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Coding\NestJS\DormMfc\backend\src\files\"/>
    </mc:Choice>
  </mc:AlternateContent>
  <xr:revisionPtr revIDLastSave="0" documentId="13_ncr:1_{4E35E227-F664-4BF2-A573-714D20C638B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Реестр общежития" sheetId="1" r:id="rId1"/>
    <sheet name="СВОДНАЯ" sheetId="2" r:id="rId2"/>
    <sheet name="Реестр общежития (копия)" sheetId="3" state="hidden" r:id="rId3"/>
    <sheet name="Кол-во нуждающихся" sheetId="4" r:id="rId4"/>
    <sheet name="ранее проживали (скрытый) " sheetId="5" state="hidden" r:id="rId5"/>
    <sheet name="Адреса общежитий (скрытый)" sheetId="6" state="hidden" r:id="rId6"/>
    <sheet name="Актуальное состояние (из общего" sheetId="7" state="hidden" r:id="rId7"/>
  </sheets>
  <definedNames>
    <definedName name="_xlnm._FilterDatabase" localSheetId="0" hidden="1">'Реестр общежития'!$A$1:$AA$2712</definedName>
    <definedName name="_xlnm._FilterDatabase" localSheetId="2" hidden="1">'Реестр общежития (копия)'!$A$2:$AF$4998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998" i="3" l="1" a="1"/>
  <c r="X4998" i="3" s="1"/>
  <c r="X4997" i="3" a="1"/>
  <c r="X4997" i="3" s="1"/>
  <c r="X4996" i="3" a="1"/>
  <c r="X4996" i="3"/>
  <c r="X4995" i="3" a="1"/>
  <c r="X4995" i="3"/>
  <c r="X4994" i="3" a="1"/>
  <c r="X4994" i="3" s="1"/>
  <c r="X4993" i="3" a="1"/>
  <c r="X4993" i="3" s="1"/>
  <c r="X4992" i="3" a="1"/>
  <c r="X4992" i="3" s="1"/>
  <c r="X4991" i="3" a="1"/>
  <c r="X4991" i="3" s="1"/>
  <c r="X4990" i="3" a="1"/>
  <c r="X4990" i="3" s="1"/>
  <c r="X4989" i="3" a="1"/>
  <c r="X4989" i="3" s="1"/>
  <c r="X4988" i="3" a="1"/>
  <c r="X4988" i="3" s="1"/>
  <c r="X4987" i="3" a="1"/>
  <c r="X4987" i="3"/>
  <c r="X4986" i="3" a="1"/>
  <c r="X4986" i="3" s="1"/>
  <c r="X4985" i="3" a="1"/>
  <c r="X4985" i="3" s="1"/>
  <c r="X4984" i="3" a="1"/>
  <c r="X4984" i="3" s="1"/>
  <c r="X4983" i="3" a="1"/>
  <c r="X4983" i="3" s="1"/>
  <c r="X4982" i="3" a="1"/>
  <c r="X4982" i="3" s="1"/>
  <c r="X4981" i="3" a="1"/>
  <c r="X4981" i="3" s="1"/>
  <c r="X4980" i="3" a="1"/>
  <c r="X4980" i="3"/>
  <c r="X4979" i="3" a="1"/>
  <c r="X4979" i="3" s="1"/>
  <c r="X4978" i="3" a="1"/>
  <c r="X4978" i="3" s="1"/>
  <c r="X4977" i="3" a="1"/>
  <c r="X4977" i="3" s="1"/>
  <c r="X4976" i="3" a="1"/>
  <c r="X4976" i="3"/>
  <c r="X4975" i="3" a="1"/>
  <c r="X4975" i="3" s="1"/>
  <c r="X4974" i="3" a="1"/>
  <c r="X4974" i="3" s="1"/>
  <c r="X4973" i="3" a="1"/>
  <c r="X4973" i="3" s="1"/>
  <c r="X4972" i="3" a="1"/>
  <c r="X4972" i="3" s="1"/>
  <c r="X4971" i="3" a="1"/>
  <c r="X4971" i="3"/>
  <c r="X4970" i="3" a="1"/>
  <c r="X4970" i="3" s="1"/>
  <c r="X4969" i="3" a="1"/>
  <c r="X4969" i="3" s="1"/>
  <c r="X4968" i="3" a="1"/>
  <c r="X4968" i="3"/>
  <c r="X4967" i="3" a="1"/>
  <c r="X4967" i="3" s="1"/>
  <c r="X4966" i="3" a="1"/>
  <c r="X4966" i="3" s="1"/>
  <c r="X4965" i="3" a="1"/>
  <c r="X4965" i="3" s="1"/>
  <c r="X4964" i="3" a="1"/>
  <c r="X4964" i="3"/>
  <c r="X4963" i="3" a="1"/>
  <c r="X4963" i="3" s="1"/>
  <c r="X4962" i="3" a="1"/>
  <c r="X4962" i="3" s="1"/>
  <c r="X4961" i="3" a="1"/>
  <c r="X4961" i="3" s="1"/>
  <c r="X4960" i="3" a="1"/>
  <c r="X4960" i="3" s="1"/>
  <c r="X4959" i="3" a="1"/>
  <c r="X4959" i="3" s="1"/>
  <c r="X4958" i="3" a="1"/>
  <c r="X4958" i="3" s="1"/>
  <c r="X4957" i="3" a="1"/>
  <c r="X4957" i="3" s="1"/>
  <c r="X4956" i="3" a="1"/>
  <c r="X4956" i="3" s="1"/>
  <c r="X4955" i="3" a="1"/>
  <c r="X4955" i="3" s="1"/>
  <c r="X4954" i="3" a="1"/>
  <c r="X4954" i="3" s="1"/>
  <c r="X4953" i="3" a="1"/>
  <c r="X4953" i="3" s="1"/>
  <c r="X4952" i="3" a="1"/>
  <c r="X4952" i="3"/>
  <c r="X4951" i="3" a="1"/>
  <c r="X4951" i="3" s="1"/>
  <c r="X4950" i="3" a="1"/>
  <c r="X4950" i="3" s="1"/>
  <c r="X4949" i="3" a="1"/>
  <c r="X4949" i="3" s="1"/>
  <c r="X4948" i="3" a="1"/>
  <c r="X4948" i="3"/>
  <c r="X4947" i="3" a="1"/>
  <c r="X4947" i="3" s="1"/>
  <c r="X4946" i="3" a="1"/>
  <c r="X4946" i="3" s="1"/>
  <c r="X4945" i="3" a="1"/>
  <c r="X4945" i="3" s="1"/>
  <c r="X4944" i="3" a="1"/>
  <c r="X4944" i="3" s="1"/>
  <c r="X4943" i="3" a="1"/>
  <c r="X4943" i="3" s="1"/>
  <c r="X4942" i="3" a="1"/>
  <c r="X4942" i="3" s="1"/>
  <c r="X4941" i="3" a="1"/>
  <c r="X4941" i="3" s="1"/>
  <c r="X4940" i="3" a="1"/>
  <c r="X4940" i="3"/>
  <c r="X4939" i="3" a="1"/>
  <c r="X4939" i="3" s="1"/>
  <c r="X4938" i="3" a="1"/>
  <c r="X4938" i="3" s="1"/>
  <c r="X4937" i="3" a="1"/>
  <c r="X4937" i="3" s="1"/>
  <c r="X4936" i="3" a="1"/>
  <c r="X4936" i="3" s="1"/>
  <c r="X4935" i="3" a="1"/>
  <c r="X4935" i="3" s="1"/>
  <c r="X4934" i="3" a="1"/>
  <c r="X4934" i="3" s="1"/>
  <c r="X4933" i="3" a="1"/>
  <c r="X4933" i="3" s="1"/>
  <c r="X4932" i="3" a="1"/>
  <c r="X4932" i="3" s="1"/>
  <c r="X4931" i="3" a="1"/>
  <c r="X4931" i="3" s="1"/>
  <c r="X4930" i="3" a="1"/>
  <c r="X4930" i="3" s="1"/>
  <c r="X4929" i="3" a="1"/>
  <c r="X4929" i="3" s="1"/>
  <c r="X4928" i="3" a="1"/>
  <c r="X4928" i="3"/>
  <c r="X4927" i="3" a="1"/>
  <c r="X4927" i="3" s="1"/>
  <c r="X4926" i="3" a="1"/>
  <c r="X4926" i="3" s="1"/>
  <c r="X4925" i="3" a="1"/>
  <c r="X4925" i="3" s="1"/>
  <c r="X4924" i="3" a="1"/>
  <c r="X4924" i="3"/>
  <c r="X4923" i="3" a="1"/>
  <c r="X4923" i="3" s="1"/>
  <c r="X4922" i="3" a="1"/>
  <c r="X4922" i="3" s="1"/>
  <c r="X4921" i="3" a="1"/>
  <c r="X4921" i="3" s="1"/>
  <c r="X4920" i="3" a="1"/>
  <c r="X4920" i="3" s="1"/>
  <c r="X4919" i="3" a="1"/>
  <c r="X4919" i="3" s="1"/>
  <c r="X4918" i="3" a="1"/>
  <c r="X4918" i="3" s="1"/>
  <c r="X4917" i="3" a="1"/>
  <c r="X4917" i="3" s="1"/>
  <c r="X4916" i="3" a="1"/>
  <c r="X4916" i="3"/>
  <c r="X4915" i="3" a="1"/>
  <c r="X4915" i="3" s="1"/>
  <c r="X4914" i="3" a="1"/>
  <c r="X4914" i="3" s="1"/>
  <c r="X4913" i="3" a="1"/>
  <c r="X4913" i="3" s="1"/>
  <c r="X4912" i="3" a="1"/>
  <c r="X4912" i="3" s="1"/>
  <c r="X4911" i="3" a="1"/>
  <c r="X4911" i="3" s="1"/>
  <c r="X4910" i="3" a="1"/>
  <c r="X4910" i="3" s="1"/>
  <c r="X4909" i="3" a="1"/>
  <c r="X4909" i="3" s="1"/>
  <c r="X4908" i="3" a="1"/>
  <c r="X4908" i="3" s="1"/>
  <c r="X4907" i="3" a="1"/>
  <c r="X4907" i="3" s="1"/>
  <c r="X4906" i="3" a="1"/>
  <c r="X4906" i="3" s="1"/>
  <c r="X4905" i="3" a="1"/>
  <c r="X4905" i="3" s="1"/>
  <c r="X4904" i="3" a="1"/>
  <c r="X4904" i="3" s="1"/>
  <c r="X4903" i="3" a="1"/>
  <c r="X4903" i="3" s="1"/>
  <c r="X4902" i="3" a="1"/>
  <c r="X4902" i="3" s="1"/>
  <c r="X4901" i="3" a="1"/>
  <c r="X4901" i="3" s="1"/>
  <c r="X4900" i="3" a="1"/>
  <c r="X4900" i="3"/>
  <c r="X4899" i="3" a="1"/>
  <c r="X4899" i="3" s="1"/>
  <c r="X4898" i="3" a="1"/>
  <c r="X4898" i="3" s="1"/>
  <c r="X4897" i="3" a="1"/>
  <c r="X4897" i="3" s="1"/>
  <c r="X4896" i="3" a="1"/>
  <c r="X4896" i="3" s="1"/>
  <c r="X4895" i="3" a="1"/>
  <c r="X4895" i="3" s="1"/>
  <c r="X4894" i="3" a="1"/>
  <c r="X4894" i="3" s="1"/>
  <c r="X4893" i="3" a="1"/>
  <c r="X4893" i="3" s="1"/>
  <c r="X4892" i="3" a="1"/>
  <c r="X4892" i="3" s="1"/>
  <c r="X4891" i="3" a="1"/>
  <c r="X4891" i="3" s="1"/>
  <c r="X4890" i="3" a="1"/>
  <c r="X4890" i="3" s="1"/>
  <c r="X4889" i="3" a="1"/>
  <c r="X4889" i="3" s="1"/>
  <c r="X4888" i="3" a="1"/>
  <c r="X4888" i="3"/>
  <c r="X4887" i="3" a="1"/>
  <c r="X4887" i="3" s="1"/>
  <c r="X4886" i="3" a="1"/>
  <c r="X4886" i="3" s="1"/>
  <c r="X4885" i="3" a="1"/>
  <c r="X4885" i="3" s="1"/>
  <c r="X4884" i="3" a="1"/>
  <c r="X4884" i="3"/>
  <c r="X4883" i="3" a="1"/>
  <c r="X4883" i="3" s="1"/>
  <c r="X4882" i="3" a="1"/>
  <c r="X4882" i="3" s="1"/>
  <c r="X4881" i="3" a="1"/>
  <c r="X4881" i="3" s="1"/>
  <c r="X4880" i="3" a="1"/>
  <c r="X4880" i="3"/>
  <c r="X4879" i="3" a="1"/>
  <c r="X4879" i="3" s="1"/>
  <c r="X4878" i="3" a="1"/>
  <c r="X4878" i="3" s="1"/>
  <c r="X4877" i="3" a="1"/>
  <c r="X4877" i="3" s="1"/>
  <c r="X4876" i="3" a="1"/>
  <c r="X4876" i="3" s="1"/>
  <c r="X4875" i="3" a="1"/>
  <c r="X4875" i="3"/>
  <c r="X4874" i="3" a="1"/>
  <c r="X4874" i="3" s="1"/>
  <c r="X4873" i="3" a="1"/>
  <c r="X4873" i="3" s="1"/>
  <c r="X4872" i="3" a="1"/>
  <c r="X4872" i="3"/>
  <c r="X4871" i="3" a="1"/>
  <c r="X4871" i="3" s="1"/>
  <c r="X4870" i="3" a="1"/>
  <c r="X4870" i="3" s="1"/>
  <c r="X4869" i="3" a="1"/>
  <c r="X4869" i="3" s="1"/>
  <c r="X4868" i="3" a="1"/>
  <c r="X4868" i="3"/>
  <c r="X4867" i="3" a="1"/>
  <c r="X4867" i="3" s="1"/>
  <c r="X4866" i="3" a="1"/>
  <c r="X4866" i="3" s="1"/>
  <c r="X4865" i="3" a="1"/>
  <c r="X4865" i="3" s="1"/>
  <c r="X4864" i="3" a="1"/>
  <c r="X4864" i="3" s="1"/>
  <c r="X4863" i="3" a="1"/>
  <c r="X4863" i="3" s="1"/>
  <c r="X4862" i="3" a="1"/>
  <c r="X4862" i="3" s="1"/>
  <c r="X4861" i="3" a="1"/>
  <c r="X4861" i="3" s="1"/>
  <c r="X4860" i="3" a="1"/>
  <c r="X4860" i="3" s="1"/>
  <c r="X4859" i="3" a="1"/>
  <c r="X4859" i="3" s="1"/>
  <c r="X4858" i="3" a="1"/>
  <c r="X4858" i="3" s="1"/>
  <c r="X4857" i="3" a="1"/>
  <c r="X4857" i="3" s="1"/>
  <c r="X4856" i="3" a="1"/>
  <c r="X4856" i="3"/>
  <c r="X4855" i="3" a="1"/>
  <c r="X4855" i="3" s="1"/>
  <c r="X4854" i="3" a="1"/>
  <c r="X4854" i="3" s="1"/>
  <c r="X4853" i="3" a="1"/>
  <c r="X4853" i="3" s="1"/>
  <c r="X4852" i="3" a="1"/>
  <c r="X4852" i="3" s="1"/>
  <c r="X4851" i="3" a="1"/>
  <c r="X4851" i="3" s="1"/>
  <c r="X4850" i="3" a="1"/>
  <c r="X4850" i="3" s="1"/>
  <c r="X4849" i="3" a="1"/>
  <c r="X4849" i="3" s="1"/>
  <c r="X4848" i="3" a="1"/>
  <c r="X4848" i="3"/>
  <c r="X4847" i="3" a="1"/>
  <c r="X4847" i="3" s="1"/>
  <c r="X4846" i="3" a="1"/>
  <c r="X4846" i="3" s="1"/>
  <c r="X4845" i="3" a="1"/>
  <c r="X4845" i="3" s="1"/>
  <c r="X4844" i="3" a="1"/>
  <c r="X4844" i="3" s="1"/>
  <c r="X4843" i="3" a="1"/>
  <c r="X4843" i="3" s="1"/>
  <c r="X4842" i="3" a="1"/>
  <c r="X4842" i="3" s="1"/>
  <c r="X4841" i="3" a="1"/>
  <c r="X4841" i="3" s="1"/>
  <c r="X4840" i="3" a="1"/>
  <c r="X4840" i="3"/>
  <c r="X4839" i="3" a="1"/>
  <c r="X4839" i="3" s="1"/>
  <c r="X4838" i="3" a="1"/>
  <c r="X4838" i="3" s="1"/>
  <c r="X4837" i="3" a="1"/>
  <c r="X4837" i="3" s="1"/>
  <c r="X4836" i="3" a="1"/>
  <c r="X4836" i="3" s="1"/>
  <c r="X4835" i="3" a="1"/>
  <c r="X4835" i="3" s="1"/>
  <c r="X4834" i="3" a="1"/>
  <c r="X4834" i="3" s="1"/>
  <c r="X4833" i="3" a="1"/>
  <c r="X4833" i="3" s="1"/>
  <c r="X4832" i="3" a="1"/>
  <c r="X4832" i="3" s="1"/>
  <c r="X4831" i="3" a="1"/>
  <c r="X4831" i="3" s="1"/>
  <c r="X4830" i="3" a="1"/>
  <c r="X4830" i="3" s="1"/>
  <c r="X4829" i="3" a="1"/>
  <c r="X4829" i="3" s="1"/>
  <c r="X4828" i="3" a="1"/>
  <c r="X4828" i="3"/>
  <c r="X4827" i="3" a="1"/>
  <c r="X4827" i="3" s="1"/>
  <c r="X4826" i="3" a="1"/>
  <c r="X4826" i="3" s="1"/>
  <c r="X4825" i="3" a="1"/>
  <c r="X4825" i="3" s="1"/>
  <c r="X4824" i="3" a="1"/>
  <c r="X4824" i="3"/>
  <c r="X4823" i="3" a="1"/>
  <c r="X4823" i="3" s="1"/>
  <c r="X4822" i="3" a="1"/>
  <c r="X4822" i="3" s="1"/>
  <c r="X4821" i="3" a="1"/>
  <c r="X4821" i="3" s="1"/>
  <c r="X4820" i="3" a="1"/>
  <c r="X4820" i="3"/>
  <c r="X4819" i="3" a="1"/>
  <c r="X4819" i="3" s="1"/>
  <c r="X4818" i="3" a="1"/>
  <c r="X4818" i="3" s="1"/>
  <c r="X4817" i="3" a="1"/>
  <c r="X4817" i="3" s="1"/>
  <c r="X4816" i="3" a="1"/>
  <c r="X4816" i="3" s="1"/>
  <c r="X4815" i="3" a="1"/>
  <c r="X4815" i="3" s="1"/>
  <c r="X4814" i="3" a="1"/>
  <c r="X4814" i="3" s="1"/>
  <c r="X4813" i="3" a="1"/>
  <c r="X4813" i="3" s="1"/>
  <c r="X4812" i="3" a="1"/>
  <c r="X4812" i="3"/>
  <c r="X4811" i="3" a="1"/>
  <c r="X4811" i="3" s="1"/>
  <c r="X4810" i="3" a="1"/>
  <c r="X4810" i="3" s="1"/>
  <c r="X4809" i="3" a="1"/>
  <c r="X4809" i="3" s="1"/>
  <c r="X4808" i="3" a="1"/>
  <c r="X4808" i="3"/>
  <c r="X4807" i="3" a="1"/>
  <c r="X4807" i="3" s="1"/>
  <c r="X4806" i="3" a="1"/>
  <c r="X4806" i="3" s="1"/>
  <c r="X4805" i="3" a="1"/>
  <c r="X4805" i="3" s="1"/>
  <c r="X4804" i="3" a="1"/>
  <c r="X4804" i="3"/>
  <c r="X4803" i="3" a="1"/>
  <c r="X4803" i="3" s="1"/>
  <c r="X4802" i="3" a="1"/>
  <c r="X4802" i="3" s="1"/>
  <c r="X4801" i="3" a="1"/>
  <c r="X4801" i="3" s="1"/>
  <c r="X4800" i="3" a="1"/>
  <c r="X4800" i="3" s="1"/>
  <c r="X4799" i="3" a="1"/>
  <c r="X4799" i="3" s="1"/>
  <c r="X4798" i="3" a="1"/>
  <c r="X4798" i="3" s="1"/>
  <c r="X4797" i="3" a="1"/>
  <c r="X4797" i="3" s="1"/>
  <c r="X4796" i="3" a="1"/>
  <c r="X4796" i="3" s="1"/>
  <c r="X4795" i="3" a="1"/>
  <c r="X4795" i="3" s="1"/>
  <c r="X4794" i="3" a="1"/>
  <c r="X4794" i="3" s="1"/>
  <c r="X4793" i="3" a="1"/>
  <c r="X4793" i="3" s="1"/>
  <c r="X4792" i="3" a="1"/>
  <c r="X4792" i="3"/>
  <c r="X4791" i="3" a="1"/>
  <c r="X4791" i="3" s="1"/>
  <c r="X4790" i="3" a="1"/>
  <c r="X4790" i="3" s="1"/>
  <c r="X4789" i="3" a="1"/>
  <c r="X4789" i="3" s="1"/>
  <c r="X4788" i="3" a="1"/>
  <c r="X4788" i="3" s="1"/>
  <c r="X4787" i="3" a="1"/>
  <c r="X4787" i="3" s="1"/>
  <c r="X4786" i="3" a="1"/>
  <c r="X4786" i="3" s="1"/>
  <c r="X4785" i="3" a="1"/>
  <c r="X4785" i="3" s="1"/>
  <c r="X4784" i="3" a="1"/>
  <c r="X4784" i="3" s="1"/>
  <c r="X4783" i="3" a="1"/>
  <c r="X4783" i="3" s="1"/>
  <c r="X4782" i="3" a="1"/>
  <c r="X4782" i="3" s="1"/>
  <c r="X4781" i="3" a="1"/>
  <c r="X4781" i="3" s="1"/>
  <c r="X4780" i="3" a="1"/>
  <c r="X4780" i="3" s="1"/>
  <c r="X4779" i="3" a="1"/>
  <c r="X4779" i="3" s="1"/>
  <c r="X4778" i="3" a="1"/>
  <c r="X4778" i="3" s="1"/>
  <c r="X4777" i="3" a="1"/>
  <c r="X4777" i="3" s="1"/>
  <c r="X4776" i="3" a="1"/>
  <c r="X4776" i="3"/>
  <c r="X4775" i="3" a="1"/>
  <c r="X4775" i="3" s="1"/>
  <c r="X4774" i="3" a="1"/>
  <c r="X4774" i="3" s="1"/>
  <c r="X4773" i="3" a="1"/>
  <c r="X4773" i="3" s="1"/>
  <c r="X4772" i="3" a="1"/>
  <c r="X4772" i="3"/>
  <c r="X4771" i="3" a="1"/>
  <c r="X4771" i="3" s="1"/>
  <c r="X4770" i="3" a="1"/>
  <c r="X4770" i="3" s="1"/>
  <c r="X4769" i="3" a="1"/>
  <c r="X4769" i="3" s="1"/>
  <c r="X4768" i="3" a="1"/>
  <c r="X4768" i="3"/>
  <c r="X4767" i="3" a="1"/>
  <c r="X4767" i="3" s="1"/>
  <c r="X4766" i="3" a="1"/>
  <c r="X4766" i="3" s="1"/>
  <c r="X4765" i="3" a="1"/>
  <c r="X4765" i="3" s="1"/>
  <c r="X4764" i="3" a="1"/>
  <c r="X4764" i="3" s="1"/>
  <c r="X4763" i="3" a="1"/>
  <c r="X4763" i="3" s="1"/>
  <c r="X4762" i="3" a="1"/>
  <c r="X4762" i="3" s="1"/>
  <c r="X4761" i="3" a="1"/>
  <c r="X4761" i="3" s="1"/>
  <c r="X4760" i="3" a="1"/>
  <c r="X4760" i="3" s="1"/>
  <c r="X4759" i="3" a="1"/>
  <c r="X4759" i="3" s="1"/>
  <c r="X4758" i="3" a="1"/>
  <c r="X4758" i="3" s="1"/>
  <c r="X4757" i="3" a="1"/>
  <c r="X4757" i="3" s="1"/>
  <c r="X4756" i="3" a="1"/>
  <c r="X4756" i="3" s="1"/>
  <c r="X4755" i="3" a="1"/>
  <c r="X4755" i="3" s="1"/>
  <c r="X4754" i="3" a="1"/>
  <c r="X4754" i="3" s="1"/>
  <c r="X4753" i="3" a="1"/>
  <c r="X4753" i="3" s="1"/>
  <c r="X4752" i="3" a="1"/>
  <c r="X4752" i="3" s="1"/>
  <c r="X4751" i="3" a="1"/>
  <c r="X4751" i="3" s="1"/>
  <c r="X4750" i="3" a="1"/>
  <c r="X4750" i="3" s="1"/>
  <c r="X4749" i="3" a="1"/>
  <c r="X4749" i="3" s="1"/>
  <c r="X4748" i="3" a="1"/>
  <c r="X4748" i="3" s="1"/>
  <c r="X4747" i="3" a="1"/>
  <c r="X4747" i="3" s="1"/>
  <c r="X4746" i="3" a="1"/>
  <c r="X4746" i="3" s="1"/>
  <c r="X4745" i="3" a="1"/>
  <c r="X4745" i="3" s="1"/>
  <c r="X4744" i="3" a="1"/>
  <c r="X4744" i="3"/>
  <c r="X4743" i="3" a="1"/>
  <c r="X4743" i="3" s="1"/>
  <c r="X4742" i="3" a="1"/>
  <c r="X4742" i="3" s="1"/>
  <c r="X4741" i="3" a="1"/>
  <c r="X4741" i="3" s="1"/>
  <c r="X4740" i="3" a="1"/>
  <c r="X4740" i="3" s="1"/>
  <c r="X4739" i="3" a="1"/>
  <c r="X4739" i="3" s="1"/>
  <c r="X4738" i="3" a="1"/>
  <c r="X4738" i="3" s="1"/>
  <c r="X4737" i="3" a="1"/>
  <c r="X4737" i="3" s="1"/>
  <c r="X4736" i="3" a="1"/>
  <c r="X4736" i="3"/>
  <c r="X4735" i="3" a="1"/>
  <c r="X4735" i="3" s="1"/>
  <c r="X4734" i="3" a="1"/>
  <c r="X4734" i="3" s="1"/>
  <c r="X4733" i="3" a="1"/>
  <c r="X4733" i="3" s="1"/>
  <c r="X4732" i="3" a="1"/>
  <c r="X4732" i="3"/>
  <c r="X4731" i="3" a="1"/>
  <c r="X4731" i="3" s="1"/>
  <c r="X4730" i="3" a="1"/>
  <c r="X4730" i="3" s="1"/>
  <c r="X4729" i="3" a="1"/>
  <c r="X4729" i="3" s="1"/>
  <c r="X4728" i="3" a="1"/>
  <c r="X4728" i="3"/>
  <c r="X4727" i="3" a="1"/>
  <c r="X4727" i="3" s="1"/>
  <c r="X4726" i="3" a="1"/>
  <c r="X4726" i="3" s="1"/>
  <c r="X4725" i="3" a="1"/>
  <c r="X4725" i="3" s="1"/>
  <c r="X4724" i="3" a="1"/>
  <c r="X4724" i="3" s="1"/>
  <c r="X4723" i="3" a="1"/>
  <c r="X4723" i="3" s="1"/>
  <c r="X4722" i="3" a="1"/>
  <c r="X4722" i="3" s="1"/>
  <c r="X4721" i="3" a="1"/>
  <c r="X4721" i="3" s="1"/>
  <c r="X4720" i="3" a="1"/>
  <c r="X4720" i="3"/>
  <c r="X4719" i="3" a="1"/>
  <c r="X4719" i="3" s="1"/>
  <c r="X4718" i="3" a="1"/>
  <c r="X4718" i="3" s="1"/>
  <c r="X4717" i="3" a="1"/>
  <c r="X4717" i="3" s="1"/>
  <c r="X4716" i="3" a="1"/>
  <c r="X4716" i="3"/>
  <c r="X4715" i="3" a="1"/>
  <c r="X4715" i="3" s="1"/>
  <c r="X4714" i="3" a="1"/>
  <c r="X4714" i="3" s="1"/>
  <c r="X4713" i="3" a="1"/>
  <c r="X4713" i="3" s="1"/>
  <c r="X4712" i="3" a="1"/>
  <c r="X4712" i="3"/>
  <c r="X4711" i="3" a="1"/>
  <c r="X4711" i="3"/>
  <c r="X4710" i="3" a="1"/>
  <c r="X4710" i="3" s="1"/>
  <c r="X4709" i="3" a="1"/>
  <c r="X4709" i="3" s="1"/>
  <c r="X4708" i="3" a="1"/>
  <c r="X4708" i="3"/>
  <c r="X4707" i="3" a="1"/>
  <c r="X4707" i="3" s="1"/>
  <c r="X4706" i="3" a="1"/>
  <c r="X4706" i="3" s="1"/>
  <c r="X4705" i="3" a="1"/>
  <c r="X4705" i="3" s="1"/>
  <c r="X4704" i="3" a="1"/>
  <c r="X4704" i="3"/>
  <c r="X4703" i="3" a="1"/>
  <c r="X4703" i="3" s="1"/>
  <c r="X4702" i="3" a="1"/>
  <c r="X4702" i="3" s="1"/>
  <c r="X4701" i="3" a="1"/>
  <c r="X4701" i="3" s="1"/>
  <c r="X4700" i="3" a="1"/>
  <c r="X4700" i="3" s="1"/>
  <c r="X4699" i="3" a="1"/>
  <c r="X4699" i="3" s="1"/>
  <c r="X4698" i="3" a="1"/>
  <c r="X4698" i="3" s="1"/>
  <c r="X4697" i="3" a="1"/>
  <c r="X4697" i="3" s="1"/>
  <c r="X4696" i="3" a="1"/>
  <c r="X4696" i="3"/>
  <c r="X4695" i="3" a="1"/>
  <c r="X4695" i="3" s="1"/>
  <c r="X4694" i="3" a="1"/>
  <c r="X4694" i="3" s="1"/>
  <c r="X4693" i="3" a="1"/>
  <c r="X4693" i="3" s="1"/>
  <c r="X4692" i="3" a="1"/>
  <c r="X4692" i="3"/>
  <c r="X4691" i="3" a="1"/>
  <c r="X4691" i="3" s="1"/>
  <c r="X4690" i="3" a="1"/>
  <c r="X4690" i="3" s="1"/>
  <c r="X4689" i="3" a="1"/>
  <c r="X4689" i="3" s="1"/>
  <c r="X4688" i="3" a="1"/>
  <c r="X4688" i="3" s="1"/>
  <c r="X4687" i="3" a="1"/>
  <c r="X4687" i="3" s="1"/>
  <c r="X4686" i="3" a="1"/>
  <c r="X4686" i="3" s="1"/>
  <c r="X4685" i="3" a="1"/>
  <c r="X4685" i="3" s="1"/>
  <c r="X4684" i="3" a="1"/>
  <c r="X4684" i="3"/>
  <c r="X4683" i="3" a="1"/>
  <c r="X4683" i="3" s="1"/>
  <c r="X4682" i="3" a="1"/>
  <c r="X4682" i="3" s="1"/>
  <c r="X4681" i="3" a="1"/>
  <c r="X4681" i="3" s="1"/>
  <c r="X4680" i="3" a="1"/>
  <c r="X4680" i="3"/>
  <c r="X4679" i="3" a="1"/>
  <c r="X4679" i="3" s="1"/>
  <c r="X4678" i="3" a="1"/>
  <c r="X4678" i="3" s="1"/>
  <c r="X4677" i="3" a="1"/>
  <c r="X4677" i="3" s="1"/>
  <c r="X4676" i="3" a="1"/>
  <c r="X4676" i="3" s="1"/>
  <c r="X4675" i="3" a="1"/>
  <c r="X4675" i="3" s="1"/>
  <c r="X4674" i="3" a="1"/>
  <c r="X4674" i="3" s="1"/>
  <c r="X4673" i="3" a="1"/>
  <c r="X4673" i="3" s="1"/>
  <c r="X4672" i="3" a="1"/>
  <c r="X4672" i="3"/>
  <c r="X4671" i="3" a="1"/>
  <c r="X4671" i="3" s="1"/>
  <c r="X4670" i="3" a="1"/>
  <c r="X4670" i="3" s="1"/>
  <c r="X4669" i="3" a="1"/>
  <c r="X4669" i="3" s="1"/>
  <c r="X4668" i="3" a="1"/>
  <c r="X4668" i="3"/>
  <c r="X4667" i="3" a="1"/>
  <c r="X4667" i="3" s="1"/>
  <c r="X4666" i="3" a="1"/>
  <c r="X4666" i="3" s="1"/>
  <c r="X4665" i="3" a="1"/>
  <c r="X4665" i="3" s="1"/>
  <c r="X4664" i="3" a="1"/>
  <c r="X4664" i="3" s="1"/>
  <c r="X4663" i="3" a="1"/>
  <c r="X4663" i="3" s="1"/>
  <c r="X4662" i="3" a="1"/>
  <c r="X4662" i="3" s="1"/>
  <c r="X4661" i="3" a="1"/>
  <c r="X4661" i="3" s="1"/>
  <c r="X4660" i="3" a="1"/>
  <c r="X4660" i="3"/>
  <c r="X4659" i="3" a="1"/>
  <c r="X4659" i="3" s="1"/>
  <c r="X4658" i="3" a="1"/>
  <c r="X4658" i="3"/>
  <c r="X4657" i="3" a="1"/>
  <c r="X4657" i="3" s="1"/>
  <c r="X4656" i="3" a="1"/>
  <c r="X4656" i="3"/>
  <c r="X4655" i="3" a="1"/>
  <c r="X4655" i="3" s="1"/>
  <c r="X4654" i="3" a="1"/>
  <c r="X4654" i="3" s="1"/>
  <c r="X4653" i="3" a="1"/>
  <c r="X4653" i="3" s="1"/>
  <c r="X4652" i="3" a="1"/>
  <c r="X4652" i="3"/>
  <c r="X4651" i="3" a="1"/>
  <c r="X4651" i="3" s="1"/>
  <c r="X4650" i="3" a="1"/>
  <c r="X4650" i="3" s="1"/>
  <c r="X4649" i="3" a="1"/>
  <c r="X4649" i="3" s="1"/>
  <c r="X4648" i="3" a="1"/>
  <c r="X4648" i="3" s="1"/>
  <c r="X4647" i="3" a="1"/>
  <c r="X4647" i="3" s="1"/>
  <c r="X4646" i="3" a="1"/>
  <c r="X4646" i="3" s="1"/>
  <c r="X4645" i="3" a="1"/>
  <c r="X4645" i="3" s="1"/>
  <c r="X4644" i="3" a="1"/>
  <c r="X4644" i="3" s="1"/>
  <c r="X4643" i="3" a="1"/>
  <c r="X4643" i="3" s="1"/>
  <c r="X4642" i="3" a="1"/>
  <c r="X4642" i="3"/>
  <c r="X4641" i="3" a="1"/>
  <c r="X4641" i="3" s="1"/>
  <c r="X4640" i="3" a="1"/>
  <c r="X4640" i="3"/>
  <c r="X4639" i="3" a="1"/>
  <c r="X4639" i="3" s="1"/>
  <c r="X4638" i="3" a="1"/>
  <c r="X4638" i="3" s="1"/>
  <c r="X4637" i="3" a="1"/>
  <c r="X4637" i="3" s="1"/>
  <c r="X4636" i="3" a="1"/>
  <c r="X4636" i="3"/>
  <c r="X4635" i="3" a="1"/>
  <c r="X4635" i="3"/>
  <c r="X4634" i="3" a="1"/>
  <c r="X4634" i="3" s="1"/>
  <c r="X4633" i="3" a="1"/>
  <c r="X4633" i="3" s="1"/>
  <c r="X4632" i="3" a="1"/>
  <c r="X4632" i="3"/>
  <c r="X4631" i="3" a="1"/>
  <c r="X4631" i="3" s="1"/>
  <c r="X4630" i="3" a="1"/>
  <c r="X4630" i="3" s="1"/>
  <c r="X4629" i="3" a="1"/>
  <c r="X4629" i="3" s="1"/>
  <c r="X4628" i="3" a="1"/>
  <c r="X4628" i="3" s="1"/>
  <c r="X4627" i="3" a="1"/>
  <c r="X4627" i="3"/>
  <c r="X4626" i="3" a="1"/>
  <c r="X4626" i="3" s="1"/>
  <c r="X4625" i="3" a="1"/>
  <c r="X4625" i="3" s="1"/>
  <c r="X4624" i="3" a="1"/>
  <c r="X4624" i="3"/>
  <c r="X4623" i="3" a="1"/>
  <c r="X4623" i="3" s="1"/>
  <c r="X4622" i="3" a="1"/>
  <c r="X4622" i="3"/>
  <c r="X4621" i="3" a="1"/>
  <c r="X4621" i="3" s="1"/>
  <c r="X4620" i="3" a="1"/>
  <c r="X4620" i="3"/>
  <c r="X4619" i="3" a="1"/>
  <c r="X4619" i="3" s="1"/>
  <c r="X4618" i="3" a="1"/>
  <c r="X4618" i="3" s="1"/>
  <c r="X4617" i="3" a="1"/>
  <c r="X4617" i="3" s="1"/>
  <c r="X4616" i="3" a="1"/>
  <c r="X4616" i="3"/>
  <c r="X4615" i="3" a="1"/>
  <c r="X4615" i="3"/>
  <c r="X4614" i="3" a="1"/>
  <c r="X4614" i="3"/>
  <c r="X4613" i="3" a="1"/>
  <c r="X4613" i="3" s="1"/>
  <c r="X4612" i="3" a="1"/>
  <c r="X4612" i="3" s="1"/>
  <c r="X4611" i="3" a="1"/>
  <c r="X4611" i="3" s="1"/>
  <c r="X4610" i="3" a="1"/>
  <c r="X4610" i="3" s="1"/>
  <c r="X4609" i="3" a="1"/>
  <c r="X4609" i="3" s="1"/>
  <c r="X4608" i="3" a="1"/>
  <c r="X4608" i="3" s="1"/>
  <c r="X4607" i="3" a="1"/>
  <c r="X4607" i="3"/>
  <c r="X4606" i="3" a="1"/>
  <c r="X4606" i="3" s="1"/>
  <c r="X4605" i="3" a="1"/>
  <c r="X4605" i="3" s="1"/>
  <c r="X4604" i="3" a="1"/>
  <c r="X4604" i="3" s="1"/>
  <c r="X4603" i="3" a="1"/>
  <c r="X4603" i="3" s="1"/>
  <c r="X4602" i="3" a="1"/>
  <c r="X4602" i="3" s="1"/>
  <c r="X4601" i="3" a="1"/>
  <c r="X4601" i="3" s="1"/>
  <c r="X4600" i="3" a="1"/>
  <c r="X4600" i="3"/>
  <c r="X4599" i="3" a="1"/>
  <c r="X4599" i="3"/>
  <c r="X4598" i="3" a="1"/>
  <c r="X4598" i="3" s="1"/>
  <c r="X4597" i="3" a="1"/>
  <c r="X4597" i="3" s="1"/>
  <c r="X4596" i="3" a="1"/>
  <c r="X4596" i="3"/>
  <c r="X4595" i="3" a="1"/>
  <c r="X4595" i="3" s="1"/>
  <c r="X4594" i="3" a="1"/>
  <c r="X4594" i="3" s="1"/>
  <c r="X4593" i="3" a="1"/>
  <c r="X4593" i="3" s="1"/>
  <c r="X4592" i="3" a="1"/>
  <c r="X4592" i="3" s="1"/>
  <c r="X4591" i="3" a="1"/>
  <c r="X4591" i="3" s="1"/>
  <c r="X4590" i="3" a="1"/>
  <c r="X4590" i="3" s="1"/>
  <c r="X4589" i="3" a="1"/>
  <c r="X4589" i="3" s="1"/>
  <c r="X4588" i="3" a="1"/>
  <c r="X4588" i="3"/>
  <c r="X4587" i="3" a="1"/>
  <c r="X4587" i="3" s="1"/>
  <c r="X4586" i="3" a="1"/>
  <c r="X4586" i="3"/>
  <c r="X4585" i="3" a="1"/>
  <c r="X4585" i="3" s="1"/>
  <c r="X4584" i="3" a="1"/>
  <c r="X4584" i="3"/>
  <c r="X4583" i="3" a="1"/>
  <c r="X4583" i="3" s="1"/>
  <c r="X4582" i="3" a="1"/>
  <c r="X4582" i="3" s="1"/>
  <c r="X4581" i="3" a="1"/>
  <c r="X4581" i="3" s="1"/>
  <c r="X4580" i="3" a="1"/>
  <c r="X4580" i="3" s="1"/>
  <c r="X4579" i="3" a="1"/>
  <c r="X4579" i="3" s="1"/>
  <c r="X4578" i="3" a="1"/>
  <c r="X4578" i="3" s="1"/>
  <c r="X4577" i="3" a="1"/>
  <c r="X4577" i="3" s="1"/>
  <c r="X4576" i="3" a="1"/>
  <c r="X4576" i="3" s="1"/>
  <c r="X4575" i="3" a="1"/>
  <c r="X4575" i="3"/>
  <c r="X4574" i="3" a="1"/>
  <c r="X4574" i="3" s="1"/>
  <c r="X4573" i="3" a="1"/>
  <c r="X4573" i="3" s="1"/>
  <c r="X4572" i="3" a="1"/>
  <c r="X4572" i="3"/>
  <c r="X4571" i="3" a="1"/>
  <c r="X4571" i="3" s="1"/>
  <c r="X4570" i="3" a="1"/>
  <c r="X4570" i="3" s="1"/>
  <c r="X4569" i="3" a="1"/>
  <c r="X4569" i="3" s="1"/>
  <c r="X4568" i="3" a="1"/>
  <c r="X4568" i="3"/>
  <c r="X4567" i="3" a="1"/>
  <c r="X4567" i="3"/>
  <c r="X4566" i="3" a="1"/>
  <c r="X4566" i="3" s="1"/>
  <c r="X4565" i="3" a="1"/>
  <c r="X4565" i="3" s="1"/>
  <c r="X4564" i="3" a="1"/>
  <c r="X4564" i="3"/>
  <c r="X4563" i="3" a="1"/>
  <c r="X4563" i="3" s="1"/>
  <c r="X4562" i="3" a="1"/>
  <c r="X4562" i="3"/>
  <c r="X4561" i="3" a="1"/>
  <c r="X4561" i="3" s="1"/>
  <c r="X4560" i="3" a="1"/>
  <c r="X4560" i="3" s="1"/>
  <c r="X4559" i="3" a="1"/>
  <c r="X4559" i="3" s="1"/>
  <c r="X4558" i="3" a="1"/>
  <c r="X4558" i="3" s="1"/>
  <c r="X4557" i="3" a="1"/>
  <c r="X4557" i="3" s="1"/>
  <c r="X4556" i="3" a="1"/>
  <c r="X4556" i="3"/>
  <c r="X4555" i="3" a="1"/>
  <c r="X4555" i="3" s="1"/>
  <c r="X4554" i="3" a="1"/>
  <c r="X4554" i="3" s="1"/>
  <c r="X4553" i="3" a="1"/>
  <c r="X4553" i="3" s="1"/>
  <c r="X4552" i="3" a="1"/>
  <c r="X4552" i="3" s="1"/>
  <c r="X4551" i="3" a="1"/>
  <c r="X4551" i="3" s="1"/>
  <c r="X4550" i="3" a="1"/>
  <c r="X4550" i="3" s="1"/>
  <c r="X4549" i="3" a="1"/>
  <c r="X4549" i="3" s="1"/>
  <c r="X4548" i="3" a="1"/>
  <c r="X4548" i="3" s="1"/>
  <c r="X4547" i="3" a="1"/>
  <c r="X4547" i="3" s="1"/>
  <c r="X4546" i="3" a="1"/>
  <c r="X4546" i="3"/>
  <c r="X4545" i="3" a="1"/>
  <c r="X4545" i="3" s="1"/>
  <c r="X4544" i="3" a="1"/>
  <c r="X4544" i="3"/>
  <c r="X4543" i="3" a="1"/>
  <c r="X4543" i="3" s="1"/>
  <c r="X4542" i="3" a="1"/>
  <c r="X4542" i="3" s="1"/>
  <c r="X4541" i="3" a="1"/>
  <c r="X4541" i="3" s="1"/>
  <c r="X4540" i="3" a="1"/>
  <c r="X4540" i="3" s="1"/>
  <c r="X4539" i="3" a="1"/>
  <c r="X4539" i="3" s="1"/>
  <c r="X4538" i="3" a="1"/>
  <c r="X4538" i="3" s="1"/>
  <c r="X4537" i="3" a="1"/>
  <c r="X4537" i="3" s="1"/>
  <c r="X4536" i="3" a="1"/>
  <c r="X4536" i="3" s="1"/>
  <c r="X4535" i="3" a="1"/>
  <c r="X4535" i="3" s="1"/>
  <c r="X4534" i="3" a="1"/>
  <c r="X4534" i="3" s="1"/>
  <c r="X4533" i="3" a="1"/>
  <c r="X4533" i="3" s="1"/>
  <c r="X4532" i="3" a="1"/>
  <c r="X4532" i="3" s="1"/>
  <c r="X4531" i="3" a="1"/>
  <c r="X4531" i="3" s="1"/>
  <c r="X4530" i="3" a="1"/>
  <c r="X4530" i="3" s="1"/>
  <c r="X4529" i="3" a="1"/>
  <c r="X4529" i="3" s="1"/>
  <c r="X4528" i="3" a="1"/>
  <c r="X4528" i="3"/>
  <c r="X4527" i="3" a="1"/>
  <c r="X4527" i="3"/>
  <c r="X4526" i="3" a="1"/>
  <c r="X4526" i="3" s="1"/>
  <c r="X4525" i="3" a="1"/>
  <c r="X4525" i="3" s="1"/>
  <c r="X4524" i="3" a="1"/>
  <c r="X4524" i="3"/>
  <c r="X4523" i="3" a="1"/>
  <c r="X4523" i="3" s="1"/>
  <c r="X4522" i="3" a="1"/>
  <c r="X4522" i="3" s="1"/>
  <c r="X4521" i="3" a="1"/>
  <c r="X4521" i="3" s="1"/>
  <c r="X4520" i="3" a="1"/>
  <c r="X4520" i="3" s="1"/>
  <c r="X4519" i="3" a="1"/>
  <c r="X4519" i="3"/>
  <c r="X4518" i="3" a="1"/>
  <c r="X4518" i="3" s="1"/>
  <c r="X4517" i="3" a="1"/>
  <c r="X4517" i="3" s="1"/>
  <c r="X4516" i="3" a="1"/>
  <c r="X4516" i="3"/>
  <c r="X4515" i="3" a="1"/>
  <c r="X4515" i="3" s="1"/>
  <c r="X4514" i="3" a="1"/>
  <c r="X4514" i="3" s="1"/>
  <c r="X4513" i="3" a="1"/>
  <c r="X4513" i="3" s="1"/>
  <c r="X4512" i="3" a="1"/>
  <c r="X4512" i="3" s="1"/>
  <c r="X4511" i="3" a="1"/>
  <c r="X4511" i="3"/>
  <c r="X4510" i="3" a="1"/>
  <c r="X4510" i="3" s="1"/>
  <c r="X4509" i="3" a="1"/>
  <c r="X4509" i="3" s="1"/>
  <c r="X4508" i="3" a="1"/>
  <c r="X4508" i="3"/>
  <c r="X4507" i="3" a="1"/>
  <c r="X4507" i="3" s="1"/>
  <c r="X4506" i="3" a="1"/>
  <c r="X4506" i="3" s="1"/>
  <c r="X4505" i="3" a="1"/>
  <c r="X4505" i="3" s="1"/>
  <c r="X4504" i="3" a="1"/>
  <c r="X4504" i="3" s="1"/>
  <c r="X4503" i="3" a="1"/>
  <c r="X4503" i="3"/>
  <c r="X4502" i="3" a="1"/>
  <c r="X4502" i="3" s="1"/>
  <c r="X4501" i="3" a="1"/>
  <c r="X4501" i="3" s="1"/>
  <c r="X4500" i="3" a="1"/>
  <c r="X4500" i="3"/>
  <c r="X4499" i="3" a="1"/>
  <c r="X4499" i="3" s="1"/>
  <c r="X4498" i="3" a="1"/>
  <c r="X4498" i="3"/>
  <c r="X4497" i="3" a="1"/>
  <c r="X4497" i="3" s="1"/>
  <c r="X4496" i="3" a="1"/>
  <c r="X4496" i="3"/>
  <c r="X4495" i="3" a="1"/>
  <c r="X4495" i="3"/>
  <c r="X4494" i="3" a="1"/>
  <c r="X4494" i="3" s="1"/>
  <c r="X4493" i="3" a="1"/>
  <c r="X4493" i="3" s="1"/>
  <c r="X4492" i="3" a="1"/>
  <c r="X4492" i="3"/>
  <c r="X4491" i="3" a="1"/>
  <c r="X4491" i="3" s="1"/>
  <c r="X4490" i="3" a="1"/>
  <c r="X4490" i="3" s="1"/>
  <c r="X4489" i="3" a="1"/>
  <c r="X4489" i="3" s="1"/>
  <c r="X4488" i="3" a="1"/>
  <c r="X4488" i="3" s="1"/>
  <c r="X4487" i="3" a="1"/>
  <c r="X4487" i="3" s="1"/>
  <c r="X4486" i="3" a="1"/>
  <c r="X4486" i="3" s="1"/>
  <c r="X4485" i="3" a="1"/>
  <c r="X4485" i="3" s="1"/>
  <c r="X4484" i="3" a="1"/>
  <c r="X4484" i="3" s="1"/>
  <c r="X4483" i="3" a="1"/>
  <c r="X4483" i="3"/>
  <c r="X4482" i="3" a="1"/>
  <c r="X4482" i="3" s="1"/>
  <c r="X4481" i="3" a="1"/>
  <c r="X4481" i="3" s="1"/>
  <c r="X4480" i="3" a="1"/>
  <c r="X4480" i="3" s="1"/>
  <c r="X4479" i="3" a="1"/>
  <c r="X4479" i="3"/>
  <c r="X4478" i="3" a="1"/>
  <c r="X4478" i="3" s="1"/>
  <c r="X4477" i="3" a="1"/>
  <c r="X4477" i="3" s="1"/>
  <c r="X4476" i="3" a="1"/>
  <c r="X4476" i="3" s="1"/>
  <c r="X4475" i="3" a="1"/>
  <c r="X4475" i="3" s="1"/>
  <c r="X4474" i="3" a="1"/>
  <c r="X4474" i="3" s="1"/>
  <c r="X4473" i="3" a="1"/>
  <c r="X4473" i="3" s="1"/>
  <c r="X4472" i="3" a="1"/>
  <c r="X4472" i="3" s="1"/>
  <c r="X4471" i="3" a="1"/>
  <c r="X4471" i="3"/>
  <c r="X4470" i="3" a="1"/>
  <c r="X4470" i="3" s="1"/>
  <c r="X4469" i="3" a="1"/>
  <c r="X4469" i="3" s="1"/>
  <c r="X4468" i="3" a="1"/>
  <c r="X4468" i="3" s="1"/>
  <c r="X4467" i="3" a="1"/>
  <c r="X4467" i="3" s="1"/>
  <c r="X4466" i="3" a="1"/>
  <c r="X4466" i="3"/>
  <c r="X4465" i="3" a="1"/>
  <c r="X4465" i="3" s="1"/>
  <c r="X4464" i="3" a="1"/>
  <c r="X4464" i="3" s="1"/>
  <c r="X4463" i="3" a="1"/>
  <c r="X4463" i="3" s="1"/>
  <c r="X4462" i="3" a="1"/>
  <c r="X4462" i="3" s="1"/>
  <c r="X4461" i="3" a="1"/>
  <c r="X4461" i="3" s="1"/>
  <c r="X4460" i="3" a="1"/>
  <c r="X4460" i="3"/>
  <c r="X4459" i="3" a="1"/>
  <c r="X4459" i="3" s="1"/>
  <c r="X4458" i="3" a="1"/>
  <c r="X4458" i="3"/>
  <c r="X4457" i="3" a="1"/>
  <c r="X4457" i="3" s="1"/>
  <c r="X4456" i="3" a="1"/>
  <c r="X4456" i="3"/>
  <c r="X4455" i="3" a="1"/>
  <c r="X4455" i="3" s="1"/>
  <c r="X4454" i="3" a="1"/>
  <c r="X4454" i="3" s="1"/>
  <c r="X4453" i="3" a="1"/>
  <c r="X4453" i="3" s="1"/>
  <c r="X4452" i="3" a="1"/>
  <c r="X4452" i="3"/>
  <c r="X4451" i="3" a="1"/>
  <c r="X4451" i="3" s="1"/>
  <c r="X4450" i="3" a="1"/>
  <c r="X4450" i="3"/>
  <c r="X4449" i="3" a="1"/>
  <c r="X4449" i="3" s="1"/>
  <c r="X4448" i="3" a="1"/>
  <c r="X4448" i="3"/>
  <c r="X4447" i="3" a="1"/>
  <c r="X4447" i="3" s="1"/>
  <c r="X4446" i="3" a="1"/>
  <c r="X4446" i="3" s="1"/>
  <c r="X4445" i="3" a="1"/>
  <c r="X4445" i="3" s="1"/>
  <c r="X4444" i="3" a="1"/>
  <c r="X4444" i="3" s="1"/>
  <c r="X4443" i="3" a="1"/>
  <c r="X4443" i="3" s="1"/>
  <c r="X4442" i="3" a="1"/>
  <c r="X4442" i="3"/>
  <c r="X4441" i="3" a="1"/>
  <c r="X4441" i="3" s="1"/>
  <c r="X4440" i="3" a="1"/>
  <c r="X4440" i="3" s="1"/>
  <c r="X4439" i="3" a="1"/>
  <c r="X4439" i="3" s="1"/>
  <c r="X4438" i="3" a="1"/>
  <c r="X4438" i="3" s="1"/>
  <c r="X4437" i="3" a="1"/>
  <c r="X4437" i="3" s="1"/>
  <c r="X4436" i="3" a="1"/>
  <c r="X4436" i="3" s="1"/>
  <c r="X4435" i="3" a="1"/>
  <c r="X4435" i="3" s="1"/>
  <c r="X4434" i="3" a="1"/>
  <c r="X4434" i="3" s="1"/>
  <c r="X4433" i="3" a="1"/>
  <c r="X4433" i="3" s="1"/>
  <c r="X4432" i="3" a="1"/>
  <c r="X4432" i="3" s="1"/>
  <c r="X4431" i="3" a="1"/>
  <c r="X4431" i="3" s="1"/>
  <c r="X4430" i="3" a="1"/>
  <c r="X4430" i="3"/>
  <c r="X4429" i="3" a="1"/>
  <c r="X4429" i="3" s="1"/>
  <c r="X4428" i="3" a="1"/>
  <c r="X4428" i="3"/>
  <c r="X4427" i="3" a="1"/>
  <c r="X4427" i="3" s="1"/>
  <c r="X4426" i="3" a="1"/>
  <c r="X4426" i="3" s="1"/>
  <c r="X4425" i="3" a="1"/>
  <c r="X4425" i="3" s="1"/>
  <c r="X4424" i="3" a="1"/>
  <c r="X4424" i="3" s="1"/>
  <c r="X4423" i="3" a="1"/>
  <c r="X4423" i="3" s="1"/>
  <c r="X4422" i="3" a="1"/>
  <c r="X4422" i="3"/>
  <c r="X4421" i="3" a="1"/>
  <c r="X4421" i="3" s="1"/>
  <c r="X4420" i="3" a="1"/>
  <c r="X4420" i="3" s="1"/>
  <c r="X4419" i="3" a="1"/>
  <c r="X4419" i="3" s="1"/>
  <c r="X4418" i="3" a="1"/>
  <c r="X4418" i="3"/>
  <c r="X4417" i="3" a="1"/>
  <c r="X4417" i="3" s="1"/>
  <c r="X4416" i="3" a="1"/>
  <c r="X4416" i="3" s="1"/>
  <c r="X4415" i="3" a="1"/>
  <c r="X4415" i="3"/>
  <c r="X4414" i="3" a="1"/>
  <c r="X4414" i="3" s="1"/>
  <c r="X4413" i="3" a="1"/>
  <c r="X4413" i="3" s="1"/>
  <c r="X4412" i="3" a="1"/>
  <c r="X4412" i="3" s="1"/>
  <c r="X4411" i="3" a="1"/>
  <c r="X4411" i="3" s="1"/>
  <c r="X4410" i="3" a="1"/>
  <c r="X4410" i="3"/>
  <c r="X4409" i="3" a="1"/>
  <c r="X4409" i="3" s="1"/>
  <c r="X4408" i="3" a="1"/>
  <c r="X4408" i="3"/>
  <c r="X4407" i="3" a="1"/>
  <c r="X4407" i="3"/>
  <c r="X4406" i="3" a="1"/>
  <c r="X4406" i="3" s="1"/>
  <c r="X4405" i="3" a="1"/>
  <c r="X4405" i="3" s="1"/>
  <c r="X4404" i="3" a="1"/>
  <c r="X4404" i="3" s="1"/>
  <c r="X4403" i="3" a="1"/>
  <c r="X4403" i="3"/>
  <c r="X4402" i="3" a="1"/>
  <c r="X4402" i="3"/>
  <c r="X4401" i="3" a="1"/>
  <c r="X4401" i="3" s="1"/>
  <c r="X4400" i="3" a="1"/>
  <c r="X4400" i="3" s="1"/>
  <c r="X4399" i="3" a="1"/>
  <c r="X4399" i="3" s="1"/>
  <c r="X4398" i="3" a="1"/>
  <c r="X4398" i="3" s="1"/>
  <c r="X4397" i="3" a="1"/>
  <c r="X4397" i="3" s="1"/>
  <c r="X4396" i="3" a="1"/>
  <c r="X4396" i="3"/>
  <c r="X4395" i="3" a="1"/>
  <c r="X4395" i="3"/>
  <c r="X4394" i="3" a="1"/>
  <c r="X4394" i="3" s="1"/>
  <c r="X4393" i="3" a="1"/>
  <c r="X4393" i="3" s="1"/>
  <c r="X4392" i="3" a="1"/>
  <c r="X4392" i="3" s="1"/>
  <c r="X4391" i="3" a="1"/>
  <c r="X4391" i="3" s="1"/>
  <c r="X4390" i="3" a="1"/>
  <c r="X4390" i="3"/>
  <c r="X4389" i="3" a="1"/>
  <c r="X4389" i="3" s="1"/>
  <c r="X4388" i="3" a="1"/>
  <c r="X4388" i="3" s="1"/>
  <c r="X4387" i="3" a="1"/>
  <c r="X4387" i="3" s="1"/>
  <c r="X4386" i="3" a="1"/>
  <c r="X4386" i="3" s="1"/>
  <c r="X4385" i="3" a="1"/>
  <c r="X4385" i="3" s="1"/>
  <c r="X4384" i="3" a="1"/>
  <c r="X4384" i="3" s="1"/>
  <c r="X4383" i="3" a="1"/>
  <c r="X4383" i="3"/>
  <c r="X4382" i="3" a="1"/>
  <c r="X4382" i="3" s="1"/>
  <c r="X4381" i="3" a="1"/>
  <c r="X4381" i="3" s="1"/>
  <c r="X4380" i="3" a="1"/>
  <c r="X4380" i="3"/>
  <c r="X4379" i="3" a="1"/>
  <c r="X4379" i="3" s="1"/>
  <c r="X4378" i="3" a="1"/>
  <c r="X4378" i="3" s="1"/>
  <c r="X4377" i="3" a="1"/>
  <c r="X4377" i="3" s="1"/>
  <c r="X4376" i="3" a="1"/>
  <c r="X4376" i="3" s="1"/>
  <c r="X4375" i="3" a="1"/>
  <c r="X4375" i="3"/>
  <c r="X4374" i="3" a="1"/>
  <c r="X4374" i="3" s="1"/>
  <c r="X4373" i="3" a="1"/>
  <c r="X4373" i="3" s="1"/>
  <c r="X4372" i="3" a="1"/>
  <c r="X4372" i="3" s="1"/>
  <c r="X4371" i="3" a="1"/>
  <c r="X4371" i="3"/>
  <c r="X4370" i="3" a="1"/>
  <c r="X4370" i="3" s="1"/>
  <c r="X4369" i="3" a="1"/>
  <c r="X4369" i="3" s="1"/>
  <c r="X4368" i="3" a="1"/>
  <c r="X4368" i="3" s="1"/>
  <c r="X4367" i="3" a="1"/>
  <c r="X4367" i="3" s="1"/>
  <c r="X4366" i="3" a="1"/>
  <c r="X4366" i="3" s="1"/>
  <c r="X4365" i="3" a="1"/>
  <c r="X4365" i="3" s="1"/>
  <c r="X4364" i="3" a="1"/>
  <c r="X4364" i="3" s="1"/>
  <c r="X4363" i="3" a="1"/>
  <c r="X4363" i="3"/>
  <c r="X4362" i="3" a="1"/>
  <c r="X4362" i="3"/>
  <c r="X4361" i="3" a="1"/>
  <c r="X4361" i="3"/>
  <c r="X4360" i="3" a="1"/>
  <c r="X4360" i="3" s="1"/>
  <c r="X4359" i="3" a="1"/>
  <c r="X4359" i="3" s="1"/>
  <c r="X4358" i="3" a="1"/>
  <c r="X4358" i="3"/>
  <c r="X4357" i="3" a="1"/>
  <c r="X4357" i="3"/>
  <c r="X4356" i="3" a="1"/>
  <c r="X4356" i="3" s="1"/>
  <c r="X4355" i="3" a="1"/>
  <c r="X4355" i="3" s="1"/>
  <c r="X4354" i="3" a="1"/>
  <c r="X4354" i="3" s="1"/>
  <c r="X4353" i="3" a="1"/>
  <c r="X4353" i="3" s="1"/>
  <c r="X4352" i="3" a="1"/>
  <c r="X4352" i="3" s="1"/>
  <c r="X4351" i="3" a="1"/>
  <c r="X4351" i="3" s="1"/>
  <c r="X4350" i="3" a="1"/>
  <c r="X4350" i="3"/>
  <c r="X4349" i="3" a="1"/>
  <c r="X4349" i="3" s="1"/>
  <c r="X4348" i="3" a="1"/>
  <c r="X4348" i="3" s="1"/>
  <c r="X4347" i="3" a="1"/>
  <c r="X4347" i="3" s="1"/>
  <c r="X4346" i="3" a="1"/>
  <c r="X4346" i="3" s="1"/>
  <c r="X4345" i="3" a="1"/>
  <c r="X4345" i="3" s="1"/>
  <c r="X4344" i="3" a="1"/>
  <c r="X4344" i="3" s="1"/>
  <c r="X4343" i="3" a="1"/>
  <c r="X4343" i="3"/>
  <c r="X4342" i="3" a="1"/>
  <c r="X4342" i="3" s="1"/>
  <c r="X4341" i="3" a="1"/>
  <c r="X4341" i="3" s="1"/>
  <c r="X4340" i="3" a="1"/>
  <c r="X4340" i="3" s="1"/>
  <c r="X4339" i="3" a="1"/>
  <c r="X4339" i="3"/>
  <c r="X4338" i="3" a="1"/>
  <c r="X4338" i="3" s="1"/>
  <c r="X4337" i="3" a="1"/>
  <c r="X4337" i="3"/>
  <c r="X4336" i="3" a="1"/>
  <c r="X4336" i="3" s="1"/>
  <c r="X4335" i="3" a="1"/>
  <c r="X4335" i="3"/>
  <c r="X4334" i="3" a="1"/>
  <c r="X4334" i="3" s="1"/>
  <c r="X4333" i="3" a="1"/>
  <c r="X4333" i="3" s="1"/>
  <c r="X4332" i="3" a="1"/>
  <c r="X4332" i="3" s="1"/>
  <c r="X4331" i="3" a="1"/>
  <c r="X4331" i="3" s="1"/>
  <c r="X4330" i="3" a="1"/>
  <c r="X4330" i="3" s="1"/>
  <c r="X4329" i="3" a="1"/>
  <c r="X4329" i="3" s="1"/>
  <c r="X4328" i="3" a="1"/>
  <c r="X4328" i="3" s="1"/>
  <c r="X4327" i="3" a="1"/>
  <c r="X4327" i="3" s="1"/>
  <c r="X4326" i="3" a="1"/>
  <c r="X4326" i="3"/>
  <c r="X4325" i="3" a="1"/>
  <c r="X4325" i="3" s="1"/>
  <c r="X4324" i="3" a="1"/>
  <c r="X4324" i="3" s="1"/>
  <c r="X4323" i="3" a="1"/>
  <c r="X4323" i="3"/>
  <c r="X4322" i="3" a="1"/>
  <c r="X4322" i="3" s="1"/>
  <c r="X4321" i="3" a="1"/>
  <c r="X4321" i="3" s="1"/>
  <c r="X4320" i="3" a="1"/>
  <c r="X4320" i="3" s="1"/>
  <c r="X4319" i="3" a="1"/>
  <c r="X4319" i="3" s="1"/>
  <c r="X4318" i="3" a="1"/>
  <c r="X4318" i="3" s="1"/>
  <c r="X4317" i="3" a="1"/>
  <c r="X4317" i="3"/>
  <c r="X4316" i="3" a="1"/>
  <c r="X4316" i="3" s="1"/>
  <c r="X4315" i="3" a="1"/>
  <c r="X4315" i="3" s="1"/>
  <c r="X4314" i="3" a="1"/>
  <c r="X4314" i="3"/>
  <c r="X4313" i="3" a="1"/>
  <c r="X4313" i="3"/>
  <c r="X4312" i="3" a="1"/>
  <c r="X4312" i="3" s="1"/>
  <c r="X4311" i="3" a="1"/>
  <c r="X4311" i="3" s="1"/>
  <c r="X4310" i="3" a="1"/>
  <c r="X4310" i="3"/>
  <c r="X4309" i="3" a="1"/>
  <c r="X4309" i="3" s="1"/>
  <c r="X4308" i="3" a="1"/>
  <c r="X4308" i="3" s="1"/>
  <c r="X4307" i="3" a="1"/>
  <c r="X4307" i="3" s="1"/>
  <c r="X4306" i="3" a="1"/>
  <c r="X4306" i="3" s="1"/>
  <c r="X4305" i="3" a="1"/>
  <c r="X4305" i="3" s="1"/>
  <c r="X4304" i="3" a="1"/>
  <c r="X4304" i="3" s="1"/>
  <c r="X4303" i="3" a="1"/>
  <c r="X4303" i="3" s="1"/>
  <c r="X4302" i="3" a="1"/>
  <c r="X4302" i="3"/>
  <c r="X4301" i="3" a="1"/>
  <c r="X4301" i="3"/>
  <c r="X4300" i="3" a="1"/>
  <c r="X4300" i="3" s="1"/>
  <c r="X4299" i="3" a="1"/>
  <c r="X4299" i="3" s="1"/>
  <c r="X4298" i="3" a="1"/>
  <c r="X4298" i="3" s="1"/>
  <c r="X4297" i="3" a="1"/>
  <c r="X4297" i="3" s="1"/>
  <c r="X4296" i="3" a="1"/>
  <c r="X4296" i="3" s="1"/>
  <c r="X4295" i="3" a="1"/>
  <c r="X4295" i="3"/>
  <c r="X4294" i="3" a="1"/>
  <c r="X4294" i="3" s="1"/>
  <c r="X4293" i="3" a="1"/>
  <c r="X4293" i="3" s="1"/>
  <c r="X4292" i="3" a="1"/>
  <c r="X4292" i="3" s="1"/>
  <c r="X4291" i="3" a="1"/>
  <c r="X4291" i="3" s="1"/>
  <c r="X4290" i="3" a="1"/>
  <c r="X4290" i="3" s="1"/>
  <c r="X4289" i="3" a="1"/>
  <c r="X4289" i="3"/>
  <c r="X4288" i="3" a="1"/>
  <c r="X4288" i="3" s="1"/>
  <c r="X4287" i="3" a="1"/>
  <c r="X4287" i="3" s="1"/>
  <c r="X4286" i="3" a="1"/>
  <c r="X4286" i="3" s="1"/>
  <c r="X4285" i="3" a="1"/>
  <c r="X4285" i="3" s="1"/>
  <c r="X4284" i="3" a="1"/>
  <c r="X4284" i="3" s="1"/>
  <c r="X4283" i="3" a="1"/>
  <c r="X4283" i="3" s="1"/>
  <c r="X4282" i="3" a="1"/>
  <c r="X4282" i="3" s="1"/>
  <c r="X4281" i="3" a="1"/>
  <c r="X4281" i="3" s="1"/>
  <c r="X4280" i="3" a="1"/>
  <c r="X4280" i="3" s="1"/>
  <c r="X4279" i="3" a="1"/>
  <c r="X4279" i="3" s="1"/>
  <c r="X4278" i="3" a="1"/>
  <c r="X4278" i="3"/>
  <c r="X4277" i="3" a="1"/>
  <c r="X4277" i="3" s="1"/>
  <c r="X4276" i="3" a="1"/>
  <c r="X4276" i="3" s="1"/>
  <c r="X4275" i="3" a="1"/>
  <c r="X4275" i="3" s="1"/>
  <c r="X4274" i="3" a="1"/>
  <c r="X4274" i="3"/>
  <c r="X4273" i="3" a="1"/>
  <c r="X4273" i="3" s="1"/>
  <c r="X4272" i="3" a="1"/>
  <c r="X4272" i="3" s="1"/>
  <c r="X4271" i="3" a="1"/>
  <c r="X4271" i="3" s="1"/>
  <c r="X4270" i="3" a="1"/>
  <c r="X4270" i="3" s="1"/>
  <c r="X4269" i="3" a="1"/>
  <c r="X4269" i="3" s="1"/>
  <c r="X4268" i="3" a="1"/>
  <c r="X4268" i="3" s="1"/>
  <c r="X4267" i="3" a="1"/>
  <c r="X4267" i="3"/>
  <c r="X4266" i="3" a="1"/>
  <c r="X4266" i="3" s="1"/>
  <c r="X4265" i="3" a="1"/>
  <c r="X4265" i="3"/>
  <c r="X4264" i="3" a="1"/>
  <c r="X4264" i="3" s="1"/>
  <c r="X4263" i="3" a="1"/>
  <c r="X4263" i="3" s="1"/>
  <c r="X4262" i="3" a="1"/>
  <c r="X4262" i="3"/>
  <c r="X4261" i="3" a="1"/>
  <c r="X4261" i="3"/>
  <c r="X4260" i="3" a="1"/>
  <c r="X4260" i="3" s="1"/>
  <c r="X4259" i="3" a="1"/>
  <c r="X4259" i="3" s="1"/>
  <c r="X4258" i="3" a="1"/>
  <c r="X4258" i="3" s="1"/>
  <c r="X4257" i="3" a="1"/>
  <c r="X4257" i="3" s="1"/>
  <c r="X4256" i="3" a="1"/>
  <c r="X4256" i="3" s="1"/>
  <c r="X4255" i="3" a="1"/>
  <c r="X4255" i="3" s="1"/>
  <c r="X4254" i="3" a="1"/>
  <c r="X4254" i="3" s="1"/>
  <c r="X4253" i="3" a="1"/>
  <c r="X4253" i="3"/>
  <c r="X4252" i="3" a="1"/>
  <c r="X4252" i="3" s="1"/>
  <c r="X4251" i="3" a="1"/>
  <c r="X4251" i="3" s="1"/>
  <c r="X4250" i="3" a="1"/>
  <c r="X4250" i="3" s="1"/>
  <c r="X4249" i="3" a="1"/>
  <c r="X4249" i="3" s="1"/>
  <c r="X4248" i="3" a="1"/>
  <c r="X4248" i="3" s="1"/>
  <c r="X4247" i="3" a="1"/>
  <c r="X4247" i="3" s="1"/>
  <c r="X4246" i="3" a="1"/>
  <c r="X4246" i="3" s="1"/>
  <c r="X4245" i="3" a="1"/>
  <c r="X4245" i="3" s="1"/>
  <c r="X4244" i="3" a="1"/>
  <c r="X4244" i="3" s="1"/>
  <c r="X4243" i="3" a="1"/>
  <c r="X4243" i="3"/>
  <c r="X4242" i="3" a="1"/>
  <c r="X4242" i="3" s="1"/>
  <c r="X4241" i="3" a="1"/>
  <c r="X4241" i="3"/>
  <c r="X4240" i="3" a="1"/>
  <c r="X4240" i="3" s="1"/>
  <c r="X4239" i="3" a="1"/>
  <c r="X4239" i="3" s="1"/>
  <c r="X4238" i="3" a="1"/>
  <c r="X4238" i="3" s="1"/>
  <c r="X4237" i="3" a="1"/>
  <c r="X4237" i="3" s="1"/>
  <c r="X4236" i="3" a="1"/>
  <c r="X4236" i="3" s="1"/>
  <c r="X4235" i="3" a="1"/>
  <c r="X4235" i="3" s="1"/>
  <c r="X4234" i="3" a="1"/>
  <c r="X4234" i="3"/>
  <c r="X4233" i="3" a="1"/>
  <c r="X4233" i="3" s="1"/>
  <c r="X4232" i="3" a="1"/>
  <c r="X4232" i="3" s="1"/>
  <c r="X4231" i="3" a="1"/>
  <c r="X4231" i="3"/>
  <c r="X4230" i="3" a="1"/>
  <c r="X4230" i="3" s="1"/>
  <c r="X4229" i="3" a="1"/>
  <c r="X4229" i="3" s="1"/>
  <c r="X4228" i="3" a="1"/>
  <c r="X4228" i="3" s="1"/>
  <c r="X4227" i="3" a="1"/>
  <c r="X4227" i="3" s="1"/>
  <c r="X4226" i="3" a="1"/>
  <c r="X4226" i="3"/>
  <c r="X4225" i="3" a="1"/>
  <c r="X4225" i="3" s="1"/>
  <c r="X4224" i="3" a="1"/>
  <c r="X4224" i="3" s="1"/>
  <c r="X4223" i="3" a="1"/>
  <c r="X4223" i="3" s="1"/>
  <c r="X4222" i="3" a="1"/>
  <c r="X4222" i="3" s="1"/>
  <c r="X4221" i="3" a="1"/>
  <c r="X4221" i="3" s="1"/>
  <c r="X4220" i="3" a="1"/>
  <c r="X4220" i="3" s="1"/>
  <c r="X4219" i="3" a="1"/>
  <c r="X4219" i="3"/>
  <c r="X4218" i="3" a="1"/>
  <c r="X4218" i="3" s="1"/>
  <c r="X4217" i="3" a="1"/>
  <c r="X4217" i="3" s="1"/>
  <c r="X4216" i="3" a="1"/>
  <c r="X4216" i="3" s="1"/>
  <c r="X4215" i="3" a="1"/>
  <c r="X4215" i="3" s="1"/>
  <c r="X4214" i="3" a="1"/>
  <c r="X4214" i="3"/>
  <c r="X4213" i="3" a="1"/>
  <c r="X4213" i="3" s="1"/>
  <c r="X4212" i="3" a="1"/>
  <c r="X4212" i="3" s="1"/>
  <c r="X4211" i="3" a="1"/>
  <c r="X4211" i="3" s="1"/>
  <c r="X4210" i="3" a="1"/>
  <c r="X4210" i="3" s="1"/>
  <c r="X4209" i="3" a="1"/>
  <c r="X4209" i="3" s="1"/>
  <c r="X4208" i="3" a="1"/>
  <c r="X4208" i="3" s="1"/>
  <c r="X4207" i="3" a="1"/>
  <c r="X4207" i="3" s="1"/>
  <c r="X4206" i="3" a="1"/>
  <c r="X4206" i="3"/>
  <c r="X4205" i="3" a="1"/>
  <c r="X4205" i="3"/>
  <c r="X4204" i="3" a="1"/>
  <c r="X4204" i="3" s="1"/>
  <c r="X4203" i="3" a="1"/>
  <c r="X4203" i="3" s="1"/>
  <c r="X4202" i="3" a="1"/>
  <c r="X4202" i="3" s="1"/>
  <c r="X4201" i="3" a="1"/>
  <c r="X4201" i="3" s="1"/>
  <c r="X4200" i="3" a="1"/>
  <c r="X4200" i="3" s="1"/>
  <c r="X4199" i="3" a="1"/>
  <c r="X4199" i="3"/>
  <c r="X4198" i="3" a="1"/>
  <c r="X4198" i="3" s="1"/>
  <c r="X4197" i="3" a="1"/>
  <c r="X4197" i="3" s="1"/>
  <c r="X4196" i="3" a="1"/>
  <c r="X4196" i="3" s="1"/>
  <c r="X4195" i="3" a="1"/>
  <c r="X4195" i="3" s="1"/>
  <c r="X4194" i="3" a="1"/>
  <c r="X4194" i="3" s="1"/>
  <c r="X4193" i="3" a="1"/>
  <c r="X4193" i="3"/>
  <c r="X4192" i="3" a="1"/>
  <c r="X4192" i="3" s="1"/>
  <c r="X4191" i="3" a="1"/>
  <c r="X4191" i="3" s="1"/>
  <c r="X4190" i="3" a="1"/>
  <c r="X4190" i="3"/>
  <c r="X4189" i="3" a="1"/>
  <c r="X4189" i="3" s="1"/>
  <c r="X4188" i="3" a="1"/>
  <c r="X4188" i="3" s="1"/>
  <c r="X4187" i="3" a="1"/>
  <c r="X4187" i="3" s="1"/>
  <c r="X4186" i="3" a="1"/>
  <c r="X4186" i="3" s="1"/>
  <c r="X4185" i="3" a="1"/>
  <c r="X4185" i="3" s="1"/>
  <c r="X4184" i="3" a="1"/>
  <c r="X4184" i="3" s="1"/>
  <c r="X4183" i="3" a="1"/>
  <c r="X4183" i="3"/>
  <c r="X4182" i="3" a="1"/>
  <c r="X4182" i="3" s="1"/>
  <c r="X4181" i="3" a="1"/>
  <c r="X4181" i="3" s="1"/>
  <c r="X4180" i="3" a="1"/>
  <c r="X4180" i="3" s="1"/>
  <c r="X4179" i="3" a="1"/>
  <c r="X4179" i="3" s="1"/>
  <c r="X4178" i="3" a="1"/>
  <c r="X4178" i="3"/>
  <c r="X4177" i="3" a="1"/>
  <c r="X4177" i="3" s="1"/>
  <c r="X4176" i="3" a="1"/>
  <c r="X4176" i="3" s="1"/>
  <c r="X4175" i="3" a="1"/>
  <c r="X4175" i="3" s="1"/>
  <c r="X4174" i="3" a="1"/>
  <c r="X4174" i="3" s="1"/>
  <c r="X4173" i="3" a="1"/>
  <c r="X4173" i="3" s="1"/>
  <c r="X4172" i="3" a="1"/>
  <c r="X4172" i="3" s="1"/>
  <c r="X4171" i="3" a="1"/>
  <c r="X4171" i="3"/>
  <c r="X4170" i="3" a="1"/>
  <c r="X4170" i="3" s="1"/>
  <c r="X4169" i="3" a="1"/>
  <c r="X4169" i="3"/>
  <c r="X4168" i="3" a="1"/>
  <c r="X4168" i="3" s="1"/>
  <c r="X4167" i="3" a="1"/>
  <c r="X4167" i="3" s="1"/>
  <c r="X4166" i="3" a="1"/>
  <c r="X4166" i="3"/>
  <c r="X4165" i="3" a="1"/>
  <c r="X4165" i="3"/>
  <c r="X4164" i="3" a="1"/>
  <c r="X4164" i="3" s="1"/>
  <c r="X4163" i="3" a="1"/>
  <c r="X4163" i="3" s="1"/>
  <c r="X4162" i="3" a="1"/>
  <c r="X4162" i="3" s="1"/>
  <c r="X4161" i="3" a="1"/>
  <c r="X4161" i="3" s="1"/>
  <c r="X4160" i="3" a="1"/>
  <c r="X4160" i="3" s="1"/>
  <c r="X4159" i="3" a="1"/>
  <c r="X4159" i="3" s="1"/>
  <c r="X4158" i="3" a="1"/>
  <c r="X4158" i="3" s="1"/>
  <c r="X4157" i="3" a="1"/>
  <c r="X4157" i="3"/>
  <c r="X4156" i="3" a="1"/>
  <c r="X4156" i="3" s="1"/>
  <c r="X4155" i="3" a="1"/>
  <c r="X4155" i="3"/>
  <c r="X4154" i="3" a="1"/>
  <c r="X4154" i="3" s="1"/>
  <c r="X4153" i="3" a="1"/>
  <c r="X4153" i="3"/>
  <c r="X4152" i="3" a="1"/>
  <c r="X4152" i="3" s="1"/>
  <c r="X4151" i="3" a="1"/>
  <c r="X4151" i="3" s="1"/>
  <c r="X4150" i="3" a="1"/>
  <c r="X4150" i="3" s="1"/>
  <c r="X4149" i="3" a="1"/>
  <c r="X4149" i="3" s="1"/>
  <c r="X4148" i="3" a="1"/>
  <c r="X4148" i="3" s="1"/>
  <c r="X4147" i="3" a="1"/>
  <c r="X4147" i="3" s="1"/>
  <c r="X4146" i="3" a="1"/>
  <c r="X4146" i="3" s="1"/>
  <c r="X4145" i="3" a="1"/>
  <c r="X4145" i="3"/>
  <c r="X4144" i="3" a="1"/>
  <c r="X4144" i="3" s="1"/>
  <c r="X4143" i="3" a="1"/>
  <c r="X4143" i="3" s="1"/>
  <c r="X4142" i="3" a="1"/>
  <c r="X4142" i="3" s="1"/>
  <c r="X4141" i="3" a="1"/>
  <c r="X4141" i="3" s="1"/>
  <c r="X4140" i="3" a="1"/>
  <c r="X4140" i="3" s="1"/>
  <c r="X4139" i="3" a="1"/>
  <c r="X4139" i="3" s="1"/>
  <c r="X4138" i="3" a="1"/>
  <c r="X4138" i="3" s="1"/>
  <c r="X4137" i="3" a="1"/>
  <c r="X4137" i="3" s="1"/>
  <c r="X4136" i="3" a="1"/>
  <c r="X4136" i="3" s="1"/>
  <c r="X4135" i="3" a="1"/>
  <c r="X4135" i="3" s="1"/>
  <c r="X4134" i="3" a="1"/>
  <c r="X4134" i="3"/>
  <c r="X4133" i="3" a="1"/>
  <c r="X4133" i="3" s="1"/>
  <c r="X4132" i="3" a="1"/>
  <c r="X4132" i="3" s="1"/>
  <c r="X4131" i="3" a="1"/>
  <c r="X4131" i="3" s="1"/>
  <c r="X4130" i="3" a="1"/>
  <c r="X4130" i="3"/>
  <c r="X4129" i="3" a="1"/>
  <c r="X4129" i="3" s="1"/>
  <c r="X4128" i="3" a="1"/>
  <c r="X4128" i="3" s="1"/>
  <c r="X4127" i="3" a="1"/>
  <c r="X4127" i="3" s="1"/>
  <c r="X4126" i="3" a="1"/>
  <c r="X4126" i="3" s="1"/>
  <c r="X4125" i="3" a="1"/>
  <c r="X4125" i="3" s="1"/>
  <c r="X4124" i="3" a="1"/>
  <c r="X4124" i="3" s="1"/>
  <c r="X4123" i="3" a="1"/>
  <c r="X4123" i="3"/>
  <c r="X4122" i="3" a="1"/>
  <c r="X4122" i="3" s="1"/>
  <c r="X4121" i="3" a="1"/>
  <c r="X4121" i="3"/>
  <c r="X4120" i="3" a="1"/>
  <c r="X4120" i="3" s="1"/>
  <c r="X4119" i="3" a="1"/>
  <c r="X4119" i="3" s="1"/>
  <c r="X4118" i="3" a="1"/>
  <c r="X4118" i="3"/>
  <c r="X4117" i="3" a="1"/>
  <c r="X4117" i="3"/>
  <c r="X4116" i="3" a="1"/>
  <c r="X4116" i="3" s="1"/>
  <c r="X4115" i="3" a="1"/>
  <c r="X4115" i="3" s="1"/>
  <c r="X4114" i="3" a="1"/>
  <c r="X4114" i="3" s="1"/>
  <c r="X4113" i="3" a="1"/>
  <c r="X4113" i="3" s="1"/>
  <c r="X4112" i="3" a="1"/>
  <c r="X4112" i="3" s="1"/>
  <c r="X4111" i="3" a="1"/>
  <c r="X4111" i="3"/>
  <c r="X4110" i="3" a="1"/>
  <c r="X4110" i="3"/>
  <c r="X4109" i="3" a="1"/>
  <c r="X4109" i="3" s="1"/>
  <c r="X4108" i="3" a="1"/>
  <c r="X4108" i="3" s="1"/>
  <c r="X4107" i="3" a="1"/>
  <c r="X4107" i="3" s="1"/>
  <c r="X4106" i="3" a="1"/>
  <c r="X4106" i="3" s="1"/>
  <c r="X4105" i="3" a="1"/>
  <c r="X4105" i="3"/>
  <c r="X4104" i="3" a="1"/>
  <c r="X4104" i="3"/>
  <c r="X4103" i="3" a="1"/>
  <c r="X4103" i="3" s="1"/>
  <c r="X4102" i="3" a="1"/>
  <c r="X4102" i="3" s="1"/>
  <c r="X4101" i="3" a="1"/>
  <c r="X4101" i="3"/>
  <c r="X4100" i="3" a="1"/>
  <c r="X4100" i="3"/>
  <c r="X4099" i="3" a="1"/>
  <c r="X4099" i="3" s="1"/>
  <c r="X4098" i="3" a="1"/>
  <c r="X4098" i="3" s="1"/>
  <c r="X4097" i="3" a="1"/>
  <c r="X4097" i="3"/>
  <c r="X4096" i="3" a="1"/>
  <c r="X4096" i="3" s="1"/>
  <c r="X4095" i="3" a="1"/>
  <c r="X4095" i="3" s="1"/>
  <c r="X4094" i="3" a="1"/>
  <c r="X4094" i="3" s="1"/>
  <c r="X4093" i="3" a="1"/>
  <c r="X4093" i="3"/>
  <c r="X4092" i="3" a="1"/>
  <c r="X4092" i="3" s="1"/>
  <c r="X4091" i="3" a="1"/>
  <c r="X4091" i="3" s="1"/>
  <c r="X4090" i="3" a="1"/>
  <c r="X4090" i="3" s="1"/>
  <c r="X4089" i="3" a="1"/>
  <c r="X4089" i="3" s="1"/>
  <c r="X4088" i="3" a="1"/>
  <c r="X4088" i="3"/>
  <c r="X4087" i="3" a="1"/>
  <c r="X4087" i="3" s="1"/>
  <c r="X4086" i="3" a="1"/>
  <c r="X4086" i="3" s="1"/>
  <c r="X4085" i="3" a="1"/>
  <c r="X4085" i="3" s="1"/>
  <c r="X4084" i="3" a="1"/>
  <c r="X4084" i="3" s="1"/>
  <c r="X4083" i="3" a="1"/>
  <c r="X4083" i="3" s="1"/>
  <c r="X4082" i="3" a="1"/>
  <c r="X4082" i="3" s="1"/>
  <c r="X4081" i="3" a="1"/>
  <c r="X4081" i="3" s="1"/>
  <c r="X4080" i="3" a="1"/>
  <c r="X4080" i="3" s="1"/>
  <c r="X4079" i="3" a="1"/>
  <c r="X4079" i="3"/>
  <c r="X4078" i="3" a="1"/>
  <c r="X4078" i="3" s="1"/>
  <c r="X4077" i="3" a="1"/>
  <c r="X4077" i="3" s="1"/>
  <c r="X4076" i="3" a="1"/>
  <c r="X4076" i="3"/>
  <c r="X4075" i="3" a="1"/>
  <c r="X4075" i="3" s="1"/>
  <c r="X4074" i="3" a="1"/>
  <c r="X4074" i="3" s="1"/>
  <c r="X4073" i="3" a="1"/>
  <c r="X4073" i="3" s="1"/>
  <c r="X4072" i="3" a="1"/>
  <c r="X4072" i="3" s="1"/>
  <c r="X4071" i="3" a="1"/>
  <c r="X4071" i="3" s="1"/>
  <c r="X4070" i="3" a="1"/>
  <c r="X4070" i="3" s="1"/>
  <c r="X4069" i="3" a="1"/>
  <c r="X4069" i="3" s="1"/>
  <c r="X4068" i="3" a="1"/>
  <c r="X4068" i="3" s="1"/>
  <c r="X4067" i="3" a="1"/>
  <c r="X4067" i="3" s="1"/>
  <c r="X4066" i="3" a="1"/>
  <c r="X4066" i="3" s="1"/>
  <c r="X4065" i="3" a="1"/>
  <c r="X4065" i="3" s="1"/>
  <c r="X4064" i="3" a="1"/>
  <c r="X4064" i="3"/>
  <c r="X4063" i="3" a="1"/>
  <c r="X4063" i="3" s="1"/>
  <c r="X4062" i="3" a="1"/>
  <c r="X4062" i="3" s="1"/>
  <c r="X4061" i="3" a="1"/>
  <c r="X4061" i="3" s="1"/>
  <c r="X4060" i="3" a="1"/>
  <c r="X4060" i="3"/>
  <c r="X4059" i="3" a="1"/>
  <c r="X4059" i="3" s="1"/>
  <c r="X4058" i="3" a="1"/>
  <c r="X4058" i="3" s="1"/>
  <c r="X4057" i="3" a="1"/>
  <c r="X4057" i="3" s="1"/>
  <c r="X4056" i="3" a="1"/>
  <c r="X4056" i="3" s="1"/>
  <c r="X4055" i="3" a="1"/>
  <c r="X4055" i="3" s="1"/>
  <c r="X4054" i="3" a="1"/>
  <c r="X4054" i="3" s="1"/>
  <c r="X4053" i="3" a="1"/>
  <c r="X4053" i="3" s="1"/>
  <c r="X4052" i="3" a="1"/>
  <c r="X4052" i="3" s="1"/>
  <c r="X4051" i="3" a="1"/>
  <c r="X4051" i="3" s="1"/>
  <c r="X4050" i="3" a="1"/>
  <c r="X4050" i="3" s="1"/>
  <c r="X4049" i="3" a="1"/>
  <c r="X4049" i="3" s="1"/>
  <c r="X4048" i="3" a="1"/>
  <c r="X4048" i="3" s="1"/>
  <c r="X4047" i="3" a="1"/>
  <c r="X4047" i="3" s="1"/>
  <c r="X4046" i="3" a="1"/>
  <c r="X4046" i="3" s="1"/>
  <c r="X4045" i="3" a="1"/>
  <c r="X4045" i="3" s="1"/>
  <c r="X4044" i="3" a="1"/>
  <c r="X4044" i="3" s="1"/>
  <c r="X4043" i="3" a="1"/>
  <c r="X4043" i="3" s="1"/>
  <c r="X4042" i="3" a="1"/>
  <c r="X4042" i="3" s="1"/>
  <c r="X4041" i="3" a="1"/>
  <c r="X4041" i="3" s="1"/>
  <c r="X4040" i="3" a="1"/>
  <c r="X4040" i="3"/>
  <c r="X4039" i="3" a="1"/>
  <c r="X4039" i="3" s="1"/>
  <c r="X4038" i="3" a="1"/>
  <c r="X4038" i="3" s="1"/>
  <c r="X4037" i="3" a="1"/>
  <c r="X4037" i="3" s="1"/>
  <c r="X4036" i="3" a="1"/>
  <c r="X4036" i="3" s="1"/>
  <c r="X4035" i="3" a="1"/>
  <c r="X4035" i="3" s="1"/>
  <c r="X4034" i="3" a="1"/>
  <c r="X4034" i="3" s="1"/>
  <c r="X4033" i="3" a="1"/>
  <c r="X4033" i="3" s="1"/>
  <c r="X4032" i="3" a="1"/>
  <c r="X4032" i="3"/>
  <c r="X4031" i="3" a="1"/>
  <c r="X4031" i="3" s="1"/>
  <c r="X4030" i="3" a="1"/>
  <c r="X4030" i="3" s="1"/>
  <c r="X4029" i="3" a="1"/>
  <c r="X4029" i="3" s="1"/>
  <c r="X4028" i="3" a="1"/>
  <c r="X4028" i="3" s="1"/>
  <c r="X4027" i="3" a="1"/>
  <c r="X4027" i="3" s="1"/>
  <c r="X4026" i="3" a="1"/>
  <c r="X4026" i="3" s="1"/>
  <c r="X4025" i="3" a="1"/>
  <c r="X4025" i="3" s="1"/>
  <c r="X4024" i="3" a="1"/>
  <c r="X4024" i="3" s="1"/>
  <c r="X4023" i="3" a="1"/>
  <c r="X4023" i="3" s="1"/>
  <c r="X4022" i="3" a="1"/>
  <c r="X4022" i="3" s="1"/>
  <c r="X4021" i="3" a="1"/>
  <c r="X4021" i="3" s="1"/>
  <c r="X4020" i="3" a="1"/>
  <c r="X4020" i="3"/>
  <c r="X4019" i="3" a="1"/>
  <c r="X4019" i="3" s="1"/>
  <c r="X4018" i="3" a="1"/>
  <c r="X4018" i="3" s="1"/>
  <c r="X4017" i="3" a="1"/>
  <c r="X4017" i="3" s="1"/>
  <c r="X4016" i="3" a="1"/>
  <c r="X4016" i="3" s="1"/>
  <c r="X4015" i="3" a="1"/>
  <c r="X4015" i="3" s="1"/>
  <c r="X4014" i="3" a="1"/>
  <c r="X4014" i="3" s="1"/>
  <c r="X4013" i="3" a="1"/>
  <c r="X4013" i="3" s="1"/>
  <c r="X4012" i="3" a="1"/>
  <c r="X4012" i="3" s="1"/>
  <c r="X4011" i="3" a="1"/>
  <c r="X4011" i="3" s="1"/>
  <c r="X4010" i="3" a="1"/>
  <c r="X4010" i="3" s="1"/>
  <c r="X4009" i="3" a="1"/>
  <c r="X4009" i="3" s="1"/>
  <c r="X4008" i="3" a="1"/>
  <c r="X4008" i="3"/>
  <c r="X4007" i="3" a="1"/>
  <c r="X4007" i="3" s="1"/>
  <c r="X4006" i="3" a="1"/>
  <c r="X4006" i="3" s="1"/>
  <c r="X4005" i="3" a="1"/>
  <c r="X4005" i="3" s="1"/>
  <c r="X4004" i="3" a="1"/>
  <c r="X4004" i="3"/>
  <c r="X4003" i="3" a="1"/>
  <c r="X4003" i="3" s="1"/>
  <c r="X4002" i="3" a="1"/>
  <c r="X4002" i="3" s="1"/>
  <c r="X4001" i="3" a="1"/>
  <c r="X4001" i="3" s="1"/>
  <c r="X4000" i="3" a="1"/>
  <c r="X4000" i="3" s="1"/>
  <c r="X3999" i="3" a="1"/>
  <c r="X3999" i="3" s="1"/>
  <c r="X3998" i="3" a="1"/>
  <c r="X3998" i="3" s="1"/>
  <c r="X3997" i="3" a="1"/>
  <c r="X3997" i="3" s="1"/>
  <c r="X3996" i="3" a="1"/>
  <c r="X3996" i="3" s="1"/>
  <c r="X3995" i="3" a="1"/>
  <c r="X3995" i="3" s="1"/>
  <c r="X3994" i="3" a="1"/>
  <c r="X3994" i="3" s="1"/>
  <c r="X3993" i="3" a="1"/>
  <c r="X3993" i="3" s="1"/>
  <c r="X3992" i="3" a="1"/>
  <c r="X3992" i="3"/>
  <c r="X3991" i="3" a="1"/>
  <c r="X3991" i="3" s="1"/>
  <c r="X3990" i="3" a="1"/>
  <c r="X3990" i="3" s="1"/>
  <c r="X3989" i="3" a="1"/>
  <c r="X3989" i="3" s="1"/>
  <c r="X3988" i="3" a="1"/>
  <c r="X3988" i="3" s="1"/>
  <c r="X3987" i="3" a="1"/>
  <c r="X3987" i="3" s="1"/>
  <c r="X3986" i="3" a="1"/>
  <c r="X3986" i="3" s="1"/>
  <c r="X3985" i="3" a="1"/>
  <c r="X3985" i="3" s="1"/>
  <c r="X3984" i="3" a="1"/>
  <c r="X3984" i="3"/>
  <c r="X3983" i="3" a="1"/>
  <c r="X3983" i="3" s="1"/>
  <c r="X3982" i="3" a="1"/>
  <c r="X3982" i="3" s="1"/>
  <c r="X3981" i="3" a="1"/>
  <c r="X3981" i="3" s="1"/>
  <c r="X3980" i="3" a="1"/>
  <c r="X3980" i="3" s="1"/>
  <c r="X3979" i="3" a="1"/>
  <c r="X3979" i="3" s="1"/>
  <c r="X3978" i="3" a="1"/>
  <c r="X3978" i="3" s="1"/>
  <c r="X3977" i="3" a="1"/>
  <c r="X3977" i="3" s="1"/>
  <c r="X3976" i="3" a="1"/>
  <c r="X3976" i="3" s="1"/>
  <c r="X3975" i="3" a="1"/>
  <c r="X3975" i="3" s="1"/>
  <c r="X3974" i="3" a="1"/>
  <c r="X3974" i="3" s="1"/>
  <c r="X3973" i="3" a="1"/>
  <c r="X3973" i="3" s="1"/>
  <c r="X3972" i="3" a="1"/>
  <c r="X3972" i="3" s="1"/>
  <c r="X3971" i="3" a="1"/>
  <c r="X3971" i="3" s="1"/>
  <c r="X3970" i="3" a="1"/>
  <c r="X3970" i="3" s="1"/>
  <c r="X3969" i="3" a="1"/>
  <c r="X3969" i="3" s="1"/>
  <c r="X3968" i="3" a="1"/>
  <c r="X3968" i="3"/>
  <c r="X3967" i="3" a="1"/>
  <c r="X3967" i="3" s="1"/>
  <c r="X3966" i="3" a="1"/>
  <c r="X3966" i="3" s="1"/>
  <c r="X3965" i="3" a="1"/>
  <c r="X3965" i="3" s="1"/>
  <c r="X3964" i="3" a="1"/>
  <c r="X3964" i="3"/>
  <c r="X3963" i="3" a="1"/>
  <c r="X3963" i="3" s="1"/>
  <c r="X3962" i="3" a="1"/>
  <c r="X3962" i="3" s="1"/>
  <c r="X3961" i="3" a="1"/>
  <c r="X3961" i="3" s="1"/>
  <c r="X3960" i="3" a="1"/>
  <c r="X3960" i="3"/>
  <c r="X3959" i="3" a="1"/>
  <c r="X3959" i="3" s="1"/>
  <c r="X3958" i="3" a="1"/>
  <c r="X3958" i="3" s="1"/>
  <c r="X3957" i="3" a="1"/>
  <c r="X3957" i="3" s="1"/>
  <c r="X3956" i="3" a="1"/>
  <c r="X3956" i="3" s="1"/>
  <c r="X3955" i="3" a="1"/>
  <c r="X3955" i="3" s="1"/>
  <c r="X3954" i="3" a="1"/>
  <c r="X3954" i="3" s="1"/>
  <c r="X3953" i="3" a="1"/>
  <c r="X3953" i="3" s="1"/>
  <c r="X3952" i="3" a="1"/>
  <c r="X3952" i="3" s="1"/>
  <c r="X3951" i="3" a="1"/>
  <c r="X3951" i="3" s="1"/>
  <c r="X3950" i="3" a="1"/>
  <c r="X3950" i="3" s="1"/>
  <c r="X3949" i="3" a="1"/>
  <c r="X3949" i="3" s="1"/>
  <c r="X3948" i="3" a="1"/>
  <c r="X3948" i="3" s="1"/>
  <c r="X3947" i="3" a="1"/>
  <c r="X3947" i="3" s="1"/>
  <c r="X3946" i="3" a="1"/>
  <c r="X3946" i="3" s="1"/>
  <c r="X3945" i="3" a="1"/>
  <c r="X3945" i="3" s="1"/>
  <c r="X3944" i="3" a="1"/>
  <c r="X3944" i="3"/>
  <c r="X3943" i="3" a="1"/>
  <c r="X3943" i="3" s="1"/>
  <c r="X3942" i="3" a="1"/>
  <c r="X3942" i="3" s="1"/>
  <c r="X3941" i="3" a="1"/>
  <c r="X3941" i="3" s="1"/>
  <c r="X3940" i="3" a="1"/>
  <c r="X3940" i="3" s="1"/>
  <c r="X3939" i="3" a="1"/>
  <c r="X3939" i="3" s="1"/>
  <c r="X3938" i="3" a="1"/>
  <c r="X3938" i="3" s="1"/>
  <c r="X3937" i="3" a="1"/>
  <c r="X3937" i="3" s="1"/>
  <c r="X3936" i="3" a="1"/>
  <c r="X3936" i="3" s="1"/>
  <c r="X3935" i="3" a="1"/>
  <c r="X3935" i="3" s="1"/>
  <c r="X3934" i="3" a="1"/>
  <c r="X3934" i="3" s="1"/>
  <c r="X3933" i="3" a="1"/>
  <c r="X3933" i="3" s="1"/>
  <c r="X3932" i="3" a="1"/>
  <c r="X3932" i="3"/>
  <c r="X3931" i="3" a="1"/>
  <c r="X3931" i="3" s="1"/>
  <c r="X3930" i="3" a="1"/>
  <c r="X3930" i="3" s="1"/>
  <c r="X3929" i="3" a="1"/>
  <c r="X3929" i="3" s="1"/>
  <c r="X3928" i="3" a="1"/>
  <c r="X3928" i="3" s="1"/>
  <c r="X3927" i="3" a="1"/>
  <c r="X3927" i="3" s="1"/>
  <c r="X3926" i="3" a="1"/>
  <c r="X3926" i="3" s="1"/>
  <c r="X3925" i="3" a="1"/>
  <c r="X3925" i="3" s="1"/>
  <c r="X3924" i="3" a="1"/>
  <c r="X3924" i="3"/>
  <c r="X3923" i="3" a="1"/>
  <c r="X3923" i="3" s="1"/>
  <c r="X3922" i="3" a="1"/>
  <c r="X3922" i="3" s="1"/>
  <c r="X3921" i="3" a="1"/>
  <c r="X3921" i="3" s="1"/>
  <c r="X3920" i="3" a="1"/>
  <c r="X3920" i="3"/>
  <c r="X3919" i="3" a="1"/>
  <c r="X3919" i="3" s="1"/>
  <c r="X3918" i="3" a="1"/>
  <c r="X3918" i="3" s="1"/>
  <c r="X3917" i="3" a="1"/>
  <c r="X3917" i="3" s="1"/>
  <c r="X3916" i="3" a="1"/>
  <c r="X3916" i="3" s="1"/>
  <c r="X3915" i="3" a="1"/>
  <c r="X3915" i="3" s="1"/>
  <c r="X3914" i="3" a="1"/>
  <c r="X3914" i="3" s="1"/>
  <c r="X3913" i="3" a="1"/>
  <c r="X3913" i="3" s="1"/>
  <c r="X3912" i="3" a="1"/>
  <c r="X3912" i="3" s="1"/>
  <c r="X3911" i="3" a="1"/>
  <c r="X3911" i="3" s="1"/>
  <c r="X3910" i="3" a="1"/>
  <c r="X3910" i="3" s="1"/>
  <c r="X3909" i="3" a="1"/>
  <c r="X3909" i="3" s="1"/>
  <c r="X3908" i="3" a="1"/>
  <c r="X3908" i="3"/>
  <c r="X3907" i="3" a="1"/>
  <c r="X3907" i="3" s="1"/>
  <c r="X3906" i="3" a="1"/>
  <c r="X3906" i="3" s="1"/>
  <c r="X3905" i="3" a="1"/>
  <c r="X3905" i="3" s="1"/>
  <c r="X3904" i="3" a="1"/>
  <c r="X3904" i="3" s="1"/>
  <c r="X3903" i="3" a="1"/>
  <c r="X3903" i="3" s="1"/>
  <c r="X3902" i="3" a="1"/>
  <c r="X3902" i="3" s="1"/>
  <c r="X3901" i="3" a="1"/>
  <c r="X3901" i="3" s="1"/>
  <c r="X3900" i="3" a="1"/>
  <c r="X3900" i="3" s="1"/>
  <c r="X3899" i="3" a="1"/>
  <c r="X3899" i="3" s="1"/>
  <c r="X3898" i="3" a="1"/>
  <c r="X3898" i="3" s="1"/>
  <c r="X3897" i="3" a="1"/>
  <c r="X3897" i="3" s="1"/>
  <c r="X3896" i="3" a="1"/>
  <c r="X3896" i="3" s="1"/>
  <c r="X3895" i="3" a="1"/>
  <c r="X3895" i="3" s="1"/>
  <c r="X3894" i="3" a="1"/>
  <c r="X3894" i="3" s="1"/>
  <c r="X3893" i="3" a="1"/>
  <c r="X3893" i="3" s="1"/>
  <c r="X3892" i="3" a="1"/>
  <c r="X3892" i="3"/>
  <c r="X3891" i="3" a="1"/>
  <c r="X3891" i="3" s="1"/>
  <c r="X3890" i="3" a="1"/>
  <c r="X3890" i="3" s="1"/>
  <c r="X3889" i="3" a="1"/>
  <c r="X3889" i="3" s="1"/>
  <c r="X3888" i="3" a="1"/>
  <c r="X3888" i="3"/>
  <c r="X3887" i="3" a="1"/>
  <c r="X3887" i="3" s="1"/>
  <c r="X3886" i="3" a="1"/>
  <c r="X3886" i="3" s="1"/>
  <c r="X3885" i="3" a="1"/>
  <c r="X3885" i="3" s="1"/>
  <c r="X3884" i="3" a="1"/>
  <c r="X3884" i="3" s="1"/>
  <c r="X3883" i="3" a="1"/>
  <c r="X3883" i="3" s="1"/>
  <c r="X3882" i="3" a="1"/>
  <c r="X3882" i="3" s="1"/>
  <c r="X3881" i="3" a="1"/>
  <c r="X3881" i="3" s="1"/>
  <c r="X3880" i="3" a="1"/>
  <c r="X3880" i="3" s="1"/>
  <c r="X3879" i="3" a="1"/>
  <c r="X3879" i="3" s="1"/>
  <c r="X3878" i="3" a="1"/>
  <c r="X3878" i="3" s="1"/>
  <c r="X3877" i="3" a="1"/>
  <c r="X3877" i="3" s="1"/>
  <c r="X3876" i="3" a="1"/>
  <c r="X3876" i="3" s="1"/>
  <c r="X3875" i="3" a="1"/>
  <c r="X3875" i="3" s="1"/>
  <c r="X3874" i="3" a="1"/>
  <c r="X3874" i="3" s="1"/>
  <c r="X3873" i="3" a="1"/>
  <c r="X3873" i="3" s="1"/>
  <c r="X3872" i="3" a="1"/>
  <c r="X3872" i="3" s="1"/>
  <c r="X3871" i="3" a="1"/>
  <c r="X3871" i="3" s="1"/>
  <c r="X3870" i="3" a="1"/>
  <c r="X3870" i="3" s="1"/>
  <c r="X3869" i="3" a="1"/>
  <c r="X3869" i="3" s="1"/>
  <c r="X3868" i="3" a="1"/>
  <c r="X3868" i="3"/>
  <c r="X3867" i="3" a="1"/>
  <c r="X3867" i="3" s="1"/>
  <c r="X3866" i="3" a="1"/>
  <c r="X3866" i="3" s="1"/>
  <c r="X3865" i="3" a="1"/>
  <c r="X3865" i="3" s="1"/>
  <c r="X3864" i="3" a="1"/>
  <c r="X3864" i="3" s="1"/>
  <c r="X3863" i="3" a="1"/>
  <c r="X3863" i="3" s="1"/>
  <c r="X3862" i="3" a="1"/>
  <c r="X3862" i="3" s="1"/>
  <c r="X3861" i="3" a="1"/>
  <c r="X3861" i="3" s="1"/>
  <c r="X3860" i="3" a="1"/>
  <c r="X3860" i="3"/>
  <c r="X3859" i="3" a="1"/>
  <c r="X3859" i="3" s="1"/>
  <c r="X3858" i="3" a="1"/>
  <c r="X3858" i="3" s="1"/>
  <c r="X3857" i="3" a="1"/>
  <c r="X3857" i="3" s="1"/>
  <c r="X3856" i="3" a="1"/>
  <c r="X3856" i="3" s="1"/>
  <c r="X3855" i="3" a="1"/>
  <c r="X3855" i="3" s="1"/>
  <c r="X3854" i="3" a="1"/>
  <c r="X3854" i="3" s="1"/>
  <c r="X3853" i="3" a="1"/>
  <c r="X3853" i="3" s="1"/>
  <c r="X3852" i="3" a="1"/>
  <c r="X3852" i="3"/>
  <c r="X3851" i="3" a="1"/>
  <c r="X3851" i="3" s="1"/>
  <c r="X3850" i="3" a="1"/>
  <c r="X3850" i="3" s="1"/>
  <c r="X3849" i="3" a="1"/>
  <c r="X3849" i="3" s="1"/>
  <c r="X3848" i="3" a="1"/>
  <c r="X3848" i="3"/>
  <c r="X3847" i="3" a="1"/>
  <c r="X3847" i="3" s="1"/>
  <c r="X3846" i="3" a="1"/>
  <c r="X3846" i="3" s="1"/>
  <c r="X3845" i="3" a="1"/>
  <c r="X3845" i="3" s="1"/>
  <c r="X3844" i="3" a="1"/>
  <c r="X3844" i="3" s="1"/>
  <c r="X3843" i="3" a="1"/>
  <c r="X3843" i="3" s="1"/>
  <c r="X3842" i="3" a="1"/>
  <c r="X3842" i="3" s="1"/>
  <c r="X3841" i="3" a="1"/>
  <c r="X3841" i="3" s="1"/>
  <c r="X3840" i="3" a="1"/>
  <c r="X3840" i="3" s="1"/>
  <c r="X3839" i="3" a="1"/>
  <c r="X3839" i="3" s="1"/>
  <c r="X3838" i="3" a="1"/>
  <c r="X3838" i="3" s="1"/>
  <c r="X3837" i="3" a="1"/>
  <c r="X3837" i="3" s="1"/>
  <c r="X3836" i="3" a="1"/>
  <c r="X3836" i="3"/>
  <c r="X3835" i="3" a="1"/>
  <c r="X3835" i="3" s="1"/>
  <c r="X3834" i="3" a="1"/>
  <c r="X3834" i="3" s="1"/>
  <c r="X3833" i="3" a="1"/>
  <c r="X3833" i="3" s="1"/>
  <c r="X3832" i="3" a="1"/>
  <c r="X3832" i="3" s="1"/>
  <c r="X3831" i="3" a="1"/>
  <c r="X3831" i="3" s="1"/>
  <c r="X3830" i="3" a="1"/>
  <c r="X3830" i="3" s="1"/>
  <c r="X3829" i="3" a="1"/>
  <c r="X3829" i="3" s="1"/>
  <c r="X3828" i="3" a="1"/>
  <c r="X3828" i="3"/>
  <c r="X3827" i="3" a="1"/>
  <c r="X3827" i="3" s="1"/>
  <c r="X3826" i="3" a="1"/>
  <c r="X3826" i="3" s="1"/>
  <c r="X3825" i="3" a="1"/>
  <c r="X3825" i="3" s="1"/>
  <c r="X3824" i="3" a="1"/>
  <c r="X3824" i="3" s="1"/>
  <c r="X3823" i="3" a="1"/>
  <c r="X3823" i="3" s="1"/>
  <c r="X3822" i="3" a="1"/>
  <c r="X3822" i="3" s="1"/>
  <c r="X3821" i="3" a="1"/>
  <c r="X3821" i="3" s="1"/>
  <c r="X3820" i="3" a="1"/>
  <c r="X3820" i="3"/>
  <c r="X3819" i="3" a="1"/>
  <c r="X3819" i="3" s="1"/>
  <c r="X3818" i="3" a="1"/>
  <c r="X3818" i="3" s="1"/>
  <c r="X3817" i="3" a="1"/>
  <c r="X3817" i="3" s="1"/>
  <c r="X3816" i="3" a="1"/>
  <c r="X3816" i="3" s="1"/>
  <c r="X3815" i="3" a="1"/>
  <c r="X3815" i="3" s="1"/>
  <c r="X3814" i="3" a="1"/>
  <c r="X3814" i="3" s="1"/>
  <c r="X3813" i="3" a="1"/>
  <c r="X3813" i="3" s="1"/>
  <c r="X3812" i="3" a="1"/>
  <c r="X3812" i="3"/>
  <c r="X3811" i="3" a="1"/>
  <c r="X3811" i="3" s="1"/>
  <c r="X3810" i="3" a="1"/>
  <c r="X3810" i="3" s="1"/>
  <c r="X3809" i="3" a="1"/>
  <c r="X3809" i="3" s="1"/>
  <c r="X3808" i="3" a="1"/>
  <c r="X3808" i="3" s="1"/>
  <c r="X3807" i="3" a="1"/>
  <c r="X3807" i="3" s="1"/>
  <c r="X3806" i="3" a="1"/>
  <c r="X3806" i="3" s="1"/>
  <c r="X3805" i="3" a="1"/>
  <c r="X3805" i="3" s="1"/>
  <c r="X3804" i="3" a="1"/>
  <c r="X3804" i="3"/>
  <c r="X3803" i="3" a="1"/>
  <c r="X3803" i="3" s="1"/>
  <c r="X3802" i="3" a="1"/>
  <c r="X3802" i="3" s="1"/>
  <c r="X3801" i="3" a="1"/>
  <c r="X3801" i="3" s="1"/>
  <c r="X3800" i="3" a="1"/>
  <c r="X3800" i="3" s="1"/>
  <c r="X3799" i="3" a="1"/>
  <c r="X3799" i="3" s="1"/>
  <c r="X3798" i="3" a="1"/>
  <c r="X3798" i="3" s="1"/>
  <c r="X3797" i="3" a="1"/>
  <c r="X3797" i="3" s="1"/>
  <c r="X3796" i="3" a="1"/>
  <c r="X3796" i="3"/>
  <c r="X3795" i="3" a="1"/>
  <c r="X3795" i="3" s="1"/>
  <c r="X3794" i="3" a="1"/>
  <c r="X3794" i="3" s="1"/>
  <c r="X3793" i="3" a="1"/>
  <c r="X3793" i="3" s="1"/>
  <c r="X3792" i="3" a="1"/>
  <c r="X3792" i="3"/>
  <c r="X3791" i="3" a="1"/>
  <c r="X3791" i="3" s="1"/>
  <c r="X3790" i="3" a="1"/>
  <c r="X3790" i="3" s="1"/>
  <c r="X3789" i="3" a="1"/>
  <c r="X3789" i="3" s="1"/>
  <c r="X3788" i="3" a="1"/>
  <c r="X3788" i="3"/>
  <c r="X3787" i="3" a="1"/>
  <c r="X3787" i="3" s="1"/>
  <c r="X3786" i="3" a="1"/>
  <c r="X3786" i="3" s="1"/>
  <c r="X3785" i="3" a="1"/>
  <c r="X3785" i="3" s="1"/>
  <c r="X3784" i="3" a="1"/>
  <c r="X3784" i="3" s="1"/>
  <c r="X3783" i="3" a="1"/>
  <c r="X3783" i="3" s="1"/>
  <c r="X3782" i="3" a="1"/>
  <c r="X3782" i="3" s="1"/>
  <c r="X3781" i="3" a="1"/>
  <c r="X3781" i="3" s="1"/>
  <c r="X3780" i="3" a="1"/>
  <c r="X3780" i="3"/>
  <c r="X3779" i="3" a="1"/>
  <c r="X3779" i="3" s="1"/>
  <c r="X3778" i="3" a="1"/>
  <c r="X3778" i="3" s="1"/>
  <c r="X3777" i="3" a="1"/>
  <c r="X3777" i="3" s="1"/>
  <c r="X3776" i="3" a="1"/>
  <c r="X3776" i="3" s="1"/>
  <c r="X3775" i="3" a="1"/>
  <c r="X3775" i="3" s="1"/>
  <c r="X3774" i="3" a="1"/>
  <c r="X3774" i="3" s="1"/>
  <c r="X3773" i="3" a="1"/>
  <c r="X3773" i="3" s="1"/>
  <c r="X3772" i="3" a="1"/>
  <c r="X3772" i="3"/>
  <c r="X3771" i="3" a="1"/>
  <c r="X3771" i="3" s="1"/>
  <c r="X3770" i="3" a="1"/>
  <c r="X3770" i="3" s="1"/>
  <c r="X3769" i="3" a="1"/>
  <c r="X3769" i="3" s="1"/>
  <c r="X3768" i="3" a="1"/>
  <c r="X3768" i="3" s="1"/>
  <c r="X3767" i="3" a="1"/>
  <c r="X3767" i="3" s="1"/>
  <c r="X3766" i="3" a="1"/>
  <c r="X3766" i="3" s="1"/>
  <c r="X3765" i="3" a="1"/>
  <c r="X3765" i="3" s="1"/>
  <c r="X3764" i="3" a="1"/>
  <c r="X3764" i="3" s="1"/>
  <c r="X3763" i="3" a="1"/>
  <c r="X3763" i="3" s="1"/>
  <c r="X3762" i="3" a="1"/>
  <c r="X3762" i="3" s="1"/>
  <c r="X3761" i="3" a="1"/>
  <c r="X3761" i="3" s="1"/>
  <c r="X3760" i="3" a="1"/>
  <c r="X3760" i="3" s="1"/>
  <c r="X3759" i="3" a="1"/>
  <c r="X3759" i="3" s="1"/>
  <c r="X3758" i="3" a="1"/>
  <c r="X3758" i="3" s="1"/>
  <c r="X3757" i="3" a="1"/>
  <c r="X3757" i="3" s="1"/>
  <c r="X3756" i="3" a="1"/>
  <c r="X3756" i="3"/>
  <c r="X3755" i="3" a="1"/>
  <c r="X3755" i="3" s="1"/>
  <c r="X3754" i="3" a="1"/>
  <c r="X3754" i="3" s="1"/>
  <c r="X3753" i="3" a="1"/>
  <c r="X3753" i="3" s="1"/>
  <c r="X3752" i="3" a="1"/>
  <c r="X3752" i="3"/>
  <c r="X3751" i="3" a="1"/>
  <c r="X3751" i="3" s="1"/>
  <c r="X3750" i="3" a="1"/>
  <c r="X3750" i="3" s="1"/>
  <c r="X3749" i="3" a="1"/>
  <c r="X3749" i="3" s="1"/>
  <c r="X3748" i="3" a="1"/>
  <c r="X3748" i="3"/>
  <c r="X3747" i="3" a="1"/>
  <c r="X3747" i="3" s="1"/>
  <c r="X3746" i="3" a="1"/>
  <c r="X3746" i="3" s="1"/>
  <c r="X3745" i="3" a="1"/>
  <c r="X3745" i="3" s="1"/>
  <c r="X3744" i="3" a="1"/>
  <c r="X3744" i="3" s="1"/>
  <c r="X3743" i="3" a="1"/>
  <c r="X3743" i="3" s="1"/>
  <c r="X3742" i="3" a="1"/>
  <c r="X3742" i="3" s="1"/>
  <c r="X3741" i="3" a="1"/>
  <c r="X3741" i="3" s="1"/>
  <c r="X3740" i="3" a="1"/>
  <c r="X3740" i="3" s="1"/>
  <c r="X3739" i="3" a="1"/>
  <c r="X3739" i="3" s="1"/>
  <c r="X3738" i="3" a="1"/>
  <c r="X3738" i="3" s="1"/>
  <c r="X3737" i="3" a="1"/>
  <c r="X3737" i="3" s="1"/>
  <c r="X3736" i="3" a="1"/>
  <c r="X3736" i="3" s="1"/>
  <c r="X3735" i="3" a="1"/>
  <c r="X3735" i="3" s="1"/>
  <c r="X3734" i="3" a="1"/>
  <c r="X3734" i="3" s="1"/>
  <c r="X3733" i="3" a="1"/>
  <c r="X3733" i="3" s="1"/>
  <c r="X3732" i="3" a="1"/>
  <c r="X3732" i="3"/>
  <c r="X3731" i="3" a="1"/>
  <c r="X3731" i="3" s="1"/>
  <c r="X3730" i="3" a="1"/>
  <c r="X3730" i="3" s="1"/>
  <c r="X3729" i="3" a="1"/>
  <c r="X3729" i="3" s="1"/>
  <c r="X3728" i="3" a="1"/>
  <c r="X3728" i="3" s="1"/>
  <c r="X3727" i="3" a="1"/>
  <c r="X3727" i="3" s="1"/>
  <c r="X3726" i="3" a="1"/>
  <c r="X3726" i="3" s="1"/>
  <c r="X3725" i="3" a="1"/>
  <c r="X3725" i="3" s="1"/>
  <c r="X3724" i="3" a="1"/>
  <c r="X3724" i="3" s="1"/>
  <c r="X3723" i="3" a="1"/>
  <c r="X3723" i="3" s="1"/>
  <c r="X3722" i="3" a="1"/>
  <c r="X3722" i="3" s="1"/>
  <c r="X3721" i="3" a="1"/>
  <c r="X3721" i="3" s="1"/>
  <c r="X3720" i="3" a="1"/>
  <c r="X3720" i="3"/>
  <c r="X3719" i="3" a="1"/>
  <c r="X3719" i="3" s="1"/>
  <c r="X3718" i="3" a="1"/>
  <c r="X3718" i="3" s="1"/>
  <c r="X3717" i="3" a="1"/>
  <c r="X3717" i="3" s="1"/>
  <c r="X3716" i="3" a="1"/>
  <c r="X3716" i="3"/>
  <c r="X3715" i="3" a="1"/>
  <c r="X3715" i="3" s="1"/>
  <c r="X3714" i="3" a="1"/>
  <c r="X3714" i="3" s="1"/>
  <c r="X3713" i="3" a="1"/>
  <c r="X3713" i="3" s="1"/>
  <c r="X3712" i="3" a="1"/>
  <c r="X3712" i="3" s="1"/>
  <c r="X3711" i="3" a="1"/>
  <c r="X3711" i="3" s="1"/>
  <c r="X3710" i="3" a="1"/>
  <c r="X3710" i="3" s="1"/>
  <c r="X3709" i="3" a="1"/>
  <c r="X3709" i="3" s="1"/>
  <c r="X3708" i="3" a="1"/>
  <c r="X3708" i="3"/>
  <c r="X3707" i="3" a="1"/>
  <c r="X3707" i="3" s="1"/>
  <c r="X3706" i="3" a="1"/>
  <c r="X3706" i="3" s="1"/>
  <c r="X3705" i="3" a="1"/>
  <c r="X3705" i="3" s="1"/>
  <c r="X3704" i="3" a="1"/>
  <c r="X3704" i="3" s="1"/>
  <c r="X3703" i="3" a="1"/>
  <c r="X3703" i="3" s="1"/>
  <c r="X3702" i="3" a="1"/>
  <c r="X3702" i="3" s="1"/>
  <c r="X3701" i="3" a="1"/>
  <c r="X3701" i="3" s="1"/>
  <c r="X3700" i="3" a="1"/>
  <c r="X3700" i="3" s="1"/>
  <c r="X3699" i="3" a="1"/>
  <c r="X3699" i="3" s="1"/>
  <c r="X3698" i="3" a="1"/>
  <c r="X3698" i="3" s="1"/>
  <c r="X3697" i="3" a="1"/>
  <c r="X3697" i="3" s="1"/>
  <c r="X3696" i="3" a="1"/>
  <c r="X3696" i="3"/>
  <c r="X3695" i="3" a="1"/>
  <c r="X3695" i="3" s="1"/>
  <c r="X3694" i="3" a="1"/>
  <c r="X3694" i="3" s="1"/>
  <c r="X3693" i="3" a="1"/>
  <c r="X3693" i="3" s="1"/>
  <c r="X3692" i="3" a="1"/>
  <c r="X3692" i="3" s="1"/>
  <c r="X3691" i="3" a="1"/>
  <c r="X3691" i="3" s="1"/>
  <c r="X3690" i="3" a="1"/>
  <c r="X3690" i="3" s="1"/>
  <c r="X3689" i="3" a="1"/>
  <c r="X3689" i="3" s="1"/>
  <c r="X3688" i="3" a="1"/>
  <c r="X3688" i="3" s="1"/>
  <c r="X3687" i="3" a="1"/>
  <c r="X3687" i="3" s="1"/>
  <c r="X3686" i="3" a="1"/>
  <c r="X3686" i="3" s="1"/>
  <c r="X3685" i="3" a="1"/>
  <c r="X3685" i="3" s="1"/>
  <c r="X3684" i="3" a="1"/>
  <c r="X3684" i="3" s="1"/>
  <c r="X3683" i="3" a="1"/>
  <c r="X3683" i="3" s="1"/>
  <c r="X3682" i="3" a="1"/>
  <c r="X3682" i="3" s="1"/>
  <c r="X3681" i="3" a="1"/>
  <c r="X3681" i="3" s="1"/>
  <c r="X3680" i="3" a="1"/>
  <c r="X3680" i="3"/>
  <c r="X3679" i="3" a="1"/>
  <c r="X3679" i="3" s="1"/>
  <c r="X3678" i="3" a="1"/>
  <c r="X3678" i="3" s="1"/>
  <c r="X3677" i="3" a="1"/>
  <c r="X3677" i="3" s="1"/>
  <c r="X3676" i="3" a="1"/>
  <c r="X3676" i="3"/>
  <c r="X3675" i="3" a="1"/>
  <c r="X3675" i="3" s="1"/>
  <c r="X3674" i="3" a="1"/>
  <c r="X3674" i="3" s="1"/>
  <c r="X3673" i="3" a="1"/>
  <c r="X3673" i="3" s="1"/>
  <c r="X3672" i="3" a="1"/>
  <c r="X3672" i="3"/>
  <c r="X3671" i="3" a="1"/>
  <c r="X3671" i="3" s="1"/>
  <c r="X3670" i="3" a="1"/>
  <c r="X3670" i="3" s="1"/>
  <c r="X3669" i="3" a="1"/>
  <c r="X3669" i="3" s="1"/>
  <c r="X3668" i="3" a="1"/>
  <c r="X3668" i="3" s="1"/>
  <c r="X3667" i="3" a="1"/>
  <c r="X3667" i="3" s="1"/>
  <c r="X3666" i="3" a="1"/>
  <c r="X3666" i="3" s="1"/>
  <c r="X3665" i="3" a="1"/>
  <c r="X3665" i="3" s="1"/>
  <c r="X3664" i="3" a="1"/>
  <c r="X3664" i="3" s="1"/>
  <c r="X3663" i="3" a="1"/>
  <c r="X3663" i="3" s="1"/>
  <c r="X3662" i="3" a="1"/>
  <c r="X3662" i="3" s="1"/>
  <c r="X3661" i="3" a="1"/>
  <c r="X3661" i="3" s="1"/>
  <c r="X3660" i="3" a="1"/>
  <c r="X3660" i="3" s="1"/>
  <c r="X3659" i="3" a="1"/>
  <c r="X3659" i="3" s="1"/>
  <c r="X3658" i="3" a="1"/>
  <c r="X3658" i="3" s="1"/>
  <c r="X3657" i="3" a="1"/>
  <c r="X3657" i="3" s="1"/>
  <c r="X3656" i="3" a="1"/>
  <c r="X3656" i="3"/>
  <c r="X3655" i="3" a="1"/>
  <c r="X3655" i="3" s="1"/>
  <c r="X3654" i="3" a="1"/>
  <c r="X3654" i="3" s="1"/>
  <c r="X3653" i="3" a="1"/>
  <c r="X3653" i="3" s="1"/>
  <c r="X3652" i="3" a="1"/>
  <c r="X3652" i="3" s="1"/>
  <c r="X3651" i="3" a="1"/>
  <c r="X3651" i="3" s="1"/>
  <c r="X3650" i="3" a="1"/>
  <c r="X3650" i="3" s="1"/>
  <c r="X3649" i="3" a="1"/>
  <c r="X3649" i="3" s="1"/>
  <c r="X3648" i="3" a="1"/>
  <c r="X3648" i="3"/>
  <c r="X3647" i="3" a="1"/>
  <c r="X3647" i="3" s="1"/>
  <c r="X3646" i="3" a="1"/>
  <c r="X3646" i="3" s="1"/>
  <c r="X3645" i="3" a="1"/>
  <c r="X3645" i="3" s="1"/>
  <c r="X3644" i="3" a="1"/>
  <c r="X3644" i="3" s="1"/>
  <c r="X3643" i="3" a="1"/>
  <c r="X3643" i="3" s="1"/>
  <c r="X3642" i="3" a="1"/>
  <c r="X3642" i="3" s="1"/>
  <c r="X3641" i="3" a="1"/>
  <c r="X3641" i="3" s="1"/>
  <c r="X3640" i="3" a="1"/>
  <c r="X3640" i="3" s="1"/>
  <c r="X3639" i="3" a="1"/>
  <c r="X3639" i="3" s="1"/>
  <c r="X3638" i="3" a="1"/>
  <c r="X3638" i="3" s="1"/>
  <c r="X3637" i="3" a="1"/>
  <c r="X3637" i="3" s="1"/>
  <c r="X3636" i="3" a="1"/>
  <c r="X3636" i="3"/>
  <c r="X3635" i="3" a="1"/>
  <c r="X3635" i="3" s="1"/>
  <c r="X3634" i="3" a="1"/>
  <c r="X3634" i="3" s="1"/>
  <c r="X3633" i="3" a="1"/>
  <c r="X3633" i="3" s="1"/>
  <c r="X3632" i="3" a="1"/>
  <c r="X3632" i="3"/>
  <c r="X3631" i="3" a="1"/>
  <c r="X3631" i="3" s="1"/>
  <c r="X3630" i="3" a="1"/>
  <c r="X3630" i="3" s="1"/>
  <c r="X3629" i="3" a="1"/>
  <c r="X3629" i="3" s="1"/>
  <c r="X3628" i="3" a="1"/>
  <c r="X3628" i="3" s="1"/>
  <c r="X3627" i="3" a="1"/>
  <c r="X3627" i="3" s="1"/>
  <c r="X3626" i="3" a="1"/>
  <c r="X3626" i="3" s="1"/>
  <c r="X3625" i="3" a="1"/>
  <c r="X3625" i="3" s="1"/>
  <c r="X3624" i="3" a="1"/>
  <c r="X3624" i="3" s="1"/>
  <c r="X3623" i="3" a="1"/>
  <c r="X3623" i="3" s="1"/>
  <c r="X3622" i="3" a="1"/>
  <c r="X3622" i="3" s="1"/>
  <c r="X3621" i="3" a="1"/>
  <c r="X3621" i="3" s="1"/>
  <c r="X3620" i="3" a="1"/>
  <c r="X3620" i="3" s="1"/>
  <c r="X3619" i="3" a="1"/>
  <c r="X3619" i="3" s="1"/>
  <c r="X3618" i="3" a="1"/>
  <c r="X3618" i="3" s="1"/>
  <c r="X3617" i="3" a="1"/>
  <c r="X3617" i="3" s="1"/>
  <c r="X3616" i="3" a="1"/>
  <c r="X3616" i="3" s="1"/>
  <c r="X3615" i="3" a="1"/>
  <c r="X3615" i="3"/>
  <c r="X3614" i="3" a="1"/>
  <c r="X3614" i="3" s="1"/>
  <c r="X3613" i="3" a="1"/>
  <c r="X3613" i="3" s="1"/>
  <c r="X3612" i="3" a="1"/>
  <c r="X3612" i="3"/>
  <c r="X3611" i="3" a="1"/>
  <c r="X3611" i="3" s="1"/>
  <c r="X3610" i="3" a="1"/>
  <c r="X3610" i="3" s="1"/>
  <c r="X3609" i="3" a="1"/>
  <c r="X3609" i="3" s="1"/>
  <c r="X3608" i="3" a="1"/>
  <c r="X3608" i="3" s="1"/>
  <c r="X3607" i="3" a="1"/>
  <c r="X3607" i="3" s="1"/>
  <c r="X3606" i="3" a="1"/>
  <c r="X3606" i="3" s="1"/>
  <c r="X3605" i="3" a="1"/>
  <c r="X3605" i="3" s="1"/>
  <c r="X3604" i="3" a="1"/>
  <c r="X3604" i="3" s="1"/>
  <c r="X3603" i="3" a="1"/>
  <c r="X3603" i="3" s="1"/>
  <c r="X3602" i="3" a="1"/>
  <c r="X3602" i="3" s="1"/>
  <c r="X3601" i="3" a="1"/>
  <c r="X3601" i="3" s="1"/>
  <c r="X3600" i="3" a="1"/>
  <c r="X3600" i="3"/>
  <c r="X3599" i="3" a="1"/>
  <c r="X3599" i="3" s="1"/>
  <c r="X3598" i="3" a="1"/>
  <c r="X3598" i="3" s="1"/>
  <c r="X3597" i="3" a="1"/>
  <c r="X3597" i="3" s="1"/>
  <c r="X3596" i="3" a="1"/>
  <c r="X3596" i="3"/>
  <c r="X3595" i="3" a="1"/>
  <c r="X3595" i="3" s="1"/>
  <c r="X3594" i="3" a="1"/>
  <c r="X3594" i="3" s="1"/>
  <c r="X3593" i="3" a="1"/>
  <c r="X3593" i="3"/>
  <c r="X3592" i="3" a="1"/>
  <c r="X3592" i="3" s="1"/>
  <c r="X3591" i="3" a="1"/>
  <c r="X3591" i="3" s="1"/>
  <c r="X3590" i="3" a="1"/>
  <c r="X3590" i="3" s="1"/>
  <c r="X3589" i="3" a="1"/>
  <c r="X3589" i="3" s="1"/>
  <c r="X3588" i="3" a="1"/>
  <c r="X3588" i="3"/>
  <c r="X3587" i="3" a="1"/>
  <c r="X3587" i="3" s="1"/>
  <c r="X3586" i="3" a="1"/>
  <c r="X3586" i="3" s="1"/>
  <c r="X3585" i="3" a="1"/>
  <c r="X3585" i="3"/>
  <c r="X3584" i="3" a="1"/>
  <c r="X3584" i="3" s="1"/>
  <c r="X3583" i="3" a="1"/>
  <c r="X3583" i="3" s="1"/>
  <c r="X3582" i="3" a="1"/>
  <c r="X3582" i="3" s="1"/>
  <c r="X3581" i="3" a="1"/>
  <c r="X3581" i="3" s="1"/>
  <c r="X3580" i="3" a="1"/>
  <c r="X3580" i="3"/>
  <c r="X3579" i="3" a="1"/>
  <c r="X3579" i="3" s="1"/>
  <c r="X3578" i="3" a="1"/>
  <c r="X3578" i="3" s="1"/>
  <c r="X3577" i="3" a="1"/>
  <c r="X3577" i="3"/>
  <c r="X3576" i="3" a="1"/>
  <c r="X3576" i="3" s="1"/>
  <c r="X3575" i="3" a="1"/>
  <c r="X3575" i="3"/>
  <c r="X3574" i="3" a="1"/>
  <c r="X3574" i="3" s="1"/>
  <c r="X3573" i="3" a="1"/>
  <c r="X3573" i="3" s="1"/>
  <c r="X3572" i="3" a="1"/>
  <c r="X3572" i="3" s="1"/>
  <c r="X3571" i="3" a="1"/>
  <c r="X3571" i="3" s="1"/>
  <c r="X3570" i="3" a="1"/>
  <c r="X3570" i="3" s="1"/>
  <c r="X3569" i="3" a="1"/>
  <c r="X3569" i="3" s="1"/>
  <c r="X3568" i="3" a="1"/>
  <c r="X3568" i="3" s="1"/>
  <c r="X3567" i="3" a="1"/>
  <c r="X3567" i="3"/>
  <c r="X3566" i="3" a="1"/>
  <c r="X3566" i="3" s="1"/>
  <c r="X3565" i="3" a="1"/>
  <c r="X3565" i="3" s="1"/>
  <c r="X3564" i="3" a="1"/>
  <c r="X3564" i="3"/>
  <c r="X3563" i="3" a="1"/>
  <c r="X3563" i="3" s="1"/>
  <c r="X3562" i="3" a="1"/>
  <c r="X3562" i="3" s="1"/>
  <c r="X3561" i="3" a="1"/>
  <c r="X3561" i="3"/>
  <c r="X3560" i="3" a="1"/>
  <c r="X3560" i="3" s="1"/>
  <c r="X3559" i="3" a="1"/>
  <c r="X3559" i="3" s="1"/>
  <c r="X3558" i="3" a="1"/>
  <c r="X3558" i="3" s="1"/>
  <c r="X3557" i="3" a="1"/>
  <c r="X3557" i="3" s="1"/>
  <c r="X3556" i="3" a="1"/>
  <c r="X3556" i="3" s="1"/>
  <c r="X3555" i="3" a="1"/>
  <c r="X3555" i="3" s="1"/>
  <c r="X3554" i="3" a="1"/>
  <c r="X3554" i="3" s="1"/>
  <c r="X3553" i="3" a="1"/>
  <c r="X3553" i="3" s="1"/>
  <c r="X3552" i="3" a="1"/>
  <c r="X3552" i="3" s="1"/>
  <c r="X3551" i="3" a="1"/>
  <c r="X3551" i="3" s="1"/>
  <c r="X3550" i="3" a="1"/>
  <c r="X3550" i="3" s="1"/>
  <c r="X3549" i="3" a="1"/>
  <c r="X3549" i="3" s="1"/>
  <c r="X3548" i="3" a="1"/>
  <c r="X3548" i="3" s="1"/>
  <c r="X3547" i="3" a="1"/>
  <c r="X3547" i="3" s="1"/>
  <c r="X3546" i="3" a="1"/>
  <c r="X3546" i="3" s="1"/>
  <c r="X3545" i="3" a="1"/>
  <c r="X3545" i="3"/>
  <c r="X3544" i="3" a="1"/>
  <c r="X3544" i="3" s="1"/>
  <c r="X3543" i="3" a="1"/>
  <c r="X3543" i="3" s="1"/>
  <c r="X3542" i="3" a="1"/>
  <c r="X3542" i="3" s="1"/>
  <c r="X3541" i="3" a="1"/>
  <c r="X3541" i="3" s="1"/>
  <c r="X3540" i="3" a="1"/>
  <c r="X3540" i="3"/>
  <c r="X3539" i="3" a="1"/>
  <c r="X3539" i="3" s="1"/>
  <c r="X3538" i="3" a="1"/>
  <c r="X3538" i="3" s="1"/>
  <c r="X3537" i="3" a="1"/>
  <c r="X3537" i="3"/>
  <c r="X3536" i="3" a="1"/>
  <c r="X3536" i="3" s="1"/>
  <c r="X3535" i="3" a="1"/>
  <c r="X3535" i="3" s="1"/>
  <c r="X3534" i="3" a="1"/>
  <c r="X3534" i="3" s="1"/>
  <c r="X3533" i="3" a="1"/>
  <c r="X3533" i="3" s="1"/>
  <c r="X3532" i="3" a="1"/>
  <c r="X3532" i="3"/>
  <c r="X3531" i="3" a="1"/>
  <c r="X3531" i="3" s="1"/>
  <c r="X3530" i="3" a="1"/>
  <c r="X3530" i="3" s="1"/>
  <c r="X3529" i="3" a="1"/>
  <c r="X3529" i="3"/>
  <c r="X3528" i="3" a="1"/>
  <c r="X3528" i="3" s="1"/>
  <c r="X3527" i="3" a="1"/>
  <c r="X3527" i="3"/>
  <c r="X3526" i="3" a="1"/>
  <c r="X3526" i="3" s="1"/>
  <c r="X3525" i="3" a="1"/>
  <c r="X3525" i="3" s="1"/>
  <c r="X3524" i="3" a="1"/>
  <c r="X3524" i="3" s="1"/>
  <c r="X3523" i="3" a="1"/>
  <c r="X3523" i="3" s="1"/>
  <c r="X3522" i="3" a="1"/>
  <c r="X3522" i="3" s="1"/>
  <c r="X3521" i="3" a="1"/>
  <c r="X3521" i="3" s="1"/>
  <c r="X3520" i="3" a="1"/>
  <c r="X3520" i="3" s="1"/>
  <c r="X3519" i="3" a="1"/>
  <c r="X3519" i="3"/>
  <c r="X3518" i="3" a="1"/>
  <c r="X3518" i="3" s="1"/>
  <c r="X3517" i="3" a="1"/>
  <c r="X3517" i="3"/>
  <c r="X3516" i="3" a="1"/>
  <c r="X3516" i="3" s="1"/>
  <c r="X3515" i="3" a="1"/>
  <c r="X3515" i="3" s="1"/>
  <c r="X3514" i="3" a="1"/>
  <c r="X3514" i="3" s="1"/>
  <c r="X3513" i="3" a="1"/>
  <c r="X3513" i="3"/>
  <c r="X3512" i="3" a="1"/>
  <c r="X3512" i="3" s="1"/>
  <c r="X3511" i="3" a="1"/>
  <c r="X3511" i="3"/>
  <c r="X3510" i="3" a="1"/>
  <c r="X3510" i="3" s="1"/>
  <c r="X3509" i="3" a="1"/>
  <c r="X3509" i="3"/>
  <c r="X3508" i="3" a="1"/>
  <c r="X3508" i="3" s="1"/>
  <c r="X3507" i="3" a="1"/>
  <c r="X3507" i="3" s="1"/>
  <c r="X3506" i="3" a="1"/>
  <c r="X3506" i="3" s="1"/>
  <c r="X3505" i="3" a="1"/>
  <c r="X3505" i="3" s="1"/>
  <c r="X3504" i="3" a="1"/>
  <c r="X3504" i="3" s="1"/>
  <c r="X3503" i="3" a="1"/>
  <c r="X3503" i="3"/>
  <c r="X3502" i="3" a="1"/>
  <c r="X3502" i="3" s="1"/>
  <c r="X3501" i="3" a="1"/>
  <c r="X3501" i="3" s="1"/>
  <c r="X3500" i="3" a="1"/>
  <c r="X3500" i="3" s="1"/>
  <c r="X3499" i="3" a="1"/>
  <c r="X3499" i="3" s="1"/>
  <c r="X3498" i="3" a="1"/>
  <c r="X3498" i="3" s="1"/>
  <c r="X3497" i="3" a="1"/>
  <c r="X3497" i="3" s="1"/>
  <c r="X3496" i="3" a="1"/>
  <c r="X3496" i="3" s="1"/>
  <c r="X3495" i="3" a="1"/>
  <c r="X3495" i="3"/>
  <c r="X3494" i="3" a="1"/>
  <c r="X3494" i="3" s="1"/>
  <c r="X3493" i="3" a="1"/>
  <c r="X3493" i="3" s="1"/>
  <c r="X3492" i="3" a="1"/>
  <c r="X3492" i="3" s="1"/>
  <c r="X3491" i="3" a="1"/>
  <c r="X3491" i="3" s="1"/>
  <c r="X3490" i="3" a="1"/>
  <c r="X3490" i="3" s="1"/>
  <c r="X3489" i="3" a="1"/>
  <c r="X3489" i="3"/>
  <c r="X3488" i="3" a="1"/>
  <c r="X3488" i="3" s="1"/>
  <c r="X3487" i="3" a="1"/>
  <c r="X3487" i="3"/>
  <c r="X3486" i="3" a="1"/>
  <c r="X3486" i="3" s="1"/>
  <c r="X3485" i="3" a="1"/>
  <c r="X3485" i="3"/>
  <c r="X3484" i="3" a="1"/>
  <c r="X3484" i="3" s="1"/>
  <c r="X3483" i="3" a="1"/>
  <c r="X3483" i="3"/>
  <c r="X3482" i="3" a="1"/>
  <c r="X3482" i="3" s="1"/>
  <c r="X3481" i="3" a="1"/>
  <c r="X3481" i="3" s="1"/>
  <c r="X3480" i="3" a="1"/>
  <c r="X3480" i="3" s="1"/>
  <c r="X3479" i="3" a="1"/>
  <c r="X3479" i="3"/>
  <c r="X3478" i="3" a="1"/>
  <c r="X3478" i="3" s="1"/>
  <c r="X3477" i="3" a="1"/>
  <c r="X3477" i="3"/>
  <c r="X3476" i="3" a="1"/>
  <c r="X3476" i="3" s="1"/>
  <c r="X3475" i="3" a="1"/>
  <c r="X3475" i="3" s="1"/>
  <c r="X3474" i="3" a="1"/>
  <c r="X3474" i="3" s="1"/>
  <c r="X3473" i="3" a="1"/>
  <c r="X3473" i="3" s="1"/>
  <c r="X3472" i="3" a="1"/>
  <c r="X3472" i="3" s="1"/>
  <c r="X3471" i="3" a="1"/>
  <c r="X3471" i="3"/>
  <c r="X3470" i="3" a="1"/>
  <c r="X3470" i="3" s="1"/>
  <c r="X3469" i="3" a="1"/>
  <c r="X3469" i="3" s="1"/>
  <c r="X3468" i="3" a="1"/>
  <c r="X3468" i="3" s="1"/>
  <c r="X3467" i="3" a="1"/>
  <c r="X3467" i="3" s="1"/>
  <c r="X3466" i="3" a="1"/>
  <c r="X3466" i="3" s="1"/>
  <c r="X3465" i="3" a="1"/>
  <c r="X3465" i="3" s="1"/>
  <c r="X3464" i="3" a="1"/>
  <c r="X3464" i="3" s="1"/>
  <c r="X3463" i="3" a="1"/>
  <c r="X3463" i="3"/>
  <c r="X3462" i="3" a="1"/>
  <c r="X3462" i="3" s="1"/>
  <c r="X3461" i="3" a="1"/>
  <c r="X3461" i="3" s="1"/>
  <c r="X3460" i="3" a="1"/>
  <c r="X3460" i="3" s="1"/>
  <c r="X3459" i="3" a="1"/>
  <c r="X3459" i="3" s="1"/>
  <c r="X3458" i="3" a="1"/>
  <c r="X3458" i="3" s="1"/>
  <c r="X3457" i="3" a="1"/>
  <c r="X3457" i="3" s="1"/>
  <c r="X3456" i="3" a="1"/>
  <c r="X3456" i="3" s="1"/>
  <c r="X3455" i="3" a="1"/>
  <c r="X3455" i="3"/>
  <c r="X3454" i="3" a="1"/>
  <c r="X3454" i="3" s="1"/>
  <c r="X3453" i="3" a="1"/>
  <c r="X3453" i="3" s="1"/>
  <c r="X3452" i="3" a="1"/>
  <c r="X3452" i="3" s="1"/>
  <c r="X3451" i="3" a="1"/>
  <c r="X3451" i="3"/>
  <c r="X3450" i="3" a="1"/>
  <c r="X3450" i="3" s="1"/>
  <c r="X3449" i="3" a="1"/>
  <c r="X3449" i="3" s="1"/>
  <c r="X3448" i="3" a="1"/>
  <c r="X3448" i="3" s="1"/>
  <c r="X3447" i="3" a="1"/>
  <c r="X3447" i="3" s="1"/>
  <c r="X3446" i="3" a="1"/>
  <c r="X3446" i="3" s="1"/>
  <c r="X3445" i="3" a="1"/>
  <c r="X3445" i="3"/>
  <c r="X3444" i="3" a="1"/>
  <c r="X3444" i="3" s="1"/>
  <c r="X3443" i="3" a="1"/>
  <c r="X3443" i="3"/>
  <c r="X3442" i="3" a="1"/>
  <c r="X3442" i="3" s="1"/>
  <c r="X3441" i="3" a="1"/>
  <c r="X3441" i="3" s="1"/>
  <c r="X3440" i="3" a="1"/>
  <c r="X3440" i="3" s="1"/>
  <c r="X3439" i="3" a="1"/>
  <c r="X3439" i="3"/>
  <c r="X3438" i="3" a="1"/>
  <c r="X3438" i="3" s="1"/>
  <c r="X3437" i="3" a="1"/>
  <c r="X3437" i="3" s="1"/>
  <c r="X3436" i="3" a="1"/>
  <c r="X3436" i="3" s="1"/>
  <c r="X3435" i="3" a="1"/>
  <c r="X3435" i="3" s="1"/>
  <c r="X3434" i="3" a="1"/>
  <c r="X3434" i="3" s="1"/>
  <c r="X3433" i="3" a="1"/>
  <c r="X3433" i="3" s="1"/>
  <c r="X3432" i="3" a="1"/>
  <c r="X3432" i="3" s="1"/>
  <c r="X3431" i="3" a="1"/>
  <c r="X3431" i="3" s="1"/>
  <c r="X3430" i="3" a="1"/>
  <c r="X3430" i="3" s="1"/>
  <c r="X3429" i="3" a="1"/>
  <c r="X3429" i="3" s="1"/>
  <c r="X3428" i="3" a="1"/>
  <c r="X3428" i="3" s="1"/>
  <c r="X3427" i="3" a="1"/>
  <c r="X3427" i="3"/>
  <c r="X3426" i="3" a="1"/>
  <c r="X3426" i="3" s="1"/>
  <c r="X3425" i="3" a="1"/>
  <c r="X3425" i="3" s="1"/>
  <c r="X3424" i="3" a="1"/>
  <c r="X3424" i="3" s="1"/>
  <c r="X3423" i="3" a="1"/>
  <c r="X3423" i="3"/>
  <c r="X3422" i="3" a="1"/>
  <c r="X3422" i="3" s="1"/>
  <c r="X3421" i="3" a="1"/>
  <c r="X3421" i="3" s="1"/>
  <c r="X3420" i="3" a="1"/>
  <c r="X3420" i="3" s="1"/>
  <c r="X3419" i="3" a="1"/>
  <c r="X3419" i="3" s="1"/>
  <c r="X3418" i="3" a="1"/>
  <c r="X3418" i="3" s="1"/>
  <c r="X3417" i="3" a="1"/>
  <c r="X3417" i="3" s="1"/>
  <c r="X3416" i="3" a="1"/>
  <c r="X3416" i="3" s="1"/>
  <c r="X3415" i="3" a="1"/>
  <c r="X3415" i="3"/>
  <c r="X3414" i="3" a="1"/>
  <c r="X3414" i="3" s="1"/>
  <c r="X3413" i="3" a="1"/>
  <c r="X3413" i="3"/>
  <c r="X3412" i="3" a="1"/>
  <c r="X3412" i="3" s="1"/>
  <c r="X3411" i="3" a="1"/>
  <c r="X3411" i="3" s="1"/>
  <c r="X3410" i="3" a="1"/>
  <c r="X3410" i="3" s="1"/>
  <c r="X3409" i="3" a="1"/>
  <c r="X3409" i="3" s="1"/>
  <c r="X3408" i="3" a="1"/>
  <c r="X3408" i="3" s="1"/>
  <c r="X3407" i="3" a="1"/>
  <c r="X3407" i="3"/>
  <c r="X3406" i="3" a="1"/>
  <c r="X3406" i="3" s="1"/>
  <c r="X3405" i="3" a="1"/>
  <c r="X3405" i="3" s="1"/>
  <c r="X3404" i="3" a="1"/>
  <c r="X3404" i="3" s="1"/>
  <c r="X3403" i="3" a="1"/>
  <c r="X3403" i="3" s="1"/>
  <c r="X3402" i="3" a="1"/>
  <c r="X3402" i="3" s="1"/>
  <c r="X3401" i="3" a="1"/>
  <c r="X3401" i="3" s="1"/>
  <c r="X3400" i="3" a="1"/>
  <c r="X3400" i="3" s="1"/>
  <c r="X3399" i="3" a="1"/>
  <c r="X3399" i="3" s="1"/>
  <c r="X3398" i="3" a="1"/>
  <c r="X3398" i="3" s="1"/>
  <c r="X3397" i="3" a="1"/>
  <c r="X3397" i="3" s="1"/>
  <c r="X3396" i="3" a="1"/>
  <c r="X3396" i="3" s="1"/>
  <c r="X3395" i="3" a="1"/>
  <c r="X3395" i="3"/>
  <c r="X3394" i="3" a="1"/>
  <c r="X3394" i="3" s="1"/>
  <c r="X3393" i="3" a="1"/>
  <c r="X3393" i="3" s="1"/>
  <c r="X3392" i="3" a="1"/>
  <c r="X3392" i="3" s="1"/>
  <c r="X3391" i="3" a="1"/>
  <c r="X3391" i="3" s="1"/>
  <c r="X3390" i="3" a="1"/>
  <c r="X3390" i="3" s="1"/>
  <c r="X3389" i="3" a="1"/>
  <c r="X3389" i="3" s="1"/>
  <c r="X3388" i="3" a="1"/>
  <c r="X3388" i="3" s="1"/>
  <c r="X3387" i="3" a="1"/>
  <c r="X3387" i="3" s="1"/>
  <c r="X3386" i="3" a="1"/>
  <c r="X3386" i="3" s="1"/>
  <c r="X3385" i="3" a="1"/>
  <c r="X3385" i="3" s="1"/>
  <c r="X3384" i="3" a="1"/>
  <c r="X3384" i="3" s="1"/>
  <c r="X3383" i="3" a="1"/>
  <c r="X3383" i="3"/>
  <c r="X3382" i="3" a="1"/>
  <c r="X3382" i="3" s="1"/>
  <c r="X3381" i="3" a="1"/>
  <c r="X3381" i="3" s="1"/>
  <c r="X3380" i="3" a="1"/>
  <c r="X3380" i="3" s="1"/>
  <c r="X3379" i="3" a="1"/>
  <c r="X3379" i="3" s="1"/>
  <c r="X3378" i="3" a="1"/>
  <c r="X3378" i="3" s="1"/>
  <c r="X3377" i="3" a="1"/>
  <c r="X3377" i="3" s="1"/>
  <c r="X3376" i="3" a="1"/>
  <c r="X3376" i="3" s="1"/>
  <c r="X3375" i="3" a="1"/>
  <c r="X3375" i="3"/>
  <c r="X3374" i="3" a="1"/>
  <c r="X3374" i="3" s="1"/>
  <c r="X3373" i="3" a="1"/>
  <c r="X3373" i="3" s="1"/>
  <c r="X3372" i="3" a="1"/>
  <c r="X3372" i="3" s="1"/>
  <c r="X3371" i="3" a="1"/>
  <c r="X3371" i="3" s="1"/>
  <c r="X3370" i="3" a="1"/>
  <c r="X3370" i="3" s="1"/>
  <c r="X3369" i="3" a="1"/>
  <c r="X3369" i="3" s="1"/>
  <c r="X3368" i="3" a="1"/>
  <c r="X3368" i="3" s="1"/>
  <c r="X3367" i="3" a="1"/>
  <c r="X3367" i="3"/>
  <c r="X3366" i="3" a="1"/>
  <c r="X3366" i="3" s="1"/>
  <c r="X3365" i="3" a="1"/>
  <c r="X3365" i="3"/>
  <c r="X3364" i="3" a="1"/>
  <c r="X3364" i="3" s="1"/>
  <c r="X3363" i="3" a="1"/>
  <c r="X3363" i="3" s="1"/>
  <c r="X3362" i="3" a="1"/>
  <c r="X3362" i="3" s="1"/>
  <c r="X3361" i="3" a="1"/>
  <c r="X3361" i="3" s="1"/>
  <c r="X3360" i="3" a="1"/>
  <c r="X3360" i="3" s="1"/>
  <c r="X3359" i="3" a="1"/>
  <c r="X3359" i="3" s="1"/>
  <c r="X3358" i="3" a="1"/>
  <c r="X3358" i="3" s="1"/>
  <c r="X3357" i="3" a="1"/>
  <c r="X3357" i="3" s="1"/>
  <c r="X3356" i="3" a="1"/>
  <c r="X3356" i="3" s="1"/>
  <c r="X3355" i="3" a="1"/>
  <c r="X3355" i="3"/>
  <c r="X3354" i="3" a="1"/>
  <c r="X3354" i="3" s="1"/>
  <c r="X3353" i="3" a="1"/>
  <c r="X3353" i="3" s="1"/>
  <c r="X3352" i="3" a="1"/>
  <c r="X3352" i="3" s="1"/>
  <c r="X3351" i="3" a="1"/>
  <c r="X3351" i="3"/>
  <c r="X3350" i="3" a="1"/>
  <c r="X3350" i="3" s="1"/>
  <c r="X3349" i="3" a="1"/>
  <c r="X3349" i="3" s="1"/>
  <c r="X3348" i="3" a="1"/>
  <c r="X3348" i="3" s="1"/>
  <c r="X3347" i="3" a="1"/>
  <c r="X3347" i="3"/>
  <c r="X3346" i="3" a="1"/>
  <c r="X3346" i="3" s="1"/>
  <c r="X3345" i="3" a="1"/>
  <c r="X3345" i="3" s="1"/>
  <c r="X3344" i="3" a="1"/>
  <c r="X3344" i="3" s="1"/>
  <c r="X3343" i="3" a="1"/>
  <c r="X3343" i="3" s="1"/>
  <c r="X3342" i="3" a="1"/>
  <c r="X3342" i="3" s="1"/>
  <c r="X3341" i="3" a="1"/>
  <c r="X3341" i="3" s="1"/>
  <c r="X3340" i="3" a="1"/>
  <c r="X3340" i="3" s="1"/>
  <c r="X3339" i="3" a="1"/>
  <c r="X3339" i="3" s="1"/>
  <c r="X3338" i="3" a="1"/>
  <c r="X3338" i="3" s="1"/>
  <c r="X3337" i="3" a="1"/>
  <c r="X3337" i="3" s="1"/>
  <c r="X3336" i="3" a="1"/>
  <c r="X3336" i="3" s="1"/>
  <c r="X3335" i="3" a="1"/>
  <c r="X3335" i="3"/>
  <c r="X3334" i="3" a="1"/>
  <c r="X3334" i="3" s="1"/>
  <c r="X3333" i="3" a="1"/>
  <c r="X3333" i="3" s="1"/>
  <c r="X3332" i="3" a="1"/>
  <c r="X3332" i="3" s="1"/>
  <c r="X3331" i="3" a="1"/>
  <c r="X3331" i="3"/>
  <c r="X3330" i="3" a="1"/>
  <c r="X3330" i="3" s="1"/>
  <c r="X3329" i="3" a="1"/>
  <c r="X3329" i="3" s="1"/>
  <c r="X3328" i="3" a="1"/>
  <c r="X3328" i="3" s="1"/>
  <c r="X3327" i="3" a="1"/>
  <c r="X3327" i="3" s="1"/>
  <c r="X3326" i="3" a="1"/>
  <c r="X3326" i="3" s="1"/>
  <c r="X3325" i="3" a="1"/>
  <c r="X3325" i="3" s="1"/>
  <c r="X3324" i="3" a="1"/>
  <c r="X3324" i="3" s="1"/>
  <c r="X3323" i="3" a="1"/>
  <c r="X3323" i="3" s="1"/>
  <c r="X3322" i="3" a="1"/>
  <c r="X3322" i="3" s="1"/>
  <c r="X3321" i="3" a="1"/>
  <c r="X3321" i="3" s="1"/>
  <c r="X3320" i="3" a="1"/>
  <c r="X3320" i="3" s="1"/>
  <c r="X3319" i="3" a="1"/>
  <c r="X3319" i="3"/>
  <c r="X3318" i="3" a="1"/>
  <c r="X3318" i="3" s="1"/>
  <c r="X3317" i="3" a="1"/>
  <c r="X3317" i="3"/>
  <c r="X3316" i="3" a="1"/>
  <c r="X3316" i="3" s="1"/>
  <c r="X3315" i="3" a="1"/>
  <c r="X3315" i="3" s="1"/>
  <c r="X3314" i="3" a="1"/>
  <c r="X3314" i="3" s="1"/>
  <c r="X3313" i="3" a="1"/>
  <c r="X3313" i="3" s="1"/>
  <c r="X3312" i="3" a="1"/>
  <c r="X3312" i="3" s="1"/>
  <c r="X3311" i="3" a="1"/>
  <c r="X3311" i="3"/>
  <c r="X3310" i="3" a="1"/>
  <c r="X3310" i="3" s="1"/>
  <c r="X3309" i="3" a="1"/>
  <c r="X3309" i="3" s="1"/>
  <c r="X3308" i="3" a="1"/>
  <c r="X3308" i="3" s="1"/>
  <c r="X3307" i="3" a="1"/>
  <c r="X3307" i="3" s="1"/>
  <c r="X3306" i="3" a="1"/>
  <c r="X3306" i="3" s="1"/>
  <c r="X3305" i="3" a="1"/>
  <c r="X3305" i="3" s="1"/>
  <c r="X3304" i="3" a="1"/>
  <c r="X3304" i="3" s="1"/>
  <c r="X3303" i="3" a="1"/>
  <c r="X3303" i="3"/>
  <c r="X3302" i="3" a="1"/>
  <c r="X3302" i="3" s="1"/>
  <c r="X3301" i="3" a="1"/>
  <c r="X3301" i="3" s="1"/>
  <c r="X3300" i="3" a="1"/>
  <c r="X3300" i="3" s="1"/>
  <c r="X3299" i="3" a="1"/>
  <c r="X3299" i="3" s="1"/>
  <c r="X3298" i="3" a="1"/>
  <c r="X3298" i="3" s="1"/>
  <c r="X3297" i="3" a="1"/>
  <c r="X3297" i="3" s="1"/>
  <c r="X3296" i="3" a="1"/>
  <c r="X3296" i="3" s="1"/>
  <c r="X3295" i="3" a="1"/>
  <c r="X3295" i="3" s="1"/>
  <c r="X3294" i="3" a="1"/>
  <c r="X3294" i="3" s="1"/>
  <c r="X3293" i="3" a="1"/>
  <c r="X3293" i="3"/>
  <c r="X3292" i="3" a="1"/>
  <c r="X3292" i="3" s="1"/>
  <c r="X3291" i="3" a="1"/>
  <c r="X3291" i="3" s="1"/>
  <c r="X3290" i="3" a="1"/>
  <c r="X3290" i="3" s="1"/>
  <c r="X3289" i="3" a="1"/>
  <c r="X3289" i="3" s="1"/>
  <c r="X3288" i="3" a="1"/>
  <c r="X3288" i="3" s="1"/>
  <c r="X3287" i="3" a="1"/>
  <c r="X3287" i="3"/>
  <c r="X3286" i="3" a="1"/>
  <c r="X3286" i="3" s="1"/>
  <c r="X3285" i="3" a="1"/>
  <c r="X3285" i="3" s="1"/>
  <c r="X3284" i="3" a="1"/>
  <c r="X3284" i="3" s="1"/>
  <c r="X3283" i="3" a="1"/>
  <c r="X3283" i="3" s="1"/>
  <c r="X3282" i="3" a="1"/>
  <c r="X3282" i="3" s="1"/>
  <c r="X3281" i="3" a="1"/>
  <c r="X3281" i="3" s="1"/>
  <c r="X3280" i="3" a="1"/>
  <c r="X3280" i="3" s="1"/>
  <c r="X3279" i="3" a="1"/>
  <c r="X3279" i="3" s="1"/>
  <c r="X3278" i="3" a="1"/>
  <c r="X3278" i="3" s="1"/>
  <c r="X3277" i="3" a="1"/>
  <c r="X3277" i="3" s="1"/>
  <c r="X3276" i="3" a="1"/>
  <c r="X3276" i="3" s="1"/>
  <c r="X3275" i="3" a="1"/>
  <c r="X3275" i="3"/>
  <c r="X3274" i="3" a="1"/>
  <c r="X3274" i="3" s="1"/>
  <c r="X3273" i="3" a="1"/>
  <c r="X3273" i="3" s="1"/>
  <c r="X3272" i="3" a="1"/>
  <c r="X3272" i="3" s="1"/>
  <c r="X3271" i="3" a="1"/>
  <c r="X3271" i="3"/>
  <c r="X3270" i="3" a="1"/>
  <c r="X3270" i="3" s="1"/>
  <c r="X3269" i="3" a="1"/>
  <c r="X3269" i="3" s="1"/>
  <c r="X3268" i="3" a="1"/>
  <c r="X3268" i="3" s="1"/>
  <c r="X3267" i="3" a="1"/>
  <c r="X3267" i="3" s="1"/>
  <c r="X3266" i="3" a="1"/>
  <c r="X3266" i="3"/>
  <c r="X3265" i="3" a="1"/>
  <c r="X3265" i="3" s="1"/>
  <c r="X3264" i="3" a="1"/>
  <c r="X3264" i="3" s="1"/>
  <c r="X3263" i="3" a="1"/>
  <c r="X3263" i="3" s="1"/>
  <c r="X3262" i="3" a="1"/>
  <c r="X3262" i="3" s="1"/>
  <c r="X3261" i="3" a="1"/>
  <c r="X3261" i="3"/>
  <c r="X3260" i="3" a="1"/>
  <c r="X3260" i="3" s="1"/>
  <c r="X3259" i="3" a="1"/>
  <c r="X3259" i="3" s="1"/>
  <c r="X3258" i="3" a="1"/>
  <c r="X3258" i="3" s="1"/>
  <c r="X3257" i="3" a="1"/>
  <c r="X3257" i="3" s="1"/>
  <c r="X3256" i="3" a="1"/>
  <c r="X3256" i="3" s="1"/>
  <c r="X3255" i="3" a="1"/>
  <c r="X3255" i="3" s="1"/>
  <c r="X3254" i="3" a="1"/>
  <c r="X3254" i="3" s="1"/>
  <c r="X3253" i="3" a="1"/>
  <c r="X3253" i="3" s="1"/>
  <c r="X3252" i="3" a="1"/>
  <c r="X3252" i="3" s="1"/>
  <c r="X3251" i="3" a="1"/>
  <c r="X3251" i="3" s="1"/>
  <c r="X3250" i="3" a="1"/>
  <c r="X3250" i="3" s="1"/>
  <c r="X3249" i="3" a="1"/>
  <c r="X3249" i="3" s="1"/>
  <c r="X3248" i="3" a="1"/>
  <c r="X3248" i="3" s="1"/>
  <c r="X3247" i="3" a="1"/>
  <c r="X3247" i="3"/>
  <c r="X3246" i="3" a="1"/>
  <c r="X3246" i="3" s="1"/>
  <c r="X3245" i="3" a="1"/>
  <c r="X3245" i="3"/>
  <c r="X3244" i="3" a="1"/>
  <c r="X3244" i="3" s="1"/>
  <c r="X3243" i="3" a="1"/>
  <c r="X3243" i="3"/>
  <c r="X3242" i="3" a="1"/>
  <c r="X3242" i="3" s="1"/>
  <c r="X3241" i="3" a="1"/>
  <c r="X3241" i="3" s="1"/>
  <c r="X3240" i="3" a="1"/>
  <c r="X3240" i="3" s="1"/>
  <c r="X3239" i="3" a="1"/>
  <c r="X3239" i="3" s="1"/>
  <c r="X3238" i="3" a="1"/>
  <c r="X3238" i="3" s="1"/>
  <c r="X3237" i="3" a="1"/>
  <c r="X3237" i="3" s="1"/>
  <c r="X3236" i="3" a="1"/>
  <c r="X3236" i="3" s="1"/>
  <c r="X3235" i="3" a="1"/>
  <c r="X3235" i="3" s="1"/>
  <c r="X3234" i="3" a="1"/>
  <c r="X3234" i="3" s="1"/>
  <c r="X3233" i="3" a="1"/>
  <c r="X3233" i="3" s="1"/>
  <c r="X3232" i="3" a="1"/>
  <c r="X3232" i="3" s="1"/>
  <c r="X3231" i="3" a="1"/>
  <c r="X3231" i="3"/>
  <c r="X3230" i="3" a="1"/>
  <c r="X3230" i="3" s="1"/>
  <c r="X3229" i="3" a="1"/>
  <c r="X3229" i="3"/>
  <c r="X3228" i="3" a="1"/>
  <c r="X3228" i="3" s="1"/>
  <c r="X3227" i="3" a="1"/>
  <c r="X3227" i="3" s="1"/>
  <c r="X3226" i="3" a="1"/>
  <c r="X3226" i="3" s="1"/>
  <c r="X3225" i="3" a="1"/>
  <c r="X3225" i="3" s="1"/>
  <c r="X3224" i="3" a="1"/>
  <c r="X3224" i="3" s="1"/>
  <c r="X3223" i="3" a="1"/>
  <c r="X3223" i="3" s="1"/>
  <c r="X3222" i="3" a="1"/>
  <c r="X3222" i="3" s="1"/>
  <c r="X3221" i="3" a="1"/>
  <c r="X3221" i="3" s="1"/>
  <c r="X3220" i="3" a="1"/>
  <c r="X3220" i="3" s="1"/>
  <c r="X3219" i="3" a="1"/>
  <c r="X3219" i="3" s="1"/>
  <c r="X3218" i="3" a="1"/>
  <c r="X3218" i="3" s="1"/>
  <c r="X3217" i="3" a="1"/>
  <c r="X3217" i="3"/>
  <c r="X3216" i="3" a="1"/>
  <c r="X3216" i="3" s="1"/>
  <c r="X3215" i="3" a="1"/>
  <c r="X3215" i="3" s="1"/>
  <c r="X3214" i="3" a="1"/>
  <c r="X3214" i="3" s="1"/>
  <c r="X3213" i="3" a="1"/>
  <c r="X3213" i="3"/>
  <c r="X3212" i="3" a="1"/>
  <c r="X3212" i="3" s="1"/>
  <c r="X3211" i="3" a="1"/>
  <c r="X3211" i="3"/>
  <c r="X3210" i="3" a="1"/>
  <c r="X3210" i="3" s="1"/>
  <c r="X3209" i="3" a="1"/>
  <c r="X3209" i="3" s="1"/>
  <c r="X3208" i="3" a="1"/>
  <c r="X3208" i="3" s="1"/>
  <c r="X3207" i="3" a="1"/>
  <c r="X3207" i="3" s="1"/>
  <c r="X3206" i="3" a="1"/>
  <c r="X3206" i="3" s="1"/>
  <c r="X3205" i="3" a="1"/>
  <c r="X3205" i="3" s="1"/>
  <c r="X3204" i="3" a="1"/>
  <c r="X3204" i="3" s="1"/>
  <c r="X3203" i="3" a="1"/>
  <c r="X3203" i="3" s="1"/>
  <c r="X3202" i="3" a="1"/>
  <c r="X3202" i="3" s="1"/>
  <c r="X3201" i="3" a="1"/>
  <c r="X3201" i="3" s="1"/>
  <c r="X3200" i="3" a="1"/>
  <c r="X3200" i="3" s="1"/>
  <c r="X3199" i="3" a="1"/>
  <c r="X3199" i="3"/>
  <c r="X3198" i="3" a="1"/>
  <c r="X3198" i="3" s="1"/>
  <c r="X3197" i="3" a="1"/>
  <c r="X3197" i="3"/>
  <c r="X3196" i="3" a="1"/>
  <c r="X3196" i="3" s="1"/>
  <c r="X3195" i="3" a="1"/>
  <c r="X3195" i="3"/>
  <c r="X3194" i="3" a="1"/>
  <c r="X3194" i="3" s="1"/>
  <c r="X3193" i="3" a="1"/>
  <c r="X3193" i="3" s="1"/>
  <c r="X3192" i="3" a="1"/>
  <c r="X3192" i="3" s="1"/>
  <c r="X3191" i="3" a="1"/>
  <c r="X3191" i="3" s="1"/>
  <c r="X3190" i="3" a="1"/>
  <c r="X3190" i="3" s="1"/>
  <c r="X3189" i="3" a="1"/>
  <c r="X3189" i="3" s="1"/>
  <c r="X3188" i="3" a="1"/>
  <c r="X3188" i="3" s="1"/>
  <c r="X3187" i="3" a="1"/>
  <c r="X3187" i="3" s="1"/>
  <c r="X3186" i="3" a="1"/>
  <c r="X3186" i="3"/>
  <c r="X3185" i="3" a="1"/>
  <c r="X3185" i="3" s="1"/>
  <c r="X3184" i="3" a="1"/>
  <c r="X3184" i="3" s="1"/>
  <c r="X3183" i="3" a="1"/>
  <c r="X3183" i="3"/>
  <c r="X3182" i="3" a="1"/>
  <c r="X3182" i="3" s="1"/>
  <c r="X3181" i="3" a="1"/>
  <c r="X3181" i="3" s="1"/>
  <c r="X3180" i="3" a="1"/>
  <c r="X3180" i="3" s="1"/>
  <c r="X3179" i="3" a="1"/>
  <c r="X3179" i="3" s="1"/>
  <c r="X3178" i="3" a="1"/>
  <c r="X3178" i="3" s="1"/>
  <c r="X3177" i="3" a="1"/>
  <c r="X3177" i="3" s="1"/>
  <c r="X3176" i="3" a="1"/>
  <c r="X3176" i="3" s="1"/>
  <c r="X3175" i="3" a="1"/>
  <c r="X3175" i="3"/>
  <c r="X3174" i="3" a="1"/>
  <c r="X3174" i="3" s="1"/>
  <c r="X3173" i="3" a="1"/>
  <c r="X3173" i="3" s="1"/>
  <c r="X3172" i="3" a="1"/>
  <c r="X3172" i="3" s="1"/>
  <c r="X3171" i="3" a="1"/>
  <c r="X3171" i="3" s="1"/>
  <c r="X3170" i="3" a="1"/>
  <c r="X3170" i="3"/>
  <c r="X3169" i="3" a="1"/>
  <c r="X3169" i="3"/>
  <c r="X3168" i="3" a="1"/>
  <c r="X3168" i="3" s="1"/>
  <c r="X3167" i="3" a="1"/>
  <c r="X3167" i="3" s="1"/>
  <c r="X3166" i="3" a="1"/>
  <c r="X3166" i="3" s="1"/>
  <c r="X3165" i="3" a="1"/>
  <c r="X3165" i="3"/>
  <c r="X3164" i="3" a="1"/>
  <c r="X3164" i="3" s="1"/>
  <c r="X3163" i="3" a="1"/>
  <c r="X3163" i="3"/>
  <c r="X3162" i="3" a="1"/>
  <c r="X3162" i="3" s="1"/>
  <c r="X3161" i="3" a="1"/>
  <c r="X3161" i="3" s="1"/>
  <c r="X3160" i="3" a="1"/>
  <c r="X3160" i="3" s="1"/>
  <c r="X3159" i="3" a="1"/>
  <c r="X3159" i="3"/>
  <c r="X3158" i="3" a="1"/>
  <c r="X3158" i="3" s="1"/>
  <c r="X3157" i="3" a="1"/>
  <c r="X3157" i="3"/>
  <c r="X3156" i="3" a="1"/>
  <c r="X3156" i="3" s="1"/>
  <c r="X3155" i="3" a="1"/>
  <c r="X3155" i="3" s="1"/>
  <c r="X3154" i="3" a="1"/>
  <c r="X3154" i="3" s="1"/>
  <c r="X3153" i="3" a="1"/>
  <c r="X3153" i="3" s="1"/>
  <c r="X3152" i="3" a="1"/>
  <c r="X3152" i="3" s="1"/>
  <c r="X3151" i="3" a="1"/>
  <c r="X3151" i="3"/>
  <c r="X3150" i="3" a="1"/>
  <c r="X3150" i="3" s="1"/>
  <c r="X3149" i="3" a="1"/>
  <c r="X3149" i="3"/>
  <c r="X3148" i="3" a="1"/>
  <c r="X3148" i="3" s="1"/>
  <c r="X3147" i="3" a="1"/>
  <c r="X3147" i="3"/>
  <c r="X3146" i="3" a="1"/>
  <c r="X3146" i="3"/>
  <c r="X3145" i="3" a="1"/>
  <c r="X3145" i="3" s="1"/>
  <c r="X3144" i="3" a="1"/>
  <c r="X3144" i="3" s="1"/>
  <c r="X3143" i="3" a="1"/>
  <c r="X3143" i="3"/>
  <c r="X3142" i="3" a="1"/>
  <c r="X3142" i="3" s="1"/>
  <c r="X3141" i="3" a="1"/>
  <c r="X3141" i="3" s="1"/>
  <c r="X3140" i="3" a="1"/>
  <c r="X3140" i="3" s="1"/>
  <c r="X3139" i="3" a="1"/>
  <c r="X3139" i="3" s="1"/>
  <c r="X3138" i="3" a="1"/>
  <c r="X3138" i="3" s="1"/>
  <c r="X3137" i="3" a="1"/>
  <c r="X3137" i="3"/>
  <c r="X3136" i="3" a="1"/>
  <c r="X3136" i="3" s="1"/>
  <c r="X3135" i="3" a="1"/>
  <c r="X3135" i="3" s="1"/>
  <c r="X3134" i="3" a="1"/>
  <c r="X3134" i="3" s="1"/>
  <c r="X3133" i="3" a="1"/>
  <c r="X3133" i="3" s="1"/>
  <c r="X3132" i="3" a="1"/>
  <c r="X3132" i="3" s="1"/>
  <c r="X3131" i="3" a="1"/>
  <c r="X3131" i="3" s="1"/>
  <c r="X3130" i="3" a="1"/>
  <c r="X3130" i="3"/>
  <c r="X3129" i="3" a="1"/>
  <c r="X3129" i="3" s="1"/>
  <c r="X3128" i="3" a="1"/>
  <c r="X3128" i="3" s="1"/>
  <c r="X3127" i="3" a="1"/>
  <c r="X3127" i="3"/>
  <c r="X3126" i="3" a="1"/>
  <c r="X3126" i="3" s="1"/>
  <c r="X3125" i="3" a="1"/>
  <c r="X3125" i="3"/>
  <c r="X3124" i="3" a="1"/>
  <c r="X3124" i="3" s="1"/>
  <c r="X3123" i="3" a="1"/>
  <c r="X3123" i="3" s="1"/>
  <c r="X3122" i="3" a="1"/>
  <c r="X3122" i="3" s="1"/>
  <c r="X3121" i="3" a="1"/>
  <c r="X3121" i="3"/>
  <c r="X3120" i="3" a="1"/>
  <c r="X3120" i="3" s="1"/>
  <c r="X3119" i="3" a="1"/>
  <c r="X3119" i="3" s="1"/>
  <c r="X3118" i="3" a="1"/>
  <c r="X3118" i="3" s="1"/>
  <c r="X3117" i="3" a="1"/>
  <c r="X3117" i="3" s="1"/>
  <c r="X3116" i="3" a="1"/>
  <c r="X3116" i="3" s="1"/>
  <c r="X3115" i="3" a="1"/>
  <c r="X3115" i="3" s="1"/>
  <c r="X3114" i="3" a="1"/>
  <c r="X3114" i="3" s="1"/>
  <c r="X3113" i="3" a="1"/>
  <c r="X3113" i="3" s="1"/>
  <c r="X3112" i="3" a="1"/>
  <c r="X3112" i="3" s="1"/>
  <c r="X3111" i="3" a="1"/>
  <c r="X3111" i="3"/>
  <c r="X3110" i="3" a="1"/>
  <c r="X3110" i="3" s="1"/>
  <c r="X3109" i="3" a="1"/>
  <c r="X3109" i="3"/>
  <c r="X3108" i="3" a="1"/>
  <c r="X3108" i="3" s="1"/>
  <c r="X3107" i="3" a="1"/>
  <c r="X3107" i="3" s="1"/>
  <c r="X3106" i="3" a="1"/>
  <c r="X3106" i="3" s="1"/>
  <c r="X3105" i="3" a="1"/>
  <c r="X3105" i="3" s="1"/>
  <c r="X3104" i="3" a="1"/>
  <c r="X3104" i="3" s="1"/>
  <c r="X3103" i="3" a="1"/>
  <c r="X3103" i="3"/>
  <c r="X3102" i="3" a="1"/>
  <c r="X3102" i="3" s="1"/>
  <c r="X3101" i="3" a="1"/>
  <c r="X3101" i="3"/>
  <c r="X3100" i="3" a="1"/>
  <c r="X3100" i="3" s="1"/>
  <c r="X3099" i="3" a="1"/>
  <c r="X3099" i="3"/>
  <c r="X3098" i="3" a="1"/>
  <c r="X3098" i="3" s="1"/>
  <c r="X3097" i="3" a="1"/>
  <c r="X3097" i="3" s="1"/>
  <c r="X3096" i="3" a="1"/>
  <c r="X3096" i="3" s="1"/>
  <c r="X3095" i="3" a="1"/>
  <c r="X3095" i="3"/>
  <c r="X3094" i="3" a="1"/>
  <c r="X3094" i="3" s="1"/>
  <c r="X3093" i="3" a="1"/>
  <c r="X3093" i="3" s="1"/>
  <c r="X3092" i="3" a="1"/>
  <c r="X3092" i="3" s="1"/>
  <c r="X3091" i="3" a="1"/>
  <c r="X3091" i="3" s="1"/>
  <c r="X3090" i="3" a="1"/>
  <c r="X3090" i="3" s="1"/>
  <c r="X3089" i="3" a="1"/>
  <c r="X3089" i="3" s="1"/>
  <c r="X3088" i="3" a="1"/>
  <c r="X3088" i="3" s="1"/>
  <c r="X3087" i="3" a="1"/>
  <c r="X3087" i="3" s="1"/>
  <c r="X3086" i="3" a="1"/>
  <c r="X3086" i="3"/>
  <c r="X3085" i="3" a="1"/>
  <c r="X3085" i="3" s="1"/>
  <c r="X3084" i="3" a="1"/>
  <c r="X3084" i="3" s="1"/>
  <c r="X3083" i="3" a="1"/>
  <c r="X3083" i="3" s="1"/>
  <c r="X3082" i="3" a="1"/>
  <c r="X3082" i="3" s="1"/>
  <c r="X3081" i="3" a="1"/>
  <c r="X3081" i="3" s="1"/>
  <c r="X3080" i="3" a="1"/>
  <c r="X3080" i="3" s="1"/>
  <c r="X3079" i="3" a="1"/>
  <c r="X3079" i="3"/>
  <c r="X3078" i="3" a="1"/>
  <c r="X3078" i="3" s="1"/>
  <c r="X3077" i="3" a="1"/>
  <c r="X3077" i="3"/>
  <c r="X3076" i="3" a="1"/>
  <c r="X3076" i="3" s="1"/>
  <c r="X3075" i="3" a="1"/>
  <c r="X3075" i="3" s="1"/>
  <c r="X3074" i="3" a="1"/>
  <c r="X3074" i="3"/>
  <c r="X3073" i="3" a="1"/>
  <c r="X3073" i="3"/>
  <c r="X3072" i="3" a="1"/>
  <c r="X3072" i="3" s="1"/>
  <c r="X3071" i="3" a="1"/>
  <c r="X3071" i="3" s="1"/>
  <c r="X3070" i="3" a="1"/>
  <c r="X3070" i="3" s="1"/>
  <c r="X3069" i="3" a="1"/>
  <c r="X3069" i="3"/>
  <c r="X3068" i="3" a="1"/>
  <c r="X3068" i="3" s="1"/>
  <c r="X3067" i="3" a="1"/>
  <c r="X3067" i="3" s="1"/>
  <c r="X3066" i="3" a="1"/>
  <c r="X3066" i="3"/>
  <c r="X3065" i="3" a="1"/>
  <c r="X3065" i="3" s="1"/>
  <c r="X3064" i="3" a="1"/>
  <c r="X3064" i="3" s="1"/>
  <c r="X3063" i="3" a="1"/>
  <c r="X3063" i="3"/>
  <c r="X3062" i="3" a="1"/>
  <c r="X3062" i="3" s="1"/>
  <c r="X3061" i="3" a="1"/>
  <c r="X3061" i="3"/>
  <c r="X3060" i="3" a="1"/>
  <c r="X3060" i="3" s="1"/>
  <c r="X3059" i="3" a="1"/>
  <c r="X3059" i="3" s="1"/>
  <c r="X3058" i="3" a="1"/>
  <c r="X3058" i="3" s="1"/>
  <c r="X3057" i="3" a="1"/>
  <c r="X3057" i="3" s="1"/>
  <c r="X3056" i="3" a="1"/>
  <c r="X3056" i="3" s="1"/>
  <c r="X3055" i="3" a="1"/>
  <c r="X3055" i="3"/>
  <c r="X3054" i="3" a="1"/>
  <c r="X3054" i="3"/>
  <c r="X3053" i="3" a="1"/>
  <c r="X3053" i="3" s="1"/>
  <c r="X3052" i="3" a="1"/>
  <c r="X3052" i="3" s="1"/>
  <c r="X3051" i="3" a="1"/>
  <c r="X3051" i="3"/>
  <c r="X3050" i="3" a="1"/>
  <c r="X3050" i="3"/>
  <c r="X3049" i="3" a="1"/>
  <c r="X3049" i="3" s="1"/>
  <c r="X3048" i="3" a="1"/>
  <c r="X3048" i="3" s="1"/>
  <c r="X3047" i="3" a="1"/>
  <c r="X3047" i="3"/>
  <c r="X3046" i="3" a="1"/>
  <c r="X3046" i="3" s="1"/>
  <c r="X3045" i="3" a="1"/>
  <c r="X3045" i="3" s="1"/>
  <c r="X3044" i="3" a="1"/>
  <c r="X3044" i="3" s="1"/>
  <c r="X3043" i="3" a="1"/>
  <c r="X3043" i="3" s="1"/>
  <c r="X3042" i="3" a="1"/>
  <c r="X3042" i="3" s="1"/>
  <c r="X3041" i="3" a="1"/>
  <c r="X3041" i="3" s="1"/>
  <c r="X3040" i="3" a="1"/>
  <c r="X3040" i="3" s="1"/>
  <c r="X3039" i="3" a="1"/>
  <c r="X3039" i="3"/>
  <c r="X3038" i="3" a="1"/>
  <c r="X3038" i="3"/>
  <c r="X3037" i="3" a="1"/>
  <c r="X3037" i="3" s="1"/>
  <c r="X3036" i="3" a="1"/>
  <c r="X3036" i="3" s="1"/>
  <c r="X3035" i="3" a="1"/>
  <c r="X3035" i="3" s="1"/>
  <c r="X3034" i="3" a="1"/>
  <c r="X3034" i="3" s="1"/>
  <c r="X3033" i="3" a="1"/>
  <c r="X3033" i="3" s="1"/>
  <c r="X3032" i="3" a="1"/>
  <c r="X3032" i="3" s="1"/>
  <c r="X3031" i="3" a="1"/>
  <c r="X3031" i="3" s="1"/>
  <c r="X3030" i="3" a="1"/>
  <c r="X3030" i="3" s="1"/>
  <c r="X3029" i="3" a="1"/>
  <c r="X3029" i="3"/>
  <c r="X3028" i="3" a="1"/>
  <c r="X3028" i="3" s="1"/>
  <c r="X3027" i="3" a="1"/>
  <c r="X3027" i="3" s="1"/>
  <c r="X3026" i="3" a="1"/>
  <c r="X3026" i="3"/>
  <c r="X3025" i="3" a="1"/>
  <c r="X3025" i="3" s="1"/>
  <c r="X3024" i="3" a="1"/>
  <c r="X3024" i="3" s="1"/>
  <c r="X3023" i="3" a="1"/>
  <c r="X3023" i="3" s="1"/>
  <c r="X3022" i="3" a="1"/>
  <c r="X3022" i="3" s="1"/>
  <c r="X3021" i="3" a="1"/>
  <c r="X3021" i="3" s="1"/>
  <c r="X3020" i="3" a="1"/>
  <c r="X3020" i="3" s="1"/>
  <c r="X3019" i="3" a="1"/>
  <c r="X3019" i="3" s="1"/>
  <c r="X3018" i="3" a="1"/>
  <c r="X3018" i="3"/>
  <c r="X3017" i="3" a="1"/>
  <c r="X3017" i="3" s="1"/>
  <c r="X3016" i="3" a="1"/>
  <c r="X3016" i="3" s="1"/>
  <c r="X3015" i="3" a="1"/>
  <c r="X3015" i="3"/>
  <c r="X3014" i="3" a="1"/>
  <c r="X3014" i="3" s="1"/>
  <c r="X3013" i="3" a="1"/>
  <c r="X3013" i="3"/>
  <c r="X3012" i="3" a="1"/>
  <c r="X3012" i="3" s="1"/>
  <c r="X3011" i="3" a="1"/>
  <c r="X3011" i="3" s="1"/>
  <c r="X3010" i="3" a="1"/>
  <c r="X3010" i="3" s="1"/>
  <c r="X3009" i="3" a="1"/>
  <c r="X3009" i="3" s="1"/>
  <c r="X3008" i="3" a="1"/>
  <c r="X3008" i="3" s="1"/>
  <c r="X3007" i="3" a="1"/>
  <c r="X3007" i="3" s="1"/>
  <c r="X3006" i="3" a="1"/>
  <c r="X3006" i="3" s="1"/>
  <c r="X3005" i="3" a="1"/>
  <c r="X3005" i="3" s="1"/>
  <c r="X3004" i="3" a="1"/>
  <c r="X3004" i="3" s="1"/>
  <c r="X3003" i="3" a="1"/>
  <c r="X3003" i="3" s="1"/>
  <c r="X3002" i="3" a="1"/>
  <c r="X3002" i="3"/>
  <c r="X3001" i="3" a="1"/>
  <c r="X3001" i="3" s="1"/>
  <c r="X3000" i="3" a="1"/>
  <c r="X3000" i="3" s="1"/>
  <c r="X2999" i="3" a="1"/>
  <c r="X2999" i="3" s="1"/>
  <c r="X2998" i="3" a="1"/>
  <c r="X2998" i="3" s="1"/>
  <c r="X2997" i="3" a="1"/>
  <c r="X2997" i="3" s="1"/>
  <c r="X2996" i="3" a="1"/>
  <c r="X2996" i="3" s="1"/>
  <c r="X2995" i="3" a="1"/>
  <c r="X2995" i="3" s="1"/>
  <c r="X2994" i="3" a="1"/>
  <c r="X2994" i="3"/>
  <c r="X2993" i="3" a="1"/>
  <c r="X2993" i="3" s="1"/>
  <c r="X2992" i="3" a="1"/>
  <c r="X2992" i="3" s="1"/>
  <c r="X2991" i="3" a="1"/>
  <c r="X2991" i="3" s="1"/>
  <c r="X2990" i="3" a="1"/>
  <c r="X2990" i="3"/>
  <c r="X2989" i="3" a="1"/>
  <c r="X2989" i="3" s="1"/>
  <c r="X2988" i="3" a="1"/>
  <c r="X2988" i="3" s="1"/>
  <c r="X2987" i="3" a="1"/>
  <c r="X2987" i="3" s="1"/>
  <c r="X2986" i="3" a="1"/>
  <c r="X2986" i="3"/>
  <c r="X2985" i="3" a="1"/>
  <c r="X2985" i="3" s="1"/>
  <c r="X2984" i="3" a="1"/>
  <c r="X2984" i="3" s="1"/>
  <c r="X2983" i="3" a="1"/>
  <c r="X2983" i="3" s="1"/>
  <c r="X2982" i="3" a="1"/>
  <c r="X2982" i="3" s="1"/>
  <c r="X2981" i="3" a="1"/>
  <c r="X2981" i="3" s="1"/>
  <c r="X2980" i="3" a="1"/>
  <c r="X2980" i="3"/>
  <c r="X2979" i="3" a="1"/>
  <c r="X2979" i="3" s="1"/>
  <c r="X2978" i="3" a="1"/>
  <c r="X2978" i="3" s="1"/>
  <c r="X2977" i="3" a="1"/>
  <c r="X2977" i="3" s="1"/>
  <c r="X2976" i="3" a="1"/>
  <c r="X2976" i="3" s="1"/>
  <c r="X2975" i="3" a="1"/>
  <c r="X2975" i="3"/>
  <c r="X2974" i="3" a="1"/>
  <c r="X2974" i="3" s="1"/>
  <c r="X2973" i="3" a="1"/>
  <c r="X2973" i="3" s="1"/>
  <c r="X2972" i="3" a="1"/>
  <c r="X2972" i="3"/>
  <c r="X2971" i="3" a="1"/>
  <c r="X2971" i="3" s="1"/>
  <c r="X2970" i="3" a="1"/>
  <c r="X2970" i="3" s="1"/>
  <c r="X2969" i="3" a="1"/>
  <c r="X2969" i="3" s="1"/>
  <c r="X2968" i="3" a="1"/>
  <c r="X2968" i="3" s="1"/>
  <c r="X2967" i="3" a="1"/>
  <c r="X2967" i="3"/>
  <c r="X2966" i="3" a="1"/>
  <c r="X2966" i="3" s="1"/>
  <c r="X2965" i="3" a="1"/>
  <c r="X2965" i="3"/>
  <c r="X2964" i="3" a="1"/>
  <c r="X2964" i="3"/>
  <c r="X2963" i="3" a="1"/>
  <c r="X2963" i="3" s="1"/>
  <c r="X2962" i="3" a="1"/>
  <c r="X2962" i="3" s="1"/>
  <c r="X2961" i="3" a="1"/>
  <c r="X2961" i="3" s="1"/>
  <c r="X2960" i="3" a="1"/>
  <c r="X2960" i="3"/>
  <c r="X2959" i="3" a="1"/>
  <c r="X2959" i="3"/>
  <c r="X2958" i="3" a="1"/>
  <c r="X2958" i="3" s="1"/>
  <c r="X2957" i="3" a="1"/>
  <c r="X2957" i="3" s="1"/>
  <c r="X2956" i="3" a="1"/>
  <c r="X2956" i="3" s="1"/>
  <c r="X2955" i="3" a="1"/>
  <c r="X2955" i="3" s="1"/>
  <c r="X2954" i="3" a="1"/>
  <c r="X2954" i="3" s="1"/>
  <c r="X2953" i="3" a="1"/>
  <c r="X2953" i="3" s="1"/>
  <c r="X2952" i="3" a="1"/>
  <c r="X2952" i="3" s="1"/>
  <c r="X2951" i="3" a="1"/>
  <c r="X2951" i="3" s="1"/>
  <c r="X2950" i="3" a="1"/>
  <c r="X2950" i="3" s="1"/>
  <c r="X2949" i="3" a="1"/>
  <c r="X2949" i="3" s="1"/>
  <c r="X2948" i="3" a="1"/>
  <c r="X2948" i="3" s="1"/>
  <c r="X2947" i="3" a="1"/>
  <c r="X2947" i="3" s="1"/>
  <c r="X2946" i="3" a="1"/>
  <c r="X2946" i="3" s="1"/>
  <c r="X2945" i="3" a="1"/>
  <c r="X2945" i="3" s="1"/>
  <c r="X2944" i="3" a="1"/>
  <c r="X2944" i="3" s="1"/>
  <c r="X2943" i="3" a="1"/>
  <c r="X2943" i="3" s="1"/>
  <c r="X2942" i="3" a="1"/>
  <c r="X2942" i="3" s="1"/>
  <c r="X2941" i="3" a="1"/>
  <c r="X2941" i="3" s="1"/>
  <c r="X2940" i="3" a="1"/>
  <c r="X2940" i="3" s="1"/>
  <c r="X2939" i="3" a="1"/>
  <c r="X2939" i="3"/>
  <c r="X2938" i="3" a="1"/>
  <c r="X2938" i="3" s="1"/>
  <c r="X2937" i="3" a="1"/>
  <c r="X2937" i="3" s="1"/>
  <c r="X2936" i="3" a="1"/>
  <c r="X2936" i="3" s="1"/>
  <c r="X2935" i="3" a="1"/>
  <c r="X2935" i="3" s="1"/>
  <c r="X2934" i="3" a="1"/>
  <c r="X2934" i="3" s="1"/>
  <c r="X2933" i="3" a="1"/>
  <c r="X2933" i="3" s="1"/>
  <c r="X2932" i="3" a="1"/>
  <c r="X2932" i="3" s="1"/>
  <c r="X2931" i="3" a="1"/>
  <c r="X2931" i="3" s="1"/>
  <c r="X2930" i="3" a="1"/>
  <c r="X2930" i="3" s="1"/>
  <c r="X2929" i="3" a="1"/>
  <c r="X2929" i="3" s="1"/>
  <c r="X2928" i="3" a="1"/>
  <c r="X2928" i="3" s="1"/>
  <c r="X2927" i="3" a="1"/>
  <c r="X2927" i="3" s="1"/>
  <c r="X2926" i="3" a="1"/>
  <c r="X2926" i="3" s="1"/>
  <c r="X2925" i="3" a="1"/>
  <c r="X2925" i="3" s="1"/>
  <c r="X2924" i="3" a="1"/>
  <c r="X2924" i="3"/>
  <c r="X2923" i="3" a="1"/>
  <c r="X2923" i="3" s="1"/>
  <c r="X2922" i="3" a="1"/>
  <c r="X2922" i="3" s="1"/>
  <c r="X2921" i="3" a="1"/>
  <c r="X2921" i="3" s="1"/>
  <c r="X2920" i="3" a="1"/>
  <c r="X2920" i="3" s="1"/>
  <c r="X2919" i="3" a="1"/>
  <c r="X2919" i="3" s="1"/>
  <c r="X2918" i="3" a="1"/>
  <c r="X2918" i="3" s="1"/>
  <c r="X2917" i="3" a="1"/>
  <c r="X2917" i="3"/>
  <c r="X2916" i="3" a="1"/>
  <c r="X2916" i="3" s="1"/>
  <c r="X2915" i="3" a="1"/>
  <c r="X2915" i="3" s="1"/>
  <c r="X2914" i="3" a="1"/>
  <c r="X2914" i="3" s="1"/>
  <c r="X2913" i="3" a="1"/>
  <c r="X2913" i="3" s="1"/>
  <c r="X2912" i="3" a="1"/>
  <c r="X2912" i="3"/>
  <c r="X2911" i="3" a="1"/>
  <c r="X2911" i="3" s="1"/>
  <c r="X2910" i="3" a="1"/>
  <c r="X2910" i="3" s="1"/>
  <c r="X2909" i="3" a="1"/>
  <c r="X2909" i="3" s="1"/>
  <c r="X2908" i="3" a="1"/>
  <c r="X2908" i="3" s="1"/>
  <c r="X2907" i="3" a="1"/>
  <c r="X2907" i="3" s="1"/>
  <c r="X2906" i="3" a="1"/>
  <c r="X2906" i="3" s="1"/>
  <c r="X2905" i="3" a="1"/>
  <c r="X2905" i="3" s="1"/>
  <c r="X2904" i="3" a="1"/>
  <c r="X2904" i="3" s="1"/>
  <c r="X2903" i="3" a="1"/>
  <c r="X2903" i="3"/>
  <c r="X2902" i="3" a="1"/>
  <c r="X2902" i="3" s="1"/>
  <c r="X2901" i="3" a="1"/>
  <c r="X2901" i="3" s="1"/>
  <c r="X2900" i="3" a="1"/>
  <c r="X2900" i="3" s="1"/>
  <c r="X2899" i="3" a="1"/>
  <c r="X2899" i="3"/>
  <c r="X2898" i="3" a="1"/>
  <c r="X2898" i="3" s="1"/>
  <c r="X2897" i="3" a="1"/>
  <c r="X2897" i="3"/>
  <c r="X2896" i="3" a="1"/>
  <c r="X2896" i="3" s="1"/>
  <c r="X2895" i="3" a="1"/>
  <c r="X2895" i="3" s="1"/>
  <c r="X2894" i="3" a="1"/>
  <c r="X2894" i="3" s="1"/>
  <c r="X2893" i="3" a="1"/>
  <c r="X2893" i="3" s="1"/>
  <c r="X2892" i="3" a="1"/>
  <c r="X2892" i="3" s="1"/>
  <c r="X2891" i="3" a="1"/>
  <c r="X2891" i="3" s="1"/>
  <c r="X2890" i="3" a="1"/>
  <c r="X2890" i="3" s="1"/>
  <c r="X2889" i="3" a="1"/>
  <c r="X2889" i="3" s="1"/>
  <c r="X2888" i="3" a="1"/>
  <c r="X2888" i="3" s="1"/>
  <c r="X2887" i="3" a="1"/>
  <c r="X2887" i="3" s="1"/>
  <c r="X2886" i="3" a="1"/>
  <c r="X2886" i="3" s="1"/>
  <c r="X2885" i="3" a="1"/>
  <c r="X2885" i="3" s="1"/>
  <c r="X2884" i="3" a="1"/>
  <c r="X2884" i="3"/>
  <c r="X2883" i="3" a="1"/>
  <c r="X2883" i="3" s="1"/>
  <c r="X2882" i="3" a="1"/>
  <c r="X2882" i="3" s="1"/>
  <c r="X2881" i="3" a="1"/>
  <c r="X2881" i="3" s="1"/>
  <c r="X2880" i="3" a="1"/>
  <c r="X2880" i="3" s="1"/>
  <c r="X2879" i="3" a="1"/>
  <c r="X2879" i="3" s="1"/>
  <c r="X2878" i="3" a="1"/>
  <c r="X2878" i="3" s="1"/>
  <c r="X2877" i="3" a="1"/>
  <c r="X2877" i="3" s="1"/>
  <c r="X2876" i="3" a="1"/>
  <c r="X2876" i="3"/>
  <c r="X2875" i="3" a="1"/>
  <c r="X2875" i="3" s="1"/>
  <c r="X2874" i="3" a="1"/>
  <c r="X2874" i="3" s="1"/>
  <c r="X2873" i="3" a="1"/>
  <c r="X2873" i="3" s="1"/>
  <c r="X2872" i="3" a="1"/>
  <c r="X2872" i="3" s="1"/>
  <c r="X2871" i="3" a="1"/>
  <c r="X2871" i="3" s="1"/>
  <c r="X2870" i="3" a="1"/>
  <c r="X2870" i="3" s="1"/>
  <c r="X2869" i="3" a="1"/>
  <c r="X2869" i="3" s="1"/>
  <c r="X2868" i="3" a="1"/>
  <c r="X2868" i="3" s="1"/>
  <c r="X2867" i="3" a="1"/>
  <c r="X2867" i="3" s="1"/>
  <c r="X2866" i="3" a="1"/>
  <c r="X2866" i="3" s="1"/>
  <c r="X2865" i="3" a="1"/>
  <c r="X2865" i="3" s="1"/>
  <c r="X2864" i="3" a="1"/>
  <c r="X2864" i="3"/>
  <c r="X2863" i="3" a="1"/>
  <c r="X2863" i="3" s="1"/>
  <c r="X2862" i="3" a="1"/>
  <c r="X2862" i="3" s="1"/>
  <c r="X2861" i="3" a="1"/>
  <c r="X2861" i="3" s="1"/>
  <c r="X2860" i="3" a="1"/>
  <c r="X2860" i="3" s="1"/>
  <c r="X2859" i="3" a="1"/>
  <c r="X2859" i="3" s="1"/>
  <c r="X2858" i="3" a="1"/>
  <c r="X2858" i="3" s="1"/>
  <c r="X2857" i="3" a="1"/>
  <c r="X2857" i="3" s="1"/>
  <c r="X2856" i="3" a="1"/>
  <c r="X2856" i="3" s="1"/>
  <c r="X2855" i="3" a="1"/>
  <c r="X2855" i="3"/>
  <c r="X2854" i="3" a="1"/>
  <c r="X2854" i="3" s="1"/>
  <c r="X2853" i="3" a="1"/>
  <c r="X2853" i="3" s="1"/>
  <c r="X2852" i="3" a="1"/>
  <c r="X2852" i="3" s="1"/>
  <c r="X2851" i="3" a="1"/>
  <c r="X2851" i="3" s="1"/>
  <c r="X2850" i="3" a="1"/>
  <c r="X2850" i="3" s="1"/>
  <c r="X2849" i="3" a="1"/>
  <c r="X2849" i="3"/>
  <c r="X2848" i="3" a="1"/>
  <c r="X2848" i="3" s="1"/>
  <c r="X2847" i="3" a="1"/>
  <c r="X2847" i="3" s="1"/>
  <c r="X2846" i="3" a="1"/>
  <c r="X2846" i="3" s="1"/>
  <c r="X2845" i="3" a="1"/>
  <c r="X2845" i="3" s="1"/>
  <c r="X2844" i="3" a="1"/>
  <c r="X2844" i="3" s="1"/>
  <c r="X2843" i="3" a="1"/>
  <c r="X2843" i="3"/>
  <c r="X2842" i="3" a="1"/>
  <c r="X2842" i="3" s="1"/>
  <c r="X2841" i="3" a="1"/>
  <c r="X2841" i="3" s="1"/>
  <c r="X2840" i="3" a="1"/>
  <c r="X2840" i="3" s="1"/>
  <c r="X2839" i="3" a="1"/>
  <c r="X2839" i="3" s="1"/>
  <c r="X2838" i="3" a="1"/>
  <c r="X2838" i="3" s="1"/>
  <c r="X2837" i="3" a="1"/>
  <c r="X2837" i="3" s="1"/>
  <c r="X2836" i="3" a="1"/>
  <c r="X2836" i="3"/>
  <c r="X2835" i="3" a="1"/>
  <c r="X2835" i="3" s="1"/>
  <c r="X2834" i="3" a="1"/>
  <c r="X2834" i="3" s="1"/>
  <c r="X2833" i="3" a="1"/>
  <c r="X2833" i="3" s="1"/>
  <c r="X2832" i="3" a="1"/>
  <c r="X2832" i="3" s="1"/>
  <c r="X2831" i="3" a="1"/>
  <c r="X2831" i="3" s="1"/>
  <c r="X2830" i="3" a="1"/>
  <c r="X2830" i="3" s="1"/>
  <c r="X2829" i="3" a="1"/>
  <c r="X2829" i="3" s="1"/>
  <c r="X2828" i="3" a="1"/>
  <c r="X2828" i="3"/>
  <c r="X2827" i="3" a="1"/>
  <c r="X2827" i="3" s="1"/>
  <c r="X2826" i="3" a="1"/>
  <c r="X2826" i="3" s="1"/>
  <c r="X2825" i="3" a="1"/>
  <c r="X2825" i="3" s="1"/>
  <c r="X2824" i="3" a="1"/>
  <c r="X2824" i="3" s="1"/>
  <c r="X2823" i="3" a="1"/>
  <c r="X2823" i="3" s="1"/>
  <c r="X2822" i="3" a="1"/>
  <c r="X2822" i="3" s="1"/>
  <c r="X2821" i="3" a="1"/>
  <c r="X2821" i="3" s="1"/>
  <c r="X2820" i="3" a="1"/>
  <c r="X2820" i="3" s="1"/>
  <c r="X2819" i="3" a="1"/>
  <c r="X2819" i="3" s="1"/>
  <c r="X2818" i="3" a="1"/>
  <c r="X2818" i="3" s="1"/>
  <c r="X2817" i="3" a="1"/>
  <c r="X2817" i="3" s="1"/>
  <c r="X2816" i="3" a="1"/>
  <c r="X2816" i="3"/>
  <c r="X2815" i="3" a="1"/>
  <c r="X2815" i="3" s="1"/>
  <c r="X2814" i="3" a="1"/>
  <c r="X2814" i="3" s="1"/>
  <c r="X2813" i="3" a="1"/>
  <c r="X2813" i="3" s="1"/>
  <c r="X2812" i="3" a="1"/>
  <c r="X2812" i="3" s="1"/>
  <c r="X2811" i="3" a="1"/>
  <c r="X2811" i="3" s="1"/>
  <c r="X2810" i="3" a="1"/>
  <c r="X2810" i="3" s="1"/>
  <c r="X2809" i="3" a="1"/>
  <c r="X2809" i="3" s="1"/>
  <c r="X2808" i="3" a="1"/>
  <c r="X2808" i="3"/>
  <c r="X2807" i="3" a="1"/>
  <c r="X2807" i="3"/>
  <c r="X2806" i="3" a="1"/>
  <c r="X2806" i="3" s="1"/>
  <c r="X2805" i="3" a="1"/>
  <c r="X2805" i="3" s="1"/>
  <c r="X2804" i="3" a="1"/>
  <c r="X2804" i="3" s="1"/>
  <c r="X2803" i="3" a="1"/>
  <c r="X2803" i="3"/>
  <c r="X2802" i="3" a="1"/>
  <c r="X2802" i="3" s="1"/>
  <c r="X2801" i="3" a="1"/>
  <c r="X2801" i="3"/>
  <c r="X2800" i="3" a="1"/>
  <c r="X2800" i="3" s="1"/>
  <c r="X2799" i="3" a="1"/>
  <c r="X2799" i="3" s="1"/>
  <c r="X2798" i="3" a="1"/>
  <c r="X2798" i="3"/>
  <c r="X2797" i="3" a="1"/>
  <c r="X2797" i="3"/>
  <c r="X2796" i="3" a="1"/>
  <c r="X2796" i="3" s="1"/>
  <c r="X2795" i="3" a="1"/>
  <c r="X2795" i="3" s="1"/>
  <c r="X2794" i="3" a="1"/>
  <c r="X2794" i="3" s="1"/>
  <c r="X2793" i="3" a="1"/>
  <c r="X2793" i="3"/>
  <c r="X2792" i="3" a="1"/>
  <c r="X2792" i="3" s="1"/>
  <c r="X2791" i="3" a="1"/>
  <c r="X2791" i="3" s="1"/>
  <c r="X2790" i="3" a="1"/>
  <c r="X2790" i="3"/>
  <c r="X2789" i="3" a="1"/>
  <c r="X2789" i="3" s="1"/>
  <c r="X2788" i="3" a="1"/>
  <c r="X2788" i="3" s="1"/>
  <c r="X2787" i="3" a="1"/>
  <c r="X2787" i="3" s="1"/>
  <c r="X2786" i="3" a="1"/>
  <c r="X2786" i="3" s="1"/>
  <c r="X2785" i="3" a="1"/>
  <c r="X2785" i="3" s="1"/>
  <c r="X2784" i="3" a="1"/>
  <c r="X2784" i="3" s="1"/>
  <c r="X2783" i="3" a="1"/>
  <c r="X2783" i="3" s="1"/>
  <c r="X2782" i="3" a="1"/>
  <c r="X2782" i="3" s="1"/>
  <c r="X2781" i="3" a="1"/>
  <c r="X2781" i="3" s="1"/>
  <c r="X2780" i="3" a="1"/>
  <c r="X2780" i="3" s="1"/>
  <c r="X2779" i="3" a="1"/>
  <c r="X2779" i="3" s="1"/>
  <c r="X2778" i="3" a="1"/>
  <c r="X2778" i="3" s="1"/>
  <c r="X2777" i="3" a="1"/>
  <c r="X2777" i="3" s="1"/>
  <c r="X2776" i="3" a="1"/>
  <c r="X2776" i="3" s="1"/>
  <c r="X2775" i="3" a="1"/>
  <c r="X2775" i="3" s="1"/>
  <c r="X2774" i="3" a="1"/>
  <c r="X2774" i="3"/>
  <c r="X2773" i="3" a="1"/>
  <c r="X2773" i="3" s="1"/>
  <c r="X2772" i="3" a="1"/>
  <c r="X2772" i="3" s="1"/>
  <c r="X2771" i="3" a="1"/>
  <c r="X2771" i="3" s="1"/>
  <c r="X2770" i="3" a="1"/>
  <c r="X2770" i="3" s="1"/>
  <c r="X2769" i="3" a="1"/>
  <c r="X2769" i="3" s="1"/>
  <c r="X2768" i="3" a="1"/>
  <c r="X2768" i="3" s="1"/>
  <c r="X2767" i="3" a="1"/>
  <c r="X2767" i="3" s="1"/>
  <c r="X2766" i="3" a="1"/>
  <c r="X2766" i="3" s="1"/>
  <c r="X2765" i="3" a="1"/>
  <c r="X2765" i="3" s="1"/>
  <c r="X2764" i="3" a="1"/>
  <c r="X2764" i="3" s="1"/>
  <c r="X2763" i="3" a="1"/>
  <c r="X2763" i="3" s="1"/>
  <c r="X2762" i="3" a="1"/>
  <c r="X2762" i="3" s="1"/>
  <c r="X2761" i="3" a="1"/>
  <c r="X2761" i="3" s="1"/>
  <c r="X2760" i="3" a="1"/>
  <c r="X2760" i="3" s="1"/>
  <c r="X2759" i="3" a="1"/>
  <c r="X2759" i="3" s="1"/>
  <c r="X2758" i="3" a="1"/>
  <c r="X2758" i="3"/>
  <c r="X2757" i="3" a="1"/>
  <c r="X2757" i="3" s="1"/>
  <c r="X2756" i="3" a="1"/>
  <c r="X2756" i="3" s="1"/>
  <c r="X2755" i="3" a="1"/>
  <c r="X2755" i="3" s="1"/>
  <c r="X2754" i="3" a="1"/>
  <c r="X2754" i="3" s="1"/>
  <c r="X2753" i="3" a="1"/>
  <c r="X2753" i="3" s="1"/>
  <c r="X2752" i="3" a="1"/>
  <c r="X2752" i="3" s="1"/>
  <c r="X2751" i="3" a="1"/>
  <c r="X2751" i="3" s="1"/>
  <c r="X2750" i="3" a="1"/>
  <c r="X2750" i="3" s="1"/>
  <c r="X2749" i="3" a="1"/>
  <c r="X2749" i="3" s="1"/>
  <c r="X2748" i="3" a="1"/>
  <c r="X2748" i="3" s="1"/>
  <c r="X2747" i="3" a="1"/>
  <c r="X2747" i="3" s="1"/>
  <c r="X2746" i="3" a="1"/>
  <c r="X2746" i="3" s="1"/>
  <c r="X2745" i="3" a="1"/>
  <c r="X2745" i="3" s="1"/>
  <c r="X2744" i="3" a="1"/>
  <c r="X2744" i="3" s="1"/>
  <c r="X2743" i="3" a="1"/>
  <c r="X2743" i="3" s="1"/>
  <c r="X2742" i="3" a="1"/>
  <c r="X2742" i="3"/>
  <c r="X2741" i="3" a="1"/>
  <c r="X2741" i="3" s="1"/>
  <c r="X2740" i="3" a="1"/>
  <c r="X2740" i="3" s="1"/>
  <c r="X2739" i="3" a="1"/>
  <c r="X2739" i="3" s="1"/>
  <c r="X2738" i="3" a="1"/>
  <c r="X2738" i="3" s="1"/>
  <c r="X2737" i="3" a="1"/>
  <c r="X2737" i="3" s="1"/>
  <c r="X2736" i="3" a="1"/>
  <c r="X2736" i="3" s="1"/>
  <c r="X2735" i="3" a="1"/>
  <c r="X2735" i="3" s="1"/>
  <c r="X2734" i="3" a="1"/>
  <c r="X2734" i="3" s="1"/>
  <c r="X2733" i="3" a="1"/>
  <c r="X2733" i="3" s="1"/>
  <c r="X2732" i="3" a="1"/>
  <c r="X2732" i="3" s="1"/>
  <c r="X2731" i="3" a="1"/>
  <c r="X2731" i="3" s="1"/>
  <c r="X2730" i="3" a="1"/>
  <c r="X2730" i="3" s="1"/>
  <c r="X2729" i="3" a="1"/>
  <c r="X2729" i="3" s="1"/>
  <c r="X2728" i="3" a="1"/>
  <c r="X2728" i="3" s="1"/>
  <c r="X2727" i="3" a="1"/>
  <c r="X2727" i="3" s="1"/>
  <c r="X2726" i="3" a="1"/>
  <c r="X2726" i="3" s="1"/>
  <c r="X2725" i="3" a="1"/>
  <c r="X2725" i="3" s="1"/>
  <c r="X2724" i="3" a="1"/>
  <c r="X2724" i="3" s="1"/>
  <c r="X2723" i="3" a="1"/>
  <c r="X2723" i="3" s="1"/>
  <c r="X2722" i="3" a="1"/>
  <c r="X2722" i="3" s="1"/>
  <c r="X2721" i="3" a="1"/>
  <c r="X2721" i="3" s="1"/>
  <c r="X2720" i="3" a="1"/>
  <c r="X2720" i="3" s="1"/>
  <c r="X2719" i="3" a="1"/>
  <c r="X2719" i="3" s="1"/>
  <c r="X2718" i="3" a="1"/>
  <c r="X2718" i="3" s="1"/>
  <c r="X2717" i="3" a="1"/>
  <c r="X2717" i="3" s="1"/>
  <c r="X2716" i="3" a="1"/>
  <c r="X2716" i="3" s="1"/>
  <c r="X2715" i="3" a="1"/>
  <c r="X2715" i="3" s="1"/>
  <c r="X2714" i="3" a="1"/>
  <c r="X2714" i="3" s="1"/>
  <c r="X2713" i="3" a="1"/>
  <c r="X2713" i="3" s="1"/>
  <c r="X2712" i="3" a="1"/>
  <c r="X2712" i="3" s="1"/>
  <c r="X2711" i="3" a="1"/>
  <c r="X2711" i="3" s="1"/>
  <c r="X2710" i="3" a="1"/>
  <c r="X2710" i="3" s="1"/>
  <c r="X2709" i="3" a="1"/>
  <c r="X2709" i="3" s="1"/>
  <c r="X2708" i="3" a="1"/>
  <c r="X2708" i="3" s="1"/>
  <c r="X2707" i="3" a="1"/>
  <c r="X2707" i="3" s="1"/>
  <c r="X2706" i="3" a="1"/>
  <c r="X2706" i="3" s="1"/>
  <c r="X2705" i="3" a="1"/>
  <c r="X2705" i="3" s="1"/>
  <c r="X2704" i="3" a="1"/>
  <c r="X2704" i="3" s="1"/>
  <c r="X2703" i="3" a="1"/>
  <c r="X2703" i="3" s="1"/>
  <c r="X2702" i="3" a="1"/>
  <c r="X2702" i="3" s="1"/>
  <c r="X2701" i="3" a="1"/>
  <c r="X2701" i="3" s="1"/>
  <c r="X2700" i="3" a="1"/>
  <c r="X2700" i="3" s="1"/>
  <c r="X2699" i="3" a="1"/>
  <c r="X2699" i="3" s="1"/>
  <c r="X2698" i="3" a="1"/>
  <c r="X2698" i="3" s="1"/>
  <c r="X2697" i="3" a="1"/>
  <c r="X2697" i="3" s="1"/>
  <c r="X2696" i="3" a="1"/>
  <c r="X2696" i="3" s="1"/>
  <c r="X2695" i="3" a="1"/>
  <c r="X2695" i="3" s="1"/>
  <c r="X2694" i="3" a="1"/>
  <c r="X2694" i="3"/>
  <c r="X2693" i="3" a="1"/>
  <c r="X2693" i="3" s="1"/>
  <c r="X2692" i="3" a="1"/>
  <c r="X2692" i="3" s="1"/>
  <c r="X2691" i="3" a="1"/>
  <c r="X2691" i="3" s="1"/>
  <c r="X2690" i="3" a="1"/>
  <c r="X2690" i="3" s="1"/>
  <c r="X2689" i="3" a="1"/>
  <c r="X2689" i="3" s="1"/>
  <c r="X2688" i="3" a="1"/>
  <c r="X2688" i="3" s="1"/>
  <c r="X2687" i="3" a="1"/>
  <c r="X2687" i="3" s="1"/>
  <c r="X2686" i="3" a="1"/>
  <c r="X2686" i="3" s="1"/>
  <c r="X2685" i="3" a="1"/>
  <c r="X2685" i="3" s="1"/>
  <c r="X2684" i="3" a="1"/>
  <c r="X2684" i="3" s="1"/>
  <c r="X2683" i="3" a="1"/>
  <c r="X2683" i="3" s="1"/>
  <c r="X2682" i="3" a="1"/>
  <c r="X2682" i="3" s="1"/>
  <c r="X2681" i="3" a="1"/>
  <c r="X2681" i="3" s="1"/>
  <c r="X2680" i="3" a="1"/>
  <c r="X2680" i="3" s="1"/>
  <c r="X2679" i="3" a="1"/>
  <c r="X2679" i="3" s="1"/>
  <c r="X2678" i="3" a="1"/>
  <c r="X2678" i="3"/>
  <c r="X2677" i="3" a="1"/>
  <c r="X2677" i="3" s="1"/>
  <c r="X2676" i="3" a="1"/>
  <c r="X2676" i="3" s="1"/>
  <c r="X2675" i="3" a="1"/>
  <c r="X2675" i="3" s="1"/>
  <c r="X2674" i="3" a="1"/>
  <c r="X2674" i="3" s="1"/>
  <c r="X2673" i="3" a="1"/>
  <c r="X2673" i="3" s="1"/>
  <c r="X2672" i="3" a="1"/>
  <c r="X2672" i="3" s="1"/>
  <c r="X2671" i="3" a="1"/>
  <c r="X2671" i="3" s="1"/>
  <c r="X2670" i="3" a="1"/>
  <c r="X2670" i="3" s="1"/>
  <c r="X2669" i="3" a="1"/>
  <c r="X2669" i="3" s="1"/>
  <c r="X2668" i="3" a="1"/>
  <c r="X2668" i="3" s="1"/>
  <c r="X2667" i="3" a="1"/>
  <c r="X2667" i="3" s="1"/>
  <c r="X2666" i="3" a="1"/>
  <c r="X2666" i="3" s="1"/>
  <c r="X2665" i="3" a="1"/>
  <c r="X2665" i="3" s="1"/>
  <c r="X2664" i="3" a="1"/>
  <c r="X2664" i="3" s="1"/>
  <c r="X2663" i="3" a="1"/>
  <c r="X2663" i="3" s="1"/>
  <c r="X2662" i="3" a="1"/>
  <c r="X2662" i="3" s="1"/>
  <c r="X2661" i="3" a="1"/>
  <c r="X2661" i="3" s="1"/>
  <c r="X2660" i="3" a="1"/>
  <c r="X2660" i="3" s="1"/>
  <c r="X2659" i="3" a="1"/>
  <c r="X2659" i="3" s="1"/>
  <c r="X2658" i="3" a="1"/>
  <c r="X2658" i="3" s="1"/>
  <c r="X2657" i="3" a="1"/>
  <c r="X2657" i="3" s="1"/>
  <c r="X2656" i="3" a="1"/>
  <c r="X2656" i="3" s="1"/>
  <c r="X2655" i="3" a="1"/>
  <c r="X2655" i="3" s="1"/>
  <c r="X2654" i="3" a="1"/>
  <c r="X2654" i="3" s="1"/>
  <c r="X2653" i="3" a="1"/>
  <c r="X2653" i="3" s="1"/>
  <c r="X2652" i="3" a="1"/>
  <c r="X2652" i="3" s="1"/>
  <c r="X2651" i="3" a="1"/>
  <c r="X2651" i="3" s="1"/>
  <c r="X2650" i="3" a="1"/>
  <c r="X2650" i="3" s="1"/>
  <c r="X2649" i="3" a="1"/>
  <c r="X2649" i="3" s="1"/>
  <c r="X2648" i="3" a="1"/>
  <c r="X2648" i="3" s="1"/>
  <c r="X2647" i="3" a="1"/>
  <c r="X2647" i="3" s="1"/>
  <c r="X2646" i="3" a="1"/>
  <c r="X2646" i="3" s="1"/>
  <c r="X2645" i="3" a="1"/>
  <c r="X2645" i="3" s="1"/>
  <c r="X2644" i="3" a="1"/>
  <c r="X2644" i="3" s="1"/>
  <c r="X2643" i="3" a="1"/>
  <c r="X2643" i="3" s="1"/>
  <c r="X2642" i="3" a="1"/>
  <c r="X2642" i="3" s="1"/>
  <c r="X2641" i="3" a="1"/>
  <c r="X2641" i="3" s="1"/>
  <c r="X2640" i="3" a="1"/>
  <c r="X2640" i="3" s="1"/>
  <c r="X2639" i="3" a="1"/>
  <c r="X2639" i="3" s="1"/>
  <c r="X2638" i="3" a="1"/>
  <c r="X2638" i="3" s="1"/>
  <c r="X2637" i="3" a="1"/>
  <c r="X2637" i="3" s="1"/>
  <c r="X2636" i="3" a="1"/>
  <c r="X2636" i="3" s="1"/>
  <c r="X2635" i="3" a="1"/>
  <c r="X2635" i="3" s="1"/>
  <c r="X2634" i="3" a="1"/>
  <c r="X2634" i="3" s="1"/>
  <c r="X2633" i="3" a="1"/>
  <c r="X2633" i="3" s="1"/>
  <c r="X2632" i="3" a="1"/>
  <c r="X2632" i="3" s="1"/>
  <c r="X2631" i="3" a="1"/>
  <c r="X2631" i="3" s="1"/>
  <c r="X2630" i="3" a="1"/>
  <c r="X2630" i="3"/>
  <c r="X2629" i="3" a="1"/>
  <c r="X2629" i="3" s="1"/>
  <c r="X2628" i="3" a="1"/>
  <c r="X2628" i="3" s="1"/>
  <c r="X2627" i="3" a="1"/>
  <c r="X2627" i="3" s="1"/>
  <c r="X2626" i="3" a="1"/>
  <c r="X2626" i="3" s="1"/>
  <c r="X2625" i="3" a="1"/>
  <c r="X2625" i="3" s="1"/>
  <c r="X2624" i="3" a="1"/>
  <c r="X2624" i="3" s="1"/>
  <c r="X2623" i="3" a="1"/>
  <c r="X2623" i="3" s="1"/>
  <c r="X2622" i="3" a="1"/>
  <c r="X2622" i="3" s="1"/>
  <c r="X2621" i="3" a="1"/>
  <c r="X2621" i="3" s="1"/>
  <c r="X2620" i="3" a="1"/>
  <c r="X2620" i="3" s="1"/>
  <c r="X2619" i="3" a="1"/>
  <c r="X2619" i="3" s="1"/>
  <c r="X2618" i="3" a="1"/>
  <c r="X2618" i="3" s="1"/>
  <c r="X2617" i="3" a="1"/>
  <c r="X2617" i="3" s="1"/>
  <c r="X2616" i="3" a="1"/>
  <c r="X2616" i="3" s="1"/>
  <c r="X2615" i="3" a="1"/>
  <c r="X2615" i="3" s="1"/>
  <c r="X2614" i="3" a="1"/>
  <c r="X2614" i="3"/>
  <c r="X2613" i="3" a="1"/>
  <c r="X2613" i="3" s="1"/>
  <c r="X2612" i="3" a="1"/>
  <c r="X2612" i="3" s="1"/>
  <c r="X2611" i="3" a="1"/>
  <c r="X2611" i="3" s="1"/>
  <c r="X2610" i="3" a="1"/>
  <c r="X2610" i="3" s="1"/>
  <c r="X2609" i="3" a="1"/>
  <c r="X2609" i="3" s="1"/>
  <c r="X2608" i="3" a="1"/>
  <c r="X2608" i="3" s="1"/>
  <c r="X2607" i="3" a="1"/>
  <c r="X2607" i="3" s="1"/>
  <c r="X2606" i="3" a="1"/>
  <c r="X2606" i="3" s="1"/>
  <c r="X2605" i="3" a="1"/>
  <c r="X2605" i="3" s="1"/>
  <c r="X2604" i="3" a="1"/>
  <c r="X2604" i="3" s="1"/>
  <c r="X2603" i="3" a="1"/>
  <c r="X2603" i="3" s="1"/>
  <c r="X2602" i="3" a="1"/>
  <c r="X2602" i="3" s="1"/>
  <c r="X2601" i="3" a="1"/>
  <c r="X2601" i="3" s="1"/>
  <c r="X2600" i="3" a="1"/>
  <c r="X2600" i="3" s="1"/>
  <c r="X2599" i="3" a="1"/>
  <c r="X2599" i="3" s="1"/>
  <c r="X2598" i="3" a="1"/>
  <c r="X2598" i="3" s="1"/>
  <c r="X2597" i="3" a="1"/>
  <c r="X2597" i="3" s="1"/>
  <c r="X2596" i="3" a="1"/>
  <c r="X2596" i="3" s="1"/>
  <c r="X2595" i="3" a="1"/>
  <c r="X2595" i="3" s="1"/>
  <c r="X2594" i="3" a="1"/>
  <c r="X2594" i="3" s="1"/>
  <c r="X2593" i="3" a="1"/>
  <c r="X2593" i="3" s="1"/>
  <c r="X2592" i="3" a="1"/>
  <c r="X2592" i="3" s="1"/>
  <c r="X2591" i="3" a="1"/>
  <c r="X2591" i="3" s="1"/>
  <c r="X2590" i="3" a="1"/>
  <c r="X2590" i="3" s="1"/>
  <c r="X2589" i="3" a="1"/>
  <c r="X2589" i="3" s="1"/>
  <c r="X2588" i="3" a="1"/>
  <c r="X2588" i="3" s="1"/>
  <c r="X2587" i="3" a="1"/>
  <c r="X2587" i="3" s="1"/>
  <c r="X2586" i="3" a="1"/>
  <c r="X2586" i="3" s="1"/>
  <c r="X2585" i="3" a="1"/>
  <c r="X2585" i="3" s="1"/>
  <c r="X2584" i="3" a="1"/>
  <c r="X2584" i="3" s="1"/>
  <c r="X2583" i="3" a="1"/>
  <c r="X2583" i="3" s="1"/>
  <c r="X2582" i="3" a="1"/>
  <c r="X2582" i="3"/>
  <c r="X2581" i="3" a="1"/>
  <c r="X2581" i="3" s="1"/>
  <c r="X2580" i="3" a="1"/>
  <c r="X2580" i="3" s="1"/>
  <c r="X2579" i="3" a="1"/>
  <c r="X2579" i="3" s="1"/>
  <c r="X2578" i="3" a="1"/>
  <c r="X2578" i="3" s="1"/>
  <c r="X2577" i="3" a="1"/>
  <c r="X2577" i="3" s="1"/>
  <c r="X2576" i="3" a="1"/>
  <c r="X2576" i="3" s="1"/>
  <c r="X2575" i="3" a="1"/>
  <c r="X2575" i="3" s="1"/>
  <c r="X2574" i="3" a="1"/>
  <c r="X2574" i="3" s="1"/>
  <c r="X2573" i="3" a="1"/>
  <c r="X2573" i="3" s="1"/>
  <c r="X2572" i="3" a="1"/>
  <c r="X2572" i="3" s="1"/>
  <c r="X2571" i="3" a="1"/>
  <c r="X2571" i="3" s="1"/>
  <c r="X2570" i="3" a="1"/>
  <c r="X2570" i="3" s="1"/>
  <c r="X2569" i="3" a="1"/>
  <c r="X2569" i="3" s="1"/>
  <c r="X2568" i="3" a="1"/>
  <c r="X2568" i="3" s="1"/>
  <c r="X2567" i="3" a="1"/>
  <c r="X2567" i="3" s="1"/>
  <c r="X2566" i="3" a="1"/>
  <c r="X2566" i="3"/>
  <c r="X2565" i="3" a="1"/>
  <c r="X2565" i="3" s="1"/>
  <c r="X2564" i="3" a="1"/>
  <c r="X2564" i="3" s="1"/>
  <c r="X2563" i="3" a="1"/>
  <c r="X2563" i="3" s="1"/>
  <c r="X2562" i="3" a="1"/>
  <c r="X2562" i="3" s="1"/>
  <c r="X2561" i="3" a="1"/>
  <c r="X2561" i="3" s="1"/>
  <c r="X2560" i="3" a="1"/>
  <c r="X2560" i="3" s="1"/>
  <c r="X2559" i="3" a="1"/>
  <c r="X2559" i="3" s="1"/>
  <c r="X2558" i="3" a="1"/>
  <c r="X2558" i="3" s="1"/>
  <c r="X2557" i="3" a="1"/>
  <c r="X2557" i="3" s="1"/>
  <c r="X2556" i="3" a="1"/>
  <c r="X2556" i="3" s="1"/>
  <c r="X2555" i="3" a="1"/>
  <c r="X2555" i="3" s="1"/>
  <c r="X2554" i="3" a="1"/>
  <c r="X2554" i="3" s="1"/>
  <c r="X2553" i="3" a="1"/>
  <c r="X2553" i="3" s="1"/>
  <c r="X2552" i="3" a="1"/>
  <c r="X2552" i="3" s="1"/>
  <c r="X2551" i="3" a="1"/>
  <c r="X2551" i="3" s="1"/>
  <c r="X2550" i="3" a="1"/>
  <c r="X2550" i="3"/>
  <c r="X2549" i="3" a="1"/>
  <c r="X2549" i="3" s="1"/>
  <c r="X2548" i="3" a="1"/>
  <c r="X2548" i="3" s="1"/>
  <c r="X2547" i="3" a="1"/>
  <c r="X2547" i="3" s="1"/>
  <c r="X2546" i="3" a="1"/>
  <c r="X2546" i="3" s="1"/>
  <c r="X2545" i="3" a="1"/>
  <c r="X2545" i="3" s="1"/>
  <c r="X2544" i="3" a="1"/>
  <c r="X2544" i="3" s="1"/>
  <c r="X2543" i="3" a="1"/>
  <c r="X2543" i="3" s="1"/>
  <c r="X2542" i="3" a="1"/>
  <c r="X2542" i="3" s="1"/>
  <c r="X2541" i="3" a="1"/>
  <c r="X2541" i="3" s="1"/>
  <c r="X2540" i="3" a="1"/>
  <c r="X2540" i="3" s="1"/>
  <c r="X2539" i="3" a="1"/>
  <c r="X2539" i="3" s="1"/>
  <c r="X2538" i="3" a="1"/>
  <c r="X2538" i="3" s="1"/>
  <c r="X2537" i="3" a="1"/>
  <c r="X2537" i="3" s="1"/>
  <c r="X2536" i="3" a="1"/>
  <c r="X2536" i="3" s="1"/>
  <c r="X2535" i="3" a="1"/>
  <c r="X2535" i="3" s="1"/>
  <c r="X2534" i="3" a="1"/>
  <c r="X2534" i="3" s="1"/>
  <c r="X2533" i="3" a="1"/>
  <c r="X2533" i="3" s="1"/>
  <c r="X2532" i="3" a="1"/>
  <c r="X2532" i="3" s="1"/>
  <c r="X2531" i="3" a="1"/>
  <c r="X2531" i="3" s="1"/>
  <c r="X2530" i="3" a="1"/>
  <c r="X2530" i="3" s="1"/>
  <c r="X2529" i="3" a="1"/>
  <c r="X2529" i="3" s="1"/>
  <c r="X2528" i="3" a="1"/>
  <c r="X2528" i="3" s="1"/>
  <c r="X2527" i="3" a="1"/>
  <c r="X2527" i="3" s="1"/>
  <c r="X2526" i="3" a="1"/>
  <c r="X2526" i="3" s="1"/>
  <c r="X2525" i="3" a="1"/>
  <c r="X2525" i="3" s="1"/>
  <c r="X2524" i="3" a="1"/>
  <c r="X2524" i="3" s="1"/>
  <c r="X2523" i="3" a="1"/>
  <c r="X2523" i="3" s="1"/>
  <c r="X2522" i="3" a="1"/>
  <c r="X2522" i="3" s="1"/>
  <c r="X2521" i="3" a="1"/>
  <c r="X2521" i="3" s="1"/>
  <c r="X2520" i="3" a="1"/>
  <c r="X2520" i="3" s="1"/>
  <c r="X2519" i="3" a="1"/>
  <c r="X2519" i="3" s="1"/>
  <c r="X2518" i="3" a="1"/>
  <c r="X2518" i="3"/>
  <c r="X2517" i="3" a="1"/>
  <c r="X2517" i="3" s="1"/>
  <c r="X2516" i="3" a="1"/>
  <c r="X2516" i="3" s="1"/>
  <c r="X2515" i="3" a="1"/>
  <c r="X2515" i="3" s="1"/>
  <c r="X2514" i="3" a="1"/>
  <c r="X2514" i="3" s="1"/>
  <c r="X2513" i="3" a="1"/>
  <c r="X2513" i="3" s="1"/>
  <c r="X2512" i="3" a="1"/>
  <c r="X2512" i="3" s="1"/>
  <c r="X2511" i="3" a="1"/>
  <c r="X2511" i="3" s="1"/>
  <c r="X2510" i="3" a="1"/>
  <c r="X2510" i="3" s="1"/>
  <c r="X2509" i="3" a="1"/>
  <c r="X2509" i="3" s="1"/>
  <c r="X2508" i="3" a="1"/>
  <c r="X2508" i="3" s="1"/>
  <c r="X2507" i="3" a="1"/>
  <c r="X2507" i="3" s="1"/>
  <c r="X2506" i="3" a="1"/>
  <c r="X2506" i="3" s="1"/>
  <c r="X2505" i="3" a="1"/>
  <c r="X2505" i="3" s="1"/>
  <c r="X2504" i="3" a="1"/>
  <c r="X2504" i="3" s="1"/>
  <c r="X2503" i="3" a="1"/>
  <c r="X2503" i="3" s="1"/>
  <c r="X2502" i="3" a="1"/>
  <c r="X2502" i="3" s="1"/>
  <c r="X2501" i="3" a="1"/>
  <c r="X2501" i="3" s="1"/>
  <c r="X2500" i="3" a="1"/>
  <c r="X2500" i="3" s="1"/>
  <c r="X2499" i="3" a="1"/>
  <c r="X2499" i="3" s="1"/>
  <c r="X2498" i="3" a="1"/>
  <c r="X2498" i="3" s="1"/>
  <c r="X2497" i="3" a="1"/>
  <c r="X2497" i="3" s="1"/>
  <c r="X2496" i="3" a="1"/>
  <c r="X2496" i="3" s="1"/>
  <c r="X2495" i="3" a="1"/>
  <c r="X2495" i="3" s="1"/>
  <c r="X2494" i="3" a="1"/>
  <c r="X2494" i="3" s="1"/>
  <c r="X2493" i="3" a="1"/>
  <c r="X2493" i="3" s="1"/>
  <c r="X2492" i="3" a="1"/>
  <c r="X2492" i="3" s="1"/>
  <c r="X2491" i="3" a="1"/>
  <c r="X2491" i="3" s="1"/>
  <c r="X2490" i="3" a="1"/>
  <c r="X2490" i="3" s="1"/>
  <c r="X2489" i="3" a="1"/>
  <c r="X2489" i="3" s="1"/>
  <c r="X2488" i="3" a="1"/>
  <c r="X2488" i="3" s="1"/>
  <c r="X2487" i="3" a="1"/>
  <c r="X2487" i="3" s="1"/>
  <c r="X2486" i="3" a="1"/>
  <c r="X2486" i="3" s="1"/>
  <c r="X2485" i="3" a="1"/>
  <c r="X2485" i="3" s="1"/>
  <c r="X2484" i="3" a="1"/>
  <c r="X2484" i="3" s="1"/>
  <c r="X2483" i="3" a="1"/>
  <c r="X2483" i="3" s="1"/>
  <c r="X2482" i="3" a="1"/>
  <c r="X2482" i="3" s="1"/>
  <c r="X2481" i="3" a="1"/>
  <c r="X2481" i="3" s="1"/>
  <c r="X2480" i="3" a="1"/>
  <c r="X2480" i="3" s="1"/>
  <c r="X2479" i="3" a="1"/>
  <c r="X2479" i="3" s="1"/>
  <c r="X2478" i="3" a="1"/>
  <c r="X2478" i="3" s="1"/>
  <c r="X2477" i="3" a="1"/>
  <c r="X2477" i="3" s="1"/>
  <c r="X2476" i="3" a="1"/>
  <c r="X2476" i="3" s="1"/>
  <c r="X2475" i="3" a="1"/>
  <c r="X2475" i="3" s="1"/>
  <c r="X2474" i="3" a="1"/>
  <c r="X2474" i="3" s="1"/>
  <c r="X2473" i="3" a="1"/>
  <c r="X2473" i="3" s="1"/>
  <c r="X2472" i="3" a="1"/>
  <c r="X2472" i="3" s="1"/>
  <c r="X2471" i="3" a="1"/>
  <c r="X2471" i="3" s="1"/>
  <c r="X2470" i="3" a="1"/>
  <c r="X2470" i="3" s="1"/>
  <c r="X2469" i="3" a="1"/>
  <c r="X2469" i="3" s="1"/>
  <c r="X2468" i="3" a="1"/>
  <c r="X2468" i="3" s="1"/>
  <c r="X2467" i="3" a="1"/>
  <c r="X2467" i="3" s="1"/>
  <c r="X2466" i="3" a="1"/>
  <c r="X2466" i="3" s="1"/>
  <c r="X2465" i="3" a="1"/>
  <c r="X2465" i="3" s="1"/>
  <c r="X2464" i="3" a="1"/>
  <c r="X2464" i="3" s="1"/>
  <c r="X2463" i="3" a="1"/>
  <c r="X2463" i="3" s="1"/>
  <c r="X2462" i="3" a="1"/>
  <c r="X2462" i="3" s="1"/>
  <c r="X2461" i="3" a="1"/>
  <c r="X2461" i="3" s="1"/>
  <c r="X2460" i="3" a="1"/>
  <c r="X2460" i="3" s="1"/>
  <c r="X2459" i="3" a="1"/>
  <c r="X2459" i="3" s="1"/>
  <c r="X2458" i="3" a="1"/>
  <c r="X2458" i="3" s="1"/>
  <c r="X2457" i="3" a="1"/>
  <c r="X2457" i="3" s="1"/>
  <c r="X2456" i="3" a="1"/>
  <c r="X2456" i="3" s="1"/>
  <c r="X2455" i="3" a="1"/>
  <c r="X2455" i="3" s="1"/>
  <c r="X2454" i="3" a="1"/>
  <c r="X2454" i="3" s="1"/>
  <c r="X2453" i="3" a="1"/>
  <c r="X2453" i="3" s="1"/>
  <c r="X2452" i="3" a="1"/>
  <c r="X2452" i="3" s="1"/>
  <c r="X2451" i="3" a="1"/>
  <c r="X2451" i="3" s="1"/>
  <c r="X2450" i="3" a="1"/>
  <c r="X2450" i="3" s="1"/>
  <c r="X2449" i="3" a="1"/>
  <c r="X2449" i="3" s="1"/>
  <c r="X2448" i="3" a="1"/>
  <c r="X2448" i="3" s="1"/>
  <c r="X2447" i="3" a="1"/>
  <c r="X2447" i="3" s="1"/>
  <c r="X2446" i="3" a="1"/>
  <c r="X2446" i="3" s="1"/>
  <c r="X2445" i="3" a="1"/>
  <c r="X2445" i="3" s="1"/>
  <c r="X2444" i="3" a="1"/>
  <c r="X2444" i="3" s="1"/>
  <c r="X2443" i="3" a="1"/>
  <c r="X2443" i="3" s="1"/>
  <c r="X2442" i="3" a="1"/>
  <c r="X2442" i="3" s="1"/>
  <c r="X2441" i="3" a="1"/>
  <c r="X2441" i="3" s="1"/>
  <c r="X2440" i="3" a="1"/>
  <c r="X2440" i="3" s="1"/>
  <c r="X2439" i="3" a="1"/>
  <c r="X2439" i="3" s="1"/>
  <c r="X2438" i="3" a="1"/>
  <c r="X2438" i="3"/>
  <c r="X2437" i="3" a="1"/>
  <c r="X2437" i="3" s="1"/>
  <c r="X2436" i="3" a="1"/>
  <c r="X2436" i="3" s="1"/>
  <c r="X2435" i="3" a="1"/>
  <c r="X2435" i="3" s="1"/>
  <c r="X2434" i="3" a="1"/>
  <c r="X2434" i="3" s="1"/>
  <c r="X2433" i="3" a="1"/>
  <c r="X2433" i="3"/>
  <c r="X2432" i="3" a="1"/>
  <c r="X2432" i="3" s="1"/>
  <c r="X2431" i="3" a="1"/>
  <c r="X2431" i="3" s="1"/>
  <c r="X2430" i="3" a="1"/>
  <c r="X2430" i="3" s="1"/>
  <c r="X2429" i="3" a="1"/>
  <c r="X2429" i="3"/>
  <c r="X2428" i="3" a="1"/>
  <c r="X2428" i="3" s="1"/>
  <c r="X2427" i="3" a="1"/>
  <c r="X2427" i="3" s="1"/>
  <c r="X2426" i="3" a="1"/>
  <c r="X2426" i="3"/>
  <c r="X2425" i="3" a="1"/>
  <c r="X2425" i="3" s="1"/>
  <c r="X2424" i="3" a="1"/>
  <c r="X2424" i="3" s="1"/>
  <c r="X2423" i="3" a="1"/>
  <c r="X2423" i="3" s="1"/>
  <c r="X2422" i="3" a="1"/>
  <c r="X2422" i="3" s="1"/>
  <c r="X2421" i="3" a="1"/>
  <c r="X2421" i="3" s="1"/>
  <c r="X2420" i="3" a="1"/>
  <c r="X2420" i="3"/>
  <c r="X2419" i="3" a="1"/>
  <c r="X2419" i="3" s="1"/>
  <c r="X2418" i="3" a="1"/>
  <c r="X2418" i="3" s="1"/>
  <c r="X2417" i="3" a="1"/>
  <c r="X2417" i="3" s="1"/>
  <c r="X2416" i="3" a="1"/>
  <c r="X2416" i="3"/>
  <c r="X2415" i="3" a="1"/>
  <c r="X2415" i="3" s="1"/>
  <c r="X2414" i="3" a="1"/>
  <c r="X2414" i="3" s="1"/>
  <c r="X2413" i="3" a="1"/>
  <c r="X2413" i="3" s="1"/>
  <c r="X2412" i="3" a="1"/>
  <c r="X2412" i="3" s="1"/>
  <c r="X2411" i="3" a="1"/>
  <c r="X2411" i="3" s="1"/>
  <c r="X2410" i="3" a="1"/>
  <c r="X2410" i="3" s="1"/>
  <c r="X2409" i="3" a="1"/>
  <c r="X2409" i="3" s="1"/>
  <c r="X2408" i="3" a="1"/>
  <c r="X2408" i="3"/>
  <c r="X2407" i="3" a="1"/>
  <c r="X2407" i="3" s="1"/>
  <c r="X2406" i="3" a="1"/>
  <c r="X2406" i="3" s="1"/>
  <c r="X2405" i="3" a="1"/>
  <c r="X2405" i="3" s="1"/>
  <c r="X2404" i="3" a="1"/>
  <c r="X2404" i="3"/>
  <c r="X2403" i="3" a="1"/>
  <c r="X2403" i="3" s="1"/>
  <c r="X2402" i="3" a="1"/>
  <c r="X2402" i="3" s="1"/>
  <c r="X2401" i="3" a="1"/>
  <c r="X2401" i="3" s="1"/>
  <c r="X2400" i="3" a="1"/>
  <c r="X2400" i="3" s="1"/>
  <c r="X2399" i="3" a="1"/>
  <c r="X2399" i="3" s="1"/>
  <c r="X2398" i="3" a="1"/>
  <c r="X2398" i="3" s="1"/>
  <c r="X2397" i="3" a="1"/>
  <c r="X2397" i="3" s="1"/>
  <c r="X2396" i="3" a="1"/>
  <c r="X2396" i="3" s="1"/>
  <c r="X2395" i="3" a="1"/>
  <c r="X2395" i="3" s="1"/>
  <c r="X2394" i="3" a="1"/>
  <c r="X2394" i="3" s="1"/>
  <c r="X2393" i="3" a="1"/>
  <c r="X2393" i="3" s="1"/>
  <c r="X2392" i="3" a="1"/>
  <c r="X2392" i="3" s="1"/>
  <c r="X2391" i="3" a="1"/>
  <c r="X2391" i="3" s="1"/>
  <c r="X2390" i="3" a="1"/>
  <c r="X2390" i="3" s="1"/>
  <c r="X2389" i="3" a="1"/>
  <c r="X2389" i="3" s="1"/>
  <c r="X2388" i="3" a="1"/>
  <c r="X2388" i="3" s="1"/>
  <c r="X2387" i="3" a="1"/>
  <c r="X2387" i="3" s="1"/>
  <c r="X2386" i="3" a="1"/>
  <c r="X2386" i="3" s="1"/>
  <c r="X2385" i="3" a="1"/>
  <c r="X2385" i="3" s="1"/>
  <c r="X2384" i="3" a="1"/>
  <c r="X2384" i="3" s="1"/>
  <c r="X2383" i="3" a="1"/>
  <c r="X2383" i="3" s="1"/>
  <c r="X2382" i="3" a="1"/>
  <c r="X2382" i="3" s="1"/>
  <c r="X2381" i="3" a="1"/>
  <c r="X2381" i="3" s="1"/>
  <c r="X2380" i="3" a="1"/>
  <c r="X2380" i="3" s="1"/>
  <c r="X2379" i="3" a="1"/>
  <c r="X2379" i="3" s="1"/>
  <c r="X2378" i="3" a="1"/>
  <c r="X2378" i="3" s="1"/>
  <c r="X2377" i="3" a="1"/>
  <c r="X2377" i="3" s="1"/>
  <c r="X2376" i="3" a="1"/>
  <c r="X2376" i="3" s="1"/>
  <c r="X2375" i="3" a="1"/>
  <c r="X2375" i="3" s="1"/>
  <c r="X2374" i="3" a="1"/>
  <c r="X2374" i="3" s="1"/>
  <c r="X2373" i="3" a="1"/>
  <c r="X2373" i="3" s="1"/>
  <c r="X2372" i="3" a="1"/>
  <c r="X2372" i="3"/>
  <c r="X2371" i="3" a="1"/>
  <c r="X2371" i="3" s="1"/>
  <c r="X2370" i="3" a="1"/>
  <c r="X2370" i="3" s="1"/>
  <c r="X2369" i="3" a="1"/>
  <c r="X2369" i="3" s="1"/>
  <c r="X2368" i="3" a="1"/>
  <c r="X2368" i="3" s="1"/>
  <c r="X2367" i="3" a="1"/>
  <c r="X2367" i="3" s="1"/>
  <c r="X2366" i="3" a="1"/>
  <c r="X2366" i="3" s="1"/>
  <c r="X2365" i="3" a="1"/>
  <c r="X2365" i="3" s="1"/>
  <c r="X2364" i="3" a="1"/>
  <c r="X2364" i="3"/>
  <c r="X2363" i="3" a="1"/>
  <c r="X2363" i="3" s="1"/>
  <c r="X2362" i="3" a="1"/>
  <c r="X2362" i="3" s="1"/>
  <c r="X2361" i="3" a="1"/>
  <c r="X2361" i="3" s="1"/>
  <c r="X2360" i="3" a="1"/>
  <c r="X2360" i="3" s="1"/>
  <c r="X2359" i="3" a="1"/>
  <c r="X2359" i="3" s="1"/>
  <c r="X2358" i="3" a="1"/>
  <c r="X2358" i="3" s="1"/>
  <c r="X2357" i="3" a="1"/>
  <c r="X2357" i="3" s="1"/>
  <c r="X2356" i="3" a="1"/>
  <c r="X2356" i="3"/>
  <c r="X2355" i="3" a="1"/>
  <c r="X2355" i="3" s="1"/>
  <c r="X2354" i="3" a="1"/>
  <c r="X2354" i="3" s="1"/>
  <c r="X2353" i="3" a="1"/>
  <c r="X2353" i="3" s="1"/>
  <c r="X2352" i="3" a="1"/>
  <c r="X2352" i="3" s="1"/>
  <c r="X2351" i="3" a="1"/>
  <c r="X2351" i="3" s="1"/>
  <c r="X2350" i="3" a="1"/>
  <c r="X2350" i="3" s="1"/>
  <c r="X2349" i="3" a="1"/>
  <c r="X2349" i="3" s="1"/>
  <c r="X2348" i="3" a="1"/>
  <c r="X2348" i="3"/>
  <c r="X2347" i="3" a="1"/>
  <c r="X2347" i="3" s="1"/>
  <c r="X2346" i="3" a="1"/>
  <c r="X2346" i="3" s="1"/>
  <c r="X2345" i="3" a="1"/>
  <c r="X2345" i="3" s="1"/>
  <c r="X2344" i="3" a="1"/>
  <c r="X2344" i="3" s="1"/>
  <c r="X2343" i="3" a="1"/>
  <c r="X2343" i="3" s="1"/>
  <c r="X2342" i="3" a="1"/>
  <c r="X2342" i="3" s="1"/>
  <c r="X2341" i="3" a="1"/>
  <c r="X2341" i="3" s="1"/>
  <c r="X2340" i="3" a="1"/>
  <c r="X2340" i="3" s="1"/>
  <c r="X2339" i="3" a="1"/>
  <c r="X2339" i="3" s="1"/>
  <c r="X2338" i="3" a="1"/>
  <c r="X2338" i="3" s="1"/>
  <c r="X2337" i="3" a="1"/>
  <c r="X2337" i="3" s="1"/>
  <c r="X2336" i="3" a="1"/>
  <c r="X2336" i="3" s="1"/>
  <c r="X2335" i="3" a="1"/>
  <c r="X2335" i="3" s="1"/>
  <c r="X2334" i="3" a="1"/>
  <c r="X2334" i="3" s="1"/>
  <c r="X2333" i="3" a="1"/>
  <c r="X2333" i="3" s="1"/>
  <c r="X2332" i="3" a="1"/>
  <c r="X2332" i="3"/>
  <c r="X2331" i="3" a="1"/>
  <c r="X2331" i="3" s="1"/>
  <c r="X2330" i="3" a="1"/>
  <c r="X2330" i="3" s="1"/>
  <c r="X2329" i="3" a="1"/>
  <c r="X2329" i="3" s="1"/>
  <c r="X2328" i="3" a="1"/>
  <c r="X2328" i="3" s="1"/>
  <c r="X2327" i="3" a="1"/>
  <c r="X2327" i="3" s="1"/>
  <c r="X2326" i="3" a="1"/>
  <c r="X2326" i="3" s="1"/>
  <c r="X2325" i="3" a="1"/>
  <c r="X2325" i="3" s="1"/>
  <c r="X2324" i="3" a="1"/>
  <c r="X2324" i="3"/>
  <c r="X2323" i="3" a="1"/>
  <c r="X2323" i="3" s="1"/>
  <c r="X2322" i="3" a="1"/>
  <c r="X2322" i="3" s="1"/>
  <c r="X2321" i="3" a="1"/>
  <c r="X2321" i="3" s="1"/>
  <c r="X2320" i="3" a="1"/>
  <c r="X2320" i="3" s="1"/>
  <c r="X2319" i="3" a="1"/>
  <c r="X2319" i="3" s="1"/>
  <c r="X2318" i="3" a="1"/>
  <c r="X2318" i="3" s="1"/>
  <c r="X2317" i="3" a="1"/>
  <c r="X2317" i="3" s="1"/>
  <c r="X2316" i="3" a="1"/>
  <c r="X2316" i="3"/>
  <c r="X2315" i="3" a="1"/>
  <c r="X2315" i="3" s="1"/>
  <c r="X2314" i="3" a="1"/>
  <c r="X2314" i="3" s="1"/>
  <c r="X2313" i="3" a="1"/>
  <c r="X2313" i="3" s="1"/>
  <c r="X2312" i="3" a="1"/>
  <c r="X2312" i="3" s="1"/>
  <c r="X2311" i="3" a="1"/>
  <c r="X2311" i="3" s="1"/>
  <c r="X2310" i="3" a="1"/>
  <c r="X2310" i="3" s="1"/>
  <c r="X2309" i="3" a="1"/>
  <c r="X2309" i="3" s="1"/>
  <c r="X2308" i="3" a="1"/>
  <c r="X2308" i="3" s="1"/>
  <c r="X2307" i="3" a="1"/>
  <c r="X2307" i="3" s="1"/>
  <c r="X2306" i="3" a="1"/>
  <c r="X2306" i="3" s="1"/>
  <c r="X2305" i="3" a="1"/>
  <c r="X2305" i="3" s="1"/>
  <c r="X2304" i="3" a="1"/>
  <c r="X2304" i="3" s="1"/>
  <c r="X2303" i="3" a="1"/>
  <c r="X2303" i="3" s="1"/>
  <c r="X2302" i="3" a="1"/>
  <c r="X2302" i="3" s="1"/>
  <c r="X2301" i="3" a="1"/>
  <c r="X2301" i="3" s="1"/>
  <c r="X2300" i="3" a="1"/>
  <c r="X2300" i="3" s="1"/>
  <c r="X2299" i="3" a="1"/>
  <c r="X2299" i="3" s="1"/>
  <c r="X2298" i="3" a="1"/>
  <c r="X2298" i="3" s="1"/>
  <c r="X2297" i="3" a="1"/>
  <c r="X2297" i="3" s="1"/>
  <c r="X2296" i="3" a="1"/>
  <c r="X2296" i="3" s="1"/>
  <c r="X2295" i="3" a="1"/>
  <c r="X2295" i="3" s="1"/>
  <c r="X2294" i="3" a="1"/>
  <c r="X2294" i="3" s="1"/>
  <c r="X2293" i="3" a="1"/>
  <c r="X2293" i="3" s="1"/>
  <c r="X2292" i="3" a="1"/>
  <c r="X2292" i="3"/>
  <c r="X2291" i="3" a="1"/>
  <c r="X2291" i="3" s="1"/>
  <c r="X2290" i="3" a="1"/>
  <c r="X2290" i="3" s="1"/>
  <c r="X2289" i="3" a="1"/>
  <c r="X2289" i="3" s="1"/>
  <c r="X2288" i="3" a="1"/>
  <c r="X2288" i="3" s="1"/>
  <c r="X2287" i="3" a="1"/>
  <c r="X2287" i="3" s="1"/>
  <c r="X2286" i="3" a="1"/>
  <c r="X2286" i="3" s="1"/>
  <c r="X2285" i="3" a="1"/>
  <c r="X2285" i="3" s="1"/>
  <c r="X2284" i="3" a="1"/>
  <c r="X2284" i="3"/>
  <c r="X2283" i="3" a="1"/>
  <c r="X2283" i="3" s="1"/>
  <c r="X2282" i="3" a="1"/>
  <c r="X2282" i="3" s="1"/>
  <c r="X2281" i="3" a="1"/>
  <c r="X2281" i="3" s="1"/>
  <c r="X2280" i="3" a="1"/>
  <c r="X2280" i="3" s="1"/>
  <c r="X2279" i="3" a="1"/>
  <c r="X2279" i="3" s="1"/>
  <c r="X2278" i="3" a="1"/>
  <c r="X2278" i="3" s="1"/>
  <c r="X2277" i="3" a="1"/>
  <c r="X2277" i="3" s="1"/>
  <c r="X2276" i="3" a="1"/>
  <c r="X2276" i="3" s="1"/>
  <c r="X2275" i="3" a="1"/>
  <c r="X2275" i="3" s="1"/>
  <c r="X2274" i="3" a="1"/>
  <c r="X2274" i="3" s="1"/>
  <c r="X2273" i="3" a="1"/>
  <c r="X2273" i="3" s="1"/>
  <c r="X2272" i="3" a="1"/>
  <c r="X2272" i="3" s="1"/>
  <c r="X2271" i="3" a="1"/>
  <c r="X2271" i="3" s="1"/>
  <c r="X2270" i="3" a="1"/>
  <c r="X2270" i="3" s="1"/>
  <c r="X2269" i="3" a="1"/>
  <c r="X2269" i="3" s="1"/>
  <c r="X2268" i="3" a="1"/>
  <c r="X2268" i="3" s="1"/>
  <c r="X2267" i="3" a="1"/>
  <c r="X2267" i="3" s="1"/>
  <c r="X2266" i="3" a="1"/>
  <c r="X2266" i="3" s="1"/>
  <c r="X2265" i="3" a="1"/>
  <c r="X2265" i="3" s="1"/>
  <c r="X2264" i="3" a="1"/>
  <c r="X2264" i="3" s="1"/>
  <c r="X2263" i="3" a="1"/>
  <c r="X2263" i="3" s="1"/>
  <c r="X2262" i="3" a="1"/>
  <c r="X2262" i="3" s="1"/>
  <c r="X2261" i="3" a="1"/>
  <c r="X2261" i="3" s="1"/>
  <c r="X2260" i="3" a="1"/>
  <c r="X2260" i="3" s="1"/>
  <c r="X2259" i="3" a="1"/>
  <c r="X2259" i="3" s="1"/>
  <c r="X2258" i="3" a="1"/>
  <c r="X2258" i="3" s="1"/>
  <c r="X2257" i="3" a="1"/>
  <c r="X2257" i="3" s="1"/>
  <c r="X2256" i="3" a="1"/>
  <c r="X2256" i="3" s="1"/>
  <c r="X2255" i="3" a="1"/>
  <c r="X2255" i="3" s="1"/>
  <c r="X2254" i="3" a="1"/>
  <c r="X2254" i="3" s="1"/>
  <c r="X2253" i="3" a="1"/>
  <c r="X2253" i="3" s="1"/>
  <c r="X2252" i="3" a="1"/>
  <c r="X2252" i="3"/>
  <c r="X2251" i="3" a="1"/>
  <c r="X2251" i="3" s="1"/>
  <c r="X2250" i="3" a="1"/>
  <c r="X2250" i="3" s="1"/>
  <c r="X2249" i="3" a="1"/>
  <c r="X2249" i="3" s="1"/>
  <c r="X2248" i="3" a="1"/>
  <c r="X2248" i="3" s="1"/>
  <c r="X2247" i="3" a="1"/>
  <c r="X2247" i="3" s="1"/>
  <c r="X2246" i="3" a="1"/>
  <c r="X2246" i="3" s="1"/>
  <c r="X2245" i="3" a="1"/>
  <c r="X2245" i="3" s="1"/>
  <c r="X2244" i="3" a="1"/>
  <c r="X2244" i="3"/>
  <c r="X2243" i="3" a="1"/>
  <c r="X2243" i="3" s="1"/>
  <c r="X2242" i="3" a="1"/>
  <c r="X2242" i="3" s="1"/>
  <c r="X2241" i="3" a="1"/>
  <c r="X2241" i="3" s="1"/>
  <c r="X2240" i="3" a="1"/>
  <c r="X2240" i="3" s="1"/>
  <c r="X2239" i="3" a="1"/>
  <c r="X2239" i="3" s="1"/>
  <c r="X2238" i="3" a="1"/>
  <c r="X2238" i="3" s="1"/>
  <c r="X2237" i="3" a="1"/>
  <c r="X2237" i="3" s="1"/>
  <c r="X2236" i="3" a="1"/>
  <c r="X2236" i="3"/>
  <c r="X2235" i="3" a="1"/>
  <c r="X2235" i="3" s="1"/>
  <c r="X2234" i="3" a="1"/>
  <c r="X2234" i="3" s="1"/>
  <c r="X2233" i="3" a="1"/>
  <c r="X2233" i="3" s="1"/>
  <c r="X2232" i="3" a="1"/>
  <c r="X2232" i="3" s="1"/>
  <c r="X2231" i="3" a="1"/>
  <c r="X2231" i="3" s="1"/>
  <c r="X2230" i="3" a="1"/>
  <c r="X2230" i="3" s="1"/>
  <c r="X2229" i="3" a="1"/>
  <c r="X2229" i="3" s="1"/>
  <c r="X2228" i="3" a="1"/>
  <c r="X2228" i="3"/>
  <c r="X2227" i="3" a="1"/>
  <c r="X2227" i="3" s="1"/>
  <c r="X2226" i="3" a="1"/>
  <c r="X2226" i="3" s="1"/>
  <c r="X2225" i="3" a="1"/>
  <c r="X2225" i="3" s="1"/>
  <c r="X2224" i="3" a="1"/>
  <c r="X2224" i="3" s="1"/>
  <c r="X2223" i="3" a="1"/>
  <c r="X2223" i="3" s="1"/>
  <c r="X2222" i="3" a="1"/>
  <c r="X2222" i="3" s="1"/>
  <c r="X2221" i="3" a="1"/>
  <c r="X2221" i="3" s="1"/>
  <c r="X2220" i="3" a="1"/>
  <c r="X2220" i="3" s="1"/>
  <c r="X2219" i="3" a="1"/>
  <c r="X2219" i="3" s="1"/>
  <c r="X2218" i="3" a="1"/>
  <c r="X2218" i="3" s="1"/>
  <c r="X2217" i="3" a="1"/>
  <c r="X2217" i="3" s="1"/>
  <c r="X2216" i="3" a="1"/>
  <c r="X2216" i="3" s="1"/>
  <c r="X2215" i="3" a="1"/>
  <c r="X2215" i="3" s="1"/>
  <c r="X2214" i="3" a="1"/>
  <c r="X2214" i="3" s="1"/>
  <c r="X2213" i="3" a="1"/>
  <c r="X2213" i="3" s="1"/>
  <c r="X2212" i="3" a="1"/>
  <c r="X2212" i="3" s="1"/>
  <c r="X2211" i="3" a="1"/>
  <c r="X2211" i="3" s="1"/>
  <c r="X2210" i="3" a="1"/>
  <c r="X2210" i="3" s="1"/>
  <c r="X2209" i="3" a="1"/>
  <c r="X2209" i="3" s="1"/>
  <c r="X2208" i="3" a="1"/>
  <c r="X2208" i="3" s="1"/>
  <c r="X2207" i="3" a="1"/>
  <c r="X2207" i="3" s="1"/>
  <c r="X2206" i="3" a="1"/>
  <c r="X2206" i="3" s="1"/>
  <c r="X2205" i="3" a="1"/>
  <c r="X2205" i="3" s="1"/>
  <c r="X2204" i="3" a="1"/>
  <c r="X2204" i="3"/>
  <c r="X2203" i="3" a="1"/>
  <c r="X2203" i="3" s="1"/>
  <c r="X2202" i="3" a="1"/>
  <c r="X2202" i="3" s="1"/>
  <c r="X2201" i="3" a="1"/>
  <c r="X2201" i="3" s="1"/>
  <c r="X2200" i="3" a="1"/>
  <c r="X2200" i="3" s="1"/>
  <c r="X2199" i="3" a="1"/>
  <c r="X2199" i="3" s="1"/>
  <c r="X2198" i="3" a="1"/>
  <c r="X2198" i="3" s="1"/>
  <c r="X2197" i="3" a="1"/>
  <c r="X2197" i="3" s="1"/>
  <c r="X2196" i="3" a="1"/>
  <c r="X2196" i="3"/>
  <c r="X2195" i="3" a="1"/>
  <c r="X2195" i="3" s="1"/>
  <c r="X2194" i="3" a="1"/>
  <c r="X2194" i="3" s="1"/>
  <c r="X2193" i="3" a="1"/>
  <c r="X2193" i="3" s="1"/>
  <c r="X2192" i="3" a="1"/>
  <c r="X2192" i="3" s="1"/>
  <c r="X2191" i="3" a="1"/>
  <c r="X2191" i="3" s="1"/>
  <c r="X2190" i="3" a="1"/>
  <c r="X2190" i="3" s="1"/>
  <c r="X2189" i="3" a="1"/>
  <c r="X2189" i="3" s="1"/>
  <c r="X2188" i="3" a="1"/>
  <c r="X2188" i="3" s="1"/>
  <c r="X2187" i="3" a="1"/>
  <c r="X2187" i="3" s="1"/>
  <c r="X2186" i="3" a="1"/>
  <c r="X2186" i="3" s="1"/>
  <c r="X2185" i="3" a="1"/>
  <c r="X2185" i="3" s="1"/>
  <c r="X2184" i="3" a="1"/>
  <c r="X2184" i="3" s="1"/>
  <c r="X2183" i="3" a="1"/>
  <c r="X2183" i="3" s="1"/>
  <c r="X2182" i="3" a="1"/>
  <c r="X2182" i="3" s="1"/>
  <c r="X2181" i="3" a="1"/>
  <c r="X2181" i="3" s="1"/>
  <c r="X2180" i="3" a="1"/>
  <c r="X2180" i="3" s="1"/>
  <c r="X2179" i="3" a="1"/>
  <c r="X2179" i="3" s="1"/>
  <c r="X2178" i="3" a="1"/>
  <c r="X2178" i="3" s="1"/>
  <c r="X2177" i="3" a="1"/>
  <c r="X2177" i="3" s="1"/>
  <c r="X2176" i="3" a="1"/>
  <c r="X2176" i="3" s="1"/>
  <c r="X2175" i="3" a="1"/>
  <c r="X2175" i="3" s="1"/>
  <c r="X2174" i="3" a="1"/>
  <c r="X2174" i="3" s="1"/>
  <c r="X2173" i="3" a="1"/>
  <c r="X2173" i="3" s="1"/>
  <c r="X2172" i="3" a="1"/>
  <c r="X2172" i="3" s="1"/>
  <c r="X2171" i="3" a="1"/>
  <c r="X2171" i="3" s="1"/>
  <c r="X2170" i="3" a="1"/>
  <c r="X2170" i="3" s="1"/>
  <c r="X2169" i="3" a="1"/>
  <c r="X2169" i="3" s="1"/>
  <c r="X2168" i="3" a="1"/>
  <c r="X2168" i="3" s="1"/>
  <c r="X2167" i="3" a="1"/>
  <c r="X2167" i="3" s="1"/>
  <c r="X2166" i="3" a="1"/>
  <c r="X2166" i="3" s="1"/>
  <c r="X2165" i="3" a="1"/>
  <c r="X2165" i="3" s="1"/>
  <c r="X2164" i="3" a="1"/>
  <c r="X2164" i="3" s="1"/>
  <c r="X2163" i="3" a="1"/>
  <c r="X2163" i="3" s="1"/>
  <c r="X2162" i="3" a="1"/>
  <c r="X2162" i="3" s="1"/>
  <c r="X2161" i="3" a="1"/>
  <c r="X2161" i="3" s="1"/>
  <c r="X2160" i="3" a="1"/>
  <c r="X2160" i="3" s="1"/>
  <c r="X2159" i="3" a="1"/>
  <c r="X2159" i="3" s="1"/>
  <c r="X2158" i="3" a="1"/>
  <c r="X2158" i="3" s="1"/>
  <c r="X2157" i="3" a="1"/>
  <c r="X2157" i="3" s="1"/>
  <c r="X2156" i="3" a="1"/>
  <c r="X2156" i="3"/>
  <c r="X2155" i="3" a="1"/>
  <c r="X2155" i="3" s="1"/>
  <c r="X2154" i="3" a="1"/>
  <c r="X2154" i="3" s="1"/>
  <c r="X2153" i="3" a="1"/>
  <c r="X2153" i="3" s="1"/>
  <c r="X2152" i="3" a="1"/>
  <c r="X2152" i="3" s="1"/>
  <c r="X2151" i="3" a="1"/>
  <c r="X2151" i="3" s="1"/>
  <c r="X2150" i="3" a="1"/>
  <c r="X2150" i="3" s="1"/>
  <c r="X2149" i="3" a="1"/>
  <c r="X2149" i="3" s="1"/>
  <c r="X2148" i="3" a="1"/>
  <c r="X2148" i="3" s="1"/>
  <c r="X2147" i="3" a="1"/>
  <c r="X2147" i="3" s="1"/>
  <c r="X2146" i="3" a="1"/>
  <c r="X2146" i="3" s="1"/>
  <c r="X2145" i="3" a="1"/>
  <c r="X2145" i="3" s="1"/>
  <c r="X2144" i="3" a="1"/>
  <c r="X2144" i="3" s="1"/>
  <c r="X2143" i="3" a="1"/>
  <c r="X2143" i="3" s="1"/>
  <c r="X2142" i="3" a="1"/>
  <c r="X2142" i="3" s="1"/>
  <c r="X2141" i="3" a="1"/>
  <c r="X2141" i="3" s="1"/>
  <c r="X2140" i="3" a="1"/>
  <c r="X2140" i="3" s="1"/>
  <c r="X2139" i="3" a="1"/>
  <c r="X2139" i="3" s="1"/>
  <c r="X2138" i="3" a="1"/>
  <c r="X2138" i="3" s="1"/>
  <c r="X2137" i="3" a="1"/>
  <c r="X2137" i="3" s="1"/>
  <c r="X2136" i="3" a="1"/>
  <c r="X2136" i="3" s="1"/>
  <c r="X2135" i="3" a="1"/>
  <c r="X2135" i="3" s="1"/>
  <c r="X2134" i="3" a="1"/>
  <c r="X2134" i="3" s="1"/>
  <c r="X2133" i="3" a="1"/>
  <c r="X2133" i="3" s="1"/>
  <c r="X2132" i="3" a="1"/>
  <c r="X2132" i="3" s="1"/>
  <c r="X2131" i="3" a="1"/>
  <c r="X2131" i="3" s="1"/>
  <c r="X2130" i="3" a="1"/>
  <c r="X2130" i="3" s="1"/>
  <c r="X2129" i="3" a="1"/>
  <c r="X2129" i="3" s="1"/>
  <c r="X2128" i="3" a="1"/>
  <c r="X2128" i="3" s="1"/>
  <c r="X2127" i="3" a="1"/>
  <c r="X2127" i="3" s="1"/>
  <c r="X2126" i="3" a="1"/>
  <c r="X2126" i="3" s="1"/>
  <c r="X2125" i="3" a="1"/>
  <c r="X2125" i="3" s="1"/>
  <c r="X2124" i="3" a="1"/>
  <c r="X2124" i="3"/>
  <c r="X2123" i="3" a="1"/>
  <c r="X2123" i="3" s="1"/>
  <c r="X2122" i="3" a="1"/>
  <c r="X2122" i="3" s="1"/>
  <c r="X2121" i="3" a="1"/>
  <c r="X2121" i="3" s="1"/>
  <c r="X2120" i="3" a="1"/>
  <c r="X2120" i="3" s="1"/>
  <c r="X2119" i="3" a="1"/>
  <c r="X2119" i="3" s="1"/>
  <c r="X2118" i="3" a="1"/>
  <c r="X2118" i="3" s="1"/>
  <c r="X2117" i="3" a="1"/>
  <c r="X2117" i="3" s="1"/>
  <c r="X2116" i="3" a="1"/>
  <c r="X2116" i="3" s="1"/>
  <c r="X2115" i="3" a="1"/>
  <c r="X2115" i="3" s="1"/>
  <c r="X2114" i="3" a="1"/>
  <c r="X2114" i="3" s="1"/>
  <c r="X2113" i="3" a="1"/>
  <c r="X2113" i="3" s="1"/>
  <c r="X2112" i="3" a="1"/>
  <c r="X2112" i="3" s="1"/>
  <c r="X2111" i="3" a="1"/>
  <c r="X2111" i="3" s="1"/>
  <c r="X2110" i="3" a="1"/>
  <c r="X2110" i="3" s="1"/>
  <c r="X2109" i="3" a="1"/>
  <c r="X2109" i="3" s="1"/>
  <c r="X2108" i="3" a="1"/>
  <c r="X2108" i="3"/>
  <c r="X2107" i="3" a="1"/>
  <c r="X2107" i="3" s="1"/>
  <c r="X2106" i="3" a="1"/>
  <c r="X2106" i="3" s="1"/>
  <c r="X2105" i="3" a="1"/>
  <c r="X2105" i="3" s="1"/>
  <c r="X2104" i="3" a="1"/>
  <c r="X2104" i="3" s="1"/>
  <c r="X2103" i="3" a="1"/>
  <c r="X2103" i="3" s="1"/>
  <c r="X2102" i="3" a="1"/>
  <c r="X2102" i="3" s="1"/>
  <c r="X2101" i="3" a="1"/>
  <c r="X2101" i="3" s="1"/>
  <c r="X2100" i="3" a="1"/>
  <c r="X2100" i="3"/>
  <c r="X2099" i="3" a="1"/>
  <c r="X2099" i="3" s="1"/>
  <c r="X2098" i="3" a="1"/>
  <c r="X2098" i="3" s="1"/>
  <c r="X2097" i="3" a="1"/>
  <c r="X2097" i="3" s="1"/>
  <c r="X2096" i="3" a="1"/>
  <c r="X2096" i="3" s="1"/>
  <c r="X2095" i="3" a="1"/>
  <c r="X2095" i="3" s="1"/>
  <c r="X2094" i="3" a="1"/>
  <c r="X2094" i="3" s="1"/>
  <c r="X2093" i="3" a="1"/>
  <c r="X2093" i="3" s="1"/>
  <c r="X2092" i="3" a="1"/>
  <c r="X2092" i="3"/>
  <c r="X2091" i="3" a="1"/>
  <c r="X2091" i="3" s="1"/>
  <c r="X2090" i="3" a="1"/>
  <c r="X2090" i="3" s="1"/>
  <c r="X2089" i="3" a="1"/>
  <c r="X2089" i="3" s="1"/>
  <c r="X2088" i="3" a="1"/>
  <c r="X2088" i="3" s="1"/>
  <c r="X2087" i="3" a="1"/>
  <c r="X2087" i="3" s="1"/>
  <c r="X2086" i="3" a="1"/>
  <c r="X2086" i="3" s="1"/>
  <c r="X2085" i="3" a="1"/>
  <c r="X2085" i="3" s="1"/>
  <c r="X2084" i="3" a="1"/>
  <c r="X2084" i="3" s="1"/>
  <c r="X2083" i="3" a="1"/>
  <c r="X2083" i="3" s="1"/>
  <c r="X2082" i="3" a="1"/>
  <c r="X2082" i="3" s="1"/>
  <c r="X2081" i="3" a="1"/>
  <c r="X2081" i="3" s="1"/>
  <c r="X2080" i="3" a="1"/>
  <c r="X2080" i="3" s="1"/>
  <c r="X2079" i="3" a="1"/>
  <c r="X2079" i="3" s="1"/>
  <c r="X2078" i="3" a="1"/>
  <c r="X2078" i="3" s="1"/>
  <c r="X2077" i="3" a="1"/>
  <c r="X2077" i="3" s="1"/>
  <c r="X2076" i="3" a="1"/>
  <c r="X2076" i="3"/>
  <c r="X2075" i="3" a="1"/>
  <c r="X2075" i="3" s="1"/>
  <c r="X2074" i="3" a="1"/>
  <c r="X2074" i="3" s="1"/>
  <c r="X2073" i="3" a="1"/>
  <c r="X2073" i="3" s="1"/>
  <c r="X2072" i="3" a="1"/>
  <c r="X2072" i="3" s="1"/>
  <c r="X2071" i="3" a="1"/>
  <c r="X2071" i="3" s="1"/>
  <c r="X2070" i="3" a="1"/>
  <c r="X2070" i="3" s="1"/>
  <c r="X2069" i="3" a="1"/>
  <c r="X2069" i="3" s="1"/>
  <c r="X2068" i="3" a="1"/>
  <c r="X2068" i="3"/>
  <c r="X2067" i="3" a="1"/>
  <c r="X2067" i="3" s="1"/>
  <c r="X2066" i="3" a="1"/>
  <c r="X2066" i="3" s="1"/>
  <c r="X2065" i="3" a="1"/>
  <c r="X2065" i="3" s="1"/>
  <c r="X2064" i="3" a="1"/>
  <c r="X2064" i="3" s="1"/>
  <c r="X2063" i="3" a="1"/>
  <c r="X2063" i="3" s="1"/>
  <c r="X2062" i="3" a="1"/>
  <c r="X2062" i="3" s="1"/>
  <c r="X2061" i="3" a="1"/>
  <c r="X2061" i="3" s="1"/>
  <c r="X2060" i="3" a="1"/>
  <c r="X2060" i="3" s="1"/>
  <c r="X2059" i="3" a="1"/>
  <c r="X2059" i="3" s="1"/>
  <c r="X2058" i="3" a="1"/>
  <c r="X2058" i="3" s="1"/>
  <c r="X2057" i="3" a="1"/>
  <c r="X2057" i="3" s="1"/>
  <c r="X2056" i="3" a="1"/>
  <c r="X2056" i="3" s="1"/>
  <c r="X2055" i="3" a="1"/>
  <c r="X2055" i="3" s="1"/>
  <c r="X2054" i="3" a="1"/>
  <c r="X2054" i="3" s="1"/>
  <c r="X2053" i="3" a="1"/>
  <c r="X2053" i="3" s="1"/>
  <c r="X2052" i="3" a="1"/>
  <c r="X2052" i="3" s="1"/>
  <c r="X2051" i="3" a="1"/>
  <c r="X2051" i="3" s="1"/>
  <c r="X2050" i="3" a="1"/>
  <c r="X2050" i="3" s="1"/>
  <c r="X2049" i="3" a="1"/>
  <c r="X2049" i="3" s="1"/>
  <c r="X2048" i="3" a="1"/>
  <c r="X2048" i="3" s="1"/>
  <c r="X2047" i="3" a="1"/>
  <c r="X2047" i="3" s="1"/>
  <c r="X2046" i="3" a="1"/>
  <c r="X2046" i="3" s="1"/>
  <c r="X2045" i="3" a="1"/>
  <c r="X2045" i="3" s="1"/>
  <c r="X2044" i="3" a="1"/>
  <c r="X2044" i="3" s="1"/>
  <c r="X2043" i="3" a="1"/>
  <c r="X2043" i="3" s="1"/>
  <c r="X2042" i="3" a="1"/>
  <c r="X2042" i="3" s="1"/>
  <c r="X2041" i="3" a="1"/>
  <c r="X2041" i="3" s="1"/>
  <c r="X2040" i="3" a="1"/>
  <c r="X2040" i="3" s="1"/>
  <c r="X2039" i="3" a="1"/>
  <c r="X2039" i="3" s="1"/>
  <c r="X2038" i="3" a="1"/>
  <c r="X2038" i="3" s="1"/>
  <c r="X2037" i="3" a="1"/>
  <c r="X2037" i="3" s="1"/>
  <c r="X2036" i="3" a="1"/>
  <c r="X2036" i="3" s="1"/>
  <c r="X2035" i="3" a="1"/>
  <c r="X2035" i="3" s="1"/>
  <c r="X2034" i="3" a="1"/>
  <c r="X2034" i="3" s="1"/>
  <c r="X2033" i="3" a="1"/>
  <c r="X2033" i="3" s="1"/>
  <c r="X2032" i="3" a="1"/>
  <c r="X2032" i="3" s="1"/>
  <c r="X2031" i="3" a="1"/>
  <c r="X2031" i="3" s="1"/>
  <c r="X2030" i="3" a="1"/>
  <c r="X2030" i="3" s="1"/>
  <c r="X2029" i="3" a="1"/>
  <c r="X2029" i="3" s="1"/>
  <c r="X2028" i="3" a="1"/>
  <c r="X2028" i="3" s="1"/>
  <c r="X2027" i="3" a="1"/>
  <c r="X2027" i="3" s="1"/>
  <c r="X2026" i="3" a="1"/>
  <c r="X2026" i="3" s="1"/>
  <c r="X2025" i="3" a="1"/>
  <c r="X2025" i="3" s="1"/>
  <c r="X2024" i="3" a="1"/>
  <c r="X2024" i="3" s="1"/>
  <c r="X2023" i="3" a="1"/>
  <c r="X2023" i="3" s="1"/>
  <c r="X2022" i="3" a="1"/>
  <c r="X2022" i="3" s="1"/>
  <c r="X2021" i="3" a="1"/>
  <c r="X2021" i="3" s="1"/>
  <c r="X2020" i="3" a="1"/>
  <c r="X2020" i="3" s="1"/>
  <c r="X2019" i="3" a="1"/>
  <c r="X2019" i="3" s="1"/>
  <c r="X2018" i="3" a="1"/>
  <c r="X2018" i="3" s="1"/>
  <c r="X2017" i="3" a="1"/>
  <c r="X2017" i="3" s="1"/>
  <c r="X2016" i="3" a="1"/>
  <c r="X2016" i="3" s="1"/>
  <c r="X2015" i="3" a="1"/>
  <c r="X2015" i="3" s="1"/>
  <c r="X2014" i="3" a="1"/>
  <c r="X2014" i="3" s="1"/>
  <c r="X2013" i="3" a="1"/>
  <c r="X2013" i="3" s="1"/>
  <c r="X2012" i="3" a="1"/>
  <c r="X2012" i="3" s="1"/>
  <c r="X2011" i="3" a="1"/>
  <c r="X2011" i="3" s="1"/>
  <c r="X2010" i="3" a="1"/>
  <c r="X2010" i="3" s="1"/>
  <c r="X2009" i="3" a="1"/>
  <c r="X2009" i="3" s="1"/>
  <c r="X2008" i="3" a="1"/>
  <c r="X2008" i="3" s="1"/>
  <c r="X2007" i="3" a="1"/>
  <c r="X2007" i="3" s="1"/>
  <c r="X2006" i="3" a="1"/>
  <c r="X2006" i="3" s="1"/>
  <c r="X2005" i="3" a="1"/>
  <c r="X2005" i="3" s="1"/>
  <c r="X2004" i="3" a="1"/>
  <c r="X2004" i="3" s="1"/>
  <c r="X2003" i="3" a="1"/>
  <c r="X2003" i="3" s="1"/>
  <c r="X2002" i="3" a="1"/>
  <c r="X2002" i="3" s="1"/>
  <c r="X2001" i="3" a="1"/>
  <c r="X2001" i="3" s="1"/>
  <c r="X2000" i="3" a="1"/>
  <c r="X2000" i="3" s="1"/>
  <c r="X1999" i="3" a="1"/>
  <c r="X1999" i="3" s="1"/>
  <c r="X1998" i="3" a="1"/>
  <c r="X1998" i="3" s="1"/>
  <c r="X1997" i="3" a="1"/>
  <c r="X1997" i="3" s="1"/>
  <c r="X1996" i="3" a="1"/>
  <c r="X1996" i="3"/>
  <c r="X1995" i="3" a="1"/>
  <c r="X1995" i="3" s="1"/>
  <c r="X1994" i="3" a="1"/>
  <c r="X1994" i="3" s="1"/>
  <c r="X1993" i="3" a="1"/>
  <c r="X1993" i="3" s="1"/>
  <c r="X1992" i="3" a="1"/>
  <c r="X1992" i="3" s="1"/>
  <c r="X1991" i="3" a="1"/>
  <c r="X1991" i="3" s="1"/>
  <c r="X1990" i="3" a="1"/>
  <c r="X1990" i="3" s="1"/>
  <c r="X1989" i="3" a="1"/>
  <c r="X1989" i="3" s="1"/>
  <c r="X1988" i="3" a="1"/>
  <c r="X1988" i="3"/>
  <c r="X1987" i="3" a="1"/>
  <c r="X1987" i="3" s="1"/>
  <c r="X1986" i="3" a="1"/>
  <c r="X1986" i="3" s="1"/>
  <c r="X1985" i="3" a="1"/>
  <c r="X1985" i="3" s="1"/>
  <c r="X1984" i="3" a="1"/>
  <c r="X1984" i="3" s="1"/>
  <c r="X1983" i="3" a="1"/>
  <c r="X1983" i="3" s="1"/>
  <c r="X1982" i="3" a="1"/>
  <c r="X1982" i="3" s="1"/>
  <c r="X1981" i="3" a="1"/>
  <c r="X1981" i="3" s="1"/>
  <c r="X1980" i="3" a="1"/>
  <c r="X1980" i="3"/>
  <c r="X1979" i="3" a="1"/>
  <c r="X1979" i="3" s="1"/>
  <c r="X1978" i="3" a="1"/>
  <c r="X1978" i="3" s="1"/>
  <c r="X1977" i="3" a="1"/>
  <c r="X1977" i="3" s="1"/>
  <c r="X1976" i="3" a="1"/>
  <c r="X1976" i="3" s="1"/>
  <c r="X1975" i="3" a="1"/>
  <c r="X1975" i="3" s="1"/>
  <c r="X1974" i="3" a="1"/>
  <c r="X1974" i="3" s="1"/>
  <c r="X1973" i="3" a="1"/>
  <c r="X1973" i="3" s="1"/>
  <c r="X1972" i="3" a="1"/>
  <c r="X1972" i="3"/>
  <c r="X1971" i="3" a="1"/>
  <c r="X1971" i="3" s="1"/>
  <c r="X1970" i="3" a="1"/>
  <c r="X1970" i="3" s="1"/>
  <c r="X1969" i="3" a="1"/>
  <c r="X1969" i="3" s="1"/>
  <c r="X1968" i="3" a="1"/>
  <c r="X1968" i="3" s="1"/>
  <c r="X1967" i="3" a="1"/>
  <c r="X1967" i="3" s="1"/>
  <c r="X1966" i="3" a="1"/>
  <c r="X1966" i="3" s="1"/>
  <c r="X1965" i="3" a="1"/>
  <c r="X1965" i="3" s="1"/>
  <c r="X1964" i="3" a="1"/>
  <c r="X1964" i="3"/>
  <c r="X1963" i="3" a="1"/>
  <c r="X1963" i="3" s="1"/>
  <c r="X1962" i="3" a="1"/>
  <c r="X1962" i="3" s="1"/>
  <c r="X1961" i="3" a="1"/>
  <c r="X1961" i="3" s="1"/>
  <c r="X1960" i="3" a="1"/>
  <c r="X1960" i="3" s="1"/>
  <c r="X1959" i="3" a="1"/>
  <c r="X1959" i="3" s="1"/>
  <c r="X1958" i="3" a="1"/>
  <c r="X1958" i="3" s="1"/>
  <c r="X1957" i="3" a="1"/>
  <c r="X1957" i="3" s="1"/>
  <c r="X1956" i="3" a="1"/>
  <c r="X1956" i="3" s="1"/>
  <c r="X1955" i="3" a="1"/>
  <c r="X1955" i="3" s="1"/>
  <c r="X1954" i="3" a="1"/>
  <c r="X1954" i="3" s="1"/>
  <c r="X1953" i="3" a="1"/>
  <c r="X1953" i="3" s="1"/>
  <c r="X1952" i="3" a="1"/>
  <c r="X1952" i="3" s="1"/>
  <c r="X1951" i="3" a="1"/>
  <c r="X1951" i="3" s="1"/>
  <c r="X1950" i="3" a="1"/>
  <c r="X1950" i="3" s="1"/>
  <c r="X1949" i="3" a="1"/>
  <c r="X1949" i="3" s="1"/>
  <c r="X1948" i="3" a="1"/>
  <c r="X1948" i="3"/>
  <c r="X1947" i="3" a="1"/>
  <c r="X1947" i="3" s="1"/>
  <c r="X1946" i="3" a="1"/>
  <c r="X1946" i="3" s="1"/>
  <c r="X1945" i="3" a="1"/>
  <c r="X1945" i="3" s="1"/>
  <c r="X1944" i="3" a="1"/>
  <c r="X1944" i="3" s="1"/>
  <c r="X1943" i="3" a="1"/>
  <c r="X1943" i="3" s="1"/>
  <c r="X1942" i="3" a="1"/>
  <c r="X1942" i="3" s="1"/>
  <c r="X1941" i="3" a="1"/>
  <c r="X1941" i="3" s="1"/>
  <c r="X1940" i="3" a="1"/>
  <c r="X1940" i="3"/>
  <c r="X1939" i="3" a="1"/>
  <c r="X1939" i="3" s="1"/>
  <c r="X1938" i="3" a="1"/>
  <c r="X1938" i="3" s="1"/>
  <c r="X1937" i="3" a="1"/>
  <c r="X1937" i="3" s="1"/>
  <c r="X1936" i="3" a="1"/>
  <c r="X1936" i="3" s="1"/>
  <c r="X1935" i="3" a="1"/>
  <c r="X1935" i="3" s="1"/>
  <c r="X1934" i="3" a="1"/>
  <c r="X1934" i="3" s="1"/>
  <c r="X1933" i="3" a="1"/>
  <c r="X1933" i="3" s="1"/>
  <c r="X1932" i="3" a="1"/>
  <c r="X1932" i="3" s="1"/>
  <c r="X1931" i="3" a="1"/>
  <c r="X1931" i="3" s="1"/>
  <c r="X1930" i="3" a="1"/>
  <c r="X1930" i="3" s="1"/>
  <c r="X1929" i="3" a="1"/>
  <c r="X1929" i="3" s="1"/>
  <c r="X1928" i="3" a="1"/>
  <c r="X1928" i="3" s="1"/>
  <c r="X1927" i="3" a="1"/>
  <c r="X1927" i="3" s="1"/>
  <c r="X1926" i="3" a="1"/>
  <c r="X1926" i="3" s="1"/>
  <c r="X1925" i="3" a="1"/>
  <c r="X1925" i="3" s="1"/>
  <c r="X1924" i="3" a="1"/>
  <c r="X1924" i="3" s="1"/>
  <c r="X1923" i="3" a="1"/>
  <c r="X1923" i="3" s="1"/>
  <c r="X1922" i="3" a="1"/>
  <c r="X1922" i="3" s="1"/>
  <c r="X1921" i="3" a="1"/>
  <c r="X1921" i="3" s="1"/>
  <c r="X1920" i="3" a="1"/>
  <c r="X1920" i="3" s="1"/>
  <c r="X1919" i="3" a="1"/>
  <c r="X1919" i="3" s="1"/>
  <c r="X1918" i="3" a="1"/>
  <c r="X1918" i="3" s="1"/>
  <c r="X1917" i="3" a="1"/>
  <c r="X1917" i="3" s="1"/>
  <c r="X1916" i="3" a="1"/>
  <c r="X1916" i="3" s="1"/>
  <c r="X1915" i="3" a="1"/>
  <c r="X1915" i="3" s="1"/>
  <c r="X1914" i="3" a="1"/>
  <c r="X1914" i="3" s="1"/>
  <c r="X1913" i="3" a="1"/>
  <c r="X1913" i="3" s="1"/>
  <c r="X1912" i="3" a="1"/>
  <c r="X1912" i="3" s="1"/>
  <c r="X1911" i="3" a="1"/>
  <c r="X1911" i="3" s="1"/>
  <c r="X1910" i="3" a="1"/>
  <c r="X1910" i="3" s="1"/>
  <c r="X1909" i="3" a="1"/>
  <c r="X1909" i="3" s="1"/>
  <c r="X1908" i="3" a="1"/>
  <c r="X1908" i="3"/>
  <c r="X1907" i="3" a="1"/>
  <c r="X1907" i="3" s="1"/>
  <c r="X1906" i="3" a="1"/>
  <c r="X1906" i="3" s="1"/>
  <c r="X1905" i="3" a="1"/>
  <c r="X1905" i="3" s="1"/>
  <c r="X1904" i="3" a="1"/>
  <c r="X1904" i="3" s="1"/>
  <c r="X1903" i="3" a="1"/>
  <c r="X1903" i="3" s="1"/>
  <c r="X1902" i="3" a="1"/>
  <c r="X1902" i="3" s="1"/>
  <c r="X1901" i="3" a="1"/>
  <c r="X1901" i="3" s="1"/>
  <c r="X1900" i="3" a="1"/>
  <c r="X1900" i="3"/>
  <c r="X1899" i="3" a="1"/>
  <c r="X1899" i="3" s="1"/>
  <c r="X1898" i="3" a="1"/>
  <c r="X1898" i="3" s="1"/>
  <c r="X1897" i="3" a="1"/>
  <c r="X1897" i="3" s="1"/>
  <c r="X1896" i="3" a="1"/>
  <c r="X1896" i="3" s="1"/>
  <c r="X1895" i="3" a="1"/>
  <c r="X1895" i="3" s="1"/>
  <c r="X1894" i="3" a="1"/>
  <c r="X1894" i="3" s="1"/>
  <c r="X1893" i="3" a="1"/>
  <c r="X1893" i="3" s="1"/>
  <c r="X1892" i="3" a="1"/>
  <c r="X1892" i="3" s="1"/>
  <c r="X1891" i="3" a="1"/>
  <c r="X1891" i="3" s="1"/>
  <c r="X1890" i="3" a="1"/>
  <c r="X1890" i="3" s="1"/>
  <c r="X1889" i="3" a="1"/>
  <c r="X1889" i="3" s="1"/>
  <c r="X1888" i="3" a="1"/>
  <c r="X1888" i="3" s="1"/>
  <c r="X1887" i="3" a="1"/>
  <c r="X1887" i="3" s="1"/>
  <c r="X1886" i="3" a="1"/>
  <c r="X1886" i="3" s="1"/>
  <c r="X1885" i="3" a="1"/>
  <c r="X1885" i="3" s="1"/>
  <c r="X1884" i="3" a="1"/>
  <c r="X1884" i="3" s="1"/>
  <c r="X1883" i="3" a="1"/>
  <c r="X1883" i="3" s="1"/>
  <c r="X1882" i="3" a="1"/>
  <c r="X1882" i="3" s="1"/>
  <c r="X1881" i="3" a="1"/>
  <c r="X1881" i="3" s="1"/>
  <c r="X1880" i="3" a="1"/>
  <c r="X1880" i="3" s="1"/>
  <c r="X1879" i="3" a="1"/>
  <c r="X1879" i="3" s="1"/>
  <c r="X1878" i="3" a="1"/>
  <c r="X1878" i="3" s="1"/>
  <c r="X1877" i="3" a="1"/>
  <c r="X1877" i="3" s="1"/>
  <c r="X1876" i="3" a="1"/>
  <c r="X1876" i="3" s="1"/>
  <c r="X1875" i="3" a="1"/>
  <c r="X1875" i="3" s="1"/>
  <c r="X1874" i="3" a="1"/>
  <c r="X1874" i="3" s="1"/>
  <c r="X1873" i="3" a="1"/>
  <c r="X1873" i="3" s="1"/>
  <c r="X1872" i="3" a="1"/>
  <c r="X1872" i="3" s="1"/>
  <c r="X1871" i="3" a="1"/>
  <c r="X1871" i="3" s="1"/>
  <c r="X1870" i="3" a="1"/>
  <c r="X1870" i="3" s="1"/>
  <c r="X1869" i="3" a="1"/>
  <c r="X1869" i="3" s="1"/>
  <c r="X1868" i="3" a="1"/>
  <c r="X1868" i="3"/>
  <c r="X1867" i="3" a="1"/>
  <c r="X1867" i="3" s="1"/>
  <c r="X1866" i="3" a="1"/>
  <c r="X1866" i="3" s="1"/>
  <c r="X1865" i="3" a="1"/>
  <c r="X1865" i="3" s="1"/>
  <c r="X1864" i="3" a="1"/>
  <c r="X1864" i="3" s="1"/>
  <c r="X1863" i="3" a="1"/>
  <c r="X1863" i="3" s="1"/>
  <c r="X1862" i="3" a="1"/>
  <c r="X1862" i="3" s="1"/>
  <c r="X1861" i="3" a="1"/>
  <c r="X1861" i="3" s="1"/>
  <c r="X1860" i="3" a="1"/>
  <c r="X1860" i="3"/>
  <c r="X1859" i="3" a="1"/>
  <c r="X1859" i="3" s="1"/>
  <c r="X1858" i="3" a="1"/>
  <c r="X1858" i="3" s="1"/>
  <c r="X1857" i="3" a="1"/>
  <c r="X1857" i="3" s="1"/>
  <c r="X1856" i="3" a="1"/>
  <c r="X1856" i="3" s="1"/>
  <c r="X1855" i="3" a="1"/>
  <c r="X1855" i="3" s="1"/>
  <c r="X1854" i="3" a="1"/>
  <c r="X1854" i="3" s="1"/>
  <c r="X1853" i="3" a="1"/>
  <c r="X1853" i="3" s="1"/>
  <c r="X1852" i="3" a="1"/>
  <c r="X1852" i="3"/>
  <c r="X1851" i="3" a="1"/>
  <c r="X1851" i="3" s="1"/>
  <c r="X1850" i="3" a="1"/>
  <c r="X1850" i="3" s="1"/>
  <c r="X1849" i="3" a="1"/>
  <c r="X1849" i="3" s="1"/>
  <c r="X1848" i="3" a="1"/>
  <c r="X1848" i="3" s="1"/>
  <c r="X1847" i="3" a="1"/>
  <c r="X1847" i="3" s="1"/>
  <c r="X1846" i="3" a="1"/>
  <c r="X1846" i="3" s="1"/>
  <c r="X1845" i="3" a="1"/>
  <c r="X1845" i="3" s="1"/>
  <c r="X1844" i="3" a="1"/>
  <c r="X1844" i="3"/>
  <c r="X1843" i="3" a="1"/>
  <c r="X1843" i="3" s="1"/>
  <c r="X1842" i="3" a="1"/>
  <c r="X1842" i="3" s="1"/>
  <c r="X1841" i="3" a="1"/>
  <c r="X1841" i="3" s="1"/>
  <c r="X1840" i="3" a="1"/>
  <c r="X1840" i="3" s="1"/>
  <c r="X1839" i="3" a="1"/>
  <c r="X1839" i="3" s="1"/>
  <c r="X1838" i="3" a="1"/>
  <c r="X1838" i="3" s="1"/>
  <c r="X1837" i="3" a="1"/>
  <c r="X1837" i="3" s="1"/>
  <c r="X1836" i="3" a="1"/>
  <c r="X1836" i="3"/>
  <c r="X1835" i="3" a="1"/>
  <c r="X1835" i="3" s="1"/>
  <c r="X1834" i="3" a="1"/>
  <c r="X1834" i="3" s="1"/>
  <c r="X1833" i="3" a="1"/>
  <c r="X1833" i="3" s="1"/>
  <c r="X1832" i="3" a="1"/>
  <c r="X1832" i="3"/>
  <c r="X1831" i="3" a="1"/>
  <c r="X1831" i="3"/>
  <c r="X1830" i="3" a="1"/>
  <c r="X1830" i="3" s="1"/>
  <c r="X1829" i="3" a="1"/>
  <c r="X1829" i="3"/>
  <c r="X1828" i="3" a="1"/>
  <c r="X1828" i="3" s="1"/>
  <c r="X1827" i="3" a="1"/>
  <c r="X1827" i="3" s="1"/>
  <c r="X1826" i="3" a="1"/>
  <c r="X1826" i="3" s="1"/>
  <c r="X1825" i="3" a="1"/>
  <c r="X1825" i="3"/>
  <c r="X1824" i="3" a="1"/>
  <c r="X1824" i="3" s="1"/>
  <c r="X1823" i="3" a="1"/>
  <c r="X1823" i="3"/>
  <c r="X1822" i="3" a="1"/>
  <c r="X1822" i="3" s="1"/>
  <c r="X1821" i="3" a="1"/>
  <c r="X1821" i="3"/>
  <c r="X1820" i="3" a="1"/>
  <c r="X1820" i="3" s="1"/>
  <c r="X1819" i="3" a="1"/>
  <c r="X1819" i="3" s="1"/>
  <c r="X1818" i="3" a="1"/>
  <c r="X1818" i="3" s="1"/>
  <c r="X1817" i="3" a="1"/>
  <c r="X1817" i="3" s="1"/>
  <c r="X1816" i="3" a="1"/>
  <c r="X1816" i="3"/>
  <c r="X1815" i="3" a="1"/>
  <c r="X1815" i="3"/>
  <c r="X1814" i="3" a="1"/>
  <c r="X1814" i="3" s="1"/>
  <c r="X1813" i="3" a="1"/>
  <c r="X1813" i="3"/>
  <c r="X1812" i="3" a="1"/>
  <c r="X1812" i="3" s="1"/>
  <c r="X1811" i="3" a="1"/>
  <c r="X1811" i="3"/>
  <c r="X1810" i="3" a="1"/>
  <c r="X1810" i="3" s="1"/>
  <c r="X1809" i="3" a="1"/>
  <c r="X1809" i="3" s="1"/>
  <c r="X1808" i="3" a="1"/>
  <c r="X1808" i="3" s="1"/>
  <c r="X1807" i="3" a="1"/>
  <c r="X1807" i="3"/>
  <c r="X1806" i="3" a="1"/>
  <c r="X1806" i="3" s="1"/>
  <c r="X1805" i="3" a="1"/>
  <c r="X1805" i="3"/>
  <c r="X1804" i="3" a="1"/>
  <c r="X1804" i="3" s="1"/>
  <c r="X1803" i="3" a="1"/>
  <c r="X1803" i="3"/>
  <c r="X1802" i="3" a="1"/>
  <c r="X1802" i="3"/>
  <c r="X1801" i="3" a="1"/>
  <c r="X1801" i="3" s="1"/>
  <c r="X1800" i="3" a="1"/>
  <c r="X1800" i="3" s="1"/>
  <c r="X1799" i="3" a="1"/>
  <c r="X1799" i="3"/>
  <c r="X1798" i="3" a="1"/>
  <c r="X1798" i="3" s="1"/>
  <c r="X1797" i="3" a="1"/>
  <c r="X1797" i="3"/>
  <c r="X1796" i="3" a="1"/>
  <c r="X1796" i="3" s="1"/>
  <c r="X1795" i="3" a="1"/>
  <c r="X1795" i="3"/>
  <c r="X1794" i="3" a="1"/>
  <c r="X1794" i="3"/>
  <c r="X1793" i="3" a="1"/>
  <c r="X1793" i="3"/>
  <c r="X1792" i="3" a="1"/>
  <c r="X1792" i="3" s="1"/>
  <c r="X1791" i="3" a="1"/>
  <c r="X1791" i="3"/>
  <c r="X1790" i="3" a="1"/>
  <c r="X1790" i="3" s="1"/>
  <c r="X1789" i="3" a="1"/>
  <c r="X1789" i="3"/>
  <c r="X1788" i="3" a="1"/>
  <c r="X1788" i="3" s="1"/>
  <c r="X1787" i="3" a="1"/>
  <c r="X1787" i="3" s="1"/>
  <c r="X1786" i="3" a="1"/>
  <c r="X1786" i="3"/>
  <c r="X1785" i="3" a="1"/>
  <c r="X1785" i="3"/>
  <c r="X1784" i="3" a="1"/>
  <c r="X1784" i="3"/>
  <c r="X1783" i="3" a="1"/>
  <c r="X1783" i="3"/>
  <c r="X1782" i="3" a="1"/>
  <c r="X1782" i="3" s="1"/>
  <c r="X1781" i="3" a="1"/>
  <c r="X1781" i="3"/>
  <c r="X1780" i="3" a="1"/>
  <c r="X1780" i="3" s="1"/>
  <c r="X1779" i="3" a="1"/>
  <c r="X1779" i="3"/>
  <c r="X1778" i="3" a="1"/>
  <c r="X1778" i="3" s="1"/>
  <c r="X1777" i="3" a="1"/>
  <c r="X1777" i="3"/>
  <c r="X1776" i="3" a="1"/>
  <c r="X1776" i="3"/>
  <c r="X1775" i="3" a="1"/>
  <c r="X1775" i="3"/>
  <c r="X1774" i="3" a="1"/>
  <c r="X1774" i="3" s="1"/>
  <c r="X1773" i="3" a="1"/>
  <c r="X1773" i="3"/>
  <c r="X1772" i="3" a="1"/>
  <c r="X1772" i="3" s="1"/>
  <c r="X1771" i="3" a="1"/>
  <c r="X1771" i="3" s="1"/>
  <c r="X1770" i="3" a="1"/>
  <c r="X1770" i="3"/>
  <c r="X1769" i="3" a="1"/>
  <c r="X1769" i="3" s="1"/>
  <c r="X1768" i="3" a="1"/>
  <c r="X1768" i="3"/>
  <c r="X1767" i="3" a="1"/>
  <c r="X1767" i="3"/>
  <c r="X1766" i="3" a="1"/>
  <c r="X1766" i="3" s="1"/>
  <c r="X1765" i="3" a="1"/>
  <c r="X1765" i="3"/>
  <c r="X1764" i="3" a="1"/>
  <c r="X1764" i="3" s="1"/>
  <c r="X1763" i="3" a="1"/>
  <c r="X1763" i="3" s="1"/>
  <c r="X1762" i="3" a="1"/>
  <c r="X1762" i="3" s="1"/>
  <c r="X1761" i="3" a="1"/>
  <c r="X1761" i="3"/>
  <c r="X1760" i="3" a="1"/>
  <c r="X1760" i="3" s="1"/>
  <c r="X1759" i="3" a="1"/>
  <c r="X1759" i="3"/>
  <c r="X1758" i="3" a="1"/>
  <c r="X1758" i="3" s="1"/>
  <c r="X1757" i="3" a="1"/>
  <c r="X1757" i="3"/>
  <c r="X1756" i="3" a="1"/>
  <c r="X1756" i="3" s="1"/>
  <c r="X1755" i="3" a="1"/>
  <c r="X1755" i="3" s="1"/>
  <c r="X1754" i="3" a="1"/>
  <c r="X1754" i="3" s="1"/>
  <c r="X1753" i="3" a="1"/>
  <c r="X1753" i="3" s="1"/>
  <c r="X1752" i="3" a="1"/>
  <c r="X1752" i="3"/>
  <c r="X1751" i="3" a="1"/>
  <c r="X1751" i="3"/>
  <c r="X1750" i="3" a="1"/>
  <c r="X1750" i="3" s="1"/>
  <c r="X1749" i="3" a="1"/>
  <c r="X1749" i="3"/>
  <c r="X1748" i="3" a="1"/>
  <c r="X1748" i="3" s="1"/>
  <c r="X1747" i="3" a="1"/>
  <c r="X1747" i="3"/>
  <c r="X1746" i="3" a="1"/>
  <c r="X1746" i="3" s="1"/>
  <c r="X1745" i="3" a="1"/>
  <c r="X1745" i="3" s="1"/>
  <c r="X1744" i="3" a="1"/>
  <c r="X1744" i="3" s="1"/>
  <c r="X1743" i="3" a="1"/>
  <c r="X1743" i="3" s="1"/>
  <c r="X1742" i="3" a="1"/>
  <c r="X1742" i="3" s="1"/>
  <c r="X1741" i="3" a="1"/>
  <c r="X1741" i="3" s="1"/>
  <c r="X1740" i="3" a="1"/>
  <c r="X1740" i="3"/>
  <c r="X1739" i="3" a="1"/>
  <c r="X1739" i="3" s="1"/>
  <c r="X1738" i="3" a="1"/>
  <c r="X1738" i="3" s="1"/>
  <c r="X1737" i="3" a="1"/>
  <c r="X1737" i="3"/>
  <c r="X1736" i="3" a="1"/>
  <c r="X1736" i="3" s="1"/>
  <c r="X1735" i="3" a="1"/>
  <c r="X1735" i="3" s="1"/>
  <c r="X1734" i="3" a="1"/>
  <c r="X1734" i="3" s="1"/>
  <c r="X1733" i="3" a="1"/>
  <c r="X1733" i="3"/>
  <c r="X1732" i="3" a="1"/>
  <c r="X1732" i="3" s="1"/>
  <c r="X1731" i="3" a="1"/>
  <c r="X1731" i="3" s="1"/>
  <c r="X1730" i="3" a="1"/>
  <c r="X1730" i="3" s="1"/>
  <c r="X1729" i="3" a="1"/>
  <c r="X1729" i="3"/>
  <c r="X1728" i="3" a="1"/>
  <c r="X1728" i="3"/>
  <c r="X1727" i="3" a="1"/>
  <c r="X1727" i="3" s="1"/>
  <c r="X1726" i="3" a="1"/>
  <c r="X1726" i="3"/>
  <c r="X1725" i="3" a="1"/>
  <c r="X1725" i="3" s="1"/>
  <c r="X1724" i="3" a="1"/>
  <c r="X1724" i="3" s="1"/>
  <c r="X1723" i="3" a="1"/>
  <c r="X1723" i="3" s="1"/>
  <c r="X1722" i="3" a="1"/>
  <c r="X1722" i="3"/>
  <c r="X1721" i="3" a="1"/>
  <c r="X1721" i="3" s="1"/>
  <c r="X1720" i="3" a="1"/>
  <c r="X1720" i="3" s="1"/>
  <c r="X1719" i="3" a="1"/>
  <c r="X1719" i="3" s="1"/>
  <c r="X1718" i="3" a="1"/>
  <c r="X1718" i="3" s="1"/>
  <c r="X1717" i="3" a="1"/>
  <c r="X1717" i="3" s="1"/>
  <c r="X1716" i="3" a="1"/>
  <c r="X1716" i="3" s="1"/>
  <c r="X1715" i="3" a="1"/>
  <c r="X1715" i="3" s="1"/>
  <c r="X1714" i="3" a="1"/>
  <c r="X1714" i="3" s="1"/>
  <c r="X1713" i="3" a="1"/>
  <c r="X1713" i="3" s="1"/>
  <c r="X1712" i="3" a="1"/>
  <c r="X1712" i="3" s="1"/>
  <c r="X1711" i="3" a="1"/>
  <c r="X1711" i="3" s="1"/>
  <c r="X1710" i="3" a="1"/>
  <c r="X1710" i="3"/>
  <c r="X1709" i="3" a="1"/>
  <c r="X1709" i="3" s="1"/>
  <c r="X1708" i="3" a="1"/>
  <c r="X1708" i="3"/>
  <c r="X1707" i="3" a="1"/>
  <c r="X1707" i="3" s="1"/>
  <c r="X1706" i="3" a="1"/>
  <c r="X1706" i="3"/>
  <c r="X1705" i="3" a="1"/>
  <c r="X1705" i="3" s="1"/>
  <c r="X1704" i="3" a="1"/>
  <c r="X1704" i="3" s="1"/>
  <c r="X1703" i="3" a="1"/>
  <c r="X1703" i="3" s="1"/>
  <c r="X1702" i="3" a="1"/>
  <c r="X1702" i="3"/>
  <c r="X1701" i="3" a="1"/>
  <c r="X1701" i="3"/>
  <c r="X1700" i="3" a="1"/>
  <c r="X1700" i="3"/>
  <c r="X1699" i="3" a="1"/>
  <c r="X1699" i="3" s="1"/>
  <c r="X1698" i="3" a="1"/>
  <c r="X1698" i="3" s="1"/>
  <c r="X1697" i="3" a="1"/>
  <c r="X1697" i="3"/>
  <c r="X1696" i="3" a="1"/>
  <c r="X1696" i="3" s="1"/>
  <c r="X1695" i="3" a="1"/>
  <c r="X1695" i="3" s="1"/>
  <c r="X1694" i="3" a="1"/>
  <c r="X1694" i="3"/>
  <c r="X1693" i="3" a="1"/>
  <c r="X1693" i="3"/>
  <c r="X1692" i="3" a="1"/>
  <c r="X1692" i="3" s="1"/>
  <c r="X1691" i="3" a="1"/>
  <c r="X1691" i="3" s="1"/>
  <c r="X1690" i="3" a="1"/>
  <c r="X1690" i="3"/>
  <c r="X1689" i="3" a="1"/>
  <c r="X1689" i="3" s="1"/>
  <c r="X1688" i="3" a="1"/>
  <c r="X1688" i="3"/>
  <c r="X1687" i="3" a="1"/>
  <c r="X1687" i="3" s="1"/>
  <c r="X1686" i="3" a="1"/>
  <c r="X1686" i="3" s="1"/>
  <c r="X1685" i="3" a="1"/>
  <c r="X1685" i="3"/>
  <c r="X1684" i="3" a="1"/>
  <c r="X1684" i="3"/>
  <c r="X1683" i="3" a="1"/>
  <c r="X1683" i="3" s="1"/>
  <c r="X1682" i="3" a="1"/>
  <c r="X1682" i="3" s="1"/>
  <c r="X1681" i="3" a="1"/>
  <c r="X1681" i="3" s="1"/>
  <c r="X1680" i="3" a="1"/>
  <c r="X1680" i="3"/>
  <c r="X1679" i="3" a="1"/>
  <c r="X1679" i="3" s="1"/>
  <c r="X1678" i="3" a="1"/>
  <c r="X1678" i="3"/>
  <c r="X1677" i="3" a="1"/>
  <c r="X1677" i="3" s="1"/>
  <c r="X1676" i="3" a="1"/>
  <c r="X1676" i="3"/>
  <c r="X1675" i="3" a="1"/>
  <c r="X1675" i="3" s="1"/>
  <c r="X1674" i="3" a="1"/>
  <c r="X1674" i="3"/>
  <c r="X1673" i="3" a="1"/>
  <c r="X1673" i="3" s="1"/>
  <c r="X1672" i="3" a="1"/>
  <c r="X1672" i="3"/>
  <c r="X1671" i="3" a="1"/>
  <c r="X1671" i="3" s="1"/>
  <c r="X1670" i="3" a="1"/>
  <c r="X1670" i="3" s="1"/>
  <c r="X1669" i="3" a="1"/>
  <c r="X1669" i="3" s="1"/>
  <c r="X1668" i="3" a="1"/>
  <c r="X1668" i="3" s="1"/>
  <c r="X1667" i="3" a="1"/>
  <c r="X1667" i="3" s="1"/>
  <c r="X1666" i="3" a="1"/>
  <c r="X1666" i="3" s="1"/>
  <c r="X1665" i="3" a="1"/>
  <c r="X1665" i="3"/>
  <c r="X1664" i="3" a="1"/>
  <c r="X1664" i="3"/>
  <c r="X1663" i="3" a="1"/>
  <c r="X1663" i="3" s="1"/>
  <c r="X1662" i="3" a="1"/>
  <c r="X1662" i="3" s="1"/>
  <c r="X1661" i="3" a="1"/>
  <c r="X1661" i="3" s="1"/>
  <c r="X1660" i="3" a="1"/>
  <c r="X1660" i="3" s="1"/>
  <c r="X1659" i="3" a="1"/>
  <c r="X1659" i="3" s="1"/>
  <c r="X1658" i="3" a="1"/>
  <c r="X1658" i="3"/>
  <c r="X1657" i="3" a="1"/>
  <c r="X1657" i="3" s="1"/>
  <c r="X1656" i="3" a="1"/>
  <c r="X1656" i="3" s="1"/>
  <c r="X1655" i="3" a="1"/>
  <c r="X1655" i="3" s="1"/>
  <c r="X1654" i="3" a="1"/>
  <c r="X1654" i="3"/>
  <c r="X1653" i="3" a="1"/>
  <c r="X1653" i="3" s="1"/>
  <c r="X1652" i="3" a="1"/>
  <c r="X1652" i="3" s="1"/>
  <c r="X1651" i="3" a="1"/>
  <c r="X1651" i="3" s="1"/>
  <c r="X1650" i="3" a="1"/>
  <c r="X1650" i="3"/>
  <c r="X1649" i="3" a="1"/>
  <c r="X1649" i="3" s="1"/>
  <c r="X1648" i="3" a="1"/>
  <c r="X1648" i="3" s="1"/>
  <c r="X1647" i="3" a="1"/>
  <c r="X1647" i="3" s="1"/>
  <c r="X1646" i="3" a="1"/>
  <c r="X1646" i="3" s="1"/>
  <c r="X1645" i="3" a="1"/>
  <c r="X1645" i="3" s="1"/>
  <c r="X1644" i="3" a="1"/>
  <c r="X1644" i="3" s="1"/>
  <c r="X1643" i="3" a="1"/>
  <c r="X1643" i="3" s="1"/>
  <c r="X1642" i="3" a="1"/>
  <c r="X1642" i="3" s="1"/>
  <c r="X1641" i="3" a="1"/>
  <c r="X1641" i="3" s="1"/>
  <c r="X1640" i="3" a="1"/>
  <c r="X1640" i="3" s="1"/>
  <c r="X1639" i="3" a="1"/>
  <c r="X1639" i="3" s="1"/>
  <c r="X1638" i="3" a="1"/>
  <c r="X1638" i="3"/>
  <c r="X1637" i="3" a="1"/>
  <c r="X1637" i="3" s="1"/>
  <c r="X1636" i="3" a="1"/>
  <c r="X1636" i="3" s="1"/>
  <c r="X1635" i="3" a="1"/>
  <c r="X1635" i="3"/>
  <c r="X1634" i="3" a="1"/>
  <c r="X1634" i="3"/>
  <c r="X1633" i="3" a="1"/>
  <c r="X1633" i="3" s="1"/>
  <c r="X1632" i="3" a="1"/>
  <c r="X1632" i="3" s="1"/>
  <c r="X1631" i="3" a="1"/>
  <c r="X1631" i="3" s="1"/>
  <c r="X1630" i="3" a="1"/>
  <c r="X1630" i="3" s="1"/>
  <c r="X1629" i="3" a="1"/>
  <c r="X1629" i="3" s="1"/>
  <c r="X1628" i="3" a="1"/>
  <c r="X1628" i="3" s="1"/>
  <c r="X1627" i="3" a="1"/>
  <c r="X1627" i="3"/>
  <c r="X1626" i="3" a="1"/>
  <c r="X1626" i="3" s="1"/>
  <c r="X1625" i="3" a="1"/>
  <c r="X1625" i="3" s="1"/>
  <c r="X1624" i="3" a="1"/>
  <c r="X1624" i="3" s="1"/>
  <c r="X1623" i="3" a="1"/>
  <c r="X1623" i="3" s="1"/>
  <c r="X1622" i="3" a="1"/>
  <c r="X1622" i="3"/>
  <c r="X1621" i="3" a="1"/>
  <c r="X1621" i="3" s="1"/>
  <c r="X1620" i="3" a="1"/>
  <c r="X1620" i="3" s="1"/>
  <c r="X1619" i="3" a="1"/>
  <c r="X1619" i="3" s="1"/>
  <c r="X1618" i="3" a="1"/>
  <c r="X1618" i="3"/>
  <c r="X1617" i="3" a="1"/>
  <c r="X1617" i="3" s="1"/>
  <c r="X1616" i="3" a="1"/>
  <c r="X1616" i="3" s="1"/>
  <c r="X1615" i="3" a="1"/>
  <c r="X1615" i="3"/>
  <c r="X1614" i="3" a="1"/>
  <c r="X1614" i="3" s="1"/>
  <c r="X1613" i="3" a="1"/>
  <c r="X1613" i="3" s="1"/>
  <c r="X1612" i="3" a="1"/>
  <c r="X1612" i="3" s="1"/>
  <c r="X1611" i="3" a="1"/>
  <c r="X1611" i="3" s="1"/>
  <c r="X1610" i="3" a="1"/>
  <c r="X1610" i="3" s="1"/>
  <c r="X1609" i="3" a="1"/>
  <c r="X1609" i="3"/>
  <c r="X1608" i="3" a="1"/>
  <c r="X1608" i="3" s="1"/>
  <c r="X1607" i="3" a="1"/>
  <c r="X1607" i="3" s="1"/>
  <c r="X1606" i="3" a="1"/>
  <c r="X1606" i="3"/>
  <c r="X1605" i="3" a="1"/>
  <c r="X1605" i="3" s="1"/>
  <c r="X1604" i="3" a="1"/>
  <c r="X1604" i="3" s="1"/>
  <c r="X1603" i="3" a="1"/>
  <c r="X1603" i="3" s="1"/>
  <c r="X1602" i="3" a="1"/>
  <c r="X1602" i="3" s="1"/>
  <c r="X1601" i="3" a="1"/>
  <c r="X1601" i="3" s="1"/>
  <c r="X1600" i="3" a="1"/>
  <c r="X1600" i="3" s="1"/>
  <c r="X1599" i="3" a="1"/>
  <c r="X1599" i="3" s="1"/>
  <c r="X1598" i="3" a="1"/>
  <c r="X1598" i="3"/>
  <c r="X1597" i="3" a="1"/>
  <c r="X1597" i="3" s="1"/>
  <c r="X1596" i="3" a="1"/>
  <c r="X1596" i="3" s="1"/>
  <c r="X1595" i="3" a="1"/>
  <c r="X1595" i="3" s="1"/>
  <c r="X1594" i="3" a="1"/>
  <c r="X1594" i="3" s="1"/>
  <c r="X1593" i="3" a="1"/>
  <c r="X1593" i="3" s="1"/>
  <c r="X1592" i="3" a="1"/>
  <c r="X1592" i="3" s="1"/>
  <c r="X1591" i="3" a="1"/>
  <c r="X1591" i="3" s="1"/>
  <c r="X1590" i="3" a="1"/>
  <c r="X1590" i="3"/>
  <c r="X1589" i="3" a="1"/>
  <c r="X1589" i="3"/>
  <c r="X1588" i="3" a="1"/>
  <c r="X1588" i="3" s="1"/>
  <c r="X1587" i="3" a="1"/>
  <c r="X1587" i="3" s="1"/>
  <c r="X1586" i="3" a="1"/>
  <c r="X1586" i="3"/>
  <c r="X1585" i="3" a="1"/>
  <c r="X1585" i="3" s="1"/>
  <c r="X1584" i="3" a="1"/>
  <c r="X1584" i="3" s="1"/>
  <c r="X1583" i="3" a="1"/>
  <c r="X1583" i="3"/>
  <c r="X1582" i="3" a="1"/>
  <c r="X1582" i="3" s="1"/>
  <c r="X1581" i="3" a="1"/>
  <c r="X1581" i="3" s="1"/>
  <c r="X1580" i="3" a="1"/>
  <c r="X1580" i="3" s="1"/>
  <c r="X1579" i="3" a="1"/>
  <c r="X1579" i="3"/>
  <c r="X1578" i="3" a="1"/>
  <c r="X1578" i="3" s="1"/>
  <c r="X1577" i="3" a="1"/>
  <c r="X1577" i="3"/>
  <c r="X1576" i="3" a="1"/>
  <c r="X1576" i="3" s="1"/>
  <c r="X1575" i="3" a="1"/>
  <c r="X1575" i="3" s="1"/>
  <c r="X1574" i="3" a="1"/>
  <c r="X1574" i="3"/>
  <c r="X1573" i="3" a="1"/>
  <c r="X1573" i="3" s="1"/>
  <c r="X1572" i="3" a="1"/>
  <c r="X1572" i="3" s="1"/>
  <c r="X1571" i="3" a="1"/>
  <c r="X1571" i="3" s="1"/>
  <c r="X1570" i="3" a="1"/>
  <c r="X1570" i="3" s="1"/>
  <c r="X1569" i="3" a="1"/>
  <c r="X1569" i="3" s="1"/>
  <c r="X1568" i="3" a="1"/>
  <c r="X1568" i="3" s="1"/>
  <c r="X1567" i="3" a="1"/>
  <c r="X1567" i="3"/>
  <c r="X1566" i="3" a="1"/>
  <c r="X1566" i="3"/>
  <c r="X1565" i="3" a="1"/>
  <c r="X1565" i="3" s="1"/>
  <c r="X1564" i="3" a="1"/>
  <c r="X1564" i="3" s="1"/>
  <c r="X1563" i="3" a="1"/>
  <c r="X1563" i="3" s="1"/>
  <c r="X1562" i="3" a="1"/>
  <c r="X1562" i="3" s="1"/>
  <c r="X1561" i="3" a="1"/>
  <c r="X1561" i="3" s="1"/>
  <c r="X1560" i="3" a="1"/>
  <c r="X1560" i="3" s="1"/>
  <c r="X1559" i="3" a="1"/>
  <c r="X1559" i="3" s="1"/>
  <c r="X1558" i="3" a="1"/>
  <c r="X1558" i="3" s="1"/>
  <c r="X1557" i="3" a="1"/>
  <c r="X1557" i="3" s="1"/>
  <c r="X1556" i="3" a="1"/>
  <c r="X1556" i="3" s="1"/>
  <c r="X1555" i="3" a="1"/>
  <c r="X1555" i="3"/>
  <c r="X1554" i="3" a="1"/>
  <c r="X1554" i="3"/>
  <c r="X1553" i="3" a="1"/>
  <c r="X1553" i="3"/>
  <c r="X1552" i="3" a="1"/>
  <c r="X1552" i="3" s="1"/>
  <c r="X1551" i="3" a="1"/>
  <c r="X1551" i="3" s="1"/>
  <c r="X1550" i="3" a="1"/>
  <c r="X1550" i="3" s="1"/>
  <c r="X1549" i="3" a="1"/>
  <c r="X1549" i="3" s="1"/>
  <c r="X1548" i="3" a="1"/>
  <c r="X1548" i="3" s="1"/>
  <c r="X1547" i="3" a="1"/>
  <c r="X1547" i="3" s="1"/>
  <c r="X1546" i="3" a="1"/>
  <c r="X1546" i="3" s="1"/>
  <c r="X1545" i="3" a="1"/>
  <c r="X1545" i="3" s="1"/>
  <c r="X1544" i="3" a="1"/>
  <c r="X1544" i="3" s="1"/>
  <c r="X1543" i="3" a="1"/>
  <c r="X1543" i="3" s="1"/>
  <c r="X1542" i="3" a="1"/>
  <c r="X1542" i="3"/>
  <c r="X1541" i="3" a="1"/>
  <c r="X1541" i="3"/>
  <c r="X1540" i="3" a="1"/>
  <c r="X1540" i="3" s="1"/>
  <c r="X1539" i="3" a="1"/>
  <c r="X1539" i="3" s="1"/>
  <c r="X1538" i="3" a="1"/>
  <c r="X1538" i="3" s="1"/>
  <c r="X1537" i="3" a="1"/>
  <c r="X1537" i="3" s="1"/>
  <c r="X1536" i="3" a="1"/>
  <c r="X1536" i="3" s="1"/>
  <c r="X1535" i="3" a="1"/>
  <c r="X1535" i="3" s="1"/>
  <c r="X1534" i="3" a="1"/>
  <c r="X1534" i="3" s="1"/>
  <c r="X1533" i="3" a="1"/>
  <c r="X1533" i="3" s="1"/>
  <c r="X1532" i="3" a="1"/>
  <c r="X1532" i="3" s="1"/>
  <c r="X1531" i="3" a="1"/>
  <c r="X1531" i="3" s="1"/>
  <c r="X1530" i="3" a="1"/>
  <c r="X1530" i="3" s="1"/>
  <c r="X1529" i="3" a="1"/>
  <c r="X1529" i="3" s="1"/>
  <c r="X1528" i="3" a="1"/>
  <c r="X1528" i="3" s="1"/>
  <c r="X1527" i="3" a="1"/>
  <c r="X1527" i="3" s="1"/>
  <c r="X1526" i="3" a="1"/>
  <c r="X1526" i="3"/>
  <c r="X1525" i="3" a="1"/>
  <c r="X1525" i="3" s="1"/>
  <c r="X1524" i="3" a="1"/>
  <c r="X1524" i="3" s="1"/>
  <c r="X1523" i="3" a="1"/>
  <c r="X1523" i="3" s="1"/>
  <c r="X1522" i="3" a="1"/>
  <c r="X1522" i="3" s="1"/>
  <c r="X1521" i="3" a="1"/>
  <c r="X1521" i="3" s="1"/>
  <c r="X1520" i="3" a="1"/>
  <c r="X1520" i="3" s="1"/>
  <c r="X1519" i="3" a="1"/>
  <c r="X1519" i="3"/>
  <c r="X1518" i="3" a="1"/>
  <c r="X1518" i="3"/>
  <c r="X1517" i="3" a="1"/>
  <c r="X1517" i="3"/>
  <c r="X1516" i="3" a="1"/>
  <c r="X1516" i="3" s="1"/>
  <c r="X1515" i="3" a="1"/>
  <c r="X1515" i="3" s="1"/>
  <c r="X1514" i="3" a="1"/>
  <c r="X1514" i="3" s="1"/>
  <c r="X1513" i="3" a="1"/>
  <c r="X1513" i="3" s="1"/>
  <c r="X1512" i="3" a="1"/>
  <c r="X1512" i="3" s="1"/>
  <c r="X1511" i="3" a="1"/>
  <c r="X1511" i="3" s="1"/>
  <c r="X1510" i="3" a="1"/>
  <c r="X1510" i="3" s="1"/>
  <c r="X1509" i="3" a="1"/>
  <c r="X1509" i="3" s="1"/>
  <c r="X1508" i="3" a="1"/>
  <c r="X1508" i="3" s="1"/>
  <c r="X1507" i="3" a="1"/>
  <c r="X1507" i="3"/>
  <c r="X1506" i="3" a="1"/>
  <c r="X1506" i="3"/>
  <c r="X1505" i="3" a="1"/>
  <c r="X1505" i="3"/>
  <c r="X1504" i="3" a="1"/>
  <c r="X1504" i="3" s="1"/>
  <c r="X1503" i="3" a="1"/>
  <c r="X1503" i="3" s="1"/>
  <c r="X1502" i="3" a="1"/>
  <c r="X1502" i="3" s="1"/>
  <c r="X1501" i="3" a="1"/>
  <c r="X1501" i="3" s="1"/>
  <c r="X1500" i="3" a="1"/>
  <c r="X1500" i="3" s="1"/>
  <c r="X1499" i="3" a="1"/>
  <c r="X1499" i="3" s="1"/>
  <c r="X1498" i="3" a="1"/>
  <c r="X1498" i="3" s="1"/>
  <c r="X1497" i="3" a="1"/>
  <c r="X1497" i="3" s="1"/>
  <c r="X1496" i="3" a="1"/>
  <c r="X1496" i="3" s="1"/>
  <c r="X1495" i="3" a="1"/>
  <c r="X1495" i="3" s="1"/>
  <c r="X1494" i="3" a="1"/>
  <c r="X1494" i="3" s="1"/>
  <c r="X1493" i="3" a="1"/>
  <c r="X1493" i="3"/>
  <c r="X1492" i="3" a="1"/>
  <c r="X1492" i="3" s="1"/>
  <c r="X1491" i="3" a="1"/>
  <c r="X1491" i="3"/>
  <c r="X1490" i="3" a="1"/>
  <c r="X1490" i="3" s="1"/>
  <c r="X1489" i="3" a="1"/>
  <c r="X1489" i="3" s="1"/>
  <c r="X1488" i="3" a="1"/>
  <c r="X1488" i="3" s="1"/>
  <c r="X1487" i="3" a="1"/>
  <c r="X1487" i="3" s="1"/>
  <c r="X1486" i="3" a="1"/>
  <c r="X1486" i="3" s="1"/>
  <c r="X1485" i="3" a="1"/>
  <c r="X1485" i="3" s="1"/>
  <c r="X1484" i="3" a="1"/>
  <c r="X1484" i="3" s="1"/>
  <c r="X1483" i="3" a="1"/>
  <c r="X1483" i="3" s="1"/>
  <c r="X1482" i="3" a="1"/>
  <c r="X1482" i="3" s="1"/>
  <c r="X1481" i="3" a="1"/>
  <c r="X1481" i="3"/>
  <c r="X1480" i="3" a="1"/>
  <c r="X1480" i="3" s="1"/>
  <c r="X1479" i="3" a="1"/>
  <c r="X1479" i="3" s="1"/>
  <c r="X1478" i="3" a="1"/>
  <c r="X1478" i="3" s="1"/>
  <c r="X1477" i="3" a="1"/>
  <c r="X1477" i="3" s="1"/>
  <c r="X1476" i="3" a="1"/>
  <c r="X1476" i="3" s="1"/>
  <c r="X1475" i="3" a="1"/>
  <c r="X1475" i="3" s="1"/>
  <c r="X1474" i="3" a="1"/>
  <c r="X1474" i="3" s="1"/>
  <c r="X1473" i="3" a="1"/>
  <c r="X1473" i="3" s="1"/>
  <c r="X1472" i="3" a="1"/>
  <c r="X1472" i="3" s="1"/>
  <c r="X1471" i="3" a="1"/>
  <c r="X1471" i="3" s="1"/>
  <c r="X1470" i="3" a="1"/>
  <c r="X1470" i="3"/>
  <c r="X1469" i="3" a="1"/>
  <c r="X1469" i="3" s="1"/>
  <c r="X1468" i="3" a="1"/>
  <c r="X1468" i="3" s="1"/>
  <c r="X1467" i="3" a="1"/>
  <c r="X1467" i="3" s="1"/>
  <c r="X1466" i="3" a="1"/>
  <c r="X1466" i="3" s="1"/>
  <c r="X1465" i="3" a="1"/>
  <c r="X1465" i="3"/>
  <c r="X1464" i="3" a="1"/>
  <c r="X1464" i="3" s="1"/>
  <c r="X1463" i="3" a="1"/>
  <c r="X1463" i="3" s="1"/>
  <c r="X1462" i="3" a="1"/>
  <c r="X1462" i="3" s="1"/>
  <c r="X1461" i="3" a="1"/>
  <c r="X1461" i="3" s="1"/>
  <c r="X1460" i="3" a="1"/>
  <c r="X1460" i="3" s="1"/>
  <c r="X1459" i="3" a="1"/>
  <c r="X1459" i="3" s="1"/>
  <c r="X1458" i="3" a="1"/>
  <c r="X1458" i="3" s="1"/>
  <c r="X1457" i="3" a="1"/>
  <c r="X1457" i="3" s="1"/>
  <c r="X1456" i="3" a="1"/>
  <c r="X1456" i="3" s="1"/>
  <c r="X1455" i="3" a="1"/>
  <c r="X1455" i="3" s="1"/>
  <c r="X1454" i="3" a="1"/>
  <c r="X1454" i="3" s="1"/>
  <c r="X1453" i="3" a="1"/>
  <c r="X1453" i="3" s="1"/>
  <c r="X1452" i="3" a="1"/>
  <c r="X1452" i="3" s="1"/>
  <c r="X1451" i="3" a="1"/>
  <c r="X1451" i="3" s="1"/>
  <c r="X1450" i="3" a="1"/>
  <c r="X1450" i="3" s="1"/>
  <c r="X1449" i="3" a="1"/>
  <c r="X1449" i="3" s="1"/>
  <c r="X1448" i="3" a="1"/>
  <c r="X1448" i="3" s="1"/>
  <c r="X1447" i="3" a="1"/>
  <c r="X1447" i="3"/>
  <c r="X1446" i="3" a="1"/>
  <c r="X1446" i="3" s="1"/>
  <c r="X1445" i="3" a="1"/>
  <c r="X1445" i="3" s="1"/>
  <c r="X1444" i="3" a="1"/>
  <c r="X1444" i="3" s="1"/>
  <c r="X1443" i="3" a="1"/>
  <c r="X1443" i="3" s="1"/>
  <c r="X1442" i="3" a="1"/>
  <c r="X1442" i="3" s="1"/>
  <c r="X1441" i="3" a="1"/>
  <c r="X1441" i="3" s="1"/>
  <c r="X1440" i="3" a="1"/>
  <c r="X1440" i="3" s="1"/>
  <c r="X1439" i="3" a="1"/>
  <c r="X1439" i="3" s="1"/>
  <c r="X1438" i="3" a="1"/>
  <c r="X1438" i="3" s="1"/>
  <c r="X1437" i="3" a="1"/>
  <c r="X1437" i="3" s="1"/>
  <c r="X1436" i="3" a="1"/>
  <c r="X1436" i="3" s="1"/>
  <c r="X1435" i="3" a="1"/>
  <c r="X1435" i="3" s="1"/>
  <c r="X1434" i="3" a="1"/>
  <c r="X1434" i="3" s="1"/>
  <c r="X1433" i="3" a="1"/>
  <c r="X1433" i="3" s="1"/>
  <c r="X1432" i="3" a="1"/>
  <c r="X1432" i="3" s="1"/>
  <c r="X1431" i="3" a="1"/>
  <c r="X1431" i="3" s="1"/>
  <c r="X1430" i="3" a="1"/>
  <c r="X1430" i="3" s="1"/>
  <c r="X1429" i="3" a="1"/>
  <c r="X1429" i="3" s="1"/>
  <c r="X1428" i="3" a="1"/>
  <c r="X1428" i="3" s="1"/>
  <c r="X1427" i="3" a="1"/>
  <c r="X1427" i="3" s="1"/>
  <c r="X1426" i="3" a="1"/>
  <c r="X1426" i="3" s="1"/>
  <c r="X1425" i="3" a="1"/>
  <c r="X1425" i="3" s="1"/>
  <c r="X1424" i="3" a="1"/>
  <c r="X1424" i="3" s="1"/>
  <c r="X1423" i="3" a="1"/>
  <c r="X1423" i="3" s="1"/>
  <c r="X1422" i="3" a="1"/>
  <c r="X1422" i="3"/>
  <c r="X1421" i="3" a="1"/>
  <c r="X1421" i="3" s="1"/>
  <c r="X1420" i="3" a="1"/>
  <c r="X1420" i="3" s="1"/>
  <c r="X1419" i="3" a="1"/>
  <c r="X1419" i="3" s="1"/>
  <c r="X1418" i="3" a="1"/>
  <c r="X1418" i="3" s="1"/>
  <c r="X1417" i="3" a="1"/>
  <c r="X1417" i="3" s="1"/>
  <c r="X1416" i="3" a="1"/>
  <c r="X1416" i="3" s="1"/>
  <c r="X1415" i="3" a="1"/>
  <c r="X1415" i="3" s="1"/>
  <c r="X1414" i="3" a="1"/>
  <c r="X1414" i="3" s="1"/>
  <c r="X1413" i="3" a="1"/>
  <c r="X1413" i="3" s="1"/>
  <c r="X1412" i="3" a="1"/>
  <c r="X1412" i="3" s="1"/>
  <c r="X1411" i="3" a="1"/>
  <c r="X1411" i="3" s="1"/>
  <c r="X1410" i="3" a="1"/>
  <c r="X1410" i="3"/>
  <c r="X1409" i="3" a="1"/>
  <c r="X1409" i="3"/>
  <c r="X1408" i="3" a="1"/>
  <c r="X1408" i="3" s="1"/>
  <c r="X1407" i="3" a="1"/>
  <c r="X1407" i="3" s="1"/>
  <c r="X1406" i="3" a="1"/>
  <c r="X1406" i="3" s="1"/>
  <c r="X1405" i="3" a="1"/>
  <c r="X1405" i="3"/>
  <c r="X1404" i="3" a="1"/>
  <c r="X1404" i="3" s="1"/>
  <c r="X1403" i="3" a="1"/>
  <c r="X1403" i="3" s="1"/>
  <c r="X1402" i="3" a="1"/>
  <c r="X1402" i="3" s="1"/>
  <c r="X1401" i="3" a="1"/>
  <c r="X1401" i="3" s="1"/>
  <c r="X1400" i="3" a="1"/>
  <c r="X1400" i="3" s="1"/>
  <c r="X1399" i="3" a="1"/>
  <c r="X1399" i="3" s="1"/>
  <c r="X1398" i="3" a="1"/>
  <c r="X1398" i="3" s="1"/>
  <c r="X1397" i="3" a="1"/>
  <c r="X1397" i="3" s="1"/>
  <c r="X1396" i="3" a="1"/>
  <c r="X1396" i="3" s="1"/>
  <c r="X1395" i="3" a="1"/>
  <c r="X1395" i="3"/>
  <c r="X1394" i="3" a="1"/>
  <c r="X1394" i="3" s="1"/>
  <c r="X1393" i="3" a="1"/>
  <c r="X1393" i="3" s="1"/>
  <c r="X1392" i="3" a="1"/>
  <c r="X1392" i="3" s="1"/>
  <c r="X1391" i="3" a="1"/>
  <c r="X1391" i="3" s="1"/>
  <c r="X1390" i="3" a="1"/>
  <c r="X1390" i="3" s="1"/>
  <c r="X1389" i="3" a="1"/>
  <c r="X1389" i="3" s="1"/>
  <c r="X1388" i="3" a="1"/>
  <c r="X1388" i="3" s="1"/>
  <c r="X1387" i="3" a="1"/>
  <c r="X1387" i="3" s="1"/>
  <c r="X1386" i="3" a="1"/>
  <c r="X1386" i="3" s="1"/>
  <c r="X1385" i="3" a="1"/>
  <c r="X1385" i="3"/>
  <c r="X1384" i="3" a="1"/>
  <c r="X1384" i="3" s="1"/>
  <c r="X1383" i="3" a="1"/>
  <c r="X1383" i="3" s="1"/>
  <c r="X1382" i="3" a="1"/>
  <c r="X1382" i="3"/>
  <c r="X1381" i="3" a="1"/>
  <c r="X1381" i="3" s="1"/>
  <c r="X1380" i="3" a="1"/>
  <c r="X1380" i="3" s="1"/>
  <c r="X1379" i="3" a="1"/>
  <c r="X1379" i="3" s="1"/>
  <c r="X1378" i="3" a="1"/>
  <c r="X1378" i="3" s="1"/>
  <c r="X1377" i="3" a="1"/>
  <c r="X1377" i="3" s="1"/>
  <c r="X1376" i="3" a="1"/>
  <c r="X1376" i="3" s="1"/>
  <c r="X1375" i="3" a="1"/>
  <c r="X1375" i="3"/>
  <c r="X1374" i="3" a="1"/>
  <c r="X1374" i="3" s="1"/>
  <c r="X1373" i="3" a="1"/>
  <c r="X1373" i="3"/>
  <c r="X1372" i="3" a="1"/>
  <c r="X1372" i="3" s="1"/>
  <c r="X1371" i="3" a="1"/>
  <c r="X1371" i="3" s="1"/>
  <c r="X1370" i="3" a="1"/>
  <c r="X1370" i="3" s="1"/>
  <c r="X1369" i="3" a="1"/>
  <c r="X1369" i="3"/>
  <c r="X1368" i="3" a="1"/>
  <c r="X1368" i="3" s="1"/>
  <c r="X1367" i="3" a="1"/>
  <c r="X1367" i="3" s="1"/>
  <c r="X1366" i="3" a="1"/>
  <c r="X1366" i="3" s="1"/>
  <c r="X1365" i="3" a="1"/>
  <c r="X1365" i="3" s="1"/>
  <c r="X1364" i="3" a="1"/>
  <c r="X1364" i="3" s="1"/>
  <c r="X1363" i="3" a="1"/>
  <c r="X1363" i="3"/>
  <c r="X1362" i="3" a="1"/>
  <c r="X1362" i="3" s="1"/>
  <c r="X1361" i="3" a="1"/>
  <c r="X1361" i="3" s="1"/>
  <c r="X1360" i="3" a="1"/>
  <c r="X1360" i="3" s="1"/>
  <c r="X1359" i="3" a="1"/>
  <c r="X1359" i="3" s="1"/>
  <c r="X1358" i="3" a="1"/>
  <c r="X1358" i="3" s="1"/>
  <c r="X1357" i="3" a="1"/>
  <c r="X1357" i="3" s="1"/>
  <c r="X1356" i="3" a="1"/>
  <c r="X1356" i="3" s="1"/>
  <c r="X1355" i="3" a="1"/>
  <c r="X1355" i="3" s="1"/>
  <c r="X1354" i="3" a="1"/>
  <c r="X1354" i="3" s="1"/>
  <c r="X1353" i="3" a="1"/>
  <c r="X1353" i="3" s="1"/>
  <c r="X1352" i="3" a="1"/>
  <c r="X1352" i="3" s="1"/>
  <c r="X1351" i="3" a="1"/>
  <c r="X1351" i="3" s="1"/>
  <c r="X1350" i="3" a="1"/>
  <c r="X1350" i="3" s="1"/>
  <c r="X1349" i="3" a="1"/>
  <c r="X1349" i="3" s="1"/>
  <c r="X1348" i="3" a="1"/>
  <c r="X1348" i="3" s="1"/>
  <c r="X1347" i="3" a="1"/>
  <c r="X1347" i="3"/>
  <c r="X1346" i="3" a="1"/>
  <c r="X1346" i="3"/>
  <c r="X1345" i="3" a="1"/>
  <c r="X1345" i="3" s="1"/>
  <c r="X1344" i="3" a="1"/>
  <c r="X1344" i="3" s="1"/>
  <c r="X1343" i="3" a="1"/>
  <c r="X1343" i="3" s="1"/>
  <c r="X1342" i="3" a="1"/>
  <c r="X1342" i="3" s="1"/>
  <c r="X1341" i="3" a="1"/>
  <c r="X1341" i="3" s="1"/>
  <c r="X1340" i="3" a="1"/>
  <c r="X1340" i="3" s="1"/>
  <c r="X1339" i="3" a="1"/>
  <c r="X1339" i="3" s="1"/>
  <c r="X1338" i="3" a="1"/>
  <c r="X1338" i="3" s="1"/>
  <c r="X1337" i="3" a="1"/>
  <c r="X1337" i="3"/>
  <c r="X1336" i="3" a="1"/>
  <c r="X1336" i="3" s="1"/>
  <c r="X1335" i="3" a="1"/>
  <c r="X1335" i="3" s="1"/>
  <c r="X1334" i="3" a="1"/>
  <c r="X1334" i="3"/>
  <c r="X1333" i="3" a="1"/>
  <c r="X1333" i="3" s="1"/>
  <c r="X1332" i="3" a="1"/>
  <c r="X1332" i="3" s="1"/>
  <c r="X1331" i="3" a="1"/>
  <c r="X1331" i="3" s="1"/>
  <c r="X1330" i="3" a="1"/>
  <c r="X1330" i="3" s="1"/>
  <c r="X1329" i="3" a="1"/>
  <c r="X1329" i="3" s="1"/>
  <c r="X1328" i="3" a="1"/>
  <c r="X1328" i="3" s="1"/>
  <c r="X1327" i="3" a="1"/>
  <c r="X1327" i="3" s="1"/>
  <c r="X1326" i="3" a="1"/>
  <c r="X1326" i="3" s="1"/>
  <c r="X1325" i="3" a="1"/>
  <c r="X1325" i="3" s="1"/>
  <c r="X1324" i="3" a="1"/>
  <c r="X1324" i="3" s="1"/>
  <c r="X1323" i="3" a="1"/>
  <c r="X1323" i="3" s="1"/>
  <c r="X1322" i="3" a="1"/>
  <c r="X1322" i="3" s="1"/>
  <c r="X1321" i="3" a="1"/>
  <c r="X1321" i="3"/>
  <c r="X1320" i="3" a="1"/>
  <c r="X1320" i="3" s="1"/>
  <c r="X1319" i="3" a="1"/>
  <c r="X1319" i="3" s="1"/>
  <c r="X1318" i="3" a="1"/>
  <c r="X1318" i="3" s="1"/>
  <c r="X1317" i="3" a="1"/>
  <c r="X1317" i="3" s="1"/>
  <c r="X1316" i="3" a="1"/>
  <c r="X1316" i="3" s="1"/>
  <c r="X1315" i="3" a="1"/>
  <c r="X1315" i="3" s="1"/>
  <c r="X1314" i="3" a="1"/>
  <c r="X1314" i="3" s="1"/>
  <c r="X1313" i="3" a="1"/>
  <c r="X1313" i="3" s="1"/>
  <c r="X1312" i="3" a="1"/>
  <c r="X1312" i="3" s="1"/>
  <c r="X1311" i="3" a="1"/>
  <c r="X1311" i="3" s="1"/>
  <c r="X1310" i="3" a="1"/>
  <c r="X1310" i="3" s="1"/>
  <c r="X1309" i="3" a="1"/>
  <c r="X1309" i="3" s="1"/>
  <c r="X1308" i="3" a="1"/>
  <c r="X1308" i="3" s="1"/>
  <c r="X1307" i="3" a="1"/>
  <c r="X1307" i="3" s="1"/>
  <c r="X1306" i="3" a="1"/>
  <c r="X1306" i="3" s="1"/>
  <c r="X1305" i="3" a="1"/>
  <c r="X1305" i="3" s="1"/>
  <c r="X1304" i="3" a="1"/>
  <c r="X1304" i="3" s="1"/>
  <c r="X1303" i="3" a="1"/>
  <c r="X1303" i="3" s="1"/>
  <c r="X1302" i="3" a="1"/>
  <c r="X1302" i="3" s="1"/>
  <c r="X1301" i="3" a="1"/>
  <c r="X1301" i="3" s="1"/>
  <c r="X1300" i="3" a="1"/>
  <c r="X1300" i="3" s="1"/>
  <c r="X1299" i="3" a="1"/>
  <c r="X1299" i="3" s="1"/>
  <c r="X1298" i="3" a="1"/>
  <c r="X1298" i="3" s="1"/>
  <c r="X1297" i="3" a="1"/>
  <c r="X1297" i="3" s="1"/>
  <c r="X1296" i="3" a="1"/>
  <c r="X1296" i="3" s="1"/>
  <c r="X1295" i="3" a="1"/>
  <c r="X1295" i="3" s="1"/>
  <c r="X1294" i="3" a="1"/>
  <c r="X1294" i="3" s="1"/>
  <c r="X1293" i="3" a="1"/>
  <c r="X1293" i="3" s="1"/>
  <c r="X1292" i="3" a="1"/>
  <c r="X1292" i="3" s="1"/>
  <c r="X1291" i="3" a="1"/>
  <c r="X1291" i="3" s="1"/>
  <c r="X1290" i="3" a="1"/>
  <c r="X1290" i="3" s="1"/>
  <c r="X1289" i="3" a="1"/>
  <c r="X1289" i="3" s="1"/>
  <c r="X1288" i="3" a="1"/>
  <c r="X1288" i="3" s="1"/>
  <c r="X1287" i="3" a="1"/>
  <c r="X1287" i="3" s="1"/>
  <c r="X1286" i="3" a="1"/>
  <c r="X1286" i="3" s="1"/>
  <c r="X1285" i="3" a="1"/>
  <c r="X1285" i="3" s="1"/>
  <c r="X1284" i="3" a="1"/>
  <c r="X1284" i="3" s="1"/>
  <c r="X1283" i="3" a="1"/>
  <c r="X1283" i="3" s="1"/>
  <c r="X1282" i="3" a="1"/>
  <c r="X1282" i="3" s="1"/>
  <c r="X1281" i="3" a="1"/>
  <c r="X1281" i="3" s="1"/>
  <c r="X1280" i="3" a="1"/>
  <c r="X1280" i="3" s="1"/>
  <c r="X1279" i="3" a="1"/>
  <c r="X1279" i="3" s="1"/>
  <c r="X1278" i="3" a="1"/>
  <c r="X1278" i="3" s="1"/>
  <c r="X1277" i="3" a="1"/>
  <c r="X1277" i="3" s="1"/>
  <c r="X1276" i="3" a="1"/>
  <c r="X1276" i="3" s="1"/>
  <c r="X1275" i="3" a="1"/>
  <c r="X1275" i="3" s="1"/>
  <c r="X1274" i="3" a="1"/>
  <c r="X1274" i="3" s="1"/>
  <c r="X1273" i="3" a="1"/>
  <c r="X1273" i="3" s="1"/>
  <c r="X1272" i="3" a="1"/>
  <c r="X1272" i="3" s="1"/>
  <c r="X1271" i="3" a="1"/>
  <c r="X1271" i="3" s="1"/>
  <c r="X1270" i="3" a="1"/>
  <c r="X1270" i="3" s="1"/>
  <c r="X1269" i="3" a="1"/>
  <c r="X1269" i="3" s="1"/>
  <c r="X1268" i="3" a="1"/>
  <c r="X1268" i="3" s="1"/>
  <c r="X1267" i="3" a="1"/>
  <c r="X1267" i="3" s="1"/>
  <c r="X1266" i="3" a="1"/>
  <c r="X1266" i="3" s="1"/>
  <c r="X1265" i="3" a="1"/>
  <c r="X1265" i="3" s="1"/>
  <c r="X1264" i="3" a="1"/>
  <c r="X1264" i="3" s="1"/>
  <c r="X1263" i="3" a="1"/>
  <c r="X1263" i="3" s="1"/>
  <c r="X1262" i="3" a="1"/>
  <c r="X1262" i="3" s="1"/>
  <c r="X1261" i="3" a="1"/>
  <c r="X1261" i="3" s="1"/>
  <c r="X1260" i="3" a="1"/>
  <c r="X1260" i="3" s="1"/>
  <c r="X1259" i="3" a="1"/>
  <c r="X1259" i="3" s="1"/>
  <c r="X1258" i="3" a="1"/>
  <c r="X1258" i="3" s="1"/>
  <c r="X1257" i="3" a="1"/>
  <c r="X1257" i="3" s="1"/>
  <c r="X1256" i="3" a="1"/>
  <c r="X1256" i="3" s="1"/>
  <c r="X1255" i="3" a="1"/>
  <c r="X1255" i="3" s="1"/>
  <c r="X1254" i="3" a="1"/>
  <c r="X1254" i="3" s="1"/>
  <c r="X1253" i="3" a="1"/>
  <c r="X1253" i="3" s="1"/>
  <c r="X1252" i="3" a="1"/>
  <c r="X1252" i="3" s="1"/>
  <c r="X1251" i="3" a="1"/>
  <c r="X1251" i="3" s="1"/>
  <c r="X1250" i="3" a="1"/>
  <c r="X1250" i="3" s="1"/>
  <c r="X1249" i="3" a="1"/>
  <c r="X1249" i="3" s="1"/>
  <c r="X1248" i="3" a="1"/>
  <c r="X1248" i="3" s="1"/>
  <c r="X1247" i="3" a="1"/>
  <c r="X1247" i="3" s="1"/>
  <c r="X1245" i="3" a="1"/>
  <c r="X1245" i="3"/>
  <c r="X1244" i="3" a="1"/>
  <c r="X1244" i="3" s="1"/>
  <c r="X1243" i="3" a="1"/>
  <c r="X1243" i="3"/>
  <c r="X1242" i="3" a="1"/>
  <c r="X1242" i="3"/>
  <c r="X1241" i="3" a="1"/>
  <c r="X1241" i="3"/>
  <c r="X1240" i="3" a="1"/>
  <c r="X1240" i="3" s="1"/>
  <c r="X1239" i="3" a="1"/>
  <c r="X1239" i="3" s="1"/>
  <c r="X1238" i="3" a="1"/>
  <c r="X1238" i="3" s="1"/>
  <c r="X1237" i="3" a="1"/>
  <c r="X1237" i="3" s="1"/>
  <c r="X1236" i="3" a="1"/>
  <c r="X1236" i="3"/>
  <c r="X1235" i="3" a="1"/>
  <c r="X1235" i="3" s="1"/>
  <c r="X1234" i="3" a="1"/>
  <c r="X1234" i="3"/>
  <c r="X1233" i="3" a="1"/>
  <c r="X1233" i="3"/>
  <c r="X1232" i="3" a="1"/>
  <c r="X1232" i="3"/>
  <c r="X1231" i="3" a="1"/>
  <c r="X1231" i="3" s="1"/>
  <c r="X1230" i="3" a="1"/>
  <c r="X1230" i="3" s="1"/>
  <c r="X1229" i="3" a="1"/>
  <c r="X1229" i="3" s="1"/>
  <c r="X1228" i="3" a="1"/>
  <c r="X1228" i="3" s="1"/>
  <c r="X1227" i="3" a="1"/>
  <c r="X1227" i="3"/>
  <c r="X1226" i="3" a="1"/>
  <c r="X1226" i="3" s="1"/>
  <c r="X1225" i="3" a="1"/>
  <c r="X1225" i="3"/>
  <c r="X1224" i="3" a="1"/>
  <c r="X1224" i="3"/>
  <c r="X1223" i="3" a="1"/>
  <c r="X1223" i="3" s="1"/>
  <c r="X1222" i="3" a="1"/>
  <c r="X1222" i="3" s="1"/>
  <c r="X1221" i="3" a="1"/>
  <c r="X1221" i="3" s="1"/>
  <c r="X1220" i="3" a="1"/>
  <c r="X1220" i="3" s="1"/>
  <c r="X1219" i="3" a="1"/>
  <c r="X1219" i="3" s="1"/>
  <c r="X1218" i="3" a="1"/>
  <c r="X1218" i="3"/>
  <c r="X1217" i="3" a="1"/>
  <c r="X1217" i="3" s="1"/>
  <c r="X1216" i="3" a="1"/>
  <c r="X1216" i="3"/>
  <c r="X1215" i="3" a="1"/>
  <c r="X1215" i="3" s="1"/>
  <c r="X1214" i="3" a="1"/>
  <c r="X1214" i="3" s="1"/>
  <c r="X1213" i="3" a="1"/>
  <c r="X1213" i="3"/>
  <c r="X1212" i="3" a="1"/>
  <c r="X1212" i="3" s="1"/>
  <c r="X1211" i="3" a="1"/>
  <c r="X1211" i="3" s="1"/>
  <c r="X1210" i="3" a="1"/>
  <c r="X1210" i="3" s="1"/>
  <c r="X1209" i="3" a="1"/>
  <c r="X1209" i="3"/>
  <c r="X1208" i="3" a="1"/>
  <c r="X1208" i="3" s="1"/>
  <c r="X1207" i="3" a="1"/>
  <c r="X1207" i="3" s="1"/>
  <c r="X1206" i="3" a="1"/>
  <c r="X1206" i="3" s="1"/>
  <c r="X1205" i="3" a="1"/>
  <c r="X1205" i="3" s="1"/>
  <c r="X1204" i="3" a="1"/>
  <c r="X1204" i="3"/>
  <c r="X1203" i="3" a="1"/>
  <c r="X1203" i="3" s="1"/>
  <c r="X1202" i="3" a="1"/>
  <c r="X1202" i="3"/>
  <c r="X1201" i="3" a="1"/>
  <c r="X1201" i="3"/>
  <c r="X1200" i="3" a="1"/>
  <c r="X1200" i="3" s="1"/>
  <c r="X1199" i="3" a="1"/>
  <c r="X1199" i="3" s="1"/>
  <c r="X1198" i="3" a="1"/>
  <c r="X1198" i="3"/>
  <c r="X1197" i="3" a="1"/>
  <c r="X1197" i="3"/>
  <c r="X1196" i="3" a="1"/>
  <c r="X1196" i="3"/>
  <c r="X1195" i="3" a="1"/>
  <c r="X1195" i="3" s="1"/>
  <c r="X1194" i="3" a="1"/>
  <c r="X1194" i="3" s="1"/>
  <c r="X1193" i="3" a="1"/>
  <c r="X1193" i="3" s="1"/>
  <c r="X1192" i="3" a="1"/>
  <c r="X1192" i="3"/>
  <c r="X1191" i="3" a="1"/>
  <c r="X1191" i="3" s="1"/>
  <c r="X1190" i="3" a="1"/>
  <c r="X1190" i="3"/>
  <c r="X1189" i="3" a="1"/>
  <c r="X1189" i="3" s="1"/>
  <c r="X1188" i="3" a="1"/>
  <c r="X1188" i="3" s="1"/>
  <c r="X1187" i="3" a="1"/>
  <c r="X1187" i="3"/>
  <c r="X1186" i="3" a="1"/>
  <c r="X1186" i="3" s="1"/>
  <c r="X1185" i="3" a="1"/>
  <c r="X1185" i="3"/>
  <c r="X1184" i="3" a="1"/>
  <c r="X1184" i="3"/>
  <c r="X1183" i="3" a="1"/>
  <c r="X1183" i="3" s="1"/>
  <c r="X1182" i="3" a="1"/>
  <c r="X1182" i="3" s="1"/>
  <c r="X1181" i="3" a="1"/>
  <c r="X1181" i="3"/>
  <c r="X1180" i="3" a="1"/>
  <c r="X1180" i="3"/>
  <c r="X1179" i="3" a="1"/>
  <c r="X1179" i="3"/>
  <c r="X1178" i="3" a="1"/>
  <c r="X1178" i="3" s="1"/>
  <c r="X1177" i="3" a="1"/>
  <c r="X1177" i="3" s="1"/>
  <c r="X1176" i="3" a="1"/>
  <c r="X1176" i="3" s="1"/>
  <c r="X1175" i="3" a="1"/>
  <c r="X1175" i="3" s="1"/>
  <c r="X1174" i="3" a="1"/>
  <c r="X1174" i="3" s="1"/>
  <c r="X1173" i="3" a="1"/>
  <c r="X1173" i="3"/>
  <c r="X1172" i="3" a="1"/>
  <c r="X1172" i="3" s="1"/>
  <c r="X1171" i="3" a="1"/>
  <c r="X1171" i="3" s="1"/>
  <c r="X1170" i="3" a="1"/>
  <c r="X1170" i="3"/>
  <c r="X1169" i="3" a="1"/>
  <c r="X1169" i="3" s="1"/>
  <c r="X1168" i="3" a="1"/>
  <c r="X1168" i="3"/>
  <c r="X1167" i="3" a="1"/>
  <c r="X1167" i="3" s="1"/>
  <c r="X1166" i="3" a="1"/>
  <c r="X1166" i="3"/>
  <c r="X1165" i="3" a="1"/>
  <c r="X1165" i="3" s="1"/>
  <c r="X1164" i="3" a="1"/>
  <c r="X1164" i="3"/>
  <c r="X1163" i="3" a="1"/>
  <c r="X1163" i="3"/>
  <c r="X1162" i="3" a="1"/>
  <c r="X1162" i="3"/>
  <c r="X1161" i="3" a="1"/>
  <c r="X1161" i="3" s="1"/>
  <c r="X1160" i="3" a="1"/>
  <c r="X1160" i="3" s="1"/>
  <c r="X1159" i="3" a="1"/>
  <c r="X1159" i="3" s="1"/>
  <c r="X1158" i="3" a="1"/>
  <c r="X1158" i="3"/>
  <c r="X1157" i="3" a="1"/>
  <c r="X1157" i="3" s="1"/>
  <c r="X1156" i="3" a="1"/>
  <c r="X1156" i="3"/>
  <c r="X1155" i="3" a="1"/>
  <c r="X1155" i="3" s="1"/>
  <c r="X1154" i="3" a="1"/>
  <c r="X1154" i="3" s="1"/>
  <c r="X1153" i="3" a="1"/>
  <c r="X1153" i="3"/>
  <c r="X1152" i="3" a="1"/>
  <c r="X1152" i="3" s="1"/>
  <c r="X1151" i="3" a="1"/>
  <c r="X1151" i="3" s="1"/>
  <c r="X1150" i="3" a="1"/>
  <c r="X1150" i="3" s="1"/>
  <c r="X1149" i="3" a="1"/>
  <c r="X1149" i="3"/>
  <c r="X1148" i="3" a="1"/>
  <c r="X1148" i="3" s="1"/>
  <c r="X1147" i="3" a="1"/>
  <c r="X1147" i="3"/>
  <c r="X1146" i="3" a="1"/>
  <c r="X1146" i="3"/>
  <c r="X1145" i="3" a="1"/>
  <c r="X1145" i="3"/>
  <c r="X1144" i="3" a="1"/>
  <c r="X1144" i="3" s="1"/>
  <c r="X1143" i="3" a="1"/>
  <c r="X1143" i="3" s="1"/>
  <c r="X1142" i="3" a="1"/>
  <c r="X1142" i="3" s="1"/>
  <c r="X1141" i="3" a="1"/>
  <c r="X1141" i="3" s="1"/>
  <c r="X1140" i="3" a="1"/>
  <c r="X1140" i="3" s="1"/>
  <c r="X1139" i="3" a="1"/>
  <c r="X1139" i="3" s="1"/>
  <c r="X1138" i="3" a="1"/>
  <c r="X1138" i="3" s="1"/>
  <c r="X1137" i="3" a="1"/>
  <c r="X1137" i="3"/>
  <c r="X1136" i="3" a="1"/>
  <c r="X1136" i="3"/>
  <c r="X1135" i="3" a="1"/>
  <c r="X1135" i="3"/>
  <c r="X1134" i="3" a="1"/>
  <c r="X1134" i="3" s="1"/>
  <c r="X1133" i="3" a="1"/>
  <c r="X1133" i="3" s="1"/>
  <c r="X1132" i="3" a="1"/>
  <c r="X1132" i="3"/>
  <c r="X1131" i="3" a="1"/>
  <c r="X1131" i="3"/>
  <c r="X1130" i="3" a="1"/>
  <c r="X1130" i="3" s="1"/>
  <c r="X1129" i="3" a="1"/>
  <c r="X1129" i="3" s="1"/>
  <c r="X1128" i="3" a="1"/>
  <c r="X1128" i="3" s="1"/>
  <c r="X1127" i="3" a="1"/>
  <c r="X1127" i="3" s="1"/>
  <c r="X1126" i="3" a="1"/>
  <c r="X1126" i="3" s="1"/>
  <c r="X1125" i="3" a="1"/>
  <c r="X1125" i="3"/>
  <c r="X1124" i="3" a="1"/>
  <c r="X1124" i="3" s="1"/>
  <c r="X1123" i="3" a="1"/>
  <c r="X1123" i="3" s="1"/>
  <c r="X1122" i="3" a="1"/>
  <c r="X1122" i="3" s="1"/>
  <c r="X1121" i="3" a="1"/>
  <c r="X1121" i="3"/>
  <c r="X1120" i="3" a="1"/>
  <c r="X1120" i="3" s="1"/>
  <c r="X1119" i="3" a="1"/>
  <c r="X1119" i="3"/>
  <c r="X1118" i="3" a="1"/>
  <c r="X1118" i="3" s="1"/>
  <c r="X1117" i="3" a="1"/>
  <c r="X1117" i="3"/>
  <c r="X1116" i="3" a="1"/>
  <c r="X1116" i="3" s="1"/>
  <c r="X1115" i="3" a="1"/>
  <c r="X1115" i="3"/>
  <c r="X1114" i="3" a="1"/>
  <c r="X1114" i="3" s="1"/>
  <c r="X1113" i="3" a="1"/>
  <c r="X1113" i="3" s="1"/>
  <c r="X1112" i="3" a="1"/>
  <c r="X1112" i="3" s="1"/>
  <c r="X1111" i="3" a="1"/>
  <c r="X1111" i="3"/>
  <c r="X1110" i="3" a="1"/>
  <c r="X1110" i="3" s="1"/>
  <c r="X1109" i="3" a="1"/>
  <c r="X1109" i="3" s="1"/>
  <c r="X1108" i="3" a="1"/>
  <c r="X1108" i="3"/>
  <c r="X1107" i="3" a="1"/>
  <c r="X1107" i="3"/>
  <c r="X1106" i="3" a="1"/>
  <c r="X1106" i="3" s="1"/>
  <c r="X1105" i="3" a="1"/>
  <c r="X1105" i="3"/>
  <c r="X1104" i="3" a="1"/>
  <c r="X1104" i="3" s="1"/>
  <c r="X1103" i="3" a="1"/>
  <c r="X1103" i="3" s="1"/>
  <c r="X1102" i="3" a="1"/>
  <c r="X1102" i="3" s="1"/>
  <c r="X1101" i="3" a="1"/>
  <c r="X1101" i="3" s="1"/>
  <c r="X1100" i="3" a="1"/>
  <c r="X1100" i="3" s="1"/>
  <c r="X1099" i="3" a="1"/>
  <c r="X1099" i="3" s="1"/>
  <c r="X1098" i="3" a="1"/>
  <c r="X1098" i="3" s="1"/>
  <c r="X1097" i="3" a="1"/>
  <c r="X1097" i="3"/>
  <c r="X1096" i="3" a="1"/>
  <c r="X1096" i="3" s="1"/>
  <c r="X1095" i="3" a="1"/>
  <c r="X1095" i="3" s="1"/>
  <c r="X1094" i="3" a="1"/>
  <c r="X1094" i="3" s="1"/>
  <c r="X1093" i="3" a="1"/>
  <c r="X1093" i="3"/>
  <c r="X1092" i="3" a="1"/>
  <c r="X1092" i="3" s="1"/>
  <c r="X1091" i="3" a="1"/>
  <c r="X1091" i="3" s="1"/>
  <c r="X1090" i="3" a="1"/>
  <c r="X1090" i="3" s="1"/>
  <c r="X1089" i="3" a="1"/>
  <c r="X1089" i="3" s="1"/>
  <c r="X1088" i="3" a="1"/>
  <c r="X1088" i="3" s="1"/>
  <c r="X1087" i="3" a="1"/>
  <c r="X1087" i="3" s="1"/>
  <c r="X1086" i="3" a="1"/>
  <c r="X1086" i="3" s="1"/>
  <c r="X1085" i="3" a="1"/>
  <c r="X1085" i="3" s="1"/>
  <c r="X1084" i="3" a="1"/>
  <c r="X1084" i="3" s="1"/>
  <c r="X1083" i="3" a="1"/>
  <c r="X1083" i="3" s="1"/>
  <c r="X1082" i="3" a="1"/>
  <c r="X1082" i="3" s="1"/>
  <c r="X1081" i="3" a="1"/>
  <c r="X1081" i="3" s="1"/>
  <c r="X1080" i="3" a="1"/>
  <c r="X1080" i="3" s="1"/>
  <c r="X1079" i="3" a="1"/>
  <c r="X1079" i="3" s="1"/>
  <c r="X1078" i="3" a="1"/>
  <c r="X1078" i="3" s="1"/>
  <c r="X1077" i="3" a="1"/>
  <c r="X1077" i="3" s="1"/>
  <c r="X1076" i="3" a="1"/>
  <c r="X1076" i="3" s="1"/>
  <c r="X1075" i="3" a="1"/>
  <c r="X1075" i="3" s="1"/>
  <c r="X1074" i="3" a="1"/>
  <c r="X1074" i="3" s="1"/>
  <c r="X1073" i="3" a="1"/>
  <c r="X1073" i="3" s="1"/>
  <c r="X1072" i="3" a="1"/>
  <c r="X1072" i="3" s="1"/>
  <c r="X1071" i="3" a="1"/>
  <c r="X1071" i="3" s="1"/>
  <c r="X1070" i="3" a="1"/>
  <c r="X1070" i="3" s="1"/>
  <c r="X1069" i="3" a="1"/>
  <c r="X1069" i="3" s="1"/>
  <c r="X1068" i="3" a="1"/>
  <c r="X1068" i="3" s="1"/>
  <c r="X1067" i="3" a="1"/>
  <c r="X1067" i="3" s="1"/>
  <c r="X1066" i="3" a="1"/>
  <c r="X1066" i="3" s="1"/>
  <c r="X1065" i="3" a="1"/>
  <c r="X1065" i="3" s="1"/>
  <c r="X1064" i="3" a="1"/>
  <c r="X1064" i="3" s="1"/>
  <c r="X1063" i="3" a="1"/>
  <c r="X1063" i="3" s="1"/>
  <c r="X1062" i="3" a="1"/>
  <c r="X1062" i="3" s="1"/>
  <c r="X1061" i="3" a="1"/>
  <c r="X1061" i="3" s="1"/>
  <c r="X1060" i="3" a="1"/>
  <c r="X1060" i="3" s="1"/>
  <c r="X1059" i="3" a="1"/>
  <c r="X1059" i="3" s="1"/>
  <c r="X1058" i="3" a="1"/>
  <c r="X1058" i="3" s="1"/>
  <c r="X1057" i="3" a="1"/>
  <c r="X1057" i="3" s="1"/>
  <c r="X1056" i="3" a="1"/>
  <c r="X1056" i="3" s="1"/>
  <c r="X1055" i="3" a="1"/>
  <c r="X1055" i="3" s="1"/>
  <c r="X1054" i="3" a="1"/>
  <c r="X1054" i="3" s="1"/>
  <c r="X1053" i="3" a="1"/>
  <c r="X1053" i="3" s="1"/>
  <c r="X1052" i="3" a="1"/>
  <c r="X1052" i="3" s="1"/>
  <c r="X1051" i="3" a="1"/>
  <c r="X1051" i="3" s="1"/>
  <c r="X1050" i="3" a="1"/>
  <c r="X1050" i="3" s="1"/>
  <c r="X1049" i="3" a="1"/>
  <c r="X1049" i="3" s="1"/>
  <c r="X1048" i="3" a="1"/>
  <c r="X1048" i="3" s="1"/>
  <c r="X1047" i="3" a="1"/>
  <c r="X1047" i="3" s="1"/>
  <c r="X1046" i="3" a="1"/>
  <c r="X1046" i="3" s="1"/>
  <c r="X1045" i="3" a="1"/>
  <c r="X1045" i="3" s="1"/>
  <c r="X1044" i="3" a="1"/>
  <c r="X1044" i="3" s="1"/>
  <c r="X1043" i="3" a="1"/>
  <c r="X1043" i="3" s="1"/>
  <c r="X1042" i="3" a="1"/>
  <c r="X1042" i="3" s="1"/>
  <c r="X1041" i="3" a="1"/>
  <c r="X1041" i="3" s="1"/>
  <c r="X1040" i="3" a="1"/>
  <c r="X1040" i="3" s="1"/>
  <c r="X1039" i="3" a="1"/>
  <c r="X1039" i="3" s="1"/>
  <c r="X1038" i="3" a="1"/>
  <c r="X1038" i="3" s="1"/>
  <c r="X1037" i="3" a="1"/>
  <c r="X1037" i="3" s="1"/>
  <c r="X1036" i="3" a="1"/>
  <c r="X1036" i="3" s="1"/>
  <c r="X1035" i="3" a="1"/>
  <c r="X1035" i="3" s="1"/>
  <c r="X1034" i="3" a="1"/>
  <c r="X1034" i="3" s="1"/>
  <c r="X1033" i="3" a="1"/>
  <c r="X1033" i="3" s="1"/>
  <c r="X1032" i="3" a="1"/>
  <c r="X1032" i="3" s="1"/>
  <c r="X1031" i="3" a="1"/>
  <c r="X1031" i="3" s="1"/>
  <c r="X1030" i="3" a="1"/>
  <c r="X1030" i="3" s="1"/>
  <c r="X1029" i="3" a="1"/>
  <c r="X1029" i="3" s="1"/>
  <c r="X1028" i="3" a="1"/>
  <c r="X1028" i="3" s="1"/>
  <c r="X1027" i="3" a="1"/>
  <c r="X1027" i="3" s="1"/>
  <c r="X1026" i="3" a="1"/>
  <c r="X1026" i="3" s="1"/>
  <c r="X1025" i="3" a="1"/>
  <c r="X1025" i="3" s="1"/>
  <c r="X1024" i="3" a="1"/>
  <c r="X1024" i="3" s="1"/>
  <c r="X1023" i="3" a="1"/>
  <c r="X1023" i="3" s="1"/>
  <c r="X1022" i="3" a="1"/>
  <c r="X1022" i="3" s="1"/>
  <c r="X1021" i="3" a="1"/>
  <c r="X1021" i="3" s="1"/>
  <c r="X1020" i="3" a="1"/>
  <c r="X1020" i="3" s="1"/>
  <c r="X1019" i="3" a="1"/>
  <c r="X1019" i="3" s="1"/>
  <c r="X1018" i="3" a="1"/>
  <c r="X1018" i="3" s="1"/>
  <c r="X1017" i="3" a="1"/>
  <c r="X1017" i="3" s="1"/>
  <c r="X1016" i="3" a="1"/>
  <c r="X1016" i="3" s="1"/>
  <c r="X1015" i="3" a="1"/>
  <c r="X1015" i="3" s="1"/>
  <c r="X1014" i="3" a="1"/>
  <c r="X1014" i="3" s="1"/>
  <c r="X1013" i="3" a="1"/>
  <c r="X1013" i="3" s="1"/>
  <c r="X1012" i="3" a="1"/>
  <c r="X1012" i="3" s="1"/>
  <c r="X1011" i="3" a="1"/>
  <c r="X1011" i="3" s="1"/>
  <c r="X1010" i="3" a="1"/>
  <c r="X1010" i="3" s="1"/>
  <c r="X1009" i="3" a="1"/>
  <c r="X1009" i="3" s="1"/>
  <c r="X1008" i="3" a="1"/>
  <c r="X1008" i="3" s="1"/>
  <c r="X1007" i="3" a="1"/>
  <c r="X1007" i="3" s="1"/>
  <c r="X1006" i="3" a="1"/>
  <c r="X1006" i="3" s="1"/>
  <c r="X1005" i="3" a="1"/>
  <c r="X1005" i="3" s="1"/>
  <c r="X1004" i="3" a="1"/>
  <c r="X1004" i="3" s="1"/>
  <c r="X1003" i="3" a="1"/>
  <c r="X1003" i="3" s="1"/>
  <c r="X1002" i="3" a="1"/>
  <c r="X1002" i="3" s="1"/>
  <c r="X1001" i="3" a="1"/>
  <c r="X1001" i="3" s="1"/>
  <c r="X1000" i="3" a="1"/>
  <c r="X1000" i="3" s="1"/>
  <c r="X999" i="3" a="1"/>
  <c r="X999" i="3" s="1"/>
  <c r="X998" i="3" a="1"/>
  <c r="X998" i="3" s="1"/>
  <c r="X997" i="3" a="1"/>
  <c r="X997" i="3" s="1"/>
  <c r="X996" i="3" a="1"/>
  <c r="X996" i="3" s="1"/>
  <c r="X995" i="3" a="1"/>
  <c r="X995" i="3" s="1"/>
  <c r="X994" i="3" a="1"/>
  <c r="X994" i="3" s="1"/>
  <c r="X993" i="3" a="1"/>
  <c r="X993" i="3" s="1"/>
  <c r="X992" i="3" a="1"/>
  <c r="X992" i="3" s="1"/>
  <c r="X991" i="3" a="1"/>
  <c r="X991" i="3" s="1"/>
  <c r="X990" i="3" a="1"/>
  <c r="X990" i="3" s="1"/>
  <c r="X989" i="3" a="1"/>
  <c r="X989" i="3" s="1"/>
  <c r="X988" i="3" a="1"/>
  <c r="X988" i="3" s="1"/>
  <c r="X987" i="3" a="1"/>
  <c r="X987" i="3" s="1"/>
  <c r="X986" i="3" a="1"/>
  <c r="X986" i="3" s="1"/>
  <c r="X985" i="3" a="1"/>
  <c r="X985" i="3" s="1"/>
  <c r="X984" i="3" a="1"/>
  <c r="X984" i="3" s="1"/>
  <c r="X983" i="3" a="1"/>
  <c r="X983" i="3" s="1"/>
  <c r="X982" i="3" a="1"/>
  <c r="X982" i="3" s="1"/>
  <c r="X981" i="3" a="1"/>
  <c r="X981" i="3" s="1"/>
  <c r="X980" i="3" a="1"/>
  <c r="X980" i="3" s="1"/>
  <c r="X979" i="3" a="1"/>
  <c r="X979" i="3" s="1"/>
  <c r="X978" i="3" a="1"/>
  <c r="X978" i="3" s="1"/>
  <c r="X977" i="3" a="1"/>
  <c r="X977" i="3" s="1"/>
  <c r="X976" i="3" a="1"/>
  <c r="X976" i="3" s="1"/>
  <c r="X975" i="3" a="1"/>
  <c r="X975" i="3" s="1"/>
  <c r="X974" i="3" a="1"/>
  <c r="X974" i="3" s="1"/>
  <c r="X973" i="3" a="1"/>
  <c r="X973" i="3" s="1"/>
  <c r="X972" i="3" a="1"/>
  <c r="X972" i="3" s="1"/>
  <c r="X971" i="3" a="1"/>
  <c r="X971" i="3" s="1"/>
  <c r="X970" i="3" a="1"/>
  <c r="X970" i="3" s="1"/>
  <c r="X969" i="3" a="1"/>
  <c r="X969" i="3" s="1"/>
  <c r="X968" i="3" a="1"/>
  <c r="X968" i="3" s="1"/>
  <c r="X967" i="3" a="1"/>
  <c r="X967" i="3" s="1"/>
  <c r="X966" i="3" a="1"/>
  <c r="X966" i="3" s="1"/>
  <c r="X965" i="3" a="1"/>
  <c r="X965" i="3" s="1"/>
  <c r="X964" i="3" a="1"/>
  <c r="X964" i="3" s="1"/>
  <c r="X963" i="3" a="1"/>
  <c r="X963" i="3" s="1"/>
  <c r="X962" i="3" a="1"/>
  <c r="X962" i="3" s="1"/>
  <c r="X961" i="3" a="1"/>
  <c r="X961" i="3" s="1"/>
  <c r="X960" i="3" a="1"/>
  <c r="X960" i="3" s="1"/>
  <c r="X959" i="3" a="1"/>
  <c r="X959" i="3" s="1"/>
  <c r="X958" i="3" a="1"/>
  <c r="X958" i="3" s="1"/>
  <c r="X957" i="3" a="1"/>
  <c r="X957" i="3" s="1"/>
  <c r="X956" i="3" a="1"/>
  <c r="X956" i="3" s="1"/>
  <c r="X955" i="3" a="1"/>
  <c r="X955" i="3" s="1"/>
  <c r="X954" i="3" a="1"/>
  <c r="X954" i="3" s="1"/>
  <c r="X953" i="3" a="1"/>
  <c r="X953" i="3" s="1"/>
  <c r="X952" i="3" a="1"/>
  <c r="X952" i="3" s="1"/>
  <c r="X951" i="3" a="1"/>
  <c r="X951" i="3" s="1"/>
  <c r="X950" i="3" a="1"/>
  <c r="X950" i="3" s="1"/>
  <c r="X949" i="3" a="1"/>
  <c r="X949" i="3" s="1"/>
  <c r="X948" i="3" a="1"/>
  <c r="X948" i="3" s="1"/>
  <c r="X947" i="3" a="1"/>
  <c r="X947" i="3" s="1"/>
  <c r="X946" i="3" a="1"/>
  <c r="X946" i="3" s="1"/>
  <c r="X945" i="3" a="1"/>
  <c r="X945" i="3" s="1"/>
  <c r="X944" i="3" a="1"/>
  <c r="X944" i="3" s="1"/>
  <c r="X943" i="3" a="1"/>
  <c r="X943" i="3" s="1"/>
  <c r="X942" i="3" a="1"/>
  <c r="X942" i="3" s="1"/>
  <c r="X941" i="3" a="1"/>
  <c r="X941" i="3" s="1"/>
  <c r="X940" i="3" a="1"/>
  <c r="X940" i="3" s="1"/>
  <c r="X939" i="3" a="1"/>
  <c r="X939" i="3" s="1"/>
  <c r="X938" i="3" a="1"/>
  <c r="X938" i="3" s="1"/>
  <c r="X937" i="3" a="1"/>
  <c r="X937" i="3" s="1"/>
  <c r="X936" i="3" a="1"/>
  <c r="X936" i="3" s="1"/>
  <c r="X935" i="3" a="1"/>
  <c r="X935" i="3" s="1"/>
  <c r="X934" i="3" a="1"/>
  <c r="X934" i="3" s="1"/>
  <c r="X933" i="3" a="1"/>
  <c r="X933" i="3" s="1"/>
  <c r="X932" i="3" a="1"/>
  <c r="X932" i="3" s="1"/>
  <c r="X931" i="3" a="1"/>
  <c r="X931" i="3" s="1"/>
  <c r="X930" i="3" a="1"/>
  <c r="X930" i="3" s="1"/>
  <c r="X929" i="3" a="1"/>
  <c r="X929" i="3" s="1"/>
  <c r="X928" i="3" a="1"/>
  <c r="X928" i="3" s="1"/>
  <c r="X927" i="3" a="1"/>
  <c r="X927" i="3" s="1"/>
  <c r="X926" i="3" a="1"/>
  <c r="X926" i="3" s="1"/>
  <c r="X925" i="3" a="1"/>
  <c r="X925" i="3" s="1"/>
  <c r="X924" i="3" a="1"/>
  <c r="X924" i="3" s="1"/>
  <c r="X923" i="3" a="1"/>
  <c r="X923" i="3" s="1"/>
  <c r="X922" i="3" a="1"/>
  <c r="X922" i="3" s="1"/>
  <c r="X921" i="3" a="1"/>
  <c r="X921" i="3" s="1"/>
  <c r="X920" i="3" a="1"/>
  <c r="X920" i="3" s="1"/>
  <c r="X919" i="3" a="1"/>
  <c r="X919" i="3" s="1"/>
  <c r="X918" i="3" a="1"/>
  <c r="X918" i="3" s="1"/>
  <c r="X917" i="3" a="1"/>
  <c r="X917" i="3" s="1"/>
  <c r="X916" i="3" a="1"/>
  <c r="X916" i="3" s="1"/>
  <c r="X915" i="3" a="1"/>
  <c r="X915" i="3" s="1"/>
  <c r="X914" i="3" a="1"/>
  <c r="X914" i="3" s="1"/>
  <c r="X913" i="3" a="1"/>
  <c r="X913" i="3" s="1"/>
  <c r="X912" i="3" a="1"/>
  <c r="X912" i="3" s="1"/>
  <c r="X911" i="3" a="1"/>
  <c r="X911" i="3" s="1"/>
  <c r="X910" i="3" a="1"/>
  <c r="X910" i="3" s="1"/>
  <c r="X909" i="3" a="1"/>
  <c r="X909" i="3" s="1"/>
  <c r="X908" i="3" a="1"/>
  <c r="X908" i="3" s="1"/>
  <c r="X907" i="3" a="1"/>
  <c r="X907" i="3" s="1"/>
  <c r="X906" i="3" a="1"/>
  <c r="X906" i="3" s="1"/>
  <c r="X905" i="3" a="1"/>
  <c r="X905" i="3" s="1"/>
  <c r="X904" i="3" a="1"/>
  <c r="X904" i="3" s="1"/>
  <c r="X903" i="3" a="1"/>
  <c r="X903" i="3" s="1"/>
  <c r="X902" i="3" a="1"/>
  <c r="X902" i="3" s="1"/>
  <c r="X901" i="3" a="1"/>
  <c r="X901" i="3" s="1"/>
  <c r="X900" i="3" a="1"/>
  <c r="X900" i="3" s="1"/>
  <c r="X899" i="3" a="1"/>
  <c r="X899" i="3" s="1"/>
  <c r="X898" i="3" a="1"/>
  <c r="X898" i="3" s="1"/>
  <c r="X897" i="3" a="1"/>
  <c r="X897" i="3" s="1"/>
  <c r="X896" i="3" a="1"/>
  <c r="X896" i="3" s="1"/>
  <c r="X895" i="3" a="1"/>
  <c r="X895" i="3" s="1"/>
  <c r="X894" i="3" a="1"/>
  <c r="X894" i="3" s="1"/>
  <c r="X893" i="3" a="1"/>
  <c r="X893" i="3" s="1"/>
  <c r="X892" i="3" a="1"/>
  <c r="X892" i="3" s="1"/>
  <c r="X891" i="3" a="1"/>
  <c r="X891" i="3" s="1"/>
  <c r="X890" i="3" a="1"/>
  <c r="X890" i="3" s="1"/>
  <c r="X889" i="3" a="1"/>
  <c r="X889" i="3" s="1"/>
  <c r="X888" i="3" a="1"/>
  <c r="X888" i="3" s="1"/>
  <c r="X887" i="3" a="1"/>
  <c r="X887" i="3" s="1"/>
  <c r="X886" i="3" a="1"/>
  <c r="X886" i="3" s="1"/>
  <c r="X885" i="3" a="1"/>
  <c r="X885" i="3" s="1"/>
  <c r="X884" i="3" a="1"/>
  <c r="X884" i="3" s="1"/>
  <c r="X883" i="3" a="1"/>
  <c r="X883" i="3" s="1"/>
  <c r="X882" i="3" a="1"/>
  <c r="X882" i="3" s="1"/>
  <c r="X881" i="3" a="1"/>
  <c r="X881" i="3" s="1"/>
  <c r="X880" i="3" a="1"/>
  <c r="X880" i="3" s="1"/>
  <c r="X879" i="3" a="1"/>
  <c r="X879" i="3" s="1"/>
  <c r="X878" i="3" a="1"/>
  <c r="X878" i="3" s="1"/>
  <c r="X877" i="3" a="1"/>
  <c r="X877" i="3" s="1"/>
  <c r="X876" i="3" a="1"/>
  <c r="X876" i="3" s="1"/>
  <c r="X875" i="3" a="1"/>
  <c r="X875" i="3" s="1"/>
  <c r="X874" i="3" a="1"/>
  <c r="X874" i="3" s="1"/>
  <c r="X873" i="3" a="1"/>
  <c r="X873" i="3" s="1"/>
  <c r="X872" i="3" a="1"/>
  <c r="X872" i="3" s="1"/>
  <c r="X871" i="3" a="1"/>
  <c r="X871" i="3" s="1"/>
  <c r="X870" i="3" a="1"/>
  <c r="X870" i="3" s="1"/>
  <c r="X869" i="3" a="1"/>
  <c r="X869" i="3" s="1"/>
  <c r="X868" i="3" a="1"/>
  <c r="X868" i="3" s="1"/>
  <c r="X867" i="3" a="1"/>
  <c r="X867" i="3" s="1"/>
  <c r="X866" i="3" a="1"/>
  <c r="X866" i="3" s="1"/>
  <c r="X865" i="3" a="1"/>
  <c r="X865" i="3" s="1"/>
  <c r="X864" i="3" a="1"/>
  <c r="X864" i="3" s="1"/>
  <c r="X863" i="3" a="1"/>
  <c r="X863" i="3" s="1"/>
  <c r="X862" i="3" a="1"/>
  <c r="X862" i="3" s="1"/>
  <c r="X861" i="3" a="1"/>
  <c r="X861" i="3" s="1"/>
  <c r="X860" i="3" a="1"/>
  <c r="X860" i="3" s="1"/>
  <c r="X859" i="3" a="1"/>
  <c r="X859" i="3" s="1"/>
  <c r="X858" i="3" a="1"/>
  <c r="X858" i="3" s="1"/>
  <c r="X857" i="3" a="1"/>
  <c r="X857" i="3" s="1"/>
  <c r="X856" i="3" a="1"/>
  <c r="X856" i="3" s="1"/>
  <c r="X855" i="3" a="1"/>
  <c r="X855" i="3" s="1"/>
  <c r="X854" i="3" a="1"/>
  <c r="X854" i="3" s="1"/>
  <c r="X853" i="3" a="1"/>
  <c r="X853" i="3" s="1"/>
  <c r="X852" i="3" a="1"/>
  <c r="X852" i="3" s="1"/>
  <c r="X851" i="3" a="1"/>
  <c r="X851" i="3" s="1"/>
  <c r="X850" i="3" a="1"/>
  <c r="X850" i="3" s="1"/>
  <c r="X849" i="3" a="1"/>
  <c r="X849" i="3" s="1"/>
  <c r="X848" i="3" a="1"/>
  <c r="X848" i="3" s="1"/>
  <c r="X847" i="3" a="1"/>
  <c r="X847" i="3" s="1"/>
  <c r="X846" i="3" a="1"/>
  <c r="X846" i="3" s="1"/>
  <c r="X845" i="3" a="1"/>
  <c r="X845" i="3" s="1"/>
  <c r="X844" i="3" a="1"/>
  <c r="X844" i="3" s="1"/>
  <c r="X843" i="3" a="1"/>
  <c r="X843" i="3" s="1"/>
  <c r="X842" i="3" a="1"/>
  <c r="X842" i="3" s="1"/>
  <c r="X841" i="3" a="1"/>
  <c r="X841" i="3" s="1"/>
  <c r="X840" i="3" a="1"/>
  <c r="X840" i="3" s="1"/>
  <c r="X839" i="3" a="1"/>
  <c r="X839" i="3" s="1"/>
  <c r="X838" i="3" a="1"/>
  <c r="X838" i="3" s="1"/>
  <c r="X837" i="3" a="1"/>
  <c r="X837" i="3" s="1"/>
  <c r="X836" i="3" a="1"/>
  <c r="X836" i="3" s="1"/>
  <c r="X835" i="3" a="1"/>
  <c r="X835" i="3" s="1"/>
  <c r="X834" i="3" a="1"/>
  <c r="X834" i="3" s="1"/>
  <c r="X833" i="3" a="1"/>
  <c r="X833" i="3" s="1"/>
  <c r="X832" i="3" a="1"/>
  <c r="X832" i="3" s="1"/>
  <c r="X831" i="3" a="1"/>
  <c r="X831" i="3" s="1"/>
  <c r="X830" i="3" a="1"/>
  <c r="X830" i="3" s="1"/>
  <c r="X829" i="3" a="1"/>
  <c r="X829" i="3" s="1"/>
  <c r="X828" i="3" a="1"/>
  <c r="X828" i="3" s="1"/>
  <c r="X827" i="3" a="1"/>
  <c r="X827" i="3" s="1"/>
  <c r="X826" i="3" a="1"/>
  <c r="X826" i="3" s="1"/>
  <c r="X825" i="3" a="1"/>
  <c r="X825" i="3" s="1"/>
  <c r="X824" i="3" a="1"/>
  <c r="X824" i="3" s="1"/>
  <c r="X823" i="3" a="1"/>
  <c r="X823" i="3" s="1"/>
  <c r="X822" i="3" a="1"/>
  <c r="X822" i="3" s="1"/>
  <c r="X821" i="3" a="1"/>
  <c r="X821" i="3" s="1"/>
  <c r="X820" i="3" a="1"/>
  <c r="X820" i="3" s="1"/>
  <c r="X819" i="3" a="1"/>
  <c r="X819" i="3" s="1"/>
  <c r="X818" i="3" a="1"/>
  <c r="X818" i="3" s="1"/>
  <c r="X817" i="3" a="1"/>
  <c r="X817" i="3" s="1"/>
  <c r="X816" i="3" a="1"/>
  <c r="X816" i="3" s="1"/>
  <c r="X815" i="3" a="1"/>
  <c r="X815" i="3" s="1"/>
  <c r="X814" i="3" a="1"/>
  <c r="X814" i="3" s="1"/>
  <c r="X813" i="3" a="1"/>
  <c r="X813" i="3" s="1"/>
  <c r="X812" i="3" a="1"/>
  <c r="X812" i="3" s="1"/>
  <c r="X811" i="3" a="1"/>
  <c r="X811" i="3" s="1"/>
  <c r="X810" i="3" a="1"/>
  <c r="X810" i="3" s="1"/>
  <c r="X809" i="3" a="1"/>
  <c r="X809" i="3" s="1"/>
  <c r="X808" i="3" a="1"/>
  <c r="X808" i="3" s="1"/>
  <c r="X807" i="3" a="1"/>
  <c r="X807" i="3" s="1"/>
  <c r="X806" i="3" a="1"/>
  <c r="X806" i="3" s="1"/>
  <c r="X805" i="3" a="1"/>
  <c r="X805" i="3" s="1"/>
  <c r="X804" i="3" a="1"/>
  <c r="X804" i="3" s="1"/>
  <c r="X803" i="3" a="1"/>
  <c r="X803" i="3" s="1"/>
  <c r="X802" i="3" a="1"/>
  <c r="X802" i="3" s="1"/>
  <c r="X801" i="3" a="1"/>
  <c r="X801" i="3" s="1"/>
  <c r="X800" i="3" a="1"/>
  <c r="X800" i="3" s="1"/>
  <c r="X799" i="3" a="1"/>
  <c r="X799" i="3" s="1"/>
  <c r="X798" i="3" a="1"/>
  <c r="X798" i="3" s="1"/>
  <c r="X797" i="3" a="1"/>
  <c r="X797" i="3" s="1"/>
  <c r="X796" i="3" a="1"/>
  <c r="X796" i="3" s="1"/>
  <c r="X795" i="3" a="1"/>
  <c r="X795" i="3" s="1"/>
  <c r="X794" i="3" a="1"/>
  <c r="X794" i="3" s="1"/>
  <c r="X793" i="3" a="1"/>
  <c r="X793" i="3" s="1"/>
  <c r="X792" i="3" a="1"/>
  <c r="X792" i="3" s="1"/>
  <c r="X791" i="3" a="1"/>
  <c r="X791" i="3" s="1"/>
  <c r="X790" i="3" a="1"/>
  <c r="X790" i="3" s="1"/>
  <c r="X789" i="3" a="1"/>
  <c r="X789" i="3" s="1"/>
  <c r="X788" i="3" a="1"/>
  <c r="X788" i="3" s="1"/>
  <c r="X787" i="3" a="1"/>
  <c r="X787" i="3" s="1"/>
  <c r="X786" i="3" a="1"/>
  <c r="X786" i="3" s="1"/>
  <c r="X785" i="3" a="1"/>
  <c r="X785" i="3" s="1"/>
  <c r="X784" i="3" a="1"/>
  <c r="X784" i="3" s="1"/>
  <c r="X783" i="3" a="1"/>
  <c r="X783" i="3" s="1"/>
  <c r="X782" i="3" a="1"/>
  <c r="X782" i="3" s="1"/>
  <c r="X781" i="3" a="1"/>
  <c r="X781" i="3" s="1"/>
  <c r="X780" i="3" a="1"/>
  <c r="X780" i="3" s="1"/>
  <c r="X779" i="3" a="1"/>
  <c r="X779" i="3" s="1"/>
  <c r="X778" i="3" a="1"/>
  <c r="X778" i="3" s="1"/>
  <c r="X777" i="3" a="1"/>
  <c r="X777" i="3" s="1"/>
  <c r="X776" i="3" a="1"/>
  <c r="X776" i="3" s="1"/>
  <c r="X775" i="3" a="1"/>
  <c r="X775" i="3" s="1"/>
  <c r="X774" i="3" a="1"/>
  <c r="X774" i="3" s="1"/>
  <c r="X773" i="3" a="1"/>
  <c r="X773" i="3" s="1"/>
  <c r="X772" i="3" a="1"/>
  <c r="X772" i="3" s="1"/>
  <c r="X771" i="3" a="1"/>
  <c r="X771" i="3" s="1"/>
  <c r="X770" i="3" a="1"/>
  <c r="X770" i="3" s="1"/>
  <c r="X769" i="3" a="1"/>
  <c r="X769" i="3" s="1"/>
  <c r="X768" i="3" a="1"/>
  <c r="X768" i="3" s="1"/>
  <c r="X767" i="3" a="1"/>
  <c r="X767" i="3" s="1"/>
  <c r="X766" i="3" a="1"/>
  <c r="X766" i="3" s="1"/>
  <c r="X765" i="3" a="1"/>
  <c r="X765" i="3" s="1"/>
  <c r="X764" i="3" a="1"/>
  <c r="X764" i="3" s="1"/>
  <c r="X763" i="3" a="1"/>
  <c r="X763" i="3" s="1"/>
  <c r="X762" i="3" a="1"/>
  <c r="X762" i="3" s="1"/>
  <c r="X761" i="3" a="1"/>
  <c r="X761" i="3" s="1"/>
  <c r="X760" i="3" a="1"/>
  <c r="X760" i="3" s="1"/>
  <c r="X759" i="3" a="1"/>
  <c r="X759" i="3" s="1"/>
  <c r="X758" i="3" a="1"/>
  <c r="X758" i="3" s="1"/>
  <c r="X757" i="3" a="1"/>
  <c r="X757" i="3" s="1"/>
  <c r="X756" i="3" a="1"/>
  <c r="X756" i="3" s="1"/>
  <c r="X755" i="3" a="1"/>
  <c r="X755" i="3" s="1"/>
  <c r="X754" i="3" a="1"/>
  <c r="X754" i="3" s="1"/>
  <c r="X753" i="3" a="1"/>
  <c r="X753" i="3" s="1"/>
  <c r="X752" i="3" a="1"/>
  <c r="X752" i="3" s="1"/>
  <c r="X751" i="3" a="1"/>
  <c r="X751" i="3" s="1"/>
  <c r="X750" i="3" a="1"/>
  <c r="X750" i="3" s="1"/>
  <c r="X749" i="3" a="1"/>
  <c r="X749" i="3" s="1"/>
  <c r="X748" i="3" a="1"/>
  <c r="X748" i="3" s="1"/>
  <c r="X747" i="3" a="1"/>
  <c r="X747" i="3" s="1"/>
  <c r="X746" i="3" a="1"/>
  <c r="X746" i="3" s="1"/>
  <c r="X745" i="3" a="1"/>
  <c r="X745" i="3" s="1"/>
  <c r="X744" i="3" a="1"/>
  <c r="X744" i="3" s="1"/>
  <c r="X743" i="3" a="1"/>
  <c r="X743" i="3" s="1"/>
  <c r="X742" i="3" a="1"/>
  <c r="X742" i="3" s="1"/>
  <c r="X741" i="3" a="1"/>
  <c r="X741" i="3" s="1"/>
  <c r="X740" i="3" a="1"/>
  <c r="X740" i="3" s="1"/>
  <c r="X739" i="3" a="1"/>
  <c r="X739" i="3" s="1"/>
  <c r="X738" i="3" a="1"/>
  <c r="X738" i="3" s="1"/>
  <c r="X737" i="3" a="1"/>
  <c r="X737" i="3" s="1"/>
  <c r="X736" i="3" a="1"/>
  <c r="X736" i="3" s="1"/>
  <c r="X735" i="3" a="1"/>
  <c r="X735" i="3" s="1"/>
  <c r="X734" i="3" a="1"/>
  <c r="X734" i="3" s="1"/>
  <c r="X733" i="3" a="1"/>
  <c r="X733" i="3" s="1"/>
  <c r="X732" i="3" a="1"/>
  <c r="X732" i="3" s="1"/>
  <c r="X731" i="3" a="1"/>
  <c r="X731" i="3" s="1"/>
  <c r="X730" i="3" a="1"/>
  <c r="X730" i="3" s="1"/>
  <c r="X729" i="3" a="1"/>
  <c r="X729" i="3" s="1"/>
  <c r="X728" i="3" a="1"/>
  <c r="X728" i="3" s="1"/>
  <c r="X727" i="3" a="1"/>
  <c r="X727" i="3" s="1"/>
  <c r="X726" i="3" a="1"/>
  <c r="X726" i="3" s="1"/>
  <c r="X725" i="3" a="1"/>
  <c r="X725" i="3" s="1"/>
  <c r="X724" i="3" a="1"/>
  <c r="X724" i="3" s="1"/>
  <c r="X723" i="3" a="1"/>
  <c r="X723" i="3" s="1"/>
  <c r="X722" i="3" a="1"/>
  <c r="X722" i="3" s="1"/>
  <c r="X721" i="3" a="1"/>
  <c r="X721" i="3" s="1"/>
  <c r="X720" i="3" a="1"/>
  <c r="X720" i="3" s="1"/>
  <c r="X719" i="3" a="1"/>
  <c r="X719" i="3" s="1"/>
  <c r="X718" i="3" a="1"/>
  <c r="X718" i="3" s="1"/>
  <c r="X717" i="3" a="1"/>
  <c r="X717" i="3" s="1"/>
  <c r="X716" i="3" a="1"/>
  <c r="X716" i="3" s="1"/>
  <c r="X715" i="3" a="1"/>
  <c r="X715" i="3" s="1"/>
  <c r="X714" i="3" a="1"/>
  <c r="X714" i="3" s="1"/>
  <c r="X713" i="3" a="1"/>
  <c r="X713" i="3" s="1"/>
  <c r="X712" i="3" a="1"/>
  <c r="X712" i="3" s="1"/>
  <c r="X711" i="3" a="1"/>
  <c r="X711" i="3" s="1"/>
  <c r="X710" i="3" a="1"/>
  <c r="X710" i="3" s="1"/>
  <c r="X709" i="3" a="1"/>
  <c r="X709" i="3" s="1"/>
  <c r="X708" i="3" a="1"/>
  <c r="X708" i="3" s="1"/>
  <c r="X707" i="3" a="1"/>
  <c r="X707" i="3" s="1"/>
  <c r="X706" i="3" a="1"/>
  <c r="X706" i="3" s="1"/>
  <c r="X705" i="3" a="1"/>
  <c r="X705" i="3" s="1"/>
  <c r="X704" i="3" a="1"/>
  <c r="X704" i="3" s="1"/>
  <c r="X703" i="3" a="1"/>
  <c r="X703" i="3" s="1"/>
  <c r="X702" i="3" a="1"/>
  <c r="X702" i="3" s="1"/>
  <c r="X701" i="3" a="1"/>
  <c r="X701" i="3" s="1"/>
  <c r="X700" i="3" a="1"/>
  <c r="X700" i="3" s="1"/>
  <c r="X699" i="3" a="1"/>
  <c r="X699" i="3" s="1"/>
  <c r="X698" i="3" a="1"/>
  <c r="X698" i="3" s="1"/>
  <c r="X697" i="3" a="1"/>
  <c r="X697" i="3" s="1"/>
  <c r="X696" i="3" a="1"/>
  <c r="X696" i="3" s="1"/>
  <c r="X695" i="3" a="1"/>
  <c r="X695" i="3" s="1"/>
  <c r="X694" i="3" a="1"/>
  <c r="X694" i="3" s="1"/>
  <c r="X693" i="3" a="1"/>
  <c r="X693" i="3" s="1"/>
  <c r="X692" i="3" a="1"/>
  <c r="X692" i="3" s="1"/>
  <c r="X691" i="3" a="1"/>
  <c r="X691" i="3" s="1"/>
  <c r="X690" i="3" a="1"/>
  <c r="X690" i="3" s="1"/>
  <c r="X689" i="3" a="1"/>
  <c r="X689" i="3" s="1"/>
  <c r="X688" i="3" a="1"/>
  <c r="X688" i="3" s="1"/>
  <c r="X687" i="3" a="1"/>
  <c r="X687" i="3" s="1"/>
  <c r="X686" i="3" a="1"/>
  <c r="X686" i="3" s="1"/>
  <c r="X685" i="3" a="1"/>
  <c r="X685" i="3" s="1"/>
  <c r="X684" i="3" a="1"/>
  <c r="X684" i="3" s="1"/>
  <c r="X683" i="3" a="1"/>
  <c r="X683" i="3" s="1"/>
  <c r="X682" i="3" a="1"/>
  <c r="X682" i="3" s="1"/>
  <c r="X681" i="3" a="1"/>
  <c r="X681" i="3" s="1"/>
  <c r="X680" i="3" a="1"/>
  <c r="X680" i="3" s="1"/>
  <c r="X679" i="3" a="1"/>
  <c r="X679" i="3" s="1"/>
  <c r="X678" i="3" a="1"/>
  <c r="X678" i="3" s="1"/>
  <c r="X677" i="3" a="1"/>
  <c r="X677" i="3" s="1"/>
  <c r="X676" i="3" a="1"/>
  <c r="X676" i="3" s="1"/>
  <c r="X675" i="3" a="1"/>
  <c r="X675" i="3" s="1"/>
  <c r="X674" i="3" a="1"/>
  <c r="X674" i="3" s="1"/>
  <c r="X673" i="3" a="1"/>
  <c r="X673" i="3" s="1"/>
  <c r="X672" i="3" a="1"/>
  <c r="X672" i="3" s="1"/>
  <c r="X671" i="3" a="1"/>
  <c r="X671" i="3" s="1"/>
  <c r="X670" i="3" a="1"/>
  <c r="X670" i="3" s="1"/>
  <c r="X669" i="3" a="1"/>
  <c r="X669" i="3" s="1"/>
  <c r="X668" i="3" a="1"/>
  <c r="X668" i="3" s="1"/>
  <c r="X667" i="3" a="1"/>
  <c r="X667" i="3" s="1"/>
  <c r="X666" i="3" a="1"/>
  <c r="X666" i="3" s="1"/>
  <c r="X665" i="3" a="1"/>
  <c r="X665" i="3" s="1"/>
  <c r="X664" i="3" a="1"/>
  <c r="X664" i="3" s="1"/>
  <c r="X663" i="3" a="1"/>
  <c r="X663" i="3" s="1"/>
  <c r="X662" i="3" a="1"/>
  <c r="X662" i="3" s="1"/>
  <c r="X661" i="3" a="1"/>
  <c r="X661" i="3" s="1"/>
  <c r="X660" i="3" a="1"/>
  <c r="X660" i="3" s="1"/>
  <c r="X659" i="3" a="1"/>
  <c r="X659" i="3" s="1"/>
  <c r="X658" i="3" a="1"/>
  <c r="X658" i="3" s="1"/>
  <c r="X657" i="3" a="1"/>
  <c r="X657" i="3" s="1"/>
  <c r="X656" i="3" a="1"/>
  <c r="X656" i="3" s="1"/>
  <c r="X655" i="3" a="1"/>
  <c r="X655" i="3" s="1"/>
  <c r="X654" i="3" a="1"/>
  <c r="X654" i="3" s="1"/>
  <c r="X653" i="3" a="1"/>
  <c r="X653" i="3" s="1"/>
  <c r="X652" i="3" a="1"/>
  <c r="X652" i="3" s="1"/>
  <c r="X651" i="3" a="1"/>
  <c r="X651" i="3" s="1"/>
  <c r="X650" i="3" a="1"/>
  <c r="X650" i="3" s="1"/>
  <c r="X649" i="3" a="1"/>
  <c r="X649" i="3" s="1"/>
  <c r="X648" i="3" a="1"/>
  <c r="X648" i="3" s="1"/>
  <c r="X647" i="3" a="1"/>
  <c r="X647" i="3" s="1"/>
  <c r="X646" i="3" a="1"/>
  <c r="X646" i="3" s="1"/>
  <c r="X645" i="3" a="1"/>
  <c r="X645" i="3" s="1"/>
  <c r="X644" i="3" a="1"/>
  <c r="X644" i="3" s="1"/>
  <c r="X643" i="3" a="1"/>
  <c r="X643" i="3" s="1"/>
  <c r="X642" i="3" a="1"/>
  <c r="X642" i="3" s="1"/>
  <c r="X641" i="3" a="1"/>
  <c r="X641" i="3" s="1"/>
  <c r="X640" i="3" a="1"/>
  <c r="X640" i="3" s="1"/>
  <c r="X639" i="3" a="1"/>
  <c r="X639" i="3" s="1"/>
  <c r="X638" i="3" a="1"/>
  <c r="X638" i="3" s="1"/>
  <c r="X637" i="3" a="1"/>
  <c r="X637" i="3" s="1"/>
  <c r="X636" i="3" a="1"/>
  <c r="X636" i="3" s="1"/>
  <c r="X635" i="3" a="1"/>
  <c r="X635" i="3" s="1"/>
  <c r="X634" i="3" a="1"/>
  <c r="X634" i="3" s="1"/>
  <c r="X633" i="3" a="1"/>
  <c r="X633" i="3" s="1"/>
  <c r="X632" i="3" a="1"/>
  <c r="X632" i="3" s="1"/>
  <c r="X631" i="3" a="1"/>
  <c r="X631" i="3" s="1"/>
  <c r="X630" i="3" a="1"/>
  <c r="X630" i="3" s="1"/>
  <c r="X629" i="3" a="1"/>
  <c r="X629" i="3" s="1"/>
  <c r="X628" i="3" a="1"/>
  <c r="X628" i="3" s="1"/>
  <c r="X627" i="3" a="1"/>
  <c r="X627" i="3" s="1"/>
  <c r="X626" i="3" a="1"/>
  <c r="X626" i="3" s="1"/>
  <c r="X625" i="3" a="1"/>
  <c r="X625" i="3" s="1"/>
  <c r="X624" i="3" a="1"/>
  <c r="X624" i="3" s="1"/>
  <c r="X623" i="3" a="1"/>
  <c r="X623" i="3" s="1"/>
  <c r="X622" i="3" a="1"/>
  <c r="X622" i="3" s="1"/>
  <c r="X621" i="3" a="1"/>
  <c r="X621" i="3" s="1"/>
  <c r="X620" i="3" a="1"/>
  <c r="X620" i="3" s="1"/>
  <c r="X619" i="3" a="1"/>
  <c r="X619" i="3" s="1"/>
  <c r="X618" i="3" a="1"/>
  <c r="X618" i="3" s="1"/>
  <c r="X617" i="3" a="1"/>
  <c r="X617" i="3" s="1"/>
  <c r="X616" i="3" a="1"/>
  <c r="X616" i="3" s="1"/>
  <c r="X615" i="3" a="1"/>
  <c r="X615" i="3" s="1"/>
  <c r="X614" i="3" a="1"/>
  <c r="X614" i="3" s="1"/>
  <c r="X613" i="3" a="1"/>
  <c r="X613" i="3" s="1"/>
  <c r="X612" i="3" a="1"/>
  <c r="X612" i="3" s="1"/>
  <c r="X611" i="3" a="1"/>
  <c r="X611" i="3" s="1"/>
  <c r="X610" i="3" a="1"/>
  <c r="X610" i="3" s="1"/>
  <c r="X609" i="3" a="1"/>
  <c r="X609" i="3" s="1"/>
  <c r="X608" i="3" a="1"/>
  <c r="X608" i="3" s="1"/>
  <c r="X607" i="3" a="1"/>
  <c r="X607" i="3" s="1"/>
  <c r="X606" i="3" a="1"/>
  <c r="X606" i="3" s="1"/>
  <c r="X605" i="3" a="1"/>
  <c r="X605" i="3" s="1"/>
  <c r="X604" i="3" a="1"/>
  <c r="X604" i="3" s="1"/>
  <c r="X603" i="3" a="1"/>
  <c r="X603" i="3" s="1"/>
  <c r="X602" i="3" a="1"/>
  <c r="X602" i="3" s="1"/>
  <c r="X601" i="3" a="1"/>
  <c r="X601" i="3" s="1"/>
  <c r="X600" i="3" a="1"/>
  <c r="X600" i="3" s="1"/>
  <c r="X599" i="3" a="1"/>
  <c r="X599" i="3" s="1"/>
  <c r="X598" i="3" a="1"/>
  <c r="X598" i="3" s="1"/>
  <c r="X597" i="3" a="1"/>
  <c r="X597" i="3" s="1"/>
  <c r="X596" i="3" a="1"/>
  <c r="X596" i="3" s="1"/>
  <c r="X595" i="3" a="1"/>
  <c r="X595" i="3" s="1"/>
  <c r="X594" i="3" a="1"/>
  <c r="X594" i="3" s="1"/>
  <c r="X593" i="3" a="1"/>
  <c r="X593" i="3" s="1"/>
  <c r="X592" i="3" a="1"/>
  <c r="X592" i="3" s="1"/>
  <c r="X591" i="3" a="1"/>
  <c r="X591" i="3" s="1"/>
  <c r="X590" i="3" a="1"/>
  <c r="X590" i="3" s="1"/>
  <c r="X589" i="3" a="1"/>
  <c r="X589" i="3" s="1"/>
  <c r="X588" i="3" a="1"/>
  <c r="X588" i="3" s="1"/>
  <c r="X587" i="3" a="1"/>
  <c r="X587" i="3" s="1"/>
  <c r="X586" i="3" a="1"/>
  <c r="X586" i="3" s="1"/>
  <c r="X585" i="3" a="1"/>
  <c r="X585" i="3" s="1"/>
  <c r="X584" i="3" a="1"/>
  <c r="X584" i="3" s="1"/>
  <c r="X583" i="3" a="1"/>
  <c r="X583" i="3" s="1"/>
  <c r="X582" i="3" a="1"/>
  <c r="X582" i="3" s="1"/>
  <c r="X581" i="3" a="1"/>
  <c r="X581" i="3" s="1"/>
  <c r="X580" i="3" a="1"/>
  <c r="X580" i="3" s="1"/>
  <c r="X579" i="3" a="1"/>
  <c r="X579" i="3" s="1"/>
  <c r="X578" i="3" a="1"/>
  <c r="X578" i="3" s="1"/>
  <c r="X577" i="3" a="1"/>
  <c r="X577" i="3" s="1"/>
  <c r="X576" i="3" a="1"/>
  <c r="X576" i="3" s="1"/>
  <c r="X575" i="3" a="1"/>
  <c r="X575" i="3" s="1"/>
  <c r="X574" i="3" a="1"/>
  <c r="X574" i="3" s="1"/>
  <c r="X573" i="3" a="1"/>
  <c r="X573" i="3" s="1"/>
  <c r="X572" i="3" a="1"/>
  <c r="X572" i="3" s="1"/>
  <c r="X571" i="3" a="1"/>
  <c r="X571" i="3" s="1"/>
  <c r="X570" i="3" a="1"/>
  <c r="X570" i="3" s="1"/>
  <c r="X569" i="3" a="1"/>
  <c r="X569" i="3" s="1"/>
  <c r="X568" i="3" a="1"/>
  <c r="X568" i="3" s="1"/>
  <c r="X567" i="3" a="1"/>
  <c r="X567" i="3" s="1"/>
  <c r="X566" i="3" a="1"/>
  <c r="X566" i="3" s="1"/>
  <c r="X565" i="3" a="1"/>
  <c r="X565" i="3" s="1"/>
  <c r="X564" i="3" a="1"/>
  <c r="X564" i="3" s="1"/>
  <c r="X563" i="3" a="1"/>
  <c r="X563" i="3" s="1"/>
  <c r="X562" i="3" a="1"/>
  <c r="X562" i="3" s="1"/>
  <c r="X561" i="3" a="1"/>
  <c r="X561" i="3" s="1"/>
  <c r="X560" i="3" a="1"/>
  <c r="X560" i="3" s="1"/>
  <c r="X559" i="3" a="1"/>
  <c r="X559" i="3" s="1"/>
  <c r="X558" i="3" a="1"/>
  <c r="X558" i="3" s="1"/>
  <c r="X557" i="3" a="1"/>
  <c r="X557" i="3" s="1"/>
  <c r="X556" i="3" a="1"/>
  <c r="X556" i="3" s="1"/>
  <c r="X555" i="3" a="1"/>
  <c r="X555" i="3" s="1"/>
  <c r="X554" i="3" a="1"/>
  <c r="X554" i="3" s="1"/>
  <c r="X553" i="3" a="1"/>
  <c r="X553" i="3" s="1"/>
  <c r="X552" i="3" a="1"/>
  <c r="X552" i="3" s="1"/>
  <c r="X551" i="3" a="1"/>
  <c r="X551" i="3" s="1"/>
  <c r="X550" i="3" a="1"/>
  <c r="X550" i="3" s="1"/>
  <c r="X549" i="3" a="1"/>
  <c r="X549" i="3" s="1"/>
  <c r="X548" i="3" a="1"/>
  <c r="X548" i="3" s="1"/>
  <c r="X547" i="3" a="1"/>
  <c r="X547" i="3" s="1"/>
  <c r="X546" i="3" a="1"/>
  <c r="X546" i="3" s="1"/>
  <c r="X545" i="3" a="1"/>
  <c r="X545" i="3" s="1"/>
  <c r="X544" i="3" a="1"/>
  <c r="X544" i="3" s="1"/>
  <c r="X543" i="3" a="1"/>
  <c r="X543" i="3" s="1"/>
  <c r="X542" i="3" a="1"/>
  <c r="X542" i="3" s="1"/>
  <c r="X541" i="3" a="1"/>
  <c r="X541" i="3" s="1"/>
  <c r="X540" i="3" a="1"/>
  <c r="X540" i="3" s="1"/>
  <c r="X539" i="3" a="1"/>
  <c r="X539" i="3" s="1"/>
  <c r="X538" i="3" a="1"/>
  <c r="X538" i="3" s="1"/>
  <c r="X537" i="3" a="1"/>
  <c r="X537" i="3" s="1"/>
  <c r="X536" i="3" a="1"/>
  <c r="X536" i="3" s="1"/>
  <c r="X535" i="3" a="1"/>
  <c r="X535" i="3" s="1"/>
  <c r="X534" i="3" a="1"/>
  <c r="X534" i="3" s="1"/>
  <c r="X533" i="3" a="1"/>
  <c r="X533" i="3" s="1"/>
  <c r="X532" i="3" a="1"/>
  <c r="X532" i="3" s="1"/>
  <c r="X531" i="3" a="1"/>
  <c r="X531" i="3" s="1"/>
  <c r="X530" i="3" a="1"/>
  <c r="X530" i="3" s="1"/>
  <c r="X529" i="3" a="1"/>
  <c r="X529" i="3" s="1"/>
  <c r="X528" i="3" a="1"/>
  <c r="X528" i="3" s="1"/>
  <c r="X527" i="3" a="1"/>
  <c r="X527" i="3" s="1"/>
  <c r="X526" i="3" a="1"/>
  <c r="X526" i="3" s="1"/>
  <c r="X525" i="3" a="1"/>
  <c r="X525" i="3" s="1"/>
  <c r="X524" i="3" a="1"/>
  <c r="X524" i="3" s="1"/>
  <c r="X523" i="3" a="1"/>
  <c r="X523" i="3" s="1"/>
  <c r="X522" i="3" a="1"/>
  <c r="X522" i="3" s="1"/>
  <c r="X521" i="3" a="1"/>
  <c r="X521" i="3" s="1"/>
  <c r="X520" i="3" a="1"/>
  <c r="X520" i="3" s="1"/>
  <c r="X519" i="3" a="1"/>
  <c r="X519" i="3" s="1"/>
  <c r="X518" i="3" a="1"/>
  <c r="X518" i="3" s="1"/>
  <c r="X517" i="3" a="1"/>
  <c r="X517" i="3" s="1"/>
  <c r="X516" i="3" a="1"/>
  <c r="X516" i="3" s="1"/>
  <c r="X515" i="3" a="1"/>
  <c r="X515" i="3" s="1"/>
  <c r="X514" i="3" a="1"/>
  <c r="X514" i="3" s="1"/>
  <c r="X513" i="3" a="1"/>
  <c r="X513" i="3" s="1"/>
  <c r="X512" i="3" a="1"/>
  <c r="X512" i="3" s="1"/>
  <c r="X511" i="3" a="1"/>
  <c r="X511" i="3" s="1"/>
  <c r="X510" i="3" a="1"/>
  <c r="X510" i="3" s="1"/>
  <c r="X509" i="3" a="1"/>
  <c r="X509" i="3" s="1"/>
  <c r="X508" i="3" a="1"/>
  <c r="X508" i="3" s="1"/>
  <c r="X507" i="3" a="1"/>
  <c r="X507" i="3" s="1"/>
  <c r="X506" i="3" a="1"/>
  <c r="X506" i="3" s="1"/>
  <c r="X505" i="3" a="1"/>
  <c r="X505" i="3" s="1"/>
  <c r="X504" i="3" a="1"/>
  <c r="X504" i="3" s="1"/>
  <c r="X503" i="3" a="1"/>
  <c r="X503" i="3" s="1"/>
  <c r="X502" i="3" a="1"/>
  <c r="X502" i="3" s="1"/>
  <c r="X501" i="3" a="1"/>
  <c r="X501" i="3" s="1"/>
  <c r="X500" i="3" a="1"/>
  <c r="X500" i="3" s="1"/>
  <c r="X499" i="3" a="1"/>
  <c r="X499" i="3" s="1"/>
  <c r="X498" i="3" a="1"/>
  <c r="X498" i="3" s="1"/>
  <c r="X497" i="3" a="1"/>
  <c r="X497" i="3" s="1"/>
  <c r="X496" i="3" a="1"/>
  <c r="X496" i="3" s="1"/>
  <c r="X495" i="3" a="1"/>
  <c r="X495" i="3" s="1"/>
  <c r="X494" i="3" a="1"/>
  <c r="X494" i="3" s="1"/>
  <c r="X493" i="3" a="1"/>
  <c r="X493" i="3"/>
  <c r="X492" i="3" a="1"/>
  <c r="X492" i="3" s="1"/>
  <c r="X491" i="3" a="1"/>
  <c r="X491" i="3" s="1"/>
  <c r="X490" i="3" a="1"/>
  <c r="X490" i="3" s="1"/>
  <c r="X489" i="3" a="1"/>
  <c r="X489" i="3"/>
  <c r="X488" i="3" a="1"/>
  <c r="X488" i="3" s="1"/>
  <c r="X487" i="3" a="1"/>
  <c r="X487" i="3"/>
  <c r="X486" i="3" a="1"/>
  <c r="X486" i="3" s="1"/>
  <c r="X485" i="3" a="1"/>
  <c r="X485" i="3"/>
  <c r="X484" i="3" a="1"/>
  <c r="X484" i="3" s="1"/>
  <c r="X483" i="3" a="1"/>
  <c r="X483" i="3" s="1"/>
  <c r="X482" i="3" a="1"/>
  <c r="X482" i="3" s="1"/>
  <c r="X481" i="3" a="1"/>
  <c r="X481" i="3"/>
  <c r="X480" i="3" a="1"/>
  <c r="X480" i="3" s="1"/>
  <c r="X479" i="3" a="1"/>
  <c r="X479" i="3" s="1"/>
  <c r="X478" i="3" a="1"/>
  <c r="X478" i="3" s="1"/>
  <c r="X477" i="3" a="1"/>
  <c r="X477" i="3" s="1"/>
  <c r="X476" i="3" a="1"/>
  <c r="X476" i="3" s="1"/>
  <c r="X475" i="3" a="1"/>
  <c r="X475" i="3"/>
  <c r="X474" i="3" a="1"/>
  <c r="X474" i="3" s="1"/>
  <c r="X473" i="3" a="1"/>
  <c r="X473" i="3"/>
  <c r="X472" i="3" a="1"/>
  <c r="X472" i="3" s="1"/>
  <c r="X471" i="3" a="1"/>
  <c r="X471" i="3" s="1"/>
  <c r="X470" i="3" a="1"/>
  <c r="X470" i="3" s="1"/>
  <c r="X469" i="3" a="1"/>
  <c r="X469" i="3"/>
  <c r="X468" i="3" a="1"/>
  <c r="X468" i="3" s="1"/>
  <c r="X467" i="3" a="1"/>
  <c r="X467" i="3"/>
  <c r="X466" i="3" a="1"/>
  <c r="X466" i="3" s="1"/>
  <c r="X465" i="3" a="1"/>
  <c r="X465" i="3" s="1"/>
  <c r="X464" i="3" a="1"/>
  <c r="X464" i="3" s="1"/>
  <c r="X463" i="3" a="1"/>
  <c r="X463" i="3"/>
  <c r="X462" i="3" a="1"/>
  <c r="X462" i="3" s="1"/>
  <c r="X461" i="3" a="1"/>
  <c r="X461" i="3"/>
  <c r="X460" i="3" a="1"/>
  <c r="X460" i="3" s="1"/>
  <c r="X459" i="3" a="1"/>
  <c r="X459" i="3" s="1"/>
  <c r="X458" i="3" a="1"/>
  <c r="X458" i="3" s="1"/>
  <c r="X457" i="3" a="1"/>
  <c r="X457" i="3"/>
  <c r="X456" i="3" a="1"/>
  <c r="X456" i="3" s="1"/>
  <c r="X455" i="3" a="1"/>
  <c r="X455" i="3"/>
  <c r="X454" i="3" a="1"/>
  <c r="X454" i="3" s="1"/>
  <c r="X453" i="3" a="1"/>
  <c r="X453" i="3"/>
  <c r="X452" i="3" a="1"/>
  <c r="X452" i="3" s="1"/>
  <c r="X451" i="3" a="1"/>
  <c r="X451" i="3" s="1"/>
  <c r="X450" i="3" a="1"/>
  <c r="X450" i="3" s="1"/>
  <c r="X449" i="3" a="1"/>
  <c r="X449" i="3"/>
  <c r="X448" i="3" a="1"/>
  <c r="X448" i="3" s="1"/>
  <c r="X447" i="3" a="1"/>
  <c r="X447" i="3" s="1"/>
  <c r="X446" i="3" a="1"/>
  <c r="X446" i="3" s="1"/>
  <c r="X445" i="3" a="1"/>
  <c r="X445" i="3" s="1"/>
  <c r="X444" i="3" a="1"/>
  <c r="X444" i="3" s="1"/>
  <c r="X443" i="3" a="1"/>
  <c r="X443" i="3" s="1"/>
  <c r="X442" i="3" a="1"/>
  <c r="X442" i="3" s="1"/>
  <c r="X441" i="3" a="1"/>
  <c r="X441" i="3"/>
  <c r="X440" i="3" a="1"/>
  <c r="X440" i="3" s="1"/>
  <c r="X439" i="3" a="1"/>
  <c r="X439" i="3" s="1"/>
  <c r="X438" i="3" a="1"/>
  <c r="X438" i="3" s="1"/>
  <c r="X437" i="3" a="1"/>
  <c r="X437" i="3"/>
  <c r="X436" i="3" a="1"/>
  <c r="X436" i="3" s="1"/>
  <c r="X435" i="3" a="1"/>
  <c r="X435" i="3" s="1"/>
  <c r="X434" i="3" a="1"/>
  <c r="X434" i="3" s="1"/>
  <c r="X433" i="3" a="1"/>
  <c r="X433" i="3"/>
  <c r="X432" i="3" a="1"/>
  <c r="X432" i="3" s="1"/>
  <c r="X431" i="3" a="1"/>
  <c r="X431" i="3" s="1"/>
  <c r="X430" i="3" a="1"/>
  <c r="X430" i="3" s="1"/>
  <c r="X429" i="3" a="1"/>
  <c r="X429" i="3"/>
  <c r="X428" i="3" a="1"/>
  <c r="X428" i="3" s="1"/>
  <c r="X427" i="3" a="1"/>
  <c r="X427" i="3" s="1"/>
  <c r="X426" i="3" a="1"/>
  <c r="X426" i="3" s="1"/>
  <c r="X425" i="3" a="1"/>
  <c r="X425" i="3" s="1"/>
  <c r="X424" i="3" a="1"/>
  <c r="X424" i="3" s="1"/>
  <c r="X423" i="3" a="1"/>
  <c r="X423" i="3" s="1"/>
  <c r="X422" i="3" a="1"/>
  <c r="X422" i="3" s="1"/>
  <c r="X421" i="3" a="1"/>
  <c r="X421" i="3"/>
  <c r="X420" i="3" a="1"/>
  <c r="X420" i="3" s="1"/>
  <c r="X419" i="3" a="1"/>
  <c r="X419" i="3" s="1"/>
  <c r="X418" i="3" a="1"/>
  <c r="X418" i="3" s="1"/>
  <c r="X417" i="3" a="1"/>
  <c r="X417" i="3"/>
  <c r="X416" i="3" a="1"/>
  <c r="X416" i="3" s="1"/>
  <c r="X415" i="3" a="1"/>
  <c r="X415" i="3" s="1"/>
  <c r="X414" i="3" a="1"/>
  <c r="X414" i="3" s="1"/>
  <c r="X413" i="3" a="1"/>
  <c r="X413" i="3"/>
  <c r="X412" i="3" a="1"/>
  <c r="X412" i="3" s="1"/>
  <c r="X411" i="3" a="1"/>
  <c r="X411" i="3" s="1"/>
  <c r="X410" i="3" a="1"/>
  <c r="X410" i="3" s="1"/>
  <c r="X409" i="3" a="1"/>
  <c r="X409" i="3" s="1"/>
  <c r="X408" i="3" a="1"/>
  <c r="X408" i="3" s="1"/>
  <c r="X407" i="3" a="1"/>
  <c r="X407" i="3" s="1"/>
  <c r="X406" i="3" a="1"/>
  <c r="X406" i="3" s="1"/>
  <c r="X405" i="3" a="1"/>
  <c r="X405" i="3" s="1"/>
  <c r="X404" i="3" a="1"/>
  <c r="X404" i="3" s="1"/>
  <c r="X403" i="3" a="1"/>
  <c r="X403" i="3" s="1"/>
  <c r="X402" i="3" a="1"/>
  <c r="X402" i="3" s="1"/>
  <c r="X401" i="3" a="1"/>
  <c r="X401" i="3" s="1"/>
  <c r="X400" i="3" a="1"/>
  <c r="X400" i="3" s="1"/>
  <c r="X399" i="3" a="1"/>
  <c r="X399" i="3" s="1"/>
  <c r="X398" i="3" a="1"/>
  <c r="X398" i="3" s="1"/>
  <c r="X397" i="3" a="1"/>
  <c r="X397" i="3"/>
  <c r="X396" i="3" a="1"/>
  <c r="X396" i="3" s="1"/>
  <c r="X395" i="3" a="1"/>
  <c r="X395" i="3" s="1"/>
  <c r="X394" i="3" a="1"/>
  <c r="X394" i="3" s="1"/>
  <c r="X393" i="3" a="1"/>
  <c r="X393" i="3"/>
  <c r="X392" i="3" a="1"/>
  <c r="X392" i="3" s="1"/>
  <c r="X391" i="3" a="1"/>
  <c r="X391" i="3" s="1"/>
  <c r="X390" i="3" a="1"/>
  <c r="X390" i="3" s="1"/>
  <c r="X389" i="3" a="1"/>
  <c r="X389" i="3"/>
  <c r="X388" i="3" a="1"/>
  <c r="X388" i="3" s="1"/>
  <c r="X387" i="3" a="1"/>
  <c r="X387" i="3" s="1"/>
  <c r="X386" i="3" a="1"/>
  <c r="X386" i="3" s="1"/>
  <c r="X385" i="3" a="1"/>
  <c r="X385" i="3" s="1"/>
  <c r="X384" i="3" a="1"/>
  <c r="X384" i="3" s="1"/>
  <c r="X383" i="3" a="1"/>
  <c r="X383" i="3" s="1"/>
  <c r="X382" i="3" a="1"/>
  <c r="X382" i="3" s="1"/>
  <c r="X381" i="3" a="1"/>
  <c r="X381" i="3" s="1"/>
  <c r="X380" i="3" a="1"/>
  <c r="X380" i="3" s="1"/>
  <c r="X379" i="3" a="1"/>
  <c r="X379" i="3" s="1"/>
  <c r="X378" i="3" a="1"/>
  <c r="X378" i="3" s="1"/>
  <c r="X377" i="3" a="1"/>
  <c r="X377" i="3"/>
  <c r="X376" i="3" a="1"/>
  <c r="X376" i="3" s="1"/>
  <c r="X375" i="3" a="1"/>
  <c r="X375" i="3" s="1"/>
  <c r="X374" i="3" a="1"/>
  <c r="X374" i="3" s="1"/>
  <c r="X373" i="3" a="1"/>
  <c r="X373" i="3"/>
  <c r="X372" i="3" a="1"/>
  <c r="X372" i="3" s="1"/>
  <c r="X371" i="3" a="1"/>
  <c r="X371" i="3" s="1"/>
  <c r="X370" i="3" a="1"/>
  <c r="X370" i="3" s="1"/>
  <c r="X369" i="3" a="1"/>
  <c r="X369" i="3"/>
  <c r="X368" i="3" a="1"/>
  <c r="X368" i="3" s="1"/>
  <c r="X367" i="3" a="1"/>
  <c r="X367" i="3" s="1"/>
  <c r="X366" i="3" a="1"/>
  <c r="X366" i="3" s="1"/>
  <c r="X365" i="3" a="1"/>
  <c r="X365" i="3"/>
  <c r="X364" i="3" a="1"/>
  <c r="X364" i="3" s="1"/>
  <c r="X363" i="3" a="1"/>
  <c r="X363" i="3" s="1"/>
  <c r="X362" i="3" a="1"/>
  <c r="X362" i="3" s="1"/>
  <c r="X361" i="3" a="1"/>
  <c r="X361" i="3" s="1"/>
  <c r="X360" i="3" a="1"/>
  <c r="X360" i="3" s="1"/>
  <c r="X359" i="3" a="1"/>
  <c r="X359" i="3" s="1"/>
  <c r="X358" i="3" a="1"/>
  <c r="X358" i="3" s="1"/>
  <c r="X357" i="3" a="1"/>
  <c r="X357" i="3"/>
  <c r="X356" i="3" a="1"/>
  <c r="X356" i="3" s="1"/>
  <c r="X355" i="3" a="1"/>
  <c r="X355" i="3" s="1"/>
  <c r="X354" i="3" a="1"/>
  <c r="X354" i="3" s="1"/>
  <c r="X353" i="3" a="1"/>
  <c r="X353" i="3"/>
  <c r="X352" i="3" a="1"/>
  <c r="X352" i="3" s="1"/>
  <c r="X351" i="3" a="1"/>
  <c r="X351" i="3" s="1"/>
  <c r="X350" i="3" a="1"/>
  <c r="X350" i="3" s="1"/>
  <c r="X349" i="3" a="1"/>
  <c r="X349" i="3"/>
  <c r="X348" i="3" a="1"/>
  <c r="X348" i="3" s="1"/>
  <c r="X347" i="3" a="1"/>
  <c r="X347" i="3" s="1"/>
  <c r="X346" i="3" a="1"/>
  <c r="X346" i="3" s="1"/>
  <c r="X345" i="3" a="1"/>
  <c r="X345" i="3" s="1"/>
  <c r="X344" i="3" a="1"/>
  <c r="X344" i="3" s="1"/>
  <c r="X343" i="3" a="1"/>
  <c r="X343" i="3" s="1"/>
  <c r="X342" i="3" a="1"/>
  <c r="X342" i="3" s="1"/>
  <c r="X341" i="3" a="1"/>
  <c r="X341" i="3" s="1"/>
  <c r="X340" i="3" a="1"/>
  <c r="X340" i="3" s="1"/>
  <c r="X339" i="3" a="1"/>
  <c r="X339" i="3" s="1"/>
  <c r="X338" i="3" a="1"/>
  <c r="X338" i="3" s="1"/>
  <c r="X337" i="3" a="1"/>
  <c r="X337" i="3" s="1"/>
  <c r="X336" i="3" a="1"/>
  <c r="X336" i="3" s="1"/>
  <c r="X335" i="3" a="1"/>
  <c r="X335" i="3" s="1"/>
  <c r="X334" i="3" a="1"/>
  <c r="X334" i="3" s="1"/>
  <c r="X333" i="3" a="1"/>
  <c r="X333" i="3"/>
  <c r="X332" i="3" a="1"/>
  <c r="X332" i="3" s="1"/>
  <c r="X331" i="3" a="1"/>
  <c r="X331" i="3" s="1"/>
  <c r="X330" i="3" a="1"/>
  <c r="X330" i="3" s="1"/>
  <c r="X329" i="3" a="1"/>
  <c r="X329" i="3"/>
  <c r="X328" i="3" a="1"/>
  <c r="X328" i="3" s="1"/>
  <c r="X327" i="3" a="1"/>
  <c r="X327" i="3" s="1"/>
  <c r="X326" i="3" a="1"/>
  <c r="X326" i="3" s="1"/>
  <c r="X325" i="3" a="1"/>
  <c r="X325" i="3"/>
  <c r="X324" i="3" a="1"/>
  <c r="X324" i="3" s="1"/>
  <c r="X323" i="3" a="1"/>
  <c r="X323" i="3" s="1"/>
  <c r="X322" i="3" a="1"/>
  <c r="X322" i="3" s="1"/>
  <c r="X321" i="3" a="1"/>
  <c r="X321" i="3" s="1"/>
  <c r="X320" i="3" a="1"/>
  <c r="X320" i="3" s="1"/>
  <c r="X319" i="3" a="1"/>
  <c r="X319" i="3" s="1"/>
  <c r="X318" i="3" a="1"/>
  <c r="X318" i="3" s="1"/>
  <c r="X317" i="3" a="1"/>
  <c r="X317" i="3" s="1"/>
  <c r="X316" i="3" a="1"/>
  <c r="X316" i="3" s="1"/>
  <c r="X315" i="3" a="1"/>
  <c r="X315" i="3" s="1"/>
  <c r="X314" i="3" a="1"/>
  <c r="X314" i="3" s="1"/>
  <c r="X313" i="3" a="1"/>
  <c r="X313" i="3"/>
  <c r="X312" i="3" a="1"/>
  <c r="X312" i="3" s="1"/>
  <c r="X311" i="3" a="1"/>
  <c r="X311" i="3" s="1"/>
  <c r="X310" i="3" a="1"/>
  <c r="X310" i="3" s="1"/>
  <c r="X309" i="3" a="1"/>
  <c r="X309" i="3"/>
  <c r="X308" i="3" a="1"/>
  <c r="X308" i="3" s="1"/>
  <c r="X307" i="3" a="1"/>
  <c r="X307" i="3" s="1"/>
  <c r="X306" i="3" a="1"/>
  <c r="X306" i="3" s="1"/>
  <c r="X305" i="3" a="1"/>
  <c r="X305" i="3"/>
  <c r="X304" i="3" a="1"/>
  <c r="X304" i="3" s="1"/>
  <c r="X303" i="3" a="1"/>
  <c r="X303" i="3" s="1"/>
  <c r="X302" i="3" a="1"/>
  <c r="X302" i="3" s="1"/>
  <c r="X301" i="3" a="1"/>
  <c r="X301" i="3"/>
  <c r="X300" i="3" a="1"/>
  <c r="X300" i="3" s="1"/>
  <c r="X299" i="3" a="1"/>
  <c r="X299" i="3" s="1"/>
  <c r="X298" i="3" a="1"/>
  <c r="X298" i="3" s="1"/>
  <c r="X297" i="3" a="1"/>
  <c r="X297" i="3" s="1"/>
  <c r="X296" i="3" a="1"/>
  <c r="X296" i="3" s="1"/>
  <c r="X295" i="3" a="1"/>
  <c r="X295" i="3" s="1"/>
  <c r="X294" i="3" a="1"/>
  <c r="X294" i="3" s="1"/>
  <c r="X293" i="3" a="1"/>
  <c r="X293" i="3"/>
  <c r="X292" i="3" a="1"/>
  <c r="X292" i="3" s="1"/>
  <c r="X291" i="3" a="1"/>
  <c r="X291" i="3" s="1"/>
  <c r="X290" i="3" a="1"/>
  <c r="X290" i="3" s="1"/>
  <c r="X289" i="3" a="1"/>
  <c r="X289" i="3"/>
  <c r="X288" i="3" a="1"/>
  <c r="X288" i="3" s="1"/>
  <c r="X287" i="3" a="1"/>
  <c r="X287" i="3" s="1"/>
  <c r="X286" i="3" a="1"/>
  <c r="X286" i="3" s="1"/>
  <c r="X285" i="3" a="1"/>
  <c r="X285" i="3"/>
  <c r="X284" i="3" a="1"/>
  <c r="X284" i="3" s="1"/>
  <c r="X283" i="3" a="1"/>
  <c r="X283" i="3" s="1"/>
  <c r="X282" i="3" a="1"/>
  <c r="X282" i="3" s="1"/>
  <c r="X281" i="3" a="1"/>
  <c r="X281" i="3" s="1"/>
  <c r="X280" i="3" a="1"/>
  <c r="X280" i="3" s="1"/>
  <c r="X279" i="3" a="1"/>
  <c r="X279" i="3" s="1"/>
  <c r="X278" i="3" a="1"/>
  <c r="X278" i="3" s="1"/>
  <c r="X277" i="3" a="1"/>
  <c r="X277" i="3" s="1"/>
  <c r="X276" i="3" a="1"/>
  <c r="X276" i="3" s="1"/>
  <c r="X275" i="3" a="1"/>
  <c r="X275" i="3" s="1"/>
  <c r="X274" i="3" a="1"/>
  <c r="X274" i="3" s="1"/>
  <c r="X273" i="3" a="1"/>
  <c r="X273" i="3" s="1"/>
  <c r="X272" i="3" a="1"/>
  <c r="X272" i="3" s="1"/>
  <c r="X271" i="3" a="1"/>
  <c r="X271" i="3" s="1"/>
  <c r="X270" i="3" a="1"/>
  <c r="X270" i="3" s="1"/>
  <c r="X269" i="3" a="1"/>
  <c r="X269" i="3"/>
  <c r="X268" i="3" a="1"/>
  <c r="X268" i="3" s="1"/>
  <c r="X267" i="3" a="1"/>
  <c r="X267" i="3" s="1"/>
  <c r="X266" i="3" a="1"/>
  <c r="X266" i="3" s="1"/>
  <c r="X265" i="3" a="1"/>
  <c r="X265" i="3" s="1"/>
  <c r="X264" i="3" a="1"/>
  <c r="X264" i="3" s="1"/>
  <c r="X263" i="3" a="1"/>
  <c r="X263" i="3" s="1"/>
  <c r="X262" i="3" a="1"/>
  <c r="X262" i="3" s="1"/>
  <c r="X261" i="3" a="1"/>
  <c r="X261" i="3"/>
  <c r="X260" i="3" a="1"/>
  <c r="X260" i="3" s="1"/>
  <c r="X259" i="3" a="1"/>
  <c r="X259" i="3" s="1"/>
  <c r="X258" i="3" a="1"/>
  <c r="X258" i="3" s="1"/>
  <c r="X257" i="3" a="1"/>
  <c r="X257" i="3" s="1"/>
  <c r="X256" i="3" a="1"/>
  <c r="X256" i="3" s="1"/>
  <c r="X255" i="3" a="1"/>
  <c r="X255" i="3" s="1"/>
  <c r="X254" i="3" a="1"/>
  <c r="X254" i="3" s="1"/>
  <c r="X253" i="3" a="1"/>
  <c r="X253" i="3" s="1"/>
  <c r="X252" i="3" a="1"/>
  <c r="X252" i="3" s="1"/>
  <c r="X251" i="3" a="1"/>
  <c r="X251" i="3" s="1"/>
  <c r="X250" i="3" a="1"/>
  <c r="X250" i="3" s="1"/>
  <c r="X249" i="3" a="1"/>
  <c r="X249" i="3"/>
  <c r="X248" i="3" a="1"/>
  <c r="X248" i="3" s="1"/>
  <c r="X247" i="3" a="1"/>
  <c r="X247" i="3" s="1"/>
  <c r="X246" i="3" a="1"/>
  <c r="X246" i="3" s="1"/>
  <c r="X245" i="3" a="1"/>
  <c r="X245" i="3"/>
  <c r="X244" i="3" a="1"/>
  <c r="X244" i="3" s="1"/>
  <c r="X243" i="3" a="1"/>
  <c r="X243" i="3" s="1"/>
  <c r="X242" i="3" a="1"/>
  <c r="X242" i="3" s="1"/>
  <c r="X241" i="3" a="1"/>
  <c r="X241" i="3"/>
  <c r="X240" i="3" a="1"/>
  <c r="X240" i="3" s="1"/>
  <c r="X239" i="3" a="1"/>
  <c r="X239" i="3" s="1"/>
  <c r="X238" i="3" a="1"/>
  <c r="X238" i="3" s="1"/>
  <c r="X237" i="3" a="1"/>
  <c r="X237" i="3"/>
  <c r="X236" i="3" a="1"/>
  <c r="X236" i="3" s="1"/>
  <c r="X235" i="3" a="1"/>
  <c r="X235" i="3" s="1"/>
  <c r="X234" i="3" a="1"/>
  <c r="X234" i="3" s="1"/>
  <c r="X233" i="3" a="1"/>
  <c r="X233" i="3" s="1"/>
  <c r="X232" i="3" a="1"/>
  <c r="X232" i="3" s="1"/>
  <c r="X231" i="3" a="1"/>
  <c r="X231" i="3" s="1"/>
  <c r="X230" i="3" a="1"/>
  <c r="X230" i="3" s="1"/>
  <c r="X229" i="3" a="1"/>
  <c r="X229" i="3"/>
  <c r="X228" i="3" a="1"/>
  <c r="X228" i="3" s="1"/>
  <c r="X227" i="3" a="1"/>
  <c r="X227" i="3" s="1"/>
  <c r="X226" i="3" a="1"/>
  <c r="X226" i="3" s="1"/>
  <c r="X225" i="3" a="1"/>
  <c r="X225" i="3"/>
  <c r="X224" i="3" a="1"/>
  <c r="X224" i="3" s="1"/>
  <c r="X223" i="3" a="1"/>
  <c r="X223" i="3" s="1"/>
  <c r="X222" i="3" a="1"/>
  <c r="X222" i="3" s="1"/>
  <c r="X221" i="3" a="1"/>
  <c r="X221" i="3"/>
  <c r="X220" i="3" a="1"/>
  <c r="X220" i="3" s="1"/>
  <c r="X219" i="3" a="1"/>
  <c r="X219" i="3" s="1"/>
  <c r="X218" i="3" a="1"/>
  <c r="X218" i="3" s="1"/>
  <c r="X217" i="3" a="1"/>
  <c r="X217" i="3" s="1"/>
  <c r="X216" i="3" a="1"/>
  <c r="X216" i="3" s="1"/>
  <c r="X215" i="3" a="1"/>
  <c r="X215" i="3" s="1"/>
  <c r="X214" i="3" a="1"/>
  <c r="X214" i="3" s="1"/>
  <c r="X213" i="3" a="1"/>
  <c r="X213" i="3" s="1"/>
  <c r="X212" i="3" a="1"/>
  <c r="X212" i="3" s="1"/>
  <c r="X211" i="3" a="1"/>
  <c r="X211" i="3" s="1"/>
  <c r="X210" i="3" a="1"/>
  <c r="X210" i="3" s="1"/>
  <c r="X209" i="3" a="1"/>
  <c r="X209" i="3" s="1"/>
  <c r="X208" i="3" a="1"/>
  <c r="X208" i="3" s="1"/>
  <c r="X207" i="3" a="1"/>
  <c r="X207" i="3" s="1"/>
  <c r="X206" i="3" a="1"/>
  <c r="X206" i="3" s="1"/>
  <c r="X205" i="3" a="1"/>
  <c r="X205" i="3"/>
  <c r="X204" i="3" a="1"/>
  <c r="X204" i="3" s="1"/>
  <c r="X203" i="3" a="1"/>
  <c r="X203" i="3" s="1"/>
  <c r="X202" i="3" a="1"/>
  <c r="X202" i="3" s="1"/>
  <c r="X201" i="3" a="1"/>
  <c r="X201" i="3"/>
  <c r="X200" i="3" a="1"/>
  <c r="X200" i="3" s="1"/>
  <c r="X199" i="3" a="1"/>
  <c r="X199" i="3" s="1"/>
  <c r="X198" i="3" a="1"/>
  <c r="X198" i="3" s="1"/>
  <c r="X197" i="3" a="1"/>
  <c r="X197" i="3"/>
  <c r="X196" i="3" a="1"/>
  <c r="X196" i="3" s="1"/>
  <c r="X195" i="3" a="1"/>
  <c r="X195" i="3" s="1"/>
  <c r="X194" i="3" a="1"/>
  <c r="X194" i="3" s="1"/>
  <c r="X193" i="3" a="1"/>
  <c r="X193" i="3" s="1"/>
  <c r="X192" i="3" a="1"/>
  <c r="X192" i="3" s="1"/>
  <c r="X191" i="3" a="1"/>
  <c r="X191" i="3" s="1"/>
  <c r="X190" i="3" a="1"/>
  <c r="X190" i="3" s="1"/>
  <c r="X189" i="3" a="1"/>
  <c r="X189" i="3" s="1"/>
  <c r="X188" i="3" a="1"/>
  <c r="X188" i="3" s="1"/>
  <c r="X187" i="3" a="1"/>
  <c r="X187" i="3" s="1"/>
  <c r="X186" i="3" a="1"/>
  <c r="X186" i="3" s="1"/>
  <c r="X185" i="3" a="1"/>
  <c r="X185" i="3"/>
  <c r="X184" i="3" a="1"/>
  <c r="X184" i="3" s="1"/>
  <c r="X183" i="3" a="1"/>
  <c r="X183" i="3" s="1"/>
  <c r="X182" i="3" a="1"/>
  <c r="X182" i="3" s="1"/>
  <c r="X181" i="3" a="1"/>
  <c r="X181" i="3"/>
  <c r="X180" i="3" a="1"/>
  <c r="X180" i="3" s="1"/>
  <c r="X179" i="3" a="1"/>
  <c r="X179" i="3" s="1"/>
  <c r="X178" i="3" a="1"/>
  <c r="X178" i="3" s="1"/>
  <c r="X177" i="3" a="1"/>
  <c r="X177" i="3"/>
  <c r="X176" i="3" a="1"/>
  <c r="X176" i="3" s="1"/>
  <c r="X175" i="3" a="1"/>
  <c r="X175" i="3" s="1"/>
  <c r="X174" i="3" a="1"/>
  <c r="X174" i="3" s="1"/>
  <c r="X173" i="3" a="1"/>
  <c r="X173" i="3"/>
  <c r="X172" i="3" a="1"/>
  <c r="X172" i="3"/>
  <c r="X171" i="3" a="1"/>
  <c r="X171" i="3" s="1"/>
  <c r="X170" i="3" a="1"/>
  <c r="X170" i="3" s="1"/>
  <c r="X169" i="3" a="1"/>
  <c r="X169" i="3"/>
  <c r="X168" i="3" a="1"/>
  <c r="X168" i="3" s="1"/>
  <c r="X167" i="3" a="1"/>
  <c r="X167" i="3" s="1"/>
  <c r="X166" i="3" a="1"/>
  <c r="X166" i="3" s="1"/>
  <c r="X165" i="3" a="1"/>
  <c r="X165" i="3"/>
  <c r="X164" i="3" a="1"/>
  <c r="X164" i="3" s="1"/>
  <c r="X163" i="3" a="1"/>
  <c r="X163" i="3" s="1"/>
  <c r="X162" i="3" a="1"/>
  <c r="X162" i="3" s="1"/>
  <c r="X161" i="3" a="1"/>
  <c r="X161" i="3"/>
  <c r="X160" i="3" a="1"/>
  <c r="X160" i="3" s="1"/>
  <c r="X159" i="3" a="1"/>
  <c r="X159" i="3" s="1"/>
  <c r="X158" i="3" a="1"/>
  <c r="X158" i="3" s="1"/>
  <c r="X157" i="3" a="1"/>
  <c r="X157" i="3" s="1"/>
  <c r="X156" i="3" a="1"/>
  <c r="X156" i="3" s="1"/>
  <c r="X155" i="3" a="1"/>
  <c r="X155" i="3" s="1"/>
  <c r="X154" i="3" a="1"/>
  <c r="X154" i="3" s="1"/>
  <c r="X153" i="3" a="1"/>
  <c r="X153" i="3" s="1"/>
  <c r="X152" i="3" a="1"/>
  <c r="X152" i="3" s="1"/>
  <c r="X151" i="3" a="1"/>
  <c r="X151" i="3" s="1"/>
  <c r="X150" i="3" a="1"/>
  <c r="X150" i="3" s="1"/>
  <c r="X149" i="3" a="1"/>
  <c r="X149" i="3" s="1"/>
  <c r="X148" i="3" a="1"/>
  <c r="X148" i="3"/>
  <c r="X147" i="3" a="1"/>
  <c r="X147" i="3" s="1"/>
  <c r="X146" i="3" a="1"/>
  <c r="X146" i="3" s="1"/>
  <c r="X145" i="3" a="1"/>
  <c r="X145" i="3"/>
  <c r="X144" i="3" a="1"/>
  <c r="X144" i="3" s="1"/>
  <c r="X143" i="3" a="1"/>
  <c r="X143" i="3" s="1"/>
  <c r="X142" i="3" a="1"/>
  <c r="X142" i="3" s="1"/>
  <c r="X141" i="3" a="1"/>
  <c r="X141" i="3" s="1"/>
  <c r="X140" i="3" a="1"/>
  <c r="X140" i="3" s="1"/>
  <c r="X139" i="3" a="1"/>
  <c r="X139" i="3" s="1"/>
  <c r="X138" i="3" a="1"/>
  <c r="X138" i="3" s="1"/>
  <c r="X137" i="3" a="1"/>
  <c r="X137" i="3" s="1"/>
  <c r="X136" i="3" a="1"/>
  <c r="X136" i="3" s="1"/>
  <c r="X135" i="3" a="1"/>
  <c r="X135" i="3" s="1"/>
  <c r="X134" i="3" a="1"/>
  <c r="X134" i="3" s="1"/>
  <c r="X133" i="3" a="1"/>
  <c r="X133" i="3" s="1"/>
  <c r="X132" i="3" a="1"/>
  <c r="X132" i="3" s="1"/>
  <c r="X131" i="3" a="1"/>
  <c r="X131" i="3" s="1"/>
  <c r="X130" i="3" a="1"/>
  <c r="X130" i="3" s="1"/>
  <c r="X129" i="3" a="1"/>
  <c r="X129" i="3" s="1"/>
  <c r="X128" i="3" a="1"/>
  <c r="X128" i="3" s="1"/>
  <c r="X127" i="3" a="1"/>
  <c r="X127" i="3" s="1"/>
  <c r="X126" i="3" a="1"/>
  <c r="X126" i="3" s="1"/>
  <c r="X125" i="3" a="1"/>
  <c r="X125" i="3" s="1"/>
  <c r="X124" i="3" a="1"/>
  <c r="X124" i="3" s="1"/>
  <c r="X123" i="3" a="1"/>
  <c r="X123" i="3" s="1"/>
  <c r="X122" i="3" a="1"/>
  <c r="X122" i="3" s="1"/>
  <c r="X121" i="3" a="1"/>
  <c r="X121" i="3"/>
  <c r="X120" i="3" a="1"/>
  <c r="X120" i="3" s="1"/>
  <c r="X119" i="3" a="1"/>
  <c r="X119" i="3" s="1"/>
  <c r="X118" i="3" a="1"/>
  <c r="X118" i="3" s="1"/>
  <c r="X117" i="3" a="1"/>
  <c r="X117" i="3" s="1"/>
  <c r="X116" i="3" a="1"/>
  <c r="X116" i="3" s="1"/>
  <c r="X115" i="3" a="1"/>
  <c r="X115" i="3" s="1"/>
  <c r="X114" i="3" a="1"/>
  <c r="X114" i="3" s="1"/>
  <c r="X113" i="3" a="1"/>
  <c r="X113" i="3" s="1"/>
  <c r="X112" i="3" a="1"/>
  <c r="X112" i="3" s="1"/>
  <c r="X111" i="3" a="1"/>
  <c r="X111" i="3" s="1"/>
  <c r="X110" i="3" a="1"/>
  <c r="X110" i="3" s="1"/>
  <c r="X109" i="3" a="1"/>
  <c r="X109" i="3" s="1"/>
  <c r="X108" i="3" a="1"/>
  <c r="X108" i="3" s="1"/>
  <c r="X107" i="3" a="1"/>
  <c r="X107" i="3" s="1"/>
  <c r="X106" i="3" a="1"/>
  <c r="X106" i="3" s="1"/>
  <c r="X105" i="3" a="1"/>
  <c r="X105" i="3" s="1"/>
  <c r="X104" i="3" a="1"/>
  <c r="X104" i="3" s="1"/>
  <c r="X103" i="3" a="1"/>
  <c r="X103" i="3" s="1"/>
  <c r="X102" i="3" a="1"/>
  <c r="X102" i="3" s="1"/>
  <c r="X101" i="3" a="1"/>
  <c r="X101" i="3"/>
  <c r="X100" i="3" a="1"/>
  <c r="X100" i="3" s="1"/>
  <c r="X99" i="3" a="1"/>
  <c r="X99" i="3" s="1"/>
  <c r="X98" i="3" a="1"/>
  <c r="X98" i="3" s="1"/>
  <c r="X97" i="3" a="1"/>
  <c r="X97" i="3"/>
  <c r="X96" i="3" a="1"/>
  <c r="X96" i="3" s="1"/>
  <c r="X95" i="3" a="1"/>
  <c r="X95" i="3" s="1"/>
  <c r="X94" i="3" a="1"/>
  <c r="X94" i="3" s="1"/>
  <c r="X93" i="3" a="1"/>
  <c r="X93" i="3" s="1"/>
  <c r="X92" i="3" a="1"/>
  <c r="X92" i="3" s="1"/>
  <c r="X91" i="3" a="1"/>
  <c r="X91" i="3" s="1"/>
  <c r="X90" i="3" a="1"/>
  <c r="X90" i="3" s="1"/>
  <c r="X89" i="3" a="1"/>
  <c r="X89" i="3"/>
  <c r="X88" i="3" a="1"/>
  <c r="X88" i="3" s="1"/>
  <c r="X87" i="3" a="1"/>
  <c r="X87" i="3" s="1"/>
  <c r="X86" i="3" a="1"/>
  <c r="X86" i="3" s="1"/>
  <c r="X85" i="3" a="1"/>
  <c r="X85" i="3" s="1"/>
  <c r="X84" i="3" a="1"/>
  <c r="X84" i="3" s="1"/>
  <c r="X83" i="3" a="1"/>
  <c r="X83" i="3" s="1"/>
  <c r="X82" i="3" a="1"/>
  <c r="X82" i="3" s="1"/>
  <c r="X81" i="3" a="1"/>
  <c r="X81" i="3" s="1"/>
  <c r="X80" i="3" a="1"/>
  <c r="X80" i="3" s="1"/>
  <c r="X79" i="3" a="1"/>
  <c r="X79" i="3" s="1"/>
  <c r="X78" i="3" a="1"/>
  <c r="X78" i="3" s="1"/>
  <c r="X77" i="3" a="1"/>
  <c r="X77" i="3"/>
  <c r="X76" i="3" a="1"/>
  <c r="X76" i="3"/>
  <c r="X75" i="3" a="1"/>
  <c r="X75" i="3" s="1"/>
  <c r="X74" i="3" a="1"/>
  <c r="X74" i="3" s="1"/>
  <c r="X73" i="3" a="1"/>
  <c r="X73" i="3" s="1"/>
  <c r="X72" i="3" a="1"/>
  <c r="X72" i="3" s="1"/>
  <c r="X71" i="3" a="1"/>
  <c r="X71" i="3" s="1"/>
  <c r="X70" i="3" a="1"/>
  <c r="X70" i="3" s="1"/>
  <c r="X69" i="3" a="1"/>
  <c r="X69" i="3" s="1"/>
  <c r="X68" i="3" a="1"/>
  <c r="X68" i="3" s="1"/>
  <c r="X67" i="3" a="1"/>
  <c r="X67" i="3" s="1"/>
  <c r="X66" i="3" a="1"/>
  <c r="X66" i="3" s="1"/>
  <c r="X65" i="3" a="1"/>
  <c r="X65" i="3"/>
  <c r="X64" i="3" a="1"/>
  <c r="X64" i="3"/>
  <c r="X63" i="3" a="1"/>
  <c r="X63" i="3" s="1"/>
  <c r="X62" i="3" a="1"/>
  <c r="X62" i="3" s="1"/>
  <c r="X61" i="3" a="1"/>
  <c r="X61" i="3" s="1"/>
  <c r="X60" i="3" a="1"/>
  <c r="X60" i="3" s="1"/>
  <c r="X59" i="3" a="1"/>
  <c r="X59" i="3" s="1"/>
  <c r="X58" i="3" a="1"/>
  <c r="X58" i="3" s="1"/>
  <c r="X57" i="3" a="1"/>
  <c r="X57" i="3"/>
  <c r="X56" i="3" a="1"/>
  <c r="X56" i="3" s="1"/>
  <c r="X55" i="3" a="1"/>
  <c r="X55" i="3" s="1"/>
  <c r="X54" i="3" a="1"/>
  <c r="X54" i="3" s="1"/>
  <c r="X53" i="3" a="1"/>
  <c r="X53" i="3" s="1"/>
  <c r="X52" i="3" a="1"/>
  <c r="X52" i="3" s="1"/>
  <c r="X51" i="3" a="1"/>
  <c r="X51" i="3" s="1"/>
  <c r="X50" i="3" a="1"/>
  <c r="X50" i="3" s="1"/>
  <c r="X49" i="3" a="1"/>
  <c r="X49" i="3"/>
  <c r="X48" i="3" a="1"/>
  <c r="X48" i="3" s="1"/>
  <c r="X47" i="3" a="1"/>
  <c r="X47" i="3" s="1"/>
  <c r="X46" i="3" a="1"/>
  <c r="X46" i="3" s="1"/>
  <c r="X45" i="3" a="1"/>
  <c r="X45" i="3"/>
  <c r="X44" i="3" a="1"/>
  <c r="X44" i="3" s="1"/>
  <c r="X43" i="3" a="1"/>
  <c r="X43" i="3" s="1"/>
  <c r="X42" i="3" a="1"/>
  <c r="X42" i="3" s="1"/>
  <c r="X41" i="3" a="1"/>
  <c r="X41" i="3" s="1"/>
  <c r="X40" i="3" a="1"/>
  <c r="X40" i="3" s="1"/>
  <c r="X39" i="3" a="1"/>
  <c r="X39" i="3" s="1"/>
  <c r="X38" i="3" a="1"/>
  <c r="X38" i="3" s="1"/>
  <c r="X37" i="3" a="1"/>
  <c r="X37" i="3" s="1"/>
  <c r="X36" i="3" a="1"/>
  <c r="X36" i="3" s="1"/>
  <c r="X35" i="3" a="1"/>
  <c r="X35" i="3" s="1"/>
  <c r="X34" i="3" a="1"/>
  <c r="X34" i="3" s="1"/>
  <c r="X33" i="3" a="1"/>
  <c r="X33" i="3"/>
  <c r="X32" i="3" a="1"/>
  <c r="X32" i="3" s="1"/>
  <c r="X31" i="3" a="1"/>
  <c r="X31" i="3" s="1"/>
  <c r="X30" i="3" a="1"/>
  <c r="X30" i="3" s="1"/>
  <c r="X29" i="3" a="1"/>
  <c r="X29" i="3"/>
  <c r="X28" i="3" a="1"/>
  <c r="X28" i="3"/>
  <c r="X27" i="3" a="1"/>
  <c r="X27" i="3" s="1"/>
  <c r="X26" i="3" a="1"/>
  <c r="X26" i="3" s="1"/>
  <c r="X25" i="3" a="1"/>
  <c r="X25" i="3" s="1"/>
  <c r="X24" i="3" a="1"/>
  <c r="X24" i="3" s="1"/>
  <c r="X23" i="3" a="1"/>
  <c r="X23" i="3" s="1"/>
  <c r="X22" i="3" a="1"/>
  <c r="X22" i="3" s="1"/>
  <c r="X21" i="3" a="1"/>
  <c r="X21" i="3"/>
  <c r="X20" i="3" a="1"/>
  <c r="X20" i="3" s="1"/>
  <c r="X19" i="3" a="1"/>
  <c r="X19" i="3" s="1"/>
  <c r="X18" i="3" a="1"/>
  <c r="X18" i="3" s="1"/>
  <c r="X17" i="3" a="1"/>
  <c r="X17" i="3"/>
  <c r="X16" i="3" a="1"/>
  <c r="X16" i="3"/>
  <c r="X15" i="3" a="1"/>
  <c r="X15" i="3" s="1"/>
  <c r="X14" i="3" a="1"/>
  <c r="X14" i="3" s="1"/>
  <c r="X13" i="3" a="1"/>
  <c r="X13" i="3" s="1"/>
  <c r="X12" i="3" a="1"/>
  <c r="X12" i="3" s="1"/>
  <c r="X11" i="3" a="1"/>
  <c r="X11" i="3" s="1"/>
  <c r="X10" i="3" a="1"/>
  <c r="X10" i="3" s="1"/>
  <c r="X9" i="3" a="1"/>
  <c r="X9" i="3"/>
  <c r="X8" i="3" a="1"/>
  <c r="X8" i="3" s="1"/>
  <c r="X7" i="3" a="1"/>
  <c r="X7" i="3" s="1"/>
  <c r="X6" i="3" a="1"/>
  <c r="X6" i="3" s="1"/>
  <c r="X5" i="3" a="1"/>
  <c r="X5" i="3" s="1"/>
  <c r="X4" i="3" a="1"/>
  <c r="X4" i="3" s="1"/>
  <c r="X3" i="3" a="1"/>
  <c r="X3" i="3" s="1"/>
  <c r="A2721" i="7"/>
  <c r="C2719" i="7"/>
  <c r="B2718" i="7"/>
  <c r="A2717" i="7"/>
  <c r="C2715" i="7"/>
  <c r="B2714" i="7"/>
  <c r="A2713" i="7"/>
  <c r="C2711" i="7"/>
  <c r="B2710" i="7"/>
  <c r="A2709" i="7"/>
  <c r="C2707" i="7"/>
  <c r="B2706" i="7"/>
  <c r="A2705" i="7"/>
  <c r="C2703" i="7"/>
  <c r="B2702" i="7"/>
  <c r="A2701" i="7"/>
  <c r="C2699" i="7"/>
  <c r="B2698" i="7"/>
  <c r="A2697" i="7"/>
  <c r="C2695" i="7"/>
  <c r="B2694" i="7"/>
  <c r="A2693" i="7"/>
  <c r="C2691" i="7"/>
  <c r="B2690" i="7"/>
  <c r="A2689" i="7"/>
  <c r="C2687" i="7"/>
  <c r="B2686" i="7"/>
  <c r="A2685" i="7"/>
  <c r="C2683" i="7"/>
  <c r="B2682" i="7"/>
  <c r="A2681" i="7"/>
  <c r="C2679" i="7"/>
  <c r="B2678" i="7"/>
  <c r="A2677" i="7"/>
  <c r="C2675" i="7"/>
  <c r="B2674" i="7"/>
  <c r="A2673" i="7"/>
  <c r="C2671" i="7"/>
  <c r="B2670" i="7"/>
  <c r="A2669" i="7"/>
  <c r="C2667" i="7"/>
  <c r="B2666" i="7"/>
  <c r="A2665" i="7"/>
  <c r="C2663" i="7"/>
  <c r="B2662" i="7"/>
  <c r="A2661" i="7"/>
  <c r="C2659" i="7"/>
  <c r="B2658" i="7"/>
  <c r="A2657" i="7"/>
  <c r="C2655" i="7"/>
  <c r="B2654" i="7"/>
  <c r="A2653" i="7"/>
  <c r="C2651" i="7"/>
  <c r="B2650" i="7"/>
  <c r="A2649" i="7"/>
  <c r="C2647" i="7"/>
  <c r="B2646" i="7"/>
  <c r="A2645" i="7"/>
  <c r="C2643" i="7"/>
  <c r="B2642" i="7"/>
  <c r="A2641" i="7"/>
  <c r="C2639" i="7"/>
  <c r="B2638" i="7"/>
  <c r="B2721" i="7"/>
  <c r="C2718" i="7"/>
  <c r="A2716" i="7"/>
  <c r="B2713" i="7"/>
  <c r="C2710" i="7"/>
  <c r="A2708" i="7"/>
  <c r="B2705" i="7"/>
  <c r="C2702" i="7"/>
  <c r="A2700" i="7"/>
  <c r="B2697" i="7"/>
  <c r="C2694" i="7"/>
  <c r="A2692" i="7"/>
  <c r="B2689" i="7"/>
  <c r="C2686" i="7"/>
  <c r="A2684" i="7"/>
  <c r="B2681" i="7"/>
  <c r="C2678" i="7"/>
  <c r="A2676" i="7"/>
  <c r="B2673" i="7"/>
  <c r="C2670" i="7"/>
  <c r="A2668" i="7"/>
  <c r="B2665" i="7"/>
  <c r="C2662" i="7"/>
  <c r="A2660" i="7"/>
  <c r="B2657" i="7"/>
  <c r="C2654" i="7"/>
  <c r="A2652" i="7"/>
  <c r="B2649" i="7"/>
  <c r="C2646" i="7"/>
  <c r="A2644" i="7"/>
  <c r="B2641" i="7"/>
  <c r="C2638" i="7"/>
  <c r="C2636" i="7"/>
  <c r="B2635" i="7"/>
  <c r="A2634" i="7"/>
  <c r="C2632" i="7"/>
  <c r="B2631" i="7"/>
  <c r="A2630" i="7"/>
  <c r="C2628" i="7"/>
  <c r="B2627" i="7"/>
  <c r="A2626" i="7"/>
  <c r="C2624" i="7"/>
  <c r="B2623" i="7"/>
  <c r="A2622" i="7"/>
  <c r="C2620" i="7"/>
  <c r="B2619" i="7"/>
  <c r="A2618" i="7"/>
  <c r="C2616" i="7"/>
  <c r="B2615" i="7"/>
  <c r="A2614" i="7"/>
  <c r="C2612" i="7"/>
  <c r="B2611" i="7"/>
  <c r="A2610" i="7"/>
  <c r="C2608" i="7"/>
  <c r="B2607" i="7"/>
  <c r="A2606" i="7"/>
  <c r="C2604" i="7"/>
  <c r="B2603" i="7"/>
  <c r="A2602" i="7"/>
  <c r="C2600" i="7"/>
  <c r="B2599" i="7"/>
  <c r="A2598" i="7"/>
  <c r="C2596" i="7"/>
  <c r="B2595" i="7"/>
  <c r="C2721" i="7"/>
  <c r="A2719" i="7"/>
  <c r="B2716" i="7"/>
  <c r="C2713" i="7"/>
  <c r="A2711" i="7"/>
  <c r="B2708" i="7"/>
  <c r="C2705" i="7"/>
  <c r="A2703" i="7"/>
  <c r="B2700" i="7"/>
  <c r="C2697" i="7"/>
  <c r="A2695" i="7"/>
  <c r="B2692" i="7"/>
  <c r="C2689" i="7"/>
  <c r="A2687" i="7"/>
  <c r="B2684" i="7"/>
  <c r="C2681" i="7"/>
  <c r="A2679" i="7"/>
  <c r="B2676" i="7"/>
  <c r="C2673" i="7"/>
  <c r="A2671" i="7"/>
  <c r="B2668" i="7"/>
  <c r="C2665" i="7"/>
  <c r="A2663" i="7"/>
  <c r="B2660" i="7"/>
  <c r="C2657" i="7"/>
  <c r="A2655" i="7"/>
  <c r="B2652" i="7"/>
  <c r="C2649" i="7"/>
  <c r="A2647" i="7"/>
  <c r="B2644" i="7"/>
  <c r="C2641" i="7"/>
  <c r="A2639" i="7"/>
  <c r="A2720" i="7"/>
  <c r="C2714" i="7"/>
  <c r="B2709" i="7"/>
  <c r="A2704" i="7"/>
  <c r="C2698" i="7"/>
  <c r="B2693" i="7"/>
  <c r="A2688" i="7"/>
  <c r="C2682" i="7"/>
  <c r="B2677" i="7"/>
  <c r="A2672" i="7"/>
  <c r="C2666" i="7"/>
  <c r="B2661" i="7"/>
  <c r="A2656" i="7"/>
  <c r="C2650" i="7"/>
  <c r="B2645" i="7"/>
  <c r="A2640" i="7"/>
  <c r="A2636" i="7"/>
  <c r="B2633" i="7"/>
  <c r="C2630" i="7"/>
  <c r="A2628" i="7"/>
  <c r="B2625" i="7"/>
  <c r="C2622" i="7"/>
  <c r="A2620" i="7"/>
  <c r="B2617" i="7"/>
  <c r="C2614" i="7"/>
  <c r="A2612" i="7"/>
  <c r="B2609" i="7"/>
  <c r="C2606" i="7"/>
  <c r="A2604" i="7"/>
  <c r="B2601" i="7"/>
  <c r="C2598" i="7"/>
  <c r="A2596" i="7"/>
  <c r="A2594" i="7"/>
  <c r="C2592" i="7"/>
  <c r="B2591" i="7"/>
  <c r="A2590" i="7"/>
  <c r="C2588" i="7"/>
  <c r="B2587" i="7"/>
  <c r="A2586" i="7"/>
  <c r="C2584" i="7"/>
  <c r="B2583" i="7"/>
  <c r="A2582" i="7"/>
  <c r="C2580" i="7"/>
  <c r="B2579" i="7"/>
  <c r="A2578" i="7"/>
  <c r="C2576" i="7"/>
  <c r="B2575" i="7"/>
  <c r="A2574" i="7"/>
  <c r="C2572" i="7"/>
  <c r="B2571" i="7"/>
  <c r="A2570" i="7"/>
  <c r="C2568" i="7"/>
  <c r="B2567" i="7"/>
  <c r="A2566" i="7"/>
  <c r="C2564" i="7"/>
  <c r="B2563" i="7"/>
  <c r="A2562" i="7"/>
  <c r="C2560" i="7"/>
  <c r="B2559" i="7"/>
  <c r="A2558" i="7"/>
  <c r="C2556" i="7"/>
  <c r="B2555" i="7"/>
  <c r="A2554" i="7"/>
  <c r="C2552" i="7"/>
  <c r="B2551" i="7"/>
  <c r="A2550" i="7"/>
  <c r="C2548" i="7"/>
  <c r="B2547" i="7"/>
  <c r="A2546" i="7"/>
  <c r="C2544" i="7"/>
  <c r="B2543" i="7"/>
  <c r="A2542" i="7"/>
  <c r="C2540" i="7"/>
  <c r="B2539" i="7"/>
  <c r="A2538" i="7"/>
  <c r="C2536" i="7"/>
  <c r="B2535" i="7"/>
  <c r="A2534" i="7"/>
  <c r="C2532" i="7"/>
  <c r="B2531" i="7"/>
  <c r="A2530" i="7"/>
  <c r="C2528" i="7"/>
  <c r="B2527" i="7"/>
  <c r="A2526" i="7"/>
  <c r="C2524" i="7"/>
  <c r="B2523" i="7"/>
  <c r="A2522" i="7"/>
  <c r="C2520" i="7"/>
  <c r="B2519" i="7"/>
  <c r="A2518" i="7"/>
  <c r="C2516" i="7"/>
  <c r="B2515" i="7"/>
  <c r="A2514" i="7"/>
  <c r="C2512" i="7"/>
  <c r="B2511" i="7"/>
  <c r="A2510" i="7"/>
  <c r="A2718" i="7"/>
  <c r="C2712" i="7"/>
  <c r="B2707" i="7"/>
  <c r="A2702" i="7"/>
  <c r="C2696" i="7"/>
  <c r="B2720" i="7"/>
  <c r="C2717" i="7"/>
  <c r="A2715" i="7"/>
  <c r="B2712" i="7"/>
  <c r="C2709" i="7"/>
  <c r="A2707" i="7"/>
  <c r="B2704" i="7"/>
  <c r="C2701" i="7"/>
  <c r="A2699" i="7"/>
  <c r="B2696" i="7"/>
  <c r="C2693" i="7"/>
  <c r="A2691" i="7"/>
  <c r="B2688" i="7"/>
  <c r="C2685" i="7"/>
  <c r="A2683" i="7"/>
  <c r="B2680" i="7"/>
  <c r="C2677" i="7"/>
  <c r="A2675" i="7"/>
  <c r="B2672" i="7"/>
  <c r="C2669" i="7"/>
  <c r="A2667" i="7"/>
  <c r="B2664" i="7"/>
  <c r="C2661" i="7"/>
  <c r="A2659" i="7"/>
  <c r="B2656" i="7"/>
  <c r="C2653" i="7"/>
  <c r="A2651" i="7"/>
  <c r="B2648" i="7"/>
  <c r="C2645" i="7"/>
  <c r="A2643" i="7"/>
  <c r="B2640" i="7"/>
  <c r="C2637" i="7"/>
  <c r="B2717" i="7"/>
  <c r="A2712" i="7"/>
  <c r="C2706" i="7"/>
  <c r="B2701" i="7"/>
  <c r="A2696" i="7"/>
  <c r="C2690" i="7"/>
  <c r="B2685" i="7"/>
  <c r="A2680" i="7"/>
  <c r="C2674" i="7"/>
  <c r="B2669" i="7"/>
  <c r="A2664" i="7"/>
  <c r="C2658" i="7"/>
  <c r="B2653" i="7"/>
  <c r="A2648" i="7"/>
  <c r="C2642" i="7"/>
  <c r="B2637" i="7"/>
  <c r="C2634" i="7"/>
  <c r="A2632" i="7"/>
  <c r="B2629" i="7"/>
  <c r="C2626" i="7"/>
  <c r="A2624" i="7"/>
  <c r="B2621" i="7"/>
  <c r="C2618" i="7"/>
  <c r="A2616" i="7"/>
  <c r="B2613" i="7"/>
  <c r="C2610" i="7"/>
  <c r="A2608" i="7"/>
  <c r="B2605" i="7"/>
  <c r="C2602" i="7"/>
  <c r="A2600" i="7"/>
  <c r="B2597" i="7"/>
  <c r="C2594" i="7"/>
  <c r="B2593" i="7"/>
  <c r="A2592" i="7"/>
  <c r="C2590" i="7"/>
  <c r="B2589" i="7"/>
  <c r="A2588" i="7"/>
  <c r="C2586" i="7"/>
  <c r="B2585" i="7"/>
  <c r="A2584" i="7"/>
  <c r="C2582" i="7"/>
  <c r="B2581" i="7"/>
  <c r="A2580" i="7"/>
  <c r="C2578" i="7"/>
  <c r="B2577" i="7"/>
  <c r="A2576" i="7"/>
  <c r="C2574" i="7"/>
  <c r="B2573" i="7"/>
  <c r="A2572" i="7"/>
  <c r="C2570" i="7"/>
  <c r="B2569" i="7"/>
  <c r="A2568" i="7"/>
  <c r="C2566" i="7"/>
  <c r="B2565" i="7"/>
  <c r="A2564" i="7"/>
  <c r="C2562" i="7"/>
  <c r="B2561" i="7"/>
  <c r="A2560" i="7"/>
  <c r="C2558" i="7"/>
  <c r="B2557" i="7"/>
  <c r="A2556" i="7"/>
  <c r="C2554" i="7"/>
  <c r="B2553" i="7"/>
  <c r="A2552" i="7"/>
  <c r="C2550" i="7"/>
  <c r="B2549" i="7"/>
  <c r="A2548" i="7"/>
  <c r="C2546" i="7"/>
  <c r="B2545" i="7"/>
  <c r="A2544" i="7"/>
  <c r="C2542" i="7"/>
  <c r="B2541" i="7"/>
  <c r="A2540" i="7"/>
  <c r="C2538" i="7"/>
  <c r="B2537" i="7"/>
  <c r="A2536" i="7"/>
  <c r="C2534" i="7"/>
  <c r="B2533" i="7"/>
  <c r="A2532" i="7"/>
  <c r="C2530" i="7"/>
  <c r="B2529" i="7"/>
  <c r="A2528" i="7"/>
  <c r="C2526" i="7"/>
  <c r="B2525" i="7"/>
  <c r="A2524" i="7"/>
  <c r="C2522" i="7"/>
  <c r="B2521" i="7"/>
  <c r="A2520" i="7"/>
  <c r="C2518" i="7"/>
  <c r="B2517" i="7"/>
  <c r="A2516" i="7"/>
  <c r="C2514" i="7"/>
  <c r="B2513" i="7"/>
  <c r="A2512" i="7"/>
  <c r="C2510" i="7"/>
  <c r="C2720" i="7"/>
  <c r="A2710" i="7"/>
  <c r="B2699" i="7"/>
  <c r="B2691" i="7"/>
  <c r="A2686" i="7"/>
  <c r="C2680" i="7"/>
  <c r="B2675" i="7"/>
  <c r="A2670" i="7"/>
  <c r="C2664" i="7"/>
  <c r="B2659" i="7"/>
  <c r="A2654" i="7"/>
  <c r="C2648" i="7"/>
  <c r="B2643" i="7"/>
  <c r="A2638" i="7"/>
  <c r="A2635" i="7"/>
  <c r="B2632" i="7"/>
  <c r="C2629" i="7"/>
  <c r="A2627" i="7"/>
  <c r="B2624" i="7"/>
  <c r="C2621" i="7"/>
  <c r="A2619" i="7"/>
  <c r="B2616" i="7"/>
  <c r="C2613" i="7"/>
  <c r="A2611" i="7"/>
  <c r="B2608" i="7"/>
  <c r="C2605" i="7"/>
  <c r="A2603" i="7"/>
  <c r="B2600" i="7"/>
  <c r="C2597" i="7"/>
  <c r="A2595" i="7"/>
  <c r="B2592" i="7"/>
  <c r="C2589" i="7"/>
  <c r="A2587" i="7"/>
  <c r="B2584" i="7"/>
  <c r="C2581" i="7"/>
  <c r="A2579" i="7"/>
  <c r="B2576" i="7"/>
  <c r="C2573" i="7"/>
  <c r="A2571" i="7"/>
  <c r="B2568" i="7"/>
  <c r="C2565" i="7"/>
  <c r="A2563" i="7"/>
  <c r="B2560" i="7"/>
  <c r="C2557" i="7"/>
  <c r="A2555" i="7"/>
  <c r="B2552" i="7"/>
  <c r="C2549" i="7"/>
  <c r="A2547" i="7"/>
  <c r="B2544" i="7"/>
  <c r="C2541" i="7"/>
  <c r="A2539" i="7"/>
  <c r="B2536" i="7"/>
  <c r="C2533" i="7"/>
  <c r="A2531" i="7"/>
  <c r="B2528" i="7"/>
  <c r="C2525" i="7"/>
  <c r="A2523" i="7"/>
  <c r="B2520" i="7"/>
  <c r="C2517" i="7"/>
  <c r="A2515" i="7"/>
  <c r="B2512" i="7"/>
  <c r="C2509" i="7"/>
  <c r="B2508" i="7"/>
  <c r="A2507" i="7"/>
  <c r="C2505" i="7"/>
  <c r="B2504" i="7"/>
  <c r="A2503" i="7"/>
  <c r="C2501" i="7"/>
  <c r="B2500" i="7"/>
  <c r="A2499" i="7"/>
  <c r="C2497" i="7"/>
  <c r="B2496" i="7"/>
  <c r="A2495" i="7"/>
  <c r="C2493" i="7"/>
  <c r="B2492" i="7"/>
  <c r="A2491" i="7"/>
  <c r="C2489" i="7"/>
  <c r="B2488" i="7"/>
  <c r="A2487" i="7"/>
  <c r="C2485" i="7"/>
  <c r="B2484" i="7"/>
  <c r="A2483" i="7"/>
  <c r="C2481" i="7"/>
  <c r="B2480" i="7"/>
  <c r="A2479" i="7"/>
  <c r="C2477" i="7"/>
  <c r="B2476" i="7"/>
  <c r="A2475" i="7"/>
  <c r="C2473" i="7"/>
  <c r="B2472" i="7"/>
  <c r="A2471" i="7"/>
  <c r="C2469" i="7"/>
  <c r="B2468" i="7"/>
  <c r="A2467" i="7"/>
  <c r="C2465" i="7"/>
  <c r="B2464" i="7"/>
  <c r="A2463" i="7"/>
  <c r="C2461" i="7"/>
  <c r="B2460" i="7"/>
  <c r="A2459" i="7"/>
  <c r="C2457" i="7"/>
  <c r="B2456" i="7"/>
  <c r="A2455" i="7"/>
  <c r="C2453" i="7"/>
  <c r="B2452" i="7"/>
  <c r="A2451" i="7"/>
  <c r="C2449" i="7"/>
  <c r="B2448" i="7"/>
  <c r="A2447" i="7"/>
  <c r="C2445" i="7"/>
  <c r="B2444" i="7"/>
  <c r="A2443" i="7"/>
  <c r="C2441" i="7"/>
  <c r="B2440" i="7"/>
  <c r="A2439" i="7"/>
  <c r="C2437" i="7"/>
  <c r="B2436" i="7"/>
  <c r="A2435" i="7"/>
  <c r="C2433" i="7"/>
  <c r="B2432" i="7"/>
  <c r="A2431" i="7"/>
  <c r="C2429" i="7"/>
  <c r="B2428" i="7"/>
  <c r="A2427" i="7"/>
  <c r="C2425" i="7"/>
  <c r="B2424" i="7"/>
  <c r="A2423" i="7"/>
  <c r="C2421" i="7"/>
  <c r="B2420" i="7"/>
  <c r="A2419" i="7"/>
  <c r="C2417" i="7"/>
  <c r="B2416" i="7"/>
  <c r="A2415" i="7"/>
  <c r="C2413" i="7"/>
  <c r="B2412" i="7"/>
  <c r="A2411" i="7"/>
  <c r="C2409" i="7"/>
  <c r="B2408" i="7"/>
  <c r="A2407" i="7"/>
  <c r="C2405" i="7"/>
  <c r="B2404" i="7"/>
  <c r="A2403" i="7"/>
  <c r="C2401" i="7"/>
  <c r="B2400" i="7"/>
  <c r="A2399" i="7"/>
  <c r="C2397" i="7"/>
  <c r="B2396" i="7"/>
  <c r="A2395" i="7"/>
  <c r="C2393" i="7"/>
  <c r="B2392" i="7"/>
  <c r="A2391" i="7"/>
  <c r="C2389" i="7"/>
  <c r="B2388" i="7"/>
  <c r="A2387" i="7"/>
  <c r="C2385" i="7"/>
  <c r="B2384" i="7"/>
  <c r="A2383" i="7"/>
  <c r="C2381" i="7"/>
  <c r="B2380" i="7"/>
  <c r="A2379" i="7"/>
  <c r="C2377" i="7"/>
  <c r="B2376" i="7"/>
  <c r="A2375" i="7"/>
  <c r="C2373" i="7"/>
  <c r="B2372" i="7"/>
  <c r="A2371" i="7"/>
  <c r="C2369" i="7"/>
  <c r="B2368" i="7"/>
  <c r="A2367" i="7"/>
  <c r="C2365" i="7"/>
  <c r="B2364" i="7"/>
  <c r="A2363" i="7"/>
  <c r="C2361" i="7"/>
  <c r="B2360" i="7"/>
  <c r="A2359" i="7"/>
  <c r="C2357" i="7"/>
  <c r="B2356" i="7"/>
  <c r="A2355" i="7"/>
  <c r="C2353" i="7"/>
  <c r="B2352" i="7"/>
  <c r="A2351" i="7"/>
  <c r="C2349" i="7"/>
  <c r="B2348" i="7"/>
  <c r="A2347" i="7"/>
  <c r="C2345" i="7"/>
  <c r="B2344" i="7"/>
  <c r="A2343" i="7"/>
  <c r="C2341" i="7"/>
  <c r="B2340" i="7"/>
  <c r="A2339" i="7"/>
  <c r="C2337" i="7"/>
  <c r="B2336" i="7"/>
  <c r="A2335" i="7"/>
  <c r="C2333" i="7"/>
  <c r="B2332" i="7"/>
  <c r="A2331" i="7"/>
  <c r="C2329" i="7"/>
  <c r="B2328" i="7"/>
  <c r="A2327" i="7"/>
  <c r="C2325" i="7"/>
  <c r="B2324" i="7"/>
  <c r="A2323" i="7"/>
  <c r="C2321" i="7"/>
  <c r="B2320" i="7"/>
  <c r="A2319" i="7"/>
  <c r="C2317" i="7"/>
  <c r="B2316" i="7"/>
  <c r="A2315" i="7"/>
  <c r="C2313" i="7"/>
  <c r="B2312" i="7"/>
  <c r="A2311" i="7"/>
  <c r="C2309" i="7"/>
  <c r="B2308" i="7"/>
  <c r="A2307" i="7"/>
  <c r="C2305" i="7"/>
  <c r="B2304" i="7"/>
  <c r="A2303" i="7"/>
  <c r="C2301" i="7"/>
  <c r="B2300" i="7"/>
  <c r="A2299" i="7"/>
  <c r="C2297" i="7"/>
  <c r="B2296" i="7"/>
  <c r="A2295" i="7"/>
  <c r="C2293" i="7"/>
  <c r="B2292" i="7"/>
  <c r="A2291" i="7"/>
  <c r="C2289" i="7"/>
  <c r="B2288" i="7"/>
  <c r="A2287" i="7"/>
  <c r="C2285" i="7"/>
  <c r="B2284" i="7"/>
  <c r="A2283" i="7"/>
  <c r="C2281" i="7"/>
  <c r="B2280" i="7"/>
  <c r="A2279" i="7"/>
  <c r="C2277" i="7"/>
  <c r="B2276" i="7"/>
  <c r="A2275" i="7"/>
  <c r="C2273" i="7"/>
  <c r="B2272" i="7"/>
  <c r="A2271" i="7"/>
  <c r="C2269" i="7"/>
  <c r="B2268" i="7"/>
  <c r="A2267" i="7"/>
  <c r="C2265" i="7"/>
  <c r="B2264" i="7"/>
  <c r="A2263" i="7"/>
  <c r="C2261" i="7"/>
  <c r="B2260" i="7"/>
  <c r="A2259" i="7"/>
  <c r="C2257" i="7"/>
  <c r="B2256" i="7"/>
  <c r="A2255" i="7"/>
  <c r="B2719" i="7"/>
  <c r="C2708" i="7"/>
  <c r="B2715" i="7"/>
  <c r="C2704" i="7"/>
  <c r="A2694" i="7"/>
  <c r="C2688" i="7"/>
  <c r="B2683" i="7"/>
  <c r="A2678" i="7"/>
  <c r="C2672" i="7"/>
  <c r="B2667" i="7"/>
  <c r="A2662" i="7"/>
  <c r="C2656" i="7"/>
  <c r="B2651" i="7"/>
  <c r="A2646" i="7"/>
  <c r="C2640" i="7"/>
  <c r="B2636" i="7"/>
  <c r="C2633" i="7"/>
  <c r="A2631" i="7"/>
  <c r="B2628" i="7"/>
  <c r="C2625" i="7"/>
  <c r="A2623" i="7"/>
  <c r="B2620" i="7"/>
  <c r="C2617" i="7"/>
  <c r="A2615" i="7"/>
  <c r="B2612" i="7"/>
  <c r="C2609" i="7"/>
  <c r="A2607" i="7"/>
  <c r="B2604" i="7"/>
  <c r="C2601" i="7"/>
  <c r="A2599" i="7"/>
  <c r="B2596" i="7"/>
  <c r="C2593" i="7"/>
  <c r="A2591" i="7"/>
  <c r="B2588" i="7"/>
  <c r="C2585" i="7"/>
  <c r="A2583" i="7"/>
  <c r="B2580" i="7"/>
  <c r="C2577" i="7"/>
  <c r="A2575" i="7"/>
  <c r="B2572" i="7"/>
  <c r="C2569" i="7"/>
  <c r="A2567" i="7"/>
  <c r="B2564" i="7"/>
  <c r="C2561" i="7"/>
  <c r="A2559" i="7"/>
  <c r="B2556" i="7"/>
  <c r="C2553" i="7"/>
  <c r="A2551" i="7"/>
  <c r="B2548" i="7"/>
  <c r="C2545" i="7"/>
  <c r="A2543" i="7"/>
  <c r="B2540" i="7"/>
  <c r="C2537" i="7"/>
  <c r="A2535" i="7"/>
  <c r="B2532" i="7"/>
  <c r="C2529" i="7"/>
  <c r="A2527" i="7"/>
  <c r="B2524" i="7"/>
  <c r="C2521" i="7"/>
  <c r="A2519" i="7"/>
  <c r="B2516" i="7"/>
  <c r="C2513" i="7"/>
  <c r="A2511" i="7"/>
  <c r="A2509" i="7"/>
  <c r="C2507" i="7"/>
  <c r="B2506" i="7"/>
  <c r="A2505" i="7"/>
  <c r="C2503" i="7"/>
  <c r="B2502" i="7"/>
  <c r="A2501" i="7"/>
  <c r="C2499" i="7"/>
  <c r="B2498" i="7"/>
  <c r="A2497" i="7"/>
  <c r="C2495" i="7"/>
  <c r="B2494" i="7"/>
  <c r="A2493" i="7"/>
  <c r="C2491" i="7"/>
  <c r="B2490" i="7"/>
  <c r="A2489" i="7"/>
  <c r="C2487" i="7"/>
  <c r="B2486" i="7"/>
  <c r="A2485" i="7"/>
  <c r="C2483" i="7"/>
  <c r="B2482" i="7"/>
  <c r="A2481" i="7"/>
  <c r="C2479" i="7"/>
  <c r="B2478" i="7"/>
  <c r="A2477" i="7"/>
  <c r="C2475" i="7"/>
  <c r="B2474" i="7"/>
  <c r="A2473" i="7"/>
  <c r="C2471" i="7"/>
  <c r="B2470" i="7"/>
  <c r="A2469" i="7"/>
  <c r="C2467" i="7"/>
  <c r="B2466" i="7"/>
  <c r="A2465" i="7"/>
  <c r="C2463" i="7"/>
  <c r="B2462" i="7"/>
  <c r="A2461" i="7"/>
  <c r="C2459" i="7"/>
  <c r="B2458" i="7"/>
  <c r="A2457" i="7"/>
  <c r="C2455" i="7"/>
  <c r="B2454" i="7"/>
  <c r="A2453" i="7"/>
  <c r="C2451" i="7"/>
  <c r="B2450" i="7"/>
  <c r="A2449" i="7"/>
  <c r="C2447" i="7"/>
  <c r="B2446" i="7"/>
  <c r="A2445" i="7"/>
  <c r="C2443" i="7"/>
  <c r="B2442" i="7"/>
  <c r="A2441" i="7"/>
  <c r="C2439" i="7"/>
  <c r="B2438" i="7"/>
  <c r="A2437" i="7"/>
  <c r="C2435" i="7"/>
  <c r="B2434" i="7"/>
  <c r="A2433" i="7"/>
  <c r="C2431" i="7"/>
  <c r="B2430" i="7"/>
  <c r="A2429" i="7"/>
  <c r="C2427" i="7"/>
  <c r="B2426" i="7"/>
  <c r="A2425" i="7"/>
  <c r="C2423" i="7"/>
  <c r="B2422" i="7"/>
  <c r="A2421" i="7"/>
  <c r="C2419" i="7"/>
  <c r="B2418" i="7"/>
  <c r="A2417" i="7"/>
  <c r="C2415" i="7"/>
  <c r="B2414" i="7"/>
  <c r="A2413" i="7"/>
  <c r="C2411" i="7"/>
  <c r="B2410" i="7"/>
  <c r="A2409" i="7"/>
  <c r="C2407" i="7"/>
  <c r="B2406" i="7"/>
  <c r="A2405" i="7"/>
  <c r="C2403" i="7"/>
  <c r="B2402" i="7"/>
  <c r="A2401" i="7"/>
  <c r="C2399" i="7"/>
  <c r="B2398" i="7"/>
  <c r="A2397" i="7"/>
  <c r="C2395" i="7"/>
  <c r="B2394" i="7"/>
  <c r="A2393" i="7"/>
  <c r="C2391" i="7"/>
  <c r="B2390" i="7"/>
  <c r="A2389" i="7"/>
  <c r="C2387" i="7"/>
  <c r="B2386" i="7"/>
  <c r="A2385" i="7"/>
  <c r="C2383" i="7"/>
  <c r="B2382" i="7"/>
  <c r="A2381" i="7"/>
  <c r="C2379" i="7"/>
  <c r="B2378" i="7"/>
  <c r="A2377" i="7"/>
  <c r="C2375" i="7"/>
  <c r="B2374" i="7"/>
  <c r="A2373" i="7"/>
  <c r="C2371" i="7"/>
  <c r="B2370" i="7"/>
  <c r="A2369" i="7"/>
  <c r="C2367" i="7"/>
  <c r="B2366" i="7"/>
  <c r="A2365" i="7"/>
  <c r="C2363" i="7"/>
  <c r="B2362" i="7"/>
  <c r="A2361" i="7"/>
  <c r="C2359" i="7"/>
  <c r="B2358" i="7"/>
  <c r="A2357" i="7"/>
  <c r="C2355" i="7"/>
  <c r="B2354" i="7"/>
  <c r="A2353" i="7"/>
  <c r="C2351" i="7"/>
  <c r="B2350" i="7"/>
  <c r="A2349" i="7"/>
  <c r="C2347" i="7"/>
  <c r="B2346" i="7"/>
  <c r="A2345" i="7"/>
  <c r="C2343" i="7"/>
  <c r="B2342" i="7"/>
  <c r="A2341" i="7"/>
  <c r="C2339" i="7"/>
  <c r="B2338" i="7"/>
  <c r="A2337" i="7"/>
  <c r="C2335" i="7"/>
  <c r="B2334" i="7"/>
  <c r="A2333" i="7"/>
  <c r="C2331" i="7"/>
  <c r="B2330" i="7"/>
  <c r="A2329" i="7"/>
  <c r="C2327" i="7"/>
  <c r="B2326" i="7"/>
  <c r="A2325" i="7"/>
  <c r="C2323" i="7"/>
  <c r="B2322" i="7"/>
  <c r="A2321" i="7"/>
  <c r="C2319" i="7"/>
  <c r="B2318" i="7"/>
  <c r="A2317" i="7"/>
  <c r="C2315" i="7"/>
  <c r="B2314" i="7"/>
  <c r="A2313" i="7"/>
  <c r="C2311" i="7"/>
  <c r="B2310" i="7"/>
  <c r="A2309" i="7"/>
  <c r="C2307" i="7"/>
  <c r="B2306" i="7"/>
  <c r="A2305" i="7"/>
  <c r="C2303" i="7"/>
  <c r="B2302" i="7"/>
  <c r="A2301" i="7"/>
  <c r="C2299" i="7"/>
  <c r="B2298" i="7"/>
  <c r="C2295" i="7"/>
  <c r="A2293" i="7"/>
  <c r="B2290" i="7"/>
  <c r="C2287" i="7"/>
  <c r="A2285" i="7"/>
  <c r="B2282" i="7"/>
  <c r="C2279" i="7"/>
  <c r="A2277" i="7"/>
  <c r="B2274" i="7"/>
  <c r="C2271" i="7"/>
  <c r="A2269" i="7"/>
  <c r="B2266" i="7"/>
  <c r="C2263" i="7"/>
  <c r="A2261" i="7"/>
  <c r="B2258" i="7"/>
  <c r="C2255" i="7"/>
  <c r="A2714" i="7"/>
  <c r="A2698" i="7"/>
  <c r="B2687" i="7"/>
  <c r="C2676" i="7"/>
  <c r="A2666" i="7"/>
  <c r="B2655" i="7"/>
  <c r="C2644" i="7"/>
  <c r="C2635" i="7"/>
  <c r="B2630" i="7"/>
  <c r="A2625" i="7"/>
  <c r="C2619" i="7"/>
  <c r="B2614" i="7"/>
  <c r="A2609" i="7"/>
  <c r="C2603" i="7"/>
  <c r="B2598" i="7"/>
  <c r="A2593" i="7"/>
  <c r="C2587" i="7"/>
  <c r="B2582" i="7"/>
  <c r="A2577" i="7"/>
  <c r="C2571" i="7"/>
  <c r="B2566" i="7"/>
  <c r="A2561" i="7"/>
  <c r="C2555" i="7"/>
  <c r="B2550" i="7"/>
  <c r="A2545" i="7"/>
  <c r="C2539" i="7"/>
  <c r="B2534" i="7"/>
  <c r="A2529" i="7"/>
  <c r="C2523" i="7"/>
  <c r="B2518" i="7"/>
  <c r="A2513" i="7"/>
  <c r="C2508" i="7"/>
  <c r="A2506" i="7"/>
  <c r="B2503" i="7"/>
  <c r="C2500" i="7"/>
  <c r="A2498" i="7"/>
  <c r="B2495" i="7"/>
  <c r="C2492" i="7"/>
  <c r="A2490" i="7"/>
  <c r="B2487" i="7"/>
  <c r="C2484" i="7"/>
  <c r="A2482" i="7"/>
  <c r="B2479" i="7"/>
  <c r="C2476" i="7"/>
  <c r="A2474" i="7"/>
  <c r="B2471" i="7"/>
  <c r="C2468" i="7"/>
  <c r="A2466" i="7"/>
  <c r="B2463" i="7"/>
  <c r="C2460" i="7"/>
  <c r="A2458" i="7"/>
  <c r="B2455" i="7"/>
  <c r="C2452" i="7"/>
  <c r="A2450" i="7"/>
  <c r="B2447" i="7"/>
  <c r="C2444" i="7"/>
  <c r="A2442" i="7"/>
  <c r="B2439" i="7"/>
  <c r="C2436" i="7"/>
  <c r="A2434" i="7"/>
  <c r="B2431" i="7"/>
  <c r="C2428" i="7"/>
  <c r="A2426" i="7"/>
  <c r="B2423" i="7"/>
  <c r="C2420" i="7"/>
  <c r="A2418" i="7"/>
  <c r="B2415" i="7"/>
  <c r="C2412" i="7"/>
  <c r="A2410" i="7"/>
  <c r="B2407" i="7"/>
  <c r="C2404" i="7"/>
  <c r="A2402" i="7"/>
  <c r="B2399" i="7"/>
  <c r="C2396" i="7"/>
  <c r="A2394" i="7"/>
  <c r="B2391" i="7"/>
  <c r="C2388" i="7"/>
  <c r="A2386" i="7"/>
  <c r="B2383" i="7"/>
  <c r="C2380" i="7"/>
  <c r="A2378" i="7"/>
  <c r="B2375" i="7"/>
  <c r="C2372" i="7"/>
  <c r="A2370" i="7"/>
  <c r="B2367" i="7"/>
  <c r="C2364" i="7"/>
  <c r="A2362" i="7"/>
  <c r="B2359" i="7"/>
  <c r="C2356" i="7"/>
  <c r="A2354" i="7"/>
  <c r="B2351" i="7"/>
  <c r="C2348" i="7"/>
  <c r="A2346" i="7"/>
  <c r="B2343" i="7"/>
  <c r="C2340" i="7"/>
  <c r="A2338" i="7"/>
  <c r="B2335" i="7"/>
  <c r="C2332" i="7"/>
  <c r="A2330" i="7"/>
  <c r="B2327" i="7"/>
  <c r="C2324" i="7"/>
  <c r="A2322" i="7"/>
  <c r="B2319" i="7"/>
  <c r="C2316" i="7"/>
  <c r="A2314" i="7"/>
  <c r="B2311" i="7"/>
  <c r="C2308" i="7"/>
  <c r="A2306" i="7"/>
  <c r="B2303" i="7"/>
  <c r="C2300" i="7"/>
  <c r="A2298" i="7"/>
  <c r="B2295" i="7"/>
  <c r="C2292" i="7"/>
  <c r="A2290" i="7"/>
  <c r="B2287" i="7"/>
  <c r="C2284" i="7"/>
  <c r="A2282" i="7"/>
  <c r="B2279" i="7"/>
  <c r="C2276" i="7"/>
  <c r="A2274" i="7"/>
  <c r="B2271" i="7"/>
  <c r="C2268" i="7"/>
  <c r="A2266" i="7"/>
  <c r="B2263" i="7"/>
  <c r="C2260" i="7"/>
  <c r="A2258" i="7"/>
  <c r="B2255" i="7"/>
  <c r="B2253" i="7"/>
  <c r="A2252" i="7"/>
  <c r="C2250" i="7"/>
  <c r="B2249" i="7"/>
  <c r="A2248" i="7"/>
  <c r="C2246" i="7"/>
  <c r="B2245" i="7"/>
  <c r="A2244" i="7"/>
  <c r="C2242" i="7"/>
  <c r="B2241" i="7"/>
  <c r="A2240" i="7"/>
  <c r="C2238" i="7"/>
  <c r="B2237" i="7"/>
  <c r="A2236" i="7"/>
  <c r="C2234" i="7"/>
  <c r="B2233" i="7"/>
  <c r="A2232" i="7"/>
  <c r="C2230" i="7"/>
  <c r="B2229" i="7"/>
  <c r="A2228" i="7"/>
  <c r="C2226" i="7"/>
  <c r="B2225" i="7"/>
  <c r="A2224" i="7"/>
  <c r="C2222" i="7"/>
  <c r="B2221" i="7"/>
  <c r="A2220" i="7"/>
  <c r="C2218" i="7"/>
  <c r="B2217" i="7"/>
  <c r="A2216" i="7"/>
  <c r="C2214" i="7"/>
  <c r="B2213" i="7"/>
  <c r="A2212" i="7"/>
  <c r="C2210" i="7"/>
  <c r="B2209" i="7"/>
  <c r="A2208" i="7"/>
  <c r="C2206" i="7"/>
  <c r="B2205" i="7"/>
  <c r="A2204" i="7"/>
  <c r="C2202" i="7"/>
  <c r="B2201" i="7"/>
  <c r="A2200" i="7"/>
  <c r="C2198" i="7"/>
  <c r="B2197" i="7"/>
  <c r="A2196" i="7"/>
  <c r="C2194" i="7"/>
  <c r="B2193" i="7"/>
  <c r="A2192" i="7"/>
  <c r="C2190" i="7"/>
  <c r="B2189" i="7"/>
  <c r="A2188" i="7"/>
  <c r="C2186" i="7"/>
  <c r="B2185" i="7"/>
  <c r="A2184" i="7"/>
  <c r="C2182" i="7"/>
  <c r="B2181" i="7"/>
  <c r="A2180" i="7"/>
  <c r="C2178" i="7"/>
  <c r="B2177" i="7"/>
  <c r="A2176" i="7"/>
  <c r="C2174" i="7"/>
  <c r="B2173" i="7"/>
  <c r="A2172" i="7"/>
  <c r="C2170" i="7"/>
  <c r="B2169" i="7"/>
  <c r="A2168" i="7"/>
  <c r="C2166" i="7"/>
  <c r="B2165" i="7"/>
  <c r="A2164" i="7"/>
  <c r="C2162" i="7"/>
  <c r="B2161" i="7"/>
  <c r="A2160" i="7"/>
  <c r="C2158" i="7"/>
  <c r="B2157" i="7"/>
  <c r="A2156" i="7"/>
  <c r="C2154" i="7"/>
  <c r="B2153" i="7"/>
  <c r="A2152" i="7"/>
  <c r="C2150" i="7"/>
  <c r="B2149" i="7"/>
  <c r="A2148" i="7"/>
  <c r="C2146" i="7"/>
  <c r="B2145" i="7"/>
  <c r="A2144" i="7"/>
  <c r="C2142" i="7"/>
  <c r="B2141" i="7"/>
  <c r="A2140" i="7"/>
  <c r="C2138" i="7"/>
  <c r="B2137" i="7"/>
  <c r="A2136" i="7"/>
  <c r="C2134" i="7"/>
  <c r="B2133" i="7"/>
  <c r="A2132" i="7"/>
  <c r="C2130" i="7"/>
  <c r="B2129" i="7"/>
  <c r="A2128" i="7"/>
  <c r="C2126" i="7"/>
  <c r="B2125" i="7"/>
  <c r="A2124" i="7"/>
  <c r="C2122" i="7"/>
  <c r="B2121" i="7"/>
  <c r="A2120" i="7"/>
  <c r="C2118" i="7"/>
  <c r="B2117" i="7"/>
  <c r="A2116" i="7"/>
  <c r="C2114" i="7"/>
  <c r="B2113" i="7"/>
  <c r="A2112" i="7"/>
  <c r="C2110" i="7"/>
  <c r="B2109" i="7"/>
  <c r="A2108" i="7"/>
  <c r="C2106" i="7"/>
  <c r="B2105" i="7"/>
  <c r="A2104" i="7"/>
  <c r="C2102" i="7"/>
  <c r="B2101" i="7"/>
  <c r="A2100" i="7"/>
  <c r="C2098" i="7"/>
  <c r="B2097" i="7"/>
  <c r="A2096" i="7"/>
  <c r="C2094" i="7"/>
  <c r="B2093" i="7"/>
  <c r="A2092" i="7"/>
  <c r="C2090" i="7"/>
  <c r="B2089" i="7"/>
  <c r="A2088" i="7"/>
  <c r="C2086" i="7"/>
  <c r="B2085" i="7"/>
  <c r="A2084" i="7"/>
  <c r="C2082" i="7"/>
  <c r="B2081" i="7"/>
  <c r="A2080" i="7"/>
  <c r="C2078" i="7"/>
  <c r="B2077" i="7"/>
  <c r="A2076" i="7"/>
  <c r="C2074" i="7"/>
  <c r="B2073" i="7"/>
  <c r="A2072" i="7"/>
  <c r="C2070" i="7"/>
  <c r="B2069" i="7"/>
  <c r="A2068" i="7"/>
  <c r="C2066" i="7"/>
  <c r="B2065" i="7"/>
  <c r="A2064" i="7"/>
  <c r="C2062" i="7"/>
  <c r="B2061" i="7"/>
  <c r="A2060" i="7"/>
  <c r="C2058" i="7"/>
  <c r="B2057" i="7"/>
  <c r="A2056" i="7"/>
  <c r="C2054" i="7"/>
  <c r="B2053" i="7"/>
  <c r="A2052" i="7"/>
  <c r="C2050" i="7"/>
  <c r="B2049" i="7"/>
  <c r="A2048" i="7"/>
  <c r="C2046" i="7"/>
  <c r="B2045" i="7"/>
  <c r="A2044" i="7"/>
  <c r="C2042" i="7"/>
  <c r="B2041" i="7"/>
  <c r="A2040" i="7"/>
  <c r="C2038" i="7"/>
  <c r="B2037" i="7"/>
  <c r="A2036" i="7"/>
  <c r="C2034" i="7"/>
  <c r="B2033" i="7"/>
  <c r="A2032" i="7"/>
  <c r="C2030" i="7"/>
  <c r="B2029" i="7"/>
  <c r="A2028" i="7"/>
  <c r="C2026" i="7"/>
  <c r="B2025" i="7"/>
  <c r="A2024" i="7"/>
  <c r="C2022" i="7"/>
  <c r="B2021" i="7"/>
  <c r="A2020" i="7"/>
  <c r="C2018" i="7"/>
  <c r="B2017" i="7"/>
  <c r="A2016" i="7"/>
  <c r="C2014" i="7"/>
  <c r="B2013" i="7"/>
  <c r="A2012" i="7"/>
  <c r="C2010" i="7"/>
  <c r="B2009" i="7"/>
  <c r="A2008" i="7"/>
  <c r="C2006" i="7"/>
  <c r="B2005" i="7"/>
  <c r="A2004" i="7"/>
  <c r="C2002" i="7"/>
  <c r="B2001" i="7"/>
  <c r="A2000" i="7"/>
  <c r="C1998" i="7"/>
  <c r="B1997" i="7"/>
  <c r="A1996" i="7"/>
  <c r="C1994" i="7"/>
  <c r="B1993" i="7"/>
  <c r="A1992" i="7"/>
  <c r="C1990" i="7"/>
  <c r="B1989" i="7"/>
  <c r="A1988" i="7"/>
  <c r="C1986" i="7"/>
  <c r="B1985" i="7"/>
  <c r="A1984" i="7"/>
  <c r="C1982" i="7"/>
  <c r="A2297" i="7"/>
  <c r="B2294" i="7"/>
  <c r="C2291" i="7"/>
  <c r="A2289" i="7"/>
  <c r="B2286" i="7"/>
  <c r="C2283" i="7"/>
  <c r="A2281" i="7"/>
  <c r="B2278" i="7"/>
  <c r="C2275" i="7"/>
  <c r="A2273" i="7"/>
  <c r="B2270" i="7"/>
  <c r="C2267" i="7"/>
  <c r="A2265" i="7"/>
  <c r="B2262" i="7"/>
  <c r="C2259" i="7"/>
  <c r="A2257" i="7"/>
  <c r="B2254" i="7"/>
  <c r="B2703" i="7"/>
  <c r="C2692" i="7"/>
  <c r="A2682" i="7"/>
  <c r="B2671" i="7"/>
  <c r="C2660" i="7"/>
  <c r="A2650" i="7"/>
  <c r="B2639" i="7"/>
  <c r="A2633" i="7"/>
  <c r="C2627" i="7"/>
  <c r="B2622" i="7"/>
  <c r="A2617" i="7"/>
  <c r="C2611" i="7"/>
  <c r="B2606" i="7"/>
  <c r="A2601" i="7"/>
  <c r="C2595" i="7"/>
  <c r="B2590" i="7"/>
  <c r="A2585" i="7"/>
  <c r="C2579" i="7"/>
  <c r="B2574" i="7"/>
  <c r="A2569" i="7"/>
  <c r="C2563" i="7"/>
  <c r="B2558" i="7"/>
  <c r="A2553" i="7"/>
  <c r="C2547" i="7"/>
  <c r="B2542" i="7"/>
  <c r="A2537" i="7"/>
  <c r="C2531" i="7"/>
  <c r="B2526" i="7"/>
  <c r="A2521" i="7"/>
  <c r="C2515" i="7"/>
  <c r="B2510" i="7"/>
  <c r="B2507" i="7"/>
  <c r="C2504" i="7"/>
  <c r="A2502" i="7"/>
  <c r="B2499" i="7"/>
  <c r="C2496" i="7"/>
  <c r="A2494" i="7"/>
  <c r="B2491" i="7"/>
  <c r="C2488" i="7"/>
  <c r="A2486" i="7"/>
  <c r="B2483" i="7"/>
  <c r="C2480" i="7"/>
  <c r="A2478" i="7"/>
  <c r="B2475" i="7"/>
  <c r="C2472" i="7"/>
  <c r="A2470" i="7"/>
  <c r="B2467" i="7"/>
  <c r="C2464" i="7"/>
  <c r="A2462" i="7"/>
  <c r="B2459" i="7"/>
  <c r="C2456" i="7"/>
  <c r="A2454" i="7"/>
  <c r="B2451" i="7"/>
  <c r="C2448" i="7"/>
  <c r="A2446" i="7"/>
  <c r="B2443" i="7"/>
  <c r="C2440" i="7"/>
  <c r="A2438" i="7"/>
  <c r="B2435" i="7"/>
  <c r="C2432" i="7"/>
  <c r="A2430" i="7"/>
  <c r="B2427" i="7"/>
  <c r="C2424" i="7"/>
  <c r="A2422" i="7"/>
  <c r="B2419" i="7"/>
  <c r="C2416" i="7"/>
  <c r="A2414" i="7"/>
  <c r="B2411" i="7"/>
  <c r="C2408" i="7"/>
  <c r="A2406" i="7"/>
  <c r="B2403" i="7"/>
  <c r="C2400" i="7"/>
  <c r="A2398" i="7"/>
  <c r="B2395" i="7"/>
  <c r="C2392" i="7"/>
  <c r="A2390" i="7"/>
  <c r="B2387" i="7"/>
  <c r="C2384" i="7"/>
  <c r="A2382" i="7"/>
  <c r="B2379" i="7"/>
  <c r="C2376" i="7"/>
  <c r="A2374" i="7"/>
  <c r="B2371" i="7"/>
  <c r="C2368" i="7"/>
  <c r="A2366" i="7"/>
  <c r="B2363" i="7"/>
  <c r="C2360" i="7"/>
  <c r="A2358" i="7"/>
  <c r="B2355" i="7"/>
  <c r="C2352" i="7"/>
  <c r="A2350" i="7"/>
  <c r="B2347" i="7"/>
  <c r="C2344" i="7"/>
  <c r="A2342" i="7"/>
  <c r="B2339" i="7"/>
  <c r="C2336" i="7"/>
  <c r="A2334" i="7"/>
  <c r="B2331" i="7"/>
  <c r="C2328" i="7"/>
  <c r="A2326" i="7"/>
  <c r="B2323" i="7"/>
  <c r="C2320" i="7"/>
  <c r="A2318" i="7"/>
  <c r="B2315" i="7"/>
  <c r="C2312" i="7"/>
  <c r="A2310" i="7"/>
  <c r="B2307" i="7"/>
  <c r="C2304" i="7"/>
  <c r="A2302" i="7"/>
  <c r="B2299" i="7"/>
  <c r="C2296" i="7"/>
  <c r="A2294" i="7"/>
  <c r="B2291" i="7"/>
  <c r="C2288" i="7"/>
  <c r="A2286" i="7"/>
  <c r="B2283" i="7"/>
  <c r="C2280" i="7"/>
  <c r="A2278" i="7"/>
  <c r="B2275" i="7"/>
  <c r="C2272" i="7"/>
  <c r="A2270" i="7"/>
  <c r="B2267" i="7"/>
  <c r="C2264" i="7"/>
  <c r="A2262" i="7"/>
  <c r="B2259" i="7"/>
  <c r="C2256" i="7"/>
  <c r="A2254" i="7"/>
  <c r="C2252" i="7"/>
  <c r="B2251" i="7"/>
  <c r="A2250" i="7"/>
  <c r="C2248" i="7"/>
  <c r="B2247" i="7"/>
  <c r="A2246" i="7"/>
  <c r="C2244" i="7"/>
  <c r="B2243" i="7"/>
  <c r="A2242" i="7"/>
  <c r="C2240" i="7"/>
  <c r="B2239" i="7"/>
  <c r="A2238" i="7"/>
  <c r="C2236" i="7"/>
  <c r="B2235" i="7"/>
  <c r="A2234" i="7"/>
  <c r="C2232" i="7"/>
  <c r="B2231" i="7"/>
  <c r="A2230" i="7"/>
  <c r="C2228" i="7"/>
  <c r="B2227" i="7"/>
  <c r="A2226" i="7"/>
  <c r="C2224" i="7"/>
  <c r="B2223" i="7"/>
  <c r="A2222" i="7"/>
  <c r="C2220" i="7"/>
  <c r="B2219" i="7"/>
  <c r="A2218" i="7"/>
  <c r="C2216" i="7"/>
  <c r="B2215" i="7"/>
  <c r="A2214" i="7"/>
  <c r="C2212" i="7"/>
  <c r="B2211" i="7"/>
  <c r="A2210" i="7"/>
  <c r="C2208" i="7"/>
  <c r="B2207" i="7"/>
  <c r="A2206" i="7"/>
  <c r="C2204" i="7"/>
  <c r="B2203" i="7"/>
  <c r="A2202" i="7"/>
  <c r="C2200" i="7"/>
  <c r="B2199" i="7"/>
  <c r="A2198" i="7"/>
  <c r="C2196" i="7"/>
  <c r="B2195" i="7"/>
  <c r="A2194" i="7"/>
  <c r="C2192" i="7"/>
  <c r="B2191" i="7"/>
  <c r="A2190" i="7"/>
  <c r="C2188" i="7"/>
  <c r="B2187" i="7"/>
  <c r="A2186" i="7"/>
  <c r="C2184" i="7"/>
  <c r="B2183" i="7"/>
  <c r="A2182" i="7"/>
  <c r="C2180" i="7"/>
  <c r="B2179" i="7"/>
  <c r="A2178" i="7"/>
  <c r="C2176" i="7"/>
  <c r="B2175" i="7"/>
  <c r="A2174" i="7"/>
  <c r="C2172" i="7"/>
  <c r="B2171" i="7"/>
  <c r="A2170" i="7"/>
  <c r="C2168" i="7"/>
  <c r="B2167" i="7"/>
  <c r="A2166" i="7"/>
  <c r="C2164" i="7"/>
  <c r="B2163" i="7"/>
  <c r="A2162" i="7"/>
  <c r="C2160" i="7"/>
  <c r="B2159" i="7"/>
  <c r="A2158" i="7"/>
  <c r="C2156" i="7"/>
  <c r="B2155" i="7"/>
  <c r="A2154" i="7"/>
  <c r="C2152" i="7"/>
  <c r="B2151" i="7"/>
  <c r="A2150" i="7"/>
  <c r="C2148" i="7"/>
  <c r="B2147" i="7"/>
  <c r="A2146" i="7"/>
  <c r="C2144" i="7"/>
  <c r="B2143" i="7"/>
  <c r="A2142" i="7"/>
  <c r="C2140" i="7"/>
  <c r="B2139" i="7"/>
  <c r="A2138" i="7"/>
  <c r="C2136" i="7"/>
  <c r="B2135" i="7"/>
  <c r="A2134" i="7"/>
  <c r="C2132" i="7"/>
  <c r="B2131" i="7"/>
  <c r="A2130" i="7"/>
  <c r="C2128" i="7"/>
  <c r="B2127" i="7"/>
  <c r="A2126" i="7"/>
  <c r="C2124" i="7"/>
  <c r="B2123" i="7"/>
  <c r="A2122" i="7"/>
  <c r="C2120" i="7"/>
  <c r="B2119" i="7"/>
  <c r="A2118" i="7"/>
  <c r="C2116" i="7"/>
  <c r="B2115" i="7"/>
  <c r="A2114" i="7"/>
  <c r="C2112" i="7"/>
  <c r="B2111" i="7"/>
  <c r="A2110" i="7"/>
  <c r="C2108" i="7"/>
  <c r="B2107" i="7"/>
  <c r="A2106" i="7"/>
  <c r="C2104" i="7"/>
  <c r="A2102" i="7"/>
  <c r="B2099" i="7"/>
  <c r="C2096" i="7"/>
  <c r="A2094" i="7"/>
  <c r="B2091" i="7"/>
  <c r="C2088" i="7"/>
  <c r="A2086" i="7"/>
  <c r="B2083" i="7"/>
  <c r="C2080" i="7"/>
  <c r="A2078" i="7"/>
  <c r="B2075" i="7"/>
  <c r="C2072" i="7"/>
  <c r="A2070" i="7"/>
  <c r="B2067" i="7"/>
  <c r="C2064" i="7"/>
  <c r="A2062" i="7"/>
  <c r="B2059" i="7"/>
  <c r="C2056" i="7"/>
  <c r="A2054" i="7"/>
  <c r="B2051" i="7"/>
  <c r="C2048" i="7"/>
  <c r="A2046" i="7"/>
  <c r="B2043" i="7"/>
  <c r="C2040" i="7"/>
  <c r="A2038" i="7"/>
  <c r="B2035" i="7"/>
  <c r="C2032" i="7"/>
  <c r="A2030" i="7"/>
  <c r="B2027" i="7"/>
  <c r="C2024" i="7"/>
  <c r="A2022" i="7"/>
  <c r="B2019" i="7"/>
  <c r="C2016" i="7"/>
  <c r="A2014" i="7"/>
  <c r="B2011" i="7"/>
  <c r="C2008" i="7"/>
  <c r="A2006" i="7"/>
  <c r="B2003" i="7"/>
  <c r="C2000" i="7"/>
  <c r="A1998" i="7"/>
  <c r="B1995" i="7"/>
  <c r="C1992" i="7"/>
  <c r="A1990" i="7"/>
  <c r="B1987" i="7"/>
  <c r="C1984" i="7"/>
  <c r="A1982" i="7"/>
  <c r="C1980" i="7"/>
  <c r="B1979" i="7"/>
  <c r="A1978" i="7"/>
  <c r="C1976" i="7"/>
  <c r="B1975" i="7"/>
  <c r="A1974" i="7"/>
  <c r="C1972" i="7"/>
  <c r="B1971" i="7"/>
  <c r="A1970" i="7"/>
  <c r="C1968" i="7"/>
  <c r="B1967" i="7"/>
  <c r="A1966" i="7"/>
  <c r="C1964" i="7"/>
  <c r="B1963" i="7"/>
  <c r="A1962" i="7"/>
  <c r="C1960" i="7"/>
  <c r="B1959" i="7"/>
  <c r="A1958" i="7"/>
  <c r="C1956" i="7"/>
  <c r="B1955" i="7"/>
  <c r="A1954" i="7"/>
  <c r="C1952" i="7"/>
  <c r="B1951" i="7"/>
  <c r="A1950" i="7"/>
  <c r="C1948" i="7"/>
  <c r="B1947" i="7"/>
  <c r="A1946" i="7"/>
  <c r="C1944" i="7"/>
  <c r="B1943" i="7"/>
  <c r="A1942" i="7"/>
  <c r="C1940" i="7"/>
  <c r="B1939" i="7"/>
  <c r="C2716" i="7"/>
  <c r="A2706" i="7"/>
  <c r="B2695" i="7"/>
  <c r="C2684" i="7"/>
  <c r="A2674" i="7"/>
  <c r="B2663" i="7"/>
  <c r="C2652" i="7"/>
  <c r="A2642" i="7"/>
  <c r="B2634" i="7"/>
  <c r="A2629" i="7"/>
  <c r="C2623" i="7"/>
  <c r="B2618" i="7"/>
  <c r="A2613" i="7"/>
  <c r="C2607" i="7"/>
  <c r="B2602" i="7"/>
  <c r="A2597" i="7"/>
  <c r="C2591" i="7"/>
  <c r="B2586" i="7"/>
  <c r="A2581" i="7"/>
  <c r="C2575" i="7"/>
  <c r="B2570" i="7"/>
  <c r="A2565" i="7"/>
  <c r="C2559" i="7"/>
  <c r="B2554" i="7"/>
  <c r="A2549" i="7"/>
  <c r="C2543" i="7"/>
  <c r="B2538" i="7"/>
  <c r="A2533" i="7"/>
  <c r="C2527" i="7"/>
  <c r="B2522" i="7"/>
  <c r="A2517" i="7"/>
  <c r="C2511" i="7"/>
  <c r="A2508" i="7"/>
  <c r="B2505" i="7"/>
  <c r="C2502" i="7"/>
  <c r="A2500" i="7"/>
  <c r="B2497" i="7"/>
  <c r="C2494" i="7"/>
  <c r="A2492" i="7"/>
  <c r="B2489" i="7"/>
  <c r="C2486" i="7"/>
  <c r="A2484" i="7"/>
  <c r="B2481" i="7"/>
  <c r="C2478" i="7"/>
  <c r="A2476" i="7"/>
  <c r="B2473" i="7"/>
  <c r="C2470" i="7"/>
  <c r="A2468" i="7"/>
  <c r="B2465" i="7"/>
  <c r="C2462" i="7"/>
  <c r="A2460" i="7"/>
  <c r="B2457" i="7"/>
  <c r="C2454" i="7"/>
  <c r="A2452" i="7"/>
  <c r="B2449" i="7"/>
  <c r="C2446" i="7"/>
  <c r="A2444" i="7"/>
  <c r="B2441" i="7"/>
  <c r="C2438" i="7"/>
  <c r="A2436" i="7"/>
  <c r="B2433" i="7"/>
  <c r="C2430" i="7"/>
  <c r="A2428" i="7"/>
  <c r="B2425" i="7"/>
  <c r="B2421" i="7"/>
  <c r="A2416" i="7"/>
  <c r="C2410" i="7"/>
  <c r="B2405" i="7"/>
  <c r="A2400" i="7"/>
  <c r="C2394" i="7"/>
  <c r="B2389" i="7"/>
  <c r="A2384" i="7"/>
  <c r="C2378" i="7"/>
  <c r="B2373" i="7"/>
  <c r="A2368" i="7"/>
  <c r="C2362" i="7"/>
  <c r="B2357" i="7"/>
  <c r="A2352" i="7"/>
  <c r="C2346" i="7"/>
  <c r="B2341" i="7"/>
  <c r="A2336" i="7"/>
  <c r="C2330" i="7"/>
  <c r="B2325" i="7"/>
  <c r="A2320" i="7"/>
  <c r="C2314" i="7"/>
  <c r="B2309" i="7"/>
  <c r="A2304" i="7"/>
  <c r="C2298" i="7"/>
  <c r="B2293" i="7"/>
  <c r="A2288" i="7"/>
  <c r="C2282" i="7"/>
  <c r="B2277" i="7"/>
  <c r="A2272" i="7"/>
  <c r="C2266" i="7"/>
  <c r="B2261" i="7"/>
  <c r="A2256" i="7"/>
  <c r="B2252" i="7"/>
  <c r="C2249" i="7"/>
  <c r="A2247" i="7"/>
  <c r="B2244" i="7"/>
  <c r="C2241" i="7"/>
  <c r="A2239" i="7"/>
  <c r="B2236" i="7"/>
  <c r="C2233" i="7"/>
  <c r="A2231" i="7"/>
  <c r="B2228" i="7"/>
  <c r="C2225" i="7"/>
  <c r="A2223" i="7"/>
  <c r="B2220" i="7"/>
  <c r="C2217" i="7"/>
  <c r="A2215" i="7"/>
  <c r="B2212" i="7"/>
  <c r="C2209" i="7"/>
  <c r="A2207" i="7"/>
  <c r="B2204" i="7"/>
  <c r="C2201" i="7"/>
  <c r="A2199" i="7"/>
  <c r="B2196" i="7"/>
  <c r="C2193" i="7"/>
  <c r="A2191" i="7"/>
  <c r="B2188" i="7"/>
  <c r="C2185" i="7"/>
  <c r="A2183" i="7"/>
  <c r="B2180" i="7"/>
  <c r="C2177" i="7"/>
  <c r="A2175" i="7"/>
  <c r="B2172" i="7"/>
  <c r="C2169" i="7"/>
  <c r="A2167" i="7"/>
  <c r="B2164" i="7"/>
  <c r="C2161" i="7"/>
  <c r="A2159" i="7"/>
  <c r="B2156" i="7"/>
  <c r="C2153" i="7"/>
  <c r="A2151" i="7"/>
  <c r="B2148" i="7"/>
  <c r="C2145" i="7"/>
  <c r="A2143" i="7"/>
  <c r="B2140" i="7"/>
  <c r="C2137" i="7"/>
  <c r="A2135" i="7"/>
  <c r="B2132" i="7"/>
  <c r="C2129" i="7"/>
  <c r="A2127" i="7"/>
  <c r="B2124" i="7"/>
  <c r="C2121" i="7"/>
  <c r="A2119" i="7"/>
  <c r="B2116" i="7"/>
  <c r="C2113" i="7"/>
  <c r="A2111" i="7"/>
  <c r="B2108" i="7"/>
  <c r="C2105" i="7"/>
  <c r="A2103" i="7"/>
  <c r="B2100" i="7"/>
  <c r="C2097" i="7"/>
  <c r="A2095" i="7"/>
  <c r="B2092" i="7"/>
  <c r="C2089" i="7"/>
  <c r="A2087" i="7"/>
  <c r="B2084" i="7"/>
  <c r="C2081" i="7"/>
  <c r="A2079" i="7"/>
  <c r="B2076" i="7"/>
  <c r="C2073" i="7"/>
  <c r="A2071" i="7"/>
  <c r="B2068" i="7"/>
  <c r="C2065" i="7"/>
  <c r="A2063" i="7"/>
  <c r="B2060" i="7"/>
  <c r="C2057" i="7"/>
  <c r="A2055" i="7"/>
  <c r="B2052" i="7"/>
  <c r="C2049" i="7"/>
  <c r="A2047" i="7"/>
  <c r="B2044" i="7"/>
  <c r="C2041" i="7"/>
  <c r="A2039" i="7"/>
  <c r="B2036" i="7"/>
  <c r="C2033" i="7"/>
  <c r="A2031" i="7"/>
  <c r="B2028" i="7"/>
  <c r="C2025" i="7"/>
  <c r="A2023" i="7"/>
  <c r="B2020" i="7"/>
  <c r="C2017" i="7"/>
  <c r="A2015" i="7"/>
  <c r="B2012" i="7"/>
  <c r="C2009" i="7"/>
  <c r="A2007" i="7"/>
  <c r="B2004" i="7"/>
  <c r="C2001" i="7"/>
  <c r="A1999" i="7"/>
  <c r="B1996" i="7"/>
  <c r="C1993" i="7"/>
  <c r="A1991" i="7"/>
  <c r="B1988" i="7"/>
  <c r="C1985" i="7"/>
  <c r="A1983" i="7"/>
  <c r="C2422" i="7"/>
  <c r="B2417" i="7"/>
  <c r="A2412" i="7"/>
  <c r="C2406" i="7"/>
  <c r="B2401" i="7"/>
  <c r="A2396" i="7"/>
  <c r="C2390" i="7"/>
  <c r="B2385" i="7"/>
  <c r="A2380" i="7"/>
  <c r="C2374" i="7"/>
  <c r="B2369" i="7"/>
  <c r="A2364" i="7"/>
  <c r="C2358" i="7"/>
  <c r="B2353" i="7"/>
  <c r="A2348" i="7"/>
  <c r="C2342" i="7"/>
  <c r="B2337" i="7"/>
  <c r="A2332" i="7"/>
  <c r="C2326" i="7"/>
  <c r="B2321" i="7"/>
  <c r="A2316" i="7"/>
  <c r="C2310" i="7"/>
  <c r="B2305" i="7"/>
  <c r="A2300" i="7"/>
  <c r="C2294" i="7"/>
  <c r="B2289" i="7"/>
  <c r="A2284" i="7"/>
  <c r="C2278" i="7"/>
  <c r="B2273" i="7"/>
  <c r="A2268" i="7"/>
  <c r="C2262" i="7"/>
  <c r="B2257" i="7"/>
  <c r="A2253" i="7"/>
  <c r="B2250" i="7"/>
  <c r="C2247" i="7"/>
  <c r="A2245" i="7"/>
  <c r="B2242" i="7"/>
  <c r="C2239" i="7"/>
  <c r="A2237" i="7"/>
  <c r="B2234" i="7"/>
  <c r="C2231" i="7"/>
  <c r="A2229" i="7"/>
  <c r="B2226" i="7"/>
  <c r="C2223" i="7"/>
  <c r="A2221" i="7"/>
  <c r="B2218" i="7"/>
  <c r="C2215" i="7"/>
  <c r="A2213" i="7"/>
  <c r="B2210" i="7"/>
  <c r="C2207" i="7"/>
  <c r="A2205" i="7"/>
  <c r="B2202" i="7"/>
  <c r="C2199" i="7"/>
  <c r="A2197" i="7"/>
  <c r="B2194" i="7"/>
  <c r="C2191" i="7"/>
  <c r="A2189" i="7"/>
  <c r="B2186" i="7"/>
  <c r="C2183" i="7"/>
  <c r="A2181" i="7"/>
  <c r="B2178" i="7"/>
  <c r="C2175" i="7"/>
  <c r="A2173" i="7"/>
  <c r="B2170" i="7"/>
  <c r="C2167" i="7"/>
  <c r="A2165" i="7"/>
  <c r="B2162" i="7"/>
  <c r="C2159" i="7"/>
  <c r="A2157" i="7"/>
  <c r="B2154" i="7"/>
  <c r="C2151" i="7"/>
  <c r="A2149" i="7"/>
  <c r="B2146" i="7"/>
  <c r="C2143" i="7"/>
  <c r="A2141" i="7"/>
  <c r="B2138" i="7"/>
  <c r="C2135" i="7"/>
  <c r="A2133" i="7"/>
  <c r="B2130" i="7"/>
  <c r="C2127" i="7"/>
  <c r="A2125" i="7"/>
  <c r="B2122" i="7"/>
  <c r="C2119" i="7"/>
  <c r="A2117" i="7"/>
  <c r="B2114" i="7"/>
  <c r="C2111" i="7"/>
  <c r="A2109" i="7"/>
  <c r="B2106" i="7"/>
  <c r="C2103" i="7"/>
  <c r="A2101" i="7"/>
  <c r="B2098" i="7"/>
  <c r="C2095" i="7"/>
  <c r="A2093" i="7"/>
  <c r="B2090" i="7"/>
  <c r="C2087" i="7"/>
  <c r="A2085" i="7"/>
  <c r="B2082" i="7"/>
  <c r="C2079" i="7"/>
  <c r="A2077" i="7"/>
  <c r="B2074" i="7"/>
  <c r="C2071" i="7"/>
  <c r="A2069" i="7"/>
  <c r="B2066" i="7"/>
  <c r="C2063" i="7"/>
  <c r="A2061" i="7"/>
  <c r="B2058" i="7"/>
  <c r="C2055" i="7"/>
  <c r="A2053" i="7"/>
  <c r="B2050" i="7"/>
  <c r="C2047" i="7"/>
  <c r="A2045" i="7"/>
  <c r="B2042" i="7"/>
  <c r="C2039" i="7"/>
  <c r="A2037" i="7"/>
  <c r="B2034" i="7"/>
  <c r="C2031" i="7"/>
  <c r="A2029" i="7"/>
  <c r="B2026" i="7"/>
  <c r="C2023" i="7"/>
  <c r="A2021" i="7"/>
  <c r="B2018" i="7"/>
  <c r="C2015" i="7"/>
  <c r="A2013" i="7"/>
  <c r="B2010" i="7"/>
  <c r="C2007" i="7"/>
  <c r="A2005" i="7"/>
  <c r="B2002" i="7"/>
  <c r="C1999" i="7"/>
  <c r="C1995" i="7"/>
  <c r="B1990" i="7"/>
  <c r="A1985" i="7"/>
  <c r="B1980" i="7"/>
  <c r="C1977" i="7"/>
  <c r="A1975" i="7"/>
  <c r="B1972" i="7"/>
  <c r="C1969" i="7"/>
  <c r="A1967" i="7"/>
  <c r="B1964" i="7"/>
  <c r="C1961" i="7"/>
  <c r="A1959" i="7"/>
  <c r="B1956" i="7"/>
  <c r="C1953" i="7"/>
  <c r="A1951" i="7"/>
  <c r="B1948" i="7"/>
  <c r="C1945" i="7"/>
  <c r="A1943" i="7"/>
  <c r="B1940" i="7"/>
  <c r="A1938" i="7"/>
  <c r="C1936" i="7"/>
  <c r="B1935" i="7"/>
  <c r="A1934" i="7"/>
  <c r="C1932" i="7"/>
  <c r="B1931" i="7"/>
  <c r="A1930" i="7"/>
  <c r="C1928" i="7"/>
  <c r="B1927" i="7"/>
  <c r="A1926" i="7"/>
  <c r="C1924" i="7"/>
  <c r="B1923" i="7"/>
  <c r="A1922" i="7"/>
  <c r="C1920" i="7"/>
  <c r="B1919" i="7"/>
  <c r="A1918" i="7"/>
  <c r="C1916" i="7"/>
  <c r="B1915" i="7"/>
  <c r="A1914" i="7"/>
  <c r="C1912" i="7"/>
  <c r="B1911" i="7"/>
  <c r="A1910" i="7"/>
  <c r="C1908" i="7"/>
  <c r="B1907" i="7"/>
  <c r="A1906" i="7"/>
  <c r="C1904" i="7"/>
  <c r="B1903" i="7"/>
  <c r="A1902" i="7"/>
  <c r="C1900" i="7"/>
  <c r="B1899" i="7"/>
  <c r="A1898" i="7"/>
  <c r="C1896" i="7"/>
  <c r="B1895" i="7"/>
  <c r="A1894" i="7"/>
  <c r="C1892" i="7"/>
  <c r="B1891" i="7"/>
  <c r="A1890" i="7"/>
  <c r="C1888" i="7"/>
  <c r="B1887" i="7"/>
  <c r="A1886" i="7"/>
  <c r="C1884" i="7"/>
  <c r="B1883" i="7"/>
  <c r="A1882" i="7"/>
  <c r="C1880" i="7"/>
  <c r="B1879" i="7"/>
  <c r="A1878" i="7"/>
  <c r="C1876" i="7"/>
  <c r="B1875" i="7"/>
  <c r="A1874" i="7"/>
  <c r="C1872" i="7"/>
  <c r="B1871" i="7"/>
  <c r="A1870" i="7"/>
  <c r="C1868" i="7"/>
  <c r="B1867" i="7"/>
  <c r="A1866" i="7"/>
  <c r="C1864" i="7"/>
  <c r="B1863" i="7"/>
  <c r="A1862" i="7"/>
  <c r="C1860" i="7"/>
  <c r="B1859" i="7"/>
  <c r="A1858" i="7"/>
  <c r="C1856" i="7"/>
  <c r="B1855" i="7"/>
  <c r="A1854" i="7"/>
  <c r="C1852" i="7"/>
  <c r="B1851" i="7"/>
  <c r="A1850" i="7"/>
  <c r="C1848" i="7"/>
  <c r="B1847" i="7"/>
  <c r="A1846" i="7"/>
  <c r="C1844" i="7"/>
  <c r="B1843" i="7"/>
  <c r="A1842" i="7"/>
  <c r="C1840" i="7"/>
  <c r="B1839" i="7"/>
  <c r="A1838" i="7"/>
  <c r="C1836" i="7"/>
  <c r="B2103" i="7"/>
  <c r="C2100" i="7"/>
  <c r="A2098" i="7"/>
  <c r="B2095" i="7"/>
  <c r="C2092" i="7"/>
  <c r="A2090" i="7"/>
  <c r="B2087" i="7"/>
  <c r="C2084" i="7"/>
  <c r="A2082" i="7"/>
  <c r="B2079" i="7"/>
  <c r="C2076" i="7"/>
  <c r="A2074" i="7"/>
  <c r="B2071" i="7"/>
  <c r="C2068" i="7"/>
  <c r="A2066" i="7"/>
  <c r="B2063" i="7"/>
  <c r="C2060" i="7"/>
  <c r="A2058" i="7"/>
  <c r="B2055" i="7"/>
  <c r="C2052" i="7"/>
  <c r="A2050" i="7"/>
  <c r="B2047" i="7"/>
  <c r="C2044" i="7"/>
  <c r="A2042" i="7"/>
  <c r="B2039" i="7"/>
  <c r="C2036" i="7"/>
  <c r="A2034" i="7"/>
  <c r="B2031" i="7"/>
  <c r="C2028" i="7"/>
  <c r="A2026" i="7"/>
  <c r="B2023" i="7"/>
  <c r="C2020" i="7"/>
  <c r="A2018" i="7"/>
  <c r="B2015" i="7"/>
  <c r="C2012" i="7"/>
  <c r="A2010" i="7"/>
  <c r="B2007" i="7"/>
  <c r="C2004" i="7"/>
  <c r="A2002" i="7"/>
  <c r="B1999" i="7"/>
  <c r="C1996" i="7"/>
  <c r="A1994" i="7"/>
  <c r="B1991" i="7"/>
  <c r="C1988" i="7"/>
  <c r="A1986" i="7"/>
  <c r="B1983" i="7"/>
  <c r="B1981" i="7"/>
  <c r="A1980" i="7"/>
  <c r="C1978" i="7"/>
  <c r="B1977" i="7"/>
  <c r="A1976" i="7"/>
  <c r="C1974" i="7"/>
  <c r="B1973" i="7"/>
  <c r="A1972" i="7"/>
  <c r="C1970" i="7"/>
  <c r="B1969" i="7"/>
  <c r="A1968" i="7"/>
  <c r="C1966" i="7"/>
  <c r="B1965" i="7"/>
  <c r="A1964" i="7"/>
  <c r="C1962" i="7"/>
  <c r="B1961" i="7"/>
  <c r="A1960" i="7"/>
  <c r="C1958" i="7"/>
  <c r="B1957" i="7"/>
  <c r="A1956" i="7"/>
  <c r="C1954" i="7"/>
  <c r="B1953" i="7"/>
  <c r="A1952" i="7"/>
  <c r="C1950" i="7"/>
  <c r="B1949" i="7"/>
  <c r="A1948" i="7"/>
  <c r="C1946" i="7"/>
  <c r="B1945" i="7"/>
  <c r="A1944" i="7"/>
  <c r="C1942" i="7"/>
  <c r="B1941" i="7"/>
  <c r="A1940" i="7"/>
  <c r="C1938" i="7"/>
  <c r="B2711" i="7"/>
  <c r="C2700" i="7"/>
  <c r="A2690" i="7"/>
  <c r="B2679" i="7"/>
  <c r="C2668" i="7"/>
  <c r="A2658" i="7"/>
  <c r="B2647" i="7"/>
  <c r="A2637" i="7"/>
  <c r="C2631" i="7"/>
  <c r="B2626" i="7"/>
  <c r="A2621" i="7"/>
  <c r="C2615" i="7"/>
  <c r="B2610" i="7"/>
  <c r="A2605" i="7"/>
  <c r="C2599" i="7"/>
  <c r="B2594" i="7"/>
  <c r="A2589" i="7"/>
  <c r="C2583" i="7"/>
  <c r="B2578" i="7"/>
  <c r="A2573" i="7"/>
  <c r="C2567" i="7"/>
  <c r="B2562" i="7"/>
  <c r="A2557" i="7"/>
  <c r="C2551" i="7"/>
  <c r="B2546" i="7"/>
  <c r="A2541" i="7"/>
  <c r="C2535" i="7"/>
  <c r="B2530" i="7"/>
  <c r="A2525" i="7"/>
  <c r="C2519" i="7"/>
  <c r="B2514" i="7"/>
  <c r="B2509" i="7"/>
  <c r="C2506" i="7"/>
  <c r="A2504" i="7"/>
  <c r="B2501" i="7"/>
  <c r="C2498" i="7"/>
  <c r="A2496" i="7"/>
  <c r="B2493" i="7"/>
  <c r="C2490" i="7"/>
  <c r="A2488" i="7"/>
  <c r="B2485" i="7"/>
  <c r="C2482" i="7"/>
  <c r="A2480" i="7"/>
  <c r="B2477" i="7"/>
  <c r="C2474" i="7"/>
  <c r="A2472" i="7"/>
  <c r="B2469" i="7"/>
  <c r="C2466" i="7"/>
  <c r="A2464" i="7"/>
  <c r="B2461" i="7"/>
  <c r="C2458" i="7"/>
  <c r="A2456" i="7"/>
  <c r="B2453" i="7"/>
  <c r="C2450" i="7"/>
  <c r="A2448" i="7"/>
  <c r="B2445" i="7"/>
  <c r="C2442" i="7"/>
  <c r="A2440" i="7"/>
  <c r="B2437" i="7"/>
  <c r="C2434" i="7"/>
  <c r="A2432" i="7"/>
  <c r="B2429" i="7"/>
  <c r="C2426" i="7"/>
  <c r="A2424" i="7"/>
  <c r="C2418" i="7"/>
  <c r="B2413" i="7"/>
  <c r="A2408" i="7"/>
  <c r="C2402" i="7"/>
  <c r="B2397" i="7"/>
  <c r="A2392" i="7"/>
  <c r="C2386" i="7"/>
  <c r="B2381" i="7"/>
  <c r="A2376" i="7"/>
  <c r="C2370" i="7"/>
  <c r="B2365" i="7"/>
  <c r="A2360" i="7"/>
  <c r="C2354" i="7"/>
  <c r="B2349" i="7"/>
  <c r="A2344" i="7"/>
  <c r="C2338" i="7"/>
  <c r="B2333" i="7"/>
  <c r="A2328" i="7"/>
  <c r="C2322" i="7"/>
  <c r="B2317" i="7"/>
  <c r="A2312" i="7"/>
  <c r="C2306" i="7"/>
  <c r="B2301" i="7"/>
  <c r="A2296" i="7"/>
  <c r="C2290" i="7"/>
  <c r="B2285" i="7"/>
  <c r="A2280" i="7"/>
  <c r="C2274" i="7"/>
  <c r="B2269" i="7"/>
  <c r="A2264" i="7"/>
  <c r="C2258" i="7"/>
  <c r="C2253" i="7"/>
  <c r="A2251" i="7"/>
  <c r="B2248" i="7"/>
  <c r="C2245" i="7"/>
  <c r="A2243" i="7"/>
  <c r="B2240" i="7"/>
  <c r="C2237" i="7"/>
  <c r="A2235" i="7"/>
  <c r="B2232" i="7"/>
  <c r="C2229" i="7"/>
  <c r="A2227" i="7"/>
  <c r="B2224" i="7"/>
  <c r="C2221" i="7"/>
  <c r="A2219" i="7"/>
  <c r="B2216" i="7"/>
  <c r="C2213" i="7"/>
  <c r="A2211" i="7"/>
  <c r="B2208" i="7"/>
  <c r="C2205" i="7"/>
  <c r="A2203" i="7"/>
  <c r="B2200" i="7"/>
  <c r="C2197" i="7"/>
  <c r="A2195" i="7"/>
  <c r="B2192" i="7"/>
  <c r="C2189" i="7"/>
  <c r="A2187" i="7"/>
  <c r="B2184" i="7"/>
  <c r="C2181" i="7"/>
  <c r="A2179" i="7"/>
  <c r="B2176" i="7"/>
  <c r="C2173" i="7"/>
  <c r="A2171" i="7"/>
  <c r="B2168" i="7"/>
  <c r="C2165" i="7"/>
  <c r="A2163" i="7"/>
  <c r="B2160" i="7"/>
  <c r="C2157" i="7"/>
  <c r="A2155" i="7"/>
  <c r="B2152" i="7"/>
  <c r="C2149" i="7"/>
  <c r="A2147" i="7"/>
  <c r="B2144" i="7"/>
  <c r="C2141" i="7"/>
  <c r="A2139" i="7"/>
  <c r="B2136" i="7"/>
  <c r="C2133" i="7"/>
  <c r="A2131" i="7"/>
  <c r="B2128" i="7"/>
  <c r="C2125" i="7"/>
  <c r="A2123" i="7"/>
  <c r="B2120" i="7"/>
  <c r="C2117" i="7"/>
  <c r="A2115" i="7"/>
  <c r="B2112" i="7"/>
  <c r="C2109" i="7"/>
  <c r="A2107" i="7"/>
  <c r="B2104" i="7"/>
  <c r="C2101" i="7"/>
  <c r="A2099" i="7"/>
  <c r="B2096" i="7"/>
  <c r="C2093" i="7"/>
  <c r="A2091" i="7"/>
  <c r="B2088" i="7"/>
  <c r="C2085" i="7"/>
  <c r="A2083" i="7"/>
  <c r="B2080" i="7"/>
  <c r="C2077" i="7"/>
  <c r="A2075" i="7"/>
  <c r="B2072" i="7"/>
  <c r="C2069" i="7"/>
  <c r="A2067" i="7"/>
  <c r="B2064" i="7"/>
  <c r="C2061" i="7"/>
  <c r="A2059" i="7"/>
  <c r="B2056" i="7"/>
  <c r="C2053" i="7"/>
  <c r="A2051" i="7"/>
  <c r="B2048" i="7"/>
  <c r="C2045" i="7"/>
  <c r="A2043" i="7"/>
  <c r="B2040" i="7"/>
  <c r="C2037" i="7"/>
  <c r="A2035" i="7"/>
  <c r="B2032" i="7"/>
  <c r="C2029" i="7"/>
  <c r="A2027" i="7"/>
  <c r="B2024" i="7"/>
  <c r="C2021" i="7"/>
  <c r="A2019" i="7"/>
  <c r="B2016" i="7"/>
  <c r="C2013" i="7"/>
  <c r="A2011" i="7"/>
  <c r="B2008" i="7"/>
  <c r="C2005" i="7"/>
  <c r="A2003" i="7"/>
  <c r="B2000" i="7"/>
  <c r="C1997" i="7"/>
  <c r="A1995" i="7"/>
  <c r="B1992" i="7"/>
  <c r="C1989" i="7"/>
  <c r="A1987" i="7"/>
  <c r="B1984" i="7"/>
  <c r="C1981" i="7"/>
  <c r="A2420" i="7"/>
  <c r="C2414" i="7"/>
  <c r="B2409" i="7"/>
  <c r="A2404" i="7"/>
  <c r="C2398" i="7"/>
  <c r="B2393" i="7"/>
  <c r="A2388" i="7"/>
  <c r="C2382" i="7"/>
  <c r="B2377" i="7"/>
  <c r="A2372" i="7"/>
  <c r="C2366" i="7"/>
  <c r="B2361" i="7"/>
  <c r="A2356" i="7"/>
  <c r="C2350" i="7"/>
  <c r="B2345" i="7"/>
  <c r="A2340" i="7"/>
  <c r="C2334" i="7"/>
  <c r="B2329" i="7"/>
  <c r="A2324" i="7"/>
  <c r="C2318" i="7"/>
  <c r="B2313" i="7"/>
  <c r="A2308" i="7"/>
  <c r="C2302" i="7"/>
  <c r="B2297" i="7"/>
  <c r="A2292" i="7"/>
  <c r="C2286" i="7"/>
  <c r="B2281" i="7"/>
  <c r="A2276" i="7"/>
  <c r="C2270" i="7"/>
  <c r="B2265" i="7"/>
  <c r="A2260" i="7"/>
  <c r="C2254" i="7"/>
  <c r="C2251" i="7"/>
  <c r="A2249" i="7"/>
  <c r="B2246" i="7"/>
  <c r="C2243" i="7"/>
  <c r="A2241" i="7"/>
  <c r="B2238" i="7"/>
  <c r="C2235" i="7"/>
  <c r="A2233" i="7"/>
  <c r="B2230" i="7"/>
  <c r="C2227" i="7"/>
  <c r="A2225" i="7"/>
  <c r="B2222" i="7"/>
  <c r="C2219" i="7"/>
  <c r="A2217" i="7"/>
  <c r="B2214" i="7"/>
  <c r="C2211" i="7"/>
  <c r="A2209" i="7"/>
  <c r="B2206" i="7"/>
  <c r="C2203" i="7"/>
  <c r="A2201" i="7"/>
  <c r="B2198" i="7"/>
  <c r="C2195" i="7"/>
  <c r="A2193" i="7"/>
  <c r="B2190" i="7"/>
  <c r="C2187" i="7"/>
  <c r="A2185" i="7"/>
  <c r="B2182" i="7"/>
  <c r="C2179" i="7"/>
  <c r="A2177" i="7"/>
  <c r="B2174" i="7"/>
  <c r="C2171" i="7"/>
  <c r="A2169" i="7"/>
  <c r="B2166" i="7"/>
  <c r="C2163" i="7"/>
  <c r="A2161" i="7"/>
  <c r="B2158" i="7"/>
  <c r="C2155" i="7"/>
  <c r="A2153" i="7"/>
  <c r="B2150" i="7"/>
  <c r="C2147" i="7"/>
  <c r="A2145" i="7"/>
  <c r="B2142" i="7"/>
  <c r="C2139" i="7"/>
  <c r="A2137" i="7"/>
  <c r="B2134" i="7"/>
  <c r="C2131" i="7"/>
  <c r="A2129" i="7"/>
  <c r="B2126" i="7"/>
  <c r="C2123" i="7"/>
  <c r="A2121" i="7"/>
  <c r="B2118" i="7"/>
  <c r="C2115" i="7"/>
  <c r="A2113" i="7"/>
  <c r="B2110" i="7"/>
  <c r="C2107" i="7"/>
  <c r="A2105" i="7"/>
  <c r="B2102" i="7"/>
  <c r="C2099" i="7"/>
  <c r="A2097" i="7"/>
  <c r="B2094" i="7"/>
  <c r="C2091" i="7"/>
  <c r="A2089" i="7"/>
  <c r="B2086" i="7"/>
  <c r="C2083" i="7"/>
  <c r="A2081" i="7"/>
  <c r="B2078" i="7"/>
  <c r="C2075" i="7"/>
  <c r="A2073" i="7"/>
  <c r="B2070" i="7"/>
  <c r="C2067" i="7"/>
  <c r="A2065" i="7"/>
  <c r="B2062" i="7"/>
  <c r="C2059" i="7"/>
  <c r="A2057" i="7"/>
  <c r="B2054" i="7"/>
  <c r="C2051" i="7"/>
  <c r="A2049" i="7"/>
  <c r="B2046" i="7"/>
  <c r="C2043" i="7"/>
  <c r="A2041" i="7"/>
  <c r="B2038" i="7"/>
  <c r="C2035" i="7"/>
  <c r="A2033" i="7"/>
  <c r="B2030" i="7"/>
  <c r="C2027" i="7"/>
  <c r="A2025" i="7"/>
  <c r="B2022" i="7"/>
  <c r="C2019" i="7"/>
  <c r="A2017" i="7"/>
  <c r="B2014" i="7"/>
  <c r="C2011" i="7"/>
  <c r="A2009" i="7"/>
  <c r="B2006" i="7"/>
  <c r="C2003" i="7"/>
  <c r="A2001" i="7"/>
  <c r="B1998" i="7"/>
  <c r="A1993" i="7"/>
  <c r="C1987" i="7"/>
  <c r="B1982" i="7"/>
  <c r="A1979" i="7"/>
  <c r="B1976" i="7"/>
  <c r="C1973" i="7"/>
  <c r="A1971" i="7"/>
  <c r="B1968" i="7"/>
  <c r="C1965" i="7"/>
  <c r="A1963" i="7"/>
  <c r="B1960" i="7"/>
  <c r="C1957" i="7"/>
  <c r="A1955" i="7"/>
  <c r="B1952" i="7"/>
  <c r="C1949" i="7"/>
  <c r="A1947" i="7"/>
  <c r="B1944" i="7"/>
  <c r="C1941" i="7"/>
  <c r="A1939" i="7"/>
  <c r="B1937" i="7"/>
  <c r="A1936" i="7"/>
  <c r="C1934" i="7"/>
  <c r="B1933" i="7"/>
  <c r="A1932" i="7"/>
  <c r="C1930" i="7"/>
  <c r="B1929" i="7"/>
  <c r="A1928" i="7"/>
  <c r="C1926" i="7"/>
  <c r="B1925" i="7"/>
  <c r="A1924" i="7"/>
  <c r="C1922" i="7"/>
  <c r="B1921" i="7"/>
  <c r="A1920" i="7"/>
  <c r="C1918" i="7"/>
  <c r="B1917" i="7"/>
  <c r="A1916" i="7"/>
  <c r="C1914" i="7"/>
  <c r="B1913" i="7"/>
  <c r="A1912" i="7"/>
  <c r="C1910" i="7"/>
  <c r="B1909" i="7"/>
  <c r="A1908" i="7"/>
  <c r="C1906" i="7"/>
  <c r="B1905" i="7"/>
  <c r="A1904" i="7"/>
  <c r="C1902" i="7"/>
  <c r="B1901" i="7"/>
  <c r="A1900" i="7"/>
  <c r="C1898" i="7"/>
  <c r="B1897" i="7"/>
  <c r="A1896" i="7"/>
  <c r="C1894" i="7"/>
  <c r="B1893" i="7"/>
  <c r="A1892" i="7"/>
  <c r="C1890" i="7"/>
  <c r="B1889" i="7"/>
  <c r="A1888" i="7"/>
  <c r="C1886" i="7"/>
  <c r="B1885" i="7"/>
  <c r="A1884" i="7"/>
  <c r="C1882" i="7"/>
  <c r="B1881" i="7"/>
  <c r="A1880" i="7"/>
  <c r="C1878" i="7"/>
  <c r="B1877" i="7"/>
  <c r="A1876" i="7"/>
  <c r="C1874" i="7"/>
  <c r="B1873" i="7"/>
  <c r="A1872" i="7"/>
  <c r="C1870" i="7"/>
  <c r="B1869" i="7"/>
  <c r="A1868" i="7"/>
  <c r="C1866" i="7"/>
  <c r="B1865" i="7"/>
  <c r="A1864" i="7"/>
  <c r="C1862" i="7"/>
  <c r="B1861" i="7"/>
  <c r="A1860" i="7"/>
  <c r="C1858" i="7"/>
  <c r="B1857" i="7"/>
  <c r="A1856" i="7"/>
  <c r="C1854" i="7"/>
  <c r="B1853" i="7"/>
  <c r="A1852" i="7"/>
  <c r="C1850" i="7"/>
  <c r="B1849" i="7"/>
  <c r="A1848" i="7"/>
  <c r="C1846" i="7"/>
  <c r="B1845" i="7"/>
  <c r="A1844" i="7"/>
  <c r="C1842" i="7"/>
  <c r="B1841" i="7"/>
  <c r="A1840" i="7"/>
  <c r="C1838" i="7"/>
  <c r="B1837" i="7"/>
  <c r="A1836" i="7"/>
  <c r="C1834" i="7"/>
  <c r="B1833" i="7"/>
  <c r="A1832" i="7"/>
  <c r="C1830" i="7"/>
  <c r="B1829" i="7"/>
  <c r="A1828" i="7"/>
  <c r="C1826" i="7"/>
  <c r="B1825" i="7"/>
  <c r="A1824" i="7"/>
  <c r="C1822" i="7"/>
  <c r="B1835" i="7"/>
  <c r="C1832" i="7"/>
  <c r="A1830" i="7"/>
  <c r="B1827" i="7"/>
  <c r="C1824" i="7"/>
  <c r="A1822" i="7"/>
  <c r="C1820" i="7"/>
  <c r="B1819" i="7"/>
  <c r="A1818" i="7"/>
  <c r="C1816" i="7"/>
  <c r="B1815" i="7"/>
  <c r="A1814" i="7"/>
  <c r="C1812" i="7"/>
  <c r="B1811" i="7"/>
  <c r="A1810" i="7"/>
  <c r="C1808" i="7"/>
  <c r="B1807" i="7"/>
  <c r="A1806" i="7"/>
  <c r="C1804" i="7"/>
  <c r="B1803" i="7"/>
  <c r="A1802" i="7"/>
  <c r="C1800" i="7"/>
  <c r="B1799" i="7"/>
  <c r="A1798" i="7"/>
  <c r="C1796" i="7"/>
  <c r="B1795" i="7"/>
  <c r="A1794" i="7"/>
  <c r="C1792" i="7"/>
  <c r="B1791" i="7"/>
  <c r="A1790" i="7"/>
  <c r="C1788" i="7"/>
  <c r="B1787" i="7"/>
  <c r="A1786" i="7"/>
  <c r="C1784" i="7"/>
  <c r="B1783" i="7"/>
  <c r="A1782" i="7"/>
  <c r="C1780" i="7"/>
  <c r="B1779" i="7"/>
  <c r="A1778" i="7"/>
  <c r="C1776" i="7"/>
  <c r="B1775" i="7"/>
  <c r="A1774" i="7"/>
  <c r="C1772" i="7"/>
  <c r="B1771" i="7"/>
  <c r="A1770" i="7"/>
  <c r="C1768" i="7"/>
  <c r="B1767" i="7"/>
  <c r="A1766" i="7"/>
  <c r="C1764" i="7"/>
  <c r="B1763" i="7"/>
  <c r="A1762" i="7"/>
  <c r="C1760" i="7"/>
  <c r="B1759" i="7"/>
  <c r="A1758" i="7"/>
  <c r="C1756" i="7"/>
  <c r="B1755" i="7"/>
  <c r="A1754" i="7"/>
  <c r="C1752" i="7"/>
  <c r="B1751" i="7"/>
  <c r="A1750" i="7"/>
  <c r="C1748" i="7"/>
  <c r="B1747" i="7"/>
  <c r="A1746" i="7"/>
  <c r="C1744" i="7"/>
  <c r="B1743" i="7"/>
  <c r="A1742" i="7"/>
  <c r="C1740" i="7"/>
  <c r="B1739" i="7"/>
  <c r="A1738" i="7"/>
  <c r="C1736" i="7"/>
  <c r="B1735" i="7"/>
  <c r="A1734" i="7"/>
  <c r="C1732" i="7"/>
  <c r="B1731" i="7"/>
  <c r="A1730" i="7"/>
  <c r="C1728" i="7"/>
  <c r="B1727" i="7"/>
  <c r="A1726" i="7"/>
  <c r="C1724" i="7"/>
  <c r="B1723" i="7"/>
  <c r="A1722" i="7"/>
  <c r="C1720" i="7"/>
  <c r="B1719" i="7"/>
  <c r="A1718" i="7"/>
  <c r="C1716" i="7"/>
  <c r="B1715" i="7"/>
  <c r="A1714" i="7"/>
  <c r="C1712" i="7"/>
  <c r="B1711" i="7"/>
  <c r="A1710" i="7"/>
  <c r="C1708" i="7"/>
  <c r="B1707" i="7"/>
  <c r="A1706" i="7"/>
  <c r="C1704" i="7"/>
  <c r="B1703" i="7"/>
  <c r="A1702" i="7"/>
  <c r="C1700" i="7"/>
  <c r="B1699" i="7"/>
  <c r="A1698" i="7"/>
  <c r="C1696" i="7"/>
  <c r="B1695" i="7"/>
  <c r="A1694" i="7"/>
  <c r="C1692" i="7"/>
  <c r="B1691" i="7"/>
  <c r="A1690" i="7"/>
  <c r="C1688" i="7"/>
  <c r="B1687" i="7"/>
  <c r="A1686" i="7"/>
  <c r="C1684" i="7"/>
  <c r="B1683" i="7"/>
  <c r="A1682" i="7"/>
  <c r="C1680" i="7"/>
  <c r="B1679" i="7"/>
  <c r="A1678" i="7"/>
  <c r="C1676" i="7"/>
  <c r="B1675" i="7"/>
  <c r="A1674" i="7"/>
  <c r="C1672" i="7"/>
  <c r="B1671" i="7"/>
  <c r="A1670" i="7"/>
  <c r="C1668" i="7"/>
  <c r="B1667" i="7"/>
  <c r="A1666" i="7"/>
  <c r="C1664" i="7"/>
  <c r="B1663" i="7"/>
  <c r="A1662" i="7"/>
  <c r="C1660" i="7"/>
  <c r="B1659" i="7"/>
  <c r="A1658" i="7"/>
  <c r="C1656" i="7"/>
  <c r="B1655" i="7"/>
  <c r="A1654" i="7"/>
  <c r="C1652" i="7"/>
  <c r="B1651" i="7"/>
  <c r="A1650" i="7"/>
  <c r="C1648" i="7"/>
  <c r="B1647" i="7"/>
  <c r="A1646" i="7"/>
  <c r="C1644" i="7"/>
  <c r="B1643" i="7"/>
  <c r="A1642" i="7"/>
  <c r="C1640" i="7"/>
  <c r="B1639" i="7"/>
  <c r="A1638" i="7"/>
  <c r="C1636" i="7"/>
  <c r="B1635" i="7"/>
  <c r="A1634" i="7"/>
  <c r="C1632" i="7"/>
  <c r="B1631" i="7"/>
  <c r="A1630" i="7"/>
  <c r="C1628" i="7"/>
  <c r="B1627" i="7"/>
  <c r="A1626" i="7"/>
  <c r="C1624" i="7"/>
  <c r="B1994" i="7"/>
  <c r="A1989" i="7"/>
  <c r="C1983" i="7"/>
  <c r="C1979" i="7"/>
  <c r="A1977" i="7"/>
  <c r="B1974" i="7"/>
  <c r="C1971" i="7"/>
  <c r="A1969" i="7"/>
  <c r="B1966" i="7"/>
  <c r="C1963" i="7"/>
  <c r="A1961" i="7"/>
  <c r="B1958" i="7"/>
  <c r="C1955" i="7"/>
  <c r="A1953" i="7"/>
  <c r="B1950" i="7"/>
  <c r="C1947" i="7"/>
  <c r="A1945" i="7"/>
  <c r="B1942" i="7"/>
  <c r="C1939" i="7"/>
  <c r="C1937" i="7"/>
  <c r="B1936" i="7"/>
  <c r="A1935" i="7"/>
  <c r="C1933" i="7"/>
  <c r="B1932" i="7"/>
  <c r="A1931" i="7"/>
  <c r="C1929" i="7"/>
  <c r="B1928" i="7"/>
  <c r="A1927" i="7"/>
  <c r="C1925" i="7"/>
  <c r="B1924" i="7"/>
  <c r="A1923" i="7"/>
  <c r="C1921" i="7"/>
  <c r="B1920" i="7"/>
  <c r="A1919" i="7"/>
  <c r="C1917" i="7"/>
  <c r="B1916" i="7"/>
  <c r="A1915" i="7"/>
  <c r="C1913" i="7"/>
  <c r="B1912" i="7"/>
  <c r="A1911" i="7"/>
  <c r="C1909" i="7"/>
  <c r="B1908" i="7"/>
  <c r="A1907" i="7"/>
  <c r="C1905" i="7"/>
  <c r="B1904" i="7"/>
  <c r="A1903" i="7"/>
  <c r="C1901" i="7"/>
  <c r="B1900" i="7"/>
  <c r="A1899" i="7"/>
  <c r="C1897" i="7"/>
  <c r="B1896" i="7"/>
  <c r="A1895" i="7"/>
  <c r="C1893" i="7"/>
  <c r="B1892" i="7"/>
  <c r="A1891" i="7"/>
  <c r="C1889" i="7"/>
  <c r="B1888" i="7"/>
  <c r="A1887" i="7"/>
  <c r="C1885" i="7"/>
  <c r="B1884" i="7"/>
  <c r="A1883" i="7"/>
  <c r="C1881" i="7"/>
  <c r="B1880" i="7"/>
  <c r="A1879" i="7"/>
  <c r="C1877" i="7"/>
  <c r="B1876" i="7"/>
  <c r="A1875" i="7"/>
  <c r="C1873" i="7"/>
  <c r="B1872" i="7"/>
  <c r="A1871" i="7"/>
  <c r="C1869" i="7"/>
  <c r="B1868" i="7"/>
  <c r="A1867" i="7"/>
  <c r="C1865" i="7"/>
  <c r="B1864" i="7"/>
  <c r="A1863" i="7"/>
  <c r="C1861" i="7"/>
  <c r="B1860" i="7"/>
  <c r="A1859" i="7"/>
  <c r="C1857" i="7"/>
  <c r="B1856" i="7"/>
  <c r="A1855" i="7"/>
  <c r="C1853" i="7"/>
  <c r="B1852" i="7"/>
  <c r="A1851" i="7"/>
  <c r="C1849" i="7"/>
  <c r="B1848" i="7"/>
  <c r="A1847" i="7"/>
  <c r="C1845" i="7"/>
  <c r="B1844" i="7"/>
  <c r="A1843" i="7"/>
  <c r="C1841" i="7"/>
  <c r="B1840" i="7"/>
  <c r="A1839" i="7"/>
  <c r="C1837" i="7"/>
  <c r="B1836" i="7"/>
  <c r="A1835" i="7"/>
  <c r="C1833" i="7"/>
  <c r="B1832" i="7"/>
  <c r="A1831" i="7"/>
  <c r="C1829" i="7"/>
  <c r="B1828" i="7"/>
  <c r="A1827" i="7"/>
  <c r="C1825" i="7"/>
  <c r="B1824" i="7"/>
  <c r="A1823" i="7"/>
  <c r="C1821" i="7"/>
  <c r="B1820" i="7"/>
  <c r="A1819" i="7"/>
  <c r="C1817" i="7"/>
  <c r="B1816" i="7"/>
  <c r="A1815" i="7"/>
  <c r="C1813" i="7"/>
  <c r="B1812" i="7"/>
  <c r="A1811" i="7"/>
  <c r="C1809" i="7"/>
  <c r="B1808" i="7"/>
  <c r="A1807" i="7"/>
  <c r="C1805" i="7"/>
  <c r="B1804" i="7"/>
  <c r="A1803" i="7"/>
  <c r="C1801" i="7"/>
  <c r="B1800" i="7"/>
  <c r="A1799" i="7"/>
  <c r="C1797" i="7"/>
  <c r="B1796" i="7"/>
  <c r="A1795" i="7"/>
  <c r="C1793" i="7"/>
  <c r="B1792" i="7"/>
  <c r="A1791" i="7"/>
  <c r="C1789" i="7"/>
  <c r="B1788" i="7"/>
  <c r="A1787" i="7"/>
  <c r="C1785" i="7"/>
  <c r="B1784" i="7"/>
  <c r="A1783" i="7"/>
  <c r="C1781" i="7"/>
  <c r="B1780" i="7"/>
  <c r="A1779" i="7"/>
  <c r="C1777" i="7"/>
  <c r="B1776" i="7"/>
  <c r="A1775" i="7"/>
  <c r="C1773" i="7"/>
  <c r="B1772" i="7"/>
  <c r="A1771" i="7"/>
  <c r="C1769" i="7"/>
  <c r="B1768" i="7"/>
  <c r="A1767" i="7"/>
  <c r="C1765" i="7"/>
  <c r="B1764" i="7"/>
  <c r="A1763" i="7"/>
  <c r="C1761" i="7"/>
  <c r="B1760" i="7"/>
  <c r="A1759" i="7"/>
  <c r="C1757" i="7"/>
  <c r="B1756" i="7"/>
  <c r="A1755" i="7"/>
  <c r="C1753" i="7"/>
  <c r="B1752" i="7"/>
  <c r="A1751" i="7"/>
  <c r="C1749" i="7"/>
  <c r="B1748" i="7"/>
  <c r="A1747" i="7"/>
  <c r="C1745" i="7"/>
  <c r="B1744" i="7"/>
  <c r="A1743" i="7"/>
  <c r="C1741" i="7"/>
  <c r="B1740" i="7"/>
  <c r="A1739" i="7"/>
  <c r="C1737" i="7"/>
  <c r="B1736" i="7"/>
  <c r="A1735" i="7"/>
  <c r="C1733" i="7"/>
  <c r="B1732" i="7"/>
  <c r="A1731" i="7"/>
  <c r="C1729" i="7"/>
  <c r="B1728" i="7"/>
  <c r="A1727" i="7"/>
  <c r="C1725" i="7"/>
  <c r="B1724" i="7"/>
  <c r="A1723" i="7"/>
  <c r="C1721" i="7"/>
  <c r="B1720" i="7"/>
  <c r="A1719" i="7"/>
  <c r="C1717" i="7"/>
  <c r="B1716" i="7"/>
  <c r="A1715" i="7"/>
  <c r="C1713" i="7"/>
  <c r="B1712" i="7"/>
  <c r="A1711" i="7"/>
  <c r="C1709" i="7"/>
  <c r="B1708" i="7"/>
  <c r="A1707" i="7"/>
  <c r="C1705" i="7"/>
  <c r="B1704" i="7"/>
  <c r="A1703" i="7"/>
  <c r="C1701" i="7"/>
  <c r="B1700" i="7"/>
  <c r="A1699" i="7"/>
  <c r="C1697" i="7"/>
  <c r="B1696" i="7"/>
  <c r="A1695" i="7"/>
  <c r="C1693" i="7"/>
  <c r="B1692" i="7"/>
  <c r="A1691" i="7"/>
  <c r="C1689" i="7"/>
  <c r="B1688" i="7"/>
  <c r="A1687" i="7"/>
  <c r="C1685" i="7"/>
  <c r="B1684" i="7"/>
  <c r="A1683" i="7"/>
  <c r="C1681" i="7"/>
  <c r="B1680" i="7"/>
  <c r="A1679" i="7"/>
  <c r="C1677" i="7"/>
  <c r="B1676" i="7"/>
  <c r="A1675" i="7"/>
  <c r="C1673" i="7"/>
  <c r="B1672" i="7"/>
  <c r="A1671" i="7"/>
  <c r="C1669" i="7"/>
  <c r="B1668" i="7"/>
  <c r="A1667" i="7"/>
  <c r="C1665" i="7"/>
  <c r="B1664" i="7"/>
  <c r="A1663" i="7"/>
  <c r="C1661" i="7"/>
  <c r="B1660" i="7"/>
  <c r="A1659" i="7"/>
  <c r="C1657" i="7"/>
  <c r="B1656" i="7"/>
  <c r="A1655" i="7"/>
  <c r="C1653" i="7"/>
  <c r="B1652" i="7"/>
  <c r="A1651" i="7"/>
  <c r="C1649" i="7"/>
  <c r="B1648" i="7"/>
  <c r="A1647" i="7"/>
  <c r="C1645" i="7"/>
  <c r="B1644" i="7"/>
  <c r="A1643" i="7"/>
  <c r="C1641" i="7"/>
  <c r="B1640" i="7"/>
  <c r="A1639" i="7"/>
  <c r="C1637" i="7"/>
  <c r="B1636" i="7"/>
  <c r="A1635" i="7"/>
  <c r="C1633" i="7"/>
  <c r="B1632" i="7"/>
  <c r="A1631" i="7"/>
  <c r="C1629" i="7"/>
  <c r="B1628" i="7"/>
  <c r="A1627" i="7"/>
  <c r="C1625" i="7"/>
  <c r="B1624" i="7"/>
  <c r="A1624" i="7"/>
  <c r="B1622" i="7"/>
  <c r="A1621" i="7"/>
  <c r="C1619" i="7"/>
  <c r="B1618" i="7"/>
  <c r="A1617" i="7"/>
  <c r="C1615" i="7"/>
  <c r="B1614" i="7"/>
  <c r="A1613" i="7"/>
  <c r="C1611" i="7"/>
  <c r="B1610" i="7"/>
  <c r="A1609" i="7"/>
  <c r="C1607" i="7"/>
  <c r="B1606" i="7"/>
  <c r="A1605" i="7"/>
  <c r="C1603" i="7"/>
  <c r="B1602" i="7"/>
  <c r="A1601" i="7"/>
  <c r="C1599" i="7"/>
  <c r="A1834" i="7"/>
  <c r="B1831" i="7"/>
  <c r="C1828" i="7"/>
  <c r="A1826" i="7"/>
  <c r="B1823" i="7"/>
  <c r="B1821" i="7"/>
  <c r="A1820" i="7"/>
  <c r="C1818" i="7"/>
  <c r="B1817" i="7"/>
  <c r="A1816" i="7"/>
  <c r="C1814" i="7"/>
  <c r="B1813" i="7"/>
  <c r="A1812" i="7"/>
  <c r="C1810" i="7"/>
  <c r="B1809" i="7"/>
  <c r="A1808" i="7"/>
  <c r="C1806" i="7"/>
  <c r="B1805" i="7"/>
  <c r="A1804" i="7"/>
  <c r="C1802" i="7"/>
  <c r="B1801" i="7"/>
  <c r="A1800" i="7"/>
  <c r="C1798" i="7"/>
  <c r="B1797" i="7"/>
  <c r="A1796" i="7"/>
  <c r="C1794" i="7"/>
  <c r="B1793" i="7"/>
  <c r="A1792" i="7"/>
  <c r="C1790" i="7"/>
  <c r="B1789" i="7"/>
  <c r="A1788" i="7"/>
  <c r="C1786" i="7"/>
  <c r="B1785" i="7"/>
  <c r="A1784" i="7"/>
  <c r="C1782" i="7"/>
  <c r="B1781" i="7"/>
  <c r="A1780" i="7"/>
  <c r="C1778" i="7"/>
  <c r="B1777" i="7"/>
  <c r="A1776" i="7"/>
  <c r="C1774" i="7"/>
  <c r="B1773" i="7"/>
  <c r="A1772" i="7"/>
  <c r="C1770" i="7"/>
  <c r="B1769" i="7"/>
  <c r="A1768" i="7"/>
  <c r="C1766" i="7"/>
  <c r="B1765" i="7"/>
  <c r="A1764" i="7"/>
  <c r="C1762" i="7"/>
  <c r="B1761" i="7"/>
  <c r="A1760" i="7"/>
  <c r="C1758" i="7"/>
  <c r="B1757" i="7"/>
  <c r="A1756" i="7"/>
  <c r="C1754" i="7"/>
  <c r="B1753" i="7"/>
  <c r="A1752" i="7"/>
  <c r="C1750" i="7"/>
  <c r="B1749" i="7"/>
  <c r="A1748" i="7"/>
  <c r="C1746" i="7"/>
  <c r="B1745" i="7"/>
  <c r="A1744" i="7"/>
  <c r="C1742" i="7"/>
  <c r="B1741" i="7"/>
  <c r="A1740" i="7"/>
  <c r="C1738" i="7"/>
  <c r="B1737" i="7"/>
  <c r="A1736" i="7"/>
  <c r="C1734" i="7"/>
  <c r="B1733" i="7"/>
  <c r="A1732" i="7"/>
  <c r="C1730" i="7"/>
  <c r="B1729" i="7"/>
  <c r="A1728" i="7"/>
  <c r="C1726" i="7"/>
  <c r="B1725" i="7"/>
  <c r="A1724" i="7"/>
  <c r="C1722" i="7"/>
  <c r="B1721" i="7"/>
  <c r="A1720" i="7"/>
  <c r="C1718" i="7"/>
  <c r="B1717" i="7"/>
  <c r="A1716" i="7"/>
  <c r="C1714" i="7"/>
  <c r="B1713" i="7"/>
  <c r="A1712" i="7"/>
  <c r="C1710" i="7"/>
  <c r="B1709" i="7"/>
  <c r="A1708" i="7"/>
  <c r="C1706" i="7"/>
  <c r="B1705" i="7"/>
  <c r="A1704" i="7"/>
  <c r="C1702" i="7"/>
  <c r="B1701" i="7"/>
  <c r="A1700" i="7"/>
  <c r="C1698" i="7"/>
  <c r="B1697" i="7"/>
  <c r="A1696" i="7"/>
  <c r="C1694" i="7"/>
  <c r="B1693" i="7"/>
  <c r="A1692" i="7"/>
  <c r="C1690" i="7"/>
  <c r="B1689" i="7"/>
  <c r="A1688" i="7"/>
  <c r="C1686" i="7"/>
  <c r="B1685" i="7"/>
  <c r="A1684" i="7"/>
  <c r="C1682" i="7"/>
  <c r="B1681" i="7"/>
  <c r="A1680" i="7"/>
  <c r="C1678" i="7"/>
  <c r="B1677" i="7"/>
  <c r="A1676" i="7"/>
  <c r="C1674" i="7"/>
  <c r="B1673" i="7"/>
  <c r="A1672" i="7"/>
  <c r="C1670" i="7"/>
  <c r="B1669" i="7"/>
  <c r="A1668" i="7"/>
  <c r="C1666" i="7"/>
  <c r="B1665" i="7"/>
  <c r="A1664" i="7"/>
  <c r="C1662" i="7"/>
  <c r="B1661" i="7"/>
  <c r="A1660" i="7"/>
  <c r="C1658" i="7"/>
  <c r="B1657" i="7"/>
  <c r="A1656" i="7"/>
  <c r="C1654" i="7"/>
  <c r="B1653" i="7"/>
  <c r="A1652" i="7"/>
  <c r="C1650" i="7"/>
  <c r="B1649" i="7"/>
  <c r="A1648" i="7"/>
  <c r="C1646" i="7"/>
  <c r="B1645" i="7"/>
  <c r="A1644" i="7"/>
  <c r="C1642" i="7"/>
  <c r="B1641" i="7"/>
  <c r="A1640" i="7"/>
  <c r="C1638" i="7"/>
  <c r="B1637" i="7"/>
  <c r="A1636" i="7"/>
  <c r="C1634" i="7"/>
  <c r="B1633" i="7"/>
  <c r="A1632" i="7"/>
  <c r="C1630" i="7"/>
  <c r="B1629" i="7"/>
  <c r="A1628" i="7"/>
  <c r="C1626" i="7"/>
  <c r="B1625" i="7"/>
  <c r="A1997" i="7"/>
  <c r="C1991" i="7"/>
  <c r="B1986" i="7"/>
  <c r="A1981" i="7"/>
  <c r="B1978" i="7"/>
  <c r="C1975" i="7"/>
  <c r="A1973" i="7"/>
  <c r="B1970" i="7"/>
  <c r="C1967" i="7"/>
  <c r="A1965" i="7"/>
  <c r="B1962" i="7"/>
  <c r="C1959" i="7"/>
  <c r="A1957" i="7"/>
  <c r="B1954" i="7"/>
  <c r="C1951" i="7"/>
  <c r="A1949" i="7"/>
  <c r="B1946" i="7"/>
  <c r="C1943" i="7"/>
  <c r="A1941" i="7"/>
  <c r="B1938" i="7"/>
  <c r="A1937" i="7"/>
  <c r="C1935" i="7"/>
  <c r="B1934" i="7"/>
  <c r="A1933" i="7"/>
  <c r="C1931" i="7"/>
  <c r="B1930" i="7"/>
  <c r="A1929" i="7"/>
  <c r="C1927" i="7"/>
  <c r="B1926" i="7"/>
  <c r="A1925" i="7"/>
  <c r="C1923" i="7"/>
  <c r="B1922" i="7"/>
  <c r="A1921" i="7"/>
  <c r="C1919" i="7"/>
  <c r="B1918" i="7"/>
  <c r="A1917" i="7"/>
  <c r="C1915" i="7"/>
  <c r="B1914" i="7"/>
  <c r="A1913" i="7"/>
  <c r="C1911" i="7"/>
  <c r="B1910" i="7"/>
  <c r="A1909" i="7"/>
  <c r="C1907" i="7"/>
  <c r="B1906" i="7"/>
  <c r="A1905" i="7"/>
  <c r="C1903" i="7"/>
  <c r="B1902" i="7"/>
  <c r="A1901" i="7"/>
  <c r="C1899" i="7"/>
  <c r="B1898" i="7"/>
  <c r="A1897" i="7"/>
  <c r="C1895" i="7"/>
  <c r="B1894" i="7"/>
  <c r="A1893" i="7"/>
  <c r="C1891" i="7"/>
  <c r="B1890" i="7"/>
  <c r="A1889" i="7"/>
  <c r="C1887" i="7"/>
  <c r="B1886" i="7"/>
  <c r="A1885" i="7"/>
  <c r="C1883" i="7"/>
  <c r="B1882" i="7"/>
  <c r="A1881" i="7"/>
  <c r="C1879" i="7"/>
  <c r="B1878" i="7"/>
  <c r="A1877" i="7"/>
  <c r="C1875" i="7"/>
  <c r="B1874" i="7"/>
  <c r="A1873" i="7"/>
  <c r="C1871" i="7"/>
  <c r="B1870" i="7"/>
  <c r="A1869" i="7"/>
  <c r="C1867" i="7"/>
  <c r="B1866" i="7"/>
  <c r="A1865" i="7"/>
  <c r="C1863" i="7"/>
  <c r="B1862" i="7"/>
  <c r="A1861" i="7"/>
  <c r="C1859" i="7"/>
  <c r="B1858" i="7"/>
  <c r="A1857" i="7"/>
  <c r="C1855" i="7"/>
  <c r="B1854" i="7"/>
  <c r="A1853" i="7"/>
  <c r="C1851" i="7"/>
  <c r="B1850" i="7"/>
  <c r="A1849" i="7"/>
  <c r="C1847" i="7"/>
  <c r="B1846" i="7"/>
  <c r="A1845" i="7"/>
  <c r="C1843" i="7"/>
  <c r="B1842" i="7"/>
  <c r="A1841" i="7"/>
  <c r="C1839" i="7"/>
  <c r="B1838" i="7"/>
  <c r="A1837" i="7"/>
  <c r="C1835" i="7"/>
  <c r="B1834" i="7"/>
  <c r="A1833" i="7"/>
  <c r="C1831" i="7"/>
  <c r="B1830" i="7"/>
  <c r="A1829" i="7"/>
  <c r="C1827" i="7"/>
  <c r="B1826" i="7"/>
  <c r="A1825" i="7"/>
  <c r="C1823" i="7"/>
  <c r="B1822" i="7"/>
  <c r="A1821" i="7"/>
  <c r="C1819" i="7"/>
  <c r="B1818" i="7"/>
  <c r="A1817" i="7"/>
  <c r="C1815" i="7"/>
  <c r="B1814" i="7"/>
  <c r="A1813" i="7"/>
  <c r="C1811" i="7"/>
  <c r="B1810" i="7"/>
  <c r="A1809" i="7"/>
  <c r="C1807" i="7"/>
  <c r="B1806" i="7"/>
  <c r="A1805" i="7"/>
  <c r="C1803" i="7"/>
  <c r="B1802" i="7"/>
  <c r="A1801" i="7"/>
  <c r="C1799" i="7"/>
  <c r="B1798" i="7"/>
  <c r="A1797" i="7"/>
  <c r="C1795" i="7"/>
  <c r="B1794" i="7"/>
  <c r="A1793" i="7"/>
  <c r="C1791" i="7"/>
  <c r="B1790" i="7"/>
  <c r="A1789" i="7"/>
  <c r="C1787" i="7"/>
  <c r="B1786" i="7"/>
  <c r="A1785" i="7"/>
  <c r="C1783" i="7"/>
  <c r="B1782" i="7"/>
  <c r="A1781" i="7"/>
  <c r="C1779" i="7"/>
  <c r="B1778" i="7"/>
  <c r="A1777" i="7"/>
  <c r="C1775" i="7"/>
  <c r="B1774" i="7"/>
  <c r="A1773" i="7"/>
  <c r="C1771" i="7"/>
  <c r="B1770" i="7"/>
  <c r="A1769" i="7"/>
  <c r="C1767" i="7"/>
  <c r="B1766" i="7"/>
  <c r="A1765" i="7"/>
  <c r="C1763" i="7"/>
  <c r="B1762" i="7"/>
  <c r="A1761" i="7"/>
  <c r="C1759" i="7"/>
  <c r="B1758" i="7"/>
  <c r="A1757" i="7"/>
  <c r="C1755" i="7"/>
  <c r="B1754" i="7"/>
  <c r="A1753" i="7"/>
  <c r="C1751" i="7"/>
  <c r="B1750" i="7"/>
  <c r="A1749" i="7"/>
  <c r="C1747" i="7"/>
  <c r="B1746" i="7"/>
  <c r="A1745" i="7"/>
  <c r="C1743" i="7"/>
  <c r="B1742" i="7"/>
  <c r="A1741" i="7"/>
  <c r="C1739" i="7"/>
  <c r="B1738" i="7"/>
  <c r="A1737" i="7"/>
  <c r="C1735" i="7"/>
  <c r="B1734" i="7"/>
  <c r="A1733" i="7"/>
  <c r="C1731" i="7"/>
  <c r="B1730" i="7"/>
  <c r="A1729" i="7"/>
  <c r="C1727" i="7"/>
  <c r="B1726" i="7"/>
  <c r="A1725" i="7"/>
  <c r="C1723" i="7"/>
  <c r="B1722" i="7"/>
  <c r="A1721" i="7"/>
  <c r="C1719" i="7"/>
  <c r="B1718" i="7"/>
  <c r="A1717" i="7"/>
  <c r="C1715" i="7"/>
  <c r="B1714" i="7"/>
  <c r="A1713" i="7"/>
  <c r="C1711" i="7"/>
  <c r="B1710" i="7"/>
  <c r="A1709" i="7"/>
  <c r="C1707" i="7"/>
  <c r="B1706" i="7"/>
  <c r="A1705" i="7"/>
  <c r="C1703" i="7"/>
  <c r="B1702" i="7"/>
  <c r="A1701" i="7"/>
  <c r="C1699" i="7"/>
  <c r="B1698" i="7"/>
  <c r="A1697" i="7"/>
  <c r="C1695" i="7"/>
  <c r="B1694" i="7"/>
  <c r="A1693" i="7"/>
  <c r="C1691" i="7"/>
  <c r="B1690" i="7"/>
  <c r="A1689" i="7"/>
  <c r="C1687" i="7"/>
  <c r="B1686" i="7"/>
  <c r="A1685" i="7"/>
  <c r="C1683" i="7"/>
  <c r="B1682" i="7"/>
  <c r="A1681" i="7"/>
  <c r="C1679" i="7"/>
  <c r="B1678" i="7"/>
  <c r="A1677" i="7"/>
  <c r="C1675" i="7"/>
  <c r="B1674" i="7"/>
  <c r="A1673" i="7"/>
  <c r="C1671" i="7"/>
  <c r="B1670" i="7"/>
  <c r="A1669" i="7"/>
  <c r="C1667" i="7"/>
  <c r="B1666" i="7"/>
  <c r="A1665" i="7"/>
  <c r="C1663" i="7"/>
  <c r="B1662" i="7"/>
  <c r="A1661" i="7"/>
  <c r="C1659" i="7"/>
  <c r="B1658" i="7"/>
  <c r="A1657" i="7"/>
  <c r="C1655" i="7"/>
  <c r="B1654" i="7"/>
  <c r="A1653" i="7"/>
  <c r="C1651" i="7"/>
  <c r="B1650" i="7"/>
  <c r="A1649" i="7"/>
  <c r="C1647" i="7"/>
  <c r="B1646" i="7"/>
  <c r="A1645" i="7"/>
  <c r="C1643" i="7"/>
  <c r="B1642" i="7"/>
  <c r="A1641" i="7"/>
  <c r="C1639" i="7"/>
  <c r="B1638" i="7"/>
  <c r="A1637" i="7"/>
  <c r="C1635" i="7"/>
  <c r="B1634" i="7"/>
  <c r="A1633" i="7"/>
  <c r="C1631" i="7"/>
  <c r="B1630" i="7"/>
  <c r="A1629" i="7"/>
  <c r="C1627" i="7"/>
  <c r="B1626" i="7"/>
  <c r="A1625" i="7"/>
  <c r="C1623" i="7"/>
  <c r="A1623" i="7"/>
  <c r="C1621" i="7"/>
  <c r="B1620" i="7"/>
  <c r="A1619" i="7"/>
  <c r="C1617" i="7"/>
  <c r="B1616" i="7"/>
  <c r="A1615" i="7"/>
  <c r="C1613" i="7"/>
  <c r="B1612" i="7"/>
  <c r="A1611" i="7"/>
  <c r="C1609" i="7"/>
  <c r="B1608" i="7"/>
  <c r="A1607" i="7"/>
  <c r="C1605" i="7"/>
  <c r="B1604" i="7"/>
  <c r="A1603" i="7"/>
  <c r="C1601" i="7"/>
  <c r="B1600" i="7"/>
  <c r="A1599" i="7"/>
  <c r="C1597" i="7"/>
  <c r="B1596" i="7"/>
  <c r="A1595" i="7"/>
  <c r="C1593" i="7"/>
  <c r="B1592" i="7"/>
  <c r="A1591" i="7"/>
  <c r="C1589" i="7"/>
  <c r="B1588" i="7"/>
  <c r="A1587" i="7"/>
  <c r="C1585" i="7"/>
  <c r="B1584" i="7"/>
  <c r="A1583" i="7"/>
  <c r="C1581" i="7"/>
  <c r="B1580" i="7"/>
  <c r="A1579" i="7"/>
  <c r="C1577" i="7"/>
  <c r="B1576" i="7"/>
  <c r="A1575" i="7"/>
  <c r="C1573" i="7"/>
  <c r="B1572" i="7"/>
  <c r="A1571" i="7"/>
  <c r="C1569" i="7"/>
  <c r="B1568" i="7"/>
  <c r="A1567" i="7"/>
  <c r="C1565" i="7"/>
  <c r="B1564" i="7"/>
  <c r="A1563" i="7"/>
  <c r="C1561" i="7"/>
  <c r="B1560" i="7"/>
  <c r="A1559" i="7"/>
  <c r="C1557" i="7"/>
  <c r="B1556" i="7"/>
  <c r="A1555" i="7"/>
  <c r="C1553" i="7"/>
  <c r="B1552" i="7"/>
  <c r="A1551" i="7"/>
  <c r="C1549" i="7"/>
  <c r="B1548" i="7"/>
  <c r="A1547" i="7"/>
  <c r="C1545" i="7"/>
  <c r="B1544" i="7"/>
  <c r="A1543" i="7"/>
  <c r="C1541" i="7"/>
  <c r="B1540" i="7"/>
  <c r="A1539" i="7"/>
  <c r="C1537" i="7"/>
  <c r="B1536" i="7"/>
  <c r="A1535" i="7"/>
  <c r="C1533" i="7"/>
  <c r="B1532" i="7"/>
  <c r="A1531" i="7"/>
  <c r="C1529" i="7"/>
  <c r="B1528" i="7"/>
  <c r="A1527" i="7"/>
  <c r="C1525" i="7"/>
  <c r="B1524" i="7"/>
  <c r="A1523" i="7"/>
  <c r="C1521" i="7"/>
  <c r="B1520" i="7"/>
  <c r="A1519" i="7"/>
  <c r="C1517" i="7"/>
  <c r="B1516" i="7"/>
  <c r="A1515" i="7"/>
  <c r="C1513" i="7"/>
  <c r="B1512" i="7"/>
  <c r="A1511" i="7"/>
  <c r="C1509" i="7"/>
  <c r="B1508" i="7"/>
  <c r="A1507" i="7"/>
  <c r="C1505" i="7"/>
  <c r="B1504" i="7"/>
  <c r="A1503" i="7"/>
  <c r="C1501" i="7"/>
  <c r="B1500" i="7"/>
  <c r="A1499" i="7"/>
  <c r="C1497" i="7"/>
  <c r="B1496" i="7"/>
  <c r="A1495" i="7"/>
  <c r="C1493" i="7"/>
  <c r="B1492" i="7"/>
  <c r="A1491" i="7"/>
  <c r="C1489" i="7"/>
  <c r="B1488" i="7"/>
  <c r="A1487" i="7"/>
  <c r="C1485" i="7"/>
  <c r="B1484" i="7"/>
  <c r="A1483" i="7"/>
  <c r="C1481" i="7"/>
  <c r="B1480" i="7"/>
  <c r="A1479" i="7"/>
  <c r="C1477" i="7"/>
  <c r="B1476" i="7"/>
  <c r="A1475" i="7"/>
  <c r="C1473" i="7"/>
  <c r="B1472" i="7"/>
  <c r="A1471" i="7"/>
  <c r="C1469" i="7"/>
  <c r="B1468" i="7"/>
  <c r="A1467" i="7"/>
  <c r="C1465" i="7"/>
  <c r="B1464" i="7"/>
  <c r="A1463" i="7"/>
  <c r="C1461" i="7"/>
  <c r="B1460" i="7"/>
  <c r="A1459" i="7"/>
  <c r="C1457" i="7"/>
  <c r="B1456" i="7"/>
  <c r="A1455" i="7"/>
  <c r="C1453" i="7"/>
  <c r="B1452" i="7"/>
  <c r="A1451" i="7"/>
  <c r="C1449" i="7"/>
  <c r="B1448" i="7"/>
  <c r="A1447" i="7"/>
  <c r="C1445" i="7"/>
  <c r="B1444" i="7"/>
  <c r="A1443" i="7"/>
  <c r="C1441" i="7"/>
  <c r="B1440" i="7"/>
  <c r="A1439" i="7"/>
  <c r="C1437" i="7"/>
  <c r="B1436" i="7"/>
  <c r="A1435" i="7"/>
  <c r="C1433" i="7"/>
  <c r="B1432" i="7"/>
  <c r="A1431" i="7"/>
  <c r="C1429" i="7"/>
  <c r="B1428" i="7"/>
  <c r="A1427" i="7"/>
  <c r="C1425" i="7"/>
  <c r="B1424" i="7"/>
  <c r="A1423" i="7"/>
  <c r="C1421" i="7"/>
  <c r="B1420" i="7"/>
  <c r="A1419" i="7"/>
  <c r="C1417" i="7"/>
  <c r="B1416" i="7"/>
  <c r="A1415" i="7"/>
  <c r="C1413" i="7"/>
  <c r="B1412" i="7"/>
  <c r="A1411" i="7"/>
  <c r="C1409" i="7"/>
  <c r="B1408" i="7"/>
  <c r="A1407" i="7"/>
  <c r="C1405" i="7"/>
  <c r="B1404" i="7"/>
  <c r="A1403" i="7"/>
  <c r="C1401" i="7"/>
  <c r="B1400" i="7"/>
  <c r="A1399" i="7"/>
  <c r="C1397" i="7"/>
  <c r="B1396" i="7"/>
  <c r="A1395" i="7"/>
  <c r="C1393" i="7"/>
  <c r="B1392" i="7"/>
  <c r="A1391" i="7"/>
  <c r="C1389" i="7"/>
  <c r="B1388" i="7"/>
  <c r="A1387" i="7"/>
  <c r="C1385" i="7"/>
  <c r="B1384" i="7"/>
  <c r="A1383" i="7"/>
  <c r="C1381" i="7"/>
  <c r="B1380" i="7"/>
  <c r="A1379" i="7"/>
  <c r="C1377" i="7"/>
  <c r="B1376" i="7"/>
  <c r="A1375" i="7"/>
  <c r="C1373" i="7"/>
  <c r="B1372" i="7"/>
  <c r="A1371" i="7"/>
  <c r="C1369" i="7"/>
  <c r="B1368" i="7"/>
  <c r="A1367" i="7"/>
  <c r="C1365" i="7"/>
  <c r="B1364" i="7"/>
  <c r="A1363" i="7"/>
  <c r="C1361" i="7"/>
  <c r="B1360" i="7"/>
  <c r="A1359" i="7"/>
  <c r="C1357" i="7"/>
  <c r="B1356" i="7"/>
  <c r="A1355" i="7"/>
  <c r="C1353" i="7"/>
  <c r="B1352" i="7"/>
  <c r="A1351" i="7"/>
  <c r="C1349" i="7"/>
  <c r="B1348" i="7"/>
  <c r="A1347" i="7"/>
  <c r="C1345" i="7"/>
  <c r="B1344" i="7"/>
  <c r="A1343" i="7"/>
  <c r="C1341" i="7"/>
  <c r="B1340" i="7"/>
  <c r="A1339" i="7"/>
  <c r="C1337" i="7"/>
  <c r="B1336" i="7"/>
  <c r="A1335" i="7"/>
  <c r="C1333" i="7"/>
  <c r="B1332" i="7"/>
  <c r="A1331" i="7"/>
  <c r="C1329" i="7"/>
  <c r="B1328" i="7"/>
  <c r="A1327" i="7"/>
  <c r="C1325" i="7"/>
  <c r="B1324" i="7"/>
  <c r="A1323" i="7"/>
  <c r="C1321" i="7"/>
  <c r="B1320" i="7"/>
  <c r="A1319" i="7"/>
  <c r="C1317" i="7"/>
  <c r="B1316" i="7"/>
  <c r="A1315" i="7"/>
  <c r="C1313" i="7"/>
  <c r="B1312" i="7"/>
  <c r="A1311" i="7"/>
  <c r="C1309" i="7"/>
  <c r="B1308" i="7"/>
  <c r="A1307" i="7"/>
  <c r="C1305" i="7"/>
  <c r="B1304" i="7"/>
  <c r="A1303" i="7"/>
  <c r="C1301" i="7"/>
  <c r="B1300" i="7"/>
  <c r="A1299" i="7"/>
  <c r="C1297" i="7"/>
  <c r="B1296" i="7"/>
  <c r="A1295" i="7"/>
  <c r="C1293" i="7"/>
  <c r="B1292" i="7"/>
  <c r="A1291" i="7"/>
  <c r="C1289" i="7"/>
  <c r="B1288" i="7"/>
  <c r="A1287" i="7"/>
  <c r="C1285" i="7"/>
  <c r="B1284" i="7"/>
  <c r="A1283" i="7"/>
  <c r="C1281" i="7"/>
  <c r="B1280" i="7"/>
  <c r="A1279" i="7"/>
  <c r="C1277" i="7"/>
  <c r="B1276" i="7"/>
  <c r="A1275" i="7"/>
  <c r="C1273" i="7"/>
  <c r="B1272" i="7"/>
  <c r="A1271" i="7"/>
  <c r="C1269" i="7"/>
  <c r="B1268" i="7"/>
  <c r="A1267" i="7"/>
  <c r="C1265" i="7"/>
  <c r="B1264" i="7"/>
  <c r="A1263" i="7"/>
  <c r="C1261" i="7"/>
  <c r="B1260" i="7"/>
  <c r="A1259" i="7"/>
  <c r="C1257" i="7"/>
  <c r="B1256" i="7"/>
  <c r="A1255" i="7"/>
  <c r="C1253" i="7"/>
  <c r="B1252" i="7"/>
  <c r="A1251" i="7"/>
  <c r="C1249" i="7"/>
  <c r="B1248" i="7"/>
  <c r="A1247" i="7"/>
  <c r="C1245" i="7"/>
  <c r="B1244" i="7"/>
  <c r="A1243" i="7"/>
  <c r="C1241" i="7"/>
  <c r="B1240" i="7"/>
  <c r="A1239" i="7"/>
  <c r="C1237" i="7"/>
  <c r="B1236" i="7"/>
  <c r="A1235" i="7"/>
  <c r="C1233" i="7"/>
  <c r="B1232" i="7"/>
  <c r="A1231" i="7"/>
  <c r="C1229" i="7"/>
  <c r="B1228" i="7"/>
  <c r="A1227" i="7"/>
  <c r="C1225" i="7"/>
  <c r="B1224" i="7"/>
  <c r="A1223" i="7"/>
  <c r="C1221" i="7"/>
  <c r="B1220" i="7"/>
  <c r="A1219" i="7"/>
  <c r="C1217" i="7"/>
  <c r="B1216" i="7"/>
  <c r="A1215" i="7"/>
  <c r="C1213" i="7"/>
  <c r="B1212" i="7"/>
  <c r="A1211" i="7"/>
  <c r="C1209" i="7"/>
  <c r="B1208" i="7"/>
  <c r="A1207" i="7"/>
  <c r="C1205" i="7"/>
  <c r="B1204" i="7"/>
  <c r="A1203" i="7"/>
  <c r="C1201" i="7"/>
  <c r="B1200" i="7"/>
  <c r="A1199" i="7"/>
  <c r="C1197" i="7"/>
  <c r="B1196" i="7"/>
  <c r="A1195" i="7"/>
  <c r="C1193" i="7"/>
  <c r="B1192" i="7"/>
  <c r="A1191" i="7"/>
  <c r="C1189" i="7"/>
  <c r="B1188" i="7"/>
  <c r="A1187" i="7"/>
  <c r="C1185" i="7"/>
  <c r="B1184" i="7"/>
  <c r="A1183" i="7"/>
  <c r="C1181" i="7"/>
  <c r="B1180" i="7"/>
  <c r="A1179" i="7"/>
  <c r="C1177" i="7"/>
  <c r="B1176" i="7"/>
  <c r="A1175" i="7"/>
  <c r="C1173" i="7"/>
  <c r="B1172" i="7"/>
  <c r="A1171" i="7"/>
  <c r="C1169" i="7"/>
  <c r="B1168" i="7"/>
  <c r="A1167" i="7"/>
  <c r="C1165" i="7"/>
  <c r="B1164" i="7"/>
  <c r="A1163" i="7"/>
  <c r="C1161" i="7"/>
  <c r="B1160" i="7"/>
  <c r="A1159" i="7"/>
  <c r="C1157" i="7"/>
  <c r="B1156" i="7"/>
  <c r="A1155" i="7"/>
  <c r="C1153" i="7"/>
  <c r="B1152" i="7"/>
  <c r="A1151" i="7"/>
  <c r="C1149" i="7"/>
  <c r="B1148" i="7"/>
  <c r="A1147" i="7"/>
  <c r="C1145" i="7"/>
  <c r="B1144" i="7"/>
  <c r="A1143" i="7"/>
  <c r="C1141" i="7"/>
  <c r="B1140" i="7"/>
  <c r="A1139" i="7"/>
  <c r="C1137" i="7"/>
  <c r="B1136" i="7"/>
  <c r="A1135" i="7"/>
  <c r="C1133" i="7"/>
  <c r="B1132" i="7"/>
  <c r="A1131" i="7"/>
  <c r="C1129" i="7"/>
  <c r="B1128" i="7"/>
  <c r="A1127" i="7"/>
  <c r="C1125" i="7"/>
  <c r="B1124" i="7"/>
  <c r="A1123" i="7"/>
  <c r="C1121" i="7"/>
  <c r="B1120" i="7"/>
  <c r="A1119" i="7"/>
  <c r="C1117" i="7"/>
  <c r="B1116" i="7"/>
  <c r="A1115" i="7"/>
  <c r="C1113" i="7"/>
  <c r="B1112" i="7"/>
  <c r="A1111" i="7"/>
  <c r="C1109" i="7"/>
  <c r="B1108" i="7"/>
  <c r="A1107" i="7"/>
  <c r="C1105" i="7"/>
  <c r="B1104" i="7"/>
  <c r="A1103" i="7"/>
  <c r="C1101" i="7"/>
  <c r="B1100" i="7"/>
  <c r="A1099" i="7"/>
  <c r="C1097" i="7"/>
  <c r="B1096" i="7"/>
  <c r="A1095" i="7"/>
  <c r="C1093" i="7"/>
  <c r="B1092" i="7"/>
  <c r="A1091" i="7"/>
  <c r="C1089" i="7"/>
  <c r="B1088" i="7"/>
  <c r="A1087" i="7"/>
  <c r="C1085" i="7"/>
  <c r="B1084" i="7"/>
  <c r="A1083" i="7"/>
  <c r="C1081" i="7"/>
  <c r="B1080" i="7"/>
  <c r="A1079" i="7"/>
  <c r="C1077" i="7"/>
  <c r="B1076" i="7"/>
  <c r="A1075" i="7"/>
  <c r="C1073" i="7"/>
  <c r="B1072" i="7"/>
  <c r="A1071" i="7"/>
  <c r="C1069" i="7"/>
  <c r="B1068" i="7"/>
  <c r="A1067" i="7"/>
  <c r="C1065" i="7"/>
  <c r="B1064" i="7"/>
  <c r="A1063" i="7"/>
  <c r="C1061" i="7"/>
  <c r="B1060" i="7"/>
  <c r="A1059" i="7"/>
  <c r="C1057" i="7"/>
  <c r="B1056" i="7"/>
  <c r="A1055" i="7"/>
  <c r="C1053" i="7"/>
  <c r="B1052" i="7"/>
  <c r="A1051" i="7"/>
  <c r="C1049" i="7"/>
  <c r="B1048" i="7"/>
  <c r="A1047" i="7"/>
  <c r="C1045" i="7"/>
  <c r="B1044" i="7"/>
  <c r="A1043" i="7"/>
  <c r="C1041" i="7"/>
  <c r="B1040" i="7"/>
  <c r="A1039" i="7"/>
  <c r="C1037" i="7"/>
  <c r="B1036" i="7"/>
  <c r="A1035" i="7"/>
  <c r="C1033" i="7"/>
  <c r="B1032" i="7"/>
  <c r="A1031" i="7"/>
  <c r="C1029" i="7"/>
  <c r="B1028" i="7"/>
  <c r="A1027" i="7"/>
  <c r="C1025" i="7"/>
  <c r="B1024" i="7"/>
  <c r="A1023" i="7"/>
  <c r="C1021" i="7"/>
  <c r="B1020" i="7"/>
  <c r="A1019" i="7"/>
  <c r="C1017" i="7"/>
  <c r="B1016" i="7"/>
  <c r="A1015" i="7"/>
  <c r="C1013" i="7"/>
  <c r="B1012" i="7"/>
  <c r="A1011" i="7"/>
  <c r="C1009" i="7"/>
  <c r="B1008" i="7"/>
  <c r="A1007" i="7"/>
  <c r="C1005" i="7"/>
  <c r="B1004" i="7"/>
  <c r="A1003" i="7"/>
  <c r="C1001" i="7"/>
  <c r="B1000" i="7"/>
  <c r="A999" i="7"/>
  <c r="C997" i="7"/>
  <c r="B996" i="7"/>
  <c r="A995" i="7"/>
  <c r="C993" i="7"/>
  <c r="B992" i="7"/>
  <c r="A991" i="7"/>
  <c r="C989" i="7"/>
  <c r="B988" i="7"/>
  <c r="A987" i="7"/>
  <c r="C985" i="7"/>
  <c r="B984" i="7"/>
  <c r="A983" i="7"/>
  <c r="C981" i="7"/>
  <c r="B980" i="7"/>
  <c r="A979" i="7"/>
  <c r="C977" i="7"/>
  <c r="B976" i="7"/>
  <c r="A975" i="7"/>
  <c r="C973" i="7"/>
  <c r="B972" i="7"/>
  <c r="A971" i="7"/>
  <c r="C969" i="7"/>
  <c r="B968" i="7"/>
  <c r="A967" i="7"/>
  <c r="C965" i="7"/>
  <c r="B964" i="7"/>
  <c r="A963" i="7"/>
  <c r="C961" i="7"/>
  <c r="B960" i="7"/>
  <c r="A959" i="7"/>
  <c r="C957" i="7"/>
  <c r="B956" i="7"/>
  <c r="A955" i="7"/>
  <c r="C953" i="7"/>
  <c r="B952" i="7"/>
  <c r="A951" i="7"/>
  <c r="B1623" i="7"/>
  <c r="A1622" i="7"/>
  <c r="C1620" i="7"/>
  <c r="B1619" i="7"/>
  <c r="A1618" i="7"/>
  <c r="C1616" i="7"/>
  <c r="B1615" i="7"/>
  <c r="A1614" i="7"/>
  <c r="C1612" i="7"/>
  <c r="B1611" i="7"/>
  <c r="A1610" i="7"/>
  <c r="C1608" i="7"/>
  <c r="B1607" i="7"/>
  <c r="A1606" i="7"/>
  <c r="C1604" i="7"/>
  <c r="B1603" i="7"/>
  <c r="A1602" i="7"/>
  <c r="C1600" i="7"/>
  <c r="B1599" i="7"/>
  <c r="A1598" i="7"/>
  <c r="C1596" i="7"/>
  <c r="B1595" i="7"/>
  <c r="A1594" i="7"/>
  <c r="C1592" i="7"/>
  <c r="B1591" i="7"/>
  <c r="A1590" i="7"/>
  <c r="C1588" i="7"/>
  <c r="B1587" i="7"/>
  <c r="A1586" i="7"/>
  <c r="C1584" i="7"/>
  <c r="B1583" i="7"/>
  <c r="A1582" i="7"/>
  <c r="C1580" i="7"/>
  <c r="B1579" i="7"/>
  <c r="A1578" i="7"/>
  <c r="C1576" i="7"/>
  <c r="B1575" i="7"/>
  <c r="A1574" i="7"/>
  <c r="C1572" i="7"/>
  <c r="B1571" i="7"/>
  <c r="A1570" i="7"/>
  <c r="C1568" i="7"/>
  <c r="B1567" i="7"/>
  <c r="A1566" i="7"/>
  <c r="C1564" i="7"/>
  <c r="B1563" i="7"/>
  <c r="A1562" i="7"/>
  <c r="C1560" i="7"/>
  <c r="B1559" i="7"/>
  <c r="A1558" i="7"/>
  <c r="C1556" i="7"/>
  <c r="B1555" i="7"/>
  <c r="A1554" i="7"/>
  <c r="C1552" i="7"/>
  <c r="B1551" i="7"/>
  <c r="A1550" i="7"/>
  <c r="C1548" i="7"/>
  <c r="B1547" i="7"/>
  <c r="A1546" i="7"/>
  <c r="C1544" i="7"/>
  <c r="B1543" i="7"/>
  <c r="A1542" i="7"/>
  <c r="C1540" i="7"/>
  <c r="B1539" i="7"/>
  <c r="A1538" i="7"/>
  <c r="C1536" i="7"/>
  <c r="B1535" i="7"/>
  <c r="A1534" i="7"/>
  <c r="C1532" i="7"/>
  <c r="B1531" i="7"/>
  <c r="A1530" i="7"/>
  <c r="C1528" i="7"/>
  <c r="B1527" i="7"/>
  <c r="A1526" i="7"/>
  <c r="C1524" i="7"/>
  <c r="B1523" i="7"/>
  <c r="A1522" i="7"/>
  <c r="C1520" i="7"/>
  <c r="B1519" i="7"/>
  <c r="A1518" i="7"/>
  <c r="C1516" i="7"/>
  <c r="B1515" i="7"/>
  <c r="A1514" i="7"/>
  <c r="C1512" i="7"/>
  <c r="B1511" i="7"/>
  <c r="A1510" i="7"/>
  <c r="C1508" i="7"/>
  <c r="B1507" i="7"/>
  <c r="A1506" i="7"/>
  <c r="C1504" i="7"/>
  <c r="B1503" i="7"/>
  <c r="A1502" i="7"/>
  <c r="C1500" i="7"/>
  <c r="B1499" i="7"/>
  <c r="A1498" i="7"/>
  <c r="C1496" i="7"/>
  <c r="B1495" i="7"/>
  <c r="A1494" i="7"/>
  <c r="C1492" i="7"/>
  <c r="B1491" i="7"/>
  <c r="A1490" i="7"/>
  <c r="C1488" i="7"/>
  <c r="B1487" i="7"/>
  <c r="A1486" i="7"/>
  <c r="C1484" i="7"/>
  <c r="B1483" i="7"/>
  <c r="A1482" i="7"/>
  <c r="C1480" i="7"/>
  <c r="B1479" i="7"/>
  <c r="B1598" i="7"/>
  <c r="C1595" i="7"/>
  <c r="A1593" i="7"/>
  <c r="B1590" i="7"/>
  <c r="C1587" i="7"/>
  <c r="A1585" i="7"/>
  <c r="B1582" i="7"/>
  <c r="C1579" i="7"/>
  <c r="A1577" i="7"/>
  <c r="B1574" i="7"/>
  <c r="C1571" i="7"/>
  <c r="A1569" i="7"/>
  <c r="B1566" i="7"/>
  <c r="C1563" i="7"/>
  <c r="A1561" i="7"/>
  <c r="B1558" i="7"/>
  <c r="C1555" i="7"/>
  <c r="A1553" i="7"/>
  <c r="B1550" i="7"/>
  <c r="C1547" i="7"/>
  <c r="A1545" i="7"/>
  <c r="B1542" i="7"/>
  <c r="C1539" i="7"/>
  <c r="A1537" i="7"/>
  <c r="B1534" i="7"/>
  <c r="C1531" i="7"/>
  <c r="A1529" i="7"/>
  <c r="B1526" i="7"/>
  <c r="C1523" i="7"/>
  <c r="A1521" i="7"/>
  <c r="B1518" i="7"/>
  <c r="C1515" i="7"/>
  <c r="A1513" i="7"/>
  <c r="B1510" i="7"/>
  <c r="C1507" i="7"/>
  <c r="A1505" i="7"/>
  <c r="B1502" i="7"/>
  <c r="C1499" i="7"/>
  <c r="A1497" i="7"/>
  <c r="B1494" i="7"/>
  <c r="C1491" i="7"/>
  <c r="A1489" i="7"/>
  <c r="B1486" i="7"/>
  <c r="C1483" i="7"/>
  <c r="A1481" i="7"/>
  <c r="B1478" i="7"/>
  <c r="C1475" i="7"/>
  <c r="A1473" i="7"/>
  <c r="B1470" i="7"/>
  <c r="C1467" i="7"/>
  <c r="A1465" i="7"/>
  <c r="B1462" i="7"/>
  <c r="C1459" i="7"/>
  <c r="A1457" i="7"/>
  <c r="B1454" i="7"/>
  <c r="C1451" i="7"/>
  <c r="A1449" i="7"/>
  <c r="B1446" i="7"/>
  <c r="C1443" i="7"/>
  <c r="A1441" i="7"/>
  <c r="B1438" i="7"/>
  <c r="C1435" i="7"/>
  <c r="A1433" i="7"/>
  <c r="B1430" i="7"/>
  <c r="C1427" i="7"/>
  <c r="A1425" i="7"/>
  <c r="B1422" i="7"/>
  <c r="C1419" i="7"/>
  <c r="A1417" i="7"/>
  <c r="B1414" i="7"/>
  <c r="C1411" i="7"/>
  <c r="A1409" i="7"/>
  <c r="B1406" i="7"/>
  <c r="C1403" i="7"/>
  <c r="A1401" i="7"/>
  <c r="B1398" i="7"/>
  <c r="C1395" i="7"/>
  <c r="A1393" i="7"/>
  <c r="B1390" i="7"/>
  <c r="C1387" i="7"/>
  <c r="A1385" i="7"/>
  <c r="B1382" i="7"/>
  <c r="C1379" i="7"/>
  <c r="A1377" i="7"/>
  <c r="B1374" i="7"/>
  <c r="C1371" i="7"/>
  <c r="A1369" i="7"/>
  <c r="B1366" i="7"/>
  <c r="C1363" i="7"/>
  <c r="A1361" i="7"/>
  <c r="B1358" i="7"/>
  <c r="C1355" i="7"/>
  <c r="A1353" i="7"/>
  <c r="B1350" i="7"/>
  <c r="C1347" i="7"/>
  <c r="A1345" i="7"/>
  <c r="B1342" i="7"/>
  <c r="C1339" i="7"/>
  <c r="A1337" i="7"/>
  <c r="B1334" i="7"/>
  <c r="C1331" i="7"/>
  <c r="A1329" i="7"/>
  <c r="B1326" i="7"/>
  <c r="C1323" i="7"/>
  <c r="A1321" i="7"/>
  <c r="B1318" i="7"/>
  <c r="C1315" i="7"/>
  <c r="A1313" i="7"/>
  <c r="B1310" i="7"/>
  <c r="C1307" i="7"/>
  <c r="A1305" i="7"/>
  <c r="B1302" i="7"/>
  <c r="C1299" i="7"/>
  <c r="A1297" i="7"/>
  <c r="B1294" i="7"/>
  <c r="C1291" i="7"/>
  <c r="A1289" i="7"/>
  <c r="B1286" i="7"/>
  <c r="C1283" i="7"/>
  <c r="A1281" i="7"/>
  <c r="B1278" i="7"/>
  <c r="C1275" i="7"/>
  <c r="A1273" i="7"/>
  <c r="B1270" i="7"/>
  <c r="C1267" i="7"/>
  <c r="A1265" i="7"/>
  <c r="B1262" i="7"/>
  <c r="C1259" i="7"/>
  <c r="A1257" i="7"/>
  <c r="B1254" i="7"/>
  <c r="C1251" i="7"/>
  <c r="A1249" i="7"/>
  <c r="B1246" i="7"/>
  <c r="C1243" i="7"/>
  <c r="A1241" i="7"/>
  <c r="B1238" i="7"/>
  <c r="C1235" i="7"/>
  <c r="A1233" i="7"/>
  <c r="B1230" i="7"/>
  <c r="C1227" i="7"/>
  <c r="A1225" i="7"/>
  <c r="B1222" i="7"/>
  <c r="C1219" i="7"/>
  <c r="A1217" i="7"/>
  <c r="B1214" i="7"/>
  <c r="C1211" i="7"/>
  <c r="A1209" i="7"/>
  <c r="B1206" i="7"/>
  <c r="C1203" i="7"/>
  <c r="A1201" i="7"/>
  <c r="B1198" i="7"/>
  <c r="C1195" i="7"/>
  <c r="A1193" i="7"/>
  <c r="B1190" i="7"/>
  <c r="C1187" i="7"/>
  <c r="A1185" i="7"/>
  <c r="B1182" i="7"/>
  <c r="C1179" i="7"/>
  <c r="A1177" i="7"/>
  <c r="B1174" i="7"/>
  <c r="C1171" i="7"/>
  <c r="A1169" i="7"/>
  <c r="B1166" i="7"/>
  <c r="C1163" i="7"/>
  <c r="A1161" i="7"/>
  <c r="B1158" i="7"/>
  <c r="C1155" i="7"/>
  <c r="A1153" i="7"/>
  <c r="B1150" i="7"/>
  <c r="C1147" i="7"/>
  <c r="A1145" i="7"/>
  <c r="B1142" i="7"/>
  <c r="C1139" i="7"/>
  <c r="A1137" i="7"/>
  <c r="B1134" i="7"/>
  <c r="C1131" i="7"/>
  <c r="A1129" i="7"/>
  <c r="B1126" i="7"/>
  <c r="C1123" i="7"/>
  <c r="A1121" i="7"/>
  <c r="B1118" i="7"/>
  <c r="C1115" i="7"/>
  <c r="A1113" i="7"/>
  <c r="B1110" i="7"/>
  <c r="C1107" i="7"/>
  <c r="A1105" i="7"/>
  <c r="B1102" i="7"/>
  <c r="C1099" i="7"/>
  <c r="A1097" i="7"/>
  <c r="B1094" i="7"/>
  <c r="C1091" i="7"/>
  <c r="A1089" i="7"/>
  <c r="B1086" i="7"/>
  <c r="C1083" i="7"/>
  <c r="A1081" i="7"/>
  <c r="B1078" i="7"/>
  <c r="C1075" i="7"/>
  <c r="A1073" i="7"/>
  <c r="B1070" i="7"/>
  <c r="C1067" i="7"/>
  <c r="A1065" i="7"/>
  <c r="B1062" i="7"/>
  <c r="C1059" i="7"/>
  <c r="A1057" i="7"/>
  <c r="B1054" i="7"/>
  <c r="C1051" i="7"/>
  <c r="A1049" i="7"/>
  <c r="B1046" i="7"/>
  <c r="C1043" i="7"/>
  <c r="A1041" i="7"/>
  <c r="B1038" i="7"/>
  <c r="C1035" i="7"/>
  <c r="A1033" i="7"/>
  <c r="B1030" i="7"/>
  <c r="C1027" i="7"/>
  <c r="A1025" i="7"/>
  <c r="B1022" i="7"/>
  <c r="C1019" i="7"/>
  <c r="A1017" i="7"/>
  <c r="B1014" i="7"/>
  <c r="C1011" i="7"/>
  <c r="A1009" i="7"/>
  <c r="B1006" i="7"/>
  <c r="C1003" i="7"/>
  <c r="A1001" i="7"/>
  <c r="B998" i="7"/>
  <c r="C995" i="7"/>
  <c r="A993" i="7"/>
  <c r="B990" i="7"/>
  <c r="C987" i="7"/>
  <c r="A985" i="7"/>
  <c r="B982" i="7"/>
  <c r="C979" i="7"/>
  <c r="A977" i="7"/>
  <c r="B974" i="7"/>
  <c r="C971" i="7"/>
  <c r="A969" i="7"/>
  <c r="B966" i="7"/>
  <c r="C963" i="7"/>
  <c r="A961" i="7"/>
  <c r="B958" i="7"/>
  <c r="C955" i="7"/>
  <c r="A953" i="7"/>
  <c r="B950" i="7"/>
  <c r="B1621" i="7"/>
  <c r="C1618" i="7"/>
  <c r="A1616" i="7"/>
  <c r="B1613" i="7"/>
  <c r="C1610" i="7"/>
  <c r="A1608" i="7"/>
  <c r="B1605" i="7"/>
  <c r="C1602" i="7"/>
  <c r="A1600" i="7"/>
  <c r="B1597" i="7"/>
  <c r="C1594" i="7"/>
  <c r="A1592" i="7"/>
  <c r="B1589" i="7"/>
  <c r="C1586" i="7"/>
  <c r="A1584" i="7"/>
  <c r="B1581" i="7"/>
  <c r="C1578" i="7"/>
  <c r="A1576" i="7"/>
  <c r="B1573" i="7"/>
  <c r="C1570" i="7"/>
  <c r="A1568" i="7"/>
  <c r="B1565" i="7"/>
  <c r="C1562" i="7"/>
  <c r="A1560" i="7"/>
  <c r="B1557" i="7"/>
  <c r="C1554" i="7"/>
  <c r="A1552" i="7"/>
  <c r="B1549" i="7"/>
  <c r="C1546" i="7"/>
  <c r="A1544" i="7"/>
  <c r="B1541" i="7"/>
  <c r="C1538" i="7"/>
  <c r="A1536" i="7"/>
  <c r="B1533" i="7"/>
  <c r="C1530" i="7"/>
  <c r="A1528" i="7"/>
  <c r="B1525" i="7"/>
  <c r="C1522" i="7"/>
  <c r="A1520" i="7"/>
  <c r="B1517" i="7"/>
  <c r="C1514" i="7"/>
  <c r="A1512" i="7"/>
  <c r="B1509" i="7"/>
  <c r="C1506" i="7"/>
  <c r="A1504" i="7"/>
  <c r="B1501" i="7"/>
  <c r="C1498" i="7"/>
  <c r="A1496" i="7"/>
  <c r="B1493" i="7"/>
  <c r="C1490" i="7"/>
  <c r="A1488" i="7"/>
  <c r="B1485" i="7"/>
  <c r="C1482" i="7"/>
  <c r="A1480" i="7"/>
  <c r="A1478" i="7"/>
  <c r="C1476" i="7"/>
  <c r="B1475" i="7"/>
  <c r="A1474" i="7"/>
  <c r="C1472" i="7"/>
  <c r="B1471" i="7"/>
  <c r="A1470" i="7"/>
  <c r="C1468" i="7"/>
  <c r="B1467" i="7"/>
  <c r="A1466" i="7"/>
  <c r="C1464" i="7"/>
  <c r="B1463" i="7"/>
  <c r="A1462" i="7"/>
  <c r="C1460" i="7"/>
  <c r="B1459" i="7"/>
  <c r="A1458" i="7"/>
  <c r="C1456" i="7"/>
  <c r="B1455" i="7"/>
  <c r="A1454" i="7"/>
  <c r="C1452" i="7"/>
  <c r="B1451" i="7"/>
  <c r="A1450" i="7"/>
  <c r="C1448" i="7"/>
  <c r="B1447" i="7"/>
  <c r="A1446" i="7"/>
  <c r="C1444" i="7"/>
  <c r="B1443" i="7"/>
  <c r="A1442" i="7"/>
  <c r="C1440" i="7"/>
  <c r="B1439" i="7"/>
  <c r="A1438" i="7"/>
  <c r="C1436" i="7"/>
  <c r="B1435" i="7"/>
  <c r="A1434" i="7"/>
  <c r="C1432" i="7"/>
  <c r="B1431" i="7"/>
  <c r="A1430" i="7"/>
  <c r="C1428" i="7"/>
  <c r="B1427" i="7"/>
  <c r="A1426" i="7"/>
  <c r="C1424" i="7"/>
  <c r="B1423" i="7"/>
  <c r="A1422" i="7"/>
  <c r="C1420" i="7"/>
  <c r="B1419" i="7"/>
  <c r="A1418" i="7"/>
  <c r="C1416" i="7"/>
  <c r="B1415" i="7"/>
  <c r="A1414" i="7"/>
  <c r="C1412" i="7"/>
  <c r="B1411" i="7"/>
  <c r="A1410" i="7"/>
  <c r="C1408" i="7"/>
  <c r="B1407" i="7"/>
  <c r="A1406" i="7"/>
  <c r="C1404" i="7"/>
  <c r="B1403" i="7"/>
  <c r="A1402" i="7"/>
  <c r="C1400" i="7"/>
  <c r="B1399" i="7"/>
  <c r="A1398" i="7"/>
  <c r="C1396" i="7"/>
  <c r="B1395" i="7"/>
  <c r="A1394" i="7"/>
  <c r="C1392" i="7"/>
  <c r="B1391" i="7"/>
  <c r="A1390" i="7"/>
  <c r="C1388" i="7"/>
  <c r="B1387" i="7"/>
  <c r="A1386" i="7"/>
  <c r="C1384" i="7"/>
  <c r="B1383" i="7"/>
  <c r="A1382" i="7"/>
  <c r="C1380" i="7"/>
  <c r="B1379" i="7"/>
  <c r="A1378" i="7"/>
  <c r="C1376" i="7"/>
  <c r="B1375" i="7"/>
  <c r="A1374" i="7"/>
  <c r="C1372" i="7"/>
  <c r="B1371" i="7"/>
  <c r="A1370" i="7"/>
  <c r="C1368" i="7"/>
  <c r="B1367" i="7"/>
  <c r="A1366" i="7"/>
  <c r="C1364" i="7"/>
  <c r="B1363" i="7"/>
  <c r="A1362" i="7"/>
  <c r="C1360" i="7"/>
  <c r="B1359" i="7"/>
  <c r="A1358" i="7"/>
  <c r="C1356" i="7"/>
  <c r="B1355" i="7"/>
  <c r="A1354" i="7"/>
  <c r="C1352" i="7"/>
  <c r="B1351" i="7"/>
  <c r="A1350" i="7"/>
  <c r="C1348" i="7"/>
  <c r="B1347" i="7"/>
  <c r="A1346" i="7"/>
  <c r="C1344" i="7"/>
  <c r="B1343" i="7"/>
  <c r="A1342" i="7"/>
  <c r="C1340" i="7"/>
  <c r="B1339" i="7"/>
  <c r="A1338" i="7"/>
  <c r="C1336" i="7"/>
  <c r="B1335" i="7"/>
  <c r="A1334" i="7"/>
  <c r="C1332" i="7"/>
  <c r="B1331" i="7"/>
  <c r="A1330" i="7"/>
  <c r="C1328" i="7"/>
  <c r="B1327" i="7"/>
  <c r="A1326" i="7"/>
  <c r="C1324" i="7"/>
  <c r="B1323" i="7"/>
  <c r="A1322" i="7"/>
  <c r="C1320" i="7"/>
  <c r="B1319" i="7"/>
  <c r="A1318" i="7"/>
  <c r="C1316" i="7"/>
  <c r="B1315" i="7"/>
  <c r="A1314" i="7"/>
  <c r="C1312" i="7"/>
  <c r="B1311" i="7"/>
  <c r="A1310" i="7"/>
  <c r="C1308" i="7"/>
  <c r="B1307" i="7"/>
  <c r="A1306" i="7"/>
  <c r="C1304" i="7"/>
  <c r="B1303" i="7"/>
  <c r="A1302" i="7"/>
  <c r="C1300" i="7"/>
  <c r="B1299" i="7"/>
  <c r="A1298" i="7"/>
  <c r="C1296" i="7"/>
  <c r="B1295" i="7"/>
  <c r="A1294" i="7"/>
  <c r="C1292" i="7"/>
  <c r="B1291" i="7"/>
  <c r="A1290" i="7"/>
  <c r="C1288" i="7"/>
  <c r="B1287" i="7"/>
  <c r="A1286" i="7"/>
  <c r="C1284" i="7"/>
  <c r="B1283" i="7"/>
  <c r="A1282" i="7"/>
  <c r="C1280" i="7"/>
  <c r="B1279" i="7"/>
  <c r="A1278" i="7"/>
  <c r="C1276" i="7"/>
  <c r="B1275" i="7"/>
  <c r="A1274" i="7"/>
  <c r="C1272" i="7"/>
  <c r="B1271" i="7"/>
  <c r="A1270" i="7"/>
  <c r="C1268" i="7"/>
  <c r="B1267" i="7"/>
  <c r="A1266" i="7"/>
  <c r="C1264" i="7"/>
  <c r="B1263" i="7"/>
  <c r="A1262" i="7"/>
  <c r="C1260" i="7"/>
  <c r="B1259" i="7"/>
  <c r="A1258" i="7"/>
  <c r="C1256" i="7"/>
  <c r="B1255" i="7"/>
  <c r="A1254" i="7"/>
  <c r="C1252" i="7"/>
  <c r="B1251" i="7"/>
  <c r="A1250" i="7"/>
  <c r="C1248" i="7"/>
  <c r="B1247" i="7"/>
  <c r="A1246" i="7"/>
  <c r="C1244" i="7"/>
  <c r="B1243" i="7"/>
  <c r="A1242" i="7"/>
  <c r="C1240" i="7"/>
  <c r="B1239" i="7"/>
  <c r="A1238" i="7"/>
  <c r="C1236" i="7"/>
  <c r="B1235" i="7"/>
  <c r="A1234" i="7"/>
  <c r="C1232" i="7"/>
  <c r="B1231" i="7"/>
  <c r="A1230" i="7"/>
  <c r="C1228" i="7"/>
  <c r="B1227" i="7"/>
  <c r="A1226" i="7"/>
  <c r="C1224" i="7"/>
  <c r="B1223" i="7"/>
  <c r="A1222" i="7"/>
  <c r="C1220" i="7"/>
  <c r="B1219" i="7"/>
  <c r="A1218" i="7"/>
  <c r="C1216" i="7"/>
  <c r="B1215" i="7"/>
  <c r="A1214" i="7"/>
  <c r="C1212" i="7"/>
  <c r="B1211" i="7"/>
  <c r="A1210" i="7"/>
  <c r="C1208" i="7"/>
  <c r="B1207" i="7"/>
  <c r="A1206" i="7"/>
  <c r="C1204" i="7"/>
  <c r="B1203" i="7"/>
  <c r="A1202" i="7"/>
  <c r="C1200" i="7"/>
  <c r="B1199" i="7"/>
  <c r="A1198" i="7"/>
  <c r="C1196" i="7"/>
  <c r="B1195" i="7"/>
  <c r="A1597" i="7"/>
  <c r="B1594" i="7"/>
  <c r="C1591" i="7"/>
  <c r="A1589" i="7"/>
  <c r="B1586" i="7"/>
  <c r="C1583" i="7"/>
  <c r="A1581" i="7"/>
  <c r="B1578" i="7"/>
  <c r="C1575" i="7"/>
  <c r="A1573" i="7"/>
  <c r="B1570" i="7"/>
  <c r="C1567" i="7"/>
  <c r="A1565" i="7"/>
  <c r="B1562" i="7"/>
  <c r="C1559" i="7"/>
  <c r="A1557" i="7"/>
  <c r="B1554" i="7"/>
  <c r="C1551" i="7"/>
  <c r="A1549" i="7"/>
  <c r="B1546" i="7"/>
  <c r="C1543" i="7"/>
  <c r="A1541" i="7"/>
  <c r="B1538" i="7"/>
  <c r="C1535" i="7"/>
  <c r="A1533" i="7"/>
  <c r="B1530" i="7"/>
  <c r="C1527" i="7"/>
  <c r="A1525" i="7"/>
  <c r="B1522" i="7"/>
  <c r="C1519" i="7"/>
  <c r="A1517" i="7"/>
  <c r="B1514" i="7"/>
  <c r="C1511" i="7"/>
  <c r="A1509" i="7"/>
  <c r="B1506" i="7"/>
  <c r="C1503" i="7"/>
  <c r="A1501" i="7"/>
  <c r="B1498" i="7"/>
  <c r="C1495" i="7"/>
  <c r="A1493" i="7"/>
  <c r="B1490" i="7"/>
  <c r="C1487" i="7"/>
  <c r="A1485" i="7"/>
  <c r="B1482" i="7"/>
  <c r="C1479" i="7"/>
  <c r="A1477" i="7"/>
  <c r="B1474" i="7"/>
  <c r="C1471" i="7"/>
  <c r="A1469" i="7"/>
  <c r="B1466" i="7"/>
  <c r="C1463" i="7"/>
  <c r="A1461" i="7"/>
  <c r="B1458" i="7"/>
  <c r="C1455" i="7"/>
  <c r="A1453" i="7"/>
  <c r="B1450" i="7"/>
  <c r="C1447" i="7"/>
  <c r="A1445" i="7"/>
  <c r="B1442" i="7"/>
  <c r="C1439" i="7"/>
  <c r="A1437" i="7"/>
  <c r="B1434" i="7"/>
  <c r="C1431" i="7"/>
  <c r="A1429" i="7"/>
  <c r="B1426" i="7"/>
  <c r="C1423" i="7"/>
  <c r="A1421" i="7"/>
  <c r="B1418" i="7"/>
  <c r="C1415" i="7"/>
  <c r="A1413" i="7"/>
  <c r="B1410" i="7"/>
  <c r="C1407" i="7"/>
  <c r="A1405" i="7"/>
  <c r="B1402" i="7"/>
  <c r="C1399" i="7"/>
  <c r="A1397" i="7"/>
  <c r="B1394" i="7"/>
  <c r="C1391" i="7"/>
  <c r="A1389" i="7"/>
  <c r="B1386" i="7"/>
  <c r="C1383" i="7"/>
  <c r="A1381" i="7"/>
  <c r="B1378" i="7"/>
  <c r="C1375" i="7"/>
  <c r="A1373" i="7"/>
  <c r="B1370" i="7"/>
  <c r="C1367" i="7"/>
  <c r="A1365" i="7"/>
  <c r="B1362" i="7"/>
  <c r="C1359" i="7"/>
  <c r="A1357" i="7"/>
  <c r="B1354" i="7"/>
  <c r="C1351" i="7"/>
  <c r="A1349" i="7"/>
  <c r="B1346" i="7"/>
  <c r="C1343" i="7"/>
  <c r="A1341" i="7"/>
  <c r="B1338" i="7"/>
  <c r="C1335" i="7"/>
  <c r="A1333" i="7"/>
  <c r="B1330" i="7"/>
  <c r="C1327" i="7"/>
  <c r="A1325" i="7"/>
  <c r="B1322" i="7"/>
  <c r="C1319" i="7"/>
  <c r="A1317" i="7"/>
  <c r="B1314" i="7"/>
  <c r="C1311" i="7"/>
  <c r="A1309" i="7"/>
  <c r="B1306" i="7"/>
  <c r="C1303" i="7"/>
  <c r="A1301" i="7"/>
  <c r="B1298" i="7"/>
  <c r="C1295" i="7"/>
  <c r="A1293" i="7"/>
  <c r="B1290" i="7"/>
  <c r="C1287" i="7"/>
  <c r="A1285" i="7"/>
  <c r="B1282" i="7"/>
  <c r="C1279" i="7"/>
  <c r="A1277" i="7"/>
  <c r="B1274" i="7"/>
  <c r="C1271" i="7"/>
  <c r="A1269" i="7"/>
  <c r="B1266" i="7"/>
  <c r="C1263" i="7"/>
  <c r="A1261" i="7"/>
  <c r="B1258" i="7"/>
  <c r="C1255" i="7"/>
  <c r="A1253" i="7"/>
  <c r="B1250" i="7"/>
  <c r="C1247" i="7"/>
  <c r="A1245" i="7"/>
  <c r="B1242" i="7"/>
  <c r="C1239" i="7"/>
  <c r="A1237" i="7"/>
  <c r="B1234" i="7"/>
  <c r="C1231" i="7"/>
  <c r="A1229" i="7"/>
  <c r="B1226" i="7"/>
  <c r="C1223" i="7"/>
  <c r="A1221" i="7"/>
  <c r="B1218" i="7"/>
  <c r="C1215" i="7"/>
  <c r="A1213" i="7"/>
  <c r="B1210" i="7"/>
  <c r="C1207" i="7"/>
  <c r="A1205" i="7"/>
  <c r="B1202" i="7"/>
  <c r="C1199" i="7"/>
  <c r="A1197" i="7"/>
  <c r="B1194" i="7"/>
  <c r="C1191" i="7"/>
  <c r="A1189" i="7"/>
  <c r="B1186" i="7"/>
  <c r="C1183" i="7"/>
  <c r="A1181" i="7"/>
  <c r="B1178" i="7"/>
  <c r="C1175" i="7"/>
  <c r="A1173" i="7"/>
  <c r="B1170" i="7"/>
  <c r="C1167" i="7"/>
  <c r="A1165" i="7"/>
  <c r="B1162" i="7"/>
  <c r="C1159" i="7"/>
  <c r="A1157" i="7"/>
  <c r="B1154" i="7"/>
  <c r="C1151" i="7"/>
  <c r="A1149" i="7"/>
  <c r="B1146" i="7"/>
  <c r="C1143" i="7"/>
  <c r="A1141" i="7"/>
  <c r="B1138" i="7"/>
  <c r="C1135" i="7"/>
  <c r="A1133" i="7"/>
  <c r="B1130" i="7"/>
  <c r="C1127" i="7"/>
  <c r="A1125" i="7"/>
  <c r="B1122" i="7"/>
  <c r="C1119" i="7"/>
  <c r="A1117" i="7"/>
  <c r="B1114" i="7"/>
  <c r="C1111" i="7"/>
  <c r="A1109" i="7"/>
  <c r="B1106" i="7"/>
  <c r="C1103" i="7"/>
  <c r="A1101" i="7"/>
  <c r="B1098" i="7"/>
  <c r="C1095" i="7"/>
  <c r="A1093" i="7"/>
  <c r="B1090" i="7"/>
  <c r="C1087" i="7"/>
  <c r="A1085" i="7"/>
  <c r="B1082" i="7"/>
  <c r="C1079" i="7"/>
  <c r="A1077" i="7"/>
  <c r="B1074" i="7"/>
  <c r="C1071" i="7"/>
  <c r="A1069" i="7"/>
  <c r="B1066" i="7"/>
  <c r="C1063" i="7"/>
  <c r="A1061" i="7"/>
  <c r="B1058" i="7"/>
  <c r="C1055" i="7"/>
  <c r="A1053" i="7"/>
  <c r="B1050" i="7"/>
  <c r="C1047" i="7"/>
  <c r="A1045" i="7"/>
  <c r="B1042" i="7"/>
  <c r="C1039" i="7"/>
  <c r="A1037" i="7"/>
  <c r="B1034" i="7"/>
  <c r="C1031" i="7"/>
  <c r="A1029" i="7"/>
  <c r="B1026" i="7"/>
  <c r="C1023" i="7"/>
  <c r="A1021" i="7"/>
  <c r="B1018" i="7"/>
  <c r="C1015" i="7"/>
  <c r="A1013" i="7"/>
  <c r="B1010" i="7"/>
  <c r="C1007" i="7"/>
  <c r="A1005" i="7"/>
  <c r="B1002" i="7"/>
  <c r="C999" i="7"/>
  <c r="A997" i="7"/>
  <c r="B994" i="7"/>
  <c r="C991" i="7"/>
  <c r="A989" i="7"/>
  <c r="B986" i="7"/>
  <c r="C983" i="7"/>
  <c r="A981" i="7"/>
  <c r="B978" i="7"/>
  <c r="C975" i="7"/>
  <c r="A973" i="7"/>
  <c r="B970" i="7"/>
  <c r="C967" i="7"/>
  <c r="A965" i="7"/>
  <c r="B962" i="7"/>
  <c r="C959" i="7"/>
  <c r="A957" i="7"/>
  <c r="B954" i="7"/>
  <c r="C951" i="7"/>
  <c r="C1622" i="7"/>
  <c r="A1620" i="7"/>
  <c r="B1617" i="7"/>
  <c r="C1614" i="7"/>
  <c r="A1612" i="7"/>
  <c r="B1609" i="7"/>
  <c r="C1606" i="7"/>
  <c r="A1604" i="7"/>
  <c r="B1601" i="7"/>
  <c r="C1598" i="7"/>
  <c r="A1596" i="7"/>
  <c r="B1593" i="7"/>
  <c r="C1590" i="7"/>
  <c r="A1588" i="7"/>
  <c r="B1585" i="7"/>
  <c r="C1582" i="7"/>
  <c r="A1580" i="7"/>
  <c r="B1577" i="7"/>
  <c r="C1574" i="7"/>
  <c r="A1572" i="7"/>
  <c r="B1569" i="7"/>
  <c r="C1566" i="7"/>
  <c r="A1564" i="7"/>
  <c r="B1561" i="7"/>
  <c r="C1558" i="7"/>
  <c r="A1556" i="7"/>
  <c r="B1553" i="7"/>
  <c r="C1550" i="7"/>
  <c r="A1548" i="7"/>
  <c r="B1545" i="7"/>
  <c r="C1542" i="7"/>
  <c r="A1540" i="7"/>
  <c r="B1537" i="7"/>
  <c r="C1534" i="7"/>
  <c r="A1532" i="7"/>
  <c r="B1529" i="7"/>
  <c r="C1526" i="7"/>
  <c r="A1524" i="7"/>
  <c r="B1521" i="7"/>
  <c r="C1518" i="7"/>
  <c r="A1516" i="7"/>
  <c r="B1513" i="7"/>
  <c r="C1510" i="7"/>
  <c r="A1508" i="7"/>
  <c r="B1505" i="7"/>
  <c r="C1502" i="7"/>
  <c r="A1500" i="7"/>
  <c r="B1497" i="7"/>
  <c r="C1494" i="7"/>
  <c r="A1492" i="7"/>
  <c r="B1489" i="7"/>
  <c r="C1486" i="7"/>
  <c r="A1484" i="7"/>
  <c r="B1481" i="7"/>
  <c r="C1478" i="7"/>
  <c r="B1477" i="7"/>
  <c r="A1476" i="7"/>
  <c r="C1474" i="7"/>
  <c r="B1473" i="7"/>
  <c r="A1472" i="7"/>
  <c r="C1470" i="7"/>
  <c r="B1469" i="7"/>
  <c r="A1468" i="7"/>
  <c r="C1466" i="7"/>
  <c r="B1465" i="7"/>
  <c r="A1464" i="7"/>
  <c r="C1462" i="7"/>
  <c r="B1461" i="7"/>
  <c r="A1460" i="7"/>
  <c r="C1458" i="7"/>
  <c r="B1457" i="7"/>
  <c r="A1456" i="7"/>
  <c r="C1454" i="7"/>
  <c r="B1453" i="7"/>
  <c r="A1452" i="7"/>
  <c r="C1450" i="7"/>
  <c r="B1449" i="7"/>
  <c r="A1448" i="7"/>
  <c r="C1446" i="7"/>
  <c r="B1445" i="7"/>
  <c r="A1444" i="7"/>
  <c r="C1442" i="7"/>
  <c r="B1441" i="7"/>
  <c r="A1440" i="7"/>
  <c r="C1438" i="7"/>
  <c r="B1437" i="7"/>
  <c r="A1436" i="7"/>
  <c r="C1434" i="7"/>
  <c r="B1433" i="7"/>
  <c r="A1432" i="7"/>
  <c r="C1430" i="7"/>
  <c r="B1429" i="7"/>
  <c r="A1428" i="7"/>
  <c r="C1426" i="7"/>
  <c r="B1425" i="7"/>
  <c r="A1424" i="7"/>
  <c r="C1422" i="7"/>
  <c r="B1421" i="7"/>
  <c r="A1420" i="7"/>
  <c r="C1418" i="7"/>
  <c r="B1417" i="7"/>
  <c r="A1416" i="7"/>
  <c r="C1414" i="7"/>
  <c r="B1413" i="7"/>
  <c r="A1412" i="7"/>
  <c r="C1410" i="7"/>
  <c r="B1409" i="7"/>
  <c r="A1408" i="7"/>
  <c r="C1406" i="7"/>
  <c r="B1405" i="7"/>
  <c r="A1404" i="7"/>
  <c r="C1402" i="7"/>
  <c r="B1401" i="7"/>
  <c r="A1400" i="7"/>
  <c r="C1398" i="7"/>
  <c r="B1397" i="7"/>
  <c r="A1396" i="7"/>
  <c r="C1394" i="7"/>
  <c r="B1393" i="7"/>
  <c r="A1392" i="7"/>
  <c r="C1390" i="7"/>
  <c r="B1389" i="7"/>
  <c r="A1388" i="7"/>
  <c r="C1386" i="7"/>
  <c r="B1385" i="7"/>
  <c r="A1384" i="7"/>
  <c r="C1382" i="7"/>
  <c r="B1381" i="7"/>
  <c r="A1380" i="7"/>
  <c r="C1378" i="7"/>
  <c r="B1377" i="7"/>
  <c r="A1376" i="7"/>
  <c r="C1374" i="7"/>
  <c r="B1373" i="7"/>
  <c r="A1372" i="7"/>
  <c r="C1370" i="7"/>
  <c r="B1369" i="7"/>
  <c r="A1368" i="7"/>
  <c r="C1366" i="7"/>
  <c r="B1365" i="7"/>
  <c r="A1364" i="7"/>
  <c r="C1362" i="7"/>
  <c r="B1361" i="7"/>
  <c r="A1360" i="7"/>
  <c r="C1358" i="7"/>
  <c r="B1357" i="7"/>
  <c r="A1356" i="7"/>
  <c r="C1354" i="7"/>
  <c r="B1353" i="7"/>
  <c r="A1352" i="7"/>
  <c r="C1350" i="7"/>
  <c r="B1349" i="7"/>
  <c r="A1348" i="7"/>
  <c r="C1346" i="7"/>
  <c r="B1345" i="7"/>
  <c r="A1344" i="7"/>
  <c r="C1342" i="7"/>
  <c r="B1341" i="7"/>
  <c r="A1340" i="7"/>
  <c r="C1338" i="7"/>
  <c r="B1337" i="7"/>
  <c r="A1336" i="7"/>
  <c r="C1334" i="7"/>
  <c r="B1333" i="7"/>
  <c r="A1332" i="7"/>
  <c r="C1330" i="7"/>
  <c r="B1329" i="7"/>
  <c r="A1328" i="7"/>
  <c r="C1326" i="7"/>
  <c r="B1325" i="7"/>
  <c r="A1324" i="7"/>
  <c r="C1322" i="7"/>
  <c r="B1321" i="7"/>
  <c r="A1320" i="7"/>
  <c r="C1318" i="7"/>
  <c r="B1317" i="7"/>
  <c r="A1316" i="7"/>
  <c r="C1314" i="7"/>
  <c r="B1313" i="7"/>
  <c r="A1312" i="7"/>
  <c r="C1310" i="7"/>
  <c r="B1309" i="7"/>
  <c r="A1308" i="7"/>
  <c r="C1306" i="7"/>
  <c r="B1305" i="7"/>
  <c r="A1304" i="7"/>
  <c r="C1302" i="7"/>
  <c r="B1301" i="7"/>
  <c r="A1300" i="7"/>
  <c r="C1298" i="7"/>
  <c r="B1297" i="7"/>
  <c r="A1296" i="7"/>
  <c r="C1294" i="7"/>
  <c r="B1293" i="7"/>
  <c r="A1292" i="7"/>
  <c r="C1290" i="7"/>
  <c r="B1289" i="7"/>
  <c r="A1288" i="7"/>
  <c r="C1286" i="7"/>
  <c r="B1285" i="7"/>
  <c r="A1284" i="7"/>
  <c r="C1282" i="7"/>
  <c r="B1281" i="7"/>
  <c r="A1280" i="7"/>
  <c r="C1278" i="7"/>
  <c r="B1277" i="7"/>
  <c r="A1276" i="7"/>
  <c r="C1274" i="7"/>
  <c r="B1273" i="7"/>
  <c r="A1272" i="7"/>
  <c r="C1270" i="7"/>
  <c r="B1269" i="7"/>
  <c r="A1268" i="7"/>
  <c r="C1266" i="7"/>
  <c r="B1265" i="7"/>
  <c r="A1264" i="7"/>
  <c r="C1262" i="7"/>
  <c r="B1261" i="7"/>
  <c r="A1260" i="7"/>
  <c r="C1258" i="7"/>
  <c r="B1257" i="7"/>
  <c r="A1256" i="7"/>
  <c r="C1254" i="7"/>
  <c r="B1253" i="7"/>
  <c r="A1252" i="7"/>
  <c r="C1250" i="7"/>
  <c r="B1249" i="7"/>
  <c r="A1248" i="7"/>
  <c r="C1246" i="7"/>
  <c r="B1245" i="7"/>
  <c r="A1244" i="7"/>
  <c r="C1242" i="7"/>
  <c r="B1241" i="7"/>
  <c r="A1240" i="7"/>
  <c r="C1238" i="7"/>
  <c r="B1237" i="7"/>
  <c r="A1236" i="7"/>
  <c r="C1234" i="7"/>
  <c r="B1233" i="7"/>
  <c r="A1232" i="7"/>
  <c r="C1230" i="7"/>
  <c r="B1229" i="7"/>
  <c r="A1228" i="7"/>
  <c r="C1226" i="7"/>
  <c r="B1225" i="7"/>
  <c r="A1224" i="7"/>
  <c r="C1222" i="7"/>
  <c r="B1221" i="7"/>
  <c r="A1220" i="7"/>
  <c r="C1218" i="7"/>
  <c r="B1217" i="7"/>
  <c r="A1216" i="7"/>
  <c r="C1214" i="7"/>
  <c r="B1213" i="7"/>
  <c r="A1212" i="7"/>
  <c r="C1210" i="7"/>
  <c r="B1209" i="7"/>
  <c r="A1208" i="7"/>
  <c r="C1206" i="7"/>
  <c r="B1205" i="7"/>
  <c r="A1204" i="7"/>
  <c r="C1202" i="7"/>
  <c r="B1201" i="7"/>
  <c r="A1200" i="7"/>
  <c r="C1198" i="7"/>
  <c r="B1197" i="7"/>
  <c r="A1196" i="7"/>
  <c r="C1194" i="7"/>
  <c r="B1193" i="7"/>
  <c r="A1192" i="7"/>
  <c r="C1190" i="7"/>
  <c r="B1189" i="7"/>
  <c r="A1188" i="7"/>
  <c r="C1186" i="7"/>
  <c r="B1185" i="7"/>
  <c r="A1184" i="7"/>
  <c r="C1182" i="7"/>
  <c r="B1181" i="7"/>
  <c r="A1180" i="7"/>
  <c r="C1178" i="7"/>
  <c r="B1177" i="7"/>
  <c r="A1176" i="7"/>
  <c r="C1174" i="7"/>
  <c r="B1173" i="7"/>
  <c r="A1172" i="7"/>
  <c r="C1170" i="7"/>
  <c r="B1169" i="7"/>
  <c r="A1168" i="7"/>
  <c r="C1166" i="7"/>
  <c r="B1165" i="7"/>
  <c r="A1164" i="7"/>
  <c r="C1162" i="7"/>
  <c r="B1161" i="7"/>
  <c r="A1160" i="7"/>
  <c r="C1158" i="7"/>
  <c r="B1157" i="7"/>
  <c r="A1156" i="7"/>
  <c r="C1154" i="7"/>
  <c r="B1153" i="7"/>
  <c r="A1152" i="7"/>
  <c r="C1150" i="7"/>
  <c r="B1149" i="7"/>
  <c r="A1148" i="7"/>
  <c r="C1146" i="7"/>
  <c r="B1145" i="7"/>
  <c r="A1144" i="7"/>
  <c r="C1142" i="7"/>
  <c r="B1141" i="7"/>
  <c r="A1140" i="7"/>
  <c r="C1138" i="7"/>
  <c r="B1137" i="7"/>
  <c r="A1136" i="7"/>
  <c r="C1134" i="7"/>
  <c r="B1133" i="7"/>
  <c r="A1132" i="7"/>
  <c r="C1130" i="7"/>
  <c r="B1129" i="7"/>
  <c r="A1128" i="7"/>
  <c r="C1126" i="7"/>
  <c r="B1125" i="7"/>
  <c r="A1124" i="7"/>
  <c r="C1122" i="7"/>
  <c r="B1121" i="7"/>
  <c r="A1120" i="7"/>
  <c r="C1118" i="7"/>
  <c r="B1117" i="7"/>
  <c r="A1116" i="7"/>
  <c r="C1114" i="7"/>
  <c r="B1113" i="7"/>
  <c r="A1112" i="7"/>
  <c r="C1110" i="7"/>
  <c r="B1109" i="7"/>
  <c r="A1108" i="7"/>
  <c r="C1106" i="7"/>
  <c r="B1105" i="7"/>
  <c r="A1104" i="7"/>
  <c r="C1102" i="7"/>
  <c r="B1101" i="7"/>
  <c r="A1100" i="7"/>
  <c r="C1098" i="7"/>
  <c r="B1097" i="7"/>
  <c r="A1096" i="7"/>
  <c r="C1094" i="7"/>
  <c r="B1093" i="7"/>
  <c r="A1092" i="7"/>
  <c r="C1090" i="7"/>
  <c r="B1089" i="7"/>
  <c r="A1088" i="7"/>
  <c r="C1086" i="7"/>
  <c r="B1085" i="7"/>
  <c r="A1084" i="7"/>
  <c r="C1082" i="7"/>
  <c r="B1081" i="7"/>
  <c r="A1080" i="7"/>
  <c r="C1078" i="7"/>
  <c r="B1077" i="7"/>
  <c r="A1076" i="7"/>
  <c r="C1074" i="7"/>
  <c r="B1073" i="7"/>
  <c r="A1072" i="7"/>
  <c r="C1070" i="7"/>
  <c r="B1069" i="7"/>
  <c r="A1068" i="7"/>
  <c r="C1066" i="7"/>
  <c r="B1065" i="7"/>
  <c r="A1064" i="7"/>
  <c r="C1062" i="7"/>
  <c r="B1061" i="7"/>
  <c r="A1060" i="7"/>
  <c r="C1058" i="7"/>
  <c r="B1057" i="7"/>
  <c r="A1056" i="7"/>
  <c r="C1054" i="7"/>
  <c r="B1053" i="7"/>
  <c r="A1052" i="7"/>
  <c r="C1050" i="7"/>
  <c r="B1049" i="7"/>
  <c r="A1048" i="7"/>
  <c r="C1046" i="7"/>
  <c r="B1045" i="7"/>
  <c r="A1044" i="7"/>
  <c r="C1042" i="7"/>
  <c r="B1041" i="7"/>
  <c r="A1040" i="7"/>
  <c r="C1038" i="7"/>
  <c r="B1037" i="7"/>
  <c r="A1036" i="7"/>
  <c r="C1034" i="7"/>
  <c r="B1033" i="7"/>
  <c r="A1032" i="7"/>
  <c r="C1030" i="7"/>
  <c r="B1029" i="7"/>
  <c r="A1028" i="7"/>
  <c r="C1026" i="7"/>
  <c r="B1025" i="7"/>
  <c r="A1024" i="7"/>
  <c r="C1022" i="7"/>
  <c r="B1021" i="7"/>
  <c r="A1020" i="7"/>
  <c r="C1018" i="7"/>
  <c r="B1017" i="7"/>
  <c r="A1016" i="7"/>
  <c r="C1014" i="7"/>
  <c r="B1013" i="7"/>
  <c r="A1012" i="7"/>
  <c r="C1010" i="7"/>
  <c r="B1009" i="7"/>
  <c r="A1008" i="7"/>
  <c r="C1006" i="7"/>
  <c r="B1005" i="7"/>
  <c r="A1004" i="7"/>
  <c r="C1002" i="7"/>
  <c r="B1001" i="7"/>
  <c r="A1000" i="7"/>
  <c r="C998" i="7"/>
  <c r="B997" i="7"/>
  <c r="A996" i="7"/>
  <c r="C994" i="7"/>
  <c r="B993" i="7"/>
  <c r="A992" i="7"/>
  <c r="C990" i="7"/>
  <c r="B989" i="7"/>
  <c r="A988" i="7"/>
  <c r="C986" i="7"/>
  <c r="B985" i="7"/>
  <c r="A984" i="7"/>
  <c r="C982" i="7"/>
  <c r="B981" i="7"/>
  <c r="A980" i="7"/>
  <c r="C978" i="7"/>
  <c r="B977" i="7"/>
  <c r="A976" i="7"/>
  <c r="C974" i="7"/>
  <c r="B973" i="7"/>
  <c r="A972" i="7"/>
  <c r="C970" i="7"/>
  <c r="B969" i="7"/>
  <c r="A968" i="7"/>
  <c r="C966" i="7"/>
  <c r="B965" i="7"/>
  <c r="A964" i="7"/>
  <c r="C962" i="7"/>
  <c r="B961" i="7"/>
  <c r="A960" i="7"/>
  <c r="C958" i="7"/>
  <c r="B957" i="7"/>
  <c r="A956" i="7"/>
  <c r="C954" i="7"/>
  <c r="B953" i="7"/>
  <c r="A952" i="7"/>
  <c r="C950" i="7"/>
  <c r="B949" i="7"/>
  <c r="A948" i="7"/>
  <c r="C946" i="7"/>
  <c r="B945" i="7"/>
  <c r="A944" i="7"/>
  <c r="C942" i="7"/>
  <c r="C949" i="7"/>
  <c r="A947" i="7"/>
  <c r="B944" i="7"/>
  <c r="C941" i="7"/>
  <c r="B940" i="7"/>
  <c r="A939" i="7"/>
  <c r="C937" i="7"/>
  <c r="B936" i="7"/>
  <c r="A935" i="7"/>
  <c r="C933" i="7"/>
  <c r="B932" i="7"/>
  <c r="A931" i="7"/>
  <c r="C929" i="7"/>
  <c r="B928" i="7"/>
  <c r="A927" i="7"/>
  <c r="C925" i="7"/>
  <c r="B924" i="7"/>
  <c r="A923" i="7"/>
  <c r="C921" i="7"/>
  <c r="B920" i="7"/>
  <c r="A919" i="7"/>
  <c r="C917" i="7"/>
  <c r="B916" i="7"/>
  <c r="A915" i="7"/>
  <c r="C913" i="7"/>
  <c r="B912" i="7"/>
  <c r="A911" i="7"/>
  <c r="C909" i="7"/>
  <c r="B908" i="7"/>
  <c r="A907" i="7"/>
  <c r="C905" i="7"/>
  <c r="B904" i="7"/>
  <c r="A903" i="7"/>
  <c r="C901" i="7"/>
  <c r="B900" i="7"/>
  <c r="A899" i="7"/>
  <c r="C897" i="7"/>
  <c r="B896" i="7"/>
  <c r="A895" i="7"/>
  <c r="C893" i="7"/>
  <c r="B892" i="7"/>
  <c r="A891" i="7"/>
  <c r="C889" i="7"/>
  <c r="B888" i="7"/>
  <c r="A887" i="7"/>
  <c r="C885" i="7"/>
  <c r="B884" i="7"/>
  <c r="A883" i="7"/>
  <c r="C881" i="7"/>
  <c r="B880" i="7"/>
  <c r="A879" i="7"/>
  <c r="C877" i="7"/>
  <c r="B876" i="7"/>
  <c r="A875" i="7"/>
  <c r="C873" i="7"/>
  <c r="B872" i="7"/>
  <c r="A871" i="7"/>
  <c r="C869" i="7"/>
  <c r="B868" i="7"/>
  <c r="A867" i="7"/>
  <c r="C865" i="7"/>
  <c r="B864" i="7"/>
  <c r="A863" i="7"/>
  <c r="C861" i="7"/>
  <c r="B860" i="7"/>
  <c r="A859" i="7"/>
  <c r="C857" i="7"/>
  <c r="B856" i="7"/>
  <c r="A855" i="7"/>
  <c r="C853" i="7"/>
  <c r="B852" i="7"/>
  <c r="A851" i="7"/>
  <c r="C849" i="7"/>
  <c r="B848" i="7"/>
  <c r="A847" i="7"/>
  <c r="C845" i="7"/>
  <c r="B844" i="7"/>
  <c r="A843" i="7"/>
  <c r="C841" i="7"/>
  <c r="B840" i="7"/>
  <c r="A839" i="7"/>
  <c r="C837" i="7"/>
  <c r="B836" i="7"/>
  <c r="A835" i="7"/>
  <c r="C833" i="7"/>
  <c r="B832" i="7"/>
  <c r="A831" i="7"/>
  <c r="C829" i="7"/>
  <c r="B828" i="7"/>
  <c r="A827" i="7"/>
  <c r="C825" i="7"/>
  <c r="B824" i="7"/>
  <c r="A823" i="7"/>
  <c r="C821" i="7"/>
  <c r="B820" i="7"/>
  <c r="A819" i="7"/>
  <c r="C817" i="7"/>
  <c r="B816" i="7"/>
  <c r="A815" i="7"/>
  <c r="C813" i="7"/>
  <c r="B812" i="7"/>
  <c r="A811" i="7"/>
  <c r="C809" i="7"/>
  <c r="B808" i="7"/>
  <c r="A807" i="7"/>
  <c r="C805" i="7"/>
  <c r="B804" i="7"/>
  <c r="A803" i="7"/>
  <c r="C801" i="7"/>
  <c r="B800" i="7"/>
  <c r="A799" i="7"/>
  <c r="C797" i="7"/>
  <c r="B796" i="7"/>
  <c r="A795" i="7"/>
  <c r="C793" i="7"/>
  <c r="B792" i="7"/>
  <c r="A791" i="7"/>
  <c r="C789" i="7"/>
  <c r="B788" i="7"/>
  <c r="A787" i="7"/>
  <c r="C785" i="7"/>
  <c r="B784" i="7"/>
  <c r="A783" i="7"/>
  <c r="C781" i="7"/>
  <c r="B780" i="7"/>
  <c r="A779" i="7"/>
  <c r="C777" i="7"/>
  <c r="B776" i="7"/>
  <c r="A775" i="7"/>
  <c r="C773" i="7"/>
  <c r="B772" i="7"/>
  <c r="A771" i="7"/>
  <c r="C769" i="7"/>
  <c r="B768" i="7"/>
  <c r="A767" i="7"/>
  <c r="C765" i="7"/>
  <c r="B764" i="7"/>
  <c r="A763" i="7"/>
  <c r="C761" i="7"/>
  <c r="B760" i="7"/>
  <c r="A759" i="7"/>
  <c r="C757" i="7"/>
  <c r="B756" i="7"/>
  <c r="A755" i="7"/>
  <c r="C753" i="7"/>
  <c r="B752" i="7"/>
  <c r="A751" i="7"/>
  <c r="C749" i="7"/>
  <c r="B748" i="7"/>
  <c r="A747" i="7"/>
  <c r="C745" i="7"/>
  <c r="B744" i="7"/>
  <c r="A743" i="7"/>
  <c r="C741" i="7"/>
  <c r="B740" i="7"/>
  <c r="A739" i="7"/>
  <c r="C737" i="7"/>
  <c r="B736" i="7"/>
  <c r="A735" i="7"/>
  <c r="C733" i="7"/>
  <c r="B732" i="7"/>
  <c r="A731" i="7"/>
  <c r="C729" i="7"/>
  <c r="B728" i="7"/>
  <c r="A727" i="7"/>
  <c r="C725" i="7"/>
  <c r="B724" i="7"/>
  <c r="A723" i="7"/>
  <c r="C721" i="7"/>
  <c r="B720" i="7"/>
  <c r="A719" i="7"/>
  <c r="C717" i="7"/>
  <c r="B716" i="7"/>
  <c r="A715" i="7"/>
  <c r="C713" i="7"/>
  <c r="B712" i="7"/>
  <c r="A711" i="7"/>
  <c r="C709" i="7"/>
  <c r="B708" i="7"/>
  <c r="A707" i="7"/>
  <c r="C705" i="7"/>
  <c r="B704" i="7"/>
  <c r="A703" i="7"/>
  <c r="C701" i="7"/>
  <c r="B700" i="7"/>
  <c r="A699" i="7"/>
  <c r="C697" i="7"/>
  <c r="B696" i="7"/>
  <c r="A695" i="7"/>
  <c r="C693" i="7"/>
  <c r="B692" i="7"/>
  <c r="A691" i="7"/>
  <c r="C689" i="7"/>
  <c r="B688" i="7"/>
  <c r="A687" i="7"/>
  <c r="C685" i="7"/>
  <c r="B684" i="7"/>
  <c r="A683" i="7"/>
  <c r="C681" i="7"/>
  <c r="B680" i="7"/>
  <c r="A679" i="7"/>
  <c r="C677" i="7"/>
  <c r="B676" i="7"/>
  <c r="A675" i="7"/>
  <c r="C673" i="7"/>
  <c r="B672" i="7"/>
  <c r="A671" i="7"/>
  <c r="C669" i="7"/>
  <c r="B668" i="7"/>
  <c r="A667" i="7"/>
  <c r="C665" i="7"/>
  <c r="B664" i="7"/>
  <c r="A663" i="7"/>
  <c r="C661" i="7"/>
  <c r="B660" i="7"/>
  <c r="A659" i="7"/>
  <c r="C657" i="7"/>
  <c r="B656" i="7"/>
  <c r="A655" i="7"/>
  <c r="C653" i="7"/>
  <c r="B652" i="7"/>
  <c r="A651" i="7"/>
  <c r="C649" i="7"/>
  <c r="B648" i="7"/>
  <c r="A647" i="7"/>
  <c r="C645" i="7"/>
  <c r="B644" i="7"/>
  <c r="A643" i="7"/>
  <c r="C641" i="7"/>
  <c r="B640" i="7"/>
  <c r="A639" i="7"/>
  <c r="C637" i="7"/>
  <c r="B636" i="7"/>
  <c r="A635" i="7"/>
  <c r="C633" i="7"/>
  <c r="B632" i="7"/>
  <c r="A631" i="7"/>
  <c r="C629" i="7"/>
  <c r="B628" i="7"/>
  <c r="A627" i="7"/>
  <c r="C625" i="7"/>
  <c r="B624" i="7"/>
  <c r="A623" i="7"/>
  <c r="C621" i="7"/>
  <c r="B620" i="7"/>
  <c r="A619" i="7"/>
  <c r="C617" i="7"/>
  <c r="B616" i="7"/>
  <c r="A615" i="7"/>
  <c r="C613" i="7"/>
  <c r="B612" i="7"/>
  <c r="A611" i="7"/>
  <c r="C609" i="7"/>
  <c r="B608" i="7"/>
  <c r="A607" i="7"/>
  <c r="A1194" i="7"/>
  <c r="B1191" i="7"/>
  <c r="C1188" i="7"/>
  <c r="A1186" i="7"/>
  <c r="B1183" i="7"/>
  <c r="C1180" i="7"/>
  <c r="A1178" i="7"/>
  <c r="B1175" i="7"/>
  <c r="C1172" i="7"/>
  <c r="A1170" i="7"/>
  <c r="B1167" i="7"/>
  <c r="C1164" i="7"/>
  <c r="A1162" i="7"/>
  <c r="B1159" i="7"/>
  <c r="C1156" i="7"/>
  <c r="A1154" i="7"/>
  <c r="B1151" i="7"/>
  <c r="C1148" i="7"/>
  <c r="A1146" i="7"/>
  <c r="B1143" i="7"/>
  <c r="C1140" i="7"/>
  <c r="A1138" i="7"/>
  <c r="B1135" i="7"/>
  <c r="C1132" i="7"/>
  <c r="A1130" i="7"/>
  <c r="B1127" i="7"/>
  <c r="C1124" i="7"/>
  <c r="A1122" i="7"/>
  <c r="B1119" i="7"/>
  <c r="C1116" i="7"/>
  <c r="A1114" i="7"/>
  <c r="B1111" i="7"/>
  <c r="C1108" i="7"/>
  <c r="A1106" i="7"/>
  <c r="B1103" i="7"/>
  <c r="C1100" i="7"/>
  <c r="A1098" i="7"/>
  <c r="B1095" i="7"/>
  <c r="C1092" i="7"/>
  <c r="A1090" i="7"/>
  <c r="B1087" i="7"/>
  <c r="C1084" i="7"/>
  <c r="A1082" i="7"/>
  <c r="B1079" i="7"/>
  <c r="C1076" i="7"/>
  <c r="A1074" i="7"/>
  <c r="B1071" i="7"/>
  <c r="C1068" i="7"/>
  <c r="A1066" i="7"/>
  <c r="B1063" i="7"/>
  <c r="C1060" i="7"/>
  <c r="A1058" i="7"/>
  <c r="B1055" i="7"/>
  <c r="C1052" i="7"/>
  <c r="A1050" i="7"/>
  <c r="B1047" i="7"/>
  <c r="C1044" i="7"/>
  <c r="A1042" i="7"/>
  <c r="B1039" i="7"/>
  <c r="C1036" i="7"/>
  <c r="A1034" i="7"/>
  <c r="B1031" i="7"/>
  <c r="C1028" i="7"/>
  <c r="A1026" i="7"/>
  <c r="B1023" i="7"/>
  <c r="C1020" i="7"/>
  <c r="A1018" i="7"/>
  <c r="B1015" i="7"/>
  <c r="C1012" i="7"/>
  <c r="A1010" i="7"/>
  <c r="B1007" i="7"/>
  <c r="C1004" i="7"/>
  <c r="A1002" i="7"/>
  <c r="B999" i="7"/>
  <c r="C996" i="7"/>
  <c r="A994" i="7"/>
  <c r="B991" i="7"/>
  <c r="C988" i="7"/>
  <c r="A986" i="7"/>
  <c r="B983" i="7"/>
  <c r="C980" i="7"/>
  <c r="A978" i="7"/>
  <c r="B975" i="7"/>
  <c r="C972" i="7"/>
  <c r="A970" i="7"/>
  <c r="B967" i="7"/>
  <c r="C964" i="7"/>
  <c r="A962" i="7"/>
  <c r="B959" i="7"/>
  <c r="C956" i="7"/>
  <c r="A954" i="7"/>
  <c r="B951" i="7"/>
  <c r="C948" i="7"/>
  <c r="A946" i="7"/>
  <c r="B943" i="7"/>
  <c r="B948" i="7"/>
  <c r="A943" i="7"/>
  <c r="C939" i="7"/>
  <c r="A937" i="7"/>
  <c r="B934" i="7"/>
  <c r="C931" i="7"/>
  <c r="A929" i="7"/>
  <c r="B926" i="7"/>
  <c r="C923" i="7"/>
  <c r="A921" i="7"/>
  <c r="B918" i="7"/>
  <c r="C915" i="7"/>
  <c r="A913" i="7"/>
  <c r="B910" i="7"/>
  <c r="C907" i="7"/>
  <c r="A905" i="7"/>
  <c r="B902" i="7"/>
  <c r="C899" i="7"/>
  <c r="A897" i="7"/>
  <c r="B894" i="7"/>
  <c r="C891" i="7"/>
  <c r="A889" i="7"/>
  <c r="B886" i="7"/>
  <c r="C883" i="7"/>
  <c r="A881" i="7"/>
  <c r="B878" i="7"/>
  <c r="C875" i="7"/>
  <c r="A873" i="7"/>
  <c r="B870" i="7"/>
  <c r="C867" i="7"/>
  <c r="A865" i="7"/>
  <c r="B862" i="7"/>
  <c r="C859" i="7"/>
  <c r="A857" i="7"/>
  <c r="B854" i="7"/>
  <c r="C851" i="7"/>
  <c r="A849" i="7"/>
  <c r="B846" i="7"/>
  <c r="C843" i="7"/>
  <c r="A841" i="7"/>
  <c r="B838" i="7"/>
  <c r="C835" i="7"/>
  <c r="A833" i="7"/>
  <c r="B830" i="7"/>
  <c r="C827" i="7"/>
  <c r="A825" i="7"/>
  <c r="B822" i="7"/>
  <c r="C819" i="7"/>
  <c r="A817" i="7"/>
  <c r="B814" i="7"/>
  <c r="C811" i="7"/>
  <c r="A809" i="7"/>
  <c r="B806" i="7"/>
  <c r="C803" i="7"/>
  <c r="A801" i="7"/>
  <c r="B798" i="7"/>
  <c r="C795" i="7"/>
  <c r="A793" i="7"/>
  <c r="B790" i="7"/>
  <c r="C787" i="7"/>
  <c r="A785" i="7"/>
  <c r="B782" i="7"/>
  <c r="C779" i="7"/>
  <c r="A777" i="7"/>
  <c r="B774" i="7"/>
  <c r="C771" i="7"/>
  <c r="A769" i="7"/>
  <c r="B766" i="7"/>
  <c r="C763" i="7"/>
  <c r="A761" i="7"/>
  <c r="B758" i="7"/>
  <c r="C755" i="7"/>
  <c r="A753" i="7"/>
  <c r="B750" i="7"/>
  <c r="C747" i="7"/>
  <c r="A745" i="7"/>
  <c r="B742" i="7"/>
  <c r="C739" i="7"/>
  <c r="A737" i="7"/>
  <c r="B734" i="7"/>
  <c r="C731" i="7"/>
  <c r="A729" i="7"/>
  <c r="B726" i="7"/>
  <c r="C723" i="7"/>
  <c r="A721" i="7"/>
  <c r="B718" i="7"/>
  <c r="C715" i="7"/>
  <c r="A713" i="7"/>
  <c r="B710" i="7"/>
  <c r="C707" i="7"/>
  <c r="A705" i="7"/>
  <c r="B702" i="7"/>
  <c r="C699" i="7"/>
  <c r="A697" i="7"/>
  <c r="B694" i="7"/>
  <c r="C691" i="7"/>
  <c r="A689" i="7"/>
  <c r="B686" i="7"/>
  <c r="C683" i="7"/>
  <c r="A681" i="7"/>
  <c r="B678" i="7"/>
  <c r="C675" i="7"/>
  <c r="A673" i="7"/>
  <c r="B670" i="7"/>
  <c r="C667" i="7"/>
  <c r="A665" i="7"/>
  <c r="B662" i="7"/>
  <c r="C659" i="7"/>
  <c r="A657" i="7"/>
  <c r="B654" i="7"/>
  <c r="C651" i="7"/>
  <c r="A649" i="7"/>
  <c r="B646" i="7"/>
  <c r="C643" i="7"/>
  <c r="A641" i="7"/>
  <c r="B638" i="7"/>
  <c r="C635" i="7"/>
  <c r="A633" i="7"/>
  <c r="B630" i="7"/>
  <c r="C627" i="7"/>
  <c r="A625" i="7"/>
  <c r="B622" i="7"/>
  <c r="C619" i="7"/>
  <c r="A617" i="7"/>
  <c r="B614" i="7"/>
  <c r="C611" i="7"/>
  <c r="A609" i="7"/>
  <c r="B606" i="7"/>
  <c r="A605" i="7"/>
  <c r="C603" i="7"/>
  <c r="B602" i="7"/>
  <c r="A601" i="7"/>
  <c r="C599" i="7"/>
  <c r="B598" i="7"/>
  <c r="A597" i="7"/>
  <c r="C595" i="7"/>
  <c r="B594" i="7"/>
  <c r="A593" i="7"/>
  <c r="C591" i="7"/>
  <c r="B590" i="7"/>
  <c r="A589" i="7"/>
  <c r="C587" i="7"/>
  <c r="B586" i="7"/>
  <c r="A585" i="7"/>
  <c r="C583" i="7"/>
  <c r="B582" i="7"/>
  <c r="A581" i="7"/>
  <c r="C579" i="7"/>
  <c r="B578" i="7"/>
  <c r="A577" i="7"/>
  <c r="C575" i="7"/>
  <c r="B574" i="7"/>
  <c r="A573" i="7"/>
  <c r="C571" i="7"/>
  <c r="B570" i="7"/>
  <c r="A569" i="7"/>
  <c r="C567" i="7"/>
  <c r="B566" i="7"/>
  <c r="A565" i="7"/>
  <c r="C563" i="7"/>
  <c r="B562" i="7"/>
  <c r="A561" i="7"/>
  <c r="C559" i="7"/>
  <c r="B558" i="7"/>
  <c r="A557" i="7"/>
  <c r="C555" i="7"/>
  <c r="B554" i="7"/>
  <c r="A553" i="7"/>
  <c r="C551" i="7"/>
  <c r="B550" i="7"/>
  <c r="A549" i="7"/>
  <c r="C547" i="7"/>
  <c r="B546" i="7"/>
  <c r="A545" i="7"/>
  <c r="C543" i="7"/>
  <c r="B542" i="7"/>
  <c r="A541" i="7"/>
  <c r="C539" i="7"/>
  <c r="B538" i="7"/>
  <c r="A537" i="7"/>
  <c r="C535" i="7"/>
  <c r="B534" i="7"/>
  <c r="A533" i="7"/>
  <c r="C531" i="7"/>
  <c r="B530" i="7"/>
  <c r="A529" i="7"/>
  <c r="C527" i="7"/>
  <c r="B526" i="7"/>
  <c r="A525" i="7"/>
  <c r="C523" i="7"/>
  <c r="B522" i="7"/>
  <c r="A521" i="7"/>
  <c r="C519" i="7"/>
  <c r="B518" i="7"/>
  <c r="A517" i="7"/>
  <c r="C515" i="7"/>
  <c r="B514" i="7"/>
  <c r="A513" i="7"/>
  <c r="C511" i="7"/>
  <c r="B510" i="7"/>
  <c r="A509" i="7"/>
  <c r="C507" i="7"/>
  <c r="B506" i="7"/>
  <c r="A505" i="7"/>
  <c r="C503" i="7"/>
  <c r="B502" i="7"/>
  <c r="A501" i="7"/>
  <c r="C499" i="7"/>
  <c r="B498" i="7"/>
  <c r="A497" i="7"/>
  <c r="C495" i="7"/>
  <c r="B494" i="7"/>
  <c r="A493" i="7"/>
  <c r="C491" i="7"/>
  <c r="B490" i="7"/>
  <c r="A489" i="7"/>
  <c r="C487" i="7"/>
  <c r="B486" i="7"/>
  <c r="A485" i="7"/>
  <c r="C483" i="7"/>
  <c r="B482" i="7"/>
  <c r="A481" i="7"/>
  <c r="C479" i="7"/>
  <c r="B478" i="7"/>
  <c r="A477" i="7"/>
  <c r="C475" i="7"/>
  <c r="B474" i="7"/>
  <c r="A473" i="7"/>
  <c r="C471" i="7"/>
  <c r="B470" i="7"/>
  <c r="A469" i="7"/>
  <c r="C467" i="7"/>
  <c r="B466" i="7"/>
  <c r="A465" i="7"/>
  <c r="C463" i="7"/>
  <c r="B462" i="7"/>
  <c r="A461" i="7"/>
  <c r="C459" i="7"/>
  <c r="B458" i="7"/>
  <c r="A457" i="7"/>
  <c r="C455" i="7"/>
  <c r="B454" i="7"/>
  <c r="A453" i="7"/>
  <c r="C451" i="7"/>
  <c r="B450" i="7"/>
  <c r="A449" i="7"/>
  <c r="C447" i="7"/>
  <c r="B446" i="7"/>
  <c r="A445" i="7"/>
  <c r="C443" i="7"/>
  <c r="B442" i="7"/>
  <c r="A441" i="7"/>
  <c r="C439" i="7"/>
  <c r="B438" i="7"/>
  <c r="A437" i="7"/>
  <c r="C435" i="7"/>
  <c r="B434" i="7"/>
  <c r="A433" i="7"/>
  <c r="C431" i="7"/>
  <c r="B430" i="7"/>
  <c r="A429" i="7"/>
  <c r="C427" i="7"/>
  <c r="B426" i="7"/>
  <c r="A425" i="7"/>
  <c r="C423" i="7"/>
  <c r="B422" i="7"/>
  <c r="A421" i="7"/>
  <c r="C419" i="7"/>
  <c r="B418" i="7"/>
  <c r="A417" i="7"/>
  <c r="C415" i="7"/>
  <c r="B414" i="7"/>
  <c r="A413" i="7"/>
  <c r="C411" i="7"/>
  <c r="B410" i="7"/>
  <c r="A409" i="7"/>
  <c r="C407" i="7"/>
  <c r="B406" i="7"/>
  <c r="A405" i="7"/>
  <c r="C403" i="7"/>
  <c r="B402" i="7"/>
  <c r="A401" i="7"/>
  <c r="C399" i="7"/>
  <c r="B398" i="7"/>
  <c r="A397" i="7"/>
  <c r="C395" i="7"/>
  <c r="B394" i="7"/>
  <c r="A393" i="7"/>
  <c r="C391" i="7"/>
  <c r="B390" i="7"/>
  <c r="A389" i="7"/>
  <c r="C387" i="7"/>
  <c r="B386" i="7"/>
  <c r="A385" i="7"/>
  <c r="C383" i="7"/>
  <c r="B382" i="7"/>
  <c r="A381" i="7"/>
  <c r="C379" i="7"/>
  <c r="B378" i="7"/>
  <c r="A377" i="7"/>
  <c r="C375" i="7"/>
  <c r="B374" i="7"/>
  <c r="A373" i="7"/>
  <c r="C371" i="7"/>
  <c r="B370" i="7"/>
  <c r="A369" i="7"/>
  <c r="C367" i="7"/>
  <c r="B366" i="7"/>
  <c r="A365" i="7"/>
  <c r="C363" i="7"/>
  <c r="B362" i="7"/>
  <c r="A361" i="7"/>
  <c r="C359" i="7"/>
  <c r="B358" i="7"/>
  <c r="A357" i="7"/>
  <c r="C355" i="7"/>
  <c r="B354" i="7"/>
  <c r="A353" i="7"/>
  <c r="C351" i="7"/>
  <c r="B350" i="7"/>
  <c r="A349" i="7"/>
  <c r="C347" i="7"/>
  <c r="B346" i="7"/>
  <c r="A345" i="7"/>
  <c r="C343" i="7"/>
  <c r="B342" i="7"/>
  <c r="A341" i="7"/>
  <c r="C339" i="7"/>
  <c r="B338" i="7"/>
  <c r="A337" i="7"/>
  <c r="C335" i="7"/>
  <c r="B334" i="7"/>
  <c r="A333" i="7"/>
  <c r="C331" i="7"/>
  <c r="B330" i="7"/>
  <c r="A329" i="7"/>
  <c r="C327" i="7"/>
  <c r="B326" i="7"/>
  <c r="A325" i="7"/>
  <c r="C323" i="7"/>
  <c r="B322" i="7"/>
  <c r="A321" i="7"/>
  <c r="C319" i="7"/>
  <c r="B318" i="7"/>
  <c r="A317" i="7"/>
  <c r="C315" i="7"/>
  <c r="B314" i="7"/>
  <c r="A313" i="7"/>
  <c r="C311" i="7"/>
  <c r="B310" i="7"/>
  <c r="A309" i="7"/>
  <c r="C307" i="7"/>
  <c r="B306" i="7"/>
  <c r="A305" i="7"/>
  <c r="C303" i="7"/>
  <c r="B302" i="7"/>
  <c r="A301" i="7"/>
  <c r="C299" i="7"/>
  <c r="B298" i="7"/>
  <c r="A297" i="7"/>
  <c r="C295" i="7"/>
  <c r="B294" i="7"/>
  <c r="A293" i="7"/>
  <c r="C291" i="7"/>
  <c r="B290" i="7"/>
  <c r="A289" i="7"/>
  <c r="C287" i="7"/>
  <c r="B286" i="7"/>
  <c r="A285" i="7"/>
  <c r="C283" i="7"/>
  <c r="B282" i="7"/>
  <c r="A281" i="7"/>
  <c r="C279" i="7"/>
  <c r="B278" i="7"/>
  <c r="A277" i="7"/>
  <c r="C275" i="7"/>
  <c r="B274" i="7"/>
  <c r="A273" i="7"/>
  <c r="C271" i="7"/>
  <c r="B270" i="7"/>
  <c r="A269" i="7"/>
  <c r="C267" i="7"/>
  <c r="B266" i="7"/>
  <c r="A265" i="7"/>
  <c r="A949" i="7"/>
  <c r="B946" i="7"/>
  <c r="C943" i="7"/>
  <c r="B941" i="7"/>
  <c r="A940" i="7"/>
  <c r="C938" i="7"/>
  <c r="B937" i="7"/>
  <c r="A936" i="7"/>
  <c r="C934" i="7"/>
  <c r="B933" i="7"/>
  <c r="A932" i="7"/>
  <c r="C930" i="7"/>
  <c r="B929" i="7"/>
  <c r="A928" i="7"/>
  <c r="C926" i="7"/>
  <c r="B925" i="7"/>
  <c r="A924" i="7"/>
  <c r="C922" i="7"/>
  <c r="B921" i="7"/>
  <c r="A920" i="7"/>
  <c r="C918" i="7"/>
  <c r="B917" i="7"/>
  <c r="A916" i="7"/>
  <c r="C914" i="7"/>
  <c r="B913" i="7"/>
  <c r="A912" i="7"/>
  <c r="C910" i="7"/>
  <c r="B909" i="7"/>
  <c r="A908" i="7"/>
  <c r="C906" i="7"/>
  <c r="B905" i="7"/>
  <c r="A904" i="7"/>
  <c r="C902" i="7"/>
  <c r="B901" i="7"/>
  <c r="A900" i="7"/>
  <c r="C898" i="7"/>
  <c r="B897" i="7"/>
  <c r="A896" i="7"/>
  <c r="C894" i="7"/>
  <c r="B893" i="7"/>
  <c r="A892" i="7"/>
  <c r="C890" i="7"/>
  <c r="B889" i="7"/>
  <c r="A888" i="7"/>
  <c r="C886" i="7"/>
  <c r="B885" i="7"/>
  <c r="A884" i="7"/>
  <c r="C882" i="7"/>
  <c r="B881" i="7"/>
  <c r="A880" i="7"/>
  <c r="C878" i="7"/>
  <c r="B877" i="7"/>
  <c r="A876" i="7"/>
  <c r="C874" i="7"/>
  <c r="B873" i="7"/>
  <c r="A872" i="7"/>
  <c r="C870" i="7"/>
  <c r="B869" i="7"/>
  <c r="A868" i="7"/>
  <c r="C866" i="7"/>
  <c r="B865" i="7"/>
  <c r="A864" i="7"/>
  <c r="C862" i="7"/>
  <c r="B861" i="7"/>
  <c r="A860" i="7"/>
  <c r="C858" i="7"/>
  <c r="B857" i="7"/>
  <c r="A856" i="7"/>
  <c r="C854" i="7"/>
  <c r="B853" i="7"/>
  <c r="A852" i="7"/>
  <c r="C850" i="7"/>
  <c r="B849" i="7"/>
  <c r="A848" i="7"/>
  <c r="C846" i="7"/>
  <c r="B845" i="7"/>
  <c r="A844" i="7"/>
  <c r="C842" i="7"/>
  <c r="B841" i="7"/>
  <c r="A840" i="7"/>
  <c r="C838" i="7"/>
  <c r="B837" i="7"/>
  <c r="A836" i="7"/>
  <c r="C834" i="7"/>
  <c r="B833" i="7"/>
  <c r="A832" i="7"/>
  <c r="C830" i="7"/>
  <c r="B829" i="7"/>
  <c r="A828" i="7"/>
  <c r="C826" i="7"/>
  <c r="B825" i="7"/>
  <c r="A824" i="7"/>
  <c r="C822" i="7"/>
  <c r="B821" i="7"/>
  <c r="A820" i="7"/>
  <c r="C818" i="7"/>
  <c r="B817" i="7"/>
  <c r="A816" i="7"/>
  <c r="C814" i="7"/>
  <c r="B813" i="7"/>
  <c r="A812" i="7"/>
  <c r="C810" i="7"/>
  <c r="B809" i="7"/>
  <c r="A808" i="7"/>
  <c r="C806" i="7"/>
  <c r="B805" i="7"/>
  <c r="A804" i="7"/>
  <c r="C802" i="7"/>
  <c r="B801" i="7"/>
  <c r="A800" i="7"/>
  <c r="C798" i="7"/>
  <c r="B797" i="7"/>
  <c r="A796" i="7"/>
  <c r="C794" i="7"/>
  <c r="B793" i="7"/>
  <c r="A792" i="7"/>
  <c r="C790" i="7"/>
  <c r="B789" i="7"/>
  <c r="A788" i="7"/>
  <c r="C786" i="7"/>
  <c r="B785" i="7"/>
  <c r="A784" i="7"/>
  <c r="C782" i="7"/>
  <c r="B781" i="7"/>
  <c r="A780" i="7"/>
  <c r="C778" i="7"/>
  <c r="B777" i="7"/>
  <c r="A776" i="7"/>
  <c r="C774" i="7"/>
  <c r="B773" i="7"/>
  <c r="A772" i="7"/>
  <c r="C770" i="7"/>
  <c r="B769" i="7"/>
  <c r="A768" i="7"/>
  <c r="C766" i="7"/>
  <c r="B765" i="7"/>
  <c r="A764" i="7"/>
  <c r="C762" i="7"/>
  <c r="B761" i="7"/>
  <c r="A760" i="7"/>
  <c r="C758" i="7"/>
  <c r="B757" i="7"/>
  <c r="A756" i="7"/>
  <c r="C754" i="7"/>
  <c r="B753" i="7"/>
  <c r="A752" i="7"/>
  <c r="C750" i="7"/>
  <c r="B749" i="7"/>
  <c r="A748" i="7"/>
  <c r="C746" i="7"/>
  <c r="B745" i="7"/>
  <c r="A744" i="7"/>
  <c r="C742" i="7"/>
  <c r="B741" i="7"/>
  <c r="A740" i="7"/>
  <c r="C738" i="7"/>
  <c r="B737" i="7"/>
  <c r="A736" i="7"/>
  <c r="C734" i="7"/>
  <c r="B733" i="7"/>
  <c r="A732" i="7"/>
  <c r="C730" i="7"/>
  <c r="B729" i="7"/>
  <c r="A728" i="7"/>
  <c r="C726" i="7"/>
  <c r="B725" i="7"/>
  <c r="A724" i="7"/>
  <c r="C722" i="7"/>
  <c r="B721" i="7"/>
  <c r="A720" i="7"/>
  <c r="C718" i="7"/>
  <c r="B717" i="7"/>
  <c r="A716" i="7"/>
  <c r="C714" i="7"/>
  <c r="B713" i="7"/>
  <c r="A712" i="7"/>
  <c r="C710" i="7"/>
  <c r="B709" i="7"/>
  <c r="A708" i="7"/>
  <c r="C706" i="7"/>
  <c r="B705" i="7"/>
  <c r="A704" i="7"/>
  <c r="C702" i="7"/>
  <c r="B701" i="7"/>
  <c r="A700" i="7"/>
  <c r="C698" i="7"/>
  <c r="B697" i="7"/>
  <c r="A696" i="7"/>
  <c r="C694" i="7"/>
  <c r="B693" i="7"/>
  <c r="A692" i="7"/>
  <c r="C690" i="7"/>
  <c r="B689" i="7"/>
  <c r="A688" i="7"/>
  <c r="C686" i="7"/>
  <c r="B685" i="7"/>
  <c r="A684" i="7"/>
  <c r="C682" i="7"/>
  <c r="B681" i="7"/>
  <c r="A680" i="7"/>
  <c r="C678" i="7"/>
  <c r="B677" i="7"/>
  <c r="A676" i="7"/>
  <c r="C674" i="7"/>
  <c r="B673" i="7"/>
  <c r="A672" i="7"/>
  <c r="C670" i="7"/>
  <c r="B669" i="7"/>
  <c r="A668" i="7"/>
  <c r="C666" i="7"/>
  <c r="B665" i="7"/>
  <c r="A664" i="7"/>
  <c r="C662" i="7"/>
  <c r="B661" i="7"/>
  <c r="A660" i="7"/>
  <c r="C658" i="7"/>
  <c r="B657" i="7"/>
  <c r="A656" i="7"/>
  <c r="C654" i="7"/>
  <c r="B653" i="7"/>
  <c r="A652" i="7"/>
  <c r="C650" i="7"/>
  <c r="B649" i="7"/>
  <c r="A648" i="7"/>
  <c r="C646" i="7"/>
  <c r="B645" i="7"/>
  <c r="A644" i="7"/>
  <c r="C642" i="7"/>
  <c r="B641" i="7"/>
  <c r="A640" i="7"/>
  <c r="C638" i="7"/>
  <c r="B637" i="7"/>
  <c r="A636" i="7"/>
  <c r="C634" i="7"/>
  <c r="B633" i="7"/>
  <c r="A632" i="7"/>
  <c r="C630" i="7"/>
  <c r="B629" i="7"/>
  <c r="A628" i="7"/>
  <c r="C626" i="7"/>
  <c r="B625" i="7"/>
  <c r="A624" i="7"/>
  <c r="C622" i="7"/>
  <c r="B621" i="7"/>
  <c r="A620" i="7"/>
  <c r="C618" i="7"/>
  <c r="B617" i="7"/>
  <c r="A616" i="7"/>
  <c r="C614" i="7"/>
  <c r="B613" i="7"/>
  <c r="A612" i="7"/>
  <c r="C610" i="7"/>
  <c r="B609" i="7"/>
  <c r="A608" i="7"/>
  <c r="C606" i="7"/>
  <c r="B605" i="7"/>
  <c r="A604" i="7"/>
  <c r="C602" i="7"/>
  <c r="B601" i="7"/>
  <c r="A600" i="7"/>
  <c r="C598" i="7"/>
  <c r="B597" i="7"/>
  <c r="A596" i="7"/>
  <c r="C594" i="7"/>
  <c r="B593" i="7"/>
  <c r="A592" i="7"/>
  <c r="C590" i="7"/>
  <c r="B589" i="7"/>
  <c r="A588" i="7"/>
  <c r="C586" i="7"/>
  <c r="B585" i="7"/>
  <c r="A584" i="7"/>
  <c r="C582" i="7"/>
  <c r="B581" i="7"/>
  <c r="A580" i="7"/>
  <c r="C578" i="7"/>
  <c r="B577" i="7"/>
  <c r="A576" i="7"/>
  <c r="C574" i="7"/>
  <c r="B573" i="7"/>
  <c r="A572" i="7"/>
  <c r="C570" i="7"/>
  <c r="B569" i="7"/>
  <c r="A568" i="7"/>
  <c r="C566" i="7"/>
  <c r="B565" i="7"/>
  <c r="A564" i="7"/>
  <c r="C562" i="7"/>
  <c r="B561" i="7"/>
  <c r="A560" i="7"/>
  <c r="C558" i="7"/>
  <c r="B557" i="7"/>
  <c r="A556" i="7"/>
  <c r="C554" i="7"/>
  <c r="B553" i="7"/>
  <c r="A552" i="7"/>
  <c r="C550" i="7"/>
  <c r="B549" i="7"/>
  <c r="A548" i="7"/>
  <c r="C546" i="7"/>
  <c r="B545" i="7"/>
  <c r="A544" i="7"/>
  <c r="C542" i="7"/>
  <c r="B541" i="7"/>
  <c r="A540" i="7"/>
  <c r="C538" i="7"/>
  <c r="B537" i="7"/>
  <c r="A536" i="7"/>
  <c r="C534" i="7"/>
  <c r="B533" i="7"/>
  <c r="A532" i="7"/>
  <c r="C530" i="7"/>
  <c r="B529" i="7"/>
  <c r="A528" i="7"/>
  <c r="C526" i="7"/>
  <c r="B525" i="7"/>
  <c r="A524" i="7"/>
  <c r="C522" i="7"/>
  <c r="B521" i="7"/>
  <c r="A520" i="7"/>
  <c r="C518" i="7"/>
  <c r="B517" i="7"/>
  <c r="A516" i="7"/>
  <c r="C514" i="7"/>
  <c r="B513" i="7"/>
  <c r="A512" i="7"/>
  <c r="C510" i="7"/>
  <c r="B509" i="7"/>
  <c r="A508" i="7"/>
  <c r="C506" i="7"/>
  <c r="B505" i="7"/>
  <c r="A504" i="7"/>
  <c r="C502" i="7"/>
  <c r="B501" i="7"/>
  <c r="A500" i="7"/>
  <c r="C498" i="7"/>
  <c r="B497" i="7"/>
  <c r="A496" i="7"/>
  <c r="C494" i="7"/>
  <c r="B493" i="7"/>
  <c r="A492" i="7"/>
  <c r="C490" i="7"/>
  <c r="B489" i="7"/>
  <c r="A488" i="7"/>
  <c r="C486" i="7"/>
  <c r="B485" i="7"/>
  <c r="A484" i="7"/>
  <c r="C482" i="7"/>
  <c r="B481" i="7"/>
  <c r="A480" i="7"/>
  <c r="C478" i="7"/>
  <c r="B477" i="7"/>
  <c r="A476" i="7"/>
  <c r="C474" i="7"/>
  <c r="B473" i="7"/>
  <c r="A472" i="7"/>
  <c r="C470" i="7"/>
  <c r="B469" i="7"/>
  <c r="A468" i="7"/>
  <c r="C466" i="7"/>
  <c r="B465" i="7"/>
  <c r="A464" i="7"/>
  <c r="C462" i="7"/>
  <c r="B461" i="7"/>
  <c r="A460" i="7"/>
  <c r="C458" i="7"/>
  <c r="B457" i="7"/>
  <c r="A456" i="7"/>
  <c r="C454" i="7"/>
  <c r="B453" i="7"/>
  <c r="A452" i="7"/>
  <c r="C450" i="7"/>
  <c r="B449" i="7"/>
  <c r="A448" i="7"/>
  <c r="C446" i="7"/>
  <c r="B445" i="7"/>
  <c r="A444" i="7"/>
  <c r="C442" i="7"/>
  <c r="B441" i="7"/>
  <c r="A440" i="7"/>
  <c r="C438" i="7"/>
  <c r="B437" i="7"/>
  <c r="A436" i="7"/>
  <c r="C434" i="7"/>
  <c r="B433" i="7"/>
  <c r="A432" i="7"/>
  <c r="C430" i="7"/>
  <c r="B429" i="7"/>
  <c r="A428" i="7"/>
  <c r="C426" i="7"/>
  <c r="B425" i="7"/>
  <c r="A424" i="7"/>
  <c r="C422" i="7"/>
  <c r="B421" i="7"/>
  <c r="A420" i="7"/>
  <c r="C418" i="7"/>
  <c r="B417" i="7"/>
  <c r="A416" i="7"/>
  <c r="C414" i="7"/>
  <c r="B413" i="7"/>
  <c r="A412" i="7"/>
  <c r="C410" i="7"/>
  <c r="B409" i="7"/>
  <c r="A408" i="7"/>
  <c r="C406" i="7"/>
  <c r="B405" i="7"/>
  <c r="A404" i="7"/>
  <c r="C402" i="7"/>
  <c r="B401" i="7"/>
  <c r="A400" i="7"/>
  <c r="C398" i="7"/>
  <c r="B397" i="7"/>
  <c r="A396" i="7"/>
  <c r="C394" i="7"/>
  <c r="B393" i="7"/>
  <c r="A392" i="7"/>
  <c r="C390" i="7"/>
  <c r="B389" i="7"/>
  <c r="A388" i="7"/>
  <c r="C386" i="7"/>
  <c r="B385" i="7"/>
  <c r="A384" i="7"/>
  <c r="C382" i="7"/>
  <c r="B381" i="7"/>
  <c r="A380" i="7"/>
  <c r="C378" i="7"/>
  <c r="B377" i="7"/>
  <c r="A376" i="7"/>
  <c r="C374" i="7"/>
  <c r="B373" i="7"/>
  <c r="A372" i="7"/>
  <c r="C370" i="7"/>
  <c r="B369" i="7"/>
  <c r="A368" i="7"/>
  <c r="C366" i="7"/>
  <c r="B365" i="7"/>
  <c r="A364" i="7"/>
  <c r="C362" i="7"/>
  <c r="B361" i="7"/>
  <c r="A360" i="7"/>
  <c r="C358" i="7"/>
  <c r="B357" i="7"/>
  <c r="A356" i="7"/>
  <c r="C354" i="7"/>
  <c r="B353" i="7"/>
  <c r="A352" i="7"/>
  <c r="C350" i="7"/>
  <c r="B349" i="7"/>
  <c r="A348" i="7"/>
  <c r="C346" i="7"/>
  <c r="B345" i="7"/>
  <c r="A344" i="7"/>
  <c r="C342" i="7"/>
  <c r="B341" i="7"/>
  <c r="A340" i="7"/>
  <c r="C338" i="7"/>
  <c r="B337" i="7"/>
  <c r="A336" i="7"/>
  <c r="C334" i="7"/>
  <c r="B333" i="7"/>
  <c r="A332" i="7"/>
  <c r="C330" i="7"/>
  <c r="B329" i="7"/>
  <c r="A328" i="7"/>
  <c r="C326" i="7"/>
  <c r="B325" i="7"/>
  <c r="A324" i="7"/>
  <c r="C322" i="7"/>
  <c r="B321" i="7"/>
  <c r="A320" i="7"/>
  <c r="C318" i="7"/>
  <c r="B317" i="7"/>
  <c r="A316" i="7"/>
  <c r="C314" i="7"/>
  <c r="B313" i="7"/>
  <c r="A312" i="7"/>
  <c r="C310" i="7"/>
  <c r="B309" i="7"/>
  <c r="A308" i="7"/>
  <c r="C306" i="7"/>
  <c r="B305" i="7"/>
  <c r="A304" i="7"/>
  <c r="C302" i="7"/>
  <c r="B301" i="7"/>
  <c r="A300" i="7"/>
  <c r="C298" i="7"/>
  <c r="B297" i="7"/>
  <c r="A296" i="7"/>
  <c r="C294" i="7"/>
  <c r="B293" i="7"/>
  <c r="A292" i="7"/>
  <c r="C290" i="7"/>
  <c r="B289" i="7"/>
  <c r="A288" i="7"/>
  <c r="C286" i="7"/>
  <c r="B285" i="7"/>
  <c r="A284" i="7"/>
  <c r="C282" i="7"/>
  <c r="B281" i="7"/>
  <c r="A280" i="7"/>
  <c r="C278" i="7"/>
  <c r="B277" i="7"/>
  <c r="A276" i="7"/>
  <c r="C274" i="7"/>
  <c r="B273" i="7"/>
  <c r="A272" i="7"/>
  <c r="C270" i="7"/>
  <c r="B269" i="7"/>
  <c r="A268" i="7"/>
  <c r="C266" i="7"/>
  <c r="B265" i="7"/>
  <c r="A264" i="7"/>
  <c r="C262" i="7"/>
  <c r="B261" i="7"/>
  <c r="C263" i="7"/>
  <c r="A261" i="7"/>
  <c r="B259" i="7"/>
  <c r="A258" i="7"/>
  <c r="C256" i="7"/>
  <c r="B255" i="7"/>
  <c r="A254" i="7"/>
  <c r="C252" i="7"/>
  <c r="B251" i="7"/>
  <c r="A250" i="7"/>
  <c r="C248" i="7"/>
  <c r="B247" i="7"/>
  <c r="A246" i="7"/>
  <c r="C244" i="7"/>
  <c r="B243" i="7"/>
  <c r="A242" i="7"/>
  <c r="C240" i="7"/>
  <c r="B239" i="7"/>
  <c r="A238" i="7"/>
  <c r="C236" i="7"/>
  <c r="B235" i="7"/>
  <c r="A234" i="7"/>
  <c r="C232" i="7"/>
  <c r="B231" i="7"/>
  <c r="A230" i="7"/>
  <c r="C228" i="7"/>
  <c r="B227" i="7"/>
  <c r="A226" i="7"/>
  <c r="C224" i="7"/>
  <c r="B223" i="7"/>
  <c r="C1192" i="7"/>
  <c r="A1190" i="7"/>
  <c r="B1187" i="7"/>
  <c r="C1184" i="7"/>
  <c r="A1182" i="7"/>
  <c r="B1179" i="7"/>
  <c r="C1176" i="7"/>
  <c r="A1174" i="7"/>
  <c r="B1171" i="7"/>
  <c r="C1168" i="7"/>
  <c r="A1166" i="7"/>
  <c r="B1163" i="7"/>
  <c r="C1160" i="7"/>
  <c r="A1158" i="7"/>
  <c r="B1155" i="7"/>
  <c r="C1152" i="7"/>
  <c r="A1150" i="7"/>
  <c r="B1147" i="7"/>
  <c r="C1144" i="7"/>
  <c r="A1142" i="7"/>
  <c r="B1139" i="7"/>
  <c r="C1136" i="7"/>
  <c r="A1134" i="7"/>
  <c r="B1131" i="7"/>
  <c r="C1128" i="7"/>
  <c r="A1126" i="7"/>
  <c r="B1123" i="7"/>
  <c r="C1120" i="7"/>
  <c r="A1118" i="7"/>
  <c r="B1115" i="7"/>
  <c r="C1112" i="7"/>
  <c r="A1110" i="7"/>
  <c r="B1107" i="7"/>
  <c r="C1104" i="7"/>
  <c r="A1102" i="7"/>
  <c r="B1099" i="7"/>
  <c r="C1096" i="7"/>
  <c r="A1094" i="7"/>
  <c r="B1091" i="7"/>
  <c r="C1088" i="7"/>
  <c r="A1086" i="7"/>
  <c r="B1083" i="7"/>
  <c r="C1080" i="7"/>
  <c r="A1078" i="7"/>
  <c r="B1075" i="7"/>
  <c r="C1072" i="7"/>
  <c r="A1070" i="7"/>
  <c r="B1067" i="7"/>
  <c r="C1064" i="7"/>
  <c r="A1062" i="7"/>
  <c r="B1059" i="7"/>
  <c r="C1056" i="7"/>
  <c r="A1054" i="7"/>
  <c r="B1051" i="7"/>
  <c r="C1048" i="7"/>
  <c r="A1046" i="7"/>
  <c r="B1043" i="7"/>
  <c r="C1040" i="7"/>
  <c r="A1038" i="7"/>
  <c r="B1035" i="7"/>
  <c r="C1032" i="7"/>
  <c r="A1030" i="7"/>
  <c r="B1027" i="7"/>
  <c r="C1024" i="7"/>
  <c r="A1022" i="7"/>
  <c r="B1019" i="7"/>
  <c r="C1016" i="7"/>
  <c r="A1014" i="7"/>
  <c r="B1011" i="7"/>
  <c r="C1008" i="7"/>
  <c r="A1006" i="7"/>
  <c r="B1003" i="7"/>
  <c r="C1000" i="7"/>
  <c r="A998" i="7"/>
  <c r="B995" i="7"/>
  <c r="C992" i="7"/>
  <c r="A990" i="7"/>
  <c r="B987" i="7"/>
  <c r="C984" i="7"/>
  <c r="A982" i="7"/>
  <c r="B979" i="7"/>
  <c r="C976" i="7"/>
  <c r="A974" i="7"/>
  <c r="B971" i="7"/>
  <c r="C968" i="7"/>
  <c r="A966" i="7"/>
  <c r="B963" i="7"/>
  <c r="C960" i="7"/>
  <c r="A958" i="7"/>
  <c r="B955" i="7"/>
  <c r="C952" i="7"/>
  <c r="A950" i="7"/>
  <c r="B947" i="7"/>
  <c r="C944" i="7"/>
  <c r="A942" i="7"/>
  <c r="C945" i="7"/>
  <c r="A941" i="7"/>
  <c r="B938" i="7"/>
  <c r="C935" i="7"/>
  <c r="A933" i="7"/>
  <c r="B930" i="7"/>
  <c r="C927" i="7"/>
  <c r="A925" i="7"/>
  <c r="B922" i="7"/>
  <c r="C919" i="7"/>
  <c r="A917" i="7"/>
  <c r="B914" i="7"/>
  <c r="C911" i="7"/>
  <c r="A909" i="7"/>
  <c r="B906" i="7"/>
  <c r="C903" i="7"/>
  <c r="A901" i="7"/>
  <c r="B898" i="7"/>
  <c r="C895" i="7"/>
  <c r="A893" i="7"/>
  <c r="B890" i="7"/>
  <c r="C887" i="7"/>
  <c r="A885" i="7"/>
  <c r="B882" i="7"/>
  <c r="C879" i="7"/>
  <c r="A877" i="7"/>
  <c r="B874" i="7"/>
  <c r="C871" i="7"/>
  <c r="A869" i="7"/>
  <c r="B866" i="7"/>
  <c r="C863" i="7"/>
  <c r="A861" i="7"/>
  <c r="B858" i="7"/>
  <c r="C855" i="7"/>
  <c r="A853" i="7"/>
  <c r="B850" i="7"/>
  <c r="C847" i="7"/>
  <c r="A845" i="7"/>
  <c r="B842" i="7"/>
  <c r="C839" i="7"/>
  <c r="A837" i="7"/>
  <c r="B834" i="7"/>
  <c r="C831" i="7"/>
  <c r="A829" i="7"/>
  <c r="B826" i="7"/>
  <c r="C823" i="7"/>
  <c r="A821" i="7"/>
  <c r="B818" i="7"/>
  <c r="C815" i="7"/>
  <c r="A813" i="7"/>
  <c r="B810" i="7"/>
  <c r="C807" i="7"/>
  <c r="A805" i="7"/>
  <c r="B802" i="7"/>
  <c r="C799" i="7"/>
  <c r="A797" i="7"/>
  <c r="B794" i="7"/>
  <c r="C791" i="7"/>
  <c r="A789" i="7"/>
  <c r="B786" i="7"/>
  <c r="C783" i="7"/>
  <c r="A781" i="7"/>
  <c r="B778" i="7"/>
  <c r="C775" i="7"/>
  <c r="A773" i="7"/>
  <c r="B770" i="7"/>
  <c r="C767" i="7"/>
  <c r="A765" i="7"/>
  <c r="B762" i="7"/>
  <c r="C759" i="7"/>
  <c r="A757" i="7"/>
  <c r="B754" i="7"/>
  <c r="C751" i="7"/>
  <c r="A749" i="7"/>
  <c r="B746" i="7"/>
  <c r="C743" i="7"/>
  <c r="A741" i="7"/>
  <c r="B738" i="7"/>
  <c r="C735" i="7"/>
  <c r="A733" i="7"/>
  <c r="B730" i="7"/>
  <c r="C727" i="7"/>
  <c r="A725" i="7"/>
  <c r="B722" i="7"/>
  <c r="C719" i="7"/>
  <c r="A717" i="7"/>
  <c r="B714" i="7"/>
  <c r="C711" i="7"/>
  <c r="A709" i="7"/>
  <c r="B706" i="7"/>
  <c r="C703" i="7"/>
  <c r="A701" i="7"/>
  <c r="B698" i="7"/>
  <c r="C695" i="7"/>
  <c r="A693" i="7"/>
  <c r="B690" i="7"/>
  <c r="C687" i="7"/>
  <c r="A685" i="7"/>
  <c r="B682" i="7"/>
  <c r="C679" i="7"/>
  <c r="A677" i="7"/>
  <c r="B674" i="7"/>
  <c r="C671" i="7"/>
  <c r="A669" i="7"/>
  <c r="B666" i="7"/>
  <c r="C663" i="7"/>
  <c r="A661" i="7"/>
  <c r="B658" i="7"/>
  <c r="C655" i="7"/>
  <c r="A653" i="7"/>
  <c r="B650" i="7"/>
  <c r="C647" i="7"/>
  <c r="A645" i="7"/>
  <c r="B642" i="7"/>
  <c r="C639" i="7"/>
  <c r="A637" i="7"/>
  <c r="B634" i="7"/>
  <c r="C631" i="7"/>
  <c r="A629" i="7"/>
  <c r="B626" i="7"/>
  <c r="C623" i="7"/>
  <c r="A621" i="7"/>
  <c r="B618" i="7"/>
  <c r="C615" i="7"/>
  <c r="A613" i="7"/>
  <c r="B610" i="7"/>
  <c r="C607" i="7"/>
  <c r="C605" i="7"/>
  <c r="B604" i="7"/>
  <c r="A603" i="7"/>
  <c r="C601" i="7"/>
  <c r="B600" i="7"/>
  <c r="A599" i="7"/>
  <c r="C597" i="7"/>
  <c r="B596" i="7"/>
  <c r="A595" i="7"/>
  <c r="C593" i="7"/>
  <c r="B592" i="7"/>
  <c r="A591" i="7"/>
  <c r="C589" i="7"/>
  <c r="B588" i="7"/>
  <c r="A587" i="7"/>
  <c r="C585" i="7"/>
  <c r="B584" i="7"/>
  <c r="A583" i="7"/>
  <c r="C581" i="7"/>
  <c r="B580" i="7"/>
  <c r="A579" i="7"/>
  <c r="C577" i="7"/>
  <c r="B576" i="7"/>
  <c r="A575" i="7"/>
  <c r="C573" i="7"/>
  <c r="B572" i="7"/>
  <c r="A571" i="7"/>
  <c r="C569" i="7"/>
  <c r="B568" i="7"/>
  <c r="A567" i="7"/>
  <c r="C565" i="7"/>
  <c r="B564" i="7"/>
  <c r="A563" i="7"/>
  <c r="C561" i="7"/>
  <c r="B560" i="7"/>
  <c r="A559" i="7"/>
  <c r="C557" i="7"/>
  <c r="B556" i="7"/>
  <c r="A555" i="7"/>
  <c r="C553" i="7"/>
  <c r="B552" i="7"/>
  <c r="A551" i="7"/>
  <c r="C549" i="7"/>
  <c r="B548" i="7"/>
  <c r="A547" i="7"/>
  <c r="C545" i="7"/>
  <c r="B544" i="7"/>
  <c r="A543" i="7"/>
  <c r="C541" i="7"/>
  <c r="B540" i="7"/>
  <c r="A539" i="7"/>
  <c r="C537" i="7"/>
  <c r="B536" i="7"/>
  <c r="A535" i="7"/>
  <c r="C533" i="7"/>
  <c r="B532" i="7"/>
  <c r="A531" i="7"/>
  <c r="C529" i="7"/>
  <c r="B528" i="7"/>
  <c r="A527" i="7"/>
  <c r="C525" i="7"/>
  <c r="B524" i="7"/>
  <c r="A523" i="7"/>
  <c r="C521" i="7"/>
  <c r="B520" i="7"/>
  <c r="A519" i="7"/>
  <c r="C517" i="7"/>
  <c r="B516" i="7"/>
  <c r="A515" i="7"/>
  <c r="C513" i="7"/>
  <c r="B512" i="7"/>
  <c r="A511" i="7"/>
  <c r="C509" i="7"/>
  <c r="B508" i="7"/>
  <c r="A507" i="7"/>
  <c r="C505" i="7"/>
  <c r="B504" i="7"/>
  <c r="A503" i="7"/>
  <c r="C501" i="7"/>
  <c r="B500" i="7"/>
  <c r="A499" i="7"/>
  <c r="C497" i="7"/>
  <c r="B496" i="7"/>
  <c r="A495" i="7"/>
  <c r="C493" i="7"/>
  <c r="B492" i="7"/>
  <c r="A491" i="7"/>
  <c r="C489" i="7"/>
  <c r="B488" i="7"/>
  <c r="A487" i="7"/>
  <c r="C485" i="7"/>
  <c r="B484" i="7"/>
  <c r="A483" i="7"/>
  <c r="C481" i="7"/>
  <c r="B480" i="7"/>
  <c r="A479" i="7"/>
  <c r="C477" i="7"/>
  <c r="B476" i="7"/>
  <c r="A475" i="7"/>
  <c r="C473" i="7"/>
  <c r="B472" i="7"/>
  <c r="A471" i="7"/>
  <c r="C469" i="7"/>
  <c r="B468" i="7"/>
  <c r="A467" i="7"/>
  <c r="C465" i="7"/>
  <c r="B464" i="7"/>
  <c r="A463" i="7"/>
  <c r="C461" i="7"/>
  <c r="B460" i="7"/>
  <c r="A459" i="7"/>
  <c r="C457" i="7"/>
  <c r="B456" i="7"/>
  <c r="A455" i="7"/>
  <c r="C453" i="7"/>
  <c r="B452" i="7"/>
  <c r="A451" i="7"/>
  <c r="C449" i="7"/>
  <c r="B448" i="7"/>
  <c r="A447" i="7"/>
  <c r="C445" i="7"/>
  <c r="B444" i="7"/>
  <c r="A443" i="7"/>
  <c r="C441" i="7"/>
  <c r="B440" i="7"/>
  <c r="A439" i="7"/>
  <c r="C437" i="7"/>
  <c r="B436" i="7"/>
  <c r="A435" i="7"/>
  <c r="C433" i="7"/>
  <c r="B432" i="7"/>
  <c r="A431" i="7"/>
  <c r="C429" i="7"/>
  <c r="B428" i="7"/>
  <c r="A427" i="7"/>
  <c r="C425" i="7"/>
  <c r="B424" i="7"/>
  <c r="A423" i="7"/>
  <c r="C421" i="7"/>
  <c r="B420" i="7"/>
  <c r="A419" i="7"/>
  <c r="C417" i="7"/>
  <c r="B416" i="7"/>
  <c r="A415" i="7"/>
  <c r="C413" i="7"/>
  <c r="B412" i="7"/>
  <c r="A411" i="7"/>
  <c r="C409" i="7"/>
  <c r="B408" i="7"/>
  <c r="A407" i="7"/>
  <c r="C405" i="7"/>
  <c r="B404" i="7"/>
  <c r="A403" i="7"/>
  <c r="C401" i="7"/>
  <c r="B400" i="7"/>
  <c r="A399" i="7"/>
  <c r="C397" i="7"/>
  <c r="B396" i="7"/>
  <c r="A395" i="7"/>
  <c r="C393" i="7"/>
  <c r="B392" i="7"/>
  <c r="A391" i="7"/>
  <c r="C389" i="7"/>
  <c r="B388" i="7"/>
  <c r="A387" i="7"/>
  <c r="C385" i="7"/>
  <c r="B384" i="7"/>
  <c r="A383" i="7"/>
  <c r="C381" i="7"/>
  <c r="B380" i="7"/>
  <c r="A379" i="7"/>
  <c r="C377" i="7"/>
  <c r="B376" i="7"/>
  <c r="A375" i="7"/>
  <c r="C373" i="7"/>
  <c r="B372" i="7"/>
  <c r="A371" i="7"/>
  <c r="C369" i="7"/>
  <c r="B368" i="7"/>
  <c r="A367" i="7"/>
  <c r="C365" i="7"/>
  <c r="B364" i="7"/>
  <c r="A363" i="7"/>
  <c r="C361" i="7"/>
  <c r="B360" i="7"/>
  <c r="A359" i="7"/>
  <c r="C357" i="7"/>
  <c r="B356" i="7"/>
  <c r="A355" i="7"/>
  <c r="C353" i="7"/>
  <c r="B352" i="7"/>
  <c r="A351" i="7"/>
  <c r="C349" i="7"/>
  <c r="B348" i="7"/>
  <c r="A347" i="7"/>
  <c r="C345" i="7"/>
  <c r="B344" i="7"/>
  <c r="A343" i="7"/>
  <c r="C341" i="7"/>
  <c r="B340" i="7"/>
  <c r="A339" i="7"/>
  <c r="C337" i="7"/>
  <c r="B336" i="7"/>
  <c r="A335" i="7"/>
  <c r="C333" i="7"/>
  <c r="B332" i="7"/>
  <c r="A331" i="7"/>
  <c r="C329" i="7"/>
  <c r="B328" i="7"/>
  <c r="A327" i="7"/>
  <c r="C325" i="7"/>
  <c r="B324" i="7"/>
  <c r="A323" i="7"/>
  <c r="C321" i="7"/>
  <c r="B320" i="7"/>
  <c r="A319" i="7"/>
  <c r="C317" i="7"/>
  <c r="B316" i="7"/>
  <c r="A315" i="7"/>
  <c r="C313" i="7"/>
  <c r="B312" i="7"/>
  <c r="A311" i="7"/>
  <c r="C309" i="7"/>
  <c r="B308" i="7"/>
  <c r="A307" i="7"/>
  <c r="C305" i="7"/>
  <c r="B304" i="7"/>
  <c r="A303" i="7"/>
  <c r="C301" i="7"/>
  <c r="B300" i="7"/>
  <c r="A299" i="7"/>
  <c r="C297" i="7"/>
  <c r="B296" i="7"/>
  <c r="A295" i="7"/>
  <c r="C293" i="7"/>
  <c r="B292" i="7"/>
  <c r="A291" i="7"/>
  <c r="C289" i="7"/>
  <c r="B288" i="7"/>
  <c r="A287" i="7"/>
  <c r="C285" i="7"/>
  <c r="B284" i="7"/>
  <c r="A283" i="7"/>
  <c r="C281" i="7"/>
  <c r="B280" i="7"/>
  <c r="A279" i="7"/>
  <c r="C277" i="7"/>
  <c r="B276" i="7"/>
  <c r="A275" i="7"/>
  <c r="C273" i="7"/>
  <c r="B272" i="7"/>
  <c r="A271" i="7"/>
  <c r="C269" i="7"/>
  <c r="B268" i="7"/>
  <c r="A267" i="7"/>
  <c r="C265" i="7"/>
  <c r="B264" i="7"/>
  <c r="C947" i="7"/>
  <c r="A945" i="7"/>
  <c r="B942" i="7"/>
  <c r="C940" i="7"/>
  <c r="B939" i="7"/>
  <c r="A938" i="7"/>
  <c r="C936" i="7"/>
  <c r="B935" i="7"/>
  <c r="A934" i="7"/>
  <c r="C932" i="7"/>
  <c r="B931" i="7"/>
  <c r="A930" i="7"/>
  <c r="C928" i="7"/>
  <c r="B927" i="7"/>
  <c r="A926" i="7"/>
  <c r="C924" i="7"/>
  <c r="B923" i="7"/>
  <c r="A922" i="7"/>
  <c r="C920" i="7"/>
  <c r="B919" i="7"/>
  <c r="A918" i="7"/>
  <c r="C916" i="7"/>
  <c r="B915" i="7"/>
  <c r="A914" i="7"/>
  <c r="C912" i="7"/>
  <c r="B911" i="7"/>
  <c r="A910" i="7"/>
  <c r="C908" i="7"/>
  <c r="B907" i="7"/>
  <c r="A906" i="7"/>
  <c r="C904" i="7"/>
  <c r="B903" i="7"/>
  <c r="A902" i="7"/>
  <c r="C900" i="7"/>
  <c r="B899" i="7"/>
  <c r="A898" i="7"/>
  <c r="C896" i="7"/>
  <c r="B895" i="7"/>
  <c r="A894" i="7"/>
  <c r="C892" i="7"/>
  <c r="B891" i="7"/>
  <c r="A890" i="7"/>
  <c r="C888" i="7"/>
  <c r="B887" i="7"/>
  <c r="A886" i="7"/>
  <c r="C884" i="7"/>
  <c r="B883" i="7"/>
  <c r="A882" i="7"/>
  <c r="C880" i="7"/>
  <c r="B879" i="7"/>
  <c r="A878" i="7"/>
  <c r="C876" i="7"/>
  <c r="B875" i="7"/>
  <c r="A874" i="7"/>
  <c r="C872" i="7"/>
  <c r="B871" i="7"/>
  <c r="A870" i="7"/>
  <c r="C868" i="7"/>
  <c r="B867" i="7"/>
  <c r="A866" i="7"/>
  <c r="C864" i="7"/>
  <c r="B863" i="7"/>
  <c r="A862" i="7"/>
  <c r="C860" i="7"/>
  <c r="B859" i="7"/>
  <c r="A858" i="7"/>
  <c r="C856" i="7"/>
  <c r="B855" i="7"/>
  <c r="A854" i="7"/>
  <c r="C852" i="7"/>
  <c r="B851" i="7"/>
  <c r="A850" i="7"/>
  <c r="C848" i="7"/>
  <c r="B847" i="7"/>
  <c r="A846" i="7"/>
  <c r="C844" i="7"/>
  <c r="B843" i="7"/>
  <c r="A842" i="7"/>
  <c r="C840" i="7"/>
  <c r="B839" i="7"/>
  <c r="A838" i="7"/>
  <c r="C836" i="7"/>
  <c r="B835" i="7"/>
  <c r="A834" i="7"/>
  <c r="C832" i="7"/>
  <c r="B831" i="7"/>
  <c r="A830" i="7"/>
  <c r="C828" i="7"/>
  <c r="B827" i="7"/>
  <c r="A826" i="7"/>
  <c r="C824" i="7"/>
  <c r="B823" i="7"/>
  <c r="A822" i="7"/>
  <c r="C820" i="7"/>
  <c r="B819" i="7"/>
  <c r="A818" i="7"/>
  <c r="C816" i="7"/>
  <c r="B815" i="7"/>
  <c r="A814" i="7"/>
  <c r="C812" i="7"/>
  <c r="B811" i="7"/>
  <c r="A810" i="7"/>
  <c r="C808" i="7"/>
  <c r="B807" i="7"/>
  <c r="A806" i="7"/>
  <c r="C804" i="7"/>
  <c r="B803" i="7"/>
  <c r="A802" i="7"/>
  <c r="C800" i="7"/>
  <c r="B799" i="7"/>
  <c r="A798" i="7"/>
  <c r="C796" i="7"/>
  <c r="B795" i="7"/>
  <c r="A794" i="7"/>
  <c r="C792" i="7"/>
  <c r="B791" i="7"/>
  <c r="A790" i="7"/>
  <c r="C788" i="7"/>
  <c r="B787" i="7"/>
  <c r="A786" i="7"/>
  <c r="C784" i="7"/>
  <c r="B783" i="7"/>
  <c r="A782" i="7"/>
  <c r="C780" i="7"/>
  <c r="B779" i="7"/>
  <c r="A778" i="7"/>
  <c r="C776" i="7"/>
  <c r="B775" i="7"/>
  <c r="A774" i="7"/>
  <c r="C772" i="7"/>
  <c r="B771" i="7"/>
  <c r="A770" i="7"/>
  <c r="C768" i="7"/>
  <c r="B767" i="7"/>
  <c r="A766" i="7"/>
  <c r="C764" i="7"/>
  <c r="B763" i="7"/>
  <c r="A762" i="7"/>
  <c r="C760" i="7"/>
  <c r="B759" i="7"/>
  <c r="A758" i="7"/>
  <c r="C756" i="7"/>
  <c r="B755" i="7"/>
  <c r="A754" i="7"/>
  <c r="C752" i="7"/>
  <c r="B751" i="7"/>
  <c r="A750" i="7"/>
  <c r="C748" i="7"/>
  <c r="B747" i="7"/>
  <c r="A746" i="7"/>
  <c r="C744" i="7"/>
  <c r="B743" i="7"/>
  <c r="A742" i="7"/>
  <c r="C740" i="7"/>
  <c r="B739" i="7"/>
  <c r="A738" i="7"/>
  <c r="C736" i="7"/>
  <c r="B735" i="7"/>
  <c r="A734" i="7"/>
  <c r="C732" i="7"/>
  <c r="B731" i="7"/>
  <c r="A730" i="7"/>
  <c r="C728" i="7"/>
  <c r="B727" i="7"/>
  <c r="A726" i="7"/>
  <c r="C724" i="7"/>
  <c r="B723" i="7"/>
  <c r="A722" i="7"/>
  <c r="C720" i="7"/>
  <c r="B719" i="7"/>
  <c r="A718" i="7"/>
  <c r="C716" i="7"/>
  <c r="B715" i="7"/>
  <c r="A714" i="7"/>
  <c r="C712" i="7"/>
  <c r="B711" i="7"/>
  <c r="A710" i="7"/>
  <c r="C708" i="7"/>
  <c r="B707" i="7"/>
  <c r="A706" i="7"/>
  <c r="C704" i="7"/>
  <c r="B703" i="7"/>
  <c r="A702" i="7"/>
  <c r="C700" i="7"/>
  <c r="B699" i="7"/>
  <c r="A698" i="7"/>
  <c r="C696" i="7"/>
  <c r="B695" i="7"/>
  <c r="A694" i="7"/>
  <c r="C692" i="7"/>
  <c r="B691" i="7"/>
  <c r="A690" i="7"/>
  <c r="C688" i="7"/>
  <c r="B687" i="7"/>
  <c r="A686" i="7"/>
  <c r="C684" i="7"/>
  <c r="B683" i="7"/>
  <c r="A682" i="7"/>
  <c r="C680" i="7"/>
  <c r="B679" i="7"/>
  <c r="A678" i="7"/>
  <c r="C676" i="7"/>
  <c r="B675" i="7"/>
  <c r="A674" i="7"/>
  <c r="C672" i="7"/>
  <c r="B671" i="7"/>
  <c r="A670" i="7"/>
  <c r="C668" i="7"/>
  <c r="B667" i="7"/>
  <c r="A666" i="7"/>
  <c r="C664" i="7"/>
  <c r="B663" i="7"/>
  <c r="A662" i="7"/>
  <c r="C660" i="7"/>
  <c r="B659" i="7"/>
  <c r="A658" i="7"/>
  <c r="C656" i="7"/>
  <c r="B655" i="7"/>
  <c r="A654" i="7"/>
  <c r="C652" i="7"/>
  <c r="B651" i="7"/>
  <c r="A650" i="7"/>
  <c r="C648" i="7"/>
  <c r="B647" i="7"/>
  <c r="A646" i="7"/>
  <c r="C644" i="7"/>
  <c r="B643" i="7"/>
  <c r="A642" i="7"/>
  <c r="C640" i="7"/>
  <c r="B639" i="7"/>
  <c r="A638" i="7"/>
  <c r="C636" i="7"/>
  <c r="B635" i="7"/>
  <c r="A634" i="7"/>
  <c r="C632" i="7"/>
  <c r="B631" i="7"/>
  <c r="A630" i="7"/>
  <c r="C628" i="7"/>
  <c r="B627" i="7"/>
  <c r="A626" i="7"/>
  <c r="C624" i="7"/>
  <c r="B623" i="7"/>
  <c r="A622" i="7"/>
  <c r="C620" i="7"/>
  <c r="B619" i="7"/>
  <c r="A618" i="7"/>
  <c r="C616" i="7"/>
  <c r="B615" i="7"/>
  <c r="A614" i="7"/>
  <c r="C612" i="7"/>
  <c r="B611" i="7"/>
  <c r="A610" i="7"/>
  <c r="C608" i="7"/>
  <c r="B607" i="7"/>
  <c r="A606" i="7"/>
  <c r="C604" i="7"/>
  <c r="B603" i="7"/>
  <c r="A602" i="7"/>
  <c r="C600" i="7"/>
  <c r="B599" i="7"/>
  <c r="A598" i="7"/>
  <c r="C596" i="7"/>
  <c r="B595" i="7"/>
  <c r="A594" i="7"/>
  <c r="C592" i="7"/>
  <c r="B591" i="7"/>
  <c r="A590" i="7"/>
  <c r="C588" i="7"/>
  <c r="B587" i="7"/>
  <c r="A586" i="7"/>
  <c r="C584" i="7"/>
  <c r="B583" i="7"/>
  <c r="A582" i="7"/>
  <c r="C580" i="7"/>
  <c r="B579" i="7"/>
  <c r="A578" i="7"/>
  <c r="C576" i="7"/>
  <c r="B575" i="7"/>
  <c r="A574" i="7"/>
  <c r="C572" i="7"/>
  <c r="B571" i="7"/>
  <c r="A570" i="7"/>
  <c r="C568" i="7"/>
  <c r="B567" i="7"/>
  <c r="A566" i="7"/>
  <c r="C564" i="7"/>
  <c r="B563" i="7"/>
  <c r="A562" i="7"/>
  <c r="C560" i="7"/>
  <c r="B559" i="7"/>
  <c r="A558" i="7"/>
  <c r="C556" i="7"/>
  <c r="B555" i="7"/>
  <c r="A554" i="7"/>
  <c r="C552" i="7"/>
  <c r="B551" i="7"/>
  <c r="A550" i="7"/>
  <c r="C548" i="7"/>
  <c r="B547" i="7"/>
  <c r="A546" i="7"/>
  <c r="C544" i="7"/>
  <c r="B543" i="7"/>
  <c r="A542" i="7"/>
  <c r="C540" i="7"/>
  <c r="B539" i="7"/>
  <c r="A538" i="7"/>
  <c r="C536" i="7"/>
  <c r="B535" i="7"/>
  <c r="A534" i="7"/>
  <c r="C532" i="7"/>
  <c r="B531" i="7"/>
  <c r="A530" i="7"/>
  <c r="C528" i="7"/>
  <c r="B527" i="7"/>
  <c r="A526" i="7"/>
  <c r="C524" i="7"/>
  <c r="B523" i="7"/>
  <c r="A522" i="7"/>
  <c r="C520" i="7"/>
  <c r="B519" i="7"/>
  <c r="A518" i="7"/>
  <c r="C516" i="7"/>
  <c r="B515" i="7"/>
  <c r="A514" i="7"/>
  <c r="C512" i="7"/>
  <c r="B511" i="7"/>
  <c r="A510" i="7"/>
  <c r="C508" i="7"/>
  <c r="B507" i="7"/>
  <c r="A506" i="7"/>
  <c r="C504" i="7"/>
  <c r="B503" i="7"/>
  <c r="A502" i="7"/>
  <c r="C500" i="7"/>
  <c r="B499" i="7"/>
  <c r="A498" i="7"/>
  <c r="C496" i="7"/>
  <c r="B495" i="7"/>
  <c r="A494" i="7"/>
  <c r="C492" i="7"/>
  <c r="B491" i="7"/>
  <c r="A490" i="7"/>
  <c r="C488" i="7"/>
  <c r="B487" i="7"/>
  <c r="A486" i="7"/>
  <c r="C484" i="7"/>
  <c r="B483" i="7"/>
  <c r="A482" i="7"/>
  <c r="C480" i="7"/>
  <c r="B479" i="7"/>
  <c r="A478" i="7"/>
  <c r="C476" i="7"/>
  <c r="B475" i="7"/>
  <c r="A474" i="7"/>
  <c r="C472" i="7"/>
  <c r="B471" i="7"/>
  <c r="A470" i="7"/>
  <c r="C468" i="7"/>
  <c r="B467" i="7"/>
  <c r="A466" i="7"/>
  <c r="C464" i="7"/>
  <c r="B463" i="7"/>
  <c r="A462" i="7"/>
  <c r="C460" i="7"/>
  <c r="B459" i="7"/>
  <c r="A458" i="7"/>
  <c r="C456" i="7"/>
  <c r="B455" i="7"/>
  <c r="A454" i="7"/>
  <c r="C452" i="7"/>
  <c r="B451" i="7"/>
  <c r="A450" i="7"/>
  <c r="C448" i="7"/>
  <c r="B447" i="7"/>
  <c r="A446" i="7"/>
  <c r="C444" i="7"/>
  <c r="B443" i="7"/>
  <c r="A442" i="7"/>
  <c r="C440" i="7"/>
  <c r="B439" i="7"/>
  <c r="A438" i="7"/>
  <c r="C436" i="7"/>
  <c r="B435" i="7"/>
  <c r="A434" i="7"/>
  <c r="C432" i="7"/>
  <c r="B431" i="7"/>
  <c r="A430" i="7"/>
  <c r="C428" i="7"/>
  <c r="B427" i="7"/>
  <c r="A426" i="7"/>
  <c r="C424" i="7"/>
  <c r="B423" i="7"/>
  <c r="A422" i="7"/>
  <c r="C420" i="7"/>
  <c r="B419" i="7"/>
  <c r="A418" i="7"/>
  <c r="C416" i="7"/>
  <c r="B415" i="7"/>
  <c r="A414" i="7"/>
  <c r="C412" i="7"/>
  <c r="B411" i="7"/>
  <c r="A410" i="7"/>
  <c r="C408" i="7"/>
  <c r="B407" i="7"/>
  <c r="A406" i="7"/>
  <c r="C404" i="7"/>
  <c r="B403" i="7"/>
  <c r="A402" i="7"/>
  <c r="C400" i="7"/>
  <c r="B399" i="7"/>
  <c r="A398" i="7"/>
  <c r="C396" i="7"/>
  <c r="B395" i="7"/>
  <c r="A394" i="7"/>
  <c r="C392" i="7"/>
  <c r="B391" i="7"/>
  <c r="A390" i="7"/>
  <c r="C388" i="7"/>
  <c r="B387" i="7"/>
  <c r="A386" i="7"/>
  <c r="C384" i="7"/>
  <c r="B383" i="7"/>
  <c r="A382" i="7"/>
  <c r="C380" i="7"/>
  <c r="B379" i="7"/>
  <c r="A378" i="7"/>
  <c r="C376" i="7"/>
  <c r="B375" i="7"/>
  <c r="A374" i="7"/>
  <c r="C372" i="7"/>
  <c r="B371" i="7"/>
  <c r="A370" i="7"/>
  <c r="C368" i="7"/>
  <c r="B367" i="7"/>
  <c r="A366" i="7"/>
  <c r="C364" i="7"/>
  <c r="B363" i="7"/>
  <c r="A362" i="7"/>
  <c r="C360" i="7"/>
  <c r="B359" i="7"/>
  <c r="A358" i="7"/>
  <c r="C356" i="7"/>
  <c r="B355" i="7"/>
  <c r="A354" i="7"/>
  <c r="C352" i="7"/>
  <c r="B351" i="7"/>
  <c r="A350" i="7"/>
  <c r="C348" i="7"/>
  <c r="B347" i="7"/>
  <c r="A346" i="7"/>
  <c r="C344" i="7"/>
  <c r="B343" i="7"/>
  <c r="A342" i="7"/>
  <c r="C340" i="7"/>
  <c r="B339" i="7"/>
  <c r="A338" i="7"/>
  <c r="C336" i="7"/>
  <c r="B335" i="7"/>
  <c r="A334" i="7"/>
  <c r="C332" i="7"/>
  <c r="B331" i="7"/>
  <c r="A330" i="7"/>
  <c r="C328" i="7"/>
  <c r="B327" i="7"/>
  <c r="A326" i="7"/>
  <c r="C324" i="7"/>
  <c r="B323" i="7"/>
  <c r="A322" i="7"/>
  <c r="C320" i="7"/>
  <c r="B319" i="7"/>
  <c r="A318" i="7"/>
  <c r="C316" i="7"/>
  <c r="B315" i="7"/>
  <c r="A314" i="7"/>
  <c r="C312" i="7"/>
  <c r="B311" i="7"/>
  <c r="A310" i="7"/>
  <c r="C308" i="7"/>
  <c r="B307" i="7"/>
  <c r="A306" i="7"/>
  <c r="C304" i="7"/>
  <c r="B303" i="7"/>
  <c r="A302" i="7"/>
  <c r="C300" i="7"/>
  <c r="B299" i="7"/>
  <c r="A298" i="7"/>
  <c r="C296" i="7"/>
  <c r="B295" i="7"/>
  <c r="A294" i="7"/>
  <c r="C292" i="7"/>
  <c r="B291" i="7"/>
  <c r="A290" i="7"/>
  <c r="C288" i="7"/>
  <c r="B287" i="7"/>
  <c r="A286" i="7"/>
  <c r="C284" i="7"/>
  <c r="B283" i="7"/>
  <c r="A282" i="7"/>
  <c r="C280" i="7"/>
  <c r="B279" i="7"/>
  <c r="A278" i="7"/>
  <c r="C276" i="7"/>
  <c r="B275" i="7"/>
  <c r="A274" i="7"/>
  <c r="C272" i="7"/>
  <c r="B271" i="7"/>
  <c r="A270" i="7"/>
  <c r="C268" i="7"/>
  <c r="B267" i="7"/>
  <c r="A266" i="7"/>
  <c r="C264" i="7"/>
  <c r="B263" i="7"/>
  <c r="A262" i="7"/>
  <c r="C260" i="7"/>
  <c r="B262" i="7"/>
  <c r="A260" i="7"/>
  <c r="C258" i="7"/>
  <c r="B257" i="7"/>
  <c r="A256" i="7"/>
  <c r="C254" i="7"/>
  <c r="B253" i="7"/>
  <c r="A252" i="7"/>
  <c r="C250" i="7"/>
  <c r="B249" i="7"/>
  <c r="A248" i="7"/>
  <c r="C246" i="7"/>
  <c r="B245" i="7"/>
  <c r="A244" i="7"/>
  <c r="C242" i="7"/>
  <c r="B241" i="7"/>
  <c r="A240" i="7"/>
  <c r="C238" i="7"/>
  <c r="B237" i="7"/>
  <c r="A236" i="7"/>
  <c r="C234" i="7"/>
  <c r="B233" i="7"/>
  <c r="A232" i="7"/>
  <c r="C230" i="7"/>
  <c r="B229" i="7"/>
  <c r="A228" i="7"/>
  <c r="C226" i="7"/>
  <c r="B225" i="7"/>
  <c r="A224" i="7"/>
  <c r="C222" i="7"/>
  <c r="B221" i="7"/>
  <c r="A220" i="7"/>
  <c r="C218" i="7"/>
  <c r="B217" i="7"/>
  <c r="A216" i="7"/>
  <c r="C214" i="7"/>
  <c r="B213" i="7"/>
  <c r="A212" i="7"/>
  <c r="C210" i="7"/>
  <c r="B209" i="7"/>
  <c r="A208" i="7"/>
  <c r="C206" i="7"/>
  <c r="B205" i="7"/>
  <c r="A204" i="7"/>
  <c r="C202" i="7"/>
  <c r="B201" i="7"/>
  <c r="A200" i="7"/>
  <c r="C198" i="7"/>
  <c r="B197" i="7"/>
  <c r="A196" i="7"/>
  <c r="C194" i="7"/>
  <c r="B193" i="7"/>
  <c r="A192" i="7"/>
  <c r="C190" i="7"/>
  <c r="B189" i="7"/>
  <c r="A188" i="7"/>
  <c r="C186" i="7"/>
  <c r="B185" i="7"/>
  <c r="A184" i="7"/>
  <c r="C182" i="7"/>
  <c r="B181" i="7"/>
  <c r="A180" i="7"/>
  <c r="C178" i="7"/>
  <c r="B177" i="7"/>
  <c r="A176" i="7"/>
  <c r="C174" i="7"/>
  <c r="B173" i="7"/>
  <c r="A172" i="7"/>
  <c r="C170" i="7"/>
  <c r="B169" i="7"/>
  <c r="A168" i="7"/>
  <c r="C166" i="7"/>
  <c r="B165" i="7"/>
  <c r="A164" i="7"/>
  <c r="C162" i="7"/>
  <c r="B161" i="7"/>
  <c r="A160" i="7"/>
  <c r="C158" i="7"/>
  <c r="B157" i="7"/>
  <c r="A156" i="7"/>
  <c r="C154" i="7"/>
  <c r="B153" i="7"/>
  <c r="A152" i="7"/>
  <c r="C150" i="7"/>
  <c r="B149" i="7"/>
  <c r="A148" i="7"/>
  <c r="C146" i="7"/>
  <c r="B145" i="7"/>
  <c r="A144" i="7"/>
  <c r="C142" i="7"/>
  <c r="B141" i="7"/>
  <c r="A140" i="7"/>
  <c r="C138" i="7"/>
  <c r="B137" i="7"/>
  <c r="A136" i="7"/>
  <c r="C134" i="7"/>
  <c r="B133" i="7"/>
  <c r="A132" i="7"/>
  <c r="C130" i="7"/>
  <c r="B129" i="7"/>
  <c r="A128" i="7"/>
  <c r="C126" i="7"/>
  <c r="B125" i="7"/>
  <c r="A124" i="7"/>
  <c r="C122" i="7"/>
  <c r="B121" i="7"/>
  <c r="A120" i="7"/>
  <c r="C118" i="7"/>
  <c r="B117" i="7"/>
  <c r="A116" i="7"/>
  <c r="C114" i="7"/>
  <c r="B113" i="7"/>
  <c r="A112" i="7"/>
  <c r="C110" i="7"/>
  <c r="B109" i="7"/>
  <c r="A108" i="7"/>
  <c r="C106" i="7"/>
  <c r="B105" i="7"/>
  <c r="A104" i="7"/>
  <c r="C102" i="7"/>
  <c r="B101" i="7"/>
  <c r="A100" i="7"/>
  <c r="C98" i="7"/>
  <c r="B97" i="7"/>
  <c r="A96" i="7"/>
  <c r="C94" i="7"/>
  <c r="B93" i="7"/>
  <c r="A92" i="7"/>
  <c r="C90" i="7"/>
  <c r="B89" i="7"/>
  <c r="A88" i="7"/>
  <c r="C86" i="7"/>
  <c r="B85" i="7"/>
  <c r="A84" i="7"/>
  <c r="C82" i="7"/>
  <c r="B81" i="7"/>
  <c r="A80" i="7"/>
  <c r="C78" i="7"/>
  <c r="B77" i="7"/>
  <c r="A76" i="7"/>
  <c r="C74" i="7"/>
  <c r="B73" i="7"/>
  <c r="A72" i="7"/>
  <c r="C70" i="7"/>
  <c r="B69" i="7"/>
  <c r="A68" i="7"/>
  <c r="C66" i="7"/>
  <c r="B65" i="7"/>
  <c r="A64" i="7"/>
  <c r="C62" i="7"/>
  <c r="B61" i="7"/>
  <c r="A60" i="7"/>
  <c r="C58" i="7"/>
  <c r="B57" i="7"/>
  <c r="A56" i="7"/>
  <c r="C54" i="7"/>
  <c r="B53" i="7"/>
  <c r="A52" i="7"/>
  <c r="C50" i="7"/>
  <c r="B49" i="7"/>
  <c r="A48" i="7"/>
  <c r="C46" i="7"/>
  <c r="B45" i="7"/>
  <c r="A44" i="7"/>
  <c r="C42" i="7"/>
  <c r="B41" i="7"/>
  <c r="A40" i="7"/>
  <c r="C38" i="7"/>
  <c r="B37" i="7"/>
  <c r="A36" i="7"/>
  <c r="C34" i="7"/>
  <c r="B33" i="7"/>
  <c r="A32" i="7"/>
  <c r="C30" i="7"/>
  <c r="B29" i="7"/>
  <c r="A28" i="7"/>
  <c r="C26" i="7"/>
  <c r="B25" i="7"/>
  <c r="A24" i="7"/>
  <c r="C22" i="7"/>
  <c r="B21" i="7"/>
  <c r="A20" i="7"/>
  <c r="C18" i="7"/>
  <c r="B17" i="7"/>
  <c r="A16" i="7"/>
  <c r="C14" i="7"/>
  <c r="B13" i="7"/>
  <c r="A12" i="7"/>
  <c r="C10" i="7"/>
  <c r="B9" i="7"/>
  <c r="A8" i="7"/>
  <c r="C6" i="7"/>
  <c r="B5" i="7"/>
  <c r="A4" i="7"/>
  <c r="C2" i="7"/>
  <c r="B1" i="7"/>
  <c r="C261" i="7"/>
  <c r="C259" i="7"/>
  <c r="B258" i="7"/>
  <c r="A257" i="7"/>
  <c r="C255" i="7"/>
  <c r="B254" i="7"/>
  <c r="A253" i="7"/>
  <c r="C251" i="7"/>
  <c r="B250" i="7"/>
  <c r="A249" i="7"/>
  <c r="C247" i="7"/>
  <c r="B246" i="7"/>
  <c r="A245" i="7"/>
  <c r="C243" i="7"/>
  <c r="B242" i="7"/>
  <c r="A241" i="7"/>
  <c r="C239" i="7"/>
  <c r="B238" i="7"/>
  <c r="A237" i="7"/>
  <c r="C235" i="7"/>
  <c r="B234" i="7"/>
  <c r="A233" i="7"/>
  <c r="C231" i="7"/>
  <c r="B230" i="7"/>
  <c r="A229" i="7"/>
  <c r="C227" i="7"/>
  <c r="B226" i="7"/>
  <c r="A225" i="7"/>
  <c r="C223" i="7"/>
  <c r="B222" i="7"/>
  <c r="A221" i="7"/>
  <c r="C219" i="7"/>
  <c r="B218" i="7"/>
  <c r="A217" i="7"/>
  <c r="C215" i="7"/>
  <c r="B214" i="7"/>
  <c r="A213" i="7"/>
  <c r="C211" i="7"/>
  <c r="B210" i="7"/>
  <c r="A209" i="7"/>
  <c r="C207" i="7"/>
  <c r="B206" i="7"/>
  <c r="A205" i="7"/>
  <c r="C203" i="7"/>
  <c r="B202" i="7"/>
  <c r="A201" i="7"/>
  <c r="C199" i="7"/>
  <c r="B198" i="7"/>
  <c r="A197" i="7"/>
  <c r="C195" i="7"/>
  <c r="B194" i="7"/>
  <c r="A193" i="7"/>
  <c r="C191" i="7"/>
  <c r="B190" i="7"/>
  <c r="A189" i="7"/>
  <c r="C187" i="7"/>
  <c r="B186" i="7"/>
  <c r="A185" i="7"/>
  <c r="C183" i="7"/>
  <c r="B182" i="7"/>
  <c r="A181" i="7"/>
  <c r="C179" i="7"/>
  <c r="B178" i="7"/>
  <c r="A177" i="7"/>
  <c r="C175" i="7"/>
  <c r="B174" i="7"/>
  <c r="A173" i="7"/>
  <c r="C171" i="7"/>
  <c r="B170" i="7"/>
  <c r="A169" i="7"/>
  <c r="C167" i="7"/>
  <c r="B166" i="7"/>
  <c r="A165" i="7"/>
  <c r="C163" i="7"/>
  <c r="B162" i="7"/>
  <c r="A161" i="7"/>
  <c r="C159" i="7"/>
  <c r="B158" i="7"/>
  <c r="A157" i="7"/>
  <c r="C155" i="7"/>
  <c r="B154" i="7"/>
  <c r="A153" i="7"/>
  <c r="C151" i="7"/>
  <c r="B150" i="7"/>
  <c r="A149" i="7"/>
  <c r="C147" i="7"/>
  <c r="B146" i="7"/>
  <c r="A145" i="7"/>
  <c r="C143" i="7"/>
  <c r="B142" i="7"/>
  <c r="A141" i="7"/>
  <c r="C139" i="7"/>
  <c r="B138" i="7"/>
  <c r="A137" i="7"/>
  <c r="C135" i="7"/>
  <c r="B134" i="7"/>
  <c r="A133" i="7"/>
  <c r="C131" i="7"/>
  <c r="B130" i="7"/>
  <c r="A129" i="7"/>
  <c r="C127" i="7"/>
  <c r="B126" i="7"/>
  <c r="A125" i="7"/>
  <c r="C123" i="7"/>
  <c r="B122" i="7"/>
  <c r="A121" i="7"/>
  <c r="C119" i="7"/>
  <c r="B118" i="7"/>
  <c r="A117" i="7"/>
  <c r="C115" i="7"/>
  <c r="B114" i="7"/>
  <c r="A113" i="7"/>
  <c r="C111" i="7"/>
  <c r="B110" i="7"/>
  <c r="A109" i="7"/>
  <c r="C107" i="7"/>
  <c r="B106" i="7"/>
  <c r="A105" i="7"/>
  <c r="C103" i="7"/>
  <c r="B102" i="7"/>
  <c r="A222" i="7"/>
  <c r="B219" i="7"/>
  <c r="C216" i="7"/>
  <c r="A214" i="7"/>
  <c r="B211" i="7"/>
  <c r="C208" i="7"/>
  <c r="A206" i="7"/>
  <c r="B203" i="7"/>
  <c r="C200" i="7"/>
  <c r="A198" i="7"/>
  <c r="B195" i="7"/>
  <c r="C192" i="7"/>
  <c r="A190" i="7"/>
  <c r="B187" i="7"/>
  <c r="C184" i="7"/>
  <c r="A182" i="7"/>
  <c r="B179" i="7"/>
  <c r="C176" i="7"/>
  <c r="A174" i="7"/>
  <c r="B171" i="7"/>
  <c r="C168" i="7"/>
  <c r="A166" i="7"/>
  <c r="B163" i="7"/>
  <c r="C160" i="7"/>
  <c r="A158" i="7"/>
  <c r="B155" i="7"/>
  <c r="C152" i="7"/>
  <c r="A150" i="7"/>
  <c r="B147" i="7"/>
  <c r="C144" i="7"/>
  <c r="A142" i="7"/>
  <c r="B139" i="7"/>
  <c r="C136" i="7"/>
  <c r="A134" i="7"/>
  <c r="B131" i="7"/>
  <c r="C128" i="7"/>
  <c r="A126" i="7"/>
  <c r="B123" i="7"/>
  <c r="C120" i="7"/>
  <c r="A118" i="7"/>
  <c r="B115" i="7"/>
  <c r="C112" i="7"/>
  <c r="A110" i="7"/>
  <c r="B107" i="7"/>
  <c r="C104" i="7"/>
  <c r="A102" i="7"/>
  <c r="B99" i="7"/>
  <c r="C96" i="7"/>
  <c r="A94" i="7"/>
  <c r="B91" i="7"/>
  <c r="C88" i="7"/>
  <c r="A86" i="7"/>
  <c r="B83" i="7"/>
  <c r="C80" i="7"/>
  <c r="A78" i="7"/>
  <c r="B75" i="7"/>
  <c r="C72" i="7"/>
  <c r="A70" i="7"/>
  <c r="B67" i="7"/>
  <c r="C64" i="7"/>
  <c r="A62" i="7"/>
  <c r="B59" i="7"/>
  <c r="C56" i="7"/>
  <c r="A54" i="7"/>
  <c r="B51" i="7"/>
  <c r="C48" i="7"/>
  <c r="A46" i="7"/>
  <c r="B43" i="7"/>
  <c r="C40" i="7"/>
  <c r="A38" i="7"/>
  <c r="B35" i="7"/>
  <c r="C32" i="7"/>
  <c r="A30" i="7"/>
  <c r="B27" i="7"/>
  <c r="C24" i="7"/>
  <c r="A22" i="7"/>
  <c r="B19" i="7"/>
  <c r="C16" i="7"/>
  <c r="A14" i="7"/>
  <c r="B11" i="7"/>
  <c r="C8" i="7"/>
  <c r="A6" i="7"/>
  <c r="B3" i="7"/>
  <c r="A263" i="7"/>
  <c r="A259" i="7"/>
  <c r="B256" i="7"/>
  <c r="C253" i="7"/>
  <c r="A251" i="7"/>
  <c r="B248" i="7"/>
  <c r="C245" i="7"/>
  <c r="A243" i="7"/>
  <c r="B240" i="7"/>
  <c r="C237" i="7"/>
  <c r="A235" i="7"/>
  <c r="B232" i="7"/>
  <c r="C229" i="7"/>
  <c r="A227" i="7"/>
  <c r="B224" i="7"/>
  <c r="C221" i="7"/>
  <c r="A219" i="7"/>
  <c r="B216" i="7"/>
  <c r="C213" i="7"/>
  <c r="A211" i="7"/>
  <c r="B208" i="7"/>
  <c r="C205" i="7"/>
  <c r="A203" i="7"/>
  <c r="B200" i="7"/>
  <c r="C197" i="7"/>
  <c r="A195" i="7"/>
  <c r="B192" i="7"/>
  <c r="C189" i="7"/>
  <c r="A187" i="7"/>
  <c r="B184" i="7"/>
  <c r="C181" i="7"/>
  <c r="A179" i="7"/>
  <c r="B176" i="7"/>
  <c r="C173" i="7"/>
  <c r="A171" i="7"/>
  <c r="B168" i="7"/>
  <c r="C165" i="7"/>
  <c r="A163" i="7"/>
  <c r="B160" i="7"/>
  <c r="C157" i="7"/>
  <c r="A155" i="7"/>
  <c r="B152" i="7"/>
  <c r="C149" i="7"/>
  <c r="A147" i="7"/>
  <c r="B144" i="7"/>
  <c r="C141" i="7"/>
  <c r="A139" i="7"/>
  <c r="B136" i="7"/>
  <c r="C133" i="7"/>
  <c r="A131" i="7"/>
  <c r="B128" i="7"/>
  <c r="C125" i="7"/>
  <c r="A123" i="7"/>
  <c r="B120" i="7"/>
  <c r="C117" i="7"/>
  <c r="A115" i="7"/>
  <c r="B112" i="7"/>
  <c r="C109" i="7"/>
  <c r="A107" i="7"/>
  <c r="B104" i="7"/>
  <c r="C101" i="7"/>
  <c r="B100" i="7"/>
  <c r="A99" i="7"/>
  <c r="C97" i="7"/>
  <c r="B96" i="7"/>
  <c r="A95" i="7"/>
  <c r="C93" i="7"/>
  <c r="B92" i="7"/>
  <c r="A91" i="7"/>
  <c r="C89" i="7"/>
  <c r="B88" i="7"/>
  <c r="A87" i="7"/>
  <c r="C85" i="7"/>
  <c r="B84" i="7"/>
  <c r="A83" i="7"/>
  <c r="C81" i="7"/>
  <c r="B80" i="7"/>
  <c r="A79" i="7"/>
  <c r="C77" i="7"/>
  <c r="B76" i="7"/>
  <c r="A75" i="7"/>
  <c r="C73" i="7"/>
  <c r="B72" i="7"/>
  <c r="A71" i="7"/>
  <c r="C69" i="7"/>
  <c r="B68" i="7"/>
  <c r="A67" i="7"/>
  <c r="C65" i="7"/>
  <c r="B64" i="7"/>
  <c r="A63" i="7"/>
  <c r="C61" i="7"/>
  <c r="B60" i="7"/>
  <c r="A59" i="7"/>
  <c r="C57" i="7"/>
  <c r="B56" i="7"/>
  <c r="A55" i="7"/>
  <c r="C53" i="7"/>
  <c r="B52" i="7"/>
  <c r="A51" i="7"/>
  <c r="C49" i="7"/>
  <c r="B48" i="7"/>
  <c r="A47" i="7"/>
  <c r="C45" i="7"/>
  <c r="B44" i="7"/>
  <c r="A43" i="7"/>
  <c r="C41" i="7"/>
  <c r="B40" i="7"/>
  <c r="A39" i="7"/>
  <c r="C37" i="7"/>
  <c r="B36" i="7"/>
  <c r="A35" i="7"/>
  <c r="C33" i="7"/>
  <c r="B32" i="7"/>
  <c r="A31" i="7"/>
  <c r="C29" i="7"/>
  <c r="B28" i="7"/>
  <c r="A27" i="7"/>
  <c r="C25" i="7"/>
  <c r="B24" i="7"/>
  <c r="A23" i="7"/>
  <c r="C21" i="7"/>
  <c r="B20" i="7"/>
  <c r="A19" i="7"/>
  <c r="C17" i="7"/>
  <c r="B16" i="7"/>
  <c r="A15" i="7"/>
  <c r="C13" i="7"/>
  <c r="B12" i="7"/>
  <c r="A11" i="7"/>
  <c r="C9" i="7"/>
  <c r="B8" i="7"/>
  <c r="A7" i="7"/>
  <c r="C5" i="7"/>
  <c r="B4" i="7"/>
  <c r="A3" i="7"/>
  <c r="C1" i="7"/>
  <c r="A5" i="7"/>
  <c r="B2" i="7"/>
  <c r="C220" i="7"/>
  <c r="A218" i="7"/>
  <c r="B215" i="7"/>
  <c r="C212" i="7"/>
  <c r="A210" i="7"/>
  <c r="B207" i="7"/>
  <c r="C204" i="7"/>
  <c r="A202" i="7"/>
  <c r="B199" i="7"/>
  <c r="C196" i="7"/>
  <c r="A194" i="7"/>
  <c r="B191" i="7"/>
  <c r="C188" i="7"/>
  <c r="A186" i="7"/>
  <c r="B183" i="7"/>
  <c r="C180" i="7"/>
  <c r="A178" i="7"/>
  <c r="B175" i="7"/>
  <c r="C172" i="7"/>
  <c r="A170" i="7"/>
  <c r="B167" i="7"/>
  <c r="C164" i="7"/>
  <c r="A162" i="7"/>
  <c r="B159" i="7"/>
  <c r="C156" i="7"/>
  <c r="A154" i="7"/>
  <c r="B151" i="7"/>
  <c r="C148" i="7"/>
  <c r="A146" i="7"/>
  <c r="B143" i="7"/>
  <c r="C140" i="7"/>
  <c r="A138" i="7"/>
  <c r="B135" i="7"/>
  <c r="C132" i="7"/>
  <c r="A130" i="7"/>
  <c r="B127" i="7"/>
  <c r="C124" i="7"/>
  <c r="A122" i="7"/>
  <c r="B119" i="7"/>
  <c r="C116" i="7"/>
  <c r="A114" i="7"/>
  <c r="B111" i="7"/>
  <c r="C108" i="7"/>
  <c r="A106" i="7"/>
  <c r="B103" i="7"/>
  <c r="C100" i="7"/>
  <c r="A98" i="7"/>
  <c r="B95" i="7"/>
  <c r="C92" i="7"/>
  <c r="A90" i="7"/>
  <c r="B87" i="7"/>
  <c r="C84" i="7"/>
  <c r="A82" i="7"/>
  <c r="B79" i="7"/>
  <c r="C76" i="7"/>
  <c r="A74" i="7"/>
  <c r="B71" i="7"/>
  <c r="C68" i="7"/>
  <c r="A66" i="7"/>
  <c r="B63" i="7"/>
  <c r="C60" i="7"/>
  <c r="A58" i="7"/>
  <c r="B55" i="7"/>
  <c r="C52" i="7"/>
  <c r="A50" i="7"/>
  <c r="B47" i="7"/>
  <c r="C44" i="7"/>
  <c r="A42" i="7"/>
  <c r="B39" i="7"/>
  <c r="C36" i="7"/>
  <c r="A34" i="7"/>
  <c r="B31" i="7"/>
  <c r="C28" i="7"/>
  <c r="A26" i="7"/>
  <c r="B23" i="7"/>
  <c r="C20" i="7"/>
  <c r="A18" i="7"/>
  <c r="B15" i="7"/>
  <c r="C12" i="7"/>
  <c r="A10" i="7"/>
  <c r="B7" i="7"/>
  <c r="C4" i="7"/>
  <c r="A2" i="7"/>
  <c r="B260" i="7"/>
  <c r="C257" i="7"/>
  <c r="A255" i="7"/>
  <c r="B252" i="7"/>
  <c r="C249" i="7"/>
  <c r="A247" i="7"/>
  <c r="B244" i="7"/>
  <c r="C241" i="7"/>
  <c r="A239" i="7"/>
  <c r="B236" i="7"/>
  <c r="C233" i="7"/>
  <c r="A231" i="7"/>
  <c r="B228" i="7"/>
  <c r="C225" i="7"/>
  <c r="A223" i="7"/>
  <c r="B220" i="7"/>
  <c r="C217" i="7"/>
  <c r="A215" i="7"/>
  <c r="B212" i="7"/>
  <c r="C209" i="7"/>
  <c r="A207" i="7"/>
  <c r="B204" i="7"/>
  <c r="C201" i="7"/>
  <c r="A199" i="7"/>
  <c r="B196" i="7"/>
  <c r="C193" i="7"/>
  <c r="A191" i="7"/>
  <c r="B188" i="7"/>
  <c r="C185" i="7"/>
  <c r="A183" i="7"/>
  <c r="B180" i="7"/>
  <c r="C177" i="7"/>
  <c r="A175" i="7"/>
  <c r="B172" i="7"/>
  <c r="C169" i="7"/>
  <c r="A167" i="7"/>
  <c r="B164" i="7"/>
  <c r="C161" i="7"/>
  <c r="A159" i="7"/>
  <c r="B156" i="7"/>
  <c r="C153" i="7"/>
  <c r="A151" i="7"/>
  <c r="B148" i="7"/>
  <c r="C145" i="7"/>
  <c r="A143" i="7"/>
  <c r="B140" i="7"/>
  <c r="C137" i="7"/>
  <c r="A135" i="7"/>
  <c r="B132" i="7"/>
  <c r="C129" i="7"/>
  <c r="A127" i="7"/>
  <c r="B124" i="7"/>
  <c r="C121" i="7"/>
  <c r="A119" i="7"/>
  <c r="B116" i="7"/>
  <c r="C113" i="7"/>
  <c r="A111" i="7"/>
  <c r="B108" i="7"/>
  <c r="C105" i="7"/>
  <c r="A103" i="7"/>
  <c r="A101" i="7"/>
  <c r="C99" i="7"/>
  <c r="B98" i="7"/>
  <c r="A97" i="7"/>
  <c r="C95" i="7"/>
  <c r="B94" i="7"/>
  <c r="A93" i="7"/>
  <c r="C91" i="7"/>
  <c r="B90" i="7"/>
  <c r="A89" i="7"/>
  <c r="C87" i="7"/>
  <c r="B86" i="7"/>
  <c r="A85" i="7"/>
  <c r="C83" i="7"/>
  <c r="B82" i="7"/>
  <c r="A81" i="7"/>
  <c r="C79" i="7"/>
  <c r="B78" i="7"/>
  <c r="A77" i="7"/>
  <c r="C75" i="7"/>
  <c r="B74" i="7"/>
  <c r="A73" i="7"/>
  <c r="C71" i="7"/>
  <c r="B70" i="7"/>
  <c r="A69" i="7"/>
  <c r="C67" i="7"/>
  <c r="B66" i="7"/>
  <c r="A65" i="7"/>
  <c r="C63" i="7"/>
  <c r="B62" i="7"/>
  <c r="A61" i="7"/>
  <c r="C59" i="7"/>
  <c r="B58" i="7"/>
  <c r="A57" i="7"/>
  <c r="C55" i="7"/>
  <c r="B54" i="7"/>
  <c r="A53" i="7"/>
  <c r="C51" i="7"/>
  <c r="B50" i="7"/>
  <c r="A49" i="7"/>
  <c r="C47" i="7"/>
  <c r="B46" i="7"/>
  <c r="A45" i="7"/>
  <c r="C43" i="7"/>
  <c r="B42" i="7"/>
  <c r="A41" i="7"/>
  <c r="C39" i="7"/>
  <c r="B38" i="7"/>
  <c r="A37" i="7"/>
  <c r="C35" i="7"/>
  <c r="B34" i="7"/>
  <c r="A33" i="7"/>
  <c r="C31" i="7"/>
  <c r="B30" i="7"/>
  <c r="A29" i="7"/>
  <c r="C27" i="7"/>
  <c r="B26" i="7"/>
  <c r="A25" i="7"/>
  <c r="C23" i="7"/>
  <c r="B22" i="7"/>
  <c r="A21" i="7"/>
  <c r="C19" i="7"/>
  <c r="B18" i="7"/>
  <c r="A17" i="7"/>
  <c r="C15" i="7"/>
  <c r="B14" i="7"/>
  <c r="A13" i="7"/>
  <c r="C11" i="7"/>
  <c r="B10" i="7"/>
  <c r="A9" i="7"/>
  <c r="C7" i="7"/>
  <c r="B6" i="7"/>
  <c r="C3" i="7"/>
  <c r="A1" i="7"/>
  <c r="T735" i="3" l="1"/>
  <c r="T1099" i="3"/>
  <c r="T579" i="3"/>
  <c r="T1413" i="3"/>
  <c r="T621" i="3"/>
  <c r="T566" i="3"/>
  <c r="T162" i="3"/>
  <c r="T645" i="3"/>
  <c r="T807" i="3"/>
  <c r="T637" i="3"/>
  <c r="T951" i="3"/>
  <c r="T1023" i="3"/>
  <c r="T717" i="3"/>
  <c r="T5" i="3"/>
  <c r="T30" i="3"/>
  <c r="T92" i="3"/>
  <c r="T126" i="3"/>
  <c r="T148" i="3"/>
  <c r="T182" i="3"/>
  <c r="T216" i="3"/>
  <c r="T230" i="3"/>
  <c r="T264" i="3"/>
  <c r="T278" i="3"/>
  <c r="T312" i="3"/>
  <c r="T326" i="3"/>
  <c r="T360" i="3"/>
  <c r="T374" i="3"/>
  <c r="T408" i="3"/>
  <c r="T422" i="3"/>
  <c r="T467" i="3"/>
  <c r="T491" i="3"/>
  <c r="T503" i="3"/>
  <c r="T515" i="3"/>
  <c r="T527" i="3"/>
  <c r="T560" i="3"/>
  <c r="T586" i="3"/>
  <c r="T777" i="3"/>
  <c r="T921" i="3"/>
  <c r="T1129" i="3"/>
  <c r="T18" i="3"/>
  <c r="T105" i="3"/>
  <c r="T163" i="3"/>
  <c r="T541" i="3"/>
  <c r="T567" i="3"/>
  <c r="T593" i="3"/>
  <c r="T622" i="3"/>
  <c r="T670" i="3"/>
  <c r="T718" i="3"/>
  <c r="T819" i="3"/>
  <c r="T963" i="3"/>
  <c r="T1245" i="3"/>
  <c r="T4995" i="3"/>
  <c r="T4711" i="3"/>
  <c r="T4646" i="3"/>
  <c r="T4627" i="3"/>
  <c r="T4575" i="3"/>
  <c r="T4524" i="3"/>
  <c r="T4514" i="3"/>
  <c r="T4495" i="3"/>
  <c r="T4476" i="3"/>
  <c r="T4452" i="3"/>
  <c r="T4847" i="3"/>
  <c r="T4645" i="3"/>
  <c r="T4597" i="3"/>
  <c r="T4523" i="3"/>
  <c r="T4513" i="3"/>
  <c r="T4489" i="3"/>
  <c r="T4475" i="3"/>
  <c r="T4442" i="3"/>
  <c r="T4406" i="3"/>
  <c r="T4361" i="3"/>
  <c r="T4342" i="3"/>
  <c r="T4332" i="3"/>
  <c r="T4317" i="3"/>
  <c r="T4292" i="3"/>
  <c r="T4281" i="3"/>
  <c r="T4256" i="3"/>
  <c r="T4235" i="3"/>
  <c r="T4169" i="3"/>
  <c r="T4148" i="3"/>
  <c r="T4137" i="3"/>
  <c r="T4112" i="3"/>
  <c r="T4098" i="3"/>
  <c r="T4078" i="3"/>
  <c r="T4035" i="3"/>
  <c r="T4013" i="3"/>
  <c r="T3986" i="3"/>
  <c r="T3959" i="3"/>
  <c r="T3937" i="3"/>
  <c r="T3926" i="3"/>
  <c r="T3899" i="3"/>
  <c r="T3877" i="3"/>
  <c r="T3861" i="3"/>
  <c r="T3834" i="3"/>
  <c r="T3801" i="3"/>
  <c r="T3785" i="3"/>
  <c r="T3747" i="3"/>
  <c r="T3725" i="3"/>
  <c r="T3698" i="3"/>
  <c r="T4979" i="3"/>
  <c r="T4723" i="3"/>
  <c r="T4584" i="3"/>
  <c r="T4567" i="3"/>
  <c r="T4541" i="3"/>
  <c r="T4507" i="3"/>
  <c r="T4483" i="3"/>
  <c r="T4455" i="3"/>
  <c r="T4425" i="3"/>
  <c r="T4415" i="3"/>
  <c r="T4374" i="3"/>
  <c r="T4364" i="3"/>
  <c r="T4326" i="3"/>
  <c r="T4311" i="3"/>
  <c r="T4301" i="3"/>
  <c r="T4275" i="3"/>
  <c r="T4244" i="3"/>
  <c r="T4229" i="3"/>
  <c r="T4208" i="3"/>
  <c r="T4188" i="3"/>
  <c r="T4131" i="3"/>
  <c r="T4111" i="3"/>
  <c r="T4097" i="3"/>
  <c r="T4066" i="3"/>
  <c r="T4039" i="3"/>
  <c r="T4012" i="3"/>
  <c r="T3990" i="3"/>
  <c r="T3952" i="3"/>
  <c r="T3936" i="3"/>
  <c r="T3903" i="3"/>
  <c r="T3876" i="3"/>
  <c r="T3860" i="3"/>
  <c r="T3838" i="3"/>
  <c r="T3811" i="3"/>
  <c r="T3800" i="3"/>
  <c r="T3778" i="3"/>
  <c r="T3751" i="3"/>
  <c r="T3724" i="3"/>
  <c r="T3702" i="3"/>
  <c r="T4692" i="3"/>
  <c r="T4630" i="3"/>
  <c r="T4589" i="3"/>
  <c r="T4986" i="3"/>
  <c r="T4851" i="3"/>
  <c r="T4737" i="3"/>
  <c r="T4706" i="3"/>
  <c r="T4565" i="3"/>
  <c r="T4555" i="3"/>
  <c r="T4545" i="3"/>
  <c r="T4535" i="3"/>
  <c r="T4511" i="3"/>
  <c r="T4501" i="3"/>
  <c r="T4468" i="3"/>
  <c r="T4444" i="3"/>
  <c r="T4434" i="3"/>
  <c r="T4398" i="3"/>
  <c r="T4378" i="3"/>
  <c r="T4354" i="3"/>
  <c r="T4295" i="3"/>
  <c r="T4274" i="3"/>
  <c r="T4259" i="3"/>
  <c r="T4238" i="3"/>
  <c r="T4197" i="3"/>
  <c r="T4171" i="3"/>
  <c r="T4156" i="3"/>
  <c r="T4140" i="3"/>
  <c r="T4120" i="3"/>
  <c r="T4110" i="3"/>
  <c r="T4096" i="3"/>
  <c r="T4070" i="3"/>
  <c r="T4043" i="3"/>
  <c r="T4021" i="3"/>
  <c r="T4005" i="3"/>
  <c r="T3978" i="3"/>
  <c r="T3945" i="3"/>
  <c r="T3929" i="3"/>
  <c r="T3891" i="3"/>
  <c r="T3869" i="3"/>
  <c r="T3842" i="3"/>
  <c r="T3815" i="3"/>
  <c r="T3793" i="3"/>
  <c r="T3782" i="3"/>
  <c r="T3755" i="3"/>
  <c r="T3733" i="3"/>
  <c r="T3717" i="3"/>
  <c r="T4920" i="3"/>
  <c r="T4877" i="3"/>
  <c r="T4691" i="3"/>
  <c r="T4594" i="3"/>
  <c r="T4522" i="3"/>
  <c r="T4504" i="3"/>
  <c r="T4487" i="3"/>
  <c r="T4465" i="3"/>
  <c r="T4438" i="3"/>
  <c r="T4427" i="3"/>
  <c r="T4371" i="3"/>
  <c r="T4323" i="3"/>
  <c r="T4282" i="3"/>
  <c r="T4248" i="3"/>
  <c r="T4225" i="3"/>
  <c r="T4214" i="3"/>
  <c r="T4175" i="3"/>
  <c r="T4128" i="3"/>
  <c r="T4082" i="3"/>
  <c r="T4036" i="3"/>
  <c r="T3998" i="3"/>
  <c r="T3938" i="3"/>
  <c r="T3901" i="3"/>
  <c r="T3840" i="3"/>
  <c r="T3816" i="3"/>
  <c r="T3777" i="3"/>
  <c r="T3742" i="3"/>
  <c r="T3699" i="3"/>
  <c r="T3682" i="3"/>
  <c r="T3655" i="3"/>
  <c r="T3628" i="3"/>
  <c r="T3597" i="3"/>
  <c r="T3587" i="3"/>
  <c r="T3577" i="3"/>
  <c r="T3556" i="3"/>
  <c r="T3520" i="3"/>
  <c r="T3496" i="3"/>
  <c r="T3472" i="3"/>
  <c r="T3447" i="3"/>
  <c r="T3437" i="3"/>
  <c r="T3421" i="3"/>
  <c r="T3395" i="3"/>
  <c r="T3379" i="3"/>
  <c r="T4676" i="3"/>
  <c r="T4612" i="3"/>
  <c r="T4549" i="3"/>
  <c r="T4538" i="3"/>
  <c r="T4460" i="3"/>
  <c r="T4409" i="3"/>
  <c r="T4388" i="3"/>
  <c r="T4376" i="3"/>
  <c r="T4345" i="3"/>
  <c r="T4312" i="3"/>
  <c r="T4288" i="3"/>
  <c r="T4230" i="3"/>
  <c r="T4191" i="3"/>
  <c r="T4163" i="3"/>
  <c r="T4139" i="3"/>
  <c r="T4117" i="3"/>
  <c r="T4071" i="3"/>
  <c r="T4053" i="3"/>
  <c r="T4041" i="3"/>
  <c r="T4010" i="3"/>
  <c r="T3992" i="3"/>
  <c r="T3950" i="3"/>
  <c r="T4952" i="3"/>
  <c r="T4750" i="3"/>
  <c r="T4660" i="3"/>
  <c r="T4593" i="3"/>
  <c r="T4521" i="3"/>
  <c r="T4486" i="3"/>
  <c r="T4454" i="3"/>
  <c r="T4437" i="3"/>
  <c r="T4414" i="3"/>
  <c r="T4365" i="3"/>
  <c r="T4339" i="3"/>
  <c r="T4316" i="3"/>
  <c r="T4269" i="3"/>
  <c r="T4247" i="3"/>
  <c r="T4207" i="3"/>
  <c r="T4174" i="3"/>
  <c r="T4157" i="3"/>
  <c r="T4133" i="3"/>
  <c r="T4104" i="3"/>
  <c r="T4093" i="3"/>
  <c r="T4076" i="3"/>
  <c r="T3997" i="3"/>
  <c r="T3980" i="3"/>
  <c r="T3968" i="3"/>
  <c r="T3924" i="3"/>
  <c r="T3839" i="3"/>
  <c r="T3802" i="3"/>
  <c r="T3709" i="3"/>
  <c r="T4909" i="3"/>
  <c r="T4867" i="3"/>
  <c r="T4682" i="3"/>
  <c r="T4599" i="3"/>
  <c r="T4543" i="3"/>
  <c r="T4532" i="3"/>
  <c r="T4503" i="3"/>
  <c r="T4480" i="3"/>
  <c r="T4459" i="3"/>
  <c r="T4403" i="3"/>
  <c r="T4387" i="3"/>
  <c r="T4370" i="3"/>
  <c r="T4344" i="3"/>
  <c r="T4299" i="3"/>
  <c r="T4280" i="3"/>
  <c r="T4223" i="3"/>
  <c r="T4213" i="3"/>
  <c r="T4184" i="3"/>
  <c r="T4138" i="3"/>
  <c r="T4064" i="3"/>
  <c r="T4616" i="3"/>
  <c r="T4548" i="3"/>
  <c r="T4497" i="3"/>
  <c r="T4474" i="3"/>
  <c r="T4448" i="3"/>
  <c r="T4413" i="3"/>
  <c r="T4375" i="3"/>
  <c r="T4338" i="3"/>
  <c r="T4304" i="3"/>
  <c r="T4263" i="3"/>
  <c r="T4246" i="3"/>
  <c r="T4228" i="3"/>
  <c r="T4173" i="3"/>
  <c r="T4150" i="3"/>
  <c r="T4121" i="3"/>
  <c r="T4086" i="3"/>
  <c r="T4069" i="3"/>
  <c r="T4040" i="3"/>
  <c r="T3979" i="3"/>
  <c r="T3923" i="3"/>
  <c r="T3888" i="3"/>
  <c r="T3849" i="3"/>
  <c r="T3825" i="3"/>
  <c r="T3764" i="3"/>
  <c r="T3727" i="3"/>
  <c r="T3675" i="3"/>
  <c r="T3653" i="3"/>
  <c r="T3626" i="3"/>
  <c r="T3590" i="3"/>
  <c r="T3554" i="3"/>
  <c r="T3544" i="3"/>
  <c r="T3534" i="3"/>
  <c r="T3524" i="3"/>
  <c r="T3504" i="3"/>
  <c r="T3480" i="3"/>
  <c r="T4819" i="3"/>
  <c r="T4665" i="3"/>
  <c r="T4610" i="3"/>
  <c r="T4553" i="3"/>
  <c r="T4531" i="3"/>
  <c r="T4520" i="3"/>
  <c r="T4436" i="3"/>
  <c r="T4396" i="3"/>
  <c r="T4386" i="3"/>
  <c r="T4315" i="3"/>
  <c r="T4286" i="3"/>
  <c r="T4233" i="3"/>
  <c r="T4217" i="3"/>
  <c r="T4206" i="3"/>
  <c r="T4195" i="3"/>
  <c r="T4125" i="3"/>
  <c r="T4080" i="3"/>
  <c r="T4057" i="3"/>
  <c r="T4033" i="3"/>
  <c r="T4002" i="3"/>
  <c r="T3984" i="3"/>
  <c r="T3966" i="3"/>
  <c r="T3935" i="3"/>
  <c r="T3905" i="3"/>
  <c r="T3881" i="3"/>
  <c r="T3868" i="3"/>
  <c r="T3837" i="3"/>
  <c r="T3813" i="3"/>
  <c r="T3794" i="3"/>
  <c r="T3769" i="3"/>
  <c r="T3745" i="3"/>
  <c r="T3714" i="3"/>
  <c r="T3691" i="3"/>
  <c r="T3680" i="3"/>
  <c r="T3658" i="3"/>
  <c r="T3631" i="3"/>
  <c r="T3605" i="3"/>
  <c r="T3595" i="3"/>
  <c r="T3580" i="3"/>
  <c r="T3518" i="3"/>
  <c r="T4889" i="3"/>
  <c r="T4765" i="3"/>
  <c r="T4603" i="3"/>
  <c r="T4577" i="3"/>
  <c r="T4558" i="3"/>
  <c r="T4536" i="3"/>
  <c r="T4479" i="3"/>
  <c r="T4463" i="3"/>
  <c r="T4447" i="3"/>
  <c r="T4430" i="3"/>
  <c r="T4402" i="3"/>
  <c r="T4368" i="3"/>
  <c r="T4348" i="3"/>
  <c r="T4320" i="3"/>
  <c r="T4291" i="3"/>
  <c r="T4245" i="3"/>
  <c r="T4183" i="3"/>
  <c r="T4155" i="3"/>
  <c r="T4136" i="3"/>
  <c r="T4108" i="3"/>
  <c r="T4085" i="3"/>
  <c r="T4051" i="3"/>
  <c r="T3989" i="3"/>
  <c r="T3954" i="3"/>
  <c r="T3922" i="3"/>
  <c r="T3843" i="3"/>
  <c r="T3787" i="3"/>
  <c r="T3726" i="3"/>
  <c r="T3674" i="3"/>
  <c r="T3647" i="3"/>
  <c r="T3615" i="3"/>
  <c r="T3569" i="3"/>
  <c r="T3559" i="3"/>
  <c r="T3538" i="3"/>
  <c r="T3528" i="3"/>
  <c r="T3513" i="3"/>
  <c r="T3489" i="3"/>
  <c r="T3465" i="3"/>
  <c r="T3455" i="3"/>
  <c r="T3392" i="3"/>
  <c r="T3376" i="3"/>
  <c r="T4641" i="3"/>
  <c r="T4525" i="3"/>
  <c r="T4467" i="3"/>
  <c r="T4418" i="3"/>
  <c r="T4385" i="3"/>
  <c r="T4352" i="3"/>
  <c r="T4309" i="3"/>
  <c r="T4273" i="3"/>
  <c r="T4262" i="3"/>
  <c r="T4239" i="3"/>
  <c r="T4227" i="3"/>
  <c r="T4216" i="3"/>
  <c r="T4200" i="3"/>
  <c r="T4124" i="3"/>
  <c r="T4068" i="3"/>
  <c r="T4020" i="3"/>
  <c r="T3995" i="3"/>
  <c r="T3977" i="3"/>
  <c r="T3965" i="3"/>
  <c r="T3934" i="3"/>
  <c r="T3904" i="3"/>
  <c r="T3873" i="3"/>
  <c r="T3848" i="3"/>
  <c r="T3818" i="3"/>
  <c r="T3799" i="3"/>
  <c r="T4754" i="3"/>
  <c r="T4701" i="3"/>
  <c r="T4570" i="3"/>
  <c r="T4552" i="3"/>
  <c r="T4462" i="3"/>
  <c r="T4446" i="3"/>
  <c r="T4423" i="3"/>
  <c r="T4395" i="3"/>
  <c r="T4379" i="3"/>
  <c r="T4336" i="3"/>
  <c r="T4314" i="3"/>
  <c r="T4290" i="3"/>
  <c r="T4205" i="3"/>
  <c r="T4177" i="3"/>
  <c r="T4154" i="3"/>
  <c r="T4113" i="3"/>
  <c r="T4090" i="3"/>
  <c r="T4073" i="3"/>
  <c r="T4056" i="3"/>
  <c r="T4032" i="3"/>
  <c r="T4000" i="3"/>
  <c r="T3927" i="3"/>
  <c r="T3909" i="3"/>
  <c r="T3892" i="3"/>
  <c r="T3853" i="3"/>
  <c r="T4921" i="3"/>
  <c r="T4863" i="3"/>
  <c r="T4772" i="3"/>
  <c r="T4626" i="3"/>
  <c r="T4602" i="3"/>
  <c r="T4505" i="3"/>
  <c r="T4478" i="3"/>
  <c r="T4451" i="3"/>
  <c r="T4400" i="3"/>
  <c r="T4367" i="3"/>
  <c r="T4341" i="3"/>
  <c r="T4324" i="3"/>
  <c r="T4278" i="3"/>
  <c r="T4220" i="3"/>
  <c r="T4210" i="3"/>
  <c r="T4147" i="3"/>
  <c r="T4101" i="3"/>
  <c r="T4084" i="3"/>
  <c r="T4049" i="3"/>
  <c r="T4019" i="3"/>
  <c r="T3988" i="3"/>
  <c r="T3976" i="3"/>
  <c r="T3958" i="3"/>
  <c r="T3933" i="3"/>
  <c r="T3885" i="3"/>
  <c r="T3859" i="3"/>
  <c r="T3841" i="3"/>
  <c r="T4389" i="3"/>
  <c r="T4176" i="3"/>
  <c r="T4072" i="3"/>
  <c r="T4046" i="3"/>
  <c r="T3961" i="3"/>
  <c r="T3889" i="3"/>
  <c r="T3817" i="3"/>
  <c r="T3780" i="3"/>
  <c r="T3753" i="3"/>
  <c r="T3732" i="3"/>
  <c r="T3711" i="3"/>
  <c r="T3684" i="3"/>
  <c r="T3652" i="3"/>
  <c r="T3567" i="3"/>
  <c r="T3537" i="3"/>
  <c r="T3525" i="3"/>
  <c r="T3497" i="3"/>
  <c r="T3470" i="3"/>
  <c r="T3448" i="3"/>
  <c r="T3431" i="3"/>
  <c r="T3409" i="3"/>
  <c r="T3358" i="3"/>
  <c r="T3326" i="3"/>
  <c r="T3294" i="3"/>
  <c r="T3247" i="3"/>
  <c r="T3193" i="3"/>
  <c r="T3173" i="3"/>
  <c r="T3163" i="3"/>
  <c r="T3143" i="3"/>
  <c r="T3123" i="3"/>
  <c r="T3113" i="3"/>
  <c r="T3098" i="3"/>
  <c r="T3078" i="3"/>
  <c r="T3063" i="3"/>
  <c r="T3048" i="3"/>
  <c r="T3033" i="3"/>
  <c r="T3023" i="3"/>
  <c r="T2988" i="3"/>
  <c r="T2978" i="3"/>
  <c r="T2932" i="3"/>
  <c r="T2901" i="3"/>
  <c r="T2885" i="3"/>
  <c r="T2865" i="3"/>
  <c r="T2850" i="3"/>
  <c r="T2829" i="3"/>
  <c r="T2814" i="3"/>
  <c r="T2772" i="3"/>
  <c r="T4313" i="3"/>
  <c r="T3919" i="3"/>
  <c r="T3759" i="3"/>
  <c r="T3677" i="3"/>
  <c r="T3645" i="3"/>
  <c r="T3609" i="3"/>
  <c r="T3598" i="3"/>
  <c r="T3573" i="3"/>
  <c r="T3542" i="3"/>
  <c r="T3486" i="3"/>
  <c r="T3414" i="3"/>
  <c r="T3386" i="3"/>
  <c r="T3374" i="3"/>
  <c r="T3363" i="3"/>
  <c r="T3347" i="3"/>
  <c r="T3331" i="3"/>
  <c r="T3315" i="3"/>
  <c r="T3299" i="3"/>
  <c r="T3283" i="3"/>
  <c r="T3267" i="3"/>
  <c r="T3257" i="3"/>
  <c r="T3237" i="3"/>
  <c r="T3222" i="3"/>
  <c r="T3202" i="3"/>
  <c r="T3152" i="3"/>
  <c r="T3102" i="3"/>
  <c r="T3073" i="3"/>
  <c r="T3018" i="3"/>
  <c r="T3003" i="3"/>
  <c r="T2973" i="3"/>
  <c r="T2958" i="3"/>
  <c r="T2937" i="3"/>
  <c r="T2921" i="3"/>
  <c r="T2880" i="3"/>
  <c r="T2855" i="3"/>
  <c r="T4581" i="3"/>
  <c r="T4428" i="3"/>
  <c r="T4271" i="3"/>
  <c r="T4199" i="3"/>
  <c r="T4003" i="3"/>
  <c r="T3943" i="3"/>
  <c r="T3895" i="3"/>
  <c r="T3809" i="3"/>
  <c r="T3779" i="3"/>
  <c r="T3731" i="3"/>
  <c r="T3689" i="3"/>
  <c r="T3657" i="3"/>
  <c r="T3620" i="3"/>
  <c r="T3591" i="3"/>
  <c r="T3548" i="3"/>
  <c r="T3530" i="3"/>
  <c r="T3491" i="3"/>
  <c r="T3459" i="3"/>
  <c r="T3436" i="3"/>
  <c r="T3424" i="3"/>
  <c r="T3408" i="3"/>
  <c r="T3325" i="3"/>
  <c r="T3277" i="3"/>
  <c r="T3217" i="3"/>
  <c r="T3197" i="3"/>
  <c r="T3182" i="3"/>
  <c r="T3172" i="3"/>
  <c r="T3147" i="3"/>
  <c r="T3137" i="3"/>
  <c r="T3107" i="3"/>
  <c r="T3087" i="3"/>
  <c r="T3062" i="3"/>
  <c r="T3042" i="3"/>
  <c r="T3027" i="3"/>
  <c r="T4466" i="3"/>
  <c r="T4356" i="3"/>
  <c r="T4158" i="3"/>
  <c r="T4094" i="3"/>
  <c r="T3925" i="3"/>
  <c r="T3846" i="3"/>
  <c r="T3758" i="3"/>
  <c r="T3695" i="3"/>
  <c r="T3638" i="3"/>
  <c r="T3608" i="3"/>
  <c r="T3584" i="3"/>
  <c r="T3560" i="3"/>
  <c r="T3517" i="3"/>
  <c r="T3474" i="3"/>
  <c r="T3441" i="3"/>
  <c r="T3397" i="3"/>
  <c r="T3385" i="3"/>
  <c r="T3362" i="3"/>
  <c r="T3341" i="3"/>
  <c r="T3314" i="3"/>
  <c r="T3293" i="3"/>
  <c r="T3256" i="3"/>
  <c r="T3246" i="3"/>
  <c r="T3231" i="3"/>
  <c r="T3162" i="3"/>
  <c r="T3132" i="3"/>
  <c r="T3122" i="3"/>
  <c r="T3091" i="3"/>
  <c r="T3077" i="3"/>
  <c r="T3056" i="3"/>
  <c r="T4534" i="3"/>
  <c r="T4254" i="3"/>
  <c r="T4141" i="3"/>
  <c r="T4060" i="3"/>
  <c r="T3894" i="3"/>
  <c r="T3822" i="3"/>
  <c r="T3792" i="3"/>
  <c r="T3744" i="3"/>
  <c r="T3722" i="3"/>
  <c r="T3701" i="3"/>
  <c r="T3676" i="3"/>
  <c r="T3650" i="3"/>
  <c r="T3625" i="3"/>
  <c r="T3613" i="3"/>
  <c r="T3553" i="3"/>
  <c r="T3500" i="3"/>
  <c r="T3490" i="3"/>
  <c r="T3458" i="3"/>
  <c r="T3435" i="3"/>
  <c r="T3418" i="3"/>
  <c r="T3367" i="3"/>
  <c r="T3351" i="3"/>
  <c r="T3324" i="3"/>
  <c r="T3308" i="3"/>
  <c r="T3287" i="3"/>
  <c r="T3271" i="3"/>
  <c r="T3261" i="3"/>
  <c r="T3226" i="3"/>
  <c r="T3216" i="3"/>
  <c r="T3206" i="3"/>
  <c r="T3186" i="3"/>
  <c r="T3171" i="3"/>
  <c r="T4433" i="3"/>
  <c r="T4377" i="3"/>
  <c r="T4237" i="3"/>
  <c r="T4034" i="3"/>
  <c r="T3949" i="3"/>
  <c r="T3845" i="3"/>
  <c r="T3814" i="3"/>
  <c r="T3784" i="3"/>
  <c r="T3694" i="3"/>
  <c r="T3656" i="3"/>
  <c r="T3596" i="3"/>
  <c r="T3535" i="3"/>
  <c r="T3511" i="3"/>
  <c r="T3463" i="3"/>
  <c r="T3423" i="3"/>
  <c r="T3401" i="3"/>
  <c r="T3390" i="3"/>
  <c r="T3372" i="3"/>
  <c r="T3345" i="3"/>
  <c r="T3329" i="3"/>
  <c r="T3297" i="3"/>
  <c r="T3281" i="3"/>
  <c r="T3235" i="3"/>
  <c r="T3191" i="3"/>
  <c r="T3161" i="3"/>
  <c r="T3146" i="3"/>
  <c r="T3126" i="3"/>
  <c r="T3111" i="3"/>
  <c r="T3081" i="3"/>
  <c r="T3071" i="3"/>
  <c r="T3061" i="3"/>
  <c r="T3046" i="3"/>
  <c r="T3031" i="3"/>
  <c r="T3021" i="3"/>
  <c r="T3011" i="3"/>
  <c r="T2996" i="3"/>
  <c r="T2986" i="3"/>
  <c r="T2966" i="3"/>
  <c r="T2956" i="3"/>
  <c r="T2940" i="3"/>
  <c r="T2904" i="3"/>
  <c r="T2878" i="3"/>
  <c r="T2853" i="3"/>
  <c r="T4556" i="3"/>
  <c r="T4165" i="3"/>
  <c r="T4042" i="3"/>
  <c r="T3957" i="3"/>
  <c r="T3852" i="3"/>
  <c r="T3791" i="3"/>
  <c r="T3743" i="3"/>
  <c r="T3721" i="3"/>
  <c r="T3707" i="3"/>
  <c r="T3661" i="3"/>
  <c r="T3643" i="3"/>
  <c r="T3624" i="3"/>
  <c r="T3607" i="3"/>
  <c r="T3583" i="3"/>
  <c r="T3546" i="3"/>
  <c r="T3516" i="3"/>
  <c r="T3494" i="3"/>
  <c r="T3473" i="3"/>
  <c r="T3451" i="3"/>
  <c r="T3417" i="3"/>
  <c r="T3366" i="3"/>
  <c r="T3334" i="3"/>
  <c r="T3302" i="3"/>
  <c r="T3270" i="3"/>
  <c r="T3255" i="3"/>
  <c r="T3240" i="3"/>
  <c r="T3225" i="3"/>
  <c r="T3215" i="3"/>
  <c r="T3150" i="3"/>
  <c r="T3121" i="3"/>
  <c r="T3100" i="3"/>
  <c r="T3055" i="3"/>
  <c r="T3001" i="3"/>
  <c r="T2919" i="3"/>
  <c r="T2909" i="3"/>
  <c r="T2888" i="3"/>
  <c r="T2868" i="3"/>
  <c r="T2842" i="3"/>
  <c r="T2806" i="3"/>
  <c r="T2796" i="3"/>
  <c r="T2786" i="3"/>
  <c r="T2763" i="3"/>
  <c r="T4283" i="3"/>
  <c r="T4058" i="3"/>
  <c r="T3991" i="3"/>
  <c r="T3907" i="3"/>
  <c r="T3783" i="3"/>
  <c r="T3756" i="3"/>
  <c r="T3700" i="3"/>
  <c r="T3612" i="3"/>
  <c r="T3576" i="3"/>
  <c r="T3521" i="3"/>
  <c r="T3499" i="3"/>
  <c r="T3462" i="3"/>
  <c r="T3433" i="3"/>
  <c r="T3406" i="3"/>
  <c r="T3383" i="3"/>
  <c r="T3360" i="3"/>
  <c r="T3344" i="3"/>
  <c r="T3328" i="3"/>
  <c r="T3312" i="3"/>
  <c r="T3296" i="3"/>
  <c r="T3280" i="3"/>
  <c r="T3265" i="3"/>
  <c r="T3210" i="3"/>
  <c r="T3195" i="3"/>
  <c r="T3180" i="3"/>
  <c r="T3170" i="3"/>
  <c r="T3160" i="3"/>
  <c r="T3145" i="3"/>
  <c r="T3115" i="3"/>
  <c r="T3095" i="3"/>
  <c r="T3075" i="3"/>
  <c r="T3065" i="3"/>
  <c r="T3045" i="3"/>
  <c r="T3030" i="3"/>
  <c r="T3010" i="3"/>
  <c r="T2985" i="3"/>
  <c r="T2955" i="3"/>
  <c r="T2945" i="3"/>
  <c r="T2929" i="3"/>
  <c r="T4716" i="3"/>
  <c r="T4539" i="3"/>
  <c r="T4346" i="3"/>
  <c r="T4146" i="3"/>
  <c r="T3939" i="3"/>
  <c r="T3858" i="3"/>
  <c r="T3835" i="3"/>
  <c r="T3820" i="3"/>
  <c r="T3734" i="3"/>
  <c r="T3686" i="3"/>
  <c r="T3654" i="3"/>
  <c r="T3617" i="3"/>
  <c r="T3594" i="3"/>
  <c r="T3527" i="3"/>
  <c r="T3488" i="3"/>
  <c r="T3456" i="3"/>
  <c r="T3439" i="3"/>
  <c r="T3411" i="3"/>
  <c r="T3349" i="3"/>
  <c r="T3301" i="3"/>
  <c r="T3259" i="3"/>
  <c r="T3244" i="3"/>
  <c r="T3224" i="3"/>
  <c r="T3214" i="3"/>
  <c r="T3184" i="3"/>
  <c r="T3130" i="3"/>
  <c r="T3120" i="3"/>
  <c r="T3085" i="3"/>
  <c r="T3025" i="3"/>
  <c r="T4655" i="3"/>
  <c r="T4366" i="3"/>
  <c r="T4209" i="3"/>
  <c r="T4048" i="3"/>
  <c r="T3930" i="3"/>
  <c r="T3812" i="3"/>
  <c r="T3692" i="3"/>
  <c r="T3667" i="3"/>
  <c r="T3641" i="3"/>
  <c r="T3611" i="3"/>
  <c r="T3568" i="3"/>
  <c r="T3545" i="3"/>
  <c r="T3493" i="3"/>
  <c r="T3444" i="3"/>
  <c r="T3427" i="3"/>
  <c r="T3382" i="3"/>
  <c r="T3365" i="3"/>
  <c r="T3338" i="3"/>
  <c r="T3317" i="3"/>
  <c r="T3290" i="3"/>
  <c r="T3269" i="3"/>
  <c r="T3248" i="3"/>
  <c r="T3229" i="3"/>
  <c r="T3204" i="3"/>
  <c r="T3179" i="3"/>
  <c r="T3164" i="3"/>
  <c r="T3149" i="3"/>
  <c r="T3099" i="3"/>
  <c r="T3089" i="3"/>
  <c r="T3059" i="3"/>
  <c r="T3044" i="3"/>
  <c r="T3009" i="3"/>
  <c r="T2954" i="3"/>
  <c r="T2944" i="3"/>
  <c r="T2928" i="3"/>
  <c r="T2846" i="3"/>
  <c r="T2830" i="3"/>
  <c r="T2790" i="3"/>
  <c r="T2779" i="3"/>
  <c r="T3882" i="3"/>
  <c r="T3646" i="3"/>
  <c r="T3410" i="3"/>
  <c r="T3238" i="3"/>
  <c r="T3208" i="3"/>
  <c r="T3103" i="3"/>
  <c r="T3058" i="3"/>
  <c r="T2990" i="3"/>
  <c r="T2965" i="3"/>
  <c r="T2931" i="3"/>
  <c r="T2907" i="3"/>
  <c r="T2864" i="3"/>
  <c r="T2828" i="3"/>
  <c r="T2805" i="3"/>
  <c r="T2757" i="3"/>
  <c r="T2715" i="3"/>
  <c r="T2686" i="3"/>
  <c r="T2657" i="3"/>
  <c r="T2628" i="3"/>
  <c r="T2616" i="3"/>
  <c r="T2587" i="3"/>
  <c r="T2558" i="3"/>
  <c r="T2529" i="3"/>
  <c r="T2500" i="3"/>
  <c r="T2488" i="3"/>
  <c r="T2459" i="3"/>
  <c r="T2426" i="3"/>
  <c r="T2399" i="3"/>
  <c r="T2370" i="3"/>
  <c r="T2336" i="3"/>
  <c r="T2308" i="3"/>
  <c r="T2291" i="3"/>
  <c r="T2274" i="3"/>
  <c r="T2240" i="3"/>
  <c r="T2212" i="3"/>
  <c r="T2195" i="3"/>
  <c r="T2178" i="3"/>
  <c r="T2144" i="3"/>
  <c r="T2116" i="3"/>
  <c r="T2099" i="3"/>
  <c r="T2082" i="3"/>
  <c r="T2048" i="3"/>
  <c r="T2020" i="3"/>
  <c r="T2003" i="3"/>
  <c r="T3890" i="3"/>
  <c r="T3719" i="3"/>
  <c r="T3393" i="3"/>
  <c r="T3284" i="3"/>
  <c r="T3253" i="3"/>
  <c r="T3088" i="3"/>
  <c r="T2982" i="3"/>
  <c r="T2938" i="3"/>
  <c r="T2894" i="3"/>
  <c r="T2839" i="3"/>
  <c r="T2799" i="3"/>
  <c r="T2788" i="3"/>
  <c r="T2762" i="3"/>
  <c r="T2744" i="3"/>
  <c r="T2732" i="3"/>
  <c r="T2703" i="3"/>
  <c r="T2674" i="3"/>
  <c r="T2645" i="3"/>
  <c r="T2633" i="3"/>
  <c r="T2604" i="3"/>
  <c r="T2575" i="3"/>
  <c r="T2546" i="3"/>
  <c r="T2517" i="3"/>
  <c r="T2505" i="3"/>
  <c r="T2476" i="3"/>
  <c r="T2447" i="3"/>
  <c r="T2436" i="3"/>
  <c r="T2387" i="3"/>
  <c r="T2375" i="3"/>
  <c r="T2358" i="3"/>
  <c r="T2341" i="3"/>
  <c r="T2313" i="3"/>
  <c r="T2279" i="3"/>
  <c r="T2262" i="3"/>
  <c r="T3586" i="3"/>
  <c r="T3359" i="3"/>
  <c r="T3169" i="3"/>
  <c r="T3014" i="3"/>
  <c r="T3002" i="3"/>
  <c r="T2970" i="3"/>
  <c r="T2924" i="3"/>
  <c r="T2887" i="3"/>
  <c r="T2857" i="3"/>
  <c r="T2833" i="3"/>
  <c r="T2816" i="3"/>
  <c r="T2781" i="3"/>
  <c r="T2726" i="3"/>
  <c r="T2714" i="3"/>
  <c r="T2685" i="3"/>
  <c r="T2662" i="3"/>
  <c r="T2650" i="3"/>
  <c r="T2621" i="3"/>
  <c r="T2598" i="3"/>
  <c r="T2586" i="3"/>
  <c r="T2557" i="3"/>
  <c r="T2534" i="3"/>
  <c r="T2522" i="3"/>
  <c r="T2493" i="3"/>
  <c r="T2470" i="3"/>
  <c r="T2458" i="3"/>
  <c r="T2420" i="3"/>
  <c r="T2404" i="3"/>
  <c r="T2392" i="3"/>
  <c r="T2352" i="3"/>
  <c r="T2324" i="3"/>
  <c r="T2307" i="3"/>
  <c r="T2290" i="3"/>
  <c r="T2256" i="3"/>
  <c r="T3773" i="3"/>
  <c r="T3375" i="3"/>
  <c r="T3109" i="3"/>
  <c r="T3041" i="3"/>
  <c r="T2964" i="3"/>
  <c r="T2905" i="3"/>
  <c r="T2851" i="3"/>
  <c r="T2821" i="3"/>
  <c r="T2787" i="3"/>
  <c r="T2755" i="3"/>
  <c r="T2743" i="3"/>
  <c r="T2731" i="3"/>
  <c r="T2702" i="3"/>
  <c r="T2673" i="3"/>
  <c r="T2644" i="3"/>
  <c r="T2632" i="3"/>
  <c r="T2603" i="3"/>
  <c r="T2574" i="3"/>
  <c r="T2545" i="3"/>
  <c r="T2516" i="3"/>
  <c r="T2504" i="3"/>
  <c r="T2475" i="3"/>
  <c r="T2446" i="3"/>
  <c r="T2435" i="3"/>
  <c r="T2414" i="3"/>
  <c r="T2380" i="3"/>
  <c r="T2363" i="3"/>
  <c r="T2346" i="3"/>
  <c r="T2312" i="3"/>
  <c r="T4405" i="3"/>
  <c r="T3634" i="3"/>
  <c r="T3526" i="3"/>
  <c r="T3466" i="3"/>
  <c r="T3332" i="3"/>
  <c r="T3243" i="3"/>
  <c r="T3213" i="3"/>
  <c r="T3183" i="3"/>
  <c r="T3034" i="3"/>
  <c r="T2975" i="3"/>
  <c r="T2957" i="3"/>
  <c r="T2892" i="3"/>
  <c r="T2874" i="3"/>
  <c r="T2832" i="3"/>
  <c r="T2798" i="3"/>
  <c r="T2780" i="3"/>
  <c r="T2767" i="3"/>
  <c r="T2719" i="3"/>
  <c r="T2690" i="3"/>
  <c r="T2661" i="3"/>
  <c r="T2649" i="3"/>
  <c r="T2620" i="3"/>
  <c r="T2591" i="3"/>
  <c r="T2562" i="3"/>
  <c r="T2533" i="3"/>
  <c r="T2521" i="3"/>
  <c r="T2492" i="3"/>
  <c r="T2463" i="3"/>
  <c r="T2419" i="3"/>
  <c r="T2397" i="3"/>
  <c r="T2368" i="3"/>
  <c r="T2340" i="3"/>
  <c r="T2323" i="3"/>
  <c r="T4289" i="3"/>
  <c r="T4089" i="3"/>
  <c r="T3616" i="3"/>
  <c r="T3449" i="3"/>
  <c r="T3348" i="3"/>
  <c r="T3258" i="3"/>
  <c r="T3151" i="3"/>
  <c r="T3079" i="3"/>
  <c r="T3000" i="3"/>
  <c r="T2936" i="3"/>
  <c r="T2911" i="3"/>
  <c r="T2856" i="3"/>
  <c r="T2815" i="3"/>
  <c r="T2760" i="3"/>
  <c r="T2748" i="3"/>
  <c r="T2730" i="3"/>
  <c r="T2701" i="3"/>
  <c r="T2678" i="3"/>
  <c r="T2666" i="3"/>
  <c r="T2637" i="3"/>
  <c r="T2614" i="3"/>
  <c r="T2602" i="3"/>
  <c r="T2573" i="3"/>
  <c r="T2550" i="3"/>
  <c r="T2538" i="3"/>
  <c r="T2509" i="3"/>
  <c r="T2486" i="3"/>
  <c r="T2474" i="3"/>
  <c r="T2445" i="3"/>
  <c r="T2434" i="3"/>
  <c r="T2424" i="3"/>
  <c r="T2408" i="3"/>
  <c r="T2379" i="3"/>
  <c r="T2362" i="3"/>
  <c r="T2328" i="3"/>
  <c r="T2300" i="3"/>
  <c r="T2283" i="3"/>
  <c r="T2266" i="3"/>
  <c r="T2232" i="3"/>
  <c r="T2204" i="3"/>
  <c r="T3697" i="3"/>
  <c r="T3487" i="3"/>
  <c r="T3289" i="3"/>
  <c r="T3012" i="3"/>
  <c r="T2962" i="3"/>
  <c r="T2916" i="3"/>
  <c r="T2867" i="3"/>
  <c r="T2843" i="3"/>
  <c r="T2820" i="3"/>
  <c r="T2792" i="3"/>
  <c r="T2766" i="3"/>
  <c r="T2724" i="3"/>
  <c r="T2712" i="3"/>
  <c r="T2683" i="3"/>
  <c r="T2654" i="3"/>
  <c r="T2625" i="3"/>
  <c r="T2596" i="3"/>
  <c r="T2584" i="3"/>
  <c r="T2555" i="3"/>
  <c r="T2526" i="3"/>
  <c r="T2497" i="3"/>
  <c r="T2468" i="3"/>
  <c r="T2456" i="3"/>
  <c r="T2402" i="3"/>
  <c r="T2390" i="3"/>
  <c r="T2356" i="3"/>
  <c r="T2339" i="3"/>
  <c r="T2322" i="3"/>
  <c r="T2288" i="3"/>
  <c r="T2260" i="3"/>
  <c r="T2243" i="3"/>
  <c r="T2226" i="3"/>
  <c r="T2192" i="3"/>
  <c r="T2164" i="3"/>
  <c r="T2147" i="3"/>
  <c r="T2130" i="3"/>
  <c r="T2096" i="3"/>
  <c r="T2068" i="3"/>
  <c r="T2051" i="3"/>
  <c r="T2034" i="3"/>
  <c r="T2000" i="3"/>
  <c r="T4461" i="3"/>
  <c r="T4129" i="3"/>
  <c r="T3857" i="3"/>
  <c r="T3659" i="3"/>
  <c r="T3532" i="3"/>
  <c r="T3305" i="3"/>
  <c r="T3129" i="3"/>
  <c r="T3106" i="3"/>
  <c r="T2992" i="3"/>
  <c r="T2927" i="3"/>
  <c r="T2891" i="3"/>
  <c r="T2849" i="3"/>
  <c r="T2802" i="3"/>
  <c r="T2778" i="3"/>
  <c r="T2753" i="3"/>
  <c r="T2735" i="3"/>
  <c r="T2706" i="3"/>
  <c r="T2677" i="3"/>
  <c r="T2665" i="3"/>
  <c r="T2636" i="3"/>
  <c r="T2607" i="3"/>
  <c r="T2578" i="3"/>
  <c r="T2549" i="3"/>
  <c r="T2537" i="3"/>
  <c r="T2508" i="3"/>
  <c r="T2479" i="3"/>
  <c r="T2450" i="3"/>
  <c r="T2428" i="3"/>
  <c r="T2407" i="3"/>
  <c r="T2378" i="3"/>
  <c r="T2344" i="3"/>
  <c r="T2316" i="3"/>
  <c r="T2299" i="3"/>
  <c r="T2282" i="3"/>
  <c r="T2248" i="3"/>
  <c r="T2220" i="3"/>
  <c r="T2203" i="3"/>
  <c r="T2186" i="3"/>
  <c r="T2152" i="3"/>
  <c r="T2124" i="3"/>
  <c r="T2107" i="3"/>
  <c r="T2090" i="3"/>
  <c r="T4499" i="3"/>
  <c r="T3640" i="3"/>
  <c r="T3471" i="3"/>
  <c r="T3321" i="3"/>
  <c r="T3203" i="3"/>
  <c r="T3024" i="3"/>
  <c r="T2979" i="3"/>
  <c r="T2920" i="3"/>
  <c r="T2903" i="3"/>
  <c r="T2884" i="3"/>
  <c r="T2836" i="3"/>
  <c r="T2784" i="3"/>
  <c r="T2741" i="3"/>
  <c r="T2717" i="3"/>
  <c r="T2694" i="3"/>
  <c r="T2682" i="3"/>
  <c r="T2653" i="3"/>
  <c r="T2630" i="3"/>
  <c r="T2618" i="3"/>
  <c r="T2589" i="3"/>
  <c r="T2566" i="3"/>
  <c r="T2554" i="3"/>
  <c r="T2525" i="3"/>
  <c r="T2502" i="3"/>
  <c r="T2490" i="3"/>
  <c r="T2461" i="3"/>
  <c r="T2438" i="3"/>
  <c r="T2417" i="3"/>
  <c r="T2401" i="3"/>
  <c r="T2389" i="3"/>
  <c r="T2366" i="3"/>
  <c r="T2349" i="3"/>
  <c r="T2321" i="3"/>
  <c r="T2287" i="3"/>
  <c r="T3760" i="3"/>
  <c r="T3492" i="3"/>
  <c r="T3420" i="3"/>
  <c r="T3337" i="3"/>
  <c r="T3263" i="3"/>
  <c r="T3084" i="3"/>
  <c r="T3017" i="3"/>
  <c r="T2953" i="3"/>
  <c r="T2859" i="3"/>
  <c r="T2848" i="3"/>
  <c r="T2807" i="3"/>
  <c r="T2771" i="3"/>
  <c r="T2746" i="3"/>
  <c r="T2728" i="3"/>
  <c r="T2699" i="3"/>
  <c r="T2670" i="3"/>
  <c r="T2641" i="3"/>
  <c r="T2612" i="3"/>
  <c r="T2600" i="3"/>
  <c r="T2571" i="3"/>
  <c r="T2542" i="3"/>
  <c r="T2513" i="3"/>
  <c r="T2484" i="3"/>
  <c r="T2472" i="3"/>
  <c r="T2443" i="3"/>
  <c r="T2422" i="3"/>
  <c r="T2383" i="3"/>
  <c r="T2360" i="3"/>
  <c r="T2332" i="3"/>
  <c r="T2315" i="3"/>
  <c r="T2298" i="3"/>
  <c r="T3912" i="3"/>
  <c r="T3604" i="3"/>
  <c r="T3353" i="3"/>
  <c r="T3148" i="3"/>
  <c r="T2908" i="3"/>
  <c r="T2877" i="3"/>
  <c r="T2835" i="3"/>
  <c r="T2812" i="3"/>
  <c r="T2783" i="3"/>
  <c r="T2758" i="3"/>
  <c r="T2716" i="3"/>
  <c r="T2687" i="3"/>
  <c r="T2658" i="3"/>
  <c r="T2629" i="3"/>
  <c r="T2617" i="3"/>
  <c r="T2588" i="3"/>
  <c r="T2559" i="3"/>
  <c r="T2530" i="3"/>
  <c r="T2501" i="3"/>
  <c r="T2489" i="3"/>
  <c r="T2460" i="3"/>
  <c r="T2411" i="3"/>
  <c r="T2394" i="3"/>
  <c r="T2365" i="3"/>
  <c r="T2337" i="3"/>
  <c r="T2303" i="3"/>
  <c r="T2286" i="3"/>
  <c r="T2269" i="3"/>
  <c r="T2241" i="3"/>
  <c r="T2207" i="3"/>
  <c r="T2190" i="3"/>
  <c r="T2173" i="3"/>
  <c r="T2145" i="3"/>
  <c r="T2111" i="3"/>
  <c r="T2094" i="3"/>
  <c r="T2077" i="3"/>
  <c r="T3768" i="3"/>
  <c r="T3008" i="3"/>
  <c r="T2675" i="3"/>
  <c r="T2582" i="3"/>
  <c r="T2342" i="3"/>
  <c r="T2261" i="3"/>
  <c r="T2246" i="3"/>
  <c r="T2170" i="3"/>
  <c r="T2143" i="3"/>
  <c r="T2131" i="3"/>
  <c r="T2089" i="3"/>
  <c r="T2044" i="3"/>
  <c r="T2032" i="3"/>
  <c r="T2013" i="3"/>
  <c r="T1967" i="3"/>
  <c r="T1950" i="3"/>
  <c r="T1933" i="3"/>
  <c r="T1905" i="3"/>
  <c r="T1871" i="3"/>
  <c r="T1854" i="3"/>
  <c r="T1837" i="3"/>
  <c r="T1828" i="3"/>
  <c r="T1820" i="3"/>
  <c r="T1812" i="3"/>
  <c r="T1804" i="3"/>
  <c r="T1796" i="3"/>
  <c r="T1788" i="3"/>
  <c r="T1780" i="3"/>
  <c r="T1772" i="3"/>
  <c r="T1764" i="3"/>
  <c r="T1756" i="3"/>
  <c r="T1748" i="3"/>
  <c r="T1735" i="3"/>
  <c r="T1709" i="3"/>
  <c r="T1687" i="3"/>
  <c r="T1661" i="3"/>
  <c r="T1602" i="3"/>
  <c r="T1572" i="3"/>
  <c r="T1552" i="3"/>
  <c r="T1541" i="3"/>
  <c r="T1516" i="3"/>
  <c r="T1490" i="3"/>
  <c r="T1479" i="3"/>
  <c r="T1458" i="3"/>
  <c r="T1443" i="3"/>
  <c r="T1407" i="3"/>
  <c r="T1375" i="3"/>
  <c r="T2847" i="3"/>
  <c r="T2238" i="3"/>
  <c r="T2218" i="3"/>
  <c r="T2176" i="3"/>
  <c r="T2156" i="3"/>
  <c r="T2109" i="3"/>
  <c r="T2069" i="3"/>
  <c r="T2050" i="3"/>
  <c r="T2001" i="3"/>
  <c r="T1989" i="3"/>
  <c r="T1961" i="3"/>
  <c r="T1927" i="3"/>
  <c r="T1910" i="3"/>
  <c r="T1893" i="3"/>
  <c r="T1865" i="3"/>
  <c r="T1739" i="3"/>
  <c r="T1713" i="3"/>
  <c r="T1691" i="3"/>
  <c r="T1665" i="3"/>
  <c r="T1651" i="3"/>
  <c r="T1636" i="3"/>
  <c r="T1616" i="3"/>
  <c r="T1587" i="3"/>
  <c r="T1577" i="3"/>
  <c r="T1520" i="3"/>
  <c r="T1473" i="3"/>
  <c r="T1447" i="3"/>
  <c r="T1427" i="3"/>
  <c r="T1417" i="3"/>
  <c r="T1396" i="3"/>
  <c r="T1370" i="3"/>
  <c r="T1354" i="3"/>
  <c r="T2889" i="3"/>
  <c r="T2745" i="3"/>
  <c r="T2611" i="3"/>
  <c r="T2518" i="3"/>
  <c r="T2331" i="3"/>
  <c r="T2245" i="3"/>
  <c r="T2149" i="3"/>
  <c r="T2136" i="3"/>
  <c r="T2088" i="3"/>
  <c r="T2061" i="3"/>
  <c r="T2037" i="3"/>
  <c r="T2019" i="3"/>
  <c r="T1972" i="3"/>
  <c r="T1955" i="3"/>
  <c r="T1938" i="3"/>
  <c r="T1904" i="3"/>
  <c r="T1876" i="3"/>
  <c r="T1859" i="3"/>
  <c r="T1842" i="3"/>
  <c r="T1730" i="3"/>
  <c r="T1704" i="3"/>
  <c r="T1682" i="3"/>
  <c r="T1646" i="3"/>
  <c r="T1621" i="3"/>
  <c r="T1596" i="3"/>
  <c r="T1571" i="3"/>
  <c r="T1551" i="3"/>
  <c r="T1540" i="3"/>
  <c r="T553" i="3"/>
  <c r="T613" i="3"/>
  <c r="T709" i="3"/>
  <c r="T104" i="3"/>
  <c r="T1911" i="3"/>
  <c r="T153" i="3"/>
  <c r="T533" i="3"/>
  <c r="T669" i="3"/>
  <c r="T592" i="3"/>
  <c r="T879" i="3"/>
  <c r="T661" i="3"/>
  <c r="T693" i="3"/>
  <c r="T685" i="3"/>
  <c r="T12" i="3"/>
  <c r="T59" i="3"/>
  <c r="T99" i="3"/>
  <c r="T141" i="3"/>
  <c r="T175" i="3"/>
  <c r="T209" i="3"/>
  <c r="T223" i="3"/>
  <c r="T257" i="3"/>
  <c r="T271" i="3"/>
  <c r="T305" i="3"/>
  <c r="T319" i="3"/>
  <c r="T353" i="3"/>
  <c r="T367" i="3"/>
  <c r="T401" i="3"/>
  <c r="T415" i="3"/>
  <c r="T455" i="3"/>
  <c r="T479" i="3"/>
  <c r="T497" i="3"/>
  <c r="T509" i="3"/>
  <c r="T521" i="3"/>
  <c r="T547" i="3"/>
  <c r="T573" i="3"/>
  <c r="T599" i="3"/>
  <c r="T849" i="3"/>
  <c r="T993" i="3"/>
  <c r="T1324" i="3"/>
  <c r="T46" i="3"/>
  <c r="T114" i="3"/>
  <c r="T170" i="3"/>
  <c r="T554" i="3"/>
  <c r="T580" i="3"/>
  <c r="T607" i="3"/>
  <c r="T646" i="3"/>
  <c r="T694" i="3"/>
  <c r="T747" i="3"/>
  <c r="T891" i="3"/>
  <c r="T1059" i="3"/>
  <c r="T1376" i="3"/>
  <c r="T4831" i="3"/>
  <c r="T4696" i="3"/>
  <c r="T4640" i="3"/>
  <c r="T4598" i="3"/>
  <c r="T4569" i="3"/>
  <c r="T4519" i="3"/>
  <c r="T4509" i="3"/>
  <c r="T4490" i="3"/>
  <c r="T4471" i="3"/>
  <c r="T4930" i="3"/>
  <c r="T4803" i="3"/>
  <c r="T4632" i="3"/>
  <c r="T4579" i="3"/>
  <c r="T4518" i="3"/>
  <c r="T4494" i="3"/>
  <c r="T4484" i="3"/>
  <c r="T4456" i="3"/>
  <c r="T4416" i="3"/>
  <c r="T4401" i="3"/>
  <c r="T4347" i="3"/>
  <c r="T4337" i="3"/>
  <c r="T4327" i="3"/>
  <c r="T4302" i="3"/>
  <c r="T4287" i="3"/>
  <c r="T4276" i="3"/>
  <c r="T4251" i="3"/>
  <c r="T4194" i="3"/>
  <c r="T4164" i="3"/>
  <c r="T4143" i="3"/>
  <c r="T4132" i="3"/>
  <c r="T4103" i="3"/>
  <c r="T4083" i="3"/>
  <c r="T4062" i="3"/>
  <c r="T4024" i="3"/>
  <c r="T4008" i="3"/>
  <c r="T3975" i="3"/>
  <c r="T3948" i="3"/>
  <c r="T3932" i="3"/>
  <c r="T3910" i="3"/>
  <c r="T3883" i="3"/>
  <c r="T3872" i="3"/>
  <c r="T3850" i="3"/>
  <c r="T3823" i="3"/>
  <c r="T3796" i="3"/>
  <c r="T3774" i="3"/>
  <c r="T3736" i="3"/>
  <c r="T3720" i="3"/>
  <c r="T4953" i="3"/>
  <c r="T4739" i="3"/>
  <c r="T4686" i="3"/>
  <c r="T4578" i="3"/>
  <c r="T4561" i="3"/>
  <c r="T4512" i="3"/>
  <c r="T4488" i="3"/>
  <c r="T4469" i="3"/>
  <c r="T4445" i="3"/>
  <c r="T4420" i="3"/>
  <c r="T4384" i="3"/>
  <c r="T4369" i="3"/>
  <c r="T4331" i="3"/>
  <c r="T4321" i="3"/>
  <c r="T4306" i="3"/>
  <c r="T4296" i="3"/>
  <c r="T4270" i="3"/>
  <c r="T4234" i="3"/>
  <c r="T4224" i="3"/>
  <c r="T4193" i="3"/>
  <c r="T4172" i="3"/>
  <c r="T4126" i="3"/>
  <c r="T4106" i="3"/>
  <c r="T4087" i="3"/>
  <c r="T4050" i="3"/>
  <c r="T4017" i="3"/>
  <c r="T4001" i="3"/>
  <c r="T3963" i="3"/>
  <c r="T3941" i="3"/>
  <c r="T3914" i="3"/>
  <c r="T3887" i="3"/>
  <c r="T3865" i="3"/>
  <c r="T3854" i="3"/>
  <c r="T3827" i="3"/>
  <c r="T3805" i="3"/>
  <c r="T3789" i="3"/>
  <c r="T3762" i="3"/>
  <c r="T3729" i="3"/>
  <c r="T3713" i="3"/>
  <c r="T4835" i="3"/>
  <c r="T4650" i="3"/>
  <c r="T4607" i="3"/>
  <c r="T4970" i="3"/>
  <c r="T4926" i="3"/>
  <c r="T4799" i="3"/>
  <c r="T4721" i="3"/>
  <c r="T4670" i="3"/>
  <c r="T4560" i="3"/>
  <c r="T4550" i="3"/>
  <c r="T4540" i="3"/>
  <c r="T4530" i="3"/>
  <c r="T4506" i="3"/>
  <c r="T4482" i="3"/>
  <c r="T4449" i="3"/>
  <c r="T4439" i="3"/>
  <c r="T4429" i="3"/>
  <c r="T4383" i="3"/>
  <c r="T4363" i="3"/>
  <c r="T4310" i="3"/>
  <c r="T4284" i="3"/>
  <c r="T4264" i="3"/>
  <c r="T4243" i="3"/>
  <c r="T4202" i="3"/>
  <c r="T4181" i="3"/>
  <c r="T4161" i="3"/>
  <c r="T4151" i="3"/>
  <c r="T4130" i="3"/>
  <c r="T4115" i="3"/>
  <c r="T4105" i="3"/>
  <c r="T4091" i="3"/>
  <c r="T4054" i="3"/>
  <c r="T4027" i="3"/>
  <c r="T4016" i="3"/>
  <c r="T3994" i="3"/>
  <c r="T3967" i="3"/>
  <c r="T3940" i="3"/>
  <c r="T3918" i="3"/>
  <c r="T3880" i="3"/>
  <c r="T3864" i="3"/>
  <c r="T3831" i="3"/>
  <c r="T3804" i="3"/>
  <c r="T3788" i="3"/>
  <c r="T3766" i="3"/>
  <c r="T3739" i="3"/>
  <c r="T3728" i="3"/>
  <c r="T4959" i="3"/>
  <c r="T4893" i="3"/>
  <c r="T4777" i="3"/>
  <c r="T4631" i="3"/>
  <c r="T4533" i="3"/>
  <c r="T4510" i="3"/>
  <c r="T4493" i="3"/>
  <c r="T4481" i="3"/>
  <c r="T4450" i="3"/>
  <c r="T4432" i="3"/>
  <c r="T4404" i="3"/>
  <c r="T4360" i="3"/>
  <c r="T4300" i="3"/>
  <c r="T4260" i="3"/>
  <c r="T4236" i="3"/>
  <c r="T4219" i="3"/>
  <c r="T4198" i="3"/>
  <c r="T4134" i="3"/>
  <c r="T4100" i="3"/>
  <c r="T4065" i="3"/>
  <c r="T4030" i="3"/>
  <c r="T3974" i="3"/>
  <c r="T3913" i="3"/>
  <c r="T3884" i="3"/>
  <c r="T3821" i="3"/>
  <c r="T3803" i="3"/>
  <c r="T3748" i="3"/>
  <c r="T3710" i="3"/>
  <c r="T3693" i="3"/>
  <c r="T3666" i="3"/>
  <c r="T3633" i="3"/>
  <c r="T3623" i="3"/>
  <c r="T3592" i="3"/>
  <c r="T3582" i="3"/>
  <c r="T3572" i="3"/>
  <c r="T3551" i="3"/>
  <c r="T3501" i="3"/>
  <c r="T3477" i="3"/>
  <c r="T3452" i="3"/>
  <c r="T3442" i="3"/>
  <c r="T3426" i="3"/>
  <c r="T3405" i="3"/>
  <c r="T3384" i="3"/>
  <c r="T4732" i="3"/>
  <c r="T4617" i="3"/>
  <c r="T4574" i="3"/>
  <c r="T4544" i="3"/>
  <c r="T4516" i="3"/>
  <c r="T4421" i="3"/>
  <c r="T4393" i="3"/>
  <c r="T4382" i="3"/>
  <c r="T4350" i="3"/>
  <c r="T4328" i="3"/>
  <c r="T4294" i="3"/>
  <c r="T4265" i="3"/>
  <c r="T4203" i="3"/>
  <c r="T4185" i="3"/>
  <c r="T4152" i="3"/>
  <c r="T4122" i="3"/>
  <c r="T4088" i="3"/>
  <c r="T4059" i="3"/>
  <c r="T4047" i="3"/>
  <c r="T4023" i="3"/>
  <c r="T4004" i="3"/>
  <c r="T3962" i="3"/>
  <c r="T3944" i="3"/>
  <c r="T4936" i="3"/>
  <c r="T4697" i="3"/>
  <c r="T4605" i="3"/>
  <c r="T4527" i="3"/>
  <c r="T4498" i="3"/>
  <c r="T4470" i="3"/>
  <c r="T4443" i="3"/>
  <c r="T4426" i="3"/>
  <c r="T4397" i="3"/>
  <c r="T4355" i="3"/>
  <c r="T4334" i="3"/>
  <c r="T4305" i="3"/>
  <c r="T4253" i="3"/>
  <c r="T4241" i="3"/>
  <c r="T4179" i="3"/>
  <c r="T4168" i="3"/>
  <c r="T4145" i="3"/>
  <c r="T4127" i="3"/>
  <c r="T4099" i="3"/>
  <c r="T4081" i="3"/>
  <c r="T4029" i="3"/>
  <c r="T3985" i="3"/>
  <c r="T3973" i="3"/>
  <c r="T3956" i="3"/>
  <c r="T3863" i="3"/>
  <c r="T3826" i="3"/>
  <c r="T3741" i="3"/>
  <c r="T3704" i="3"/>
  <c r="T4884" i="3"/>
  <c r="T4776" i="3"/>
  <c r="T4675" i="3"/>
  <c r="T4554" i="3"/>
  <c r="T4537" i="3"/>
  <c r="T4515" i="3"/>
  <c r="T4492" i="3"/>
  <c r="T4464" i="3"/>
  <c r="T4431" i="3"/>
  <c r="T4392" i="3"/>
  <c r="T4381" i="3"/>
  <c r="T4359" i="3"/>
  <c r="T4322" i="3"/>
  <c r="T4293" i="3"/>
  <c r="T4258" i="3"/>
  <c r="T4218" i="3"/>
  <c r="T4196" i="3"/>
  <c r="T4162" i="3"/>
  <c r="T4116" i="3"/>
  <c r="T4636" i="3"/>
  <c r="T4559" i="3"/>
  <c r="T4508" i="3"/>
  <c r="T4485" i="3"/>
  <c r="T4453" i="3"/>
  <c r="T4419" i="3"/>
  <c r="T4408" i="3"/>
  <c r="T4349" i="3"/>
  <c r="T4333" i="3"/>
  <c r="T4268" i="3"/>
  <c r="T4252" i="3"/>
  <c r="T4240" i="3"/>
  <c r="T4190" i="3"/>
  <c r="T4167" i="3"/>
  <c r="T4144" i="3"/>
  <c r="T4109" i="3"/>
  <c r="T4075" i="3"/>
  <c r="T4052" i="3"/>
  <c r="T4015" i="3"/>
  <c r="T3955" i="3"/>
  <c r="T3917" i="3"/>
  <c r="T3862" i="3"/>
  <c r="T3844" i="3"/>
  <c r="T3781" i="3"/>
  <c r="T3752" i="3"/>
  <c r="T3703" i="3"/>
  <c r="T3664" i="3"/>
  <c r="T3648" i="3"/>
  <c r="T3621" i="3"/>
  <c r="T3570" i="3"/>
  <c r="T3549" i="3"/>
  <c r="T3539" i="3"/>
  <c r="T3529" i="3"/>
  <c r="T3509" i="3"/>
  <c r="T3485" i="3"/>
  <c r="T4943" i="3"/>
  <c r="T4681" i="3"/>
  <c r="T4622" i="3"/>
  <c r="T4572" i="3"/>
  <c r="T4542" i="3"/>
  <c r="T4526" i="3"/>
  <c r="T4502" i="3"/>
  <c r="T4424" i="3"/>
  <c r="T4391" i="3"/>
  <c r="T4353" i="3"/>
  <c r="T4298" i="3"/>
  <c r="T4257" i="3"/>
  <c r="T4222" i="3"/>
  <c r="T4212" i="3"/>
  <c r="T4201" i="3"/>
  <c r="T4178" i="3"/>
  <c r="T4092" i="3"/>
  <c r="T4063" i="3"/>
  <c r="T4045" i="3"/>
  <c r="T4028" i="3"/>
  <c r="T3996" i="3"/>
  <c r="T3972" i="3"/>
  <c r="T3942" i="3"/>
  <c r="T3911" i="3"/>
  <c r="T3893" i="3"/>
  <c r="T3874" i="3"/>
  <c r="T3855" i="3"/>
  <c r="T3819" i="3"/>
  <c r="T3807" i="3"/>
  <c r="T3775" i="3"/>
  <c r="T3757" i="3"/>
  <c r="T3740" i="3"/>
  <c r="T3708" i="3"/>
  <c r="T3685" i="3"/>
  <c r="T3669" i="3"/>
  <c r="T3642" i="3"/>
  <c r="T3610" i="3"/>
  <c r="T3600" i="3"/>
  <c r="T3585" i="3"/>
  <c r="T3575" i="3"/>
  <c r="T4916" i="3"/>
  <c r="T4781" i="3"/>
  <c r="T4687" i="3"/>
  <c r="T4591" i="3"/>
  <c r="T4564" i="3"/>
  <c r="T4547" i="3"/>
  <c r="T4491" i="3"/>
  <c r="T4473" i="3"/>
  <c r="T4458" i="3"/>
  <c r="T4441" i="3"/>
  <c r="T4412" i="3"/>
  <c r="T4380" i="3"/>
  <c r="T4358" i="3"/>
  <c r="T4343" i="3"/>
  <c r="T4303" i="3"/>
  <c r="T4279" i="3"/>
  <c r="T4189" i="3"/>
  <c r="T4160" i="3"/>
  <c r="T4149" i="3"/>
  <c r="T4114" i="3"/>
  <c r="T4102" i="3"/>
  <c r="T4074" i="3"/>
  <c r="T4014" i="3"/>
  <c r="T3960" i="3"/>
  <c r="T3928" i="3"/>
  <c r="T3898" i="3"/>
  <c r="T3830" i="3"/>
  <c r="T3763" i="3"/>
  <c r="T3696" i="3"/>
  <c r="T3663" i="3"/>
  <c r="T3636" i="3"/>
  <c r="T3589" i="3"/>
  <c r="T3564" i="3"/>
  <c r="T3543" i="3"/>
  <c r="T3533" i="3"/>
  <c r="T3523" i="3"/>
  <c r="T3508" i="3"/>
  <c r="T3484" i="3"/>
  <c r="T3460" i="3"/>
  <c r="T3434" i="3"/>
  <c r="T3387" i="3"/>
  <c r="T3371" i="3"/>
  <c r="T4621" i="3"/>
  <c r="T4496" i="3"/>
  <c r="T4435" i="3"/>
  <c r="T4407" i="3"/>
  <c r="T4373" i="3"/>
  <c r="T4325" i="3"/>
  <c r="T4285" i="3"/>
  <c r="T4267" i="3"/>
  <c r="T4250" i="3"/>
  <c r="T4232" i="3"/>
  <c r="T4221" i="3"/>
  <c r="T4211" i="3"/>
  <c r="T4166" i="3"/>
  <c r="T4119" i="3"/>
  <c r="T4038" i="3"/>
  <c r="T4007" i="3"/>
  <c r="T3983" i="3"/>
  <c r="T3971" i="3"/>
  <c r="T3947" i="3"/>
  <c r="T3916" i="3"/>
  <c r="T3886" i="3"/>
  <c r="T3867" i="3"/>
  <c r="T3824" i="3"/>
  <c r="T3806" i="3"/>
  <c r="T4948" i="3"/>
  <c r="T4727" i="3"/>
  <c r="T4583" i="3"/>
  <c r="T4557" i="3"/>
  <c r="T4529" i="3"/>
  <c r="T4457" i="3"/>
  <c r="T4440" i="3"/>
  <c r="T4411" i="3"/>
  <c r="T4390" i="3"/>
  <c r="T4362" i="3"/>
  <c r="T4319" i="3"/>
  <c r="T4297" i="3"/>
  <c r="T4255" i="3"/>
  <c r="T4182" i="3"/>
  <c r="T4159" i="3"/>
  <c r="T4142" i="3"/>
  <c r="T4107" i="3"/>
  <c r="T4079" i="3"/>
  <c r="T4061" i="3"/>
  <c r="T4044" i="3"/>
  <c r="T4026" i="3"/>
  <c r="T3953" i="3"/>
  <c r="T3921" i="3"/>
  <c r="T3897" i="3"/>
  <c r="T3879" i="3"/>
  <c r="T4975" i="3"/>
  <c r="T4888" i="3"/>
  <c r="T4788" i="3"/>
  <c r="T4685" i="3"/>
  <c r="T4608" i="3"/>
  <c r="T4546" i="3"/>
  <c r="T4500" i="3"/>
  <c r="T4472" i="3"/>
  <c r="T4417" i="3"/>
  <c r="T4372" i="3"/>
  <c r="T4357" i="3"/>
  <c r="T4330" i="3"/>
  <c r="T4308" i="3"/>
  <c r="T4272" i="3"/>
  <c r="T4215" i="3"/>
  <c r="T4187" i="3"/>
  <c r="T4135" i="3"/>
  <c r="T4095" i="3"/>
  <c r="T4067" i="3"/>
  <c r="T4037" i="3"/>
  <c r="T4006" i="3"/>
  <c r="T3982" i="3"/>
  <c r="T3970" i="3"/>
  <c r="T3946" i="3"/>
  <c r="T3915" i="3"/>
  <c r="T3866" i="3"/>
  <c r="T3847" i="3"/>
  <c r="T4613" i="3"/>
  <c r="T4249" i="3"/>
  <c r="T4153" i="3"/>
  <c r="T4055" i="3"/>
  <c r="T3969" i="3"/>
  <c r="T3896" i="3"/>
  <c r="T3856" i="3"/>
  <c r="T3810" i="3"/>
  <c r="T3767" i="3"/>
  <c r="T3746" i="3"/>
  <c r="T3718" i="3"/>
  <c r="T3690" i="3"/>
  <c r="T3665" i="3"/>
  <c r="T3627" i="3"/>
  <c r="T3555" i="3"/>
  <c r="T3531" i="3"/>
  <c r="T3502" i="3"/>
  <c r="T3481" i="3"/>
  <c r="T3454" i="3"/>
  <c r="T3443" i="3"/>
  <c r="T3425" i="3"/>
  <c r="T3398" i="3"/>
  <c r="T3342" i="3"/>
  <c r="T3310" i="3"/>
  <c r="T3278" i="3"/>
  <c r="T3232" i="3"/>
  <c r="T3178" i="3"/>
  <c r="T3168" i="3"/>
  <c r="T3158" i="3"/>
  <c r="T3128" i="3"/>
  <c r="T3118" i="3"/>
  <c r="T3108" i="3"/>
  <c r="T3083" i="3"/>
  <c r="T3068" i="3"/>
  <c r="T3053" i="3"/>
  <c r="T3038" i="3"/>
  <c r="T3028" i="3"/>
  <c r="T2993" i="3"/>
  <c r="T2983" i="3"/>
  <c r="T2968" i="3"/>
  <c r="T2906" i="3"/>
  <c r="T2896" i="3"/>
  <c r="T2870" i="3"/>
  <c r="T2860" i="3"/>
  <c r="T2834" i="3"/>
  <c r="T2819" i="3"/>
  <c r="T2789" i="3"/>
  <c r="T4528" i="3"/>
  <c r="T3987" i="3"/>
  <c r="T3832" i="3"/>
  <c r="T3738" i="3"/>
  <c r="T3671" i="3"/>
  <c r="T3639" i="3"/>
  <c r="T3603" i="3"/>
  <c r="T3579" i="3"/>
  <c r="T3561" i="3"/>
  <c r="T3507" i="3"/>
  <c r="T3475" i="3"/>
  <c r="T3403" i="3"/>
  <c r="T3380" i="3"/>
  <c r="T3368" i="3"/>
  <c r="T3352" i="3"/>
  <c r="T3336" i="3"/>
  <c r="T3320" i="3"/>
  <c r="T3304" i="3"/>
  <c r="T3288" i="3"/>
  <c r="T3272" i="3"/>
  <c r="T3262" i="3"/>
  <c r="T3252" i="3"/>
  <c r="T3227" i="3"/>
  <c r="T3212" i="3"/>
  <c r="T3187" i="3"/>
  <c r="T3133" i="3"/>
  <c r="T3092" i="3"/>
  <c r="T3057" i="3"/>
  <c r="T3013" i="3"/>
  <c r="T2998" i="3"/>
  <c r="T2963" i="3"/>
  <c r="T2942" i="3"/>
  <c r="T2926" i="3"/>
  <c r="T2890" i="3"/>
  <c r="T2875" i="3"/>
  <c r="T2844" i="3"/>
  <c r="T4551" i="3"/>
  <c r="T4335" i="3"/>
  <c r="T4231" i="3"/>
  <c r="T4011" i="3"/>
  <c r="T3951" i="3"/>
  <c r="T3902" i="3"/>
  <c r="T3871" i="3"/>
  <c r="T3786" i="3"/>
  <c r="T3772" i="3"/>
  <c r="T3723" i="3"/>
  <c r="T3683" i="3"/>
  <c r="T3651" i="3"/>
  <c r="T3614" i="3"/>
  <c r="T3566" i="3"/>
  <c r="T3536" i="3"/>
  <c r="T3512" i="3"/>
  <c r="T3464" i="3"/>
  <c r="T3453" i="3"/>
  <c r="T3430" i="3"/>
  <c r="T3419" i="3"/>
  <c r="T3357" i="3"/>
  <c r="T3309" i="3"/>
  <c r="T3242" i="3"/>
  <c r="T3207" i="3"/>
  <c r="T3192" i="3"/>
  <c r="T3177" i="3"/>
  <c r="T3167" i="3"/>
  <c r="T3142" i="3"/>
  <c r="T3112" i="3"/>
  <c r="T3097" i="3"/>
  <c r="T3067" i="3"/>
  <c r="T3052" i="3"/>
  <c r="T3032" i="3"/>
  <c r="T4588" i="3"/>
  <c r="T4410" i="3"/>
  <c r="T4318" i="3"/>
  <c r="T4118" i="3"/>
  <c r="T3993" i="3"/>
  <c r="T3878" i="3"/>
  <c r="T3765" i="3"/>
  <c r="T3737" i="3"/>
  <c r="T3670" i="3"/>
  <c r="T3632" i="3"/>
  <c r="T3602" i="3"/>
  <c r="T3578" i="3"/>
  <c r="T3541" i="3"/>
  <c r="T3506" i="3"/>
  <c r="T3469" i="3"/>
  <c r="T3402" i="3"/>
  <c r="T3391" i="3"/>
  <c r="T3373" i="3"/>
  <c r="T3346" i="3"/>
  <c r="T3330" i="3"/>
  <c r="T3298" i="3"/>
  <c r="T3282" i="3"/>
  <c r="T3251" i="3"/>
  <c r="T3236" i="3"/>
  <c r="T3201" i="3"/>
  <c r="T3157" i="3"/>
  <c r="T3127" i="3"/>
  <c r="T3117" i="3"/>
  <c r="T3082" i="3"/>
  <c r="T3072" i="3"/>
  <c r="T3047" i="3"/>
  <c r="T4277" i="3"/>
  <c r="T4180" i="3"/>
  <c r="T4077" i="3"/>
  <c r="T4018" i="3"/>
  <c r="T3870" i="3"/>
  <c r="T3808" i="3"/>
  <c r="T3771" i="3"/>
  <c r="T3730" i="3"/>
  <c r="T3716" i="3"/>
  <c r="T3688" i="3"/>
  <c r="T3662" i="3"/>
  <c r="T3644" i="3"/>
  <c r="T3619" i="3"/>
  <c r="T3565" i="3"/>
  <c r="T3547" i="3"/>
  <c r="T3495" i="3"/>
  <c r="T3479" i="3"/>
  <c r="T3446" i="3"/>
  <c r="T3429" i="3"/>
  <c r="T3413" i="3"/>
  <c r="T3356" i="3"/>
  <c r="T3335" i="3"/>
  <c r="T3319" i="3"/>
  <c r="T3303" i="3"/>
  <c r="T3276" i="3"/>
  <c r="T3266" i="3"/>
  <c r="T3241" i="3"/>
  <c r="T3221" i="3"/>
  <c r="T3211" i="3"/>
  <c r="T3196" i="3"/>
  <c r="T3176" i="3"/>
  <c r="T3166" i="3"/>
  <c r="T4394" i="3"/>
  <c r="T4340" i="3"/>
  <c r="T4204" i="3"/>
  <c r="T4009" i="3"/>
  <c r="T3908" i="3"/>
  <c r="T3829" i="3"/>
  <c r="T3798" i="3"/>
  <c r="T3750" i="3"/>
  <c r="T3681" i="3"/>
  <c r="T3637" i="3"/>
  <c r="T3571" i="3"/>
  <c r="T3522" i="3"/>
  <c r="T3468" i="3"/>
  <c r="T3440" i="3"/>
  <c r="T3407" i="3"/>
  <c r="T3396" i="3"/>
  <c r="T3378" i="3"/>
  <c r="T3361" i="3"/>
  <c r="T3340" i="3"/>
  <c r="T3313" i="3"/>
  <c r="T3292" i="3"/>
  <c r="T3250" i="3"/>
  <c r="T3200" i="3"/>
  <c r="T3181" i="3"/>
  <c r="T3156" i="3"/>
  <c r="T3131" i="3"/>
  <c r="T3116" i="3"/>
  <c r="T3086" i="3"/>
  <c r="T3076" i="3"/>
  <c r="T3066" i="3"/>
  <c r="T3051" i="3"/>
  <c r="T3036" i="3"/>
  <c r="T3026" i="3"/>
  <c r="T3016" i="3"/>
  <c r="T3006" i="3"/>
  <c r="T2991" i="3"/>
  <c r="T2976" i="3"/>
  <c r="T2961" i="3"/>
  <c r="T2951" i="3"/>
  <c r="T2935" i="3"/>
  <c r="T2899" i="3"/>
  <c r="T2873" i="3"/>
  <c r="T4815" i="3"/>
  <c r="T4517" i="3"/>
  <c r="T4123" i="3"/>
  <c r="T4025" i="3"/>
  <c r="T3900" i="3"/>
  <c r="T3836" i="3"/>
  <c r="T3770" i="3"/>
  <c r="T3735" i="3"/>
  <c r="T3715" i="3"/>
  <c r="T3687" i="3"/>
  <c r="T3649" i="3"/>
  <c r="T3630" i="3"/>
  <c r="T3618" i="3"/>
  <c r="T3601" i="3"/>
  <c r="T3552" i="3"/>
  <c r="T3540" i="3"/>
  <c r="T3505" i="3"/>
  <c r="T3478" i="3"/>
  <c r="T3457" i="3"/>
  <c r="T3428" i="3"/>
  <c r="T3412" i="3"/>
  <c r="T3350" i="3"/>
  <c r="T3318" i="3"/>
  <c r="T3286" i="3"/>
  <c r="T3260" i="3"/>
  <c r="T3245" i="3"/>
  <c r="T3230" i="3"/>
  <c r="T3220" i="3"/>
  <c r="T3185" i="3"/>
  <c r="T3140" i="3"/>
  <c r="T3105" i="3"/>
  <c r="T3090" i="3"/>
  <c r="T3040" i="3"/>
  <c r="T2971" i="3"/>
  <c r="T2914" i="3"/>
  <c r="T2893" i="3"/>
  <c r="T2883" i="3"/>
  <c r="T2863" i="3"/>
  <c r="T2811" i="3"/>
  <c r="T2801" i="3"/>
  <c r="T2791" i="3"/>
  <c r="T2769" i="3"/>
  <c r="T2740" i="3"/>
  <c r="T4261" i="3"/>
  <c r="T3999" i="3"/>
  <c r="T3931" i="3"/>
  <c r="T3797" i="3"/>
  <c r="T3776" i="3"/>
  <c r="T3749" i="3"/>
  <c r="T3668" i="3"/>
  <c r="T3588" i="3"/>
  <c r="T3558" i="3"/>
  <c r="T3510" i="3"/>
  <c r="T3483" i="3"/>
  <c r="T3445" i="3"/>
  <c r="T3422" i="3"/>
  <c r="T3400" i="3"/>
  <c r="T3377" i="3"/>
  <c r="T3355" i="3"/>
  <c r="T3339" i="3"/>
  <c r="T3323" i="3"/>
  <c r="T3307" i="3"/>
  <c r="T3291" i="3"/>
  <c r="T3275" i="3"/>
  <c r="T3249" i="3"/>
  <c r="T3205" i="3"/>
  <c r="T3190" i="3"/>
  <c r="T3175" i="3"/>
  <c r="T3165" i="3"/>
  <c r="T3155" i="3"/>
  <c r="T3135" i="3"/>
  <c r="T3110" i="3"/>
  <c r="T3080" i="3"/>
  <c r="T3070" i="3"/>
  <c r="T3060" i="3"/>
  <c r="T3035" i="3"/>
  <c r="T3020" i="3"/>
  <c r="T2995" i="3"/>
  <c r="T2980" i="3"/>
  <c r="T2950" i="3"/>
  <c r="T2934" i="3"/>
  <c r="T4947" i="3"/>
  <c r="T4562" i="3"/>
  <c r="T4399" i="3"/>
  <c r="T4186" i="3"/>
  <c r="T3964" i="3"/>
  <c r="T3875" i="3"/>
  <c r="T3851" i="3"/>
  <c r="T3828" i="3"/>
  <c r="T3790" i="3"/>
  <c r="T3706" i="3"/>
  <c r="T3673" i="3"/>
  <c r="T3629" i="3"/>
  <c r="T3606" i="3"/>
  <c r="T3563" i="3"/>
  <c r="T3515" i="3"/>
  <c r="T3467" i="3"/>
  <c r="T3450" i="3"/>
  <c r="T3416" i="3"/>
  <c r="T3389" i="3"/>
  <c r="T3333" i="3"/>
  <c r="T3285" i="3"/>
  <c r="T3254" i="3"/>
  <c r="T3234" i="3"/>
  <c r="T3219" i="3"/>
  <c r="T3199" i="3"/>
  <c r="T3139" i="3"/>
  <c r="T3125" i="3"/>
  <c r="T3104" i="3"/>
  <c r="T3050" i="3"/>
  <c r="T3015" i="3"/>
  <c r="T4477" i="3"/>
  <c r="T4242" i="3"/>
  <c r="T4170" i="3"/>
  <c r="T3981" i="3"/>
  <c r="T3906" i="3"/>
  <c r="T3761" i="3"/>
  <c r="T3679" i="3"/>
  <c r="T3660" i="3"/>
  <c r="T3635" i="3"/>
  <c r="T3581" i="3"/>
  <c r="T3557" i="3"/>
  <c r="T3498" i="3"/>
  <c r="T3482" i="3"/>
  <c r="T3432" i="3"/>
  <c r="T3394" i="3"/>
  <c r="T3370" i="3"/>
  <c r="T3354" i="3"/>
  <c r="T3322" i="3"/>
  <c r="T3306" i="3"/>
  <c r="T3274" i="3"/>
  <c r="T3264" i="3"/>
  <c r="T3239" i="3"/>
  <c r="T3209" i="3"/>
  <c r="T3189" i="3"/>
  <c r="T3174" i="3"/>
  <c r="T3154" i="3"/>
  <c r="T3144" i="3"/>
  <c r="T3094" i="3"/>
  <c r="T3064" i="3"/>
  <c r="T3054" i="3"/>
  <c r="T3039" i="3"/>
  <c r="T2984" i="3"/>
  <c r="T2949" i="3"/>
  <c r="T2933" i="3"/>
  <c r="T2923" i="3"/>
  <c r="T2841" i="3"/>
  <c r="T2825" i="3"/>
  <c r="T2785" i="3"/>
  <c r="T2756" i="3"/>
  <c r="T3795" i="3"/>
  <c r="T3562" i="3"/>
  <c r="T3327" i="3"/>
  <c r="T3223" i="3"/>
  <c r="T3194" i="3"/>
  <c r="T3096" i="3"/>
  <c r="T3029" i="3"/>
  <c r="T2977" i="3"/>
  <c r="T2952" i="3"/>
  <c r="T2918" i="3"/>
  <c r="T2882" i="3"/>
  <c r="T2852" i="3"/>
  <c r="T2822" i="3"/>
  <c r="T2782" i="3"/>
  <c r="T2721" i="3"/>
  <c r="T2692" i="3"/>
  <c r="T2680" i="3"/>
  <c r="T2651" i="3"/>
  <c r="T2622" i="3"/>
  <c r="T2593" i="3"/>
  <c r="T2564" i="3"/>
  <c r="T2552" i="3"/>
  <c r="T2523" i="3"/>
  <c r="T2494" i="3"/>
  <c r="T2465" i="3"/>
  <c r="T2431" i="3"/>
  <c r="T2410" i="3"/>
  <c r="T2393" i="3"/>
  <c r="T2353" i="3"/>
  <c r="T2319" i="3"/>
  <c r="T2302" i="3"/>
  <c r="T2285" i="3"/>
  <c r="T2257" i="3"/>
  <c r="T2223" i="3"/>
  <c r="T2206" i="3"/>
  <c r="T2189" i="3"/>
  <c r="T2161" i="3"/>
  <c r="T2127" i="3"/>
  <c r="T2110" i="3"/>
  <c r="T2093" i="3"/>
  <c r="T2065" i="3"/>
  <c r="T2031" i="3"/>
  <c r="T2014" i="3"/>
  <c r="T4266" i="3"/>
  <c r="T3833" i="3"/>
  <c r="T3461" i="3"/>
  <c r="T3343" i="3"/>
  <c r="T3268" i="3"/>
  <c r="T3153" i="3"/>
  <c r="T3074" i="3"/>
  <c r="T2959" i="3"/>
  <c r="T2900" i="3"/>
  <c r="T2876" i="3"/>
  <c r="T2810" i="3"/>
  <c r="T2794" i="3"/>
  <c r="T2775" i="3"/>
  <c r="T2750" i="3"/>
  <c r="T2738" i="3"/>
  <c r="T2709" i="3"/>
  <c r="T2697" i="3"/>
  <c r="T2668" i="3"/>
  <c r="T2639" i="3"/>
  <c r="T2610" i="3"/>
  <c r="T2581" i="3"/>
  <c r="T2569" i="3"/>
  <c r="T2540" i="3"/>
  <c r="T2511" i="3"/>
  <c r="T2482" i="3"/>
  <c r="T2453" i="3"/>
  <c r="T2441" i="3"/>
  <c r="T2415" i="3"/>
  <c r="T2381" i="3"/>
  <c r="T2364" i="3"/>
  <c r="T2347" i="3"/>
  <c r="T2330" i="3"/>
  <c r="T2296" i="3"/>
  <c r="T2268" i="3"/>
  <c r="T2251" i="3"/>
  <c r="T3519" i="3"/>
  <c r="T3300" i="3"/>
  <c r="T3138" i="3"/>
  <c r="T3007" i="3"/>
  <c r="T2989" i="3"/>
  <c r="T2930" i="3"/>
  <c r="T2912" i="3"/>
  <c r="T2869" i="3"/>
  <c r="T2845" i="3"/>
  <c r="T2827" i="3"/>
  <c r="T2804" i="3"/>
  <c r="T2768" i="3"/>
  <c r="T2720" i="3"/>
  <c r="T2691" i="3"/>
  <c r="T2679" i="3"/>
  <c r="T2656" i="3"/>
  <c r="T2627" i="3"/>
  <c r="T2615" i="3"/>
  <c r="T2592" i="3"/>
  <c r="T2563" i="3"/>
  <c r="T2551" i="3"/>
  <c r="T2528" i="3"/>
  <c r="T2499" i="3"/>
  <c r="T2487" i="3"/>
  <c r="T2464" i="3"/>
  <c r="T2430" i="3"/>
  <c r="T2409" i="3"/>
  <c r="T2398" i="3"/>
  <c r="T2369" i="3"/>
  <c r="T2335" i="3"/>
  <c r="T2318" i="3"/>
  <c r="T2301" i="3"/>
  <c r="T2273" i="3"/>
  <c r="T2239" i="3"/>
  <c r="T3672" i="3"/>
  <c r="T3124" i="3"/>
  <c r="T3049" i="3"/>
  <c r="T2981" i="3"/>
  <c r="T2917" i="3"/>
  <c r="T2881" i="3"/>
  <c r="T2838" i="3"/>
  <c r="T2809" i="3"/>
  <c r="T2761" i="3"/>
  <c r="T2749" i="3"/>
  <c r="T2737" i="3"/>
  <c r="T2708" i="3"/>
  <c r="T2696" i="3"/>
  <c r="T2667" i="3"/>
  <c r="T2638" i="3"/>
  <c r="T2609" i="3"/>
  <c r="T2580" i="3"/>
  <c r="T2568" i="3"/>
  <c r="T2539" i="3"/>
  <c r="T2510" i="3"/>
  <c r="T2481" i="3"/>
  <c r="T2452" i="3"/>
  <c r="T2440" i="3"/>
  <c r="T2425" i="3"/>
  <c r="T2386" i="3"/>
  <c r="T2374" i="3"/>
  <c r="T2357" i="3"/>
  <c r="T2329" i="3"/>
  <c r="T2295" i="3"/>
  <c r="T4307" i="3"/>
  <c r="T3593" i="3"/>
  <c r="T3503" i="3"/>
  <c r="T3399" i="3"/>
  <c r="T3316" i="3"/>
  <c r="T3228" i="3"/>
  <c r="T3198" i="3"/>
  <c r="T3101" i="3"/>
  <c r="T2994" i="3"/>
  <c r="T2969" i="3"/>
  <c r="T2943" i="3"/>
  <c r="T2886" i="3"/>
  <c r="T2862" i="3"/>
  <c r="T2826" i="3"/>
  <c r="T2793" i="3"/>
  <c r="T2774" i="3"/>
  <c r="T2725" i="3"/>
  <c r="T2713" i="3"/>
  <c r="T2684" i="3"/>
  <c r="T2655" i="3"/>
  <c r="T2626" i="3"/>
  <c r="T2597" i="3"/>
  <c r="T2585" i="3"/>
  <c r="T2556" i="3"/>
  <c r="T2527" i="3"/>
  <c r="T2498" i="3"/>
  <c r="T2469" i="3"/>
  <c r="T2457" i="3"/>
  <c r="T2403" i="3"/>
  <c r="T2391" i="3"/>
  <c r="T2351" i="3"/>
  <c r="T2334" i="3"/>
  <c r="T4422" i="3"/>
  <c r="T4192" i="3"/>
  <c r="T3754" i="3"/>
  <c r="T3550" i="3"/>
  <c r="T3415" i="3"/>
  <c r="T3273" i="3"/>
  <c r="T3159" i="3"/>
  <c r="T3093" i="3"/>
  <c r="T3019" i="3"/>
  <c r="T2987" i="3"/>
  <c r="T2922" i="3"/>
  <c r="T2898" i="3"/>
  <c r="T2837" i="3"/>
  <c r="T2803" i="3"/>
  <c r="T2754" i="3"/>
  <c r="T2736" i="3"/>
  <c r="T2707" i="3"/>
  <c r="T2695" i="3"/>
  <c r="T2672" i="3"/>
  <c r="T2643" i="3"/>
  <c r="T2631" i="3"/>
  <c r="T2608" i="3"/>
  <c r="T2579" i="3"/>
  <c r="T2567" i="3"/>
  <c r="T2544" i="3"/>
  <c r="T2515" i="3"/>
  <c r="T2503" i="3"/>
  <c r="T2480" i="3"/>
  <c r="T2451" i="3"/>
  <c r="T2439" i="3"/>
  <c r="T2429" i="3"/>
  <c r="T2413" i="3"/>
  <c r="T2385" i="3"/>
  <c r="T2373" i="3"/>
  <c r="T2345" i="3"/>
  <c r="T2311" i="3"/>
  <c r="T2294" i="3"/>
  <c r="T2277" i="3"/>
  <c r="T2249" i="3"/>
  <c r="T2215" i="3"/>
  <c r="T4022" i="3"/>
  <c r="T3678" i="3"/>
  <c r="T3381" i="3"/>
  <c r="T3136" i="3"/>
  <c r="T2974" i="3"/>
  <c r="T2948" i="3"/>
  <c r="T2879" i="3"/>
  <c r="T2861" i="3"/>
  <c r="T2831" i="3"/>
  <c r="T2808" i="3"/>
  <c r="T2773" i="3"/>
  <c r="T2742" i="3"/>
  <c r="T2718" i="3"/>
  <c r="T2689" i="3"/>
  <c r="T2660" i="3"/>
  <c r="T2648" i="3"/>
  <c r="T2619" i="3"/>
  <c r="T2590" i="3"/>
  <c r="T2561" i="3"/>
  <c r="T2532" i="3"/>
  <c r="T2520" i="3"/>
  <c r="T2491" i="3"/>
  <c r="T2462" i="3"/>
  <c r="T2418" i="3"/>
  <c r="T2396" i="3"/>
  <c r="T2367" i="3"/>
  <c r="T2350" i="3"/>
  <c r="T2333" i="3"/>
  <c r="T2305" i="3"/>
  <c r="T2271" i="3"/>
  <c r="T2254" i="3"/>
  <c r="T2237" i="3"/>
  <c r="T2209" i="3"/>
  <c r="T2175" i="3"/>
  <c r="T2158" i="3"/>
  <c r="T2141" i="3"/>
  <c r="T2113" i="3"/>
  <c r="T2079" i="3"/>
  <c r="T2062" i="3"/>
  <c r="T2045" i="3"/>
  <c r="T2017" i="3"/>
  <c r="T4661" i="3"/>
  <c r="T4329" i="3"/>
  <c r="T4031" i="3"/>
  <c r="T3705" i="3"/>
  <c r="T3599" i="3"/>
  <c r="T3364" i="3"/>
  <c r="T3233" i="3"/>
  <c r="T3114" i="3"/>
  <c r="T3005" i="3"/>
  <c r="T2941" i="3"/>
  <c r="T2910" i="3"/>
  <c r="T2872" i="3"/>
  <c r="T2824" i="3"/>
  <c r="T2797" i="3"/>
  <c r="T2759" i="3"/>
  <c r="T2747" i="3"/>
  <c r="T2729" i="3"/>
  <c r="T2700" i="3"/>
  <c r="T2671" i="3"/>
  <c r="T2642" i="3"/>
  <c r="T2613" i="3"/>
  <c r="T2601" i="3"/>
  <c r="T2572" i="3"/>
  <c r="T2543" i="3"/>
  <c r="T2514" i="3"/>
  <c r="T2485" i="3"/>
  <c r="T2473" i="3"/>
  <c r="T2444" i="3"/>
  <c r="T2423" i="3"/>
  <c r="T2384" i="3"/>
  <c r="T2361" i="3"/>
  <c r="T2327" i="3"/>
  <c r="T2310" i="3"/>
  <c r="T2293" i="3"/>
  <c r="T2265" i="3"/>
  <c r="T2231" i="3"/>
  <c r="T2214" i="3"/>
  <c r="T2197" i="3"/>
  <c r="T2169" i="3"/>
  <c r="T2135" i="3"/>
  <c r="T2118" i="3"/>
  <c r="T2101" i="3"/>
  <c r="T2073" i="3"/>
  <c r="T4226" i="3"/>
  <c r="T3574" i="3"/>
  <c r="T3404" i="3"/>
  <c r="T3218" i="3"/>
  <c r="T3188" i="3"/>
  <c r="T2999" i="3"/>
  <c r="T2967" i="3"/>
  <c r="T2915" i="3"/>
  <c r="T2897" i="3"/>
  <c r="T2866" i="3"/>
  <c r="T2813" i="3"/>
  <c r="T2765" i="3"/>
  <c r="T2723" i="3"/>
  <c r="T2711" i="3"/>
  <c r="T2688" i="3"/>
  <c r="T2659" i="3"/>
  <c r="T2647" i="3"/>
  <c r="T2624" i="3"/>
  <c r="T2595" i="3"/>
  <c r="T2583" i="3"/>
  <c r="T2560" i="3"/>
  <c r="T2531" i="3"/>
  <c r="T2519" i="3"/>
  <c r="T2496" i="3"/>
  <c r="T2467" i="3"/>
  <c r="T2455" i="3"/>
  <c r="T2433" i="3"/>
  <c r="T2412" i="3"/>
  <c r="T2395" i="3"/>
  <c r="T2372" i="3"/>
  <c r="T2355" i="3"/>
  <c r="T2338" i="3"/>
  <c r="T2304" i="3"/>
  <c r="T2276" i="3"/>
  <c r="T3622" i="3"/>
  <c r="T3438" i="3"/>
  <c r="T3388" i="3"/>
  <c r="T3279" i="3"/>
  <c r="T3141" i="3"/>
  <c r="T3069" i="3"/>
  <c r="T3004" i="3"/>
  <c r="T2947" i="3"/>
  <c r="T2854" i="3"/>
  <c r="T2818" i="3"/>
  <c r="T2777" i="3"/>
  <c r="T2752" i="3"/>
  <c r="T2734" i="3"/>
  <c r="T2705" i="3"/>
  <c r="T2676" i="3"/>
  <c r="T2664" i="3"/>
  <c r="T2635" i="3"/>
  <c r="T2606" i="3"/>
  <c r="T2577" i="3"/>
  <c r="T2548" i="3"/>
  <c r="T2536" i="3"/>
  <c r="T2507" i="3"/>
  <c r="T2478" i="3"/>
  <c r="T2449" i="3"/>
  <c r="T2427" i="3"/>
  <c r="T2406" i="3"/>
  <c r="T2377" i="3"/>
  <c r="T2343" i="3"/>
  <c r="T2326" i="3"/>
  <c r="T2309" i="3"/>
  <c r="T4351" i="3"/>
  <c r="T3712" i="3"/>
  <c r="T3514" i="3"/>
  <c r="T3295" i="3"/>
  <c r="T2960" i="3"/>
  <c r="T2902" i="3"/>
  <c r="T2871" i="3"/>
  <c r="T2823" i="3"/>
  <c r="T2795" i="3"/>
  <c r="T2764" i="3"/>
  <c r="T2722" i="3"/>
  <c r="T2693" i="3"/>
  <c r="T2681" i="3"/>
  <c r="T2652" i="3"/>
  <c r="T2623" i="3"/>
  <c r="T2594" i="3"/>
  <c r="T2565" i="3"/>
  <c r="T2553" i="3"/>
  <c r="T2524" i="3"/>
  <c r="T2495" i="3"/>
  <c r="T2466" i="3"/>
  <c r="T2432" i="3"/>
  <c r="T2400" i="3"/>
  <c r="T2371" i="3"/>
  <c r="T2354" i="3"/>
  <c r="T2320" i="3"/>
  <c r="T2292" i="3"/>
  <c r="T2275" i="3"/>
  <c r="T2258" i="3"/>
  <c r="T2224" i="3"/>
  <c r="T2196" i="3"/>
  <c r="T2179" i="3"/>
  <c r="T2162" i="3"/>
  <c r="T2128" i="3"/>
  <c r="T2100" i="3"/>
  <c r="T2083" i="3"/>
  <c r="T2066" i="3"/>
  <c r="T3134" i="3"/>
  <c r="T2727" i="3"/>
  <c r="T2634" i="3"/>
  <c r="T2382" i="3"/>
  <c r="T2314" i="3"/>
  <c r="T2253" i="3"/>
  <c r="T2183" i="3"/>
  <c r="T2150" i="3"/>
  <c r="T2137" i="3"/>
  <c r="T2117" i="3"/>
  <c r="T2076" i="3"/>
  <c r="T2038" i="3"/>
  <c r="T2026" i="3"/>
  <c r="T1984" i="3"/>
  <c r="T1956" i="3"/>
  <c r="T1939" i="3"/>
  <c r="T1922" i="3"/>
  <c r="T1888" i="3"/>
  <c r="T1860" i="3"/>
  <c r="T1843" i="3"/>
  <c r="T1832" i="3"/>
  <c r="T1824" i="3"/>
  <c r="T1816" i="3"/>
  <c r="T1808" i="3"/>
  <c r="T1800" i="3"/>
  <c r="T1792" i="3"/>
  <c r="T1784" i="3"/>
  <c r="T1776" i="3"/>
  <c r="T1768" i="3"/>
  <c r="T1760" i="3"/>
  <c r="T1752" i="3"/>
  <c r="T1744" i="3"/>
  <c r="T1722" i="3"/>
  <c r="T1696" i="3"/>
  <c r="T1674" i="3"/>
  <c r="T1622" i="3"/>
  <c r="T1597" i="3"/>
  <c r="T1567" i="3"/>
  <c r="T1546" i="3"/>
  <c r="T1526" i="3"/>
  <c r="T1500" i="3"/>
  <c r="T1484" i="3"/>
  <c r="T1463" i="3"/>
  <c r="T1453" i="3"/>
  <c r="T1437" i="3"/>
  <c r="T1391" i="3"/>
  <c r="T1365" i="3"/>
  <c r="T2477" i="3"/>
  <c r="T2225" i="3"/>
  <c r="T2211" i="3"/>
  <c r="T2163" i="3"/>
  <c r="T2123" i="3"/>
  <c r="T2103" i="3"/>
  <c r="T2056" i="3"/>
  <c r="T2007" i="3"/>
  <c r="T1995" i="3"/>
  <c r="T1978" i="3"/>
  <c r="T1944" i="3"/>
  <c r="T1916" i="3"/>
  <c r="T1899" i="3"/>
  <c r="T1882" i="3"/>
  <c r="T1848" i="3"/>
  <c r="T1726" i="3"/>
  <c r="T1700" i="3"/>
  <c r="T1678" i="3"/>
  <c r="T1656" i="3"/>
  <c r="T1641" i="3"/>
  <c r="T1631" i="3"/>
  <c r="T1611" i="3"/>
  <c r="T1582" i="3"/>
  <c r="T1556" i="3"/>
  <c r="T1510" i="3"/>
  <c r="T1468" i="3"/>
  <c r="T1432" i="3"/>
  <c r="T1422" i="3"/>
  <c r="T1401" i="3"/>
  <c r="T1380" i="3"/>
  <c r="T1360" i="3"/>
  <c r="T1349" i="3"/>
  <c r="T2776" i="3"/>
  <c r="T2663" i="3"/>
  <c r="T2570" i="3"/>
  <c r="T2437" i="3"/>
  <c r="T2284" i="3"/>
  <c r="T2182" i="3"/>
  <c r="T2142" i="3"/>
  <c r="T2095" i="3"/>
  <c r="T2075" i="3"/>
  <c r="T2043" i="3"/>
  <c r="T2025" i="3"/>
  <c r="T1983" i="3"/>
  <c r="T1966" i="3"/>
  <c r="T1949" i="3"/>
  <c r="T1921" i="3"/>
  <c r="T1887" i="3"/>
  <c r="T1870" i="3"/>
  <c r="T1853" i="3"/>
  <c r="T1743" i="3"/>
  <c r="T1717" i="3"/>
  <c r="T1695" i="3"/>
  <c r="T1669" i="3"/>
  <c r="T1626" i="3"/>
  <c r="T1606" i="3"/>
  <c r="T1591" i="3"/>
  <c r="T1561" i="3"/>
  <c r="T1545" i="3"/>
  <c r="T1535" i="3"/>
  <c r="T1530" i="3"/>
  <c r="T1515" i="3"/>
  <c r="T1499" i="3"/>
  <c r="T1489" i="3"/>
  <c r="T1452" i="3"/>
  <c r="T1436" i="3"/>
  <c r="T1406" i="3"/>
  <c r="T1385" i="3"/>
  <c r="T1334" i="3"/>
  <c r="T1246" i="3"/>
  <c r="T1238" i="3"/>
  <c r="T2359" i="3"/>
  <c r="T2252" i="3"/>
  <c r="T2217" i="3"/>
  <c r="T2202" i="3"/>
  <c r="T2168" i="3"/>
  <c r="T2129" i="3"/>
  <c r="T2102" i="3"/>
  <c r="T2055" i="3"/>
  <c r="T2030" i="3"/>
  <c r="T2006" i="3"/>
  <c r="T1977" i="3"/>
  <c r="T1943" i="3"/>
  <c r="T1926" i="3"/>
  <c r="T1909" i="3"/>
  <c r="T1881" i="3"/>
  <c r="T1847" i="3"/>
  <c r="T1831" i="3"/>
  <c r="T1823" i="3"/>
  <c r="T1815" i="3"/>
  <c r="T1807" i="3"/>
  <c r="T1799" i="3"/>
  <c r="T1791" i="3"/>
  <c r="T1783" i="3"/>
  <c r="T1775" i="3"/>
  <c r="T1767" i="3"/>
  <c r="T1759" i="3"/>
  <c r="T1751" i="3"/>
  <c r="T1734" i="3"/>
  <c r="T1708" i="3"/>
  <c r="T1686" i="3"/>
  <c r="T1660" i="3"/>
  <c r="T1640" i="3"/>
  <c r="T1581" i="3"/>
  <c r="T1566" i="3"/>
  <c r="T1483" i="3"/>
  <c r="T3022" i="3"/>
  <c r="T2913" i="3"/>
  <c r="T2547" i="3"/>
  <c r="T2454" i="3"/>
  <c r="T2181" i="3"/>
  <c r="T2115" i="3"/>
  <c r="T2087" i="3"/>
  <c r="T2042" i="3"/>
  <c r="T2018" i="3"/>
  <c r="T1988" i="3"/>
  <c r="T1971" i="3"/>
  <c r="T1954" i="3"/>
  <c r="T1920" i="3"/>
  <c r="T1892" i="3"/>
  <c r="T1875" i="3"/>
  <c r="T1858" i="3"/>
  <c r="T1738" i="3"/>
  <c r="T1712" i="3"/>
  <c r="T1690" i="3"/>
  <c r="T1664" i="3"/>
  <c r="T1645" i="3"/>
  <c r="T1630" i="3"/>
  <c r="T1615" i="3"/>
  <c r="T1605" i="3"/>
  <c r="T1586" i="3"/>
  <c r="T1555" i="3"/>
  <c r="T1544" i="3"/>
  <c r="T1524" i="3"/>
  <c r="T1514" i="3"/>
  <c r="T1498" i="3"/>
  <c r="T1461" i="3"/>
  <c r="T1446" i="3"/>
  <c r="T1431" i="3"/>
  <c r="T1389" i="3"/>
  <c r="T1369" i="3"/>
  <c r="T1136" i="3"/>
  <c r="T1118" i="3"/>
  <c r="T1088" i="3"/>
  <c r="T1076" i="3"/>
  <c r="T1064" i="3"/>
  <c r="T1052" i="3"/>
  <c r="T1040" i="3"/>
  <c r="T1028" i="3"/>
  <c r="T2733" i="3"/>
  <c r="T2388" i="3"/>
  <c r="T2244" i="3"/>
  <c r="T2229" i="3"/>
  <c r="T2216" i="3"/>
  <c r="T2194" i="3"/>
  <c r="T2167" i="3"/>
  <c r="T2154" i="3"/>
  <c r="T2134" i="3"/>
  <c r="T2080" i="3"/>
  <c r="T2060" i="3"/>
  <c r="T2036" i="3"/>
  <c r="T2011" i="3"/>
  <c r="T1993" i="3"/>
  <c r="T1959" i="3"/>
  <c r="T1942" i="3"/>
  <c r="T1925" i="3"/>
  <c r="T1897" i="3"/>
  <c r="T1863" i="3"/>
  <c r="T1846" i="3"/>
  <c r="T1742" i="3"/>
  <c r="T1716" i="3"/>
  <c r="T1694" i="3"/>
  <c r="T1668" i="3"/>
  <c r="T1639" i="3"/>
  <c r="T1600" i="3"/>
  <c r="T1580" i="3"/>
  <c r="T1570" i="3"/>
  <c r="T1539" i="3"/>
  <c r="T1508" i="3"/>
  <c r="T1482" i="3"/>
  <c r="T1466" i="3"/>
  <c r="T1435" i="3"/>
  <c r="T1420" i="3"/>
  <c r="T1410" i="3"/>
  <c r="T1399" i="3"/>
  <c r="T1363" i="3"/>
  <c r="T1352" i="3"/>
  <c r="T1327" i="3"/>
  <c r="T1311" i="3"/>
  <c r="T2997" i="3"/>
  <c r="T2817" i="3"/>
  <c r="T2535" i="3"/>
  <c r="T2442" i="3"/>
  <c r="T2250" i="3"/>
  <c r="T2140" i="3"/>
  <c r="T2086" i="3"/>
  <c r="T2041" i="3"/>
  <c r="T1998" i="3"/>
  <c r="T1981" i="3"/>
  <c r="T1953" i="3"/>
  <c r="T1919" i="3"/>
  <c r="T1902" i="3"/>
  <c r="T1885" i="3"/>
  <c r="T1857" i="3"/>
  <c r="T1830" i="3"/>
  <c r="T1822" i="3"/>
  <c r="T1814" i="3"/>
  <c r="T1806" i="3"/>
  <c r="T1798" i="3"/>
  <c r="T1790" i="3"/>
  <c r="T1782" i="3"/>
  <c r="T1774" i="3"/>
  <c r="T1766" i="3"/>
  <c r="T1758" i="3"/>
  <c r="T1750" i="3"/>
  <c r="T1733" i="3"/>
  <c r="T1711" i="3"/>
  <c r="T1685" i="3"/>
  <c r="T1663" i="3"/>
  <c r="T1644" i="3"/>
  <c r="T1619" i="3"/>
  <c r="T1585" i="3"/>
  <c r="T1549" i="3"/>
  <c r="T1533" i="3"/>
  <c r="T1503" i="3"/>
  <c r="T1487" i="3"/>
  <c r="T1460" i="3"/>
  <c r="T1440" i="3"/>
  <c r="T1388" i="3"/>
  <c r="T1373" i="3"/>
  <c r="T1347" i="3"/>
  <c r="T1332" i="3"/>
  <c r="T1131" i="3"/>
  <c r="T3037" i="3"/>
  <c r="T2751" i="3"/>
  <c r="T2576" i="3"/>
  <c r="T2376" i="3"/>
  <c r="T2289" i="3"/>
  <c r="T2264" i="3"/>
  <c r="T2221" i="3"/>
  <c r="T2193" i="3"/>
  <c r="T2166" i="3"/>
  <c r="T2153" i="3"/>
  <c r="T2126" i="3"/>
  <c r="T2106" i="3"/>
  <c r="T2072" i="3"/>
  <c r="T2053" i="3"/>
  <c r="T2016" i="3"/>
  <c r="T1992" i="3"/>
  <c r="T1964" i="3"/>
  <c r="T1947" i="3"/>
  <c r="T1930" i="3"/>
  <c r="T1896" i="3"/>
  <c r="T1868" i="3"/>
  <c r="T1851" i="3"/>
  <c r="T1834" i="3"/>
  <c r="T1724" i="3"/>
  <c r="T1702" i="3"/>
  <c r="T1676" i="3"/>
  <c r="T1649" i="3"/>
  <c r="T1624" i="3"/>
  <c r="T1609" i="3"/>
  <c r="T1594" i="3"/>
  <c r="T1564" i="3"/>
  <c r="T1538" i="3"/>
  <c r="T1518" i="3"/>
  <c r="T1492" i="3"/>
  <c r="T1455" i="3"/>
  <c r="T1430" i="3"/>
  <c r="T3476" i="3"/>
  <c r="T3043" i="3"/>
  <c r="T2710" i="3"/>
  <c r="T2280" i="3"/>
  <c r="T2228" i="3"/>
  <c r="T2172" i="3"/>
  <c r="T2139" i="3"/>
  <c r="T2078" i="3"/>
  <c r="T2040" i="3"/>
  <c r="T2022" i="3"/>
  <c r="T1997" i="3"/>
  <c r="T1969" i="3"/>
  <c r="T1935" i="3"/>
  <c r="T1918" i="3"/>
  <c r="T1901" i="3"/>
  <c r="T1873" i="3"/>
  <c r="T1839" i="3"/>
  <c r="T1728" i="3"/>
  <c r="T1706" i="3"/>
  <c r="T1680" i="3"/>
  <c r="T1658" i="3"/>
  <c r="T1643" i="3"/>
  <c r="T1628" i="3"/>
  <c r="T1584" i="3"/>
  <c r="T1574" i="3"/>
  <c r="T1548" i="3"/>
  <c r="T1507" i="3"/>
  <c r="T1496" i="3"/>
  <c r="T1481" i="3"/>
  <c r="T1449" i="3"/>
  <c r="T1434" i="3"/>
  <c r="T1398" i="3"/>
  <c r="T1372" i="3"/>
  <c r="T1362" i="3"/>
  <c r="T2512" i="3"/>
  <c r="T2325" i="3"/>
  <c r="T2263" i="3"/>
  <c r="T2234" i="3"/>
  <c r="T2199" i="3"/>
  <c r="T2125" i="3"/>
  <c r="T2112" i="3"/>
  <c r="T2098" i="3"/>
  <c r="T2071" i="3"/>
  <c r="T2058" i="3"/>
  <c r="T2009" i="3"/>
  <c r="T1980" i="3"/>
  <c r="T1963" i="3"/>
  <c r="T1946" i="3"/>
  <c r="T1912" i="3"/>
  <c r="T1884" i="3"/>
  <c r="T1867" i="3"/>
  <c r="T1850" i="3"/>
  <c r="T1829" i="3"/>
  <c r="T1821" i="3"/>
  <c r="T1813" i="3"/>
  <c r="T1805" i="3"/>
  <c r="T1797" i="3"/>
  <c r="T1789" i="3"/>
  <c r="T1781" i="3"/>
  <c r="T1773" i="3"/>
  <c r="T1765" i="3"/>
  <c r="T1757" i="3"/>
  <c r="T1749" i="3"/>
  <c r="T1732" i="3"/>
  <c r="T1710" i="3"/>
  <c r="T1684" i="3"/>
  <c r="T1662" i="3"/>
  <c r="T1633" i="3"/>
  <c r="T1618" i="3"/>
  <c r="T1608" i="3"/>
  <c r="T1593" i="3"/>
  <c r="T1563" i="3"/>
  <c r="T2770" i="3"/>
  <c r="T2698" i="3"/>
  <c r="T2306" i="3"/>
  <c r="T2247" i="3"/>
  <c r="T2205" i="3"/>
  <c r="T2184" i="3"/>
  <c r="T2157" i="3"/>
  <c r="T2138" i="3"/>
  <c r="T2052" i="3"/>
  <c r="T2033" i="3"/>
  <c r="T2021" i="3"/>
  <c r="T1968" i="3"/>
  <c r="T1940" i="3"/>
  <c r="T1923" i="3"/>
  <c r="T1906" i="3"/>
  <c r="T1872" i="3"/>
  <c r="T1844" i="3"/>
  <c r="T1736" i="3"/>
  <c r="T1714" i="3"/>
  <c r="T1688" i="3"/>
  <c r="T1666" i="3"/>
  <c r="T1598" i="3"/>
  <c r="T1578" i="3"/>
  <c r="T1553" i="3"/>
  <c r="T1517" i="3"/>
  <c r="T1491" i="3"/>
  <c r="T1480" i="3"/>
  <c r="T1448" i="3"/>
  <c r="T1423" i="3"/>
  <c r="T1408" i="3"/>
  <c r="T1371" i="3"/>
  <c r="T1350" i="3"/>
  <c r="T1143" i="3"/>
  <c r="T1111" i="3"/>
  <c r="T1085" i="3"/>
  <c r="T1073" i="3"/>
  <c r="T1061" i="3"/>
  <c r="T1049" i="3"/>
  <c r="T1037" i="3"/>
  <c r="T1025" i="3"/>
  <c r="T1990" i="3"/>
  <c r="T1472" i="3"/>
  <c r="T1361" i="3"/>
  <c r="T1336" i="3"/>
  <c r="T1318" i="3"/>
  <c r="T1299" i="3"/>
  <c r="T1287" i="3"/>
  <c r="T1275" i="3"/>
  <c r="T1263" i="3"/>
  <c r="T1251" i="3"/>
  <c r="T1232" i="3"/>
  <c r="T1224" i="3"/>
  <c r="T1216" i="3"/>
  <c r="T1208" i="3"/>
  <c r="T1200" i="3"/>
  <c r="T1192" i="3"/>
  <c r="T1184" i="3"/>
  <c r="T1176" i="3"/>
  <c r="T1168" i="3"/>
  <c r="T1160" i="3"/>
  <c r="T1152" i="3"/>
  <c r="T1114" i="3"/>
  <c r="T1087" i="3"/>
  <c r="T1051" i="3"/>
  <c r="T485" i="3"/>
  <c r="T461" i="3"/>
  <c r="T436" i="3"/>
  <c r="T404" i="3"/>
  <c r="T372" i="3"/>
  <c r="T340" i="3"/>
  <c r="T308" i="3"/>
  <c r="T276" i="3"/>
  <c r="T244" i="3"/>
  <c r="T212" i="3"/>
  <c r="T180" i="3"/>
  <c r="T143" i="3"/>
  <c r="T111" i="3"/>
  <c r="T84" i="3"/>
  <c r="T37" i="3"/>
  <c r="T758" i="3"/>
  <c r="T728" i="3"/>
  <c r="T704" i="3"/>
  <c r="T674" i="3"/>
  <c r="T650" i="3"/>
  <c r="T626" i="3"/>
  <c r="T602" i="3"/>
  <c r="T1900" i="3"/>
  <c r="T1536" i="3"/>
  <c r="T1426" i="3"/>
  <c r="T1382" i="3"/>
  <c r="T1323" i="3"/>
  <c r="T1133" i="3"/>
  <c r="T1119" i="3"/>
  <c r="T1072" i="3"/>
  <c r="T1036" i="3"/>
  <c r="T1022" i="3"/>
  <c r="T1010" i="3"/>
  <c r="T998" i="3"/>
  <c r="T986" i="3"/>
  <c r="T974" i="3"/>
  <c r="T962" i="3"/>
  <c r="T950" i="3"/>
  <c r="T938" i="3"/>
  <c r="T926" i="3"/>
  <c r="T914" i="3"/>
  <c r="T902" i="3"/>
  <c r="T890" i="3"/>
  <c r="T878" i="3"/>
  <c r="T866" i="3"/>
  <c r="T854" i="3"/>
  <c r="T842" i="3"/>
  <c r="T830" i="3"/>
  <c r="T812" i="3"/>
  <c r="T800" i="3"/>
  <c r="T788" i="3"/>
  <c r="T776" i="3"/>
  <c r="T764" i="3"/>
  <c r="T746" i="3"/>
  <c r="T722" i="3"/>
  <c r="T698" i="3"/>
  <c r="T680" i="3"/>
  <c r="T656" i="3"/>
  <c r="T632" i="3"/>
  <c r="T608" i="3"/>
  <c r="T2233" i="3"/>
  <c r="T1647" i="3"/>
  <c r="T1521" i="3"/>
  <c r="T1457" i="3"/>
  <c r="T1340" i="3"/>
  <c r="T1304" i="3"/>
  <c r="T1292" i="3"/>
  <c r="T1280" i="3"/>
  <c r="T1268" i="3"/>
  <c r="T1256" i="3"/>
  <c r="T1244" i="3"/>
  <c r="T1103" i="3"/>
  <c r="T1086" i="3"/>
  <c r="T1050" i="3"/>
  <c r="T484" i="3"/>
  <c r="T460" i="3"/>
  <c r="T419" i="3"/>
  <c r="T387" i="3"/>
  <c r="T355" i="3"/>
  <c r="T323" i="3"/>
  <c r="T291" i="3"/>
  <c r="T259" i="3"/>
  <c r="T227" i="3"/>
  <c r="T195" i="3"/>
  <c r="T169" i="3"/>
  <c r="T142" i="3"/>
  <c r="T131" i="3"/>
  <c r="T110" i="3"/>
  <c r="T89" i="3"/>
  <c r="T73" i="3"/>
  <c r="T52" i="3"/>
  <c r="T913" i="3"/>
  <c r="T823" i="3"/>
  <c r="T799" i="3"/>
  <c r="T775" i="3"/>
  <c r="T757" i="3"/>
  <c r="T733" i="3"/>
  <c r="T2840" i="3"/>
  <c r="T1849" i="3"/>
  <c r="T1592" i="3"/>
  <c r="T1397" i="3"/>
  <c r="T1359" i="3"/>
  <c r="T1335" i="3"/>
  <c r="T1235" i="3"/>
  <c r="T1227" i="3"/>
  <c r="T1219" i="3"/>
  <c r="T1211" i="3"/>
  <c r="T1203" i="3"/>
  <c r="T1195" i="3"/>
  <c r="T1187" i="3"/>
  <c r="T1179" i="3"/>
  <c r="T1171" i="3"/>
  <c r="T1163" i="3"/>
  <c r="T1155" i="3"/>
  <c r="T1147" i="3"/>
  <c r="T1137" i="3"/>
  <c r="T1108" i="3"/>
  <c r="T1071" i="3"/>
  <c r="T1035" i="3"/>
  <c r="T1015" i="3"/>
  <c r="T1003" i="3"/>
  <c r="T991" i="3"/>
  <c r="T979" i="3"/>
  <c r="T967" i="3"/>
  <c r="T955" i="3"/>
  <c r="T943" i="3"/>
  <c r="T931" i="3"/>
  <c r="T919" i="3"/>
  <c r="T901" i="3"/>
  <c r="T889" i="3"/>
  <c r="T877" i="3"/>
  <c r="T865" i="3"/>
  <c r="T853" i="3"/>
  <c r="T835" i="3"/>
  <c r="T817" i="3"/>
  <c r="T793" i="3"/>
  <c r="T763" i="3"/>
  <c r="T739" i="3"/>
  <c r="T2421" i="3"/>
  <c r="T1527" i="3"/>
  <c r="T1495" i="3"/>
  <c r="T1387" i="3"/>
  <c r="T1351" i="3"/>
  <c r="T1303" i="3"/>
  <c r="T1291" i="3"/>
  <c r="T1279" i="3"/>
  <c r="T1267" i="3"/>
  <c r="T1255" i="3"/>
  <c r="T1239" i="3"/>
  <c r="T1122" i="3"/>
  <c r="T1097" i="3"/>
  <c r="T1063" i="3"/>
  <c r="T1027" i="3"/>
  <c r="T488" i="3"/>
  <c r="T464" i="3"/>
  <c r="T434" i="3"/>
  <c r="T418" i="3"/>
  <c r="T402" i="3"/>
  <c r="T386" i="3"/>
  <c r="T370" i="3"/>
  <c r="T354" i="3"/>
  <c r="T338" i="3"/>
  <c r="T322" i="3"/>
  <c r="T306" i="3"/>
  <c r="T290" i="3"/>
  <c r="T274" i="3"/>
  <c r="T258" i="3"/>
  <c r="T242" i="3"/>
  <c r="T226" i="3"/>
  <c r="T210" i="3"/>
  <c r="T194" i="3"/>
  <c r="T178" i="3"/>
  <c r="T168" i="3"/>
  <c r="T136" i="3"/>
  <c r="T125" i="3"/>
  <c r="T109" i="3"/>
  <c r="T82" i="3"/>
  <c r="T72" i="3"/>
  <c r="T51" i="3"/>
  <c r="T25" i="3"/>
  <c r="T4" i="3"/>
  <c r="T564" i="3"/>
  <c r="T540" i="3"/>
  <c r="T2057" i="3"/>
  <c r="T1877" i="3"/>
  <c r="T1470" i="3"/>
  <c r="T1339" i="3"/>
  <c r="T1243" i="3"/>
  <c r="T1117" i="3"/>
  <c r="T1084" i="3"/>
  <c r="T1048" i="3"/>
  <c r="T1020" i="3"/>
  <c r="T1008" i="3"/>
  <c r="T996" i="3"/>
  <c r="T984" i="3"/>
  <c r="T972" i="3"/>
  <c r="T960" i="3"/>
  <c r="T948" i="3"/>
  <c r="T936" i="3"/>
  <c r="T924" i="3"/>
  <c r="T912" i="3"/>
  <c r="T900" i="3"/>
  <c r="T888" i="3"/>
  <c r="T876" i="3"/>
  <c r="T864" i="3"/>
  <c r="T852" i="3"/>
  <c r="T840" i="3"/>
  <c r="T828" i="3"/>
  <c r="T816" i="3"/>
  <c r="T804" i="3"/>
  <c r="T792" i="3"/>
  <c r="T780" i="3"/>
  <c r="T768" i="3"/>
  <c r="T756" i="3"/>
  <c r="T744" i="3"/>
  <c r="T732" i="3"/>
  <c r="T720" i="3"/>
  <c r="T708" i="3"/>
  <c r="T696" i="3"/>
  <c r="T684" i="3"/>
  <c r="T672" i="3"/>
  <c r="T660" i="3"/>
  <c r="T648" i="3"/>
  <c r="T636" i="3"/>
  <c r="T624" i="3"/>
  <c r="T612" i="3"/>
  <c r="T594" i="3"/>
  <c r="T582" i="3"/>
  <c r="T570" i="3"/>
  <c r="T546" i="3"/>
  <c r="T2448" i="3"/>
  <c r="T1511" i="3"/>
  <c r="T1416" i="3"/>
  <c r="T1386" i="3"/>
  <c r="T1357" i="3"/>
  <c r="T1321" i="3"/>
  <c r="T1302" i="3"/>
  <c r="T1290" i="3"/>
  <c r="T1278" i="3"/>
  <c r="T1266" i="3"/>
  <c r="T1254" i="3"/>
  <c r="T1234" i="3"/>
  <c r="T1226" i="3"/>
  <c r="T1218" i="3"/>
  <c r="T1210" i="3"/>
  <c r="T1202" i="3"/>
  <c r="T1194" i="3"/>
  <c r="T1186" i="3"/>
  <c r="T1178" i="3"/>
  <c r="T1170" i="3"/>
  <c r="T1162" i="3"/>
  <c r="T1154" i="3"/>
  <c r="T1146" i="3"/>
  <c r="T1107" i="3"/>
  <c r="T1062" i="3"/>
  <c r="T1026" i="3"/>
  <c r="T473" i="3"/>
  <c r="T449" i="3"/>
  <c r="T428" i="3"/>
  <c r="T396" i="3"/>
  <c r="T364" i="3"/>
  <c r="T332" i="3"/>
  <c r="T300" i="3"/>
  <c r="T268" i="3"/>
  <c r="T236" i="3"/>
  <c r="T204" i="3"/>
  <c r="T167" i="3"/>
  <c r="T135" i="3"/>
  <c r="T108" i="3"/>
  <c r="T71" i="3"/>
  <c r="T50" i="3"/>
  <c r="T40" i="3"/>
  <c r="T29" i="3"/>
  <c r="T8" i="3"/>
  <c r="T785" i="3"/>
  <c r="T719" i="3"/>
  <c r="T701" i="3"/>
  <c r="T677" i="3"/>
  <c r="T653" i="3"/>
  <c r="T629" i="3"/>
  <c r="T2219" i="3"/>
  <c r="T2104" i="3"/>
  <c r="T1866" i="3"/>
  <c r="T1718" i="3"/>
  <c r="T1692" i="3"/>
  <c r="T1557" i="3"/>
  <c r="T1469" i="3"/>
  <c r="T1314" i="3"/>
  <c r="T1116" i="3"/>
  <c r="T1096" i="3"/>
  <c r="T1083" i="3"/>
  <c r="T1047" i="3"/>
  <c r="T1013" i="3"/>
  <c r="T1001" i="3"/>
  <c r="T989" i="3"/>
  <c r="T977" i="3"/>
  <c r="T965" i="3"/>
  <c r="T953" i="3"/>
  <c r="T941" i="3"/>
  <c r="T929" i="3"/>
  <c r="T917" i="3"/>
  <c r="T905" i="3"/>
  <c r="T893" i="3"/>
  <c r="T881" i="3"/>
  <c r="T869" i="3"/>
  <c r="T857" i="3"/>
  <c r="T845" i="3"/>
  <c r="T833" i="3"/>
  <c r="T821" i="3"/>
  <c r="T809" i="3"/>
  <c r="T797" i="3"/>
  <c r="T779" i="3"/>
  <c r="T767" i="3"/>
  <c r="T755" i="3"/>
  <c r="T743" i="3"/>
  <c r="T725" i="3"/>
  <c r="T695" i="3"/>
  <c r="T671" i="3"/>
  <c r="T647" i="3"/>
  <c r="T623" i="3"/>
  <c r="T2177" i="3"/>
  <c r="T1894" i="3"/>
  <c r="T1356" i="3"/>
  <c r="T1320" i="3"/>
  <c r="T1301" i="3"/>
  <c r="T1289" i="3"/>
  <c r="T1277" i="3"/>
  <c r="T1265" i="3"/>
  <c r="T1253" i="3"/>
  <c r="T1140" i="3"/>
  <c r="T1130" i="3"/>
  <c r="T1106" i="3"/>
  <c r="T1068" i="3"/>
  <c r="T1032" i="3"/>
  <c r="T472" i="3"/>
  <c r="T448" i="3"/>
  <c r="T427" i="3"/>
  <c r="T395" i="3"/>
  <c r="T363" i="3"/>
  <c r="T331" i="3"/>
  <c r="T299" i="3"/>
  <c r="T267" i="3"/>
  <c r="T235" i="3"/>
  <c r="T203" i="3"/>
  <c r="T166" i="3"/>
  <c r="T155" i="3"/>
  <c r="T134" i="3"/>
  <c r="T113" i="3"/>
  <c r="T97" i="3"/>
  <c r="T70" i="3"/>
  <c r="T54" i="3"/>
  <c r="T39" i="3"/>
  <c r="T7" i="3"/>
  <c r="T826" i="3"/>
  <c r="T802" i="3"/>
  <c r="T778" i="3"/>
  <c r="T754" i="3"/>
  <c r="T736" i="3"/>
  <c r="T2002" i="3"/>
  <c r="T1612" i="3"/>
  <c r="T1474" i="3"/>
  <c r="T1444" i="3"/>
  <c r="T1414" i="3"/>
  <c r="T1377" i="3"/>
  <c r="T1331" i="3"/>
  <c r="T1313" i="3"/>
  <c r="T1233" i="3"/>
  <c r="T1225" i="3"/>
  <c r="T1217" i="3"/>
  <c r="T1209" i="3"/>
  <c r="T1201" i="3"/>
  <c r="T1193" i="3"/>
  <c r="T1185" i="3"/>
  <c r="T1177" i="3"/>
  <c r="T1169" i="3"/>
  <c r="T1161" i="3"/>
  <c r="T1153" i="3"/>
  <c r="T1145" i="3"/>
  <c r="T1100" i="3"/>
  <c r="T1089" i="3"/>
  <c r="T1053" i="3"/>
  <c r="T1018" i="3"/>
  <c r="T1006" i="3"/>
  <c r="T994" i="3"/>
  <c r="T982" i="3"/>
  <c r="T970" i="3"/>
  <c r="T958" i="3"/>
  <c r="T946" i="3"/>
  <c r="T934" i="3"/>
  <c r="T922" i="3"/>
  <c r="T910" i="3"/>
  <c r="T898" i="3"/>
  <c r="T880" i="3"/>
  <c r="T868" i="3"/>
  <c r="T856" i="3"/>
  <c r="T844" i="3"/>
  <c r="T832" i="3"/>
  <c r="T808" i="3"/>
  <c r="T784" i="3"/>
  <c r="T760" i="3"/>
  <c r="T2278" i="3"/>
  <c r="T1642" i="3"/>
  <c r="T1467" i="3"/>
  <c r="T1355" i="3"/>
  <c r="T1319" i="3"/>
  <c r="T1300" i="3"/>
  <c r="T1288" i="3"/>
  <c r="T1276" i="3"/>
  <c r="T1264" i="3"/>
  <c r="T1252" i="3"/>
  <c r="T1134" i="3"/>
  <c r="T1115" i="3"/>
  <c r="T1074" i="3"/>
  <c r="T1038" i="3"/>
  <c r="T476" i="3"/>
  <c r="T452" i="3"/>
  <c r="T437" i="3"/>
  <c r="T421" i="3"/>
  <c r="T405" i="3"/>
  <c r="T389" i="3"/>
  <c r="T373" i="3"/>
  <c r="T357" i="3"/>
  <c r="T341" i="3"/>
  <c r="T325" i="3"/>
  <c r="T309" i="3"/>
  <c r="T293" i="3"/>
  <c r="T277" i="3"/>
  <c r="T261" i="3"/>
  <c r="T245" i="3"/>
  <c r="T229" i="3"/>
  <c r="T213" i="3"/>
  <c r="T197" i="3"/>
  <c r="T181" i="3"/>
  <c r="T154" i="3"/>
  <c r="T144" i="3"/>
  <c r="T112" i="3"/>
  <c r="T101" i="3"/>
  <c r="T85" i="3"/>
  <c r="T38" i="3"/>
  <c r="T17" i="3"/>
  <c r="T53" i="3"/>
  <c r="T183" i="3"/>
  <c r="T238" i="3"/>
  <c r="T286" i="3"/>
  <c r="T334" i="3"/>
  <c r="T382" i="3"/>
  <c r="T430" i="3"/>
  <c r="T486" i="3"/>
  <c r="T516" i="3"/>
  <c r="T561" i="3"/>
  <c r="T631" i="3"/>
  <c r="T679" i="3"/>
  <c r="T703" i="3"/>
  <c r="T789" i="3"/>
  <c r="T933" i="3"/>
  <c r="T31" i="3"/>
  <c r="T176" i="3"/>
  <c r="T231" i="3"/>
  <c r="T279" i="3"/>
  <c r="T327" i="3"/>
  <c r="T375" i="3"/>
  <c r="T423" i="3"/>
  <c r="T474" i="3"/>
  <c r="T510" i="3"/>
  <c r="T548" i="3"/>
  <c r="T615" i="3"/>
  <c r="T663" i="3"/>
  <c r="T26" i="3"/>
  <c r="T66" i="3"/>
  <c r="T122" i="3"/>
  <c r="T171" i="3"/>
  <c r="T542" i="3"/>
  <c r="T568" i="3"/>
  <c r="T601" i="3"/>
  <c r="T759" i="3"/>
  <c r="T903" i="3"/>
  <c r="T1094" i="3"/>
  <c r="T1144" i="3"/>
  <c r="T93" i="3"/>
  <c r="T79" i="3"/>
  <c r="T177" i="3"/>
  <c r="T191" i="3"/>
  <c r="T225" i="3"/>
  <c r="T239" i="3"/>
  <c r="T273" i="3"/>
  <c r="T287" i="3"/>
  <c r="T321" i="3"/>
  <c r="T335" i="3"/>
  <c r="T369" i="3"/>
  <c r="T383" i="3"/>
  <c r="T417" i="3"/>
  <c r="T431" i="3"/>
  <c r="T451" i="3"/>
  <c r="T475" i="3"/>
  <c r="T499" i="3"/>
  <c r="T511" i="3"/>
  <c r="T523" i="3"/>
  <c r="T549" i="3"/>
  <c r="T575" i="3"/>
  <c r="T609" i="3"/>
  <c r="T640" i="3"/>
  <c r="T688" i="3"/>
  <c r="T801" i="3"/>
  <c r="T945" i="3"/>
  <c r="T60" i="3"/>
  <c r="T32" i="3"/>
  <c r="T20" i="3"/>
  <c r="T41" i="3"/>
  <c r="T67" i="3"/>
  <c r="T116" i="3"/>
  <c r="T150" i="3"/>
  <c r="T172" i="3"/>
  <c r="T543" i="3"/>
  <c r="T569" i="3"/>
  <c r="T625" i="3"/>
  <c r="T649" i="3"/>
  <c r="T673" i="3"/>
  <c r="T697" i="3"/>
  <c r="T730" i="3"/>
  <c r="T843" i="3"/>
  <c r="T987" i="3"/>
  <c r="T15" i="3"/>
  <c r="T62" i="3"/>
  <c r="T129" i="3"/>
  <c r="T185" i="3"/>
  <c r="T199" i="3"/>
  <c r="T233" i="3"/>
  <c r="T247" i="3"/>
  <c r="T281" i="3"/>
  <c r="T295" i="3"/>
  <c r="T329" i="3"/>
  <c r="T343" i="3"/>
  <c r="T377" i="3"/>
  <c r="T391" i="3"/>
  <c r="T425" i="3"/>
  <c r="T439" i="3"/>
  <c r="T458" i="3"/>
  <c r="T482" i="3"/>
  <c r="T500" i="3"/>
  <c r="T512" i="3"/>
  <c r="T524" i="3"/>
  <c r="T550" i="3"/>
  <c r="T583" i="3"/>
  <c r="T603" i="3"/>
  <c r="T741" i="3"/>
  <c r="T885" i="3"/>
  <c r="T1139" i="3"/>
  <c r="T28" i="3"/>
  <c r="T68" i="3"/>
  <c r="T102" i="3"/>
  <c r="T124" i="3"/>
  <c r="T531" i="3"/>
  <c r="T557" i="3"/>
  <c r="T590" i="3"/>
  <c r="T658" i="3"/>
  <c r="T706" i="3"/>
  <c r="T783" i="3"/>
  <c r="T927" i="3"/>
  <c r="T1030" i="3"/>
  <c r="T10" i="3"/>
  <c r="T90" i="3"/>
  <c r="T200" i="3"/>
  <c r="T248" i="3"/>
  <c r="T296" i="3"/>
  <c r="T344" i="3"/>
  <c r="T392" i="3"/>
  <c r="T433" i="3"/>
  <c r="T471" i="3"/>
  <c r="T507" i="3"/>
  <c r="T538" i="3"/>
  <c r="T597" i="3"/>
  <c r="T627" i="3"/>
  <c r="T675" i="3"/>
  <c r="T699" i="3"/>
  <c r="T753" i="3"/>
  <c r="T897" i="3"/>
  <c r="T1562" i="3"/>
  <c r="T81" i="3"/>
  <c r="T193" i="3"/>
  <c r="T241" i="3"/>
  <c r="T289" i="3"/>
  <c r="T337" i="3"/>
  <c r="T385" i="3"/>
  <c r="T440" i="3"/>
  <c r="T483" i="3"/>
  <c r="T513" i="3"/>
  <c r="T551" i="3"/>
  <c r="T604" i="3"/>
  <c r="T643" i="3"/>
  <c r="T69" i="3"/>
  <c r="T103" i="3"/>
  <c r="T532" i="3"/>
  <c r="T565" i="3"/>
  <c r="T591" i="3"/>
  <c r="T795" i="3"/>
  <c r="T939" i="3"/>
  <c r="T1066" i="3"/>
  <c r="T1962" i="3"/>
  <c r="T58" i="3"/>
  <c r="T91" i="3"/>
  <c r="T140" i="3"/>
  <c r="T174" i="3"/>
  <c r="T208" i="3"/>
  <c r="T222" i="3"/>
  <c r="T256" i="3"/>
  <c r="T270" i="3"/>
  <c r="T304" i="3"/>
  <c r="T318" i="3"/>
  <c r="T352" i="3"/>
  <c r="T366" i="3"/>
  <c r="T400" i="3"/>
  <c r="T414" i="3"/>
  <c r="T454" i="3"/>
  <c r="T478" i="3"/>
  <c r="T496" i="3"/>
  <c r="T508" i="3"/>
  <c r="T520" i="3"/>
  <c r="T539" i="3"/>
  <c r="T572" i="3"/>
  <c r="T598" i="3"/>
  <c r="T628" i="3"/>
  <c r="T676" i="3"/>
  <c r="T765" i="3"/>
  <c r="T909" i="3"/>
  <c r="T1537" i="3"/>
  <c r="T1670" i="3"/>
  <c r="T4707" i="3"/>
  <c r="T4738" i="3"/>
  <c r="T4749" i="3"/>
  <c r="T4771" i="3"/>
  <c r="T4798" i="3"/>
  <c r="T4830" i="3"/>
  <c r="T4862" i="3"/>
  <c r="T4899" i="3"/>
  <c r="T4915" i="3"/>
  <c r="T4942" i="3"/>
  <c r="T4964" i="3"/>
  <c r="T4974" i="3"/>
  <c r="T4990" i="3"/>
  <c r="T4656" i="3"/>
  <c r="T4671" i="3"/>
  <c r="T4712" i="3"/>
  <c r="T4728" i="3"/>
  <c r="T4755" i="3"/>
  <c r="T4782" i="3"/>
  <c r="T4804" i="3"/>
  <c r="T4820" i="3"/>
  <c r="T4836" i="3"/>
  <c r="T4852" i="3"/>
  <c r="T4868" i="3"/>
  <c r="T4878" i="3"/>
  <c r="T4910" i="3"/>
  <c r="T4937" i="3"/>
  <c r="T4996" i="3"/>
  <c r="T4580" i="3"/>
  <c r="T4604" i="3"/>
  <c r="T4623" i="3"/>
  <c r="T4642" i="3"/>
  <c r="T4652" i="3"/>
  <c r="T4672" i="3"/>
  <c r="T4703" i="3"/>
  <c r="T4718" i="3"/>
  <c r="T4745" i="3"/>
  <c r="T4761" i="3"/>
  <c r="T4783" i="3"/>
  <c r="T4810" i="3"/>
  <c r="T4842" i="3"/>
  <c r="T4874" i="3"/>
  <c r="T4895" i="3"/>
  <c r="T4905" i="3"/>
  <c r="T4932" i="3"/>
  <c r="T4965" i="3"/>
  <c r="T4571" i="3"/>
  <c r="T4595" i="3"/>
  <c r="T4614" i="3"/>
  <c r="T4662" i="3"/>
  <c r="T4688" i="3"/>
  <c r="T4713" i="3"/>
  <c r="T4729" i="3"/>
  <c r="T4751" i="3"/>
  <c r="T4789" i="3"/>
  <c r="T4805" i="3"/>
  <c r="T4821" i="3"/>
  <c r="T4837" i="3"/>
  <c r="T4853" i="3"/>
  <c r="T4869" i="3"/>
  <c r="T4922" i="3"/>
  <c r="T4944" i="3"/>
  <c r="T4960" i="3"/>
  <c r="T4976" i="3"/>
  <c r="T4987" i="3"/>
  <c r="T4997" i="3"/>
  <c r="T4586" i="3"/>
  <c r="T4619" i="3"/>
  <c r="T4633" i="3"/>
  <c r="T4648" i="3"/>
  <c r="T4693" i="3"/>
  <c r="T4719" i="3"/>
  <c r="T4746" i="3"/>
  <c r="T4768" i="3"/>
  <c r="T4784" i="3"/>
  <c r="T4811" i="3"/>
  <c r="T4843" i="3"/>
  <c r="T4875" i="3"/>
  <c r="T4885" i="3"/>
  <c r="T4906" i="3"/>
  <c r="T4917" i="3"/>
  <c r="T4939" i="3"/>
  <c r="T4966" i="3"/>
  <c r="T4643" i="3"/>
  <c r="T4658" i="3"/>
  <c r="T4668" i="3"/>
  <c r="T4699" i="3"/>
  <c r="T4714" i="3"/>
  <c r="T4741" i="3"/>
  <c r="T4757" i="3"/>
  <c r="T4790" i="3"/>
  <c r="T4822" i="3"/>
  <c r="T4854" i="3"/>
  <c r="T4891" i="3"/>
  <c r="T4923" i="3"/>
  <c r="T4955" i="3"/>
  <c r="T4982" i="3"/>
  <c r="T4998" i="3"/>
  <c r="T4615" i="3"/>
  <c r="T4634" i="3"/>
  <c r="T4679" i="3"/>
  <c r="T4689" i="3"/>
  <c r="T4720" i="3"/>
  <c r="T4736" i="3"/>
  <c r="T4763" i="3"/>
  <c r="T4796" i="3"/>
  <c r="T4812" i="3"/>
  <c r="T4828" i="3"/>
  <c r="T4844" i="3"/>
  <c r="T4860" i="3"/>
  <c r="T4886" i="3"/>
  <c r="T4918" i="3"/>
  <c r="T4940" i="3"/>
  <c r="T4950" i="3"/>
  <c r="T4972" i="3"/>
  <c r="T4988" i="3"/>
  <c r="T4587" i="3"/>
  <c r="T4601" i="3"/>
  <c r="T4629" i="3"/>
  <c r="T4649" i="3"/>
  <c r="T4664" i="3"/>
  <c r="T4700" i="3"/>
  <c r="T4710" i="3"/>
  <c r="T4731" i="3"/>
  <c r="T4758" i="3"/>
  <c r="T4780" i="3"/>
  <c r="T4791" i="3"/>
  <c r="T4823" i="3"/>
  <c r="T4855" i="3"/>
  <c r="T4876" i="3"/>
  <c r="T4892" i="3"/>
  <c r="T4902" i="3"/>
  <c r="T4956" i="3"/>
  <c r="T4983" i="3"/>
  <c r="T4563" i="3"/>
  <c r="T4573" i="3"/>
  <c r="T4625" i="3"/>
  <c r="T4659" i="3"/>
  <c r="T4680" i="3"/>
  <c r="T4695" i="3"/>
  <c r="T4748" i="3"/>
  <c r="T4764" i="3"/>
  <c r="T4802" i="3"/>
  <c r="T4834" i="3"/>
  <c r="T4866" i="3"/>
  <c r="T4908" i="3"/>
  <c r="T4924" i="3"/>
  <c r="T4935" i="3"/>
  <c r="T4951" i="3"/>
  <c r="T4978" i="3"/>
  <c r="T4786" i="3"/>
  <c r="T4813" i="3"/>
  <c r="T4845" i="3"/>
  <c r="T4882" i="3"/>
  <c r="T4963" i="3"/>
  <c r="T4984" i="3"/>
  <c r="T1525" i="3"/>
  <c r="T1505" i="3"/>
  <c r="T1494" i="3"/>
  <c r="T1462" i="3"/>
  <c r="T1442" i="3"/>
  <c r="T1411" i="3"/>
  <c r="T1390" i="3"/>
  <c r="T1364" i="3"/>
  <c r="T1328" i="3"/>
  <c r="T1242" i="3"/>
  <c r="T2704" i="3"/>
  <c r="T2267" i="3"/>
  <c r="T2230" i="3"/>
  <c r="T2210" i="3"/>
  <c r="T2188" i="3"/>
  <c r="T2155" i="3"/>
  <c r="T2122" i="3"/>
  <c r="T2081" i="3"/>
  <c r="T2049" i="3"/>
  <c r="T2012" i="3"/>
  <c r="T1994" i="3"/>
  <c r="T1960" i="3"/>
  <c r="T1932" i="3"/>
  <c r="T1915" i="3"/>
  <c r="T1898" i="3"/>
  <c r="T1864" i="3"/>
  <c r="T1836" i="3"/>
  <c r="T1827" i="3"/>
  <c r="T1819" i="3"/>
  <c r="T1811" i="3"/>
  <c r="T1803" i="3"/>
  <c r="T1795" i="3"/>
  <c r="T1787" i="3"/>
  <c r="T1779" i="3"/>
  <c r="T1771" i="3"/>
  <c r="T1763" i="3"/>
  <c r="T1755" i="3"/>
  <c r="T1747" i="3"/>
  <c r="T1721" i="3"/>
  <c r="T1699" i="3"/>
  <c r="T1673" i="3"/>
  <c r="T1655" i="3"/>
  <c r="T1601" i="3"/>
  <c r="T1576" i="3"/>
  <c r="T1509" i="3"/>
  <c r="T1478" i="3"/>
  <c r="T2939" i="3"/>
  <c r="T2599" i="3"/>
  <c r="T2506" i="3"/>
  <c r="T2259" i="3"/>
  <c r="T2174" i="3"/>
  <c r="T2108" i="3"/>
  <c r="T2074" i="3"/>
  <c r="T2024" i="3"/>
  <c r="T1999" i="3"/>
  <c r="T1982" i="3"/>
  <c r="T1965" i="3"/>
  <c r="T1937" i="3"/>
  <c r="T1903" i="3"/>
  <c r="T1886" i="3"/>
  <c r="T1869" i="3"/>
  <c r="T1841" i="3"/>
  <c r="T1725" i="3"/>
  <c r="T1703" i="3"/>
  <c r="T1677" i="3"/>
  <c r="T1650" i="3"/>
  <c r="T1635" i="3"/>
  <c r="T1620" i="3"/>
  <c r="T1610" i="3"/>
  <c r="T1595" i="3"/>
  <c r="T1560" i="3"/>
  <c r="T1550" i="3"/>
  <c r="T1534" i="3"/>
  <c r="T1519" i="3"/>
  <c r="T1504" i="3"/>
  <c r="T1488" i="3"/>
  <c r="T1451" i="3"/>
  <c r="T1441" i="3"/>
  <c r="T1395" i="3"/>
  <c r="T1384" i="3"/>
  <c r="T1333" i="3"/>
  <c r="T1127" i="3"/>
  <c r="T1104" i="3"/>
  <c r="T1082" i="3"/>
  <c r="T1070" i="3"/>
  <c r="T1058" i="3"/>
  <c r="T1046" i="3"/>
  <c r="T1034" i="3"/>
  <c r="T2895" i="3"/>
  <c r="T2640" i="3"/>
  <c r="T2348" i="3"/>
  <c r="T2236" i="3"/>
  <c r="T2222" i="3"/>
  <c r="T2201" i="3"/>
  <c r="T2187" i="3"/>
  <c r="T2160" i="3"/>
  <c r="T2148" i="3"/>
  <c r="T2121" i="3"/>
  <c r="T2067" i="3"/>
  <c r="T2054" i="3"/>
  <c r="T2029" i="3"/>
  <c r="T2005" i="3"/>
  <c r="T1976" i="3"/>
  <c r="T1948" i="3"/>
  <c r="T1931" i="3"/>
  <c r="T1914" i="3"/>
  <c r="T1880" i="3"/>
  <c r="T1852" i="3"/>
  <c r="T1835" i="3"/>
  <c r="T1729" i="3"/>
  <c r="T1707" i="3"/>
  <c r="T1681" i="3"/>
  <c r="T1659" i="3"/>
  <c r="T1625" i="3"/>
  <c r="T1590" i="3"/>
  <c r="T1575" i="3"/>
  <c r="T1565" i="3"/>
  <c r="T1529" i="3"/>
  <c r="T1493" i="3"/>
  <c r="T1477" i="3"/>
  <c r="T1456" i="3"/>
  <c r="T1425" i="3"/>
  <c r="T1415" i="3"/>
  <c r="T1405" i="3"/>
  <c r="T1378" i="3"/>
  <c r="T1358" i="3"/>
  <c r="T1342" i="3"/>
  <c r="T1317" i="3"/>
  <c r="T3369" i="3"/>
  <c r="T2946" i="3"/>
  <c r="T2800" i="3"/>
  <c r="T2483" i="3"/>
  <c r="T2281" i="3"/>
  <c r="T2208" i="3"/>
  <c r="T2114" i="3"/>
  <c r="T2047" i="3"/>
  <c r="T2023" i="3"/>
  <c r="T1987" i="3"/>
  <c r="T1970" i="3"/>
  <c r="T1936" i="3"/>
  <c r="T1908" i="3"/>
  <c r="T1891" i="3"/>
  <c r="T1874" i="3"/>
  <c r="T1840" i="3"/>
  <c r="T1826" i="3"/>
  <c r="T1818" i="3"/>
  <c r="T1810" i="3"/>
  <c r="T1802" i="3"/>
  <c r="T1794" i="3"/>
  <c r="T1786" i="3"/>
  <c r="T1778" i="3"/>
  <c r="T1770" i="3"/>
  <c r="T1762" i="3"/>
  <c r="T1754" i="3"/>
  <c r="T1746" i="3"/>
  <c r="T1720" i="3"/>
  <c r="T1698" i="3"/>
  <c r="T1672" i="3"/>
  <c r="T1654" i="3"/>
  <c r="T1629" i="3"/>
  <c r="T1604" i="3"/>
  <c r="T1559" i="3"/>
  <c r="T1543" i="3"/>
  <c r="T1523" i="3"/>
  <c r="T1497" i="3"/>
  <c r="T1471" i="3"/>
  <c r="T1450" i="3"/>
  <c r="T1394" i="3"/>
  <c r="T1383" i="3"/>
  <c r="T1368" i="3"/>
  <c r="T1337" i="3"/>
  <c r="T1322" i="3"/>
  <c r="T3920" i="3"/>
  <c r="T2972" i="3"/>
  <c r="T2669" i="3"/>
  <c r="T2416" i="3"/>
  <c r="T2317" i="3"/>
  <c r="T2272" i="3"/>
  <c r="T2235" i="3"/>
  <c r="T2200" i="3"/>
  <c r="T2180" i="3"/>
  <c r="T2159" i="3"/>
  <c r="T2133" i="3"/>
  <c r="T2120" i="3"/>
  <c r="T2092" i="3"/>
  <c r="T2059" i="3"/>
  <c r="T2035" i="3"/>
  <c r="T2010" i="3"/>
  <c r="T1975" i="3"/>
  <c r="T1958" i="3"/>
  <c r="T1941" i="3"/>
  <c r="T1913" i="3"/>
  <c r="T1879" i="3"/>
  <c r="T1862" i="3"/>
  <c r="T1845" i="3"/>
  <c r="T1737" i="3"/>
  <c r="T1715" i="3"/>
  <c r="T1689" i="3"/>
  <c r="T1667" i="3"/>
  <c r="T1634" i="3"/>
  <c r="T1614" i="3"/>
  <c r="T1599" i="3"/>
  <c r="T1569" i="3"/>
  <c r="T1554" i="3"/>
  <c r="T1528" i="3"/>
  <c r="T1513" i="3"/>
  <c r="T1476" i="3"/>
  <c r="T1445" i="3"/>
  <c r="T1424" i="3"/>
  <c r="T3311" i="3"/>
  <c r="T2858" i="3"/>
  <c r="T2471" i="3"/>
  <c r="T2242" i="3"/>
  <c r="T2185" i="3"/>
  <c r="T2146" i="3"/>
  <c r="T2085" i="3"/>
  <c r="T2046" i="3"/>
  <c r="T2028" i="3"/>
  <c r="T2004" i="3"/>
  <c r="T1986" i="3"/>
  <c r="T1952" i="3"/>
  <c r="T1924" i="3"/>
  <c r="T1907" i="3"/>
  <c r="T1890" i="3"/>
  <c r="T1856" i="3"/>
  <c r="T1741" i="3"/>
  <c r="T1719" i="3"/>
  <c r="T1693" i="3"/>
  <c r="T1671" i="3"/>
  <c r="T1653" i="3"/>
  <c r="T1638" i="3"/>
  <c r="T1589" i="3"/>
  <c r="T1579" i="3"/>
  <c r="T1558" i="3"/>
  <c r="T1532" i="3"/>
  <c r="T1502" i="3"/>
  <c r="T1486" i="3"/>
  <c r="T1465" i="3"/>
  <c r="T1439" i="3"/>
  <c r="T1409" i="3"/>
  <c r="T1393" i="3"/>
  <c r="T1367" i="3"/>
  <c r="T2605" i="3"/>
  <c r="T2405" i="3"/>
  <c r="T2297" i="3"/>
  <c r="T2255" i="3"/>
  <c r="T2213" i="3"/>
  <c r="T2165" i="3"/>
  <c r="T2119" i="3"/>
  <c r="T2105" i="3"/>
  <c r="T2091" i="3"/>
  <c r="T2064" i="3"/>
  <c r="T2015" i="3"/>
  <c r="T1991" i="3"/>
  <c r="T1974" i="3"/>
  <c r="T1957" i="3"/>
  <c r="T1929" i="3"/>
  <c r="T1895" i="3"/>
  <c r="T1878" i="3"/>
  <c r="T1861" i="3"/>
  <c r="T1833" i="3"/>
  <c r="T1825" i="3"/>
  <c r="T1817" i="3"/>
  <c r="T1809" i="3"/>
  <c r="T1801" i="3"/>
  <c r="T1793" i="3"/>
  <c r="T1785" i="3"/>
  <c r="T1777" i="3"/>
  <c r="T1769" i="3"/>
  <c r="T1761" i="3"/>
  <c r="T1753" i="3"/>
  <c r="T1745" i="3"/>
  <c r="T1723" i="3"/>
  <c r="T1697" i="3"/>
  <c r="T1675" i="3"/>
  <c r="T1648" i="3"/>
  <c r="T1623" i="3"/>
  <c r="T1613" i="3"/>
  <c r="T1603" i="3"/>
  <c r="T1568" i="3"/>
  <c r="T3119" i="3"/>
  <c r="T2739" i="3"/>
  <c r="T2646" i="3"/>
  <c r="T2270" i="3"/>
  <c r="T2227" i="3"/>
  <c r="T2191" i="3"/>
  <c r="T2171" i="3"/>
  <c r="T2151" i="3"/>
  <c r="T2132" i="3"/>
  <c r="T2039" i="3"/>
  <c r="T2027" i="3"/>
  <c r="T1985" i="3"/>
  <c r="T1951" i="3"/>
  <c r="T1934" i="3"/>
  <c r="T1917" i="3"/>
  <c r="T1889" i="3"/>
  <c r="T1855" i="3"/>
  <c r="T1838" i="3"/>
  <c r="T1727" i="3"/>
  <c r="T1701" i="3"/>
  <c r="T1679" i="3"/>
  <c r="T1652" i="3"/>
  <c r="T1588" i="3"/>
  <c r="T1573" i="3"/>
  <c r="T1547" i="3"/>
  <c r="T1501" i="3"/>
  <c r="T1485" i="3"/>
  <c r="T1464" i="3"/>
  <c r="T1438" i="3"/>
  <c r="T1418" i="3"/>
  <c r="T1392" i="3"/>
  <c r="T1366" i="3"/>
  <c r="T1330" i="3"/>
  <c r="T1138" i="3"/>
  <c r="T1091" i="3"/>
  <c r="T1079" i="3"/>
  <c r="T1067" i="3"/>
  <c r="T1055" i="3"/>
  <c r="T1043" i="3"/>
  <c r="T1031" i="3"/>
  <c r="T2070" i="3"/>
  <c r="T1522" i="3"/>
  <c r="T1419" i="3"/>
  <c r="T1341" i="3"/>
  <c r="T1329" i="3"/>
  <c r="T1305" i="3"/>
  <c r="T1293" i="3"/>
  <c r="T1281" i="3"/>
  <c r="T1269" i="3"/>
  <c r="T1257" i="3"/>
  <c r="T1236" i="3"/>
  <c r="T1228" i="3"/>
  <c r="T1220" i="3"/>
  <c r="T1212" i="3"/>
  <c r="T1204" i="3"/>
  <c r="T1196" i="3"/>
  <c r="T1188" i="3"/>
  <c r="T1180" i="3"/>
  <c r="T1172" i="3"/>
  <c r="T1164" i="3"/>
  <c r="T1156" i="3"/>
  <c r="T1148" i="3"/>
  <c r="T1109" i="3"/>
  <c r="T1080" i="3"/>
  <c r="T1044" i="3"/>
  <c r="T480" i="3"/>
  <c r="T456" i="3"/>
  <c r="T420" i="3"/>
  <c r="T388" i="3"/>
  <c r="T356" i="3"/>
  <c r="T324" i="3"/>
  <c r="T292" i="3"/>
  <c r="T260" i="3"/>
  <c r="T228" i="3"/>
  <c r="T196" i="3"/>
  <c r="T159" i="3"/>
  <c r="T132" i="3"/>
  <c r="T95" i="3"/>
  <c r="T42" i="3"/>
  <c r="T818" i="3"/>
  <c r="T740" i="3"/>
  <c r="T716" i="3"/>
  <c r="T686" i="3"/>
  <c r="T662" i="3"/>
  <c r="T638" i="3"/>
  <c r="T614" i="3"/>
  <c r="T2008" i="3"/>
  <c r="T1617" i="3"/>
  <c r="T1433" i="3"/>
  <c r="T1412" i="3"/>
  <c r="T1353" i="3"/>
  <c r="T1240" i="3"/>
  <c r="T1128" i="3"/>
  <c r="T1098" i="3"/>
  <c r="T1065" i="3"/>
  <c r="T1029" i="3"/>
  <c r="T1016" i="3"/>
  <c r="T1004" i="3"/>
  <c r="T992" i="3"/>
  <c r="T980" i="3"/>
  <c r="T968" i="3"/>
  <c r="T956" i="3"/>
  <c r="T944" i="3"/>
  <c r="T932" i="3"/>
  <c r="T920" i="3"/>
  <c r="T908" i="3"/>
  <c r="T896" i="3"/>
  <c r="T884" i="3"/>
  <c r="T872" i="3"/>
  <c r="T860" i="3"/>
  <c r="T848" i="3"/>
  <c r="T836" i="3"/>
  <c r="T824" i="3"/>
  <c r="T806" i="3"/>
  <c r="T794" i="3"/>
  <c r="T782" i="3"/>
  <c r="T770" i="3"/>
  <c r="T752" i="3"/>
  <c r="T734" i="3"/>
  <c r="T710" i="3"/>
  <c r="T692" i="3"/>
  <c r="T668" i="3"/>
  <c r="T644" i="3"/>
  <c r="T620" i="3"/>
  <c r="T2541" i="3"/>
  <c r="T1979" i="3"/>
  <c r="T1632" i="3"/>
  <c r="T1506" i="3"/>
  <c r="T1404" i="3"/>
  <c r="T1310" i="3"/>
  <c r="T1298" i="3"/>
  <c r="T1286" i="3"/>
  <c r="T1274" i="3"/>
  <c r="T1262" i="3"/>
  <c r="T1250" i="3"/>
  <c r="T1123" i="3"/>
  <c r="T1093" i="3"/>
  <c r="T1057" i="3"/>
  <c r="T489" i="3"/>
  <c r="T465" i="3"/>
  <c r="T435" i="3"/>
  <c r="T403" i="3"/>
  <c r="T371" i="3"/>
  <c r="T339" i="3"/>
  <c r="T307" i="3"/>
  <c r="T275" i="3"/>
  <c r="T243" i="3"/>
  <c r="T211" i="3"/>
  <c r="T179" i="3"/>
  <c r="T158" i="3"/>
  <c r="T137" i="3"/>
  <c r="T121" i="3"/>
  <c r="T94" i="3"/>
  <c r="T83" i="3"/>
  <c r="T57" i="3"/>
  <c r="T36" i="3"/>
  <c r="T841" i="3"/>
  <c r="T811" i="3"/>
  <c r="T787" i="3"/>
  <c r="T769" i="3"/>
  <c r="T745" i="3"/>
  <c r="T721" i="3"/>
  <c r="T1928" i="3"/>
  <c r="T1740" i="3"/>
  <c r="T1542" i="3"/>
  <c r="T1381" i="3"/>
  <c r="T1346" i="3"/>
  <c r="T1316" i="3"/>
  <c r="T1231" i="3"/>
  <c r="T1223" i="3"/>
  <c r="T1215" i="3"/>
  <c r="T1207" i="3"/>
  <c r="T1199" i="3"/>
  <c r="T1191" i="3"/>
  <c r="T1183" i="3"/>
  <c r="T1175" i="3"/>
  <c r="T1167" i="3"/>
  <c r="T1159" i="3"/>
  <c r="T1151" i="3"/>
  <c r="T1142" i="3"/>
  <c r="T1113" i="3"/>
  <c r="T1078" i="3"/>
  <c r="T1042" i="3"/>
  <c r="T1021" i="3"/>
  <c r="T1009" i="3"/>
  <c r="T997" i="3"/>
  <c r="T985" i="3"/>
  <c r="T973" i="3"/>
  <c r="T961" i="3"/>
  <c r="T949" i="3"/>
  <c r="T937" i="3"/>
  <c r="T925" i="3"/>
  <c r="T907" i="3"/>
  <c r="T895" i="3"/>
  <c r="T883" i="3"/>
  <c r="T871" i="3"/>
  <c r="T859" i="3"/>
  <c r="T847" i="3"/>
  <c r="T829" i="3"/>
  <c r="T805" i="3"/>
  <c r="T781" i="3"/>
  <c r="T751" i="3"/>
  <c r="T727" i="3"/>
  <c r="T2097" i="3"/>
  <c r="T1512" i="3"/>
  <c r="T1403" i="3"/>
  <c r="T1374" i="3"/>
  <c r="T1309" i="3"/>
  <c r="T1297" i="3"/>
  <c r="T1285" i="3"/>
  <c r="T1273" i="3"/>
  <c r="T1261" i="3"/>
  <c r="T1249" i="3"/>
  <c r="T1132" i="3"/>
  <c r="T1102" i="3"/>
  <c r="T1092" i="3"/>
  <c r="T1056" i="3"/>
  <c r="T493" i="3"/>
  <c r="T469" i="3"/>
  <c r="T445" i="3"/>
  <c r="T429" i="3"/>
  <c r="T413" i="3"/>
  <c r="T397" i="3"/>
  <c r="T381" i="3"/>
  <c r="T365" i="3"/>
  <c r="T349" i="3"/>
  <c r="T333" i="3"/>
  <c r="T317" i="3"/>
  <c r="T301" i="3"/>
  <c r="T285" i="3"/>
  <c r="T269" i="3"/>
  <c r="T253" i="3"/>
  <c r="T237" i="3"/>
  <c r="T221" i="3"/>
  <c r="T205" i="3"/>
  <c r="T189" i="3"/>
  <c r="T173" i="3"/>
  <c r="T157" i="3"/>
  <c r="T130" i="3"/>
  <c r="T120" i="3"/>
  <c r="T88" i="3"/>
  <c r="T77" i="3"/>
  <c r="T56" i="3"/>
  <c r="T35" i="3"/>
  <c r="T9" i="3"/>
  <c r="T600" i="3"/>
  <c r="T552" i="3"/>
  <c r="T528" i="3"/>
  <c r="T1996" i="3"/>
  <c r="T1607" i="3"/>
  <c r="T1345" i="3"/>
  <c r="T1315" i="3"/>
  <c r="T1126" i="3"/>
  <c r="T1112" i="3"/>
  <c r="T1077" i="3"/>
  <c r="T1041" i="3"/>
  <c r="T1014" i="3"/>
  <c r="T1002" i="3"/>
  <c r="T990" i="3"/>
  <c r="T978" i="3"/>
  <c r="T966" i="3"/>
  <c r="T954" i="3"/>
  <c r="T942" i="3"/>
  <c r="T930" i="3"/>
  <c r="T918" i="3"/>
  <c r="T906" i="3"/>
  <c r="T894" i="3"/>
  <c r="T882" i="3"/>
  <c r="T870" i="3"/>
  <c r="T858" i="3"/>
  <c r="T846" i="3"/>
  <c r="T834" i="3"/>
  <c r="T822" i="3"/>
  <c r="T810" i="3"/>
  <c r="T798" i="3"/>
  <c r="T786" i="3"/>
  <c r="T774" i="3"/>
  <c r="T762" i="3"/>
  <c r="T750" i="3"/>
  <c r="T738" i="3"/>
  <c r="T726" i="3"/>
  <c r="T714" i="3"/>
  <c r="T702" i="3"/>
  <c r="T690" i="3"/>
  <c r="T678" i="3"/>
  <c r="T666" i="3"/>
  <c r="T654" i="3"/>
  <c r="T642" i="3"/>
  <c r="T630" i="3"/>
  <c r="T618" i="3"/>
  <c r="T606" i="3"/>
  <c r="T588" i="3"/>
  <c r="T576" i="3"/>
  <c r="T558" i="3"/>
  <c r="T534" i="3"/>
  <c r="T1637" i="3"/>
  <c r="T1454" i="3"/>
  <c r="T1402" i="3"/>
  <c r="T1379" i="3"/>
  <c r="T1326" i="3"/>
  <c r="T1308" i="3"/>
  <c r="T1296" i="3"/>
  <c r="T1284" i="3"/>
  <c r="T1272" i="3"/>
  <c r="T1260" i="3"/>
  <c r="T1248" i="3"/>
  <c r="T1230" i="3"/>
  <c r="T1222" i="3"/>
  <c r="T1214" i="3"/>
  <c r="T1206" i="3"/>
  <c r="T1198" i="3"/>
  <c r="T1190" i="3"/>
  <c r="T1182" i="3"/>
  <c r="T1174" i="3"/>
  <c r="T1166" i="3"/>
  <c r="T1158" i="3"/>
  <c r="T1150" i="3"/>
  <c r="T1141" i="3"/>
  <c r="T1069" i="3"/>
  <c r="T1033" i="3"/>
  <c r="T492" i="3"/>
  <c r="T468" i="3"/>
  <c r="T444" i="3"/>
  <c r="T412" i="3"/>
  <c r="T380" i="3"/>
  <c r="T348" i="3"/>
  <c r="T316" i="3"/>
  <c r="T284" i="3"/>
  <c r="T252" i="3"/>
  <c r="T220" i="3"/>
  <c r="T188" i="3"/>
  <c r="T156" i="3"/>
  <c r="T119" i="3"/>
  <c r="T87" i="3"/>
  <c r="T55" i="3"/>
  <c r="T45" i="3"/>
  <c r="T34" i="3"/>
  <c r="T24" i="3"/>
  <c r="T3" i="3"/>
  <c r="T731" i="3"/>
  <c r="T707" i="3"/>
  <c r="T689" i="3"/>
  <c r="T665" i="3"/>
  <c r="T641" i="3"/>
  <c r="T617" i="3"/>
  <c r="T2198" i="3"/>
  <c r="T1945" i="3"/>
  <c r="T1731" i="3"/>
  <c r="T1705" i="3"/>
  <c r="T1583" i="3"/>
  <c r="T1475" i="3"/>
  <c r="T1344" i="3"/>
  <c r="T1121" i="3"/>
  <c r="T1101" i="3"/>
  <c r="T1090" i="3"/>
  <c r="T1054" i="3"/>
  <c r="T1019" i="3"/>
  <c r="T1007" i="3"/>
  <c r="T995" i="3"/>
  <c r="T983" i="3"/>
  <c r="T971" i="3"/>
  <c r="T959" i="3"/>
  <c r="T947" i="3"/>
  <c r="T935" i="3"/>
  <c r="T923" i="3"/>
  <c r="T911" i="3"/>
  <c r="T899" i="3"/>
  <c r="T887" i="3"/>
  <c r="T875" i="3"/>
  <c r="T863" i="3"/>
  <c r="T851" i="3"/>
  <c r="T839" i="3"/>
  <c r="T827" i="3"/>
  <c r="T815" i="3"/>
  <c r="T803" i="3"/>
  <c r="T791" i="3"/>
  <c r="T773" i="3"/>
  <c r="T761" i="3"/>
  <c r="T749" i="3"/>
  <c r="T737" i="3"/>
  <c r="T713" i="3"/>
  <c r="T683" i="3"/>
  <c r="T659" i="3"/>
  <c r="T635" i="3"/>
  <c r="T2925" i="3"/>
  <c r="T2084" i="3"/>
  <c r="T1429" i="3"/>
  <c r="T1338" i="3"/>
  <c r="T1307" i="3"/>
  <c r="T1295" i="3"/>
  <c r="T1283" i="3"/>
  <c r="T1271" i="3"/>
  <c r="T1259" i="3"/>
  <c r="T1247" i="3"/>
  <c r="T1135" i="3"/>
  <c r="T1125" i="3"/>
  <c r="T1075" i="3"/>
  <c r="T1039" i="3"/>
  <c r="T477" i="3"/>
  <c r="T453" i="3"/>
  <c r="T443" i="3"/>
  <c r="T411" i="3"/>
  <c r="T379" i="3"/>
  <c r="T347" i="3"/>
  <c r="T315" i="3"/>
  <c r="T283" i="3"/>
  <c r="T251" i="3"/>
  <c r="T219" i="3"/>
  <c r="T187" i="3"/>
  <c r="T161" i="3"/>
  <c r="T145" i="3"/>
  <c r="T118" i="3"/>
  <c r="T107" i="3"/>
  <c r="T86" i="3"/>
  <c r="T65" i="3"/>
  <c r="T44" i="3"/>
  <c r="T23" i="3"/>
  <c r="T886" i="3"/>
  <c r="T814" i="3"/>
  <c r="T790" i="3"/>
  <c r="T766" i="3"/>
  <c r="T748" i="3"/>
  <c r="T2063" i="3"/>
  <c r="T1973" i="3"/>
  <c r="T1531" i="3"/>
  <c r="T1459" i="3"/>
  <c r="T1421" i="3"/>
  <c r="T1400" i="3"/>
  <c r="T1343" i="3"/>
  <c r="T1325" i="3"/>
  <c r="T1237" i="3"/>
  <c r="T1229" i="3"/>
  <c r="T1221" i="3"/>
  <c r="T1213" i="3"/>
  <c r="T1205" i="3"/>
  <c r="T1197" i="3"/>
  <c r="T1189" i="3"/>
  <c r="T1181" i="3"/>
  <c r="T1173" i="3"/>
  <c r="T1165" i="3"/>
  <c r="T1157" i="3"/>
  <c r="T1149" i="3"/>
  <c r="T1110" i="3"/>
  <c r="T1095" i="3"/>
  <c r="T1060" i="3"/>
  <c r="T1024" i="3"/>
  <c r="T1012" i="3"/>
  <c r="T1000" i="3"/>
  <c r="T988" i="3"/>
  <c r="T976" i="3"/>
  <c r="T964" i="3"/>
  <c r="T952" i="3"/>
  <c r="T940" i="3"/>
  <c r="T928" i="3"/>
  <c r="T916" i="3"/>
  <c r="T904" i="3"/>
  <c r="T892" i="3"/>
  <c r="T874" i="3"/>
  <c r="T862" i="3"/>
  <c r="T850" i="3"/>
  <c r="T838" i="3"/>
  <c r="T820" i="3"/>
  <c r="T796" i="3"/>
  <c r="T772" i="3"/>
  <c r="T742" i="3"/>
  <c r="T1883" i="3"/>
  <c r="T1627" i="3"/>
  <c r="T1428" i="3"/>
  <c r="T1348" i="3"/>
  <c r="T1306" i="3"/>
  <c r="T1294" i="3"/>
  <c r="T1282" i="3"/>
  <c r="T1270" i="3"/>
  <c r="T1258" i="3"/>
  <c r="T1241" i="3"/>
  <c r="T1120" i="3"/>
  <c r="T1081" i="3"/>
  <c r="T1045" i="3"/>
  <c r="T481" i="3"/>
  <c r="T457" i="3"/>
  <c r="T442" i="3"/>
  <c r="T426" i="3"/>
  <c r="T410" i="3"/>
  <c r="T394" i="3"/>
  <c r="T378" i="3"/>
  <c r="T362" i="3"/>
  <c r="T346" i="3"/>
  <c r="T330" i="3"/>
  <c r="T314" i="3"/>
  <c r="T298" i="3"/>
  <c r="T282" i="3"/>
  <c r="T266" i="3"/>
  <c r="T250" i="3"/>
  <c r="T234" i="3"/>
  <c r="T218" i="3"/>
  <c r="T202" i="3"/>
  <c r="T186" i="3"/>
  <c r="T160" i="3"/>
  <c r="T149" i="3"/>
  <c r="T133" i="3"/>
  <c r="T106" i="3"/>
  <c r="T96" i="3"/>
  <c r="T43" i="3"/>
  <c r="T22" i="3"/>
  <c r="T6" i="3"/>
  <c r="T127" i="3"/>
  <c r="T217" i="3"/>
  <c r="T272" i="3"/>
  <c r="T320" i="3"/>
  <c r="T368" i="3"/>
  <c r="T416" i="3"/>
  <c r="T462" i="3"/>
  <c r="T504" i="3"/>
  <c r="T535" i="3"/>
  <c r="T587" i="3"/>
  <c r="T655" i="3"/>
  <c r="T687" i="3"/>
  <c r="T711" i="3"/>
  <c r="T861" i="3"/>
  <c r="T1005" i="3"/>
  <c r="T78" i="3"/>
  <c r="T190" i="3"/>
  <c r="T265" i="3"/>
  <c r="T313" i="3"/>
  <c r="T361" i="3"/>
  <c r="T409" i="3"/>
  <c r="T450" i="3"/>
  <c r="T498" i="3"/>
  <c r="T522" i="3"/>
  <c r="T574" i="3"/>
  <c r="T639" i="3"/>
  <c r="T19" i="3"/>
  <c r="T47" i="3"/>
  <c r="T115" i="3"/>
  <c r="T164" i="3"/>
  <c r="T529" i="3"/>
  <c r="T555" i="3"/>
  <c r="T581" i="3"/>
  <c r="T729" i="3"/>
  <c r="T831" i="3"/>
  <c r="T975" i="3"/>
  <c r="T1124" i="3"/>
  <c r="T13" i="3"/>
  <c r="T14" i="3"/>
  <c r="T128" i="3"/>
  <c r="T184" i="3"/>
  <c r="T198" i="3"/>
  <c r="T232" i="3"/>
  <c r="T246" i="3"/>
  <c r="T280" i="3"/>
  <c r="T294" i="3"/>
  <c r="T328" i="3"/>
  <c r="T342" i="3"/>
  <c r="T376" i="3"/>
  <c r="T390" i="3"/>
  <c r="T424" i="3"/>
  <c r="T438" i="3"/>
  <c r="T463" i="3"/>
  <c r="T487" i="3"/>
  <c r="T505" i="3"/>
  <c r="T517" i="3"/>
  <c r="T536" i="3"/>
  <c r="T562" i="3"/>
  <c r="T595" i="3"/>
  <c r="T616" i="3"/>
  <c r="T664" i="3"/>
  <c r="T712" i="3"/>
  <c r="T873" i="3"/>
  <c r="T1017" i="3"/>
  <c r="T224" i="3"/>
  <c r="T61" i="3"/>
  <c r="T27" i="3"/>
  <c r="T48" i="3"/>
  <c r="T74" i="3"/>
  <c r="T123" i="3"/>
  <c r="T165" i="3"/>
  <c r="T530" i="3"/>
  <c r="T556" i="3"/>
  <c r="T589" i="3"/>
  <c r="T633" i="3"/>
  <c r="T657" i="3"/>
  <c r="T681" i="3"/>
  <c r="T705" i="3"/>
  <c r="T771" i="3"/>
  <c r="T915" i="3"/>
  <c r="T100" i="3"/>
  <c r="T33" i="3"/>
  <c r="T80" i="3"/>
  <c r="T138" i="3"/>
  <c r="T192" i="3"/>
  <c r="T206" i="3"/>
  <c r="T240" i="3"/>
  <c r="T254" i="3"/>
  <c r="T288" i="3"/>
  <c r="T302" i="3"/>
  <c r="T336" i="3"/>
  <c r="T350" i="3"/>
  <c r="T384" i="3"/>
  <c r="T398" i="3"/>
  <c r="T432" i="3"/>
  <c r="T446" i="3"/>
  <c r="T470" i="3"/>
  <c r="T494" i="3"/>
  <c r="T506" i="3"/>
  <c r="T518" i="3"/>
  <c r="T537" i="3"/>
  <c r="T563" i="3"/>
  <c r="T596" i="3"/>
  <c r="T610" i="3"/>
  <c r="T813" i="3"/>
  <c r="T957" i="3"/>
  <c r="T21" i="3"/>
  <c r="T49" i="3"/>
  <c r="T75" i="3"/>
  <c r="T117" i="3"/>
  <c r="T151" i="3"/>
  <c r="T544" i="3"/>
  <c r="T577" i="3"/>
  <c r="T634" i="3"/>
  <c r="T682" i="3"/>
  <c r="T723" i="3"/>
  <c r="T855" i="3"/>
  <c r="T999" i="3"/>
  <c r="T1105" i="3"/>
  <c r="T63" i="3"/>
  <c r="T146" i="3"/>
  <c r="T214" i="3"/>
  <c r="T255" i="3"/>
  <c r="T310" i="3"/>
  <c r="T358" i="3"/>
  <c r="T399" i="3"/>
  <c r="T447" i="3"/>
  <c r="T495" i="3"/>
  <c r="T519" i="3"/>
  <c r="T571" i="3"/>
  <c r="T611" i="3"/>
  <c r="T651" i="3"/>
  <c r="T691" i="3"/>
  <c r="T715" i="3"/>
  <c r="T825" i="3"/>
  <c r="T969" i="3"/>
  <c r="T16" i="3"/>
  <c r="T139" i="3"/>
  <c r="T207" i="3"/>
  <c r="T262" i="3"/>
  <c r="T303" i="3"/>
  <c r="T351" i="3"/>
  <c r="T406" i="3"/>
  <c r="T459" i="3"/>
  <c r="T501" i="3"/>
  <c r="T525" i="3"/>
  <c r="T584" i="3"/>
  <c r="T619" i="3"/>
  <c r="T667" i="3"/>
  <c r="T76" i="3"/>
  <c r="T152" i="3"/>
  <c r="T545" i="3"/>
  <c r="T578" i="3"/>
  <c r="T724" i="3"/>
  <c r="T867" i="3"/>
  <c r="T1011" i="3"/>
  <c r="T1312" i="3"/>
  <c r="T11" i="3"/>
  <c r="T64" i="3"/>
  <c r="T98" i="3"/>
  <c r="T147" i="3"/>
  <c r="T201" i="3"/>
  <c r="T215" i="3"/>
  <c r="T249" i="3"/>
  <c r="T263" i="3"/>
  <c r="T297" i="3"/>
  <c r="T311" i="3"/>
  <c r="T345" i="3"/>
  <c r="T359" i="3"/>
  <c r="T393" i="3"/>
  <c r="T407" i="3"/>
  <c r="T441" i="3"/>
  <c r="T466" i="3"/>
  <c r="T490" i="3"/>
  <c r="T502" i="3"/>
  <c r="T514" i="3"/>
  <c r="T526" i="3"/>
  <c r="T559" i="3"/>
  <c r="T585" i="3"/>
  <c r="T605" i="3"/>
  <c r="T652" i="3"/>
  <c r="T700" i="3"/>
  <c r="T837" i="3"/>
  <c r="T981" i="3"/>
  <c r="T1657" i="3"/>
  <c r="T1683" i="3"/>
  <c r="T4722" i="3"/>
  <c r="T4744" i="3"/>
  <c r="T4760" i="3"/>
  <c r="T4787" i="3"/>
  <c r="T4814" i="3"/>
  <c r="T4846" i="3"/>
  <c r="T4883" i="3"/>
  <c r="T4904" i="3"/>
  <c r="T4925" i="3"/>
  <c r="T4958" i="3"/>
  <c r="T4969" i="3"/>
  <c r="T4985" i="3"/>
  <c r="T4651" i="3"/>
  <c r="T4666" i="3"/>
  <c r="T4702" i="3"/>
  <c r="T4717" i="3"/>
  <c r="T4733" i="3"/>
  <c r="T4766" i="3"/>
  <c r="T4793" i="3"/>
  <c r="T4809" i="3"/>
  <c r="T4825" i="3"/>
  <c r="T4841" i="3"/>
  <c r="T4857" i="3"/>
  <c r="T4873" i="3"/>
  <c r="T4894" i="3"/>
  <c r="T4931" i="3"/>
  <c r="T4980" i="3"/>
  <c r="T4991" i="3"/>
  <c r="T4585" i="3"/>
  <c r="T4618" i="3"/>
  <c r="T4637" i="3"/>
  <c r="T4647" i="3"/>
  <c r="T4667" i="3"/>
  <c r="T4677" i="3"/>
  <c r="T4708" i="3"/>
  <c r="T4734" i="3"/>
  <c r="T4756" i="3"/>
  <c r="T4767" i="3"/>
  <c r="T4794" i="3"/>
  <c r="T4826" i="3"/>
  <c r="T4858" i="3"/>
  <c r="T4879" i="3"/>
  <c r="T4900" i="3"/>
  <c r="T4911" i="3"/>
  <c r="T4938" i="3"/>
  <c r="T4566" i="3"/>
  <c r="T4590" i="3"/>
  <c r="T4609" i="3"/>
  <c r="T4657" i="3"/>
  <c r="T4683" i="3"/>
  <c r="T4698" i="3"/>
  <c r="T4724" i="3"/>
  <c r="T4740" i="3"/>
  <c r="T4778" i="3"/>
  <c r="T4800" i="3"/>
  <c r="T4816" i="3"/>
  <c r="T4832" i="3"/>
  <c r="T4848" i="3"/>
  <c r="T4864" i="3"/>
  <c r="T4890" i="3"/>
  <c r="T4927" i="3"/>
  <c r="T4954" i="3"/>
  <c r="T4971" i="3"/>
  <c r="T4981" i="3"/>
  <c r="T4992" i="3"/>
  <c r="T4576" i="3"/>
  <c r="T4600" i="3"/>
  <c r="T4628" i="3"/>
  <c r="T4638" i="3"/>
  <c r="T4678" i="3"/>
  <c r="T4704" i="3"/>
  <c r="T4735" i="3"/>
  <c r="T4762" i="3"/>
  <c r="T4773" i="3"/>
  <c r="T4795" i="3"/>
  <c r="T4827" i="3"/>
  <c r="T4859" i="3"/>
  <c r="T4880" i="3"/>
  <c r="T4896" i="3"/>
  <c r="T4912" i="3"/>
  <c r="T4933" i="3"/>
  <c r="T4949" i="3"/>
  <c r="T4624" i="3"/>
  <c r="T4653" i="3"/>
  <c r="T4663" i="3"/>
  <c r="T4673" i="3"/>
  <c r="T4709" i="3"/>
  <c r="T4730" i="3"/>
  <c r="T4752" i="3"/>
  <c r="T4779" i="3"/>
  <c r="T4806" i="3"/>
  <c r="T4838" i="3"/>
  <c r="T4870" i="3"/>
  <c r="T4901" i="3"/>
  <c r="T4928" i="3"/>
  <c r="T4961" i="3"/>
  <c r="T4993" i="3"/>
  <c r="T4596" i="3"/>
  <c r="T4620" i="3"/>
  <c r="T4639" i="3"/>
  <c r="T4684" i="3"/>
  <c r="T4694" i="3"/>
  <c r="T4725" i="3"/>
  <c r="T4747" i="3"/>
  <c r="T4774" i="3"/>
  <c r="T4801" i="3"/>
  <c r="T4817" i="3"/>
  <c r="T4833" i="3"/>
  <c r="T4849" i="3"/>
  <c r="T4865" i="3"/>
  <c r="T4907" i="3"/>
  <c r="T4934" i="3"/>
  <c r="T4945" i="3"/>
  <c r="T4967" i="3"/>
  <c r="T4977" i="3"/>
  <c r="T4582" i="3"/>
  <c r="T4592" i="3"/>
  <c r="T4606" i="3"/>
  <c r="T4644" i="3"/>
  <c r="T4654" i="3"/>
  <c r="T4674" i="3"/>
  <c r="T4705" i="3"/>
  <c r="T4715" i="3"/>
  <c r="T4742" i="3"/>
  <c r="T4769" i="3"/>
  <c r="T4785" i="3"/>
  <c r="T4807" i="3"/>
  <c r="T4839" i="3"/>
  <c r="T4871" i="3"/>
  <c r="T4881" i="3"/>
  <c r="T4897" i="3"/>
  <c r="T4913" i="3"/>
  <c r="T4962" i="3"/>
  <c r="T4994" i="3"/>
  <c r="T4568" i="3"/>
  <c r="T4611" i="3"/>
  <c r="T4635" i="3"/>
  <c r="T4669" i="3"/>
  <c r="T4690" i="3"/>
  <c r="T4726" i="3"/>
  <c r="T4753" i="3"/>
  <c r="T4775" i="3"/>
  <c r="T4818" i="3"/>
  <c r="T4850" i="3"/>
  <c r="T4887" i="3"/>
  <c r="T4919" i="3"/>
  <c r="T4929" i="3"/>
  <c r="T4946" i="3"/>
  <c r="T4968" i="3"/>
  <c r="T4743" i="3"/>
  <c r="T4770" i="3"/>
  <c r="T4792" i="3"/>
  <c r="T4808" i="3"/>
  <c r="T4824" i="3"/>
  <c r="T4840" i="3"/>
  <c r="T4856" i="3"/>
  <c r="T4872" i="3"/>
  <c r="T4898" i="3"/>
  <c r="T4914" i="3"/>
  <c r="T4957" i="3"/>
  <c r="T4973" i="3"/>
  <c r="T4989" i="3"/>
  <c r="T4759" i="3"/>
  <c r="T4797" i="3"/>
  <c r="T4829" i="3"/>
  <c r="T4861" i="3"/>
  <c r="T4903" i="3"/>
  <c r="T4941" i="3"/>
</calcChain>
</file>

<file path=xl/sharedStrings.xml><?xml version="1.0" encoding="utf-8"?>
<sst xmlns="http://schemas.openxmlformats.org/spreadsheetml/2006/main" count="172297" uniqueCount="13289">
  <si>
    <t>Из списка приемки</t>
  </si>
  <si>
    <t>Выгрузка аналитики</t>
  </si>
  <si>
    <t>Подтягивается от приемки</t>
  </si>
  <si>
    <t>Выгрузка импорт рейндж + подтягивается</t>
  </si>
  <si>
    <t>Выгрузка общежития</t>
  </si>
  <si>
    <t>Из данных приемки</t>
  </si>
  <si>
    <t>Выбрать из списка</t>
  </si>
  <si>
    <t>Формула</t>
  </si>
  <si>
    <t>Заполняется оператором</t>
  </si>
  <si>
    <t>Выгрузка общежитие новое</t>
  </si>
  <si>
    <t>Номер ЛД</t>
  </si>
  <si>
    <t>ФИО</t>
  </si>
  <si>
    <t>Дата зачисления</t>
  </si>
  <si>
    <t>Приказ о зачислении</t>
  </si>
  <si>
    <t>Подразделение</t>
  </si>
  <si>
    <t>Уровень подготовки</t>
  </si>
  <si>
    <t>Форма обучения</t>
  </si>
  <si>
    <t>Источник финансирования</t>
  </si>
  <si>
    <t>Направление подготовки</t>
  </si>
  <si>
    <t>Профиль</t>
  </si>
  <si>
    <t>Гражданство</t>
  </si>
  <si>
    <t>Регион по прописке</t>
  </si>
  <si>
    <t>Город по прописке</t>
  </si>
  <si>
    <t>Пол</t>
  </si>
  <si>
    <t>Квота МОН</t>
  </si>
  <si>
    <t>Профиль (от приемки)</t>
  </si>
  <si>
    <t>Особое право</t>
  </si>
  <si>
    <t xml:space="preserve">Нуждаемость в общежитии </t>
  </si>
  <si>
    <t>Телефон</t>
  </si>
  <si>
    <t>E-mail</t>
  </si>
  <si>
    <t>Актуальный статус</t>
  </si>
  <si>
    <t>Общежитие ранее</t>
  </si>
  <si>
    <t>Учился ранее</t>
  </si>
  <si>
    <t>Рекомендуемое общежитие (выпадающий список)</t>
  </si>
  <si>
    <t>Адрес общежития (подтягивается автоматически)</t>
  </si>
  <si>
    <t>Комментарий</t>
  </si>
  <si>
    <t>Приказ на общежитие</t>
  </si>
  <si>
    <t>Договор на проживание</t>
  </si>
  <si>
    <t>Дата начала</t>
  </si>
  <si>
    <t>Абакаров Джамал Арсенович</t>
  </si>
  <si>
    <t>4343ст</t>
  </si>
  <si>
    <t>ИТКН</t>
  </si>
  <si>
    <t>Бакалавр</t>
  </si>
  <si>
    <t>Очная</t>
  </si>
  <si>
    <t>Бюджет</t>
  </si>
  <si>
    <t>09.03.01</t>
  </si>
  <si>
    <t>Информатика и вычислительная техника</t>
  </si>
  <si>
    <t>РФ</t>
  </si>
  <si>
    <t>Московская обл</t>
  </si>
  <si>
    <t>Химки г</t>
  </si>
  <si>
    <t>Мужской</t>
  </si>
  <si>
    <t>Нет</t>
  </si>
  <si>
    <t>+7(963)710-84-00; +79637108400</t>
  </si>
  <si>
    <t>jamal.abakaroff@gmail.com</t>
  </si>
  <si>
    <t>Студент</t>
  </si>
  <si>
    <t/>
  </si>
  <si>
    <t>Абаноков Ильнур Амирович</t>
  </si>
  <si>
    <t>4409ст</t>
  </si>
  <si>
    <t>Контракт</t>
  </si>
  <si>
    <t>Кабардино-Балкарская Респ</t>
  </si>
  <si>
    <t>Нальчик г</t>
  </si>
  <si>
    <t>✓</t>
  </si>
  <si>
    <t>+7(909)490-11-54</t>
  </si>
  <si>
    <t>thelastnart@gmail.com</t>
  </si>
  <si>
    <t>Г-2</t>
  </si>
  <si>
    <t>проспект 60-летия Октября, д.11</t>
  </si>
  <si>
    <t>Абдуев Абухалид</t>
  </si>
  <si>
    <t>4358ст</t>
  </si>
  <si>
    <t>ГИ</t>
  </si>
  <si>
    <t>13.03.02</t>
  </si>
  <si>
    <t>Электроэнергетика и электротехника</t>
  </si>
  <si>
    <t>Чеченская Респ</t>
  </si>
  <si>
    <t>Петропавловская ст-ца</t>
  </si>
  <si>
    <t>Электроэнергетика и электротехника (4-6 лет)</t>
  </si>
  <si>
    <t>+7(928)475-50-22</t>
  </si>
  <si>
    <t>ursa10lvl@gmail.com</t>
  </si>
  <si>
    <t>ДСГ</t>
  </si>
  <si>
    <t>ул. Студенческая, д. 33, корп. 5,6</t>
  </si>
  <si>
    <t>Абдуллаева Умият Абдуллаевна</t>
  </si>
  <si>
    <t>4454ст</t>
  </si>
  <si>
    <t>Магистр</t>
  </si>
  <si>
    <t>09.04.01</t>
  </si>
  <si>
    <t>Дагестан Респ</t>
  </si>
  <si>
    <t>Каспийск г</t>
  </si>
  <si>
    <t>Женский</t>
  </si>
  <si>
    <t>Интеллектуальные программные решения для бизнеса</t>
  </si>
  <si>
    <t>+7(922)780-85-18</t>
  </si>
  <si>
    <t>uma832740074@gmail.com</t>
  </si>
  <si>
    <t>Абдуллоев Муртазоходжа Мухиддинович</t>
  </si>
  <si>
    <t>ЭкоТех</t>
  </si>
  <si>
    <t>15.04.02</t>
  </si>
  <si>
    <t>Технологические машины и оборудование</t>
  </si>
  <si>
    <t>Таджикистан</t>
  </si>
  <si>
    <t>Согдийская обл</t>
  </si>
  <si>
    <t>Исфара</t>
  </si>
  <si>
    <t>Технологии и материалы цифрового производства</t>
  </si>
  <si>
    <t>+7(996)988-02-43</t>
  </si>
  <si>
    <t>abdulloev210@mail.ru</t>
  </si>
  <si>
    <t>М-1</t>
  </si>
  <si>
    <t>ул. Профсоюзная, д.83, корп. 1</t>
  </si>
  <si>
    <t>Абдулхаев Али Мухаммадович</t>
  </si>
  <si>
    <t>22.04.02</t>
  </si>
  <si>
    <t>Металлургия</t>
  </si>
  <si>
    <t>Душанбе</t>
  </si>
  <si>
    <t>Логистика и экодизайн индустриальных технологий</t>
  </si>
  <si>
    <t>+992888866608; +7(925)245-36-55</t>
  </si>
  <si>
    <t>eshkhonova@mail.ru</t>
  </si>
  <si>
    <t>Абдуманнобов Абулфайз Абдуёкуб Угли</t>
  </si>
  <si>
    <t>27.04.04</t>
  </si>
  <si>
    <t>Управление в технических системах</t>
  </si>
  <si>
    <t>Узбекистан</t>
  </si>
  <si>
    <t>Ташкент</t>
  </si>
  <si>
    <t>Цифровизация и автоматизация технологических процессов</t>
  </si>
  <si>
    <t>998 (99) 854-00-44; +7(985)557-58-94</t>
  </si>
  <si>
    <t>abulfayz0044@gmail.com</t>
  </si>
  <si>
    <t>НИТУ МИСИС</t>
  </si>
  <si>
    <t>Абдумуминов Аъзам Абдумавлон угли</t>
  </si>
  <si>
    <t>20.04.01</t>
  </si>
  <si>
    <t>Техносферная безопасность</t>
  </si>
  <si>
    <t>Ташкентская область</t>
  </si>
  <si>
    <t>МСГ Й. Хожиметов</t>
  </si>
  <si>
    <t>Управление безопасностью технологических процессов и производств</t>
  </si>
  <si>
    <t>+998936284776; +7(000)000-00-00</t>
  </si>
  <si>
    <t>azam.abdumuminov@mail.ru</t>
  </si>
  <si>
    <t>Абдухалилов Фазлиддин Фахриддин Угли</t>
  </si>
  <si>
    <t>Технологический менеджмент в производстве цветных металлов и золота</t>
  </si>
  <si>
    <t>+998999368339; +7(899)936-83-39</t>
  </si>
  <si>
    <t>abduxalilovfazliddin254@gmail.com</t>
  </si>
  <si>
    <t>Абраменкова Карина Павловна</t>
  </si>
  <si>
    <t>38.03.05</t>
  </si>
  <si>
    <t>Бизнес-информатика</t>
  </si>
  <si>
    <t>Одинцово г</t>
  </si>
  <si>
    <t>+7(926)794-19-79</t>
  </si>
  <si>
    <t>karina.abramenkova16@mail.ru</t>
  </si>
  <si>
    <t>Абрамичева Вера Владимировна</t>
  </si>
  <si>
    <t>Специалист</t>
  </si>
  <si>
    <t>21.05.04</t>
  </si>
  <si>
    <t>Горное дело</t>
  </si>
  <si>
    <t>Кемеровская область - Кузбасс обл</t>
  </si>
  <si>
    <t>Демьяновка п</t>
  </si>
  <si>
    <t>+7(913)338-73-58</t>
  </si>
  <si>
    <t>abramicevan@gmail.com</t>
  </si>
  <si>
    <t>Абрамов Сергей Александрович</t>
  </si>
  <si>
    <t>ИНМиН</t>
  </si>
  <si>
    <t>11.03.04</t>
  </si>
  <si>
    <t>Электроника и наноэлектроника</t>
  </si>
  <si>
    <t>Егорьевск г</t>
  </si>
  <si>
    <t>Электроника и наноэлектроника (4-6 лет)</t>
  </si>
  <si>
    <t>+7(966)335-51-23</t>
  </si>
  <si>
    <t>serabramv@gmail.com</t>
  </si>
  <si>
    <t>М-3</t>
  </si>
  <si>
    <t>ул. Профсоюзная, д.83, корп. 3</t>
  </si>
  <si>
    <t>Абрамова Анисья Денисовна</t>
  </si>
  <si>
    <t>ИБО</t>
  </si>
  <si>
    <t>45.03.02</t>
  </si>
  <si>
    <t>Лингвистика</t>
  </si>
  <si>
    <t>Москва г</t>
  </si>
  <si>
    <t>Зеленоград г</t>
  </si>
  <si>
    <t>Лица из числа детей-сирот</t>
  </si>
  <si>
    <t>+7(977)419-67-25</t>
  </si>
  <si>
    <t>anisya.abramovaa@yandex.ru</t>
  </si>
  <si>
    <t>Абрамова Дарья Евгеньевна</t>
  </si>
  <si>
    <t>Челябинская обл</t>
  </si>
  <si>
    <t>Челябинск г</t>
  </si>
  <si>
    <t>+79191148452; +7(951)462-25-63</t>
  </si>
  <si>
    <t>dashukabramova@mail.ru</t>
  </si>
  <si>
    <t>Абрамова Мария Сергеевна</t>
  </si>
  <si>
    <t>Ивановская обл</t>
  </si>
  <si>
    <t>Иваново г</t>
  </si>
  <si>
    <t>+79106672231; +7(980)685-57-62</t>
  </si>
  <si>
    <t>iris05061976@mail.ru</t>
  </si>
  <si>
    <t>М-4</t>
  </si>
  <si>
    <t>ул. Академика Волгина, д. 4</t>
  </si>
  <si>
    <t>Абрамова Софья Леонидовна</t>
  </si>
  <si>
    <t>Ростовская обл</t>
  </si>
  <si>
    <t>Каменск-Шахтинский г</t>
  </si>
  <si>
    <t>Биомедицинская инженерия и биофабрикация (ПИШ)</t>
  </si>
  <si>
    <t>+7(960)469-22-16</t>
  </si>
  <si>
    <t>sofia.abramova070801@icloud.com</t>
  </si>
  <si>
    <t>Абрамова Юлия Андреевна</t>
  </si>
  <si>
    <t>Рязанская обл</t>
  </si>
  <si>
    <t>Рязань г</t>
  </si>
  <si>
    <t>+7(915)597-90-96</t>
  </si>
  <si>
    <t>abramova.july2018@yandex.ru</t>
  </si>
  <si>
    <t>Абу Мерхи Дамаж Жад</t>
  </si>
  <si>
    <t>4416ст</t>
  </si>
  <si>
    <t>Ливан</t>
  </si>
  <si>
    <t>Да</t>
  </si>
  <si>
    <t>+7(903)573-53-52</t>
  </si>
  <si>
    <t>живет с ПО</t>
  </si>
  <si>
    <t>Авад Фатхи Абделмонем Мохамед Ахмед</t>
  </si>
  <si>
    <t>4443ст</t>
  </si>
  <si>
    <t>Египет</t>
  </si>
  <si>
    <t>Дакахлия</t>
  </si>
  <si>
    <t>+7(996)574-54-88</t>
  </si>
  <si>
    <t>f.amohamed2003@gmail.com</t>
  </si>
  <si>
    <t>Г-1</t>
  </si>
  <si>
    <t>проспект 60-летия Октября, д.15</t>
  </si>
  <si>
    <t>Авазов Рашад Раджабович</t>
  </si>
  <si>
    <t>09.03.03</t>
  </si>
  <si>
    <t>Прикладная информатика</t>
  </si>
  <si>
    <t>89295801716; +7(925)462-90-92</t>
  </si>
  <si>
    <t>kreeph222@mail.ru</t>
  </si>
  <si>
    <t>Аванесян Артем Армавикович</t>
  </si>
  <si>
    <t>Саратовская обл</t>
  </si>
  <si>
    <t>Светлый п</t>
  </si>
  <si>
    <t>+7(987)366-80-71</t>
  </si>
  <si>
    <t>avanesyan.artyom200503@mail.ru</t>
  </si>
  <si>
    <t>Аванесян Максим Владимирович</t>
  </si>
  <si>
    <t>+7 916 201-85-00; +7(915)105-34-53</t>
  </si>
  <si>
    <t>dox-1999@mail.ru</t>
  </si>
  <si>
    <t>Авдеева Лариса Константиновна</t>
  </si>
  <si>
    <t>Современные технологии получения и защиты металлических материалов</t>
  </si>
  <si>
    <t>+7(905)787-58-55</t>
  </si>
  <si>
    <t>larisaavdeeva@gmail.com</t>
  </si>
  <si>
    <t>Аверин Артемий Сергеевич</t>
  </si>
  <si>
    <t>89031270872; +7(964)579-60-08</t>
  </si>
  <si>
    <t>artemiy.averin@gmail.com</t>
  </si>
  <si>
    <t>Аверина Александра Николаевна</t>
  </si>
  <si>
    <t>28.03.01</t>
  </si>
  <si>
    <t>Нанотехнологии и микросистемная техника</t>
  </si>
  <si>
    <t>Краснодарский край</t>
  </si>
  <si>
    <t>Белая Глина с</t>
  </si>
  <si>
    <t>79284294105; +7(938)538-16-35</t>
  </si>
  <si>
    <t>aleksandraaverina37@gmail.com</t>
  </si>
  <si>
    <t>Агапова Екатерина Олеговна</t>
  </si>
  <si>
    <t>Белгородская обл</t>
  </si>
  <si>
    <t>Старый Оскол г</t>
  </si>
  <si>
    <t>+7(910)223-16-23</t>
  </si>
  <si>
    <t>kateqveilon@yandex.ru</t>
  </si>
  <si>
    <t>кафедра БИСУП - Пятецкий В.Е.</t>
  </si>
  <si>
    <t>Агирре Руис Алексис</t>
  </si>
  <si>
    <t>4365ст</t>
  </si>
  <si>
    <t>09.04.03</t>
  </si>
  <si>
    <t>Куба</t>
  </si>
  <si>
    <t>Гавана</t>
  </si>
  <si>
    <t>Прикладная информатика в цифровой экономике</t>
  </si>
  <si>
    <t>+7(991)156-90-94</t>
  </si>
  <si>
    <t>alexis880813@gmail.com</t>
  </si>
  <si>
    <t>Горняк-2</t>
  </si>
  <si>
    <t>живет</t>
  </si>
  <si>
    <t>Агуреев Матвей Валерьевич</t>
  </si>
  <si>
    <t>Раменское г</t>
  </si>
  <si>
    <t>Технологическое обеспечение инноваций</t>
  </si>
  <si>
    <t>+7(915)336-09-10</t>
  </si>
  <si>
    <t>matvey.agureev@gmail.com</t>
  </si>
  <si>
    <t>Адесойе Баширу Опейеми</t>
  </si>
  <si>
    <t>4437ст</t>
  </si>
  <si>
    <t>Центр профессиональной навигации и приема</t>
  </si>
  <si>
    <t>Инженерно-технический профиль</t>
  </si>
  <si>
    <t>Нигерия</t>
  </si>
  <si>
    <t>Металлург 4 (М-4)</t>
  </si>
  <si>
    <t>Аджаи Виктор Осамудиамен</t>
  </si>
  <si>
    <t>Innovative software systems. Design, Development &amp; Applications / Инновационные программные системы. Проектирование, разработка и применение</t>
  </si>
  <si>
    <t>+7(908)137-69-20</t>
  </si>
  <si>
    <t>blackispeg@yandex.ru</t>
  </si>
  <si>
    <t>Адзиев Хизри Гамидович</t>
  </si>
  <si>
    <t>Махачкала г</t>
  </si>
  <si>
    <t>+7(929)243-87-41</t>
  </si>
  <si>
    <t>vaas14@bk.ru</t>
  </si>
  <si>
    <t>Адигамов Данила Аркадьевич</t>
  </si>
  <si>
    <t>4408ст</t>
  </si>
  <si>
    <t>Аспирант</t>
  </si>
  <si>
    <t>2.8.8</t>
  </si>
  <si>
    <t>Геотехнология, горные машины</t>
  </si>
  <si>
    <t>+7(985)352-95-92</t>
  </si>
  <si>
    <t>danil.adigamov@yandex.ru</t>
  </si>
  <si>
    <t>Адонин Артем Сергеевич</t>
  </si>
  <si>
    <t>+7(962)362-83-03</t>
  </si>
  <si>
    <t>adonin.artem@gmail.com</t>
  </si>
  <si>
    <t>Адра Рим</t>
  </si>
  <si>
    <t>Сирийская Арабская Республика</t>
  </si>
  <si>
    <t>Тортус</t>
  </si>
  <si>
    <t>Инжиниринг горных и траспортных машин</t>
  </si>
  <si>
    <t>+7(980)193-55-30</t>
  </si>
  <si>
    <t>m2213550@edu.misis.ru</t>
  </si>
  <si>
    <t>Металлург-1</t>
  </si>
  <si>
    <t>Азизов Санжарбек Мухаммадович</t>
  </si>
  <si>
    <t>Навоийская область</t>
  </si>
  <si>
    <t>Кармана</t>
  </si>
  <si>
    <t>+998905008506; +7(929)989-71-63</t>
  </si>
  <si>
    <t>azizovlab@gmail.com</t>
  </si>
  <si>
    <t>Азимов Камар Илхомидинович</t>
  </si>
  <si>
    <t>Хатлонская Область</t>
  </si>
  <si>
    <t>Яван</t>
  </si>
  <si>
    <t>Управление природоохранными инновациями</t>
  </si>
  <si>
    <t>+992915153732; +7(265)425-36-55</t>
  </si>
  <si>
    <t>kamar.azimov@inbox.ru</t>
  </si>
  <si>
    <t>просьба студента</t>
  </si>
  <si>
    <t>Аитова Карина Ринатовна</t>
  </si>
  <si>
    <t>Оренбургская обл</t>
  </si>
  <si>
    <t>Бугуруслан г</t>
  </si>
  <si>
    <t>+7(922)557-79-70</t>
  </si>
  <si>
    <t>karinaaitova49@gmail.com</t>
  </si>
  <si>
    <t>Айзатулина Алина Дамировна</t>
  </si>
  <si>
    <t>ЭУПП</t>
  </si>
  <si>
    <t>38.03.02</t>
  </si>
  <si>
    <t>Менеджмент</t>
  </si>
  <si>
    <t>89160757668; +7(985)622-08-62</t>
  </si>
  <si>
    <t>aizatulina.alina@yandex.ru</t>
  </si>
  <si>
    <t>Аймалетдинова Алина Мениповна</t>
  </si>
  <si>
    <t>4346ст</t>
  </si>
  <si>
    <t>+7(926)688-05-60; 79269879730</t>
  </si>
  <si>
    <t>aymaletdinova04@mail.ru</t>
  </si>
  <si>
    <t>Айрапетян Армен Сергеевич</t>
  </si>
  <si>
    <t>Ставропольский край</t>
  </si>
  <si>
    <t>Пятигорск г</t>
  </si>
  <si>
    <t>+7(905)498-11-94</t>
  </si>
  <si>
    <t>nonstop-2006@mail.ru</t>
  </si>
  <si>
    <t>Айтмухамедова Эльнара Зауровна</t>
  </si>
  <si>
    <t>Астраханская обл</t>
  </si>
  <si>
    <t>Астрахань г</t>
  </si>
  <si>
    <t>+79371323323; +7(996)305-98-50</t>
  </si>
  <si>
    <t>elnara0006@mail.ru</t>
  </si>
  <si>
    <t>Айтукаев Имам Висланович</t>
  </si>
  <si>
    <t>Хасавюрт г</t>
  </si>
  <si>
    <t>89285470022; +7(928)572-97-97</t>
  </si>
  <si>
    <t>m1908652@edu.misis.ru</t>
  </si>
  <si>
    <t>Металлург 2 (М-2)</t>
  </si>
  <si>
    <t>М-2</t>
  </si>
  <si>
    <t>ул. Профсоюзная, д.83, корп. 2</t>
  </si>
  <si>
    <t>Акбаров Жамшидбек Шерзод угли</t>
  </si>
  <si>
    <t>Наманган</t>
  </si>
  <si>
    <t>+7(950)041-45-00</t>
  </si>
  <si>
    <t>jamshidbek.akbarov.05@mail.ru</t>
  </si>
  <si>
    <t>Акинтоби Тосин Эммануэль</t>
  </si>
  <si>
    <t>22.04.01</t>
  </si>
  <si>
    <t>Материаловедение и технологии материалов</t>
  </si>
  <si>
    <t>Science and Materials of Solar Energy/Солнечная энергетика. Наука и материалы</t>
  </si>
  <si>
    <t>+7(985)845-31-17</t>
  </si>
  <si>
    <t>tosingingerman@gmail.com</t>
  </si>
  <si>
    <t>Горняк 2 (Г-2)</t>
  </si>
  <si>
    <t>остается на своем месте</t>
  </si>
  <si>
    <t>Акишева Анна Дмитриевна</t>
  </si>
  <si>
    <t>22.03.01</t>
  </si>
  <si>
    <t>Троицк г</t>
  </si>
  <si>
    <t>Материаловедение и технологии материалов (4-6 лет)</t>
  </si>
  <si>
    <t>+7(968)921-86-29</t>
  </si>
  <si>
    <t>anyalovetv@gmail.com</t>
  </si>
  <si>
    <t>Аккуратнов Елисей Андреевич</t>
  </si>
  <si>
    <t>Тульская обл</t>
  </si>
  <si>
    <t>Киреевск г</t>
  </si>
  <si>
    <t>+7(953)443-47-91</t>
  </si>
  <si>
    <t>akkuratnov.e@mail.ru</t>
  </si>
  <si>
    <t>Акманов Андрей Рустемович</t>
  </si>
  <si>
    <t>Магнитогорск г</t>
  </si>
  <si>
    <t>+79080451082; +7(908)044-97-82</t>
  </si>
  <si>
    <t>akmanov200115@gmail.com</t>
  </si>
  <si>
    <t>Акопян Эдмонд Каренович</t>
  </si>
  <si>
    <t>Брянская обл</t>
  </si>
  <si>
    <t>Бочарки с</t>
  </si>
  <si>
    <t>+7(901)504-68-22</t>
  </si>
  <si>
    <t>m1907268@edu.misis.ru</t>
  </si>
  <si>
    <t>Акрамов Бекзод Акмал угли</t>
  </si>
  <si>
    <t>15.03.02</t>
  </si>
  <si>
    <t>Зафар</t>
  </si>
  <si>
    <t>Технологические машины и оборудование (4-6 лет)</t>
  </si>
  <si>
    <t>+79998020408; +7(999)802-04-08</t>
  </si>
  <si>
    <t>anvarzhonmakhmudov@gmail.com</t>
  </si>
  <si>
    <t>Аксёнов Алексей Николаевич</t>
  </si>
  <si>
    <t>22.03.02</t>
  </si>
  <si>
    <t>Металлургия (4-6 лет)</t>
  </si>
  <si>
    <t>+7(985)872-99-22</t>
  </si>
  <si>
    <t>alexakstudy@gmail.com</t>
  </si>
  <si>
    <t>Аксенова Мария Викторовна</t>
  </si>
  <si>
    <t>27.04.02</t>
  </si>
  <si>
    <t>Управление качеством</t>
  </si>
  <si>
    <t>Менеджмент качества организации как системы</t>
  </si>
  <si>
    <t>+7(901)509-30-68; +79015093068</t>
  </si>
  <si>
    <t>aksenovamaria26@mail.ru</t>
  </si>
  <si>
    <t>Металлург 3 (М-3)</t>
  </si>
  <si>
    <t>Аксенова Полина Максимовна</t>
  </si>
  <si>
    <t>Долгопрудный г</t>
  </si>
  <si>
    <t>+7(916)394-62-57</t>
  </si>
  <si>
    <t>polina15.08@mail.ru</t>
  </si>
  <si>
    <t>Аксиньин Алексей Павлович</t>
  </si>
  <si>
    <t>+7(917)566-16-19</t>
  </si>
  <si>
    <t>aksininmotors@mail.ru</t>
  </si>
  <si>
    <t>Актамов Рамеш Уткир угли</t>
  </si>
  <si>
    <t>Технология минерального сырья</t>
  </si>
  <si>
    <t>99 638 99 01; +78932253500; +7(998)932-25-35</t>
  </si>
  <si>
    <t>ramesh.aktamov@mail.ru</t>
  </si>
  <si>
    <t>Акунья Перес Адриан</t>
  </si>
  <si>
    <t>4363ст</t>
  </si>
  <si>
    <t>2.2.3</t>
  </si>
  <si>
    <t>Технология и оборудование для производства материалов и приборов электронной техники</t>
  </si>
  <si>
    <t>Санта-Клара</t>
  </si>
  <si>
    <t>+7(991)978-24-02; +79919782402</t>
  </si>
  <si>
    <t>adrian.acuna1992@gmail.com</t>
  </si>
  <si>
    <t>ДК</t>
  </si>
  <si>
    <t>2-ой Донской проезд, д. 9</t>
  </si>
  <si>
    <t>Ал-Хаидари Хазим Хамид Абду</t>
  </si>
  <si>
    <t>4444ст</t>
  </si>
  <si>
    <t>Йемен</t>
  </si>
  <si>
    <t>Сана</t>
  </si>
  <si>
    <t>Data Science / Анализ данных</t>
  </si>
  <si>
    <t>+7(982)658-33-48</t>
  </si>
  <si>
    <t>hazimhamid5@gmail.com</t>
  </si>
  <si>
    <t>Аладави Раван</t>
  </si>
  <si>
    <t>03.04.02</t>
  </si>
  <si>
    <t>Физика</t>
  </si>
  <si>
    <t>Хомс</t>
  </si>
  <si>
    <t>Quantum Physics for Advanced Materials Engineering/ Квантовая физика для современной инженерии материалов</t>
  </si>
  <si>
    <t>+7(926)600-09-81</t>
  </si>
  <si>
    <t>rawanaladawi1999@gmail.com</t>
  </si>
  <si>
    <t>Албакова Алиса Амировна</t>
  </si>
  <si>
    <t>38.03.01</t>
  </si>
  <si>
    <t>Экономика</t>
  </si>
  <si>
    <t>+7(926)014-76-93</t>
  </si>
  <si>
    <t>alisaaaa214@list.ru</t>
  </si>
  <si>
    <t>Алборов Алан Ахсарович</t>
  </si>
  <si>
    <t>Забайкальский край</t>
  </si>
  <si>
    <t>Чита г</t>
  </si>
  <si>
    <t>+7(924)275-67-31</t>
  </si>
  <si>
    <t>alan.15.alborov.15.alan@mail.ru</t>
  </si>
  <si>
    <t>Алдабаев Артур Александрович</t>
  </si>
  <si>
    <t>Казахстан</t>
  </si>
  <si>
    <t>Сатпаев г.</t>
  </si>
  <si>
    <t>+7(747)261-28-16</t>
  </si>
  <si>
    <t>avgustr92@gmial.com</t>
  </si>
  <si>
    <t>Алейникова Варвара Витальевна</t>
  </si>
  <si>
    <t>Дубна г</t>
  </si>
  <si>
    <t>+7(985)462-67-00</t>
  </si>
  <si>
    <t>varvaraaleinikova@mail.ru</t>
  </si>
  <si>
    <t>Александров Илья Алексеевич</t>
  </si>
  <si>
    <t>Иркутская обл</t>
  </si>
  <si>
    <t>Молодежный п</t>
  </si>
  <si>
    <t>+79832408293; +7(914)012-24-13</t>
  </si>
  <si>
    <t>prismokyn446@gmail.com</t>
  </si>
  <si>
    <t>Александрова Ксения Дмитриевна</t>
  </si>
  <si>
    <t>Псковская обл</t>
  </si>
  <si>
    <t>Великие Луки г</t>
  </si>
  <si>
    <t>+79113882559; +7(911)373-19-22</t>
  </si>
  <si>
    <t>chaynyygrib@yandex.ru</t>
  </si>
  <si>
    <t>Александровский Эдуард Константинович</t>
  </si>
  <si>
    <t>2.6.1</t>
  </si>
  <si>
    <t>Металловедение и термическая обработка металлов и сплавов</t>
  </si>
  <si>
    <t>Самарская обл</t>
  </si>
  <si>
    <t>Висла п</t>
  </si>
  <si>
    <t>-; +7(906)251-10-92</t>
  </si>
  <si>
    <t>aleksandrovskij.eduard63@gmail.com</t>
  </si>
  <si>
    <t>Алексанян Георгий</t>
  </si>
  <si>
    <t>Туркмения</t>
  </si>
  <si>
    <t>Искусственный интеллект и машинное обучение</t>
  </si>
  <si>
    <t>+7(985)722-60-02</t>
  </si>
  <si>
    <t>chelseajorik4654go@gmail.com</t>
  </si>
  <si>
    <t>Алексеев Александр Александрович</t>
  </si>
  <si>
    <t>Деформационная обработка металлов и сплавов</t>
  </si>
  <si>
    <t>+7(926)586-73-75</t>
  </si>
  <si>
    <t>sansani4@yandex.ru</t>
  </si>
  <si>
    <t>Алексеев Владимир Игоревич</t>
  </si>
  <si>
    <t>Воронежская обл</t>
  </si>
  <si>
    <t>Воронеж г</t>
  </si>
  <si>
    <t>Цифровые двойники в технических системах</t>
  </si>
  <si>
    <t>+7(908)788-22-84</t>
  </si>
  <si>
    <t>alekseev19735@gmail.com</t>
  </si>
  <si>
    <t>Алексеев Георгий Федорович</t>
  </si>
  <si>
    <t>+7(916)864-72-46</t>
  </si>
  <si>
    <t>ALGeoALGeo@outlook.com</t>
  </si>
  <si>
    <t>Алексеева Злата Сергеевна</t>
  </si>
  <si>
    <t>03.03.02</t>
  </si>
  <si>
    <t>+7(910)454-42-52; +7(910)472-26-74</t>
  </si>
  <si>
    <t>zlataaleks@yandex.ru</t>
  </si>
  <si>
    <t>Алехин Андрей Александрович</t>
  </si>
  <si>
    <t>Брусянский п</t>
  </si>
  <si>
    <t>Граждане, которые подверглись воздействию радиации вследствие катастрофы на Чернобыльской АЭС</t>
  </si>
  <si>
    <t>+79509107293; +7(950)915-13-34</t>
  </si>
  <si>
    <t>zeis90001@gmail.com</t>
  </si>
  <si>
    <t>Алёхина Дарья Сергеевна</t>
  </si>
  <si>
    <t>Мытищи г</t>
  </si>
  <si>
    <t>89208145559; +7(920)815-15-60</t>
  </si>
  <si>
    <t>alekhinadash@mail.ru</t>
  </si>
  <si>
    <t>Али Альтохами Камаладин Эльтохани</t>
  </si>
  <si>
    <t>Судан</t>
  </si>
  <si>
    <t>Хартум</t>
  </si>
  <si>
    <t>+7(996)718-56-25</t>
  </si>
  <si>
    <t>eltohamit@gmail.com</t>
  </si>
  <si>
    <t>Алиева Нелли Вахидовна</t>
  </si>
  <si>
    <t>09.04.02</t>
  </si>
  <si>
    <t>Информационные системы и технологии</t>
  </si>
  <si>
    <t>Тверская обл</t>
  </si>
  <si>
    <t>Тверь г</t>
  </si>
  <si>
    <t>Внедрение сложных информационных систем на базе интеграционных ИТ-решений</t>
  </si>
  <si>
    <t>+79201550450; +7(930)186-52-12</t>
  </si>
  <si>
    <t>nellyalieva1909@mail.ru</t>
  </si>
  <si>
    <t>Алимардонзода Абдулло</t>
  </si>
  <si>
    <t>+7(000)000-00-00; +992907753410</t>
  </si>
  <si>
    <t>tl-alia.com</t>
  </si>
  <si>
    <t>Алимов Владислав Алексеевич</t>
  </si>
  <si>
    <t>Коксовый п</t>
  </si>
  <si>
    <t>+7(915)170-55-55; +7(919)890-60-51</t>
  </si>
  <si>
    <t>vlad03alimov@gmail.com</t>
  </si>
  <si>
    <t>Аллаярова Регина Вилуровна</t>
  </si>
  <si>
    <t>+7(999)969-14-05; +79999691405</t>
  </si>
  <si>
    <t>allayarova.r1068@gmail.com</t>
  </si>
  <si>
    <t>Алмазбеков Максатбек</t>
  </si>
  <si>
    <t>Киргизия</t>
  </si>
  <si>
    <t>Чуйская область</t>
  </si>
  <si>
    <t>Инженерный менеджмент оборудования и технологий</t>
  </si>
  <si>
    <t>+7(985)729-52-10</t>
  </si>
  <si>
    <t>almazbekovmaks2208@gmail.com</t>
  </si>
  <si>
    <t>Алрифаи Яроб</t>
  </si>
  <si>
    <t>Хомс г.</t>
  </si>
  <si>
    <t>Промышленный интернет вещей и прогнозная аналитика</t>
  </si>
  <si>
    <t>+7(989)115-65-93</t>
  </si>
  <si>
    <t>m2213278@edu.misis.ru</t>
  </si>
  <si>
    <t>Алсуфьева Мария Николаевна</t>
  </si>
  <si>
    <t>+7(965)151-07-83</t>
  </si>
  <si>
    <t>masharu163@gmail.com</t>
  </si>
  <si>
    <t>Алтунян Алиса Вартановна</t>
  </si>
  <si>
    <t>+7(929)537-17-59</t>
  </si>
  <si>
    <t>alison.sr7@gmail.com</t>
  </si>
  <si>
    <t>Оинцово</t>
  </si>
  <si>
    <t>Алферов Арсений Олегович</t>
  </si>
  <si>
    <t>+7(916)405-38-41</t>
  </si>
  <si>
    <t>alferovarseny@yandex.ru</t>
  </si>
  <si>
    <t>Алфёрова Мария Александровна</t>
  </si>
  <si>
    <t>Курская обл</t>
  </si>
  <si>
    <t>Камыши п</t>
  </si>
  <si>
    <t>+7(951)074-21-89</t>
  </si>
  <si>
    <t>alekseevamaria11100@gmail.com</t>
  </si>
  <si>
    <t>Алхасан Али</t>
  </si>
  <si>
    <t>Advanced Materials Science / Современное материаловедение</t>
  </si>
  <si>
    <t>+7(925)028-76-21; +79250287621</t>
  </si>
  <si>
    <t>m2213542@edu.misis.ru</t>
  </si>
  <si>
    <t>Металлург-3</t>
  </si>
  <si>
    <t>Аль-Хаити Абдулвасеа Нассер Хамид Мокбел</t>
  </si>
  <si>
    <t>38.04.05</t>
  </si>
  <si>
    <t>Амран</t>
  </si>
  <si>
    <t>Информационная бизнес-аналитика</t>
  </si>
  <si>
    <t>+7(996)591-39-81</t>
  </si>
  <si>
    <t>abdulwasea627@gmail.com</t>
  </si>
  <si>
    <t>Альков Роман Валерьевич</t>
  </si>
  <si>
    <t>Карелия Респ</t>
  </si>
  <si>
    <t>Петрозаводск г</t>
  </si>
  <si>
    <t>+7(921)012-57-13</t>
  </si>
  <si>
    <t>romaalkov@yandex.ru</t>
  </si>
  <si>
    <t>Алябьев Дмитрий Сергеевич</t>
  </si>
  <si>
    <t>89165457927; +7(910)423-22-28</t>
  </si>
  <si>
    <t>dim.aliabiev@yandex.ru</t>
  </si>
  <si>
    <t>Амелина Анна Валерьевна</t>
  </si>
  <si>
    <t>Никульское д</t>
  </si>
  <si>
    <t>+7(980)735-05-55</t>
  </si>
  <si>
    <t>ANNA.AMELINA.05@INBOX.RU</t>
  </si>
  <si>
    <t>Амелина Екатерина Викторовна</t>
  </si>
  <si>
    <t>Курчатов г</t>
  </si>
  <si>
    <t>Инжиниринг инноваций</t>
  </si>
  <si>
    <t>(961)190-08-52; +79611900852</t>
  </si>
  <si>
    <t>amelinae01@icloud.com</t>
  </si>
  <si>
    <t>Амелина Мария Александровна</t>
  </si>
  <si>
    <t>+7(926)600-07-24</t>
  </si>
  <si>
    <t>mariamelina.05@mail.ru</t>
  </si>
  <si>
    <t>Амеличкина Софья Алексеевна</t>
  </si>
  <si>
    <t>Ханты-Мансийский Автономный округ - Югра АО</t>
  </si>
  <si>
    <t>Ханты-Мансийск г</t>
  </si>
  <si>
    <t>+7(912)080-58-28</t>
  </si>
  <si>
    <t>AMELISOFY@ICLOUD.COM</t>
  </si>
  <si>
    <t>Амосова Елена Антоновна</t>
  </si>
  <si>
    <t>+7(925)717-04-66</t>
  </si>
  <si>
    <t>lena.lis08@rambler.ru</t>
  </si>
  <si>
    <t>Анаджиб Араби Адум</t>
  </si>
  <si>
    <t>Чад</t>
  </si>
  <si>
    <t>+7(977)186-76-52</t>
  </si>
  <si>
    <t>arabianadjib@gmail.com</t>
  </si>
  <si>
    <t>Ананьева Светлана Витальевна</t>
  </si>
  <si>
    <t>4455ст</t>
  </si>
  <si>
    <t>+7(961)056-46-37</t>
  </si>
  <si>
    <t>AN-LANA2016@MAIL.RU</t>
  </si>
  <si>
    <t>Ангархаев Максим Доржиевич</t>
  </si>
  <si>
    <t>Бурятия Респ</t>
  </si>
  <si>
    <t>Нижняя Иволга с</t>
  </si>
  <si>
    <t>+7(902)168-18-20</t>
  </si>
  <si>
    <t>lillardd05@mail.ru</t>
  </si>
  <si>
    <t>Андреасян Гагик Ашотович</t>
  </si>
  <si>
    <t>Смоленская обл</t>
  </si>
  <si>
    <t>Гагарин г</t>
  </si>
  <si>
    <t>Биомедицинские наноматериалы</t>
  </si>
  <si>
    <t>+7(920)334-03-17</t>
  </si>
  <si>
    <t>futureinthepasttt@gmail.com</t>
  </si>
  <si>
    <t>Андреев Александр Геннадьевич</t>
  </si>
  <si>
    <t>Новгородская обл</t>
  </si>
  <si>
    <t>Чудово г</t>
  </si>
  <si>
    <t>Обработка естественного языка</t>
  </si>
  <si>
    <t>(929)640-81-97</t>
  </si>
  <si>
    <t>andreev.sanok@yandex.ru</t>
  </si>
  <si>
    <t>Андреев Артем Андреевич</t>
  </si>
  <si>
    <t>Ярославская обл</t>
  </si>
  <si>
    <t>Рыбинск г</t>
  </si>
  <si>
    <t>+7(910)664-13-20</t>
  </si>
  <si>
    <t>andreev.3a@mail.ru</t>
  </si>
  <si>
    <t>Андреев Иван Николаевич</t>
  </si>
  <si>
    <t>Саха /Якутия/ Респ</t>
  </si>
  <si>
    <t>Якутск г</t>
  </si>
  <si>
    <t>+7(944)428-20-54</t>
  </si>
  <si>
    <t>VANYAANDREEV500@GMAIL.COM</t>
  </si>
  <si>
    <t>Андреев Илья Вадимович</t>
  </si>
  <si>
    <t>28.03.03</t>
  </si>
  <si>
    <t>Наноматериалы</t>
  </si>
  <si>
    <t>Чувашская Республика - Чувашия</t>
  </si>
  <si>
    <t>Чебоксары г</t>
  </si>
  <si>
    <t>+7(960)300-95-75</t>
  </si>
  <si>
    <t>ilya.andreev1307@gmail.com</t>
  </si>
  <si>
    <t>Андреева Александра Николаевна</t>
  </si>
  <si>
    <t>+7(916)252-37-12</t>
  </si>
  <si>
    <t>an_andreeva2403@mail.ru</t>
  </si>
  <si>
    <t>Андреева Анна Алексеевна</t>
  </si>
  <si>
    <t>Конаково г</t>
  </si>
  <si>
    <t>+7(980)638-37-57</t>
  </si>
  <si>
    <t>anna.andreeva30012005@gmail.com</t>
  </si>
  <si>
    <t>Андреева Екатерина Дмитриевна</t>
  </si>
  <si>
    <t>Кугеси п</t>
  </si>
  <si>
    <t>+7(937)397-52-99</t>
  </si>
  <si>
    <t>Katia112005@mail.ru</t>
  </si>
  <si>
    <t>Андреева Ия Ильинична</t>
  </si>
  <si>
    <t>+7(977)864-01-44</t>
  </si>
  <si>
    <t>miamix.x@yandex.ru</t>
  </si>
  <si>
    <t>Андреенков Даниил Александрович</t>
  </si>
  <si>
    <t>Смоленск г</t>
  </si>
  <si>
    <t>+7(919)0436112; +7(919)043-60-91</t>
  </si>
  <si>
    <t>lord.protector1736@gmail.com</t>
  </si>
  <si>
    <t>Андрианов Владимир Андреевич</t>
  </si>
  <si>
    <t>+7(977)278-20-64</t>
  </si>
  <si>
    <t>vladim.andrianov2005@yandex.ru</t>
  </si>
  <si>
    <t>Андриясов Дмитрий Владимирович</t>
  </si>
  <si>
    <t>Ленинск-Кузнецкий г</t>
  </si>
  <si>
    <t>+7(983)219-06-15</t>
  </si>
  <si>
    <t>andriyasov.dima@mail.ru</t>
  </si>
  <si>
    <t>Андросов Ростислав Викторович</t>
  </si>
  <si>
    <t>Зверево г</t>
  </si>
  <si>
    <t>+7(950)857-08-65</t>
  </si>
  <si>
    <t>rost.knazi@gmail.com</t>
  </si>
  <si>
    <t>Андрюнин Андрей Вячеславович</t>
  </si>
  <si>
    <t>+7(967)1123830</t>
  </si>
  <si>
    <t>MIROSHKAUV@GMAIL.COM</t>
  </si>
  <si>
    <t>Андрюшкина Анастасия Андреевна</t>
  </si>
  <si>
    <t>Губкин г</t>
  </si>
  <si>
    <t>+79511333528; +7(991)735-35-24</t>
  </si>
  <si>
    <t>andryushkina95@bk.ru</t>
  </si>
  <si>
    <t>Анианву Соломон Нонсо</t>
  </si>
  <si>
    <t>4418ст</t>
  </si>
  <si>
    <t>Лафиа</t>
  </si>
  <si>
    <t>+7(000)000-00-00</t>
  </si>
  <si>
    <t>anyanwusolomon.chm@gmai.com</t>
  </si>
  <si>
    <t>Анисимов Александр Александрович</t>
  </si>
  <si>
    <t>Ростов-на-Дону г</t>
  </si>
  <si>
    <t>+7(989)633-41-28</t>
  </si>
  <si>
    <t>alexanisimov.9483@gmail.com</t>
  </si>
  <si>
    <t>Анисимов Юрий Артемович</t>
  </si>
  <si>
    <t>2.8.3</t>
  </si>
  <si>
    <t>Горнопромышленная и нефтегазопромысловая геология, геофизика, маркшейдерское дело и геометрия недр</t>
  </si>
  <si>
    <t>+7(915)094-18-70</t>
  </si>
  <si>
    <t>anisimov.zedd@yandex.ru</t>
  </si>
  <si>
    <t>Анищенко Валерий Валерьевич</t>
  </si>
  <si>
    <t>Кашин г</t>
  </si>
  <si>
    <t>Физика и технологии функциональных материалов</t>
  </si>
  <si>
    <t>+7(904)009-36-34</t>
  </si>
  <si>
    <t>kvilyou@gmail.com</t>
  </si>
  <si>
    <t>Анохина Анна Дмитриевна</t>
  </si>
  <si>
    <t>+7(977)736-47-00</t>
  </si>
  <si>
    <t>anoa33602@gmail.com</t>
  </si>
  <si>
    <t>Антипов Андрей Валерьевич</t>
  </si>
  <si>
    <t>01.03.04</t>
  </si>
  <si>
    <t>Прикладная математика</t>
  </si>
  <si>
    <t>+7(985)191-40-91</t>
  </si>
  <si>
    <t>ANTIPOVANDREYWERBN@GMAIL.COM</t>
  </si>
  <si>
    <t>Антипов Иван Ильич</t>
  </si>
  <si>
    <t>+79150413956; +7(901)589-94-14</t>
  </si>
  <si>
    <t>somaksa@mail.ru</t>
  </si>
  <si>
    <t>Антипов Иван Николаевич</t>
  </si>
  <si>
    <t>Гуково г</t>
  </si>
  <si>
    <t>Технологические машины градостроительного комплекса</t>
  </si>
  <si>
    <t>+7(915)409-73-53</t>
  </si>
  <si>
    <t>bo7patron@gmail.com</t>
  </si>
  <si>
    <t>Антипова Алёна Ильинична</t>
  </si>
  <si>
    <t>Жуковский г</t>
  </si>
  <si>
    <t>+7(910)461-32-20</t>
  </si>
  <si>
    <t>aantipova05@gmail.com</t>
  </si>
  <si>
    <t>Антонов Валерий Георгиевич</t>
  </si>
  <si>
    <t>Мухоршибирь с</t>
  </si>
  <si>
    <t>+7(983)437-38-37</t>
  </si>
  <si>
    <t>aleraantonov27.8.22@gmail.com</t>
  </si>
  <si>
    <t>Антонов Владимир Андреевич</t>
  </si>
  <si>
    <t>+7(968)995-03-10</t>
  </si>
  <si>
    <t>vladimirantonov1985@mail.ru</t>
  </si>
  <si>
    <t>Антонов Владимир Сергеевич</t>
  </si>
  <si>
    <t>2.6.2</t>
  </si>
  <si>
    <t>Металлургия черных, цветных и редких металлов</t>
  </si>
  <si>
    <t>(985)231-58-18; +79852315818</t>
  </si>
  <si>
    <t>glokvov@gmail.com</t>
  </si>
  <si>
    <t>Антонов Илья Андреевич</t>
  </si>
  <si>
    <t>+7(926)216-30-40</t>
  </si>
  <si>
    <t>antonov.ia240701@yandex.ru</t>
  </si>
  <si>
    <t>Антонов Илья Константинович</t>
  </si>
  <si>
    <t>+7(925)466-71-02</t>
  </si>
  <si>
    <t>ia050671@gmail.com</t>
  </si>
  <si>
    <t>Антонова Анастасия Александровна</t>
  </si>
  <si>
    <t>13.04.02</t>
  </si>
  <si>
    <t>Канаш г</t>
  </si>
  <si>
    <t>Цифровизация энергетических комплексов предприятий</t>
  </si>
  <si>
    <t>+7(919)658-79-19</t>
  </si>
  <si>
    <t>nastaantonova743@gmail.com</t>
  </si>
  <si>
    <t>Горняк 1 (Г-1)</t>
  </si>
  <si>
    <t>Антонова Анна Александровна</t>
  </si>
  <si>
    <t>+7(916)362-88-44</t>
  </si>
  <si>
    <t>roza_cat2099@mail.ru</t>
  </si>
  <si>
    <t>Антонова Виталина Викторовна</t>
  </si>
  <si>
    <t>Архангельская обл</t>
  </si>
  <si>
    <t>Луковецкий п</t>
  </si>
  <si>
    <t>Современные материалы и методы получения высокоточных отливок (ПИШ)</t>
  </si>
  <si>
    <t>+7(902)196-50-57</t>
  </si>
  <si>
    <t>m1903858@edu.misis.ru</t>
  </si>
  <si>
    <t>Металлург 1 (М-1)</t>
  </si>
  <si>
    <t>Анточ Евгений Павлович</t>
  </si>
  <si>
    <t>Удмуртская Респ</t>
  </si>
  <si>
    <t>Глазов г</t>
  </si>
  <si>
    <t>Цифровое управление технологическими процессами металлургии и машиностроения</t>
  </si>
  <si>
    <t>+7(982)8150040; +7(982)822-46-53</t>
  </si>
  <si>
    <t>antoch_evgeniy@mail.ru</t>
  </si>
  <si>
    <t>Антощенков Марк Антонович</t>
  </si>
  <si>
    <t>89778779170; +7(977)280-91-72</t>
  </si>
  <si>
    <t>markant21@yandex.ru</t>
  </si>
  <si>
    <t>Анчикова Анастасия Витальевна</t>
  </si>
  <si>
    <t>(922)821-12-81; +79228211281</t>
  </si>
  <si>
    <t>anchikova.anastasia@yandex.ru</t>
  </si>
  <si>
    <t>Анчуркин Дмитрий Александрович</t>
  </si>
  <si>
    <t>11.04.04</t>
  </si>
  <si>
    <t>Котельники г</t>
  </si>
  <si>
    <t>Полупроводниковые преобразователи энергии</t>
  </si>
  <si>
    <t>89153713757; +7(977)656-62-72</t>
  </si>
  <si>
    <t>pro100dimonchik21@gmail.com</t>
  </si>
  <si>
    <t>Апатченко Александр Алексеевич</t>
  </si>
  <si>
    <t>+7(920)369-45-17</t>
  </si>
  <si>
    <t>s.apatchenko@yandex.ru</t>
  </si>
  <si>
    <t>Апостолова Ирина Ивановна</t>
  </si>
  <si>
    <t>+7(916)743-33-57</t>
  </si>
  <si>
    <t>iraapostolova35@mail.ru</t>
  </si>
  <si>
    <t>Аракелян Армен Ваганович</t>
  </si>
  <si>
    <t>Московский г</t>
  </si>
  <si>
    <t>+7(977)263-25-56</t>
  </si>
  <si>
    <t>armen.arakelyan.06@mail.ru</t>
  </si>
  <si>
    <t>Ардаширова Амина Рифовна</t>
  </si>
  <si>
    <t>Башкортостан Респ</t>
  </si>
  <si>
    <t>Уфа г</t>
  </si>
  <si>
    <t>+7(917)368-06-67</t>
  </si>
  <si>
    <t>amina.ardashirova@bk.ru</t>
  </si>
  <si>
    <t>Арзамаскина Юлиана Анатольевна</t>
  </si>
  <si>
    <t>Ульяновская обл</t>
  </si>
  <si>
    <t>Ульяновск г</t>
  </si>
  <si>
    <t>+7(962)630-82-13</t>
  </si>
  <si>
    <t>arzamaskina.ja@gmail.com</t>
  </si>
  <si>
    <t>Арзуманян Кристина Тиграновна</t>
  </si>
  <si>
    <t>Молоково с</t>
  </si>
  <si>
    <t>9299499445; +7(925)612-39-49</t>
  </si>
  <si>
    <t>akristinar5@gmail.com</t>
  </si>
  <si>
    <t>Аритора Джозеф</t>
  </si>
  <si>
    <t>4417ст</t>
  </si>
  <si>
    <t>2.4.2</t>
  </si>
  <si>
    <t>Электротехнические комплексы и системы</t>
  </si>
  <si>
    <t>Зимбабве</t>
  </si>
  <si>
    <t>Хараре г.</t>
  </si>
  <si>
    <t>+7(977)281-06-51</t>
  </si>
  <si>
    <t>j.jazry@gmail.com</t>
  </si>
  <si>
    <t>необходимость остаться в корпусе в связи миграционным вопросом</t>
  </si>
  <si>
    <t>Армароли Ангелина Робертовна</t>
  </si>
  <si>
    <t>Севастополь г</t>
  </si>
  <si>
    <t>+7(978)864-99-06</t>
  </si>
  <si>
    <t>armaroli.angi@gmail.com</t>
  </si>
  <si>
    <t>Ароян Марианна Кареновна</t>
  </si>
  <si>
    <t>+7(925)845-27-02</t>
  </si>
  <si>
    <t>ribka-m@bk.ru</t>
  </si>
  <si>
    <t>Арсеньев Иван Дмитриевич</t>
  </si>
  <si>
    <t>+7(985)190-79-97</t>
  </si>
  <si>
    <t>iarseniev@gmail.com</t>
  </si>
  <si>
    <t>Артамонов Антон Андреевич</t>
  </si>
  <si>
    <t>+7(999)773-50-72</t>
  </si>
  <si>
    <t>aanton080@gmail.com</t>
  </si>
  <si>
    <t>Артёмова Анастасия Николаевна</t>
  </si>
  <si>
    <t>Санкт-Петербург г</t>
  </si>
  <si>
    <t>+7(950)038-49-06</t>
  </si>
  <si>
    <t>artenasn@mail.ru</t>
  </si>
  <si>
    <t>Артюхин Иван Александрович</t>
  </si>
  <si>
    <t>Колпино г</t>
  </si>
  <si>
    <t>+7(952)211-20-30</t>
  </si>
  <si>
    <t>ivan.artyukhin@bk.ru</t>
  </si>
  <si>
    <t>Артюхов Владислав Игоревич</t>
  </si>
  <si>
    <t>Брянск г</t>
  </si>
  <si>
    <t>+7(930)730-11-10; +79307301110</t>
  </si>
  <si>
    <t>art-vladislav@mail.ru</t>
  </si>
  <si>
    <t>Артюшина Юлия Андреевна</t>
  </si>
  <si>
    <t>+7(963)717-09-82</t>
  </si>
  <si>
    <t>juliafox62222@gmail.com</t>
  </si>
  <si>
    <t>Артюшкин Дмитрий Андреевич</t>
  </si>
  <si>
    <t>+79190583890; +7(960)718-27-81</t>
  </si>
  <si>
    <t>throatcancer@yandex.ru</t>
  </si>
  <si>
    <t>Арустамян Милана Руслановна</t>
  </si>
  <si>
    <t>Темижбекский п</t>
  </si>
  <si>
    <t>+7(962)411-77-07</t>
  </si>
  <si>
    <t>arustamyan.milana@gmail.com</t>
  </si>
  <si>
    <t>Архипов Виктор Алексеевич</t>
  </si>
  <si>
    <t>Нижегородская обл</t>
  </si>
  <si>
    <t>Нижний Новгород г</t>
  </si>
  <si>
    <t>+7(930)270-49-19</t>
  </si>
  <si>
    <t>m1908109@edu.misis.ru</t>
  </si>
  <si>
    <t>Асадулина Альяна Анатольевна</t>
  </si>
  <si>
    <t>Кырен с</t>
  </si>
  <si>
    <t>+7(890)245-14-15</t>
  </si>
  <si>
    <t>a-asadulina@bk.ru</t>
  </si>
  <si>
    <t>Асафов Кирилл Сергеевич</t>
  </si>
  <si>
    <t>+79166080860; +7(916)619-12-90</t>
  </si>
  <si>
    <t>asafov.kirill@gmail.com</t>
  </si>
  <si>
    <t>Асафова Юлия Александровна</t>
  </si>
  <si>
    <t>+7(916)855-71-34</t>
  </si>
  <si>
    <t>iulli5@mail.ru</t>
  </si>
  <si>
    <t>Аскербеков Диас</t>
  </si>
  <si>
    <t>Жезказган</t>
  </si>
  <si>
    <t>+7(999)555-19-77</t>
  </si>
  <si>
    <t>dias_askerbekov2001@mail.ru</t>
  </si>
  <si>
    <t>Аскеров Гусейн Рза оглы</t>
  </si>
  <si>
    <t>Азербайджан</t>
  </si>
  <si>
    <t>+7(905)893-95-95</t>
  </si>
  <si>
    <t>askerov-00-01@mail.ru</t>
  </si>
  <si>
    <t>Асланян Дмитрий Вадимович</t>
  </si>
  <si>
    <t>Татарстан Респ</t>
  </si>
  <si>
    <t>Казань г</t>
  </si>
  <si>
    <t>+79196345760; +7(891)963-45-76</t>
  </si>
  <si>
    <t>dima.aslanyan@inbox.ru</t>
  </si>
  <si>
    <t>Ассанова Евгения Александровна</t>
  </si>
  <si>
    <t>Пермский край</t>
  </si>
  <si>
    <t>Пермь г</t>
  </si>
  <si>
    <t>+7(977)678-43-15</t>
  </si>
  <si>
    <t>evgeniaassanova@gmail.com</t>
  </si>
  <si>
    <t>Астапенко Илья Алексеевич</t>
  </si>
  <si>
    <t>Знамя Октября п</t>
  </si>
  <si>
    <t>+7(925)789-27-39</t>
  </si>
  <si>
    <t>algebratop@yahoo.com</t>
  </si>
  <si>
    <t>Астафурова Елена Сергеевна</t>
  </si>
  <si>
    <t>Балаково г</t>
  </si>
  <si>
    <t>+7(909)336-19-40</t>
  </si>
  <si>
    <t>helen.astafurova@mail.ru</t>
  </si>
  <si>
    <t>Астахов Алексей Геннадьевич</t>
  </si>
  <si>
    <t>+7(915)660-99-49</t>
  </si>
  <si>
    <t>alex.astaxoff2011@yandex.ru</t>
  </si>
  <si>
    <t>Асташкина Полина Игоревна</t>
  </si>
  <si>
    <t>+7(926)134-22-09; 89264694505</t>
  </si>
  <si>
    <t>polin2022@mail.ru</t>
  </si>
  <si>
    <t>Аталаева Патимат Нуриевна</t>
  </si>
  <si>
    <t>Вологодская обл</t>
  </si>
  <si>
    <t>Сокол г</t>
  </si>
  <si>
    <t>+7(911)537-69-25</t>
  </si>
  <si>
    <t>patimatatalaeva056@gmail.com</t>
  </si>
  <si>
    <t>Атви Мохамад</t>
  </si>
  <si>
    <t>BIM-технологии в проектировании и строительстве</t>
  </si>
  <si>
    <t>+7(903)674-37-83</t>
  </si>
  <si>
    <t>atwimohamad700@gmail.com</t>
  </si>
  <si>
    <t>Атоян Лусине Робертовна</t>
  </si>
  <si>
    <t>+7(958)804-43-40</t>
  </si>
  <si>
    <t>lus20atonya@gmail.com</t>
  </si>
  <si>
    <t>Аугайтис Евгений Александрович</t>
  </si>
  <si>
    <t>Красноярский край</t>
  </si>
  <si>
    <t>Норильск г</t>
  </si>
  <si>
    <t>+7(909)202-90-97</t>
  </si>
  <si>
    <t>truenylo@gmail.com</t>
  </si>
  <si>
    <t>Афанасьев Сергей Андреевич</t>
  </si>
  <si>
    <t>Калужская обл</t>
  </si>
  <si>
    <t>Балабаново г</t>
  </si>
  <si>
    <t>Технологическое искусство</t>
  </si>
  <si>
    <t>+7(909)698-04-00</t>
  </si>
  <si>
    <t>m1802897@edu.misis.ru</t>
  </si>
  <si>
    <t>Ахиярова Дарья Ильдаровна</t>
  </si>
  <si>
    <t>Николо-Березовка с</t>
  </si>
  <si>
    <t>+7(987)483-53-49</t>
  </si>
  <si>
    <t>dashok182001@gmail.com</t>
  </si>
  <si>
    <t>Ахмадеева Алина Ринатовна</t>
  </si>
  <si>
    <t>Лениногорск г</t>
  </si>
  <si>
    <t>+7(927)044-64-57</t>
  </si>
  <si>
    <t>ahmadeeva145@gmail.com</t>
  </si>
  <si>
    <t>Ахмадеева Галия Данисовна</t>
  </si>
  <si>
    <t>+7(917)471-79-46</t>
  </si>
  <si>
    <t>AHGADA7@GMAIL.COM</t>
  </si>
  <si>
    <t>Ахмадова Нозимахон Хабибуллахон кизи</t>
  </si>
  <si>
    <t>Ангрен</t>
  </si>
  <si>
    <t>(905)963-00-05; +7(995)163-70-05</t>
  </si>
  <si>
    <t>akhmadovanozimakhan0005@gmail.com</t>
  </si>
  <si>
    <t>Ахмадышина Амина Ринатовна</t>
  </si>
  <si>
    <t>Давлеканово г</t>
  </si>
  <si>
    <t>+7(962)524-93-33</t>
  </si>
  <si>
    <t>axamina2005@gmail.com</t>
  </si>
  <si>
    <t>Ахмед Мохамед Фатхия Мохамед</t>
  </si>
  <si>
    <t>Ксоти г.</t>
  </si>
  <si>
    <t>+7(977)594-65-33</t>
  </si>
  <si>
    <t>fathiamohammed1999@gmail.com</t>
  </si>
  <si>
    <t>Студенческая 33 корп 6 -Профилакторий</t>
  </si>
  <si>
    <t>Ахмед Эхдаааллах Усама Халифа Сайед</t>
  </si>
  <si>
    <t>5.2.3</t>
  </si>
  <si>
    <t>Региональная и отраслевая экономика</t>
  </si>
  <si>
    <t>+7(999)096-15-11; +79990961511</t>
  </si>
  <si>
    <t>edogirl62@gmail.com</t>
  </si>
  <si>
    <t>Дом Коммуна</t>
  </si>
  <si>
    <t>Ахмед Юссеф Мамдух Юссеф Абделкадер</t>
  </si>
  <si>
    <t>Александрия г.</t>
  </si>
  <si>
    <t>youssef.mamdouh.info@gmail.com</t>
  </si>
  <si>
    <t>Ахмедов Нодирбек Абдурашид Угли</t>
  </si>
  <si>
    <t>Ташкентский область</t>
  </si>
  <si>
    <t>94)2190927; +7(000)000-00-00</t>
  </si>
  <si>
    <t>nodirbekakhmedov9908@gmail.com</t>
  </si>
  <si>
    <t>Ахмедова Хадижат Ахмедовна</t>
  </si>
  <si>
    <t>+7(967)394-81-10</t>
  </si>
  <si>
    <t>had197774@gmail.com</t>
  </si>
  <si>
    <t>Ахмедьянова Наиля Ринатовна</t>
  </si>
  <si>
    <t>Ишимбай г</t>
  </si>
  <si>
    <t>+7(996)400-70-15</t>
  </si>
  <si>
    <t>lingun151@gmail.com</t>
  </si>
  <si>
    <t>Ахметов Аслан Серикович</t>
  </si>
  <si>
    <t>Акмолинская область</t>
  </si>
  <si>
    <t>Астана</t>
  </si>
  <si>
    <t>+77783644335; +7(985)065-69-25</t>
  </si>
  <si>
    <t>m1902024@edu.misis.ru</t>
  </si>
  <si>
    <t>Ахметов Данияр Сулейманович</t>
  </si>
  <si>
    <t>Ярославль г</t>
  </si>
  <si>
    <t>+7(962)200-19-41</t>
  </si>
  <si>
    <t>rerben21@gmail.com</t>
  </si>
  <si>
    <t>Ахметов Матвей Владимирович</t>
  </si>
  <si>
    <t>+7(926)732-13-12</t>
  </si>
  <si>
    <t>matveyakhmetovv@gmail.com</t>
  </si>
  <si>
    <t>Ахтямова Дарья Юрьевна</t>
  </si>
  <si>
    <t>Костомукша г</t>
  </si>
  <si>
    <t>+7(921)627-70-67</t>
  </si>
  <si>
    <t>dyu.akhtyamova@kostomuksha.ru</t>
  </si>
  <si>
    <t>Аюбов Исмоил Зиёвиддинович</t>
  </si>
  <si>
    <t>Производство и реновация технологических машин и оборудования</t>
  </si>
  <si>
    <t>+992881111878; +7(881)111-87-80</t>
  </si>
  <si>
    <t>iayubov@internet.ru</t>
  </si>
  <si>
    <t>Аюпов Артур Линарович</t>
  </si>
  <si>
    <t>Нефтеюганск г</t>
  </si>
  <si>
    <t>+7(912)9052451; +79129052451</t>
  </si>
  <si>
    <t>artur.ayupov05@gmail.com</t>
  </si>
  <si>
    <t>Бабаева Марика Владимировна</t>
  </si>
  <si>
    <t>+7(985)068-25-02</t>
  </si>
  <si>
    <t>marika.2005@inbox.ru</t>
  </si>
  <si>
    <t>Бабак Виктория Максимовна</t>
  </si>
  <si>
    <t>4345ст</t>
  </si>
  <si>
    <t>Дети лиц, принимавших участие в СВО за исключением погибших, получивших увечье или заболевание</t>
  </si>
  <si>
    <t>+7(977)998-99-50</t>
  </si>
  <si>
    <t>babak.viya@gmail.com</t>
  </si>
  <si>
    <t>Бабанов Андрей Максимович</t>
  </si>
  <si>
    <t>+7(965)143-01-51</t>
  </si>
  <si>
    <t>Andreuhelo@gmail.com</t>
  </si>
  <si>
    <t>Бабенко Анастасия Сергеевна</t>
  </si>
  <si>
    <t>Приморский край</t>
  </si>
  <si>
    <t>Владивосток г</t>
  </si>
  <si>
    <t>+7(994)004-18-56</t>
  </si>
  <si>
    <t>NASTYA_BABENKO2005@MAIL.RU</t>
  </si>
  <si>
    <t>Бабенко Екатерина Олеговна</t>
  </si>
  <si>
    <t>Высокотемпературные и сверхтвердые материалы</t>
  </si>
  <si>
    <t>+79110822270; +7(913)678-39-10</t>
  </si>
  <si>
    <t>babenkokatrin@yandex.ru</t>
  </si>
  <si>
    <t>Бабуридис Айк Гаспарович</t>
  </si>
  <si>
    <t>+79857049980; +7(915)385-73-58</t>
  </si>
  <si>
    <t>baburidis@gmail.com</t>
  </si>
  <si>
    <t>Бабушкина Софья Алексеевна</t>
  </si>
  <si>
    <t>Нижневартовск г</t>
  </si>
  <si>
    <t>+7(982)510-42-39</t>
  </si>
  <si>
    <t>bbsk_s_23@mail.ru</t>
  </si>
  <si>
    <t>вместе с Мустафиной А.Т. (просьба Евсюковой И.А.)</t>
  </si>
  <si>
    <t>Бабынина Елизавета Сергеевна</t>
  </si>
  <si>
    <t>Ближняя Игуменка с</t>
  </si>
  <si>
    <t>79803221443; +7(980)525-19-43</t>
  </si>
  <si>
    <t>elisaveta.babynina@yandex.ru</t>
  </si>
  <si>
    <t>Багданова Рената Айдаровна</t>
  </si>
  <si>
    <t>+7(927)302-30-09</t>
  </si>
  <si>
    <t>Bagdanova.renata@gmail.com</t>
  </si>
  <si>
    <t>Бадеев Ростислав Денисович</t>
  </si>
  <si>
    <t>+7(993)895-58-31</t>
  </si>
  <si>
    <t>rostislavbadeev@mail.ru</t>
  </si>
  <si>
    <t>Бадмаев Дашидоржо Сергеевич</t>
  </si>
  <si>
    <t>Улан-Удэ г</t>
  </si>
  <si>
    <t>+7(983)4305335</t>
  </si>
  <si>
    <t>DASHIDORZHO05@GMAIL.COM</t>
  </si>
  <si>
    <t>Бадмацыренов Алдар Саянович</t>
  </si>
  <si>
    <t>+7(996)314-37-48</t>
  </si>
  <si>
    <t>aldavo.badm@gmail.com</t>
  </si>
  <si>
    <t>Баженов Константин Эдуардович</t>
  </si>
  <si>
    <t>+7(908)060-94-79</t>
  </si>
  <si>
    <t>konstantin.bazhenov.01@mail.ru</t>
  </si>
  <si>
    <t>Бажукова Валерия Игоревна</t>
  </si>
  <si>
    <t>89082633434; +7(950)455-96-10</t>
  </si>
  <si>
    <t>bazhukova.lera@yandex.ru</t>
  </si>
  <si>
    <t>Базалеев Фёдор Евгеньевич</t>
  </si>
  <si>
    <t>+7(905)745-11-73</t>
  </si>
  <si>
    <t>bazaleevf@gmail.com</t>
  </si>
  <si>
    <t>Байдарик Алина Олеговна</t>
  </si>
  <si>
    <t>Батайск г</t>
  </si>
  <si>
    <t>+7(918)564-83-00</t>
  </si>
  <si>
    <t>a_baydarik@mail.ru</t>
  </si>
  <si>
    <t>Байкенов Булат Радикович</t>
  </si>
  <si>
    <t>Учалы г</t>
  </si>
  <si>
    <t>+7(962)536-17-21</t>
  </si>
  <si>
    <t>BULLAT05@BK.RU</t>
  </si>
  <si>
    <t>Байкина Татьяна Валерьевна</t>
  </si>
  <si>
    <t>Новотроицк г</t>
  </si>
  <si>
    <t>+7(961)925-44-35</t>
  </si>
  <si>
    <t>tbaikina94@mail.ru</t>
  </si>
  <si>
    <t>Байкова Кристина Робертовна</t>
  </si>
  <si>
    <t>+7(964)594-17-57</t>
  </si>
  <si>
    <t>kristina0735@rambler.ru</t>
  </si>
  <si>
    <t>Баймурадов Камиль Шавкатович</t>
  </si>
  <si>
    <t>Сызрань г</t>
  </si>
  <si>
    <t>+7(927)792-55-39</t>
  </si>
  <si>
    <t>kamil_baymuradov@mail.ru</t>
  </si>
  <si>
    <t>Байрамова Арзу Камран Кызы</t>
  </si>
  <si>
    <t>+7(926)975-04-69</t>
  </si>
  <si>
    <t>ARZUN9530@GMAIL.COM</t>
  </si>
  <si>
    <t>Байчоров Руслан Александрович</t>
  </si>
  <si>
    <t>Кисловодск г</t>
  </si>
  <si>
    <t>(900)123-97-82; +79309702511</t>
  </si>
  <si>
    <t>heczof@yandex.ru</t>
  </si>
  <si>
    <t>Баклашева Ульяна Андреевна</t>
  </si>
  <si>
    <t>79167503636; +7(916)667-00-13</t>
  </si>
  <si>
    <t>baklashev_5@mail.ru</t>
  </si>
  <si>
    <t>Бакри Абдиллахи Мохамед</t>
  </si>
  <si>
    <t>2.8.6</t>
  </si>
  <si>
    <t>Геомеханика, разрушение горных пород, рудничная аэрогазодинамика и горная теплофизика</t>
  </si>
  <si>
    <t>Сомали</t>
  </si>
  <si>
    <t>Харгейса</t>
  </si>
  <si>
    <t>+7(925)666-50-51</t>
  </si>
  <si>
    <t>abdilahi.bakri@gmail.com</t>
  </si>
  <si>
    <t>хочет остаться</t>
  </si>
  <si>
    <t>Бакунчева Анастасия Михайловна</t>
  </si>
  <si>
    <t>Луховицы г</t>
  </si>
  <si>
    <t>Физико-химия процессов и материалов</t>
  </si>
  <si>
    <t>+7(903)195-49-88</t>
  </si>
  <si>
    <t>m1905085@edu.misis.ru</t>
  </si>
  <si>
    <t>Бакшеев Антон Анатольевич</t>
  </si>
  <si>
    <t>+7(996)311-05-59</t>
  </si>
  <si>
    <t>anton.bakhseev@gmail.com</t>
  </si>
  <si>
    <t>Балабаев Егор Андреевич</t>
  </si>
  <si>
    <t>Красновидово д</t>
  </si>
  <si>
    <t>89629414185; +7(903)204-55-77</t>
  </si>
  <si>
    <t>something_strange@inbox.ru</t>
  </si>
  <si>
    <t>Балаев Антон Александрович</t>
  </si>
  <si>
    <t>Волгоградская обл</t>
  </si>
  <si>
    <t>Волжский г</t>
  </si>
  <si>
    <t>+7(988)022-09-55</t>
  </si>
  <si>
    <t>balaevantoine@gmail.com</t>
  </si>
  <si>
    <t>Баландин Семён Сергеевич</t>
  </si>
  <si>
    <t>Новоорск п</t>
  </si>
  <si>
    <t>+7(987)866-27-72</t>
  </si>
  <si>
    <t>balandin516@mail.ru</t>
  </si>
  <si>
    <t>Баландина Анастасия Павловна</t>
  </si>
  <si>
    <t>Валуйки г</t>
  </si>
  <si>
    <t>+7(951)143-77-56</t>
  </si>
  <si>
    <t>qwertqaz1505@mail.ru</t>
  </si>
  <si>
    <t>Балашова Анна Васильевна</t>
  </si>
  <si>
    <t>+7(985)283-16-65</t>
  </si>
  <si>
    <t>snusmumrik179@gmail.com</t>
  </si>
  <si>
    <t>Балобайко Полина Николаевна</t>
  </si>
  <si>
    <t>Коми Респ</t>
  </si>
  <si>
    <t>Сыктывкар г</t>
  </si>
  <si>
    <t>+7(904)208-82-60</t>
  </si>
  <si>
    <t>balovajkopolina@gmail.com</t>
  </si>
  <si>
    <t>Балонина Виктория Сергеевна</t>
  </si>
  <si>
    <t>+7(925)229-67-73</t>
  </si>
  <si>
    <t>vikabalonina@mail.ru</t>
  </si>
  <si>
    <t>Балухта Степан Алексеевич</t>
  </si>
  <si>
    <t>+7(985)262-31-13</t>
  </si>
  <si>
    <t>stepanbalu@bk.ru</t>
  </si>
  <si>
    <t>Бальди Кристиан</t>
  </si>
  <si>
    <t>4442ст</t>
  </si>
  <si>
    <t>Русский язык как иностранный (630 ч.)</t>
  </si>
  <si>
    <t>Италия</t>
  </si>
  <si>
    <t>живет, ходатайство Капушева</t>
  </si>
  <si>
    <t>Балясников Никита Денисович</t>
  </si>
  <si>
    <t>4342ст</t>
  </si>
  <si>
    <t>09.03.02</t>
  </si>
  <si>
    <t>Дрезна г</t>
  </si>
  <si>
    <t>+7(901)334-83-78; +79013348378</t>
  </si>
  <si>
    <t>obalasniknekit@rambler.ru</t>
  </si>
  <si>
    <t>Банников Глеб Романович</t>
  </si>
  <si>
    <t>+7(985)846-60-87</t>
  </si>
  <si>
    <t>bannikovgr@gmail.com</t>
  </si>
  <si>
    <t>Банникова Мария Дмитриевна</t>
  </si>
  <si>
    <t>Вологда г</t>
  </si>
  <si>
    <t>+7(921)065-88-63</t>
  </si>
  <si>
    <t>bannikova1981@icloud.com</t>
  </si>
  <si>
    <t>Баранов Александр Алексеевич</t>
  </si>
  <si>
    <t>1.6.20</t>
  </si>
  <si>
    <t>Геоинформатика, картография</t>
  </si>
  <si>
    <t>Тамбовская обл</t>
  </si>
  <si>
    <t>Моршанск г</t>
  </si>
  <si>
    <t>+7(915)861-00-15; +7(985)168-45-25</t>
  </si>
  <si>
    <t>baranov.1999@bk.ru</t>
  </si>
  <si>
    <t>Баранов Антон Геннадьевич</t>
  </si>
  <si>
    <t>+7(903)977-89-97</t>
  </si>
  <si>
    <t>a.g.baranov.1995@gmail.com</t>
  </si>
  <si>
    <t>Баранов Герман Вадимович</t>
  </si>
  <si>
    <t>+7(963)961-79-78</t>
  </si>
  <si>
    <t>Degodb.fm@gmail.com</t>
  </si>
  <si>
    <t>Баранов Егор Алексеевич</t>
  </si>
  <si>
    <t>+7(995)9218462</t>
  </si>
  <si>
    <t>egorbaranov114@gmail.com</t>
  </si>
  <si>
    <t>Баранов Иван Ильич</t>
  </si>
  <si>
    <t>2.6.3</t>
  </si>
  <si>
    <t>Литейное производство</t>
  </si>
  <si>
    <t>Красноярск г</t>
  </si>
  <si>
    <t>+7(901)344-24-13</t>
  </si>
  <si>
    <t>baranov.wania@yandex.ru</t>
  </si>
  <si>
    <t>Баранов Никита Дмитриевич</t>
  </si>
  <si>
    <t>-; +7(915)404-55-70</t>
  </si>
  <si>
    <t>mister-nikitos.baranov@yandex.ru</t>
  </si>
  <si>
    <t>Баранов Павел Александрович</t>
  </si>
  <si>
    <t>+79032801178; +7(968)542-50-34</t>
  </si>
  <si>
    <t>baranovpavel2005@gmail.com</t>
  </si>
  <si>
    <t>Баранова Вероника Андреевна</t>
  </si>
  <si>
    <t>9258228802; (925)338-95-37</t>
  </si>
  <si>
    <t>barnika@edu.misis.ru</t>
  </si>
  <si>
    <t>Баранова Евгения Сергеевна</t>
  </si>
  <si>
    <t>Королёв г</t>
  </si>
  <si>
    <t>Биоматериаловедение</t>
  </si>
  <si>
    <t>+7(915)383-09-73</t>
  </si>
  <si>
    <t>eva-tori@mail.ru</t>
  </si>
  <si>
    <t>Баранова Мария Михайловна</t>
  </si>
  <si>
    <t>Маркс г</t>
  </si>
  <si>
    <t>+7(960)357-29-38</t>
  </si>
  <si>
    <t>baranovamaria09@gmail.com</t>
  </si>
  <si>
    <t>Баранова Полина Александровна</t>
  </si>
  <si>
    <t>+7(910)999-01-72</t>
  </si>
  <si>
    <t>baranova_polina_99@mail.ru</t>
  </si>
  <si>
    <t>Барашев Артем Сергеевич</t>
  </si>
  <si>
    <t>Московская область</t>
  </si>
  <si>
    <t>Красногорск</t>
  </si>
  <si>
    <t>+7(985)200-61-41</t>
  </si>
  <si>
    <t>bars152@mail.ru</t>
  </si>
  <si>
    <t>Барбашин Тимофей Александрович</t>
  </si>
  <si>
    <t>+7(925)206-30-37</t>
  </si>
  <si>
    <t>BARBASHINTIM@GMAIL.COM</t>
  </si>
  <si>
    <t>Барбышев Константин Александрович</t>
  </si>
  <si>
    <t>1.3.8</t>
  </si>
  <si>
    <t>Физика конденсированного состояния</t>
  </si>
  <si>
    <t>Горячий Ключ г</t>
  </si>
  <si>
    <t>+7(999)978-11-62</t>
  </si>
  <si>
    <t>k.barbyshev@gmail.com</t>
  </si>
  <si>
    <t>Барзыкина Мария Александровна</t>
  </si>
  <si>
    <t>Сочи г</t>
  </si>
  <si>
    <t>Материаловедение функциональных материалов наноэлектроники</t>
  </si>
  <si>
    <t>89165776920; +7(916)577-69-20</t>
  </si>
  <si>
    <t>mark.mick@mail.ru</t>
  </si>
  <si>
    <t>Бариль Кирилл Алексеевич</t>
  </si>
  <si>
    <t>Волгоград г</t>
  </si>
  <si>
    <t>+7(995)414-49-49</t>
  </si>
  <si>
    <t>vipo4@yandex.ru</t>
  </si>
  <si>
    <t>Баркин Роман Станиславович</t>
  </si>
  <si>
    <t>Кулебаки г</t>
  </si>
  <si>
    <t>+79601972036; +7(960)197-20-36</t>
  </si>
  <si>
    <t>roma.barckin@yandex.ru</t>
  </si>
  <si>
    <t>Барков Никита Сергеевич</t>
  </si>
  <si>
    <t>+7(915)241-73-74</t>
  </si>
  <si>
    <t>barkovnik2006@gmail.com</t>
  </si>
  <si>
    <t>Барсуков Егор Олегович</t>
  </si>
  <si>
    <t>Беларусь</t>
  </si>
  <si>
    <t>Гомель</t>
  </si>
  <si>
    <t>+7(000)000-00-00; +375293709601</t>
  </si>
  <si>
    <t>egorbarsukov3@gmail.com</t>
  </si>
  <si>
    <t>Барсукова Маргарита Алексеевна</t>
  </si>
  <si>
    <t>89263037385; +7(926)193-31-62</t>
  </si>
  <si>
    <t>margo250105@gmail.com</t>
  </si>
  <si>
    <t>Барыкин Никита Алексеевич</t>
  </si>
  <si>
    <t>Краснознаменск г</t>
  </si>
  <si>
    <t>+7(919)724-64-59</t>
  </si>
  <si>
    <t>baryckin.nik@yandex.ru</t>
  </si>
  <si>
    <t>Барышев Артемий Владимирович</t>
  </si>
  <si>
    <t>+7(916)288-25-25</t>
  </si>
  <si>
    <t>art_bar_2016@mail.ru</t>
  </si>
  <si>
    <t>Басанский Денис Васильевич</t>
  </si>
  <si>
    <t>89169562910</t>
  </si>
  <si>
    <t>denizvi@yandex.ru</t>
  </si>
  <si>
    <t>Баташов Исмаил Юнусович</t>
  </si>
  <si>
    <t>Ишхой-Юрт с</t>
  </si>
  <si>
    <t>+7(967)956-28-22</t>
  </si>
  <si>
    <t>Batashovismail095@gmail.com</t>
  </si>
  <si>
    <t>Батуров Даниил Алексеевич</t>
  </si>
  <si>
    <t>+7(916)491-11-81</t>
  </si>
  <si>
    <t>danbat2006@gmail.com</t>
  </si>
  <si>
    <t>Батян Елизавета Александровна</t>
  </si>
  <si>
    <t>+7(950)847-74-58</t>
  </si>
  <si>
    <t>batyanlizochka@gmail.com</t>
  </si>
  <si>
    <t>Бауманис Айя Владиславовна</t>
  </si>
  <si>
    <t>Щекино г</t>
  </si>
  <si>
    <t>89109459180 ; (910)949-13-31</t>
  </si>
  <si>
    <t>baumanis.aiya@gmail.com</t>
  </si>
  <si>
    <t>Баута Наталья Павловна</t>
  </si>
  <si>
    <t>Шахты г</t>
  </si>
  <si>
    <t>+7(960)461-83-07</t>
  </si>
  <si>
    <t>natalyabauta@yandex.ru</t>
  </si>
  <si>
    <t>Бауэр Вольдемар Владимирович</t>
  </si>
  <si>
    <t>Приволжский рп</t>
  </si>
  <si>
    <t>+7(987)3590380</t>
  </si>
  <si>
    <t>sergei161005@bk.ru</t>
  </si>
  <si>
    <t>Бахышев Ахмед Везирханович</t>
  </si>
  <si>
    <t>Дербент г</t>
  </si>
  <si>
    <t>+7(928)597-86-62</t>
  </si>
  <si>
    <t>ahmed20052006a@mail.ru</t>
  </si>
  <si>
    <t>Бачалов Муса Султанович</t>
  </si>
  <si>
    <t>Ингушетия Респ</t>
  </si>
  <si>
    <t>Назрань г</t>
  </si>
  <si>
    <t>+7(928)743-51-55</t>
  </si>
  <si>
    <t>capone777ing@gmail.com</t>
  </si>
  <si>
    <t>Бачурин Станислав Алексеевич</t>
  </si>
  <si>
    <t>+7(925)460-20-21; +7(925)460-20-21</t>
  </si>
  <si>
    <t>staseks228@gmail.com</t>
  </si>
  <si>
    <t>Башаева Сибила Ризвановна</t>
  </si>
  <si>
    <t>+7(925)827-72-47</t>
  </si>
  <si>
    <t>sibila.bashaeva@gmail.com</t>
  </si>
  <si>
    <t>Башкиров Андрей Алексеевич</t>
  </si>
  <si>
    <t>Якшур д</t>
  </si>
  <si>
    <t>+7(950)817-90-26</t>
  </si>
  <si>
    <t>m1910036@edu.misis.ru</t>
  </si>
  <si>
    <t>Бегичев Егор Александрович</t>
  </si>
  <si>
    <t>ЛМС п</t>
  </si>
  <si>
    <t>(926)065-33-37</t>
  </si>
  <si>
    <t>begicheffeg@gmail.com</t>
  </si>
  <si>
    <t>Москва</t>
  </si>
  <si>
    <t>Безруков Вадим Игоревич</t>
  </si>
  <si>
    <t>Унеча г</t>
  </si>
  <si>
    <t>+79529695299; +7(930)720-36-82</t>
  </si>
  <si>
    <t>b-v-i-05.05.99@yandex.ru</t>
  </si>
  <si>
    <t xml:space="preserve">Студенческая 33 </t>
  </si>
  <si>
    <t>Безрядина Ирина Анатольевна</t>
  </si>
  <si>
    <t>Липецкая обл</t>
  </si>
  <si>
    <t>Грязи г</t>
  </si>
  <si>
    <t>Новые материалы. Порошковые и аддитивные технологии (ПИШ)</t>
  </si>
  <si>
    <t>+7(904)296-44-61</t>
  </si>
  <si>
    <t>iraberezka@mail.ru</t>
  </si>
  <si>
    <t>Бек Михаель Эдвин Стефан</t>
  </si>
  <si>
    <t>Нидерланды</t>
  </si>
  <si>
    <t>+7(977)660-41-75; +31641068721</t>
  </si>
  <si>
    <t>mes.beck@yandex.ru</t>
  </si>
  <si>
    <t>Бекбергенова Диана Батржановна</t>
  </si>
  <si>
    <t>Ясный г</t>
  </si>
  <si>
    <t>Прикладная аналитика в металловедении</t>
  </si>
  <si>
    <t>+79960783588; +7(953)452-58-39</t>
  </si>
  <si>
    <t>dianochka.dianka99@yandex.ru</t>
  </si>
  <si>
    <t>Бекмуродов Хожиакбар Тулкинжонович</t>
  </si>
  <si>
    <t>Турсунзаде</t>
  </si>
  <si>
    <t>+7(965)298-66-47; 8 965 298 66 47; +7 977 709 61 71</t>
  </si>
  <si>
    <t>bek.khoji@bk.ru</t>
  </si>
  <si>
    <t>Беков Жахонгир Фуркатович</t>
  </si>
  <si>
    <t>+7(925)156-17-61</t>
  </si>
  <si>
    <t>bekoff2222@gmail.com</t>
  </si>
  <si>
    <t>Беликова Варвара Дмитриевна</t>
  </si>
  <si>
    <t>+79854162098; +7(980)734-95-38</t>
  </si>
  <si>
    <t>varvararabbit@gmail.com</t>
  </si>
  <si>
    <t>Белобров Антон Владимирович</t>
  </si>
  <si>
    <t>+7(921)389-26-86</t>
  </si>
  <si>
    <t>belobrovav@yandex.ru</t>
  </si>
  <si>
    <t>Белов Георгий Владимирович</t>
  </si>
  <si>
    <t>+7(977)776-62-64</t>
  </si>
  <si>
    <t>nek_iy@mail.ru</t>
  </si>
  <si>
    <t>Белогуб Илья Дмитриевич</t>
  </si>
  <si>
    <t>Калуга г</t>
  </si>
  <si>
    <t>+79200901928; +7(929)033-25-32</t>
  </si>
  <si>
    <t>belogubilya@icloud.com</t>
  </si>
  <si>
    <t>Белоконь Артем Сергеевич</t>
  </si>
  <si>
    <t>Архангельск г</t>
  </si>
  <si>
    <t>Промдизайн и инжиниринг</t>
  </si>
  <si>
    <t>+7(921)814-22-22</t>
  </si>
  <si>
    <t>zakerman666@gmail.com</t>
  </si>
  <si>
    <t>Студенческая 33 корп 5</t>
  </si>
  <si>
    <t>Белоусов Андрей Юрьевич</t>
  </si>
  <si>
    <t>+7(926)530-31-89</t>
  </si>
  <si>
    <t>belousov_andr@mail.ru</t>
  </si>
  <si>
    <t>Беляев Артём Игоревич</t>
  </si>
  <si>
    <t>+7(901)709-36-49</t>
  </si>
  <si>
    <t>FIVSTUDIO123@GMAIL.COM</t>
  </si>
  <si>
    <t>Беляев Владимир Антонович</t>
  </si>
  <si>
    <t>+7(903)760-54-06</t>
  </si>
  <si>
    <t>vladimirbelyaev2006@gmail.com</t>
  </si>
  <si>
    <t>Беляев Егор Валерьевич</t>
  </si>
  <si>
    <t>+7(981)732-51-43</t>
  </si>
  <si>
    <t>belefe1981@mail.ru</t>
  </si>
  <si>
    <t>Беляев Сергей Михайлович</t>
  </si>
  <si>
    <t>89169666870; +7(916)535-95-01</t>
  </si>
  <si>
    <t>smibelyaev@gmail.com</t>
  </si>
  <si>
    <t>Беляева Светлана Олеговна</t>
  </si>
  <si>
    <t>Люберцы г</t>
  </si>
  <si>
    <t>(495)-542-72-75; (965)419-42-04</t>
  </si>
  <si>
    <t>belyaevas0001@gmail.com</t>
  </si>
  <si>
    <t>Беляева София Дмитриевна</t>
  </si>
  <si>
    <t>Гродно</t>
  </si>
  <si>
    <t>+7(775)295-34-84</t>
  </si>
  <si>
    <t>red.fox05@yandex.by</t>
  </si>
  <si>
    <t>Беляков Андрей Александрович</t>
  </si>
  <si>
    <t>2.6.17</t>
  </si>
  <si>
    <t>Материаловедение</t>
  </si>
  <si>
    <t>Первое Мая п</t>
  </si>
  <si>
    <t>+7(996)940-74-68</t>
  </si>
  <si>
    <t>m2103763@edu.misis.ru</t>
  </si>
  <si>
    <t>Беляков Кирилл Валерьевич</t>
  </si>
  <si>
    <t>Тула г</t>
  </si>
  <si>
    <t>+79156958689; +7(980)724-80-38</t>
  </si>
  <si>
    <t>kirill.belyakov.000@yandex.ru</t>
  </si>
  <si>
    <t>Бердиёрзода Мехриёр Бердиёр</t>
  </si>
  <si>
    <t>Согдийская область</t>
  </si>
  <si>
    <t>джамоат Урметан</t>
  </si>
  <si>
    <t>+992884932121; +7(884)493-21-21</t>
  </si>
  <si>
    <t>alisher.rajabov.2000@mail.ru</t>
  </si>
  <si>
    <t>Бердикулова Динора Фарходовна</t>
  </si>
  <si>
    <t>город Алмалык</t>
  </si>
  <si>
    <t>+998900039979; +7(000)000-00-00</t>
  </si>
  <si>
    <t>berdikulovadinora1@gmail.com</t>
  </si>
  <si>
    <t>Бердникова Арина Евгеньевна</t>
  </si>
  <si>
    <t>Омская обл</t>
  </si>
  <si>
    <t>Омск г</t>
  </si>
  <si>
    <t>+7(999)454-79-02</t>
  </si>
  <si>
    <t>berdnikova.arr@mail.ru</t>
  </si>
  <si>
    <t>Бердюгина Анастасия Андреевна</t>
  </si>
  <si>
    <t>Новосибирская обл</t>
  </si>
  <si>
    <t>Новосибирск г</t>
  </si>
  <si>
    <t>+7(913)388-74-00</t>
  </si>
  <si>
    <t>abcoe70@mail.ru</t>
  </si>
  <si>
    <t>Бережной Сергей Константинович</t>
  </si>
  <si>
    <t>+7(906)310-22-22</t>
  </si>
  <si>
    <t>sergey.bereg@bk.ru</t>
  </si>
  <si>
    <t>Березин Александр Константинович</t>
  </si>
  <si>
    <t>Шелопугино с</t>
  </si>
  <si>
    <t>+7(996)313-34-18</t>
  </si>
  <si>
    <t>alekszef64020@gmail.com</t>
  </si>
  <si>
    <t>Берендеев Андрей Валерьевич</t>
  </si>
  <si>
    <t>+79163359704; +7(916)430-15-14</t>
  </si>
  <si>
    <t>degusandrey@gmail.com</t>
  </si>
  <si>
    <t>Береснев Григорий Алексеевич</t>
  </si>
  <si>
    <t>+7(985)219-09-65</t>
  </si>
  <si>
    <t>grinyaberesnev@gmail.com</t>
  </si>
  <si>
    <t>Береснева Мария Олеговна</t>
  </si>
  <si>
    <t>Тюменская обл</t>
  </si>
  <si>
    <t>Тюмень г</t>
  </si>
  <si>
    <t>+7(982)134-48-83</t>
  </si>
  <si>
    <t>beresnewa.m@ya.ru</t>
  </si>
  <si>
    <t>Беркутов Антон Геннадиевич</t>
  </si>
  <si>
    <t>2.10.3</t>
  </si>
  <si>
    <t>Безопасность труда</t>
  </si>
  <si>
    <t>+7(925)449-47-99</t>
  </si>
  <si>
    <t>antonyberkutov@gmail.com</t>
  </si>
  <si>
    <t>Беркутова Александра Юрьевна</t>
  </si>
  <si>
    <t>2.8.9</t>
  </si>
  <si>
    <t>Обогащение полезных ископаемых</t>
  </si>
  <si>
    <t>+7(925)940-01-64</t>
  </si>
  <si>
    <t>osipenko.alexandra2017@yandex.ru</t>
  </si>
  <si>
    <t>Берякин Илья Сергеевич</t>
  </si>
  <si>
    <t>+7(904)408-15-80</t>
  </si>
  <si>
    <t>gylfi2005@mail.ru</t>
  </si>
  <si>
    <t>хочет в Г-2 к Горшкову И.А - МИВТ-22-2</t>
  </si>
  <si>
    <t>Беспалов Вениамин Сергеевич</t>
  </si>
  <si>
    <t>Коммунарка п</t>
  </si>
  <si>
    <t>89032506510; +7(985)624-72-68</t>
  </si>
  <si>
    <t>venekbespalov@mail.ru</t>
  </si>
  <si>
    <t>Беспалов Кирилл Алексеевич</t>
  </si>
  <si>
    <t>+7(926)085-21-23</t>
  </si>
  <si>
    <t>besp.kirill.00@gmail.com</t>
  </si>
  <si>
    <t>Бессеребренникова Полина Андреевна</t>
  </si>
  <si>
    <t>+7(915)713-60-36</t>
  </si>
  <si>
    <t>polina.besserebrennikova@bk.ru</t>
  </si>
  <si>
    <t>Бетекбаев Ержан</t>
  </si>
  <si>
    <t>г. Астана</t>
  </si>
  <si>
    <t>+77777882669; +7(977)892-81-48</t>
  </si>
  <si>
    <t>erzhan387@gmail.com</t>
  </si>
  <si>
    <t>Бизова Валентина Юрьевна</t>
  </si>
  <si>
    <t>Подольск г</t>
  </si>
  <si>
    <t>+7(901)343-20-98</t>
  </si>
  <si>
    <t>VALYA.BIZOVA.THEATER@GMAIL.COM</t>
  </si>
  <si>
    <t>Подольск</t>
  </si>
  <si>
    <t>Бикбавов Карим Айратович</t>
  </si>
  <si>
    <t>+7(917)922-19-54</t>
  </si>
  <si>
    <t>Karimbikbavov@gmail.com</t>
  </si>
  <si>
    <t>Бикетов Алексей Романович</t>
  </si>
  <si>
    <t>Белгород г</t>
  </si>
  <si>
    <t>+7(909)208-76-63</t>
  </si>
  <si>
    <t>alexbiketov@mail.ru</t>
  </si>
  <si>
    <t>Бикмаев Илья Сергеевич</t>
  </si>
  <si>
    <t>Владимирская обл</t>
  </si>
  <si>
    <t>Гусь-Хрустальный г</t>
  </si>
  <si>
    <t>+7(920)924-68-45</t>
  </si>
  <si>
    <t>bikilya5@gmail.com</t>
  </si>
  <si>
    <t>Бикташева Алия Айратовна</t>
  </si>
  <si>
    <t>Бугульма г</t>
  </si>
  <si>
    <t>+7(977)267-34-41</t>
  </si>
  <si>
    <t>biktasheva.aliya2001@gmail.com</t>
  </si>
  <si>
    <t>Блатов Андрей Вячеславович</t>
  </si>
  <si>
    <t>+7(910)810-38-76</t>
  </si>
  <si>
    <t>blatov2005@mail.ru</t>
  </si>
  <si>
    <t>Блашко Ксения Сергеевна</t>
  </si>
  <si>
    <t>+7(977)887-20-62</t>
  </si>
  <si>
    <t>bks2005@yandex.ru</t>
  </si>
  <si>
    <t>Блинова Алиса Олеговна</t>
  </si>
  <si>
    <t>+7(923)606-87-84</t>
  </si>
  <si>
    <t>Blinovaalice@yandex.ru</t>
  </si>
  <si>
    <t>Бобков Ярослав Александрович</t>
  </si>
  <si>
    <t>Обнинск г</t>
  </si>
  <si>
    <t>+7(910)608-88-13</t>
  </si>
  <si>
    <t>bobkov75@yandex.ru</t>
  </si>
  <si>
    <t>служебная записка Калошкина согласовано с Хваном, hPhD</t>
  </si>
  <si>
    <t>Бобоев Масрурджон Нодирхонович</t>
  </si>
  <si>
    <t>Район Фирдавси</t>
  </si>
  <si>
    <t>Инжиниринг литейных технологий</t>
  </si>
  <si>
    <t>+992 55 255 5557; +7(000)000-00-00</t>
  </si>
  <si>
    <t>sharipov.misis@mail.ru</t>
  </si>
  <si>
    <t>Бобрышева Арина Олеговна</t>
  </si>
  <si>
    <t>Сургут г</t>
  </si>
  <si>
    <t>+79153283656; +7(925)608-37-97</t>
  </si>
  <si>
    <t>arinkuz698@gmail.com</t>
  </si>
  <si>
    <t>Богачев Андрей Сергеевич</t>
  </si>
  <si>
    <t>+7(925)390-55-70</t>
  </si>
  <si>
    <t>andr.bogachiov@yandex.ru</t>
  </si>
  <si>
    <t>Богданов Артем Андреевич</t>
  </si>
  <si>
    <t>Курск г</t>
  </si>
  <si>
    <t>Экосистема больших данных для цифровой трансформации</t>
  </si>
  <si>
    <t>+7(919)134-68-50</t>
  </si>
  <si>
    <t>artyom.bogdanov.01@gmail.com</t>
  </si>
  <si>
    <t>Богданов Данила Александрович</t>
  </si>
  <si>
    <t>Ступино г</t>
  </si>
  <si>
    <t>+7(916)279-59-33</t>
  </si>
  <si>
    <t>danila.bogdanov.2012@mail.ru</t>
  </si>
  <si>
    <t>Богданов Дмитрий Романович</t>
  </si>
  <si>
    <t>Голицыно г</t>
  </si>
  <si>
    <t>+7(926)738-89-85</t>
  </si>
  <si>
    <t>drbogdanov@inbox.ru</t>
  </si>
  <si>
    <t>Богданов Кирилл Артёмович</t>
  </si>
  <si>
    <t>+7(905)699-98-76</t>
  </si>
  <si>
    <t>mafkirik@mail.ru</t>
  </si>
  <si>
    <t>Богданова Мария Сергеевна</t>
  </si>
  <si>
    <t>+7(916)395-12-66</t>
  </si>
  <si>
    <t>masha.s.bogdanova@yandex.ru</t>
  </si>
  <si>
    <t>Богомолов Владислав Юрьевич</t>
  </si>
  <si>
    <t>+7(926)239-00-76</t>
  </si>
  <si>
    <t>m1911543@edu.misis.ru</t>
  </si>
  <si>
    <t>Бодиштяну Артём Игоревич</t>
  </si>
  <si>
    <t>Рублево п</t>
  </si>
  <si>
    <t>+7(963)627-06-02</t>
  </si>
  <si>
    <t>a.bodishtianu@gmail.com</t>
  </si>
  <si>
    <t>Бодров Глеб Денисович</t>
  </si>
  <si>
    <t>Давыдово д</t>
  </si>
  <si>
    <t>+7(985)067-03-62</t>
  </si>
  <si>
    <t>bodrovgleb2403@gmail.com</t>
  </si>
  <si>
    <t>Бодрова Юлия Сергеевна</t>
  </si>
  <si>
    <t>Вершино-Дарасунский пгт</t>
  </si>
  <si>
    <t>+7(996)021-27-31</t>
  </si>
  <si>
    <t>uliabodrova065@gmail.com</t>
  </si>
  <si>
    <t>Бойко Александра Андреевна</t>
  </si>
  <si>
    <t>Балашиха г</t>
  </si>
  <si>
    <t>-; +7(925)069-70-62</t>
  </si>
  <si>
    <t>alexandra.boyko2001@gmail.com</t>
  </si>
  <si>
    <t>Бойко Алина Алексеевна</t>
  </si>
  <si>
    <t>Краснодар г</t>
  </si>
  <si>
    <t>+79615065090; +7(961)531-07-68</t>
  </si>
  <si>
    <t>alina.boiko.06@gmail.com</t>
  </si>
  <si>
    <t>Бойкова Любовь Владимировна</t>
  </si>
  <si>
    <t>1.6.21</t>
  </si>
  <si>
    <t>Геоэкология</t>
  </si>
  <si>
    <t>Новый Акатуй с</t>
  </si>
  <si>
    <t>+7(924)514-01-28; +7(929)660-35-74; +7(923)567-25-76</t>
  </si>
  <si>
    <t>lubawa96@mail.ru</t>
  </si>
  <si>
    <t>с ребенком</t>
  </si>
  <si>
    <t>Бойченко Лада-Екатерина</t>
  </si>
  <si>
    <t>Молдова</t>
  </si>
  <si>
    <t>-; +7(985)699-88-92</t>
  </si>
  <si>
    <t>ladaboicenco@gmail.com</t>
  </si>
  <si>
    <t>муж Салогуб Дмитрий Дмитриевич, распределен в М-4</t>
  </si>
  <si>
    <t>Болгова Маргарита Дмитриевна</t>
  </si>
  <si>
    <t>+7(967)800-03-27</t>
  </si>
  <si>
    <t>b.margo05@mail.ru</t>
  </si>
  <si>
    <t>Болотников Антон Александрович</t>
  </si>
  <si>
    <t>89778537990; (985)440-21-01</t>
  </si>
  <si>
    <t>mrgromoboy.1911@yandex.ru</t>
  </si>
  <si>
    <t>Большаков Владимир Альбертович</t>
  </si>
  <si>
    <t>Новомосковск г</t>
  </si>
  <si>
    <t>(953)439-78-49</t>
  </si>
  <si>
    <t>dream12rus@gmail.com</t>
  </si>
  <si>
    <t>Бондаренко Иван Викторович</t>
  </si>
  <si>
    <t>+7(928)450-66-28</t>
  </si>
  <si>
    <t>reprojectoff@gmail.com</t>
  </si>
  <si>
    <t>Борисенко Ирина Сергеевна</t>
  </si>
  <si>
    <t>Клинцы г</t>
  </si>
  <si>
    <t>Дети-сироты</t>
  </si>
  <si>
    <t>+79259230664; +7(920)854-58-26</t>
  </si>
  <si>
    <t>irinakirienko.07.08@mail.ru</t>
  </si>
  <si>
    <t>Борисенко Павел Дмитриевич</t>
  </si>
  <si>
    <t>+7(968)639-97-01</t>
  </si>
  <si>
    <t>pborisenko2006@yandex.ru</t>
  </si>
  <si>
    <t>Борисов Даниил Алексеевич</t>
  </si>
  <si>
    <t>2.6.4</t>
  </si>
  <si>
    <t>Обработка металлов давлением</t>
  </si>
  <si>
    <t>Выкса г</t>
  </si>
  <si>
    <t>+7(999)136-00-07</t>
  </si>
  <si>
    <t>daniil-borisov-1999@mail.ru</t>
  </si>
  <si>
    <t>заявление</t>
  </si>
  <si>
    <t>Борисов Максим Валерьевич</t>
  </si>
  <si>
    <t>+7(951)481-04-58</t>
  </si>
  <si>
    <t>borisov19988@gmail.com</t>
  </si>
  <si>
    <t>Борисова Анна Сергеевна</t>
  </si>
  <si>
    <t>Новоспасское рп</t>
  </si>
  <si>
    <t>+7(927)834-13-24</t>
  </si>
  <si>
    <t>khatake.2020@mail.ru</t>
  </si>
  <si>
    <t>Борисова Серафима Сергеевна</t>
  </si>
  <si>
    <t>+7(903)064-83-42</t>
  </si>
  <si>
    <t>siborisova@icloud.com</t>
  </si>
  <si>
    <t>Борисова Софья Андреевна</t>
  </si>
  <si>
    <t>+7(985)040-29-25</t>
  </si>
  <si>
    <t>natabor77@inbox.ru</t>
  </si>
  <si>
    <t>Бородин Александр Андреевич</t>
  </si>
  <si>
    <t>Каплино с</t>
  </si>
  <si>
    <t>+79772767100; +7(977)276-71-00</t>
  </si>
  <si>
    <t>xxx0002700@yandex.ru</t>
  </si>
  <si>
    <t>Борченко Борис Евгеньевич</t>
  </si>
  <si>
    <t>+7(983)308-99-55</t>
  </si>
  <si>
    <t>bborchenko@gmail.com</t>
  </si>
  <si>
    <t>Борщ Илья Юрьевич</t>
  </si>
  <si>
    <t>Донской г</t>
  </si>
  <si>
    <t>+7(950)917-12-84</t>
  </si>
  <si>
    <t>ilya.Borsch2018@yandex.ru</t>
  </si>
  <si>
    <t>Борщевская Наталья Александровна</t>
  </si>
  <si>
    <t>Лосино-Петровский г</t>
  </si>
  <si>
    <t>Технологии микро- и наноэлектроники</t>
  </si>
  <si>
    <t>89269327989; 88464993429; +7(925)484-73-00</t>
  </si>
  <si>
    <t>borshchevskaia@mail.ru</t>
  </si>
  <si>
    <t>Брежнев Артём Олегович</t>
  </si>
  <si>
    <t>+7(951)443-57-77</t>
  </si>
  <si>
    <t>BREZHARTEM@LIST.RU</t>
  </si>
  <si>
    <t>вместе с Таланцевым Г.А. и Клименко Д.Д.</t>
  </si>
  <si>
    <t>Брешенкова Полина Андреевна</t>
  </si>
  <si>
    <t>+7(920)639-72-00</t>
  </si>
  <si>
    <t>polina-bresh@ya.ru</t>
  </si>
  <si>
    <t>Бронников Олег Александрович</t>
  </si>
  <si>
    <t>Ставрополь г</t>
  </si>
  <si>
    <t>(996)418-48-26</t>
  </si>
  <si>
    <t>broon_hg@mail.ru</t>
  </si>
  <si>
    <t>Броскин Дмитрий Олегович</t>
  </si>
  <si>
    <t>Череповец г</t>
  </si>
  <si>
    <t>+79212575773; +7(921)051-02-48</t>
  </si>
  <si>
    <t>inbrokssup@gmail.com</t>
  </si>
  <si>
    <t>Брузда Александр Александрович</t>
  </si>
  <si>
    <t>+7(928)365-56-11</t>
  </si>
  <si>
    <t>bruzda.sasha@mail.ru</t>
  </si>
  <si>
    <t>Брусов Никита Денисович</t>
  </si>
  <si>
    <t>Свердловская обл</t>
  </si>
  <si>
    <t>Екатеринбург г</t>
  </si>
  <si>
    <t>+7(912)035-04-71</t>
  </si>
  <si>
    <t>bartcraft100@gmail.com</t>
  </si>
  <si>
    <t>Брычев Артём Павлович</t>
  </si>
  <si>
    <t>+7(927)858-03-22</t>
  </si>
  <si>
    <t>chosen_one05@mail.ru</t>
  </si>
  <si>
    <t>Бугаков Никита Игоревич</t>
  </si>
  <si>
    <t>89262136195; (915)003-77-07; +79150037707</t>
  </si>
  <si>
    <t>m1900660@edu.misis.ru</t>
  </si>
  <si>
    <t>Будаковский Дмитрий Викторович</t>
  </si>
  <si>
    <t>2.3.1</t>
  </si>
  <si>
    <t>Системный анализ, управление и обработка информации, статистика</t>
  </si>
  <si>
    <t>+7(967)010-66-31</t>
  </si>
  <si>
    <t>budakovsky_dm@mail.ru</t>
  </si>
  <si>
    <t>Буданова Екатерина Сергеевна</t>
  </si>
  <si>
    <t>+7(926)142-79-41</t>
  </si>
  <si>
    <t>epastukh@edu.misis.ru</t>
  </si>
  <si>
    <t>Бузаев Михаил Федорович</t>
  </si>
  <si>
    <t>2.5.7</t>
  </si>
  <si>
    <t>Технологии и машины обработки давлением</t>
  </si>
  <si>
    <t>Ковров г</t>
  </si>
  <si>
    <t>+7(999)809-06-11</t>
  </si>
  <si>
    <t>mbuzaev@gmail.com</t>
  </si>
  <si>
    <t>Бузуверова Дарья Васильевна</t>
  </si>
  <si>
    <t>Варские п</t>
  </si>
  <si>
    <t>+79537302518; +7(952)124-54-72</t>
  </si>
  <si>
    <t>darusha69@icloud.com</t>
  </si>
  <si>
    <t>Бузулуцков Сергей Александрович</t>
  </si>
  <si>
    <t>+7(927)065-55-07; +7(960)895-32-31</t>
  </si>
  <si>
    <t>buzuluckov@mail.ru</t>
  </si>
  <si>
    <t>Буина Ксения Александровна</t>
  </si>
  <si>
    <t>+7(903)160-43-43</t>
  </si>
  <si>
    <t>k.buina@inbox.ru</t>
  </si>
  <si>
    <t>Булавко Кристина Владимировна</t>
  </si>
  <si>
    <t>+7(905)161-03-10</t>
  </si>
  <si>
    <t>kristina.bulavko04@mail.ru</t>
  </si>
  <si>
    <t>Булатов Артём Константинович</t>
  </si>
  <si>
    <t>Витебск</t>
  </si>
  <si>
    <t>+7(000)000-00-00; +375295076128</t>
  </si>
  <si>
    <t>artyom87651234@gmail.com</t>
  </si>
  <si>
    <t>хочет с Когаленок А.Д.</t>
  </si>
  <si>
    <t>Булич Дарья Сергеевна</t>
  </si>
  <si>
    <t>+7(915)792-21-20</t>
  </si>
  <si>
    <t>sergeevnabd1@gmail.com</t>
  </si>
  <si>
    <t>Булочникова Надежда Андреевна</t>
  </si>
  <si>
    <t>45.04.02</t>
  </si>
  <si>
    <t>Теория коммуникации и международные связи с общественностью/ Communications and International Public Relations</t>
  </si>
  <si>
    <t>+79165133585; +7(926)314-69-47</t>
  </si>
  <si>
    <t>nadi.bulochka@mail.ru</t>
  </si>
  <si>
    <t>Булыгин Александр Сергеевич</t>
  </si>
  <si>
    <t>Кольчугино г</t>
  </si>
  <si>
    <t>(910)777-41-49</t>
  </si>
  <si>
    <t>sashabuligin@bk.ru</t>
  </si>
  <si>
    <t>Булычев Игорь Павлович</t>
  </si>
  <si>
    <t>+7(950)154-59-34</t>
  </si>
  <si>
    <t>igor.bulychev.86@mail.ru</t>
  </si>
  <si>
    <t>Бураго Антон Вячеславович</t>
  </si>
  <si>
    <t>38.04.01</t>
  </si>
  <si>
    <t>Корпоративные финансы</t>
  </si>
  <si>
    <t>79611065877; +7(961)106-58-77</t>
  </si>
  <si>
    <t>m1901947@edu.misis.ru</t>
  </si>
  <si>
    <t>Бургун Эрик</t>
  </si>
  <si>
    <t>Караганда</t>
  </si>
  <si>
    <t>+79015039897; +7(705)827-56-71</t>
  </si>
  <si>
    <t>m1900596@edu.misis.ru</t>
  </si>
  <si>
    <t>Бурденков Георгий Михайлович</t>
  </si>
  <si>
    <t>+79165310897; +7(916)216-74-34</t>
  </si>
  <si>
    <t>burdenkoff2005@yandex.ru</t>
  </si>
  <si>
    <t>Буркина Елизавета Сергеевна</t>
  </si>
  <si>
    <t>Адыгея Респ</t>
  </si>
  <si>
    <t>Майкоп г</t>
  </si>
  <si>
    <t>+7(988)084-00-88</t>
  </si>
  <si>
    <t>burkinaliza01@gmail.com</t>
  </si>
  <si>
    <t>Бурцев Павел Сергеевич</t>
  </si>
  <si>
    <t>Квантовое материаловедение</t>
  </si>
  <si>
    <t>+7(916)121-11-78</t>
  </si>
  <si>
    <t>Бурьянская Евгения Львовна</t>
  </si>
  <si>
    <t>1.3.11</t>
  </si>
  <si>
    <t>Физика полупроводников</t>
  </si>
  <si>
    <t>+7(925)173-80-50</t>
  </si>
  <si>
    <t>evamuleva@mail.ru</t>
  </si>
  <si>
    <t>Бурячок Иван Игоревич</t>
  </si>
  <si>
    <t>+7(926)659-48-92</t>
  </si>
  <si>
    <t>plom6ir@gmail.com</t>
  </si>
  <si>
    <t>Бут Иван Антонович</t>
  </si>
  <si>
    <t>Набережные Челны г</t>
  </si>
  <si>
    <t>+79600703235; +7(906)122-99-96</t>
  </si>
  <si>
    <t>ivanbut2005@mail.ru</t>
  </si>
  <si>
    <t>Бут Серафима Сергеевна</t>
  </si>
  <si>
    <t>+7(995)902-62-85</t>
  </si>
  <si>
    <t>catmasi@mail.ru</t>
  </si>
  <si>
    <t>Буттаева Маликат Артуровна</t>
  </si>
  <si>
    <t>Кизилюрт г</t>
  </si>
  <si>
    <t>+7(918)845-61-23</t>
  </si>
  <si>
    <t>manya.freecs@gmail.com</t>
  </si>
  <si>
    <t>Бухтеев Олег Максимович</t>
  </si>
  <si>
    <t>+7(910)415-34-67</t>
  </si>
  <si>
    <t>olemakk@mail.ru</t>
  </si>
  <si>
    <t>Бушаленко Иван Александрович</t>
  </si>
  <si>
    <t>+7(924)501-55-51</t>
  </si>
  <si>
    <t>bushworks@mail.ru</t>
  </si>
  <si>
    <t>вместе с Семеновым Я.С</t>
  </si>
  <si>
    <t>Бушуева Алина Николаевна</t>
  </si>
  <si>
    <t>Инновационные конструкционные материалы</t>
  </si>
  <si>
    <t>+7(987)540-38-51</t>
  </si>
  <si>
    <t>moscovets98@mail.ru</t>
  </si>
  <si>
    <t>Буянов Данил Романович</t>
  </si>
  <si>
    <t>89144545454; +7(924)375-49-44</t>
  </si>
  <si>
    <t>buda-0000@mail.ru</t>
  </si>
  <si>
    <t>Быканов Артём Сергеевич</t>
  </si>
  <si>
    <t>Гулькевичи г</t>
  </si>
  <si>
    <t>+79000726452; +7(988)363-74-10</t>
  </si>
  <si>
    <t>artembikan@yandex.ru</t>
  </si>
  <si>
    <t>Быков Вадим Дмитриевич</t>
  </si>
  <si>
    <t>Нерюнгри г</t>
  </si>
  <si>
    <t>+7(924)463-63-54</t>
  </si>
  <si>
    <t>bykovvadim18@gmail.com</t>
  </si>
  <si>
    <t>Быков Матвей Максимович</t>
  </si>
  <si>
    <t>+7(910)174-38-90</t>
  </si>
  <si>
    <t>komforti33@gmail.com</t>
  </si>
  <si>
    <t>Быков Михаил Михайлович</t>
  </si>
  <si>
    <t>Владимир г</t>
  </si>
  <si>
    <t>(915)775-91-82</t>
  </si>
  <si>
    <t>xrayteam14262@yandex.ru</t>
  </si>
  <si>
    <t>Быстров Дмитрий Александрович</t>
  </si>
  <si>
    <t>+7(912)988-62-79</t>
  </si>
  <si>
    <t>bda1308@mail.ru</t>
  </si>
  <si>
    <t>Бычков Антон Сергеевич</t>
  </si>
  <si>
    <t>2.8.7</t>
  </si>
  <si>
    <t>Теоретические основы проектирования горнотехнических систем</t>
  </si>
  <si>
    <t>Кемеровская обл</t>
  </si>
  <si>
    <t>89516192789; +7(985)864-72-87</t>
  </si>
  <si>
    <t>Anton3123@bk.ru</t>
  </si>
  <si>
    <t>Бычкова Елена Романовна</t>
  </si>
  <si>
    <t>+7(925)719-76-71</t>
  </si>
  <si>
    <t>bychkovaer@mail.ru</t>
  </si>
  <si>
    <t>Вавилов Сергей Михайлович</t>
  </si>
  <si>
    <t>89822505472; +7(902)836-38-10</t>
  </si>
  <si>
    <t>sergei.vavilov2015@yandex.ru</t>
  </si>
  <si>
    <t>Вагин Илья Александрович</t>
  </si>
  <si>
    <t>+7(919)227-90-65</t>
  </si>
  <si>
    <t>VAGIN.ILYA1707@YANDEX.RU</t>
  </si>
  <si>
    <t>Важенин Егор Владимирович</t>
  </si>
  <si>
    <t>Алтайский край</t>
  </si>
  <si>
    <t>Бийск г</t>
  </si>
  <si>
    <t>+7(962)806-32-19</t>
  </si>
  <si>
    <t>egor.vazhenin2015@yandex.ru</t>
  </si>
  <si>
    <t>Важинский Никита Михайлович</t>
  </si>
  <si>
    <t>Саров г</t>
  </si>
  <si>
    <t>(909)288-89-30</t>
  </si>
  <si>
    <t>nikita_vazhinskiy@mail.ru</t>
  </si>
  <si>
    <t>Вакулюк Елена Геннадьевна</t>
  </si>
  <si>
    <t>+79505253923; +7(902)858-63-05</t>
  </si>
  <si>
    <t>vakulyukhelen@gmail.com</t>
  </si>
  <si>
    <t>Валеев Артём Романович</t>
  </si>
  <si>
    <t>+7(977)401-75-05</t>
  </si>
  <si>
    <t>artem19129@gmail.com</t>
  </si>
  <si>
    <t>Валюгин Михаил Александрович</t>
  </si>
  <si>
    <t>+7(910)123-96-09</t>
  </si>
  <si>
    <t>valyugin.mikhail@yandex.ru</t>
  </si>
  <si>
    <t>Варваровская Ольга Владимировна</t>
  </si>
  <si>
    <t>+79880211310; +7(988)015-37-35</t>
  </si>
  <si>
    <t>olga140202@yandex.ru</t>
  </si>
  <si>
    <t>Варкова Дарья Владимировна</t>
  </si>
  <si>
    <t>Самара г</t>
  </si>
  <si>
    <t>(937)208-29-94</t>
  </si>
  <si>
    <t>varkovad@mail.ru</t>
  </si>
  <si>
    <t>Варнавская Дарья Сергеевна</t>
  </si>
  <si>
    <t>+7(916)482-12-67</t>
  </si>
  <si>
    <t>darvarlol@gmail.com</t>
  </si>
  <si>
    <t>Варсанович Иван Андреевич</t>
  </si>
  <si>
    <t>+7(925)172-63-52</t>
  </si>
  <si>
    <t>ivanvarsanovic@gmail.com</t>
  </si>
  <si>
    <t>Василенко Александр Андреевич</t>
  </si>
  <si>
    <t>+7(926)136-80-63</t>
  </si>
  <si>
    <t>shimaxx@mail.ru</t>
  </si>
  <si>
    <t>Васильев Даниил Дмитриевич</t>
  </si>
  <si>
    <t>Новочебоксарск г</t>
  </si>
  <si>
    <t>+79373716076; +7(908)305-70-44</t>
  </si>
  <si>
    <t>sa.danilvas@gmail.com</t>
  </si>
  <si>
    <t>Васильев Данил Викторович</t>
  </si>
  <si>
    <t>Пусошур д</t>
  </si>
  <si>
    <t>+7(951)190-39-89</t>
  </si>
  <si>
    <t>vasdanilv@mail.ru</t>
  </si>
  <si>
    <t>Васильев Дмитрий Вадимович</t>
  </si>
  <si>
    <t>+7(916)153-20-04</t>
  </si>
  <si>
    <t>dimaplay2018@gmail.com</t>
  </si>
  <si>
    <t>Васильева Маргарита Игоревна</t>
  </si>
  <si>
    <t>+7(914)365-97-90</t>
  </si>
  <si>
    <t>margo.vasileva.margo@mail.ru</t>
  </si>
  <si>
    <t>Васильева Марина Вадимовна</t>
  </si>
  <si>
    <t>+7(915)310-86-30</t>
  </si>
  <si>
    <t>vmarinav2013@gmail.com</t>
  </si>
  <si>
    <t>Васильева Мария Максимовна</t>
  </si>
  <si>
    <t>Инта г</t>
  </si>
  <si>
    <t>(912)554-44-71</t>
  </si>
  <si>
    <t>mariyv2000@mail.ru</t>
  </si>
  <si>
    <t>Васильчук Юлия Андреевна</t>
  </si>
  <si>
    <t>89160757150; +7(919)103-53-57</t>
  </si>
  <si>
    <t>svy-775@yandex.ru</t>
  </si>
  <si>
    <t>Василюк Таисия Олеговна</t>
  </si>
  <si>
    <t>+7(910)861-92-38</t>
  </si>
  <si>
    <t>taisiyavasiluk@mail.ru</t>
  </si>
  <si>
    <t>Васин Артём Александрович</t>
  </si>
  <si>
    <t>+7(917)935-56-10</t>
  </si>
  <si>
    <t>artmvas38@gmail.com</t>
  </si>
  <si>
    <t>Васин Ростислав Константинович</t>
  </si>
  <si>
    <t>Барнаул г</t>
  </si>
  <si>
    <t>+7(983)387-84-13</t>
  </si>
  <si>
    <t>kostyarostya@gmail.com</t>
  </si>
  <si>
    <t>Васина Анастасия Александровна</t>
  </si>
  <si>
    <t>+7(915)122-69-47</t>
  </si>
  <si>
    <t>a.vasina0209@gmail.com</t>
  </si>
  <si>
    <t>Васичкина Валерия Андреевна</t>
  </si>
  <si>
    <t>+7(910)786-14-10</t>
  </si>
  <si>
    <t>Vasichkina26@bk.ru</t>
  </si>
  <si>
    <t>Васькова Мария Алексеевна</t>
  </si>
  <si>
    <t>Костромская обл</t>
  </si>
  <si>
    <t>Кострома г</t>
  </si>
  <si>
    <t>+7(915)927-78-12</t>
  </si>
  <si>
    <t>masha-vaskova@inbox.ru</t>
  </si>
  <si>
    <t>Ватутина Ксения Алексеевна</t>
  </si>
  <si>
    <t>+7(926)038-54-45</t>
  </si>
  <si>
    <t>kseniya212005@gmail.com</t>
  </si>
  <si>
    <t>Вахрушев Роман Алексеевич</t>
  </si>
  <si>
    <t>Таганрог г</t>
  </si>
  <si>
    <t>+7(999)692-53-43</t>
  </si>
  <si>
    <t>romavahaa@gmail.com</t>
  </si>
  <si>
    <t>женат, вместе с Вахрушевой И.О.</t>
  </si>
  <si>
    <t>Вахрушева Ирина Олеговна</t>
  </si>
  <si>
    <t>2.6.5</t>
  </si>
  <si>
    <t>Порошковая металлургия и композиционные материалы</t>
  </si>
  <si>
    <t>Миллерово г</t>
  </si>
  <si>
    <t>+7(989)623-14-97</t>
  </si>
  <si>
    <t>89896231497i@gmail.com</t>
  </si>
  <si>
    <t>замужем, вместе с Вахрушевым Р.А.</t>
  </si>
  <si>
    <t>Вегерина Ксения Андреевна</t>
  </si>
  <si>
    <t>+79206383050; +7(930)876-58-44</t>
  </si>
  <si>
    <t>avvegerin@gmail.com</t>
  </si>
  <si>
    <t>Веденина Екатерина Евгеньевна</t>
  </si>
  <si>
    <t>(926)841-02-86; +79268410286</t>
  </si>
  <si>
    <t>katveden@yandex.ru</t>
  </si>
  <si>
    <t>ходатайство, сотрудник через ЖК</t>
  </si>
  <si>
    <t>Веккер Виктор Владиславович</t>
  </si>
  <si>
    <t>Оренбург г</t>
  </si>
  <si>
    <t>+7(922)554-56-38</t>
  </si>
  <si>
    <t>vvv.v12akk@gmail.com</t>
  </si>
  <si>
    <t>Великанов Вадим Михайлович</t>
  </si>
  <si>
    <t>+79154620872; +7(910)464-94-01</t>
  </si>
  <si>
    <t>vadim.for.school@gmail.com</t>
  </si>
  <si>
    <t>Величко Алиса Алексеевна</t>
  </si>
  <si>
    <t>Камышин г</t>
  </si>
  <si>
    <t>+7(961)657-57-61</t>
  </si>
  <si>
    <t>alisa200599@gmail.com</t>
  </si>
  <si>
    <t>Величко Валерия Витальевна</t>
  </si>
  <si>
    <t>+7(777)298-51-42</t>
  </si>
  <si>
    <t>valeriahartman59@gmail.ru</t>
  </si>
  <si>
    <t>Величко Иван Михайлович</t>
  </si>
  <si>
    <t>Карачаево-Черкесская Респ</t>
  </si>
  <si>
    <t>Курджиново с</t>
  </si>
  <si>
    <t>+7(928)383-71-64</t>
  </si>
  <si>
    <t>ivan.velichko98@gmail.com</t>
  </si>
  <si>
    <t>Венедиктова Валерия Сергеевна</t>
  </si>
  <si>
    <t>Арзамас г</t>
  </si>
  <si>
    <t>+79101468696; +7(908)759-48-02</t>
  </si>
  <si>
    <t>venediktova.valeria@yandex.ru</t>
  </si>
  <si>
    <t>Вербицкий Виталий Васильевич</t>
  </si>
  <si>
    <t>Первоуральск г</t>
  </si>
  <si>
    <t>+79505582987; +7(912)230-17-84</t>
  </si>
  <si>
    <t>v.werba@mail.ru</t>
  </si>
  <si>
    <t>Веревкин Василий Михайлович</t>
  </si>
  <si>
    <t>+7(916)533-53-62</t>
  </si>
  <si>
    <t>vassav1987@gmail.com</t>
  </si>
  <si>
    <t>Вереникин Арсений Дмитриевич</t>
  </si>
  <si>
    <t>+7(926)540-26-61</t>
  </si>
  <si>
    <t>arsutavich@gmail.com</t>
  </si>
  <si>
    <t>Вереникин Михаил Алексеевич</t>
  </si>
  <si>
    <t>Липецк г</t>
  </si>
  <si>
    <t>+7(916)520-64-16</t>
  </si>
  <si>
    <t>mverenikin@mail.ru</t>
  </si>
  <si>
    <t>Верещагина Татьяна Владимировна</t>
  </si>
  <si>
    <t>Чехов г</t>
  </si>
  <si>
    <t>+7(977)493-17-82</t>
  </si>
  <si>
    <t>VR.RSTT14@GMAIL.COM</t>
  </si>
  <si>
    <t>Верховникова Екатерина Николаевна</t>
  </si>
  <si>
    <t>+7(915)122-84-43</t>
  </si>
  <si>
    <t>maus-82@mail.ru</t>
  </si>
  <si>
    <t>Вешнякова Елизавета Сергеевна</t>
  </si>
  <si>
    <t>Мордовия Респ</t>
  </si>
  <si>
    <t>Саранск г</t>
  </si>
  <si>
    <t>+79276402351; +7(927)189-35-60</t>
  </si>
  <si>
    <t>veshnyakovaliza12@gmail.com</t>
  </si>
  <si>
    <t>Виговский Антон Андреевич</t>
  </si>
  <si>
    <t>+79152111033; +7(914)589-50-11</t>
  </si>
  <si>
    <t>obisessionprime@gmail.com</t>
  </si>
  <si>
    <t>Вигуров Максим Сергеевич</t>
  </si>
  <si>
    <t>Калининградская обл</t>
  </si>
  <si>
    <t>Гурьевск г</t>
  </si>
  <si>
    <t>Энергетический менеджмент</t>
  </si>
  <si>
    <t>+7 (991) 484-70-43; +7(902)252-12-05</t>
  </si>
  <si>
    <t>2215496maksim@gmail.com</t>
  </si>
  <si>
    <t>Визарамалаже Надишани Джаявартхана</t>
  </si>
  <si>
    <t>Шри-Ланка</t>
  </si>
  <si>
    <t>Коломбо</t>
  </si>
  <si>
    <t>+7(919)385-40-96</t>
  </si>
  <si>
    <t>nadeeshanijaya2022@gmail.com</t>
  </si>
  <si>
    <t>Викториано Абреу Джерси</t>
  </si>
  <si>
    <t>4362ст</t>
  </si>
  <si>
    <t>Доминиканская Республика</t>
  </si>
  <si>
    <t>jersybecaria2022@gmail.com</t>
  </si>
  <si>
    <t>Винарская Арина Борисовна</t>
  </si>
  <si>
    <t>+7(916)751-59-75</t>
  </si>
  <si>
    <t>arina40406@mail.ru</t>
  </si>
  <si>
    <t>Винникова Дарья Павловна</t>
  </si>
  <si>
    <t>+7(915)982-51-88</t>
  </si>
  <si>
    <t>davinn2005@gmail.com</t>
  </si>
  <si>
    <t>Виноградов Андрей Васильевич</t>
  </si>
  <si>
    <t>+7(915)447-94-67</t>
  </si>
  <si>
    <t>ramagf@yandex.ru</t>
  </si>
  <si>
    <t>Виноградов Владимир Владимирович</t>
  </si>
  <si>
    <t>+7(977)440-98-22</t>
  </si>
  <si>
    <t>vovavin.zel@mail.ru</t>
  </si>
  <si>
    <t>Виноградов Станислав Олегович</t>
  </si>
  <si>
    <t>+7(999)840-30-05</t>
  </si>
  <si>
    <t>keyjsybtab@list.ru</t>
  </si>
  <si>
    <t>Виноградова Ангелина Олеговна</t>
  </si>
  <si>
    <t>+7(917)407-31-27; +7(917)045-02-45</t>
  </si>
  <si>
    <t>anggelinavinogradova@mail.ru</t>
  </si>
  <si>
    <t>Виноградова Светлана Александровна</t>
  </si>
  <si>
    <t>Домодедово г</t>
  </si>
  <si>
    <t>+7(926)843-88-11</t>
  </si>
  <si>
    <t>sveta.vinogradova.05@mail.ru</t>
  </si>
  <si>
    <t>Вихастая Елена Руслановна</t>
  </si>
  <si>
    <t>+7(903)110-58-29; +7(903)578-85-08</t>
  </si>
  <si>
    <t>vikhastayae@mail.ru</t>
  </si>
  <si>
    <t>Вишнякова Анжелика Александровна</t>
  </si>
  <si>
    <t>+7(961)672-17-77</t>
  </si>
  <si>
    <t>cherrylika@bk.ru</t>
  </si>
  <si>
    <t>Вишнякова Кристина Георгиевна</t>
  </si>
  <si>
    <t>Тольятти г</t>
  </si>
  <si>
    <t>+7(937)238-63-83</t>
  </si>
  <si>
    <t>vishniakova17@gmail.com</t>
  </si>
  <si>
    <t>Владыкин Александр Олегович</t>
  </si>
  <si>
    <t>+7(912)853-95-24</t>
  </si>
  <si>
    <t>A.Vladykin04@gmail.com</t>
  </si>
  <si>
    <t>Владыкина София Александровна</t>
  </si>
  <si>
    <t>2.10.1</t>
  </si>
  <si>
    <t>Пожарная безопасность</t>
  </si>
  <si>
    <t>Девятово д</t>
  </si>
  <si>
    <t>+7(912)003-03-56</t>
  </si>
  <si>
    <t>s.a.vladykina27@gmail.com</t>
  </si>
  <si>
    <t>Владычкин Вадим Андреевич</t>
  </si>
  <si>
    <t>+7(905)756-04-70</t>
  </si>
  <si>
    <t>vadim.vladychkin@yandex.ru</t>
  </si>
  <si>
    <t>Власов Александр Евгеньевич</t>
  </si>
  <si>
    <t>(965)383-13-22</t>
  </si>
  <si>
    <t>sashok008vlasov@gmail.com</t>
  </si>
  <si>
    <t>Власова Владмира Андреевна</t>
  </si>
  <si>
    <t>+7(930)788-88-03</t>
  </si>
  <si>
    <t>vladav98@yandex.ru</t>
  </si>
  <si>
    <t>Водовозова Дарья Денисовна</t>
  </si>
  <si>
    <t>+7(960)859-01-60; +79608590160</t>
  </si>
  <si>
    <t>d-vodovozova@mail.ru</t>
  </si>
  <si>
    <t>Водолазкин Дмитрий Дмитриевич</t>
  </si>
  <si>
    <t>Металлы высоких технологий</t>
  </si>
  <si>
    <t>+7(977)878-27-38</t>
  </si>
  <si>
    <t>m1901504@edu.misis.ru</t>
  </si>
  <si>
    <t>Водянов Даниил Игоревич</t>
  </si>
  <si>
    <t>+7(910)426-32-74</t>
  </si>
  <si>
    <t>daniel.vodyanov@yandex.ru</t>
  </si>
  <si>
    <t>Воеводина Виктория Евгеньевна</t>
  </si>
  <si>
    <t>89535255088; (900)463-33-12</t>
  </si>
  <si>
    <t>vikavoe@mail.ru</t>
  </si>
  <si>
    <t>Дом Коммуна (Блок Б)</t>
  </si>
  <si>
    <t>Войнова София Сергеевна</t>
  </si>
  <si>
    <t>+7(910)145-68-09</t>
  </si>
  <si>
    <t>voynovasophie@yandex.ru</t>
  </si>
  <si>
    <t>Войтова Снежана Сергеевна</t>
  </si>
  <si>
    <t>+79536093282; +7(912)278-67-15</t>
  </si>
  <si>
    <t>vojtovasnezana10@gmail.com</t>
  </si>
  <si>
    <t>Волга Полина Олеговна</t>
  </si>
  <si>
    <t>Мурманская обл</t>
  </si>
  <si>
    <t>Апатиты г</t>
  </si>
  <si>
    <t>+7(960)028-30-74</t>
  </si>
  <si>
    <t>polina.volga51@gmail.com</t>
  </si>
  <si>
    <t>Волегов Денис Витальевич</t>
  </si>
  <si>
    <t>Полысаево г</t>
  </si>
  <si>
    <t>+7(995)316-35-00</t>
  </si>
  <si>
    <t>volegovdenis18@gmail.com</t>
  </si>
  <si>
    <t>Волков Валентин Александрович</t>
  </si>
  <si>
    <t>+7(961)134-19-96</t>
  </si>
  <si>
    <t>VALENTINVOLKOVGG@GMAIL.COM</t>
  </si>
  <si>
    <t>Волкова Анна Николаевна</t>
  </si>
  <si>
    <t>Переславль-Залесский г</t>
  </si>
  <si>
    <t>+7(905)635-30-27</t>
  </si>
  <si>
    <t>annawlkva2005@gmail.com</t>
  </si>
  <si>
    <t>Волкова Екатерина Андреевна</t>
  </si>
  <si>
    <t>+7(909)628-21-72</t>
  </si>
  <si>
    <t>TOKATIATO@GMAIL.COM</t>
  </si>
  <si>
    <t>Волобуев Никита Алексеевич</t>
  </si>
  <si>
    <t>Красногорск г</t>
  </si>
  <si>
    <t>+7(903)627-36-11</t>
  </si>
  <si>
    <t>moderncrusader98@gmail.com</t>
  </si>
  <si>
    <t>Вологин Иван Александрович</t>
  </si>
  <si>
    <t>+7(985)436-35-61</t>
  </si>
  <si>
    <t>joker.eur@yandex.ru</t>
  </si>
  <si>
    <t>Волосянка Кирилл Федорович</t>
  </si>
  <si>
    <t>+7(929)655-31-30</t>
  </si>
  <si>
    <t>lliriki30@mail.ru</t>
  </si>
  <si>
    <t>Волосяцкий Артем Витальевич</t>
  </si>
  <si>
    <t>+7(926)565-75-33</t>
  </si>
  <si>
    <t>wilvit@mail.ru</t>
  </si>
  <si>
    <t>Волошин Роман Евгеньевич</t>
  </si>
  <si>
    <t>+7(985)396-30-36</t>
  </si>
  <si>
    <t>roma.fm.ru@gmail.com</t>
  </si>
  <si>
    <t>Волошина Александра Алексеевна</t>
  </si>
  <si>
    <t>+7(952)460-74-33</t>
  </si>
  <si>
    <t>SASHAVOLOSHINAAA09@GMAIL.COM</t>
  </si>
  <si>
    <t>Волыхина Мария Константиновна</t>
  </si>
  <si>
    <t>Завьялово с</t>
  </si>
  <si>
    <t>+7(912)753-65-05</t>
  </si>
  <si>
    <t>mari.volykhina@mail.ru</t>
  </si>
  <si>
    <t>Вольвачева Дарья Александровна</t>
  </si>
  <si>
    <t>+7(999)442-15-88</t>
  </si>
  <si>
    <t>nadezhda.volv@mail.ru</t>
  </si>
  <si>
    <t>Вольская Алёна Александровна</t>
  </si>
  <si>
    <t>+7(915)470-72-05</t>
  </si>
  <si>
    <t>thealenagames@gmail.com</t>
  </si>
  <si>
    <t>Вольшонок Федор Игоревич</t>
  </si>
  <si>
    <t>38.04.02</t>
  </si>
  <si>
    <t>Электросталь г</t>
  </si>
  <si>
    <t>Финансовый менеджмент</t>
  </si>
  <si>
    <t>(985)301-39-69</t>
  </si>
  <si>
    <t>fedorvolshonok@mail.ru</t>
  </si>
  <si>
    <t>Воробьев Алексей Петрович</t>
  </si>
  <si>
    <t>+7(910)680-51-63</t>
  </si>
  <si>
    <t>alecseui20052005@gmail.com</t>
  </si>
  <si>
    <t>Воробьев Иван Александрович</t>
  </si>
  <si>
    <t>Тамбов г</t>
  </si>
  <si>
    <t>+7(915)676-40-14; 89108547002</t>
  </si>
  <si>
    <t>ioannvorobev121204@gmail.com</t>
  </si>
  <si>
    <t>Воробьев Михаил Олегович</t>
  </si>
  <si>
    <t>Видное г</t>
  </si>
  <si>
    <t>+79852956838; +7(925)301-66-58</t>
  </si>
  <si>
    <t>m1900820@edu.misis.ru</t>
  </si>
  <si>
    <t>Воробьев Никита Сергеевич</t>
  </si>
  <si>
    <t>+7(982)125-83-89</t>
  </si>
  <si>
    <t>nikita21.01.2006@mail.ru</t>
  </si>
  <si>
    <t>Воробьев Яков Рудольфович</t>
  </si>
  <si>
    <t>Кировская обл</t>
  </si>
  <si>
    <t>Киров г</t>
  </si>
  <si>
    <t>89128242844; +7(919)500-18-27</t>
  </si>
  <si>
    <t>akovv281@gmail.com</t>
  </si>
  <si>
    <t>Воробьева Анна Геннадьевна</t>
  </si>
  <si>
    <t>+79255896939; +7(926)705-72-23</t>
  </si>
  <si>
    <t>annawww2005@gmail.com</t>
  </si>
  <si>
    <t>Воронин Владимир Александрович</t>
  </si>
  <si>
    <t>+7(968)873-14-00</t>
  </si>
  <si>
    <t>v.v.a.89@mail.ru</t>
  </si>
  <si>
    <t>Воронов Виктор Андреевич</t>
  </si>
  <si>
    <t>(968)761-39-26; +79687613926</t>
  </si>
  <si>
    <t>fan.of.dc@yandex.ru</t>
  </si>
  <si>
    <t>Воронова Александра Васильевна</t>
  </si>
  <si>
    <t>Крым Респ</t>
  </si>
  <si>
    <t>Керчь г</t>
  </si>
  <si>
    <t>+79782681034; +7(978)142-69-34</t>
  </si>
  <si>
    <t>vsasha779@gmail.com</t>
  </si>
  <si>
    <t>Воронцов Илья Андреевич</t>
  </si>
  <si>
    <t>Лыткарино г</t>
  </si>
  <si>
    <t>+7(926)906-93-01</t>
  </si>
  <si>
    <t>ilya.voron.ptica@yandex.ru</t>
  </si>
  <si>
    <t>Восканян Араик Ашотович</t>
  </si>
  <si>
    <t>+7(926)645-35-05</t>
  </si>
  <si>
    <t>araik20061211@gmail.com</t>
  </si>
  <si>
    <t>Вострова Мария Дмитриевна</t>
  </si>
  <si>
    <t>+7(906)050-00-97</t>
  </si>
  <si>
    <t>mvostrova04@mail.ru</t>
  </si>
  <si>
    <t>Вострокнутов Иван Евгеньевич</t>
  </si>
  <si>
    <t>Воткинск г</t>
  </si>
  <si>
    <t>+7(951)215-81-22</t>
  </si>
  <si>
    <t>ivan.vostroknutoff@gmail.com</t>
  </si>
  <si>
    <t>Вохидов Мухаммадали Сайдалиевич</t>
  </si>
  <si>
    <t>Согдейская область</t>
  </si>
  <si>
    <t>Исфары</t>
  </si>
  <si>
    <t>+7(915)384-77-33</t>
  </si>
  <si>
    <t>muhammadalikhuja@gmail.com</t>
  </si>
  <si>
    <t>Вторников Михаил Юрьевич</t>
  </si>
  <si>
    <t>+7(963)528-90-32</t>
  </si>
  <si>
    <t>Michael.vtor2302@mail.ru</t>
  </si>
  <si>
    <t>Второв Фёдор Иванович</t>
  </si>
  <si>
    <t>+79265349563; +7(926)600-52-50</t>
  </si>
  <si>
    <t>fvtorov@gmail.com</t>
  </si>
  <si>
    <t>Ву Тиен Тханг</t>
  </si>
  <si>
    <t>Вьетнам</t>
  </si>
  <si>
    <t>Винь Фук</t>
  </si>
  <si>
    <t>+7(996)675-86-13</t>
  </si>
  <si>
    <t>vutienthang3110@gmail.com</t>
  </si>
  <si>
    <t>Вынту Кристиан</t>
  </si>
  <si>
    <t>+7(991)946-50-24</t>
  </si>
  <si>
    <t>vintu2005@gmail.com</t>
  </si>
  <si>
    <t>Выприцкая Юлия Анатольевна</t>
  </si>
  <si>
    <t>Чаплыгин г</t>
  </si>
  <si>
    <t>+7(905)682-75-42</t>
  </si>
  <si>
    <t>ylyav2001@gmail.com</t>
  </si>
  <si>
    <t>Вяткина Марина Максимовна</t>
  </si>
  <si>
    <t>+7(919)902-02-43</t>
  </si>
  <si>
    <t>marina_vyatkinaa@mail.ru</t>
  </si>
  <si>
    <t>Габбасов Камиль Азатович</t>
  </si>
  <si>
    <t>Акъяр с</t>
  </si>
  <si>
    <t>+7(916)798-22-59</t>
  </si>
  <si>
    <t>geo.discovery@mail.ru</t>
  </si>
  <si>
    <t>Габдрахманов Заман Илшатович</t>
  </si>
  <si>
    <t>Солнечногорск г</t>
  </si>
  <si>
    <t>+7(977)479-52-00</t>
  </si>
  <si>
    <t>okaymans44@gmail.com</t>
  </si>
  <si>
    <t>Гаврилин Алексей Дмитриевич</t>
  </si>
  <si>
    <t>+7(999)615-41-90</t>
  </si>
  <si>
    <t>l.gavrilin@mail.ru</t>
  </si>
  <si>
    <t>Гаврилов Иван Ильич</t>
  </si>
  <si>
    <t>+7(901)694-71-14</t>
  </si>
  <si>
    <t>igavrilov2006@gmail.com</t>
  </si>
  <si>
    <t>Гаврилов Кирилл Константинович</t>
  </si>
  <si>
    <t>+79038020565; +7(903)198-51-35</t>
  </si>
  <si>
    <t>kgavrilovk@yandex.ru</t>
  </si>
  <si>
    <t>Гаврилов Павел Михайлович</t>
  </si>
  <si>
    <t>79636498418; +7(995)508-20-48</t>
  </si>
  <si>
    <t>gavrpash@gmail.com</t>
  </si>
  <si>
    <t>Гаврилов Юрий Алексеевич</t>
  </si>
  <si>
    <t>+7(906)924-24-30</t>
  </si>
  <si>
    <t>gavrilovyura22@yandex.ru</t>
  </si>
  <si>
    <t>Гаврин Артём Денисович</t>
  </si>
  <si>
    <t>+7(910)141-93-41</t>
  </si>
  <si>
    <t>overday3@yandex.ru</t>
  </si>
  <si>
    <t>Гаврин Илья Антонович</t>
  </si>
  <si>
    <t>(915)100-49-09</t>
  </si>
  <si>
    <t>iliagavrin@gmail.com</t>
  </si>
  <si>
    <t>Гаврюшенко Дарина Сергеевна</t>
  </si>
  <si>
    <t>Луганская Народная Респ</t>
  </si>
  <si>
    <t>Александровск г</t>
  </si>
  <si>
    <t>+7(978)021-88-92</t>
  </si>
  <si>
    <t>darinagavryushenko@yandex.ru</t>
  </si>
  <si>
    <t>Гагарин Василий Олегович</t>
  </si>
  <si>
    <t>Обучение иностранным языкам и педагогическое проектирование в цифровой среде / Second Language Teaching and Pedagogical Design in Digital Environments</t>
  </si>
  <si>
    <t>+7(960)893-96-72</t>
  </si>
  <si>
    <t>vasyaparyakin@yandex.ru</t>
  </si>
  <si>
    <t>Гаджиев Мурад Абубакарович</t>
  </si>
  <si>
    <t>Мичуринск г</t>
  </si>
  <si>
    <t>+7(905)048-03-50</t>
  </si>
  <si>
    <t>muhammadmariam1@mail.ru</t>
  </si>
  <si>
    <t>Галачинский Сергей Андреевич</t>
  </si>
  <si>
    <t>Киляковка п</t>
  </si>
  <si>
    <t>+7(904)756-80-50</t>
  </si>
  <si>
    <t>galacinskijs@gmail.com</t>
  </si>
  <si>
    <t>Галеницкая Валерия Александровна</t>
  </si>
  <si>
    <t>+79168164141; +7(999)899-27-72</t>
  </si>
  <si>
    <t>v.galenitskaya@list.ru</t>
  </si>
  <si>
    <t>Галиахметов Руслан Тимурович</t>
  </si>
  <si>
    <t>Белебей г</t>
  </si>
  <si>
    <t>+7(927)302-39-01</t>
  </si>
  <si>
    <t>gallliakhmetov@gmail.com</t>
  </si>
  <si>
    <t>Галиев Ильшат Радикович</t>
  </si>
  <si>
    <t>Нижнекамск г</t>
  </si>
  <si>
    <t>+7(987)289-70-55</t>
  </si>
  <si>
    <t>galiev2512@gmail.com</t>
  </si>
  <si>
    <t>Галимуллин Руслан Маратович</t>
  </si>
  <si>
    <t>Березовский г</t>
  </si>
  <si>
    <t>+7(951)585-63-28</t>
  </si>
  <si>
    <t>galimullin2003@bk.ru</t>
  </si>
  <si>
    <t>Галинурова Дарья Марселевна</t>
  </si>
  <si>
    <t>Нефтекамск г</t>
  </si>
  <si>
    <t>89174553397; +7(917)735-77-05</t>
  </si>
  <si>
    <t>xdariagalx@gmail.com</t>
  </si>
  <si>
    <t>Галченкова Елизавета Михайловна</t>
  </si>
  <si>
    <t>Белорецк г</t>
  </si>
  <si>
    <t>(906)371-96-22</t>
  </si>
  <si>
    <t>lizayka24@gmail.com</t>
  </si>
  <si>
    <t>Галыженков Евгений Вячеславович</t>
  </si>
  <si>
    <t>Рузаевка г</t>
  </si>
  <si>
    <t>+7(917)069-12-55</t>
  </si>
  <si>
    <t>eugenemartynov92@gmail.com</t>
  </si>
  <si>
    <t>Гальянова Евгения Юрьевна</t>
  </si>
  <si>
    <t>+79025001601; +7(950)542-80-98</t>
  </si>
  <si>
    <t>jenya_3005@mail.ru</t>
  </si>
  <si>
    <t>Галямова Яна Дмитриевна</t>
  </si>
  <si>
    <t>+79036630756; +7(903)612-80-88</t>
  </si>
  <si>
    <t>y_a_n_a_g@mail.ru</t>
  </si>
  <si>
    <t>Гамаюнова Ульяна Владимировна</t>
  </si>
  <si>
    <t>+7(904)034-09-86</t>
  </si>
  <si>
    <t>ugamayunova@yandex.ru</t>
  </si>
  <si>
    <t>Ганзя Татьяна Дмитриевна</t>
  </si>
  <si>
    <t>Воротынск п</t>
  </si>
  <si>
    <t>+7(953)322-23-75</t>
  </si>
  <si>
    <t>tatyana.ganzya@mail.ru</t>
  </si>
  <si>
    <t>Ганина Елизавета Олеговна</t>
  </si>
  <si>
    <t>+7(953)564-34-69</t>
  </si>
  <si>
    <t>elizaveta.ganina22@gmail.com</t>
  </si>
  <si>
    <t>Ганчо Александра Максимовна</t>
  </si>
  <si>
    <t>+7(903)583-87-14</t>
  </si>
  <si>
    <t>alexandra05shked@mail.ru</t>
  </si>
  <si>
    <t>Ганьжина Татьяна Юрьевна</t>
  </si>
  <si>
    <t>Лысьва г</t>
  </si>
  <si>
    <t>+7(952)650-14-27; +7(951)951-21-22; 89526501427</t>
  </si>
  <si>
    <t>ganzhina.01@mail.ru</t>
  </si>
  <si>
    <t>Гараева Вероника Валерьевна</t>
  </si>
  <si>
    <t>Камчатский край</t>
  </si>
  <si>
    <t>Петропавловск-Камчатский г</t>
  </si>
  <si>
    <t>+7(962)280-09-71</t>
  </si>
  <si>
    <t>igorpopugaj@gmail.com</t>
  </si>
  <si>
    <t>Гарифуллин Артём Альбертович</t>
  </si>
  <si>
    <t>(999)836-38-05</t>
  </si>
  <si>
    <t>garryfull4@gmail.com</t>
  </si>
  <si>
    <t>Гармажапов Амгалан Раднажапович</t>
  </si>
  <si>
    <t>Нур-Селение у</t>
  </si>
  <si>
    <t>+7(924)352-65-23</t>
  </si>
  <si>
    <t>amgalangarmazapov@gmail.com</t>
  </si>
  <si>
    <t>Гасак Илья Олегович</t>
  </si>
  <si>
    <t>Реутов г</t>
  </si>
  <si>
    <t>+7(985)910-63-00</t>
  </si>
  <si>
    <t>gasak.io@misis.ru</t>
  </si>
  <si>
    <t>Гасанов Руслан Арифович</t>
  </si>
  <si>
    <t>+7(968)753-57-57</t>
  </si>
  <si>
    <t>rusik09995@gmail.com</t>
  </si>
  <si>
    <t>Гасенко Марина Алексеевна</t>
  </si>
  <si>
    <t>Саратов г</t>
  </si>
  <si>
    <t>+7(962)619-53-35</t>
  </si>
  <si>
    <t>marina-gasenko@mail.ru</t>
  </si>
  <si>
    <t>Гасилов Илья Александрович</t>
  </si>
  <si>
    <t>Тейково г</t>
  </si>
  <si>
    <t>+7(963)150-20-77</t>
  </si>
  <si>
    <t>GASILOFFILYA@YANDEX.RU</t>
  </si>
  <si>
    <t>Гаули Парас Мани</t>
  </si>
  <si>
    <t>Непал</t>
  </si>
  <si>
    <t>+7(968)765-56-43</t>
  </si>
  <si>
    <t>ayushjung09@gmail.com</t>
  </si>
  <si>
    <t>Металлург-4</t>
  </si>
  <si>
    <t>Гафуров Тимур Тахирович</t>
  </si>
  <si>
    <t>+7(917)282-64-81</t>
  </si>
  <si>
    <t>timur.t.gafurov@mail.ru</t>
  </si>
  <si>
    <t>Гашемова Анна Сейфалиевна</t>
  </si>
  <si>
    <t>+998337700918; +7(998)337-70-09</t>
  </si>
  <si>
    <t>agashemova@gmail.com</t>
  </si>
  <si>
    <t>Гвоздева Вероника Александровна</t>
  </si>
  <si>
    <t>+7(901)286-27-67</t>
  </si>
  <si>
    <t>gvozdevaVA2004@yandex.ru</t>
  </si>
  <si>
    <t>Гвоздева Елизавета Васильевна</t>
  </si>
  <si>
    <t>Физическое металловедение (iPhD)</t>
  </si>
  <si>
    <t>(961)177-90-77; +79611779077</t>
  </si>
  <si>
    <t>gvozdeva.01@mail.ru</t>
  </si>
  <si>
    <t>Гвоздяный Семен Евгеньевич</t>
  </si>
  <si>
    <t>+7(903)587-85-53</t>
  </si>
  <si>
    <t>gvozduc@yandex.ru</t>
  </si>
  <si>
    <t>Гейченко Ярослав Олегович</t>
  </si>
  <si>
    <t>+7(963)722-65-35</t>
  </si>
  <si>
    <t>yarik_geichenko@mail.ru</t>
  </si>
  <si>
    <t>Георгиева Анастасия Антоновна</t>
  </si>
  <si>
    <t>Озерецкое с</t>
  </si>
  <si>
    <t>+7(977)456-95-68</t>
  </si>
  <si>
    <t>nastiageor@yandex.ru</t>
  </si>
  <si>
    <t>Гервасова Анна Александровна</t>
  </si>
  <si>
    <t>+7(985)720-28-33</t>
  </si>
  <si>
    <t>annagervasovaal@gmail.com</t>
  </si>
  <si>
    <t>Гердт Никита Андреевич</t>
  </si>
  <si>
    <t>+7(910)134-62-05</t>
  </si>
  <si>
    <t>z.x.y.nikita@gmail.com</t>
  </si>
  <si>
    <t>Герман Анна Александровна</t>
  </si>
  <si>
    <t>+7(929)574-22-28</t>
  </si>
  <si>
    <t>fyyfuthvfy.0305@gmail.com</t>
  </si>
  <si>
    <t>Герусова Мария Александровна</t>
  </si>
  <si>
    <t>+7(974)407-59-09</t>
  </si>
  <si>
    <t>mashagerusova1@gmail.com</t>
  </si>
  <si>
    <t>Герштейн Анастасия Сергеевна</t>
  </si>
  <si>
    <t>8(917)3455732; (917)402-26-54</t>
  </si>
  <si>
    <t>nastya.gershteyn@mail.ru</t>
  </si>
  <si>
    <t>Гибадуллина Гузель Расимовна</t>
  </si>
  <si>
    <t>+7(917)469-33-12</t>
  </si>
  <si>
    <t>greenstupidtea@gmail.com</t>
  </si>
  <si>
    <t>Гизатулин Дамир Шавкатович</t>
  </si>
  <si>
    <t>+7(926)105-07-49</t>
  </si>
  <si>
    <t>damir.86@inbox.ru</t>
  </si>
  <si>
    <t>Гиззатуллин Руслан Илшатович</t>
  </si>
  <si>
    <t>+7(925)714-49-39</t>
  </si>
  <si>
    <t>ruslan-g05@mail.ru</t>
  </si>
  <si>
    <t>Гиззатуллина Динара Марселевна</t>
  </si>
  <si>
    <t>+7(996)606-55-10; +79966065510</t>
  </si>
  <si>
    <t>dincertus@yandex.ru</t>
  </si>
  <si>
    <t>Гизитдинова Анастасия Владимировна</t>
  </si>
  <si>
    <t>Златоуст г</t>
  </si>
  <si>
    <t>+7(909)0893310</t>
  </si>
  <si>
    <t>xxstmney@mail.ru</t>
  </si>
  <si>
    <t>Гилевич Игорь Константинович</t>
  </si>
  <si>
    <t>Курганская обл</t>
  </si>
  <si>
    <t>Курган г</t>
  </si>
  <si>
    <t>+7(919)577-20-75</t>
  </si>
  <si>
    <t>gilertup@yandex.ru</t>
  </si>
  <si>
    <t>Гильдерман Валерий Сергеевич</t>
  </si>
  <si>
    <t>+7(999)895-63-62</t>
  </si>
  <si>
    <t>sekretbot@gmail.com</t>
  </si>
  <si>
    <t>Гисина Анастасия Ильинична</t>
  </si>
  <si>
    <t>+7(995)901-05-15</t>
  </si>
  <si>
    <t>anastasia.gisina@inbox.ru</t>
  </si>
  <si>
    <t>Гладких Анастасия Юрьевна</t>
  </si>
  <si>
    <t>Иркутск г</t>
  </si>
  <si>
    <t>+7(914)893-61-99</t>
  </si>
  <si>
    <t>Nastyusha_Gladkih@mail.ru</t>
  </si>
  <si>
    <t>Глазков Илья Максимович</t>
  </si>
  <si>
    <t>+7(915)326-71-17</t>
  </si>
  <si>
    <t>ilyaglazkkv@gmail.com</t>
  </si>
  <si>
    <t>Глазов Владислав Сергеевич</t>
  </si>
  <si>
    <t>+7(977)997-36-77</t>
  </si>
  <si>
    <t>empity.super@gmail.com</t>
  </si>
  <si>
    <t>Глатко Светлана Андреевна</t>
  </si>
  <si>
    <t>(977)875-71-95; +7(950)691-06-92</t>
  </si>
  <si>
    <t>taratorina.svetlana99@mail.ru</t>
  </si>
  <si>
    <t>Г-1, остается, проживает с мужем</t>
  </si>
  <si>
    <t>Глебов Никита Александрович</t>
  </si>
  <si>
    <t>+7(999)519-31-43</t>
  </si>
  <si>
    <t>mightysuffer@ya.ru</t>
  </si>
  <si>
    <t>Глотов Павел Игоревич</t>
  </si>
  <si>
    <t>+7(915)347-64-05</t>
  </si>
  <si>
    <t>pavelglotov00@yandex.ru</t>
  </si>
  <si>
    <t>Глухов Александр Александрович</t>
  </si>
  <si>
    <t>Верея п</t>
  </si>
  <si>
    <t>+7(916)900-78-11</t>
  </si>
  <si>
    <t>gluhow.sany@yandex.ru</t>
  </si>
  <si>
    <t>Глухов Максим Сергеевич</t>
  </si>
  <si>
    <t>+7(925)358-30-20</t>
  </si>
  <si>
    <t>gluhowmswo@gmail.com</t>
  </si>
  <si>
    <t>Глушков Михаил Андреевич</t>
  </si>
  <si>
    <t>+7(985)956-60-38</t>
  </si>
  <si>
    <t>bivis1020@mail.ru</t>
  </si>
  <si>
    <t>Глущенко Анастасия Артёмовна</t>
  </si>
  <si>
    <t>+7(988)160-59-83</t>
  </si>
  <si>
    <t>nansyg29@gmail.com</t>
  </si>
  <si>
    <t>Гнатюк Антон Николаевич</t>
  </si>
  <si>
    <t>+79259186543; +7(964)554-99-66</t>
  </si>
  <si>
    <t>89645549966@mail.ru</t>
  </si>
  <si>
    <t>Гнатюк Олеся Дмитриевна</t>
  </si>
  <si>
    <t>+7(917)591-70-22</t>
  </si>
  <si>
    <t>olessya1234@mail.ru</t>
  </si>
  <si>
    <t>Гнеушева Полина Игоревна</t>
  </si>
  <si>
    <t>+7(980)316-47-84</t>
  </si>
  <si>
    <t>polina_gneusheva.05@mail.ru</t>
  </si>
  <si>
    <t>Говорухина Ксения Дмитриевна</t>
  </si>
  <si>
    <t>+7(925)235-46-40</t>
  </si>
  <si>
    <t>ksyugov01@mail.ru</t>
  </si>
  <si>
    <t>Гогчян Армен Давидович</t>
  </si>
  <si>
    <t>+7(927)778-66-66</t>
  </si>
  <si>
    <t>ARMEN.GOGCHYAN05@MAIL.RU</t>
  </si>
  <si>
    <t>Голикова Маргарита Алексеевна</t>
  </si>
  <si>
    <t>+7(902)040-47-29</t>
  </si>
  <si>
    <t>rita08golikova99@gmail.com</t>
  </si>
  <si>
    <t>Голкин Игорь Денисович</t>
  </si>
  <si>
    <t>+7(916)338-15-36</t>
  </si>
  <si>
    <t>igoreha.golkin@gmail.com</t>
  </si>
  <si>
    <t>Голованов Никита Сергеевич</t>
  </si>
  <si>
    <t>Щербинка г</t>
  </si>
  <si>
    <t>+7(915)439-46-65</t>
  </si>
  <si>
    <t>cell-26@yandex.ru</t>
  </si>
  <si>
    <t>Головина Дарья Васильевна</t>
  </si>
  <si>
    <t>+7(909)352-84-06</t>
  </si>
  <si>
    <t>ms.golovina.daria@mail.ru</t>
  </si>
  <si>
    <t>Голощапов Дмитрий Вячеславович</t>
  </si>
  <si>
    <t>+7(926)402-62-48</t>
  </si>
  <si>
    <t>golosapovdmitrij86@gmail.com</t>
  </si>
  <si>
    <t>Голубев Максим Дмитриевич</t>
  </si>
  <si>
    <t>+7(953)468-30-78</t>
  </si>
  <si>
    <t>maksim.joker.02@bk.ru</t>
  </si>
  <si>
    <t>Голубева Екатерина Михайловна</t>
  </si>
  <si>
    <t>+7(977)476-94-68</t>
  </si>
  <si>
    <t>startmaster011@mail.ru</t>
  </si>
  <si>
    <t>Голубева Лада Андреевна</t>
  </si>
  <si>
    <t>+7(903)144-32-63; +7(925)059-40-44</t>
  </si>
  <si>
    <t>golubevalada07@gmail.com</t>
  </si>
  <si>
    <t>Голубинский Владимир Петрович</t>
  </si>
  <si>
    <t>+7(919)764-94-25</t>
  </si>
  <si>
    <t>golubinskiivladimir@gmail.com</t>
  </si>
  <si>
    <t>Голубничая Яна Андреевна</t>
  </si>
  <si>
    <t>Приданниково д</t>
  </si>
  <si>
    <t>+7(922)227-74-85</t>
  </si>
  <si>
    <t>YANAG0LLB@GMAIL.COM</t>
  </si>
  <si>
    <t>Гольдин Даниил Сергеевич</t>
  </si>
  <si>
    <t>+79031184726; +7(926)196-85-26</t>
  </si>
  <si>
    <t>daniagoldin@yandex.ru</t>
  </si>
  <si>
    <t>Гомзикова Ангелина Андреевна</t>
  </si>
  <si>
    <t>+7(926)680-66-78</t>
  </si>
  <si>
    <t>gomzikovaangelina@yandex.ru</t>
  </si>
  <si>
    <t>Гомонов Алексей Сергеевич</t>
  </si>
  <si>
    <t>(985)632-75-53</t>
  </si>
  <si>
    <t>gomonovaleksey@yandex.ru</t>
  </si>
  <si>
    <t>Гончаров Данил Алексеевич</t>
  </si>
  <si>
    <t>+79177226580; +7(902)650-94-11</t>
  </si>
  <si>
    <t>bigwitch3r@gmail.com</t>
  </si>
  <si>
    <t>Гончаров Леонид Александрович</t>
  </si>
  <si>
    <t>Волгодонск г</t>
  </si>
  <si>
    <t>(988)566-86-08; 9885653961</t>
  </si>
  <si>
    <t>delaleo@mail.ru</t>
  </si>
  <si>
    <t>Гончарова Мария Игоревна</t>
  </si>
  <si>
    <t>+7(937)885-86-58</t>
  </si>
  <si>
    <t>lmaria0210@mail.ru</t>
  </si>
  <si>
    <t>Горб Екатерина Александровна</t>
  </si>
  <si>
    <t>+7(904)469-64-44</t>
  </si>
  <si>
    <t>kate_gorb0@mail.ru</t>
  </si>
  <si>
    <t>Горбач Валерия Александровна</t>
  </si>
  <si>
    <t>Ялта г</t>
  </si>
  <si>
    <t>+79785207122; +7(978)708-38-18</t>
  </si>
  <si>
    <t>iri-gorba@yandex.ru</t>
  </si>
  <si>
    <t>Горбачева Кира Константиновна</t>
  </si>
  <si>
    <t>+7(917)538-34-39</t>
  </si>
  <si>
    <t>kira.gorbacheva23@inbox.ru</t>
  </si>
  <si>
    <t>Горбачева Полина Александровна</t>
  </si>
  <si>
    <t>(920)034-81-04</t>
  </si>
  <si>
    <t>happypolya.aleksandrova@yandex.ru</t>
  </si>
  <si>
    <t>Горбачевский Кирилл Евгеньевич</t>
  </si>
  <si>
    <t>Черемхово г</t>
  </si>
  <si>
    <t>+7(904)147-75-92</t>
  </si>
  <si>
    <t>kirillgorbacevskij287@gmail.com</t>
  </si>
  <si>
    <t>Горбенко Артём Дмитриевич</t>
  </si>
  <si>
    <t>+7(925)182-51-39</t>
  </si>
  <si>
    <t>artemgorbenk@yandex.ru</t>
  </si>
  <si>
    <t>Горбовская Екатерина Сергеевна</t>
  </si>
  <si>
    <t>+79104526244; +7(917)510-69-52</t>
  </si>
  <si>
    <t>e-gorbovskaya.98@mail.ru</t>
  </si>
  <si>
    <t>Горбунов Александр Игоревич</t>
  </si>
  <si>
    <t>Донской Рудник п</t>
  </si>
  <si>
    <t>+7(920)543-74-07</t>
  </si>
  <si>
    <t>alexv2033@mail.ru</t>
  </si>
  <si>
    <t>Студенческая 33</t>
  </si>
  <si>
    <t>Горин Александр Олегович</t>
  </si>
  <si>
    <t>+7(980)734-48-55</t>
  </si>
  <si>
    <t>alexgorin@gmail.com</t>
  </si>
  <si>
    <t>просьба ДВ</t>
  </si>
  <si>
    <t>Горин Денис Васильевич</t>
  </si>
  <si>
    <t>+7(921)833-10-16</t>
  </si>
  <si>
    <t>dvgv35@gmail.com</t>
  </si>
  <si>
    <t>Горинов Ярослав Денисович</t>
  </si>
  <si>
    <t>+7(919)494-35-30</t>
  </si>
  <si>
    <t>y4r9@yandex.ru</t>
  </si>
  <si>
    <t>Горобинский Михаил Владиславович</t>
  </si>
  <si>
    <t>+7(915)030-93-45</t>
  </si>
  <si>
    <t>mgorobinskiy@mail.ru</t>
  </si>
  <si>
    <t>Городник Никита Вячеславович</t>
  </si>
  <si>
    <t>Узловая г</t>
  </si>
  <si>
    <t>(953)956-39-61</t>
  </si>
  <si>
    <t>gorodnik.nik@mail.ru</t>
  </si>
  <si>
    <t>Горохов Александр Сергеевич</t>
  </si>
  <si>
    <t>+7(977)983-37-14</t>
  </si>
  <si>
    <t>alexandr.gorokhov05@gmail.com</t>
  </si>
  <si>
    <t>Горская София Олеговна</t>
  </si>
  <si>
    <t>Цифровая лингвистика и локализация</t>
  </si>
  <si>
    <t>+7(912)392-79-37</t>
  </si>
  <si>
    <t>masha_gorskaya@mail.ru</t>
  </si>
  <si>
    <t>Горшенина Ангелина Сергеевна</t>
  </si>
  <si>
    <t>Елабуга г</t>
  </si>
  <si>
    <t>+79936345036; +7(912)424-50-36</t>
  </si>
  <si>
    <t>m1900884@edu.misis.ru</t>
  </si>
  <si>
    <t>Горяник Евгений Юрьевич</t>
  </si>
  <si>
    <t>Донецкая Народная Респ</t>
  </si>
  <si>
    <t>Краматорск г</t>
  </si>
  <si>
    <t>+7(910)548-98-20</t>
  </si>
  <si>
    <t>evgenygoryanik@yandex.ru</t>
  </si>
  <si>
    <t>Горячев Вадим Денисович</t>
  </si>
  <si>
    <t>+7(923)486-09-67</t>
  </si>
  <si>
    <t>Vadim.Vadim.Gor@gmail.com</t>
  </si>
  <si>
    <t>Горячев Сергей Вячеславович</t>
  </si>
  <si>
    <t>+7(916)288-83-86</t>
  </si>
  <si>
    <t>goryachevsergiy@yandex.ru</t>
  </si>
  <si>
    <t>Горячева Виктория Евгеньевна</t>
  </si>
  <si>
    <t>+79104636508; +7(985)278-68-97</t>
  </si>
  <si>
    <t>vikagor05@yandex.ru</t>
  </si>
  <si>
    <t>Гостев Артем Алексеевич</t>
  </si>
  <si>
    <t>+7(916)520-58-88</t>
  </si>
  <si>
    <t>gos-1@mail.ru</t>
  </si>
  <si>
    <t>Гоцкина Елизавета Денисовна</t>
  </si>
  <si>
    <t>+7(961)670-77-00</t>
  </si>
  <si>
    <t>rakitovatatana4@gmail.com</t>
  </si>
  <si>
    <t>Градобоев Александр Юрьевич</t>
  </si>
  <si>
    <t>+7(915)158-08-37</t>
  </si>
  <si>
    <t>agradoboev@mail.ru</t>
  </si>
  <si>
    <t>Гранилина Элина Станиславовна</t>
  </si>
  <si>
    <t>(905)535-70-81</t>
  </si>
  <si>
    <t>elinagranilina@gmail.com</t>
  </si>
  <si>
    <t>Грауле Ангелина Ивановна</t>
  </si>
  <si>
    <t>+7(922)935-01-22</t>
  </si>
  <si>
    <t>lina.graule@inbox.ru</t>
  </si>
  <si>
    <t>Графова Полина Леонидовна</t>
  </si>
  <si>
    <t>+7(930)157-46-13</t>
  </si>
  <si>
    <t>grafovapolina2@gmail.com</t>
  </si>
  <si>
    <t>Грачев Роман Игоревич</t>
  </si>
  <si>
    <t>Вознесенское рп</t>
  </si>
  <si>
    <t>+7(930)700-52-36</t>
  </si>
  <si>
    <t>roman.62257@mail.ru</t>
  </si>
  <si>
    <t>Грень Данил Дмитриевич</t>
  </si>
  <si>
    <t>Зеленокумск г</t>
  </si>
  <si>
    <t>+7(961)447-58-46</t>
  </si>
  <si>
    <t>gren_d.d@mail.ru</t>
  </si>
  <si>
    <t>Гречин Егор Иванович</t>
  </si>
  <si>
    <t>+79627647179; +7(953)084-02-80</t>
  </si>
  <si>
    <t>grechin3003@gmail.com</t>
  </si>
  <si>
    <t>Гречный Егор Игоревич</t>
  </si>
  <si>
    <t>Брест</t>
  </si>
  <si>
    <t>+7(000)000-00-00; +375292005432</t>
  </si>
  <si>
    <t>grchnyy05@mail.ru</t>
  </si>
  <si>
    <t>Грибалев Глеб Олегович</t>
  </si>
  <si>
    <t>+7(927)986-58-88</t>
  </si>
  <si>
    <t>gribvlev@icloud.com</t>
  </si>
  <si>
    <t>Григорьев Данил Дмитриевич</t>
  </si>
  <si>
    <t>2.3.3</t>
  </si>
  <si>
    <t>Автоматизация и управление технологическими процессами и производствами</t>
  </si>
  <si>
    <t>Уржум г</t>
  </si>
  <si>
    <t>+7(917)715-33-61</t>
  </si>
  <si>
    <t>m1800115@edu.misis.ru</t>
  </si>
  <si>
    <t>член студсовета и руководитель оперотряда</t>
  </si>
  <si>
    <t>Григорьев Никита Алексеевич</t>
  </si>
  <si>
    <t>+7(926)107-18-37</t>
  </si>
  <si>
    <t>nik4102005@gmail.com</t>
  </si>
  <si>
    <t>Григорьева Полина Юрьевна</t>
  </si>
  <si>
    <t>+7(917)678-79-30</t>
  </si>
  <si>
    <t>grigorevap765@gmail.com</t>
  </si>
  <si>
    <t>Григорян Виктория Сергеевна</t>
  </si>
  <si>
    <t>+79626114796; +7(960)839-04-30</t>
  </si>
  <si>
    <t>gvs.tt@mail.ru</t>
  </si>
  <si>
    <t>Гриненко Вероника Александровна</t>
  </si>
  <si>
    <t>+7(977)341-24-22</t>
  </si>
  <si>
    <t>vera.grin.02@inbox.ru</t>
  </si>
  <si>
    <t>Гриненко Илья Иванович</t>
  </si>
  <si>
    <t>+7(961)404-93-11</t>
  </si>
  <si>
    <t>ilya.grinenko@gmail.com</t>
  </si>
  <si>
    <t>Грицай Максим Александрович</t>
  </si>
  <si>
    <t>+7(916)926-61-51</t>
  </si>
  <si>
    <t>maxim_gritsay@mail.ru</t>
  </si>
  <si>
    <t>Гришаева Арина Сергеевна</t>
  </si>
  <si>
    <t>+7(953)123-08-65</t>
  </si>
  <si>
    <t>grishaeva.arina2017@yandex.ru</t>
  </si>
  <si>
    <t>Гришенкова Юлия Александровна</t>
  </si>
  <si>
    <t>+7(910)521-73-72</t>
  </si>
  <si>
    <t>grisenkovaulia1@gmail.com</t>
  </si>
  <si>
    <t>Гришин Владислав Максимович</t>
  </si>
  <si>
    <t>+7(985)986-34-33</t>
  </si>
  <si>
    <t>VLADMGRISHIN2006@GMAIL.COM</t>
  </si>
  <si>
    <t>Гришин Павел Николаевич</t>
  </si>
  <si>
    <t>2.6.9</t>
  </si>
  <si>
    <t>Технология электрохимических процессов и защита от коррозии</t>
  </si>
  <si>
    <t>Зикеево с</t>
  </si>
  <si>
    <t>+7(920)837-78-50</t>
  </si>
  <si>
    <t>grishin.p2014@yandex.ru</t>
  </si>
  <si>
    <t>Гришкин Иван Сергеевич</t>
  </si>
  <si>
    <t>+7(926)203-69-56</t>
  </si>
  <si>
    <t>grishckin.vanya@gmail.com</t>
  </si>
  <si>
    <t>Гришкин Никита Сергеевич</t>
  </si>
  <si>
    <t>Карачев г</t>
  </si>
  <si>
    <t>+7(996)475-32-20</t>
  </si>
  <si>
    <t>grishckin.nickita2017@yandex.ru</t>
  </si>
  <si>
    <t>Грищенко Дмитрий Игоревич</t>
  </si>
  <si>
    <t>+7(916)171-26-86</t>
  </si>
  <si>
    <t>grid30@mail.ru</t>
  </si>
  <si>
    <t>Грищук Егор Дмитриевич</t>
  </si>
  <si>
    <t>Рыбница</t>
  </si>
  <si>
    <t>grisciuc06@mail.ru</t>
  </si>
  <si>
    <t>Гроголь Трофим Георгиевич</t>
  </si>
  <si>
    <t>+79184984744; +7(989)293-54-17</t>
  </si>
  <si>
    <t>grogoltrofim@gmail.com</t>
  </si>
  <si>
    <t>Громозда Илья Сергеевич</t>
  </si>
  <si>
    <t>+7(901)336-35-99</t>
  </si>
  <si>
    <t>ilyagromozda2005@mail.ru</t>
  </si>
  <si>
    <t>Гросс Иван Александрович</t>
  </si>
  <si>
    <t>+7(963)508-79-70</t>
  </si>
  <si>
    <t>vanyagross6@gmail.com</t>
  </si>
  <si>
    <t>Грудкин Константин Денисович</t>
  </si>
  <si>
    <t>+7(916)019-22-21</t>
  </si>
  <si>
    <t>grudkinkostya2005@gmail.com</t>
  </si>
  <si>
    <t>Груздев Антон Сергеевич</t>
  </si>
  <si>
    <t>89164083173; +7(926)121-23-50</t>
  </si>
  <si>
    <t>gruzdew.anton.ru@gmail.com</t>
  </si>
  <si>
    <t>Губанов Илья Олегович</t>
  </si>
  <si>
    <t>+7(904)284-38-54</t>
  </si>
  <si>
    <t>gubanov_io05@mail.ru</t>
  </si>
  <si>
    <t>Губанов Михаил Романович</t>
  </si>
  <si>
    <t>Ростов г</t>
  </si>
  <si>
    <t>+7(915)989-46-65</t>
  </si>
  <si>
    <t>gubanov.misha2005@yandex.ru</t>
  </si>
  <si>
    <t>Губарев Владислав Викторович</t>
  </si>
  <si>
    <t>Татарский Ключ п</t>
  </si>
  <si>
    <t>+7(651)628-82-86</t>
  </si>
  <si>
    <t>vladik.gubarev@list.ru</t>
  </si>
  <si>
    <t>Губеева София Юрьевна</t>
  </si>
  <si>
    <t>89185517380; +7(918)408-15-60</t>
  </si>
  <si>
    <t>gubeeva2005@mail.ru</t>
  </si>
  <si>
    <t>Губейдуллин Марат Рушанович</t>
  </si>
  <si>
    <t>89629750696; +7(904)054-60-66</t>
  </si>
  <si>
    <t>topmarat178@gmail.com</t>
  </si>
  <si>
    <t>Губина Ксения Александровна</t>
  </si>
  <si>
    <t>Починки с</t>
  </si>
  <si>
    <t>+7(999)140-35-66</t>
  </si>
  <si>
    <t>axiniy@list.ru</t>
  </si>
  <si>
    <t>Гук Ярослав Андреевич</t>
  </si>
  <si>
    <t>Усть-Лабинск г</t>
  </si>
  <si>
    <t>+7(988)602-24-57</t>
  </si>
  <si>
    <t>gook.yaroslav@yandex.ru</t>
  </si>
  <si>
    <t>Гулиев Егор Русланович</t>
  </si>
  <si>
    <t>+7(914)886-34-48</t>
  </si>
  <si>
    <t>nosauce4me2@gmail.com</t>
  </si>
  <si>
    <t>Гулин Артём Игоревич</t>
  </si>
  <si>
    <t>Кимры г</t>
  </si>
  <si>
    <t>+7(903)801-50-80</t>
  </si>
  <si>
    <t>steclo123@list.ru</t>
  </si>
  <si>
    <t>Гулин Егор Дмитриевич</t>
  </si>
  <si>
    <t>+7(916)155-85-15</t>
  </si>
  <si>
    <t>kiezeng@yandex.ru</t>
  </si>
  <si>
    <t>Гуляев Вячеслав Александрович</t>
  </si>
  <si>
    <t>+7(951)189-07-03</t>
  </si>
  <si>
    <t>withlava27@gmail.com</t>
  </si>
  <si>
    <t>Гуляев Дмитрий Александрович</t>
  </si>
  <si>
    <t>4453ст</t>
  </si>
  <si>
    <t>Новоелово д</t>
  </si>
  <si>
    <t>(904)313-66-04; +7(977)992-90-80; +7(977)992-98-80</t>
  </si>
  <si>
    <t>dimon.gul223@gmail.com</t>
  </si>
  <si>
    <t>Гулякина Анна Вадимовна</t>
  </si>
  <si>
    <t>Симферополь г</t>
  </si>
  <si>
    <t>+7(978)884-12-26</t>
  </si>
  <si>
    <t>anya.gulyakina@bk.ru</t>
  </si>
  <si>
    <t>Гумиров Михаил Романович</t>
  </si>
  <si>
    <t>+7(982)291-76-07</t>
  </si>
  <si>
    <t>darclord30@mail.ru</t>
  </si>
  <si>
    <t>Гунин Егор Александрович</t>
  </si>
  <si>
    <t>+7(905)542-05-30</t>
  </si>
  <si>
    <t>egor.gunin@inbox.ru</t>
  </si>
  <si>
    <t>Гуняков Евгений Витальевич</t>
  </si>
  <si>
    <t>Воскресенское с</t>
  </si>
  <si>
    <t>+79539653978; +7(901)999-34-71</t>
  </si>
  <si>
    <t>egunyakov@inbox.ru</t>
  </si>
  <si>
    <t>Гурова Анастасия Сергеевна</t>
  </si>
  <si>
    <t>89060768845; (929)674-27-99</t>
  </si>
  <si>
    <t>drakskor@gmail.com</t>
  </si>
  <si>
    <t>Гурушкин Дмитрий Сергеевич</t>
  </si>
  <si>
    <t>+79166103688; +7(995)151-36-88</t>
  </si>
  <si>
    <t>dimagurushkin@gmail.com</t>
  </si>
  <si>
    <t>Гусакова Элина Владиславовна</t>
  </si>
  <si>
    <t>Новозыбков г</t>
  </si>
  <si>
    <t>+7(910)293-00-05</t>
  </si>
  <si>
    <t>ELINA-RU5@YANDEX.RU</t>
  </si>
  <si>
    <t>Гусев Святослав Андреевич</t>
  </si>
  <si>
    <t>89032002094; (925)339-41-77</t>
  </si>
  <si>
    <t>dcat_93@yahoo.com</t>
  </si>
  <si>
    <t>Гусев Сергей Павлович</t>
  </si>
  <si>
    <t>goos_200@mail.ru</t>
  </si>
  <si>
    <t>Гусев Сергей Сергеевич</t>
  </si>
  <si>
    <t>+7(928)166-38-59</t>
  </si>
  <si>
    <t>gusevsergei6@gmail.com</t>
  </si>
  <si>
    <t>Гусева Виктория Владиславовна</t>
  </si>
  <si>
    <t>+7(903)003-04-30</t>
  </si>
  <si>
    <t>viktoriaguseva2002@gmail.com</t>
  </si>
  <si>
    <t>Гуськов Артур Дмитриевич</t>
  </si>
  <si>
    <t>Альметьевск г</t>
  </si>
  <si>
    <t>+7(917)904-11-84</t>
  </si>
  <si>
    <t>arturguskov0699@gmail.com</t>
  </si>
  <si>
    <t>Гущин Никита Александрович</t>
  </si>
  <si>
    <t>+7(915)964-01-08</t>
  </si>
  <si>
    <t>nikgu625@gmail.com</t>
  </si>
  <si>
    <t>Даваев Чимид Евгеньевич</t>
  </si>
  <si>
    <t>Калмыкия Респ</t>
  </si>
  <si>
    <t>Троицкое с</t>
  </si>
  <si>
    <t>89371954572; +7(996)697-75-08; 89374626874; +79371954572</t>
  </si>
  <si>
    <t>cdavaev@mail.ru</t>
  </si>
  <si>
    <t>Давиденко Артём Аркадьевич</t>
  </si>
  <si>
    <t>Кемерово г</t>
  </si>
  <si>
    <t>+7(961)711-50-50</t>
  </si>
  <si>
    <t>davidenko_aa@gkl-kemerovo.ru</t>
  </si>
  <si>
    <t>Давидян Мария Арсеновна</t>
  </si>
  <si>
    <t>Бузулук г</t>
  </si>
  <si>
    <t>+7(922)555-53-30</t>
  </si>
  <si>
    <t>dearymaria14@gmail.com</t>
  </si>
  <si>
    <t>Давлатов Бехруз Талбидагиевич</t>
  </si>
  <si>
    <t>+7(999)677-67-59</t>
  </si>
  <si>
    <t>domeniko_98@mail.ru</t>
  </si>
  <si>
    <t>Давлетшин Кирилл Рафаэльевич</t>
  </si>
  <si>
    <t>+7(919)910-89-90</t>
  </si>
  <si>
    <t>k.dawletschin2013@gmail.com</t>
  </si>
  <si>
    <t>Давлятова Милана Альбертовна</t>
  </si>
  <si>
    <t>+7(904)121-47-60</t>
  </si>
  <si>
    <t>davlyatovamilana@icloud.com</t>
  </si>
  <si>
    <t>Давыдов Дмитрий Александрович</t>
  </si>
  <si>
    <t>89063562657; +7(915)957-84-63</t>
  </si>
  <si>
    <t>dima.davyd.22@mail.ru</t>
  </si>
  <si>
    <t>Давыдов Никита Витальевич</t>
  </si>
  <si>
    <t>2.5.22</t>
  </si>
  <si>
    <t>Управление качеством продукции. Стандартизация. Организация производства</t>
  </si>
  <si>
    <t>+7(964)247-80-80</t>
  </si>
  <si>
    <t>nik_davydov_2017@mail.ru</t>
  </si>
  <si>
    <t>Давыдова Екатерина Дмитриевна</t>
  </si>
  <si>
    <t>Пензенская обл</t>
  </si>
  <si>
    <t>Кузнецк г</t>
  </si>
  <si>
    <t>+7(937)433-17-07</t>
  </si>
  <si>
    <t>Kate.davidova13@gmail.com</t>
  </si>
  <si>
    <t>Дажы-Сегбе Дорже Сылдысович</t>
  </si>
  <si>
    <t>Тыва Респ</t>
  </si>
  <si>
    <t>Кызыл г</t>
  </si>
  <si>
    <t>+7(983)367-39-66</t>
  </si>
  <si>
    <t>d0rzhed@gmail.com</t>
  </si>
  <si>
    <t>Данилина Юлия Ивановна</t>
  </si>
  <si>
    <t>+7(916)967-97-60</t>
  </si>
  <si>
    <t>danilinaula@yandex.ru</t>
  </si>
  <si>
    <t>Данилов Евгений Владимирович</t>
  </si>
  <si>
    <t>+7(911)513-46-47</t>
  </si>
  <si>
    <t>zhekamc47@mail.ru</t>
  </si>
  <si>
    <t>Данилова Елизавета Игоревна</t>
  </si>
  <si>
    <t>89109403438; +7(919)085-89-90</t>
  </si>
  <si>
    <t>liza377346@gmail.com</t>
  </si>
  <si>
    <t>Данилова Ольга Александровна</t>
  </si>
  <si>
    <t>+7(906)767-03-30</t>
  </si>
  <si>
    <t>olyadanillova@yandex.ru</t>
  </si>
  <si>
    <t>Данилюк Валерия Александровна</t>
  </si>
  <si>
    <t>89252646844; +7(977)442-12-40</t>
  </si>
  <si>
    <t>lera-valeriya.d@mail.ru</t>
  </si>
  <si>
    <t>Дао Минь Нгок</t>
  </si>
  <si>
    <t>Ханой</t>
  </si>
  <si>
    <t>+7(996)675-83-69</t>
  </si>
  <si>
    <t>ngocta2003s@gmail.com</t>
  </si>
  <si>
    <t>Дарбакова Альмина Григорьевна</t>
  </si>
  <si>
    <t>Элиста г</t>
  </si>
  <si>
    <t>+7(996)284-05-28</t>
  </si>
  <si>
    <t>adarbakova00@mail.ru</t>
  </si>
  <si>
    <t>просьба ВВ</t>
  </si>
  <si>
    <t>Дарханов Тимур Дмитриевич</t>
  </si>
  <si>
    <t>+7(950)385-43-54</t>
  </si>
  <si>
    <t>timdark68@gmail.com</t>
  </si>
  <si>
    <t>Дарьютин Даниил Денисович</t>
  </si>
  <si>
    <t>+7(916)940-85-81</t>
  </si>
  <si>
    <t>xxxsostamxxx@gmail.com</t>
  </si>
  <si>
    <t>Дасаева Софья Дмитриевна</t>
  </si>
  <si>
    <t>+79038951016; +7(960)742-31-81</t>
  </si>
  <si>
    <t>xxkosmikxx@gmail.com</t>
  </si>
  <si>
    <t>Дахе Ахмад</t>
  </si>
  <si>
    <t>+7(916)564-90-44; +79165649044</t>
  </si>
  <si>
    <t>ahmad95.dahe.ru@gmail.com</t>
  </si>
  <si>
    <t>Дащинский Владислав Сергеевич</t>
  </si>
  <si>
    <t>+7(951)588-97-47</t>
  </si>
  <si>
    <t>dashchinskiyv@bk.ru</t>
  </si>
  <si>
    <t>Даютов Роман Алексеевич</t>
  </si>
  <si>
    <t>Новочеркасск г</t>
  </si>
  <si>
    <t>+7(950)849-81-40</t>
  </si>
  <si>
    <t>winkrasava@yandex.ru</t>
  </si>
  <si>
    <t>Дворников Дмитрий Евгеньевич</t>
  </si>
  <si>
    <t>+7(918)854-28-84</t>
  </si>
  <si>
    <t>lidia6666@mail.ru</t>
  </si>
  <si>
    <t>Дворядкин Кирилл Андреевич</t>
  </si>
  <si>
    <t>+79205445901</t>
  </si>
  <si>
    <t>bender20280@gmail.com</t>
  </si>
  <si>
    <t>Девятка Денис Кириллович</t>
  </si>
  <si>
    <t>+7(985)344-11-50</t>
  </si>
  <si>
    <t>den.devyatka@mail.ru</t>
  </si>
  <si>
    <t>Дедов Александр Дмитриевич</t>
  </si>
  <si>
    <t>+79276126033; +7(902)580-79-81</t>
  </si>
  <si>
    <t>dedov.al@bk.ru</t>
  </si>
  <si>
    <t>Демаков Алексей Михайлович</t>
  </si>
  <si>
    <t>+7(962)166-97-60</t>
  </si>
  <si>
    <t>demakov01@mail.ru</t>
  </si>
  <si>
    <t>Дементьев Александр Сергеевич</t>
  </si>
  <si>
    <t>+7(912)853-28-99</t>
  </si>
  <si>
    <t>yoga18@mail.ru</t>
  </si>
  <si>
    <t>Дементьева Анжелика Евгеньевна</t>
  </si>
  <si>
    <t>Вишневое с</t>
  </si>
  <si>
    <t>89538382342; +7(991)395-14-57</t>
  </si>
  <si>
    <t>likaa0312@mail.ru</t>
  </si>
  <si>
    <t>Демига Юсра</t>
  </si>
  <si>
    <t>Алжир</t>
  </si>
  <si>
    <t>Константин г.</t>
  </si>
  <si>
    <t>+7(930)938-71-53</t>
  </si>
  <si>
    <t>demigha.yousra@hotmail.com</t>
  </si>
  <si>
    <t>Демченко Елизавета Сергеевна</t>
  </si>
  <si>
    <t>(926)097-47-62</t>
  </si>
  <si>
    <t>postdems@yandex.ru</t>
  </si>
  <si>
    <t>Денисов Олег Геннадьевич</t>
  </si>
  <si>
    <t>+79270629919; +7(987)539-30-29</t>
  </si>
  <si>
    <t>dennoll@yandex.ru</t>
  </si>
  <si>
    <t>Денисова Аделина</t>
  </si>
  <si>
    <t>Карагандинская область</t>
  </si>
  <si>
    <t>Темиртау</t>
  </si>
  <si>
    <t>+7(700)137-80-25</t>
  </si>
  <si>
    <t>denisova.adelina@internet.ru</t>
  </si>
  <si>
    <t>Денисова Ангелина Игоревна</t>
  </si>
  <si>
    <t>+7(977)933-77-92</t>
  </si>
  <si>
    <t>ddenisovaangelina@gmail.com</t>
  </si>
  <si>
    <t>Денисова Виктория Дмитриевна</t>
  </si>
  <si>
    <t>+7(910)277-93-33</t>
  </si>
  <si>
    <t>vikalonexx@gmail.com</t>
  </si>
  <si>
    <t>Денисова Виктория Максимовна</t>
  </si>
  <si>
    <t>Орловская обл</t>
  </si>
  <si>
    <t>Мценск г</t>
  </si>
  <si>
    <t>+7(960)6429806</t>
  </si>
  <si>
    <t>Vichka.denisova.0101@mail.ru</t>
  </si>
  <si>
    <t>Денисова Виктория Михайловна</t>
  </si>
  <si>
    <t>Киржач г</t>
  </si>
  <si>
    <t>+7(999)986-80-55</t>
  </si>
  <si>
    <t>vikaadenisova@mail.ru</t>
  </si>
  <si>
    <t>Денисюк Артём</t>
  </si>
  <si>
    <t>Улытауская обл. Жезказган г.</t>
  </si>
  <si>
    <t>+7(771)023-06-52</t>
  </si>
  <si>
    <t>artemdenisyk08@gmail.com</t>
  </si>
  <si>
    <t>Денищенко Артем Дмитриевич</t>
  </si>
  <si>
    <t>+79250667426; +7(902)133-97-31</t>
  </si>
  <si>
    <t>artem.denishenko@yandex.ru</t>
  </si>
  <si>
    <t>Депутатова Ксения Александровна</t>
  </si>
  <si>
    <t>Аткарск г</t>
  </si>
  <si>
    <t>+7(962)629-92-31</t>
  </si>
  <si>
    <t>kseniadeputatova@gmail.com</t>
  </si>
  <si>
    <t>Дергалов Олег Михайлович</t>
  </si>
  <si>
    <t>+7(987)542-66-18</t>
  </si>
  <si>
    <t>dergalov54@gmail.com</t>
  </si>
  <si>
    <t>Деребенский Константин Евгеньевич</t>
  </si>
  <si>
    <t>+7(916)110-17-20</t>
  </si>
  <si>
    <t>dkostya05@gmail.com</t>
  </si>
  <si>
    <t>Деревянко Виктория Александровна</t>
  </si>
  <si>
    <t>+7(937)550-27-37</t>
  </si>
  <si>
    <t>derewianko.viky@yandex.ru</t>
  </si>
  <si>
    <t>Дерзновенко Александр Александрович</t>
  </si>
  <si>
    <t>+7(926)755-21-22</t>
  </si>
  <si>
    <t>derznovenko2005@gmail.com</t>
  </si>
  <si>
    <t>Дериглазов Денис Валерьевич</t>
  </si>
  <si>
    <t>Прокопьевск г</t>
  </si>
  <si>
    <t>+7(903)909-61-11</t>
  </si>
  <si>
    <t>derig.denis@gmail.com</t>
  </si>
  <si>
    <t>Десятниченко Семен Александрович</t>
  </si>
  <si>
    <t>Терехово с</t>
  </si>
  <si>
    <t>+7(980)320-51-37</t>
  </si>
  <si>
    <t>sema.199874@gmail.com</t>
  </si>
  <si>
    <t>Джабборзода Сайдамири Саймуддин</t>
  </si>
  <si>
    <t>Город и районов центрального подчинения</t>
  </si>
  <si>
    <t>Файзабад</t>
  </si>
  <si>
    <t>Инжиниринг горно-металлургических предприятий</t>
  </si>
  <si>
    <t>+7(921)742-03-68; +992918925906; +79217420368</t>
  </si>
  <si>
    <t>saidamirisaimuddin@gmail.com</t>
  </si>
  <si>
    <t>Джабраилов Павел Анатольевич</t>
  </si>
  <si>
    <t>+7(909)380-77-33</t>
  </si>
  <si>
    <t>pashadizendorf@yandex.ru</t>
  </si>
  <si>
    <t>Джазаев Марат Шамильевич</t>
  </si>
  <si>
    <t>Карачаевск г</t>
  </si>
  <si>
    <t>+79283890800; +7(928)034-03-50</t>
  </si>
  <si>
    <t>djazaevmarat@yandex.ru</t>
  </si>
  <si>
    <t>Джакеев Амир Маратович</t>
  </si>
  <si>
    <t>+7(937)5078896</t>
  </si>
  <si>
    <t>mr.open2016@gmail.com</t>
  </si>
  <si>
    <t>Джасурова Рейхан</t>
  </si>
  <si>
    <t>Туркменабад</t>
  </si>
  <si>
    <t>+7(999)841-11-22</t>
  </si>
  <si>
    <t>rjasurowa@gmail.com</t>
  </si>
  <si>
    <t>Джонсон Чидинма Энн</t>
  </si>
  <si>
    <t>Абай Умуэзе</t>
  </si>
  <si>
    <t>annejohnson305@gmail.com</t>
  </si>
  <si>
    <t>Джумъаев Солехджон Аминджонович</t>
  </si>
  <si>
    <t>+992934646427; +7(925)245-36-55</t>
  </si>
  <si>
    <t>olimshoyev01@mail.ru</t>
  </si>
  <si>
    <t>Джунджу Дуглас</t>
  </si>
  <si>
    <t>Уганда</t>
  </si>
  <si>
    <t>Нсамбья</t>
  </si>
  <si>
    <t>+7(908)780-17-79; +79087801779</t>
  </si>
  <si>
    <t>junjudouglas@gmail.com</t>
  </si>
  <si>
    <t>Джураев Абдусаид Хасанович</t>
  </si>
  <si>
    <t>Душанбе г</t>
  </si>
  <si>
    <t>+7(977)141-50-06; +7(968)366-10-27; +992501061909; +79771415006</t>
  </si>
  <si>
    <t>juraevabdusaid@yandex.ru</t>
  </si>
  <si>
    <t>Дзержинский Владимир Владимирович</t>
  </si>
  <si>
    <t>+7(967)279-50-44</t>
  </si>
  <si>
    <t>v.dzerzhinskiy@mail.ru</t>
  </si>
  <si>
    <t>Диалло Фатумата</t>
  </si>
  <si>
    <t>Гвинея</t>
  </si>
  <si>
    <t>Конакри</t>
  </si>
  <si>
    <t>+7(901)421-65-38</t>
  </si>
  <si>
    <t>dfatoumata881@gmail.com</t>
  </si>
  <si>
    <t>Дидаев Мухаммад Бесланович</t>
  </si>
  <si>
    <t>+7(977)880-01-95</t>
  </si>
  <si>
    <t>m.didaev99@gmail.com</t>
  </si>
  <si>
    <t>Димитриенко Алексей Александрович</t>
  </si>
  <si>
    <t>+7(926)784-77-60</t>
  </si>
  <si>
    <t>a.dimitrienko@gmail.com</t>
  </si>
  <si>
    <t>Димитрюк Константин Андреевич</t>
  </si>
  <si>
    <t>+7(919)671-70-27</t>
  </si>
  <si>
    <t>kosta.dimitryuk@gmail.com</t>
  </si>
  <si>
    <t>Дин Дмитрий Сергеевич</t>
  </si>
  <si>
    <t>(953)320-45-27; +79168450618</t>
  </si>
  <si>
    <t>dmitriy1d01@gmail.com</t>
  </si>
  <si>
    <t>ходатайство, живет</t>
  </si>
  <si>
    <t>Дин Монис Али Заин Уль Абид Э</t>
  </si>
  <si>
    <t>4449ст</t>
  </si>
  <si>
    <t>Пакистан</t>
  </si>
  <si>
    <t>Музаффаргарх</t>
  </si>
  <si>
    <t>monisaliqureshi@gmail.com</t>
  </si>
  <si>
    <t>Дмитриади Дмитрий Константинович</t>
  </si>
  <si>
    <t>Новороссийск г</t>
  </si>
  <si>
    <t>+7(988)315-30-07</t>
  </si>
  <si>
    <t>DIMADMITRIADI@MAIL.RU</t>
  </si>
  <si>
    <t>приоритет обучение в ИТКН</t>
  </si>
  <si>
    <t xml:space="preserve">кафедра БИСУП - Пятецкий В.Е. </t>
  </si>
  <si>
    <t>Дмитриев Никита Борисович</t>
  </si>
  <si>
    <t>+7(915)318-18-98</t>
  </si>
  <si>
    <t>sooon34@yandex.ru</t>
  </si>
  <si>
    <t>Раменское</t>
  </si>
  <si>
    <t>Дмитриева Ираида Николаевна</t>
  </si>
  <si>
    <t>4344ст</t>
  </si>
  <si>
    <t>+7(927)768-05-06</t>
  </si>
  <si>
    <t>iradmitrieva919@gmail.com</t>
  </si>
  <si>
    <t>Дмитрук Михаил Дмитриевич</t>
  </si>
  <si>
    <t>+7(961)129-30-29</t>
  </si>
  <si>
    <t>dmitruk.michail@yandex.ru</t>
  </si>
  <si>
    <t>Добрева Арина Руслановна</t>
  </si>
  <si>
    <t>+7(985)426-90-50</t>
  </si>
  <si>
    <t>ariana.ice13@gmail.com</t>
  </si>
  <si>
    <t>Добрица Иван Игоревич</t>
  </si>
  <si>
    <t>+7(916)302-67-41</t>
  </si>
  <si>
    <t>vania_q@mail.ru</t>
  </si>
  <si>
    <t>Доброва Екатерина Витальевна</t>
  </si>
  <si>
    <t>+7(987)367-77-35</t>
  </si>
  <si>
    <t>edobrova2001@mail.ru</t>
  </si>
  <si>
    <t>Добротин Григорий Сергеевич</t>
  </si>
  <si>
    <t>+7(910)141-64-44</t>
  </si>
  <si>
    <t>mrgregor52@gmail.com</t>
  </si>
  <si>
    <t>Добрынин Иван Анатольевич</t>
  </si>
  <si>
    <t>Ленинградская обл</t>
  </si>
  <si>
    <t>Бугры п</t>
  </si>
  <si>
    <t>89124998030; +7(977)994-21-39</t>
  </si>
  <si>
    <t>ivandobrynin075@gmail.com</t>
  </si>
  <si>
    <t>Добрынин Леон Артемович</t>
  </si>
  <si>
    <t>+79511513392; +7(951)760-71-06</t>
  </si>
  <si>
    <t>leon.art.dob@gmail.com</t>
  </si>
  <si>
    <t>Докукин Никита Алексеевич</t>
  </si>
  <si>
    <t>Лакинск г</t>
  </si>
  <si>
    <t>+7(904)655-39-23</t>
  </si>
  <si>
    <t>nikrayalin@gmail.com</t>
  </si>
  <si>
    <t>Долгач Егор Дмитриевич</t>
  </si>
  <si>
    <t>+7(925)267-27-29</t>
  </si>
  <si>
    <t>m1602899@edu.misis.ru</t>
  </si>
  <si>
    <t>Долгих Александр Сергеевич</t>
  </si>
  <si>
    <t>+7(919)408-15-90</t>
  </si>
  <si>
    <t>dolgikh.sanya2018@yandex.ru</t>
  </si>
  <si>
    <t>Долгоносов Константин</t>
  </si>
  <si>
    <t>+7(977)705-71-88</t>
  </si>
  <si>
    <t>kdolgonosov21@mail.ru</t>
  </si>
  <si>
    <t>Долгополова София Александровна</t>
  </si>
  <si>
    <t>+7(915)4221283</t>
  </si>
  <si>
    <t>d50fi@yandex.ru</t>
  </si>
  <si>
    <t>Донская Валерия Александровна</t>
  </si>
  <si>
    <t>+7(905)539-99-59</t>
  </si>
  <si>
    <t>donskayavaleriya2005@mail.ru</t>
  </si>
  <si>
    <t>Дорджиев Роман Окаевич</t>
  </si>
  <si>
    <t>+7(926)586-89-64; +7(925)282-55-75</t>
  </si>
  <si>
    <t>dordzhiev.roman2015@yandex.ru</t>
  </si>
  <si>
    <t>Доржиев Биликто Баторович</t>
  </si>
  <si>
    <t>+7(964)472-32-97</t>
  </si>
  <si>
    <t>BILIKTOD8@MAIL.RU</t>
  </si>
  <si>
    <t>Дорожкина София Михайловна</t>
  </si>
  <si>
    <t>Могилёв</t>
  </si>
  <si>
    <t>+7(000)000-00-00; +375447442844</t>
  </si>
  <si>
    <t>KATOOR@mail.ru</t>
  </si>
  <si>
    <t>Дорофеев Андрей Михайлович</t>
  </si>
  <si>
    <t>+7(999)922-57-39</t>
  </si>
  <si>
    <t>an.0114@mail.ru</t>
  </si>
  <si>
    <t>Дорохова Анастасия Олеговна</t>
  </si>
  <si>
    <t>Степное с</t>
  </si>
  <si>
    <t>89620084874; +7(906)428-29-32; +79064282932</t>
  </si>
  <si>
    <t>doroxova.nastena05@mail.ru</t>
  </si>
  <si>
    <t>Дохова Фатима Исуфовна</t>
  </si>
  <si>
    <t>+7(938)701-43-58; +7(929)884-31-82</t>
  </si>
  <si>
    <t>dokhfatima@gmail.com</t>
  </si>
  <si>
    <t>Дробнов Елисей Андреевич</t>
  </si>
  <si>
    <t>Экономика инноваций</t>
  </si>
  <si>
    <t>+7(967)147-58-97</t>
  </si>
  <si>
    <t>drobnov.elis@yandex.ru</t>
  </si>
  <si>
    <t>Домодедово</t>
  </si>
  <si>
    <t>Дрожжин Денис Александрович</t>
  </si>
  <si>
    <t>+7(903)120-84-84</t>
  </si>
  <si>
    <t>denisdrozhzhin1999@gmail.com</t>
  </si>
  <si>
    <t>Дроздова Полина Сергеевна</t>
  </si>
  <si>
    <t>89169079348; +7(916)400-41-33</t>
  </si>
  <si>
    <t>drozdova.pollina@yandex.ru</t>
  </si>
  <si>
    <t>Дройский Евгений Денисович</t>
  </si>
  <si>
    <t>+7(903)944-97-10</t>
  </si>
  <si>
    <t>drojskije@gmail.com</t>
  </si>
  <si>
    <t>Дронов Александр Владимирович</t>
  </si>
  <si>
    <t>Сарапул г</t>
  </si>
  <si>
    <t>+7(982)126-79-78</t>
  </si>
  <si>
    <t>PEKAVSEHPOIMAET@GMAIL.COM</t>
  </si>
  <si>
    <t>Дружинина Ольга Игоревна</t>
  </si>
  <si>
    <t>Материалы и технологии магнитоэлектроники</t>
  </si>
  <si>
    <t>8(904)706-19-97; (964)994-95-30</t>
  </si>
  <si>
    <t>olga.mos24@yandex.ru</t>
  </si>
  <si>
    <t>Дружинина Полина Сергеевна</t>
  </si>
  <si>
    <t>Энгельс г</t>
  </si>
  <si>
    <t>+7(906)312-32-00</t>
  </si>
  <si>
    <t>polinadruzinina88@gmail.com</t>
  </si>
  <si>
    <t>Дубинин Фёдор Александрович</t>
  </si>
  <si>
    <t>+7(958)826-01-19</t>
  </si>
  <si>
    <t>herobrin0572@gmail.com</t>
  </si>
  <si>
    <t>Дубовецкий Игорь Юрьевич</t>
  </si>
  <si>
    <t>+7(910)030-73-94</t>
  </si>
  <si>
    <t>dubovetsky.igor.2006@mail.ru</t>
  </si>
  <si>
    <t>Дубовицкий Валерий Павлович</t>
  </si>
  <si>
    <t>+7(962)918-47-22</t>
  </si>
  <si>
    <t>valleraz@mail.ru</t>
  </si>
  <si>
    <t>Дубовскова Анастасия Алексеевна</t>
  </si>
  <si>
    <t>Димитровград г</t>
  </si>
  <si>
    <t>+79272721350; +7(927)802-16-45; +79278021645</t>
  </si>
  <si>
    <t>n.dubovskova@mail.ru</t>
  </si>
  <si>
    <t>Дубынина Анжелика Игоревна</t>
  </si>
  <si>
    <t>Инженерные решения для экономики замкнутого цикла</t>
  </si>
  <si>
    <t>+7(985)025-94-55</t>
  </si>
  <si>
    <t>a.dubynina@ec-line.ru</t>
  </si>
  <si>
    <t>Дударь Дарья Владимировна</t>
  </si>
  <si>
    <t>д/о Вороново п</t>
  </si>
  <si>
    <t>+7(901)705-86-70</t>
  </si>
  <si>
    <t>m1908098@edu.misis.ru</t>
  </si>
  <si>
    <t>Дудина Мира Алексеевна</t>
  </si>
  <si>
    <t>+79023108887; +7(988)016-44-48</t>
  </si>
  <si>
    <t>mira.dudina2005@gmail.com</t>
  </si>
  <si>
    <t>Дузджу Хасан Джан</t>
  </si>
  <si>
    <t>+7(968)778-75-11</t>
  </si>
  <si>
    <t>duzcuhasan2907@gmail.com</t>
  </si>
  <si>
    <t>Дуйшекеев Мендебек Умот Памирбекович</t>
  </si>
  <si>
    <t>+996-501-666-669; +7(000)000-00-00</t>
  </si>
  <si>
    <t>duyshekeev_mendebek@bk.ru</t>
  </si>
  <si>
    <t>Дулян Арсен Артурович</t>
  </si>
  <si>
    <t>+7(916)887-55-74</t>
  </si>
  <si>
    <t>arsendulyan@yandex.ru</t>
  </si>
  <si>
    <t>Дундукова Полина Михайловна</t>
  </si>
  <si>
    <t>+7(953)152-23-76</t>
  </si>
  <si>
    <t>polina.dundukova22@mail.ru</t>
  </si>
  <si>
    <t>Дурынин Павел Валерьевич</t>
  </si>
  <si>
    <t>+7(920)139-30-34</t>
  </si>
  <si>
    <t>ghb.hhb@yandex.ru</t>
  </si>
  <si>
    <t>Дустмуродов Ёкубджон Искандарович</t>
  </si>
  <si>
    <t>Хатлонская область</t>
  </si>
  <si>
    <t>Хатлонская область, Фархор</t>
  </si>
  <si>
    <t>Дуткин Тимур Евгеньевич</t>
  </si>
  <si>
    <t>Чокурдах п</t>
  </si>
  <si>
    <t>+7(924)873-33-06; +7(924)569-92-99</t>
  </si>
  <si>
    <t>dutkinte@gmail.com</t>
  </si>
  <si>
    <t>Душенев Даниил Денисович</t>
  </si>
  <si>
    <t>+7(950)843-46-56</t>
  </si>
  <si>
    <t>DANIL.DUSHENEV@GMAIL.COM</t>
  </si>
  <si>
    <t>Душенкин Дмитрий Вадимович</t>
  </si>
  <si>
    <t>+7(985)067-61-57</t>
  </si>
  <si>
    <t>duskindim@gmail.com</t>
  </si>
  <si>
    <t>Душко Ирина Александровна</t>
  </si>
  <si>
    <t>Кимовск г</t>
  </si>
  <si>
    <t>+7(977)167-84-80</t>
  </si>
  <si>
    <t>irairadushko@gmail.com</t>
  </si>
  <si>
    <t>Дыжин Федор Денисович</t>
  </si>
  <si>
    <t>+7(926)349-99-94</t>
  </si>
  <si>
    <t>Fedor@dyzhin.ru</t>
  </si>
  <si>
    <t>Дьяк Дмитрий Сергеевич</t>
  </si>
  <si>
    <t>Туапсе г</t>
  </si>
  <si>
    <t>+7(985)015-16-44</t>
  </si>
  <si>
    <t>dyak.ds1@rambler.ru</t>
  </si>
  <si>
    <t>Дьяконов Иван Алексеевич</t>
  </si>
  <si>
    <t>+7(912)740-51-29</t>
  </si>
  <si>
    <t>dyakonovyvan@yandex.ru</t>
  </si>
  <si>
    <t>хочет с Карнауховым И.А и Князевым И.В.</t>
  </si>
  <si>
    <t>Дьяченко Иван Максимович</t>
  </si>
  <si>
    <t>+7(985)558-25-44</t>
  </si>
  <si>
    <t>IVANDIACHENKO8541@GMAIL.COM</t>
  </si>
  <si>
    <t>Дюбилин Владислав Алексеевич</t>
  </si>
  <si>
    <t>+7(985)976-49-86</t>
  </si>
  <si>
    <t>vlad.dubilin@gmail.com</t>
  </si>
  <si>
    <t>Дятлов Марк Русланович</t>
  </si>
  <si>
    <t>Северная Осетия - Алания Респ</t>
  </si>
  <si>
    <t>Владикавказ г</t>
  </si>
  <si>
    <t>+79627441706; +7(928)856-62-97</t>
  </si>
  <si>
    <t>dyatlov.mark@yandex.ru</t>
  </si>
  <si>
    <t>С женой Дятловой Е.В.</t>
  </si>
  <si>
    <t>Дятлова Екатерина Валерьевна</t>
  </si>
  <si>
    <t>+79627441706; +7(962)744-17-06</t>
  </si>
  <si>
    <t>lopushnyack.c@yandex.ru</t>
  </si>
  <si>
    <t>с мужем Дятловым М.Р.</t>
  </si>
  <si>
    <t>Евдокимов Александр Юрьевич</t>
  </si>
  <si>
    <t>+7(950)737-18-55</t>
  </si>
  <si>
    <t>engelo1118@gmail.com</t>
  </si>
  <si>
    <t>Евдокимов Никита Алексеевич</t>
  </si>
  <si>
    <t>+7(913)486-27-68</t>
  </si>
  <si>
    <t>n_e1@ngs.ru</t>
  </si>
  <si>
    <t>Евсеев Андрей Алексеевич</t>
  </si>
  <si>
    <t>89060359868; +7(964)556-45-45</t>
  </si>
  <si>
    <t>mosvoky2010@mail.ru</t>
  </si>
  <si>
    <t>Евсеев Глеб Андреевич</t>
  </si>
  <si>
    <t>21.05.05</t>
  </si>
  <si>
    <t>Физические процессы горного или нефтегазового производства</t>
  </si>
  <si>
    <t>89612557855; +7(930)834-12-34</t>
  </si>
  <si>
    <t>glibati@mail.ru</t>
  </si>
  <si>
    <t>Евсеев Даниил Алексеевич</t>
  </si>
  <si>
    <t>+7(980)625-06-40; +79806250640</t>
  </si>
  <si>
    <t>evseev2005evs@mail.ru</t>
  </si>
  <si>
    <t>Евсеев Михаил Юрьевич</t>
  </si>
  <si>
    <t>+7(916)764-41-23</t>
  </si>
  <si>
    <t>evseevforwork@gmail.com</t>
  </si>
  <si>
    <t>Евсеева Анна Александровна</t>
  </si>
  <si>
    <t>+7(987)191-04-69</t>
  </si>
  <si>
    <t>aevseevaa03@gmail.com</t>
  </si>
  <si>
    <t>Егоров Владимир Юрьевич</t>
  </si>
  <si>
    <t>+7(909)286-87-66</t>
  </si>
  <si>
    <t>volodya.yegorov@mail.ru</t>
  </si>
  <si>
    <t>Егоров Владислав Валерьевич</t>
  </si>
  <si>
    <t>Улытауская область</t>
  </si>
  <si>
    <t>Сатпаев</t>
  </si>
  <si>
    <t>+7(705)587-69-51</t>
  </si>
  <si>
    <t>wolf.klklklko@mail.ru</t>
  </si>
  <si>
    <t>Егоров Даниил Юрьевич</t>
  </si>
  <si>
    <t>+79057732715; +7(925)753-02-65</t>
  </si>
  <si>
    <t>partdog21@yandex.ru</t>
  </si>
  <si>
    <t>Егоров Игорь Александрович</t>
  </si>
  <si>
    <t>Тосно г</t>
  </si>
  <si>
    <t>89119157935; +7(950)037-61-99</t>
  </si>
  <si>
    <t>egorov_ia@aemtech-st.ru</t>
  </si>
  <si>
    <t>Егорова Кристина Игоревна</t>
  </si>
  <si>
    <t>Клин г</t>
  </si>
  <si>
    <t>+7(929)543-40-08</t>
  </si>
  <si>
    <t>Kiegorova04@mail.ru</t>
  </si>
  <si>
    <t>Егорова Мария Александровна</t>
  </si>
  <si>
    <t>Дровяная пгт</t>
  </si>
  <si>
    <t>+7(914)132-99-43</t>
  </si>
  <si>
    <t>manyaegorova7@gmail.com</t>
  </si>
  <si>
    <t>Егорова Мария Андреевна</t>
  </si>
  <si>
    <t>Лукинская д</t>
  </si>
  <si>
    <t>+7(921)244-49-30</t>
  </si>
  <si>
    <t>mariia.egorova110120@mail.ru</t>
  </si>
  <si>
    <t>Едогиаверие Лидия Огоса</t>
  </si>
  <si>
    <t>Бенин Сити</t>
  </si>
  <si>
    <t>lydiaedogiawerie@gmail.com</t>
  </si>
  <si>
    <t>Екомазова Софья Сергеевна</t>
  </si>
  <si>
    <t>Заречный г</t>
  </si>
  <si>
    <t>(937)413-47-42; 89273846011</t>
  </si>
  <si>
    <t>son.yekomazowa@yandex.ru</t>
  </si>
  <si>
    <t>Елисова Алла Андреевна</t>
  </si>
  <si>
    <t>+79037590201; +7(968)058-60-77</t>
  </si>
  <si>
    <t>fluuffyer@yandex.ru</t>
  </si>
  <si>
    <t>Елишакова Сабина Кобовна</t>
  </si>
  <si>
    <t>89296021818; +7(916)122-02-02</t>
  </si>
  <si>
    <t>sabina.elishakov@gmail.com</t>
  </si>
  <si>
    <t>Елсукова Юлия Сергеевна</t>
  </si>
  <si>
    <t>+7(912)453-89-59</t>
  </si>
  <si>
    <t>Kjeves@yandex.ru</t>
  </si>
  <si>
    <t>Емелин Семён Андреевич</t>
  </si>
  <si>
    <t>Фрязино г</t>
  </si>
  <si>
    <t>+7(916)989-48-53</t>
  </si>
  <si>
    <t>semak2812@yandex.ru</t>
  </si>
  <si>
    <t>Емельяненко Роман Максимович</t>
  </si>
  <si>
    <t>+7(953)278-10-80</t>
  </si>
  <si>
    <t>Emelyanenko619@yandex.ru</t>
  </si>
  <si>
    <t>Емельянов Иван Андреевич</t>
  </si>
  <si>
    <t>(989)630-10-25</t>
  </si>
  <si>
    <t>asdf349@mail.ru</t>
  </si>
  <si>
    <t>Емельянова Анфиса Владимировна</t>
  </si>
  <si>
    <t>+7(988)021-30-19</t>
  </si>
  <si>
    <t>sochina.olga@mail.ru</t>
  </si>
  <si>
    <t>Емельянцев Михаил Дмитриевич</t>
  </si>
  <si>
    <t>+7(980)151-32-63</t>
  </si>
  <si>
    <t>EMD15042005M@YANDEX.RU</t>
  </si>
  <si>
    <t>Епифанов Данила Игоревич</t>
  </si>
  <si>
    <t>+79228525499; +7(951)038-77-69</t>
  </si>
  <si>
    <t>grunisch1@gmail.com</t>
  </si>
  <si>
    <t>Епифанцев Ярослав Александрович</t>
  </si>
  <si>
    <t>+7(965)117-99-49</t>
  </si>
  <si>
    <t>Perviyrazvks@gmail.com</t>
  </si>
  <si>
    <t>Ердяков Григорий Александрович</t>
  </si>
  <si>
    <t>Вятское с/п</t>
  </si>
  <si>
    <t>+7(991)296-91-22</t>
  </si>
  <si>
    <t>STPDS123W@MAIL.RU</t>
  </si>
  <si>
    <t>Еремин Вадим Евгеньевич</t>
  </si>
  <si>
    <t>+7(925)063-25-22; 89269148426</t>
  </si>
  <si>
    <t>raketagryta@gmail.com</t>
  </si>
  <si>
    <t>Еремин Егор Александрович</t>
  </si>
  <si>
    <t>+7(965)680-05-58</t>
  </si>
  <si>
    <t>mr.eremin.egor@gmail.com</t>
  </si>
  <si>
    <t>Ерёмин Иван Николаевич</t>
  </si>
  <si>
    <t>+7(916)953-85-62</t>
  </si>
  <si>
    <t>vanyusha_eremin.06@mail.ru</t>
  </si>
  <si>
    <t>Еремин Кирилл Андреевич</t>
  </si>
  <si>
    <t>+79169110613; +7(985)345-91-03</t>
  </si>
  <si>
    <t>anaconda_83@mail.ru</t>
  </si>
  <si>
    <t>Ерицян Давид Овикович</t>
  </si>
  <si>
    <t>+7(985)172-99-51</t>
  </si>
  <si>
    <t>wruser123@gmail.com</t>
  </si>
  <si>
    <t>Ермак Никита Артёмович</t>
  </si>
  <si>
    <t>89165686838; +7(966)059-58-01</t>
  </si>
  <si>
    <t>neket-ermak@yandex.ru</t>
  </si>
  <si>
    <t>Ермаков Алексей Юрьевич</t>
  </si>
  <si>
    <t>89775900363; +7(977)590-03-63</t>
  </si>
  <si>
    <t>swetamber@mail.ru</t>
  </si>
  <si>
    <t>Ермаков Артемий Романович</t>
  </si>
  <si>
    <t>+7(916)157-66-11</t>
  </si>
  <si>
    <t>didforat@gmail.com</t>
  </si>
  <si>
    <t>Ермолаев Кирилл Павлович</t>
  </si>
  <si>
    <t>+7(926)397-43-33</t>
  </si>
  <si>
    <t>kirill_ermolaev_05@mail.ru</t>
  </si>
  <si>
    <t>Ермоленко Алина Алексеевна</t>
  </si>
  <si>
    <t>+7(916)837-39-80</t>
  </si>
  <si>
    <t>alinka.ermolenko@list.ru</t>
  </si>
  <si>
    <t>Ермолин Вадим Михайлович</t>
  </si>
  <si>
    <t>Абдулино г</t>
  </si>
  <si>
    <t>+7(922)868-28-97</t>
  </si>
  <si>
    <t>ermolin-v-5@mail.ru</t>
  </si>
  <si>
    <t>Ескандр Мохаммад</t>
  </si>
  <si>
    <t>Тартус</t>
  </si>
  <si>
    <t>+7(980)193-55-32</t>
  </si>
  <si>
    <t>m2213557@edu.misis.ru</t>
  </si>
  <si>
    <t>Ефимова Анна Владиславовна</t>
  </si>
  <si>
    <t>+7(901)383-44-95</t>
  </si>
  <si>
    <t>ANICH.EFIMOVA@GMAIL.COM</t>
  </si>
  <si>
    <t>Ефимова Елизавета Павловна</t>
  </si>
  <si>
    <t>Орехово-Зуево г</t>
  </si>
  <si>
    <t>+79267142096; +7(925)863-20-19</t>
  </si>
  <si>
    <t>pugpony@mail.ru</t>
  </si>
  <si>
    <t>Ефимова Татьяна Ивановна</t>
  </si>
  <si>
    <t>+7(916)884-94-83</t>
  </si>
  <si>
    <t>t.efimova17@mail.ru</t>
  </si>
  <si>
    <t>Ефремов Артем Андреевич</t>
  </si>
  <si>
    <t>Богородицк г</t>
  </si>
  <si>
    <t>9605966662; (953)191-85-59</t>
  </si>
  <si>
    <t>efremov0606@gmail.com</t>
  </si>
  <si>
    <t>Ефремов Даниил Максимович</t>
  </si>
  <si>
    <t>Загорянский дп</t>
  </si>
  <si>
    <t>89772752194; (977)275-21-94</t>
  </si>
  <si>
    <t>top-gamer-99@mail.ru</t>
  </si>
  <si>
    <t>Ефремова Арина Денисовна</t>
  </si>
  <si>
    <t>(917)921-33-86</t>
  </si>
  <si>
    <t>arindoskaefremova@gmail.com</t>
  </si>
  <si>
    <t>Жабин Григорий Михайлович</t>
  </si>
  <si>
    <t>89670840733; +7(967)152-58-04</t>
  </si>
  <si>
    <t>zhabingm@mail.ru</t>
  </si>
  <si>
    <t>Жарова Ольга Юрьевна</t>
  </si>
  <si>
    <t>+7(910)915-71-41</t>
  </si>
  <si>
    <t>ouzharova@yandex.ru</t>
  </si>
  <si>
    <t>Жданов Илья Сергеевич</t>
  </si>
  <si>
    <t>+7(916)821-90-29</t>
  </si>
  <si>
    <t>ilya.s.perovo@gmail.com</t>
  </si>
  <si>
    <t>Железняк Михаил Алексеевич</t>
  </si>
  <si>
    <t>+7(903)456-89-65</t>
  </si>
  <si>
    <t>ZHELEZNYAK.MIHA@GMAIL.COM</t>
  </si>
  <si>
    <t>Жерноклеев Александр Вадимович</t>
  </si>
  <si>
    <t>+79253915992; +7(915)081-97-79</t>
  </si>
  <si>
    <t>zhernokleev.al@rambler.ru</t>
  </si>
  <si>
    <t>Жигалин Данил Русланович</t>
  </si>
  <si>
    <t>+7(924)471-92-24</t>
  </si>
  <si>
    <t>zigalindanil@gmail.com</t>
  </si>
  <si>
    <t>Жигмитова Бутид Баировна</t>
  </si>
  <si>
    <t>89140564621; +7(983)639-48-78</t>
  </si>
  <si>
    <t>zhbutid@mail.ru</t>
  </si>
  <si>
    <t>Жигулёва Александра Андреевна</t>
  </si>
  <si>
    <t>+7(967)266-84-19</t>
  </si>
  <si>
    <t>al.zhiguleva@gmail.com</t>
  </si>
  <si>
    <t>Жигульская Екатерина Андреевна</t>
  </si>
  <si>
    <t>+7(925)305-80-68</t>
  </si>
  <si>
    <t>zhigulskaua@mail.ru</t>
  </si>
  <si>
    <t>Жилин Александр Михайлович</t>
  </si>
  <si>
    <t>Полевской г</t>
  </si>
  <si>
    <t>+79089286633; +7(901)453-04-65</t>
  </si>
  <si>
    <t>vip.stender@gmail.com</t>
  </si>
  <si>
    <t>Жилина Евгения Игоревна</t>
  </si>
  <si>
    <t>(905)154-29-39; +7(905)154-94-88</t>
  </si>
  <si>
    <t>zhilina810@gmail.com</t>
  </si>
  <si>
    <t>Жирнов Максим Максимович</t>
  </si>
  <si>
    <t>+79601507413; +7(910)259-55-35</t>
  </si>
  <si>
    <t>maksim.zhirnov.1999@mail.ru</t>
  </si>
  <si>
    <t>Жоау Андре Албану</t>
  </si>
  <si>
    <t>Ангола</t>
  </si>
  <si>
    <t>Луанда г.</t>
  </si>
  <si>
    <t>+7(999)977-29-52</t>
  </si>
  <si>
    <t>andrecabeto@gmail.com</t>
  </si>
  <si>
    <t>Студенческая 33 корп 6</t>
  </si>
  <si>
    <t>Жорник Елизавета Сергеевна</t>
  </si>
  <si>
    <t>Славянск-на-Кубани г</t>
  </si>
  <si>
    <t>+7(918)351-63-93</t>
  </si>
  <si>
    <t>liza_zhornik@mail.ru</t>
  </si>
  <si>
    <t>Жуйкова Дарья Михайловна</t>
  </si>
  <si>
    <t>Ижевск г</t>
  </si>
  <si>
    <t>+7(912)453-00-77</t>
  </si>
  <si>
    <t>zhuikovadari@yandex.ru</t>
  </si>
  <si>
    <t>Жуков Иван Романович</t>
  </si>
  <si>
    <t>+7(925)534-04-33</t>
  </si>
  <si>
    <t>iv4nzhukov@yandex.ru</t>
  </si>
  <si>
    <t>Жуков Степан Андреевич</t>
  </si>
  <si>
    <t>+7(929)790-25-55</t>
  </si>
  <si>
    <t>stepan.zhukov.64@mail.ru</t>
  </si>
  <si>
    <t>Жумабаева Ленара Шухратовна</t>
  </si>
  <si>
    <t>Ташкентская обл</t>
  </si>
  <si>
    <t>+7(953)414-55-70; +998997927779</t>
  </si>
  <si>
    <t>m1708541@edu.misis.ru</t>
  </si>
  <si>
    <t>к мужу Хидирову Ш.У.у</t>
  </si>
  <si>
    <t>Журавель Сергей Сергеевич</t>
  </si>
  <si>
    <t>+7(977)3464593; +79773464593</t>
  </si>
  <si>
    <t>quintinfine@gmail.com</t>
  </si>
  <si>
    <t>Журавлёв Сергей Романович</t>
  </si>
  <si>
    <t>+7(914)793-38-84</t>
  </si>
  <si>
    <t>GAPORDIE2@GMAIL.COM</t>
  </si>
  <si>
    <t>Жураев Уктам Рустам Угли</t>
  </si>
  <si>
    <t>Минор</t>
  </si>
  <si>
    <t>+7(916)416-75-85; +7(980)893-46-80; +998973507215</t>
  </si>
  <si>
    <t>uktam.juraev.96@mail.ru</t>
  </si>
  <si>
    <t>Жураковский Карен Васильевич</t>
  </si>
  <si>
    <t>+998975605005; +7(897)560-50-05</t>
  </si>
  <si>
    <t>karen.zhurakovsky@yandex.com</t>
  </si>
  <si>
    <t>Жусуева Айназик Рашитовна</t>
  </si>
  <si>
    <t>+7(977)944-21-42</t>
  </si>
  <si>
    <t>zhusuevaa6@gmail.com</t>
  </si>
  <si>
    <t>Видное</t>
  </si>
  <si>
    <t>Заболотских Иван Алексеевич</t>
  </si>
  <si>
    <t>+7(915)449-88-17</t>
  </si>
  <si>
    <t>i79163497831@gmail.com</t>
  </si>
  <si>
    <t>Забродин Ростислав Владимирович</t>
  </si>
  <si>
    <t>Озерки с</t>
  </si>
  <si>
    <t>+79803297169; +7(980)378-14-13; +79803781413</t>
  </si>
  <si>
    <t>DexPlay321@gmail.com</t>
  </si>
  <si>
    <t>отказался от общежития</t>
  </si>
  <si>
    <t>Завидей Никита Андреевич</t>
  </si>
  <si>
    <t>+7(985)271-23-64</t>
  </si>
  <si>
    <t>nikitka.zavidey@mail.ru</t>
  </si>
  <si>
    <t>Заворотный Александр Владимирович</t>
  </si>
  <si>
    <t>89996080027; +7(999)608-69-40</t>
  </si>
  <si>
    <t>a_zavorotnyj@mail.ru</t>
  </si>
  <si>
    <t>Заднипрянец Екатерина Владиславовна</t>
  </si>
  <si>
    <t>+7(915)274-66-55</t>
  </si>
  <si>
    <t>DNIPROVK@ICLOUD.COM</t>
  </si>
  <si>
    <t>Задорожний Борис Андреевич</t>
  </si>
  <si>
    <t>+7(915)196-92-81</t>
  </si>
  <si>
    <t>boriszador@mail.ru</t>
  </si>
  <si>
    <t>Заикина Полина Юрьевна</t>
  </si>
  <si>
    <t>Волоколамск г</t>
  </si>
  <si>
    <t>+7(968)395-19-10</t>
  </si>
  <si>
    <t>polina-zaikina@list.ru</t>
  </si>
  <si>
    <t>Заиченко Илья Дмитриевич</t>
  </si>
  <si>
    <t>+7(985)864-49-90</t>
  </si>
  <si>
    <t>ilya.3au4enko@gmail.com</t>
  </si>
  <si>
    <t>Зайкова Дарья Михайловна</t>
  </si>
  <si>
    <t>Кирово-Чепецк г</t>
  </si>
  <si>
    <t>89128206684; +7(958)393-32-93</t>
  </si>
  <si>
    <t>dzaykova1@gmail.com</t>
  </si>
  <si>
    <t>Зайцев Сергей Александрович</t>
  </si>
  <si>
    <t>Щёлково г</t>
  </si>
  <si>
    <t>+7(926)123-16-25</t>
  </si>
  <si>
    <t>Segrunek200515@gmail.com</t>
  </si>
  <si>
    <t>Заливин Андрей Сергеевич</t>
  </si>
  <si>
    <t>+7(900)634-76-31</t>
  </si>
  <si>
    <t>zalivin-a@mail.ru</t>
  </si>
  <si>
    <t>Запольских Николай Викторович</t>
  </si>
  <si>
    <t>+7(982)995-82-62</t>
  </si>
  <si>
    <t>t89829958262@yandex.ru</t>
  </si>
  <si>
    <t>Захаренкова Екатерина Денисовна</t>
  </si>
  <si>
    <t>Ухта г</t>
  </si>
  <si>
    <t>+7(912)136-62-80</t>
  </si>
  <si>
    <t>Katyxa1225@mail.ru</t>
  </si>
  <si>
    <t>Захаров Аркадий Александрович</t>
  </si>
  <si>
    <t>+7(952)025-77-01</t>
  </si>
  <si>
    <t>xpert_123@mail.ru</t>
  </si>
  <si>
    <t>Захарова Виктория Олеговна</t>
  </si>
  <si>
    <t>Пенза г</t>
  </si>
  <si>
    <t>+7(937)448-83-58</t>
  </si>
  <si>
    <t>zvo.umi@gmail.com</t>
  </si>
  <si>
    <t>Захарченко Екатерина Сергеевна</t>
  </si>
  <si>
    <t>+7(929)514-50-47</t>
  </si>
  <si>
    <t>9295145047k@gmail.com</t>
  </si>
  <si>
    <t>Захваткин Михаил Евгеньевич</t>
  </si>
  <si>
    <t>+7(925)530-02-42; 84959880941</t>
  </si>
  <si>
    <t>z.m.e@bk.ru</t>
  </si>
  <si>
    <t>Захваткина Алина Александровна</t>
  </si>
  <si>
    <t>89630294477; +7(905)875-45-45</t>
  </si>
  <si>
    <t>m1908803@edu.misis.ru</t>
  </si>
  <si>
    <t>Захидов Дмитрий Сергеевич</t>
  </si>
  <si>
    <t>+7(977)327-50-77</t>
  </si>
  <si>
    <t>79251740428@yandex.ru</t>
  </si>
  <si>
    <t>Зверева Дарья Константиновна</t>
  </si>
  <si>
    <t>+7(964)594-26-35</t>
  </si>
  <si>
    <t>moon.gingerbread@gmail.com</t>
  </si>
  <si>
    <t>Звягинцева Анна Сергеевна</t>
  </si>
  <si>
    <t>(925)830-23-14; +79258302314</t>
  </si>
  <si>
    <t>zvvaaa@list.ru</t>
  </si>
  <si>
    <t>Зданович Николай Сергеевич</t>
  </si>
  <si>
    <t>+7(988)585-76-14</t>
  </si>
  <si>
    <t>nik.z.001@mail.ru</t>
  </si>
  <si>
    <t>Зеленин Егор Сергеевич</t>
  </si>
  <si>
    <t>+79090508351; +7(950)164-62-61</t>
  </si>
  <si>
    <t>zelenin_yegor@mail.ru</t>
  </si>
  <si>
    <t>Зеленская Валерия Юрьевна</t>
  </si>
  <si>
    <t>Пересвет г</t>
  </si>
  <si>
    <t>+7(925)631-36-00</t>
  </si>
  <si>
    <t>VALERIEPUDV@MAIL.RU</t>
  </si>
  <si>
    <t>Зеленцова Фаина Владимировна</t>
  </si>
  <si>
    <t>Козулька пгт</t>
  </si>
  <si>
    <t>+7(923)348-32-85</t>
  </si>
  <si>
    <t>FAINA.ZELENTSOVA.04@BK.RU</t>
  </si>
  <si>
    <t>Зелигер Борис Владимирович</t>
  </si>
  <si>
    <t>+7(952)364-66-07</t>
  </si>
  <si>
    <t>boriszeliger@mail.ru</t>
  </si>
  <si>
    <t>Земляков Александр Сергеевич</t>
  </si>
  <si>
    <t>+7(916)250-36-45</t>
  </si>
  <si>
    <t>alexzemlyakov99@gmail.com</t>
  </si>
  <si>
    <t>Земцов Артем Эдуардович</t>
  </si>
  <si>
    <t>+7(905)365-11-91</t>
  </si>
  <si>
    <t>m1705366@edu.misis.ru</t>
  </si>
  <si>
    <t>Земцов Денис Алексеевич</t>
  </si>
  <si>
    <t>+79167973801; +7(916)730-40-22</t>
  </si>
  <si>
    <t>zemdenalex@gmail.com</t>
  </si>
  <si>
    <t>Земцова Варвара Владимировна</t>
  </si>
  <si>
    <t>+79163730800; +7(968)526-21-40</t>
  </si>
  <si>
    <t>veronika.agora@yandex.ru</t>
  </si>
  <si>
    <t>Зенушкина Ангелина Андреевна</t>
  </si>
  <si>
    <t>+7(900)303-34-60; +79003033460</t>
  </si>
  <si>
    <t>a-zenushkina@mail.ru</t>
  </si>
  <si>
    <t>Зенцов Данила Николаевич</t>
  </si>
  <si>
    <t>+7(977)934-92-90</t>
  </si>
  <si>
    <t>zenstov.dlina@yandex.ru</t>
  </si>
  <si>
    <t>Зильберштейн Софья Максимовна</t>
  </si>
  <si>
    <t>+7(992)120-46-08</t>
  </si>
  <si>
    <t>S_Z_15_M@MAIL.RU</t>
  </si>
  <si>
    <t>Зимин Алексей Александрович</t>
  </si>
  <si>
    <t>+7(964)783-82-62</t>
  </si>
  <si>
    <t>pokar22222@gmail.com</t>
  </si>
  <si>
    <t>Зимина Владислава Алексеевна</t>
  </si>
  <si>
    <t>9773208655; +7(977)270-07-14</t>
  </si>
  <si>
    <t>vlada.winter@yandex.ru</t>
  </si>
  <si>
    <t>Зимина Кристина Алексеевна</t>
  </si>
  <si>
    <t>Засопка с</t>
  </si>
  <si>
    <t>+7(914)482-85-22</t>
  </si>
  <si>
    <t>kristina.zimina.2002@list.ru</t>
  </si>
  <si>
    <t>Зинов Кирилл Андреевич</t>
  </si>
  <si>
    <t>+79174513216; +7(917)805-20-58</t>
  </si>
  <si>
    <t>kirill121204@gmail.com</t>
  </si>
  <si>
    <t>Зиновьев Даниил Витальевич</t>
  </si>
  <si>
    <t>+7(960)577-13-93</t>
  </si>
  <si>
    <t>zinovevdaniil926@gmail.com</t>
  </si>
  <si>
    <t>Зинькова Анна Валентиновна</t>
  </si>
  <si>
    <t>Всходы с</t>
  </si>
  <si>
    <t>+79107665529; +7(905)161-94-91</t>
  </si>
  <si>
    <t>xresigka@gmail.com</t>
  </si>
  <si>
    <t>Зиядиева Камиля Раильевна</t>
  </si>
  <si>
    <t>+7(962)549-57-57</t>
  </si>
  <si>
    <t>miss.ziadieva@yandex.ru</t>
  </si>
  <si>
    <t>Злобин Антон Владиславович</t>
  </si>
  <si>
    <t>+7(950)817-72-64; +7-982-833-99-18</t>
  </si>
  <si>
    <t>Antonzlob23@gmail.com</t>
  </si>
  <si>
    <t>Злобин Даниил Андреевич</t>
  </si>
  <si>
    <t>(919)905-85-29</t>
  </si>
  <si>
    <t>d.zlobin2000@gmail.com</t>
  </si>
  <si>
    <t>Злобина Анна Валерьевна</t>
  </si>
  <si>
    <t>+7(950)150-66-30</t>
  </si>
  <si>
    <t>che-anyuta@yandex.ru</t>
  </si>
  <si>
    <t>Знаменский Никита Аркадьевич</t>
  </si>
  <si>
    <t>+7(964)787-41-19</t>
  </si>
  <si>
    <t>Nikitosa9@yandex.ru</t>
  </si>
  <si>
    <t>Зобнина Олеся Вадимовна</t>
  </si>
  <si>
    <t>+7(925)331-15-71</t>
  </si>
  <si>
    <t>olesyazobnina555@gmail.com</t>
  </si>
  <si>
    <t>Зоирзода Заррухи Искандар</t>
  </si>
  <si>
    <t>+7(926)969-80-03</t>
  </si>
  <si>
    <t>zarrukh001@mail.ru</t>
  </si>
  <si>
    <t>Зойиров Шахзод Амон угли</t>
  </si>
  <si>
    <t>+7(903)689-84-22; +7(906)566-36-05</t>
  </si>
  <si>
    <t>zoyirovshax1999@gmail.com</t>
  </si>
  <si>
    <t>Зокиров Мехроб Шавкатович</t>
  </si>
  <si>
    <t>+992988225516; +7(925)245-36-55</t>
  </si>
  <si>
    <t>ismatov.akhror@mail.ru</t>
  </si>
  <si>
    <t>Золотухин Игорь Сергеевич</t>
  </si>
  <si>
    <t>Ильины х</t>
  </si>
  <si>
    <t>89166768994; +7(993)914-69-40</t>
  </si>
  <si>
    <t>zolotuchin123@gmail.com</t>
  </si>
  <si>
    <t>Зосимова Полина Олеговна</t>
  </si>
  <si>
    <t>+79216222057; +7(911)405-76-16</t>
  </si>
  <si>
    <t>zosimova.pol@yandex.ru</t>
  </si>
  <si>
    <t>Зубарева Ульяна Валерьевна</t>
  </si>
  <si>
    <t>+79057963627; +7(965)398-26-50</t>
  </si>
  <si>
    <t>uliana240601@yandex.ru</t>
  </si>
  <si>
    <t>Зудина Татьяна Геннадьевна</t>
  </si>
  <si>
    <t>Алексин г</t>
  </si>
  <si>
    <t>+7(920)772-52-48</t>
  </si>
  <si>
    <t>t.zud1na@yandex.ru</t>
  </si>
  <si>
    <t>Зудов Артем Андреевич</t>
  </si>
  <si>
    <t>Нижний Тагил г</t>
  </si>
  <si>
    <t>+7(912)291-27-98</t>
  </si>
  <si>
    <t>artem6692@gmail.com</t>
  </si>
  <si>
    <t>Зуев Алексей Сергеевич</t>
  </si>
  <si>
    <t>+7(978)7706141; +7(978)706-06-78; +7(916)348-49-34; +79163484934</t>
  </si>
  <si>
    <t>as.zuev2@yandex.ru</t>
  </si>
  <si>
    <t>Зуев Георгий Андреевич</t>
  </si>
  <si>
    <t>+7(982)125-79-89</t>
  </si>
  <si>
    <t>zuev.georgiy@bk.ru</t>
  </si>
  <si>
    <t>Зуйков Арсений Николаевич</t>
  </si>
  <si>
    <t>+7(916)262-43-04</t>
  </si>
  <si>
    <t>ars5niy2200@mail.ru</t>
  </si>
  <si>
    <t>Зулувов Анвар Маратович</t>
  </si>
  <si>
    <t>+7(963)612-22-02</t>
  </si>
  <si>
    <t>anvar595959@gmail.com</t>
  </si>
  <si>
    <t>Зябликова Ксения Дмитриевна</t>
  </si>
  <si>
    <t>+7(915)039-63-35</t>
  </si>
  <si>
    <t>KSUSHAZ_2005@MAIL.RU</t>
  </si>
  <si>
    <t>Ибадуллаев Тархан Нураддин оглы</t>
  </si>
  <si>
    <t>Сосенки д</t>
  </si>
  <si>
    <t>+7(926)891-68-52</t>
  </si>
  <si>
    <t>tarhan5000@gmail.com</t>
  </si>
  <si>
    <t>Ибетуллов Алексей</t>
  </si>
  <si>
    <t>+7(708)104-20-84</t>
  </si>
  <si>
    <t>aivetullov@mail.ru</t>
  </si>
  <si>
    <t>Ибрагимов Рустам Раимович</t>
  </si>
  <si>
    <t>+7(963)779-39-89</t>
  </si>
  <si>
    <t>ibragimov.rustik@bk.ru</t>
  </si>
  <si>
    <t>Ибрамхалилов Роман Ламетович</t>
  </si>
  <si>
    <t>+7(937)913-71-32</t>
  </si>
  <si>
    <t>romanibramhalilov@gmail.com</t>
  </si>
  <si>
    <t>Ибрахим Мохамад</t>
  </si>
  <si>
    <t>Хама</t>
  </si>
  <si>
    <t>+7(925)028-74-63; +79250287463</t>
  </si>
  <si>
    <t>mohamad051900ibrahim@gmail.com</t>
  </si>
  <si>
    <t>Иванников Яков Александрович</t>
  </si>
  <si>
    <t>-; +7(915)443-73-36</t>
  </si>
  <si>
    <t>socialyashka@gmail.com</t>
  </si>
  <si>
    <t>Иванов Артем Александрович</t>
  </si>
  <si>
    <t>+79278484275; +7(952)023-57-74</t>
  </si>
  <si>
    <t>artemis.arteyom.ivanov@gmail.com</t>
  </si>
  <si>
    <t>Иванов Дмитрий Александрович</t>
  </si>
  <si>
    <t>+7(910)820-50-03</t>
  </si>
  <si>
    <t>Dmitry.Ivanov.743@gmail.com</t>
  </si>
  <si>
    <t>Иванов Дмитрий Сергеевич</t>
  </si>
  <si>
    <t>Рождествено с</t>
  </si>
  <si>
    <t>+7(916)908-48-89</t>
  </si>
  <si>
    <t>dimikchannel@gmail.com</t>
  </si>
  <si>
    <t>Иванов Максим Николаевич</t>
  </si>
  <si>
    <t>+7(952)382-31-35</t>
  </si>
  <si>
    <t>masana13579@bk.ru</t>
  </si>
  <si>
    <t>Иванов Михаил Иванович</t>
  </si>
  <si>
    <t>+7(951)165-99-56</t>
  </si>
  <si>
    <t>mishaivai6@mail.ru</t>
  </si>
  <si>
    <t>Иванов Никита Сергеевич</t>
  </si>
  <si>
    <t>Калязин г</t>
  </si>
  <si>
    <t>+7(919)062-59-97</t>
  </si>
  <si>
    <t>ivanikita111997@yandex.ru</t>
  </si>
  <si>
    <t>Иванова Алина Сергеевна</t>
  </si>
  <si>
    <t>+7(987)556-72-14</t>
  </si>
  <si>
    <t>alinaa.ivanovaaa2001@mail.ru</t>
  </si>
  <si>
    <t>Иванова Анастасия Геннадьевна</t>
  </si>
  <si>
    <t>+7(967)016-52-87</t>
  </si>
  <si>
    <t>BARON.IVANOVA@YA.RU</t>
  </si>
  <si>
    <t>Иванова Ангелина</t>
  </si>
  <si>
    <t>+7(986)986-70-43</t>
  </si>
  <si>
    <t>angelina00080302@gmail.com</t>
  </si>
  <si>
    <t>Иванова Анна Романовна</t>
  </si>
  <si>
    <t>+79043584685; +7(952)087-27-35</t>
  </si>
  <si>
    <t>annaivart5@gmail.com</t>
  </si>
  <si>
    <t>просьба Евсюковой</t>
  </si>
  <si>
    <t>Иванова Дарья Сергеевна</t>
  </si>
  <si>
    <t>+7(930)177-75-94</t>
  </si>
  <si>
    <t>ids012018@mail.ru</t>
  </si>
  <si>
    <t>Иванова Иляна Владимировна</t>
  </si>
  <si>
    <t>+7(988)681-13-50</t>
  </si>
  <si>
    <t>ilyana.ivanova.05@mail.ru</t>
  </si>
  <si>
    <t>Иванова Карина Андреевна</t>
  </si>
  <si>
    <t>89043671210; +7(920)669-94-21</t>
  </si>
  <si>
    <t>karinandreevna_99@icloud.com</t>
  </si>
  <si>
    <t>Иванова Ксения Сергеевна</t>
  </si>
  <si>
    <t>9852977515</t>
  </si>
  <si>
    <t>ululululululul@yandex.ru</t>
  </si>
  <si>
    <t>Иванова Ольга Кирилловна</t>
  </si>
  <si>
    <t>(916)143-74-31; +79161437431</t>
  </si>
  <si>
    <t>ivanova.olya20011114@yandex.ru</t>
  </si>
  <si>
    <t>Иванцова Екатерина Александровна</t>
  </si>
  <si>
    <t>89155338291; +7(999)904-18-21</t>
  </si>
  <si>
    <t>ivantsova2304@gmal.com</t>
  </si>
  <si>
    <t>Иванькова Юлия Игоревна</t>
  </si>
  <si>
    <t>+7(915)130-85-46</t>
  </si>
  <si>
    <t>i@ivajull.ru</t>
  </si>
  <si>
    <t>Ивасько Александр Сергеевич</t>
  </si>
  <si>
    <t>+7(968)020-31-01</t>
  </si>
  <si>
    <t>ivaskoas@gmail.com</t>
  </si>
  <si>
    <t>Ивачева Евгения Юрьевна</t>
  </si>
  <si>
    <t>Синезерки п</t>
  </si>
  <si>
    <t>+7(953)285-74-95</t>
  </si>
  <si>
    <t>ivachevaevgen@gmail.com</t>
  </si>
  <si>
    <t>вместе с Костиной Е.А.</t>
  </si>
  <si>
    <t>Ивершин Вадим Сергеевич</t>
  </si>
  <si>
    <t>Полтавская ст-ца</t>
  </si>
  <si>
    <t>+7(918)213-75-89</t>
  </si>
  <si>
    <t>dartanum2@yandex.ru</t>
  </si>
  <si>
    <t>Ивонцына Елизавета Геннадьевна</t>
  </si>
  <si>
    <t>+7(989)851-03-30</t>
  </si>
  <si>
    <t>liza.ivoncyna@bk.ru</t>
  </si>
  <si>
    <t>Игнатова Анна Валерьевна</t>
  </si>
  <si>
    <t>+7(953)640-03-83</t>
  </si>
  <si>
    <t>yana03509@gmail.com</t>
  </si>
  <si>
    <t>Игнатова Мария Евгеньевна</t>
  </si>
  <si>
    <t>+7(937)026-30-17</t>
  </si>
  <si>
    <t>LVRMMM@MAIL.RU</t>
  </si>
  <si>
    <t>Игнатова София Евгеньевна</t>
  </si>
  <si>
    <t>(910)412-31-14; +79998331012</t>
  </si>
  <si>
    <t>mistsofi@yandex.ru</t>
  </si>
  <si>
    <t>Игнатова Юлия Олеговна</t>
  </si>
  <si>
    <t>+7(915)336-90-01</t>
  </si>
  <si>
    <t>m1904337@edu.misis.ru</t>
  </si>
  <si>
    <t>Игумнов Дмитрий Андреевич</t>
  </si>
  <si>
    <t>+7(910)403-51-32</t>
  </si>
  <si>
    <t>igumnov.dima001@rambler.ru</t>
  </si>
  <si>
    <t>Идиятуллин Шамиль Ильдарович</t>
  </si>
  <si>
    <t>Октябрьский г</t>
  </si>
  <si>
    <t>+7(927)337-76-57</t>
  </si>
  <si>
    <t>idiatullinsamil@gmail.com</t>
  </si>
  <si>
    <t>Ижутова Виктория Махмудовна</t>
  </si>
  <si>
    <t>89166547141; +7(917)540-21-43</t>
  </si>
  <si>
    <t>viig2669@mail.ru</t>
  </si>
  <si>
    <t>Изотьева Мария Александровна</t>
  </si>
  <si>
    <t>+79881752037; +7(902)111-31-10; +7(902)993-35-15</t>
  </si>
  <si>
    <t>morkovka845@mail.ru</t>
  </si>
  <si>
    <t>Илядярова Татьяна Владимировна</t>
  </si>
  <si>
    <t>89053408929; +7(906)384-73-91</t>
  </si>
  <si>
    <t>iladarovatana@gmail.com</t>
  </si>
  <si>
    <t>Инан Тимур Салим Серветович</t>
  </si>
  <si>
    <t>+7(925)151-86-41</t>
  </si>
  <si>
    <t>tsi312398@gmail.com</t>
  </si>
  <si>
    <t>Иноземцева Ольга Владимировна</t>
  </si>
  <si>
    <t>+7 (914) 812-16-74; +7(916)555-13-69</t>
  </si>
  <si>
    <t>inozemceva.o@yandex.com</t>
  </si>
  <si>
    <t>Иномов Иномхон Бахромович</t>
  </si>
  <si>
    <t>+7(922)385-87-64</t>
  </si>
  <si>
    <t>i.inomov2004@gmail.com</t>
  </si>
  <si>
    <t>Иняев Геннадий Игоревич</t>
  </si>
  <si>
    <t>89144608246; +7(926)331-29-35</t>
  </si>
  <si>
    <t>inyaev01@gmail.com</t>
  </si>
  <si>
    <t>Студенческая 33 корп 5 - Вставка</t>
  </si>
  <si>
    <t>Иовашвили Софья Мерабовна</t>
  </si>
  <si>
    <t>Томилино рп</t>
  </si>
  <si>
    <t>+7(925)305-28-98</t>
  </si>
  <si>
    <t>dkjcnxbxb@gmail.com</t>
  </si>
  <si>
    <t>Иовлев Егор Ильич</t>
  </si>
  <si>
    <t>+79154584232; +7(916)720-25-96</t>
  </si>
  <si>
    <t>iovlev_2005@mail.ru</t>
  </si>
  <si>
    <t>Ипатов Иван Максимович</t>
  </si>
  <si>
    <t>+7(932)440-98-16</t>
  </si>
  <si>
    <t>iaan33333@gmail.com</t>
  </si>
  <si>
    <t>Исаев Дмитрий Сергеевич</t>
  </si>
  <si>
    <t>9052977726; (962)667-03-97</t>
  </si>
  <si>
    <t>svisaev78@gmail.com</t>
  </si>
  <si>
    <t>Исаев Роман Анатольевич</t>
  </si>
  <si>
    <t>Березовка 1-я х</t>
  </si>
  <si>
    <t>9053363385; +7(967)049-90-70; +79670499070</t>
  </si>
  <si>
    <t>1236_1999@mail.ru</t>
  </si>
  <si>
    <t>Исакин Илья Алексеевич</t>
  </si>
  <si>
    <t>+79256457725; +7(925)645-77-25</t>
  </si>
  <si>
    <t>isakin01@mail.ru</t>
  </si>
  <si>
    <t>Исаченко Михаил Константинович</t>
  </si>
  <si>
    <t>+7(963)644-19-31</t>
  </si>
  <si>
    <t>miha.is@mail.ru</t>
  </si>
  <si>
    <t>Искаков Асет Жароллович</t>
  </si>
  <si>
    <t>89259180038; +7(707)103-10-11</t>
  </si>
  <si>
    <t>nazymarzu.zharolla@mail.ru</t>
  </si>
  <si>
    <t>Искандяров Никита Андреевич</t>
  </si>
  <si>
    <t>+7(977)449-25-53; +79776451811</t>
  </si>
  <si>
    <t>Исламов Максим Николаевич</t>
  </si>
  <si>
    <t>+7 996 124 34 34; +7(937)579-72-18</t>
  </si>
  <si>
    <t>seilbahn@yandex.ru</t>
  </si>
  <si>
    <t>Исламов Олимджон Бахромович</t>
  </si>
  <si>
    <t>+7(901)739-72-44</t>
  </si>
  <si>
    <t>olimjon.1998.tj@gmail.com</t>
  </si>
  <si>
    <t>Исламов Рафаэль Тагирович</t>
  </si>
  <si>
    <t>+7(965)610-76-55</t>
  </si>
  <si>
    <t>livinoe@bk.ru</t>
  </si>
  <si>
    <t>Исломбоев Ботир Бахтиёр угли</t>
  </si>
  <si>
    <t>+998994887847; +7(925)333-98-25</t>
  </si>
  <si>
    <t>islomboev_botir@mail.ru</t>
  </si>
  <si>
    <t>Исмагилов Искандер Рустемович</t>
  </si>
  <si>
    <t>89859674048; +7(925)303-84-77</t>
  </si>
  <si>
    <t>ad-ts@mail.ru</t>
  </si>
  <si>
    <t>Исмагилова Дилара Айратовна</t>
  </si>
  <si>
    <t>89161241703; (917)589-19-71</t>
  </si>
  <si>
    <t>dilara.is.5801@gmail.com</t>
  </si>
  <si>
    <t>Исмагилова Диляра Руслановна</t>
  </si>
  <si>
    <t>+7(968)480-42-62</t>
  </si>
  <si>
    <t>ismagilovad999rambler.ru</t>
  </si>
  <si>
    <t>Исмаилов Диёрбек Махмуд Угли</t>
  </si>
  <si>
    <t>+998936165664; +7(893)616-56-64</t>
  </si>
  <si>
    <t>diyor1428@gmail.com</t>
  </si>
  <si>
    <t>Исмаилов Кудратбек Кахраман Угли</t>
  </si>
  <si>
    <t>Хорезм</t>
  </si>
  <si>
    <t>Хонка</t>
  </si>
  <si>
    <t>+998943148584; +7(909)955-22-14</t>
  </si>
  <si>
    <t>m1911200@edu.misis.ru</t>
  </si>
  <si>
    <t>Исмаилов Серафим Микаэльевич</t>
  </si>
  <si>
    <t>+79050494505; +7(961)189-30-88</t>
  </si>
  <si>
    <t>is_s_mik@mail.ru</t>
  </si>
  <si>
    <t>Исраилов Джахангир Маннабаевич</t>
  </si>
  <si>
    <t>Алмалык</t>
  </si>
  <si>
    <t>+998936009414; +7(000)000-00-00</t>
  </si>
  <si>
    <t>boss.kazinoroyal@bk.ru</t>
  </si>
  <si>
    <t>Исса Карам</t>
  </si>
  <si>
    <t>Латакия</t>
  </si>
  <si>
    <t>+79951559141; +7(995)155-91-41</t>
  </si>
  <si>
    <t>karamiessa20@gmail.com</t>
  </si>
  <si>
    <t>Истляев Максим Сергеевич</t>
  </si>
  <si>
    <t>+7(936)284-35-26; +7(936)284-35-26</t>
  </si>
  <si>
    <t>mistlyaev@bk.ru</t>
  </si>
  <si>
    <t>Истомин Пётр Алексеевич</t>
  </si>
  <si>
    <t>+7(916)442-00-77</t>
  </si>
  <si>
    <t>petristomin@gmail.com</t>
  </si>
  <si>
    <t>Исчанова Фарангиз</t>
  </si>
  <si>
    <t>Домогузская область</t>
  </si>
  <si>
    <t>Шабат</t>
  </si>
  <si>
    <t>+7(000)000-00-00; +99363328044</t>
  </si>
  <si>
    <t>fischanova@mail.ru</t>
  </si>
  <si>
    <t>Кабаира Мерси Мунаше</t>
  </si>
  <si>
    <t>+7(987)558-03-71</t>
  </si>
  <si>
    <t>mercymunashe179@gmail.com</t>
  </si>
  <si>
    <t>Кабанов Дмитрий Вячеславович</t>
  </si>
  <si>
    <t>89162101025; +7(916)401-14-15</t>
  </si>
  <si>
    <t>dvkab@mail.ru</t>
  </si>
  <si>
    <t>Кабанова Екатерина Викторовна</t>
  </si>
  <si>
    <t>+7(903)513-31-45</t>
  </si>
  <si>
    <t>e.kabanova05@gmail.com</t>
  </si>
  <si>
    <t>Кабанова Кира Алексеевна</t>
  </si>
  <si>
    <t>+7(926)046-40-49</t>
  </si>
  <si>
    <t>kabanovakira@yandex.ru</t>
  </si>
  <si>
    <t>Кабанова Ксения Викторовна</t>
  </si>
  <si>
    <t>89176047717; +7(985)333-30-34</t>
  </si>
  <si>
    <t>kabanova.kseniia3012@mail.ru</t>
  </si>
  <si>
    <t>Каверин Григорий Дмитриевич</t>
  </si>
  <si>
    <t>+7(915)141-52-56</t>
  </si>
  <si>
    <t>smal727@yandex.ru</t>
  </si>
  <si>
    <t>Кадер Эхсан</t>
  </si>
  <si>
    <t>Равалпинди</t>
  </si>
  <si>
    <t>+7(909)997-31-06</t>
  </si>
  <si>
    <t>ehs9nino@gmail.com</t>
  </si>
  <si>
    <t>Кадирбеков Мадамин Абзалович</t>
  </si>
  <si>
    <t>84962438193; (916)421-79-29</t>
  </si>
  <si>
    <t>madamin2002@mail.ru</t>
  </si>
  <si>
    <t>Казакова Анастасия Алексеевна</t>
  </si>
  <si>
    <t>Ямало-Ненецкий АО</t>
  </si>
  <si>
    <t>Ноябрьск г</t>
  </si>
  <si>
    <t>+7(912)911-87-80</t>
  </si>
  <si>
    <t>nastyi6777@mail.ru</t>
  </si>
  <si>
    <t>Казанников Андрей Андреевич</t>
  </si>
  <si>
    <t>Надым г</t>
  </si>
  <si>
    <t>+7(902)621-21-96</t>
  </si>
  <si>
    <t>andrey.kazannikov@mail.ru</t>
  </si>
  <si>
    <t>Казарова Яна Васильевна</t>
  </si>
  <si>
    <t>+7(962)941-06-10</t>
  </si>
  <si>
    <t>yanakazarova2005@gmail.com</t>
  </si>
  <si>
    <t>Казачанский Даниил Дмитриевич</t>
  </si>
  <si>
    <t>Минеральные Воды</t>
  </si>
  <si>
    <t>+7(962)496-33-17</t>
  </si>
  <si>
    <t>d.kazachanskiy@gmail.com</t>
  </si>
  <si>
    <t>Казин Даниил Романович</t>
  </si>
  <si>
    <t>+7(904)394-87-38</t>
  </si>
  <si>
    <t>daniil.kazin@mail.ru</t>
  </si>
  <si>
    <t>Казми Сайед Матин Хайдер</t>
  </si>
  <si>
    <t>Исламабад</t>
  </si>
  <si>
    <t>+7(901)461-72-17</t>
  </si>
  <si>
    <t>syedmateenkazmi@gmail.com</t>
  </si>
  <si>
    <t>Каиржан Айнур</t>
  </si>
  <si>
    <t>+7(968)636-53-06; +7(707)553-63-87</t>
  </si>
  <si>
    <t>aynura.kairzhan@mail.ru</t>
  </si>
  <si>
    <t>Кайков Дмитрий Алексеевич</t>
  </si>
  <si>
    <t>Хабаровский край</t>
  </si>
  <si>
    <t>Хабаровск г</t>
  </si>
  <si>
    <t>89144258734; +7(994)066-76-10</t>
  </si>
  <si>
    <t>nevoilion@gmail.com</t>
  </si>
  <si>
    <t>Какадей Софья Ильинична</t>
  </si>
  <si>
    <t>+7(960)850-61-35</t>
  </si>
  <si>
    <t>sonyulka.kakadey@gmail.com</t>
  </si>
  <si>
    <t>Калабановская Лидия Ильинична</t>
  </si>
  <si>
    <t>+7(927)835-41-23</t>
  </si>
  <si>
    <t>lidiakalab73555@gmail.com</t>
  </si>
  <si>
    <t>Калашникова Анастасия Сергеевна</t>
  </si>
  <si>
    <t>+7(964)590-93-17</t>
  </si>
  <si>
    <t>batmankuro99@gmail.com</t>
  </si>
  <si>
    <t>Калинин Алексей Анатольевич</t>
  </si>
  <si>
    <t>г Москва</t>
  </si>
  <si>
    <t>+7(903)525-29-53</t>
  </si>
  <si>
    <t>kalinin.aa2005@yandex.ru</t>
  </si>
  <si>
    <t>Калинин Артём Максимович</t>
  </si>
  <si>
    <t>+7(927)734-42-01</t>
  </si>
  <si>
    <t>artemkalinin04@mail.ru</t>
  </si>
  <si>
    <t>Калинин Федор Алексеевич</t>
  </si>
  <si>
    <t>+7(912)284-14-89</t>
  </si>
  <si>
    <t>kfasurgut@gmail.com</t>
  </si>
  <si>
    <t>Калинкин Даниил Николаевич</t>
  </si>
  <si>
    <t>84953357786; +7(916)560-34-40</t>
  </si>
  <si>
    <t>Dany632000@mail.ru</t>
  </si>
  <si>
    <t>Калинкин Денис Сергеевич</t>
  </si>
  <si>
    <t>+7(999)808-52-67</t>
  </si>
  <si>
    <t>denis.kalinkin.05@gmail.com</t>
  </si>
  <si>
    <t>Калмыкова Виктория Павловна</t>
  </si>
  <si>
    <t>89167096524; +7(913)798-25-67</t>
  </si>
  <si>
    <t>vikcalm01@gmail.com</t>
  </si>
  <si>
    <t>Кальянова Ангелина Владимировна</t>
  </si>
  <si>
    <t>Кумертау г</t>
  </si>
  <si>
    <t>89610429234; +7(985)964-67-75</t>
  </si>
  <si>
    <t>angelina.kalianova@gmail.com</t>
  </si>
  <si>
    <t>Камаев Артем Анатольевич</t>
  </si>
  <si>
    <t>Фурманов г</t>
  </si>
  <si>
    <t>+7(980)691-23-08; +79806912308</t>
  </si>
  <si>
    <t>artemkakamaev@gmail.com</t>
  </si>
  <si>
    <t>приедет на заселение в октябре</t>
  </si>
  <si>
    <t>Камалова Нигора Нуриддин Кизи</t>
  </si>
  <si>
    <t>Ташкентский</t>
  </si>
  <si>
    <t>99 794 23 05; +7(927)439-39-96</t>
  </si>
  <si>
    <t>kamalova.nigora2001@mail.ru</t>
  </si>
  <si>
    <t>Камбаров Сарвар Уткиржон-Угли</t>
  </si>
  <si>
    <t>Поселок Хас</t>
  </si>
  <si>
    <t>+7(968)770-10-01</t>
  </si>
  <si>
    <t>m1600470@edu.misis.ru</t>
  </si>
  <si>
    <t>Каменских Вадим Сергеевич</t>
  </si>
  <si>
    <t>+7(987)319-00-26</t>
  </si>
  <si>
    <t>backaresh@mail.ru</t>
  </si>
  <si>
    <t>Камилзаде Рамин Чингиз Оглы</t>
  </si>
  <si>
    <t>+7(977)792-94-84</t>
  </si>
  <si>
    <t>ramin.kamilzade.14@gmail.com</t>
  </si>
  <si>
    <t>Камчатникова Юлия Сергеевна</t>
  </si>
  <si>
    <t>Серпухов г</t>
  </si>
  <si>
    <t>+7(977)576-08-58</t>
  </si>
  <si>
    <t>yulia.Kamchatnikova@yandex.ru</t>
  </si>
  <si>
    <t>Камынин Алексей Леонидович</t>
  </si>
  <si>
    <t>Подгорная д</t>
  </si>
  <si>
    <t>+7(920)502-42-15</t>
  </si>
  <si>
    <t>kamynin_alex1@mail.ru</t>
  </si>
  <si>
    <t>Канбекова Самира Руслановна</t>
  </si>
  <si>
    <t>+7(985)775-10-75; +7(977)960-54-30</t>
  </si>
  <si>
    <t>berchenetra@gmail.com</t>
  </si>
  <si>
    <t>Канищева Мария Александровна</t>
  </si>
  <si>
    <t>Копейск г</t>
  </si>
  <si>
    <t>+7(977)969-47-30</t>
  </si>
  <si>
    <t>kanmari89@gmail.com</t>
  </si>
  <si>
    <t>Канунникова Елена Сергеевна</t>
  </si>
  <si>
    <t>79280817199; +7(928)692-05-66</t>
  </si>
  <si>
    <t>el.kaaaanka@yandex.ru</t>
  </si>
  <si>
    <t>Канунникова Ярославна Олеговна</t>
  </si>
  <si>
    <t>(950)912-74-19</t>
  </si>
  <si>
    <t>yaroslavna.kanunnikova.00@mail.ru</t>
  </si>
  <si>
    <t>Капелина Анна Ивановна</t>
  </si>
  <si>
    <t>79162510444; +7(916)726-29-88</t>
  </si>
  <si>
    <t>Kapelina18@gmail.com</t>
  </si>
  <si>
    <t>Капланская Людмила Юрьевна</t>
  </si>
  <si>
    <t>Софрино рп</t>
  </si>
  <si>
    <t>(906)506-16-21</t>
  </si>
  <si>
    <t>ykaplanscky@mail.ru</t>
  </si>
  <si>
    <t>Караваев Артём Александрович</t>
  </si>
  <si>
    <t>+7(903)627-67-05</t>
  </si>
  <si>
    <t>artemkaravaeff@gmail.com</t>
  </si>
  <si>
    <t>Каракашян Артур Артурович</t>
  </si>
  <si>
    <t>Ивановка с</t>
  </si>
  <si>
    <t>+7(932)557-01-23</t>
  </si>
  <si>
    <t>Atupatu2005@mail.ru</t>
  </si>
  <si>
    <t>Карапетян Роксана Евгеньевна</t>
  </si>
  <si>
    <t>(910)488-44-45</t>
  </si>
  <si>
    <t>0210roxana@gmail.com</t>
  </si>
  <si>
    <t>Карасев Арсений Андреевич</t>
  </si>
  <si>
    <t>+79520199898; +7(920)759-32-06</t>
  </si>
  <si>
    <t>houque@list.ru</t>
  </si>
  <si>
    <t>Караханова Арина Витальевна</t>
  </si>
  <si>
    <t>+7(985)838-82-52</t>
  </si>
  <si>
    <t>arina.karahanova.97@mail.ru</t>
  </si>
  <si>
    <t>Карачевцева Дарья Владимировна</t>
  </si>
  <si>
    <t>Суджа г</t>
  </si>
  <si>
    <t>+7(951)338-40-37</t>
  </si>
  <si>
    <t>dashalilac2006@gmail.com</t>
  </si>
  <si>
    <t>Кардаш Муддасир Мухиддин Алтахир</t>
  </si>
  <si>
    <t>Хартум г.</t>
  </si>
  <si>
    <t>+7(999)798-11-74; +79997981174</t>
  </si>
  <si>
    <t>muddathirkrdash@gmail.com</t>
  </si>
  <si>
    <t>Каржавина Виктория Владимировна</t>
  </si>
  <si>
    <t>89023537285; +7(987)529-48-54</t>
  </si>
  <si>
    <t>karzhavina.vika@mail.ru</t>
  </si>
  <si>
    <t>Каримов Айдар Тагирович</t>
  </si>
  <si>
    <t>+7(937)623-92-46</t>
  </si>
  <si>
    <t>KARIMOVAYDAR013@YANDEX.RU</t>
  </si>
  <si>
    <t>Каримов Муротжон Сайдулла Угли</t>
  </si>
  <si>
    <t>+7(905)170-51-90</t>
  </si>
  <si>
    <t>m.karimov@agmk.uz</t>
  </si>
  <si>
    <t>Карнаухов Иван Алексеевич</t>
  </si>
  <si>
    <t>+7(912)013-61-35</t>
  </si>
  <si>
    <t>ivan03.05.2005@gmail.com</t>
  </si>
  <si>
    <t>хочет с Князевым И.В и Дьяконовым И.А.</t>
  </si>
  <si>
    <t>Карнаушко Владимир Алексеевич</t>
  </si>
  <si>
    <t>(962)377-88-10</t>
  </si>
  <si>
    <t>karnaushkov@mail.ru</t>
  </si>
  <si>
    <t>Карпенко Екатерина Владимировна</t>
  </si>
  <si>
    <t>+7(910)087-91-92</t>
  </si>
  <si>
    <t>kkarpenko740@gmail.com</t>
  </si>
  <si>
    <t>Карпенко Илья Сергеевич</t>
  </si>
  <si>
    <t>+7(952)407-10-87</t>
  </si>
  <si>
    <t>nostromik2016@yandex.ru</t>
  </si>
  <si>
    <t>Карпов Иван Алексеевич</t>
  </si>
  <si>
    <t>Пушкин г</t>
  </si>
  <si>
    <t>+79657577773; +7(964)382-46-99</t>
  </si>
  <si>
    <t>vaaannnj@mail.ru</t>
  </si>
  <si>
    <t>Карпов Назарий Максимович</t>
  </si>
  <si>
    <t>Барановский ж/д_ст</t>
  </si>
  <si>
    <t>+79046204835; +7(964)440-85-16</t>
  </si>
  <si>
    <t>nazariykarpov777@gmail.com</t>
  </si>
  <si>
    <t>Карпухина Полина Аркадьевна</t>
  </si>
  <si>
    <t>+7(962)972-06-10</t>
  </si>
  <si>
    <t>polinpolin2005@gmail.com</t>
  </si>
  <si>
    <t>Картавенко Илья Дмитриевич</t>
  </si>
  <si>
    <t>Губцево д</t>
  </si>
  <si>
    <t>+7(968)990-77-79</t>
  </si>
  <si>
    <t>carex.flava@ya.ru</t>
  </si>
  <si>
    <t>Картаева Анна Дмитриевна</t>
  </si>
  <si>
    <t>+79121536588; +7(989)834-56-98</t>
  </si>
  <si>
    <t>kartaevana@yandex.ru</t>
  </si>
  <si>
    <t>Карявина Дарья Олеговна</t>
  </si>
  <si>
    <t>Андреевка с</t>
  </si>
  <si>
    <t>89515598224; (919)237-69-94</t>
  </si>
  <si>
    <t>daryakaravina335577@gmail.com</t>
  </si>
  <si>
    <t>Карягин Арсений Сергеевич</t>
  </si>
  <si>
    <t>+79278474711; +7(919)678-60-19</t>
  </si>
  <si>
    <t>arseniy1701@gmail.com</t>
  </si>
  <si>
    <t>Карякин Алексей Владимирович</t>
  </si>
  <si>
    <t>+79153391465; +7(904)955-10-51</t>
  </si>
  <si>
    <t>al.kariackin2017@yandex.ru</t>
  </si>
  <si>
    <t>Касаткин Вадим Денисович</t>
  </si>
  <si>
    <t>+7(777)576-40-27</t>
  </si>
  <si>
    <t>566721@mail.ru</t>
  </si>
  <si>
    <t>личная просьба студента</t>
  </si>
  <si>
    <t>Касимова Яна Александровна</t>
  </si>
  <si>
    <t>Снежинск г</t>
  </si>
  <si>
    <t>+79292370289; +7(921)447-28-43</t>
  </si>
  <si>
    <t>kasimova94yana@gmail.com</t>
  </si>
  <si>
    <t>Катанаева Диана Андреевна</t>
  </si>
  <si>
    <t>Барнаул</t>
  </si>
  <si>
    <t>89145770700; +7(913)742-99-89</t>
  </si>
  <si>
    <t>dianakat2001@mail.ru</t>
  </si>
  <si>
    <t>Каххоров Азамат Абдурахим угли</t>
  </si>
  <si>
    <t>Бука</t>
  </si>
  <si>
    <t>+998997969772; +7(927)439-39-96</t>
  </si>
  <si>
    <t>azam15qohhorov@gmail.com</t>
  </si>
  <si>
    <t>Качалина Полина Михайловна</t>
  </si>
  <si>
    <t>(902)246-67-58</t>
  </si>
  <si>
    <t>kachalina.alena@mail.ru</t>
  </si>
  <si>
    <t>Качалкин Дмитрий Алексеевич</t>
  </si>
  <si>
    <t>Звенигород г</t>
  </si>
  <si>
    <t>+7(977)852-50-90</t>
  </si>
  <si>
    <t>propozitivchick68@gmail.com</t>
  </si>
  <si>
    <t>Кашевский Сергей Владимирович</t>
  </si>
  <si>
    <t>Гордеевка с</t>
  </si>
  <si>
    <t>+7(999)620-71-86</t>
  </si>
  <si>
    <t>serg.kashevsky@gmail.com</t>
  </si>
  <si>
    <t>Каширов Егор Сергеевич</t>
  </si>
  <si>
    <t>+7(916)559-92-52</t>
  </si>
  <si>
    <t>ekashirov@gmail.com</t>
  </si>
  <si>
    <t>Каюмов Лутфулло Асадуллоевич</t>
  </si>
  <si>
    <t>города и районы республиканского подчинения</t>
  </si>
  <si>
    <t>Гиссар</t>
  </si>
  <si>
    <t>+992907209325; +992907925467; +7(991)290-68-27</t>
  </si>
  <si>
    <t>klutfullo@internet.ru</t>
  </si>
  <si>
    <t>Квасова Дарья Дмитриевна</t>
  </si>
  <si>
    <t>ПМР</t>
  </si>
  <si>
    <t>Тирасполь</t>
  </si>
  <si>
    <t>Квишу Нил</t>
  </si>
  <si>
    <t>+7(964)559-06-39; +79645590639</t>
  </si>
  <si>
    <t>neilkwishu@gmail.com</t>
  </si>
  <si>
    <t>хочет к одногруппникам</t>
  </si>
  <si>
    <t>Кеменов Данила Александрович</t>
  </si>
  <si>
    <t>+7(909)158-85-60; +7(966)058-06-45; +79660580645</t>
  </si>
  <si>
    <t>kemenov.danila@bk.ru</t>
  </si>
  <si>
    <t>Кенжаев Нишонбек Арзикул Угли</t>
  </si>
  <si>
    <t>+998933239070; +7(893)323-90-70</t>
  </si>
  <si>
    <t>kenjayevnishonbek171@gmail.com</t>
  </si>
  <si>
    <t>Кенжебаев Куаныш Нурланулы</t>
  </si>
  <si>
    <t>Алматы</t>
  </si>
  <si>
    <t>+7(977)139-79-22</t>
  </si>
  <si>
    <t>kkenzhebaev.k.n@gmail.com</t>
  </si>
  <si>
    <t>Кизилова Вахида Рустамовна</t>
  </si>
  <si>
    <t>Вахдат</t>
  </si>
  <si>
    <t>+7(000)000-00-00; +992905850404</t>
  </si>
  <si>
    <t>vahidaqizilova@gmail.com</t>
  </si>
  <si>
    <t>Кикарош Александра</t>
  </si>
  <si>
    <t>Купчинь</t>
  </si>
  <si>
    <t>+7(916)154-28-74</t>
  </si>
  <si>
    <t>alexandra.kikarosh@gmail.com</t>
  </si>
  <si>
    <t>Ким Артём</t>
  </si>
  <si>
    <t>Сахалинская обл</t>
  </si>
  <si>
    <t>Южно-Сахалинск г</t>
  </si>
  <si>
    <t>+7(985)337-95-96</t>
  </si>
  <si>
    <t>artyoki@mail.ru</t>
  </si>
  <si>
    <t>Ким Никита</t>
  </si>
  <si>
    <t>+7(747)415-10-41; +7(977)978-87-52; +77017102938</t>
  </si>
  <si>
    <t>nikita_kim2002@mail.ru</t>
  </si>
  <si>
    <t>Ким Сергей Владимирович</t>
  </si>
  <si>
    <t>+7(985)909-18-55</t>
  </si>
  <si>
    <t>serezha_kim_2001@mail.ru</t>
  </si>
  <si>
    <t>Киричек Павел Владимирович</t>
  </si>
  <si>
    <t>Пушкино г</t>
  </si>
  <si>
    <t>+7(905)571-15-14</t>
  </si>
  <si>
    <t>pasha.k.01@mail.ru</t>
  </si>
  <si>
    <t>Кириченко Андрей Алексеевич</t>
  </si>
  <si>
    <t>+7(915)864-62-48; +79158646248</t>
  </si>
  <si>
    <t>kirichencko.andrey@mail.ru</t>
  </si>
  <si>
    <t>Кирчу Ксения Петровна</t>
  </si>
  <si>
    <t>+7(977)148-03-76</t>
  </si>
  <si>
    <t>kskrch06@mail.ru</t>
  </si>
  <si>
    <t>Киселев Артём Алексеевич</t>
  </si>
  <si>
    <t>+7(915)099-83-77</t>
  </si>
  <si>
    <t>xx2mercury2xx@gmail.com</t>
  </si>
  <si>
    <t>Киселев Дмитрий Александрович</t>
  </si>
  <si>
    <t>79106500272; +7(900)497-52-93</t>
  </si>
  <si>
    <t>66kda99@gmail.com</t>
  </si>
  <si>
    <t>Киселев Илья Денисович</t>
  </si>
  <si>
    <t>Новокузнецк г</t>
  </si>
  <si>
    <t>+7(906)936-60-45</t>
  </si>
  <si>
    <t>KISEL.DS@GMAIL.COM</t>
  </si>
  <si>
    <t>Киселев Михаил Владимирович</t>
  </si>
  <si>
    <t>Ерзовка рп</t>
  </si>
  <si>
    <t>89998988068; +7(988)055-83-57</t>
  </si>
  <si>
    <t>m.kiselyov2006@gmail.com</t>
  </si>
  <si>
    <t>Киселева Анастасия Геннадьевна</t>
  </si>
  <si>
    <t>Экономическая индустриальная стратегия</t>
  </si>
  <si>
    <t>+7(910)313-00-76</t>
  </si>
  <si>
    <t>m1906095@edu.misis.ru</t>
  </si>
  <si>
    <t>Киселева Василиса Николаевна</t>
  </si>
  <si>
    <t>+7(906)797-44-53</t>
  </si>
  <si>
    <t>vaskiselevawork@gmail.com</t>
  </si>
  <si>
    <t>Кислякова Юлиана Андреевна</t>
  </si>
  <si>
    <t>+7(929)606-58-28; 79250255995</t>
  </si>
  <si>
    <t>yuliana-03.05@mail.ru</t>
  </si>
  <si>
    <t>Киура Стэнли Матека</t>
  </si>
  <si>
    <t>Кения</t>
  </si>
  <si>
    <t>+7(985)568-01-02</t>
  </si>
  <si>
    <t>stanleymatheka9@gmail.com</t>
  </si>
  <si>
    <t>Кичапов Илья</t>
  </si>
  <si>
    <t>+7(701)235-88-85</t>
  </si>
  <si>
    <t>i.kichapov@mail.ru</t>
  </si>
  <si>
    <t>Клементьев Евгений Андреевич</t>
  </si>
  <si>
    <t>Заволжье г</t>
  </si>
  <si>
    <t>+7(925)832-54-24; +79258325424</t>
  </si>
  <si>
    <t>evgeniy-klementev@mail.ru</t>
  </si>
  <si>
    <t>Хочет остаться</t>
  </si>
  <si>
    <t>Клименко Данил Денисович</t>
  </si>
  <si>
    <t>+79787414651; +7(978)741-46-53</t>
  </si>
  <si>
    <t>danil.klimenko.1200@mail.ru</t>
  </si>
  <si>
    <t>вместе с Брежневым Г.А. и Таланцевым Г.А.</t>
  </si>
  <si>
    <t>Клименко Иван Андреевич</t>
  </si>
  <si>
    <t>(909)380-33-30</t>
  </si>
  <si>
    <t>reket.r@list.ru</t>
  </si>
  <si>
    <t>Климов Илья Сергеевич</t>
  </si>
  <si>
    <t>+7(925)184-77-13</t>
  </si>
  <si>
    <t>ilyasssklimov@gmail.com</t>
  </si>
  <si>
    <t>Климова Виктория Сергеевна</t>
  </si>
  <si>
    <t>8-906-055-94-40; +7(926)497-77-50</t>
  </si>
  <si>
    <t>v.sukhinina94@mail.ru</t>
  </si>
  <si>
    <t>Климова Мария Александровна</t>
  </si>
  <si>
    <t>+7(916)913-00-02</t>
  </si>
  <si>
    <t>kl.imaria@mail.ru</t>
  </si>
  <si>
    <t>Климченко Кирилл Петрович</t>
  </si>
  <si>
    <t>Максим Горький с</t>
  </si>
  <si>
    <t>+7(977)426-91-83</t>
  </si>
  <si>
    <t>werrantangel@gmail.com</t>
  </si>
  <si>
    <t>Клишина Анастасия Александровна</t>
  </si>
  <si>
    <t>+7(926)567-91-46</t>
  </si>
  <si>
    <t>A.KLISHINA5@GMAIL.COM</t>
  </si>
  <si>
    <t>Клишня Вадим Станиславович</t>
  </si>
  <si>
    <t>Херсонская обл</t>
  </si>
  <si>
    <t>Новотроицкое пгт.</t>
  </si>
  <si>
    <t>+7(993)606-95-77</t>
  </si>
  <si>
    <t>vadimklishna@gmail.com</t>
  </si>
  <si>
    <t>Клюева Александра Андреевна</t>
  </si>
  <si>
    <t>+7(977)652-86-16</t>
  </si>
  <si>
    <t>alexa1591@yandex.ru</t>
  </si>
  <si>
    <t>Ключникова Мария Вячеславовна</t>
  </si>
  <si>
    <t>+7(916)605-05-27</t>
  </si>
  <si>
    <t>Klyuchnikovamariya@gmail.com</t>
  </si>
  <si>
    <t>Князев Иван Викторович</t>
  </si>
  <si>
    <t>+7(912)0150139</t>
  </si>
  <si>
    <t>Ivan.Knyazev.2005@yandex.ru</t>
  </si>
  <si>
    <t>хочет с Карнауховым И.А  и Дьяконовым И.А.</t>
  </si>
  <si>
    <t>Кобер Полина Владимировна</t>
  </si>
  <si>
    <t>Марий Эл Респ</t>
  </si>
  <si>
    <t>Волжск г</t>
  </si>
  <si>
    <t>+7(903)050-44-82</t>
  </si>
  <si>
    <t>pkober111@gmail.com</t>
  </si>
  <si>
    <t>Ковалев Александр Денисович</t>
  </si>
  <si>
    <t>+7(926)334-99-74; +7(916)594-19-76</t>
  </si>
  <si>
    <t>cowalyow.san@yandex.ru</t>
  </si>
  <si>
    <t>Ковалев Данила Андреевич</t>
  </si>
  <si>
    <t>+7(999)624-18-08; 89272546546; 89173389812</t>
  </si>
  <si>
    <t>dkovalev134@yandex.ru</t>
  </si>
  <si>
    <t>Коваленко Михаил Сергеевич</t>
  </si>
  <si>
    <t>89169111280; +7(916)609-39-44</t>
  </si>
  <si>
    <t>misha_1204@mail.ru</t>
  </si>
  <si>
    <t>Коваленко Полина Владимировна</t>
  </si>
  <si>
    <t>+7(985)730-56-83</t>
  </si>
  <si>
    <t>polina_kovalenko9894o@mail.ru</t>
  </si>
  <si>
    <t>Ковальчук Наталья Вячеславовна</t>
  </si>
  <si>
    <t>27.04.01</t>
  </si>
  <si>
    <t>Стандартизация и метрология</t>
  </si>
  <si>
    <t>Тимашево с</t>
  </si>
  <si>
    <t>Качество деятельности испытательной лаборатории</t>
  </si>
  <si>
    <t>+7(952)438-19-53</t>
  </si>
  <si>
    <t xml:space="preserve">nata.kov98@mail.ru </t>
  </si>
  <si>
    <t>Ковальчук Светаслав Вячеславович</t>
  </si>
  <si>
    <t>+ 996755331629; +7(926)788-74-17</t>
  </si>
  <si>
    <t>svetaslav40@yandex.ru</t>
  </si>
  <si>
    <t>к сестре</t>
  </si>
  <si>
    <t>Ковзик Николь Робертовна</t>
  </si>
  <si>
    <t>89686195522; +7(926)209-29-05</t>
  </si>
  <si>
    <t>nikol.kovzik@mail.ru</t>
  </si>
  <si>
    <t>Когалёнок Александр Денисович</t>
  </si>
  <si>
    <t>alexandernev1x@gmail.com</t>
  </si>
  <si>
    <t>хочет с Булатовым А.К.</t>
  </si>
  <si>
    <t>Кодиров Мухаммаджон Файзуллоевич</t>
  </si>
  <si>
    <t>Бухарская область</t>
  </si>
  <si>
    <t>Каган</t>
  </si>
  <si>
    <t>+7(964)771-51-29</t>
  </si>
  <si>
    <t>muhammadjankadirov1999@gmail.com</t>
  </si>
  <si>
    <t>Кожемякин Николай Сергеевич</t>
  </si>
  <si>
    <t>89037879535; +7(919)762-05-95; +79197620595</t>
  </si>
  <si>
    <t>nikolay.kozhemyakin2005@yandex.ru</t>
  </si>
  <si>
    <t>Кожиев Алан Русланович</t>
  </si>
  <si>
    <t>+7(961)820-03-02</t>
  </si>
  <si>
    <t>alankozhiev23@gmail.com</t>
  </si>
  <si>
    <t>Кожухов Александр Алексеевич</t>
  </si>
  <si>
    <t>+7(910)369-42-18</t>
  </si>
  <si>
    <t>kozhukovv@yandex.ru</t>
  </si>
  <si>
    <t>Козаев Артём Аланович</t>
  </si>
  <si>
    <t>+79686342341; +7(977)992-98-50</t>
  </si>
  <si>
    <t>m1700872@edu.misis.ru</t>
  </si>
  <si>
    <t>Козаева Нина Георгиевна</t>
  </si>
  <si>
    <t>+7(988)876-87-88</t>
  </si>
  <si>
    <t>NINA250805@GMAIL.COM</t>
  </si>
  <si>
    <t>Козлов Александр Владиславович</t>
  </si>
  <si>
    <t>+7(939)751-85-65</t>
  </si>
  <si>
    <t>avk123458@mail.ru</t>
  </si>
  <si>
    <t>Козлов Аркадий Сергеевич</t>
  </si>
  <si>
    <t>Выборг г</t>
  </si>
  <si>
    <t>+73414191623; +7(962)704-36-13</t>
  </si>
  <si>
    <t>dsl.mech@gmail.com</t>
  </si>
  <si>
    <t>Козлов Захар Валерьевич</t>
  </si>
  <si>
    <t>+7(916)485-17-89</t>
  </si>
  <si>
    <t>zakharxgod@gmail.com</t>
  </si>
  <si>
    <t>Козлов Сергей Александрович</t>
  </si>
  <si>
    <t>+79111114397; +7(921)370-20-26</t>
  </si>
  <si>
    <t>kozlov11111984@yandex.ru</t>
  </si>
  <si>
    <t>Козлова Анна Даниловна</t>
  </si>
  <si>
    <t>+7(925)261-22-19</t>
  </si>
  <si>
    <t>anya_kozlova_05@vk.com</t>
  </si>
  <si>
    <t>Козлова Анна Евгеньевна</t>
  </si>
  <si>
    <t>Воскресенск г</t>
  </si>
  <si>
    <t>+7(925)707-91-60</t>
  </si>
  <si>
    <t>kozlovaanna222@yandex.ru</t>
  </si>
  <si>
    <t>Козырев Максим Вячеславович</t>
  </si>
  <si>
    <t>+7(903)468-42-67</t>
  </si>
  <si>
    <t>izvestnyak.izvestkovitch@yandex.ru</t>
  </si>
  <si>
    <t>Койвоги Белей</t>
  </si>
  <si>
    <t>Масента г.</t>
  </si>
  <si>
    <t>+7(965)406-89-28</t>
  </si>
  <si>
    <t>koivoguibelei@gmail.com</t>
  </si>
  <si>
    <t>Кокина Ксения Андреевна</t>
  </si>
  <si>
    <t>(929)015-65-65; +7(977)147-33-28</t>
  </si>
  <si>
    <t>kokina.ksenia18@gmail.com</t>
  </si>
  <si>
    <t>Кокряков Владислав Андреевич</t>
  </si>
  <si>
    <t>+7(903)708-79-64</t>
  </si>
  <si>
    <t>vladislavkokrakov126@gmail.com</t>
  </si>
  <si>
    <t>Коксегенова Олеся</t>
  </si>
  <si>
    <t>+77475239113; +7(702)554-88-11</t>
  </si>
  <si>
    <t>o.koksegenova@taukenaltyn.kz</t>
  </si>
  <si>
    <t>Колесень Валерия Ивановна</t>
  </si>
  <si>
    <t>+7(960)001-46-52</t>
  </si>
  <si>
    <t>lleryshaaaa@gmail.com</t>
  </si>
  <si>
    <t>Колесников Арсений Евгеньевич</t>
  </si>
  <si>
    <t>+7(915)476-56-10</t>
  </si>
  <si>
    <t>arsenyoffice@gmail.com</t>
  </si>
  <si>
    <t>Колесников Иван Михайлович</t>
  </si>
  <si>
    <t>+7(910)704-56-14</t>
  </si>
  <si>
    <t>veinter333@gmail.com</t>
  </si>
  <si>
    <t>Колесникова Анастасия Сергеевна</t>
  </si>
  <si>
    <t>+7(906)032-35-94</t>
  </si>
  <si>
    <t>nastasya.kolesnikova.2005@mail.ru</t>
  </si>
  <si>
    <t>Колесникова Анна Сергеевна</t>
  </si>
  <si>
    <t>+7(926)799-74-59</t>
  </si>
  <si>
    <t>mass-ania@yandex.ru</t>
  </si>
  <si>
    <t>Колесникова Виктория Витальевна</t>
  </si>
  <si>
    <t>Россошь г</t>
  </si>
  <si>
    <t>+7(952)542-61-26</t>
  </si>
  <si>
    <t>vikki.2014.9@yandex.ru</t>
  </si>
  <si>
    <t>Колесникова Дарья Павловна</t>
  </si>
  <si>
    <t>Ефремов г</t>
  </si>
  <si>
    <t>(952)017-85-59</t>
  </si>
  <si>
    <t>fevral.kolesnikova@gmail.com</t>
  </si>
  <si>
    <t>Колесниченко Иван Сергеевич</t>
  </si>
  <si>
    <t>89184678357; +7(938)421-23-17</t>
  </si>
  <si>
    <t>ivan.kolesnichenko.91@inbox.ru</t>
  </si>
  <si>
    <t>Колмаков Филипп Андреевич</t>
  </si>
  <si>
    <t>+7(917)527-71-44</t>
  </si>
  <si>
    <t>filipp.kolmakov@mail.ru</t>
  </si>
  <si>
    <t>Колобаева Яника Максимовна</t>
  </si>
  <si>
    <t>Дурыкино д</t>
  </si>
  <si>
    <t>+7(977)726-46-88</t>
  </si>
  <si>
    <t>yakolo.yk@yandex.ru</t>
  </si>
  <si>
    <t>Колодин Евгений Дмитриевич</t>
  </si>
  <si>
    <t>+7(903)360-91-86</t>
  </si>
  <si>
    <t>kolodin50056@gmail.com</t>
  </si>
  <si>
    <t>Колокольцев Ярослав Павлович</t>
  </si>
  <si>
    <t>+7(967)486-65-00</t>
  </si>
  <si>
    <t>kolokoltsevyarik@gmail.com</t>
  </si>
  <si>
    <t>Колосова Софья Александровна</t>
  </si>
  <si>
    <t>Протвино г</t>
  </si>
  <si>
    <t>+7(916)038-55-52</t>
  </si>
  <si>
    <t>kolossova.s0nya@gmail.com</t>
  </si>
  <si>
    <t>Колташов Михаил Андреевич</t>
  </si>
  <si>
    <t>Заринск г</t>
  </si>
  <si>
    <t>+7(933)311-57-33</t>
  </si>
  <si>
    <t>qqwweas@mail.ru</t>
  </si>
  <si>
    <t>Колтунова Алина Владимировна</t>
  </si>
  <si>
    <t>+7(985)697-12-03</t>
  </si>
  <si>
    <t>alu.kolt.97@gmail.com</t>
  </si>
  <si>
    <t>Кольцова Дарья Михайловна</t>
  </si>
  <si>
    <t>+7(915)674-03-50</t>
  </si>
  <si>
    <t>dasha.koltsova05@mail.ru</t>
  </si>
  <si>
    <t>спортсменка</t>
  </si>
  <si>
    <t>Колягина Дарья Сергеевна</t>
  </si>
  <si>
    <t>+7(916)885-58-52</t>
  </si>
  <si>
    <t>kolyaginads@mail.ru</t>
  </si>
  <si>
    <t>Комиссаров Александр Анатольевич</t>
  </si>
  <si>
    <t>+7(951)676-50-50</t>
  </si>
  <si>
    <t>komissarov_aa@aemtech-st.ru</t>
  </si>
  <si>
    <t>Комиссаров Денис Игоревич</t>
  </si>
  <si>
    <t>+7(919)031-64-30</t>
  </si>
  <si>
    <t>denkomis815@gmail.com</t>
  </si>
  <si>
    <t>Комлев Данила Александрович</t>
  </si>
  <si>
    <t>+7(977)499-14-30</t>
  </si>
  <si>
    <t>komlevdanila742@gmail.com</t>
  </si>
  <si>
    <t>Кондобарова Дарья Юрьевна</t>
  </si>
  <si>
    <t>89185346625; +7(988)584-42-95</t>
  </si>
  <si>
    <t>darya.kondobarova.98@mail.ru</t>
  </si>
  <si>
    <t>Кондратеня Екатерина Андреевна</t>
  </si>
  <si>
    <t>89228458653; +7(922)884-84-22</t>
  </si>
  <si>
    <t>kondratenya.katya@bk.ru</t>
  </si>
  <si>
    <t>Кондратьев Артем Дмитриевич</t>
  </si>
  <si>
    <t>Шебекино г</t>
  </si>
  <si>
    <t>+7(919)283-15-07</t>
  </si>
  <si>
    <t>temaok2014@gmail.com</t>
  </si>
  <si>
    <t>Кондратьев Виталий Дмитриевич</t>
  </si>
  <si>
    <t>+7(906)631-50-05</t>
  </si>
  <si>
    <t>vitalikkondratev76@gmail.com</t>
  </si>
  <si>
    <t>Кондратьев Дмитрий Сергеевич</t>
  </si>
  <si>
    <t>+7(903)668-86-94</t>
  </si>
  <si>
    <t>kondratt@bk.ru</t>
  </si>
  <si>
    <t>Кондратьев Егор Евгеньевич</t>
  </si>
  <si>
    <t>+7(937)402-99-07</t>
  </si>
  <si>
    <t>kondrat2001063708@mail.ru</t>
  </si>
  <si>
    <t>Кондратьев Ньургун Николаевич</t>
  </si>
  <si>
    <t>2.6.12</t>
  </si>
  <si>
    <t>Химическая технология топлива и высокоэнергетических веществ</t>
  </si>
  <si>
    <t>+7(914)221-86-44; +79245681668</t>
  </si>
  <si>
    <t>kondratev.nurgun@gmail.com</t>
  </si>
  <si>
    <t>Кондратьева Екатерина Михайловна</t>
  </si>
  <si>
    <t>+7(921)356-75-48</t>
  </si>
  <si>
    <t>kondratievakatr@gmail.com</t>
  </si>
  <si>
    <t>Кондрашёв Пётр Алексеевич</t>
  </si>
  <si>
    <t>89108665939; +7(910)868-82-10</t>
  </si>
  <si>
    <t>piter.com2017@icloud.com</t>
  </si>
  <si>
    <t>Кондрова Анастасия Олеговна</t>
  </si>
  <si>
    <t>+7(999)201-27-31</t>
  </si>
  <si>
    <t>an.kondrova@gmail.com</t>
  </si>
  <si>
    <t>Кондыбаева Эльвира Евгеньевна</t>
  </si>
  <si>
    <t>+7(914)511-34-15</t>
  </si>
  <si>
    <t>allykondibaeva@gmail.ru</t>
  </si>
  <si>
    <t>Конева Стелла Александровна</t>
  </si>
  <si>
    <t>(937)249-02-19</t>
  </si>
  <si>
    <t>koneva.stella@mail.ru</t>
  </si>
  <si>
    <t>Коновалов Денис Васильевич</t>
  </si>
  <si>
    <t>+7(906)684-88-81</t>
  </si>
  <si>
    <t>Den9871981@mail.ru</t>
  </si>
  <si>
    <t>Коновалов Матвей Алексеевич</t>
  </si>
  <si>
    <t>+7(915)075-39-77</t>
  </si>
  <si>
    <t>matvei.konovalov@mail.ru</t>
  </si>
  <si>
    <t>Коновалова Кристина Александровна</t>
  </si>
  <si>
    <t>89103847725; +7(904)922-62-60</t>
  </si>
  <si>
    <t>v160042@edu.misis.ru</t>
  </si>
  <si>
    <t>Коновалова Полина Алексеевна</t>
  </si>
  <si>
    <t>+7(903)5270457; +7(906)797-86-87</t>
  </si>
  <si>
    <t>polly29.01.03@gmail.com</t>
  </si>
  <si>
    <t>Коновалова Татьяна Алексеевна</t>
  </si>
  <si>
    <t>+7(916)056-45-93</t>
  </si>
  <si>
    <t>KONTATA2005@MAIL.RU</t>
  </si>
  <si>
    <t>Кононова Светлана Владимировна</t>
  </si>
  <si>
    <t>89296466377; +7(985)878-73-08</t>
  </si>
  <si>
    <t>kononovassv00@mail.ru</t>
  </si>
  <si>
    <t>Кононыхин Данил Александрович</t>
  </si>
  <si>
    <t>+7(928)146-92-08</t>
  </si>
  <si>
    <t>danil.kononyhin@mail.ru</t>
  </si>
  <si>
    <t>Конопак Екатерина Сергеевна</t>
  </si>
  <si>
    <t>+79147922779; +7(914)792-27-79</t>
  </si>
  <si>
    <t>konopak13@gmail.com</t>
  </si>
  <si>
    <t>Коноплянников Дмитрий Александрович</t>
  </si>
  <si>
    <t>Петровск г</t>
  </si>
  <si>
    <t>+7(903)023-41-62</t>
  </si>
  <si>
    <t>DKONOPLIANNIKOV05@MAIL.RU</t>
  </si>
  <si>
    <t>Конурова Виктория Максимовна</t>
  </si>
  <si>
    <t>89637580030; +7(963)758-00-30</t>
  </si>
  <si>
    <t>vika.konurova.09@mail.ru</t>
  </si>
  <si>
    <t>Корабоев Умурзок Абдугани Угли</t>
  </si>
  <si>
    <t>Самаркандская область</t>
  </si>
  <si>
    <t>Самарканд</t>
  </si>
  <si>
    <t>+7(968)822-80-80</t>
  </si>
  <si>
    <t>umurzoq09@mail.ru</t>
  </si>
  <si>
    <t>Корепина Дарья Павловна</t>
  </si>
  <si>
    <t>+7(911)045-28-63</t>
  </si>
  <si>
    <t>korepina.da@gmail.com</t>
  </si>
  <si>
    <t>Корешков Николай Андреевич</t>
  </si>
  <si>
    <t>+7(926)411-00-04</t>
  </si>
  <si>
    <t>coreshkov.nickola2017@yandex.ru</t>
  </si>
  <si>
    <t>Коркор Франклина</t>
  </si>
  <si>
    <t>Гана</t>
  </si>
  <si>
    <t>+7(977)873-49-89</t>
  </si>
  <si>
    <t>korkorfranklina225@gmail.com</t>
  </si>
  <si>
    <t>Корлякова Екатерина Юльевна</t>
  </si>
  <si>
    <t>+7(910)510-09-01</t>
  </si>
  <si>
    <t>korliakova.ekaterina@yandex.ru</t>
  </si>
  <si>
    <t>Корнаушенкова Алина Юрьевна</t>
  </si>
  <si>
    <t>Суворов г</t>
  </si>
  <si>
    <t>(962)276-58-56; +79622765856</t>
  </si>
  <si>
    <t>kornaushenkova.alina@mail.ru</t>
  </si>
  <si>
    <t>Корнев Александр Юрьевич</t>
  </si>
  <si>
    <t>+7(900)079-35-22</t>
  </si>
  <si>
    <t>SASHA.KORNEV.05@BK.RU</t>
  </si>
  <si>
    <t>Корнеев Александр Юрьевич</t>
  </si>
  <si>
    <t>+7(915)128-73-72</t>
  </si>
  <si>
    <t>Saha-ss2013@yandex.ru</t>
  </si>
  <si>
    <t>Корнеев Артем Иванович</t>
  </si>
  <si>
    <t>(953)335-60-18; +79013432438</t>
  </si>
  <si>
    <t>artemstudentkorneev@gmail.com</t>
  </si>
  <si>
    <t>Корнилов Даниил Анатольевич</t>
  </si>
  <si>
    <t>+7(980)650-92-12</t>
  </si>
  <si>
    <t>kornilovd203@gmail.com</t>
  </si>
  <si>
    <t>Корнилова Екатерина Михайловна</t>
  </si>
  <si>
    <t>+7(902)007-57-02</t>
  </si>
  <si>
    <t>katya.kornil10@gmail.com</t>
  </si>
  <si>
    <t>Коробер Софья Анатольевна</t>
  </si>
  <si>
    <t>Алдан г</t>
  </si>
  <si>
    <t>89245683386; +7(923)416-79-21</t>
  </si>
  <si>
    <t>korobersofa@gmail.com</t>
  </si>
  <si>
    <t>Коровин Дмитрий Константинович</t>
  </si>
  <si>
    <t>+7(969)651-90-18</t>
  </si>
  <si>
    <t>korovin-dmitrii@mail.ru</t>
  </si>
  <si>
    <t>Коровин Михаил Дмитриевич</t>
  </si>
  <si>
    <t>+7(919)729-03-15</t>
  </si>
  <si>
    <t>MNDAVIDMARSE@GMAIL.COM</t>
  </si>
  <si>
    <t>Коровяковский Александр Сергеевич</t>
  </si>
  <si>
    <t>+7(999)982-52-68</t>
  </si>
  <si>
    <t>korovyakovskiy05@gmail.com</t>
  </si>
  <si>
    <t>Королев Андрей Владимирович</t>
  </si>
  <si>
    <t>Орёл г</t>
  </si>
  <si>
    <t>89208127007; (953)812-88-62</t>
  </si>
  <si>
    <t>andrewthek1ng1337@gmail.com</t>
  </si>
  <si>
    <t>Королев Данил Алексеевич</t>
  </si>
  <si>
    <t>+79129339141; +7(912)935-84-29</t>
  </si>
  <si>
    <t>korolev.dan124@mail.ru</t>
  </si>
  <si>
    <t>Королев Сергей Михайлович</t>
  </si>
  <si>
    <t>89036177372; +7(903)617-73-72</t>
  </si>
  <si>
    <t>89036177372@yandex.ru</t>
  </si>
  <si>
    <t>Королева Виктория Андреевна</t>
  </si>
  <si>
    <t>89032492116; (905)746-33-82</t>
  </si>
  <si>
    <t>v-i-k-akoroleva@yandex.ru</t>
  </si>
  <si>
    <t>Короленко Дарья Дмитриевна</t>
  </si>
  <si>
    <t>9154500346; +79154500346</t>
  </si>
  <si>
    <t>dariaexplorer@gmail.com</t>
  </si>
  <si>
    <t>Корота Алексей Владимирович</t>
  </si>
  <si>
    <t>+7(928)778-54-90</t>
  </si>
  <si>
    <t>norther48@list.ru</t>
  </si>
  <si>
    <t>Короткова Василина Ильинична</t>
  </si>
  <si>
    <t>+79039739041; +7(966)192-12-72</t>
  </si>
  <si>
    <t>vasilinakorotkova7@gmail.com</t>
  </si>
  <si>
    <t>Корсаков Дмитрий Александрович</t>
  </si>
  <si>
    <t>Власиха п</t>
  </si>
  <si>
    <t>+7(963)649-42-13</t>
  </si>
  <si>
    <t>Korsakov.dmit@yandex.ru</t>
  </si>
  <si>
    <t>Корчевский Александр Сергеевич</t>
  </si>
  <si>
    <t>+7(968)603-59-03</t>
  </si>
  <si>
    <t>susikeich@yandex.ru</t>
  </si>
  <si>
    <t>Корченкова Дарья Сергеевна</t>
  </si>
  <si>
    <t>89534272970; +7(953)427-29-70</t>
  </si>
  <si>
    <t>dashkor77@gmail.com</t>
  </si>
  <si>
    <t>Коршаков Александр Игоревич</t>
  </si>
  <si>
    <t>Зеленоградск г</t>
  </si>
  <si>
    <t>89251337312; +7(901)750-46-87</t>
  </si>
  <si>
    <t>m1910467@edu.misis.ru</t>
  </si>
  <si>
    <t>Коршунов Никита Михайлович</t>
  </si>
  <si>
    <t>+7(919)779-16-07</t>
  </si>
  <si>
    <t>nikita.korshunov0605@gmail.com</t>
  </si>
  <si>
    <t>Коршунова Софья Владиславовна</t>
  </si>
  <si>
    <t>Зерноград г</t>
  </si>
  <si>
    <t>+7(977)527-95-56</t>
  </si>
  <si>
    <t>korshunova.sofia00@gmail.com</t>
  </si>
  <si>
    <t>Корыткин Артём Леонидович</t>
  </si>
  <si>
    <t>+7(000)000-00-00; +375292439126</t>
  </si>
  <si>
    <t>curlyyzzz@yandex.by</t>
  </si>
  <si>
    <t>Коряк Владимир Александрович</t>
  </si>
  <si>
    <t>+7(977)150-75-37</t>
  </si>
  <si>
    <t>vladimir1koryak@gmail.com</t>
  </si>
  <si>
    <t>Косарева Вероника Юрьевна</t>
  </si>
  <si>
    <t>+7(916)005-32-16</t>
  </si>
  <si>
    <t>nikinlo@yandex.ru</t>
  </si>
  <si>
    <t>Косарынская Анна Александровна</t>
  </si>
  <si>
    <t>+7(996)079-45-56</t>
  </si>
  <si>
    <t>kosarynskaaanna@gmail.com</t>
  </si>
  <si>
    <t>Космина Ольга Юрьевна</t>
  </si>
  <si>
    <t>+7(926)534-77-34</t>
  </si>
  <si>
    <t>o.kosmina2012@ya.ru</t>
  </si>
  <si>
    <t>Костенко Егор Вячеславович</t>
  </si>
  <si>
    <t>+7(960)059-18-51</t>
  </si>
  <si>
    <t>e-kostenko@list.ru</t>
  </si>
  <si>
    <t>Костенко Константин Алексеевич</t>
  </si>
  <si>
    <t>+7(906)780-78-57</t>
  </si>
  <si>
    <t>konkostenko08@gmail.com</t>
  </si>
  <si>
    <t>Костерина Елизавета Евгеньевна</t>
  </si>
  <si>
    <t>+7(922)747-65-22</t>
  </si>
  <si>
    <t>elizavetakosterina99@gmail.com</t>
  </si>
  <si>
    <t>Костиков Степан Николаевич</t>
  </si>
  <si>
    <t>Павловский Посад г</t>
  </si>
  <si>
    <t>+79779265066; +7(977)175-84-42</t>
  </si>
  <si>
    <t>kostikov.stepan@yandex.ru</t>
  </si>
  <si>
    <t>Костин Юрий Сергеевич</t>
  </si>
  <si>
    <t>+7(951)499-00-05</t>
  </si>
  <si>
    <t>yuriy_kostin21@mail.ru</t>
  </si>
  <si>
    <t>Костина Екатерина Александровна</t>
  </si>
  <si>
    <t>+79103377454; +7(920)868-63-09</t>
  </si>
  <si>
    <t>ekaterinakostina2005@icloud.com</t>
  </si>
  <si>
    <t>вместе с Ивачевой  Е.Ю.</t>
  </si>
  <si>
    <t>Костриков Максим Андреевич</t>
  </si>
  <si>
    <t>(961)636-48-98; +7(905)194-13-94</t>
  </si>
  <si>
    <t>makskos1998@mail.ru</t>
  </si>
  <si>
    <t>Костров Тимофей Дмитриевич</t>
  </si>
  <si>
    <t>+7(925)865-51-28</t>
  </si>
  <si>
    <t>timothkost@gmail.com</t>
  </si>
  <si>
    <t>Костромина Татьяна Геннадьевна</t>
  </si>
  <si>
    <t>+7(967)009-53-25</t>
  </si>
  <si>
    <t>kazbanova.t88@mail.ru</t>
  </si>
  <si>
    <t>Костылев Владимир Алексеевич</t>
  </si>
  <si>
    <t>+79168699289; +7(915)355-55-65</t>
  </si>
  <si>
    <t>v.a.kostylev@gmail.com</t>
  </si>
  <si>
    <t>Костяев Александр Константинович</t>
  </si>
  <si>
    <t>89828356650; +7(912)460-85-97</t>
  </si>
  <si>
    <t>kostyaev192ao@mail.ru</t>
  </si>
  <si>
    <t>Косых Мария Сергеевна</t>
  </si>
  <si>
    <t>89166447874; +7(916)496-38-90</t>
  </si>
  <si>
    <t>kosyhmaria12@gmail.com</t>
  </si>
  <si>
    <t>Косьмин Илья Валентинович</t>
  </si>
  <si>
    <t>+7(953)334-00-85</t>
  </si>
  <si>
    <t>kosmin1999@mail.ru</t>
  </si>
  <si>
    <t>Косяков Андрей Игоревич</t>
  </si>
  <si>
    <t>Сатка г</t>
  </si>
  <si>
    <t>+7(982)308-48-42; +79823084842</t>
  </si>
  <si>
    <t>KOSYAKOV.AND@MAIL.RU</t>
  </si>
  <si>
    <t>Косяков Роман Александрович</t>
  </si>
  <si>
    <t>Новый Уренгой г</t>
  </si>
  <si>
    <t>+7(982)403-88-61</t>
  </si>
  <si>
    <t>kinkrimsich@outlook.com</t>
  </si>
  <si>
    <t>Котикова Мария Николаевна</t>
  </si>
  <si>
    <t>+79151804703; +7(985)340-33-52</t>
  </si>
  <si>
    <t>kotikova.m.n@mail.ru</t>
  </si>
  <si>
    <t>Котляров Илья Олегович</t>
  </si>
  <si>
    <t>Щелково г</t>
  </si>
  <si>
    <t>+7(925)733-85-54</t>
  </si>
  <si>
    <t>ilykotlyarov@gmail.com</t>
  </si>
  <si>
    <t>Кох Артур Геннадьевич</t>
  </si>
  <si>
    <t>Салаир г</t>
  </si>
  <si>
    <t>+7(996)415-50-75</t>
  </si>
  <si>
    <t>arturkoh7755@gmail.com</t>
  </si>
  <si>
    <t>Кочина Елизавета Евгеньевна</t>
  </si>
  <si>
    <t>+79159918491; +7(915)996-43-60</t>
  </si>
  <si>
    <t>zzil2.0@mail.ru</t>
  </si>
  <si>
    <t>Кравченко Дарья Станиславовна</t>
  </si>
  <si>
    <t>+7(999)700-35-58</t>
  </si>
  <si>
    <t>silence2395@yahoo.com</t>
  </si>
  <si>
    <t>Кравченко Павел Романович</t>
  </si>
  <si>
    <t>+7(950)601-74-63</t>
  </si>
  <si>
    <t>tosibositosibosi@yandex.ru</t>
  </si>
  <si>
    <t>Крайнюков Артём Александрович</t>
  </si>
  <si>
    <t>+7(926)604-10-62; 8978-843-51-98; 8978-740-65-77; 8978-843-51-99</t>
  </si>
  <si>
    <t>m1z3spost@gmail.com</t>
  </si>
  <si>
    <t>Крамер Евгения Павловна</t>
  </si>
  <si>
    <t>+7(916)791-84-30</t>
  </si>
  <si>
    <t>EVGESHAKRAMER@GMAIL.COM</t>
  </si>
  <si>
    <t>Крамсакова Ульяна Андреевна</t>
  </si>
  <si>
    <t>+7(961)012-13-80</t>
  </si>
  <si>
    <t>ulyanakramsakova@yandex.ru</t>
  </si>
  <si>
    <t>Красильников Иван Юрьевич</t>
  </si>
  <si>
    <t>+7(920)390-06-71</t>
  </si>
  <si>
    <t>ivkkoff@gmail.com</t>
  </si>
  <si>
    <t>Красников Егор Владимирович</t>
  </si>
  <si>
    <t>+79038760774; +7(906)576-36-23</t>
  </si>
  <si>
    <t>krass0511@gmail.com</t>
  </si>
  <si>
    <t>Краснов Данила Сергеевич</t>
  </si>
  <si>
    <t>+7(919)969-20-05</t>
  </si>
  <si>
    <t>danilakrasnof@mail.ru</t>
  </si>
  <si>
    <t>Краснов Евгений Константинович</t>
  </si>
  <si>
    <t>+7(967)475-65-13; +7(967)475-65-11</t>
  </si>
  <si>
    <t>evgenijredkek@gmail.com</t>
  </si>
  <si>
    <t>Краснова Марьяна Дмитриевна</t>
  </si>
  <si>
    <t>Ядромино д</t>
  </si>
  <si>
    <t>+7(916)022-49-49</t>
  </si>
  <si>
    <t>maranakrasnova50172@gmail.com</t>
  </si>
  <si>
    <t>Кратко Дарья Андреевна</t>
  </si>
  <si>
    <t>+7(978)708-70-24</t>
  </si>
  <si>
    <t>darriyy@yandex.ru</t>
  </si>
  <si>
    <t>Краулин Денис Константинович</t>
  </si>
  <si>
    <t>+7(916)029-85-76</t>
  </si>
  <si>
    <t>den2014is@yandex.ru</t>
  </si>
  <si>
    <t>Крепостная Ольга Константиновна</t>
  </si>
  <si>
    <t>89634794260; +7(902)606-80-35</t>
  </si>
  <si>
    <t>krepostnaya.o@gmail.com</t>
  </si>
  <si>
    <t>Кривенок Варвара Сергеевна</t>
  </si>
  <si>
    <t>+7(927)895-66-34</t>
  </si>
  <si>
    <t>krivenokvarvara@gmail.com</t>
  </si>
  <si>
    <t>Кривоногова Кира Дмитриевна</t>
  </si>
  <si>
    <t>+7(960)003-86-66</t>
  </si>
  <si>
    <t>kirak2005@yandex.ru</t>
  </si>
  <si>
    <t>Кривоножкина Александра Дмитриевна</t>
  </si>
  <si>
    <t>+79610556604; +7(960)854-06-46</t>
  </si>
  <si>
    <t>krivonog2019@gmail.com</t>
  </si>
  <si>
    <t>Кривулько Федор Алексеевич</t>
  </si>
  <si>
    <t>Терней пгт</t>
  </si>
  <si>
    <t>+7(924)320-33-06</t>
  </si>
  <si>
    <t>fkrivulko@mail.ru</t>
  </si>
  <si>
    <t>Кристя Дан Вячеславович</t>
  </si>
  <si>
    <t>+7(985)830-16-81</t>
  </si>
  <si>
    <t>krisiiidan@gmail.com</t>
  </si>
  <si>
    <t>Кроповинская Арина Вадимовна</t>
  </si>
  <si>
    <t>+7(965)336-08-48</t>
  </si>
  <si>
    <t>arinavk2005@gmail.com</t>
  </si>
  <si>
    <t>Крот Роман Станиславович</t>
  </si>
  <si>
    <t>+7(906)070-79-02; +79060707902</t>
  </si>
  <si>
    <t>krotroma57@gmail.com</t>
  </si>
  <si>
    <t>Кротов Олег Валерьевич</t>
  </si>
  <si>
    <t>Струнино г</t>
  </si>
  <si>
    <t>+7(910)172-36-18</t>
  </si>
  <si>
    <t>oleg29d@mail.ru</t>
  </si>
  <si>
    <t>Круглов Кирилл Максимович</t>
  </si>
  <si>
    <t>+7(916)949-24-59</t>
  </si>
  <si>
    <t>aerodeniss@yandex.ru</t>
  </si>
  <si>
    <t>Круглова Виктория Александровна</t>
  </si>
  <si>
    <t>+7(915)051-05-32</t>
  </si>
  <si>
    <t>vicifery@gmail.com</t>
  </si>
  <si>
    <t>Круговых Руслан Дмитриевич</t>
  </si>
  <si>
    <t>+7(916)585-52-27; +79166817690</t>
  </si>
  <si>
    <t>Ruslan.krugovyh@yandex.ru</t>
  </si>
  <si>
    <t>Крутов Никита Сергеевич</t>
  </si>
  <si>
    <t>+7(962)198-74-94</t>
  </si>
  <si>
    <t>nikitakrutov17@gmail.com</t>
  </si>
  <si>
    <t>Крыгин Дмитрий Юрьевич</t>
  </si>
  <si>
    <t>Строитель г</t>
  </si>
  <si>
    <t>+7(980)373-94-02</t>
  </si>
  <si>
    <t>dimka.kr2018@yandex.ru</t>
  </si>
  <si>
    <t>Крыжановская Полина Владимировна</t>
  </si>
  <si>
    <t>Шаховская рп</t>
  </si>
  <si>
    <t>+7(967)136-62-60</t>
  </si>
  <si>
    <t>kryzhanovskaya.polina00@mail.ru</t>
  </si>
  <si>
    <t>Крылов Александр Александрович</t>
  </si>
  <si>
    <t>+7(977)590-86-75</t>
  </si>
  <si>
    <t>i@krylovalexander.ru</t>
  </si>
  <si>
    <t>Крылов Александр Сергеевич</t>
  </si>
  <si>
    <t>+7(963)973-83-55</t>
  </si>
  <si>
    <t>sankakry123@yandex.ru</t>
  </si>
  <si>
    <t>Крылов Кирилл Сергеевич</t>
  </si>
  <si>
    <t>Бабаево с</t>
  </si>
  <si>
    <t>+7(905)611-93-17</t>
  </si>
  <si>
    <t>krylovkirill443@gmail.com</t>
  </si>
  <si>
    <t>Крылов Никита Андреевич</t>
  </si>
  <si>
    <t>89161317384; +7(916)615-76-60</t>
  </si>
  <si>
    <t>nik.krylov.0520@mail.ru</t>
  </si>
  <si>
    <t>Крылов Никита Евгеньевич</t>
  </si>
  <si>
    <t>79653664353; +7(926)662-96-88</t>
  </si>
  <si>
    <t>nikitak11092005@gmail.com</t>
  </si>
  <si>
    <t>Крюков Данила Дмитриевич</t>
  </si>
  <si>
    <t>89063494336; (960)195-43-90</t>
  </si>
  <si>
    <t>conar-warwar@mail.ru</t>
  </si>
  <si>
    <t>Крюкова Екатерина Николаевна</t>
  </si>
  <si>
    <t>+7(903)769-70-31</t>
  </si>
  <si>
    <t>ekorsunova630@gmail.com</t>
  </si>
  <si>
    <t>Крючков Сергей Алексеевич</t>
  </si>
  <si>
    <t>7; +7(961)000-25-10</t>
  </si>
  <si>
    <t>070serge@mail.ru</t>
  </si>
  <si>
    <t>Ксенофонтова Татьяна Дмитриевна</t>
  </si>
  <si>
    <t>1.4.2</t>
  </si>
  <si>
    <t>Аналитическая химия</t>
  </si>
  <si>
    <t>+7(903)753-32-87</t>
  </si>
  <si>
    <t>KsenofontovaT@bk.ru</t>
  </si>
  <si>
    <t>Куаку Куадио Шарлен Трезор</t>
  </si>
  <si>
    <t>Кот Д'ивуар</t>
  </si>
  <si>
    <t>tresorcharlain827@gmail.com</t>
  </si>
  <si>
    <t>Куанаева Регина Маратовна</t>
  </si>
  <si>
    <t>Сокрутовка с</t>
  </si>
  <si>
    <t>+7(977)263-05-22</t>
  </si>
  <si>
    <t>regina.kuanaeva@mail.ru</t>
  </si>
  <si>
    <t>Куанг Ван Тоан</t>
  </si>
  <si>
    <t>Шон Ла г.</t>
  </si>
  <si>
    <t>+7(909)903-59-09</t>
  </si>
  <si>
    <t>bigboss.boy.8626@gmail.com</t>
  </si>
  <si>
    <t>Куватов Рамиль Вадимович</t>
  </si>
  <si>
    <t>+7(922)538-75-26</t>
  </si>
  <si>
    <t>RAMILKUVATOV03@GMAIL.COM</t>
  </si>
  <si>
    <t>Кувыклин Арсений Андреевич</t>
  </si>
  <si>
    <t>+7(913)574-77-19</t>
  </si>
  <si>
    <t>kuvyklinarsenii@yandex.ru</t>
  </si>
  <si>
    <t>Кудашов Артур Александрович</t>
  </si>
  <si>
    <t>+7(913)282-00-49</t>
  </si>
  <si>
    <t>kudashov.artur@inbox.ru</t>
  </si>
  <si>
    <t>Кудинов Ярослав Олегович</t>
  </si>
  <si>
    <t>+79013815640; +7(916)202-28-70</t>
  </si>
  <si>
    <t>m2100108@edu.misis.ru</t>
  </si>
  <si>
    <t>Кудинова Мария Владимировна</t>
  </si>
  <si>
    <t>+7(916)193-35-09</t>
  </si>
  <si>
    <t>vfhrf77@gmail.com</t>
  </si>
  <si>
    <t>Кудрявский Алексей Эдуардович</t>
  </si>
  <si>
    <t>Зубово с</t>
  </si>
  <si>
    <t>+7(987)584-31-47</t>
  </si>
  <si>
    <t>akudriavskiy@gmail.com</t>
  </si>
  <si>
    <t>Кудряшов Дмитрий Иванович</t>
  </si>
  <si>
    <t>+7(921)810-28-98</t>
  </si>
  <si>
    <t>kdi2005@inbox.ru</t>
  </si>
  <si>
    <t>Кудряшова Екатерина Александровна</t>
  </si>
  <si>
    <t>(937)385-66-98</t>
  </si>
  <si>
    <t>kudryaschowa.katia@yandex.ru</t>
  </si>
  <si>
    <t>Кудяков Артём Игоревич</t>
  </si>
  <si>
    <t>79175435644; +7(977)170-74-83</t>
  </si>
  <si>
    <t>kudyakov2001@mail.ru</t>
  </si>
  <si>
    <t>Кужелев Илья Романович</t>
  </si>
  <si>
    <t>+7(905)878-35-03</t>
  </si>
  <si>
    <t>ILJAKUZHELEV@YANDEX.RU</t>
  </si>
  <si>
    <t>фактическая прописка г. Белгород</t>
  </si>
  <si>
    <t>Кузин Андрей Александрович</t>
  </si>
  <si>
    <t>+79037303915; +7(905)755-45-72</t>
  </si>
  <si>
    <t>kuzin.andrey.02.05@gmail.com</t>
  </si>
  <si>
    <t>Кузин Михаил Витальевич</t>
  </si>
  <si>
    <t>+7(916)4139510; +7(965)345-61-83</t>
  </si>
  <si>
    <t>kuzin.mishka@yandex.ru</t>
  </si>
  <si>
    <t>Кузнецов Антон Юрьевич</t>
  </si>
  <si>
    <t>+79252937166; +7(927)826-16-25</t>
  </si>
  <si>
    <t>antonkruto@gmail.com</t>
  </si>
  <si>
    <t>Кузнецов Дмитрий Александрович</t>
  </si>
  <si>
    <t>+7(985)917-76-62</t>
  </si>
  <si>
    <t>ychebadima678@gmail.com</t>
  </si>
  <si>
    <t>Кузнецов Илья Валерьевич</t>
  </si>
  <si>
    <t>+7(924)414-78-52</t>
  </si>
  <si>
    <t>ilak34553@gmail.com</t>
  </si>
  <si>
    <t>Кузнецов Павел Игоревич</t>
  </si>
  <si>
    <t>+7(925)809-18-22</t>
  </si>
  <si>
    <t>ponch092009@yandex.ru</t>
  </si>
  <si>
    <t>Кузнецова Валерия Андреевна</t>
  </si>
  <si>
    <t>+7(901)334-02-82</t>
  </si>
  <si>
    <t>kuznetsova.valeria.7@gmail.com</t>
  </si>
  <si>
    <t>Кузнечик Борис Александрович</t>
  </si>
  <si>
    <t>+7(985)986-09-12</t>
  </si>
  <si>
    <t>larlount@gmail.com</t>
  </si>
  <si>
    <t>Кузьмин Александр Александрович</t>
  </si>
  <si>
    <t>89533752414; +7(981)955-02-24</t>
  </si>
  <si>
    <t>sasakuzmin0602@yandex.ru</t>
  </si>
  <si>
    <t>Кузьмин Александр Артурович</t>
  </si>
  <si>
    <t>+7(999)224-67-33</t>
  </si>
  <si>
    <t>kuzminspace67@gmail.com</t>
  </si>
  <si>
    <t>Кузьмин Артем Валентинович</t>
  </si>
  <si>
    <t>+7(965)407-78-52</t>
  </si>
  <si>
    <t>artem.zel2001@yandex.ru</t>
  </si>
  <si>
    <t>Кузьмин Дмитрий Сергеевич</t>
  </si>
  <si>
    <t>Беловодское</t>
  </si>
  <si>
    <t>+996 559 136 317; +7(000)000-00-00</t>
  </si>
  <si>
    <t>kuzmindima800@gmail.com</t>
  </si>
  <si>
    <t>вместе с Ковальчук С.В.</t>
  </si>
  <si>
    <t>Кузьмина Дарья Алексеевна</t>
  </si>
  <si>
    <t>+7(915)479-11-89</t>
  </si>
  <si>
    <t>dasha_kuzmina_19@mail.ru</t>
  </si>
  <si>
    <t>Кузьмина Дарья Евгеньевна</t>
  </si>
  <si>
    <t>+7(963)658-97-54</t>
  </si>
  <si>
    <t>glbrig028@yandex.ru</t>
  </si>
  <si>
    <t>Кузьмина Мария Денисовна</t>
  </si>
  <si>
    <t>Новоподклетное д</t>
  </si>
  <si>
    <t>+79155417571; +7(951)864-47-04; +79518644704</t>
  </si>
  <si>
    <t>mkuzmina1206@gmail.com</t>
  </si>
  <si>
    <t>Кузьмина Ольга Евгеньевна</t>
  </si>
  <si>
    <t>Новое с</t>
  </si>
  <si>
    <t>(916)925-34-59</t>
  </si>
  <si>
    <t>kysaysveta@mail.ru</t>
  </si>
  <si>
    <t>Кузякин Алексей Сергеевич</t>
  </si>
  <si>
    <t>+79524598911; +7(910)881-40-44</t>
  </si>
  <si>
    <t>kuziakin.lexa@mail.ru</t>
  </si>
  <si>
    <t>Кукунова Мария Михайловна</t>
  </si>
  <si>
    <t>+7(915)223-48-66</t>
  </si>
  <si>
    <t>kykymary0709@mail.ru</t>
  </si>
  <si>
    <t>Кукушкин Иван Сергеевич</t>
  </si>
  <si>
    <t>Сальково д</t>
  </si>
  <si>
    <t>+7(905)752-61-11</t>
  </si>
  <si>
    <t>marcus.paton69@gmail.com</t>
  </si>
  <si>
    <t>Кукушкин Илья Олегович</t>
  </si>
  <si>
    <t>+7(910)817-58-26</t>
  </si>
  <si>
    <t>kukushkinilya9977@gmail.com</t>
  </si>
  <si>
    <t>Кулешова Наталья Александровна</t>
  </si>
  <si>
    <t>(916)344-90-56</t>
  </si>
  <si>
    <t>kuleshovanata00@mail.ru</t>
  </si>
  <si>
    <t>Куликов Александр Леонидович</t>
  </si>
  <si>
    <t>(980)511-03-41</t>
  </si>
  <si>
    <t>sania.kulikov2015@yandex.ru</t>
  </si>
  <si>
    <t>Куликов Артём Андреевич</t>
  </si>
  <si>
    <t>Йошкар-Ола г</t>
  </si>
  <si>
    <t>+7(902)744-08-03</t>
  </si>
  <si>
    <t>arteomculikov@yandex.ru</t>
  </si>
  <si>
    <t>Куликов Константин Юрьевич</t>
  </si>
  <si>
    <t>+7(965)286-06-96</t>
  </si>
  <si>
    <t>SQARELEM@GMAIL.COM</t>
  </si>
  <si>
    <t>Куликова Анастасия Евгеньевна</t>
  </si>
  <si>
    <t>9165728270; (916)680-99-41</t>
  </si>
  <si>
    <t>sakura18032002@gmail.com</t>
  </si>
  <si>
    <t>Куликова Арина Родионовна</t>
  </si>
  <si>
    <t>89150498283; +7(915)089-60-55</t>
  </si>
  <si>
    <t>kulikova.arina.kulikova@yandex.ru</t>
  </si>
  <si>
    <t>Куличков Александр Сергеевич</t>
  </si>
  <si>
    <t>+7(912)782-83-93</t>
  </si>
  <si>
    <t>kul1chkov@yandex.ru</t>
  </si>
  <si>
    <t>Куллыева Мерджен</t>
  </si>
  <si>
    <t>Лебап обл.</t>
  </si>
  <si>
    <t>город Керки</t>
  </si>
  <si>
    <t>+7(985)831-10-83</t>
  </si>
  <si>
    <t>kullyyevamerjen@mail.ru</t>
  </si>
  <si>
    <t>Кулобиев Джовидон Рузимадович</t>
  </si>
  <si>
    <t>г. Хулбук</t>
  </si>
  <si>
    <t>Кулов Суннатулло Абдужалилович</t>
  </si>
  <si>
    <t>+7(925)408-01-69</t>
  </si>
  <si>
    <t>sunnat.kulov78@gmail.com</t>
  </si>
  <si>
    <t>Кулсахатова Мехрибан</t>
  </si>
  <si>
    <t>+7(936)005-18-10</t>
  </si>
  <si>
    <t>ri_hosh@mail.ru</t>
  </si>
  <si>
    <t>Кулыгин Егор Иванович</t>
  </si>
  <si>
    <t>+7(905)190-05-11</t>
  </si>
  <si>
    <t>kulyginegor3012@yandex.ru</t>
  </si>
  <si>
    <t>Кулыгин Станислав Алексеевич</t>
  </si>
  <si>
    <t>Борисовичи д</t>
  </si>
  <si>
    <t>+7(951)753-41-53</t>
  </si>
  <si>
    <t>stas.kulygin.365@mail.ru</t>
  </si>
  <si>
    <t>Кумбуга Бруно Деррик</t>
  </si>
  <si>
    <t>Букомя</t>
  </si>
  <si>
    <t>Кунгуров Федор Иванович</t>
  </si>
  <si>
    <t>89130977131; +7(913)027-53-35</t>
  </si>
  <si>
    <t>kungurov1209@mail.ru</t>
  </si>
  <si>
    <t>Куницкий Вячеслав</t>
  </si>
  <si>
    <t>Украина</t>
  </si>
  <si>
    <t>+7(910)208-74-14</t>
  </si>
  <si>
    <t>вместе с Кущ В.</t>
  </si>
  <si>
    <t>Купчинская Анастасия Алексеевна</t>
  </si>
  <si>
    <t>+7(920)851-69-10</t>
  </si>
  <si>
    <t>NKUPCHINSKAYA@YANDEX.RU</t>
  </si>
  <si>
    <t>Курбатов Николай Евгеньевич</t>
  </si>
  <si>
    <t>+7(926)284-97-49</t>
  </si>
  <si>
    <t>kurbatov-nikolya@mail.ru</t>
  </si>
  <si>
    <t>Курбатова Татьяна Владимировна</t>
  </si>
  <si>
    <t>+79895040063; +7(960)458-15-32</t>
  </si>
  <si>
    <t>kurbatova.tt148@gmail.com</t>
  </si>
  <si>
    <t>Курбонов Мехрофарин Мухамадшохевич</t>
  </si>
  <si>
    <t>Хатлонская</t>
  </si>
  <si>
    <t>Куляб</t>
  </si>
  <si>
    <t>+7(995)292-30-32</t>
  </si>
  <si>
    <t>mobilerahmonov@gmail.com</t>
  </si>
  <si>
    <t>Курбонов Шерзод Сарахонович</t>
  </si>
  <si>
    <t>Душанбе, район Сино</t>
  </si>
  <si>
    <t>Курдюмова Дарья Сергеевна</t>
  </si>
  <si>
    <t>+7(910)227-97-43</t>
  </si>
  <si>
    <t>dkurdyumova01@mail.ru</t>
  </si>
  <si>
    <t>Куренков Никита Дмитриевич</t>
  </si>
  <si>
    <t>Сузун рп</t>
  </si>
  <si>
    <t>+7(965)821-81-86</t>
  </si>
  <si>
    <t>KURENKOVNIKITA59@GMAIL.COM</t>
  </si>
  <si>
    <t>Куренкова Екатерина Сергеевна</t>
  </si>
  <si>
    <t>+7(915)231-69-64</t>
  </si>
  <si>
    <t>k.terinka@mail.ru</t>
  </si>
  <si>
    <t>Курзаева Софья Юрьевна</t>
  </si>
  <si>
    <t>89034009613; +7(961)420-33-60</t>
  </si>
  <si>
    <t>sofiakurzaeva@gmail.com</t>
  </si>
  <si>
    <t>Куриленко Виталина Евгеньевна</t>
  </si>
  <si>
    <t>+7(908)981-18-21</t>
  </si>
  <si>
    <t>dnsclient1502@gmail.com</t>
  </si>
  <si>
    <t>Куркина Евгения Вячеславовна</t>
  </si>
  <si>
    <t>89648719879; +7(937)413-25-12; +79374132512</t>
  </si>
  <si>
    <t>evgeshakurkina@yandex.ru</t>
  </si>
  <si>
    <t>Куркубет Варвара Михайловна</t>
  </si>
  <si>
    <t>+7(922)798-46-03</t>
  </si>
  <si>
    <t>kurkubet.varya@inbox.ru</t>
  </si>
  <si>
    <t>Куровцев Антон Владимирович</t>
  </si>
  <si>
    <t>+7(910)970-86-49</t>
  </si>
  <si>
    <t>antonlikekarton@gmail.com</t>
  </si>
  <si>
    <t>Куртенкова Анна Денисовна</t>
  </si>
  <si>
    <t>Томская обл</t>
  </si>
  <si>
    <t>Томск г</t>
  </si>
  <si>
    <t>+79966362256; +7(996)636-22-56</t>
  </si>
  <si>
    <t>anyakurt@gmail.com</t>
  </si>
  <si>
    <t>Куршанова Алёна Денисовна</t>
  </si>
  <si>
    <t>+79160959091; +7(916)885-81-75</t>
  </si>
  <si>
    <t>a-kurshanova@mail.ru</t>
  </si>
  <si>
    <t>Курышева Виктория Романовна</t>
  </si>
  <si>
    <t>+7(950)478-84-55</t>
  </si>
  <si>
    <t>kuryshevaviktoria@gmail.com</t>
  </si>
  <si>
    <t>Куряев Александр Алишерович</t>
  </si>
  <si>
    <t>+7(901)180-88-77</t>
  </si>
  <si>
    <t>aleksandr.kuryaev@yandex.ru</t>
  </si>
  <si>
    <t>Кустов Кирилл Александрович</t>
  </si>
  <si>
    <t>+7(921)385-19-65</t>
  </si>
  <si>
    <t>kustov_ka@aemtech-st.ru</t>
  </si>
  <si>
    <t>Кустова София Игоревна</t>
  </si>
  <si>
    <t>+7(903)927-39-33</t>
  </si>
  <si>
    <t>sofja2005@inbox.ru</t>
  </si>
  <si>
    <t>Кутепова Стефания Николаевна</t>
  </si>
  <si>
    <t>+7(988)865-13-58</t>
  </si>
  <si>
    <t>stefaniiakutepova@yandex.ru</t>
  </si>
  <si>
    <t>Кутузова Анна Алексеевна</t>
  </si>
  <si>
    <t>(916)547-08-25</t>
  </si>
  <si>
    <t>annakut1@yandex.ru</t>
  </si>
  <si>
    <t>Куулар Амина Сергеевна</t>
  </si>
  <si>
    <t>89133500430; +7(913)340-47-16</t>
  </si>
  <si>
    <t>amina.kuular.06@mail.ru</t>
  </si>
  <si>
    <t>Куцемако Ольга Дмитриевна</t>
  </si>
  <si>
    <t>(916)956-11-14</t>
  </si>
  <si>
    <t>kutsemako.olia@yandex.ru</t>
  </si>
  <si>
    <t>Кучерявый Семён Михайлович</t>
  </si>
  <si>
    <t>+7(995)415-29-09</t>
  </si>
  <si>
    <t>SEKU345@YANDEX.RU</t>
  </si>
  <si>
    <t>Кучеряев Кирилл Алексеевич</t>
  </si>
  <si>
    <t>Балашов г</t>
  </si>
  <si>
    <t>+7(977)744-76-19</t>
  </si>
  <si>
    <t>k_kucheryaev@mail.ru</t>
  </si>
  <si>
    <t>Кущ Михаил</t>
  </si>
  <si>
    <t>Харьков</t>
  </si>
  <si>
    <t>+7(993)968-27-10</t>
  </si>
  <si>
    <t>mishakushhh@mail.ru</t>
  </si>
  <si>
    <t>вместе с Куницким</t>
  </si>
  <si>
    <t>Лавринайтис Татьяна Сергеевна</t>
  </si>
  <si>
    <t>Еврейская Аобл</t>
  </si>
  <si>
    <t>Биробиджан г</t>
  </si>
  <si>
    <t>+79648257771; +7(996)310-25-51</t>
  </si>
  <si>
    <t>lavrinaina@mail.ru</t>
  </si>
  <si>
    <t>Лагутенко Кирилл Владимирович</t>
  </si>
  <si>
    <t>+7(929)021-78-16</t>
  </si>
  <si>
    <t>kirilllagutenko@gmail.com</t>
  </si>
  <si>
    <t>Ладуров Илья Евгеньевич</t>
  </si>
  <si>
    <t>+7(995)399-74-99</t>
  </si>
  <si>
    <t>Li.Ev1al@yandex.ru</t>
  </si>
  <si>
    <t>Лазаренко Андрей Петрович</t>
  </si>
  <si>
    <t>+7(996)639-67-15</t>
  </si>
  <si>
    <t>Andlaza@yandex.ru</t>
  </si>
  <si>
    <t>Лактионова Софья Алексеевна</t>
  </si>
  <si>
    <t>+7(917)515-88-27</t>
  </si>
  <si>
    <t>sonyalaktionova@yandex.ru</t>
  </si>
  <si>
    <t>Ламис Риверо Хосе Мануэль</t>
  </si>
  <si>
    <t>г. Гавана</t>
  </si>
  <si>
    <t>+7(991)229-58-78</t>
  </si>
  <si>
    <t>jmlamis1993@gmail.com</t>
  </si>
  <si>
    <t>Ламуто Макало Антониу Саломау Панзо</t>
  </si>
  <si>
    <t>+7(901)598-11-75</t>
  </si>
  <si>
    <t>utoniasalo@gmail.com</t>
  </si>
  <si>
    <t>Лангинен Елизавета Родионовна</t>
  </si>
  <si>
    <t>+7(916)589-41-89; +7(999)970-99-00</t>
  </si>
  <si>
    <t>lizkin2013@gmail.com</t>
  </si>
  <si>
    <t>Лаптев Денис Андреевич</t>
  </si>
  <si>
    <t>Амурская обл</t>
  </si>
  <si>
    <t>Благовещенск г</t>
  </si>
  <si>
    <t>+7(914)583-27-82</t>
  </si>
  <si>
    <t>m1905323@edu.misis.ru</t>
  </si>
  <si>
    <t>Лаптев Олег Евгеньевич</t>
  </si>
  <si>
    <t>+7(926)273-11-70</t>
  </si>
  <si>
    <t>oleglaptev1978@yandex.ru</t>
  </si>
  <si>
    <t>Лаптева Екатерина Дмитриевна</t>
  </si>
  <si>
    <t>+7(906)141-63-60</t>
  </si>
  <si>
    <t>lap.ka9@mail.ru</t>
  </si>
  <si>
    <t>Ларина Маргарита Дмитриевна</t>
  </si>
  <si>
    <t>+7(929)996-08-60</t>
  </si>
  <si>
    <t>margaritalar14@gmail.com</t>
  </si>
  <si>
    <t>Ларькин Матвей Александрович</t>
  </si>
  <si>
    <t>Дмитров г</t>
  </si>
  <si>
    <t>9296653589; (926)677-87-79</t>
  </si>
  <si>
    <t>matveilarkin28@gmail.com</t>
  </si>
  <si>
    <t>Ларюшин Виктор Романович</t>
  </si>
  <si>
    <t>+7(904)411-97-44</t>
  </si>
  <si>
    <t>areyouready@internet.ru</t>
  </si>
  <si>
    <t>Ласкин Кирилл Алексеевич</t>
  </si>
  <si>
    <t>(902)286-70-45</t>
  </si>
  <si>
    <t>laskir29@gmail.com</t>
  </si>
  <si>
    <t>Ласко Максим Андреевич</t>
  </si>
  <si>
    <t>Актобе</t>
  </si>
  <si>
    <t>+7 9123570217; +7(707)374-74-40</t>
  </si>
  <si>
    <t>tankiada44@gmail.com</t>
  </si>
  <si>
    <t>Ласковец Александр Алексеевич</t>
  </si>
  <si>
    <t>+7(989)615-75-23</t>
  </si>
  <si>
    <t>laskovets2003@gmail.com</t>
  </si>
  <si>
    <t>Латанова Елена Александровна</t>
  </si>
  <si>
    <t>+7(905)548-83-18</t>
  </si>
  <si>
    <t>lenaaa1212@gmail.com</t>
  </si>
  <si>
    <t>Латыпов Тимур Ильгамович</t>
  </si>
  <si>
    <t>Иж-Бобья с</t>
  </si>
  <si>
    <t>+79199081506; +7(919)908-15-06</t>
  </si>
  <si>
    <t>latypov.timur.2001@mail.ru</t>
  </si>
  <si>
    <t>Лашек Александра Юрьевна</t>
  </si>
  <si>
    <t>Абинск г</t>
  </si>
  <si>
    <t>89881388714; +7(988)138-87-14</t>
  </si>
  <si>
    <t>a.lashek193@gmail.com</t>
  </si>
  <si>
    <t>Лашина Полина Анатольевна</t>
  </si>
  <si>
    <t>+7(977)715-32-79</t>
  </si>
  <si>
    <t>polina.lashina.2005@mail.ru</t>
  </si>
  <si>
    <t>Лебедев Артур Максимович</t>
  </si>
  <si>
    <t>+7(916)730-55-00</t>
  </si>
  <si>
    <t>arthur-lebedev@mail.ru</t>
  </si>
  <si>
    <t>Лебедев Юрий Викторович</t>
  </si>
  <si>
    <t>+7(931)517-06-02</t>
  </si>
  <si>
    <t>yura.yura.lebedev.05.lebedev@mail.ru</t>
  </si>
  <si>
    <t>Лебедева Анастасия Сергеевна</t>
  </si>
  <si>
    <t>Жохово д</t>
  </si>
  <si>
    <t>+7(917)531-38-03</t>
  </si>
  <si>
    <t>an.lebedevvaa@gmail.com</t>
  </si>
  <si>
    <t>Лебедева Полина Игоревна</t>
  </si>
  <si>
    <t>+7(915)172-42-49</t>
  </si>
  <si>
    <t>pilebedeva05@gmail.com</t>
  </si>
  <si>
    <t>Лебедева Софья Дмитриевна</t>
  </si>
  <si>
    <t>Ивантеевка г</t>
  </si>
  <si>
    <t>+7(915)134-81-03</t>
  </si>
  <si>
    <t>lebedevdmas321@gmail.com</t>
  </si>
  <si>
    <t>Лебедкин Иван Владимирович</t>
  </si>
  <si>
    <t>+7(953)440-58-56</t>
  </si>
  <si>
    <t>magik_per@mail.ru</t>
  </si>
  <si>
    <t>Левакова Ксения Андреевна</t>
  </si>
  <si>
    <t>+7(985)792-07-27</t>
  </si>
  <si>
    <t>klevakova81@gmail.com</t>
  </si>
  <si>
    <t>Леванова Ксения Сергеевна</t>
  </si>
  <si>
    <t>+7(968)709-89-60</t>
  </si>
  <si>
    <t>KCLEVANOVA12@GMAIL.COM</t>
  </si>
  <si>
    <t>Левашова Мирра Михайловна</t>
  </si>
  <si>
    <t>+7(999)082-43-71</t>
  </si>
  <si>
    <t>mirrulalevash@gmail.com</t>
  </si>
  <si>
    <t>Левина Алиса Игоревна</t>
  </si>
  <si>
    <t>(916)110-26-03</t>
  </si>
  <si>
    <t>allissa02@list.ru</t>
  </si>
  <si>
    <t>Левина Елизавета Максимовна</t>
  </si>
  <si>
    <t>Сосновый п</t>
  </si>
  <si>
    <t>+7(963)151-28-70</t>
  </si>
  <si>
    <t>llevina29@icloud.com</t>
  </si>
  <si>
    <t>Ледяйкин Михаил Евгеньевич</t>
  </si>
  <si>
    <t>Паракино с</t>
  </si>
  <si>
    <t>+7(906)161-06-04</t>
  </si>
  <si>
    <t>m.ledyaykin123@gmail.com</t>
  </si>
  <si>
    <t>Леин Катерина</t>
  </si>
  <si>
    <t>89525236014; (982)340-95-14; +79823409514; 89962377341</t>
  </si>
  <si>
    <t>leina.katya@mail.ru</t>
  </si>
  <si>
    <t>Леликов Слободан Сергеевич</t>
  </si>
  <si>
    <t>89507495448; +7(908)079-36-24</t>
  </si>
  <si>
    <t>lalishik@gmail.com</t>
  </si>
  <si>
    <t>Леоненко Татьяна Александровна</t>
  </si>
  <si>
    <t>(909)242-81-62</t>
  </si>
  <si>
    <t>leonenkotatyana2001@yandex.ru</t>
  </si>
  <si>
    <t>Леонов Даниил Львович</t>
  </si>
  <si>
    <t>+7(965)104-23-13</t>
  </si>
  <si>
    <t>baslook23@gmail.com</t>
  </si>
  <si>
    <t>Леонтьев Арсений Андреевич</t>
  </si>
  <si>
    <t>+7(926)382-41-03</t>
  </si>
  <si>
    <t>ARSALEONTEV@GMAIL.COM</t>
  </si>
  <si>
    <t>Лизандер Анастасия Денисовна</t>
  </si>
  <si>
    <t>+7(914)187-79-91</t>
  </si>
  <si>
    <t>adl21@yandex.ru</t>
  </si>
  <si>
    <t>Липатов Павел Владимирович</t>
  </si>
  <si>
    <t>Калининград г</t>
  </si>
  <si>
    <t>+7(921)153-06-62</t>
  </si>
  <si>
    <t>pavelkam555@gmail.com</t>
  </si>
  <si>
    <t>Липкин Михаил Евгеньевич</t>
  </si>
  <si>
    <t>+7(927)0060807</t>
  </si>
  <si>
    <t>lipkin05@gmail.com</t>
  </si>
  <si>
    <t>Лисеенко Даниил Максимович</t>
  </si>
  <si>
    <t>+79521102165; +7(906)214-10-53</t>
  </si>
  <si>
    <t>danya.liseenko@mail.ru</t>
  </si>
  <si>
    <t>Лисицын Александр Александрович</t>
  </si>
  <si>
    <t>+7(925)886-17-23</t>
  </si>
  <si>
    <t>sasha20473085@gmail.com</t>
  </si>
  <si>
    <t>Лисицын Андрей Геннадьевич</t>
  </si>
  <si>
    <t>+7(967)219-14-08</t>
  </si>
  <si>
    <t>ilwwil@bk.ru</t>
  </si>
  <si>
    <t>Лисовская Анастасия Сергеевна</t>
  </si>
  <si>
    <t>+7(916)464-19-75</t>
  </si>
  <si>
    <t>nlastya1994@mail.ru</t>
  </si>
  <si>
    <t>Литвинова Ангелина Романовна</t>
  </si>
  <si>
    <t>+7(967)6705470</t>
  </si>
  <si>
    <t>angelinalit05@gmail.com</t>
  </si>
  <si>
    <t>Личко Дмитрий Алексеевич</t>
  </si>
  <si>
    <t>(924)397-33-38</t>
  </si>
  <si>
    <t>lichko2002@mail.ru</t>
  </si>
  <si>
    <t>Лищенко Александра Вадимовна</t>
  </si>
  <si>
    <t>89251208180; +7(901)344-99-45</t>
  </si>
  <si>
    <t>23718ck23718ck@gmail.com</t>
  </si>
  <si>
    <t>Лобач Полина Дмитриевна</t>
  </si>
  <si>
    <t>+7(909)850-45-71</t>
  </si>
  <si>
    <t>lobach.polina05@mail.ru</t>
  </si>
  <si>
    <t>Лобзанова Полина Анатольевна</t>
  </si>
  <si>
    <t>+7(988)574-32-46</t>
  </si>
  <si>
    <t>polina.lobzanova@mail.ru</t>
  </si>
  <si>
    <t>Лобкис Игорь Андреевич</t>
  </si>
  <si>
    <t>+7(977)119-54-75</t>
  </si>
  <si>
    <t>igor_1712@list.ru</t>
  </si>
  <si>
    <t>Лобода Иван Александрович</t>
  </si>
  <si>
    <t>+7(903)780-60-60</t>
  </si>
  <si>
    <t>Meppci@yandex.ru</t>
  </si>
  <si>
    <t>Ловянов Владислав Юрьевич</t>
  </si>
  <si>
    <t>+7(915)689-05-07</t>
  </si>
  <si>
    <t>lovyanov5@mail.ru</t>
  </si>
  <si>
    <t>Логинова Анастасия Сергеевна</t>
  </si>
  <si>
    <t>+7(965)198-65-01</t>
  </si>
  <si>
    <t>asloginova10@gmail.com</t>
  </si>
  <si>
    <t>Ложков Андрей Иванович</t>
  </si>
  <si>
    <t>+7(932)602-72-79</t>
  </si>
  <si>
    <t>giga182001@gmail.com</t>
  </si>
  <si>
    <t>Лойко Антон Геннадьевич</t>
  </si>
  <si>
    <t>+7(901)745-11-50</t>
  </si>
  <si>
    <t>loikoanton@yandex.ru</t>
  </si>
  <si>
    <t>Лолохоев Султан Русланович</t>
  </si>
  <si>
    <t>(985)178-60-91</t>
  </si>
  <si>
    <t>sultanlolohoev@gmail.com</t>
  </si>
  <si>
    <t>Ломаев Илья Сергеевич</t>
  </si>
  <si>
    <t>+7(963)015-63-98</t>
  </si>
  <si>
    <t>ilyalomaev146@gmail.com</t>
  </si>
  <si>
    <t>Ломакина Ксения Андреевна</t>
  </si>
  <si>
    <t>+7(985)464-86-89; +79854648689</t>
  </si>
  <si>
    <t>lomkik.lol@mail.ru</t>
  </si>
  <si>
    <t>Ломакина Юлия Владимировна</t>
  </si>
  <si>
    <t>Ливны г</t>
  </si>
  <si>
    <t>+7(920)822-36-22</t>
  </si>
  <si>
    <t>yulya.lomakina.05@bk.ru</t>
  </si>
  <si>
    <t>Ломенков Владислав Александрович</t>
  </si>
  <si>
    <t>Рубцовск г</t>
  </si>
  <si>
    <t>+7(923)007-25-05</t>
  </si>
  <si>
    <t>scroogebankroll@gmail.com</t>
  </si>
  <si>
    <t>Ломова Валентина Евгеньевна</t>
  </si>
  <si>
    <t>учхоза Александрово п</t>
  </si>
  <si>
    <t>+790608439; +7(901)151-67-05; +79060843910</t>
  </si>
  <si>
    <t>vallomova05@yandex.ru</t>
  </si>
  <si>
    <t>Ломовцева Светлана Андреевна</t>
  </si>
  <si>
    <t>+7(963)922-91-18</t>
  </si>
  <si>
    <t>svetlana00amin@gmail.com</t>
  </si>
  <si>
    <t>Ломтев Глеб</t>
  </si>
  <si>
    <t>4448ст</t>
  </si>
  <si>
    <t>Эстония</t>
  </si>
  <si>
    <t>Таллин</t>
  </si>
  <si>
    <t>gleb.lomtev.90@mail.ru</t>
  </si>
  <si>
    <t>Лоозе Валерий Владимирович</t>
  </si>
  <si>
    <t>+7(915)123-31-07</t>
  </si>
  <si>
    <t>vaalfa@yandex.ru</t>
  </si>
  <si>
    <t>Лоозе Екатерина Евгеньевна</t>
  </si>
  <si>
    <t>Можайск г</t>
  </si>
  <si>
    <t>+79151233107; +7(962)965-25-54</t>
  </si>
  <si>
    <t>vaalfa.kuskovo@yandex.ru</t>
  </si>
  <si>
    <t>Лосев Владимир Петрович</t>
  </si>
  <si>
    <t>+79524100402; +7(952)410-04-03</t>
  </si>
  <si>
    <t>v.loszev@gmail.com</t>
  </si>
  <si>
    <t>Лосева Полина Сергеевна</t>
  </si>
  <si>
    <t>+7(925)173-77-48</t>
  </si>
  <si>
    <t>loseva_pol@mail.ru</t>
  </si>
  <si>
    <t>Лоскутов Владислав Дмитриевич</t>
  </si>
  <si>
    <t>+7(903)626-48-08</t>
  </si>
  <si>
    <t>elena_loskutova@mail.ru</t>
  </si>
  <si>
    <t>Лоткова Дарья Васильевна</t>
  </si>
  <si>
    <t>+7(982)550-49-19</t>
  </si>
  <si>
    <t>lotkova.d02@mail.ru</t>
  </si>
  <si>
    <t>Лоханова Валерия Максимовна</t>
  </si>
  <si>
    <t>+7(921)050-84-23</t>
  </si>
  <si>
    <t>lvm140905@mail.ru</t>
  </si>
  <si>
    <t>Лохманосов Никита Сергеевич</t>
  </si>
  <si>
    <t>+998909197245; +7(000)000-00-00</t>
  </si>
  <si>
    <t>lokhmanosovnikita@mail.ru</t>
  </si>
  <si>
    <t>Лоя Сусан Млумун</t>
  </si>
  <si>
    <t>Луганская Евгения Константиновна</t>
  </si>
  <si>
    <t>+7(965)367-88-56</t>
  </si>
  <si>
    <t>evg.lune@yandex.ru</t>
  </si>
  <si>
    <t>Лудина Анастасия Максимовна</t>
  </si>
  <si>
    <t>+7(915)089-92-06</t>
  </si>
  <si>
    <t>asa.ludina@yandex.ru</t>
  </si>
  <si>
    <t>Лукарина Алина Витальевна</t>
  </si>
  <si>
    <t>Новокубанск г</t>
  </si>
  <si>
    <t>+7(916)225-82-29; +79162258229</t>
  </si>
  <si>
    <t>unisbern@gmail.com</t>
  </si>
  <si>
    <t>Лукинова Екатерина Михайловна</t>
  </si>
  <si>
    <t>Невинномысск г</t>
  </si>
  <si>
    <t>(928)819-10-49</t>
  </si>
  <si>
    <t>lukinova0101@mail.ru</t>
  </si>
  <si>
    <t>Луккарева Снежана Александровна</t>
  </si>
  <si>
    <t>Мирный г</t>
  </si>
  <si>
    <t>+7(962)660-79-71; 89600160519</t>
  </si>
  <si>
    <t>lukkarevasa@mail.ru</t>
  </si>
  <si>
    <t>Лукута Евгений Сергеевич</t>
  </si>
  <si>
    <t>+79147209627; +7(962)059-56-50</t>
  </si>
  <si>
    <t>elukuta@misis.ru</t>
  </si>
  <si>
    <t>Лунгу Сусанна Захариевна</t>
  </si>
  <si>
    <t>+7(999)2336243</t>
  </si>
  <si>
    <t>susannailjinskaya@yandex.ru</t>
  </si>
  <si>
    <t>Лунева Анастасия Сергеевна</t>
  </si>
  <si>
    <t>+7(968)411-07-18</t>
  </si>
  <si>
    <t>luneva.25@mail.ru</t>
  </si>
  <si>
    <t>Лунчев Артём Игоревич</t>
  </si>
  <si>
    <t>Совхоз Боровский с</t>
  </si>
  <si>
    <t>79109107564; +7(980)510-21-97</t>
  </si>
  <si>
    <t>ryabkasilvart@gmail.com</t>
  </si>
  <si>
    <t>Луппов Евгений Александрович</t>
  </si>
  <si>
    <t>+7(922)911-99-60</t>
  </si>
  <si>
    <t>luppovevgeni@gmail.com</t>
  </si>
  <si>
    <t>Луценко Александра Викторовна</t>
  </si>
  <si>
    <t>Каменка г</t>
  </si>
  <si>
    <t>+7(987)073-03-71</t>
  </si>
  <si>
    <t>6_sasa@mail.ru</t>
  </si>
  <si>
    <t>Луценко Никита Александрович</t>
  </si>
  <si>
    <t>Геленджик г</t>
  </si>
  <si>
    <t>+7(928)332-14-08</t>
  </si>
  <si>
    <t>lucencona@gmail.com</t>
  </si>
  <si>
    <t>Лыскович Анастасия Андреевна</t>
  </si>
  <si>
    <t>+7(920)772-05-55</t>
  </si>
  <si>
    <t>nastya719ls999@yandex.ru</t>
  </si>
  <si>
    <t>Львов Кирилл Олегович</t>
  </si>
  <si>
    <t>+7(968)353-37-31</t>
  </si>
  <si>
    <t>lvovkir@yandex.ru</t>
  </si>
  <si>
    <t>Любчинская Анна Витальевна</t>
  </si>
  <si>
    <t>+7(951)086-84-16; +79510868416</t>
  </si>
  <si>
    <t>lyubchinskayaa@gmail.com</t>
  </si>
  <si>
    <t>Людофа Елена Анатольевна</t>
  </si>
  <si>
    <t>+79148385986; +7(902)456-08-68</t>
  </si>
  <si>
    <t>luydofa_04@icloud.com</t>
  </si>
  <si>
    <t>Лютоев Семён Алексеевич</t>
  </si>
  <si>
    <t>+7(912)106-32-08</t>
  </si>
  <si>
    <t>semen.lyutoev@yandex.ru</t>
  </si>
  <si>
    <t>Лялин Илья Антонович</t>
  </si>
  <si>
    <t>+7(915)415-70-10</t>
  </si>
  <si>
    <t>lev.ilia2005@gmail.com</t>
  </si>
  <si>
    <t>Лямина Каролина Витальевна</t>
  </si>
  <si>
    <t>+7(909)359-73-30</t>
  </si>
  <si>
    <t>lcv29062005@gmail.com</t>
  </si>
  <si>
    <t>Ляпустина Ольга Игоревна</t>
  </si>
  <si>
    <t>Великий Новгород г</t>
  </si>
  <si>
    <t>+7(911)647-38-18</t>
  </si>
  <si>
    <t>lyapustin.igor1969@mail.ru</t>
  </si>
  <si>
    <t>Ляпчева Наталья Геннадьевна</t>
  </si>
  <si>
    <t>+79261986828; +7(926)198-68-28</t>
  </si>
  <si>
    <t>liapochka@yandex.ru</t>
  </si>
  <si>
    <t>Ляхова Варвара Константиновна</t>
  </si>
  <si>
    <t>+7(916)089-00-86</t>
  </si>
  <si>
    <t>l.vorona.l@yandex.ru</t>
  </si>
  <si>
    <t>Ляш Павел Андреевич</t>
  </si>
  <si>
    <t>+7(912)0488623; +7(961)775-14-79</t>
  </si>
  <si>
    <t>pashaliash@yandex.ru</t>
  </si>
  <si>
    <t>Мавлюдова Полина Вячеславовна</t>
  </si>
  <si>
    <t>+7(921)556-75-73</t>
  </si>
  <si>
    <t>polina.mavlydova@gmail.com</t>
  </si>
  <si>
    <t>Магомаев Асланбек Бисланович</t>
  </si>
  <si>
    <t>Гехи с</t>
  </si>
  <si>
    <t>+7(932)410-77-95</t>
  </si>
  <si>
    <t>13kpss37@mail.ru</t>
  </si>
  <si>
    <t>Магомедов Арсен Хайбулаевич</t>
  </si>
  <si>
    <t>+7(916)628-17-18</t>
  </si>
  <si>
    <t>arswork741204@gmail.com</t>
  </si>
  <si>
    <t>Магси Балоч Диана Назировна</t>
  </si>
  <si>
    <t>89251931208; +7(916)903-03-55</t>
  </si>
  <si>
    <t>di.magsi@yandex.ru</t>
  </si>
  <si>
    <t>Мадалиев Мухаммадсидик Додохонович</t>
  </si>
  <si>
    <t>89775662642</t>
  </si>
  <si>
    <t>siddq12q@bk.ru</t>
  </si>
  <si>
    <t>Мадаминов Акромжон Тулкин Угли</t>
  </si>
  <si>
    <t>+7(925)344-43-40</t>
  </si>
  <si>
    <t>madaminov.akromjon@mail.ru</t>
  </si>
  <si>
    <t>Маджитов Тимур Азаматович</t>
  </si>
  <si>
    <t>+79255077516; +7(985)966-12-78</t>
  </si>
  <si>
    <t>32timur@gmail.com</t>
  </si>
  <si>
    <t>Мазалов Денис Алексеевич</t>
  </si>
  <si>
    <t>+7(920)582-01-35</t>
  </si>
  <si>
    <t>mazalov_den@mail.ru</t>
  </si>
  <si>
    <t>Мазина Наталья Константиновна</t>
  </si>
  <si>
    <t>Междуреченск г</t>
  </si>
  <si>
    <t>+7(960)921-30-46</t>
  </si>
  <si>
    <t>tusya4815@gmail.com</t>
  </si>
  <si>
    <t>Мазур Ангелина Радиевна</t>
  </si>
  <si>
    <t>+7(950)581-17-54</t>
  </si>
  <si>
    <t>gelj2018@mail.ru</t>
  </si>
  <si>
    <t>к мужу в ДСГ</t>
  </si>
  <si>
    <t>Мазуренко Анастасия Вячеславовна</t>
  </si>
  <si>
    <t>Гомельская область</t>
  </si>
  <si>
    <t>Речица</t>
  </si>
  <si>
    <t>+375293216880; +7(000)000-00-00</t>
  </si>
  <si>
    <t>cyberabiens@yandex.by</t>
  </si>
  <si>
    <t>Мазурик Артём Дмитриевич</t>
  </si>
  <si>
    <t>+7(926)540-12-86</t>
  </si>
  <si>
    <t>artemmazurik2005@mail.ru</t>
  </si>
  <si>
    <t>Майорова Карина Александровна</t>
  </si>
  <si>
    <t>+7(905)177-44-39</t>
  </si>
  <si>
    <t>krnmrv@yandex.ru</t>
  </si>
  <si>
    <t>Макаренков Иван Владимирович</t>
  </si>
  <si>
    <t>Евпатория г</t>
  </si>
  <si>
    <t>+79151083608; +7(978)715-59-32</t>
  </si>
  <si>
    <t>ivan.makarenkov.2005@mail.ru</t>
  </si>
  <si>
    <t>Макаров Артём Вячеславович</t>
  </si>
  <si>
    <t>-</t>
  </si>
  <si>
    <t>89151388162; +7(985)471-84-98</t>
  </si>
  <si>
    <t>ar.streletz2015@yandex.ru</t>
  </si>
  <si>
    <t>Макаров Никита Андреевич</t>
  </si>
  <si>
    <t>+7(999)835-08-77</t>
  </si>
  <si>
    <t>nikitka.m1906@gmail.com</t>
  </si>
  <si>
    <t>Макарова Алина Андреевна</t>
  </si>
  <si>
    <t>+7(985)897-89-67</t>
  </si>
  <si>
    <t>alinka.makarova2011@yandex.ru</t>
  </si>
  <si>
    <t>Макарова Ирина Андреевна</t>
  </si>
  <si>
    <t>+7(962)962-91-88</t>
  </si>
  <si>
    <t>irinmakarova6@gmail.com</t>
  </si>
  <si>
    <t>Макарова Ксения Дмитриевна</t>
  </si>
  <si>
    <t>9166495877; (916)318-02-95; 89163180295</t>
  </si>
  <si>
    <t>ksepant@list.ru</t>
  </si>
  <si>
    <t>Макеев Николай Максимович</t>
  </si>
  <si>
    <t>89647644482; +7(985)938-24-93</t>
  </si>
  <si>
    <t>nikmakeev2005@mail.ru</t>
  </si>
  <si>
    <t>Максименков Иван Михайлович</t>
  </si>
  <si>
    <t>Жарковский пгт</t>
  </si>
  <si>
    <t>+7(920)179-96-27</t>
  </si>
  <si>
    <t>i.maksimenkov@list.ru</t>
  </si>
  <si>
    <t>Максимихин Алексей Владимирович</t>
  </si>
  <si>
    <t>+7(981)437-12-99</t>
  </si>
  <si>
    <t>maksimihin.aleksey@mail.ru</t>
  </si>
  <si>
    <t>Максимов Дмитрий Андреевич</t>
  </si>
  <si>
    <t>+7(953)330-66-24</t>
  </si>
  <si>
    <t>miktor.dadaya@yandex.ru</t>
  </si>
  <si>
    <t>Малахов Богдан Владимирович</t>
  </si>
  <si>
    <t>+7(949)319-47-75</t>
  </si>
  <si>
    <t>bodya2005marvel@gmail.com</t>
  </si>
  <si>
    <t>Малахова Елена Николаевна</t>
  </si>
  <si>
    <t>+7(952)432-06-55; +7(968)518-47-37</t>
  </si>
  <si>
    <t>s157046@edu.misis.ru</t>
  </si>
  <si>
    <t>Малек Салама Хассанейн Фатхалла</t>
  </si>
  <si>
    <t>Аль-амири</t>
  </si>
  <si>
    <t>Асьют</t>
  </si>
  <si>
    <t>salamahassanein@gmail.com</t>
  </si>
  <si>
    <t>Маликов Шохбоз Арслон угли</t>
  </si>
  <si>
    <t>Джизакская область</t>
  </si>
  <si>
    <t>Галлаараль</t>
  </si>
  <si>
    <t>+7(920)322-69-24</t>
  </si>
  <si>
    <t>shakhboz.malikov@mail.ru</t>
  </si>
  <si>
    <t>Малинин Данила Григорьевич</t>
  </si>
  <si>
    <t>+79603049944; +7(905)340-21-69</t>
  </si>
  <si>
    <t>150205d@gmail.com</t>
  </si>
  <si>
    <t>Малиновская Анастасия Владимировна</t>
  </si>
  <si>
    <t>+7(961)502-89-19</t>
  </si>
  <si>
    <t>a-malinovskaya@bk.ru</t>
  </si>
  <si>
    <t>Малкин Александр Юрьевич</t>
  </si>
  <si>
    <t>(937)641-57-07</t>
  </si>
  <si>
    <t>super.ihg@ya.ru</t>
  </si>
  <si>
    <t>Малкина Елена Евгеньевна</t>
  </si>
  <si>
    <t>89081360554; +7(952)549-85-74</t>
  </si>
  <si>
    <t>malkina.elena.2017@mail.ru</t>
  </si>
  <si>
    <t>Малкова Мария Владимировна</t>
  </si>
  <si>
    <t>+79035754023; +7(903)561-15-20</t>
  </si>
  <si>
    <t>masha-malkova04@mail.ru</t>
  </si>
  <si>
    <t>Малышев Илья Александрович</t>
  </si>
  <si>
    <t>+7(903)141-58-67</t>
  </si>
  <si>
    <t>m1904509@edu.misis.ru</t>
  </si>
  <si>
    <t>Малышев Максим Константинович</t>
  </si>
  <si>
    <t>+7(977)459-80-70</t>
  </si>
  <si>
    <t>maximalyshev01@gmail.com</t>
  </si>
  <si>
    <t>Малышева Ольга Алексеевна</t>
  </si>
  <si>
    <t>Золотово д</t>
  </si>
  <si>
    <t>89253299450; +7(925)329-94-05</t>
  </si>
  <si>
    <t>lelya_pateha92@mail.ru</t>
  </si>
  <si>
    <t>Мальцев Денис Сергеевич</t>
  </si>
  <si>
    <t>+79157484850; +7(915)748-48-50</t>
  </si>
  <si>
    <t>denismalcev349@gmail.com</t>
  </si>
  <si>
    <t>Мальцева Дарья Сергеевна</t>
  </si>
  <si>
    <t>89168214855; +7(925)320-29-71</t>
  </si>
  <si>
    <t>free_artist92@mail.ru</t>
  </si>
  <si>
    <t>Малютин Александр Дмитриевич</t>
  </si>
  <si>
    <t>+79035788613; +7(906)026-35-95</t>
  </si>
  <si>
    <t>aleksejdatlov872@gmail.com</t>
  </si>
  <si>
    <t>Мамадалиев Бексултан Имамалиевич</t>
  </si>
  <si>
    <t>Баткен</t>
  </si>
  <si>
    <t>+7(926)438-31-10</t>
  </si>
  <si>
    <t>mam1dka@mail.ru</t>
  </si>
  <si>
    <t>Мамонтов Семен Александрович</t>
  </si>
  <si>
    <t>+7(923)519-90-01</t>
  </si>
  <si>
    <t>semenm644@gmail.com</t>
  </si>
  <si>
    <t>Манаенкова Владислава Александровна</t>
  </si>
  <si>
    <t>Рыльск г</t>
  </si>
  <si>
    <t>+7(977)356-59-11</t>
  </si>
  <si>
    <t>whirlsy.w@gmail.com</t>
  </si>
  <si>
    <t>Маненкова Анна Юрьевна</t>
  </si>
  <si>
    <t>+7(925)189-70-94</t>
  </si>
  <si>
    <t>m1908574@edu.misis.ru</t>
  </si>
  <si>
    <t>Манеров Лев Станиславович</t>
  </si>
  <si>
    <t>+7(916)210-86-61</t>
  </si>
  <si>
    <t>lev.manerov@gmail.com</t>
  </si>
  <si>
    <t>Манзов Андрей Андреевич</t>
  </si>
  <si>
    <t>(950)426-11-61; +7(950)403-24-11</t>
  </si>
  <si>
    <t>manzovandrey@gmail.com</t>
  </si>
  <si>
    <t>Маркова Мария Олеговна</t>
  </si>
  <si>
    <t>+7(968)991-23-42</t>
  </si>
  <si>
    <t>mariia_m01@mail.ru</t>
  </si>
  <si>
    <t>Марковский Кирилл Анатольевич</t>
  </si>
  <si>
    <t>+7(909)334-73-18</t>
  </si>
  <si>
    <t>markovskiyk@list.ru</t>
  </si>
  <si>
    <t>Мартиросян Завен Карапетович</t>
  </si>
  <si>
    <t>+7(985)177-37-11</t>
  </si>
  <si>
    <t>martirosian.z@mail.ru</t>
  </si>
  <si>
    <t>Мартынова Екатерина Андреевна</t>
  </si>
  <si>
    <t>89124653006; +7(912)452-15-34</t>
  </si>
  <si>
    <t>xjwydgcguff@gmail.com</t>
  </si>
  <si>
    <t>Мартьянова Анастасия Алексеевна</t>
  </si>
  <si>
    <t>+7(926)393-49-78; +7(926)393-49-78</t>
  </si>
  <si>
    <t>nastya.martyanova@mail.ru</t>
  </si>
  <si>
    <t>Марусев Егор Александрович</t>
  </si>
  <si>
    <t>+79172900217; +7(919)790-83-85</t>
  </si>
  <si>
    <t>egormarusev@gmail.com</t>
  </si>
  <si>
    <t>Марченко Арина Васильевна</t>
  </si>
  <si>
    <t>+7(977)5424767</t>
  </si>
  <si>
    <t>k-lotkova@list.ru</t>
  </si>
  <si>
    <t>Марченко Олег Михайлович</t>
  </si>
  <si>
    <t>+7(985)962-14-26</t>
  </si>
  <si>
    <t>oleg.marchenko.99@bk.ru</t>
  </si>
  <si>
    <t>Марченко Татьяна Антоновна</t>
  </si>
  <si>
    <t>Куминовское с</t>
  </si>
  <si>
    <t>+79923351808; +7(908)903-64-80; +79923351808</t>
  </si>
  <si>
    <t>tatimarch999@gmail.com</t>
  </si>
  <si>
    <t>Марченков Валерий Валентинович</t>
  </si>
  <si>
    <t>Новоивановское рп</t>
  </si>
  <si>
    <t>+7(926)454-61-06</t>
  </si>
  <si>
    <t>vmarchenkoff@gmail.com</t>
  </si>
  <si>
    <t>Маскаев Константин Валерьевич</t>
  </si>
  <si>
    <t>Малоярославец г</t>
  </si>
  <si>
    <t>+7(929)935-49-24</t>
  </si>
  <si>
    <t>maskai97@mail.ru</t>
  </si>
  <si>
    <t>Маслов Артём Константинович</t>
  </si>
  <si>
    <t>9161454307; (916)420-11-90; +7(916)420-11-90</t>
  </si>
  <si>
    <t>trishka1103@yandex.ru</t>
  </si>
  <si>
    <t>Маслова Екатерина Витальевна</t>
  </si>
  <si>
    <t>+7(993)829-85-98</t>
  </si>
  <si>
    <t>maslova_kate005@mail.ru</t>
  </si>
  <si>
    <t>Маслюк Николай Станиславович</t>
  </si>
  <si>
    <t>+7(977)343-69-82</t>
  </si>
  <si>
    <t>NICK.LEBEDEV05@GMAIL.COM</t>
  </si>
  <si>
    <t>Мастонов Парвиз Макбулшохевич</t>
  </si>
  <si>
    <t>+7(000)000-00-00; +992934149709</t>
  </si>
  <si>
    <t>mastonov02@mail.ru</t>
  </si>
  <si>
    <t>Матвеева Татьяна Михайловна</t>
  </si>
  <si>
    <t>Савинский рп</t>
  </si>
  <si>
    <t>+7(960)002-17-42</t>
  </si>
  <si>
    <t>taty.matveeva@mail.ru</t>
  </si>
  <si>
    <t>Матрос Николай Романович</t>
  </si>
  <si>
    <t>Тимашевск г</t>
  </si>
  <si>
    <t>+7(977)391-77-90</t>
  </si>
  <si>
    <t>kolyamatro@gmail.com</t>
  </si>
  <si>
    <t>Матяш Дмитрий Сергеевич</t>
  </si>
  <si>
    <t>9080132589; +7(908)013-25-89</t>
  </si>
  <si>
    <t>matyash-01@list.ru</t>
  </si>
  <si>
    <t>Маулавиева Алия Ильясовна</t>
  </si>
  <si>
    <t>+7(937)003-75-77</t>
  </si>
  <si>
    <t>maulaviyevaa@mail.ru</t>
  </si>
  <si>
    <t>Махатырова Диана Васильевна</t>
  </si>
  <si>
    <t>+7(914)235-66-24</t>
  </si>
  <si>
    <t>machatirovadiana2017@gmail.com</t>
  </si>
  <si>
    <t>Махаури Амина Эдуардовна</t>
  </si>
  <si>
    <t>+7(926)887-77-13</t>
  </si>
  <si>
    <t>mahauri.a@yandex.ru</t>
  </si>
  <si>
    <t>Махмадуллоев Кишварбек Зиёдуллоевич</t>
  </si>
  <si>
    <t>+992552220008; +7(925)245-36-55</t>
  </si>
  <si>
    <t>beradzh@list.ru</t>
  </si>
  <si>
    <t>Махова Анастасия Андреевна</t>
  </si>
  <si>
    <t>+7(915)011-79-55</t>
  </si>
  <si>
    <t>mahovanastya1@gmail.com</t>
  </si>
  <si>
    <t>Махова Валерия Владимировна</t>
  </si>
  <si>
    <t>+7(961)865-70-07</t>
  </si>
  <si>
    <t>valeria_makhova@mail.ru</t>
  </si>
  <si>
    <t>Мачкалян Тигран Норайрович</t>
  </si>
  <si>
    <t>Решетниково рп</t>
  </si>
  <si>
    <t>+7(916)333-00-21</t>
  </si>
  <si>
    <t>tigranmachkalyan@mail.ru</t>
  </si>
  <si>
    <t>Машарипов Саддам Зохирджонович</t>
  </si>
  <si>
    <t>Уренгой пгт</t>
  </si>
  <si>
    <t>(977)482-77-14; +7(977)482-77-14</t>
  </si>
  <si>
    <t>masharipov.saddam@mail.ru</t>
  </si>
  <si>
    <t>Машкина Полина Андреевна</t>
  </si>
  <si>
    <t>+7(923)181-15-58</t>
  </si>
  <si>
    <t>mashkinapolsha@gmail.com</t>
  </si>
  <si>
    <t>Машкова Екатерина Андреевна</t>
  </si>
  <si>
    <t>89172056686; +7(987)379-47-30</t>
  </si>
  <si>
    <t>ekaterina.mashkova.05@mail.ru</t>
  </si>
  <si>
    <t>Мвангомбе Эммануел Мвазо</t>
  </si>
  <si>
    <t>Таита</t>
  </si>
  <si>
    <t>+7(926)684-51-28</t>
  </si>
  <si>
    <t>emmanuelmwazo@gmail.com</t>
  </si>
  <si>
    <t>Мгбемена Ммесомачукву Чуквуемека</t>
  </si>
  <si>
    <t>+7(928)201-16-94</t>
  </si>
  <si>
    <t>mmesomamgbemena@yahoo.com</t>
  </si>
  <si>
    <t>Медникова Мария Станиславовна</t>
  </si>
  <si>
    <t>89270050002; +7(927)005-54-05</t>
  </si>
  <si>
    <t>marimaruuuuuu@yandex.ru</t>
  </si>
  <si>
    <t>Меламед Никита Дмитриевич</t>
  </si>
  <si>
    <t>89279082533; +7(927)908-25-33</t>
  </si>
  <si>
    <t>nikita.melamed@gmail.com</t>
  </si>
  <si>
    <t>Мелешко Олег Игоревич</t>
  </si>
  <si>
    <t>+7(903)276-44-05</t>
  </si>
  <si>
    <t>oleg.meleshko991@gmail.com</t>
  </si>
  <si>
    <t>Мельников Егор Алексеевич</t>
  </si>
  <si>
    <t>(953)277-32-49</t>
  </si>
  <si>
    <t>egormel02@gmail.com</t>
  </si>
  <si>
    <t>Мельников Кирилл Сергеевич</t>
  </si>
  <si>
    <t>+7(906)377-77-02</t>
  </si>
  <si>
    <t>Kirillmelnikov2005@mail.ru</t>
  </si>
  <si>
    <t>Мельников Савелий Андреевич</t>
  </si>
  <si>
    <t>+7(905)766-55-55</t>
  </si>
  <si>
    <t>bsaveliy501@gmail.com</t>
  </si>
  <si>
    <t>Мельникова Мария Федоровна</t>
  </si>
  <si>
    <t>Бронницы г</t>
  </si>
  <si>
    <t>(916)243-58-89</t>
  </si>
  <si>
    <t>melia8391@gmail.com</t>
  </si>
  <si>
    <t>Мельничников Юрий Константинович</t>
  </si>
  <si>
    <t>(922)065-00-07</t>
  </si>
  <si>
    <t>ymelnichnikov@mail.ru</t>
  </si>
  <si>
    <t>Ментешашвили Иракли</t>
  </si>
  <si>
    <t>+7(925)350-68-38</t>
  </si>
  <si>
    <t>iraklimenteshashvili2@gmail.com</t>
  </si>
  <si>
    <t>Меньков Марк Андреевич</t>
  </si>
  <si>
    <t>+7(929)664-17-27</t>
  </si>
  <si>
    <t>mark.menkov@gmail.com</t>
  </si>
  <si>
    <t>Меньщиков Артём Алексеевич</t>
  </si>
  <si>
    <t>+7(926)148-85-83; 89030220684</t>
  </si>
  <si>
    <t>shredder.047@gmail.com</t>
  </si>
  <si>
    <t>Мержоев Ростислав</t>
  </si>
  <si>
    <t>+7(901)738-18-59</t>
  </si>
  <si>
    <t>rostik.98.89@mail.ru</t>
  </si>
  <si>
    <t>Мерзликина Маргарита Павловна</t>
  </si>
  <si>
    <t>+7(917)578-08-15</t>
  </si>
  <si>
    <t>merzlikina2005@inbox.ru</t>
  </si>
  <si>
    <t>Мерзлинкин Иван Евгеньевич</t>
  </si>
  <si>
    <t>Новоалександровск г</t>
  </si>
  <si>
    <t>+7(905)446-83-50</t>
  </si>
  <si>
    <t>merzlinkin98ivan@gmail.com</t>
  </si>
  <si>
    <t>Мерк Анастасия Алексеевна</t>
  </si>
  <si>
    <t>+7(977)196-72-80</t>
  </si>
  <si>
    <t>alvin1999@yandex.ru</t>
  </si>
  <si>
    <t>Меркулов Максим Алексеевич</t>
  </si>
  <si>
    <t>+79057598578; +7(901)189-69-52</t>
  </si>
  <si>
    <t>foenershik@gmail.com</t>
  </si>
  <si>
    <t>Меркулов Марсель Аликович</t>
  </si>
  <si>
    <t>+79046777844; +7(987)210-58-76</t>
  </si>
  <si>
    <t>merkulovmardam@gmail.com</t>
  </si>
  <si>
    <t>Меркулов Трофим Денисович</t>
  </si>
  <si>
    <t>+7(909)926-00-89</t>
  </si>
  <si>
    <t>tmerkulov01@mail.ru</t>
  </si>
  <si>
    <t>Меркулова Полина Николаевна</t>
  </si>
  <si>
    <t>+7(952)022-08-80</t>
  </si>
  <si>
    <t>pmerkulova4@gmail.com</t>
  </si>
  <si>
    <t>Месфин Йосиф Геза</t>
  </si>
  <si>
    <t>Эритрея</t>
  </si>
  <si>
    <t>Асмер</t>
  </si>
  <si>
    <t>+7(991)298-12-81; +79912981281</t>
  </si>
  <si>
    <t>yosiefghezae2110@gmail.com</t>
  </si>
  <si>
    <t>Метелев Захар Олегович</t>
  </si>
  <si>
    <t>+7(904)101-86-37</t>
  </si>
  <si>
    <t>zakhar.metelev@mail.ru</t>
  </si>
  <si>
    <t>Мефедов Антоний Максимович</t>
  </si>
  <si>
    <t>(916)939-93-32</t>
  </si>
  <si>
    <t>antonmefedov@icloud.com</t>
  </si>
  <si>
    <t>Мехова Мария Сергеевна</t>
  </si>
  <si>
    <t>+79807430609; +7(980)743-06-09</t>
  </si>
  <si>
    <t>mehovamaria@yandex.ru</t>
  </si>
  <si>
    <t>Мещанова Валерия Дмитриевна</t>
  </si>
  <si>
    <t>+7(900)921-00-79</t>
  </si>
  <si>
    <t>meschanova.valera@yandex.ru</t>
  </si>
  <si>
    <t>к сестре Мещановой В.Д (4 курс)</t>
  </si>
  <si>
    <t>Мещерякова Марина Константиновна</t>
  </si>
  <si>
    <t>Ильино-Поляна с</t>
  </si>
  <si>
    <t>+7(937)499-18-28</t>
  </si>
  <si>
    <t>mesheryakova670@gmail.com</t>
  </si>
  <si>
    <t>Мигдисов Роман Александрович</t>
  </si>
  <si>
    <t>+7 903 540 41 76; (915)268-14-38; 84991213460</t>
  </si>
  <si>
    <t>roman.alekcmig@yandex.ru</t>
  </si>
  <si>
    <t>Микова Вероника Юрьевна</t>
  </si>
  <si>
    <t>Березники г</t>
  </si>
  <si>
    <t>+7(912)484-45-64</t>
  </si>
  <si>
    <t>veronikamikova@mail.ru</t>
  </si>
  <si>
    <t>Миколае Арион Михайлович</t>
  </si>
  <si>
    <t>+7(999)913-12-69</t>
  </si>
  <si>
    <t>arion.mikola@gmail.com</t>
  </si>
  <si>
    <t>Милехина Любовь Юрьевна</t>
  </si>
  <si>
    <t>(985)188-51-77</t>
  </si>
  <si>
    <t>milekhinalubov@mail.ru</t>
  </si>
  <si>
    <t>Милкин Максим Алексеевич</t>
  </si>
  <si>
    <t>89033898074; (917)652-25-45</t>
  </si>
  <si>
    <t>1123fgh@bk.ru</t>
  </si>
  <si>
    <t>Милов Арсентий Владимирович</t>
  </si>
  <si>
    <t>+7(962)090-00-07</t>
  </si>
  <si>
    <t>ars-milow@yandex.ru</t>
  </si>
  <si>
    <t>Миловзорова Арина Николаевна</t>
  </si>
  <si>
    <t>+7(903)797-86-68</t>
  </si>
  <si>
    <t>ARISHA.MIL102@GMAIL.COM</t>
  </si>
  <si>
    <t>Мильчаков Дмитрий Александрович</t>
  </si>
  <si>
    <t>89184769696; +7(989)829-95-55</t>
  </si>
  <si>
    <t>dmitrymilchakov@mail.ru</t>
  </si>
  <si>
    <t>Милютин Илья Алексеевич</t>
  </si>
  <si>
    <t>Боровичи г</t>
  </si>
  <si>
    <t>+7(921)736-55-29</t>
  </si>
  <si>
    <t>milyutin_ilya@bk.ru</t>
  </si>
  <si>
    <t>Минаев Никита Михайлович</t>
  </si>
  <si>
    <t>+7(915)222-76-83</t>
  </si>
  <si>
    <t>m1nai4@mail.ru</t>
  </si>
  <si>
    <t>Минаева Дарья Алексеевна</t>
  </si>
  <si>
    <t>+7(977)486-81-25</t>
  </si>
  <si>
    <t>minaeva.dashka00@mail.ru</t>
  </si>
  <si>
    <t>Миннигулов Амир Альбертович</t>
  </si>
  <si>
    <t>+7(937)338-37-37</t>
  </si>
  <si>
    <t>amir0302@mail.ru</t>
  </si>
  <si>
    <t>Мирзоев Идрис Тоджидинович</t>
  </si>
  <si>
    <t>Мирзоев Фирдавс Рахмиддинович</t>
  </si>
  <si>
    <t>Душанбе обл</t>
  </si>
  <si>
    <t>+7(985)004-26-06; +992935442080</t>
  </si>
  <si>
    <t>m1rz03v@bk.ru</t>
  </si>
  <si>
    <t>Мирзоева Тахмина Сухробовна</t>
  </si>
  <si>
    <t>+992905051301; +7(925)245-36-55</t>
  </si>
  <si>
    <t>f.shavkat@inbox.ru</t>
  </si>
  <si>
    <t>Миронов Артём Эдуардович</t>
  </si>
  <si>
    <t>89872999102; +7(919)690-46-35</t>
  </si>
  <si>
    <t>armironovtem05@gmail.com</t>
  </si>
  <si>
    <t>Миронов Егор Андреевич</t>
  </si>
  <si>
    <t>+7(962)500-10-73</t>
  </si>
  <si>
    <t>Voult-VLN@yandex.ru</t>
  </si>
  <si>
    <t>Миронов Иван Алексеевич</t>
  </si>
  <si>
    <t>+7(968)400-84-33</t>
  </si>
  <si>
    <t>mironovivan170405@gmail.com</t>
  </si>
  <si>
    <t>Миронов Иван Игоревич</t>
  </si>
  <si>
    <t>+7(926)656-79-10</t>
  </si>
  <si>
    <t>yungdezza8989@gmail.com</t>
  </si>
  <si>
    <t>Миронов Никита Игоревич</t>
  </si>
  <si>
    <t>89104535808; +7(909)160-73-68</t>
  </si>
  <si>
    <t>mironov.miron01@yandex.ru</t>
  </si>
  <si>
    <t>Миронова Алина Денисовна</t>
  </si>
  <si>
    <t>(915)306-01-14; +7(891)620-52-54</t>
  </si>
  <si>
    <t>mironovalina1808@gmail.com</t>
  </si>
  <si>
    <t>Миронова Диана Романовна</t>
  </si>
  <si>
    <t>Карповка с</t>
  </si>
  <si>
    <t>+7(996)024-99-42</t>
  </si>
  <si>
    <t>mironovadiana@gmail.com</t>
  </si>
  <si>
    <t>Мирошкина Анна Павловна</t>
  </si>
  <si>
    <t>+7(980)729-41-70</t>
  </si>
  <si>
    <t>miroshkina.anna2005@gmail.com</t>
  </si>
  <si>
    <t>Мисинева Елизавета Владимировна</t>
  </si>
  <si>
    <t>ВНИИССОК п</t>
  </si>
  <si>
    <t>+7(916)342-10-15</t>
  </si>
  <si>
    <t>elizavetamisineva@yandex.ru</t>
  </si>
  <si>
    <t>Миссанда Нгурума Доминик Анри</t>
  </si>
  <si>
    <t>+7(985)204-63-25</t>
  </si>
  <si>
    <t>hashanriyng@gmail.com</t>
  </si>
  <si>
    <t>Мисюк Артём Владимирович</t>
  </si>
  <si>
    <t>+7(961)683-44-88</t>
  </si>
  <si>
    <t>misuk2910@gmail.com</t>
  </si>
  <si>
    <t>Мисютин Вячеслав Алексеевич</t>
  </si>
  <si>
    <t>+7(962)097-82-80</t>
  </si>
  <si>
    <t>clavka40rus1@mail.ru</t>
  </si>
  <si>
    <t>Митлигина Софья Павловна</t>
  </si>
  <si>
    <t>+7(915)764-23-03</t>
  </si>
  <si>
    <t>sofiamitligina@mail.ru</t>
  </si>
  <si>
    <t>Митриченко Даниил Дмитриевич</t>
  </si>
  <si>
    <t>+7(999)495-65-42</t>
  </si>
  <si>
    <t>daniil.mitrichenko.01@mail.ru</t>
  </si>
  <si>
    <t>Митрофанов Никита Алексеевич</t>
  </si>
  <si>
    <t>+7(916)295-12-54</t>
  </si>
  <si>
    <t>poduchebu0@gmail.com</t>
  </si>
  <si>
    <t>Митькин Роман Виталиевич</t>
  </si>
  <si>
    <t>+79173785333; +7(917)448-78-97</t>
  </si>
  <si>
    <t>romn.mit@gmail.com</t>
  </si>
  <si>
    <t>Митьков Григорий Алексеевич</t>
  </si>
  <si>
    <t>+79875546970; +7(987)554-69-70</t>
  </si>
  <si>
    <t>fse.few@yandex.com</t>
  </si>
  <si>
    <t>Митяев Павел Станиславович</t>
  </si>
  <si>
    <t>+7(977)858-61-54</t>
  </si>
  <si>
    <t>pasha.mityev@yandex.ru</t>
  </si>
  <si>
    <t>Михайлов Александр Евгеньевич</t>
  </si>
  <si>
    <t>+79161505187; +7(916)972-26-79</t>
  </si>
  <si>
    <t>alexander_mikhaylov05@mail.ru</t>
  </si>
  <si>
    <t>Михайлов Андрей Вячеславович</t>
  </si>
  <si>
    <t>(985)977-74-14</t>
  </si>
  <si>
    <t>orex0214@mail.ru</t>
  </si>
  <si>
    <t>Михайлов Андрей Олегович</t>
  </si>
  <si>
    <t>+7(985)876-75-99</t>
  </si>
  <si>
    <t>andrewmikhaylov@mail.ru</t>
  </si>
  <si>
    <t>Михайлов Максим Александрович</t>
  </si>
  <si>
    <t>8072533; 8072533; +7(926)411-41-08; +79264114108</t>
  </si>
  <si>
    <t>mx.mikhaylov@gmail.com</t>
  </si>
  <si>
    <t>Михайлова Анастасия Владимировна</t>
  </si>
  <si>
    <t>+7(919)657-29-15</t>
  </si>
  <si>
    <t>annastasiaro@mail.ru</t>
  </si>
  <si>
    <t>Михайлова Софья Алексеевна</t>
  </si>
  <si>
    <t>+7(908)170-60-35</t>
  </si>
  <si>
    <t>sofimixii@icloud.com</t>
  </si>
  <si>
    <t>Михеев Алексей Евгеньевич</t>
  </si>
  <si>
    <t>+7(915)386-86-00</t>
  </si>
  <si>
    <t>foxalex556@gmail.com</t>
  </si>
  <si>
    <t>Михеев Владислав Алексеевич</t>
  </si>
  <si>
    <t>+7(967)114-58-80</t>
  </si>
  <si>
    <t>vlad4237216@yandex.ru</t>
  </si>
  <si>
    <t>Мичков Евгений Владимирович</t>
  </si>
  <si>
    <t>89039605296; +7(964)772-28-37</t>
  </si>
  <si>
    <t>michkov.evgeny@gmail.com</t>
  </si>
  <si>
    <t>Мишин Сергей Николаевич</t>
  </si>
  <si>
    <t>+971504588597; +7(927)540-45-25</t>
  </si>
  <si>
    <t>Selia07@mail.ru</t>
  </si>
  <si>
    <t>Мозиков Михаил Борисович</t>
  </si>
  <si>
    <t>+7(919)240-96-09</t>
  </si>
  <si>
    <t>mb.mozikov@gmail.com</t>
  </si>
  <si>
    <t>Моисеев Денис Андреевич</t>
  </si>
  <si>
    <t>Хамзаобод КФЙ</t>
  </si>
  <si>
    <t>+998909949130; +7(777)777-77-77</t>
  </si>
  <si>
    <t>moiseevden20@gmail.com</t>
  </si>
  <si>
    <t>Моисеева Анастасия Андреевна</t>
  </si>
  <si>
    <t>+7(917)243-18-76</t>
  </si>
  <si>
    <t>nastya.moiseeva2004@gmail.com</t>
  </si>
  <si>
    <t>Моклакова Кристина Сергеевна</t>
  </si>
  <si>
    <t>+7(953)710-62-16; +79537106216</t>
  </si>
  <si>
    <t>Мокренко Дарья Юрьевна</t>
  </si>
  <si>
    <t>+7(985)072-73-06</t>
  </si>
  <si>
    <t>daria.mokrenko@yandex.ru</t>
  </si>
  <si>
    <t>Мокроусова Анна Евгеньевна</t>
  </si>
  <si>
    <t>9128774819; (912)871-34-56</t>
  </si>
  <si>
    <t>mokrousovaanna.ru@mail.ru</t>
  </si>
  <si>
    <t>Моксохоева Валерия Викторовна</t>
  </si>
  <si>
    <t>+79245543610; +7(924)456-61-10</t>
  </si>
  <si>
    <t>mokslera@gmail.com</t>
  </si>
  <si>
    <t>Молоков Антон Дмитриевич</t>
  </si>
  <si>
    <t>+7(964)250-12-33</t>
  </si>
  <si>
    <t>antonmolokov7@gmail.com</t>
  </si>
  <si>
    <t>Молокова Татьяна Михайловна</t>
  </si>
  <si>
    <t>+7(926)762-51-06</t>
  </si>
  <si>
    <t>2005milk@mail.ru</t>
  </si>
  <si>
    <t>Молчанов Дмитрий Сергеевич</t>
  </si>
  <si>
    <t>+7(950)715-93-81; (951)150-04-39</t>
  </si>
  <si>
    <t>MolchanDS@yandex.ru</t>
  </si>
  <si>
    <t>Молчанов Иван Алексеевич</t>
  </si>
  <si>
    <t>+79651739456; +7(966)013-61-55; +79660136155</t>
  </si>
  <si>
    <t>molchanov_ivann@mail.ru</t>
  </si>
  <si>
    <t>Молчанова Юлия Дмитриевна</t>
  </si>
  <si>
    <t>+7(910)388-04-28</t>
  </si>
  <si>
    <t>skoro.leto01@mail.ru</t>
  </si>
  <si>
    <t>Моматюк Александр Александрович</t>
  </si>
  <si>
    <t xml:space="preserve">Управление бизнесом в цифровой экономике </t>
  </si>
  <si>
    <t>+7(985)270-81-84</t>
  </si>
  <si>
    <t>sanya.momatyuk@yandex.ru</t>
  </si>
  <si>
    <t>Монастырская Александра Олеговна</t>
  </si>
  <si>
    <t>89265268360; +7(929)590-88-27</t>
  </si>
  <si>
    <t>mona2107@yandex.ru</t>
  </si>
  <si>
    <t>Моргунов Глеб Александрович</t>
  </si>
  <si>
    <t>+7(000)000-00-00; +375447939267</t>
  </si>
  <si>
    <t>mgleb0541@yandex.ru</t>
  </si>
  <si>
    <t>Морин Алексей Романович</t>
  </si>
  <si>
    <t>+79775316264; +7(903)797-81-16; +79037978116</t>
  </si>
  <si>
    <t>jihiroh@mail.ru</t>
  </si>
  <si>
    <t>Морозов Александр Андреевич</t>
  </si>
  <si>
    <t>+7(912)026-42-29</t>
  </si>
  <si>
    <t>morozovalexandr1990@mail.ru</t>
  </si>
  <si>
    <t>приезд 7-8 сентября</t>
  </si>
  <si>
    <t>Морозов Алексей Викторович</t>
  </si>
  <si>
    <t>+7(930)938-51-92</t>
  </si>
  <si>
    <t>aleks10aleks11@yandex.ru</t>
  </si>
  <si>
    <t>Морозов Алексей Юрьевич</t>
  </si>
  <si>
    <t>+79261044405; +7(926)614-85-80</t>
  </si>
  <si>
    <t>m0r02of@yandex.ru</t>
  </si>
  <si>
    <t>Морозова Татьяна Андреевна</t>
  </si>
  <si>
    <t>+7(963)770-58-54</t>
  </si>
  <si>
    <t>anta36mail.ru@yandex.ru</t>
  </si>
  <si>
    <t>Москаленко Полина Сергеевна</t>
  </si>
  <si>
    <t>+7(964)708-69-29</t>
  </si>
  <si>
    <t>p_moskalenko@bk.ru</t>
  </si>
  <si>
    <t>Москвин Владимир Александрович</t>
  </si>
  <si>
    <t>+79398683139; +7(952)442-67-10</t>
  </si>
  <si>
    <t>virtuozm10@gmail.com</t>
  </si>
  <si>
    <t>Московцев Дмитрий Андреевич</t>
  </si>
  <si>
    <t>+7(977)889-57-17</t>
  </si>
  <si>
    <t>moskovtzevd@yandex.ru</t>
  </si>
  <si>
    <t>Моськин Артем Вячеславович</t>
  </si>
  <si>
    <t>Всеволожск г</t>
  </si>
  <si>
    <t>+7(977)890-41-38</t>
  </si>
  <si>
    <t>moskin.tema@yandex.ru</t>
  </si>
  <si>
    <t>Мохаммед Мохаммед Ахмед Салех</t>
  </si>
  <si>
    <t>+7(926)273-35-19</t>
  </si>
  <si>
    <t>aixagaim@mail.ru</t>
  </si>
  <si>
    <t>Мочалов Артём Владимирович</t>
  </si>
  <si>
    <t>+7(904)469-11-92</t>
  </si>
  <si>
    <t>artem_mochalov_2006@mail.ru</t>
  </si>
  <si>
    <t>Мошков Владислав Алексеевич</t>
  </si>
  <si>
    <t>Кашира г</t>
  </si>
  <si>
    <t>89164479280; +7(916)915-13-39</t>
  </si>
  <si>
    <t>v.a.moshkov123@gmail.com</t>
  </si>
  <si>
    <t>Мошков Дмитрий Сергеевич</t>
  </si>
  <si>
    <t>Юрьев-Польский г</t>
  </si>
  <si>
    <t>+7(904)250-99-44</t>
  </si>
  <si>
    <t>dimas918256@bk.ru</t>
  </si>
  <si>
    <t>Мудаев Шамхан Сайдахметович</t>
  </si>
  <si>
    <t>Грозный г</t>
  </si>
  <si>
    <t>+7(960)658-13-13</t>
  </si>
  <si>
    <t>shamkhdubaev666@mail.ru</t>
  </si>
  <si>
    <t>Музаффаров Рухшед Темурович</t>
  </si>
  <si>
    <t>Пенджикент, джамоат дехот (сельсовет) Косатарош,поселок Сугдиён</t>
  </si>
  <si>
    <t>Мукабенов Артём Александрович</t>
  </si>
  <si>
    <t>+79203961560; +7(963)978-33-87</t>
  </si>
  <si>
    <t>m2000140@edu.misis.ru</t>
  </si>
  <si>
    <t>Мукашева Айпери Токойбековна</t>
  </si>
  <si>
    <t>+7(985)474-50-12; +79854745012</t>
  </si>
  <si>
    <t>ayperi.mukasheva@mail.ru</t>
  </si>
  <si>
    <t>Муленга Таонга</t>
  </si>
  <si>
    <t>Замбия</t>
  </si>
  <si>
    <t>Чилилабомбве</t>
  </si>
  <si>
    <t>taongamulenga8@gmail.com</t>
  </si>
  <si>
    <t>Муллоджонов Муин Умеджонович</t>
  </si>
  <si>
    <t>+992988225516; +7(925)245-36-66</t>
  </si>
  <si>
    <t>rakhmatova_02@bk.ru</t>
  </si>
  <si>
    <t>Мулык Дарья Николаевна</t>
  </si>
  <si>
    <t>Юмагузино с</t>
  </si>
  <si>
    <t>9279343065; (937)475-18-55</t>
  </si>
  <si>
    <t>dargya-mulyk-2013@mail.ru</t>
  </si>
  <si>
    <t>Мулюков Арслан Ренатович</t>
  </si>
  <si>
    <t>+7(903)298-14-54</t>
  </si>
  <si>
    <t>Frizen421@gmail.com</t>
  </si>
  <si>
    <t>Муминова Одина Абдужалиловна</t>
  </si>
  <si>
    <t>г Алмалык</t>
  </si>
  <si>
    <t>+7(965)798-50-57; +7(998)436-26-74</t>
  </si>
  <si>
    <t>odina.muminova.96@mail.ru</t>
  </si>
  <si>
    <t>Мундунди Коррейя Паулу</t>
  </si>
  <si>
    <t>+7(999)831-16-89</t>
  </si>
  <si>
    <t>correiapaulomundundi20@gmail.com</t>
  </si>
  <si>
    <t>Мунзаферова Наиля Эльдаровна</t>
  </si>
  <si>
    <t>+7(920)276-74-33</t>
  </si>
  <si>
    <t>nelya.munzaferova@list.ru</t>
  </si>
  <si>
    <t>Муравьев Данила Игоревич</t>
  </si>
  <si>
    <t>84992676263; +7(915)326-15-51</t>
  </si>
  <si>
    <t>mixidfinder@gmail.com</t>
  </si>
  <si>
    <t>Муромцев Александр Александрович</t>
  </si>
  <si>
    <t>89091630360; +7(903)173-74-59</t>
  </si>
  <si>
    <t>mur-agent@yandex.ru</t>
  </si>
  <si>
    <t>Муртузаева Алана Зейналовна</t>
  </si>
  <si>
    <t>+7(929)578-49-77</t>
  </si>
  <si>
    <t>ala.murtuzaeva@mail.ru</t>
  </si>
  <si>
    <t>Муршудова Виктория Умудовна</t>
  </si>
  <si>
    <t>+7(977)310-26-05</t>
  </si>
  <si>
    <t>viktoriamurshudova@gmail.com</t>
  </si>
  <si>
    <t>Мусифулин Даниль Рашидович</t>
  </si>
  <si>
    <t>+7(914)878-76-88</t>
  </si>
  <si>
    <t>milliarderdana@yandex.ru</t>
  </si>
  <si>
    <t>Мустафа Ахсан</t>
  </si>
  <si>
    <t>Мустафин Александр Наилевич</t>
  </si>
  <si>
    <t>+7(926)218-69-80</t>
  </si>
  <si>
    <t>mustafin.alexander64@gmail.com</t>
  </si>
  <si>
    <t>Мустафина Арина Тимуровна</t>
  </si>
  <si>
    <t>+7(928)456-99-79</t>
  </si>
  <si>
    <t>arina.mt.05@gmail.com</t>
  </si>
  <si>
    <t>вместе с Бабушкиной С.А. (просьба Евсюковой И.А.)</t>
  </si>
  <si>
    <t>Мустафокулов Бахриддин Бахтиёрович</t>
  </si>
  <si>
    <t>Города и районов центрального подчинения</t>
  </si>
  <si>
    <t>+79001410805; +7(989)049-41-56</t>
  </si>
  <si>
    <t>906366344baha@gmail.com</t>
  </si>
  <si>
    <t>Мутхана Али Салем Али</t>
  </si>
  <si>
    <t>+7(919)812-17-51; +79198121751</t>
  </si>
  <si>
    <t>muthanna90@mail.ru</t>
  </si>
  <si>
    <t>Мухаммадиев Муминжон Мансуржонович</t>
  </si>
  <si>
    <t>+7(000)000-00-00; +992919183085</t>
  </si>
  <si>
    <t>mumin2005@inbox.ru</t>
  </si>
  <si>
    <t>Муханов Данила Андреевич</t>
  </si>
  <si>
    <t>+7(968)780-19-07</t>
  </si>
  <si>
    <t>danilamukhanov480@gmail.com</t>
  </si>
  <si>
    <t>Мухлынин Александр Александрович</t>
  </si>
  <si>
    <t>+7(985)217-45-52</t>
  </si>
  <si>
    <t>lexx737@ya.ru</t>
  </si>
  <si>
    <t>Мухтаров Тимур Сергеевич</t>
  </si>
  <si>
    <t>+7(900)249-38-88</t>
  </si>
  <si>
    <t>timur_muha2004@mail.ru</t>
  </si>
  <si>
    <t>Мучуков Александр Сергеевич</t>
  </si>
  <si>
    <t>+7(903)106-04-33</t>
  </si>
  <si>
    <t>shura.muchukov@mail.ru</t>
  </si>
  <si>
    <t>Мфуму Андре Гонда Муана</t>
  </si>
  <si>
    <t>+7(901)408-70-91</t>
  </si>
  <si>
    <t>andregonda3@gmail.com</t>
  </si>
  <si>
    <t>Мышкин Аристарх Михайлович</t>
  </si>
  <si>
    <t>+7(950)8204818</t>
  </si>
  <si>
    <t>4star2006@mail.ru</t>
  </si>
  <si>
    <t>Мякишев Андрей Алексеевич</t>
  </si>
  <si>
    <t>Минусинск г</t>
  </si>
  <si>
    <t>+79080244229; +7(965)894-05-63</t>
  </si>
  <si>
    <t>andreykek01@gmail.com</t>
  </si>
  <si>
    <t>Надеев Александр Александрович</t>
  </si>
  <si>
    <t>+7(985)092-21-01</t>
  </si>
  <si>
    <t>sashanadey@gmail.com</t>
  </si>
  <si>
    <t>Надим Фахад</t>
  </si>
  <si>
    <t>Надкин Матвей Игоревич</t>
  </si>
  <si>
    <t>Коломна</t>
  </si>
  <si>
    <t>89263812597; +7(925)240-57-07</t>
  </si>
  <si>
    <t>nadkindino26@mail.ru</t>
  </si>
  <si>
    <t>Назаренко Юрий Константинович</t>
  </si>
  <si>
    <t>8(916)990-76-36; +7(977)449-04-20</t>
  </si>
  <si>
    <t>nazarenkodacha@gmail.com</t>
  </si>
  <si>
    <t>Назаров Анатолий</t>
  </si>
  <si>
    <t>+7(925)496-28-20; +7(925)934-77-21</t>
  </si>
  <si>
    <t>cerber0220@gmail.com</t>
  </si>
  <si>
    <t>Назарова Ангелина Олеговна</t>
  </si>
  <si>
    <t>+7(962)520-52-02</t>
  </si>
  <si>
    <t>animedia.angel@gmail.com</t>
  </si>
  <si>
    <t>Напаскин Максим Васильевич</t>
  </si>
  <si>
    <t>+7(921)541-76-33</t>
  </si>
  <si>
    <t>bisvelgg@GMAIL.COM</t>
  </si>
  <si>
    <t>Наранбаатар Тунармаа</t>
  </si>
  <si>
    <t>Монголия</t>
  </si>
  <si>
    <t>1-Эрдэнэт</t>
  </si>
  <si>
    <t>tunarmaa9936@gmail.com</t>
  </si>
  <si>
    <t>Наседкина Полина Сергеевна</t>
  </si>
  <si>
    <t>+7(915)597-86-93</t>
  </si>
  <si>
    <t>nasedkina.polina.83@gmail.com</t>
  </si>
  <si>
    <t>Наумкин Даниил Юрьевич</t>
  </si>
  <si>
    <t>+7(999)240-00-23</t>
  </si>
  <si>
    <t>naumk1ndan@yandex.ru</t>
  </si>
  <si>
    <t>Наумов Родион Яковлевич</t>
  </si>
  <si>
    <t>Каменск-Уральский г</t>
  </si>
  <si>
    <t>+7(982)191-58-38</t>
  </si>
  <si>
    <t>marly_matt@mail.ru</t>
  </si>
  <si>
    <t>Начевнов Максим Викторович</t>
  </si>
  <si>
    <t>+7(985)501-07-15</t>
  </si>
  <si>
    <t>maksim-nachevnov@mail.ru</t>
  </si>
  <si>
    <t>Нго Хю Кыонг</t>
  </si>
  <si>
    <t>Дьен бьен</t>
  </si>
  <si>
    <t>ngocuong306@gmail.com</t>
  </si>
  <si>
    <t>Нгуен Ву Май Куен</t>
  </si>
  <si>
    <t>+7(999)616-28-43</t>
  </si>
  <si>
    <t>maiquyentranphu@gmail.com</t>
  </si>
  <si>
    <t>Нгуен Дык Ву</t>
  </si>
  <si>
    <t>г.Ха Ной</t>
  </si>
  <si>
    <t>+7(909)902-21-78</t>
  </si>
  <si>
    <t>m2213266@edu.misis.ru</t>
  </si>
  <si>
    <t>Нгуен Куи Хунг</t>
  </si>
  <si>
    <t>Бакнинь г.</t>
  </si>
  <si>
    <t>+7(906)060-25-54</t>
  </si>
  <si>
    <t>hunghungpc2003@gmail.com</t>
  </si>
  <si>
    <t>Ндлела Элтон Сифисо</t>
  </si>
  <si>
    <t>Квекве</t>
  </si>
  <si>
    <t>+7(966)118-85-94</t>
  </si>
  <si>
    <t>eltonndhlela@gmail.com</t>
  </si>
  <si>
    <t>Невоструев Владимир Олегович</t>
  </si>
  <si>
    <t>+7(904)247-92-50</t>
  </si>
  <si>
    <t>mybox_vlad@mail.ru</t>
  </si>
  <si>
    <t>Невретдинов Вадим Константинович</t>
  </si>
  <si>
    <t>+7(915)499-79-86</t>
  </si>
  <si>
    <t>ggg.brizs@mail.ru</t>
  </si>
  <si>
    <t>Негрин Алексей Александрович</t>
  </si>
  <si>
    <t>89152424610; +7(916)529-59-87</t>
  </si>
  <si>
    <t>alekseynegrin@gmail.com</t>
  </si>
  <si>
    <t>Недосекин Илья Петрович</t>
  </si>
  <si>
    <t>Острогожск г</t>
  </si>
  <si>
    <t>+7(961)185-87-03</t>
  </si>
  <si>
    <t>iwasizv@gmail.com</t>
  </si>
  <si>
    <t>Нежельская Дарья Андреевна</t>
  </si>
  <si>
    <t>Озерск г</t>
  </si>
  <si>
    <t>+7(909)311-48-86</t>
  </si>
  <si>
    <t>nezhelskayadarya@yandex.ru</t>
  </si>
  <si>
    <t>Незнанова Екатерина Андреевна</t>
  </si>
  <si>
    <t>+79164452750; +7(915)076-91-01</t>
  </si>
  <si>
    <t>nezkate@yandex.ru</t>
  </si>
  <si>
    <t>Некрасов Андрей Владимирович</t>
  </si>
  <si>
    <t>+79050702847; +7(933)300-10-64</t>
  </si>
  <si>
    <t>a.nekrasov81@mail.ru</t>
  </si>
  <si>
    <t>Некраш Артём Сергеевич</t>
  </si>
  <si>
    <t>+7(925)303-50-41</t>
  </si>
  <si>
    <t>nekrash05@inbox.ru</t>
  </si>
  <si>
    <t>Нелина Дарья Владимировна</t>
  </si>
  <si>
    <t>Армавир г</t>
  </si>
  <si>
    <t>+7(977)648-98-16</t>
  </si>
  <si>
    <t>darya_nelina@mail.ru</t>
  </si>
  <si>
    <t>Немаев Валентин Сергеевич</t>
  </si>
  <si>
    <t>+7(967)447-54-50</t>
  </si>
  <si>
    <t>vnemaevv@mail.ru</t>
  </si>
  <si>
    <t>Немцов Алексей Юрьевич</t>
  </si>
  <si>
    <t>(910)988-77-67</t>
  </si>
  <si>
    <t>nemotsov@mail.ru</t>
  </si>
  <si>
    <t>Немчинов Иван Олегович</t>
  </si>
  <si>
    <t>+7(965)868-86-99</t>
  </si>
  <si>
    <t>andes7s@outlook.com</t>
  </si>
  <si>
    <t>Нерозина Ирина Дмитриевна</t>
  </si>
  <si>
    <t>(980)513-16-39; +7(910)867-09-18</t>
  </si>
  <si>
    <t>ira_nerozina678@mail.ru</t>
  </si>
  <si>
    <t>Нестеренко Григорий Сергеевич</t>
  </si>
  <si>
    <t>+7(909)387-07-15</t>
  </si>
  <si>
    <t>grig.nesterenko@yandex.ru</t>
  </si>
  <si>
    <t>Нестеров Глеб Борисович</t>
  </si>
  <si>
    <t>+7(977)484-72-42</t>
  </si>
  <si>
    <t>powerboy1502@gmail.com</t>
  </si>
  <si>
    <t>Нестеров Никита Михайлович</t>
  </si>
  <si>
    <t>89603272059; +7(993)376-08-26</t>
  </si>
  <si>
    <t>nikita26.08.98nesterov@gmail.com</t>
  </si>
  <si>
    <t>Нестюркин Михаил Сергеевич</t>
  </si>
  <si>
    <t>89207388222; +7(910)314-23-44; +79103142344</t>
  </si>
  <si>
    <t>mnestyurkin@mail.ru</t>
  </si>
  <si>
    <t>Нефедова Евгения Викторовна</t>
  </si>
  <si>
    <t>Новошахтинск г</t>
  </si>
  <si>
    <t>+7(928)756-74-11</t>
  </si>
  <si>
    <t>nefedova_evgeniy0801@mail.ru</t>
  </si>
  <si>
    <t>Нефедова Екатерина Игоревна</t>
  </si>
  <si>
    <t>(960)577-66-88</t>
  </si>
  <si>
    <t>katenefedd@mail.ru</t>
  </si>
  <si>
    <t>Нефодина Анна Александровна</t>
  </si>
  <si>
    <t>+7(903)177-35-36</t>
  </si>
  <si>
    <t>nefodina@mail.ru</t>
  </si>
  <si>
    <t>Нехорошкова Александра Сергеевна</t>
  </si>
  <si>
    <t>89689009050; +7(968)900-90-40</t>
  </si>
  <si>
    <t>aleksa.yakupova@mail.ru</t>
  </si>
  <si>
    <t>Нечаев Константин Сергеевич</t>
  </si>
  <si>
    <t>(920)275-70-57</t>
  </si>
  <si>
    <t>kosta.neshaeb@mail.ru</t>
  </si>
  <si>
    <t>Нижегородцева Алина</t>
  </si>
  <si>
    <t>г. Сатпаев</t>
  </si>
  <si>
    <t>+7(707)480-69-09</t>
  </si>
  <si>
    <t>alina.n650634@gmail.com</t>
  </si>
  <si>
    <t>Никандрова Ксения Дмитриевна</t>
  </si>
  <si>
    <t>+7(961)386-93-24</t>
  </si>
  <si>
    <t>ksyusha.niiik@mail.ru</t>
  </si>
  <si>
    <t>Никитенко Егор Витальевич</t>
  </si>
  <si>
    <t>+7(920)725-13-01</t>
  </si>
  <si>
    <t>Svunnte14@yandex.ru</t>
  </si>
  <si>
    <t>Никитенко Никита Игоревич</t>
  </si>
  <si>
    <t>(910)866-40-84</t>
  </si>
  <si>
    <t>nik.nikitenko.268@gmail.com</t>
  </si>
  <si>
    <t>Никитин Антон Владимирович</t>
  </si>
  <si>
    <t>Северодвинск г</t>
  </si>
  <si>
    <t>+7(931)400-62-03</t>
  </si>
  <si>
    <t>krevedko@outlook.com</t>
  </si>
  <si>
    <t>Никитин Глеб Антонович</t>
  </si>
  <si>
    <t>+7(902)569-23-56</t>
  </si>
  <si>
    <t>ggleb4ik245@gmail.com</t>
  </si>
  <si>
    <t>Никитин Даниэль Павлович</t>
  </si>
  <si>
    <t>Троицкое д</t>
  </si>
  <si>
    <t>+7(999)917-33-20</t>
  </si>
  <si>
    <t>dn350097@gmail.com</t>
  </si>
  <si>
    <t>Никитина Варвара Артемовна</t>
  </si>
  <si>
    <t>+7(985)308-09-21</t>
  </si>
  <si>
    <t>varenok87@gmail.com</t>
  </si>
  <si>
    <t>Никитина София Михайловна</t>
  </si>
  <si>
    <t>+7(915)123-28-28</t>
  </si>
  <si>
    <t>sovsof@ya.ru</t>
  </si>
  <si>
    <t>Николаев Егор Андреевич</t>
  </si>
  <si>
    <t>+79225498390; +7(922)861-54-12; +79228615412</t>
  </si>
  <si>
    <t>egornikol56@yandex.ru</t>
  </si>
  <si>
    <t>Николаева Полина Андреевна</t>
  </si>
  <si>
    <t>+7(916)664-39-97</t>
  </si>
  <si>
    <t>pollynik2005@mail.ru</t>
  </si>
  <si>
    <t>Николенко Полина Игоревна</t>
  </si>
  <si>
    <t>89377206983; +7(925)053-20-01</t>
  </si>
  <si>
    <t>polina.nikolenko.2000@mail.ru</t>
  </si>
  <si>
    <t>Никонова Диана Игоревна</t>
  </si>
  <si>
    <t>9991743725; (999)174-86-35</t>
  </si>
  <si>
    <t>nik.zta373@mail.ru</t>
  </si>
  <si>
    <t>Никонова Светлана Евгеньевна</t>
  </si>
  <si>
    <t>+7(000)000-00-00; +375336656169</t>
  </si>
  <si>
    <t>svetlananikonova2004m@mail.ru</t>
  </si>
  <si>
    <t>Никоноров Андрей Романович</t>
  </si>
  <si>
    <t>+79262571362; +7(985)689-29-86</t>
  </si>
  <si>
    <t>and159753000000000000000000@gmail.com</t>
  </si>
  <si>
    <t>Никулин Дмитрий Александрович</t>
  </si>
  <si>
    <t>+7(901)757-97-36</t>
  </si>
  <si>
    <t>s3nkowork@gmail.com</t>
  </si>
  <si>
    <t>Никулина Анастасия Андреевна</t>
  </si>
  <si>
    <t>Межгорье г</t>
  </si>
  <si>
    <t>(961)362-73-73</t>
  </si>
  <si>
    <t>annikulina01@yandex.ru</t>
  </si>
  <si>
    <t>Новиков Антон Александрович</t>
  </si>
  <si>
    <t>+7(963)609-10-37</t>
  </si>
  <si>
    <t>novikov951@gmail.com</t>
  </si>
  <si>
    <t>Новиков Евгений Дмитриевич</t>
  </si>
  <si>
    <t>+7(000)000-00-00; +998935430919</t>
  </si>
  <si>
    <t>n.jenya2005@yandex.ru</t>
  </si>
  <si>
    <t>Новиков Трофим Алексеевич</t>
  </si>
  <si>
    <t>+7(985)030-44-70</t>
  </si>
  <si>
    <t>vikentijnovikov@gmail.com</t>
  </si>
  <si>
    <t>Новикова Мария Сергеевна</t>
  </si>
  <si>
    <t>+7(919)281-81-18</t>
  </si>
  <si>
    <t>dnsdns17052018@gmail.com</t>
  </si>
  <si>
    <t>Новикова Ульяна Александровна</t>
  </si>
  <si>
    <t>Леонидовка ж/д_ст</t>
  </si>
  <si>
    <t>+7(937)439-48-21</t>
  </si>
  <si>
    <t>ulyana.novikova05@mail.ru</t>
  </si>
  <si>
    <t>Новикова Ульяна Ильинична</t>
  </si>
  <si>
    <t>+7(930)750-40-08</t>
  </si>
  <si>
    <t>ulyananova2005@gmail.com</t>
  </si>
  <si>
    <t>Новоженина Александра Ивановна</t>
  </si>
  <si>
    <t>79163844138; +7(929)553-14-38</t>
  </si>
  <si>
    <t>11alexandran@gmail.com</t>
  </si>
  <si>
    <t>Новоселов Денис Евгеньевич</t>
  </si>
  <si>
    <t>+7(915)994-57-68</t>
  </si>
  <si>
    <t>jdenn777@gmail.com</t>
  </si>
  <si>
    <t>Новоселова Мария Андреевна</t>
  </si>
  <si>
    <t>(999)261-17-94; +7(977)385-99-98</t>
  </si>
  <si>
    <t>landysh222@yandex.ru</t>
  </si>
  <si>
    <t>Новохацкая Елизавета Игоревна</t>
  </si>
  <si>
    <t>+7(960)634-20-78</t>
  </si>
  <si>
    <t>novoliza@mail.ru</t>
  </si>
  <si>
    <t>Новрузова Ширин Сулеймановна</t>
  </si>
  <si>
    <t>+7(915)489-09-64</t>
  </si>
  <si>
    <t>soltan130290@gmail.com</t>
  </si>
  <si>
    <t>Номеровский Евгений Алексеевич</t>
  </si>
  <si>
    <t>Койсуг п</t>
  </si>
  <si>
    <t>+7(967)248-55-79</t>
  </si>
  <si>
    <t>nomersum@gmail.com</t>
  </si>
  <si>
    <t>Носов Арсений Юрьевич</t>
  </si>
  <si>
    <t>Белоусово г</t>
  </si>
  <si>
    <t>(900)578-37-82; +79778556322</t>
  </si>
  <si>
    <t>arsenosov@gmail.com</t>
  </si>
  <si>
    <t>Носырев Глеб Михайлович</t>
  </si>
  <si>
    <t>+7(985)464-74-27</t>
  </si>
  <si>
    <t>glmnosyrev@rbm-armz.ru</t>
  </si>
  <si>
    <t>Нуретдинов Даврон Салохиддин Угли</t>
  </si>
  <si>
    <t>Бекабад г</t>
  </si>
  <si>
    <t>+79992417390; +7(991)287-99-96</t>
  </si>
  <si>
    <t>Nuretdinov_davron@mail.ru</t>
  </si>
  <si>
    <t>Ньясими Хеллен Ньянчама</t>
  </si>
  <si>
    <t>Найроби</t>
  </si>
  <si>
    <t>Технологическое лидерство для устойчивого развития компаний</t>
  </si>
  <si>
    <t>+7(977)711-01-86</t>
  </si>
  <si>
    <t>Nyasimih@gmail.com</t>
  </si>
  <si>
    <t>Обертышева Полина Сергеевна</t>
  </si>
  <si>
    <t>+7(916)556-52-88</t>
  </si>
  <si>
    <t>obertpol@yandex.ru</t>
  </si>
  <si>
    <t>Обидзода Зайнулобиддин Саймурод</t>
  </si>
  <si>
    <t>г. Куляб</t>
  </si>
  <si>
    <t>+7(900)370-93-25</t>
  </si>
  <si>
    <t>ajon4001@gmail.com</t>
  </si>
  <si>
    <t>Обиди Джовид</t>
  </si>
  <si>
    <t>Худжанд</t>
  </si>
  <si>
    <t>2002jovid@list.ru</t>
  </si>
  <si>
    <t>Обийа Стивен Оньекачи</t>
  </si>
  <si>
    <t>Иззи</t>
  </si>
  <si>
    <t>obiyastephen46@gmail.com</t>
  </si>
  <si>
    <t>Обухова Алёна Сергеевна</t>
  </si>
  <si>
    <t>+7(964)772-36-26</t>
  </si>
  <si>
    <t>alenaobuhova05@gmail.com</t>
  </si>
  <si>
    <t>Овечкина Анастасия Романовна</t>
  </si>
  <si>
    <t>+7(906)113-90-30</t>
  </si>
  <si>
    <t>salmon.s@list.ru</t>
  </si>
  <si>
    <t>Овсянкина Ольга Романовна</t>
  </si>
  <si>
    <t>89168312428; +7(985)057-40-27</t>
  </si>
  <si>
    <t>listopad_78@list.ru</t>
  </si>
  <si>
    <t>Овчинникова Екатерина Сергеевна</t>
  </si>
  <si>
    <t>+7(929)527-98-82</t>
  </si>
  <si>
    <t>Kaatvch@mail.ru</t>
  </si>
  <si>
    <t>Оганезов Михаил Алексеевич</t>
  </si>
  <si>
    <t>+7(925)881-81-47</t>
  </si>
  <si>
    <t>camrockforsaken@gmail.com</t>
  </si>
  <si>
    <t>Ода Вера Вячеславовна</t>
  </si>
  <si>
    <t>(905)391-75-53</t>
  </si>
  <si>
    <t>oda-vera@mail.ru</t>
  </si>
  <si>
    <t>Одегов Артём Сергеевич</t>
  </si>
  <si>
    <t>+7(926)633-57-97</t>
  </si>
  <si>
    <t>oasismmv@gmail.com</t>
  </si>
  <si>
    <t>Одинокова Анастасия Антоновна</t>
  </si>
  <si>
    <t>+7(916)926-54-56</t>
  </si>
  <si>
    <t>nasodinokova@gmail.com</t>
  </si>
  <si>
    <t>Оздамиров Ахмед Анзорович</t>
  </si>
  <si>
    <t>Ачхой-Мартан с</t>
  </si>
  <si>
    <t>+7 929 606 80 75; +7(995)918-95-96</t>
  </si>
  <si>
    <t>lauricco627@gmail.com</t>
  </si>
  <si>
    <t>Окунева Ирина Вадимовна</t>
  </si>
  <si>
    <t>+7(903)011-28-39</t>
  </si>
  <si>
    <t>okuneva_ira@vk.com</t>
  </si>
  <si>
    <t>Олжекен Сымбат</t>
  </si>
  <si>
    <t>+7(930)979-42-54</t>
  </si>
  <si>
    <t>symbat_oljeken@mail.ru</t>
  </si>
  <si>
    <t>Олимзода Олимджони Зайнидин</t>
  </si>
  <si>
    <t>+7(926)424-57-41</t>
  </si>
  <si>
    <t>olimjon2001-09@mail.ru</t>
  </si>
  <si>
    <t>Олоту Дэвид Олорунтоба</t>
  </si>
  <si>
    <t>+7(908)137-73-67</t>
  </si>
  <si>
    <t>oloruntobaolotu@gmail.com</t>
  </si>
  <si>
    <t>Омаров Андрей Амирасланович</t>
  </si>
  <si>
    <t>Бараки д</t>
  </si>
  <si>
    <t>+7(977)727-49-44; +79777274944</t>
  </si>
  <si>
    <t>andreiomarov@yandex.ru</t>
  </si>
  <si>
    <t>Омонов Ахмад Шерали угли</t>
  </si>
  <si>
    <t>Наваи</t>
  </si>
  <si>
    <t>+998918467760; +7(925)148-09-47</t>
  </si>
  <si>
    <t>omonovahmad77@gmail.com</t>
  </si>
  <si>
    <t>Омоса Брайан Ньянкери</t>
  </si>
  <si>
    <t>Масаба норт г.</t>
  </si>
  <si>
    <t>+7(926)742-19-73; +79776889110</t>
  </si>
  <si>
    <t>Онищенко Владимир Алексеевич</t>
  </si>
  <si>
    <t>Новониколаевка с</t>
  </si>
  <si>
    <t>89225515564; +7(922)551-55-64</t>
  </si>
  <si>
    <t>knut0506@icloud.com</t>
  </si>
  <si>
    <t>Опаричев Тимур Александрович</t>
  </si>
  <si>
    <t>+79162202069; +7(985)930-01-61</t>
  </si>
  <si>
    <t>abopar@mail.ru</t>
  </si>
  <si>
    <t>Орасиу Жезус Мануэл</t>
  </si>
  <si>
    <t>Казенгу г.</t>
  </si>
  <si>
    <t>+7(977)380-90-47</t>
  </si>
  <si>
    <t>jesusmanuelhoracio@gmail.com</t>
  </si>
  <si>
    <t>Орехов Егор Александрович</t>
  </si>
  <si>
    <t>+7(904)080-31-15</t>
  </si>
  <si>
    <t>egorian2000@mail.ru</t>
  </si>
  <si>
    <t>Орехов Иван Евгеньевич</t>
  </si>
  <si>
    <t>+7(965)130-01-88</t>
  </si>
  <si>
    <t>vanchezo-orex@yandex.ru</t>
  </si>
  <si>
    <t>Орлов Александр Дмитриевич</t>
  </si>
  <si>
    <t>+7(977)491-32-52</t>
  </si>
  <si>
    <t>sftbaseline@gmail.com</t>
  </si>
  <si>
    <t>Орлов Денис Андреевич</t>
  </si>
  <si>
    <t>+79103826747; +7(930)806-44-35</t>
  </si>
  <si>
    <t>orlov-denchik@bk.ru</t>
  </si>
  <si>
    <t>Орлова Анна Романовна</t>
  </si>
  <si>
    <t>+79173377519; +7(962)760-99-86</t>
  </si>
  <si>
    <t>orlana2005@mail.ru</t>
  </si>
  <si>
    <t>Орлова Светлана Николаевна</t>
  </si>
  <si>
    <t>+7(916)744-60-27</t>
  </si>
  <si>
    <t>bzdunok77@mail.ru</t>
  </si>
  <si>
    <t>Оселедько Олеся Дмитриевна</t>
  </si>
  <si>
    <t>89615011432; +7(961)501-14-37</t>
  </si>
  <si>
    <t>oleska.oseledko@mail.ru</t>
  </si>
  <si>
    <t>Оселедько Юлия Дмитриевна</t>
  </si>
  <si>
    <t>+7(961)501-14-32</t>
  </si>
  <si>
    <t>joseledko@bk.ru</t>
  </si>
  <si>
    <t>Осиновская Елизавета Денисовна</t>
  </si>
  <si>
    <t>+79261724836; +7(926)131-73-70</t>
  </si>
  <si>
    <t>viewpoint22@mail.ru</t>
  </si>
  <si>
    <t>Осипенко Виктор Дмитриевич</t>
  </si>
  <si>
    <t>+7(926)888-14-76</t>
  </si>
  <si>
    <t>veesajeeque@gmail.com</t>
  </si>
  <si>
    <t>Г-1, остается, женат, проживает с женой</t>
  </si>
  <si>
    <t>Осипов Павел Андреевич</t>
  </si>
  <si>
    <t>Правдинский рп</t>
  </si>
  <si>
    <t>+7(968)463-08-92</t>
  </si>
  <si>
    <t>pasha_osipov_o5@mail.ru</t>
  </si>
  <si>
    <t>Осипов Юрий Сергеевич</t>
  </si>
  <si>
    <t>Вязьма г</t>
  </si>
  <si>
    <t>+7(916)985-85-99</t>
  </si>
  <si>
    <t>yurij.osipov.00@list.ru</t>
  </si>
  <si>
    <t>Осипова Алена Валерьевна</t>
  </si>
  <si>
    <t>9023359904; +7(981)947-03-15</t>
  </si>
  <si>
    <t>amonare404@gmail.com</t>
  </si>
  <si>
    <t>Осипова Виктория Алексеевна</t>
  </si>
  <si>
    <t>+7(921)549-83-71</t>
  </si>
  <si>
    <t>va.osipova@mail.ru</t>
  </si>
  <si>
    <t>Османов Наиль Рафаэлевич</t>
  </si>
  <si>
    <t>9151036149; (915)327-40-36</t>
  </si>
  <si>
    <t>nail-os@mail.ru</t>
  </si>
  <si>
    <t>Осокин Алексей Алексеевич</t>
  </si>
  <si>
    <t>+7(967)129-12-44</t>
  </si>
  <si>
    <t>alexey.osokin2005@gmail.com</t>
  </si>
  <si>
    <t>Осокин Ярослав Юрьевич</t>
  </si>
  <si>
    <t>+7(903)337-48-82</t>
  </si>
  <si>
    <t>osyaros.2005@yandex.ru</t>
  </si>
  <si>
    <t>Осокина Варвара Денисовна</t>
  </si>
  <si>
    <t>+7(985)225-76-08</t>
  </si>
  <si>
    <t>varvara_o55@mail.ru</t>
  </si>
  <si>
    <t>Оспенников Егор Андреевич</t>
  </si>
  <si>
    <t>Черкизово с</t>
  </si>
  <si>
    <t>+79168560466; +7(916)407-77-73</t>
  </si>
  <si>
    <t>spnkgr27@gmail.com</t>
  </si>
  <si>
    <t>Остапенко Данил Владимирович</t>
  </si>
  <si>
    <t>+7(908)860-04-81</t>
  </si>
  <si>
    <t>gemsy07228@gmail.com</t>
  </si>
  <si>
    <t>Остриков Андрей Вячеславович</t>
  </si>
  <si>
    <t>+7(916)702-64-10; +79167026410</t>
  </si>
  <si>
    <t>lulsxpa99@gmail.com</t>
  </si>
  <si>
    <t>Осыко Алёна Вадимовна</t>
  </si>
  <si>
    <t>+7(927)217-09-44</t>
  </si>
  <si>
    <t>alenaosyko74@gmail.com</t>
  </si>
  <si>
    <t>Оськина Татьяна Александровна</t>
  </si>
  <si>
    <t>+7(903)193-76-05</t>
  </si>
  <si>
    <t>tataleks1984@mail.ru</t>
  </si>
  <si>
    <t>Отепа Вероника да Граса</t>
  </si>
  <si>
    <t>Кабинда г.</t>
  </si>
  <si>
    <t>+7(901)501-42-10; +79015014210</t>
  </si>
  <si>
    <t>gracaotepastudy@gmail.com</t>
  </si>
  <si>
    <t>Офицерова Елена Евгеньевна</t>
  </si>
  <si>
    <t>Красноармейск г</t>
  </si>
  <si>
    <t>+7(965)110-33-07</t>
  </si>
  <si>
    <t>lenaoficerova2005@gmail.com</t>
  </si>
  <si>
    <t>Охлопков Матвей Анатольевич</t>
  </si>
  <si>
    <t>89206473298; (950)243-89-49</t>
  </si>
  <si>
    <t>okhlopkov.matvey@mail.ru</t>
  </si>
  <si>
    <t>Охота Владислав Александрович</t>
  </si>
  <si>
    <t>+7(919)450-21-80</t>
  </si>
  <si>
    <t>vlad.okhota@gmail.com</t>
  </si>
  <si>
    <t>Очиров Рабдан Жаргалович</t>
  </si>
  <si>
    <t>+7(924)392-40-20</t>
  </si>
  <si>
    <t>sonic-2005@inbox.ru</t>
  </si>
  <si>
    <t>Ошевский Святослав Дмитриевич</t>
  </si>
  <si>
    <t>+7(926)360-12-77</t>
  </si>
  <si>
    <t>KOSHSHAK2006@GMAIL.COM</t>
  </si>
  <si>
    <t>Павликеевич Дмитрий Александрович</t>
  </si>
  <si>
    <t>Кирзавод д</t>
  </si>
  <si>
    <t>+7(995)324-24-96</t>
  </si>
  <si>
    <t>¶dmitrijpavlikeevic689@gmail.com</t>
  </si>
  <si>
    <t>Павлов Андрей Александрович</t>
  </si>
  <si>
    <t>+7(952)530-90-80</t>
  </si>
  <si>
    <t>a.pavlov.dodo@gmail.com</t>
  </si>
  <si>
    <t>Павлов Андрей Павлович</t>
  </si>
  <si>
    <t>+7(985)366-13-18</t>
  </si>
  <si>
    <t>andrey.pavlov2005@mail.ru</t>
  </si>
  <si>
    <t>Павлов Артем Владиславович</t>
  </si>
  <si>
    <t>+79142529580; +7(912)666-16-03</t>
  </si>
  <si>
    <t>pavburyat@gmail.com</t>
  </si>
  <si>
    <t>Павлов Георгий Сергеевич</t>
  </si>
  <si>
    <t>+79262462466; +7(926)896-65-86</t>
  </si>
  <si>
    <t>gosha26012005@gmail.com</t>
  </si>
  <si>
    <t>Павлов Максим Алексеевич</t>
  </si>
  <si>
    <t>+7(937)962-79-55</t>
  </si>
  <si>
    <t>maksbens95@mail.ru</t>
  </si>
  <si>
    <t>Павлов Юрий Алексеевич</t>
  </si>
  <si>
    <t>+7(916)031-28-37</t>
  </si>
  <si>
    <t>yury.georgy1331@yandex.ru</t>
  </si>
  <si>
    <t>Павлова Анастасия Дмитриевна</t>
  </si>
  <si>
    <t>+7(967)470-39-77</t>
  </si>
  <si>
    <t>anastasiyapw15@gmail.com</t>
  </si>
  <si>
    <t>Павлова Виктория Алексеевна</t>
  </si>
  <si>
    <t>Кашира</t>
  </si>
  <si>
    <t>+7(993)618-31-51</t>
  </si>
  <si>
    <t>viktoriapavlova2@mail.ru</t>
  </si>
  <si>
    <t>Павлухина Анастасия Дмитриевна</t>
  </si>
  <si>
    <t>+7(915)491-32-52</t>
  </si>
  <si>
    <t>m1911381@edu.misis.ru</t>
  </si>
  <si>
    <t>Пагиев Георгий Валерьевич</t>
  </si>
  <si>
    <t>Ардон г</t>
  </si>
  <si>
    <t>+7(977)779-11-90</t>
  </si>
  <si>
    <t>georgiyyy01@gmail.com</t>
  </si>
  <si>
    <t>Паис Переда Хосе Хавьер</t>
  </si>
  <si>
    <t>+7(901)507-41-19</t>
  </si>
  <si>
    <t>paispereda@gmail.com</t>
  </si>
  <si>
    <t>Пак Владислав Александрович</t>
  </si>
  <si>
    <t>+7(977)546-76-22</t>
  </si>
  <si>
    <t>vlad_pak1999@mail.ru</t>
  </si>
  <si>
    <t>Палкин Павел Александрович</t>
  </si>
  <si>
    <t>89065612755; (967)044-28-47; +79065612755</t>
  </si>
  <si>
    <t>pavel.1986@mail.ru</t>
  </si>
  <si>
    <t>Палкина Кристина Михайловна</t>
  </si>
  <si>
    <t>89232228860; +7(923)222-88-68</t>
  </si>
  <si>
    <t>kell1301110@gmail.com</t>
  </si>
  <si>
    <t>Панин Степан Валерьевич</t>
  </si>
  <si>
    <t>+7(999)648-13-85</t>
  </si>
  <si>
    <t>petrovitch.mychka@yandex.ru</t>
  </si>
  <si>
    <t>Панкратов Дмитрий Сергеевич</t>
  </si>
  <si>
    <t>+7(925)705-00-15</t>
  </si>
  <si>
    <t>pancratov10@gmail.com</t>
  </si>
  <si>
    <t>Панкратов Максим Анатольевич</t>
  </si>
  <si>
    <t>+7(916)494-01-73</t>
  </si>
  <si>
    <t>m.pancratov99@yandex.ru</t>
  </si>
  <si>
    <t>Панкратова Дарья Олеговна</t>
  </si>
  <si>
    <t>+7(961)297-80-18</t>
  </si>
  <si>
    <t>darapankratova05@icloud.com</t>
  </si>
  <si>
    <t>Панов Никита Владимирович</t>
  </si>
  <si>
    <t>+7(977)814-41-09</t>
  </si>
  <si>
    <t>nikpan77@yandex.ru</t>
  </si>
  <si>
    <t>Панов Юрий Вячеславович</t>
  </si>
  <si>
    <t>+7(926)359-70-25</t>
  </si>
  <si>
    <t>yura-panov2003@yandex.ru</t>
  </si>
  <si>
    <t>Панова Алина Андреевна</t>
  </si>
  <si>
    <t>89262659673; +7(926)107-50-80</t>
  </si>
  <si>
    <t>alishkapanova@yandex.ru</t>
  </si>
  <si>
    <t>Панферов Николай Сергеевич</t>
  </si>
  <si>
    <t>Алатырь г</t>
  </si>
  <si>
    <t>+7(999)199-75-73; +7(937)376-07-86</t>
  </si>
  <si>
    <t>m1901266@edu.misis.ru</t>
  </si>
  <si>
    <t>Панютищева Екатерина Сергеевна</t>
  </si>
  <si>
    <t>+7(916)759-64-14</t>
  </si>
  <si>
    <t>PANUTISHEVA@GMAIL.COM</t>
  </si>
  <si>
    <t>Паписмедова Мери Гочевна</t>
  </si>
  <si>
    <t>+7(909)671-98-96</t>
  </si>
  <si>
    <t>dilunina440@gmail.com</t>
  </si>
  <si>
    <t>Паренков Никита Сергеевич</t>
  </si>
  <si>
    <t>Богданиха д</t>
  </si>
  <si>
    <t>+7(901)689-64-45; +79016896445</t>
  </si>
  <si>
    <t>nik.par37rus@mail.ru</t>
  </si>
  <si>
    <t>Пармузин Сергей Павлович</t>
  </si>
  <si>
    <t>+79165036842; +7(985)473-23-10</t>
  </si>
  <si>
    <t>parmurzin@gmail.com</t>
  </si>
  <si>
    <t>Парфенов Константин Сергеевич</t>
  </si>
  <si>
    <t>+7(985)817-68-79</t>
  </si>
  <si>
    <t>kosparf2017@gmail.com</t>
  </si>
  <si>
    <t>Пархоменко Валерия Алексеевна</t>
  </si>
  <si>
    <t>+7(910)906-31-53; +79109063153</t>
  </si>
  <si>
    <t>parkhomenko.valeriia@gmail.com</t>
  </si>
  <si>
    <t>Парчиев Рауф Борисович</t>
  </si>
  <si>
    <t>+7(960)432-77-99</t>
  </si>
  <si>
    <t>rauf.parchiev@gmail.com</t>
  </si>
  <si>
    <t>Паршин Егор Алексеевич</t>
  </si>
  <si>
    <t>+7(904)065-35-12</t>
  </si>
  <si>
    <t>idjore@mail.ru</t>
  </si>
  <si>
    <t>Паршин Никита Владимирович</t>
  </si>
  <si>
    <t>Грабово с</t>
  </si>
  <si>
    <t>+7(968)584-43-01</t>
  </si>
  <si>
    <t>parshin-nikita@inbox.ru</t>
  </si>
  <si>
    <t>Парыгина Елена Сергеевна</t>
  </si>
  <si>
    <t>+7(962)926-27-11</t>
  </si>
  <si>
    <t>elenasazonova1104@gmail.com</t>
  </si>
  <si>
    <t>Пастухов Никита Сергеевич</t>
  </si>
  <si>
    <t>+79067715608; +7(910)622-76-14</t>
  </si>
  <si>
    <t>pastuhov_nikitaye@mail.ru</t>
  </si>
  <si>
    <t>Патока Дарья Романовна</t>
  </si>
  <si>
    <t>+7(903)297-55-77; +7(967)144-74-12</t>
  </si>
  <si>
    <t>darpatoka@gmail.com</t>
  </si>
  <si>
    <t>Пахомова Валерия Павловна</t>
  </si>
  <si>
    <t>+7(969)037-29-38</t>
  </si>
  <si>
    <t>rkdjga@gmail.com</t>
  </si>
  <si>
    <t>Пащенко Сергей Витальевич</t>
  </si>
  <si>
    <t>+79183371016; +7(938)867-27-76</t>
  </si>
  <si>
    <t>pserega01@mail.ru</t>
  </si>
  <si>
    <t>Пензенко Валерия Васильевна</t>
  </si>
  <si>
    <t>+7(964)565-21-58</t>
  </si>
  <si>
    <t>lerapenzenko@gmail.com</t>
  </si>
  <si>
    <t>Первицкая Виктория Дмитриевна</t>
  </si>
  <si>
    <t>89156872352; +7(919)077-16-60</t>
  </si>
  <si>
    <t>pervickaya.v@gmail.com</t>
  </si>
  <si>
    <t>Пергаев Данила Евгеньевич</t>
  </si>
  <si>
    <t>+7(903)662-26-90</t>
  </si>
  <si>
    <t>danila.pergaev@bk.ru</t>
  </si>
  <si>
    <t>Перевощиков Алексей Александрович</t>
  </si>
  <si>
    <t>+79641823830; +7(909)058-66-54</t>
  </si>
  <si>
    <t>alexeiperevoshikov@mail.ru</t>
  </si>
  <si>
    <t>забыл указать</t>
  </si>
  <si>
    <t>Перевощиков Сергей Александрович</t>
  </si>
  <si>
    <t>+79630265809; +7(963)026-58-09</t>
  </si>
  <si>
    <t>virush1n@yandex.ru</t>
  </si>
  <si>
    <t>Перелетов Иван Павлович</t>
  </si>
  <si>
    <t>Елец г</t>
  </si>
  <si>
    <t>+7(904)293-00-83</t>
  </si>
  <si>
    <t>pereletov.ip@ya.ru</t>
  </si>
  <si>
    <t>Перемитин Евгений Владимирович</t>
  </si>
  <si>
    <t>+7(913)110-66-93</t>
  </si>
  <si>
    <t>e.neronoff@gmail.com</t>
  </si>
  <si>
    <t>Перетягин Артем Алексеевич</t>
  </si>
  <si>
    <t>+7(987)341-89-67</t>
  </si>
  <si>
    <t>peretyagin1160@gmail.com</t>
  </si>
  <si>
    <t>Перминова Милена Константиновна</t>
  </si>
  <si>
    <t>+7(967)7197987</t>
  </si>
  <si>
    <t>milaperminova5086@gmail.com</t>
  </si>
  <si>
    <t>Пермякова Анастасия Александровна</t>
  </si>
  <si>
    <t>+7(914)262-79-33</t>
  </si>
  <si>
    <t>yuumicarp@gmail.com</t>
  </si>
  <si>
    <t>Перова Кристина Сергеевна</t>
  </si>
  <si>
    <t>+7(968)642-66-22</t>
  </si>
  <si>
    <t>KRISTINA-PEROVA-2005@MAIL.RU</t>
  </si>
  <si>
    <t>Першаков Виталий Евгеньевич</t>
  </si>
  <si>
    <t>+7(904)830-54-81</t>
  </si>
  <si>
    <t>vit-79@inbox.ru</t>
  </si>
  <si>
    <t>Пестрецова Анастасия Дмитриевна</t>
  </si>
  <si>
    <t>+7(910)359-92-59</t>
  </si>
  <si>
    <t>PESTRETZOVA.ANASTASIA2015@YANDEX.RU</t>
  </si>
  <si>
    <t>Петров Максим Павлович</t>
  </si>
  <si>
    <t>+7(921)051-58-87</t>
  </si>
  <si>
    <t>maxpanda2402@gmail.com</t>
  </si>
  <si>
    <t>ходатайство</t>
  </si>
  <si>
    <t>Петров Михаил Алексеевич</t>
  </si>
  <si>
    <t>+7(916)384-77-37</t>
  </si>
  <si>
    <t>3847737@mail.ru</t>
  </si>
  <si>
    <t>Петров Михаил Максимович</t>
  </si>
  <si>
    <t>+7(903)975-97-85</t>
  </si>
  <si>
    <t>mixa.petrov.00@inbox.ru</t>
  </si>
  <si>
    <t>Петрова Виктория Владиславовна</t>
  </si>
  <si>
    <t>Большое Янгильдино д</t>
  </si>
  <si>
    <t>+79030635694; +7(917)667-80-86</t>
  </si>
  <si>
    <t>m1907585@edu.misis.ru</t>
  </si>
  <si>
    <t>Петрова Дарья Александровна</t>
  </si>
  <si>
    <t>+7(904)370-91-40; +79043709140</t>
  </si>
  <si>
    <t>dpetrova0908@gmail.com</t>
  </si>
  <si>
    <t>Петрова Полина Алексеевна</t>
  </si>
  <si>
    <t>+7(915)283-60-55</t>
  </si>
  <si>
    <t>pollynaru@gmail.com</t>
  </si>
  <si>
    <t>Петросян Дмитрий Камоевич</t>
  </si>
  <si>
    <t>(987)930-61-48</t>
  </si>
  <si>
    <t>dima.petrosyan.1990@mail.ru</t>
  </si>
  <si>
    <t>Петросян Карен Эдуардович</t>
  </si>
  <si>
    <t>(999)849-27-97; +79998492797</t>
  </si>
  <si>
    <t>7656909@gmail.com</t>
  </si>
  <si>
    <t>Петроченко Зоя Александровна</t>
  </si>
  <si>
    <t>89520548868; +7(952)054-77-24</t>
  </si>
  <si>
    <t>petrochenkozoya22@gmail.com</t>
  </si>
  <si>
    <t>Печенкин Евгений Александрович</t>
  </si>
  <si>
    <t>+7(919)320-35-44</t>
  </si>
  <si>
    <t>pea69@yandex.ru</t>
  </si>
  <si>
    <t>Пешкина Елизавета Андреевна</t>
  </si>
  <si>
    <t>Выльгорт с</t>
  </si>
  <si>
    <t>89042713571; (908)717-69-06</t>
  </si>
  <si>
    <t>elis.peshkina@gmail.com</t>
  </si>
  <si>
    <t>Пешков Даниил Андреевич</t>
  </si>
  <si>
    <t>+7(705)246-71-55</t>
  </si>
  <si>
    <t>danpesh1@gmail.com</t>
  </si>
  <si>
    <t>Пешков Матвей Евгеньевич</t>
  </si>
  <si>
    <t>+7(962)127-60-03</t>
  </si>
  <si>
    <t>peshkov.matvei@yandex.ru</t>
  </si>
  <si>
    <t>Пигарев Севастьян Юрьевич</t>
  </si>
  <si>
    <t>+7(961)999-69-33</t>
  </si>
  <si>
    <t>sevastyandeveloper@gmail.com</t>
  </si>
  <si>
    <t>Пигулевская Татьяна Сергеевна</t>
  </si>
  <si>
    <t>89037429429; (903)135-51-35</t>
  </si>
  <si>
    <t>pigulevskaya02@gmail.com</t>
  </si>
  <si>
    <t>Пидюкова Алена Владимировна</t>
  </si>
  <si>
    <t>+7(919)658-71-12</t>
  </si>
  <si>
    <t>Alenka.29.09.2000@inbox.ru</t>
  </si>
  <si>
    <t>Пикалов Степан Петрович</t>
  </si>
  <si>
    <t>(903)567-86-49</t>
  </si>
  <si>
    <t>7091236@gmail.com</t>
  </si>
  <si>
    <t>Пилюгина Мария Николаевна</t>
  </si>
  <si>
    <t>Сергеевка д</t>
  </si>
  <si>
    <t>+7(980)564-70-80; +79805647080</t>
  </si>
  <si>
    <t>pilyugina14@yandex.ru</t>
  </si>
  <si>
    <t>Пименов Матвей Алексеевич</t>
  </si>
  <si>
    <t>+7(992)331-53-52</t>
  </si>
  <si>
    <t>matveypimenov68@gmail.com</t>
  </si>
  <si>
    <t>Пинега Марк Александрович</t>
  </si>
  <si>
    <t>+7(913)285-44-75</t>
  </si>
  <si>
    <t>pinegazet@gmail.com</t>
  </si>
  <si>
    <t>Пинегин Дмитрий Михайлович</t>
  </si>
  <si>
    <t>Советск г</t>
  </si>
  <si>
    <t>+79823883640; +7(965)132-46-66; +79651324666</t>
  </si>
  <si>
    <t>pinegin.2003@mail.ru</t>
  </si>
  <si>
    <t>Пинегин Ефим Антонович</t>
  </si>
  <si>
    <t>Новое Мартьяново д</t>
  </si>
  <si>
    <t>89226869353; (922)504-04-48</t>
  </si>
  <si>
    <t>efruto@mail.ru</t>
  </si>
  <si>
    <t>Пираков Алимжон Сулаймонович</t>
  </si>
  <si>
    <t>+7(977)167-52-59</t>
  </si>
  <si>
    <t>fnumerod@gmail.com</t>
  </si>
  <si>
    <t>Пиров Манучехр Акбарович</t>
  </si>
  <si>
    <t>сельсовет Б. Рахимзода</t>
  </si>
  <si>
    <t>Пирожников Никита Витальевич</t>
  </si>
  <si>
    <t>+7(910)467-70-09</t>
  </si>
  <si>
    <t>nikakrytoi@gmail.com</t>
  </si>
  <si>
    <t>Пирумян Тимур Романович</t>
  </si>
  <si>
    <t>+7(916)816-71-07</t>
  </si>
  <si>
    <t>timurpir01@gmail.com</t>
  </si>
  <si>
    <t>Писанов Виктор Евгеньевич</t>
  </si>
  <si>
    <t>+7(963)651-33-37</t>
  </si>
  <si>
    <t>pisanov-2001@mail.ru</t>
  </si>
  <si>
    <t>Писарева Алёна Николаевна</t>
  </si>
  <si>
    <t>+7(916)302-19-36</t>
  </si>
  <si>
    <t>Avehyllika@gmail.com</t>
  </si>
  <si>
    <t>Пиховкин Иван Романович</t>
  </si>
  <si>
    <t>+7(980)341-50-85; +7(980)341-51-22</t>
  </si>
  <si>
    <t>ivanpichovkin07@gmail.com</t>
  </si>
  <si>
    <t>Пихтерова Наталья Николаевна</t>
  </si>
  <si>
    <t>+7(905)029-47-41</t>
  </si>
  <si>
    <t>pihterova1@mail.ru</t>
  </si>
  <si>
    <t>Пищугин Дмитрий Сергеевич</t>
  </si>
  <si>
    <t>79270280214; +7(927)619-40-48</t>
  </si>
  <si>
    <t>dmitrypi380@gmail.com</t>
  </si>
  <si>
    <t>Платонов Владислав Романович</t>
  </si>
  <si>
    <t>(915)220-16-64</t>
  </si>
  <si>
    <t>t-7892009@mail.ru</t>
  </si>
  <si>
    <t>Плешевич Милена Юрьевна</t>
  </si>
  <si>
    <t>+7(925)350-71-58</t>
  </si>
  <si>
    <t>pleshevich.milena@mail.ru</t>
  </si>
  <si>
    <t>Плигунов Илья Сергеевич</t>
  </si>
  <si>
    <t>Волгореченск г</t>
  </si>
  <si>
    <t>+7(909)253-42-03</t>
  </si>
  <si>
    <t>pligunov58@mail.ru</t>
  </si>
  <si>
    <t>Плишкин Михаил Дмитриевич</t>
  </si>
  <si>
    <t>+7(915)023-90-25; 89104082127</t>
  </si>
  <si>
    <t>playermi888@gmail.com</t>
  </si>
  <si>
    <t>Плишко Денис Владимирович</t>
  </si>
  <si>
    <t>+7(965)252-77-45</t>
  </si>
  <si>
    <t>whocareswysi@gmail.com</t>
  </si>
  <si>
    <t>Плотвин Алексей Дмитриевич</t>
  </si>
  <si>
    <t>+7(918)800-48-79</t>
  </si>
  <si>
    <t>aplotvin@yandex.ru</t>
  </si>
  <si>
    <t>Плотников Владислав Олегович</t>
  </si>
  <si>
    <t>(916)156-12-59</t>
  </si>
  <si>
    <t>chopmychenal@gmail.com</t>
  </si>
  <si>
    <t>Плотников Геннадий Сергеевич</t>
  </si>
  <si>
    <t>+7(977)992-08-11</t>
  </si>
  <si>
    <t>m1904387@edu.misis.ru</t>
  </si>
  <si>
    <t>Плохотнюк Анна Дмитриевна</t>
  </si>
  <si>
    <t>(915)474-62-31</t>
  </si>
  <si>
    <t>aplokhotnyuk@rambler.ru</t>
  </si>
  <si>
    <t>Плохотнюк Иван Александрович</t>
  </si>
  <si>
    <t>Дзержинский г</t>
  </si>
  <si>
    <t>+79267054098; +7(926)406-99-50</t>
  </si>
  <si>
    <t>v7054098@yandex.ru</t>
  </si>
  <si>
    <t>Плужников Артём Александрович</t>
  </si>
  <si>
    <t>+7(920)858-40-50</t>
  </si>
  <si>
    <t>pluzhnikov.artem2005@gmail.com</t>
  </si>
  <si>
    <t>Погонова Анна Дмитриевна</t>
  </si>
  <si>
    <t>+79104126680; +7(919)993-65-11</t>
  </si>
  <si>
    <t>POGONOVA_05@MAIL.RU</t>
  </si>
  <si>
    <t>Поддубнова Ксения Викторовна</t>
  </si>
  <si>
    <t>+79272816010; +7(927)070-23-45</t>
  </si>
  <si>
    <t>poddubnova.2012@mail.ru</t>
  </si>
  <si>
    <t>Подземельный Александр Григорьевич</t>
  </si>
  <si>
    <t>+7(910)446-42-69</t>
  </si>
  <si>
    <t>alexpodz01@gmail.com</t>
  </si>
  <si>
    <t>Подойников Андрей Владимирович</t>
  </si>
  <si>
    <t>Стрелецкий п</t>
  </si>
  <si>
    <t>(906)568-04-06</t>
  </si>
  <si>
    <t>thefolder123@yandex.ru</t>
  </si>
  <si>
    <t>Подопригора Артем Андреевич</t>
  </si>
  <si>
    <t>Вилючинск г</t>
  </si>
  <si>
    <t>+7(999)618-91-58</t>
  </si>
  <si>
    <t>podopartem009@gmail.com</t>
  </si>
  <si>
    <t>Подставкина Анна Константиновна</t>
  </si>
  <si>
    <t>+7(914)325-97-38</t>
  </si>
  <si>
    <t>leo1818121212@gmail.com</t>
  </si>
  <si>
    <t>Подчасов Олег Александрович</t>
  </si>
  <si>
    <t>79192113027; +7(919)173-91-53</t>
  </si>
  <si>
    <t>olegpodchasov@mail.ru</t>
  </si>
  <si>
    <t>Подъячев Алексей Викторович</t>
  </si>
  <si>
    <t>Чехов-4 г</t>
  </si>
  <si>
    <t>+79959172508; +7(925)908-92-63</t>
  </si>
  <si>
    <t>838pod365@gmail.com</t>
  </si>
  <si>
    <t>Поздеев Михаил Константинович</t>
  </si>
  <si>
    <t>+7(912)753-48-67</t>
  </si>
  <si>
    <t>mih.pozdeeff@yandex.ru</t>
  </si>
  <si>
    <t>Позднухова Виталия Павловна</t>
  </si>
  <si>
    <t>+7(909)950-29-03</t>
  </si>
  <si>
    <t>KKIRINA2005@RAMBLER.RU</t>
  </si>
  <si>
    <t>Позняков Всеволод Дмитриевич</t>
  </si>
  <si>
    <t>+7(909)667-36-49</t>
  </si>
  <si>
    <t>Seva151104@yandex.ru</t>
  </si>
  <si>
    <t>Покатилов Георгий Максимович</t>
  </si>
  <si>
    <t>+7(926)767-36-27</t>
  </si>
  <si>
    <t>pokatilovg@icloud.com</t>
  </si>
  <si>
    <t>Полетаева Полина Андреевна</t>
  </si>
  <si>
    <t>+7(985)782-54-90</t>
  </si>
  <si>
    <t>poli.polet@mail.ru</t>
  </si>
  <si>
    <t>Поликарпова Варвара Григорьевна</t>
  </si>
  <si>
    <t>+7(926)670-77-79</t>
  </si>
  <si>
    <t>varvara.polikarpova.03@mail.ru</t>
  </si>
  <si>
    <t>Политова Валерия Андреевна</t>
  </si>
  <si>
    <t>+7(968)320-74-02</t>
  </si>
  <si>
    <t>lera.politova@mail.ru</t>
  </si>
  <si>
    <t>Полулях Артем Николаевич</t>
  </si>
  <si>
    <t>+79166040387; +7(916)911-90-22</t>
  </si>
  <si>
    <t>temik17@mail.ru</t>
  </si>
  <si>
    <t>Полуэктова Ксения Витальевна</t>
  </si>
  <si>
    <t>Мурманск г</t>
  </si>
  <si>
    <t>+7(977)644-38-18</t>
  </si>
  <si>
    <t>polunula@gmail.com</t>
  </si>
  <si>
    <t>Полуянов Максим Александрович</t>
  </si>
  <si>
    <t>2.6.6</t>
  </si>
  <si>
    <t>Нанотехнологии и наноматериалы</t>
  </si>
  <si>
    <t>+7(953)299-77-59</t>
  </si>
  <si>
    <t>maks301099@mail.ru</t>
  </si>
  <si>
    <t>Полыгалова Виктория Вадимовна</t>
  </si>
  <si>
    <t>+7(938)306-11-88</t>
  </si>
  <si>
    <t>victory_noah@mail.ru</t>
  </si>
  <si>
    <t>Полынцева Мария Игоревна</t>
  </si>
  <si>
    <t>+7(920)755-69-74</t>
  </si>
  <si>
    <t>polyntseva.masha@mail.ru</t>
  </si>
  <si>
    <t>Поляков Алексей Игоревич</t>
  </si>
  <si>
    <t>+7(909)6594344</t>
  </si>
  <si>
    <t>polyakovalex555@gmail.com</t>
  </si>
  <si>
    <t>Поляков Федор Алексеевич</t>
  </si>
  <si>
    <t>+7(916)377-66-54</t>
  </si>
  <si>
    <t>feodor-polyakov@yandex.ru</t>
  </si>
  <si>
    <t>Полякова Юлия Андреевна</t>
  </si>
  <si>
    <t>+7(968)943-53-64</t>
  </si>
  <si>
    <t>poliakovajul1ja@yandex.ru</t>
  </si>
  <si>
    <t>Пономарева Анастасия Владимировна</t>
  </si>
  <si>
    <t>+7(903)945-57-89</t>
  </si>
  <si>
    <t>heroofourtime5@mail.ru</t>
  </si>
  <si>
    <t>Пономарева Анастасия Константиновна</t>
  </si>
  <si>
    <t>+7(916)916-81-49</t>
  </si>
  <si>
    <t>zvetok080105@mail.ru</t>
  </si>
  <si>
    <t>Попадьина Варвара Александровна</t>
  </si>
  <si>
    <t>+7(961)689-71-47</t>
  </si>
  <si>
    <t>popadinavar@ya.ru</t>
  </si>
  <si>
    <t>Попов Александр Сергеевич</t>
  </si>
  <si>
    <t>Колпино</t>
  </si>
  <si>
    <t>-; +7(999)025-87-26</t>
  </si>
  <si>
    <t>tsl1995@mail.ru</t>
  </si>
  <si>
    <t>Попов Алексей Николаевич</t>
  </si>
  <si>
    <t>Буруны п</t>
  </si>
  <si>
    <t>+79683596911; +7(968)359-69-11</t>
  </si>
  <si>
    <t>pan250306@mail.ru</t>
  </si>
  <si>
    <t>Попов Арсений Владиславович</t>
  </si>
  <si>
    <t>arspopov044@gmail.com</t>
  </si>
  <si>
    <t>Попов Артём Борисович</t>
  </si>
  <si>
    <t>+7(915)126-14-68</t>
  </si>
  <si>
    <t>6496438@gmail.com</t>
  </si>
  <si>
    <t>Попов Архип Сергеевич</t>
  </si>
  <si>
    <t>+79689982383; +7(977)770-80-31</t>
  </si>
  <si>
    <t>arhippopov0509@yandex.ru</t>
  </si>
  <si>
    <t>Попов Данил Николаевич</t>
  </si>
  <si>
    <t>+7(912)483-15-45</t>
  </si>
  <si>
    <t>dp0250@mail.ru</t>
  </si>
  <si>
    <t>Попов Дмитрий Вячеславович</t>
  </si>
  <si>
    <t>+7(915)288-40-07</t>
  </si>
  <si>
    <t>popov.dv@misis.ru</t>
  </si>
  <si>
    <t>Попов Константин Алексеевич</t>
  </si>
  <si>
    <t>Рассказово г</t>
  </si>
  <si>
    <t>(915)887-59-54; (929)018-54-92</t>
  </si>
  <si>
    <t>kostya.popov.2001@gmail.com</t>
  </si>
  <si>
    <t>Попов Павел Александрович</t>
  </si>
  <si>
    <t>+7(926)971-02-66</t>
  </si>
  <si>
    <t>palppv2@gmail.com</t>
  </si>
  <si>
    <t>Попов Степан Сергеевич</t>
  </si>
  <si>
    <t>+7(922)484-97-25</t>
  </si>
  <si>
    <t>popovstepansemen@mail.ru</t>
  </si>
  <si>
    <t>Попова Полина Владиславовна</t>
  </si>
  <si>
    <t>+7(968)753-33-58</t>
  </si>
  <si>
    <t>p.popova05@mail.ru</t>
  </si>
  <si>
    <t>Поправко Даниил Викторович</t>
  </si>
  <si>
    <t>+7(953)277-10-07</t>
  </si>
  <si>
    <t>danyapopravko1996@gmail.com</t>
  </si>
  <si>
    <t>Попугаева Елизавета Михайловна</t>
  </si>
  <si>
    <t>+7(924)864-61-45</t>
  </si>
  <si>
    <t>e-popugaeva34@mail.ru</t>
  </si>
  <si>
    <t>Попцов Максим Сергеевич</t>
  </si>
  <si>
    <t>+79885075467; +7(938)444-75-77</t>
  </si>
  <si>
    <t>poptsovmax454@gmail.com</t>
  </si>
  <si>
    <t>Порохня Дмитрий Александрович</t>
  </si>
  <si>
    <t>Синегорский п</t>
  </si>
  <si>
    <t>+7(969)126-30-06; +79994808836</t>
  </si>
  <si>
    <t>a.schastlivaya97@yandex.ru</t>
  </si>
  <si>
    <t>Порьяз Владислав Алексеевич</t>
  </si>
  <si>
    <t>+7(903)966-19-62</t>
  </si>
  <si>
    <t>vlad.poriaz@yandex.ru</t>
  </si>
  <si>
    <t>Поселеннов Александр Дмитриевич</t>
  </si>
  <si>
    <t>+7(915)922-66-76; 89159003708</t>
  </si>
  <si>
    <t>alexmarsi@yandex.ru</t>
  </si>
  <si>
    <t>Постернак Диана Евгеньевна</t>
  </si>
  <si>
    <t>+7(928)964-36-21</t>
  </si>
  <si>
    <t>diana.posternak888@mail.ru</t>
  </si>
  <si>
    <t>Постникова Дарья Максимовна</t>
  </si>
  <si>
    <t>+7(925)355-48-09</t>
  </si>
  <si>
    <t>dari.postnick0wa@yandex.ru</t>
  </si>
  <si>
    <t>Потапов Кирилл Геннадьевич</t>
  </si>
  <si>
    <t>89257409111; (916)999-18-97</t>
  </si>
  <si>
    <t>kirill_220601@mail.ru</t>
  </si>
  <si>
    <t>Потемкин Владимир Евгеньевич</t>
  </si>
  <si>
    <t>+79651785198; +7(926)880-40-25</t>
  </si>
  <si>
    <t>vova.potemkin2005@mail.ru</t>
  </si>
  <si>
    <t>Почтарь Вероника Олеговна</t>
  </si>
  <si>
    <t>+7(968)003-42-14</t>
  </si>
  <si>
    <t>nicka.po4tar@yandex.ru</t>
  </si>
  <si>
    <t>Правкина Мария Андреевна</t>
  </si>
  <si>
    <t>+7(916)213-94-02</t>
  </si>
  <si>
    <t>pravaeka@yandex.ru</t>
  </si>
  <si>
    <t>Привалова Юлия Ильясовна</t>
  </si>
  <si>
    <t>+7(919)829-48-91</t>
  </si>
  <si>
    <t>juliaprivalova2015@mail.ru</t>
  </si>
  <si>
    <t>Пристегина Ксения Андреевна</t>
  </si>
  <si>
    <t>+7(977)724-20-43</t>
  </si>
  <si>
    <t>m1901650@edu.misis.ru</t>
  </si>
  <si>
    <t>Присяжный Егор Алексеевич</t>
  </si>
  <si>
    <t>+7(968)950-93-70</t>
  </si>
  <si>
    <t>egor215215@mail.ru</t>
  </si>
  <si>
    <t>Прищепова Александра Игоревна</t>
  </si>
  <si>
    <t>89051632063; +7(906)669-90-55</t>
  </si>
  <si>
    <t>sasha.prischepova@mail.ru</t>
  </si>
  <si>
    <t>Прозорова Кристина Евгеньевна</t>
  </si>
  <si>
    <t>Белоозёрский г</t>
  </si>
  <si>
    <t>+7(916)197-30-10</t>
  </si>
  <si>
    <t>kristina.prozorova.00@bk.ru</t>
  </si>
  <si>
    <t>Пронин Роман Вячеславович</t>
  </si>
  <si>
    <t>+7(968)700-18-18</t>
  </si>
  <si>
    <t>4prostore@gmail.com</t>
  </si>
  <si>
    <t>Пронина Дарья Эдуардовна</t>
  </si>
  <si>
    <t>89045072534; +7(988)584-49-70</t>
  </si>
  <si>
    <t>proninadasha99@mail.ru</t>
  </si>
  <si>
    <t>Пронкин Егор Сергеевич</t>
  </si>
  <si>
    <t>+7(929)663-30-15</t>
  </si>
  <si>
    <t>esergeyevich@gmail.com</t>
  </si>
  <si>
    <t>Пронькина Виктория Сергеевна</t>
  </si>
  <si>
    <t>+79652972916; +7(903)748-88-94</t>
  </si>
  <si>
    <t>nuancat2004@gmail.com</t>
  </si>
  <si>
    <t>Просандеев Даниил Олегович</t>
  </si>
  <si>
    <t>+7(916)533-65-82</t>
  </si>
  <si>
    <t>dprosan124@gmail.com</t>
  </si>
  <si>
    <t>Прохоренко Антон Денисович</t>
  </si>
  <si>
    <t>+7(922)446-44-36</t>
  </si>
  <si>
    <t>the.prokhorenko@vk.com</t>
  </si>
  <si>
    <t>Прохорова Юлия Сергеевна</t>
  </si>
  <si>
    <t>+7(929)561-26-78</t>
  </si>
  <si>
    <t>projulia2005@gmail.com</t>
  </si>
  <si>
    <t>Прудников Кирилл Дмитриевич</t>
  </si>
  <si>
    <t>89269823776; +7(915)239-93-47</t>
  </si>
  <si>
    <t>4r3n7h@gmail.com</t>
  </si>
  <si>
    <t>Прунов Дмитрий Александрович</t>
  </si>
  <si>
    <t>+7(924)483-41-16</t>
  </si>
  <si>
    <t>prunov013@gmail.com</t>
  </si>
  <si>
    <t>Пудовкина Ольга Петровна</t>
  </si>
  <si>
    <t>+7(912)847-59-38</t>
  </si>
  <si>
    <t>o.pudovkina56@gmail.com</t>
  </si>
  <si>
    <t>Пузыревская Екатерина Леонидовна</t>
  </si>
  <si>
    <t>+7(919)729-26-35</t>
  </si>
  <si>
    <t>izerwife@gmail.com</t>
  </si>
  <si>
    <t>Пулатов Хусанхон Аълохонович</t>
  </si>
  <si>
    <t>94)6570525; +7(000)000-00-00</t>
  </si>
  <si>
    <t>khusankhonp1905@gmail.com</t>
  </si>
  <si>
    <t>Пулова Дарья Дмитриевна</t>
  </si>
  <si>
    <t>89166801540; +7(916)297-50-44</t>
  </si>
  <si>
    <t>dar.pulova2017@yandex.ru</t>
  </si>
  <si>
    <t>Пунин Антон Сергеевич</t>
  </si>
  <si>
    <t>+7(977)333-46-33</t>
  </si>
  <si>
    <t>anthon3296@gmail.com</t>
  </si>
  <si>
    <t>Пурчел Дарья Анатольевна</t>
  </si>
  <si>
    <t>+7(966)119-22-11</t>
  </si>
  <si>
    <t>d.dyachuk@mail.ru</t>
  </si>
  <si>
    <t>Пухова Екатерина Геннадьевна</t>
  </si>
  <si>
    <t>89888741052; +7(918)705-90-57</t>
  </si>
  <si>
    <t>mansislow@gmail.com</t>
  </si>
  <si>
    <t>Пушкарева Екатерина Дмитриевна</t>
  </si>
  <si>
    <t>+7(926)239-99-08</t>
  </si>
  <si>
    <t>pushkarevaed@yandex.ru</t>
  </si>
  <si>
    <t>Пушкарева Елизавета Алексеевна</t>
  </si>
  <si>
    <t>+7(902)583-18-52; +79022600607</t>
  </si>
  <si>
    <t>pushkaveva_liza@mail.ru</t>
  </si>
  <si>
    <t>Пушкова Анастасия Дмитриевна</t>
  </si>
  <si>
    <t>+79033796969; +7(902)660-96-82</t>
  </si>
  <si>
    <t>nastya.pushkova@mail.ru</t>
  </si>
  <si>
    <t>Пшенина Варвара Петровна</t>
  </si>
  <si>
    <t>+7(963)787-32-95</t>
  </si>
  <si>
    <t>variavasilek@mail.ru</t>
  </si>
  <si>
    <t>Пылаева Анна Алексеевна</t>
  </si>
  <si>
    <t>+7(900)509-91-35</t>
  </si>
  <si>
    <t>PYLAEVAANYA@GMAIL.COM</t>
  </si>
  <si>
    <t>Пыргаева Анастасия Сергеевна</t>
  </si>
  <si>
    <t>+7(952)197-07-00</t>
  </si>
  <si>
    <t>p.asya1409@gmail.com</t>
  </si>
  <si>
    <t>Пяткова Анастасия Андреевна</t>
  </si>
  <si>
    <t>+7(916)736-60-21</t>
  </si>
  <si>
    <t>n.pyatkova05@mail.ru</t>
  </si>
  <si>
    <t>Пячина Анастасия Максимовна</t>
  </si>
  <si>
    <t>+7(985)439-74-65</t>
  </si>
  <si>
    <t>nastya_38.2003@mail.ru</t>
  </si>
  <si>
    <t>Рагаускас Владас Артурович</t>
  </si>
  <si>
    <t>+7(953)952-10-96</t>
  </si>
  <si>
    <t>vladas.rag@mail.ru</t>
  </si>
  <si>
    <t>Рагозин Артём Алексеевич</t>
  </si>
  <si>
    <t>+7(918)292-19-75</t>
  </si>
  <si>
    <t>rag.artem@inbox.ru</t>
  </si>
  <si>
    <t>Раджабов Алишер Идрисович</t>
  </si>
  <si>
    <t>Пенджикент</t>
  </si>
  <si>
    <t>+992931910011; +7(992)931-91-00</t>
  </si>
  <si>
    <t>alisher.rajabov.2000@gmail.com</t>
  </si>
  <si>
    <t>Раджабов Рамзиёр Абдусаломович</t>
  </si>
  <si>
    <t>Раджабов Хасан Мухаммадшарифович</t>
  </si>
  <si>
    <t>Радчевская Маргарита Сергеевна</t>
  </si>
  <si>
    <t>+7(938)480-03-63</t>
  </si>
  <si>
    <t>margo.rad05@mail.ru</t>
  </si>
  <si>
    <t>Радыгин Никита Сергеевич</t>
  </si>
  <si>
    <t>+7(913)157-97-29</t>
  </si>
  <si>
    <t>radygin.n@yandex.ru</t>
  </si>
  <si>
    <t>Разаков Владимир Сергеевич</t>
  </si>
  <si>
    <t>89262189293; +7(926)617-42-17</t>
  </si>
  <si>
    <t>vova.risir@mail.ru</t>
  </si>
  <si>
    <t>Развенкова Дарья Александровна</t>
  </si>
  <si>
    <t>+7(962)914-84-50</t>
  </si>
  <si>
    <t>dariarazvenkova@gmail.com</t>
  </si>
  <si>
    <t>Разгаров Иван Павлович</t>
  </si>
  <si>
    <t>+7(919)721-97-53</t>
  </si>
  <si>
    <t>vancat220@gmail.com</t>
  </si>
  <si>
    <t>Разин Денис Андреевич</t>
  </si>
  <si>
    <t>+7(904)594-34-68</t>
  </si>
  <si>
    <t>denisrazintv@gmail.com</t>
  </si>
  <si>
    <t>Разоков Мухаммадсалмонхон Абдурафиевич</t>
  </si>
  <si>
    <t>+79779361906; +7(996)967-09-07</t>
  </si>
  <si>
    <t>salmon.01@list.ru</t>
  </si>
  <si>
    <t>Разсоха Марк Алексеевич</t>
  </si>
  <si>
    <t>Запрудное с</t>
  </si>
  <si>
    <t>+7(926)936-45-44</t>
  </si>
  <si>
    <t>mrazsokha@mail.ru</t>
  </si>
  <si>
    <t>Райич Душан</t>
  </si>
  <si>
    <t>Сербия</t>
  </si>
  <si>
    <t>Нови-Бечей, Нови-Бечей</t>
  </si>
  <si>
    <t>+7(925)158-66-20</t>
  </si>
  <si>
    <t>dusanrajic111@gmail.com</t>
  </si>
  <si>
    <t>Райхман Анна Алексеевна</t>
  </si>
  <si>
    <t>Ёлкино д</t>
  </si>
  <si>
    <t>+7(985)159-38-00</t>
  </si>
  <si>
    <t>5904519@gmail.com</t>
  </si>
  <si>
    <t>Рамазанов Никита Максимович</t>
  </si>
  <si>
    <t>Знаменск г</t>
  </si>
  <si>
    <t>+7(960)863-99-04</t>
  </si>
  <si>
    <t>nikramazan@mail.ru</t>
  </si>
  <si>
    <t>Расихин Александр Николаевич</t>
  </si>
  <si>
    <t>+7(912)014-35-34</t>
  </si>
  <si>
    <t>ros_alex@mail.ru</t>
  </si>
  <si>
    <t>Расторгуев Владислав Вадимович</t>
  </si>
  <si>
    <t>+7(965)365-80-20</t>
  </si>
  <si>
    <t>typuct05@mail.ru</t>
  </si>
  <si>
    <t>Расулов Дилмурод Кодирали угли</t>
  </si>
  <si>
    <t>Бекабадский</t>
  </si>
  <si>
    <t>Бекабад</t>
  </si>
  <si>
    <t>+998900424105; +7(968)936-83-06</t>
  </si>
  <si>
    <t>dilmurod_rasulov@internet.ru</t>
  </si>
  <si>
    <t>Ратновская Анна Евгеньевна</t>
  </si>
  <si>
    <t>89152141755; +7(916)748-50-58</t>
  </si>
  <si>
    <t>annratnov@gmail.com</t>
  </si>
  <si>
    <t>Раузер Георгий</t>
  </si>
  <si>
    <t>+7(985)128-15-66</t>
  </si>
  <si>
    <t>mistergera1@mail.ru</t>
  </si>
  <si>
    <t>Рафикова Алина Ринатовна</t>
  </si>
  <si>
    <t>89273712642; +7(937)403-23-80; +79374032380</t>
  </si>
  <si>
    <t>alina.rafikovaa@mail.ru</t>
  </si>
  <si>
    <t>Рафикова Екатерина Сергеевна</t>
  </si>
  <si>
    <t>9653169617; (985)951-91-01</t>
  </si>
  <si>
    <t>katyastrofa01@mail.ru</t>
  </si>
  <si>
    <t>Рахимов Рахим Кулулович</t>
  </si>
  <si>
    <t>Пяндж</t>
  </si>
  <si>
    <t>+7(923)413-91-32</t>
  </si>
  <si>
    <t>rax-2003@mail.ru</t>
  </si>
  <si>
    <t>Рахматулаев Магомед Шарипович</t>
  </si>
  <si>
    <t>+7(966)182-47-19</t>
  </si>
  <si>
    <t>magomed.rakhmatulaev@bk.ru</t>
  </si>
  <si>
    <t>Рахмонов Исо Исмоилходжаевич</t>
  </si>
  <si>
    <t>+7(000)000-00-00; +992987777649</t>
  </si>
  <si>
    <t>isokhujar63@gmail.com</t>
  </si>
  <si>
    <t>Рахмонов Ихтиёржон Илхом Угли</t>
  </si>
  <si>
    <t>Навоийская обл.</t>
  </si>
  <si>
    <t>99)5405407; +7(967)033-34-14</t>
  </si>
  <si>
    <t>ixti.raxmonov@mail.ru</t>
  </si>
  <si>
    <t xml:space="preserve">Живет как абитуриент с братом
</t>
  </si>
  <si>
    <t>Рахмонова Мафтуна Амруллоевна</t>
  </si>
  <si>
    <t>+7(000)000-00-00; +992 55 255 5557</t>
  </si>
  <si>
    <t>Рачковская Елизавета Дмитриевна</t>
  </si>
  <si>
    <t>+7(950)999-25-50</t>
  </si>
  <si>
    <t>rachkovskayaliza@gmail.com</t>
  </si>
  <si>
    <t>Реан Ляя Александровна</t>
  </si>
  <si>
    <t>+79287090032; +7(928)705-73-40; +79287057340</t>
  </si>
  <si>
    <t>lyaya06@icloud.com</t>
  </si>
  <si>
    <t>Ребко Полина Дмитриевна</t>
  </si>
  <si>
    <t>+7(964)580-31-01</t>
  </si>
  <si>
    <t>rebkopolina@gmail.com</t>
  </si>
  <si>
    <t>Ревенко Георгий Дмитриевич</t>
  </si>
  <si>
    <t>+7(965)408-40-88</t>
  </si>
  <si>
    <t>regeod@mail.ru</t>
  </si>
  <si>
    <t>Резанов Олег Олегович</t>
  </si>
  <si>
    <t>Карабалта</t>
  </si>
  <si>
    <t>+7(996)555-55-65</t>
  </si>
  <si>
    <t>olegrezanov2005@mail.ru</t>
  </si>
  <si>
    <t>Резникова Ангелина Юрьевна</t>
  </si>
  <si>
    <t>+7(977)676-31-20</t>
  </si>
  <si>
    <t>linfilling@mail.ru</t>
  </si>
  <si>
    <t>Рейнтова Мария Александровна</t>
  </si>
  <si>
    <t>+7(988)180-77-84</t>
  </si>
  <si>
    <t>mariareintova@yandex.ru</t>
  </si>
  <si>
    <t>Ремезова Анастасия Сергеевна</t>
  </si>
  <si>
    <t>+7(920)882-31-37</t>
  </si>
  <si>
    <t>remezovaanastacia@yandex.ru</t>
  </si>
  <si>
    <t>Ренгач Александра Сергеевна</t>
  </si>
  <si>
    <t>+7(952)018-73-75</t>
  </si>
  <si>
    <t>rengach_as@mail.ru</t>
  </si>
  <si>
    <t>Репина Дарья Дмитриевна</t>
  </si>
  <si>
    <t>+7(985)191-63-90; +79851916390</t>
  </si>
  <si>
    <t>repchik1638@gmail.com</t>
  </si>
  <si>
    <t>Ресслер Альберт Муратович</t>
  </si>
  <si>
    <t>Ташкенская обл</t>
  </si>
  <si>
    <t>+7(977)978-53-73; +79779785373</t>
  </si>
  <si>
    <t>resslera@yandex.ru</t>
  </si>
  <si>
    <t>Реунов Алексей Геннадьевич</t>
  </si>
  <si>
    <t>+7(920)688-43-08</t>
  </si>
  <si>
    <t>alexbil@mail.ru</t>
  </si>
  <si>
    <t>Ржакова Софья Евгеньевна</t>
  </si>
  <si>
    <t>Плотниково п</t>
  </si>
  <si>
    <t>+7(904)373-65-05</t>
  </si>
  <si>
    <t>rzhakova.sofya@gmail.com</t>
  </si>
  <si>
    <t>Ризниченко Владимир Владимирович</t>
  </si>
  <si>
    <t>+7(900)310-48-50; +7(927)229-28-51; +79272292851</t>
  </si>
  <si>
    <t>riznichenko.vladimir@mail.ru</t>
  </si>
  <si>
    <t>Рогачева Екатерина Павловна</t>
  </si>
  <si>
    <t>+7(931)500-58-87</t>
  </si>
  <si>
    <t>rogachevaep2005@gmail.com</t>
  </si>
  <si>
    <t>Рогожкин Давид Александрович</t>
  </si>
  <si>
    <t>+7(949)512-29-56</t>
  </si>
  <si>
    <t>veprooo7@gmail.com</t>
  </si>
  <si>
    <t>Родина Алина Олеговна</t>
  </si>
  <si>
    <t>+7(915)353-24-00</t>
  </si>
  <si>
    <t>rodina1359@yandex.ru</t>
  </si>
  <si>
    <t>Родина Ксения Витальевна</t>
  </si>
  <si>
    <t>+79058708290; +7(905)870-38-00</t>
  </si>
  <si>
    <t>kseniarodina05@gmail.com</t>
  </si>
  <si>
    <t>Родионова Александра Сергеевна</t>
  </si>
  <si>
    <t>Красная Яруга п</t>
  </si>
  <si>
    <t>+7(906)601-65-97</t>
  </si>
  <si>
    <t>rodioalexa@yandex.ru</t>
  </si>
  <si>
    <t>Роенко Максим Артемович</t>
  </si>
  <si>
    <t>+7(922)800-23-89; 89225361748; +79855385166</t>
  </si>
  <si>
    <t>max_ro99@mail.ru</t>
  </si>
  <si>
    <t>Романенко Данил Евгеньевич</t>
  </si>
  <si>
    <t>+7(999)410-03-31; +79243735967</t>
  </si>
  <si>
    <t>danil_romanenko_2021@bk.ru</t>
  </si>
  <si>
    <t>Романов Андрей Андреевич</t>
  </si>
  <si>
    <t>(926)783-86-55</t>
  </si>
  <si>
    <t>andreirom93@mail.ru</t>
  </si>
  <si>
    <t>Романова Анастасия Евгеньевна</t>
  </si>
  <si>
    <t>+7(977)938-85-98</t>
  </si>
  <si>
    <t>Romanofa_05@mail.ru</t>
  </si>
  <si>
    <t>Рослов Николай Андреевич</t>
  </si>
  <si>
    <t>+7(921)895-31-23</t>
  </si>
  <si>
    <t>kolya99@icloud.com</t>
  </si>
  <si>
    <t>Ротенберг Михаил</t>
  </si>
  <si>
    <t>+7(985)871-94-73</t>
  </si>
  <si>
    <t>m.rotenberg2012@yandex.ru</t>
  </si>
  <si>
    <t>Ротич Джеоффри Киптануи</t>
  </si>
  <si>
    <t>Уасин Гишу г.</t>
  </si>
  <si>
    <t>+7(926)742-19-73; +7(977)371-23-99; +79773712399</t>
  </si>
  <si>
    <t>kgeoffrey72@gmail.com</t>
  </si>
  <si>
    <t>Рохаталиев Комронбек Рохатали угли</t>
  </si>
  <si>
    <t>99899308-45-13; +7(899)308-45-13</t>
  </si>
  <si>
    <t>komronrohataliev@gmail.com</t>
  </si>
  <si>
    <t>Рощупкин Данил Анатольевич</t>
  </si>
  <si>
    <t>+7(977)566-15-65; +79592133576</t>
  </si>
  <si>
    <t>kpoko06@gmail.com</t>
  </si>
  <si>
    <t>Рубан Ярослав Дмитриевич</t>
  </si>
  <si>
    <t>+7(916)477-48-93</t>
  </si>
  <si>
    <t>sqrell1@gmail.com</t>
  </si>
  <si>
    <t>Рубанов Матвей Алексеевич</t>
  </si>
  <si>
    <t>+7(906)359-39-32</t>
  </si>
  <si>
    <t>rubanov20@mail.ru</t>
  </si>
  <si>
    <t>Рубес Матвей Антонович</t>
  </si>
  <si>
    <t>+7(918)221-18-29</t>
  </si>
  <si>
    <t>matveu-2013@mail.ru</t>
  </si>
  <si>
    <t>Руденко Дарья Анатольевна</t>
  </si>
  <si>
    <t>Ангарск г</t>
  </si>
  <si>
    <t>+7(904)150-26-57</t>
  </si>
  <si>
    <t>rudenko.dasha3371@gmail.com</t>
  </si>
  <si>
    <t>Руденко Иван Николаевич</t>
  </si>
  <si>
    <t>+7(903)859-26-14</t>
  </si>
  <si>
    <t>ivan.rudenko.0000@yandex.ru</t>
  </si>
  <si>
    <t>Руденко Никита Юрьевич</t>
  </si>
  <si>
    <t>+79629246017; +7(985)936-94-94; +79859369494</t>
  </si>
  <si>
    <t>rudnichek@gmail.com</t>
  </si>
  <si>
    <t>Рукамба Эрикус Эрикус</t>
  </si>
  <si>
    <t>Танзания, Объединенная Республика</t>
  </si>
  <si>
    <t>Илала</t>
  </si>
  <si>
    <t>+7(929)999-35-33</t>
  </si>
  <si>
    <t>ericusjr12@gmail.com</t>
  </si>
  <si>
    <t>Горняк-1</t>
  </si>
  <si>
    <t>Руманова Анна Ильинична</t>
  </si>
  <si>
    <t>+7(985)916-10-71</t>
  </si>
  <si>
    <t>annaruma2005@gmail.com</t>
  </si>
  <si>
    <t>Русалиева Умида Умаралиевна</t>
  </si>
  <si>
    <t>+998931998212; +7(000)000-00-00</t>
  </si>
  <si>
    <t>umida.rusaliyeva@mail.ru</t>
  </si>
  <si>
    <t>Рыбаков Виктор Викторович</t>
  </si>
  <si>
    <t>+7(985)825-99-46</t>
  </si>
  <si>
    <t>vitya.rybakov.2005@mail.ru</t>
  </si>
  <si>
    <t>Рыбаков Роман Ильич</t>
  </si>
  <si>
    <t>Павлово г</t>
  </si>
  <si>
    <t>89065563563; +7(999)137-54-01</t>
  </si>
  <si>
    <t>romarybakov470@gmail.com</t>
  </si>
  <si>
    <t>Рыбакова София Алексеевна</t>
  </si>
  <si>
    <t>+7(904)038-87-76</t>
  </si>
  <si>
    <t>rybakovasofia@yandex.ru</t>
  </si>
  <si>
    <t>Рыженков Герман Евгеньевич</t>
  </si>
  <si>
    <t>Уссурийск г</t>
  </si>
  <si>
    <t>+7(924)260-50-19</t>
  </si>
  <si>
    <t>akleenoff@gmail.com</t>
  </si>
  <si>
    <t>Рыжикова Валерия Олеговна</t>
  </si>
  <si>
    <t>+7(980)301-78-02</t>
  </si>
  <si>
    <t>bw28@mail.ru</t>
  </si>
  <si>
    <t>Рыжичкин Кирилл Сергеевич</t>
  </si>
  <si>
    <t>+7(920)872-39-30</t>
  </si>
  <si>
    <t>oiicavvaciio@gmail.com</t>
  </si>
  <si>
    <t>Рыспекова Айгерим Рыспековна</t>
  </si>
  <si>
    <t>Таласская обл.</t>
  </si>
  <si>
    <t>с. Кызыл-Адыр</t>
  </si>
  <si>
    <t>+7(000)000-00-00; +992552555557</t>
  </si>
  <si>
    <t>Рысьев Матвей Сергеевич</t>
  </si>
  <si>
    <t>Архангельская ст-ца</t>
  </si>
  <si>
    <t>+7(918)148-53-88</t>
  </si>
  <si>
    <t>vergil190202@gmail.com</t>
  </si>
  <si>
    <t>Рыхтова Софья Александровна</t>
  </si>
  <si>
    <t>Белоозерский пгт</t>
  </si>
  <si>
    <t>+7(916)448-59-27</t>
  </si>
  <si>
    <t>sofrh@mail.ru</t>
  </si>
  <si>
    <t>Рябинина Вера Тимуровна</t>
  </si>
  <si>
    <t>+7(967)855-35-10</t>
  </si>
  <si>
    <t>vrrbnn.05@gmail.com</t>
  </si>
  <si>
    <t>Рябкова Валерия Сергеевна</t>
  </si>
  <si>
    <t>+7(937)594-34-67</t>
  </si>
  <si>
    <t>konkknity2@mail.ru</t>
  </si>
  <si>
    <t>Рябов Даниил Павлович</t>
  </si>
  <si>
    <t>+7(987)756-38-44</t>
  </si>
  <si>
    <t>Tkaachh@gmail.com</t>
  </si>
  <si>
    <t>Рябов Иван Юрьевич</t>
  </si>
  <si>
    <t>+7(906)765-93-88</t>
  </si>
  <si>
    <t>iyryabov@gmail.com</t>
  </si>
  <si>
    <t>Рябов Илья Михайлович</t>
  </si>
  <si>
    <t>+79060941365; +7(906)094-13-65</t>
  </si>
  <si>
    <t>ilia_ryabov@mail.ru</t>
  </si>
  <si>
    <t>Рябов Макар Андреевич</t>
  </si>
  <si>
    <t>89027680338; +7(950)148-80-10</t>
  </si>
  <si>
    <t>ryabov_makar@mail.ru</t>
  </si>
  <si>
    <t>Рябухина Анастасия Игоревна</t>
  </si>
  <si>
    <t>+7(921)930-14-32</t>
  </si>
  <si>
    <t>ryabukhiha2000@bk.ru</t>
  </si>
  <si>
    <t>Рябцев Никита Валерьевич</t>
  </si>
  <si>
    <t>89122302228; +7(912)233-69-44</t>
  </si>
  <si>
    <t>riabtsev.nikita8@ya.ru</t>
  </si>
  <si>
    <t>Рябченко Матвей Евгеньевич</t>
  </si>
  <si>
    <t>+7(920)354-31-70</t>
  </si>
  <si>
    <t>ryabchenko.m@icloud.com</t>
  </si>
  <si>
    <t>Рягузов Артем Алексеевич</t>
  </si>
  <si>
    <t>+79203077268; +7(930)302-11-34</t>
  </si>
  <si>
    <t>temyan2005@bk.ru</t>
  </si>
  <si>
    <t>Рязанцева Анастасия Алексеевна</t>
  </si>
  <si>
    <t>+7(910)542-11-84</t>
  </si>
  <si>
    <t>r.stacy0201@bk.ru</t>
  </si>
  <si>
    <t>Рязанцева Анастасия Викторовна</t>
  </si>
  <si>
    <t>+7(900)513-24-17</t>
  </si>
  <si>
    <t>nrazanceva10@gmail.com</t>
  </si>
  <si>
    <t>Саакян Мария Павловна</t>
  </si>
  <si>
    <t>+7(919)779-64-04</t>
  </si>
  <si>
    <t>mariya.saakyan@gmail.com</t>
  </si>
  <si>
    <t>Сабельникова Елизавета Алексеевна</t>
  </si>
  <si>
    <t>+7(980)391-64-77</t>
  </si>
  <si>
    <t>ELIZAVETASABELNIKOVA352@GMAIL.COM</t>
  </si>
  <si>
    <t>Сабитов Эмиль Жалильевич</t>
  </si>
  <si>
    <t>Рошаль г</t>
  </si>
  <si>
    <t>(915)419-22-77; +79528234332</t>
  </si>
  <si>
    <t>sabitov-emil94@mail.ru</t>
  </si>
  <si>
    <t>Савельев Максим Максимович</t>
  </si>
  <si>
    <t>+7(977)768-69-05</t>
  </si>
  <si>
    <t>maxsavjr@gmail.com</t>
  </si>
  <si>
    <t>Савин Владислав Вячеславович</t>
  </si>
  <si>
    <t>Починки г,</t>
  </si>
  <si>
    <t>+7(995)501-13-21</t>
  </si>
  <si>
    <t>vladinlove2005@gmail.com</t>
  </si>
  <si>
    <t>Савина Наталия Дмитриевна</t>
  </si>
  <si>
    <t>+7(902)695-64-36</t>
  </si>
  <si>
    <t>SAWINANATALIA2105@GMAIL.COM</t>
  </si>
  <si>
    <t>Савченко Евгений Игоревич</t>
  </si>
  <si>
    <t>+7(996)931-06-83</t>
  </si>
  <si>
    <t>savchenko.kgu@gmail.com</t>
  </si>
  <si>
    <t>Савчук Ирина Александровна</t>
  </si>
  <si>
    <t>+7(925)237-43-12</t>
  </si>
  <si>
    <t>savchuk_i05@mail.ru</t>
  </si>
  <si>
    <t>Садуева Марин Саадуевна</t>
  </si>
  <si>
    <t>89300000270; +7(977)825-67-53</t>
  </si>
  <si>
    <t>solisbyluna@mail.ru</t>
  </si>
  <si>
    <t>Садыков Руслан Рамилевич</t>
  </si>
  <si>
    <t>+79068180031; +7(906)897-95-75</t>
  </si>
  <si>
    <t>ruslanchik18@inbox.ru</t>
  </si>
  <si>
    <t>Сазонов Артём Константинович</t>
  </si>
  <si>
    <t>+7(910)469-78-10</t>
  </si>
  <si>
    <t>asazonov199@gmail.com</t>
  </si>
  <si>
    <t>Сазонов Данила Дмитриевич</t>
  </si>
  <si>
    <t>+7(914)423-93-03</t>
  </si>
  <si>
    <t>SAZONOVDNL@GMAIL.COM</t>
  </si>
  <si>
    <t>Саибназарова Даяна Хаёловна</t>
  </si>
  <si>
    <t>+7(916)848-39-85</t>
  </si>
  <si>
    <t>m1910733@edu.misis.ru</t>
  </si>
  <si>
    <t>Саидов Мухиддин Анваралиевич</t>
  </si>
  <si>
    <t>РРП, Рудаки, Джамоат Чортеппа село Джуйбодом</t>
  </si>
  <si>
    <t>Сайдалин Асанали</t>
  </si>
  <si>
    <t>Северо-Казахстанская область</t>
  </si>
  <si>
    <t>Петропавловск</t>
  </si>
  <si>
    <t>+7 916 393 9730; +7(913)605-35-15</t>
  </si>
  <si>
    <t>asanali.say@gmail.com</t>
  </si>
  <si>
    <t>Сайкин Денис Александрович</t>
  </si>
  <si>
    <t>89164266950; +7(985)581-95-33</t>
  </si>
  <si>
    <t>saykindenis@mail.ru</t>
  </si>
  <si>
    <t>Сайфетдинова Дарья Олеговна</t>
  </si>
  <si>
    <t>Талдом г</t>
  </si>
  <si>
    <t>+7(964)770-72-74</t>
  </si>
  <si>
    <t>sdasha.2006@mail.ru</t>
  </si>
  <si>
    <t>Сайфиев Хусравхон Хайруллоевич</t>
  </si>
  <si>
    <t>Согдийская обл.</t>
  </si>
  <si>
    <t>+7(965)250-15-89</t>
  </si>
  <si>
    <t>saidkhusrav@mail.ru</t>
  </si>
  <si>
    <t>Сайфуллин Артём Русланович</t>
  </si>
  <si>
    <t>+7(932)548-60-20</t>
  </si>
  <si>
    <t>lostproduction@yandex.ru</t>
  </si>
  <si>
    <t>Сала Жулиу Кикуамби</t>
  </si>
  <si>
    <t>Салами Бушра</t>
  </si>
  <si>
    <t>Управление бизнесом в цифровой экономике</t>
  </si>
  <si>
    <t>+7(977)131-63-17</t>
  </si>
  <si>
    <t>Bushra.Salami.91@mail.ru</t>
  </si>
  <si>
    <t>Салами Сиба</t>
  </si>
  <si>
    <t>+7(977)131-64-53</t>
  </si>
  <si>
    <t>Seba.salami.90@mail.ru</t>
  </si>
  <si>
    <t>Саласар Морено Матео Николас</t>
  </si>
  <si>
    <t>Эквадор</t>
  </si>
  <si>
    <t>+7(903)776-46-48</t>
  </si>
  <si>
    <t>Салогуб Дмитрий Дмитриевич</t>
  </si>
  <si>
    <t>+7(985)401-88-71</t>
  </si>
  <si>
    <t>salogub.d@mail.ru</t>
  </si>
  <si>
    <t>жена Бойченко Лада-Екатерина</t>
  </si>
  <si>
    <t>Салохов Фаридун Сухробович</t>
  </si>
  <si>
    <t>+7(925)245-36-55</t>
  </si>
  <si>
    <t>fsalokhov@bk.ru</t>
  </si>
  <si>
    <t>Салчак Айлана Чимит-Доржуевна</t>
  </si>
  <si>
    <t>Каа-Хем пгт</t>
  </si>
  <si>
    <t>+7(901)135-60-75</t>
  </si>
  <si>
    <t>salchak_2005@inbox.ru</t>
  </si>
  <si>
    <t>Сальманов Наиль Ахматзыевич</t>
  </si>
  <si>
    <t>+7(915)310-13-49</t>
  </si>
  <si>
    <t>okbnord@gmail.com</t>
  </si>
  <si>
    <t>Сальников Дмитрий Витальевич</t>
  </si>
  <si>
    <t>Петергоф г</t>
  </si>
  <si>
    <t>+7(911)942-71-54</t>
  </si>
  <si>
    <t>d.salnikov@itpz.ru</t>
  </si>
  <si>
    <t>Самаев Михаил Евгеньевич</t>
  </si>
  <si>
    <t>+7(916)513-87-85</t>
  </si>
  <si>
    <t>misha05.smv@gmail.com</t>
  </si>
  <si>
    <t>Самарцева Ирина Владимировна</t>
  </si>
  <si>
    <t>+7(905)483-38-34</t>
  </si>
  <si>
    <t>Iran.88830@gmail.com</t>
  </si>
  <si>
    <t>Самитова Светлана Андреевна</t>
  </si>
  <si>
    <t>Лесные Поляны п</t>
  </si>
  <si>
    <t>+7(929)586-63-24</t>
  </si>
  <si>
    <t>spa.86@mail.ru</t>
  </si>
  <si>
    <t>Самойленко Александр Сергеевич</t>
  </si>
  <si>
    <t>+7(915)223-45-04</t>
  </si>
  <si>
    <t>samoylenk0.alexander@yandex.ru</t>
  </si>
  <si>
    <t>Самойлова Анастасия Алексеевна</t>
  </si>
  <si>
    <t>+7(985)068-09-15</t>
  </si>
  <si>
    <t>nut.nastya@yandex.ru</t>
  </si>
  <si>
    <t>Самолдина Татьяна Валерьевна</t>
  </si>
  <si>
    <t>+79624732269; +7(964)865-88-72</t>
  </si>
  <si>
    <t>samoldina00@mail.ru</t>
  </si>
  <si>
    <t>Самохвалова Анастасия Олеговна</t>
  </si>
  <si>
    <t>+7(917)157-68-10</t>
  </si>
  <si>
    <t>samoha16nastya@mail.ru</t>
  </si>
  <si>
    <t>Самохина Анна Алексеевна</t>
  </si>
  <si>
    <t>+7(953)322-09-03</t>
  </si>
  <si>
    <t>anasamohina840@gmail.com</t>
  </si>
  <si>
    <t>Самран Хамза</t>
  </si>
  <si>
    <t>Марокко</t>
  </si>
  <si>
    <t>Мохаммедия</t>
  </si>
  <si>
    <t>+7(953)997-84-75</t>
  </si>
  <si>
    <t>mshmiziz@gmail.com</t>
  </si>
  <si>
    <t>Санарова Дарья</t>
  </si>
  <si>
    <t>+7(771)439-93-52; +7 913-926 1960</t>
  </si>
  <si>
    <t>dashasan05@mail.ru</t>
  </si>
  <si>
    <t>Санников Илья Олегович</t>
  </si>
  <si>
    <t>+7(917)530-00-23</t>
  </si>
  <si>
    <t>bled1999@mail.ru</t>
  </si>
  <si>
    <t>Сапега Виктория Константиновна</t>
  </si>
  <si>
    <t>Собинка г</t>
  </si>
  <si>
    <t>+7(910)171-83-95</t>
  </si>
  <si>
    <t>daasdaas112@gmail.com</t>
  </si>
  <si>
    <t>Сапельник Полина Игоревна</t>
  </si>
  <si>
    <t>+7(985)274-41-40</t>
  </si>
  <si>
    <t>polinasapelnik@yandex.ru</t>
  </si>
  <si>
    <t>Сапрошина Олеся Анатольевна</t>
  </si>
  <si>
    <t>79060444133; +7(906)044-41-33</t>
  </si>
  <si>
    <t>olesyasaproshina@yandex.ru</t>
  </si>
  <si>
    <t>Сапура Валерия Артуровна</t>
  </si>
  <si>
    <t>Каневская ст-ца</t>
  </si>
  <si>
    <t>+7(918)096-46-64</t>
  </si>
  <si>
    <t>89183276193qaz@gmail.com</t>
  </si>
  <si>
    <t>Сараев Андрей Александрович</t>
  </si>
  <si>
    <t>1287019; 929-613-34-71; +7(962)979-33-35</t>
  </si>
  <si>
    <t>andrey0788@yandex.ru</t>
  </si>
  <si>
    <t>Саргин Ярослав Сергеевич</t>
  </si>
  <si>
    <t>+7(995)707-56-30</t>
  </si>
  <si>
    <t>ysatts@gmail.com</t>
  </si>
  <si>
    <t>Саркисов Степан Сергеевич</t>
  </si>
  <si>
    <t>+79167659310; +7(916)888-47-97</t>
  </si>
  <si>
    <t>stemfs@gmail.com</t>
  </si>
  <si>
    <t>Сарундай Дэвид Вильфред</t>
  </si>
  <si>
    <t>Дар-эс-Салам</t>
  </si>
  <si>
    <t>Темеке</t>
  </si>
  <si>
    <t>+7(903)203-32-67; +255692366972; +255714322265</t>
  </si>
  <si>
    <t>dsarunday@gmail.com</t>
  </si>
  <si>
    <t>Сат Оран Огонекович</t>
  </si>
  <si>
    <t>8 983 591 68 48; +7(913)345-52-40</t>
  </si>
  <si>
    <t>satoran18@gmail.com</t>
  </si>
  <si>
    <t>Сатиндиева Рамиля Жыргалбековна</t>
  </si>
  <si>
    <t>+7(977)571-36-91</t>
  </si>
  <si>
    <t>satindievaramila@gmail.com</t>
  </si>
  <si>
    <t>Саторов Сафоходжа Мехроджхонович</t>
  </si>
  <si>
    <t>+7(977)256-11-38</t>
  </si>
  <si>
    <t>safoxodzha@mail.ru</t>
  </si>
  <si>
    <t>Сатторов Мухаммадумар Алишер угли</t>
  </si>
  <si>
    <t>Ферганская</t>
  </si>
  <si>
    <t>Фергана</t>
  </si>
  <si>
    <t>+7(911)239-42-60</t>
  </si>
  <si>
    <t>sattorov.mumar@rambler.ru</t>
  </si>
  <si>
    <t>Сатторов Фирдавс Азимуллоевич</t>
  </si>
  <si>
    <t>хатлонская область</t>
  </si>
  <si>
    <t>хатлонская область, Бохтар</t>
  </si>
  <si>
    <t>Сафарбеков Бехруз Зафарович</t>
  </si>
  <si>
    <t>saidzoda4646@inbox.ru</t>
  </si>
  <si>
    <t>Сафаров Аъзамджон Нарзуллоевич</t>
  </si>
  <si>
    <t>+7(925)939-38-16</t>
  </si>
  <si>
    <t>safarovazamates@yandex.ru</t>
  </si>
  <si>
    <t>Сахно Полина Валерьевна</t>
  </si>
  <si>
    <t>+7(996)955-00-68</t>
  </si>
  <si>
    <t>sakhnopv@yandex.ru</t>
  </si>
  <si>
    <t>Сацик Анастасия Андреевна</t>
  </si>
  <si>
    <t>Северный пгт</t>
  </si>
  <si>
    <t>+7(906)566-73-23</t>
  </si>
  <si>
    <t>ANASTASIASATSIK@MAIL.RU</t>
  </si>
  <si>
    <t>Саченок Даниил Алексеевич</t>
  </si>
  <si>
    <t>89031740914; +7(906)747-64-93</t>
  </si>
  <si>
    <t>ave.daniil@yandex.ru</t>
  </si>
  <si>
    <t>Саяпина Анастасия Геннадьевна</t>
  </si>
  <si>
    <t>+7(977)137-92-17</t>
  </si>
  <si>
    <t>saiapina.99@mail.ru</t>
  </si>
  <si>
    <t>Светлаков Егор Владимирович</t>
  </si>
  <si>
    <t>89229165628; +7(922)940-00-18</t>
  </si>
  <si>
    <t>svetlega10@gmail.com</t>
  </si>
  <si>
    <t>Свиридова Анастасия Алексеевна</t>
  </si>
  <si>
    <t>89228317800; +7(922)831-78-08; +79228317808</t>
  </si>
  <si>
    <t>h2gkm.out@yandex.ru</t>
  </si>
  <si>
    <t>Святогорова Ксения Евгеньевна</t>
  </si>
  <si>
    <t>+7(964)552-96-34</t>
  </si>
  <si>
    <t>kseniaaa2005@bk.ru</t>
  </si>
  <si>
    <t>Свяцкий Глеб Юрьевич</t>
  </si>
  <si>
    <t>+7(926)828-48-43</t>
  </si>
  <si>
    <t>glebsvyatsky@gmail.com</t>
  </si>
  <si>
    <t>Севидов Иван Сергеевич</t>
  </si>
  <si>
    <t>+7(980)675-01-02</t>
  </si>
  <si>
    <t>i-sevan@mail.ru</t>
  </si>
  <si>
    <t>Севумян Татьяна Баграмовна</t>
  </si>
  <si>
    <t>+7(926)939-39-91</t>
  </si>
  <si>
    <t>tianvilar@icloud.com</t>
  </si>
  <si>
    <t>Седых Владислав Анатольевич</t>
  </si>
  <si>
    <t>+7(916)445-83-31</t>
  </si>
  <si>
    <t>vladislavsedykh99@gmail.com</t>
  </si>
  <si>
    <t>Седых Дмитрий Анатольевич</t>
  </si>
  <si>
    <t>+7(960)627-22-50; +79104617770</t>
  </si>
  <si>
    <t>dima432s@yandex.ru</t>
  </si>
  <si>
    <t>Секачева Кристина Леонидовна</t>
  </si>
  <si>
    <t>+7(926)659-91-82</t>
  </si>
  <si>
    <t>m1905066@edu.misis.ru</t>
  </si>
  <si>
    <t>Селезнёв Денис Николаевич</t>
  </si>
  <si>
    <t>+7(905)740-74-48</t>
  </si>
  <si>
    <t>mr.sieliezniov@mail.ru</t>
  </si>
  <si>
    <t>Селезнева Алиса Константиновна</t>
  </si>
  <si>
    <t>+7(906)249-31-62</t>
  </si>
  <si>
    <t>alisdog9@gmail.com</t>
  </si>
  <si>
    <t>Селезнева Анастасия Олеговна</t>
  </si>
  <si>
    <t>+7(903)120-73-60; +7(903)565-27-03</t>
  </si>
  <si>
    <t>anasst.selez@yandex.ru</t>
  </si>
  <si>
    <t>Селиванов Артемий Игоревич</t>
  </si>
  <si>
    <t>Абхазия</t>
  </si>
  <si>
    <t>Бабышира</t>
  </si>
  <si>
    <t>+7(940)775-10-12</t>
  </si>
  <si>
    <t>artemiiselivanov@yandex.ru</t>
  </si>
  <si>
    <t>Селиванов Максим Викторович</t>
  </si>
  <si>
    <t>+7(925)900-28-09; +79259002809</t>
  </si>
  <si>
    <t>selivanov-99@inbox.ru</t>
  </si>
  <si>
    <t>Селивёрстов Никита Александрович</t>
  </si>
  <si>
    <t>Шенкурск г</t>
  </si>
  <si>
    <t>+7(953)935-02-06</t>
  </si>
  <si>
    <t>nikitaselver@yandex.ru</t>
  </si>
  <si>
    <t>Селиверстова Татьяна Викторовна</t>
  </si>
  <si>
    <t>Железногорск г</t>
  </si>
  <si>
    <t>+7(960)683-60-01</t>
  </si>
  <si>
    <t>tanchik1099@gmail.com</t>
  </si>
  <si>
    <t>Селина Елизавета Александровна</t>
  </si>
  <si>
    <t>+79536121354; +7(953)629-61-91</t>
  </si>
  <si>
    <t>elizabeth.selina@yandex.ru</t>
  </si>
  <si>
    <t>Селиховкин Михаил Александрович</t>
  </si>
  <si>
    <t>Северск г</t>
  </si>
  <si>
    <t>+7(923)402-12-55</t>
  </si>
  <si>
    <t>mishselikh@gmail.com</t>
  </si>
  <si>
    <t>Селищев Максим Юрьевич</t>
  </si>
  <si>
    <t>(961)042-62-30</t>
  </si>
  <si>
    <t>billybit@mail.ru</t>
  </si>
  <si>
    <t>Семенов Антон Владимирович</t>
  </si>
  <si>
    <t>9083042315; (952)023-10-83</t>
  </si>
  <si>
    <t>lenn.76@mail.ru</t>
  </si>
  <si>
    <t>Семенов Ярослав Сергеевич</t>
  </si>
  <si>
    <t>+7(924)500-75-75</t>
  </si>
  <si>
    <t>semenovworks@mail.ru</t>
  </si>
  <si>
    <t>вместе с Бушаленко И.А.</t>
  </si>
  <si>
    <t>Семенова Мария Ильинична</t>
  </si>
  <si>
    <t>+79150652003; +7(915)065-20-15</t>
  </si>
  <si>
    <t>son.maria.2302@mail.ru</t>
  </si>
  <si>
    <t>Семенова Мария Юрьевна</t>
  </si>
  <si>
    <t>Цивильск г</t>
  </si>
  <si>
    <t>+7(987)123-39-55</t>
  </si>
  <si>
    <t>maria.sem2607@gmail.com</t>
  </si>
  <si>
    <t>Семенова Юлия Александровна</t>
  </si>
  <si>
    <t>89199185423; +7(963)481-18-58</t>
  </si>
  <si>
    <t>yulkatony@gmail.com</t>
  </si>
  <si>
    <t>Семина Ольга Игоревна</t>
  </si>
  <si>
    <t>+7(916)587-22-55</t>
  </si>
  <si>
    <t>semina2005olga@gmail.com</t>
  </si>
  <si>
    <t>Семишев Егор Александрович</t>
  </si>
  <si>
    <t>+7(977)392-88-63</t>
  </si>
  <si>
    <t>esemisev@gmail.com</t>
  </si>
  <si>
    <t>Сенинг Елизавета Романовна</t>
  </si>
  <si>
    <t>89276500733; +7(927)650-07-44</t>
  </si>
  <si>
    <t>liza.sening@inbox.ru</t>
  </si>
  <si>
    <t>Сеношенко Екатерина Юрьевна</t>
  </si>
  <si>
    <t>(923)489-89-88</t>
  </si>
  <si>
    <t>katrinsen2001@gmail.com</t>
  </si>
  <si>
    <t>Сергазиева Лилия Ильдаровна</t>
  </si>
  <si>
    <t>+7(969)284-83-12</t>
  </si>
  <si>
    <t>lsergazieva@bk.ru</t>
  </si>
  <si>
    <t>Сергеев Александр Владиславович</t>
  </si>
  <si>
    <t>+7(930)757-59-55</t>
  </si>
  <si>
    <t>alexandersergeev2006@gmail.com</t>
  </si>
  <si>
    <t>Сергеев Александр Сергеевич</t>
  </si>
  <si>
    <t>+7(962)972-30-85</t>
  </si>
  <si>
    <t>mr.samolev@mail.ru</t>
  </si>
  <si>
    <t>Сергеев Даниил Николаевич</t>
  </si>
  <si>
    <t>+7(951)108-77-53</t>
  </si>
  <si>
    <t>daniil1706d@gmail.com</t>
  </si>
  <si>
    <t>Сергеев Олег Сергеевич</t>
  </si>
  <si>
    <t>(930)359-81-69</t>
  </si>
  <si>
    <t>oleg_ss2001@mail.ru</t>
  </si>
  <si>
    <t>Сергеева Ксения Андреевна</t>
  </si>
  <si>
    <t>(937)442-44-55; +7(927)363-34-40</t>
  </si>
  <si>
    <t>sergeevakseniaandreevna@yandex.ru</t>
  </si>
  <si>
    <t>Сергеева Полина Сергеевна</t>
  </si>
  <si>
    <t>+7(916)803-27-60</t>
  </si>
  <si>
    <t>POLINYCH@ICLOUD.COM</t>
  </si>
  <si>
    <t>Сергиенко Диана Дмитриевна</t>
  </si>
  <si>
    <t>+7(908)217-29-48</t>
  </si>
  <si>
    <t>dianaaa_2015@mail.ru</t>
  </si>
  <si>
    <t>Сергиенко Надежда Леонтьевна</t>
  </si>
  <si>
    <t>(962)209-16-80</t>
  </si>
  <si>
    <t>nsergienko2512@gmail.com</t>
  </si>
  <si>
    <t>Сергина Мария Михайловна</t>
  </si>
  <si>
    <t>+7(929)633-22-59</t>
  </si>
  <si>
    <t>mari.sergina@bk.ru</t>
  </si>
  <si>
    <t>Сердаров Мухаммет</t>
  </si>
  <si>
    <t>+7(977)496-18-83</t>
  </si>
  <si>
    <t>muhammet9709@mail.ru</t>
  </si>
  <si>
    <t>Сердешнов Владислав Сергеевич</t>
  </si>
  <si>
    <t>Газопровод п</t>
  </si>
  <si>
    <t>+7(989)772-04-25</t>
  </si>
  <si>
    <t>VSERDES1977@MAIL.RU</t>
  </si>
  <si>
    <t>Сердюцкий Дмитрий Владимирович</t>
  </si>
  <si>
    <t>+7(963)633-48-70</t>
  </si>
  <si>
    <t>ramses2225@mail.ru</t>
  </si>
  <si>
    <t>Серебренников Никита Евгеньевич</t>
  </si>
  <si>
    <t>+7(922)712-94-36</t>
  </si>
  <si>
    <t>nikita.se.74@mail.ru</t>
  </si>
  <si>
    <t>Серебренникова Анастасия Владимировна</t>
  </si>
  <si>
    <t>(914)516-85-06</t>
  </si>
  <si>
    <t>serebro1801@yandex.ru</t>
  </si>
  <si>
    <t>Серезо-Вестер Леон Алексеевич</t>
  </si>
  <si>
    <t>+7(988)743-38-91</t>
  </si>
  <si>
    <t>leonsereso@gmail.com</t>
  </si>
  <si>
    <t>Сериков Максим Ильич</t>
  </si>
  <si>
    <t>+7(903)502-32-92</t>
  </si>
  <si>
    <t>immaxserikov@gmail.com</t>
  </si>
  <si>
    <t>г. Реутов</t>
  </si>
  <si>
    <t>Серякова Дарья Александровна</t>
  </si>
  <si>
    <t>+7(977)577-12-61</t>
  </si>
  <si>
    <t>seryakovadashka@yandex.ru</t>
  </si>
  <si>
    <t>Сиака Дофоло Филипп</t>
  </si>
  <si>
    <t>+7(927)413-34-51</t>
  </si>
  <si>
    <t>philippe.siaka@gmail.com</t>
  </si>
  <si>
    <t>Сибко Александр Алексеевич</t>
  </si>
  <si>
    <t>Тисуль пгт</t>
  </si>
  <si>
    <t>+7(923)536-30-14</t>
  </si>
  <si>
    <t>alexandersibko@yandex.ru</t>
  </si>
  <si>
    <t>Сивеня Александр Александрович</t>
  </si>
  <si>
    <t>+7(950)063-20-43</t>
  </si>
  <si>
    <t>sivenya.shurik1324@gmail.com</t>
  </si>
  <si>
    <t>Сивко Андрей Романович</t>
  </si>
  <si>
    <t>+7(927)255-58-34</t>
  </si>
  <si>
    <t>ANDREYSIVKO21@GMAIL.COM</t>
  </si>
  <si>
    <t>Сидави Алиаа</t>
  </si>
  <si>
    <t>aliaasidawi92@gmail.com</t>
  </si>
  <si>
    <t>Сиденко Артём Анатольевич</t>
  </si>
  <si>
    <t>+7(908)198-61-61</t>
  </si>
  <si>
    <t>alucard456196@gmail.com</t>
  </si>
  <si>
    <t>Сидоров Андрей Владимирович</t>
  </si>
  <si>
    <t>+7(930)790-07-06</t>
  </si>
  <si>
    <t>andr.sidor.2001@mail.ru</t>
  </si>
  <si>
    <t>Сидоров Никита Николаевич</t>
  </si>
  <si>
    <t>+7(953)322-07-72</t>
  </si>
  <si>
    <t>nik.prohor@gmail.com</t>
  </si>
  <si>
    <t>Сидорова Ксения Михайловна</t>
  </si>
  <si>
    <t>89109831087; +7(964)495-41-02</t>
  </si>
  <si>
    <t>miks811@mail.ru</t>
  </si>
  <si>
    <t>Сидоровнин Артём Денисович</t>
  </si>
  <si>
    <t>89671212818; +7(926)629-17-64</t>
  </si>
  <si>
    <t>sidiorovninartem@mail.ru</t>
  </si>
  <si>
    <t>Сидоровская Ольга Евгеньевна</t>
  </si>
  <si>
    <t>+7(925)177-44-56</t>
  </si>
  <si>
    <t>olga_sidon@mail.ru</t>
  </si>
  <si>
    <t>Сидулин Данила Александрович</t>
  </si>
  <si>
    <t>+7(917)904-24-95</t>
  </si>
  <si>
    <t>m1900272@edu.misis.ru</t>
  </si>
  <si>
    <t>Сизова Алина Сергеевна</t>
  </si>
  <si>
    <t>+7(967)206-71-97</t>
  </si>
  <si>
    <t>sizovaalina52@gmail.com</t>
  </si>
  <si>
    <t>Симаков Александр Михайлович</t>
  </si>
  <si>
    <t>+7(919)169-31-21</t>
  </si>
  <si>
    <t>sam-25fd@mail.ru</t>
  </si>
  <si>
    <t>Симаков Даниил Павлович</t>
  </si>
  <si>
    <t>+7(926)341-00-48</t>
  </si>
  <si>
    <t>simakov2309@mail.ru</t>
  </si>
  <si>
    <t>Симонов Михаил Андреевич</t>
  </si>
  <si>
    <t>+79774284957; +7(977)428-49-58</t>
  </si>
  <si>
    <t>79774284958@mail.ru</t>
  </si>
  <si>
    <t>Синицын Данил Глебович</t>
  </si>
  <si>
    <t>+7(904)806-75-64</t>
  </si>
  <si>
    <t>ugoneid@gmail.com</t>
  </si>
  <si>
    <t>Синицын Егор Евгеньевич</t>
  </si>
  <si>
    <t>+7(903)684-82-03</t>
  </si>
  <si>
    <t>sinitzin99@gmail.com</t>
  </si>
  <si>
    <t>Синьков Илья Денисович</t>
  </si>
  <si>
    <t>+7(985)953-33-85</t>
  </si>
  <si>
    <t>SINKOVILYA9@GMAIL.COM</t>
  </si>
  <si>
    <t>Сиротина Кристина Владимировна</t>
  </si>
  <si>
    <t>+7(916)249-42-14</t>
  </si>
  <si>
    <t>pacific.gameocean@gmail.com</t>
  </si>
  <si>
    <t>Ситдиков Шамиль Рустемович</t>
  </si>
  <si>
    <t>+7(985)428-06-54</t>
  </si>
  <si>
    <t>lllamujibl@gmail.com</t>
  </si>
  <si>
    <t>Ситников Даниил Валентинович</t>
  </si>
  <si>
    <t>+7(926)498-38-22</t>
  </si>
  <si>
    <t>denix673@gmail.com</t>
  </si>
  <si>
    <t>Скибо Борис Михаилович</t>
  </si>
  <si>
    <t>(916)771-77-79; +7(985)111-11-10</t>
  </si>
  <si>
    <t>boris-skibo@yandex.ru</t>
  </si>
  <si>
    <t>Скитева Мария Александровна</t>
  </si>
  <si>
    <t>+7(915)354-60-22</t>
  </si>
  <si>
    <t>vetiks60@gmail.com</t>
  </si>
  <si>
    <t>Скоблова Мария Сергеевна</t>
  </si>
  <si>
    <t>Рославль г</t>
  </si>
  <si>
    <t>+79107299391; +7(951)697-53-46</t>
  </si>
  <si>
    <t>mashulya.skoblova@mail.ru</t>
  </si>
  <si>
    <t>Скорик Анна Константиновна</t>
  </si>
  <si>
    <t>+7(917)962-06-92</t>
  </si>
  <si>
    <t>anna.skorik333@gmail.com</t>
  </si>
  <si>
    <t>Скориченко Полина Павловна</t>
  </si>
  <si>
    <t>+7(908)689-48-30</t>
  </si>
  <si>
    <t>poskorichenko@gmail.com</t>
  </si>
  <si>
    <t>Скрябина Полина Дмитриевна</t>
  </si>
  <si>
    <t>+7(917)564-24-24</t>
  </si>
  <si>
    <t>polyer7.45@inbox.ru</t>
  </si>
  <si>
    <t>Скуковский Ян Денисович</t>
  </si>
  <si>
    <t>Пучеж г</t>
  </si>
  <si>
    <t>+7(977)771-50-11; 89771538672</t>
  </si>
  <si>
    <t>mr.skukovskij@gmail.com</t>
  </si>
  <si>
    <t>Сладков Даниил Павлович</t>
  </si>
  <si>
    <t>+79262216043; +7(905)582-31-05</t>
  </si>
  <si>
    <t>densladkov13@gmail.com</t>
  </si>
  <si>
    <t>Слепенкова Мария Дмитриевна</t>
  </si>
  <si>
    <t>+7(987)632-73-72</t>
  </si>
  <si>
    <t>MARIYSLEPENKOVA@GMAIL.COM</t>
  </si>
  <si>
    <t>Словогородская Елизавета Вячеславовна</t>
  </si>
  <si>
    <t>+7(962)367-42-07</t>
  </si>
  <si>
    <t>l.slovo05@mail.ru</t>
  </si>
  <si>
    <t>Смелков Сергей Олегович</t>
  </si>
  <si>
    <t>+7(950)834-12-27</t>
  </si>
  <si>
    <t>smelkov_sergeyy@rambler.ru</t>
  </si>
  <si>
    <t>Смирёнова Екатерина Алексеевна</t>
  </si>
  <si>
    <t>+7(920)302-63-67</t>
  </si>
  <si>
    <t>katesssmirrr@mail.ru</t>
  </si>
  <si>
    <t>Смирнов Даниил Алексеевич</t>
  </si>
  <si>
    <t>+7(916)362-29-67</t>
  </si>
  <si>
    <t>daniil.1812.smirnov@gmail.com</t>
  </si>
  <si>
    <t>Смирнов Данил Александрович</t>
  </si>
  <si>
    <t>89040969265; +7(951)760-31-47</t>
  </si>
  <si>
    <t>ya-danil2346@yandex.ru</t>
  </si>
  <si>
    <t>Смирнов Данил Алексеевич</t>
  </si>
  <si>
    <t>+7(929)316-03-80</t>
  </si>
  <si>
    <t>SM1RN0FFDAN1L@YANDEX.RU</t>
  </si>
  <si>
    <t>Смирнов Денис Андреевич</t>
  </si>
  <si>
    <t>79811281294; +7(904)618-45-40</t>
  </si>
  <si>
    <t>denchoo1993@yandex.ru</t>
  </si>
  <si>
    <t>Смирнов Михаил Андреевич</t>
  </si>
  <si>
    <t>+7(915)124-70-05</t>
  </si>
  <si>
    <t>smirnov.mihail.a@yandex.ru</t>
  </si>
  <si>
    <t>Смирнов Михаил Олегович</t>
  </si>
  <si>
    <t>(916)152-50-95</t>
  </si>
  <si>
    <t>m1900644@edu.misis.ru</t>
  </si>
  <si>
    <t>Смирнов Никита Анатольевич</t>
  </si>
  <si>
    <t>+7(930)383-34-30</t>
  </si>
  <si>
    <t>VOLGA442011@MAIL.RU</t>
  </si>
  <si>
    <t>Смирнов Павел Алексеевич</t>
  </si>
  <si>
    <t>+7(925)032-14-96</t>
  </si>
  <si>
    <t>thereverse05@gmail.com</t>
  </si>
  <si>
    <t>Смирнов Павел Николаевич</t>
  </si>
  <si>
    <t>+7(906)279-66-89</t>
  </si>
  <si>
    <t>pavelsmirnovv@mail.ru</t>
  </si>
  <si>
    <t>Смирнова Алиса Витальевна</t>
  </si>
  <si>
    <t>+7(937)071-07-11</t>
  </si>
  <si>
    <t>smirnova.alisa2005@yandex.ru</t>
  </si>
  <si>
    <t>Смирнова Анна Андреевна</t>
  </si>
  <si>
    <t>+7(967)032-85-43</t>
  </si>
  <si>
    <t>ansm20005@gmail.com</t>
  </si>
  <si>
    <t>Смирнова Анна Сергеевна</t>
  </si>
  <si>
    <t>+7(985)782-09-52</t>
  </si>
  <si>
    <t>smirn0vaa.nna@yandex.ru</t>
  </si>
  <si>
    <t>Смирнова Дарья Алексеевна</t>
  </si>
  <si>
    <t>Куровское г</t>
  </si>
  <si>
    <t>+7(977)886-68-01</t>
  </si>
  <si>
    <t>daryasmrnova056@gmail.com</t>
  </si>
  <si>
    <t>Смирнова Юлия Максимовна</t>
  </si>
  <si>
    <t>+7(916)585-66-11</t>
  </si>
  <si>
    <t>ulaowl@gmail.com</t>
  </si>
  <si>
    <t>Смольский Матвей Дмитриевич</t>
  </si>
  <si>
    <t>+7(995)140-93-94</t>
  </si>
  <si>
    <t>MATWEY.SMOLSKY@YANDEX.RU</t>
  </si>
  <si>
    <t>Смольянинова Полина Дмитриевна</t>
  </si>
  <si>
    <t>+7(952)591-56-63</t>
  </si>
  <si>
    <t>smolyaninovapolina311@gmail.com</t>
  </si>
  <si>
    <t>Смоляков Леонид Николаевич</t>
  </si>
  <si>
    <t>Досчатое рп</t>
  </si>
  <si>
    <t>+7(930)701-28-77</t>
  </si>
  <si>
    <t>leosmolyakov@mail.ru</t>
  </si>
  <si>
    <t>вместе с братом</t>
  </si>
  <si>
    <t>Смоляков Семен Николаевич</t>
  </si>
  <si>
    <t>+7(925)976-60-30</t>
  </si>
  <si>
    <t>semensmolyakov4@gmail.com</t>
  </si>
  <si>
    <t>Смородкина Людмила Юрьевна</t>
  </si>
  <si>
    <t>+7(985)314-99-93</t>
  </si>
  <si>
    <t>smorodkinakid@gmail.com</t>
  </si>
  <si>
    <t>Соболь Полина Андреевна</t>
  </si>
  <si>
    <t>+7(916)2287657</t>
  </si>
  <si>
    <t>POLINA.SOBOL.06@BK.RU</t>
  </si>
  <si>
    <t>Созинов Евгений Евгеньевич</t>
  </si>
  <si>
    <t>Мыски г</t>
  </si>
  <si>
    <t>+7(900)054-94-01</t>
  </si>
  <si>
    <t>jennsiu@mail.ru</t>
  </si>
  <si>
    <t>Соколов Василий Юрьевич</t>
  </si>
  <si>
    <t>+79250554228; +7(925)055-42-28</t>
  </si>
  <si>
    <t>vaso1982@mail.ru</t>
  </si>
  <si>
    <t>Соколов Дмитрий Юрьевич</t>
  </si>
  <si>
    <t>+7(916)230-70-05; +79259186543</t>
  </si>
  <si>
    <t>sokolov.84@mail.ru</t>
  </si>
  <si>
    <t>Соколов Сергей Андреевич</t>
  </si>
  <si>
    <t>+7(968)989-52-20</t>
  </si>
  <si>
    <t>s_sergei06@mail.ru</t>
  </si>
  <si>
    <t>Соколов Фёдор Михайлович</t>
  </si>
  <si>
    <t>+7(995)880-81-03</t>
  </si>
  <si>
    <t>mail@fsokolov.ru</t>
  </si>
  <si>
    <t>Соколов Филипп Олегович</t>
  </si>
  <si>
    <t>+7(910)434-56-08</t>
  </si>
  <si>
    <t>sokolovita2005@gmail.com</t>
  </si>
  <si>
    <t>Соколова Ангелина Артуровна</t>
  </si>
  <si>
    <t>+7(916)821-96-39</t>
  </si>
  <si>
    <t>sokolova.angelina.2018@bk.ru</t>
  </si>
  <si>
    <t>Соколова Софья Денисовна</t>
  </si>
  <si>
    <t>89106484348; +7(915)746-45-85</t>
  </si>
  <si>
    <t>falcon6905@mail.ru</t>
  </si>
  <si>
    <t>Солдайкин Николай Владимирович</t>
  </si>
  <si>
    <t>Напольное с</t>
  </si>
  <si>
    <t>(952)029-80-73</t>
  </si>
  <si>
    <t>sokolnikolai02@gmail.com</t>
  </si>
  <si>
    <t>Солнцева Варвара Алексеевна</t>
  </si>
  <si>
    <t>+7(916)201-19-26</t>
  </si>
  <si>
    <t>solncevatv@mail.ru</t>
  </si>
  <si>
    <t>Соловаров Илья Станиславович</t>
  </si>
  <si>
    <t>+7(951)955-77-57</t>
  </si>
  <si>
    <t>m1907484@edu.misis.ru</t>
  </si>
  <si>
    <t>Соловьев Вадим Дмитриевич</t>
  </si>
  <si>
    <t>+7(916)350-53-56</t>
  </si>
  <si>
    <t>soloviov.vad@gmail.com</t>
  </si>
  <si>
    <t>Соловьев Иван Сергеевич</t>
  </si>
  <si>
    <t>+7(916)198-07-07</t>
  </si>
  <si>
    <t>solovev.i.s@yandex.ru</t>
  </si>
  <si>
    <t>Соловьёв Максим Андреевич</t>
  </si>
  <si>
    <t>+7(915)723-61-80</t>
  </si>
  <si>
    <t>maks-solovev-01@mail.ru</t>
  </si>
  <si>
    <t>Соломатин Никита Максимович</t>
  </si>
  <si>
    <t>+7(920)633-36-49</t>
  </si>
  <si>
    <t>79206333649@yandex.ru</t>
  </si>
  <si>
    <t>Соломатов Леонид Сергеевич</t>
  </si>
  <si>
    <t>9080575509; (951)125-74-14</t>
  </si>
  <si>
    <t>m1910101@edu.misis.ru</t>
  </si>
  <si>
    <t>Солоницын Артем Романович</t>
  </si>
  <si>
    <t>+7(920)292-45-01</t>
  </si>
  <si>
    <t>solonitsyn07122001@yandex.ru</t>
  </si>
  <si>
    <t>Солотова Ангелина Константиновна</t>
  </si>
  <si>
    <t>+7(961)262-02-03</t>
  </si>
  <si>
    <t>solotova008@mail.ru</t>
  </si>
  <si>
    <t>Соляник Варвара Сергеевна</t>
  </si>
  <si>
    <t>+7(964)872-14-06</t>
  </si>
  <si>
    <t>var-solyanik@yandex.ru</t>
  </si>
  <si>
    <t>Сомов Кирилл Сергеевич</t>
  </si>
  <si>
    <t>Салават г</t>
  </si>
  <si>
    <t>+7(999)840-85-10</t>
  </si>
  <si>
    <t>testhomework00@gmail.com</t>
  </si>
  <si>
    <t>Сонина Дарья Вадимовна</t>
  </si>
  <si>
    <t>Белово г</t>
  </si>
  <si>
    <t>+7(995)164-52-00</t>
  </si>
  <si>
    <t>¶¶Soninadashyla@yandex.ru</t>
  </si>
  <si>
    <t>Сорокин Всеволод Алексеевич</t>
  </si>
  <si>
    <t>+7(919)974-20-96</t>
  </si>
  <si>
    <t>zakurinsutu@gmail.com</t>
  </si>
  <si>
    <t>Сорокин Денис Игоревич</t>
  </si>
  <si>
    <t>+79250752546; +7(925)199-57-92</t>
  </si>
  <si>
    <t>d3nis.s0rok@yandex.ru</t>
  </si>
  <si>
    <t>Сорокин Дмитрий Игоревич</t>
  </si>
  <si>
    <t>+79154747104; +7(926)394-34-92</t>
  </si>
  <si>
    <t>dimasorokin85@mail.ru</t>
  </si>
  <si>
    <t>Сорокин Евгений Петрович</t>
  </si>
  <si>
    <t>+7(908)784-69-85</t>
  </si>
  <si>
    <t>evgen773557@ya.ru</t>
  </si>
  <si>
    <t>Сорокин Игорь Игоревич</t>
  </si>
  <si>
    <t>+7(995)881-95-95</t>
  </si>
  <si>
    <t>8011913@mail.ru</t>
  </si>
  <si>
    <t>Сорокин Максим Андреевич</t>
  </si>
  <si>
    <t>89619872795; +7(983)102-90-43</t>
  </si>
  <si>
    <t>madmaxmafia@mail.ru</t>
  </si>
  <si>
    <t>Сорокин Никита Васильевич</t>
  </si>
  <si>
    <t>+79051298311; +7(996)922-71-04; +79969227104</t>
  </si>
  <si>
    <t>nikitabismut.time1sor@mail.ru</t>
  </si>
  <si>
    <t>Сорокина Варвара Викторовна</t>
  </si>
  <si>
    <t>89608597750; +7(967)825-34-45</t>
  </si>
  <si>
    <t>varvara22.04@mail.ru</t>
  </si>
  <si>
    <t>Сорокина Маргарита Алексеевна</t>
  </si>
  <si>
    <t>+7(987)828-05-49</t>
  </si>
  <si>
    <t>SOROKINAMARGARITA2005@GMAIL.COM</t>
  </si>
  <si>
    <t>Сотникова Ольга Владимировна</t>
  </si>
  <si>
    <t>+7(996)855-14-00</t>
  </si>
  <si>
    <t>ssolya124@gmail.com</t>
  </si>
  <si>
    <t>Сохраннов Михаил Сергеевич</t>
  </si>
  <si>
    <t>Ревда г</t>
  </si>
  <si>
    <t>+7(919)393-09-55</t>
  </si>
  <si>
    <t>sokhrannov@gmail.com</t>
  </si>
  <si>
    <t>Соцков Игнатий Николаевич</t>
  </si>
  <si>
    <t>Петушки г</t>
  </si>
  <si>
    <t>+7(961)259-73-12</t>
  </si>
  <si>
    <t>soczkov.2013@gmail.com</t>
  </si>
  <si>
    <t>Спиридонов Иван Олегович</t>
  </si>
  <si>
    <t>+7(968)910-98-40</t>
  </si>
  <si>
    <t>aset.program888@mail.ru</t>
  </si>
  <si>
    <t>Спиричева Валерия Денисовна</t>
  </si>
  <si>
    <t>+7(903)233-32-41</t>
  </si>
  <si>
    <t>eavslera@mail.ru</t>
  </si>
  <si>
    <t>Стариков Александр Юрьевич</t>
  </si>
  <si>
    <t>+7(920)035-93-20</t>
  </si>
  <si>
    <t>8saurons8@gmail.com</t>
  </si>
  <si>
    <t>Старков Сергей Алексеевич</t>
  </si>
  <si>
    <t>+7(989)612-62-38</t>
  </si>
  <si>
    <t>sergejstarkov614@gmail.com</t>
  </si>
  <si>
    <t>Старостин Вадим Валерьевич</t>
  </si>
  <si>
    <t>Хакасия Респ</t>
  </si>
  <si>
    <t>Абакан г</t>
  </si>
  <si>
    <t>+7(906)953-98-98</t>
  </si>
  <si>
    <t>vadimistar@ya.ru</t>
  </si>
  <si>
    <t>Старостин Руслан Андреевич</t>
  </si>
  <si>
    <t>Лермонтов г</t>
  </si>
  <si>
    <t>+7(915)031-19-66</t>
  </si>
  <si>
    <t>starostin130190@mail.ru</t>
  </si>
  <si>
    <t>Стафеев Иван Александрович</t>
  </si>
  <si>
    <t>+7(964)538-56-16</t>
  </si>
  <si>
    <t>vanyastafeev2000@gmail.com</t>
  </si>
  <si>
    <t>Стенина Анастасия Алексеевна</t>
  </si>
  <si>
    <t>+7(985)431-61-32</t>
  </si>
  <si>
    <t>anastasiastenina@mail.ru</t>
  </si>
  <si>
    <t>Степанов Георгий Дмитриевич</t>
  </si>
  <si>
    <t>+7(967)155-53-59</t>
  </si>
  <si>
    <t>georgest0503@mail.ru</t>
  </si>
  <si>
    <t>Степанов Георгий Сергеевич</t>
  </si>
  <si>
    <t>9160653450; 9165555415</t>
  </si>
  <si>
    <t>alla.stepanova.1972@yandex.ru</t>
  </si>
  <si>
    <t>Степанов Денис Дмитриевич</t>
  </si>
  <si>
    <t>Подгородняя Покровка с</t>
  </si>
  <si>
    <t>+7(950)185-81-38</t>
  </si>
  <si>
    <t>m1908664@edu.misis.ru</t>
  </si>
  <si>
    <t>Степанов Егор Алексеевич</t>
  </si>
  <si>
    <t>+7(920)144-19-09</t>
  </si>
  <si>
    <t>tangen1916@mail.ru</t>
  </si>
  <si>
    <t>Степанов Михаил Андреевич</t>
  </si>
  <si>
    <t>89773031484; +7(919)315-35-96</t>
  </si>
  <si>
    <t>mikstep@bk.ru</t>
  </si>
  <si>
    <t>Степанова Александра Дмитриевна</t>
  </si>
  <si>
    <t>+7(916)402-20-06</t>
  </si>
  <si>
    <t>cvrsxdqcz@gmail.com</t>
  </si>
  <si>
    <t>Степанова Ангелина Владимировна</t>
  </si>
  <si>
    <t>+7(927)818-40-30</t>
  </si>
  <si>
    <t>anfire.sept08@mail.ru</t>
  </si>
  <si>
    <t>Степанова Анна Васильевна</t>
  </si>
  <si>
    <t>89876769503; +7(919)978-89-28</t>
  </si>
  <si>
    <t>anyasmail0312@gmail.com</t>
  </si>
  <si>
    <t>Степкина Евгения Алексеевна</t>
  </si>
  <si>
    <t>+7(916)177-29-25</t>
  </si>
  <si>
    <t>2015genia@gmail.com</t>
  </si>
  <si>
    <t>Стерхова Полина Александровна</t>
  </si>
  <si>
    <t>Новый п</t>
  </si>
  <si>
    <t>+7(922)335-62-50</t>
  </si>
  <si>
    <t>dewae.sally@yandex.ru</t>
  </si>
  <si>
    <t>Сторчун Александра Романовна</t>
  </si>
  <si>
    <t>Большеустьикинское с</t>
  </si>
  <si>
    <t>+7(985)854-14-23</t>
  </si>
  <si>
    <t>aleksandrastorchun@gmail.com</t>
  </si>
  <si>
    <t>Стоценко Александр Сергеевич</t>
  </si>
  <si>
    <t>+7(916)764-89-10</t>
  </si>
  <si>
    <t>stotsenko.sanya@yandex.ru</t>
  </si>
  <si>
    <t>Стребкова Юлия Евгеньевна</t>
  </si>
  <si>
    <t>+7(926)254-21-64</t>
  </si>
  <si>
    <t>strebkova05@mail.ru</t>
  </si>
  <si>
    <t>Стрельников Александр Константинович</t>
  </si>
  <si>
    <t>+7(967)755-09-20</t>
  </si>
  <si>
    <t>akstrelnikov1@gmail.com</t>
  </si>
  <si>
    <t>Стрельников Андрей Романович</t>
  </si>
  <si>
    <t>Веселая Лопань с</t>
  </si>
  <si>
    <t>(904)531-47-88; +7(951)134-75-43</t>
  </si>
  <si>
    <t>andreistrelnikov5@gmail.com</t>
  </si>
  <si>
    <t>Стронов Максим Витальевич</t>
  </si>
  <si>
    <t>+7(917)531-91-23</t>
  </si>
  <si>
    <t>makstronov@gmail.com</t>
  </si>
  <si>
    <t>Струков Борис Михайлович</t>
  </si>
  <si>
    <t>+7(916)587-27-88</t>
  </si>
  <si>
    <t>bor.stru@yandex.ru</t>
  </si>
  <si>
    <t>Стрючков Григорий Васильевич</t>
  </si>
  <si>
    <t>+7(964)858-51-92; +7(964)858-51-92</t>
  </si>
  <si>
    <t>stryuchkov.01@mail.ru</t>
  </si>
  <si>
    <t>Стуникова Полина Евгеньевна</t>
  </si>
  <si>
    <t>+7(985)825-75-95</t>
  </si>
  <si>
    <t>polinast.animal@gmail.com</t>
  </si>
  <si>
    <t>Ступина Анастасия Александровна</t>
  </si>
  <si>
    <t>+7(910)131-42-55</t>
  </si>
  <si>
    <t>stupinaaa99@gmail.com</t>
  </si>
  <si>
    <t>Судакова Милена Евгеньевна</t>
  </si>
  <si>
    <t>Ачинск г</t>
  </si>
  <si>
    <t>+7(923)429-47-54</t>
  </si>
  <si>
    <t>sudakova-99@mail.ru</t>
  </si>
  <si>
    <t>Сулимов Максим Юрьевич</t>
  </si>
  <si>
    <t>+7(925)329-72-44</t>
  </si>
  <si>
    <t>maksimsulimov16@gmail.com</t>
  </si>
  <si>
    <t>Султанбеков Ярослав Александрович</t>
  </si>
  <si>
    <t>+79771737880; +7(901)780-19-16</t>
  </si>
  <si>
    <t>yarsult@mail.ru</t>
  </si>
  <si>
    <t>Султанов Арслан Дамирович</t>
  </si>
  <si>
    <t>+7(964)249-84-81</t>
  </si>
  <si>
    <t>mrchampion62@gmail.com</t>
  </si>
  <si>
    <t>Султанова Фатима Равильевна</t>
  </si>
  <si>
    <t>+7(985)527-31-91</t>
  </si>
  <si>
    <t>f040801@mail.ru</t>
  </si>
  <si>
    <t>Султонзода Абунаср Вахоб</t>
  </si>
  <si>
    <t>Согдийская область, Пенджикент</t>
  </si>
  <si>
    <t>Сультимов Роман Владиславович</t>
  </si>
  <si>
    <t>+7(924)651-22-57; +7(926)372-67-57</t>
  </si>
  <si>
    <t>roman.sultimov@mail.ru</t>
  </si>
  <si>
    <t>Сурина Екатерина Алексеевна</t>
  </si>
  <si>
    <t>+7(926)914-84-02</t>
  </si>
  <si>
    <t>kat-surina@mail.ru</t>
  </si>
  <si>
    <t>Сурнина Наталья Владимировна</t>
  </si>
  <si>
    <t>Сосновоборск рп</t>
  </si>
  <si>
    <t>+7(900)315-06-73</t>
  </si>
  <si>
    <t>natasurnina21@icloud.com</t>
  </si>
  <si>
    <t>Суров Дмитрий Игоревич</t>
  </si>
  <si>
    <t>+7(915)164-75-86</t>
  </si>
  <si>
    <t>m2103605@edu.misis.ru</t>
  </si>
  <si>
    <t>Суровова Юлия Сергеевна</t>
  </si>
  <si>
    <t>+7(926)256-11-51</t>
  </si>
  <si>
    <t>5061787@rambler.ru</t>
  </si>
  <si>
    <t>Суфияров Артур Мадисович</t>
  </si>
  <si>
    <t>+7(911)738-69-19</t>
  </si>
  <si>
    <t>archi1984@mail.ru</t>
  </si>
  <si>
    <t>Суханов Андрей Сергеевич</t>
  </si>
  <si>
    <t>+7(901)286-87-47; 89206778313; 89051093431</t>
  </si>
  <si>
    <t>suhanovboss2001@yandex.ru</t>
  </si>
  <si>
    <t>Сухановская Анна Владиславовна</t>
  </si>
  <si>
    <t>+7(961)908-77-96</t>
  </si>
  <si>
    <t>anna.suhanovsckaya@yandex.ru</t>
  </si>
  <si>
    <t>Сухарева Владислава Евгеньевна</t>
  </si>
  <si>
    <t>+7(922)065-24-55; +79220652455</t>
  </si>
  <si>
    <t>vlada40805@gmail.com</t>
  </si>
  <si>
    <t>Суховеев Денис Сергеевич</t>
  </si>
  <si>
    <t>89645783440; +7(968)841-06-29</t>
  </si>
  <si>
    <t>elizaveta.sukhoveeva@gmail.com</t>
  </si>
  <si>
    <t>Сушков Илья Алексеевич</t>
  </si>
  <si>
    <t>+7(917)551-90-46</t>
  </si>
  <si>
    <t>ilya6747@yandex.ru</t>
  </si>
  <si>
    <t>Сущина Екатерина Сергеевна</t>
  </si>
  <si>
    <t>+7(929)733-25-70</t>
  </si>
  <si>
    <t>katya.sushchina@mail.ru</t>
  </si>
  <si>
    <t>Сыдыгалиев Эльжан Тагайбекович</t>
  </si>
  <si>
    <t>+7(901)507-41-20</t>
  </si>
  <si>
    <t>eljanhik@gmail.com</t>
  </si>
  <si>
    <t>Сысоев Максим Алексеевич</t>
  </si>
  <si>
    <t>+7(917)545-52-22; +79175455222</t>
  </si>
  <si>
    <t>maksim.sysoev12@gmail.com</t>
  </si>
  <si>
    <t>Сычева Екатерина Петровна</t>
  </si>
  <si>
    <t>Злынка г</t>
  </si>
  <si>
    <t>+79206032209; +7(919)192-21-75</t>
  </si>
  <si>
    <t>y-sycheva_05@mail.ru</t>
  </si>
  <si>
    <t>Сычиков Владимир Андреевич</t>
  </si>
  <si>
    <t>+7(985)738-23-80</t>
  </si>
  <si>
    <t>vlasych368@mail.ru</t>
  </si>
  <si>
    <t>Сямиуллин Рамил Вафинович</t>
  </si>
  <si>
    <t>Красная Горка с</t>
  </si>
  <si>
    <t>89524671101; +7(901)737-14-86</t>
  </si>
  <si>
    <t>keiser.ramil@gmail.com</t>
  </si>
  <si>
    <t>Табачнов Игорь Евгеньевич</t>
  </si>
  <si>
    <t>+79877156770; +7(987)725-89-44</t>
  </si>
  <si>
    <t>tabachnov.igor@mail.ru</t>
  </si>
  <si>
    <t>Тагаев Егор Андреевич</t>
  </si>
  <si>
    <t>+7(916)922-35-77; +79169223577</t>
  </si>
  <si>
    <t>tagaev.egor@mail.ru</t>
  </si>
  <si>
    <t>Тагильцев Михаил Юрьевич</t>
  </si>
  <si>
    <t>+7(910)373-41-45</t>
  </si>
  <si>
    <t>m1909434@edu.misis.ru</t>
  </si>
  <si>
    <t>Тагирова Камила Вадимовна</t>
  </si>
  <si>
    <t>+7(960)383-40-75</t>
  </si>
  <si>
    <t>kamiuha21@yandex.ru</t>
  </si>
  <si>
    <t>Тадыщенко Никита Викторович</t>
  </si>
  <si>
    <t>+7(910)451-26-17; +79161861525</t>
  </si>
  <si>
    <t>novaitake@gmail.com</t>
  </si>
  <si>
    <t>Тажиев Умид Каримович</t>
  </si>
  <si>
    <t>+998930383742; +7(888)888-88-88</t>
  </si>
  <si>
    <t>tajiyev.umid@mail.ru</t>
  </si>
  <si>
    <t>Талалина Марина Игоревна</t>
  </si>
  <si>
    <t>+7(980)642-56-45</t>
  </si>
  <si>
    <t>m.talalina@yandex.ru</t>
  </si>
  <si>
    <t>Таланцев Глеб Александрович</t>
  </si>
  <si>
    <t>89127797835; +7(912)303-13-63</t>
  </si>
  <si>
    <t>glebtalantcev@gmail.com</t>
  </si>
  <si>
    <t>вместе с Брежневым Г.А. и Клименко Д.Д.</t>
  </si>
  <si>
    <t>Талхигов Асламбек Умарович</t>
  </si>
  <si>
    <t>+7(989)914-71-86</t>
  </si>
  <si>
    <t>Aslambek.talxigov@mail.ru</t>
  </si>
  <si>
    <t>Тамаева Асия Славиковна</t>
  </si>
  <si>
    <t>+7(918)822-91-48</t>
  </si>
  <si>
    <t>tamaevass2018@gmail.com</t>
  </si>
  <si>
    <t>Танчев Денис Андреевич</t>
  </si>
  <si>
    <t>89606005221; (906)630-44-62</t>
  </si>
  <si>
    <t>dentanchev@mail.ru</t>
  </si>
  <si>
    <t>Танюшкина Дарья Сергеевна</t>
  </si>
  <si>
    <t>+7(903)521-45-10</t>
  </si>
  <si>
    <t>bien.ou.rien@gmail.com</t>
  </si>
  <si>
    <t>Таранов Артём Игоревич</t>
  </si>
  <si>
    <t>89625813530; +7(962)120-63-60</t>
  </si>
  <si>
    <t>arttaranovbusiness@gmail.com</t>
  </si>
  <si>
    <t>Тарасов Максим Дмитриевич</t>
  </si>
  <si>
    <t>(903)016-39-73; +79030163973</t>
  </si>
  <si>
    <t>diexcry@mail.ru</t>
  </si>
  <si>
    <t>Тарасова Марина Викторовна</t>
  </si>
  <si>
    <t>Мещовск г</t>
  </si>
  <si>
    <t>+7(977)740-14-83</t>
  </si>
  <si>
    <t>marina-tarasova-99@mail.ru</t>
  </si>
  <si>
    <t>Тасиса Давит Меконен</t>
  </si>
  <si>
    <t>Эфиопия</t>
  </si>
  <si>
    <t>Гимби</t>
  </si>
  <si>
    <t>davadave308@gmail.com</t>
  </si>
  <si>
    <t>Татарников Иван Борисович</t>
  </si>
  <si>
    <t>+7(977)813-75-69</t>
  </si>
  <si>
    <t>zona904@yandex.ru</t>
  </si>
  <si>
    <t>Татару Анна Николаевна</t>
  </si>
  <si>
    <t>+7(925)636-28-76</t>
  </si>
  <si>
    <t>antataru@gmail.com</t>
  </si>
  <si>
    <t>Татарцев Александр Сергеевич</t>
  </si>
  <si>
    <t>+79376485988; +7(927)027-01-11</t>
  </si>
  <si>
    <t>alexander.tatartsev@gmail.com</t>
  </si>
  <si>
    <t>Тацишин Михаил Сергеевич</t>
  </si>
  <si>
    <t>89027616656; +7(914)906-48-01</t>
  </si>
  <si>
    <t>mtatsishin@yandex.ru</t>
  </si>
  <si>
    <t>Творогов Артем Ильич</t>
  </si>
  <si>
    <t>89056479441; (961)154-23-82; +7(980)701-10-26; +79092799660</t>
  </si>
  <si>
    <t>tvorogov1423@mail.ru</t>
  </si>
  <si>
    <t>Телица Артем Александрович</t>
  </si>
  <si>
    <t>Первомайский п</t>
  </si>
  <si>
    <t>+7(928)414-54-73</t>
  </si>
  <si>
    <t>artyom1799phys@gmail.com</t>
  </si>
  <si>
    <t>дата приезда после 10 сентября (проблема с билетами)</t>
  </si>
  <si>
    <t>Темерева Анастасия Олеговна</t>
  </si>
  <si>
    <t>(962)019-01-57</t>
  </si>
  <si>
    <t>temereva.2001@mail.ru</t>
  </si>
  <si>
    <t>Тенце Мария Алексеевна</t>
  </si>
  <si>
    <t>(950)893-04-03; +7(953)755-83-83; +79508930403</t>
  </si>
  <si>
    <t>tencemaria8@gmail.com</t>
  </si>
  <si>
    <t>Тепловодская Майя Владимировна</t>
  </si>
  <si>
    <t>+7(909)738-12-29</t>
  </si>
  <si>
    <t>someone.maija@yandex.ru</t>
  </si>
  <si>
    <t>Теплюк Максим Андреевич</t>
  </si>
  <si>
    <t>Котлас г</t>
  </si>
  <si>
    <t>+79212977275; +7(911)560-09-17; +79115600917</t>
  </si>
  <si>
    <t>maximkatep@mail.ru</t>
  </si>
  <si>
    <t>Теревникова Полина Николаевна</t>
  </si>
  <si>
    <t>+7(925)844-25-42</t>
  </si>
  <si>
    <t>polinaterevnikova@gmail.com</t>
  </si>
  <si>
    <t>Теркулов Дмитрий Аделевич</t>
  </si>
  <si>
    <t>+7(985)981-45-67</t>
  </si>
  <si>
    <t>akter63@mail.ru</t>
  </si>
  <si>
    <t>Терюха Дарья Романовна</t>
  </si>
  <si>
    <t>+7(918)4611302; +7(918)095-47-89</t>
  </si>
  <si>
    <t>danya245dara@gmail.com</t>
  </si>
  <si>
    <t>Тесфамариам Теклеаб Андемариам</t>
  </si>
  <si>
    <t>Некаит</t>
  </si>
  <si>
    <t>+7(991)224-65-96</t>
  </si>
  <si>
    <t>takleabande07@gmail.com</t>
  </si>
  <si>
    <t>Тимонин Владислав Владимирович</t>
  </si>
  <si>
    <t>+7(912)442-25-70</t>
  </si>
  <si>
    <t>vladislavtimonin108@gmail.com</t>
  </si>
  <si>
    <t>Тимофеев Артём Сергеевич</t>
  </si>
  <si>
    <t>+7(916)220-31-78</t>
  </si>
  <si>
    <t>okgj5@yandex.ru</t>
  </si>
  <si>
    <t>Тимофеева Алёна Андреевна</t>
  </si>
  <si>
    <t>+7(977)469-90-29</t>
  </si>
  <si>
    <t>alenyonok5@gmail.com</t>
  </si>
  <si>
    <t>Тимохин Владимир Дмитриевич</t>
  </si>
  <si>
    <t>+7(968)003-50-01</t>
  </si>
  <si>
    <t>prototype2356@mail.ru</t>
  </si>
  <si>
    <t>Тимохин Леонид Сергеевич</t>
  </si>
  <si>
    <t>79030051246; +7(969)282-09-59</t>
  </si>
  <si>
    <t>timothy1611@yandex.ru</t>
  </si>
  <si>
    <t>Тимощук София Александровна</t>
  </si>
  <si>
    <t>+7(925)979-44-20</t>
  </si>
  <si>
    <t>timoshuksofia@yandex.ru</t>
  </si>
  <si>
    <t>Титлова Ксения Витальевна</t>
  </si>
  <si>
    <t>+79176583217; +7(919)655-37-63</t>
  </si>
  <si>
    <t>titlova1011@gmail.com</t>
  </si>
  <si>
    <t>Титов Павел Александрович</t>
  </si>
  <si>
    <t>+7(916)547-81-11</t>
  </si>
  <si>
    <t>ptitov1999@gmail.com</t>
  </si>
  <si>
    <t>Титова Дарьяна Александровна</t>
  </si>
  <si>
    <t>Коломна г</t>
  </si>
  <si>
    <t>+7(916)128-66-86</t>
  </si>
  <si>
    <t>titova.daryana@yandex.ru</t>
  </si>
  <si>
    <t>Титова Надежда Алексеевна</t>
  </si>
  <si>
    <t>+7(964)178-77-36</t>
  </si>
  <si>
    <t>tithope@mail.ru</t>
  </si>
  <si>
    <t>Тихмянова Алиса Дмитриевна</t>
  </si>
  <si>
    <t>+7(909)150-65-05</t>
  </si>
  <si>
    <t>Tikhmyanovaad@mail.ru</t>
  </si>
  <si>
    <t>Тихомирова Александра Романовна</t>
  </si>
  <si>
    <t>Ногинск г</t>
  </si>
  <si>
    <t>+7(903)564-50-40</t>
  </si>
  <si>
    <t>sasa100305@gmail.com</t>
  </si>
  <si>
    <t>Тихонов Антон Александрович</t>
  </si>
  <si>
    <t>+7(962)511-15-36</t>
  </si>
  <si>
    <t>TIHONOVANTON784@MAIL.RU</t>
  </si>
  <si>
    <t>Тихонов Владимир Юрьевич</t>
  </si>
  <si>
    <t>89261011672 Мама; +7(926)949-53-64</t>
  </si>
  <si>
    <t>goldenfox511@gmail.com</t>
  </si>
  <si>
    <t>Тихонов Иван Алексеевич</t>
  </si>
  <si>
    <t>+7(985)563-31-00</t>
  </si>
  <si>
    <t>dreamwastaken@mail.ru</t>
  </si>
  <si>
    <t>Тихонов Кирилл Валерьевич</t>
  </si>
  <si>
    <t>Братск г</t>
  </si>
  <si>
    <t>+7(983)055-45-69</t>
  </si>
  <si>
    <t>tikhonovkv@bk.ru</t>
  </si>
  <si>
    <t>Тихонов Савелий Сергеевич</t>
  </si>
  <si>
    <t>+7(961)717-13-72</t>
  </si>
  <si>
    <t>tikhonov.saveliy.250803@mail.ru</t>
  </si>
  <si>
    <t>Тишин Сергей Александрович</t>
  </si>
  <si>
    <t>Полотняный Завод п</t>
  </si>
  <si>
    <t>(910)594-35-48</t>
  </si>
  <si>
    <t>ziigfred@yandex.ru</t>
  </si>
  <si>
    <t>Ткачева Елизавета Геннадьевна</t>
  </si>
  <si>
    <t>+7(903)282-36-27; +7(960)137-04-17</t>
  </si>
  <si>
    <t>tkachevaelisaveta@gmail.com</t>
  </si>
  <si>
    <t>Ткачева Елизавета Евгеньевна</t>
  </si>
  <si>
    <t>+7(925)837-92-09</t>
  </si>
  <si>
    <t>lizon003@mail.ru</t>
  </si>
  <si>
    <t>Ткачева Мария Алексеевна</t>
  </si>
  <si>
    <t>Петропавловка с</t>
  </si>
  <si>
    <t>+7(951)856-20-61</t>
  </si>
  <si>
    <t>tkatschevamascha@gmail.com</t>
  </si>
  <si>
    <t>Ткаченко Ольга Петровна</t>
  </si>
  <si>
    <t>+7(908)050-35-52</t>
  </si>
  <si>
    <t>ol.tk.05@mail.ru</t>
  </si>
  <si>
    <t>Ткаченя Артур Леонидович</t>
  </si>
  <si>
    <t>(926)599-70-81</t>
  </si>
  <si>
    <t>artur.tka.01@gmail.com</t>
  </si>
  <si>
    <t>Токарев Антон Андреевич</t>
  </si>
  <si>
    <t>Литвиново д</t>
  </si>
  <si>
    <t>+7(996)415-96-88</t>
  </si>
  <si>
    <t>Anton2003warf@mail.ru</t>
  </si>
  <si>
    <t>Токарев Максим Олегович</t>
  </si>
  <si>
    <t>+79518670574; +7(961)616-42-11</t>
  </si>
  <si>
    <t>maxtokar2099@gmail.com</t>
  </si>
  <si>
    <t>Токарев Максим Романович</t>
  </si>
  <si>
    <t>+79510719124; +7(929)663-48-49</t>
  </si>
  <si>
    <t>biggamess@yandex.ru</t>
  </si>
  <si>
    <t>Токаренко Полина Александровна</t>
  </si>
  <si>
    <t>+7(950)188-89-07</t>
  </si>
  <si>
    <t>polinatokarenko17@gmail.com</t>
  </si>
  <si>
    <t>Токин Георгий Михайлович</t>
  </si>
  <si>
    <t>Щёлково</t>
  </si>
  <si>
    <t>+7(916)044-16-91</t>
  </si>
  <si>
    <t>njrb@mail.ru</t>
  </si>
  <si>
    <t>Толипов Жавохир Ботир угли</t>
  </si>
  <si>
    <t>Ахангаран</t>
  </si>
  <si>
    <t>+998931827804; +7(000)000-00-00</t>
  </si>
  <si>
    <t>j.tolipov@agmk.uz</t>
  </si>
  <si>
    <t>Толмачева Владислава Евгеньевна</t>
  </si>
  <si>
    <t>+7(909)512-74-91</t>
  </si>
  <si>
    <t>tolm.vlada@mail.ru</t>
  </si>
  <si>
    <t>Толстенко Александр Александрович</t>
  </si>
  <si>
    <t>Минеральные Воды г</t>
  </si>
  <si>
    <t>+7(928)344-08-19</t>
  </si>
  <si>
    <t>m1904434@edu.misis.ru</t>
  </si>
  <si>
    <t>Толстобров Данила Игоревич</t>
  </si>
  <si>
    <t>Артем г</t>
  </si>
  <si>
    <t>+7(924)336-42-43</t>
  </si>
  <si>
    <t>danila.tolstobrov.01@mail.ru</t>
  </si>
  <si>
    <t>Толстов Артём Вадимович</t>
  </si>
  <si>
    <t>+7(909)535-38-68</t>
  </si>
  <si>
    <t>3868ar@gmail.com</t>
  </si>
  <si>
    <t>Томачинский Артём Васильевич</t>
  </si>
  <si>
    <t>+79165120286; +7(985)127-71-54</t>
  </si>
  <si>
    <t>ar.tomach@gmail.com</t>
  </si>
  <si>
    <t>Томпсон Дэниел Дэниел Эдем</t>
  </si>
  <si>
    <t>+7(999)683-46-50</t>
  </si>
  <si>
    <t>danialthompsonspgs2021@gmail.com</t>
  </si>
  <si>
    <t>Тонкова Анна Вадимовна</t>
  </si>
  <si>
    <t>+7(912)050-67-63</t>
  </si>
  <si>
    <t>atonkova301@gmail.com</t>
  </si>
  <si>
    <t>Тонченко Полина Владимировна</t>
  </si>
  <si>
    <t>+7(985)505-38-25</t>
  </si>
  <si>
    <t>polinatonchenko@ya.ru</t>
  </si>
  <si>
    <t>Торопогрицкая Виктория Павловна</t>
  </si>
  <si>
    <t>Комсомольск-на-Амуре г</t>
  </si>
  <si>
    <t>+79156853284; +7(915)685-32-84</t>
  </si>
  <si>
    <t>victoriattrp@mail.ru</t>
  </si>
  <si>
    <t>Тотоева Алина Борисовна</t>
  </si>
  <si>
    <t>+79188245270; +7(918)826-94-80</t>
  </si>
  <si>
    <t>alinatotoeva02@gmail.com</t>
  </si>
  <si>
    <t>Точенников Никита Романович</t>
  </si>
  <si>
    <t>+79147564886; +7(962)120-75-85</t>
  </si>
  <si>
    <t>to4nik06@gmail.com</t>
  </si>
  <si>
    <t>Травянова Ксения Андреевна</t>
  </si>
  <si>
    <t>8(977)5190858; +7(977)519-08-58</t>
  </si>
  <si>
    <t>ksu_5002@list.ru</t>
  </si>
  <si>
    <t>Третьяков Михаил Михайлович</t>
  </si>
  <si>
    <t>+79127453473; +7(963)541-54-73</t>
  </si>
  <si>
    <t>mmtretyakov@yandex.ru</t>
  </si>
  <si>
    <t>Третьяков Николай Михайлович</t>
  </si>
  <si>
    <t>+7(937)225-00-16</t>
  </si>
  <si>
    <t>tretyakovnika@gmail.com</t>
  </si>
  <si>
    <t>Третьякова Галина Сергеевна</t>
  </si>
  <si>
    <t>+7(925)328-72-55</t>
  </si>
  <si>
    <t>n1902523@misis.ru</t>
  </si>
  <si>
    <t>Тришкин Юрий Дмитриевич</t>
  </si>
  <si>
    <t>+7(926)163-23-56</t>
  </si>
  <si>
    <t>urik-83@mail.ru</t>
  </si>
  <si>
    <t>Троицкая Юлия Олеговна</t>
  </si>
  <si>
    <t>+7(916)093-64-35</t>
  </si>
  <si>
    <t>julia.v.2004@mail.ru</t>
  </si>
  <si>
    <t>Троицких Олеся Сергеевна</t>
  </si>
  <si>
    <t>+7(950)188-75-99</t>
  </si>
  <si>
    <t>troitskikho@mail.ru</t>
  </si>
  <si>
    <t>Тронец Алексей Юрьевич</t>
  </si>
  <si>
    <t>Лобня г</t>
  </si>
  <si>
    <t>+7(930)115-06-44</t>
  </si>
  <si>
    <t>alextronets@mail.ru</t>
  </si>
  <si>
    <t>Трофимов Иван Романович</t>
  </si>
  <si>
    <t>+7(925)923-16-32</t>
  </si>
  <si>
    <t>ivantrofimov2001@yandex.ru</t>
  </si>
  <si>
    <t>Трофимов Павел Евгеньевич</t>
  </si>
  <si>
    <t>Новинки д</t>
  </si>
  <si>
    <t>+7(916)230-70-83</t>
  </si>
  <si>
    <t>9162307083@mail.ru</t>
  </si>
  <si>
    <t>Трофимов Платон Васильевич</t>
  </si>
  <si>
    <t>+7(993)350-28-13</t>
  </si>
  <si>
    <t>plat.trofimov@yandex.ru</t>
  </si>
  <si>
    <t>Трофимова Татьяна Андреевна</t>
  </si>
  <si>
    <t>+7(906)135-48-22</t>
  </si>
  <si>
    <t>tata25012005@gmail.com</t>
  </si>
  <si>
    <t>Трохимец Анна Владимировна</t>
  </si>
  <si>
    <t>+7(958)821-98-87</t>
  </si>
  <si>
    <t>anna260211kat@mail.ru</t>
  </si>
  <si>
    <t>Троц Владислав Вадимович</t>
  </si>
  <si>
    <t>+7(968)745-46-90; +7(906)058-09-55</t>
  </si>
  <si>
    <t>t.vlad.t04@gmail.com</t>
  </si>
  <si>
    <t>Трудова Виктория Владимировна</t>
  </si>
  <si>
    <t>89608740414; +7(961)066-63-22</t>
  </si>
  <si>
    <t>siriusvika@mail.ru</t>
  </si>
  <si>
    <t>Трухачева Дарья Юрьевна</t>
  </si>
  <si>
    <t>+7(977)947-75-60</t>
  </si>
  <si>
    <t>dtrukhacheva@gmail.com</t>
  </si>
  <si>
    <t>Трухильо Маркес Дайян</t>
  </si>
  <si>
    <t>Гавана г.</t>
  </si>
  <si>
    <t>+7(991)162-49-77</t>
  </si>
  <si>
    <t>dayan.trujillo@gmail.com</t>
  </si>
  <si>
    <t>Трушков Глеб Викторович</t>
  </si>
  <si>
    <t>+7(931)310-03-12</t>
  </si>
  <si>
    <t>GLEB050305@GMAIL.COM</t>
  </si>
  <si>
    <t>Тудаков Максим Вячеславович</t>
  </si>
  <si>
    <t>+7(904)342-93-94</t>
  </si>
  <si>
    <t>maks.tudakov@mail.ru</t>
  </si>
  <si>
    <t>Тужикова Анастасия Вадимовна</t>
  </si>
  <si>
    <t>+7(952)146-68-58</t>
  </si>
  <si>
    <t>qwertyder@list.ru</t>
  </si>
  <si>
    <t>Туйгунова Екатерина Ильшатовна</t>
  </si>
  <si>
    <t>+7(938)875-05-95</t>
  </si>
  <si>
    <t>klarness@list.ru</t>
  </si>
  <si>
    <t>Туманов Владислав Юрьевич</t>
  </si>
  <si>
    <t>+7(986)742-99-40</t>
  </si>
  <si>
    <t>yyzxxzz@gmail.com</t>
  </si>
  <si>
    <t>Тураев Денис Дмитриевич</t>
  </si>
  <si>
    <t>+7(913)634-88-66</t>
  </si>
  <si>
    <t>denturaew@mail.ru</t>
  </si>
  <si>
    <t>Турсунбаева Сабина Ерлановна</t>
  </si>
  <si>
    <t>САТПАЕВ</t>
  </si>
  <si>
    <t>+7(771)096-12-27</t>
  </si>
  <si>
    <t>tursunbaeva.sabina.12@gmail.com</t>
  </si>
  <si>
    <t>Турсунов Асрор Парвизович</t>
  </si>
  <si>
    <t>+992552555557; +7(999)999-99-99</t>
  </si>
  <si>
    <t>Турсунов Тимур Рустамович</t>
  </si>
  <si>
    <t>+7(977)188-49-81</t>
  </si>
  <si>
    <t>ttimur2001@mail.ru</t>
  </si>
  <si>
    <t>Турсунов Шамшод Дилшодович</t>
  </si>
  <si>
    <t>+7(000)000-00-00; +992918993371</t>
  </si>
  <si>
    <t>tursunovshamshod70@gmail.ru</t>
  </si>
  <si>
    <t>Туртыгин Александр Владимирович</t>
  </si>
  <si>
    <t>+7(912)216-26-18</t>
  </si>
  <si>
    <t>aleksturtygin@gmail.com</t>
  </si>
  <si>
    <t>Турусов Василий Андреевич</t>
  </si>
  <si>
    <t>+7(962)204-97-76</t>
  </si>
  <si>
    <t>vesyolaya.katka@gmail.com</t>
  </si>
  <si>
    <t>Турчин Никита Вадимович</t>
  </si>
  <si>
    <t>+7(985)190-70-43</t>
  </si>
  <si>
    <t>nikturchin@yandex.ru</t>
  </si>
  <si>
    <t>Тучкин Владислав Сергеевич</t>
  </si>
  <si>
    <t>+7(977)165-75-66</t>
  </si>
  <si>
    <t>ponchuganst@gmail.com</t>
  </si>
  <si>
    <t>Тхайцук Алим Асланович</t>
  </si>
  <si>
    <t>Сухум</t>
  </si>
  <si>
    <t>+7(940)997-38-18</t>
  </si>
  <si>
    <t>alimainar222@gmail.com</t>
  </si>
  <si>
    <t>Тылибцев Александр Денисович</t>
  </si>
  <si>
    <t>+7(963)019-71-63</t>
  </si>
  <si>
    <t>sasha154634@gmail.com</t>
  </si>
  <si>
    <t>Тымкив Настасья</t>
  </si>
  <si>
    <t>+7(771)140-31-64</t>
  </si>
  <si>
    <t>nastatymkiv@gmail.com</t>
  </si>
  <si>
    <t>Тычинин Андрей Алексеевич</t>
  </si>
  <si>
    <t>+7(925)046-87-46</t>
  </si>
  <si>
    <t>TYCHININAN2005@GMAIL.COM</t>
  </si>
  <si>
    <t>Тюньков Артем Викторович</t>
  </si>
  <si>
    <t>+7(999)799-71-92</t>
  </si>
  <si>
    <t>tyunkovt@mail.ru</t>
  </si>
  <si>
    <t>Тюхова Мария Петровна</t>
  </si>
  <si>
    <t>+7(915)181-53-22</t>
  </si>
  <si>
    <t>tyumary@mail.ru</t>
  </si>
  <si>
    <t>Угнич Никита Дмитриевич</t>
  </si>
  <si>
    <t>+7(000)000-00-00; +375445525801</t>
  </si>
  <si>
    <t>nick.1050@mail.ru</t>
  </si>
  <si>
    <t>Угулава Даниил Давидович</t>
  </si>
  <si>
    <t>+7(968)710-92-46</t>
  </si>
  <si>
    <t>daniil-ugulava@mail.ru</t>
  </si>
  <si>
    <t>Ужегова Ирена Саладиновна</t>
  </si>
  <si>
    <t>+7(950)717-88-30</t>
  </si>
  <si>
    <t>irenauzh@icloud.com</t>
  </si>
  <si>
    <t>Узлов Даниил Юрьевич</t>
  </si>
  <si>
    <t>+7(901)779-09-51</t>
  </si>
  <si>
    <t>sharkkey2@gmail.com</t>
  </si>
  <si>
    <t>Уиддир Абдеррахман</t>
  </si>
  <si>
    <t>Айн-Эль-Хаммам</t>
  </si>
  <si>
    <t>ouiddir24@gmail.com</t>
  </si>
  <si>
    <t>Улановская Анастасия Максимовна</t>
  </si>
  <si>
    <t>+7(962)922-34-60</t>
  </si>
  <si>
    <t>NASTASYA006MU@MAIL.RU</t>
  </si>
  <si>
    <t>Умбетьяров Алишер Ербулатулы</t>
  </si>
  <si>
    <t>89198573340; +7(747)463-93-55</t>
  </si>
  <si>
    <t>umbetyarovalisher@gmail.com</t>
  </si>
  <si>
    <t>Умылин Владислав Евгеньевич</t>
  </si>
  <si>
    <t>Жигулевск г</t>
  </si>
  <si>
    <t>+7(919)720-07-25</t>
  </si>
  <si>
    <t>v.umylin@mail.ru</t>
  </si>
  <si>
    <t>Уросов Дмитрий Игоревич</t>
  </si>
  <si>
    <t>+7(919)925-62-98</t>
  </si>
  <si>
    <t>dima.urosov@yandex.ru</t>
  </si>
  <si>
    <t>Усенков Дмитрий Сергеевич</t>
  </si>
  <si>
    <t>Муром г</t>
  </si>
  <si>
    <t>89042543125; +7(900)582-36-92</t>
  </si>
  <si>
    <t>excellentoverwatch@gmail.com</t>
  </si>
  <si>
    <t>Усманов Дилшод Хидиралиевич</t>
  </si>
  <si>
    <t>+998931821486; +7(999)999-99-99</t>
  </si>
  <si>
    <t>dilshod.usmanov2021@mail.ru</t>
  </si>
  <si>
    <t>Устенко Ольга Анатольевна</t>
  </si>
  <si>
    <t>+79782806488; +7(925)396-09-07</t>
  </si>
  <si>
    <t>jeontei06@gmail.com</t>
  </si>
  <si>
    <t>Устинов Арсений Михайлович</t>
  </si>
  <si>
    <t>(916)368-36-70</t>
  </si>
  <si>
    <t>ua50000@mail.ru</t>
  </si>
  <si>
    <t>Устинова Александра Игоревна</t>
  </si>
  <si>
    <t>89850476578; +7(985)047-65-66; +79850476566</t>
  </si>
  <si>
    <t>sashaystinova03@gmail.com</t>
  </si>
  <si>
    <t>Уткин Даниил Сергеевич</t>
  </si>
  <si>
    <t>+7(981)824-03-91</t>
  </si>
  <si>
    <t>utkin_danil@mail.ru</t>
  </si>
  <si>
    <t>Утнасунова Альмина Басанговна</t>
  </si>
  <si>
    <t>+79613956945; +7(961)842-13-00</t>
  </si>
  <si>
    <t>alminautnasunova1328@gmail.com</t>
  </si>
  <si>
    <t>Ухванова Валерия Валерьевна</t>
  </si>
  <si>
    <t>+7(951)057-16-04</t>
  </si>
  <si>
    <t>uhvanova2@mail.ru</t>
  </si>
  <si>
    <t>Ушаков Егор Игоревич</t>
  </si>
  <si>
    <t>+7(916)745-28-60</t>
  </si>
  <si>
    <t>ush_1999@mail.ru</t>
  </si>
  <si>
    <t>Ушакова Александра Юрьевна</t>
  </si>
  <si>
    <t>+79506793254; +7(952)056-16-72</t>
  </si>
  <si>
    <t>sasha.u.y@mail.ru</t>
  </si>
  <si>
    <t>Ушанкова Екатерина Сергеевна</t>
  </si>
  <si>
    <t>+7(950)629-20-05</t>
  </si>
  <si>
    <t>ushankova.k@mail.ru</t>
  </si>
  <si>
    <t>Ушкалова Дана Станиславовна</t>
  </si>
  <si>
    <t>89889935239; +7(988)993-52-39</t>
  </si>
  <si>
    <t>dushkalova92@gmail.com</t>
  </si>
  <si>
    <t>Фаворов Валентин Олегович</t>
  </si>
  <si>
    <t>Филипповское с</t>
  </si>
  <si>
    <t>(966)317-75-42</t>
  </si>
  <si>
    <t>exton1402@gmail.com</t>
  </si>
  <si>
    <t>Фадеев Александр Викторович</t>
  </si>
  <si>
    <t>+7(916)152-40-03</t>
  </si>
  <si>
    <t>youqyou1@yandex.ru</t>
  </si>
  <si>
    <t>Фадеев Александр Юрьевич</t>
  </si>
  <si>
    <t>(999)920-45-25</t>
  </si>
  <si>
    <t>frogcatcher@mail.ru</t>
  </si>
  <si>
    <t>Фадеев Владислав Валерьевич</t>
  </si>
  <si>
    <t>79066490924; +7(977)518-43-09</t>
  </si>
  <si>
    <t>fadeevladik@gmail.com</t>
  </si>
  <si>
    <t>Фаизов Данис Ильгизович</t>
  </si>
  <si>
    <t>+7(950)516-47-06</t>
  </si>
  <si>
    <t>danis.faizov.05@mail.ru</t>
  </si>
  <si>
    <t>Файзуллоев Талбонжон Саиджалолович</t>
  </si>
  <si>
    <t>+7(999)546-45-55</t>
  </si>
  <si>
    <t>talbonsho@mail.ru</t>
  </si>
  <si>
    <t>Фам Ван Хуан</t>
  </si>
  <si>
    <t>Ханой г.</t>
  </si>
  <si>
    <t>+7(996)361-99-68</t>
  </si>
  <si>
    <t>hucmphamvan51@gmail.com</t>
  </si>
  <si>
    <t>Фаткуллин Альберт Линарович</t>
  </si>
  <si>
    <t>+7(991)304-13-66</t>
  </si>
  <si>
    <t>hoolcooldool@mail.ru</t>
  </si>
  <si>
    <t>Фатхутдинова Гузель Марсовна</t>
  </si>
  <si>
    <t>-; +7(927)321-19-64</t>
  </si>
  <si>
    <t>fatkhutdinova.guzel2014@yandex.ru</t>
  </si>
  <si>
    <t>Феденко Софья Александровна</t>
  </si>
  <si>
    <t>89166905246; +7(925)829-15-25</t>
  </si>
  <si>
    <t>safsaf1533@gmail.com</t>
  </si>
  <si>
    <t>Фёдоров Артем Сергеевич</t>
  </si>
  <si>
    <t>-; +7(926)927-30-00</t>
  </si>
  <si>
    <t>m1906753@edu.misis.ru</t>
  </si>
  <si>
    <t>Федоров Дмитрий Михайлович</t>
  </si>
  <si>
    <t>+7(906)076-86-33</t>
  </si>
  <si>
    <t>mr.deen42@gmail.com</t>
  </si>
  <si>
    <t>Федоров Евгений Александрович</t>
  </si>
  <si>
    <t>+7(905)198-08-05</t>
  </si>
  <si>
    <t>mashiro.itsko@mail.ru</t>
  </si>
  <si>
    <t>Федоров Егор Иванович</t>
  </si>
  <si>
    <t>+7(985)575-10-20</t>
  </si>
  <si>
    <t>e.i.fedorov@mail.ru</t>
  </si>
  <si>
    <t>Федоров Илья Андреевич</t>
  </si>
  <si>
    <t>+7(937)914-35-57</t>
  </si>
  <si>
    <t>m1903804@edu.misis.ru</t>
  </si>
  <si>
    <t>Федоров Пётр Юрьевич</t>
  </si>
  <si>
    <t>Маркова рп</t>
  </si>
  <si>
    <t>+7(964)128-61-10</t>
  </si>
  <si>
    <t>fedorov2016b@gmail.com</t>
  </si>
  <si>
    <t>Фёдорова Кристина Николаевна</t>
  </si>
  <si>
    <t>Фролово г</t>
  </si>
  <si>
    <t>+79996258049; +7(904)429-37-09</t>
  </si>
  <si>
    <t>fedorovakristina252@gmail.com</t>
  </si>
  <si>
    <t>Федосеева Виктория Романовна</t>
  </si>
  <si>
    <t>89774464721; +7(977)446-47-25</t>
  </si>
  <si>
    <t>offivica@gmail.com</t>
  </si>
  <si>
    <t>Федотенко Александр Дмитриевич</t>
  </si>
  <si>
    <t>+7(915)431-41-10</t>
  </si>
  <si>
    <t>fedotenko05@mail.ru</t>
  </si>
  <si>
    <t>Федоткин Илия Олегович</t>
  </si>
  <si>
    <t>+7(977)605-95-07; +79776059507</t>
  </si>
  <si>
    <t>ifcodev@gmail.com</t>
  </si>
  <si>
    <t>Федотов Александр Дмитриевич</t>
  </si>
  <si>
    <t>+7(903)526-30-32</t>
  </si>
  <si>
    <t>sashok12221998@mail.ru</t>
  </si>
  <si>
    <t>Федотов Михаил Сергеевич</t>
  </si>
  <si>
    <t>89517739068; (999)581-26-15</t>
  </si>
  <si>
    <t>mr.fedotov.01@mail.ru</t>
  </si>
  <si>
    <t>Федотова Анастасия Андреевна</t>
  </si>
  <si>
    <t>Ромашково с</t>
  </si>
  <si>
    <t>+7(929)657-44-20</t>
  </si>
  <si>
    <t>Afedotova105@yandex.ru</t>
  </si>
  <si>
    <t>Федрушкова Юлия Вячеславовна</t>
  </si>
  <si>
    <t>89775877326; +7(985)304-21-47</t>
  </si>
  <si>
    <t>tata_f@bk.ru</t>
  </si>
  <si>
    <t>Федулов Платон Сергеевич</t>
  </si>
  <si>
    <t>Ясногорск г</t>
  </si>
  <si>
    <t>+7(962)272-37-42</t>
  </si>
  <si>
    <t>platonfps@yandex.ru</t>
  </si>
  <si>
    <t>Федунь Богдан Владимирович</t>
  </si>
  <si>
    <t>+7(977)021-14-93</t>
  </si>
  <si>
    <t>bogdanfedu@gmail.com</t>
  </si>
  <si>
    <t>Федчишен Андрей Анатольевич</t>
  </si>
  <si>
    <t>+7(918)347-56-65</t>
  </si>
  <si>
    <t>a.fedchishen04@gmail.com</t>
  </si>
  <si>
    <t>Федюнин Егор Алексеевич</t>
  </si>
  <si>
    <t>+7(962)626-35-53</t>
  </si>
  <si>
    <t>egorfedunin@mail.ru</t>
  </si>
  <si>
    <t>Фейгенберг Михаил Ильич</t>
  </si>
  <si>
    <t>+7(902)444-67-60</t>
  </si>
  <si>
    <t>mrpack801@gmail.com</t>
  </si>
  <si>
    <t>Феклистова Александра Аркадьевна</t>
  </si>
  <si>
    <t>9610824949; (909)388-23-74; +79093882374</t>
  </si>
  <si>
    <t>feklistova.sashaa@mail.ru</t>
  </si>
  <si>
    <t>Фельдман Мария Александровна</t>
  </si>
  <si>
    <t>89225150047; (341)242-00-64</t>
  </si>
  <si>
    <t>masefeld2910@gmail.com</t>
  </si>
  <si>
    <t>Фетисов Алексей Александрович</t>
  </si>
  <si>
    <t>(985)306-99-08</t>
  </si>
  <si>
    <t>inbox@alexeyfetisov.ru</t>
  </si>
  <si>
    <t>Фефилова Екатерина Сергеевна</t>
  </si>
  <si>
    <t>+7(912)740-41-85</t>
  </si>
  <si>
    <t>kotya092004@yandex.ru</t>
  </si>
  <si>
    <t>Филатова Алиса Игоревна</t>
  </si>
  <si>
    <t>9588294734; (916)144-40-46</t>
  </si>
  <si>
    <t>alis.2001@yandex.ru</t>
  </si>
  <si>
    <t>Филатова Анна Дмитриевна</t>
  </si>
  <si>
    <t>+7(985)909-66-75</t>
  </si>
  <si>
    <t>nesss.annn@ya.ru</t>
  </si>
  <si>
    <t>Филатова Полина Дмитриевна</t>
  </si>
  <si>
    <t>+7(916)981-87-91</t>
  </si>
  <si>
    <t>robot004004@mail.ru</t>
  </si>
  <si>
    <t>Филимонов Максим Олегович</t>
  </si>
  <si>
    <t>+7(903)596-84-16</t>
  </si>
  <si>
    <t>mfiv@ya.ru</t>
  </si>
  <si>
    <t>Филимончук Леонид Иванович</t>
  </si>
  <si>
    <t>+7(916)628-12-64</t>
  </si>
  <si>
    <t>leonfilimon2@gmail.com</t>
  </si>
  <si>
    <t>Филина Яна Михайловна</t>
  </si>
  <si>
    <t>+7(965)530-98-63</t>
  </si>
  <si>
    <t>0.yanafilina.0@gmail.com</t>
  </si>
  <si>
    <t>Филиппов Андрей Игоревич</t>
  </si>
  <si>
    <t>+7(952)632-61-48</t>
  </si>
  <si>
    <t>anfiig.ru@gmail.com</t>
  </si>
  <si>
    <t>Филиппов Антон Сергеевич</t>
  </si>
  <si>
    <t>84997477014; +7(963)640-83-29</t>
  </si>
  <si>
    <t>anthfil2972@mail.ru</t>
  </si>
  <si>
    <t>Филиппов Артём Иванович</t>
  </si>
  <si>
    <t>Ясногорск пгт</t>
  </si>
  <si>
    <t>+7(914)443-63-56; +7(985)392-18-33</t>
  </si>
  <si>
    <t>chtotib2015@mail.ru</t>
  </si>
  <si>
    <t>Филиппов Пётр Олегович</t>
  </si>
  <si>
    <t>+7(916)754-60-59</t>
  </si>
  <si>
    <t>pfilipplmap5073@gmail.com</t>
  </si>
  <si>
    <t>Филиппова Екатерина Владимировна</t>
  </si>
  <si>
    <t>+7(915)292-87-19</t>
  </si>
  <si>
    <t>ekaterinafilippova0202@gmail.com</t>
  </si>
  <si>
    <t>Филиппова Марина Олеговна</t>
  </si>
  <si>
    <t>+79166197118; +7(985)013-06-11</t>
  </si>
  <si>
    <t>mfilippova05@gmail.com</t>
  </si>
  <si>
    <t>Филиппович Наталья Васильевна</t>
  </si>
  <si>
    <t>+7(926)651-60-09</t>
  </si>
  <si>
    <t>filipova.nati@inbox.ru</t>
  </si>
  <si>
    <t>Фирсов Артём Сергеевич</t>
  </si>
  <si>
    <t>89265920548; +7(925)461-23-60</t>
  </si>
  <si>
    <t>artyom.firsov.2018@mail.ru</t>
  </si>
  <si>
    <t>Флегонтов Владислав Артемович</t>
  </si>
  <si>
    <t>79165830031; +7(926)482-22-97</t>
  </si>
  <si>
    <t>vladislav.flegontov@yandex.com</t>
  </si>
  <si>
    <t>Фокаиди Виктор Николаевич</t>
  </si>
  <si>
    <t>+7(915)409-31-07</t>
  </si>
  <si>
    <t>endrviking@gmail.com</t>
  </si>
  <si>
    <t>Фокина Татьяна Владимировна</t>
  </si>
  <si>
    <t>+7(961)151-94-30</t>
  </si>
  <si>
    <t>tfokina663@yandex.ru</t>
  </si>
  <si>
    <t>Фоменко Артём Алексеевич</t>
  </si>
  <si>
    <t>+79033163756; +7(960)882-60-60</t>
  </si>
  <si>
    <t>fomenko.artyom.05@mail.ru</t>
  </si>
  <si>
    <t>Фомин Вячеслав Владимирович</t>
  </si>
  <si>
    <t>+7(916)141-85-81</t>
  </si>
  <si>
    <t>fominvv2@gmail.com</t>
  </si>
  <si>
    <t>Фомина Анна Александровна</t>
  </si>
  <si>
    <t>+79771178135; +7(988)137-24-12</t>
  </si>
  <si>
    <t>anna.skachenko@gmail.com</t>
  </si>
  <si>
    <t>Фомичева Мария Валериевна</t>
  </si>
  <si>
    <t>(919)077-12-88</t>
  </si>
  <si>
    <t>marifom6@gmail.com</t>
  </si>
  <si>
    <t>Фортунатов Максим Борисович</t>
  </si>
  <si>
    <t>+7(915)407-95-90</t>
  </si>
  <si>
    <t>max.fortunatov@gmail.com</t>
  </si>
  <si>
    <t>Фортунов Петр Дмитриевич</t>
  </si>
  <si>
    <t>+7(707)834-84-59</t>
  </si>
  <si>
    <t>fortunovpetrgod@mail.ru</t>
  </si>
  <si>
    <t>Фролов Денис Олегович</t>
  </si>
  <si>
    <t>denisf.05@mail.ru</t>
  </si>
  <si>
    <t>Фролов Сергей Алексеевич</t>
  </si>
  <si>
    <t>+7(953)970-92-08</t>
  </si>
  <si>
    <t>cep5555@yandex.ru</t>
  </si>
  <si>
    <t>Фролова Светлана Алексеевна</t>
  </si>
  <si>
    <t>+79166077452; +7(916)427-16-18</t>
  </si>
  <si>
    <t>svetkabkmz98@gmail.com</t>
  </si>
  <si>
    <t>Фруктов Артём Антонович</t>
  </si>
  <si>
    <t>+7(916)963-00-13</t>
  </si>
  <si>
    <t>frumartem2005@mail.ru</t>
  </si>
  <si>
    <t>Фукс Евгений Александрович</t>
  </si>
  <si>
    <t>Орск г</t>
  </si>
  <si>
    <t>+7(906)834-35-65</t>
  </si>
  <si>
    <t>faksevgenyy@gmail.com</t>
  </si>
  <si>
    <t>Фунг Туан Ань</t>
  </si>
  <si>
    <t>+7(996)581-46-71</t>
  </si>
  <si>
    <t>tuananh.021105@gmail.com</t>
  </si>
  <si>
    <t>Хабибзода Мухаммадумар Фозил</t>
  </si>
  <si>
    <t>Панджакент</t>
  </si>
  <si>
    <t>+992558021100; +7(925)245-36-55</t>
  </si>
  <si>
    <t>razokov2002@bk.ru</t>
  </si>
  <si>
    <t>Хабибулин Эльдар Эмильевич</t>
  </si>
  <si>
    <t>Ташкент г.</t>
  </si>
  <si>
    <t>+7(977)482-63-99</t>
  </si>
  <si>
    <t>eldarkh98@gmail.com</t>
  </si>
  <si>
    <t>Хабибуллин Адиль Артурович</t>
  </si>
  <si>
    <t>Шаран с</t>
  </si>
  <si>
    <t>+7(987)104-08-54</t>
  </si>
  <si>
    <t>ADILKHABIBULLIN5@GMAIL.COM</t>
  </si>
  <si>
    <t>Хабибуллин Данияр Айратович</t>
  </si>
  <si>
    <t>+7(939)731-86-36</t>
  </si>
  <si>
    <t>habibullindaniar@gmail.com</t>
  </si>
  <si>
    <t>Хагба Гарри Анзорович</t>
  </si>
  <si>
    <t>Гагра</t>
  </si>
  <si>
    <t>+7(940)968-67-26</t>
  </si>
  <si>
    <t>khagba1999@mail.ru</t>
  </si>
  <si>
    <t>Хадарина Тереза Александровна</t>
  </si>
  <si>
    <t>+7(901)504-06-16</t>
  </si>
  <si>
    <t>khadarina27@gmail.com</t>
  </si>
  <si>
    <t>Хазан Алексей Петрович</t>
  </si>
  <si>
    <t>+7(977)294-71-05</t>
  </si>
  <si>
    <t>alexeyhazan@yandex.ru</t>
  </si>
  <si>
    <t>Хаитов Холмурод Бобосаидович</t>
  </si>
  <si>
    <t>Хайдаров Тимур Бахтиёрович</t>
  </si>
  <si>
    <t>89162223428; +7(916)932-80-93</t>
  </si>
  <si>
    <t>timon2699@mail.ru</t>
  </si>
  <si>
    <t>Хайдукова Мария Игоревна</t>
  </si>
  <si>
    <t>+7(908)7086554</t>
  </si>
  <si>
    <t>yamaha.chel@gmail.com</t>
  </si>
  <si>
    <t>Хайретдинова Динара Ринатовна</t>
  </si>
  <si>
    <t>+7(925)844-25-57</t>
  </si>
  <si>
    <t>m1701531@edu.misis.ru</t>
  </si>
  <si>
    <t>Хакимова Диана Юрьевна</t>
  </si>
  <si>
    <t>Варламово п</t>
  </si>
  <si>
    <t>+7(996)741-52-06; +79967415206</t>
  </si>
  <si>
    <t>diana.khakimova.05@list.ru</t>
  </si>
  <si>
    <t>Хакимова Мадина Неъматжон кизи</t>
  </si>
  <si>
    <t>+998944191015; +7(968)928-76-43</t>
  </si>
  <si>
    <t>madinakhakimovaa@mail.ru</t>
  </si>
  <si>
    <t>Халафов Джамал Назирович</t>
  </si>
  <si>
    <t>9269743692; +7(977)977-22-17</t>
  </si>
  <si>
    <t>joyllerone@gmail.com</t>
  </si>
  <si>
    <t>Халилов Ашраф Азамжонович</t>
  </si>
  <si>
    <t>+79915683044; +7(000)000-00-00</t>
  </si>
  <si>
    <t>ashrafkhalilov@mail.ru</t>
  </si>
  <si>
    <t>Халимова Рамила Гюльагаевна</t>
  </si>
  <si>
    <t>89268945629; +7(929)995-03-10</t>
  </si>
  <si>
    <t>ramila11111@yandex.ru</t>
  </si>
  <si>
    <t>Халифаев Шарафманд Рахмонович</t>
  </si>
  <si>
    <t>район Айни, поселок Зарафшон-1</t>
  </si>
  <si>
    <t>Халуторных Александр</t>
  </si>
  <si>
    <t>+7(705)303-42-13</t>
  </si>
  <si>
    <t>lol2q4erh@gmail.com</t>
  </si>
  <si>
    <t>Хамидов Оятуллох Амруллоджонович</t>
  </si>
  <si>
    <t>+7(992)174-21-29</t>
  </si>
  <si>
    <t>oyatullo2129@mail.ru</t>
  </si>
  <si>
    <t>Харламов Андрей Николаевич</t>
  </si>
  <si>
    <t>+7(999)806-20-59</t>
  </si>
  <si>
    <t>andrei_har@mail.ru</t>
  </si>
  <si>
    <t>Харченко Анастасия Павловна</t>
  </si>
  <si>
    <t>+7(916)401-74-37</t>
  </si>
  <si>
    <t>harchenkonasty2000@gmail.com</t>
  </si>
  <si>
    <t>Харыбин Николай Владимирович</t>
  </si>
  <si>
    <t>+7(919)103-38-92</t>
  </si>
  <si>
    <t>kolya-84@bk.ru</t>
  </si>
  <si>
    <t>Хасан Ахмад</t>
  </si>
  <si>
    <t>+79295620679; +7(929)562-06-79</t>
  </si>
  <si>
    <t>ahmadaboalaa1995@gmail.com</t>
  </si>
  <si>
    <t>Хасанов Шохбоз Бахтиёрович</t>
  </si>
  <si>
    <t>+7(925)438-83-00</t>
  </si>
  <si>
    <t>shaxbozxasanov20@gmail.com</t>
  </si>
  <si>
    <t>Хасанова Аниса Сергеевна</t>
  </si>
  <si>
    <t>+7(919)029-25-67</t>
  </si>
  <si>
    <t>anisa.hasanova@inbox.ru</t>
  </si>
  <si>
    <t>Хаскашев Паймон Шохинович</t>
  </si>
  <si>
    <t>+7(977)736-05-70</t>
  </si>
  <si>
    <t>p.shohinn@mail.ru</t>
  </si>
  <si>
    <t>Хафизов Ренат Расхасович</t>
  </si>
  <si>
    <t>+7(929)485-15-05</t>
  </si>
  <si>
    <t>renat07khaf@mail.ru</t>
  </si>
  <si>
    <t>Хахалин Владимир Дмитриевич</t>
  </si>
  <si>
    <t>Октябрьский (Октябрьский с/о) п</t>
  </si>
  <si>
    <t>+7(910)153-95-89</t>
  </si>
  <si>
    <t>m1707842@edu.misis.ru</t>
  </si>
  <si>
    <t>Хачиров Антон Вячеславович</t>
  </si>
  <si>
    <t>Лебедевка с</t>
  </si>
  <si>
    <t>+7(927)378-27-12</t>
  </si>
  <si>
    <t>khachirovanton@gmail.com</t>
  </si>
  <si>
    <t>Хвощ Лилия Леонидовна</t>
  </si>
  <si>
    <t>+7(926)155-40-11</t>
  </si>
  <si>
    <t>khvoshch.Liliya@gmail.com</t>
  </si>
  <si>
    <t>Хитро Анна Владимировна</t>
  </si>
  <si>
    <t>+7(926)308-20-17</t>
  </si>
  <si>
    <t>khitroanna@gmail.com</t>
  </si>
  <si>
    <t>Хихеев Николай Германович</t>
  </si>
  <si>
    <t>+7(999)803-80-71</t>
  </si>
  <si>
    <t>hiheevn24@gmail.com</t>
  </si>
  <si>
    <t>Хлебникова Дарья Сергеевна</t>
  </si>
  <si>
    <t>+79195005357; +7(912)361-59-41</t>
  </si>
  <si>
    <t>dariaoft@gmail.com</t>
  </si>
  <si>
    <t>Хлопцев Артём Евгеньевич</t>
  </si>
  <si>
    <t>+7(917)391-84-95; +79173918495</t>
  </si>
  <si>
    <t>konetkinet@gmail.com</t>
  </si>
  <si>
    <t>Хмелев Артем Сергеевич</t>
  </si>
  <si>
    <t>Зырянск с</t>
  </si>
  <si>
    <t>+7(924)398-32-66</t>
  </si>
  <si>
    <t>artiom.hmelyov@mail.ru</t>
  </si>
  <si>
    <t>Хмилевский Алексей Дмитриевич</t>
  </si>
  <si>
    <t>Гаджиево г</t>
  </si>
  <si>
    <t>+79113433795; +7(911)302-65-55</t>
  </si>
  <si>
    <t>akhmilevskiy@gmail.com</t>
  </si>
  <si>
    <t>Ховалыг Дажы-Доржу Эресович</t>
  </si>
  <si>
    <t>+7(996)609-93-50</t>
  </si>
  <si>
    <t>HOVALYG_D@MAIL.RU</t>
  </si>
  <si>
    <t>Ходан Лилия Аркадьевна</t>
  </si>
  <si>
    <t>2.10.2</t>
  </si>
  <si>
    <t>Экологическая безопасность</t>
  </si>
  <si>
    <t>Новый Оскол г</t>
  </si>
  <si>
    <t>+7(916)370-73-40</t>
  </si>
  <si>
    <t>hodan2012@mail.ru</t>
  </si>
  <si>
    <t>Ходжаев Комронбек Камилович</t>
  </si>
  <si>
    <t>+7(993)587-81-95</t>
  </si>
  <si>
    <t>komronjon.khojaev@gmail.com</t>
  </si>
  <si>
    <t>Ходжаева Офтобхон Камиловна</t>
  </si>
  <si>
    <t>Города и районы центрального подчинения</t>
  </si>
  <si>
    <t>+992903300799; +7(925)245-36-55</t>
  </si>
  <si>
    <t>amunisaa@inbox.ru</t>
  </si>
  <si>
    <t>Хожасаитова Полина Маратовна</t>
  </si>
  <si>
    <t>+7(996)560-77-90</t>
  </si>
  <si>
    <t>khozhasaitova@bk.ru</t>
  </si>
  <si>
    <t>Хозром Ияд Мохаммед Нассер</t>
  </si>
  <si>
    <t>+7(999)155-49-22</t>
  </si>
  <si>
    <t>iyadhosrom2015@gmail.com</t>
  </si>
  <si>
    <t>Холиков Амонуллохуджа Абдукадимович</t>
  </si>
  <si>
    <t>Ленинабадская область</t>
  </si>
  <si>
    <t>+7(925)923-06-64</t>
  </si>
  <si>
    <t>amonullo.26.02@mail.ru</t>
  </si>
  <si>
    <t>Холина Александра Дмитриевна</t>
  </si>
  <si>
    <t>+7(920)883-46-43</t>
  </si>
  <si>
    <t>alexa.khol@gmail.com</t>
  </si>
  <si>
    <t>Холина Мария Евгеньевна</t>
  </si>
  <si>
    <t>+7(962)390-57-92</t>
  </si>
  <si>
    <t>kyxna155@gmail.com</t>
  </si>
  <si>
    <t>Холматов Комилджон Махтумджонович</t>
  </si>
  <si>
    <t>Джайхун</t>
  </si>
  <si>
    <t>+7(925)579-70-04; +992939096064</t>
  </si>
  <si>
    <t>komiljonmaksudjon@gmail.com</t>
  </si>
  <si>
    <t>Холматов Мансуржон Зиёдилла Угли</t>
  </si>
  <si>
    <t>+998900076149; +7(890)007-61-49</t>
  </si>
  <si>
    <t>xolmatovmansurjon83@gmail.com</t>
  </si>
  <si>
    <t>Холова Гулноза Олимджоновна</t>
  </si>
  <si>
    <t>Города и районы республиканского подчинения</t>
  </si>
  <si>
    <t>+992936360332; +7(925)245-36-55</t>
  </si>
  <si>
    <t>nosyrova02@mail.ru</t>
  </si>
  <si>
    <t>Холова Манижа Изатуллоевна</t>
  </si>
  <si>
    <t>+7(000)000-00-00; +992502227071</t>
  </si>
  <si>
    <t>mmnzhak@gmail.com</t>
  </si>
  <si>
    <t>Холькина Анна Александровна</t>
  </si>
  <si>
    <t>+7(968)989-15-97</t>
  </si>
  <si>
    <t>kholkina.a2021@gmail.com</t>
  </si>
  <si>
    <t>Хомятов Александр Михайлович</t>
  </si>
  <si>
    <t>+79162158080; +7(985)177-73-48</t>
  </si>
  <si>
    <t>khomiatov@gmail.com</t>
  </si>
  <si>
    <t>Хонер Павел Дмитриевич</t>
  </si>
  <si>
    <t>Братовщина с</t>
  </si>
  <si>
    <t>+7(916)880-08-73</t>
  </si>
  <si>
    <t>khonerworki@gmail.com</t>
  </si>
  <si>
    <t>Храмов Андрей Викторович</t>
  </si>
  <si>
    <t>+7(903)040-45-37</t>
  </si>
  <si>
    <t>Andrey.rty.uiop@gmail.com</t>
  </si>
  <si>
    <t>Храмов Глеб Аркадьевич</t>
  </si>
  <si>
    <t>+7(985)732-74-27</t>
  </si>
  <si>
    <t>khramovgleb40@gmail.com</t>
  </si>
  <si>
    <t>Хребтов Никита Станиславович</t>
  </si>
  <si>
    <t>Леоновка с</t>
  </si>
  <si>
    <t>+7(983)455-27-51</t>
  </si>
  <si>
    <t>hrebtovnikita95@gmail.com</t>
  </si>
  <si>
    <t>Хребтова Наталья Андреевна</t>
  </si>
  <si>
    <t>89043055878; +7(909)085-20-74</t>
  </si>
  <si>
    <t>xrebtosha@gmail.com</t>
  </si>
  <si>
    <t>Хрисанов Илья Игоревич</t>
  </si>
  <si>
    <t>+7(916)651-55-80; +79166515580</t>
  </si>
  <si>
    <t>ilya.hrisanov@gmail.com</t>
  </si>
  <si>
    <t>Хромов Михаил Романович</t>
  </si>
  <si>
    <t>+79169275490; +7(985)633-73-67</t>
  </si>
  <si>
    <t>khromov05@gmail.com</t>
  </si>
  <si>
    <t>Хромушкин Кирилл Денисович</t>
  </si>
  <si>
    <t>+7(915)697-22-46</t>
  </si>
  <si>
    <t>hromushkin2010@yandex.ru</t>
  </si>
  <si>
    <t>Хромых Дмитрий Владимирович</t>
  </si>
  <si>
    <t>+7(977)330-10-57; 89200887626</t>
  </si>
  <si>
    <t>Dima.Khromykh@gmail.com</t>
  </si>
  <si>
    <t>Худоногова Алина</t>
  </si>
  <si>
    <t>Улытауская обл.</t>
  </si>
  <si>
    <t>Жезды п.</t>
  </si>
  <si>
    <t>+7(705)952-96-94</t>
  </si>
  <si>
    <t>a-khudonogova@inbox.ru</t>
  </si>
  <si>
    <t>Худякова Виктория Дмитриевна</t>
  </si>
  <si>
    <t>+7(920)616-13-58</t>
  </si>
  <si>
    <t>VIKTORIAHUDAKRVA@GMAIL.COM</t>
  </si>
  <si>
    <t>Хужаев Шухрат Рустамович</t>
  </si>
  <si>
    <t>Ферганская область</t>
  </si>
  <si>
    <t>+998939836141; +7(926)748-29-77</t>
  </si>
  <si>
    <t>newtminha@gmail.com</t>
  </si>
  <si>
    <t>Хуинь Чан ан Бинь</t>
  </si>
  <si>
    <t>Лонг Ан г.</t>
  </si>
  <si>
    <t>+7(996)976-31-44</t>
  </si>
  <si>
    <t>anbinh16298@gmail.com</t>
  </si>
  <si>
    <t>Хусаинов Марат Саярович</t>
  </si>
  <si>
    <t>+7(916)330-93-39</t>
  </si>
  <si>
    <t>marat10@mail.ru</t>
  </si>
  <si>
    <t>Хусанов Миродил Абдукодир Угли</t>
  </si>
  <si>
    <t>+7(901)697-46-47</t>
  </si>
  <si>
    <t>husanov_00@mail.ru</t>
  </si>
  <si>
    <t>Хуснуллин Руслан Алексеевич</t>
  </si>
  <si>
    <t>-; +7(916)585-69-52</t>
  </si>
  <si>
    <t>dend58878@gmail.com</t>
  </si>
  <si>
    <t>Хыльма Виринея Данииловна</t>
  </si>
  <si>
    <t>+7(985)838-63-35</t>
  </si>
  <si>
    <t>virineya@khylma.ru</t>
  </si>
  <si>
    <t>Цалилова Арина Романовна</t>
  </si>
  <si>
    <t>+7(925)358-23-63</t>
  </si>
  <si>
    <t>arina.tsalilova11@mail.ru</t>
  </si>
  <si>
    <t>Царев Денис Владимирович</t>
  </si>
  <si>
    <t>+7(916)012-82-22</t>
  </si>
  <si>
    <t>denistsarev@bk.ru</t>
  </si>
  <si>
    <t>Цветков Никита Андреевич</t>
  </si>
  <si>
    <t>+7(977)757-84-96</t>
  </si>
  <si>
    <t>Darth8Vader7@gmail.com</t>
  </si>
  <si>
    <t>Балашиха</t>
  </si>
  <si>
    <t>Цветкова Алина Валерьевна</t>
  </si>
  <si>
    <t>(921)059-90-99</t>
  </si>
  <si>
    <t>tsvetkovalina666@gmail.com</t>
  </si>
  <si>
    <t>Цепелева Мария Максимовна</t>
  </si>
  <si>
    <t>+79278536660; +7(937)958-20-04</t>
  </si>
  <si>
    <t>mrrriats@inbox.ru</t>
  </si>
  <si>
    <t>Цой Константин Александрович</t>
  </si>
  <si>
    <t>+7(916)490-07-77</t>
  </si>
  <si>
    <t>kostya1703tsoy@gmail.com</t>
  </si>
  <si>
    <t>Цуканов Сергей Юрьевич</t>
  </si>
  <si>
    <t>Кузьмино п</t>
  </si>
  <si>
    <t>+7(953)280-40-11</t>
  </si>
  <si>
    <t>CZUKANOV_S@LIST.RU</t>
  </si>
  <si>
    <t>Цупков Николай Олегович</t>
  </si>
  <si>
    <t>+7(916)419-85-84; +7(926)405-45-92</t>
  </si>
  <si>
    <t>tsupkov1708@mail.ru</t>
  </si>
  <si>
    <t>Цховребова Арина Вадимовна</t>
  </si>
  <si>
    <t>+7(929)804-88-88; +7(928)073-84-02</t>
  </si>
  <si>
    <t>m1911686@edu.misis.ru</t>
  </si>
  <si>
    <t>Цыбина Юлия Сергеевна</t>
  </si>
  <si>
    <t>+7(962)664-52-57</t>
  </si>
  <si>
    <t>yuliyatsybina.ru@gmail.com</t>
  </si>
  <si>
    <t>Цыденов Аюр Сергеевич</t>
  </si>
  <si>
    <t>+7(902)162-97-27</t>
  </si>
  <si>
    <t>ayursergeevich@mail.ru</t>
  </si>
  <si>
    <t>Цыденова Дашима Солбоновна</t>
  </si>
  <si>
    <t>+7(908)776-84-28</t>
  </si>
  <si>
    <t>dashima@bk.ru</t>
  </si>
  <si>
    <t>Цындыжапов Альберт Андреевич</t>
  </si>
  <si>
    <t>+7(914)635-71-85</t>
  </si>
  <si>
    <t>alberzynt2005@mail.ru</t>
  </si>
  <si>
    <t>Цыпкин Артём Денисович</t>
  </si>
  <si>
    <t>+7(909)928-34-31</t>
  </si>
  <si>
    <t>artwot77@gmail.com</t>
  </si>
  <si>
    <t>Цыпляев Кирилл Сергеевич</t>
  </si>
  <si>
    <t>+7(968)950-04-51</t>
  </si>
  <si>
    <t>tsyplyaevk@gmail.com</t>
  </si>
  <si>
    <t>Цыплянский Артём Михайлович</t>
  </si>
  <si>
    <t>9803229571; +7(980)387-60-47</t>
  </si>
  <si>
    <t>tsyplyansky2019@gmail.com</t>
  </si>
  <si>
    <t>Цянь Луцзян</t>
  </si>
  <si>
    <t>Китай</t>
  </si>
  <si>
    <t>Чжэцзян</t>
  </si>
  <si>
    <t>Чадин Дмитрий Алексеевич</t>
  </si>
  <si>
    <t>+998974047084; +7(998)974-04-70</t>
  </si>
  <si>
    <t>a1905320@edu.misis.ru</t>
  </si>
  <si>
    <t>Чайкина Софья Сергеевна</t>
  </si>
  <si>
    <t>+7(926)012-05-23; +7(999)5077921</t>
  </si>
  <si>
    <t>soniashaykina@mail.ru</t>
  </si>
  <si>
    <t>Чаморро Аранибар Пиерина Исабель</t>
  </si>
  <si>
    <t>Перу</t>
  </si>
  <si>
    <t>Куско г.</t>
  </si>
  <si>
    <t>+7(977)270-89-44</t>
  </si>
  <si>
    <t>pierina.iza9@gmail.com</t>
  </si>
  <si>
    <t>Чарыкова Валерия Константиновна</t>
  </si>
  <si>
    <t>+7(926)128-02-17</t>
  </si>
  <si>
    <t>charykova01112000@mail.ru</t>
  </si>
  <si>
    <t>Чатикобо Этель</t>
  </si>
  <si>
    <t>28.04.01</t>
  </si>
  <si>
    <t>Nanotechnology and Materials for Micro- and Nanosystems/Нанотехнологии, материалы микро- и наносистемной техники</t>
  </si>
  <si>
    <t>+7(964)798-33-10</t>
  </si>
  <si>
    <t>echatikobo@yandex.com</t>
  </si>
  <si>
    <t>Чашин Михаил Юрьевич</t>
  </si>
  <si>
    <t>+7(920)200-70-15</t>
  </si>
  <si>
    <t>mike1603@yandex.ru</t>
  </si>
  <si>
    <t>Чашников Павел Александрович</t>
  </si>
  <si>
    <t>+7(951)209-80-08</t>
  </si>
  <si>
    <t>pavelchash@list.ru</t>
  </si>
  <si>
    <t>Чеботарь Иван Сергеевич</t>
  </si>
  <si>
    <t>+7(985)192-23-54</t>
  </si>
  <si>
    <t>IVAN.CHEBOTAR2005FORGOVERMENT@GMAIL.COM</t>
  </si>
  <si>
    <t>Челбанов Данзан Павлович</t>
  </si>
  <si>
    <t>+7(960)899-37-45</t>
  </si>
  <si>
    <t>tchelbanov2017@gmail.com</t>
  </si>
  <si>
    <t>Челохсаева Елена Эльбрусовна</t>
  </si>
  <si>
    <t>Алагир г</t>
  </si>
  <si>
    <t>+7(988)876-04-13</t>
  </si>
  <si>
    <t>chewwo@mail.ru</t>
  </si>
  <si>
    <t>Чемакин Григорий Андреевич</t>
  </si>
  <si>
    <t>+7(963)711-59-41</t>
  </si>
  <si>
    <t>greg03.kin@mail.ru</t>
  </si>
  <si>
    <t>Чемерицкий Андрей Алексеевич</t>
  </si>
  <si>
    <t>+7(987)541-67-03</t>
  </si>
  <si>
    <t>chemeritskiy.bf@gmail.com</t>
  </si>
  <si>
    <t>Чепрова Екатерина Алексеевна</t>
  </si>
  <si>
    <t>+7(915)484-81-03</t>
  </si>
  <si>
    <t>cheprova05@mail.ru</t>
  </si>
  <si>
    <t>Чепурной Никита Александрович</t>
  </si>
  <si>
    <t>+7(969)347-26-36</t>
  </si>
  <si>
    <t>niknik.ch41@gmail.com</t>
  </si>
  <si>
    <t>Червоткина Полина Аркадьевна</t>
  </si>
  <si>
    <t>Сосновское с/п</t>
  </si>
  <si>
    <t>+7(911)509-09-02</t>
  </si>
  <si>
    <t>ysergeeev@list.ru</t>
  </si>
  <si>
    <t>Червякова Валерия Алексеевна</t>
  </si>
  <si>
    <t>+7(985)474-51-81</t>
  </si>
  <si>
    <t>chervyakova-2000@inbox.ru</t>
  </si>
  <si>
    <t>Череп Екатерина Игоревна</t>
  </si>
  <si>
    <t>+7(900)298-28-57</t>
  </si>
  <si>
    <t>belka19072005@gmail.com</t>
  </si>
  <si>
    <t>Черкашина Марианна Валентиновна</t>
  </si>
  <si>
    <t>+7(915)369-25-45</t>
  </si>
  <si>
    <t>MCERKASINA121@GMAIL.COM</t>
  </si>
  <si>
    <t>Чернавцева Алина Геннадиевна</t>
  </si>
  <si>
    <t>Русский Брод с</t>
  </si>
  <si>
    <t>+7(961)625-11-32</t>
  </si>
  <si>
    <t>alinachernavtseva@mail.ru</t>
  </si>
  <si>
    <t>Черний Валерия</t>
  </si>
  <si>
    <t>+7(906)035-93-66; +79060359366</t>
  </si>
  <si>
    <t>chernii.lera03@gmail.ru</t>
  </si>
  <si>
    <t>Черничук Владислав Игоревич</t>
  </si>
  <si>
    <t>9775205053; +7(977)520-50-53</t>
  </si>
  <si>
    <t>m1910321@edu.misis.ru</t>
  </si>
  <si>
    <t>Чернов Александр Михайлович</t>
  </si>
  <si>
    <t>+7(906)096-00-71</t>
  </si>
  <si>
    <t>3v3rlst1ng.c0m6@gmail.com</t>
  </si>
  <si>
    <t>Чернов Евгений Евгеньевич</t>
  </si>
  <si>
    <t>+7(968)622-96-12</t>
  </si>
  <si>
    <t>vaertion@mail.ru</t>
  </si>
  <si>
    <t>Чернова Ирина Сергеевна</t>
  </si>
  <si>
    <t>(902)238-50-96</t>
  </si>
  <si>
    <t>ipchellks2@yandex.ru</t>
  </si>
  <si>
    <t>Чернояров Евгений Валерьевич</t>
  </si>
  <si>
    <t>8844351477; +7(988)019-34-60</t>
  </si>
  <si>
    <t>echernoyarow@yandex.ru</t>
  </si>
  <si>
    <t>Черных Алиса Антоновна</t>
  </si>
  <si>
    <t>+7(912)297-63-50</t>
  </si>
  <si>
    <t>alisa.chern@bk.ru</t>
  </si>
  <si>
    <t>Черных Артём Алексеевич</t>
  </si>
  <si>
    <t>+7(914)311-45-40</t>
  </si>
  <si>
    <t>povarvs91@mail.ru</t>
  </si>
  <si>
    <t>Чернышов Илья Александрович</t>
  </si>
  <si>
    <t>+7(985)249-99-63</t>
  </si>
  <si>
    <t>ILYSHKA91011@MAIL.RU</t>
  </si>
  <si>
    <t>Чернышов Максим Викторович</t>
  </si>
  <si>
    <t>Лесниково с</t>
  </si>
  <si>
    <t>+7(965)836-28-38</t>
  </si>
  <si>
    <t>xmakspainx-2005@mail.ru</t>
  </si>
  <si>
    <t>Чернышов Никита Вячеславович</t>
  </si>
  <si>
    <t>79139205547; +7(913)955-12-54</t>
  </si>
  <si>
    <t>nik-13-05@mail.ru</t>
  </si>
  <si>
    <t>Черткова Алиса Андреевна</t>
  </si>
  <si>
    <t>Георгиевск г</t>
  </si>
  <si>
    <t>+7(928)818-42-43</t>
  </si>
  <si>
    <t>Alise.sh26@gmail.com</t>
  </si>
  <si>
    <t>Честнова Екатерина Александровна</t>
  </si>
  <si>
    <t>+7(960)365-90-19</t>
  </si>
  <si>
    <t>chestnova-ekaterina@mail.ru</t>
  </si>
  <si>
    <t>Четвериков Сергей Геннадьевич</t>
  </si>
  <si>
    <t>88443551003; +7(927)538-34-44</t>
  </si>
  <si>
    <t>mariya.tumasova@tmk-group.com</t>
  </si>
  <si>
    <t>Чжан Цзяньцзюнь</t>
  </si>
  <si>
    <t>+7(919)773-98-72</t>
  </si>
  <si>
    <t>m13526235820@163.com</t>
  </si>
  <si>
    <t>живет с женой</t>
  </si>
  <si>
    <t>Чиглинцев Александр Сергеевич</t>
  </si>
  <si>
    <t>+7(987)607-13-20</t>
  </si>
  <si>
    <t>alex2011oy5@mail.ru</t>
  </si>
  <si>
    <t>Чижова Анна Михайловна</t>
  </si>
  <si>
    <t>+7(916)018-66-25</t>
  </si>
  <si>
    <t>a555chiz@gmail.com</t>
  </si>
  <si>
    <t>Чикалин Никита Максимович</t>
  </si>
  <si>
    <t>89092285517; +7(960)651-43-60</t>
  </si>
  <si>
    <t>nik.chikalin@mail.ru</t>
  </si>
  <si>
    <t>Чинжанжа Жозе Португал</t>
  </si>
  <si>
    <t>+7(999)858-97-78</t>
  </si>
  <si>
    <t>josetchinjanja@gmail.com</t>
  </si>
  <si>
    <t>Чинь Чонг Зяп</t>
  </si>
  <si>
    <t>+7(904)646-70-90</t>
  </si>
  <si>
    <t>giaptrinh204@mail.com</t>
  </si>
  <si>
    <t>Чирара Хамид</t>
  </si>
  <si>
    <t>+7(916)679-99-48</t>
  </si>
  <si>
    <t>sultanrussia0@gmail.com</t>
  </si>
  <si>
    <t>Чирикова Елизавета Александровна</t>
  </si>
  <si>
    <t>+7(968)858-10-60</t>
  </si>
  <si>
    <t>liza_chirikova@mail.ru</t>
  </si>
  <si>
    <t>Чистов Егор Павлович</t>
  </si>
  <si>
    <t>+7(915)214-44-42</t>
  </si>
  <si>
    <t>epchistov@gmail.com</t>
  </si>
  <si>
    <t>Чиченев Даниил Александрович</t>
  </si>
  <si>
    <t>(915)500-10-45</t>
  </si>
  <si>
    <t>daniilchi4enev2012@gmail.com</t>
  </si>
  <si>
    <t>Чиченкова Карина Вячеславовна</t>
  </si>
  <si>
    <t>+7(926)479-95-46</t>
  </si>
  <si>
    <t>karina.chichenkova@mail.ru</t>
  </si>
  <si>
    <t>Чичигин Борис Генадьевич</t>
  </si>
  <si>
    <t>+7(985)121-59-89</t>
  </si>
  <si>
    <t>boris.chichigin@gmail.com</t>
  </si>
  <si>
    <t>Чкиря Артур Владимирович</t>
  </si>
  <si>
    <t>+7(977)401-99-92; 89261418034</t>
  </si>
  <si>
    <t>hkirya.arthur@gmail.com</t>
  </si>
  <si>
    <t>с семьей, проживал  ранее, просьба</t>
  </si>
  <si>
    <t>Чоке Уаман Эво Сильверио</t>
  </si>
  <si>
    <t>Пуно г.</t>
  </si>
  <si>
    <t>+7(901)598-71-49</t>
  </si>
  <si>
    <t>Чуб Александра Станиславовна</t>
  </si>
  <si>
    <t>89622852442; +7(909)885-39-43</t>
  </si>
  <si>
    <t>sasha.tchoub@gmail.com</t>
  </si>
  <si>
    <t>Чувайкина Елизавета Сергеевна</t>
  </si>
  <si>
    <t>+7(950)660-11-15</t>
  </si>
  <si>
    <t>elizuch05@mail.ru</t>
  </si>
  <si>
    <t>Чугунова Ирина Севериновна</t>
  </si>
  <si>
    <t>Десногорск г</t>
  </si>
  <si>
    <t>+7(996)346-07-82</t>
  </si>
  <si>
    <t>ladychira@yandex.ru</t>
  </si>
  <si>
    <t>Чукин Валерий Алексеевич</t>
  </si>
  <si>
    <t>+7(910)481-27-87</t>
  </si>
  <si>
    <t>chechnya1209@mail.ru</t>
  </si>
  <si>
    <t>Чументьев Кирилл Валерьевич</t>
  </si>
  <si>
    <t>+7(924)557-03-99</t>
  </si>
  <si>
    <t>Чупина Алина Александровна</t>
  </si>
  <si>
    <t>+7(914)489-61-22</t>
  </si>
  <si>
    <t>alinochka-chupina-2005@mail.ru</t>
  </si>
  <si>
    <t>Чуркин Артём Андреевич</t>
  </si>
  <si>
    <t>+7(900)598-30-19</t>
  </si>
  <si>
    <t>churkinartyom811@gmail.com</t>
  </si>
  <si>
    <t>Чуркина Анастасия Юрьевна</t>
  </si>
  <si>
    <t>Дружный сп.</t>
  </si>
  <si>
    <t>+7(910)132-53-57</t>
  </si>
  <si>
    <t>t0dd.an@yandex.ru</t>
  </si>
  <si>
    <t>Чут Максим Витальевич</t>
  </si>
  <si>
    <t>+7(707)920-20-50; +7(925)941-41-13; +79259414113; 77079202050</t>
  </si>
  <si>
    <t>maks.chut@mail.ru</t>
  </si>
  <si>
    <t>Чуфырева Мирослава Павловна</t>
  </si>
  <si>
    <t>+7(902)135-17-51</t>
  </si>
  <si>
    <t>CHUFAMIRA2005@YANDEX.RU</t>
  </si>
  <si>
    <t>Чухно Анастасия Александровна</t>
  </si>
  <si>
    <t>+79851361232; +7(938)310-29-54</t>
  </si>
  <si>
    <t>super.polh25@yandex.ru</t>
  </si>
  <si>
    <t>Чуянова Елена Сергеевна</t>
  </si>
  <si>
    <t>Старое Кадеево с</t>
  </si>
  <si>
    <t>+7(903)149-73-38; 8-965-222-17-05</t>
  </si>
  <si>
    <t>chuyanova-lena@mail.ru</t>
  </si>
  <si>
    <t>Чуяс София Андреевна</t>
  </si>
  <si>
    <t>+79850687267; +7(985)799-27-14</t>
  </si>
  <si>
    <t>sofiachuyas25@mail.ru</t>
  </si>
  <si>
    <t>Чхитунидзе Нино Зурабовна</t>
  </si>
  <si>
    <t>+7(919)841-74-37</t>
  </si>
  <si>
    <t>chhitunidzenino@gmail.com</t>
  </si>
  <si>
    <t>Шааб Ксения Андреевна</t>
  </si>
  <si>
    <t>+7(916)065-74-56</t>
  </si>
  <si>
    <t>kseniiashaab@mail.ru</t>
  </si>
  <si>
    <t>Шаблыгин Михаил Максимович</t>
  </si>
  <si>
    <t>+7(985)024-04-87</t>
  </si>
  <si>
    <t>mshablygin@gmail.com</t>
  </si>
  <si>
    <t>Шабуров Павел Олегович</t>
  </si>
  <si>
    <t>+7(951)713-93-16; +7(967)135-25-59</t>
  </si>
  <si>
    <t>pavel.aburov@mail.ru</t>
  </si>
  <si>
    <t>Шавкова Ксения Анатольевна</t>
  </si>
  <si>
    <t>+7(950)096-57-66</t>
  </si>
  <si>
    <t>shavkova1999@mail.ru</t>
  </si>
  <si>
    <t>Шавкун Юлия Алексеевна</t>
  </si>
  <si>
    <t>+7(982)193-63-62</t>
  </si>
  <si>
    <t>SHAVKUNYUL@GMAIL.COM</t>
  </si>
  <si>
    <t>Шагаева Дарья Сергеевна</t>
  </si>
  <si>
    <t>+7(964)564-25-41</t>
  </si>
  <si>
    <t>shagaeva2005@gmail.com</t>
  </si>
  <si>
    <t>Шагаева Мария Сергеевна</t>
  </si>
  <si>
    <t>+7(964)564-25-06</t>
  </si>
  <si>
    <t>shagaevamasha41@mail.ru</t>
  </si>
  <si>
    <t>Шадловская Мария Игоревна</t>
  </si>
  <si>
    <t>+7(915)3536403</t>
  </si>
  <si>
    <t>SHAD-MASH@MAIL.RU</t>
  </si>
  <si>
    <t>Шадрин Артём Александрович</t>
  </si>
  <si>
    <t>(910)607-02-97</t>
  </si>
  <si>
    <t>shadrjul@yandex.ru</t>
  </si>
  <si>
    <t>Шадрина Анастасия Анатольевна</t>
  </si>
  <si>
    <t>+7(915)326-08-88</t>
  </si>
  <si>
    <t>anastasiaxxshad@yandex.ru</t>
  </si>
  <si>
    <t>Шадринцева Анастасия Игоревна</t>
  </si>
  <si>
    <t>+7(953)061-49-51</t>
  </si>
  <si>
    <t>svetshad@mail.ru</t>
  </si>
  <si>
    <t>Шайкина Мария Дмитриевна</t>
  </si>
  <si>
    <t>+7(961)119-59-63</t>
  </si>
  <si>
    <t>shaykina.masha@yandex.ru</t>
  </si>
  <si>
    <t>Шайхутдинов Талгат Финилович</t>
  </si>
  <si>
    <t>+7(977)957-06-97; 89955479062</t>
  </si>
  <si>
    <t>talgatt392@gmail.com</t>
  </si>
  <si>
    <t>Шайхутдинова Аделия Ильдаровна</t>
  </si>
  <si>
    <t>+79031310020; +7(903)000-82-07</t>
  </si>
  <si>
    <t>m.fevral2017@yandex.ru</t>
  </si>
  <si>
    <t>Шакаршоев Давид Мазхабшоевич</t>
  </si>
  <si>
    <t>Ивановское с</t>
  </si>
  <si>
    <t>+7(938)340-19-39</t>
  </si>
  <si>
    <t>david22122005@gmail.com</t>
  </si>
  <si>
    <t>Шамина Ксения Евгеньевна</t>
  </si>
  <si>
    <t>+7(913)124-98-05</t>
  </si>
  <si>
    <t>Saminaksenia911@gmail.com</t>
  </si>
  <si>
    <t>Шамова Ирина Константиновна</t>
  </si>
  <si>
    <t>89108177118; (980)740-65-66</t>
  </si>
  <si>
    <t>irinashamova@icloud.com</t>
  </si>
  <si>
    <t>Шамсудинов Хаджимурад Гаджиевич</t>
  </si>
  <si>
    <t>+7(995)501-40-57</t>
  </si>
  <si>
    <t>hadjik798@list.ru</t>
  </si>
  <si>
    <t>Шаныгин Дмитрий Олегович</t>
  </si>
  <si>
    <t>+7(952)761-01-20</t>
  </si>
  <si>
    <t>dima.shanyghin@mail.ru</t>
  </si>
  <si>
    <t>Шапко Захар Константинович</t>
  </si>
  <si>
    <t>89261571327; +7(977)849-50-45</t>
  </si>
  <si>
    <t>zaxar55568@gmail.com</t>
  </si>
  <si>
    <t>Шарапов Артём Алексеевич</t>
  </si>
  <si>
    <t>+7(985)160-34-63; +7(929)931-95-03</t>
  </si>
  <si>
    <t>s.artem11@mail.ru</t>
  </si>
  <si>
    <t>Шарапов Тимур Алексеевич</t>
  </si>
  <si>
    <t>+79115010690; +7(981)422-57-22</t>
  </si>
  <si>
    <t>timursarapov148@gmail.com</t>
  </si>
  <si>
    <t>Шарапова Марина Евгеньевна</t>
  </si>
  <si>
    <t>+79207583616; +7(902)845-45-52</t>
  </si>
  <si>
    <t>marine.sh4rapowa@yandex.ru</t>
  </si>
  <si>
    <t>Шарафудинова София Сергеевна</t>
  </si>
  <si>
    <t>+79266642026; +7(926)848-35-97</t>
  </si>
  <si>
    <t>s.sharafudinova@yandex.ru</t>
  </si>
  <si>
    <t>Шарипов Рустам Шарипович</t>
  </si>
  <si>
    <t>+991981010102; +7(925)245-36-55</t>
  </si>
  <si>
    <t>nidozoda03@mail.ru</t>
  </si>
  <si>
    <t>Шарипова Зебуниссо Мусиновна</t>
  </si>
  <si>
    <t>Махсумов</t>
  </si>
  <si>
    <t>+992981010102; +7(925)245-36-55</t>
  </si>
  <si>
    <t>nmokhtob@mail.ru</t>
  </si>
  <si>
    <t>Шаров Никита Алексеевич</t>
  </si>
  <si>
    <t>Малыгино п</t>
  </si>
  <si>
    <t>+7(917)538-08-11</t>
  </si>
  <si>
    <t>Sharorov@yandex.ru</t>
  </si>
  <si>
    <t>Шаров Павел Андреевич</t>
  </si>
  <si>
    <t>+79250380501; +7(925)177-13-12</t>
  </si>
  <si>
    <t>boring.box647@gmail.com</t>
  </si>
  <si>
    <t>Шарстук Даниил Андреевич</t>
  </si>
  <si>
    <t>+7(903)765-43-27</t>
  </si>
  <si>
    <t>b9marko@gmail.com</t>
  </si>
  <si>
    <t>Шаталов Иван Романович</t>
  </si>
  <si>
    <t>+7(985)869-13-32</t>
  </si>
  <si>
    <t>isatalov70@gmail.com</t>
  </si>
  <si>
    <t>Шаталова Диана Дмитриевна</t>
  </si>
  <si>
    <t>+7(999)695-05-77</t>
  </si>
  <si>
    <t>diana.shatalova555@gmail.com</t>
  </si>
  <si>
    <t>Шафигуллина Кристина Эдуардовна</t>
  </si>
  <si>
    <t>Зеленодольск г</t>
  </si>
  <si>
    <t>+7(901)347-45-85; 89534045425</t>
  </si>
  <si>
    <t>volkonskaya.kris@mail.ru</t>
  </si>
  <si>
    <t>просьба</t>
  </si>
  <si>
    <t>Шахин Рим</t>
  </si>
  <si>
    <t>+7(963)686-35-68</t>
  </si>
  <si>
    <t>reem.shaheen.r.2001@gmail.com</t>
  </si>
  <si>
    <t>Шахин Юсеф Шадиевич</t>
  </si>
  <si>
    <t>+79162584455; +7(916)056-44-55</t>
  </si>
  <si>
    <t>tapoqk@gmail.com</t>
  </si>
  <si>
    <t>Шахматов Арсений Денисович</t>
  </si>
  <si>
    <t>+7(991)907-11-50</t>
  </si>
  <si>
    <t>cene655@mail.ru</t>
  </si>
  <si>
    <t>Шахобуддинова Сохиба Обидовна</t>
  </si>
  <si>
    <t>Шашкина Анастасия Леонидовна</t>
  </si>
  <si>
    <t>+7(903)521-53-32</t>
  </si>
  <si>
    <t>a.l.shashkina@yandex.ru</t>
  </si>
  <si>
    <t>Шаяхметов Никита Радионович</t>
  </si>
  <si>
    <t>+7(982)369-80-22</t>
  </si>
  <si>
    <t>nikitasaahmetov@gmail.com</t>
  </si>
  <si>
    <t>Шварц Василиса Алексеевна</t>
  </si>
  <si>
    <t>+7(905)302-76-06</t>
  </si>
  <si>
    <t>vasilisaschvarz@gmail.com</t>
  </si>
  <si>
    <t>Швец Владимир Александрович</t>
  </si>
  <si>
    <t>Яблоновский пгт</t>
  </si>
  <si>
    <t>+7(918)922-93-34</t>
  </si>
  <si>
    <t>vanossevanvain@gmail.com</t>
  </si>
  <si>
    <t>Швырков Данил Александрович</t>
  </si>
  <si>
    <t>+7(950)814-09-10</t>
  </si>
  <si>
    <t>shvyrkov_danil@list.ru</t>
  </si>
  <si>
    <t>бомж, живет в М</t>
  </si>
  <si>
    <t>Шебанова Татьяна Романовна</t>
  </si>
  <si>
    <t>Знаменка пгт</t>
  </si>
  <si>
    <t>89039773957; +7(977)648-26-77</t>
  </si>
  <si>
    <t>shebatanja@yandex.ru</t>
  </si>
  <si>
    <t>Шевелева Алёна Владимировна</t>
  </si>
  <si>
    <t>+7(950)255-02-42</t>
  </si>
  <si>
    <t>alyonasheva05@yandex.ru</t>
  </si>
  <si>
    <t>Шевелева Елена Дмитриевна</t>
  </si>
  <si>
    <t>+7(922)114-16-15</t>
  </si>
  <si>
    <t>elena.sheveleva@tmk-group.com</t>
  </si>
  <si>
    <t>Шевлягина Анна Сергеевна</t>
  </si>
  <si>
    <t>89104725871; +7(916)263-80-20</t>
  </si>
  <si>
    <t>shevlyaginaa14@gmail.com</t>
  </si>
  <si>
    <t>Шевцов Алексей Вадимович</t>
  </si>
  <si>
    <t>+7(918)257-81-22</t>
  </si>
  <si>
    <t>shkipperduncan2.0@mail.ru</t>
  </si>
  <si>
    <t>Шевченко Екатерина Андреевна</t>
  </si>
  <si>
    <t>(903)528-91-42</t>
  </si>
  <si>
    <t>catshev0@gmail.com</t>
  </si>
  <si>
    <t>Шевченко Елизавета Сергеевна</t>
  </si>
  <si>
    <t>+7(904)349-13-82</t>
  </si>
  <si>
    <t>ur_extasy@yandex.ru</t>
  </si>
  <si>
    <t>Шеина Дарья Андреевна</t>
  </si>
  <si>
    <t>+7(996)187-15-01</t>
  </si>
  <si>
    <t>d.sheina1990@gmail.com</t>
  </si>
  <si>
    <t>Шеймин Никита Артёмович</t>
  </si>
  <si>
    <t>+7(927)898-34-47</t>
  </si>
  <si>
    <t>sheymin@inbox.ru</t>
  </si>
  <si>
    <t>Шелихина Ольга Владимировна</t>
  </si>
  <si>
    <t>89375432963; +7(937)742-59-34</t>
  </si>
  <si>
    <t>schelihina@yandex.ru</t>
  </si>
  <si>
    <t>Шенгерий Михаил Олегович</t>
  </si>
  <si>
    <t>89804020434; +7(918)647-58-47</t>
  </si>
  <si>
    <t>m2103929@edu.misis.ru</t>
  </si>
  <si>
    <t>Шепелев Антон Алексеевич</t>
  </si>
  <si>
    <t>9180806903</t>
  </si>
  <si>
    <t>TONI.SHEPELEV.1995@MAIL.RU</t>
  </si>
  <si>
    <t>Шепель Диана</t>
  </si>
  <si>
    <t>+7(705)179-97-74; 89779786516</t>
  </si>
  <si>
    <t>shepel.diana@bk.ru</t>
  </si>
  <si>
    <t>Шепшелий Богдан</t>
  </si>
  <si>
    <t>Бишкек</t>
  </si>
  <si>
    <t>+7(000)000-00-00; +996557588777</t>
  </si>
  <si>
    <t>usnvlsnvo@mail.ru</t>
  </si>
  <si>
    <t>Шестаков Александр Ильич</t>
  </si>
  <si>
    <t>89154108595; +7(916)259-73-26</t>
  </si>
  <si>
    <t>alex.i.shestakov@gmail.com</t>
  </si>
  <si>
    <t>Шехани Амани</t>
  </si>
  <si>
    <t>Латаки</t>
  </si>
  <si>
    <t>+7(925)028-81-75</t>
  </si>
  <si>
    <t>m2213545@edu.misis.ru</t>
  </si>
  <si>
    <t>Шеху Абубакар Умар</t>
  </si>
  <si>
    <t>Дамагум</t>
  </si>
  <si>
    <t>+7(996)357-05-85</t>
  </si>
  <si>
    <t>shehu.a.urg@gmail.com</t>
  </si>
  <si>
    <t>Шешенин Егор Викторович</t>
  </si>
  <si>
    <t>Дивеево с</t>
  </si>
  <si>
    <t>+7(987)558-19-89</t>
  </si>
  <si>
    <t>sheshenin1999@mail.ru</t>
  </si>
  <si>
    <t>Шибаев Сергей Игоревич</t>
  </si>
  <si>
    <t>+7(982)288-58-55</t>
  </si>
  <si>
    <t>dikkinsan@yandex.ru</t>
  </si>
  <si>
    <t>Шигина Полина Андреевна</t>
  </si>
  <si>
    <t>+7(902)316-46-68</t>
  </si>
  <si>
    <t>shiginapolina77@gmail.com</t>
  </si>
  <si>
    <t>Шикина Елена Александровна</t>
  </si>
  <si>
    <t>+7(926)165-48-82</t>
  </si>
  <si>
    <t>elenashik05@gmail.com</t>
  </si>
  <si>
    <t>Шилова Яна Владимировна</t>
  </si>
  <si>
    <t>9107426829; +7(980)350-88-98</t>
  </si>
  <si>
    <t>shilova2001@yandex.ru</t>
  </si>
  <si>
    <t>Шимко Вячеслав Александрович</t>
  </si>
  <si>
    <t>+79515547481; +7(900)304-95-65</t>
  </si>
  <si>
    <t>vashimko@gmail.com</t>
  </si>
  <si>
    <t>Шиндиков Александр Дмитриевич</t>
  </si>
  <si>
    <t>+7(985)210-92-92</t>
  </si>
  <si>
    <t>shindikov.alexander@mail.ru</t>
  </si>
  <si>
    <t>Шипунов Дмитрий Андреевич</t>
  </si>
  <si>
    <t>+7(925)649-94-88</t>
  </si>
  <si>
    <t>dimshipunov@gmail.com</t>
  </si>
  <si>
    <t>Широков Федор Борисович</t>
  </si>
  <si>
    <t>+7(921)374-82-94</t>
  </si>
  <si>
    <t>schabe84@mail.ru</t>
  </si>
  <si>
    <t>Широковских Иван Сергеевич</t>
  </si>
  <si>
    <t>+7(916)469-10-08</t>
  </si>
  <si>
    <t>shirokovskihivan@gmail.com</t>
  </si>
  <si>
    <t>Ширшов Виктор Алексеевич</t>
  </si>
  <si>
    <t>Голышманово рп</t>
  </si>
  <si>
    <t>+79028150647; +7(902)850-57-79</t>
  </si>
  <si>
    <t>shirshov.vitor@yandex.ru</t>
  </si>
  <si>
    <t>Шитова Мария Георгиевна</t>
  </si>
  <si>
    <t>+79015162442; +7(925)131-24-00</t>
  </si>
  <si>
    <t>shysha.shit@mail.ru</t>
  </si>
  <si>
    <t>Шихова Светлана Алексеевна</t>
  </si>
  <si>
    <t>+7(912)368-55-14</t>
  </si>
  <si>
    <t>Struna3942@gmail.com</t>
  </si>
  <si>
    <t>Шишков Максим Евгеньевич</t>
  </si>
  <si>
    <t>+7(911)324-26-77</t>
  </si>
  <si>
    <t>patiford@mail.ru</t>
  </si>
  <si>
    <t>Шкаревня Любовь Игоревна</t>
  </si>
  <si>
    <t>Усинск г</t>
  </si>
  <si>
    <t>+7(912)1315924</t>
  </si>
  <si>
    <t>lyubovshkar@icloud.com</t>
  </si>
  <si>
    <t>Шкваринская Анастасия Васильевна</t>
  </si>
  <si>
    <t>9015249671; +7(968)523-43-00</t>
  </si>
  <si>
    <t>askvarinskaa@gmail.com</t>
  </si>
  <si>
    <t>Шкидин Степан Александрович</t>
  </si>
  <si>
    <t>89241182385; +7(924)301-37-97</t>
  </si>
  <si>
    <t>sshkidin@yandex.ru</t>
  </si>
  <si>
    <t xml:space="preserve">в Г-2 в корпус к брату, </t>
  </si>
  <si>
    <t>Шкляр Владислав Юрьевич</t>
  </si>
  <si>
    <t>shkliarvlad1@mail.ru</t>
  </si>
  <si>
    <t>Шкурат Дарья Владимировна</t>
  </si>
  <si>
    <t>+7(905)104-38-05</t>
  </si>
  <si>
    <t>darshkurat@yandex.ru</t>
  </si>
  <si>
    <t>Шлеина Ксения Михайловна</t>
  </si>
  <si>
    <t>+7(926)477-67-39</t>
  </si>
  <si>
    <t>k.shleina@mail.ru</t>
  </si>
  <si>
    <t>Шмелев Руслан Муродуллоевич</t>
  </si>
  <si>
    <t>+7(995)903-76-44</t>
  </si>
  <si>
    <t>ruslan20050707@gmail.com</t>
  </si>
  <si>
    <t>Шмелева Полина Эдуардовна</t>
  </si>
  <si>
    <t>89033994859; +7(986)791-99-60</t>
  </si>
  <si>
    <t>polmaysh@icloud.com</t>
  </si>
  <si>
    <t>Шмидт Роман Яковлевич</t>
  </si>
  <si>
    <t>+7(775)998-62-20</t>
  </si>
  <si>
    <t>romanshmidt420@gmail.com</t>
  </si>
  <si>
    <t>Шнайдер Мария Эдуардовна</t>
  </si>
  <si>
    <t>+7(977)660-94-34</t>
  </si>
  <si>
    <t>maria.schnei6@gmail.com</t>
  </si>
  <si>
    <t>Шокуев Имран Русланович</t>
  </si>
  <si>
    <t>+7(960)425-36-77</t>
  </si>
  <si>
    <t>imran.shokuev@gmail.com</t>
  </si>
  <si>
    <t>Шохина Диана Александровна</t>
  </si>
  <si>
    <t>+7(915)016-81-19</t>
  </si>
  <si>
    <t>diana.shoxina@mail.ru</t>
  </si>
  <si>
    <t>Шпаковская Софья Сергеевна</t>
  </si>
  <si>
    <t>+79967400777; +7(917)159-71-01</t>
  </si>
  <si>
    <t>s.wpakovskaya@gmail.com</t>
  </si>
  <si>
    <t>Шпаковский Алексей Эдуардович</t>
  </si>
  <si>
    <t>Черняховск г</t>
  </si>
  <si>
    <t>+79062151136; +7(911)853-70-93</t>
  </si>
  <si>
    <t>shpakovskiy.al@icloud.com</t>
  </si>
  <si>
    <t>Шпильченко Роман Владимирович</t>
  </si>
  <si>
    <t>+7(925)345-29-68</t>
  </si>
  <si>
    <t>qwerty221079@yandex.ru</t>
  </si>
  <si>
    <t>Штомпель Даниил Игоревич</t>
  </si>
  <si>
    <t>+7(988)476-25-08</t>
  </si>
  <si>
    <t>daniil.shtompel@gmail.com</t>
  </si>
  <si>
    <t>Шуваев Михаил Алексеевич</t>
  </si>
  <si>
    <t>+7(963)962-75-55</t>
  </si>
  <si>
    <t>shuvmih@gmail.com</t>
  </si>
  <si>
    <t>Шуйская Полина Александровна</t>
  </si>
  <si>
    <t>89521262032; +7(951)105-73-18</t>
  </si>
  <si>
    <t>josephjoestar.4444@gmail.com</t>
  </si>
  <si>
    <t>Шульга Владимир Александрович</t>
  </si>
  <si>
    <t>Нижние Муллы с</t>
  </si>
  <si>
    <t>+7(922)334-60-62</t>
  </si>
  <si>
    <t>vladimir.shulga159@yandex.ru</t>
  </si>
  <si>
    <t>Шульгин Максим Александрович</t>
  </si>
  <si>
    <t>+7(919)922-09-15</t>
  </si>
  <si>
    <t>shulginma@yandex.ru</t>
  </si>
  <si>
    <t>Шумаев Евгений Витальевич</t>
  </si>
  <si>
    <t>+79156228051; +7(915)622-80-51</t>
  </si>
  <si>
    <t>kilogunner@gmail.com</t>
  </si>
  <si>
    <t>Шумаков Владислав Владимирович</t>
  </si>
  <si>
    <t>Ковылено с</t>
  </si>
  <si>
    <t>+7(915)572-74-68</t>
  </si>
  <si>
    <t>shumakovvlad@mail.ru</t>
  </si>
  <si>
    <t>Шумаков Фёдор Игоревич</t>
  </si>
  <si>
    <t>+7(917)520-02-10</t>
  </si>
  <si>
    <t>fishumakov@gmail.com</t>
  </si>
  <si>
    <t>Шумилин Егор Андреевич</t>
  </si>
  <si>
    <t>+7(901)506-08-73</t>
  </si>
  <si>
    <t>m1904126@edu.misis.ru</t>
  </si>
  <si>
    <t>Шумков Дмитрий Сергеевич</t>
  </si>
  <si>
    <t>+79857779371; +7(910)484-35-30</t>
  </si>
  <si>
    <t>shumkovd@gmail.com</t>
  </si>
  <si>
    <t>Шуралева Екатерина Андреевна</t>
  </si>
  <si>
    <t>+7(919)035-85-34</t>
  </si>
  <si>
    <t>shuralevaea@mail.ru</t>
  </si>
  <si>
    <t>Шурыгин Владислав Олегович</t>
  </si>
  <si>
    <t>+7(926)020-18-73</t>
  </si>
  <si>
    <t>shuryginvlad6@gmail.com</t>
  </si>
  <si>
    <t>Шутова Яна Олеговна</t>
  </si>
  <si>
    <t>+7(950)098-44-81</t>
  </si>
  <si>
    <t>anasutova8@gmail.com</t>
  </si>
  <si>
    <t>Шушкин Никита Андреевич</t>
  </si>
  <si>
    <t>+79164639037; +7(916)487-31-67</t>
  </si>
  <si>
    <t>shushkinnikita@gmail.com</t>
  </si>
  <si>
    <t>Шушков Максим Павлович</t>
  </si>
  <si>
    <t>+7(915)852-80-02</t>
  </si>
  <si>
    <t>pavel.schuschkov@yandex.ru</t>
  </si>
  <si>
    <t>Щелчкова Татьяна Денисовна</t>
  </si>
  <si>
    <t>89043452734; +7(989)811-94-55</t>
  </si>
  <si>
    <t>t23082001t@yandex.ru</t>
  </si>
  <si>
    <t>Щепин Никита Дмитриевич</t>
  </si>
  <si>
    <t>+7(950)828-80-51</t>
  </si>
  <si>
    <t>ptichka771@yandex.ru</t>
  </si>
  <si>
    <t>Щерба Ксения Андреевна</t>
  </si>
  <si>
    <t>+7(918)518-36-57</t>
  </si>
  <si>
    <t>andreevaks1@mail.ru</t>
  </si>
  <si>
    <t>Щербаков Дмитрий Игоревич</t>
  </si>
  <si>
    <t>+7(928)954-39-89</t>
  </si>
  <si>
    <t>dim.si@list.ru</t>
  </si>
  <si>
    <t>Щербаков Сергей Павлович</t>
  </si>
  <si>
    <t>+7(928)360-14-60</t>
  </si>
  <si>
    <t>gusjatec@yandex.ru</t>
  </si>
  <si>
    <t>Щербатый Герман Сергеевич</t>
  </si>
  <si>
    <t>+7(918)001-74-30</t>
  </si>
  <si>
    <t>SHERBATYGERMAN02022005@GMAIL.COM</t>
  </si>
  <si>
    <t>Щетинин Максим Валерьевич</t>
  </si>
  <si>
    <t>+7(918)462-93-14; +7(918)248-12-75</t>
  </si>
  <si>
    <t>shchetininmaxim123@gmail.com</t>
  </si>
  <si>
    <t>Щукин Егор Алексеевич</t>
  </si>
  <si>
    <t>Приаргунск пгт</t>
  </si>
  <si>
    <t>+7(914)132-20-40</t>
  </si>
  <si>
    <t>Egor2x24@mail.ru</t>
  </si>
  <si>
    <t>Щукина Екатерина Юрьевна</t>
  </si>
  <si>
    <t>Ардатов рп</t>
  </si>
  <si>
    <t>89108932201; +7(987)554-00-74; +79875540074</t>
  </si>
  <si>
    <t>sch.katerina05@gmail.com</t>
  </si>
  <si>
    <t>Щуцкая Софья Станиславовна</t>
  </si>
  <si>
    <t>+7(927)026-10-10</t>
  </si>
  <si>
    <t>sonuta04@gmail.com</t>
  </si>
  <si>
    <t>Эзан Жиан-Увес Аристид</t>
  </si>
  <si>
    <t>Кумасси</t>
  </si>
  <si>
    <t>+7(918)820-14-21</t>
  </si>
  <si>
    <t>Экпемиро Келечи Удочукву</t>
  </si>
  <si>
    <t>ekpemirokelechi@gmail.com</t>
  </si>
  <si>
    <t xml:space="preserve">горняк-2 </t>
  </si>
  <si>
    <t>Эксанова Дарья Денисовна</t>
  </si>
  <si>
    <t>+7(926)752-41-53</t>
  </si>
  <si>
    <t>dashaeksanova@yandex.ru</t>
  </si>
  <si>
    <t>Эммануэль Стивен Сандей</t>
  </si>
  <si>
    <t>stephenemmanuel6011@gmail.com</t>
  </si>
  <si>
    <t>Энеев Заур Алиевич</t>
  </si>
  <si>
    <t>+7(928)916-84-57</t>
  </si>
  <si>
    <t>zazezur1122@gmail.com</t>
  </si>
  <si>
    <t>Эрешов Умитджан</t>
  </si>
  <si>
    <t>+7(968)504-85-50</t>
  </si>
  <si>
    <t>uereshov@internet.ru</t>
  </si>
  <si>
    <t>Эркинбоев Илёсбек Икромжон Угли</t>
  </si>
  <si>
    <t>+7(925)488-27-47</t>
  </si>
  <si>
    <t>ilyosbekerkinbayev@gmail.com</t>
  </si>
  <si>
    <t>Эрлер Яна Витальевна</t>
  </si>
  <si>
    <t>+7(923)181-37-09</t>
  </si>
  <si>
    <t>iana_erl@mail.ru</t>
  </si>
  <si>
    <t>Эшмирзоев Субхон Давронович</t>
  </si>
  <si>
    <t>+992911001015; +7(911)001-01-50</t>
  </si>
  <si>
    <t>seshmirzoyev@inbox.ru</t>
  </si>
  <si>
    <t>Эшмурадов Далер Александрович</t>
  </si>
  <si>
    <t>+7(902)986-02-15</t>
  </si>
  <si>
    <t>echmuradov@gmail.com</t>
  </si>
  <si>
    <t>Югай Ангелина Евгеньевна</t>
  </si>
  <si>
    <t>+7(968)952-45-67; +7(968)952-45-67</t>
  </si>
  <si>
    <t>khegaielisa@mail.ru</t>
  </si>
  <si>
    <t>Юдин Данила Игоревич</t>
  </si>
  <si>
    <t>+7(929)727-32-59</t>
  </si>
  <si>
    <t>yudin.danila.igorevich@gmail.com</t>
  </si>
  <si>
    <t>Юдицкая Юлия Сергеевна</t>
  </si>
  <si>
    <t>+7(977)264-24-28</t>
  </si>
  <si>
    <t>uditskaya05@mail.ru</t>
  </si>
  <si>
    <t>Юлаев Евгений Артурович</t>
  </si>
  <si>
    <t>+7(985)583-22-41</t>
  </si>
  <si>
    <t>zhopa14022@mail.ru</t>
  </si>
  <si>
    <t>Юмагулов Данис Ильфатович</t>
  </si>
  <si>
    <t>+7(917)925-19-52</t>
  </si>
  <si>
    <t>yumagulov_danis@mail.ru</t>
  </si>
  <si>
    <t>Юнникова Екатерина Александровна</t>
  </si>
  <si>
    <t>инвалидность</t>
  </si>
  <si>
    <t>89028350630; +7(909)108-33-46</t>
  </si>
  <si>
    <t>mykatyatya@gmail.com</t>
  </si>
  <si>
    <t xml:space="preserve">ДЦП, минимальный этаж </t>
  </si>
  <si>
    <t>Юнуса Лукман Джибрил</t>
  </si>
  <si>
    <t>Абуджа</t>
  </si>
  <si>
    <t>+7(901)501-44-83</t>
  </si>
  <si>
    <t>yunusaluqman@gmail.com</t>
  </si>
  <si>
    <t>направил часть документов на почту</t>
  </si>
  <si>
    <t>Юнусов Ахмаджон Дилшод угли</t>
  </si>
  <si>
    <t>+998944242024; +7(000)000-00-00</t>
  </si>
  <si>
    <t>dj99on@gmail.com</t>
  </si>
  <si>
    <t>Юнусова Жасмин Дмитриевна</t>
  </si>
  <si>
    <t>+992 55 255 5557; +7(920)536-07-58</t>
  </si>
  <si>
    <t>zhasmin.unusova@mail.ru</t>
  </si>
  <si>
    <t>личное заявление</t>
  </si>
  <si>
    <t>Юсупов Шохрух Нариманович</t>
  </si>
  <si>
    <t>+998970388909; +7(895)023-77-27</t>
  </si>
  <si>
    <t>shoxruxyusupov2806@icloud.com</t>
  </si>
  <si>
    <t>Юсуповский Андрей Сергеевич</t>
  </si>
  <si>
    <t>+7(902)329-16-15</t>
  </si>
  <si>
    <t>a.jusupovskij@yandex.ru</t>
  </si>
  <si>
    <t>Юхнович Антон Васильевич</t>
  </si>
  <si>
    <t>+7(988)367-75-35</t>
  </si>
  <si>
    <t>yukhnovich.anton@mail.ru</t>
  </si>
  <si>
    <t>Яворская Анастасия Андреевна</t>
  </si>
  <si>
    <t>+7(906)734-92-62</t>
  </si>
  <si>
    <t>YAVOR1409@GMAIL.COM</t>
  </si>
  <si>
    <t>Яворский Игорь Олегович</t>
  </si>
  <si>
    <t>+7(922)058-47-28</t>
  </si>
  <si>
    <t>yavorsky.igorya@yandex.ru</t>
  </si>
  <si>
    <t>кафедра БИСУП - Пятецкий В.Е., хочет М-2</t>
  </si>
  <si>
    <t>Яер Доржу Нареш</t>
  </si>
  <si>
    <t>+7(977)752-90-89</t>
  </si>
  <si>
    <t>dorju05@mail.ru</t>
  </si>
  <si>
    <t>Язвицкая Полина Александровна</t>
  </si>
  <si>
    <t>+7(903)276-73-38</t>
  </si>
  <si>
    <t>jaswizkaja.polina@gmail.com</t>
  </si>
  <si>
    <t>Язева Анастасия Сергеевна</t>
  </si>
  <si>
    <t>+7(916)372-15-30</t>
  </si>
  <si>
    <t>missgadzilla@mail.ru</t>
  </si>
  <si>
    <t>Якимова Кристина Константиновна</t>
  </si>
  <si>
    <t>Лубни д</t>
  </si>
  <si>
    <t>+79229169675; +7(922)914-27-01</t>
  </si>
  <si>
    <t>kristi.hey@mail.ru</t>
  </si>
  <si>
    <t>Яковенко Владислав Вячеславович</t>
  </si>
  <si>
    <t>+7(928)959-69-30</t>
  </si>
  <si>
    <t>tyler2076@yandex.ru</t>
  </si>
  <si>
    <t>Яковлев Андрей Валерьевич</t>
  </si>
  <si>
    <t>+7(905)346-35-57</t>
  </si>
  <si>
    <t>andrej.yakovlev.01.01@mail.ru</t>
  </si>
  <si>
    <t>Яковлев Иван Петрович</t>
  </si>
  <si>
    <t>Бор г</t>
  </si>
  <si>
    <t>+7(910)873-91-16</t>
  </si>
  <si>
    <t>ivan-yakovlev-2005@mail.ru</t>
  </si>
  <si>
    <t>Яковлев Кирилл Павлович</t>
  </si>
  <si>
    <t>+7(915)458-17-15</t>
  </si>
  <si>
    <t>havel210564@gmail.com</t>
  </si>
  <si>
    <t>Яковлев Николай Николаевич</t>
  </si>
  <si>
    <t>Моргауши с</t>
  </si>
  <si>
    <t>+7(927)843-46-74</t>
  </si>
  <si>
    <t>colambiaa@mail.ru</t>
  </si>
  <si>
    <t>Яксюбаева Элина Рунисовна</t>
  </si>
  <si>
    <t>+7(927)075-57-41</t>
  </si>
  <si>
    <t>yikosims1313@gmail.com</t>
  </si>
  <si>
    <t>Якубу Шараф-Дин</t>
  </si>
  <si>
    <t>Бенин</t>
  </si>
  <si>
    <t>+7(977)673-89-63</t>
  </si>
  <si>
    <t>charafeyacoubou@gmail.com</t>
  </si>
  <si>
    <t>Якушев Глеб Вячеславович</t>
  </si>
  <si>
    <t>+7(999)431-24-20</t>
  </si>
  <si>
    <t>glebasta_818@mail.ru</t>
  </si>
  <si>
    <t>Янаев Ильдар Тимурович</t>
  </si>
  <si>
    <t>89631090026; (996)961-32-60</t>
  </si>
  <si>
    <t>ildarianaev05092001@gmail.com</t>
  </si>
  <si>
    <t>Янгибоев Жамшид Кахрамон Угли</t>
  </si>
  <si>
    <t>Лазерная техника. Материалы и устройства</t>
  </si>
  <si>
    <t>+7(901)504-45-46; +998973889074; +998973159074</t>
  </si>
  <si>
    <t>m1911160@edu.misis.ru</t>
  </si>
  <si>
    <t>Яниковский Александр Станиславович</t>
  </si>
  <si>
    <t>+7(911)031-97-78</t>
  </si>
  <si>
    <t>yanikovskiy87@mail.ru</t>
  </si>
  <si>
    <t>Янина Анастасия Романовна</t>
  </si>
  <si>
    <t>Бердск г</t>
  </si>
  <si>
    <t>+7(913)902-23-24</t>
  </si>
  <si>
    <t>n.yanina2005@mail.ru</t>
  </si>
  <si>
    <t>Янов Семён Олегович</t>
  </si>
  <si>
    <t>Сосновый Бор г</t>
  </si>
  <si>
    <t>+7(952)181-37-82</t>
  </si>
  <si>
    <t>semen_yanov@mail.ru</t>
  </si>
  <si>
    <t>Янтурин Владислав Витальевич</t>
  </si>
  <si>
    <t>+7(777)108-96-98</t>
  </si>
  <si>
    <t>ggdghay@mail.ru</t>
  </si>
  <si>
    <t>Ярикова Любовь Юрьевна</t>
  </si>
  <si>
    <t>+7(915)159-04-12</t>
  </si>
  <si>
    <t>luba.rey.l@gmail.com</t>
  </si>
  <si>
    <t>Ярославцева Дарья Олеговна</t>
  </si>
  <si>
    <t>89276174354; +7(987)937-93-27</t>
  </si>
  <si>
    <t>yar.daria57@yandex.ru</t>
  </si>
  <si>
    <t>Ярославцева Елизавета Олеговна</t>
  </si>
  <si>
    <t>+7(988)155-34-13</t>
  </si>
  <si>
    <t>rslvtsv@icloud.com</t>
  </si>
  <si>
    <t>Ярушкевич Руслан Владимирович</t>
  </si>
  <si>
    <t>+7(960)461-66-77</t>
  </si>
  <si>
    <t>morforder@bk.ru</t>
  </si>
  <si>
    <t>Ясиновский Кирилл Игоревич</t>
  </si>
  <si>
    <t>Широбоков х</t>
  </si>
  <si>
    <t>89031741812; +7(968)745-89-35</t>
  </si>
  <si>
    <t>yasenkrasen02@gmail.com</t>
  </si>
  <si>
    <t>Ястребова Александра Павловна</t>
  </si>
  <si>
    <t>+7(905)545-66-18</t>
  </si>
  <si>
    <t>yastrebova_aleks@mail.ru</t>
  </si>
  <si>
    <t>Яценко Ларита Дмитриевна</t>
  </si>
  <si>
    <t>+79608980089; +7(961)842-71-29</t>
  </si>
  <si>
    <t>larita02032005@mail.ru</t>
  </si>
  <si>
    <t>Яшин Егор Олегович</t>
  </si>
  <si>
    <t>Гай г</t>
  </si>
  <si>
    <t>+7(977)947-69-49</t>
  </si>
  <si>
    <t>yashin.eg05@gmail.com</t>
  </si>
  <si>
    <t xml:space="preserve">Студенческая 33 корп 6 </t>
  </si>
  <si>
    <t>Яшкова Екатерина Алексеевна</t>
  </si>
  <si>
    <t>+7(915)106-02-33</t>
  </si>
  <si>
    <t>katyafinn26@gmail.com</t>
  </si>
  <si>
    <t>Бангура Умар</t>
  </si>
  <si>
    <t>4463ст</t>
  </si>
  <si>
    <t>Конакри г.</t>
  </si>
  <si>
    <t>7(000)000-00-00</t>
  </si>
  <si>
    <t>bangouraprof2511@gmail.com</t>
  </si>
  <si>
    <t>Лвагула Дерик</t>
  </si>
  <si>
    <t>Мукона</t>
  </si>
  <si>
    <t>7(929)982-09-85</t>
  </si>
  <si>
    <t>Уйи Десмонд Осагуона</t>
  </si>
  <si>
    <t>4464ст</t>
  </si>
  <si>
    <t>deddypiper@gmail.com</t>
  </si>
  <si>
    <t>Аррьета Вильальба Оскар Андрес</t>
  </si>
  <si>
    <t>4470ст</t>
  </si>
  <si>
    <t>Колумбия</t>
  </si>
  <si>
    <t>Синселехо г.</t>
  </si>
  <si>
    <t>ing.oscar2av@hotmail.com</t>
  </si>
  <si>
    <t>Джари Мохаммад Фаек Джари</t>
  </si>
  <si>
    <t>Ирак</t>
  </si>
  <si>
    <t>Ди-Кар, Эн-Насирия</t>
  </si>
  <si>
    <t>jari94iq@mail.com</t>
  </si>
  <si>
    <t>Тшипингу Эдуарду Афонсу</t>
  </si>
  <si>
    <t>Бенгела</t>
  </si>
  <si>
    <t>tchipungo369@mail.ru</t>
  </si>
  <si>
    <t>СТУДЕНТЫ / АСПИРАНТЫ</t>
  </si>
  <si>
    <t>ИТОГ ПО ОБУЧАЮЩИМСЯ</t>
  </si>
  <si>
    <t>ЦПКВК</t>
  </si>
  <si>
    <t>МОН</t>
  </si>
  <si>
    <t>ИТОГ ПО МОН</t>
  </si>
  <si>
    <t>ВЫДЕЛЕНО МЕСТ</t>
  </si>
  <si>
    <t>ОСТАТОК</t>
  </si>
  <si>
    <t>Слушатель</t>
  </si>
  <si>
    <t>(пусто)</t>
  </si>
  <si>
    <t>ИТОГ ПО СЛУШАТЕЛЯМ</t>
  </si>
  <si>
    <t>ИТОГ</t>
  </si>
  <si>
    <t>ОБЩИЙ ИТОГ</t>
  </si>
  <si>
    <t>Общежитие по приказу</t>
  </si>
  <si>
    <t>женат</t>
  </si>
  <si>
    <t>замужем</t>
  </si>
  <si>
    <t>Г-1, остается, за мужем, проживает с мужем</t>
  </si>
  <si>
    <t>проживал  ранее, просьба</t>
  </si>
  <si>
    <t>Условия</t>
  </si>
  <si>
    <t>Итого</t>
  </si>
  <si>
    <t>Из них квота МОН</t>
  </si>
  <si>
    <t>№п/п</t>
  </si>
  <si>
    <t>Курс</t>
  </si>
  <si>
    <t>Учебная группа</t>
  </si>
  <si>
    <t>Специальность/ направление</t>
  </si>
  <si>
    <t>Договор на проживание (номер договора)</t>
  </si>
  <si>
    <t>Общежитие проживания</t>
  </si>
  <si>
    <t>133429</t>
  </si>
  <si>
    <t>Володяев Дмитрий Георгиевич</t>
  </si>
  <si>
    <t>Четвертый</t>
  </si>
  <si>
    <t>Академический бакалавр</t>
  </si>
  <si>
    <t>БМН-19-2</t>
  </si>
  <si>
    <t>Полное возмещение затрат</t>
  </si>
  <si>
    <t>145387</t>
  </si>
  <si>
    <t>Ильин Руслан Валерьевич</t>
  </si>
  <si>
    <t>БПМ-19-3</t>
  </si>
  <si>
    <t>Бюджетная основа</t>
  </si>
  <si>
    <t>Д/В008/121/17-20711</t>
  </si>
  <si>
    <t>153990</t>
  </si>
  <si>
    <t>Туракулов Темур Вадимович</t>
  </si>
  <si>
    <t>БМН-19-1</t>
  </si>
  <si>
    <t>Д/В008/121/23-43461</t>
  </si>
  <si>
    <t>154701</t>
  </si>
  <si>
    <t>БМТ-19-1</t>
  </si>
  <si>
    <t>Д/В008/121/22-39679</t>
  </si>
  <si>
    <t>154904</t>
  </si>
  <si>
    <t>БМТМ-19-1</t>
  </si>
  <si>
    <t>Д/В008/121/22-42960</t>
  </si>
  <si>
    <t>1600383</t>
  </si>
  <si>
    <t>БПМ-19-4</t>
  </si>
  <si>
    <t>Д/В008/121/16-18464</t>
  </si>
  <si>
    <t>1601005</t>
  </si>
  <si>
    <t>Кравченко Дмитрий Юрьевич</t>
  </si>
  <si>
    <t>БИВТ-19-5</t>
  </si>
  <si>
    <t>Д/В008/121/21-36044</t>
  </si>
  <si>
    <t>1603640</t>
  </si>
  <si>
    <t>Соколов Александр Игоревич</t>
  </si>
  <si>
    <t>БИСТ-19-3</t>
  </si>
  <si>
    <t>Д/В008/121/16-18336</t>
  </si>
  <si>
    <t>1603665</t>
  </si>
  <si>
    <t>БМТМ-19-4</t>
  </si>
  <si>
    <t>Д/В008/121/22-39609</t>
  </si>
  <si>
    <t>1700268</t>
  </si>
  <si>
    <t>БЭЭ-19-1</t>
  </si>
  <si>
    <t>Д/В008/121/22-40681</t>
  </si>
  <si>
    <t>1700379</t>
  </si>
  <si>
    <t>Алексенко Влада Олеговна</t>
  </si>
  <si>
    <t>БИВТ-18-2_Алексенко В.О.</t>
  </si>
  <si>
    <t>1700418</t>
  </si>
  <si>
    <t>Кириллова Дарья Сергеевна</t>
  </si>
  <si>
    <t>БИВТ-19-2</t>
  </si>
  <si>
    <t>1701586</t>
  </si>
  <si>
    <t>Кулагина Светлана Александровна</t>
  </si>
  <si>
    <t>БНМ-19-1</t>
  </si>
  <si>
    <t>Д/В008/121/22-39563</t>
  </si>
  <si>
    <t>1701592</t>
  </si>
  <si>
    <t>Карпушова Александра Андреевна</t>
  </si>
  <si>
    <t>БПИ-19-4</t>
  </si>
  <si>
    <t>1703431</t>
  </si>
  <si>
    <t>Апросимов Николай Сергеевич</t>
  </si>
  <si>
    <t>Второй</t>
  </si>
  <si>
    <t>МТМО-21-1-2</t>
  </si>
  <si>
    <t>Д/В008/121/17-23664</t>
  </si>
  <si>
    <t>1705511</t>
  </si>
  <si>
    <t>Белозеров Артём Владиславович</t>
  </si>
  <si>
    <t>БЭК-19-1</t>
  </si>
  <si>
    <t>1707396</t>
  </si>
  <si>
    <t>Д/В008/121/22-42610</t>
  </si>
  <si>
    <t>1707770</t>
  </si>
  <si>
    <t>Байкова Кристина Денисовна</t>
  </si>
  <si>
    <t>БПМ-19-2</t>
  </si>
  <si>
    <t>Д/В008/121/17-22736</t>
  </si>
  <si>
    <t>1708270</t>
  </si>
  <si>
    <t>Д/В008/121/22-42772</t>
  </si>
  <si>
    <t>1800026</t>
  </si>
  <si>
    <t>ББИ-19-2</t>
  </si>
  <si>
    <t>1800068</t>
  </si>
  <si>
    <t>Ким Кирилл Геннадьевич</t>
  </si>
  <si>
    <t>БИВТ-19-4</t>
  </si>
  <si>
    <t>1800322</t>
  </si>
  <si>
    <t>Конде Лансей</t>
  </si>
  <si>
    <t>Д/В008/121/23-43182</t>
  </si>
  <si>
    <t>1800437</t>
  </si>
  <si>
    <t>Бадиров Рамиль</t>
  </si>
  <si>
    <t>Пятый</t>
  </si>
  <si>
    <t>СНТС-18-1</t>
  </si>
  <si>
    <t>Наземные транспортно-технологические средства</t>
  </si>
  <si>
    <t>Д/В008/121/18-26145</t>
  </si>
  <si>
    <t>1800656</t>
  </si>
  <si>
    <t>Даукенов Марат</t>
  </si>
  <si>
    <t>Д/В008/121/18-26786</t>
  </si>
  <si>
    <t>1800806</t>
  </si>
  <si>
    <t>1800927</t>
  </si>
  <si>
    <t>Рыжова Анастасия Дмитриевна</t>
  </si>
  <si>
    <t>БЛГ-18-ПП_Абасова Д.А., Иванов Д.С., Рыжова А.Д.</t>
  </si>
  <si>
    <t>1800959</t>
  </si>
  <si>
    <t>Лапенок Егор Андреевич</t>
  </si>
  <si>
    <t>БМН-19-4</t>
  </si>
  <si>
    <t>1800965</t>
  </si>
  <si>
    <t>Синицына Анастасия Дмитриевна</t>
  </si>
  <si>
    <t>1801115</t>
  </si>
  <si>
    <t>Ремнев Родион Юрьевич</t>
  </si>
  <si>
    <t>БЛГ-19-4</t>
  </si>
  <si>
    <t>1801129</t>
  </si>
  <si>
    <t>Кирпичева Дарья Дмитриевна</t>
  </si>
  <si>
    <t>1801144</t>
  </si>
  <si>
    <t>Проценко Валерия Владимировна</t>
  </si>
  <si>
    <t>Д/В008/121/18-27033</t>
  </si>
  <si>
    <t>1801180</t>
  </si>
  <si>
    <t>Болат Каламкас Алматкызы</t>
  </si>
  <si>
    <t>ММТ-21-3-6</t>
  </si>
  <si>
    <t>Д/В008/121/18-27468</t>
  </si>
  <si>
    <t>1801393</t>
  </si>
  <si>
    <t>Фирсова Елена Алексеевна</t>
  </si>
  <si>
    <t>1801440</t>
  </si>
  <si>
    <t>Сазонов Павел Анатольевич</t>
  </si>
  <si>
    <t>ББИ-19-3</t>
  </si>
  <si>
    <t>1801529</t>
  </si>
  <si>
    <t>Сайгина Анастасия Михайловна</t>
  </si>
  <si>
    <t>БЛГ-19-9</t>
  </si>
  <si>
    <t>1801566</t>
  </si>
  <si>
    <t>Сыргий Артём Георгиевич</t>
  </si>
  <si>
    <t>1801623</t>
  </si>
  <si>
    <t>1801964</t>
  </si>
  <si>
    <t>Светланова Екатерина Александровна</t>
  </si>
  <si>
    <t>1801993</t>
  </si>
  <si>
    <t>Бурков Дмитрий Вадимович</t>
  </si>
  <si>
    <t>1802095</t>
  </si>
  <si>
    <t>Д/В008/121/22-42436</t>
  </si>
  <si>
    <t>1802245</t>
  </si>
  <si>
    <t>Топольняк Артем Витальевич</t>
  </si>
  <si>
    <t>1802296</t>
  </si>
  <si>
    <t>Гювелян Алина Ваграмовна</t>
  </si>
  <si>
    <t>БЛГ-19-11</t>
  </si>
  <si>
    <t>1802327</t>
  </si>
  <si>
    <t>Чеботарь Мариета</t>
  </si>
  <si>
    <t>БЛГ-18-ТиМ_Лих Д.А., Чеботарь М.</t>
  </si>
  <si>
    <t>1802331</t>
  </si>
  <si>
    <t>Невмержицкий Максим Александрович</t>
  </si>
  <si>
    <t>1802441</t>
  </si>
  <si>
    <t>Д/В008/121/22-42876</t>
  </si>
  <si>
    <t>1802515</t>
  </si>
  <si>
    <t>Шумилов Олег Романович</t>
  </si>
  <si>
    <t>БЭК-19-4</t>
  </si>
  <si>
    <t>1802619</t>
  </si>
  <si>
    <t>Коготков Данила Игоревич</t>
  </si>
  <si>
    <t>1802666</t>
  </si>
  <si>
    <t>Д/В008/121/22-42551</t>
  </si>
  <si>
    <t>1802706</t>
  </si>
  <si>
    <t>Беломестнова Полина Романовна</t>
  </si>
  <si>
    <t>БЛГ-19-3</t>
  </si>
  <si>
    <t>Д/В008/121/21-35791</t>
  </si>
  <si>
    <t>1802755</t>
  </si>
  <si>
    <t>Феоктистова Виктория Алексеевна</t>
  </si>
  <si>
    <t>БЭК-19-3</t>
  </si>
  <si>
    <t>1802897</t>
  </si>
  <si>
    <t>1803159</t>
  </si>
  <si>
    <t>Васяткина Наталия Сергеевна</t>
  </si>
  <si>
    <t>Д/В008/121/18-27238</t>
  </si>
  <si>
    <t>1803259</t>
  </si>
  <si>
    <t>Попова Екатерина Анатольевна</t>
  </si>
  <si>
    <t>1803525</t>
  </si>
  <si>
    <t>Евграшин Алексей Сергеевич</t>
  </si>
  <si>
    <t>1803554</t>
  </si>
  <si>
    <t>Филиппов Иван Дмитриевич</t>
  </si>
  <si>
    <t>БПИ-19-1</t>
  </si>
  <si>
    <t>1803610</t>
  </si>
  <si>
    <t>Чернигов Кирилл Александрович</t>
  </si>
  <si>
    <t>ММТ-21-8-33</t>
  </si>
  <si>
    <t>Д/В008/121/19-29016</t>
  </si>
  <si>
    <t>1803697</t>
  </si>
  <si>
    <t>Д/В008/121/22-40169</t>
  </si>
  <si>
    <t>1803764</t>
  </si>
  <si>
    <t>Д/В008/121/22-40216</t>
  </si>
  <si>
    <t>1803791</t>
  </si>
  <si>
    <t>БНМТ-19-1</t>
  </si>
  <si>
    <t>Д/В008/121/22-42443</t>
  </si>
  <si>
    <t>1803875</t>
  </si>
  <si>
    <t>Каменев Валерий Александрович</t>
  </si>
  <si>
    <t>БМТМ-19-2</t>
  </si>
  <si>
    <t>Д/В008/121/21-39087</t>
  </si>
  <si>
    <t>1803913</t>
  </si>
  <si>
    <t>Лехтман Ульяна Сергеевна</t>
  </si>
  <si>
    <t>Д/В008/121/18-26202</t>
  </si>
  <si>
    <t>1803920</t>
  </si>
  <si>
    <t>Дудоров Кирилл Сергеевич</t>
  </si>
  <si>
    <t>1803948</t>
  </si>
  <si>
    <t>Ярошенко Ксения Владимировна</t>
  </si>
  <si>
    <t>Д/В008/121/18-26155</t>
  </si>
  <si>
    <t>1803991</t>
  </si>
  <si>
    <t>Савочкина Елизавета Игоревна</t>
  </si>
  <si>
    <t>БЛГ-19-10</t>
  </si>
  <si>
    <t>1804044</t>
  </si>
  <si>
    <t>БТМО-19-1</t>
  </si>
  <si>
    <t>Д/В008/121/22-39565</t>
  </si>
  <si>
    <t>1804231</t>
  </si>
  <si>
    <t>Ермаков Семён Алексеевич</t>
  </si>
  <si>
    <t>Д/В008/121/19-30305</t>
  </si>
  <si>
    <t>1804419</t>
  </si>
  <si>
    <t>БЭН-19-1</t>
  </si>
  <si>
    <t>1804599</t>
  </si>
  <si>
    <t>Уколов Егор Алексеевич</t>
  </si>
  <si>
    <t>БГМУ-19-1</t>
  </si>
  <si>
    <t>Государственное и муниципальное управление</t>
  </si>
  <si>
    <t>Д/В008/121/22-39854</t>
  </si>
  <si>
    <t>1804720</t>
  </si>
  <si>
    <t>Д/В008/121/22-42391</t>
  </si>
  <si>
    <t>1804945</t>
  </si>
  <si>
    <t>Селиверстова Таисия Александровна</t>
  </si>
  <si>
    <t>Д/В008/121/22-40008</t>
  </si>
  <si>
    <t>1805030</t>
  </si>
  <si>
    <t>Лих Дарья Андреевна</t>
  </si>
  <si>
    <t>Д/В008/121/18-26331</t>
  </si>
  <si>
    <t>1805194</t>
  </si>
  <si>
    <t>Боймуродова Ситорабону Джаъфарджоновна</t>
  </si>
  <si>
    <t>Д/В008/121/18-26772</t>
  </si>
  <si>
    <t>1805206</t>
  </si>
  <si>
    <t>Аслиддинова Махина Нормуродовна</t>
  </si>
  <si>
    <t>Д/В008/121/18-26764</t>
  </si>
  <si>
    <t>1805246</t>
  </si>
  <si>
    <t>Лямзина Юлия Олеговна</t>
  </si>
  <si>
    <t>БМТ-19-2</t>
  </si>
  <si>
    <t>Д/В008/121/22-40632</t>
  </si>
  <si>
    <t>1805250</t>
  </si>
  <si>
    <t>Саидов Мехрнуш Муродбахтович</t>
  </si>
  <si>
    <t>Д/В008/121/18-27379</t>
  </si>
  <si>
    <t>1805277</t>
  </si>
  <si>
    <t>1805373</t>
  </si>
  <si>
    <t>Д/В008/121/22-42790</t>
  </si>
  <si>
    <t>1805450</t>
  </si>
  <si>
    <t>Д/В008/121/22-39891</t>
  </si>
  <si>
    <t>1805707</t>
  </si>
  <si>
    <t>Снегирева Кристина Александровна</t>
  </si>
  <si>
    <t>БЛГ-19-8</t>
  </si>
  <si>
    <t>Д/В008/121/18-26640</t>
  </si>
  <si>
    <t>1805739</t>
  </si>
  <si>
    <t>Шушарин Михаил Павлович</t>
  </si>
  <si>
    <t>БИСТ-19-1</t>
  </si>
  <si>
    <t>Д/В008/121/18-26180</t>
  </si>
  <si>
    <t>1805812</t>
  </si>
  <si>
    <t>1805926</t>
  </si>
  <si>
    <t>Д/В008/121/22-39541</t>
  </si>
  <si>
    <t>1805959</t>
  </si>
  <si>
    <t>Козловская Анастасия Владимировна</t>
  </si>
  <si>
    <t>БЭК-19-5</t>
  </si>
  <si>
    <t>1806006</t>
  </si>
  <si>
    <t>Братчиков Сергей Станиславович</t>
  </si>
  <si>
    <t>1806162</t>
  </si>
  <si>
    <t>Кутей Игорь Александрович</t>
  </si>
  <si>
    <t>БМН-19-3</t>
  </si>
  <si>
    <t>Д/В008/121/18-26864</t>
  </si>
  <si>
    <t>1806242</t>
  </si>
  <si>
    <t>Абасова Динара Абасовна</t>
  </si>
  <si>
    <t>Д/В008/121/18-26980</t>
  </si>
  <si>
    <t>1806295</t>
  </si>
  <si>
    <t>Арутюнян Армен Александрович</t>
  </si>
  <si>
    <t>ББИ-19-1</t>
  </si>
  <si>
    <t>1806317</t>
  </si>
  <si>
    <t>Кравченко Виктор Вячеславович</t>
  </si>
  <si>
    <t>Д/В008/121/18-27449</t>
  </si>
  <si>
    <t>1806350</t>
  </si>
  <si>
    <t>Д/В008/121/23-43134</t>
  </si>
  <si>
    <t>1806517</t>
  </si>
  <si>
    <t>Татарова Алина Витальевна</t>
  </si>
  <si>
    <t>Д/В008/121/18-26829</t>
  </si>
  <si>
    <t>1806743</t>
  </si>
  <si>
    <t>Самусенко Иван Александрович</t>
  </si>
  <si>
    <t>1806834</t>
  </si>
  <si>
    <t>Макаров Сергей Максимович</t>
  </si>
  <si>
    <t>1806890</t>
  </si>
  <si>
    <t>Салтыкова Кристина Сергеевна</t>
  </si>
  <si>
    <t>Д/В008/121/21-38781</t>
  </si>
  <si>
    <t>1807268</t>
  </si>
  <si>
    <t>Есен Малика</t>
  </si>
  <si>
    <t>Д/В008/121/18-27339</t>
  </si>
  <si>
    <t>1807508</t>
  </si>
  <si>
    <t>Литвинова Мария Васильевна</t>
  </si>
  <si>
    <t>1807533</t>
  </si>
  <si>
    <t>Д/В008/121/23-43262</t>
  </si>
  <si>
    <t>1807780</t>
  </si>
  <si>
    <t>Румянцев Александр Сергеевич</t>
  </si>
  <si>
    <t>1807809</t>
  </si>
  <si>
    <t>Папанов Валерий Павлович</t>
  </si>
  <si>
    <t>1807873</t>
  </si>
  <si>
    <t>Оржех Евгений Вадимович</t>
  </si>
  <si>
    <t>Д/В008/121/18-26717</t>
  </si>
  <si>
    <t>1807949</t>
  </si>
  <si>
    <t>Д/В008/121/21-39381</t>
  </si>
  <si>
    <t>1807957</t>
  </si>
  <si>
    <t>Рябин Николай Викторович</t>
  </si>
  <si>
    <t>1807982</t>
  </si>
  <si>
    <t>Патрин Андрей Евгеньевич</t>
  </si>
  <si>
    <t>1808050</t>
  </si>
  <si>
    <t>1808326</t>
  </si>
  <si>
    <t>Лисицин Максим Андреевич</t>
  </si>
  <si>
    <t>1808490</t>
  </si>
  <si>
    <t>Гаврилюк Арсений Константинович</t>
  </si>
  <si>
    <t>1808706</t>
  </si>
  <si>
    <t>Киселева Варвара Ильинична</t>
  </si>
  <si>
    <t>1809279</t>
  </si>
  <si>
    <t>Покровская Анна Николаевна</t>
  </si>
  <si>
    <t>1809318</t>
  </si>
  <si>
    <t>Шаропов Азизбек Анварович</t>
  </si>
  <si>
    <t>Д/В008/121/18-26636</t>
  </si>
  <si>
    <t>1900137</t>
  </si>
  <si>
    <t>1900173</t>
  </si>
  <si>
    <t>Д/В008/121/19-31759</t>
  </si>
  <si>
    <t>1900177</t>
  </si>
  <si>
    <t>Д/В008/121/19-31828</t>
  </si>
  <si>
    <t>1900178</t>
  </si>
  <si>
    <t>Д/В008/121/19-31814</t>
  </si>
  <si>
    <t>1900184</t>
  </si>
  <si>
    <t>Нгуен Минь Чиет</t>
  </si>
  <si>
    <t>БПИ-19-3</t>
  </si>
  <si>
    <t>Д/В008/121/19-31480</t>
  </si>
  <si>
    <t>1900185</t>
  </si>
  <si>
    <t>Нгуен Дык Тай</t>
  </si>
  <si>
    <t>Д/В008/121/19-31849</t>
  </si>
  <si>
    <t>1900186</t>
  </si>
  <si>
    <t>Ле Куок Туан</t>
  </si>
  <si>
    <t>Д/В008/121/19-31618</t>
  </si>
  <si>
    <t>1900189</t>
  </si>
  <si>
    <t>Зоан Хунг Кыонг</t>
  </si>
  <si>
    <t>Д/В008/121/19-31848</t>
  </si>
  <si>
    <t>1900190</t>
  </si>
  <si>
    <t>Май Тхи Нгок Фыонг</t>
  </si>
  <si>
    <t>Д/В008/121/19-31525</t>
  </si>
  <si>
    <t>1900219</t>
  </si>
  <si>
    <t>1900252</t>
  </si>
  <si>
    <t>Полетаев Дмитрий Ильич</t>
  </si>
  <si>
    <t>БПМ-19-1</t>
  </si>
  <si>
    <t>1900272</t>
  </si>
  <si>
    <t>Д/В008/121/19-31172</t>
  </si>
  <si>
    <t>1900301</t>
  </si>
  <si>
    <t>Абрамов Егор Михайлович</t>
  </si>
  <si>
    <t>Д/В008/121/19-30640</t>
  </si>
  <si>
    <t>1900336</t>
  </si>
  <si>
    <t>Д/В008/121/19-30896</t>
  </si>
  <si>
    <t>1900339</t>
  </si>
  <si>
    <t>Рамзаев Сергей Игоревич</t>
  </si>
  <si>
    <t>1900347</t>
  </si>
  <si>
    <t>Банникова Елизавета Евгеньевна</t>
  </si>
  <si>
    <t>БЭК-19-6</t>
  </si>
  <si>
    <t>1900354</t>
  </si>
  <si>
    <t>Забава Илья Александрович</t>
  </si>
  <si>
    <t>1900359</t>
  </si>
  <si>
    <t>1900380</t>
  </si>
  <si>
    <t>БТМО-19-2</t>
  </si>
  <si>
    <t>Д/В008/121/19-30585</t>
  </si>
  <si>
    <t>1900382</t>
  </si>
  <si>
    <t>Табунчик Александра Вячеславовна</t>
  </si>
  <si>
    <t>БЛГ-19-1</t>
  </si>
  <si>
    <t>1900398</t>
  </si>
  <si>
    <t>Лизунова Алёна Сергеевна</t>
  </si>
  <si>
    <t>1900407</t>
  </si>
  <si>
    <t>Д/В008/121/19-30581</t>
  </si>
  <si>
    <t>1900412</t>
  </si>
  <si>
    <t>Николаева Алиса Юрьевна</t>
  </si>
  <si>
    <t>Д/В008/121/19-30345</t>
  </si>
  <si>
    <t>1900423</t>
  </si>
  <si>
    <t>Ковалькова Вероника Игоревна</t>
  </si>
  <si>
    <t>Д/В008/121/19-30342</t>
  </si>
  <si>
    <t>1900424</t>
  </si>
  <si>
    <t>Кирсанова Маргарита Юрьевна</t>
  </si>
  <si>
    <t>1900459</t>
  </si>
  <si>
    <t>Месяцева Софья Алексеевна</t>
  </si>
  <si>
    <t>1900461</t>
  </si>
  <si>
    <t>1900462</t>
  </si>
  <si>
    <t>Дубовик Артём Алексеевич</t>
  </si>
  <si>
    <t>1900493</t>
  </si>
  <si>
    <t>Д/В008/121/19-31139</t>
  </si>
  <si>
    <t>1900502</t>
  </si>
  <si>
    <t>Чечеткина Анна Сергеевна</t>
  </si>
  <si>
    <t>БЭК-19-2</t>
  </si>
  <si>
    <t>1900508</t>
  </si>
  <si>
    <t>Редькин Артем Владимирович</t>
  </si>
  <si>
    <t>1900512</t>
  </si>
  <si>
    <t>1900513</t>
  </si>
  <si>
    <t>Д/В008/121/19-30679</t>
  </si>
  <si>
    <t>1900514</t>
  </si>
  <si>
    <t>БНМТ-19-2</t>
  </si>
  <si>
    <t>Д/В008/121/19-30674</t>
  </si>
  <si>
    <t>1900517</t>
  </si>
  <si>
    <t>Леви Алёна Олеговна</t>
  </si>
  <si>
    <t>Д/В008/121/19-30383</t>
  </si>
  <si>
    <t>1900519</t>
  </si>
  <si>
    <t>Семина Ксения Дмитриевна</t>
  </si>
  <si>
    <t>1900521</t>
  </si>
  <si>
    <t>БСМ-19-1</t>
  </si>
  <si>
    <t>Д/В008/121/19-31173</t>
  </si>
  <si>
    <t>1900532</t>
  </si>
  <si>
    <t>Ячменев Иван Андреевич</t>
  </si>
  <si>
    <t>Д/В008/121/19-30431</t>
  </si>
  <si>
    <t>1900537</t>
  </si>
  <si>
    <t>Перехожих Валерия Владиславовна</t>
  </si>
  <si>
    <t>1900543</t>
  </si>
  <si>
    <t>Касьянова Юлия Андреевна</t>
  </si>
  <si>
    <t>1900555</t>
  </si>
  <si>
    <t>Хачатрян Марлена Геворговна</t>
  </si>
  <si>
    <t>1900560</t>
  </si>
  <si>
    <t>1900572</t>
  </si>
  <si>
    <t>Бабаева Эмилия Юсифовна</t>
  </si>
  <si>
    <t>1900580</t>
  </si>
  <si>
    <t>Журавлева Варвара Андреевна</t>
  </si>
  <si>
    <t>1900585</t>
  </si>
  <si>
    <t>Д/В008/121/19-30902</t>
  </si>
  <si>
    <t>1900590</t>
  </si>
  <si>
    <t>Гатаулина Милена Расимовна</t>
  </si>
  <si>
    <t>Д/В008/121/19-30484</t>
  </si>
  <si>
    <t>1900596</t>
  </si>
  <si>
    <t>Бургун Эрик Дамирович</t>
  </si>
  <si>
    <t>Д/В008/121/22-42519</t>
  </si>
  <si>
    <t>1900602</t>
  </si>
  <si>
    <t>Д/В008/121/19-30866</t>
  </si>
  <si>
    <t>1900614</t>
  </si>
  <si>
    <t>Воронин Александр Константинович</t>
  </si>
  <si>
    <t>1900620</t>
  </si>
  <si>
    <t>Миллер Даниил Айратович</t>
  </si>
  <si>
    <t>БЛГ-19-7</t>
  </si>
  <si>
    <t>1900643</t>
  </si>
  <si>
    <t>Соловых Анна Сергеевна</t>
  </si>
  <si>
    <t>1900644</t>
  </si>
  <si>
    <t>БПИ-19-7</t>
  </si>
  <si>
    <t>1900653</t>
  </si>
  <si>
    <t>Крашенкина Мария Дмитриевна</t>
  </si>
  <si>
    <t>1900660</t>
  </si>
  <si>
    <t>БИСТ-19-2</t>
  </si>
  <si>
    <t>1900661</t>
  </si>
  <si>
    <t>БЛГ-19-2</t>
  </si>
  <si>
    <t>1900664</t>
  </si>
  <si>
    <t>Мороз Дарья Константиновна</t>
  </si>
  <si>
    <t>Д/В008/121/19-30362</t>
  </si>
  <si>
    <t>1900665</t>
  </si>
  <si>
    <t>1900667</t>
  </si>
  <si>
    <t>Звягина Дарья Дмитриевна</t>
  </si>
  <si>
    <t>1900672</t>
  </si>
  <si>
    <t>Кравченко Алексей Игоревич</t>
  </si>
  <si>
    <t>1900676</t>
  </si>
  <si>
    <t>Сорокина Алиса Олеговна</t>
  </si>
  <si>
    <t>1900677</t>
  </si>
  <si>
    <t>Кураксина Алёна Алексеевна</t>
  </si>
  <si>
    <t>БПИ-19-5</t>
  </si>
  <si>
    <t>1900685</t>
  </si>
  <si>
    <t>Шаповалов Георгий Александрович</t>
  </si>
  <si>
    <t>1900686</t>
  </si>
  <si>
    <t>Калинина Екатерина Юрьевна</t>
  </si>
  <si>
    <t>БЛГ-19-14</t>
  </si>
  <si>
    <t>1900694</t>
  </si>
  <si>
    <t>Протченко Евдокия Борисовна</t>
  </si>
  <si>
    <t>1900703</t>
  </si>
  <si>
    <t>Фошин Илья Валерьевич</t>
  </si>
  <si>
    <t>Д/В008/121/19-31178</t>
  </si>
  <si>
    <t>1900712</t>
  </si>
  <si>
    <t>Жаринова Диана Валерьевна</t>
  </si>
  <si>
    <t>1900714</t>
  </si>
  <si>
    <t>Митькина Дарья Сергеевна</t>
  </si>
  <si>
    <t>1900757</t>
  </si>
  <si>
    <t>Зимин Никита Юрьевич</t>
  </si>
  <si>
    <t>БИВТ-19-3</t>
  </si>
  <si>
    <t>1900762</t>
  </si>
  <si>
    <t>Бусыгина Екатерина Павловна</t>
  </si>
  <si>
    <t>БПИ-19-2</t>
  </si>
  <si>
    <t>1900771</t>
  </si>
  <si>
    <t>Ким Никита Олегович</t>
  </si>
  <si>
    <t>1900780</t>
  </si>
  <si>
    <t>Гусейнов Гасан Эльдарович</t>
  </si>
  <si>
    <t>1900781</t>
  </si>
  <si>
    <t>1900791</t>
  </si>
  <si>
    <t>Нуждин Михаил Георгиевич</t>
  </si>
  <si>
    <t>1900795</t>
  </si>
  <si>
    <t>Степанов Евгений Михайлович</t>
  </si>
  <si>
    <t>1900804</t>
  </si>
  <si>
    <t>Селезнева Полина Максимовна</t>
  </si>
  <si>
    <t>1900807</t>
  </si>
  <si>
    <t>Якунина Ксения Дмитриевна</t>
  </si>
  <si>
    <t>1900820</t>
  </si>
  <si>
    <t>Целевой прием</t>
  </si>
  <si>
    <t>1900822</t>
  </si>
  <si>
    <t>Д/В008/121/19-30492</t>
  </si>
  <si>
    <t>1900850</t>
  </si>
  <si>
    <t>Измайлов Лев Сергеевич</t>
  </si>
  <si>
    <t>1900857</t>
  </si>
  <si>
    <t>Суменкова Елена Евгеньевна</t>
  </si>
  <si>
    <t>Д/В008/121/19-30435</t>
  </si>
  <si>
    <t>1900861</t>
  </si>
  <si>
    <t>Ендовицкая Евгения Станиславовна</t>
  </si>
  <si>
    <t>1900884</t>
  </si>
  <si>
    <t>Д/В008/121/19-30324</t>
  </si>
  <si>
    <t>1900887</t>
  </si>
  <si>
    <t>БИВТ-19-1</t>
  </si>
  <si>
    <t>Д/В008/121/19-30636</t>
  </si>
  <si>
    <t>1900904</t>
  </si>
  <si>
    <t>Ворончихина Анна Алексеевна</t>
  </si>
  <si>
    <t>Д/В008/121/20-35520</t>
  </si>
  <si>
    <t>1900911</t>
  </si>
  <si>
    <t>Кувшинов Максим Алексеевич</t>
  </si>
  <si>
    <t>1900922</t>
  </si>
  <si>
    <t>1900934</t>
  </si>
  <si>
    <t>О Да Ын</t>
  </si>
  <si>
    <t>1900937</t>
  </si>
  <si>
    <t>Игонина Юлианна Александровна</t>
  </si>
  <si>
    <t>БЛГ-19-5</t>
  </si>
  <si>
    <t>1900952</t>
  </si>
  <si>
    <t>Корбут Сергей Николаевич</t>
  </si>
  <si>
    <t>1900954</t>
  </si>
  <si>
    <t>Чепур Дарья</t>
  </si>
  <si>
    <t>Д/В008/121/19-30592</t>
  </si>
  <si>
    <t>1900957</t>
  </si>
  <si>
    <t>Д/В008/121/19-31162</t>
  </si>
  <si>
    <t>1900989</t>
  </si>
  <si>
    <t>Атаев Александр Сергеевич</t>
  </si>
  <si>
    <t>1900994</t>
  </si>
  <si>
    <t>Д/В008/121/19-30549</t>
  </si>
  <si>
    <t>1900998</t>
  </si>
  <si>
    <t>Д/В008/121/19-31214</t>
  </si>
  <si>
    <t>1901010</t>
  </si>
  <si>
    <t>Скороходов Илья Константинович</t>
  </si>
  <si>
    <t>1901011</t>
  </si>
  <si>
    <t>Давыдов Никита Дмитриевич</t>
  </si>
  <si>
    <t>Д/В008/121/19-31257</t>
  </si>
  <si>
    <t>1901019</t>
  </si>
  <si>
    <t>Стеклиева Алика Алексеевна</t>
  </si>
  <si>
    <t>1901037</t>
  </si>
  <si>
    <t>1901042</t>
  </si>
  <si>
    <t>Кузьмин Родион Сергеевич</t>
  </si>
  <si>
    <t>Д/В008/121/19-30562</t>
  </si>
  <si>
    <t>1901047</t>
  </si>
  <si>
    <t>1901050</t>
  </si>
  <si>
    <t>Чибисова Елизавета Владимировна</t>
  </si>
  <si>
    <t>БТД-19-1</t>
  </si>
  <si>
    <t>Торговое дело</t>
  </si>
  <si>
    <t>1901056</t>
  </si>
  <si>
    <t>1901068</t>
  </si>
  <si>
    <t>Гараева Александра Маратовна</t>
  </si>
  <si>
    <t>Д/В008/121/19-31204</t>
  </si>
  <si>
    <t>1901071</t>
  </si>
  <si>
    <t>Абрамов Денис Кириллович</t>
  </si>
  <si>
    <t>1901073</t>
  </si>
  <si>
    <t>Д/В008/121/19-30354</t>
  </si>
  <si>
    <t>1901079</t>
  </si>
  <si>
    <t>Алимова Марина Александровна</t>
  </si>
  <si>
    <t>1901103</t>
  </si>
  <si>
    <t>Терехова Анна Владимировна</t>
  </si>
  <si>
    <t>1901111</t>
  </si>
  <si>
    <t>Горланов Дмитрий Вадимович</t>
  </si>
  <si>
    <t>1901120</t>
  </si>
  <si>
    <t>Антонюк Александра Дмитриевна</t>
  </si>
  <si>
    <t>1901134</t>
  </si>
  <si>
    <t>Сляднев Кирилл Павлович</t>
  </si>
  <si>
    <t>1901161</t>
  </si>
  <si>
    <t>Жлаб Алина Владимировна</t>
  </si>
  <si>
    <t>Д/В008/121/19-30451</t>
  </si>
  <si>
    <t>1901167</t>
  </si>
  <si>
    <t>Даскалов Андрей Андреевич</t>
  </si>
  <si>
    <t>1901180</t>
  </si>
  <si>
    <t>Ли Владислав Олегович</t>
  </si>
  <si>
    <t>Д/В008/121/19-30504</t>
  </si>
  <si>
    <t>1901188</t>
  </si>
  <si>
    <t>Кислюк Александра Александровна</t>
  </si>
  <si>
    <t>1901199</t>
  </si>
  <si>
    <t>Пешехонов Иван Прохорович</t>
  </si>
  <si>
    <t>Д/В008/121/19-30578</t>
  </si>
  <si>
    <t>1901202</t>
  </si>
  <si>
    <t>Д/В008/121/19-31141</t>
  </si>
  <si>
    <t>1901211</t>
  </si>
  <si>
    <t>Д/В008/121/19-31404</t>
  </si>
  <si>
    <t>1901222</t>
  </si>
  <si>
    <t>Заярнюк Игорь Владимирович</t>
  </si>
  <si>
    <t>1901231</t>
  </si>
  <si>
    <t>Д/В008/121/19-30587</t>
  </si>
  <si>
    <t>1901245</t>
  </si>
  <si>
    <t>Мануйлова Алиса Алексеевна</t>
  </si>
  <si>
    <t>1901255</t>
  </si>
  <si>
    <t>Герасимова Александра Вячеславовна</t>
  </si>
  <si>
    <t>1901266</t>
  </si>
  <si>
    <t>БЭН-19-2</t>
  </si>
  <si>
    <t>Д/В008/121/19-30654</t>
  </si>
  <si>
    <t>1901270</t>
  </si>
  <si>
    <t>Сапожников Александр Анатольевич</t>
  </si>
  <si>
    <t>1901321</t>
  </si>
  <si>
    <t>1901323</t>
  </si>
  <si>
    <t>БМТМ-19-3</t>
  </si>
  <si>
    <t>1901327</t>
  </si>
  <si>
    <t>Белолипецкая Евгения Алексеевна</t>
  </si>
  <si>
    <t>1901330</t>
  </si>
  <si>
    <t>Дьяченко Кристина Вадимовна</t>
  </si>
  <si>
    <t>1901337</t>
  </si>
  <si>
    <t>Анисимов Денис Максимович</t>
  </si>
  <si>
    <t>1901343</t>
  </si>
  <si>
    <t>1901345</t>
  </si>
  <si>
    <t>Лаухин Алексей Алексеевич</t>
  </si>
  <si>
    <t>1901349</t>
  </si>
  <si>
    <t>Шевченко Надежда Александровна</t>
  </si>
  <si>
    <t>1901363</t>
  </si>
  <si>
    <t>Мартынов Глеб Владимирович</t>
  </si>
  <si>
    <t>1901386</t>
  </si>
  <si>
    <t>Лаптин Пётр Денисович</t>
  </si>
  <si>
    <t>1901388</t>
  </si>
  <si>
    <t>Оганесян Аршак Араратович</t>
  </si>
  <si>
    <t>1901396</t>
  </si>
  <si>
    <t>Жданова Ольга Александровна</t>
  </si>
  <si>
    <t>1901397</t>
  </si>
  <si>
    <t>Мареева Ксения Владимировна</t>
  </si>
  <si>
    <t>1901407</t>
  </si>
  <si>
    <t>Зефиров Кирилл Алексеевич</t>
  </si>
  <si>
    <t>1901408</t>
  </si>
  <si>
    <t>Ванюшкина Анастасия Алексеевна</t>
  </si>
  <si>
    <t>1901413</t>
  </si>
  <si>
    <t>Малько Варвара Олеговна</t>
  </si>
  <si>
    <t>1901417</t>
  </si>
  <si>
    <t>Петров Никита Андреевич</t>
  </si>
  <si>
    <t>1901418</t>
  </si>
  <si>
    <t>Бурдунин Егор Павлович</t>
  </si>
  <si>
    <t>1901421</t>
  </si>
  <si>
    <t>Ермолаева Софья Юрьевна</t>
  </si>
  <si>
    <t>1901425</t>
  </si>
  <si>
    <t>1901428</t>
  </si>
  <si>
    <t>Главатских Мария Владимировна</t>
  </si>
  <si>
    <t>1901431</t>
  </si>
  <si>
    <t>Леонова Олеся Дмитриевна</t>
  </si>
  <si>
    <t>1901444</t>
  </si>
  <si>
    <t>Корчагин Никита Александрович</t>
  </si>
  <si>
    <t>1901445</t>
  </si>
  <si>
    <t>Д/В008/121/19-30518</t>
  </si>
  <si>
    <t>1901451</t>
  </si>
  <si>
    <t>Водянова Валерия Валерьевна</t>
  </si>
  <si>
    <t>1901463</t>
  </si>
  <si>
    <t>1901464</t>
  </si>
  <si>
    <t>Карелин Александр Андреевич</t>
  </si>
  <si>
    <t>1901488</t>
  </si>
  <si>
    <t>Д/В008/121/19-30541</t>
  </si>
  <si>
    <t>1901492</t>
  </si>
  <si>
    <t>1901497</t>
  </si>
  <si>
    <t>Д/В008/121/19-31252</t>
  </si>
  <si>
    <t>1901504</t>
  </si>
  <si>
    <t>Д/В008/121/21-38245</t>
  </si>
  <si>
    <t>1901516</t>
  </si>
  <si>
    <t>Нурсултанова Алина</t>
  </si>
  <si>
    <t>1901523</t>
  </si>
  <si>
    <t>Урусов Альберт Ануарович</t>
  </si>
  <si>
    <t>1901562</t>
  </si>
  <si>
    <t>Пономарева Ангелина Анатольевна</t>
  </si>
  <si>
    <t>Д/В008/121/19-30407</t>
  </si>
  <si>
    <t>1901593</t>
  </si>
  <si>
    <t>Д/В008/121/19-30386</t>
  </si>
  <si>
    <t>1901604</t>
  </si>
  <si>
    <t>Жданова Дарья Викторовна</t>
  </si>
  <si>
    <t>МИВТ-21-2-13</t>
  </si>
  <si>
    <t>Д/В008/121/19-31054</t>
  </si>
  <si>
    <t>1901627</t>
  </si>
  <si>
    <t>Д/В008/121/19-30320</t>
  </si>
  <si>
    <t>1901632</t>
  </si>
  <si>
    <t>Токарев Артём Константинович</t>
  </si>
  <si>
    <t>1901634</t>
  </si>
  <si>
    <t>Д/В008/121/19-31120</t>
  </si>
  <si>
    <t>1901650</t>
  </si>
  <si>
    <t>1901653</t>
  </si>
  <si>
    <t>Вилисова Дарья Дмитриевна</t>
  </si>
  <si>
    <t>БЛГ-19-13</t>
  </si>
  <si>
    <t>1901658</t>
  </si>
  <si>
    <t>Николишина Александра Сергеевна</t>
  </si>
  <si>
    <t>1901680</t>
  </si>
  <si>
    <t>Искендиров Михаил Николаевич</t>
  </si>
  <si>
    <t>МТМО-21-2-15</t>
  </si>
  <si>
    <t>Д/В008/121/19-31889</t>
  </si>
  <si>
    <t>1901682</t>
  </si>
  <si>
    <t>Гражданкина Анастасия Викторовна</t>
  </si>
  <si>
    <t>1901703</t>
  </si>
  <si>
    <t>Комарова Светлана Олеговна</t>
  </si>
  <si>
    <t>Д/В008/121/19-31144</t>
  </si>
  <si>
    <t>1901707</t>
  </si>
  <si>
    <t>Кучеренко Екатерина Владимировна</t>
  </si>
  <si>
    <t>Д/В008/121/19-31313</t>
  </si>
  <si>
    <t>1901724</t>
  </si>
  <si>
    <t>Селиверстова Варвара Андреевна</t>
  </si>
  <si>
    <t>1901740</t>
  </si>
  <si>
    <t>Бутмалай Денис Дмитриевич</t>
  </si>
  <si>
    <t>1901752</t>
  </si>
  <si>
    <t>Тышлина Валерия Александровна</t>
  </si>
  <si>
    <t>1901775</t>
  </si>
  <si>
    <t>Сейфулин Данила Ренатович</t>
  </si>
  <si>
    <t>1901785</t>
  </si>
  <si>
    <t>Егорова Александра Андреевна</t>
  </si>
  <si>
    <t>Д/В008/121/19-30333</t>
  </si>
  <si>
    <t>1901788</t>
  </si>
  <si>
    <t>Сергеева Анастасия Алексеевна</t>
  </si>
  <si>
    <t>1901800</t>
  </si>
  <si>
    <t>Бухарина Мария Игоревна</t>
  </si>
  <si>
    <t>1901824</t>
  </si>
  <si>
    <t>Ризванова Алина</t>
  </si>
  <si>
    <t>Д/В008/121/19-30761</t>
  </si>
  <si>
    <t>1901825</t>
  </si>
  <si>
    <t>Одношевина Яна Владимировна</t>
  </si>
  <si>
    <t>1901826</t>
  </si>
  <si>
    <t>1901829</t>
  </si>
  <si>
    <t>Зарубов Илья Павлович</t>
  </si>
  <si>
    <t>1901857</t>
  </si>
  <si>
    <t>Макарова Алина Олеговна</t>
  </si>
  <si>
    <t>БЛГ-19-6</t>
  </si>
  <si>
    <t>Д/В008/121/20-35539</t>
  </si>
  <si>
    <t>1901860</t>
  </si>
  <si>
    <t>Казаков Алексей Викторович</t>
  </si>
  <si>
    <t>Д/В008/121/19-31523</t>
  </si>
  <si>
    <t>1901862</t>
  </si>
  <si>
    <t>Погосова Екатерина Александровна</t>
  </si>
  <si>
    <t>1901885</t>
  </si>
  <si>
    <t>Самойленко Даниил Вадимович</t>
  </si>
  <si>
    <t>Д/В008/121/19-30414</t>
  </si>
  <si>
    <t>1901888</t>
  </si>
  <si>
    <t>Д/В008/121/19-31189</t>
  </si>
  <si>
    <t>1901893</t>
  </si>
  <si>
    <t>Исакова Варвара Владимировна</t>
  </si>
  <si>
    <t>1901897</t>
  </si>
  <si>
    <t>Лушпай Кирилл Алатдинович</t>
  </si>
  <si>
    <t>1901898</t>
  </si>
  <si>
    <t>Пушкина Алина Сергеевна</t>
  </si>
  <si>
    <t>Д/В008/121/19-30339</t>
  </si>
  <si>
    <t>1901902</t>
  </si>
  <si>
    <t>Рустамов Умид Рустам Угли</t>
  </si>
  <si>
    <t>ММТ-21-7-40</t>
  </si>
  <si>
    <t>Д/В008/121/19-30247</t>
  </si>
  <si>
    <t>1901906</t>
  </si>
  <si>
    <t>Любкина Алина Михайловна</t>
  </si>
  <si>
    <t>1901913</t>
  </si>
  <si>
    <t>Галиева Зарина Масгутовна</t>
  </si>
  <si>
    <t>1901917</t>
  </si>
  <si>
    <t>Ыдырыс Олжас Азаматулы</t>
  </si>
  <si>
    <t>Д/В008/121/19-31220</t>
  </si>
  <si>
    <t>1901947</t>
  </si>
  <si>
    <t>Д/В008/121/19-31597</t>
  </si>
  <si>
    <t>1901985</t>
  </si>
  <si>
    <t>Караваева Елизавета Андреевна</t>
  </si>
  <si>
    <t>1901986</t>
  </si>
  <si>
    <t>1902000</t>
  </si>
  <si>
    <t>Василенко Павел Олегович</t>
  </si>
  <si>
    <t>Д/В008/121/21-38778</t>
  </si>
  <si>
    <t>1902024</t>
  </si>
  <si>
    <t>Д/В008/121/19-30643</t>
  </si>
  <si>
    <t>1902048</t>
  </si>
  <si>
    <t>Ямбаев Александр Ильдарович</t>
  </si>
  <si>
    <t>1902054</t>
  </si>
  <si>
    <t>1902056</t>
  </si>
  <si>
    <t>Юшин Степан Вячеславович</t>
  </si>
  <si>
    <t>1902092</t>
  </si>
  <si>
    <t>Кондрашина Алина Александровна</t>
  </si>
  <si>
    <t>Д/В008/121/19-30548</t>
  </si>
  <si>
    <t>1902093</t>
  </si>
  <si>
    <t>Якимова Алла Николаевна</t>
  </si>
  <si>
    <t>1902107</t>
  </si>
  <si>
    <t>1902118</t>
  </si>
  <si>
    <t>Стерхова Валерия Викторовна</t>
  </si>
  <si>
    <t>Д/В008/121/19-30428</t>
  </si>
  <si>
    <t>1902131</t>
  </si>
  <si>
    <t>Д/В008/121/19-30319</t>
  </si>
  <si>
    <t>1902135</t>
  </si>
  <si>
    <t>1902165</t>
  </si>
  <si>
    <t>Зуева Александра Васильевна</t>
  </si>
  <si>
    <t>1902182</t>
  </si>
  <si>
    <t>Чуприна Мария Сергеевна</t>
  </si>
  <si>
    <t>Д/В008/121/19-31140</t>
  </si>
  <si>
    <t>1902185</t>
  </si>
  <si>
    <t>1902202</t>
  </si>
  <si>
    <t>Бедоев Леонард Борисович</t>
  </si>
  <si>
    <t>1902203</t>
  </si>
  <si>
    <t>БМН-19-1_Веденина Е.Е.</t>
  </si>
  <si>
    <t>Д/В008/121/22-39863</t>
  </si>
  <si>
    <t>1902225</t>
  </si>
  <si>
    <t>Плечко Дарья Михайловна</t>
  </si>
  <si>
    <t>1902237</t>
  </si>
  <si>
    <t>Бузин Дмитрий Сергеевич</t>
  </si>
  <si>
    <t>1902239</t>
  </si>
  <si>
    <t>Адиянц Глеб Владимирович</t>
  </si>
  <si>
    <t>1902260</t>
  </si>
  <si>
    <t>Сахарнов Александр Александрович</t>
  </si>
  <si>
    <t>1902263</t>
  </si>
  <si>
    <t>Д/В008/121/19-30400</t>
  </si>
  <si>
    <t>1902267</t>
  </si>
  <si>
    <t>Корнева Ирина Сергеевна</t>
  </si>
  <si>
    <t>1902288</t>
  </si>
  <si>
    <t>Д/В008/121/21-35712</t>
  </si>
  <si>
    <t>1902307</t>
  </si>
  <si>
    <t>Измалков Даниил Андреевич</t>
  </si>
  <si>
    <t>1902310</t>
  </si>
  <si>
    <t>Д/В008/121/19-31034</t>
  </si>
  <si>
    <t>1902330</t>
  </si>
  <si>
    <t>Алёнина Анастасия Витальевна</t>
  </si>
  <si>
    <t>Д/В008/121/19-31350</t>
  </si>
  <si>
    <t>1902370</t>
  </si>
  <si>
    <t>Давыдова Екатерина Евгениевна</t>
  </si>
  <si>
    <t>БЛГ-19-12</t>
  </si>
  <si>
    <t>Д/В008/121/19-30696</t>
  </si>
  <si>
    <t>1902371</t>
  </si>
  <si>
    <t>Абрамова Анастасия Валерьевна</t>
  </si>
  <si>
    <t>1902376</t>
  </si>
  <si>
    <t>Сайын Али Канатулы</t>
  </si>
  <si>
    <t>Д/В008/121/19-30759</t>
  </si>
  <si>
    <t>1902407</t>
  </si>
  <si>
    <t>Британ Игорь Алексеевич</t>
  </si>
  <si>
    <t>Д/В008/121/19-30908</t>
  </si>
  <si>
    <t>1902434</t>
  </si>
  <si>
    <t>Д/В008/121/19-30648</t>
  </si>
  <si>
    <t>1902451</t>
  </si>
  <si>
    <t>Антонян Елена Романовна</t>
  </si>
  <si>
    <t>1902452</t>
  </si>
  <si>
    <t>1902454</t>
  </si>
  <si>
    <t>Д/В008/121/19-30550</t>
  </si>
  <si>
    <t>1902460</t>
  </si>
  <si>
    <t>Полевских Софья Владимировна</t>
  </si>
  <si>
    <t>1902463</t>
  </si>
  <si>
    <t>Филипповых Дмитрий Александрович</t>
  </si>
  <si>
    <t>1902479</t>
  </si>
  <si>
    <t>Кувшинов Марк Евгеньевич</t>
  </si>
  <si>
    <t>Д/В008/121/19-30946</t>
  </si>
  <si>
    <t>1902481</t>
  </si>
  <si>
    <t>Кострикин Александр Николаевич</t>
  </si>
  <si>
    <t>1902483</t>
  </si>
  <si>
    <t>Садыков Антон Игоревич</t>
  </si>
  <si>
    <t>1902503</t>
  </si>
  <si>
    <t>Чамата Елена Витальевна</t>
  </si>
  <si>
    <t>1902510</t>
  </si>
  <si>
    <t>Васильев Михаил Михайлович</t>
  </si>
  <si>
    <t>Д/В008/121/19-30429</t>
  </si>
  <si>
    <t>1902523</t>
  </si>
  <si>
    <t>1902527</t>
  </si>
  <si>
    <t>Д/В008/121/19-31255</t>
  </si>
  <si>
    <t>1902556</t>
  </si>
  <si>
    <t>Головина Анастасия Андреевна</t>
  </si>
  <si>
    <t>1902557</t>
  </si>
  <si>
    <t>1902570</t>
  </si>
  <si>
    <t>Смирнов Герман Романович</t>
  </si>
  <si>
    <t>Д/В008/121/19-30700</t>
  </si>
  <si>
    <t>1902575</t>
  </si>
  <si>
    <t>Д/В008/121/19-30343</t>
  </si>
  <si>
    <t>1902594</t>
  </si>
  <si>
    <t>1902605</t>
  </si>
  <si>
    <t>Григорьева Дарья Сергеевна</t>
  </si>
  <si>
    <t>Д/В008/121/19-31276</t>
  </si>
  <si>
    <t>1902606</t>
  </si>
  <si>
    <t>Гаршина Александра Романовна</t>
  </si>
  <si>
    <t>1902616</t>
  </si>
  <si>
    <t>Мелихова Софья Сергеевна</t>
  </si>
  <si>
    <t>1902618</t>
  </si>
  <si>
    <t>1902619</t>
  </si>
  <si>
    <t>Д/В008/121/19-30872</t>
  </si>
  <si>
    <t>1902630</t>
  </si>
  <si>
    <t>Лобанов Денис Николаевич</t>
  </si>
  <si>
    <t>1902638</t>
  </si>
  <si>
    <t>Д/В008/121/19-30593</t>
  </si>
  <si>
    <t>1902640</t>
  </si>
  <si>
    <t>Коковихина Александра Олеговна</t>
  </si>
  <si>
    <t>Д/В008/121/19-31084</t>
  </si>
  <si>
    <t>1902641</t>
  </si>
  <si>
    <t>1902642</t>
  </si>
  <si>
    <t>Никиткова Мария Петровна</t>
  </si>
  <si>
    <t>1902676</t>
  </si>
  <si>
    <t>Абдуллина Регина Аликовна</t>
  </si>
  <si>
    <t>1902705</t>
  </si>
  <si>
    <t>Крупин Денис Александрович</t>
  </si>
  <si>
    <t>Д/В008/121/19-31020</t>
  </si>
  <si>
    <t>1902706</t>
  </si>
  <si>
    <t>Семенцов Владислав Александрович</t>
  </si>
  <si>
    <t>Д/В008/121/19-30891</t>
  </si>
  <si>
    <t>1902710</t>
  </si>
  <si>
    <t>Емельященкова Екатерина Андреевна</t>
  </si>
  <si>
    <t>1902713</t>
  </si>
  <si>
    <t>Михеев Анатолий Алексеевич</t>
  </si>
  <si>
    <t>1902736</t>
  </si>
  <si>
    <t>Д/В008/121/19-30658</t>
  </si>
  <si>
    <t>1902751</t>
  </si>
  <si>
    <t>Привалова Мария Дмитриевна</t>
  </si>
  <si>
    <t>Д/В008/121/19-30668</t>
  </si>
  <si>
    <t>1902772</t>
  </si>
  <si>
    <t>Колотилина Полина Алексеевна</t>
  </si>
  <si>
    <t>Д/В008/121/19-30655</t>
  </si>
  <si>
    <t>1902814</t>
  </si>
  <si>
    <t>Глушков Борис Константинович</t>
  </si>
  <si>
    <t>1902818</t>
  </si>
  <si>
    <t>Трунова Александра Александровна</t>
  </si>
  <si>
    <t>1902823</t>
  </si>
  <si>
    <t>Филатова Виктория Денисовна</t>
  </si>
  <si>
    <t>1902826</t>
  </si>
  <si>
    <t>Звездин Кирилл Сергеевич</t>
  </si>
  <si>
    <t>Д/В008/121/19-31537</t>
  </si>
  <si>
    <t>1902827</t>
  </si>
  <si>
    <t>Хайретдинов Дамир Алиевич</t>
  </si>
  <si>
    <t>1902828</t>
  </si>
  <si>
    <t>Ходулина Дания Ибрагимовна</t>
  </si>
  <si>
    <t>1902839</t>
  </si>
  <si>
    <t>1902868</t>
  </si>
  <si>
    <t>Савельева Яна Дмитриевна</t>
  </si>
  <si>
    <t>1902876</t>
  </si>
  <si>
    <t>Авакьян Карен Арменович</t>
  </si>
  <si>
    <t>1902885</t>
  </si>
  <si>
    <t>Миндубаева Эвелина Руслановна</t>
  </si>
  <si>
    <t>1902887</t>
  </si>
  <si>
    <t>Цецхладзе Георгий Александрович</t>
  </si>
  <si>
    <t>1902892</t>
  </si>
  <si>
    <t>Николаева Анастасия Борисовна</t>
  </si>
  <si>
    <t>1902894</t>
  </si>
  <si>
    <t>Сорокин Дмитрий Евгеньевич</t>
  </si>
  <si>
    <t>Д/В008/121/19-30613</t>
  </si>
  <si>
    <t>1902896</t>
  </si>
  <si>
    <t>Шамрило Алина Денисовна</t>
  </si>
  <si>
    <t>Д/В008/121/19-31746</t>
  </si>
  <si>
    <t>1902907</t>
  </si>
  <si>
    <t>Кузнецов Денис Андреевич</t>
  </si>
  <si>
    <t>1902908</t>
  </si>
  <si>
    <t>Ильина Ангелина Олеговна</t>
  </si>
  <si>
    <t>1902916</t>
  </si>
  <si>
    <t>Альтемиров Билан Бесланович</t>
  </si>
  <si>
    <t>1902934</t>
  </si>
  <si>
    <t>Королева Юлия Сергеевна</t>
  </si>
  <si>
    <t>1902937</t>
  </si>
  <si>
    <t>1902945</t>
  </si>
  <si>
    <t>Кулагина Наталия Викторовна</t>
  </si>
  <si>
    <t>1902948</t>
  </si>
  <si>
    <t>Селезнев Иван Андреевич</t>
  </si>
  <si>
    <t>1902953</t>
  </si>
  <si>
    <t>Хлопкова Александра Вячеславовна</t>
  </si>
  <si>
    <t>1902968</t>
  </si>
  <si>
    <t>Кастро Валерия Викторовна</t>
  </si>
  <si>
    <t>1902970</t>
  </si>
  <si>
    <t>Артемова Александра Андреевна</t>
  </si>
  <si>
    <t>1902972</t>
  </si>
  <si>
    <t>Якушева Виктория Дмитриевна</t>
  </si>
  <si>
    <t>1902984</t>
  </si>
  <si>
    <t>1902991</t>
  </si>
  <si>
    <t>Борисова Анна Дмитриевна</t>
  </si>
  <si>
    <t>1903053</t>
  </si>
  <si>
    <t>1903055</t>
  </si>
  <si>
    <t>Д/В008/121/19-30402</t>
  </si>
  <si>
    <t>1903079</t>
  </si>
  <si>
    <t>БФЗ-19-1</t>
  </si>
  <si>
    <t>Д/В008/121/19-30483</t>
  </si>
  <si>
    <t>1903083</t>
  </si>
  <si>
    <t>Танчин Карина Игоревна</t>
  </si>
  <si>
    <t>1903099</t>
  </si>
  <si>
    <t>Фетисова Анастасия Романовна</t>
  </si>
  <si>
    <t>1903113</t>
  </si>
  <si>
    <t>Д/В008/121/19-30661</t>
  </si>
  <si>
    <t>1903120</t>
  </si>
  <si>
    <t>Д/В008/121/19-31146</t>
  </si>
  <si>
    <t>1903130</t>
  </si>
  <si>
    <t>Левочкина Анна Константиновна</t>
  </si>
  <si>
    <t>1903132</t>
  </si>
  <si>
    <t>Ходасевич Алина Витальевна</t>
  </si>
  <si>
    <t>1903155</t>
  </si>
  <si>
    <t>Д/В008/121/19-30323</t>
  </si>
  <si>
    <t>1903156</t>
  </si>
  <si>
    <t>Д/В008/121/19-31018</t>
  </si>
  <si>
    <t>1903162</t>
  </si>
  <si>
    <t>Д/В008/121/19-30328</t>
  </si>
  <si>
    <t>1903164</t>
  </si>
  <si>
    <t>Гришин Иван Алексеевич</t>
  </si>
  <si>
    <t>1903177</t>
  </si>
  <si>
    <t>Д/В008/121/19-30308</t>
  </si>
  <si>
    <t>1903184</t>
  </si>
  <si>
    <t>Куроян Иван Григорьевич</t>
  </si>
  <si>
    <t>1903189</t>
  </si>
  <si>
    <t>Радченко Валентина Александровна</t>
  </si>
  <si>
    <t>1903194</t>
  </si>
  <si>
    <t>Александрова София Романовна</t>
  </si>
  <si>
    <t>Д/В008/121/19-31096</t>
  </si>
  <si>
    <t>1903203</t>
  </si>
  <si>
    <t>Д/В008/121/22-39655</t>
  </si>
  <si>
    <t>1903213</t>
  </si>
  <si>
    <t>Стулова Анастасия Евгеньевна</t>
  </si>
  <si>
    <t>1903242</t>
  </si>
  <si>
    <t>Дойникова Валерия Антоновна</t>
  </si>
  <si>
    <t>Д/В008/121/19-30673</t>
  </si>
  <si>
    <t>1903267</t>
  </si>
  <si>
    <t>Абрашин Павел Сергеевич</t>
  </si>
  <si>
    <t>Д/В008/121/19-31168</t>
  </si>
  <si>
    <t>1903277</t>
  </si>
  <si>
    <t>Богданов Григорий Игоревич</t>
  </si>
  <si>
    <t>1903290</t>
  </si>
  <si>
    <t>Ларикова Ольга Александровна</t>
  </si>
  <si>
    <t>1903293</t>
  </si>
  <si>
    <t>Афоничева Елизавета Сергеевна</t>
  </si>
  <si>
    <t>1903306</t>
  </si>
  <si>
    <t>Д/В008/121/19-30858</t>
  </si>
  <si>
    <t>1903316</t>
  </si>
  <si>
    <t>Давыдов Дмитрий Борисович</t>
  </si>
  <si>
    <t>1903322</t>
  </si>
  <si>
    <t>1903326</t>
  </si>
  <si>
    <t>Арутюнян Ашот Айказович</t>
  </si>
  <si>
    <t>1903340</t>
  </si>
  <si>
    <t>Александров Максим Андреевич</t>
  </si>
  <si>
    <t>1903381</t>
  </si>
  <si>
    <t>Д/В008/121/19-31249</t>
  </si>
  <si>
    <t>1903408</t>
  </si>
  <si>
    <t>Киселева Анна Алексеевна</t>
  </si>
  <si>
    <t>1903454</t>
  </si>
  <si>
    <t>Манина Дарья Александровна</t>
  </si>
  <si>
    <t>1903456</t>
  </si>
  <si>
    <t>Гализина Анастасия Валериевна</t>
  </si>
  <si>
    <t>1903457</t>
  </si>
  <si>
    <t>Лювшиза Давид Маратович</t>
  </si>
  <si>
    <t>Д/В008/121/19-30620</t>
  </si>
  <si>
    <t>Институтская 3 корп 2</t>
  </si>
  <si>
    <t>1903479</t>
  </si>
  <si>
    <t>Чекмарева Ульяна Михайловна</t>
  </si>
  <si>
    <t>Д/В008/121/19-30470</t>
  </si>
  <si>
    <t>1903483</t>
  </si>
  <si>
    <t>Умрихин Илья Дмитриевич</t>
  </si>
  <si>
    <t>1903485</t>
  </si>
  <si>
    <t>1903510</t>
  </si>
  <si>
    <t>Д/В008/121/19-30875</t>
  </si>
  <si>
    <t>1903531</t>
  </si>
  <si>
    <t>Козина Анастасия Евгеньевна</t>
  </si>
  <si>
    <t>Д/В008/121/19-30926</t>
  </si>
  <si>
    <t>1903535</t>
  </si>
  <si>
    <t>Мухамадиев Ильяс Муктаржанович</t>
  </si>
  <si>
    <t>Д/В008/121/19-30851</t>
  </si>
  <si>
    <t>1903540</t>
  </si>
  <si>
    <t>Д/В008/121/19-30507</t>
  </si>
  <si>
    <t>1903565</t>
  </si>
  <si>
    <t>Зайцева Полина Валерьевна</t>
  </si>
  <si>
    <t>1903568</t>
  </si>
  <si>
    <t>Мерзликина Ксения Николаевна</t>
  </si>
  <si>
    <t>1903578</t>
  </si>
  <si>
    <t>Алхасова Алёна Арсеновна</t>
  </si>
  <si>
    <t>1903586</t>
  </si>
  <si>
    <t>Волкова Анастасия Дмитриевна</t>
  </si>
  <si>
    <t>1903597</t>
  </si>
  <si>
    <t>1903601</t>
  </si>
  <si>
    <t>Окуневич Екатерина</t>
  </si>
  <si>
    <t>Д/В008/121/19-30812</t>
  </si>
  <si>
    <t>1903621</t>
  </si>
  <si>
    <t>Шамилов Шанде Анатольевич</t>
  </si>
  <si>
    <t>1903638</t>
  </si>
  <si>
    <t>Савельева Арина Александровна</t>
  </si>
  <si>
    <t>1903656</t>
  </si>
  <si>
    <t>Таева Анастасия Денисовна</t>
  </si>
  <si>
    <t>1903679</t>
  </si>
  <si>
    <t>Д/В008/121/19-30816</t>
  </si>
  <si>
    <t>1903688</t>
  </si>
  <si>
    <t>Каришева Полина Вадимовна</t>
  </si>
  <si>
    <t>1903719</t>
  </si>
  <si>
    <t>1903727</t>
  </si>
  <si>
    <t>1903736</t>
  </si>
  <si>
    <t>Пачков Вячеслав Витальевич</t>
  </si>
  <si>
    <t>1903772</t>
  </si>
  <si>
    <t>Д/В008/121/19-30375</t>
  </si>
  <si>
    <t>1903780</t>
  </si>
  <si>
    <t>Колчина Екатерина Олеговна</t>
  </si>
  <si>
    <t>Д/В008/121/19-30886</t>
  </si>
  <si>
    <t>1903781</t>
  </si>
  <si>
    <t>Дадашева Арзу Джавиддиновна</t>
  </si>
  <si>
    <t>1903783</t>
  </si>
  <si>
    <t>Алмазбеков Максатбек Алмазбекович</t>
  </si>
  <si>
    <t>Д/В008/121/19-30925</t>
  </si>
  <si>
    <t>1903800</t>
  </si>
  <si>
    <t>Д/В008/121/19-30773</t>
  </si>
  <si>
    <t>1903804</t>
  </si>
  <si>
    <t>Д/В008/121/19-30380</t>
  </si>
  <si>
    <t>1903805</t>
  </si>
  <si>
    <t>Д/В008/121/19-31396</t>
  </si>
  <si>
    <t>1903825</t>
  </si>
  <si>
    <t>Минашкин Виктор Михайлович</t>
  </si>
  <si>
    <t>ММТМ-21-4-4</t>
  </si>
  <si>
    <t>1903826</t>
  </si>
  <si>
    <t>Д/В008/121/19-30892</t>
  </si>
  <si>
    <t>1903833</t>
  </si>
  <si>
    <t>Плиясов Алекс Мишель Александрович</t>
  </si>
  <si>
    <t>1903836</t>
  </si>
  <si>
    <t>Голованова Мария Александровна</t>
  </si>
  <si>
    <t>Д/В008/121/19-30502</t>
  </si>
  <si>
    <t>1903845</t>
  </si>
  <si>
    <t>Дорофеев Андрей Андреевич</t>
  </si>
  <si>
    <t>1903849</t>
  </si>
  <si>
    <t>Андреева Анастасия Витальевна</t>
  </si>
  <si>
    <t>1903858</t>
  </si>
  <si>
    <t>Д/В008/121/19-31187</t>
  </si>
  <si>
    <t>1903865</t>
  </si>
  <si>
    <t>Филиппова Алина Олеговна</t>
  </si>
  <si>
    <t>1903869</t>
  </si>
  <si>
    <t>Блинов Тимофей Павлович</t>
  </si>
  <si>
    <t>Д/В008/121/19-30366</t>
  </si>
  <si>
    <t>1903873</t>
  </si>
  <si>
    <t>Д/В008/121/19-30955</t>
  </si>
  <si>
    <t>1903879</t>
  </si>
  <si>
    <t>Д/В008/121/19-30330</t>
  </si>
  <si>
    <t>1903883</t>
  </si>
  <si>
    <t>Д/В008/121/19-31539</t>
  </si>
  <si>
    <t>1903895</t>
  </si>
  <si>
    <t>Д/В008/121/19-30918</t>
  </si>
  <si>
    <t>1903906</t>
  </si>
  <si>
    <t>Черноскутов Максим Ильич</t>
  </si>
  <si>
    <t>1903910</t>
  </si>
  <si>
    <t>Шапкова Елизавета Сергеевна</t>
  </si>
  <si>
    <t>1903928</t>
  </si>
  <si>
    <t>Д/В008/121/19-30909</t>
  </si>
  <si>
    <t>1903950</t>
  </si>
  <si>
    <t>Жидков Никита Сергеевич</t>
  </si>
  <si>
    <t>Д/В008/121/19-31337</t>
  </si>
  <si>
    <t>1903999</t>
  </si>
  <si>
    <t>Коняев Вадим Михайлович</t>
  </si>
  <si>
    <t>1904040</t>
  </si>
  <si>
    <t>Кабаков Сергей Игоревич</t>
  </si>
  <si>
    <t>Д/В008/121/19-31485</t>
  </si>
  <si>
    <t>1904041</t>
  </si>
  <si>
    <t>Д/В008/121/19-30472</t>
  </si>
  <si>
    <t>1904062</t>
  </si>
  <si>
    <t>Салун Елизавета Николаевна</t>
  </si>
  <si>
    <t>1904071</t>
  </si>
  <si>
    <t>Д/В008/121/19-30317</t>
  </si>
  <si>
    <t>1904081</t>
  </si>
  <si>
    <t>Сария Павел Гурамович</t>
  </si>
  <si>
    <t>1904090</t>
  </si>
  <si>
    <t>Д/В008/121/19-30473</t>
  </si>
  <si>
    <t>1904092</t>
  </si>
  <si>
    <t>Д/В008/121/19-31668</t>
  </si>
  <si>
    <t>1904100</t>
  </si>
  <si>
    <t>Хадорич Анна Андреевна</t>
  </si>
  <si>
    <t>1904112</t>
  </si>
  <si>
    <t>Короннова Ирина Олеговна</t>
  </si>
  <si>
    <t>Д/В008/121/19-31394</t>
  </si>
  <si>
    <t>1904123</t>
  </si>
  <si>
    <t>Д/В008/121/19-31022</t>
  </si>
  <si>
    <t>1904126</t>
  </si>
  <si>
    <t>Д/В008/121/19-30940</t>
  </si>
  <si>
    <t>1904145</t>
  </si>
  <si>
    <t>Ландина Юлия Александровна</t>
  </si>
  <si>
    <t>1904146</t>
  </si>
  <si>
    <t>Староселец Мария Александровна</t>
  </si>
  <si>
    <t>Д/В008/121/19-31247</t>
  </si>
  <si>
    <t>1904159</t>
  </si>
  <si>
    <t>Чистякова Дарья Романовна</t>
  </si>
  <si>
    <t>Д/В008/121/19-31202</t>
  </si>
  <si>
    <t>1904217</t>
  </si>
  <si>
    <t>1904221</t>
  </si>
  <si>
    <t>Арзамасцева Юлия Александровна</t>
  </si>
  <si>
    <t>Д/В008/121/19-31156</t>
  </si>
  <si>
    <t>1904228</t>
  </si>
  <si>
    <t>Голубев Даниил Владиславович</t>
  </si>
  <si>
    <t>Д/В008/121/19-31260</t>
  </si>
  <si>
    <t>1904241</t>
  </si>
  <si>
    <t>Анисимова Екатерина Евгеньевна</t>
  </si>
  <si>
    <t>Д/В008/121/21-38753</t>
  </si>
  <si>
    <t>1904247</t>
  </si>
  <si>
    <t>Волкова Анастасия Александровна</t>
  </si>
  <si>
    <t>Д/В008/121/23-43214</t>
  </si>
  <si>
    <t>1904261</t>
  </si>
  <si>
    <t>Ерофеева Варвара Николаевна</t>
  </si>
  <si>
    <t>1904263</t>
  </si>
  <si>
    <t>Кращенко Кира Владимировна</t>
  </si>
  <si>
    <t>1904290</t>
  </si>
  <si>
    <t>Д/В008/121/19-30912</t>
  </si>
  <si>
    <t>1904294</t>
  </si>
  <si>
    <t>Колбасова Дарья Олеговна</t>
  </si>
  <si>
    <t>1904295</t>
  </si>
  <si>
    <t>1904337</t>
  </si>
  <si>
    <t>1904340</t>
  </si>
  <si>
    <t>Пустовалова Инга Александровна</t>
  </si>
  <si>
    <t>1904353</t>
  </si>
  <si>
    <t>Бухтеев Никита Андреевич</t>
  </si>
  <si>
    <t>1904359</t>
  </si>
  <si>
    <t>Пристанская Анна Кирилловна</t>
  </si>
  <si>
    <t>1904366</t>
  </si>
  <si>
    <t>1904372</t>
  </si>
  <si>
    <t>Егорова Анастасия Николаевна</t>
  </si>
  <si>
    <t>Д/В008/121/19-31592</t>
  </si>
  <si>
    <t>1904376</t>
  </si>
  <si>
    <t>Алексеев Даниил Олегович</t>
  </si>
  <si>
    <t>1904385</t>
  </si>
  <si>
    <t>1904387</t>
  </si>
  <si>
    <t>1904398</t>
  </si>
  <si>
    <t>Гнусарева Вероника Алексеевна</t>
  </si>
  <si>
    <t>1904424</t>
  </si>
  <si>
    <t>Д/В008/121/19-30389</t>
  </si>
  <si>
    <t>1904426</t>
  </si>
  <si>
    <t>Муртазин Айдар Айратович</t>
  </si>
  <si>
    <t>Д/В008/121/19-30884</t>
  </si>
  <si>
    <t>1904431</t>
  </si>
  <si>
    <t>Жандина Валерия Александровна</t>
  </si>
  <si>
    <t>Д/В008/121/19-31124</t>
  </si>
  <si>
    <t>1904434</t>
  </si>
  <si>
    <t>Д/В008/121/19-30873</t>
  </si>
  <si>
    <t>1904483</t>
  </si>
  <si>
    <t>Бондарева Дарья Алексеевна</t>
  </si>
  <si>
    <t>1904484</t>
  </si>
  <si>
    <t>Рамзайцев Даниил Алексеевич</t>
  </si>
  <si>
    <t>Д/В008/121/19-31050</t>
  </si>
  <si>
    <t>1904502</t>
  </si>
  <si>
    <t>Д/В008/121/19-30958</t>
  </si>
  <si>
    <t>1904509</t>
  </si>
  <si>
    <t>1904540</t>
  </si>
  <si>
    <t>Д/В008/121/19-31027</t>
  </si>
  <si>
    <t>1904548</t>
  </si>
  <si>
    <t>Вирозуб Дарья Олеговна</t>
  </si>
  <si>
    <t>1904593</t>
  </si>
  <si>
    <t>Попов Максим Денисович</t>
  </si>
  <si>
    <t>Д/В008/121/19-30901</t>
  </si>
  <si>
    <t>1904595</t>
  </si>
  <si>
    <t>Парфенова Мария Александровна</t>
  </si>
  <si>
    <t>1904599</t>
  </si>
  <si>
    <t>Д/В008/121/19-30567</t>
  </si>
  <si>
    <t>1904625</t>
  </si>
  <si>
    <t>Д/В008/121/19-31228</t>
  </si>
  <si>
    <t>1904626</t>
  </si>
  <si>
    <t>Кирсанов Дмитрий Вадимович</t>
  </si>
  <si>
    <t>1904630</t>
  </si>
  <si>
    <t>Хайрутдинов Азат Муратович</t>
  </si>
  <si>
    <t>Д/В008/121/19-31501</t>
  </si>
  <si>
    <t>1904632</t>
  </si>
  <si>
    <t>1904638</t>
  </si>
  <si>
    <t>1904650</t>
  </si>
  <si>
    <t>КОРОБЕЙНИКОВ ДАНИИЛ ВИКТОРОВИЧ</t>
  </si>
  <si>
    <t>Д/В008/121/21-38677</t>
  </si>
  <si>
    <t>1904655</t>
  </si>
  <si>
    <t>Кошевцова Яна Владимировна</t>
  </si>
  <si>
    <t>1904675</t>
  </si>
  <si>
    <t>Андрейко Максим Андреевич</t>
  </si>
  <si>
    <t>1904716</t>
  </si>
  <si>
    <t>Попова Марина Александровна</t>
  </si>
  <si>
    <t>Д/В008/121/19-30983</t>
  </si>
  <si>
    <t>1904717</t>
  </si>
  <si>
    <t>Денисова Мария Вячеславовна</t>
  </si>
  <si>
    <t>Д/В008/121/19-30445</t>
  </si>
  <si>
    <t>1904727</t>
  </si>
  <si>
    <t>Алексеева Алена Александровна</t>
  </si>
  <si>
    <t>1904732</t>
  </si>
  <si>
    <t>Д/В008/121/19-30490</t>
  </si>
  <si>
    <t>1904750</t>
  </si>
  <si>
    <t>Виноградова Дарья Валерьевна</t>
  </si>
  <si>
    <t>1904768</t>
  </si>
  <si>
    <t>Бахшян Лилит Арменовна</t>
  </si>
  <si>
    <t>Армения</t>
  </si>
  <si>
    <t>1904773</t>
  </si>
  <si>
    <t>Николаева Валерия Романовна</t>
  </si>
  <si>
    <t>Д/В008/121/19-31210</t>
  </si>
  <si>
    <t>1904780</t>
  </si>
  <si>
    <t>Сячина Полина Сергеевна</t>
  </si>
  <si>
    <t>1904783</t>
  </si>
  <si>
    <t>1904796</t>
  </si>
  <si>
    <t>Д/В008/121/19-31576</t>
  </si>
  <si>
    <t>1904798</t>
  </si>
  <si>
    <t>Берсанова Амина Асламбековна</t>
  </si>
  <si>
    <t>1904802</t>
  </si>
  <si>
    <t>1904813</t>
  </si>
  <si>
    <t>Комиссарова Евгения Валерьевна</t>
  </si>
  <si>
    <t>1904840</t>
  </si>
  <si>
    <t>Куликова Мария Вадимовна</t>
  </si>
  <si>
    <t>Д/В008/121/19-31534</t>
  </si>
  <si>
    <t>1904847</t>
  </si>
  <si>
    <t>Ефремов Максим Антонович</t>
  </si>
  <si>
    <t>1904869</t>
  </si>
  <si>
    <t>Колесников Степан Андреевич</t>
  </si>
  <si>
    <t>Д/В008/121/19-30753</t>
  </si>
  <si>
    <t>1904884</t>
  </si>
  <si>
    <t>Д/В008/121/19-30919</t>
  </si>
  <si>
    <t>1904885</t>
  </si>
  <si>
    <t>Абдирейим Нагида</t>
  </si>
  <si>
    <t>МЭЭ-21-1-3</t>
  </si>
  <si>
    <t>Д/В008/121/22-39721</t>
  </si>
  <si>
    <t>1904886</t>
  </si>
  <si>
    <t>Ерофеев Владислав Васильевич</t>
  </si>
  <si>
    <t>1904892</t>
  </si>
  <si>
    <t>Яковлев Алексей Владимирович</t>
  </si>
  <si>
    <t>1904912</t>
  </si>
  <si>
    <t>Мамедова Зумруд Сафаровна</t>
  </si>
  <si>
    <t>1904929</t>
  </si>
  <si>
    <t>1904932</t>
  </si>
  <si>
    <t>Дунаева Анна Александровна</t>
  </si>
  <si>
    <t>Д/В008/121/19-30664</t>
  </si>
  <si>
    <t>1904943</t>
  </si>
  <si>
    <t>Михина Валерия Александровна</t>
  </si>
  <si>
    <t>1904944</t>
  </si>
  <si>
    <t>Юдичева Нина Дмитриевна</t>
  </si>
  <si>
    <t>1904955</t>
  </si>
  <si>
    <t>Авдеев Илья Иванович</t>
  </si>
  <si>
    <t>1904961</t>
  </si>
  <si>
    <t>Овсянникова Анастасия Романовна</t>
  </si>
  <si>
    <t>1905050</t>
  </si>
  <si>
    <t>Д/В008/121/19-31388</t>
  </si>
  <si>
    <t>1905053</t>
  </si>
  <si>
    <t>Карев Артем Сергеевич</t>
  </si>
  <si>
    <t>1905066</t>
  </si>
  <si>
    <t>Д/В008/121/19-30609</t>
  </si>
  <si>
    <t>1905082</t>
  </si>
  <si>
    <t>Шведова Александра Александровна</t>
  </si>
  <si>
    <t>1905085</t>
  </si>
  <si>
    <t>Д/В008/121/19-30964</t>
  </si>
  <si>
    <t>1905091</t>
  </si>
  <si>
    <t>Попова Кристина Дмитриевна</t>
  </si>
  <si>
    <t>1905093</t>
  </si>
  <si>
    <t>Ерохина Полина Сергеевна</t>
  </si>
  <si>
    <t>1905097</t>
  </si>
  <si>
    <t>Щипанова Мария Андреевна</t>
  </si>
  <si>
    <t>Д/В008/121/19-31119</t>
  </si>
  <si>
    <t>1905102</t>
  </si>
  <si>
    <t>Полякова Юлия Сергеевна</t>
  </si>
  <si>
    <t>Д/В008/121/21-35989</t>
  </si>
  <si>
    <t>1905106</t>
  </si>
  <si>
    <t>Маркина Диана Романовна</t>
  </si>
  <si>
    <t>1905113</t>
  </si>
  <si>
    <t>Метлова Татьяна Александровна</t>
  </si>
  <si>
    <t>Д/В008/121/19-31105</t>
  </si>
  <si>
    <t>1905114</t>
  </si>
  <si>
    <t>Меркушина Ольга Владимировна</t>
  </si>
  <si>
    <t>1905136</t>
  </si>
  <si>
    <t>1905140</t>
  </si>
  <si>
    <t>Докторова Кристина Алексеевна</t>
  </si>
  <si>
    <t>1905145</t>
  </si>
  <si>
    <t>Рябоконь Милена Михайловна</t>
  </si>
  <si>
    <t>1905148</t>
  </si>
  <si>
    <t>Д/В008/121/19-30974</t>
  </si>
  <si>
    <t>1905164</t>
  </si>
  <si>
    <t>Д/В008/121/19-31171</t>
  </si>
  <si>
    <t>1905183</t>
  </si>
  <si>
    <t>Ермакова Анна Сергеевна</t>
  </si>
  <si>
    <t>1905202</t>
  </si>
  <si>
    <t>Пегова Александра Вадимовна</t>
  </si>
  <si>
    <t>1905252</t>
  </si>
  <si>
    <t>Д/В008/121/19-31067</t>
  </si>
  <si>
    <t>1905257</t>
  </si>
  <si>
    <t>Коротаева Дарья Олеговна</t>
  </si>
  <si>
    <t>Д/В008/121/19-30455</t>
  </si>
  <si>
    <t>1905262</t>
  </si>
  <si>
    <t>Подлужная Алина Георгиевна</t>
  </si>
  <si>
    <t>Д/В008/121/19-30691</t>
  </si>
  <si>
    <t>1905271</t>
  </si>
  <si>
    <t>Кравцова Ольга Сергеевна</t>
  </si>
  <si>
    <t>Д/В008/121/19-30397</t>
  </si>
  <si>
    <t>1905279</t>
  </si>
  <si>
    <t>Д/В008/121/19-30416</t>
  </si>
  <si>
    <t>1905280</t>
  </si>
  <si>
    <t>Севрюков Дмитрий Олегович</t>
  </si>
  <si>
    <t>Д/В008/121/19-30426</t>
  </si>
  <si>
    <t>1905323</t>
  </si>
  <si>
    <t>Д/В008/121/19-31320</t>
  </si>
  <si>
    <t>1905342</t>
  </si>
  <si>
    <t>Д/В008/121/19-30348</t>
  </si>
  <si>
    <t>1905349</t>
  </si>
  <si>
    <t>Замараева Алина Викторовна</t>
  </si>
  <si>
    <t>Д/В008/121/19-30705</t>
  </si>
  <si>
    <t>1905359</t>
  </si>
  <si>
    <t>Д/В008/121/19-30322</t>
  </si>
  <si>
    <t>1905377</t>
  </si>
  <si>
    <t>Демьяненко Алина Александровна</t>
  </si>
  <si>
    <t>Д/В008/121/19-30698</t>
  </si>
  <si>
    <t>1905380</t>
  </si>
  <si>
    <t>Д/В008/121/19-31131</t>
  </si>
  <si>
    <t>1905383</t>
  </si>
  <si>
    <t>Акимова Алина Александровна</t>
  </si>
  <si>
    <t>1905384</t>
  </si>
  <si>
    <t>Д/В008/121/19-30860</t>
  </si>
  <si>
    <t>1905387</t>
  </si>
  <si>
    <t>Кабанова Анастасия Дмитриевна</t>
  </si>
  <si>
    <t>1905393</t>
  </si>
  <si>
    <t>Д/В008/121/19-30932</t>
  </si>
  <si>
    <t>1905399</t>
  </si>
  <si>
    <t>Диякону Юлия Федоровна</t>
  </si>
  <si>
    <t>Д/В008/121/19-30830</t>
  </si>
  <si>
    <t>1905402</t>
  </si>
  <si>
    <t>Панкратьева Екатерина Евгеньевна</t>
  </si>
  <si>
    <t>1905408</t>
  </si>
  <si>
    <t>Д/В008/121/19-30694</t>
  </si>
  <si>
    <t>1905414</t>
  </si>
  <si>
    <t>Андриянников Никита Юрьевич</t>
  </si>
  <si>
    <t>1905442</t>
  </si>
  <si>
    <t>Кузьмин Антон Андреевич</t>
  </si>
  <si>
    <t>1905450</t>
  </si>
  <si>
    <t>Д/В008/121/19-30887</t>
  </si>
  <si>
    <t>1905458</t>
  </si>
  <si>
    <t>Нажесткина Дарья Вадимовна</t>
  </si>
  <si>
    <t>Д/В008/121/19-30869</t>
  </si>
  <si>
    <t>1905464</t>
  </si>
  <si>
    <t>Красноперова Анна Сергеевна</t>
  </si>
  <si>
    <t>Д/В008/121/19-31910</t>
  </si>
  <si>
    <t>1905467</t>
  </si>
  <si>
    <t>Д/В008/121/19-30747</t>
  </si>
  <si>
    <t>1905481</t>
  </si>
  <si>
    <t>Д/В008/121/19-30888</t>
  </si>
  <si>
    <t>1905497</t>
  </si>
  <si>
    <t>Шааб Кирилл Андреевич</t>
  </si>
  <si>
    <t>1905504</t>
  </si>
  <si>
    <t>Д/В008/121/19-30387</t>
  </si>
  <si>
    <t>1905507</t>
  </si>
  <si>
    <t>Аноп Никита Максимович</t>
  </si>
  <si>
    <t>Д/В008/121/19-31059</t>
  </si>
  <si>
    <t>1905542</t>
  </si>
  <si>
    <t>Шамес Александр Дмитриевич</t>
  </si>
  <si>
    <t>1905556</t>
  </si>
  <si>
    <t>1905558</t>
  </si>
  <si>
    <t>Д/В008/121/19-30436</t>
  </si>
  <si>
    <t>1905572</t>
  </si>
  <si>
    <t>Михайлова Анна Сергеевна</t>
  </si>
  <si>
    <t>Д/В008/121/19-31352</t>
  </si>
  <si>
    <t>1905581</t>
  </si>
  <si>
    <t>Калянс Людмила Михайловна</t>
  </si>
  <si>
    <t>1905595</t>
  </si>
  <si>
    <t>Абрамова Алена Сергеевна</t>
  </si>
  <si>
    <t>Д/В008/121/19-30868</t>
  </si>
  <si>
    <t>1905598</t>
  </si>
  <si>
    <t>Вьюгова Кристина Владимировна</t>
  </si>
  <si>
    <t>1905604</t>
  </si>
  <si>
    <t>Журавлев Владимир Александрович</t>
  </si>
  <si>
    <t>1905606</t>
  </si>
  <si>
    <t>Хураева Екатерина Сергеевна</t>
  </si>
  <si>
    <t>Д/В008/121/19-30325</t>
  </si>
  <si>
    <t>1905609</t>
  </si>
  <si>
    <t>Малышева Татьяна Владимировна</t>
  </si>
  <si>
    <t>1905612</t>
  </si>
  <si>
    <t>Тюленева Елизавета Вячеславовна</t>
  </si>
  <si>
    <t>1905614</t>
  </si>
  <si>
    <t>Лисюткина Екатерина Александровна</t>
  </si>
  <si>
    <t>1905615</t>
  </si>
  <si>
    <t>Д/В008/121/19-30722</t>
  </si>
  <si>
    <t>1905633</t>
  </si>
  <si>
    <t>Маяков Владислав Ильич</t>
  </si>
  <si>
    <t>1905635</t>
  </si>
  <si>
    <t>Смородина Екатерина Сергеевна</t>
  </si>
  <si>
    <t>1905643</t>
  </si>
  <si>
    <t>Осовин Максим Владимирович</t>
  </si>
  <si>
    <t>Д/В008/121/19-30519</t>
  </si>
  <si>
    <t>1905648</t>
  </si>
  <si>
    <t>Д/В008/121/19-30662</t>
  </si>
  <si>
    <t>1905652</t>
  </si>
  <si>
    <t>Ковалев Андрей Андреевич</t>
  </si>
  <si>
    <t>Д/В008/121/19-30527</t>
  </si>
  <si>
    <t>1905668</t>
  </si>
  <si>
    <t>Сергеева Наталья Алексеевна</t>
  </si>
  <si>
    <t>1905679</t>
  </si>
  <si>
    <t>Д/В008/121/19-30827</t>
  </si>
  <si>
    <t>1905689</t>
  </si>
  <si>
    <t>Д/В008/121/19-30727</t>
  </si>
  <si>
    <t>1905695</t>
  </si>
  <si>
    <t>1905706</t>
  </si>
  <si>
    <t>Смурыгина Анна Андреевна</t>
  </si>
  <si>
    <t>1905724</t>
  </si>
  <si>
    <t>Абрамова Дарья Валерьевна</t>
  </si>
  <si>
    <t>Д/В008/121/19-30405</t>
  </si>
  <si>
    <t>1905746</t>
  </si>
  <si>
    <t>Д/В008/121/19-30542</t>
  </si>
  <si>
    <t>1905770</t>
  </si>
  <si>
    <t>Ермаков Артём Егорович</t>
  </si>
  <si>
    <t>Д/В008/121/19-30788</t>
  </si>
  <si>
    <t>1905784</t>
  </si>
  <si>
    <t>Амирметов Балагадаш Эльнурович</t>
  </si>
  <si>
    <t>Д/В008/121/19-30627</t>
  </si>
  <si>
    <t>1905826</t>
  </si>
  <si>
    <t>Д/В008/121/19-31017</t>
  </si>
  <si>
    <t>1905834</t>
  </si>
  <si>
    <t>Македонов Дени</t>
  </si>
  <si>
    <t>Д/В008/121/19-31311</t>
  </si>
  <si>
    <t>1905949</t>
  </si>
  <si>
    <t>Ермакова Василиса Сергеевна</t>
  </si>
  <si>
    <t>Д/В008/121/19-30357</t>
  </si>
  <si>
    <t>1905958</t>
  </si>
  <si>
    <t>Д/В008/121/19-31505</t>
  </si>
  <si>
    <t>1905968</t>
  </si>
  <si>
    <t>Д/В008/121/19-30890</t>
  </si>
  <si>
    <t>1905977</t>
  </si>
  <si>
    <t>Федорова Татьяна</t>
  </si>
  <si>
    <t>1905978</t>
  </si>
  <si>
    <t>Кокаев Глеб Константинович</t>
  </si>
  <si>
    <t>1905999</t>
  </si>
  <si>
    <t>Воронова Валентина Владимировна</t>
  </si>
  <si>
    <t>Д/В008/121/19-30421</t>
  </si>
  <si>
    <t>1906001</t>
  </si>
  <si>
    <t>Аверина Анастасия Дмитриевна</t>
  </si>
  <si>
    <t>1906003</t>
  </si>
  <si>
    <t>Гареева Лилия Маратовна</t>
  </si>
  <si>
    <t>Д/В008/121/19-30857</t>
  </si>
  <si>
    <t>1906021</t>
  </si>
  <si>
    <t>Беляев Алексей Олегович</t>
  </si>
  <si>
    <t>Д/В008/121/19-30769</t>
  </si>
  <si>
    <t>1906034</t>
  </si>
  <si>
    <t>Диккерт Егор Сергеевич</t>
  </si>
  <si>
    <t>1906051</t>
  </si>
  <si>
    <t>Д/В008/121/19-31137</t>
  </si>
  <si>
    <t>1906055</t>
  </si>
  <si>
    <t>Д/В008/121/19-30477</t>
  </si>
  <si>
    <t>1906061</t>
  </si>
  <si>
    <t>1906067</t>
  </si>
  <si>
    <t>Сальников Владислав Владимирович</t>
  </si>
  <si>
    <t>БИСТ-19_Сальников В.В.</t>
  </si>
  <si>
    <t>Д/В008/121/19-31356</t>
  </si>
  <si>
    <t>1906087</t>
  </si>
  <si>
    <t>Бахур Анна Сергеевна</t>
  </si>
  <si>
    <t>Д/В008/121/19-30915</t>
  </si>
  <si>
    <t>1906092</t>
  </si>
  <si>
    <t>Атоев Абдували Махкамжонович</t>
  </si>
  <si>
    <t>1906094</t>
  </si>
  <si>
    <t>Боблова Екатерина Андреевна</t>
  </si>
  <si>
    <t>1906095</t>
  </si>
  <si>
    <t>1906136</t>
  </si>
  <si>
    <t>Киселев Даниил Евгеньевич</t>
  </si>
  <si>
    <t>1906155</t>
  </si>
  <si>
    <t>Д/В008/121/20-32764</t>
  </si>
  <si>
    <t>1906156</t>
  </si>
  <si>
    <t>Зиненкова Екатерина Аркадьевна</t>
  </si>
  <si>
    <t>Д/В008/121/20-32961</t>
  </si>
  <si>
    <t>1906167</t>
  </si>
  <si>
    <t>Парфенова Анастасия Денисовна</t>
  </si>
  <si>
    <t>Д/В008/121/19-31122</t>
  </si>
  <si>
    <t>1906181</t>
  </si>
  <si>
    <t>Д/В008/121/19-30412</t>
  </si>
  <si>
    <t>1906208</t>
  </si>
  <si>
    <t>Масловская Алина Александровна</t>
  </si>
  <si>
    <t>Д/В008/121/19-30346</t>
  </si>
  <si>
    <t>1906237</t>
  </si>
  <si>
    <t>Хохлова Татьяна Сергеевна</t>
  </si>
  <si>
    <t>1906245</t>
  </si>
  <si>
    <t>Сырова Арина Максимовна</t>
  </si>
  <si>
    <t>Д/В008/121/20-32744</t>
  </si>
  <si>
    <t>1906250</t>
  </si>
  <si>
    <t>Смирнов Арсений Антонович</t>
  </si>
  <si>
    <t>Д/В008/121/19-30990</t>
  </si>
  <si>
    <t>1906263</t>
  </si>
  <si>
    <t>Варавва Мария Васильевна</t>
  </si>
  <si>
    <t>1906280</t>
  </si>
  <si>
    <t>Ткачёв Андрей Александрович</t>
  </si>
  <si>
    <t>Д/В008/121/19-31373</t>
  </si>
  <si>
    <t>1906292</t>
  </si>
  <si>
    <t>Грачев Артем Игоревич</t>
  </si>
  <si>
    <t>1906326</t>
  </si>
  <si>
    <t>Д/В008/121/19-30602</t>
  </si>
  <si>
    <t>1906334</t>
  </si>
  <si>
    <t>1906344</t>
  </si>
  <si>
    <t>1906351</t>
  </si>
  <si>
    <t>Костин Александр Сергеевич</t>
  </si>
  <si>
    <t>1906373</t>
  </si>
  <si>
    <t>1906434</t>
  </si>
  <si>
    <t>Д/В008/121/19-30506</t>
  </si>
  <si>
    <t>1906457</t>
  </si>
  <si>
    <t>Федоров Даниил Дмитриевич</t>
  </si>
  <si>
    <t>Д/В008/121/21-39063</t>
  </si>
  <si>
    <t>1906459</t>
  </si>
  <si>
    <t>Д/В008/121/19-32502</t>
  </si>
  <si>
    <t>1906466</t>
  </si>
  <si>
    <t>Д/В008/121/19-30419</t>
  </si>
  <si>
    <t>1906504</t>
  </si>
  <si>
    <t>Ким Александр Адрианович</t>
  </si>
  <si>
    <t>1906525</t>
  </si>
  <si>
    <t>Шлык Анастасия Васильевна</t>
  </si>
  <si>
    <t>Д/В008/121/19-30863</t>
  </si>
  <si>
    <t>1906530</t>
  </si>
  <si>
    <t>Абасов Анвер Эльдарович</t>
  </si>
  <si>
    <t>Д/В008/121/19-31236</t>
  </si>
  <si>
    <t>1906553</t>
  </si>
  <si>
    <t>Багильдинская Мария Сергеевна</t>
  </si>
  <si>
    <t>Д/В008/121/19-30371</t>
  </si>
  <si>
    <t>1906554</t>
  </si>
  <si>
    <t>Д/В008/121/19-30721</t>
  </si>
  <si>
    <t>1906597</t>
  </si>
  <si>
    <t>Поветкин Виктор Сергеевич</t>
  </si>
  <si>
    <t>Д/В008/121/19-30740</t>
  </si>
  <si>
    <t>1906600</t>
  </si>
  <si>
    <t>Д/В008/121/19-31565</t>
  </si>
  <si>
    <t>1906618</t>
  </si>
  <si>
    <t>Гачечиладзе Ника Георгиевич</t>
  </si>
  <si>
    <t>1906642</t>
  </si>
  <si>
    <t>Д/В008/121/19-30900</t>
  </si>
  <si>
    <t>1906646</t>
  </si>
  <si>
    <t>Осипова Виктория Михайловна</t>
  </si>
  <si>
    <t>1906664</t>
  </si>
  <si>
    <t>Чулков Никита Константинович</t>
  </si>
  <si>
    <t>1906695</t>
  </si>
  <si>
    <t>Петрова Милана Вячеславовна</t>
  </si>
  <si>
    <t>Д/В008/121/19-30924</t>
  </si>
  <si>
    <t>1906696</t>
  </si>
  <si>
    <t>1906728</t>
  </si>
  <si>
    <t>Абрамова Полина Романовна</t>
  </si>
  <si>
    <t>Д/В008/121/19-30461</t>
  </si>
  <si>
    <t>1906753</t>
  </si>
  <si>
    <t>Д/В008/121/19-30392</t>
  </si>
  <si>
    <t>1906755</t>
  </si>
  <si>
    <t>Ибряшкина Анна Юрьевна</t>
  </si>
  <si>
    <t>Д/В008/121/19-31106</t>
  </si>
  <si>
    <t>1906759</t>
  </si>
  <si>
    <t>Машуров Владимир Владимирович</t>
  </si>
  <si>
    <t>Д/В008/121/19-30867</t>
  </si>
  <si>
    <t>1906765</t>
  </si>
  <si>
    <t>Гудков Александр Сергеевич</t>
  </si>
  <si>
    <t>1906770</t>
  </si>
  <si>
    <t>Д/В008/121/19-30315</t>
  </si>
  <si>
    <t>1906776</t>
  </si>
  <si>
    <t>Д/В008/121/19-30591</t>
  </si>
  <si>
    <t>1906815</t>
  </si>
  <si>
    <t>Д/В008/121/19-30457</t>
  </si>
  <si>
    <t>1906820</t>
  </si>
  <si>
    <t>Д/В008/121/19-30340</t>
  </si>
  <si>
    <t>1906821</t>
  </si>
  <si>
    <t>Филипенко Полина Евгеньевна</t>
  </si>
  <si>
    <t>1906841</t>
  </si>
  <si>
    <t>Д/В008/121/19-31343</t>
  </si>
  <si>
    <t>1906846</t>
  </si>
  <si>
    <t>1906853</t>
  </si>
  <si>
    <t>Магданова Юлия Илнуровна</t>
  </si>
  <si>
    <t>Д/В008/121/19-31004</t>
  </si>
  <si>
    <t>1906884</t>
  </si>
  <si>
    <t>Горошков Иван Николаевич</t>
  </si>
  <si>
    <t>1906911</t>
  </si>
  <si>
    <t>Д/В008/121/19-30356</t>
  </si>
  <si>
    <t>1906917</t>
  </si>
  <si>
    <t>Д/В008/121/19-30943</t>
  </si>
  <si>
    <t>1906921</t>
  </si>
  <si>
    <t>Козлова Елизавета Андреевна</t>
  </si>
  <si>
    <t>Д/В008/121/19-31194</t>
  </si>
  <si>
    <t>1906922</t>
  </si>
  <si>
    <t>Виговская Дарья Геннадьевна</t>
  </si>
  <si>
    <t>1906925</t>
  </si>
  <si>
    <t>Д/В008/121/19-30329</t>
  </si>
  <si>
    <t>1906932</t>
  </si>
  <si>
    <t>Д/В008/121/19-30594</t>
  </si>
  <si>
    <t>1906936</t>
  </si>
  <si>
    <t>Д/В008/121/19-30393</t>
  </si>
  <si>
    <t>1906970</t>
  </si>
  <si>
    <t>Астахов Владимир Романович</t>
  </si>
  <si>
    <t>Д/В008/121/19-31371</t>
  </si>
  <si>
    <t>1907017</t>
  </si>
  <si>
    <t>Грудинин Даниил Владимирович</t>
  </si>
  <si>
    <t>Д/В008/121/19-31160</t>
  </si>
  <si>
    <t>1907027</t>
  </si>
  <si>
    <t>Лапшин Евгений Сергеевич</t>
  </si>
  <si>
    <t>Д/В008/121/19-30334</t>
  </si>
  <si>
    <t>1907067</t>
  </si>
  <si>
    <t>Лукина Елена Артемовна</t>
  </si>
  <si>
    <t>1907082</t>
  </si>
  <si>
    <t>Д/В008/121/19-30515</t>
  </si>
  <si>
    <t>1907083</t>
  </si>
  <si>
    <t>Д/В008/121/19-31319</t>
  </si>
  <si>
    <t>1907102</t>
  </si>
  <si>
    <t>Халматов Дмитрий Андреевич</t>
  </si>
  <si>
    <t>Д/В008/121/19-31152</t>
  </si>
  <si>
    <t>1907106</t>
  </si>
  <si>
    <t>Д/В008/121/19-30657</t>
  </si>
  <si>
    <t>1907118</t>
  </si>
  <si>
    <t>Булгатова Юлия Дмитриевна</t>
  </si>
  <si>
    <t>Д/В008/121/19-30599</t>
  </si>
  <si>
    <t>1907190</t>
  </si>
  <si>
    <t>Подъячева Елизавета Дмитриевна</t>
  </si>
  <si>
    <t>1907191</t>
  </si>
  <si>
    <t>Орлов-Угрюмов Марк Романович</t>
  </si>
  <si>
    <t>Д/В008/121/19-31742</t>
  </si>
  <si>
    <t>1907193</t>
  </si>
  <si>
    <t>Мамедова Эльвина</t>
  </si>
  <si>
    <t>1907195</t>
  </si>
  <si>
    <t>Гасанова Айсу Вусат кызы</t>
  </si>
  <si>
    <t>1907202</t>
  </si>
  <si>
    <t>Трефилов Дмитрий Евгеньевич</t>
  </si>
  <si>
    <t>Д/В008/121/19-30724</t>
  </si>
  <si>
    <t>1907225</t>
  </si>
  <si>
    <t>Шумков Даниил Олегович</t>
  </si>
  <si>
    <t>1907236</t>
  </si>
  <si>
    <t>1907240</t>
  </si>
  <si>
    <t>Д/В008/121/19-30503</t>
  </si>
  <si>
    <t>1907243</t>
  </si>
  <si>
    <t>Грузнов Максим Михайлович</t>
  </si>
  <si>
    <t>Д/В008/121/19-31070</t>
  </si>
  <si>
    <t>1907252</t>
  </si>
  <si>
    <t>Романенко Егор Олегович</t>
  </si>
  <si>
    <t>Д/В008/121/20-35579</t>
  </si>
  <si>
    <t>1907268</t>
  </si>
  <si>
    <t>1907277</t>
  </si>
  <si>
    <t>Вакуленко Марк Михайлович</t>
  </si>
  <si>
    <t>Д/В008/121/19-31116</t>
  </si>
  <si>
    <t>1907279</t>
  </si>
  <si>
    <t>Д/В008/121/19-30529</t>
  </si>
  <si>
    <t>1907290</t>
  </si>
  <si>
    <t>Коновалов Денис Анатольевич</t>
  </si>
  <si>
    <t>1907301</t>
  </si>
  <si>
    <t>Д/В008/121/19-30854</t>
  </si>
  <si>
    <t>1907302</t>
  </si>
  <si>
    <t>Луконькина Екатерина Ивановна</t>
  </si>
  <si>
    <t>Д/В008/121/19-31186</t>
  </si>
  <si>
    <t>1907309</t>
  </si>
  <si>
    <t>1907312</t>
  </si>
  <si>
    <t>Бородина Анна Алексеевна</t>
  </si>
  <si>
    <t>1907322</t>
  </si>
  <si>
    <t>Ходаковская Дарья Александровна</t>
  </si>
  <si>
    <t>1907341</t>
  </si>
  <si>
    <t>Д/В008/121/19-30913</t>
  </si>
  <si>
    <t>1907354</t>
  </si>
  <si>
    <t>Рахмонов Сунатулло Амруллоевич</t>
  </si>
  <si>
    <t>Д/В008/121/19-30754</t>
  </si>
  <si>
    <t>1907358</t>
  </si>
  <si>
    <t>Пименова Кристина Алексеевна</t>
  </si>
  <si>
    <t>1907370</t>
  </si>
  <si>
    <t>Хасанов Изатуллох Убайдуллоевич</t>
  </si>
  <si>
    <t>Д/В008/121/19-31026</t>
  </si>
  <si>
    <t>1907379</t>
  </si>
  <si>
    <t>Махмадуллоев Салим Хукумалиевич</t>
  </si>
  <si>
    <t>Д/В008/121/19-31582</t>
  </si>
  <si>
    <t>1907384</t>
  </si>
  <si>
    <t>Мелёхин Никита Игоревич</t>
  </si>
  <si>
    <t>1907403</t>
  </si>
  <si>
    <t>Д/В008/121/19-31028</t>
  </si>
  <si>
    <t>1907419</t>
  </si>
  <si>
    <t>Полякова Ксения Сергеевна</t>
  </si>
  <si>
    <t>1907465</t>
  </si>
  <si>
    <t>Крайнова Дарья Михайловна</t>
  </si>
  <si>
    <t>1907471</t>
  </si>
  <si>
    <t>Михеев Игнат Алексеевич</t>
  </si>
  <si>
    <t>Д/В008/121/19-31063</t>
  </si>
  <si>
    <t>1907484</t>
  </si>
  <si>
    <t>1907530</t>
  </si>
  <si>
    <t>Трушевский Александр Сергеевич</t>
  </si>
  <si>
    <t>1907569</t>
  </si>
  <si>
    <t>Ефатерова Мария Петровна</t>
  </si>
  <si>
    <t>Д/В008/121/19-30935</t>
  </si>
  <si>
    <t>1907585</t>
  </si>
  <si>
    <t>Д/В008/121/19-31398</t>
  </si>
  <si>
    <t>1907598</t>
  </si>
  <si>
    <t>Осипов Игорь Валерьевич</t>
  </si>
  <si>
    <t>Д/В008/121/19-30897</t>
  </si>
  <si>
    <t>1907600</t>
  </si>
  <si>
    <t>Д/В008/121/19-30535</t>
  </si>
  <si>
    <t>1907601</t>
  </si>
  <si>
    <t>Дудоров Артем Александрович</t>
  </si>
  <si>
    <t>Д/В008/121/19-30352</t>
  </si>
  <si>
    <t>1907605</t>
  </si>
  <si>
    <t>Д/В008/121/19-31191</t>
  </si>
  <si>
    <t>1907616</t>
  </si>
  <si>
    <t>Скоцеляс Даниил Владимирович</t>
  </si>
  <si>
    <t>Д/В008/121/19-30732</t>
  </si>
  <si>
    <t>1907628</t>
  </si>
  <si>
    <t>Д/В008/121/19-30945</t>
  </si>
  <si>
    <t>1907635</t>
  </si>
  <si>
    <t>Д/В008/121/19-31375</t>
  </si>
  <si>
    <t>1907640</t>
  </si>
  <si>
    <t>Д/В008/121/19-31219</t>
  </si>
  <si>
    <t>1907647</t>
  </si>
  <si>
    <t>Васильев Данил Александрович</t>
  </si>
  <si>
    <t>1907655</t>
  </si>
  <si>
    <t>Бушмакова Асария Абдурасуловна</t>
  </si>
  <si>
    <t>1907657</t>
  </si>
  <si>
    <t>Лобов Артем Алексеевич</t>
  </si>
  <si>
    <t>Д/В008/121/19-32676</t>
  </si>
  <si>
    <t>1907661</t>
  </si>
  <si>
    <t>Васильева Татьяна Станиславовна</t>
  </si>
  <si>
    <t>Д/В008/121/19-30950</t>
  </si>
  <si>
    <t>1907666</t>
  </si>
  <si>
    <t>Д/В008/121/19-30582</t>
  </si>
  <si>
    <t>1907674</t>
  </si>
  <si>
    <t>1907677</t>
  </si>
  <si>
    <t>Родионов Павел Сергеевич</t>
  </si>
  <si>
    <t>1907741</t>
  </si>
  <si>
    <t>Д/В008/121/19-30432</t>
  </si>
  <si>
    <t>1907764</t>
  </si>
  <si>
    <t>Демина Марина Романовна</t>
  </si>
  <si>
    <t>1907768</t>
  </si>
  <si>
    <t>Миронова Мария Игоревна</t>
  </si>
  <si>
    <t>1907831</t>
  </si>
  <si>
    <t>Панин Григорий Игоревич</t>
  </si>
  <si>
    <t>Д/В008/121/19-31415</t>
  </si>
  <si>
    <t>1907849</t>
  </si>
  <si>
    <t>Д/В008/121/19-30437</t>
  </si>
  <si>
    <t>1907852</t>
  </si>
  <si>
    <t>Дьяконова Юлия Александровна</t>
  </si>
  <si>
    <t>Д/В008/121/19-30576</t>
  </si>
  <si>
    <t>1907878</t>
  </si>
  <si>
    <t>Глинина Анна Александровна</t>
  </si>
  <si>
    <t>1907889</t>
  </si>
  <si>
    <t>Казакова Кристина Александровна</t>
  </si>
  <si>
    <t>1907894</t>
  </si>
  <si>
    <t>Максимова Александра Андреевна</t>
  </si>
  <si>
    <t>Д/В008/121/19-30468</t>
  </si>
  <si>
    <t>1907896</t>
  </si>
  <si>
    <t>Петров Евгений Эдуардович</t>
  </si>
  <si>
    <t>Д/В008/121/19-30427</t>
  </si>
  <si>
    <t>1907910</t>
  </si>
  <si>
    <t>Д/В008/121/21-39024</t>
  </si>
  <si>
    <t>1907924</t>
  </si>
  <si>
    <t>Д/В008/121/19-30589</t>
  </si>
  <si>
    <t>1907953</t>
  </si>
  <si>
    <t>Д/В008/121/19-30444</t>
  </si>
  <si>
    <t>1907989</t>
  </si>
  <si>
    <t>Чередникова Анастасия Сергеевна</t>
  </si>
  <si>
    <t>Д/В008/121/19-31408</t>
  </si>
  <si>
    <t>1907995</t>
  </si>
  <si>
    <t>Д/В008/121/19-30939</t>
  </si>
  <si>
    <t>1908001</t>
  </si>
  <si>
    <t>Артеменко Анастасия Андреевна</t>
  </si>
  <si>
    <t>Д/В008/121/19-30865</t>
  </si>
  <si>
    <t>1908002</t>
  </si>
  <si>
    <t>Д/В008/121/19-30478</t>
  </si>
  <si>
    <t>1908004</t>
  </si>
  <si>
    <t>Тарашкевич Евгения Олеговна</t>
  </si>
  <si>
    <t>1908005</t>
  </si>
  <si>
    <t>Наумов Максим Артемович</t>
  </si>
  <si>
    <t>1908012</t>
  </si>
  <si>
    <t>Д/В008/121/19-30637</t>
  </si>
  <si>
    <t>1908013</t>
  </si>
  <si>
    <t>Д/В008/121/19-31136</t>
  </si>
  <si>
    <t>1908020</t>
  </si>
  <si>
    <t>Д/В008/121/19-30331</t>
  </si>
  <si>
    <t>1908027</t>
  </si>
  <si>
    <t>Д/В008/121/19-30399</t>
  </si>
  <si>
    <t>1908041</t>
  </si>
  <si>
    <t>Стороженко Полина Владимировна</t>
  </si>
  <si>
    <t>1908044</t>
  </si>
  <si>
    <t>Мананникова Анастасия Ивановна</t>
  </si>
  <si>
    <t>1908077</t>
  </si>
  <si>
    <t>Д/В008/121/19-30656</t>
  </si>
  <si>
    <t>1908090</t>
  </si>
  <si>
    <t>Джабакова Карина Эдуардовна</t>
  </si>
  <si>
    <t>1908098</t>
  </si>
  <si>
    <t>1908109</t>
  </si>
  <si>
    <t>Д/В008/121/19-30544</t>
  </si>
  <si>
    <t>1908121</t>
  </si>
  <si>
    <t>Прощенков Матвей Сергеевич</t>
  </si>
  <si>
    <t>1908142</t>
  </si>
  <si>
    <t>1908146</t>
  </si>
  <si>
    <t>БИСТ-19_Ласкин К.А.</t>
  </si>
  <si>
    <t>Д/В008/121/19-30828</t>
  </si>
  <si>
    <t>1908160</t>
  </si>
  <si>
    <t>Семенова Екатерина Александровна</t>
  </si>
  <si>
    <t>1908178</t>
  </si>
  <si>
    <t>Зайцева Мария Владимировна</t>
  </si>
  <si>
    <t>Д/В008/121/19-30894</t>
  </si>
  <si>
    <t>1908193</t>
  </si>
  <si>
    <t>Мамедова Динара Рустамовна</t>
  </si>
  <si>
    <t>1908205</t>
  </si>
  <si>
    <t>Клюкина Яна Витальевна</t>
  </si>
  <si>
    <t>Д/В008/121/19-30638</t>
  </si>
  <si>
    <t>1908212</t>
  </si>
  <si>
    <t>Никитина Ксения Алексеевна</t>
  </si>
  <si>
    <t>1908221</t>
  </si>
  <si>
    <t>Айрапетян Эдуард Рафаэльевич</t>
  </si>
  <si>
    <t>1908232</t>
  </si>
  <si>
    <t>Колпаков Антон Павлович</t>
  </si>
  <si>
    <t>1908244</t>
  </si>
  <si>
    <t>Д/В008/121/21-38831</t>
  </si>
  <si>
    <t>1908267</t>
  </si>
  <si>
    <t>Волков Никита Дмитриевич</t>
  </si>
  <si>
    <t>1908289</t>
  </si>
  <si>
    <t>Моторин Максим Вадимович</t>
  </si>
  <si>
    <t>МТМО-19-2-13_Моторин М.В.</t>
  </si>
  <si>
    <t>Д/В008/121/19-32672</t>
  </si>
  <si>
    <t>1908311</t>
  </si>
  <si>
    <t>Д/В008/121/19-30406</t>
  </si>
  <si>
    <t>1908328</t>
  </si>
  <si>
    <t>Белоус Полина Вадимовна</t>
  </si>
  <si>
    <t>1908359</t>
  </si>
  <si>
    <t>Д/В008/121/19-30496</t>
  </si>
  <si>
    <t>1908380</t>
  </si>
  <si>
    <t>Емельянова Елена Сергеевна</t>
  </si>
  <si>
    <t>Д/В008/121/19-30822</t>
  </si>
  <si>
    <t>1908390</t>
  </si>
  <si>
    <t>Колесов Дмитрий Андреевич</t>
  </si>
  <si>
    <t>1908406</t>
  </si>
  <si>
    <t>Коршунова Анастасия Георгиевна</t>
  </si>
  <si>
    <t>1908421</t>
  </si>
  <si>
    <t>Галанов Герман Владимирович</t>
  </si>
  <si>
    <t>Д/В008/121/19-31155</t>
  </si>
  <si>
    <t>1908424</t>
  </si>
  <si>
    <t>Д/В008/121/19-30396</t>
  </si>
  <si>
    <t>1908433</t>
  </si>
  <si>
    <t>Тукфеев Амирхан Эльдарович</t>
  </si>
  <si>
    <t>Д/В008/121/19-30378</t>
  </si>
  <si>
    <t>1908447</t>
  </si>
  <si>
    <t>Д/В008/121/19-30530</t>
  </si>
  <si>
    <t>1908453</t>
  </si>
  <si>
    <t>Д/В008/121/19-32570</t>
  </si>
  <si>
    <t>1908456</t>
  </si>
  <si>
    <t>Ковалев Ярослав Сергеевич</t>
  </si>
  <si>
    <t>Д/В008/121/19-31605</t>
  </si>
  <si>
    <t>1908464</t>
  </si>
  <si>
    <t>Мамедов Мурад Азерович</t>
  </si>
  <si>
    <t>1908490</t>
  </si>
  <si>
    <t>Иванова Софья Дмитриевна</t>
  </si>
  <si>
    <t>Д/В008/121/19-30532</t>
  </si>
  <si>
    <t>1908497</t>
  </si>
  <si>
    <t>Д/В008/121/19-31544</t>
  </si>
  <si>
    <t>1908574</t>
  </si>
  <si>
    <t>Д/В008/121/19-31347</t>
  </si>
  <si>
    <t>1908592</t>
  </si>
  <si>
    <t>Салимова Наталия Агарагимовна</t>
  </si>
  <si>
    <t>1908597</t>
  </si>
  <si>
    <t>Киреев Артём Маратович</t>
  </si>
  <si>
    <t>1908601</t>
  </si>
  <si>
    <t>1908618</t>
  </si>
  <si>
    <t>Сенькин Федор Иванович</t>
  </si>
  <si>
    <t>1908627</t>
  </si>
  <si>
    <t>Казанцев Петр Андреевич</t>
  </si>
  <si>
    <t>Д/В008/121/19-31670</t>
  </si>
  <si>
    <t>1908652</t>
  </si>
  <si>
    <t>Д/В008/121/19-31728</t>
  </si>
  <si>
    <t>1908659</t>
  </si>
  <si>
    <t>Д/В008/121/19-30410</t>
  </si>
  <si>
    <t>1908664</t>
  </si>
  <si>
    <t>Д/В008/121/19-31087</t>
  </si>
  <si>
    <t>1908668</t>
  </si>
  <si>
    <t>Кузова Екатерина Андреевна</t>
  </si>
  <si>
    <t>Д/В008/121/19-30493</t>
  </si>
  <si>
    <t>1908693</t>
  </si>
  <si>
    <t>Д/В008/121/19-31129</t>
  </si>
  <si>
    <t>1908712</t>
  </si>
  <si>
    <t>Овечкин Денис Олегович</t>
  </si>
  <si>
    <t>1908715</t>
  </si>
  <si>
    <t>Кочегарова Анна Сергеевна</t>
  </si>
  <si>
    <t>Д/В008/121/19-31370</t>
  </si>
  <si>
    <t>1908734</t>
  </si>
  <si>
    <t>Д/В008/121/19-30774</t>
  </si>
  <si>
    <t>1908761</t>
  </si>
  <si>
    <t>Вареник Егор Игоревич</t>
  </si>
  <si>
    <t>Д/В008/121/19-30307</t>
  </si>
  <si>
    <t>1908803</t>
  </si>
  <si>
    <t>Д/В008/121/19-30586</t>
  </si>
  <si>
    <t>1908816</t>
  </si>
  <si>
    <t>Федорова Екатерина Павловна</t>
  </si>
  <si>
    <t>Д/В008/121/19-30377</t>
  </si>
  <si>
    <t>1908833</t>
  </si>
  <si>
    <t>Пучкова Дарья Владимировна</t>
  </si>
  <si>
    <t>1908847</t>
  </si>
  <si>
    <t>Д/В008/121/19-30928</t>
  </si>
  <si>
    <t>1908861</t>
  </si>
  <si>
    <t>Морозов Михаил Юрьевич</t>
  </si>
  <si>
    <t>Д/В008/121/19-31244</t>
  </si>
  <si>
    <t>1908885</t>
  </si>
  <si>
    <t>Порфирьева Ксения Борисовна</t>
  </si>
  <si>
    <t>Д/В008/121/19-30608</t>
  </si>
  <si>
    <t>1908899</t>
  </si>
  <si>
    <t>Д/В008/121/19-31183</t>
  </si>
  <si>
    <t>1908902</t>
  </si>
  <si>
    <t>1908921</t>
  </si>
  <si>
    <t>Рыбаков Матвей Романович</t>
  </si>
  <si>
    <t>1908924</t>
  </si>
  <si>
    <t>Д/В008/121/20-35500</t>
  </si>
  <si>
    <t>1908933</t>
  </si>
  <si>
    <t>Бобков Максим Александрович</t>
  </si>
  <si>
    <t>1908944</t>
  </si>
  <si>
    <t>Д/В008/121/19-30595</t>
  </si>
  <si>
    <t>1908983</t>
  </si>
  <si>
    <t>Д/В008/121/19-30972</t>
  </si>
  <si>
    <t>1909017</t>
  </si>
  <si>
    <t>Федорова Анастасия Игоревна</t>
  </si>
  <si>
    <t>1909042</t>
  </si>
  <si>
    <t>Кугубаев Максим Константинович</t>
  </si>
  <si>
    <t>Д/В008/121/19-31384</t>
  </si>
  <si>
    <t>1909105</t>
  </si>
  <si>
    <t>Андросов Евгений Александрович</t>
  </si>
  <si>
    <t>Д/В008/121/20-33012</t>
  </si>
  <si>
    <t>1909126</t>
  </si>
  <si>
    <t>1909153</t>
  </si>
  <si>
    <t>Лазарева Любовь Владимировна</t>
  </si>
  <si>
    <t>Д/В008/121/19-30861</t>
  </si>
  <si>
    <t>1909166</t>
  </si>
  <si>
    <t>Рогова Анастасия Николаевна</t>
  </si>
  <si>
    <t>Д/В008/121/19-30475</t>
  </si>
  <si>
    <t>1909178</t>
  </si>
  <si>
    <t>Овезов Руслан Кириллович</t>
  </si>
  <si>
    <t>1909197</t>
  </si>
  <si>
    <t>Скороспелкина Полина Андреевна</t>
  </si>
  <si>
    <t>Д/В008/121/19-31118</t>
  </si>
  <si>
    <t>1909202</t>
  </si>
  <si>
    <t>Д/В008/121/19-30969</t>
  </si>
  <si>
    <t>1909209</t>
  </si>
  <si>
    <t>Д/В008/121/19-30332</t>
  </si>
  <si>
    <t>1909216</t>
  </si>
  <si>
    <t>Лопушова Валерия Дмитриевна</t>
  </si>
  <si>
    <t>Д/В008/121/19-30555</t>
  </si>
  <si>
    <t>1909243</t>
  </si>
  <si>
    <t>Князева Кристина Андреевна</t>
  </si>
  <si>
    <t>1909244</t>
  </si>
  <si>
    <t>Д/В008/121/19-30434</t>
  </si>
  <si>
    <t>1909245</t>
  </si>
  <si>
    <t>Ахметова Анжела Ульфатовна</t>
  </si>
  <si>
    <t>Д/В008/121/19-31730</t>
  </si>
  <si>
    <t>1909246</t>
  </si>
  <si>
    <t>Балыкова Ульяна Алексеевна</t>
  </si>
  <si>
    <t>Д/В008/121/19-30440</t>
  </si>
  <si>
    <t>1909248</t>
  </si>
  <si>
    <t>Крехтунов Владимир Денисович</t>
  </si>
  <si>
    <t>1909264</t>
  </si>
  <si>
    <t>Д/В008/121/19-31389</t>
  </si>
  <si>
    <t>1909273</t>
  </si>
  <si>
    <t>Шаталов Дмитрий Сергеевич</t>
  </si>
  <si>
    <t>1909293</t>
  </si>
  <si>
    <t>Реутова Арсения Сергеевна</t>
  </si>
  <si>
    <t>Д/В008/121/19-30938</t>
  </si>
  <si>
    <t>1909305</t>
  </si>
  <si>
    <t>1909389</t>
  </si>
  <si>
    <t>Д/В008/121/19-30509</t>
  </si>
  <si>
    <t>1909412</t>
  </si>
  <si>
    <t>Д/В008/121/19-30882</t>
  </si>
  <si>
    <t>1909434</t>
  </si>
  <si>
    <t>Д/В008/121/19-30792</t>
  </si>
  <si>
    <t>1909492</t>
  </si>
  <si>
    <t>Ледкова Наталья Владимировна</t>
  </si>
  <si>
    <t>1909507</t>
  </si>
  <si>
    <t>Аксентьев Илья Сергеевич</t>
  </si>
  <si>
    <t>Д/В008/121/19-31374</t>
  </si>
  <si>
    <t>1909549</t>
  </si>
  <si>
    <t>1909567</t>
  </si>
  <si>
    <t>Валиева Елена Владимировна</t>
  </si>
  <si>
    <t>Д/В008/121/19-31739</t>
  </si>
  <si>
    <t>1909571</t>
  </si>
  <si>
    <t>Простаков Ярослав Игоревич</t>
  </si>
  <si>
    <t>1909640</t>
  </si>
  <si>
    <t>Локтев Захар Николаевич</t>
  </si>
  <si>
    <t>1909644</t>
  </si>
  <si>
    <t>Кузнецова Серафима Александровна</t>
  </si>
  <si>
    <t>Д/В008/121/19-30889</t>
  </si>
  <si>
    <t>1909649</t>
  </si>
  <si>
    <t>Лебедев Владислав Александрович</t>
  </si>
  <si>
    <t>1909663</t>
  </si>
  <si>
    <t>1909695</t>
  </si>
  <si>
    <t>Бочкарева Анастасия Алексеевна</t>
  </si>
  <si>
    <t>Д/В008/121/19-31575</t>
  </si>
  <si>
    <t>1909745</t>
  </si>
  <si>
    <t>Ким-Тян Луиза Ревмировна</t>
  </si>
  <si>
    <t>МФЗ-21-1-1</t>
  </si>
  <si>
    <t>1909768</t>
  </si>
  <si>
    <t>Д/В008/121/19-30862</t>
  </si>
  <si>
    <t>1909785</t>
  </si>
  <si>
    <t>Кириллов Олег Алексеевич</t>
  </si>
  <si>
    <t>Д/В008/121/19-31126</t>
  </si>
  <si>
    <t>1909798</t>
  </si>
  <si>
    <t>Крысова Анна Андреевна</t>
  </si>
  <si>
    <t>1909813</t>
  </si>
  <si>
    <t>Д/В008/121/19-31048</t>
  </si>
  <si>
    <t>1909851</t>
  </si>
  <si>
    <t>Конаныхин Георгий Денисович</t>
  </si>
  <si>
    <t>1909880</t>
  </si>
  <si>
    <t>Д/В008/121/19-31336</t>
  </si>
  <si>
    <t>1909884</t>
  </si>
  <si>
    <t>Гаврилова Вероника Романовна</t>
  </si>
  <si>
    <t>1909891</t>
  </si>
  <si>
    <t>Румянцев Борис Алексеевич</t>
  </si>
  <si>
    <t>1909934</t>
  </si>
  <si>
    <t>Тихомирова Екатерина Ивановна</t>
  </si>
  <si>
    <t>Д/В008/121/19-30314</t>
  </si>
  <si>
    <t>1909942</t>
  </si>
  <si>
    <t>Пырков Иван Константинович</t>
  </si>
  <si>
    <t>Д/В008/121/19-31611</t>
  </si>
  <si>
    <t>1909961</t>
  </si>
  <si>
    <t>Жидкова Наталия Сергеевна</t>
  </si>
  <si>
    <t>1909964</t>
  </si>
  <si>
    <t>Д/В008/121/19-31550</t>
  </si>
  <si>
    <t>1909968</t>
  </si>
  <si>
    <t>Фардиева Алина Айдаровна</t>
  </si>
  <si>
    <t>Д/В008/121/22-39699</t>
  </si>
  <si>
    <t>1909978</t>
  </si>
  <si>
    <t>Мартынова Екатерина Алексеевна</t>
  </si>
  <si>
    <t>1909997</t>
  </si>
  <si>
    <t>Марьян Кристина Николаевна</t>
  </si>
  <si>
    <t>Д/В008/121/19-31472</t>
  </si>
  <si>
    <t>1910036</t>
  </si>
  <si>
    <t>Д/В008/121/19-31175</t>
  </si>
  <si>
    <t>1910041</t>
  </si>
  <si>
    <t>Розов Станислав Олегович</t>
  </si>
  <si>
    <t>1910046</t>
  </si>
  <si>
    <t>Ножнинов Андрей Михайлович</t>
  </si>
  <si>
    <t>1910052</t>
  </si>
  <si>
    <t>Баранова Юлия Алексеевна</t>
  </si>
  <si>
    <t>Д/В008/121/19-30458</t>
  </si>
  <si>
    <t>1910078</t>
  </si>
  <si>
    <t>Зиятдинова Диана Маратовна</t>
  </si>
  <si>
    <t>1910101</t>
  </si>
  <si>
    <t>Д/В008/121/19-30447</t>
  </si>
  <si>
    <t>1910107</t>
  </si>
  <si>
    <t>Супрун Виктория Валерьевна</t>
  </si>
  <si>
    <t>Д/В008/121/19-30920</t>
  </si>
  <si>
    <t>1910124</t>
  </si>
  <si>
    <t>Нодель Артем Антонович</t>
  </si>
  <si>
    <t>1910132</t>
  </si>
  <si>
    <t>Д/В008/121/19-30313</t>
  </si>
  <si>
    <t>1910133</t>
  </si>
  <si>
    <t>Д/В008/121/19-30921</t>
  </si>
  <si>
    <t>1910134</t>
  </si>
  <si>
    <t>Д/В008/121/22-39785</t>
  </si>
  <si>
    <t>1910137</t>
  </si>
  <si>
    <t>Охлопков Матвей Анатольеввич</t>
  </si>
  <si>
    <t>Д/В008/121/19-30996</t>
  </si>
  <si>
    <t>1910149</t>
  </si>
  <si>
    <t>Д/В008/121/19-30568</t>
  </si>
  <si>
    <t>1910181</t>
  </si>
  <si>
    <t>Д/В008/121/19-31345</t>
  </si>
  <si>
    <t>1910193</t>
  </si>
  <si>
    <t>Д/В008/121/19-31143</t>
  </si>
  <si>
    <t>1910202</t>
  </si>
  <si>
    <t>Макаров Николай Алексеевич</t>
  </si>
  <si>
    <t>1910214</t>
  </si>
  <si>
    <t>1910218</t>
  </si>
  <si>
    <t>Курцхалидзе Алеко Зурабович</t>
  </si>
  <si>
    <t>1910234</t>
  </si>
  <si>
    <t>Фрадкин Борис Васильевич</t>
  </si>
  <si>
    <t>1910238</t>
  </si>
  <si>
    <t>Злобина Екатерина Вениаминовна</t>
  </si>
  <si>
    <t>Д/В008/121/19-31517</t>
  </si>
  <si>
    <t>1910241</t>
  </si>
  <si>
    <t>БЭК-19-5_ Корнеев А.</t>
  </si>
  <si>
    <t>Д/В008/121/19-30398</t>
  </si>
  <si>
    <t>1910256</t>
  </si>
  <si>
    <t>Алексеев Алексей Иванович</t>
  </si>
  <si>
    <t>Д/В008/121/19-30716</t>
  </si>
  <si>
    <t>1910260</t>
  </si>
  <si>
    <t>1910271</t>
  </si>
  <si>
    <t>Крылова Анастасия Витальевна</t>
  </si>
  <si>
    <t>1910295</t>
  </si>
  <si>
    <t>Белова Ксения Александровна</t>
  </si>
  <si>
    <t>1910317</t>
  </si>
  <si>
    <t>Телешев Валерий Сергеевич</t>
  </si>
  <si>
    <t>1910321</t>
  </si>
  <si>
    <t>1910339</t>
  </si>
  <si>
    <t>Роенко София Владимировна</t>
  </si>
  <si>
    <t>Д/В008/121/19-31623</t>
  </si>
  <si>
    <t>1910342</t>
  </si>
  <si>
    <t>Федосеев Павел Михайлович</t>
  </si>
  <si>
    <t>1910361</t>
  </si>
  <si>
    <t>Машкова Елизавета Вячеславовна</t>
  </si>
  <si>
    <t>1910382</t>
  </si>
  <si>
    <t>Котелевский Артём Алексеевич</t>
  </si>
  <si>
    <t>1910426</t>
  </si>
  <si>
    <t>Васильева Мария Сергеевна</t>
  </si>
  <si>
    <t>Д/В008/121/19-31248</t>
  </si>
  <si>
    <t>1910461</t>
  </si>
  <si>
    <t>Рачкин Андрей Игоревич</t>
  </si>
  <si>
    <t>1910467</t>
  </si>
  <si>
    <t>1910471</t>
  </si>
  <si>
    <t>Д/В008/121/19-31154</t>
  </si>
  <si>
    <t>1910512</t>
  </si>
  <si>
    <t>1910531</t>
  </si>
  <si>
    <t>Сизикова Виктория Андреевна</t>
  </si>
  <si>
    <t>Д/В008/121/19-30965</t>
  </si>
  <si>
    <t>1910540</t>
  </si>
  <si>
    <t>Д/В008/121/19-30994</t>
  </si>
  <si>
    <t>1910544</t>
  </si>
  <si>
    <t>Клейн Мария Александровна</t>
  </si>
  <si>
    <t>1910570</t>
  </si>
  <si>
    <t>1910591</t>
  </si>
  <si>
    <t>Абдуллина Екатерина Тимуровна</t>
  </si>
  <si>
    <t>Д/В008/121/20-35574</t>
  </si>
  <si>
    <t>1910596</t>
  </si>
  <si>
    <t>Д/В008/121/19-30667</t>
  </si>
  <si>
    <t>1910620</t>
  </si>
  <si>
    <t>Халилова Саида Замировна</t>
  </si>
  <si>
    <t>Д/В008/121/19-30465</t>
  </si>
  <si>
    <t>1910636</t>
  </si>
  <si>
    <t>Дмитриев Андрей Алексеевич</t>
  </si>
  <si>
    <t>Д/В008/121/19-31007</t>
  </si>
  <si>
    <t>1910645</t>
  </si>
  <si>
    <t>Д/В008/121/19-30395</t>
  </si>
  <si>
    <t>1910653</t>
  </si>
  <si>
    <t>Д/В008/121/19-30373</t>
  </si>
  <si>
    <t>1910654</t>
  </si>
  <si>
    <t>Овсеенко Мария Дмитриевна</t>
  </si>
  <si>
    <t>Д/В008/121/19-30899</t>
  </si>
  <si>
    <t>1910660</t>
  </si>
  <si>
    <t>Д/В008/121/19-31461</t>
  </si>
  <si>
    <t>1910663</t>
  </si>
  <si>
    <t>Старикова Елизавета Сергеевна</t>
  </si>
  <si>
    <t>Д/В008/121/19-31215</t>
  </si>
  <si>
    <t>1910716</t>
  </si>
  <si>
    <t>Медарь Светлана Евгеньевна</t>
  </si>
  <si>
    <t>Д/В008/121/19-31246</t>
  </si>
  <si>
    <t>1910733</t>
  </si>
  <si>
    <t>Д/В008/121/19-30730</t>
  </si>
  <si>
    <t>1910737</t>
  </si>
  <si>
    <t>Бахтин Александр Алексеевич</t>
  </si>
  <si>
    <t>1910745</t>
  </si>
  <si>
    <t>Чупанова Диана Юрьевна</t>
  </si>
  <si>
    <t>Д/В008/121/19-31097</t>
  </si>
  <si>
    <t>1910782</t>
  </si>
  <si>
    <t>Гурдюмов Сергей Александрович</t>
  </si>
  <si>
    <t>Д/В008/121/20-32796</t>
  </si>
  <si>
    <t>1910804</t>
  </si>
  <si>
    <t>1910814</t>
  </si>
  <si>
    <t>Д/В008/121/19-31402</t>
  </si>
  <si>
    <t>1910824</t>
  </si>
  <si>
    <t>Кожурин Артем Русланович</t>
  </si>
  <si>
    <t>1910828</t>
  </si>
  <si>
    <t>Овчинникова Надежда Вячеславовна</t>
  </si>
  <si>
    <t>1910848</t>
  </si>
  <si>
    <t>Тесарян Георгий Александрович</t>
  </si>
  <si>
    <t>Д/В008/121/19-30388</t>
  </si>
  <si>
    <t>1910895</t>
  </si>
  <si>
    <t>Шлейхер Софья Тимуровна</t>
  </si>
  <si>
    <t>Д/В008/121/19-30556</t>
  </si>
  <si>
    <t>1910901</t>
  </si>
  <si>
    <t>Глобина Зоя Алексеевна</t>
  </si>
  <si>
    <t>1910908</t>
  </si>
  <si>
    <t>Смирнова Анастасия Андреевна</t>
  </si>
  <si>
    <t>Д/В008/121/19-31205</t>
  </si>
  <si>
    <t>1910927</t>
  </si>
  <si>
    <t>Московчук Никита Григорьевич</t>
  </si>
  <si>
    <t>1910932</t>
  </si>
  <si>
    <t>Максакова Светлана Олеговна</t>
  </si>
  <si>
    <t>1910950</t>
  </si>
  <si>
    <t>Невредимов Сергей Вадимович</t>
  </si>
  <si>
    <t>1910964</t>
  </si>
  <si>
    <t>Дьякова Софья Алексеевна</t>
  </si>
  <si>
    <t>Д/В008/121/19-30382</t>
  </si>
  <si>
    <t>1911077</t>
  </si>
  <si>
    <t>Сенякин Андрей Юрьевич</t>
  </si>
  <si>
    <t>Д/В008/121/19-31441</t>
  </si>
  <si>
    <t>1911114</t>
  </si>
  <si>
    <t>Клюкин Семен Константинович</t>
  </si>
  <si>
    <t>1911122</t>
  </si>
  <si>
    <t>Вальков Филипп Дмитриевич</t>
  </si>
  <si>
    <t>Д/В008/121/19-31530</t>
  </si>
  <si>
    <t>1911155</t>
  </si>
  <si>
    <t>Яхшибоев Миржалол Камол Угли</t>
  </si>
  <si>
    <t>Д/В008/121/21-39103</t>
  </si>
  <si>
    <t>1911158</t>
  </si>
  <si>
    <t>Одилов Отабек Обиджон Угли</t>
  </si>
  <si>
    <t>Д/В008/121/21-39124</t>
  </si>
  <si>
    <t>1911160</t>
  </si>
  <si>
    <t>Д/В008/121/21-39125</t>
  </si>
  <si>
    <t>1911164</t>
  </si>
  <si>
    <t>Нурходжаев Одилхон Талат Угли</t>
  </si>
  <si>
    <t>Д/В008/121/21-39168</t>
  </si>
  <si>
    <t>1911178</t>
  </si>
  <si>
    <t>Прокопец Валерия Валентиновна</t>
  </si>
  <si>
    <t>Д/В008/121/19-30669</t>
  </si>
  <si>
    <t>1911192</t>
  </si>
  <si>
    <t>Адхамов Мухаммад Боходир Угли</t>
  </si>
  <si>
    <t>Д/В008/121/21-39105</t>
  </si>
  <si>
    <t>1911195</t>
  </si>
  <si>
    <t>Абдуллаев Жавлонбек Орзибек угли</t>
  </si>
  <si>
    <t>Д/В008/121/21-39147</t>
  </si>
  <si>
    <t>1911200</t>
  </si>
  <si>
    <t>Д/В008/121/21-39118</t>
  </si>
  <si>
    <t>1911201</t>
  </si>
  <si>
    <t>Абдулазизов Мухаммаджон Бахтиёржон Угли</t>
  </si>
  <si>
    <t>Д/В008/121/21-39169</t>
  </si>
  <si>
    <t>1911206</t>
  </si>
  <si>
    <t>Д/В008/121/21-39012</t>
  </si>
  <si>
    <t>1911272</t>
  </si>
  <si>
    <t>Шагина Полина Игоревна</t>
  </si>
  <si>
    <t>Д/В008/121/19-30488</t>
  </si>
  <si>
    <t>1911327</t>
  </si>
  <si>
    <t>Кудрявцева Анастасия Дмитриевна</t>
  </si>
  <si>
    <t>Д/В008/121/19-30942</t>
  </si>
  <si>
    <t>1911333</t>
  </si>
  <si>
    <t>Тимофеев Евгений Александрович</t>
  </si>
  <si>
    <t>Д/В008/121/19-30381</t>
  </si>
  <si>
    <t>1911345</t>
  </si>
  <si>
    <t>Веселова Арина Алексеевна</t>
  </si>
  <si>
    <t>Д/В008/121/20-35528</t>
  </si>
  <si>
    <t>1911358</t>
  </si>
  <si>
    <t>Мираков Давид Арсенович</t>
  </si>
  <si>
    <t>Д/В008/121/19-30420</t>
  </si>
  <si>
    <t>1911369</t>
  </si>
  <si>
    <t>1911379</t>
  </si>
  <si>
    <t>Николаева Вероника Александровна</t>
  </si>
  <si>
    <t>Д/В008/121/20-35593</t>
  </si>
  <si>
    <t>1911381</t>
  </si>
  <si>
    <t>1911383</t>
  </si>
  <si>
    <t>Дашко Анастасия Александровна</t>
  </si>
  <si>
    <t>1911406</t>
  </si>
  <si>
    <t>Цикора Ангелина Васильевна</t>
  </si>
  <si>
    <t>Д/В008/121/19-30760</t>
  </si>
  <si>
    <t>1911432</t>
  </si>
  <si>
    <t>1911442</t>
  </si>
  <si>
    <t>Еремина Наталья Михайловна</t>
  </si>
  <si>
    <t>1911448</t>
  </si>
  <si>
    <t>Алаева Вероника Евгеньевна</t>
  </si>
  <si>
    <t>1911450</t>
  </si>
  <si>
    <t>Зенкевич Кириана Андреевна</t>
  </si>
  <si>
    <t>1911461</t>
  </si>
  <si>
    <t>Д/В008/121/19-31599</t>
  </si>
  <si>
    <t>1911465</t>
  </si>
  <si>
    <t>Бельтюков Дмитрий Алексеевич</t>
  </si>
  <si>
    <t>Д/В008/121/19-31355</t>
  </si>
  <si>
    <t>1911472</t>
  </si>
  <si>
    <t>Клейменов Владимир Евгеньевич</t>
  </si>
  <si>
    <t>Д/В008/121/19-31673</t>
  </si>
  <si>
    <t>1911475</t>
  </si>
  <si>
    <t>Аладов Никита Ильич</t>
  </si>
  <si>
    <t>Д/В008/121/19-30466</t>
  </si>
  <si>
    <t>1911484</t>
  </si>
  <si>
    <t>Миридонова Валерия Дмитриевна</t>
  </si>
  <si>
    <t>1911504</t>
  </si>
  <si>
    <t>Сазонова Анастасия Сергеевна</t>
  </si>
  <si>
    <t>1911505</t>
  </si>
  <si>
    <t>Порошина Дарья Вадимовна</t>
  </si>
  <si>
    <t>Д/В008/121/19-30936</t>
  </si>
  <si>
    <t>1911507</t>
  </si>
  <si>
    <t>Зайцева Екатерина Вадимовна</t>
  </si>
  <si>
    <t>Д/В008/121/19-31095</t>
  </si>
  <si>
    <t>1911511</t>
  </si>
  <si>
    <t>Ким Наталья Александровна</t>
  </si>
  <si>
    <t>1911515</t>
  </si>
  <si>
    <t>Залитко Елизавета Вячеславовна</t>
  </si>
  <si>
    <t>1911517</t>
  </si>
  <si>
    <t>Кузнецова Полина Игоревна</t>
  </si>
  <si>
    <t>1911519</t>
  </si>
  <si>
    <t>1911534</t>
  </si>
  <si>
    <t>Агаева Элина Бехбудовна</t>
  </si>
  <si>
    <t>Д/В008/121/19-30815</t>
  </si>
  <si>
    <t>1911539</t>
  </si>
  <si>
    <t>1911543</t>
  </si>
  <si>
    <t>1911544</t>
  </si>
  <si>
    <t>Терехова Анастасия Петровна</t>
  </si>
  <si>
    <t>1911572</t>
  </si>
  <si>
    <t>Сластенко Павел Андреевич</t>
  </si>
  <si>
    <t>1911574</t>
  </si>
  <si>
    <t>Злакоманов Павел Евгеньевич</t>
  </si>
  <si>
    <t>Д/В008/121/19-30687</t>
  </si>
  <si>
    <t>1911580</t>
  </si>
  <si>
    <t>Положенцева Екатерина Викторовна</t>
  </si>
  <si>
    <t>1911587</t>
  </si>
  <si>
    <t>Д/В008/121/19-30647</t>
  </si>
  <si>
    <t>1911590</t>
  </si>
  <si>
    <t>Бабаев Сеймур Игбалович</t>
  </si>
  <si>
    <t>1911597</t>
  </si>
  <si>
    <t>Мищенко Ангелина Максимовна</t>
  </si>
  <si>
    <t>1911601</t>
  </si>
  <si>
    <t>Воронов Дмитрий Николаевич</t>
  </si>
  <si>
    <t>1911603</t>
  </si>
  <si>
    <t>Лисюков Илья Павлович</t>
  </si>
  <si>
    <t>1911607</t>
  </si>
  <si>
    <t>Смолина Анастасия Сергеевна</t>
  </si>
  <si>
    <t>Д/В008/121/19-31216</t>
  </si>
  <si>
    <t>1911609</t>
  </si>
  <si>
    <t>Бабенко Виктория Геннадьевна</t>
  </si>
  <si>
    <t>Д/В008/121/19-30944</t>
  </si>
  <si>
    <t>1911616</t>
  </si>
  <si>
    <t>Осорова Эльвина Борисовна</t>
  </si>
  <si>
    <t>Д/В008/121/19-31103</t>
  </si>
  <si>
    <t>1911617</t>
  </si>
  <si>
    <t>Д/В008/121/19-30590</t>
  </si>
  <si>
    <t>1911618</t>
  </si>
  <si>
    <t>1911621</t>
  </si>
  <si>
    <t>Москалев Семён Васильевич</t>
  </si>
  <si>
    <t>1911626</t>
  </si>
  <si>
    <t>Д/В008/121/19-30368</t>
  </si>
  <si>
    <t>1911627</t>
  </si>
  <si>
    <t>Ян Джон Коклет</t>
  </si>
  <si>
    <t>Конго, Демократическая Республика</t>
  </si>
  <si>
    <t>Д/В008/121/19-30521</t>
  </si>
  <si>
    <t>1911630</t>
  </si>
  <si>
    <t>Трофимычева Анастасия Алексеевна</t>
  </si>
  <si>
    <t>1911643</t>
  </si>
  <si>
    <t>Тхор Игорь Николаевич</t>
  </si>
  <si>
    <t>1911658</t>
  </si>
  <si>
    <t>Каржов Юрий Евгеньевич</t>
  </si>
  <si>
    <t>1911681</t>
  </si>
  <si>
    <t>Луценко Олеся</t>
  </si>
  <si>
    <t>Д/В008/121/19-30883</t>
  </si>
  <si>
    <t>1911684</t>
  </si>
  <si>
    <t>Асимов Афзалхон Фирдавсович</t>
  </si>
  <si>
    <t>Д/В008/121/19-31430</t>
  </si>
  <si>
    <t>1911685</t>
  </si>
  <si>
    <t>Д/В008/121/19-31351</t>
  </si>
  <si>
    <t>1911686</t>
  </si>
  <si>
    <t>Д/В008/121/19-31280</t>
  </si>
  <si>
    <t>1911688</t>
  </si>
  <si>
    <t>Д/В008/121/22-39965</t>
  </si>
  <si>
    <t>1911691</t>
  </si>
  <si>
    <t>Басараб Елена Степановна</t>
  </si>
  <si>
    <t>Д/В008/121/19-31419</t>
  </si>
  <si>
    <t>1911692</t>
  </si>
  <si>
    <t>Д/В008/121/19-31288</t>
  </si>
  <si>
    <t>1911693</t>
  </si>
  <si>
    <t>Лисенко Андрейс</t>
  </si>
  <si>
    <t>Латвия</t>
  </si>
  <si>
    <t>Д/В008/121/19-31432</t>
  </si>
  <si>
    <t>1911695</t>
  </si>
  <si>
    <t>Кочур Виктор Алексеевич</t>
  </si>
  <si>
    <t>Д/В008/121/19-31418</t>
  </si>
  <si>
    <t>1911698</t>
  </si>
  <si>
    <t>Д/В008/121/19-31616</t>
  </si>
  <si>
    <t>1911740</t>
  </si>
  <si>
    <t>Ибадуррахман Фебриан</t>
  </si>
  <si>
    <t>Индонезия</t>
  </si>
  <si>
    <t>Д/В008/121/22-39458</t>
  </si>
  <si>
    <t>1911842</t>
  </si>
  <si>
    <t>Смирницкий Алексей Андреевич</t>
  </si>
  <si>
    <t>2000035</t>
  </si>
  <si>
    <t>Дешанков Андрей Юрьевич</t>
  </si>
  <si>
    <t>Д/В008/121/20-32959</t>
  </si>
  <si>
    <t>2000037</t>
  </si>
  <si>
    <t>Цветков Даниил Андреевич</t>
  </si>
  <si>
    <t>2000039</t>
  </si>
  <si>
    <t>Д/В008/121/20-32999</t>
  </si>
  <si>
    <t>2000044</t>
  </si>
  <si>
    <t>Раджабов Аюбджон Бахридинович</t>
  </si>
  <si>
    <t>Д/В008/121/20-32994</t>
  </si>
  <si>
    <t>2000049</t>
  </si>
  <si>
    <t>Фомичёва Елизавета Владимировна</t>
  </si>
  <si>
    <t>2000083</t>
  </si>
  <si>
    <t>2000091</t>
  </si>
  <si>
    <t>2000097</t>
  </si>
  <si>
    <t>2000109</t>
  </si>
  <si>
    <t>Калинов Дмитрий Павлович</t>
  </si>
  <si>
    <t>2000113</t>
  </si>
  <si>
    <t>Громов Иван Александрович</t>
  </si>
  <si>
    <t>2000117</t>
  </si>
  <si>
    <t>Д/В008/121/20-35587</t>
  </si>
  <si>
    <t>2000123</t>
  </si>
  <si>
    <t>Д/В008/121/20-34133</t>
  </si>
  <si>
    <t>2000136</t>
  </si>
  <si>
    <t>Вершинин Егор Сергеевич</t>
  </si>
  <si>
    <t>2000140</t>
  </si>
  <si>
    <t>2000141</t>
  </si>
  <si>
    <t>Андреевский Александр Евгеньевич</t>
  </si>
  <si>
    <t>2000482</t>
  </si>
  <si>
    <t>Кулашев Валерий Михайлович</t>
  </si>
  <si>
    <t>2000923</t>
  </si>
  <si>
    <t>Ретин Роман Дмитриевич</t>
  </si>
  <si>
    <t>Д/В008/121/20-35277</t>
  </si>
  <si>
    <t>2001191</t>
  </si>
  <si>
    <t>Ляпин Алексей Игоревич</t>
  </si>
  <si>
    <t>МТМО-21-3-4</t>
  </si>
  <si>
    <t>Д/В008/121/20-34049</t>
  </si>
  <si>
    <t>2001493</t>
  </si>
  <si>
    <t>Король Юлия Александровна</t>
  </si>
  <si>
    <t>ММТМ-21-2-2</t>
  </si>
  <si>
    <t>Д/В008/121/20-35033</t>
  </si>
  <si>
    <t>2001558</t>
  </si>
  <si>
    <t>Мортиков Артем Денисович</t>
  </si>
  <si>
    <t>Д/В008/121/20-35392</t>
  </si>
  <si>
    <t>2001930</t>
  </si>
  <si>
    <t>Макаров Ярослав Игоревич</t>
  </si>
  <si>
    <t>МТМО-21-1-5</t>
  </si>
  <si>
    <t>2001932</t>
  </si>
  <si>
    <t>Сивко Денис Владиславович</t>
  </si>
  <si>
    <t>МБИ-21-1-1</t>
  </si>
  <si>
    <t>2002011</t>
  </si>
  <si>
    <t>Ерофеев Владимир Витальевич</t>
  </si>
  <si>
    <t>Д/В008/121/20-35591</t>
  </si>
  <si>
    <t>2002060</t>
  </si>
  <si>
    <t>Злодеева Анастасия Васильевна</t>
  </si>
  <si>
    <t>МТМО-21-4-14</t>
  </si>
  <si>
    <t>Д/В008/121/22-39909</t>
  </si>
  <si>
    <t>2002087</t>
  </si>
  <si>
    <t>Усейнов Никита Альбертович</t>
  </si>
  <si>
    <t>МПИ-21-2-4</t>
  </si>
  <si>
    <t>Д/В008/121/20-33997</t>
  </si>
  <si>
    <t>2002116</t>
  </si>
  <si>
    <t>Невзорова Анастасия Юрьевна</t>
  </si>
  <si>
    <t>Д/В008/121/20-35276</t>
  </si>
  <si>
    <t>2002127</t>
  </si>
  <si>
    <t>Ибрагимова Элина Ленаровна</t>
  </si>
  <si>
    <t>МЛГ-21-1-1А</t>
  </si>
  <si>
    <t xml:space="preserve">Лингвистика </t>
  </si>
  <si>
    <t>2002243</t>
  </si>
  <si>
    <t>Д/В008/121/20-35280</t>
  </si>
  <si>
    <t>2002256</t>
  </si>
  <si>
    <t>Д/В008/121/16-18427</t>
  </si>
  <si>
    <t>2002306</t>
  </si>
  <si>
    <t>Пирожков Евгений Сергеевич</t>
  </si>
  <si>
    <t>2002316</t>
  </si>
  <si>
    <t>Жуманазаров Акмалжон Ахмаджон Угли</t>
  </si>
  <si>
    <t>МТМО-20-2-14_Жуманазаров А.А. Угли</t>
  </si>
  <si>
    <t>Д/В008/121/007-16</t>
  </si>
  <si>
    <t>2002421</t>
  </si>
  <si>
    <t>Мартынов Константин Михайлович</t>
  </si>
  <si>
    <t>2002427</t>
  </si>
  <si>
    <t>Д/В008/121/23-43159</t>
  </si>
  <si>
    <t>2002541</t>
  </si>
  <si>
    <t>Оболенский Андрей Викторович</t>
  </si>
  <si>
    <t>2002546</t>
  </si>
  <si>
    <t>Лавринович Артем Андреевич</t>
  </si>
  <si>
    <t>2002665</t>
  </si>
  <si>
    <t>Белозерова Ольга Юрьевна</t>
  </si>
  <si>
    <t>МИВТ-21-3-16</t>
  </si>
  <si>
    <t>2002680</t>
  </si>
  <si>
    <t>Хордаева Бовра Хонгоровна</t>
  </si>
  <si>
    <t>МИСТ-21-2-2</t>
  </si>
  <si>
    <t>Д/В008/121/20-35019</t>
  </si>
  <si>
    <t>2002779</t>
  </si>
  <si>
    <t>Салиев Абдулазиз Садыкович</t>
  </si>
  <si>
    <t>МИВТ-21-1-9</t>
  </si>
  <si>
    <t>Д/В008/121/23-43251</t>
  </si>
  <si>
    <t>2002902</t>
  </si>
  <si>
    <t>Глебов Сергей Евгеньевич</t>
  </si>
  <si>
    <t>МИВТ-21-5-16</t>
  </si>
  <si>
    <t>2002922</t>
  </si>
  <si>
    <t>Андрийчук Виктория Павловна</t>
  </si>
  <si>
    <t>ММТ-21-1-16</t>
  </si>
  <si>
    <t>2002930</t>
  </si>
  <si>
    <t>Мусихин Георгий Михайлович</t>
  </si>
  <si>
    <t>Д/В008/121/20-34784</t>
  </si>
  <si>
    <t>2003618</t>
  </si>
  <si>
    <t>Коршунова Елизавета Геннадьевна</t>
  </si>
  <si>
    <t>ММТМ-21-3-17</t>
  </si>
  <si>
    <t>Д/В008/121/20-34600</t>
  </si>
  <si>
    <t>2003624</t>
  </si>
  <si>
    <t>Чернов Илья Александрович</t>
  </si>
  <si>
    <t>МИВТ-21-4-16</t>
  </si>
  <si>
    <t>2003644</t>
  </si>
  <si>
    <t>Гончаров Антон Владимирович</t>
  </si>
  <si>
    <t>Д/В008/121/22-42420</t>
  </si>
  <si>
    <t>2004112</t>
  </si>
  <si>
    <t>Панов Михаил Михайлович</t>
  </si>
  <si>
    <t>МТБ-21-1-5</t>
  </si>
  <si>
    <t>Д/В008/121/22-42990</t>
  </si>
  <si>
    <t>2004194</t>
  </si>
  <si>
    <t>Магомедов Ибрагим Халил Курбаналиевич</t>
  </si>
  <si>
    <t>МЭН-21-1-1</t>
  </si>
  <si>
    <t>Д/В008/121/22-40001</t>
  </si>
  <si>
    <t>2004334</t>
  </si>
  <si>
    <t>Усмонов Рахматжон Рахмонжон угли</t>
  </si>
  <si>
    <t>МТМО-21-2-14</t>
  </si>
  <si>
    <t>Д/В008/121/23-43202</t>
  </si>
  <si>
    <t>2004448</t>
  </si>
  <si>
    <t>Колядин Андрей Игоревич</t>
  </si>
  <si>
    <t>2004505</t>
  </si>
  <si>
    <t>Асфандияров Василий Васильевич</t>
  </si>
  <si>
    <t>Д/В008/121/20-35205</t>
  </si>
  <si>
    <t>2004629</t>
  </si>
  <si>
    <t>Котов Александр Николаевич</t>
  </si>
  <si>
    <t>2004681</t>
  </si>
  <si>
    <t>Пшеничный Андрей Геннадьевич</t>
  </si>
  <si>
    <t>2004785</t>
  </si>
  <si>
    <t>Казанцева Анна Юрьевна</t>
  </si>
  <si>
    <t>2004980</t>
  </si>
  <si>
    <t>Латыпов Айдар Эдуардович</t>
  </si>
  <si>
    <t>2005561</t>
  </si>
  <si>
    <t>Кондратёнок Павел Алексеевич</t>
  </si>
  <si>
    <t>2005720</t>
  </si>
  <si>
    <t>Петров Егор Дмитриевич</t>
  </si>
  <si>
    <t>2007259</t>
  </si>
  <si>
    <t>Иванов Анатолий Юрьевич</t>
  </si>
  <si>
    <t>2008884</t>
  </si>
  <si>
    <t>Терещенко Елена Валерьевна</t>
  </si>
  <si>
    <t>2008908</t>
  </si>
  <si>
    <t>Алсафади Дима</t>
  </si>
  <si>
    <t>МЛГ-21-2-2А</t>
  </si>
  <si>
    <t>2009070</t>
  </si>
  <si>
    <t>Элоуаззани Фатима Эззахра</t>
  </si>
  <si>
    <t>Д/В008/121/23-43449</t>
  </si>
  <si>
    <t>2011214</t>
  </si>
  <si>
    <t>Д/В008/121/20-35536</t>
  </si>
  <si>
    <t>2011218</t>
  </si>
  <si>
    <t>Али Аманат</t>
  </si>
  <si>
    <t>ММТМ-20-11-14А_Али Аманат</t>
  </si>
  <si>
    <t>Индия</t>
  </si>
  <si>
    <t>Д/В008/121/21-35900</t>
  </si>
  <si>
    <t>2011270</t>
  </si>
  <si>
    <t>2011271</t>
  </si>
  <si>
    <t>Д/В008/121/20-35517</t>
  </si>
  <si>
    <t>2011274</t>
  </si>
  <si>
    <t>Подтягина Яна Юрьевна</t>
  </si>
  <si>
    <t>Д/В008/121/21-36072</t>
  </si>
  <si>
    <t>2011316</t>
  </si>
  <si>
    <t>Гаврилова Валерия Сергеевна</t>
  </si>
  <si>
    <t>Д/В008/121/20-35572</t>
  </si>
  <si>
    <t>2011319</t>
  </si>
  <si>
    <t>2011320</t>
  </si>
  <si>
    <t>Астафьев Владислав Александрович</t>
  </si>
  <si>
    <t>2011321</t>
  </si>
  <si>
    <t>2011327</t>
  </si>
  <si>
    <t>2011328</t>
  </si>
  <si>
    <t>Деева Ульяна Сергеевна</t>
  </si>
  <si>
    <t>2011333</t>
  </si>
  <si>
    <t>Черкашина Яна Александровна</t>
  </si>
  <si>
    <t>Д/В008/121/22-42476</t>
  </si>
  <si>
    <t>2011339</t>
  </si>
  <si>
    <t>Сусарина Мария Викториновна</t>
  </si>
  <si>
    <t>2011344</t>
  </si>
  <si>
    <t>Говоруха Валерия Вячеславовна</t>
  </si>
  <si>
    <t>Д/В008/121/20-35617</t>
  </si>
  <si>
    <t>2011345</t>
  </si>
  <si>
    <t>Д/В008/121/20-35602</t>
  </si>
  <si>
    <t>2011363</t>
  </si>
  <si>
    <t>Д/В008/121/20-35648</t>
  </si>
  <si>
    <t>2100098</t>
  </si>
  <si>
    <t>Васильев Игорь Николаевич</t>
  </si>
  <si>
    <t>2100104</t>
  </si>
  <si>
    <t>Д/В008/121/21-35970</t>
  </si>
  <si>
    <t>2100107</t>
  </si>
  <si>
    <t>Д/В008/121/21-35983</t>
  </si>
  <si>
    <t>2100108</t>
  </si>
  <si>
    <t>2100169</t>
  </si>
  <si>
    <t>Машкина Валерия Александровна</t>
  </si>
  <si>
    <t>2100209</t>
  </si>
  <si>
    <t>Оленева Ольга Михайловна</t>
  </si>
  <si>
    <t>МПИ-21-3-8</t>
  </si>
  <si>
    <t>2100226</t>
  </si>
  <si>
    <t>Кудряшова Анастасия Александровна</t>
  </si>
  <si>
    <t>2100261</t>
  </si>
  <si>
    <t>Рем Андрей Юрьевич</t>
  </si>
  <si>
    <t>2100279</t>
  </si>
  <si>
    <t>Дударев Артемий Александрович</t>
  </si>
  <si>
    <t>2100281</t>
  </si>
  <si>
    <t>Хачатурова Розанна Сергеевна</t>
  </si>
  <si>
    <t>2100304</t>
  </si>
  <si>
    <t>Мамедова Наргия Гадмалы кызы</t>
  </si>
  <si>
    <t>Д/В008/121/21-38258</t>
  </si>
  <si>
    <t>2100321</t>
  </si>
  <si>
    <t>Алянская Полина Петровна</t>
  </si>
  <si>
    <t>ММН-21-1-4</t>
  </si>
  <si>
    <t>2100330</t>
  </si>
  <si>
    <t>Пермяков Александр Вячеславович</t>
  </si>
  <si>
    <t>Д/В008/121/23-43518</t>
  </si>
  <si>
    <t>Варшава</t>
  </si>
  <si>
    <t>2100345</t>
  </si>
  <si>
    <t>Глуховский Сергей Станиславович</t>
  </si>
  <si>
    <t>2100387</t>
  </si>
  <si>
    <t>Д/В008/121/21-38941</t>
  </si>
  <si>
    <t>2100388</t>
  </si>
  <si>
    <t>Тотьмянин Сергей Витальевич</t>
  </si>
  <si>
    <t>2100415</t>
  </si>
  <si>
    <t>Камолов Манучехр Нусратуллаевич</t>
  </si>
  <si>
    <t>ММТ-21-6-12</t>
  </si>
  <si>
    <t>Д/В008/121/21-38446</t>
  </si>
  <si>
    <t>2100509</t>
  </si>
  <si>
    <t>Ковтун Михаил Юрьевич</t>
  </si>
  <si>
    <t>ММТ-21-9-41</t>
  </si>
  <si>
    <t>Д/В008/121/21-38696</t>
  </si>
  <si>
    <t>2100525</t>
  </si>
  <si>
    <t>Сотников Александр Сергеевич</t>
  </si>
  <si>
    <t>Д/В008/121/23-43519</t>
  </si>
  <si>
    <t>2100533</t>
  </si>
  <si>
    <t>Головлев Алексей Витальевич</t>
  </si>
  <si>
    <t>МИСТ-21-2-4</t>
  </si>
  <si>
    <t>2100542</t>
  </si>
  <si>
    <t>Чиркова Марина Витальевна</t>
  </si>
  <si>
    <t>МПИ-21-1-7</t>
  </si>
  <si>
    <t>Д/В008/121/21-38057</t>
  </si>
  <si>
    <t>2100543</t>
  </si>
  <si>
    <t>Никишин Олег Вячеславович</t>
  </si>
  <si>
    <t>2100606</t>
  </si>
  <si>
    <t>Цепанин Павел Геннадьевич</t>
  </si>
  <si>
    <t>2100650</t>
  </si>
  <si>
    <t>Карпова Татьяна Сергеевна</t>
  </si>
  <si>
    <t>ММН-21-3-6</t>
  </si>
  <si>
    <t>2100712</t>
  </si>
  <si>
    <t>МФЗ-21-2-4</t>
  </si>
  <si>
    <t>Д/В008/121/21-38662</t>
  </si>
  <si>
    <t>2100736</t>
  </si>
  <si>
    <t>Герасимова Екатерина Павловна</t>
  </si>
  <si>
    <t>2100789</t>
  </si>
  <si>
    <t>Бадмаева Булгун Надбитовна</t>
  </si>
  <si>
    <t>МЭК-21-3-3</t>
  </si>
  <si>
    <t>Д/В008/121/21-38220</t>
  </si>
  <si>
    <t>2100808</t>
  </si>
  <si>
    <t>Оганесян Валерий Арменович</t>
  </si>
  <si>
    <t>ММТМ-21-7-16</t>
  </si>
  <si>
    <t>2100815</t>
  </si>
  <si>
    <t>Супряго Мария Александровна</t>
  </si>
  <si>
    <t>МНТМ-21-1-1</t>
  </si>
  <si>
    <t>Д/В008/121/21-38507</t>
  </si>
  <si>
    <t>2100822</t>
  </si>
  <si>
    <t>Боголюбский Александр Михайлович</t>
  </si>
  <si>
    <t>2100839</t>
  </si>
  <si>
    <t>Мелехов Алексей Александрович</t>
  </si>
  <si>
    <t>Д/В008/121/21-38603</t>
  </si>
  <si>
    <t>2100843</t>
  </si>
  <si>
    <t>Нурхонов Аброрхон Олимхон Угли</t>
  </si>
  <si>
    <t>Д/В008/121/21-38583</t>
  </si>
  <si>
    <t>2100854</t>
  </si>
  <si>
    <t>МУТС-21-1-4</t>
  </si>
  <si>
    <t>2100871</t>
  </si>
  <si>
    <t>МЭН-21-2-2</t>
  </si>
  <si>
    <t>Д/В008/121/21-38467</t>
  </si>
  <si>
    <t>2100883</t>
  </si>
  <si>
    <t>Д/В008/121/21-38516</t>
  </si>
  <si>
    <t>2100905</t>
  </si>
  <si>
    <t>Иванова Марина Викторовна</t>
  </si>
  <si>
    <t>Д/В008/121/21-38506</t>
  </si>
  <si>
    <t>2100919</t>
  </si>
  <si>
    <t>Д/В008/121/21-38771</t>
  </si>
  <si>
    <t>2100930</t>
  </si>
  <si>
    <t>Давыдкина Полина Олеговна</t>
  </si>
  <si>
    <t>2100933</t>
  </si>
  <si>
    <t>Скорняков Алексей Глебович</t>
  </si>
  <si>
    <t>2100935</t>
  </si>
  <si>
    <t>Безруков Максим Игоревич</t>
  </si>
  <si>
    <t>2100939</t>
  </si>
  <si>
    <t>Краснов Андрей Андреевич</t>
  </si>
  <si>
    <t>2100977</t>
  </si>
  <si>
    <t>Алексеев Евгений Александрович</t>
  </si>
  <si>
    <t>ММТМ-21-5-5</t>
  </si>
  <si>
    <t>Д/В008/121/21-38599</t>
  </si>
  <si>
    <t>2100985</t>
  </si>
  <si>
    <t>Крашенинникова Юлия Сергеевна</t>
  </si>
  <si>
    <t>Д/В008/121/21-38287</t>
  </si>
  <si>
    <t>2100988</t>
  </si>
  <si>
    <t>Васильева Анастасия Игоревна</t>
  </si>
  <si>
    <t>Д/В008/121/21-38808</t>
  </si>
  <si>
    <t>2100990</t>
  </si>
  <si>
    <t>Михайлова Полина Ивановна</t>
  </si>
  <si>
    <t>Д/В008/121/21-38809</t>
  </si>
  <si>
    <t>2101001</t>
  </si>
  <si>
    <t>Каримов Шерзод Шерали Угли</t>
  </si>
  <si>
    <t>Д/В008/121/21-37183</t>
  </si>
  <si>
    <t>2101026</t>
  </si>
  <si>
    <t>Мухторов Элдор Эркинжон угли</t>
  </si>
  <si>
    <t>Д/В008/121/21-38389</t>
  </si>
  <si>
    <t>2101038</t>
  </si>
  <si>
    <t>Д/В008/121/21-37371</t>
  </si>
  <si>
    <t>2101055</t>
  </si>
  <si>
    <t>Кувшинова Анна Андреевна</t>
  </si>
  <si>
    <t>Д/В008/121/21-39165</t>
  </si>
  <si>
    <t>2101065</t>
  </si>
  <si>
    <t>Дадабаев Бекзод Уразалиевич</t>
  </si>
  <si>
    <t>Д/В008/121/21-38861</t>
  </si>
  <si>
    <t>2101072</t>
  </si>
  <si>
    <t>Д/В008/121/21-37977</t>
  </si>
  <si>
    <t>2101080</t>
  </si>
  <si>
    <t>Бучирина Анна Григорьевна</t>
  </si>
  <si>
    <t>ММТМ-21-6-7</t>
  </si>
  <si>
    <t>Д/В008/121/21-37971</t>
  </si>
  <si>
    <t>2101097</t>
  </si>
  <si>
    <t>Матабаева Айгерим Улыкбековна</t>
  </si>
  <si>
    <t>Д/В008/121/21-38641</t>
  </si>
  <si>
    <t>2101149</t>
  </si>
  <si>
    <t>Мухамеджанова Айымгул Болаткызы</t>
  </si>
  <si>
    <t>ММТ-21-1-37</t>
  </si>
  <si>
    <t>Д/В008/121/21-38531</t>
  </si>
  <si>
    <t>2101160</t>
  </si>
  <si>
    <t>2101218</t>
  </si>
  <si>
    <t>Ослопов Антон Сергеевич</t>
  </si>
  <si>
    <t>2101230</t>
  </si>
  <si>
    <t>Полунин Валерий Михайлович</t>
  </si>
  <si>
    <t>2101246</t>
  </si>
  <si>
    <t>Барков Вячеслав Игоревич</t>
  </si>
  <si>
    <t>2101247</t>
  </si>
  <si>
    <t>Ахмедов Саттор Раджабович</t>
  </si>
  <si>
    <t>Д/В008/121/21-38490</t>
  </si>
  <si>
    <t>2101253</t>
  </si>
  <si>
    <t>2101273</t>
  </si>
  <si>
    <t>Пашкова Дарья Сергеевна</t>
  </si>
  <si>
    <t>Д/В008/121/21-38820</t>
  </si>
  <si>
    <t>2101316</t>
  </si>
  <si>
    <t>Бабенко Оксана Александровна</t>
  </si>
  <si>
    <t>Д/В008/121/20-33849</t>
  </si>
  <si>
    <t>2101370</t>
  </si>
  <si>
    <t>Вольных Кирилл Сергеевич</t>
  </si>
  <si>
    <t>ММТ-21-4-39</t>
  </si>
  <si>
    <t>Д/В008/121/23-43227</t>
  </si>
  <si>
    <t>2101376</t>
  </si>
  <si>
    <t>Д/В008/121/21-38652</t>
  </si>
  <si>
    <t>2101389</t>
  </si>
  <si>
    <t>Богданов Сергей Николаевич</t>
  </si>
  <si>
    <t>Д/В008/121/21-39150</t>
  </si>
  <si>
    <t>2101393</t>
  </si>
  <si>
    <t>Атаманов Сергей Вячеславович</t>
  </si>
  <si>
    <t>ММТМ-21-1-1</t>
  </si>
  <si>
    <t>Д/В008/121/21-38718</t>
  </si>
  <si>
    <t>2101395</t>
  </si>
  <si>
    <t>Кобзева Евгения Артемовна</t>
  </si>
  <si>
    <t>2101408</t>
  </si>
  <si>
    <t>2101414</t>
  </si>
  <si>
    <t>Цветков Григорий Владимирович</t>
  </si>
  <si>
    <t>2101418</t>
  </si>
  <si>
    <t>Д/В008/121/21-38668</t>
  </si>
  <si>
    <t>2101428</t>
  </si>
  <si>
    <t>Федькин Александр Романович</t>
  </si>
  <si>
    <t>2101516</t>
  </si>
  <si>
    <t>Саидшои Саидисломи Саидикром</t>
  </si>
  <si>
    <t>Д/В008/121/21-37674</t>
  </si>
  <si>
    <t>2101517</t>
  </si>
  <si>
    <t>Одинахонов Курбонали Файзалиевич</t>
  </si>
  <si>
    <t>Д/В008/121/21-38552</t>
  </si>
  <si>
    <t>2101519</t>
  </si>
  <si>
    <t>Капитанова Мария Дмитриевна</t>
  </si>
  <si>
    <t>Д/В008/121/21-39000</t>
  </si>
  <si>
    <t>2101622</t>
  </si>
  <si>
    <t>Шарипов Шахроз Шухратович</t>
  </si>
  <si>
    <t>Д/В008/121/21-38999</t>
  </si>
  <si>
    <t>2101638</t>
  </si>
  <si>
    <t>Д/В008/121/21-38539</t>
  </si>
  <si>
    <t>2101666</t>
  </si>
  <si>
    <t>Д/В008/121/21-38594</t>
  </si>
  <si>
    <t>2101697</t>
  </si>
  <si>
    <t>Косарева Елена Андреевна</t>
  </si>
  <si>
    <t>МИВТ-21-4-17</t>
  </si>
  <si>
    <t>Д/В008/121/21-38529</t>
  </si>
  <si>
    <t>2101711</t>
  </si>
  <si>
    <t>Коровушкина Евгения Андреевна</t>
  </si>
  <si>
    <t>ММТМ-21-8-10</t>
  </si>
  <si>
    <t>Д/В008/121/21-38519</t>
  </si>
  <si>
    <t>2101717</t>
  </si>
  <si>
    <t>Малыхина Таисия Ивановна</t>
  </si>
  <si>
    <t>2101721</t>
  </si>
  <si>
    <t>Болховитина Мария Александровна</t>
  </si>
  <si>
    <t>Д/В008/121/21-38180</t>
  </si>
  <si>
    <t>2101726</t>
  </si>
  <si>
    <t>Абдуллаев Артур Рустамович</t>
  </si>
  <si>
    <t>Д/В008/121/21-38748</t>
  </si>
  <si>
    <t>2101727</t>
  </si>
  <si>
    <t>Иванова Светлана Евгеньевна</t>
  </si>
  <si>
    <t>Д/В008/121/21-37900</t>
  </si>
  <si>
    <t>2101734</t>
  </si>
  <si>
    <t>Балан Вадим Сергеевич</t>
  </si>
  <si>
    <t>Д/В008/121/21-38694</t>
  </si>
  <si>
    <t>2101738</t>
  </si>
  <si>
    <t>Д/В008/121/22-39683</t>
  </si>
  <si>
    <t>2101739</t>
  </si>
  <si>
    <t>Д/В008/121/21-38520</t>
  </si>
  <si>
    <t>2101742</t>
  </si>
  <si>
    <t>Д/В008/121/21-38184</t>
  </si>
  <si>
    <t>2101751</t>
  </si>
  <si>
    <t>2101756</t>
  </si>
  <si>
    <t>Пономаренко Руслан Сергеевич</t>
  </si>
  <si>
    <t>Д/В008/121/21-38186</t>
  </si>
  <si>
    <t>2101774</t>
  </si>
  <si>
    <t>Исабекова Томилана</t>
  </si>
  <si>
    <t>Д/В008/121/21-38505</t>
  </si>
  <si>
    <t>2101779</t>
  </si>
  <si>
    <t>Д/В008/121/21-38029</t>
  </si>
  <si>
    <t>2101788</t>
  </si>
  <si>
    <t>Заворотная Алина Борисовна</t>
  </si>
  <si>
    <t>ММН-21-1-2</t>
  </si>
  <si>
    <t>Д/В008/121/21-38084</t>
  </si>
  <si>
    <t>2101789</t>
  </si>
  <si>
    <t>Гонта Светлана Сергеевна</t>
  </si>
  <si>
    <t>Д/В008/121/21-37186</t>
  </si>
  <si>
    <t>2101792</t>
  </si>
  <si>
    <t>Мишин Илья Евгеньевич</t>
  </si>
  <si>
    <t>Д/В008/121/21-38460</t>
  </si>
  <si>
    <t>2101797</t>
  </si>
  <si>
    <t>Калуцкая Анна Владимировна</t>
  </si>
  <si>
    <t>Д/В008/121/21-37187</t>
  </si>
  <si>
    <t>2101811</t>
  </si>
  <si>
    <t>Костюченко Алеся Витальевна</t>
  </si>
  <si>
    <t>Д/В008/121/21-37185</t>
  </si>
  <si>
    <t>2101818</t>
  </si>
  <si>
    <t>Зелепукина Мария Александровна</t>
  </si>
  <si>
    <t>Д/В008/121/21-37843</t>
  </si>
  <si>
    <t>2101820</t>
  </si>
  <si>
    <t>2101824</t>
  </si>
  <si>
    <t>Ведрушкин Артем Сергеевич</t>
  </si>
  <si>
    <t>Д/В008/121/21-37224</t>
  </si>
  <si>
    <t>2101826</t>
  </si>
  <si>
    <t>Климович Егор Николаевич</t>
  </si>
  <si>
    <t>Д/В008/121/21-38698</t>
  </si>
  <si>
    <t>2101834</t>
  </si>
  <si>
    <t>2101838</t>
  </si>
  <si>
    <t>Д/В008/121/21-38444</t>
  </si>
  <si>
    <t>2101857</t>
  </si>
  <si>
    <t>Титеева Ксения Ильинична</t>
  </si>
  <si>
    <t>Д/В008/121/21-37188</t>
  </si>
  <si>
    <t>2101864</t>
  </si>
  <si>
    <t>Мордасов Никита Сергеевич</t>
  </si>
  <si>
    <t>Д/В008/121/21-38090</t>
  </si>
  <si>
    <t>2101865</t>
  </si>
  <si>
    <t>2101866</t>
  </si>
  <si>
    <t>Д/В008/121/21-38942</t>
  </si>
  <si>
    <t>2101868</t>
  </si>
  <si>
    <t>Кравчук Никита Александрович</t>
  </si>
  <si>
    <t>МИВТ-21-5-18</t>
  </si>
  <si>
    <t>Д/В008/121/21-37915</t>
  </si>
  <si>
    <t>2101869</t>
  </si>
  <si>
    <t>Турченко Александр Сергеевич</t>
  </si>
  <si>
    <t>2101879</t>
  </si>
  <si>
    <t>Юрина Евгения Сергеевна</t>
  </si>
  <si>
    <t>Д/В008/121/22-40741</t>
  </si>
  <si>
    <t>2101882</t>
  </si>
  <si>
    <t>Сивакова Алина Олеговна</t>
  </si>
  <si>
    <t>Д/В008/121/21-38441</t>
  </si>
  <si>
    <t>2101889</t>
  </si>
  <si>
    <t>Д/В008/121/21-38514</t>
  </si>
  <si>
    <t>2101897</t>
  </si>
  <si>
    <t>Антипенко Александр Сергеевич</t>
  </si>
  <si>
    <t>2101903</t>
  </si>
  <si>
    <t>Д/В008/121/21-38230</t>
  </si>
  <si>
    <t>2101932</t>
  </si>
  <si>
    <t>Великий Василий Александрович</t>
  </si>
  <si>
    <t>Д/В008/121/21-38543</t>
  </si>
  <si>
    <t>2101947</t>
  </si>
  <si>
    <t>Немеров Михаил Романович</t>
  </si>
  <si>
    <t>2101957</t>
  </si>
  <si>
    <t>Буняева Марина Александровна</t>
  </si>
  <si>
    <t>МИСТ-21-1-2</t>
  </si>
  <si>
    <t>Д/В008/121/21-38107</t>
  </si>
  <si>
    <t>2102011</t>
  </si>
  <si>
    <t>Сорокина Марина Алексеевна</t>
  </si>
  <si>
    <t>Д/В008/121/21-37930</t>
  </si>
  <si>
    <t>2102018</t>
  </si>
  <si>
    <t>Шайбель Кристина Игоревна</t>
  </si>
  <si>
    <t>Д/В008/121/21-38328</t>
  </si>
  <si>
    <t>2102055</t>
  </si>
  <si>
    <t>Шувалов Александр Андреевич</t>
  </si>
  <si>
    <t>2102056</t>
  </si>
  <si>
    <t>Кузнецова Анастасия Сергеевна</t>
  </si>
  <si>
    <t>Д/В008/121/17-22409</t>
  </si>
  <si>
    <t>2102076</t>
  </si>
  <si>
    <t>Лабиб Абдельрахман Мохамед Бакр</t>
  </si>
  <si>
    <t>ММТМ-21-10-11А</t>
  </si>
  <si>
    <t>Д/В008/121/21-38471</t>
  </si>
  <si>
    <t>2102077</t>
  </si>
  <si>
    <t>Колобов Александр Андреевич</t>
  </si>
  <si>
    <t>Д/В008/121/21-37230</t>
  </si>
  <si>
    <t>2102132</t>
  </si>
  <si>
    <t>Симоненко Алексей Анатольевич</t>
  </si>
  <si>
    <t>2102134</t>
  </si>
  <si>
    <t>Хахарев Денис Игоревич</t>
  </si>
  <si>
    <t>Д/В008/121/21-37246</t>
  </si>
  <si>
    <t>2102176</t>
  </si>
  <si>
    <t>Шикунова Юлия Александровна</t>
  </si>
  <si>
    <t>Д/В008/121/21-38678</t>
  </si>
  <si>
    <t>2102216</t>
  </si>
  <si>
    <t>Д/В008/121/21-38168</t>
  </si>
  <si>
    <t>2102227</t>
  </si>
  <si>
    <t>Маракуца Татьяна Алексеевна</t>
  </si>
  <si>
    <t>2102259</t>
  </si>
  <si>
    <t>Визитиу Денис Викторович</t>
  </si>
  <si>
    <t>Д/В008/121/21-38779</t>
  </si>
  <si>
    <t>2102275</t>
  </si>
  <si>
    <t>Мордовина Анастасия Алексеевна</t>
  </si>
  <si>
    <t>Д/В008/121/21-38345</t>
  </si>
  <si>
    <t>2102333</t>
  </si>
  <si>
    <t>Гришечкина Юлия Алексеевна</t>
  </si>
  <si>
    <t>Д/В008/121/21-38663</t>
  </si>
  <si>
    <t>2102384</t>
  </si>
  <si>
    <t>Цуканов Алексей Эдуардович</t>
  </si>
  <si>
    <t>2102398</t>
  </si>
  <si>
    <t>Чориев Абдулло Тавакал Угли</t>
  </si>
  <si>
    <t>Д/В008/121/21-38681</t>
  </si>
  <si>
    <t>2102420</t>
  </si>
  <si>
    <t>Д/В008/121/21-38664</t>
  </si>
  <si>
    <t>2102438</t>
  </si>
  <si>
    <t>Бузанаков Павел Андреевич</t>
  </si>
  <si>
    <t>Д/В008/121/21-38590</t>
  </si>
  <si>
    <t>2102457</t>
  </si>
  <si>
    <t>Донецкий Александр Евгеньевич</t>
  </si>
  <si>
    <t>2102461</t>
  </si>
  <si>
    <t>Паринова Ксения Алексеевна</t>
  </si>
  <si>
    <t>2102480</t>
  </si>
  <si>
    <t>Эйзнер Игорь Геннадьевич</t>
  </si>
  <si>
    <t>2102486</t>
  </si>
  <si>
    <t>Хужаев Шахзод Шухрат Угли</t>
  </si>
  <si>
    <t>Д/В008/121/22-42131</t>
  </si>
  <si>
    <t>2102488</t>
  </si>
  <si>
    <t>2102539</t>
  </si>
  <si>
    <t>Голышков Кирилл Романович</t>
  </si>
  <si>
    <t>Д/В008/121/21-37182</t>
  </si>
  <si>
    <t>2102564</t>
  </si>
  <si>
    <t>Зеленин Григорий Александрович</t>
  </si>
  <si>
    <t>Д/В008/121/21-37369</t>
  </si>
  <si>
    <t>2102572</t>
  </si>
  <si>
    <t>Д/В008/121/21-38628</t>
  </si>
  <si>
    <t>2102588</t>
  </si>
  <si>
    <t>Хадырова Ирина Асхатовна</t>
  </si>
  <si>
    <t>Д/В008/121/21-37425</t>
  </si>
  <si>
    <t>2102635</t>
  </si>
  <si>
    <t>Кондрушин Иван Евгеньевич</t>
  </si>
  <si>
    <t>Д/В008/121/21-37340</t>
  </si>
  <si>
    <t>2102644</t>
  </si>
  <si>
    <t>Дедкова Анастасия Дмитриевна</t>
  </si>
  <si>
    <t>Д/В008/121/21-37257</t>
  </si>
  <si>
    <t>2102663</t>
  </si>
  <si>
    <t>Беляева Алёна Дмитриевна</t>
  </si>
  <si>
    <t>2102674</t>
  </si>
  <si>
    <t>ММТ-21-2-29</t>
  </si>
  <si>
    <t>Д/В008/121/21-38613</t>
  </si>
  <si>
    <t>2102682</t>
  </si>
  <si>
    <t>Терентьева Полина Андреевна</t>
  </si>
  <si>
    <t>Д/В008/121/21-38396</t>
  </si>
  <si>
    <t>2102720</t>
  </si>
  <si>
    <t>Чернов Кирилл Олегович</t>
  </si>
  <si>
    <t>2102747</t>
  </si>
  <si>
    <t>Репкина Елизавета Александровна</t>
  </si>
  <si>
    <t>Д/В008/121/21-38106</t>
  </si>
  <si>
    <t>2102785</t>
  </si>
  <si>
    <t>2102787</t>
  </si>
  <si>
    <t>Григорьев Михаил Сергеевич</t>
  </si>
  <si>
    <t>МЭЭ-21-2-4</t>
  </si>
  <si>
    <t>Д/В008/121/21-37659</t>
  </si>
  <si>
    <t>2102810</t>
  </si>
  <si>
    <t>Шумкин Николай Сергеевич</t>
  </si>
  <si>
    <t>2102812</t>
  </si>
  <si>
    <t>Д/В008/121/21-37250</t>
  </si>
  <si>
    <t>2102813</t>
  </si>
  <si>
    <t>Завражин Денис Павлович</t>
  </si>
  <si>
    <t>2102826</t>
  </si>
  <si>
    <t>Скибо Борис Михайлович</t>
  </si>
  <si>
    <t>2102831</t>
  </si>
  <si>
    <t>Павлова Ева Романовна</t>
  </si>
  <si>
    <t>Д/В008/121/21-36853</t>
  </si>
  <si>
    <t>2102878</t>
  </si>
  <si>
    <t>Тазиева Гульшан Газизовна</t>
  </si>
  <si>
    <t>Д/В008/121/21-37661</t>
  </si>
  <si>
    <t>2102894</t>
  </si>
  <si>
    <t>Горбунов Никита Анатольевич</t>
  </si>
  <si>
    <t>Д/В008/121/21-37261</t>
  </si>
  <si>
    <t>2102907</t>
  </si>
  <si>
    <t>Андреев Антон Олегович</t>
  </si>
  <si>
    <t>2102919</t>
  </si>
  <si>
    <t>Искандеров Азамат Кайратулы</t>
  </si>
  <si>
    <t>МЭН-21-3-4</t>
  </si>
  <si>
    <t>Д/В008/121/21-37859</t>
  </si>
  <si>
    <t>2103021</t>
  </si>
  <si>
    <t>Мухаметшина Айгуль Марселевна</t>
  </si>
  <si>
    <t>Д/В008/121/21-38362</t>
  </si>
  <si>
    <t>2103033</t>
  </si>
  <si>
    <t>Д/В008/121/21-38686</t>
  </si>
  <si>
    <t>2103045</t>
  </si>
  <si>
    <t>Медведева Марина Алексеевна</t>
  </si>
  <si>
    <t>2103057</t>
  </si>
  <si>
    <t>Д/В008/121/21-37438</t>
  </si>
  <si>
    <t>2103062</t>
  </si>
  <si>
    <t>Меркулин Павел Олегович</t>
  </si>
  <si>
    <t>Д/В008/121/21-37248</t>
  </si>
  <si>
    <t>2103067</t>
  </si>
  <si>
    <t>Кононова Евгения Эдуардовна</t>
  </si>
  <si>
    <t>2103080</t>
  </si>
  <si>
    <t>Горяйнова Анастасия Павловна</t>
  </si>
  <si>
    <t>Д/В008/121/21-38608</t>
  </si>
  <si>
    <t>2103110</t>
  </si>
  <si>
    <t>Беляев Никита Михайлович</t>
  </si>
  <si>
    <t>Д/В008/121/17-22459</t>
  </si>
  <si>
    <t>2103134</t>
  </si>
  <si>
    <t>Юсина Эльвира Алексеевна</t>
  </si>
  <si>
    <t>Д/В008/121/21-38833</t>
  </si>
  <si>
    <t>2103157</t>
  </si>
  <si>
    <t>Д/В008/121/21-38242</t>
  </si>
  <si>
    <t>2103190</t>
  </si>
  <si>
    <t>Амброс Ангелина Викторовна</t>
  </si>
  <si>
    <t>2103250</t>
  </si>
  <si>
    <t>Крупнова Елена Дмитриевна</t>
  </si>
  <si>
    <t>Д/В008/121/21-38777</t>
  </si>
  <si>
    <t>2103264</t>
  </si>
  <si>
    <t>Власова Анастасия Витальевна</t>
  </si>
  <si>
    <t>2103292</t>
  </si>
  <si>
    <t>Буторин Андрей Леонидович</t>
  </si>
  <si>
    <t>Д/В008/121/22-42570</t>
  </si>
  <si>
    <t>2103326</t>
  </si>
  <si>
    <t>Винокурова Александра Егоровна</t>
  </si>
  <si>
    <t>Д/В008/121/21-38636</t>
  </si>
  <si>
    <t>2103351</t>
  </si>
  <si>
    <t>Саирбаев Илья</t>
  </si>
  <si>
    <t>Д/В008/121/21-38897</t>
  </si>
  <si>
    <t>2103378</t>
  </si>
  <si>
    <t>Третьякова Анастасия Юрьевна</t>
  </si>
  <si>
    <t>Д/В008/121/21-38111</t>
  </si>
  <si>
    <t>2103395</t>
  </si>
  <si>
    <t>Орлова Алёна Андреевна</t>
  </si>
  <si>
    <t>Д/В008/121/21-37311</t>
  </si>
  <si>
    <t>2103496</t>
  </si>
  <si>
    <t>Хабаров Ричард Алексеевич</t>
  </si>
  <si>
    <t>2103508</t>
  </si>
  <si>
    <t>Д/В008/121/21-37989</t>
  </si>
  <si>
    <t>2103526</t>
  </si>
  <si>
    <t>Крюкова Елена Александровна</t>
  </si>
  <si>
    <t>2103574</t>
  </si>
  <si>
    <t>Гусев Анатолий Анатольевич</t>
  </si>
  <si>
    <t>Д/В008/121/21-37656</t>
  </si>
  <si>
    <t>2103578</t>
  </si>
  <si>
    <t>Егоров Евгений Сергеевич</t>
  </si>
  <si>
    <t>МТБ-21-1-1</t>
  </si>
  <si>
    <t>2103592</t>
  </si>
  <si>
    <t>Байкалов Владимир Александрович</t>
  </si>
  <si>
    <t>Д/В008/121/22-42573</t>
  </si>
  <si>
    <t>2103605</t>
  </si>
  <si>
    <t>2103608</t>
  </si>
  <si>
    <t>Степухович Мария Сергеевна</t>
  </si>
  <si>
    <t>Д/В008/121/21-37926</t>
  </si>
  <si>
    <t>2103621</t>
  </si>
  <si>
    <t>Захаров Максим Олегович</t>
  </si>
  <si>
    <t>Д/В008/121/21-38695</t>
  </si>
  <si>
    <t>2103672</t>
  </si>
  <si>
    <t>Сафрутина Екатерина Федоровна</t>
  </si>
  <si>
    <t>Д/В008/121/21-38756</t>
  </si>
  <si>
    <t>2103701</t>
  </si>
  <si>
    <t>Д/В008/121/21-38518</t>
  </si>
  <si>
    <t>2103721</t>
  </si>
  <si>
    <t>Дроздова Виктория Викторовна</t>
  </si>
  <si>
    <t>Д/В008/121/21-38015</t>
  </si>
  <si>
    <t>2103749</t>
  </si>
  <si>
    <t>Мукиденов Алмаз Наурызгалиевич</t>
  </si>
  <si>
    <t>Д/В008/121/21-39260</t>
  </si>
  <si>
    <t>2103763</t>
  </si>
  <si>
    <t>Д/В008/121/21-38263</t>
  </si>
  <si>
    <t>2103811</t>
  </si>
  <si>
    <t>Крохина Надежда Николаевна</t>
  </si>
  <si>
    <t>2103876</t>
  </si>
  <si>
    <t>ММТМ-21-9-15</t>
  </si>
  <si>
    <t>Д/В008/121/21-37549</t>
  </si>
  <si>
    <t>2103883</t>
  </si>
  <si>
    <t>Скворцов Константин Владимирович</t>
  </si>
  <si>
    <t>Д/В008/121/21-38812</t>
  </si>
  <si>
    <t>2103923</t>
  </si>
  <si>
    <t>Самойлов Максим Станиславович</t>
  </si>
  <si>
    <t>2103929</t>
  </si>
  <si>
    <t>Д/В008/121/22-39631</t>
  </si>
  <si>
    <t>2103949</t>
  </si>
  <si>
    <t>2103960</t>
  </si>
  <si>
    <t>Доржу Виктория Витальевна</t>
  </si>
  <si>
    <t>Д/В008/121/21-38417</t>
  </si>
  <si>
    <t>2103974</t>
  </si>
  <si>
    <t>Смирнова Яна Вадимовна</t>
  </si>
  <si>
    <t>Д/В008/121/21-37583</t>
  </si>
  <si>
    <t>2104029</t>
  </si>
  <si>
    <t>Д/В008/121/21-37442</t>
  </si>
  <si>
    <t>2104075</t>
  </si>
  <si>
    <t>Беляева Анна Олеговна</t>
  </si>
  <si>
    <t>Д/В008/121/21-38726</t>
  </si>
  <si>
    <t>2104384</t>
  </si>
  <si>
    <t>Малкова Любовь Евгеньевна</t>
  </si>
  <si>
    <t>Д/В008/121/21-37604</t>
  </si>
  <si>
    <t>2104420</t>
  </si>
  <si>
    <t>Егорова Александра Евгеньевна</t>
  </si>
  <si>
    <t>2104484</t>
  </si>
  <si>
    <t>Журкин Павел Алексеевич</t>
  </si>
  <si>
    <t>2104532</t>
  </si>
  <si>
    <t>Константинова Дарья Алексеевна</t>
  </si>
  <si>
    <t>2104584</t>
  </si>
  <si>
    <t>Гнездилова Анна Романовна</t>
  </si>
  <si>
    <t>Д/В008/121/21-37184</t>
  </si>
  <si>
    <t>2104593</t>
  </si>
  <si>
    <t>Д/В008/121/21-37578</t>
  </si>
  <si>
    <t>2104604</t>
  </si>
  <si>
    <t>Орешкин Степан Алексеевич</t>
  </si>
  <si>
    <t>2104617</t>
  </si>
  <si>
    <t>Букова Маргарита Борисовна</t>
  </si>
  <si>
    <t>2104622</t>
  </si>
  <si>
    <t>Караулова Анастасия Сергеевна</t>
  </si>
  <si>
    <t>Д/В008/121/17-22910</t>
  </si>
  <si>
    <t>2104669</t>
  </si>
  <si>
    <t>Якку Диана Валерьевна</t>
  </si>
  <si>
    <t>Д/В008/121/21-38761</t>
  </si>
  <si>
    <t>2104674</t>
  </si>
  <si>
    <t>Абдраманова Яна Расимовна</t>
  </si>
  <si>
    <t>Д/В008/121/21-37918</t>
  </si>
  <si>
    <t>2104715</t>
  </si>
  <si>
    <t>Валиев Данил Эдуардович</t>
  </si>
  <si>
    <t>Д/В008/121/21-37962</t>
  </si>
  <si>
    <t>2104791</t>
  </si>
  <si>
    <t>Дунаев Антон Валерьевич</t>
  </si>
  <si>
    <t>Д/В008/121/21-37665</t>
  </si>
  <si>
    <t>2104797</t>
  </si>
  <si>
    <t>Саламахин Виктор</t>
  </si>
  <si>
    <t>Д/В008/121/21-37619</t>
  </si>
  <si>
    <t>2104877</t>
  </si>
  <si>
    <t>Куликов Георгий Михайлович</t>
  </si>
  <si>
    <t>Д/В008/121/21-38822</t>
  </si>
  <si>
    <t>2104927</t>
  </si>
  <si>
    <t>Д/В008/121/21-38278</t>
  </si>
  <si>
    <t>2104929</t>
  </si>
  <si>
    <t>Балышева Камилла Дмитриевна</t>
  </si>
  <si>
    <t>Д/В008/121/21-38522</t>
  </si>
  <si>
    <t>2104934</t>
  </si>
  <si>
    <t>Д/В008/121/21-38581</t>
  </si>
  <si>
    <t>2104962</t>
  </si>
  <si>
    <t>Паршина Дарья Александровна</t>
  </si>
  <si>
    <t>2104963</t>
  </si>
  <si>
    <t>Ситникова Лидия Вячеславовна</t>
  </si>
  <si>
    <t>Д/В008/121/21-38481</t>
  </si>
  <si>
    <t>2104980</t>
  </si>
  <si>
    <t>Ушницкий Ян Иванович</t>
  </si>
  <si>
    <t>Д/В008/121/21-38739</t>
  </si>
  <si>
    <t>2104982</t>
  </si>
  <si>
    <t>Олицкий Владислав Константинович</t>
  </si>
  <si>
    <t>Д/В008/121/21-38162</t>
  </si>
  <si>
    <t>2104983</t>
  </si>
  <si>
    <t>Хомицевич Кирилл Андреевич</t>
  </si>
  <si>
    <t>2105010</t>
  </si>
  <si>
    <t>Исломбоев Азиз Бахтиёрович</t>
  </si>
  <si>
    <t>Д/В008/121/676-17</t>
  </si>
  <si>
    <t>2105055</t>
  </si>
  <si>
    <t>Давлятова Шахноза Фуркат Кизи</t>
  </si>
  <si>
    <t>Д/В008/121/22-42553</t>
  </si>
  <si>
    <t>2105077</t>
  </si>
  <si>
    <t>Балтачев Антон Юрьевич</t>
  </si>
  <si>
    <t>Д/В008/121/21-37888</t>
  </si>
  <si>
    <t>2105084</t>
  </si>
  <si>
    <t>Кузнецова Арина Сергеевна</t>
  </si>
  <si>
    <t>Д/В008/121/21-38830</t>
  </si>
  <si>
    <t>2105099</t>
  </si>
  <si>
    <t>Зюков Роман Дмитриевич</t>
  </si>
  <si>
    <t>Д/В008/121/21-37215</t>
  </si>
  <si>
    <t>2105113</t>
  </si>
  <si>
    <t>Клюев Илья Владимирович</t>
  </si>
  <si>
    <t>2105121</t>
  </si>
  <si>
    <t>Колышкина Наталья Сергеевна</t>
  </si>
  <si>
    <t>Д/В008/121/21-37605</t>
  </si>
  <si>
    <t>2105128</t>
  </si>
  <si>
    <t>Радина Александра Денисовна</t>
  </si>
  <si>
    <t>Д/В008/121/21-37295</t>
  </si>
  <si>
    <t>2105153</t>
  </si>
  <si>
    <t>Черненок Татьяна Владимировна</t>
  </si>
  <si>
    <t>Д/В008/121/21-37408</t>
  </si>
  <si>
    <t>2105166</t>
  </si>
  <si>
    <t>Левдикова Ксения Сергеевна</t>
  </si>
  <si>
    <t>2105173</t>
  </si>
  <si>
    <t>Батенкова Юлия Геннадиевна</t>
  </si>
  <si>
    <t>Д/В008/121/21-38095</t>
  </si>
  <si>
    <t>2105190</t>
  </si>
  <si>
    <t>Сидорова Екатерина Валерьевна</t>
  </si>
  <si>
    <t>Д/В008/121/21-38322</t>
  </si>
  <si>
    <t>2105191</t>
  </si>
  <si>
    <t>Гридчина Василиса Михайловна</t>
  </si>
  <si>
    <t>2105192</t>
  </si>
  <si>
    <t>Мещанкин Иван Александрович</t>
  </si>
  <si>
    <t>2105220</t>
  </si>
  <si>
    <t>Д/В008/121/21-37299</t>
  </si>
  <si>
    <t>2105269</t>
  </si>
  <si>
    <t>Зайцев Михаил Сергеевич</t>
  </si>
  <si>
    <t>2105353</t>
  </si>
  <si>
    <t>Голышкин Дмитрий Олегович</t>
  </si>
  <si>
    <t>Д/В008/121/21-38588</t>
  </si>
  <si>
    <t>2105367</t>
  </si>
  <si>
    <t>Насретдинов Жасурбек Зафарбек Угли</t>
  </si>
  <si>
    <t>Д/В008/121/22-42340</t>
  </si>
  <si>
    <t>2105421</t>
  </si>
  <si>
    <t>Насибуллин Булат Маратович</t>
  </si>
  <si>
    <t>2105458</t>
  </si>
  <si>
    <t>Д/В008/121/21-37928</t>
  </si>
  <si>
    <t>2105468</t>
  </si>
  <si>
    <t>Мирзодавлатов Сайриддин Сижоудинович</t>
  </si>
  <si>
    <t>Д/В008/121/21-38174</t>
  </si>
  <si>
    <t>2105536</t>
  </si>
  <si>
    <t>Кристиан Анастасия Александровна</t>
  </si>
  <si>
    <t>Д/В008/121/21-38666</t>
  </si>
  <si>
    <t>2105543</t>
  </si>
  <si>
    <t>Джураев Сарварбек Дурбекович</t>
  </si>
  <si>
    <t>Д/В008/121/22-42456</t>
  </si>
  <si>
    <t>2105567</t>
  </si>
  <si>
    <t>Спасский Алексей Алексеевич</t>
  </si>
  <si>
    <t>2105602</t>
  </si>
  <si>
    <t>Эрендженов Арслан Евгеньевич</t>
  </si>
  <si>
    <t>Д/В008/121/21-38295</t>
  </si>
  <si>
    <t>2105626</t>
  </si>
  <si>
    <t>Тяжев Алексей Владимирович</t>
  </si>
  <si>
    <t>2105679</t>
  </si>
  <si>
    <t>Степанова Анастасия Аркадьевна</t>
  </si>
  <si>
    <t>Д/В008/121/17-23650</t>
  </si>
  <si>
    <t>2105684</t>
  </si>
  <si>
    <t>Крамарев Дмитрий Алексеевич</t>
  </si>
  <si>
    <t>Д/В008/121/21-38091</t>
  </si>
  <si>
    <t>2105695</t>
  </si>
  <si>
    <t>Лищенко Дмитрий Алексеевич</t>
  </si>
  <si>
    <t>Д/В008/121/21-38451</t>
  </si>
  <si>
    <t>2105709</t>
  </si>
  <si>
    <t>Д/В008/121/21-37580</t>
  </si>
  <si>
    <t>2105716</t>
  </si>
  <si>
    <t>Макарова Ольга Сергеевна</t>
  </si>
  <si>
    <t>Д/В008/121/21-38702</t>
  </si>
  <si>
    <t>2105783</t>
  </si>
  <si>
    <t>Еремеева Полина Владимировна</t>
  </si>
  <si>
    <t>Д/В008/121/21-37910</t>
  </si>
  <si>
    <t>2105800</t>
  </si>
  <si>
    <t>Щербакова Екатерина Александровна</t>
  </si>
  <si>
    <t>Д/В008/121/21-38699</t>
  </si>
  <si>
    <t>2105811</t>
  </si>
  <si>
    <t>Д/В008/121/21-38132</t>
  </si>
  <si>
    <t>2105836</t>
  </si>
  <si>
    <t>Бандзеладзе Наталья Гочевна</t>
  </si>
  <si>
    <t>2105843</t>
  </si>
  <si>
    <t>Ностаева Юлия Николаевна</t>
  </si>
  <si>
    <t>Д/В008/121/19-32279</t>
  </si>
  <si>
    <t>2105859</t>
  </si>
  <si>
    <t>Кирюшина Марина Олеговна</t>
  </si>
  <si>
    <t>2105860</t>
  </si>
  <si>
    <t>Д/В008/121/21-37685</t>
  </si>
  <si>
    <t>2105861</t>
  </si>
  <si>
    <t>Афонин Михаил Александрович</t>
  </si>
  <si>
    <t>Д/В008/121/21-38508</t>
  </si>
  <si>
    <t>2105898</t>
  </si>
  <si>
    <t>Хангараева Анита Салаватовна</t>
  </si>
  <si>
    <t>Д/В008/121/21-38754</t>
  </si>
  <si>
    <t>2105955</t>
  </si>
  <si>
    <t>Кузнецов Семен Михайлович</t>
  </si>
  <si>
    <t>2105990</t>
  </si>
  <si>
    <t>Ченцов Евгений Александрович</t>
  </si>
  <si>
    <t>2106019</t>
  </si>
  <si>
    <t>Аржанухин Даниил Сергеевич</t>
  </si>
  <si>
    <t>Д/В008/121/21-37921</t>
  </si>
  <si>
    <t>2106052</t>
  </si>
  <si>
    <t>Бозаров Мехриддин Шухрат угли</t>
  </si>
  <si>
    <t>Д/В008/121/23-43507</t>
  </si>
  <si>
    <t>2106053</t>
  </si>
  <si>
    <t>Комолова Дарья Антоновна</t>
  </si>
  <si>
    <t>2106072</t>
  </si>
  <si>
    <t>Д/В008/121/21-37978</t>
  </si>
  <si>
    <t>2106082</t>
  </si>
  <si>
    <t>Игнаткин Иван Константинович</t>
  </si>
  <si>
    <t>2106085</t>
  </si>
  <si>
    <t>Воробьева Татьяна Игоревна</t>
  </si>
  <si>
    <t>2106096</t>
  </si>
  <si>
    <t>Д/В008/121/21-38845</t>
  </si>
  <si>
    <t>2106098</t>
  </si>
  <si>
    <t>Жиндаров Иван Алексеевич</t>
  </si>
  <si>
    <t>Д/В008/121/21-38209</t>
  </si>
  <si>
    <t>2106151</t>
  </si>
  <si>
    <t>Царьков Даниил Дмитриевич</t>
  </si>
  <si>
    <t>2106199</t>
  </si>
  <si>
    <t>Филоненко Ирина Олеговна</t>
  </si>
  <si>
    <t>Д/В008/121/21-37852</t>
  </si>
  <si>
    <t>2106210</t>
  </si>
  <si>
    <t>Шамсувалеев Руслан Ильдарович</t>
  </si>
  <si>
    <t>2106213</t>
  </si>
  <si>
    <t>Д/В008/121/21-37854</t>
  </si>
  <si>
    <t>2106217</t>
  </si>
  <si>
    <t>Абдусаттаров Фазлиддин Хасан угли</t>
  </si>
  <si>
    <t>Д/В008/121/21-37293</t>
  </si>
  <si>
    <t>2106239</t>
  </si>
  <si>
    <t>Д/В008/121/21-38356</t>
  </si>
  <si>
    <t>2106248</t>
  </si>
  <si>
    <t>2106278</t>
  </si>
  <si>
    <t>Минькин Михаил Сергеевич</t>
  </si>
  <si>
    <t>2106288</t>
  </si>
  <si>
    <t>Дзебоев Михаил Олегович</t>
  </si>
  <si>
    <t>2106289</t>
  </si>
  <si>
    <t>Кай Диана Александровна</t>
  </si>
  <si>
    <t>Д/В008/121/21-37350</t>
  </si>
  <si>
    <t>2106411</t>
  </si>
  <si>
    <t>Маилян Эдуард Камоевич</t>
  </si>
  <si>
    <t>2106421</t>
  </si>
  <si>
    <t>Бахромов Алихон Машраб угли</t>
  </si>
  <si>
    <t>2106471</t>
  </si>
  <si>
    <t>Атясова Валерия Георгиевна</t>
  </si>
  <si>
    <t>Д/В008/121/21-38203</t>
  </si>
  <si>
    <t>2106489</t>
  </si>
  <si>
    <t>Фёдорова Анастасия Александровна</t>
  </si>
  <si>
    <t>2106511</t>
  </si>
  <si>
    <t>Рытова Дарья Александровна</t>
  </si>
  <si>
    <t>2106523</t>
  </si>
  <si>
    <t>Фокина Алёна Евгеньевна</t>
  </si>
  <si>
    <t>2106561</t>
  </si>
  <si>
    <t>Симионов Виктор Дмитриевич</t>
  </si>
  <si>
    <t>Д/В008/121/21-37453</t>
  </si>
  <si>
    <t>2106594</t>
  </si>
  <si>
    <t>Степанова Анна Александровна</t>
  </si>
  <si>
    <t>2106646</t>
  </si>
  <si>
    <t>Мамаев Павел Алексеевич</t>
  </si>
  <si>
    <t>2106696</t>
  </si>
  <si>
    <t>Каюмова Дарина Фанилевна</t>
  </si>
  <si>
    <t>Д/В008/121/21-37463</t>
  </si>
  <si>
    <t>2106740</t>
  </si>
  <si>
    <t>Селиверстова Елена Алексеевна</t>
  </si>
  <si>
    <t>2106788</t>
  </si>
  <si>
    <t>Ромашко Максим Игоревич</t>
  </si>
  <si>
    <t>Д/В008/121/21-38509</t>
  </si>
  <si>
    <t>2106797</t>
  </si>
  <si>
    <t>Аметов Роман Рефатович</t>
  </si>
  <si>
    <t>Д/В008/121/21-37519</t>
  </si>
  <si>
    <t>2106801</t>
  </si>
  <si>
    <t>Дедяев Даниил Владимирович</t>
  </si>
  <si>
    <t>Д/В008/121/21-37692</t>
  </si>
  <si>
    <t>2106923</t>
  </si>
  <si>
    <t>Баловнева Виктория Владиславовна</t>
  </si>
  <si>
    <t>Д/В008/121/21-38749</t>
  </si>
  <si>
    <t>2106960</t>
  </si>
  <si>
    <t>2106977</t>
  </si>
  <si>
    <t>Тихомиров Евгений Олегович</t>
  </si>
  <si>
    <t>2106988</t>
  </si>
  <si>
    <t>Войкин Александр Сергеевич</t>
  </si>
  <si>
    <t>Д/В008/121/21-38250</t>
  </si>
  <si>
    <t>2106998</t>
  </si>
  <si>
    <t>Левкина Екатерина Николаевна</t>
  </si>
  <si>
    <t>Д/В008/121/21-37239</t>
  </si>
  <si>
    <t>2107012</t>
  </si>
  <si>
    <t>Д/В008/121/21-38525</t>
  </si>
  <si>
    <t>2107032</t>
  </si>
  <si>
    <t>Костюченко Анна Павловна</t>
  </si>
  <si>
    <t>2107042</t>
  </si>
  <si>
    <t>2107063</t>
  </si>
  <si>
    <t>Шишкина Мария Романовна</t>
  </si>
  <si>
    <t>2107128</t>
  </si>
  <si>
    <t>Д/В008/121/21-37444</t>
  </si>
  <si>
    <t>2107137</t>
  </si>
  <si>
    <t>Ситдекова Динара Игоревна</t>
  </si>
  <si>
    <t>2107149</t>
  </si>
  <si>
    <t>Тайсумова Айсет Лом-Алиевна</t>
  </si>
  <si>
    <t>2107207</t>
  </si>
  <si>
    <t>Афанасьев Максим Евгеньевич</t>
  </si>
  <si>
    <t>Д/В008/121/21-38737</t>
  </si>
  <si>
    <t>2107215</t>
  </si>
  <si>
    <t>Затыкина Анастасия Дмитриевна</t>
  </si>
  <si>
    <t>2107229</t>
  </si>
  <si>
    <t>Зима Елизавета Викторовна</t>
  </si>
  <si>
    <t>Д/В008/121/21-38153</t>
  </si>
  <si>
    <t>2107248</t>
  </si>
  <si>
    <t>Подглазова Маргарита Игоревна</t>
  </si>
  <si>
    <t>Д/В008/121/21-37739</t>
  </si>
  <si>
    <t>2107253</t>
  </si>
  <si>
    <t>Щеглова Анастасия Владимировна</t>
  </si>
  <si>
    <t>Д/В008/121/21-38052</t>
  </si>
  <si>
    <t>2107280</t>
  </si>
  <si>
    <t>Д/В008/121/21-38567</t>
  </si>
  <si>
    <t>2107297</t>
  </si>
  <si>
    <t>Олимпиева Елизавета Дмитриевна</t>
  </si>
  <si>
    <t>2107363</t>
  </si>
  <si>
    <t>Москворецкий Петр Сергеевич</t>
  </si>
  <si>
    <t>2107386</t>
  </si>
  <si>
    <t>Мясоедов Егор Васильевич</t>
  </si>
  <si>
    <t>Д/В008/121/21-37775</t>
  </si>
  <si>
    <t>2107404</t>
  </si>
  <si>
    <t>Степанова Марина Евгеньевна</t>
  </si>
  <si>
    <t>2107428</t>
  </si>
  <si>
    <t>Чаузова Екатерина Михайловна</t>
  </si>
  <si>
    <t>Д/В008/121/21-37385</t>
  </si>
  <si>
    <t>2107461</t>
  </si>
  <si>
    <t>Костина Ульяна Александровна</t>
  </si>
  <si>
    <t>Д/В008/121/21-37245</t>
  </si>
  <si>
    <t>2107484</t>
  </si>
  <si>
    <t>Гусева Светлана Евгеньевна</t>
  </si>
  <si>
    <t>Д/В008/121/21-38618</t>
  </si>
  <si>
    <t>2107511</t>
  </si>
  <si>
    <t>Д/В008/121/21-37289</t>
  </si>
  <si>
    <t>2107524</t>
  </si>
  <si>
    <t>Лебедев Данила Сергеевич</t>
  </si>
  <si>
    <t>Д/В008/121/21-37789</t>
  </si>
  <si>
    <t>2107808</t>
  </si>
  <si>
    <t>Д/В008/121/21-38725</t>
  </si>
  <si>
    <t>2107817</t>
  </si>
  <si>
    <t>Абдуваитов Жавохир Яшин Угли</t>
  </si>
  <si>
    <t>Д/В008/121/21-38512</t>
  </si>
  <si>
    <t>2107900</t>
  </si>
  <si>
    <t>Руденко Олеся Вячеславовна</t>
  </si>
  <si>
    <t>2107912</t>
  </si>
  <si>
    <t>Джеджула Ирина Александровна</t>
  </si>
  <si>
    <t>2107924</t>
  </si>
  <si>
    <t>Широков Николай Сергеевич</t>
  </si>
  <si>
    <t>Д/В008/121/21-38234</t>
  </si>
  <si>
    <t>2107934</t>
  </si>
  <si>
    <t>Гайнулин Камиль Маратович</t>
  </si>
  <si>
    <t>Д/В008/121/21-38801</t>
  </si>
  <si>
    <t>2107955</t>
  </si>
  <si>
    <t>Одегов Григорий Сергеевич</t>
  </si>
  <si>
    <t>2107996</t>
  </si>
  <si>
    <t>Аманов Максат</t>
  </si>
  <si>
    <t>Д/В008/121/21-38899</t>
  </si>
  <si>
    <t>2108078</t>
  </si>
  <si>
    <t>Шаяхметов Антон Александрович</t>
  </si>
  <si>
    <t>Д/В008/121/21-37981</t>
  </si>
  <si>
    <t>2108088</t>
  </si>
  <si>
    <t>Чарыева Роза</t>
  </si>
  <si>
    <t>Д/В008/121/21-37426</t>
  </si>
  <si>
    <t>2108107</t>
  </si>
  <si>
    <t>Маленченко Екатерина Дмитриева</t>
  </si>
  <si>
    <t>2108113</t>
  </si>
  <si>
    <t>Паламарчук Полина Андреевна</t>
  </si>
  <si>
    <t>Д/В008/121/21-37955</t>
  </si>
  <si>
    <t>2108121</t>
  </si>
  <si>
    <t>Курбонов Мехроб Нуриддинович</t>
  </si>
  <si>
    <t>Д/В008/121/22-42195</t>
  </si>
  <si>
    <t>2108132</t>
  </si>
  <si>
    <t>Яркеев Марк Маратович</t>
  </si>
  <si>
    <t>2108139</t>
  </si>
  <si>
    <t>Гершман Кристина Олеговна</t>
  </si>
  <si>
    <t>2108144</t>
  </si>
  <si>
    <t>Кузнецов Денис Викторович</t>
  </si>
  <si>
    <t>2108151</t>
  </si>
  <si>
    <t>Маркина Полина Сергеевна</t>
  </si>
  <si>
    <t>2108164</t>
  </si>
  <si>
    <t>Мартиросян Давид Арамович</t>
  </si>
  <si>
    <t>2108168</t>
  </si>
  <si>
    <t>Маслова Полина Олеговна</t>
  </si>
  <si>
    <t>2108219</t>
  </si>
  <si>
    <t>Литовченко Анна Павловна</t>
  </si>
  <si>
    <t>2108224</t>
  </si>
  <si>
    <t>Д/В008/121/21-37870</t>
  </si>
  <si>
    <t>2108234</t>
  </si>
  <si>
    <t>Прощенко Денис Константинович</t>
  </si>
  <si>
    <t>Д/В008/121/21-38089</t>
  </si>
  <si>
    <t>2108280</t>
  </si>
  <si>
    <t>2108293</t>
  </si>
  <si>
    <t>Мираков Мухаммадёр Джавшанович</t>
  </si>
  <si>
    <t>Д/В008/121/21-38701</t>
  </si>
  <si>
    <t>2108300</t>
  </si>
  <si>
    <t>Тетерева Юлия Сергеевна</t>
  </si>
  <si>
    <t>2108319</t>
  </si>
  <si>
    <t>Галахов Илья Юрьевич</t>
  </si>
  <si>
    <t>2108338</t>
  </si>
  <si>
    <t>Расулов Шохрух Улугбек Угли</t>
  </si>
  <si>
    <t>Д/В008/121/21-38332</t>
  </si>
  <si>
    <t>2108348</t>
  </si>
  <si>
    <t>Калиниченко Владислав Леонидович</t>
  </si>
  <si>
    <t>2108392</t>
  </si>
  <si>
    <t>Рахымжан Омиржол</t>
  </si>
  <si>
    <t>Д/В008/121/21-38733</t>
  </si>
  <si>
    <t>2108396</t>
  </si>
  <si>
    <t>Балакина Мария Николаевна</t>
  </si>
  <si>
    <t>Д/В008/121/21-37941</t>
  </si>
  <si>
    <t>2108406</t>
  </si>
  <si>
    <t>2108409</t>
  </si>
  <si>
    <t>Розмирович Софья Станиславовна</t>
  </si>
  <si>
    <t>2108413</t>
  </si>
  <si>
    <t>Никулин Михаил Дмитриевич</t>
  </si>
  <si>
    <t>2108421</t>
  </si>
  <si>
    <t>Моргунова Оксана Михайловна</t>
  </si>
  <si>
    <t>Д/В008/121/21-37503</t>
  </si>
  <si>
    <t>2108453</t>
  </si>
  <si>
    <t>Воробьева Елизавета Дмитриевна</t>
  </si>
  <si>
    <t>2108463</t>
  </si>
  <si>
    <t>Назарова Анна Сергеевна</t>
  </si>
  <si>
    <t>Д/В008/121/21-37719</t>
  </si>
  <si>
    <t>2108465</t>
  </si>
  <si>
    <t>Кисельман Мария Сергеевна</t>
  </si>
  <si>
    <t>Д/В008/121/21-37445</t>
  </si>
  <si>
    <t>2108476</t>
  </si>
  <si>
    <t>Чегодаев Юрий Александрович</t>
  </si>
  <si>
    <t>Д/В008/121/21-37496</t>
  </si>
  <si>
    <t>2108494</t>
  </si>
  <si>
    <t>Марусев Кирилл Александрович</t>
  </si>
  <si>
    <t>Д/В008/121/21-38252</t>
  </si>
  <si>
    <t>2108500</t>
  </si>
  <si>
    <t>Сактаган Даурен</t>
  </si>
  <si>
    <t>Д/В008/121/21-38530</t>
  </si>
  <si>
    <t>2108514</t>
  </si>
  <si>
    <t>2108515</t>
  </si>
  <si>
    <t>Хабибулин Искандер Ильдарович</t>
  </si>
  <si>
    <t>Д/В008/121/21-37288</t>
  </si>
  <si>
    <t>2108548</t>
  </si>
  <si>
    <t>Святов Роман Сергеевич</t>
  </si>
  <si>
    <t>2108552</t>
  </si>
  <si>
    <t>Д/В008/121/21-38736</t>
  </si>
  <si>
    <t>2108563</t>
  </si>
  <si>
    <t>Кольва Алексей Сергеевич</t>
  </si>
  <si>
    <t>2108572</t>
  </si>
  <si>
    <t>Мамышев Темирлан</t>
  </si>
  <si>
    <t>2108596</t>
  </si>
  <si>
    <t>Тухтаев Тимур Комилович</t>
  </si>
  <si>
    <t>Д/В008/121/21-38485</t>
  </si>
  <si>
    <t>2108599</t>
  </si>
  <si>
    <t>Камчатный Дмитрий Дмитриевич</t>
  </si>
  <si>
    <t>Д/В008/121/21-38367</t>
  </si>
  <si>
    <t>2108614</t>
  </si>
  <si>
    <t>Ревякина Надежда Андреевна</t>
  </si>
  <si>
    <t>Д/В008/121/21-38223</t>
  </si>
  <si>
    <t>2108655</t>
  </si>
  <si>
    <t>Проскурякова Анастасия Алексеевна</t>
  </si>
  <si>
    <t>2108657</t>
  </si>
  <si>
    <t>Темирова Мадина Адебетовна</t>
  </si>
  <si>
    <t>Д/В008/121/21-38914</t>
  </si>
  <si>
    <t>2108672</t>
  </si>
  <si>
    <t>Черменёва Екатерина Петровна</t>
  </si>
  <si>
    <t>Д/В008/121/22-40515</t>
  </si>
  <si>
    <t>2108690</t>
  </si>
  <si>
    <t>Мамаев Денис Евгеньевич</t>
  </si>
  <si>
    <t>Д/В008/121/21-39092</t>
  </si>
  <si>
    <t>2108695</t>
  </si>
  <si>
    <t>Миндеров Александр Юрьевич</t>
  </si>
  <si>
    <t>Д/В008/121/21-38795</t>
  </si>
  <si>
    <t>2108725</t>
  </si>
  <si>
    <t>Леонтьев Тимофей Дмитриевич</t>
  </si>
  <si>
    <t>Д/В008/121/21-38776</t>
  </si>
  <si>
    <t>2108736</t>
  </si>
  <si>
    <t>Агланбеков Амир</t>
  </si>
  <si>
    <t>Д/В008/121/21-38688</t>
  </si>
  <si>
    <t>2108750</t>
  </si>
  <si>
    <t>Трофимов Игорь Дмитриевич</t>
  </si>
  <si>
    <t>2108758</t>
  </si>
  <si>
    <t>Акпаров Данияр</t>
  </si>
  <si>
    <t>Д/В008/121/21-38443</t>
  </si>
  <si>
    <t>2108761</t>
  </si>
  <si>
    <t>Юрасова Ксения Максимовна</t>
  </si>
  <si>
    <t>2108811</t>
  </si>
  <si>
    <t>Аусаков Бауржан Жаксыбекович</t>
  </si>
  <si>
    <t>2108825</t>
  </si>
  <si>
    <t>Попова Кристина Алексеевна</t>
  </si>
  <si>
    <t>Д/В008/121/21-38842</t>
  </si>
  <si>
    <t>2108836</t>
  </si>
  <si>
    <t>Михеев Даниил Александрович</t>
  </si>
  <si>
    <t>2108838</t>
  </si>
  <si>
    <t>2108849</t>
  </si>
  <si>
    <t>Назаров Юсуфджон Сироджидинович</t>
  </si>
  <si>
    <t>Д/В008/121/21-37942</t>
  </si>
  <si>
    <t>2108861</t>
  </si>
  <si>
    <t>Назаренко Артем Владимирович</t>
  </si>
  <si>
    <t>2108866</t>
  </si>
  <si>
    <t>Мееревич Ульяна Евгеньевна</t>
  </si>
  <si>
    <t>2108870</t>
  </si>
  <si>
    <t>Бурхонов Сухроб Асомуддинович</t>
  </si>
  <si>
    <t>Д/В008/121/21-38658</t>
  </si>
  <si>
    <t>2108887</t>
  </si>
  <si>
    <t>Барцева Елена</t>
  </si>
  <si>
    <t>2108888</t>
  </si>
  <si>
    <t>Маремкулова Карина Токановна</t>
  </si>
  <si>
    <t>Д/В008/121/21-37285</t>
  </si>
  <si>
    <t>2108907</t>
  </si>
  <si>
    <t>Рузметов Бехзод Бегабатович</t>
  </si>
  <si>
    <t>Д/В008/121/22-39806</t>
  </si>
  <si>
    <t>2108910</t>
  </si>
  <si>
    <t>Семикина Валентина Михайловна</t>
  </si>
  <si>
    <t>Д/В008/121/22-42723</t>
  </si>
  <si>
    <t>2108930</t>
  </si>
  <si>
    <t>Коняхин Иван Демидович</t>
  </si>
  <si>
    <t>2108946</t>
  </si>
  <si>
    <t>Николаев Александр Вадимович</t>
  </si>
  <si>
    <t>2108965</t>
  </si>
  <si>
    <t>Ровкин Дмитрий Сергеевич</t>
  </si>
  <si>
    <t>2108983</t>
  </si>
  <si>
    <t>Мирсалимов Суннатилла Музаффар Угли</t>
  </si>
  <si>
    <t>Д/В008/121/21-38917</t>
  </si>
  <si>
    <t>2108989</t>
  </si>
  <si>
    <t>Акрамов Шервон Урфанович</t>
  </si>
  <si>
    <t>Д/В008/121/21-38797</t>
  </si>
  <si>
    <t>2109011</t>
  </si>
  <si>
    <t>Нурадин Арыстан</t>
  </si>
  <si>
    <t>Д/В008/121/21-38904</t>
  </si>
  <si>
    <t>2109023</t>
  </si>
  <si>
    <t>Петухова Анна Александровна</t>
  </si>
  <si>
    <t>Д/В008/121/21-38240</t>
  </si>
  <si>
    <t>2109049</t>
  </si>
  <si>
    <t>Пестерева Юлия Андреевна</t>
  </si>
  <si>
    <t>Д/В008/121/21-37226</t>
  </si>
  <si>
    <t>2109065</t>
  </si>
  <si>
    <t>Иванова Екатерина Юрьевна</t>
  </si>
  <si>
    <t>2109080</t>
  </si>
  <si>
    <t>Тайшибаева Эльвира Андреевна</t>
  </si>
  <si>
    <t>2109111</t>
  </si>
  <si>
    <t>Рахмонов Иззат Илхомович</t>
  </si>
  <si>
    <t>Д/В008/121/21-38643</t>
  </si>
  <si>
    <t>2109127</t>
  </si>
  <si>
    <t>Яруллов Тимур Ирикович</t>
  </si>
  <si>
    <t>Д/В008/121/21-38232</t>
  </si>
  <si>
    <t>2109155</t>
  </si>
  <si>
    <t>Д/В008/121/21-38053</t>
  </si>
  <si>
    <t>2109164</t>
  </si>
  <si>
    <t>Мордвинова Ольга Евгеньевна</t>
  </si>
  <si>
    <t>Д/В008/121/17-22821</t>
  </si>
  <si>
    <t>2109191</t>
  </si>
  <si>
    <t>ММТ-21-3-6_Седых Д.А., Седых В.А.</t>
  </si>
  <si>
    <t>2109194</t>
  </si>
  <si>
    <t>2109210</t>
  </si>
  <si>
    <t>Амирбек Саиджон Мулложон</t>
  </si>
  <si>
    <t>Д/В008/121/21-38225</t>
  </si>
  <si>
    <t>2109234</t>
  </si>
  <si>
    <t>Судомоев Александр Андреевич</t>
  </si>
  <si>
    <t>Д/В008/121/21-37938</t>
  </si>
  <si>
    <t>2109251</t>
  </si>
  <si>
    <t>Зубкова Татьяна Сергеевна</t>
  </si>
  <si>
    <t>2109268</t>
  </si>
  <si>
    <t>Набихонов Хусанхон Зиёдуллахон угли</t>
  </si>
  <si>
    <t>Д/В008/121/21-38948</t>
  </si>
  <si>
    <t>2109281</t>
  </si>
  <si>
    <t>Мгебришвили Елизавета Давидовна</t>
  </si>
  <si>
    <t>2109298</t>
  </si>
  <si>
    <t>Мартынова Вероника Вячеславовна</t>
  </si>
  <si>
    <t>Д/В008/121/21-38141</t>
  </si>
  <si>
    <t>2109317</t>
  </si>
  <si>
    <t>Кочетов Дмитрий Михайлович</t>
  </si>
  <si>
    <t>Д/В008/121/21-38221</t>
  </si>
  <si>
    <t>2109320</t>
  </si>
  <si>
    <t>Мухамадиев Достон Рустамович</t>
  </si>
  <si>
    <t>Д/В008/121/21-39017</t>
  </si>
  <si>
    <t>2109340</t>
  </si>
  <si>
    <t>Хасанов Мансур Курбоналиевич</t>
  </si>
  <si>
    <t>Д/В008/121/21-38657</t>
  </si>
  <si>
    <t>2109364</t>
  </si>
  <si>
    <t>Свистков Александр Иванович</t>
  </si>
  <si>
    <t>Д/В008/121/21-38687</t>
  </si>
  <si>
    <t>2109379</t>
  </si>
  <si>
    <t>Романовский Георгий Юрьевич</t>
  </si>
  <si>
    <t>2109426</t>
  </si>
  <si>
    <t>Баринов Лиджи Леонидович</t>
  </si>
  <si>
    <t>2109444</t>
  </si>
  <si>
    <t>Д/В008/121/21-37773</t>
  </si>
  <si>
    <t>2109453</t>
  </si>
  <si>
    <t>Алиев Фаиг Муса угли</t>
  </si>
  <si>
    <t>Д/В008/121/21-38672</t>
  </si>
  <si>
    <t>2109466</t>
  </si>
  <si>
    <t>Беляева Екатерина</t>
  </si>
  <si>
    <t>Д/В008/121/21-38376</t>
  </si>
  <si>
    <t>2109488</t>
  </si>
  <si>
    <t>Лапшихина Алена Александровна</t>
  </si>
  <si>
    <t>Д/В008/121/21-37781</t>
  </si>
  <si>
    <t>2109494</t>
  </si>
  <si>
    <t>Шарипов Одилбек Ойбек Угли</t>
  </si>
  <si>
    <t>Д/В008/121/21-38510</t>
  </si>
  <si>
    <t>2109497</t>
  </si>
  <si>
    <t>Буниатян Анна Гариковна</t>
  </si>
  <si>
    <t>2109507</t>
  </si>
  <si>
    <t>Д/В008/121/21-38426</t>
  </si>
  <si>
    <t>2109516</t>
  </si>
  <si>
    <t>Архипцева Виолетта Вячеславовна</t>
  </si>
  <si>
    <t>Д/В008/121/21-37976</t>
  </si>
  <si>
    <t>2109526</t>
  </si>
  <si>
    <t>2109527</t>
  </si>
  <si>
    <t>Настасюк Андрей Юрьевич</t>
  </si>
  <si>
    <t>2109537</t>
  </si>
  <si>
    <t>Василенко Софья Сергеевна</t>
  </si>
  <si>
    <t>2109540</t>
  </si>
  <si>
    <t>Корзников Андрей Олегович</t>
  </si>
  <si>
    <t>Д/В008/121/21-38548</t>
  </si>
  <si>
    <t>2109543</t>
  </si>
  <si>
    <t>Бычкова Анастасия Викторовна</t>
  </si>
  <si>
    <t>2109546</t>
  </si>
  <si>
    <t>Матвеев Павел Алексеевич</t>
  </si>
  <si>
    <t>Д/В008/121/21-38783</t>
  </si>
  <si>
    <t>2109551</t>
  </si>
  <si>
    <t>Рябов Константин Андреевич</t>
  </si>
  <si>
    <t>2109555</t>
  </si>
  <si>
    <t>Дианова Анна Сергеевна</t>
  </si>
  <si>
    <t>Д/В008/121/21-38228</t>
  </si>
  <si>
    <t>2109567</t>
  </si>
  <si>
    <t>Чернова Анна Владимировна</t>
  </si>
  <si>
    <t>2109569</t>
  </si>
  <si>
    <t>Д/В008/121/21-38524</t>
  </si>
  <si>
    <t>2109593</t>
  </si>
  <si>
    <t>Усмонов Шерзод Ахрорович</t>
  </si>
  <si>
    <t>Д/В008/121/22-42483</t>
  </si>
  <si>
    <t>2109609</t>
  </si>
  <si>
    <t>Буттаев Сейфула Тагирович</t>
  </si>
  <si>
    <t>Д/В008/121/21-38269</t>
  </si>
  <si>
    <t>2109610</t>
  </si>
  <si>
    <t>МИВТ-21-1-9_Сультимов Р.В.</t>
  </si>
  <si>
    <t>Д/В008/121/21-38693</t>
  </si>
  <si>
    <t>2109616</t>
  </si>
  <si>
    <t>Братов Беслан Муратович</t>
  </si>
  <si>
    <t>Д/В008/121/21-38639</t>
  </si>
  <si>
    <t>2109618</t>
  </si>
  <si>
    <t>Мирошникова Елизавета Андреевна</t>
  </si>
  <si>
    <t>2109673</t>
  </si>
  <si>
    <t>Андреев Владислав Александрович</t>
  </si>
  <si>
    <t>2109693</t>
  </si>
  <si>
    <t>Суркова Горислава Александровна</t>
  </si>
  <si>
    <t>2109703</t>
  </si>
  <si>
    <t>Щербаков Данил Романович</t>
  </si>
  <si>
    <t>Д/В008/121/21-38585</t>
  </si>
  <si>
    <t>2109713</t>
  </si>
  <si>
    <t>Мусофирзода Махмуд Файзулло</t>
  </si>
  <si>
    <t>Д/В008/121/21-38074</t>
  </si>
  <si>
    <t>2109727</t>
  </si>
  <si>
    <t>Анухин Максим Валентинович</t>
  </si>
  <si>
    <t>Д/В008/121/21-37508</t>
  </si>
  <si>
    <t>2109748</t>
  </si>
  <si>
    <t>Калашник Федор Александрович</t>
  </si>
  <si>
    <t>Д/В008/121/17-24041</t>
  </si>
  <si>
    <t>2109773</t>
  </si>
  <si>
    <t>Раздобарин Борис Алексеевич</t>
  </si>
  <si>
    <t>Д/В008/121/21-38571</t>
  </si>
  <si>
    <t>2109775</t>
  </si>
  <si>
    <t>Рахимов Жавохир Абдугаффор Угли</t>
  </si>
  <si>
    <t>Д/В008/121/22-39464</t>
  </si>
  <si>
    <t>2109809</t>
  </si>
  <si>
    <t>Гейхман Софья Львовна</t>
  </si>
  <si>
    <t>2109842</t>
  </si>
  <si>
    <t>Иванова Алина Павловна</t>
  </si>
  <si>
    <t>Д/В008/121/21-38586</t>
  </si>
  <si>
    <t>2109859</t>
  </si>
  <si>
    <t>Виноградова Алина Валерьевна</t>
  </si>
  <si>
    <t>Д/В008/121/21-37344</t>
  </si>
  <si>
    <t>2109884</t>
  </si>
  <si>
    <t>Короблёва Маргарита Витальевна</t>
  </si>
  <si>
    <t>2109889</t>
  </si>
  <si>
    <t>Абдурахмонов Отабек Усмон Угли</t>
  </si>
  <si>
    <t>Д/В008/121/21-37546</t>
  </si>
  <si>
    <t>2109910</t>
  </si>
  <si>
    <t>Талеев Александр Дмитриевич</t>
  </si>
  <si>
    <t>2109924</t>
  </si>
  <si>
    <t>Сокур Олег Васильевич</t>
  </si>
  <si>
    <t>2109944</t>
  </si>
  <si>
    <t>Гафуров Азизжон Камолиддинович</t>
  </si>
  <si>
    <t>Д/В008/121/21-38638</t>
  </si>
  <si>
    <t>2109954</t>
  </si>
  <si>
    <t>Д/В008/121/21-37751</t>
  </si>
  <si>
    <t>2109969</t>
  </si>
  <si>
    <t>Курбонов Акмал Вахобжонович</t>
  </si>
  <si>
    <t>Д/В008/121/21-37907</t>
  </si>
  <si>
    <t>2109982</t>
  </si>
  <si>
    <t>Шамситдинов Рахматулло Ахмадович</t>
  </si>
  <si>
    <t>Д/В008/121/21-37911</t>
  </si>
  <si>
    <t>2109985</t>
  </si>
  <si>
    <t>Хакимов Сардор Собирович</t>
  </si>
  <si>
    <t>2109992</t>
  </si>
  <si>
    <t>Юсупова Камиля</t>
  </si>
  <si>
    <t>Д/В008/121/22-42467</t>
  </si>
  <si>
    <t>2109994</t>
  </si>
  <si>
    <t>Ализода Фируз Джиёнхон</t>
  </si>
  <si>
    <t>Д/В008/121/21-37524</t>
  </si>
  <si>
    <t>2110074</t>
  </si>
  <si>
    <t>Гутоб Абделрахман Тариг Мустафа Мохамед</t>
  </si>
  <si>
    <t>Д/В008/121/21-38371</t>
  </si>
  <si>
    <t>2110122</t>
  </si>
  <si>
    <t>Би Цзячэнь</t>
  </si>
  <si>
    <t>Д/В008/121/21-39210</t>
  </si>
  <si>
    <t>2110322</t>
  </si>
  <si>
    <t>Елизаров Александр Тимурович</t>
  </si>
  <si>
    <t>2110369</t>
  </si>
  <si>
    <t>Симонов Михаил Романович</t>
  </si>
  <si>
    <t>2110700</t>
  </si>
  <si>
    <t>Верберг Виктория</t>
  </si>
  <si>
    <t>Израиль</t>
  </si>
  <si>
    <t>2110768</t>
  </si>
  <si>
    <t>Вагин Роман Олегович</t>
  </si>
  <si>
    <t>2110893</t>
  </si>
  <si>
    <t>Антонян Анна Алексеевна</t>
  </si>
  <si>
    <t>2111056</t>
  </si>
  <si>
    <t>Кордзадзе Анатолий Георгиевич</t>
  </si>
  <si>
    <t>2111779</t>
  </si>
  <si>
    <t>Пердомо Сеспедес Лено</t>
  </si>
  <si>
    <t>Д/В008/121/21-38475</t>
  </si>
  <si>
    <t>2111781</t>
  </si>
  <si>
    <t>Аревало Мартинес Виктор Мануэль</t>
  </si>
  <si>
    <t>Д/В008/121/21-38474</t>
  </si>
  <si>
    <t>2111792</t>
  </si>
  <si>
    <t>ММТМ-21-11-14А</t>
  </si>
  <si>
    <t>Д/В008/121/21-38843</t>
  </si>
  <si>
    <t>2111796</t>
  </si>
  <si>
    <t>Риверо Вильямарсо Майкель</t>
  </si>
  <si>
    <t>Д/В008/121/21-38480</t>
  </si>
  <si>
    <t>2111797</t>
  </si>
  <si>
    <t>Д/В008/121/21-38408</t>
  </si>
  <si>
    <t>2111954</t>
  </si>
  <si>
    <t>Катюшин Илья Владимирович</t>
  </si>
  <si>
    <t>2112217</t>
  </si>
  <si>
    <t>Арус Дима</t>
  </si>
  <si>
    <t>Д/В008/121/21-38333</t>
  </si>
  <si>
    <t>2112221</t>
  </si>
  <si>
    <t>Д/В008/121/21-38526</t>
  </si>
  <si>
    <t>2112223</t>
  </si>
  <si>
    <t>Мигел Туссевана Давид</t>
  </si>
  <si>
    <t>МИВТ-21-6-12А</t>
  </si>
  <si>
    <t>Д/В008/121/21-38569</t>
  </si>
  <si>
    <t>2112226</t>
  </si>
  <si>
    <t>Эштевеш Эмерсон Теодору Перейра</t>
  </si>
  <si>
    <t>Д/В008/121/21-38435</t>
  </si>
  <si>
    <t>2112227</t>
  </si>
  <si>
    <t>Д/В008/121/21-37649</t>
  </si>
  <si>
    <t>2112269</t>
  </si>
  <si>
    <t>Д/В008/121/21-37468</t>
  </si>
  <si>
    <t>2112272</t>
  </si>
  <si>
    <t>Альхассан Гуминет</t>
  </si>
  <si>
    <t>Д/В008/121/21-39203</t>
  </si>
  <si>
    <t>2112352</t>
  </si>
  <si>
    <t>Нгуен Тхи Йен</t>
  </si>
  <si>
    <t>Д/В008/121/21-38584</t>
  </si>
  <si>
    <t>2112412</t>
  </si>
  <si>
    <t>Новоселов Алексей Алексеевич</t>
  </si>
  <si>
    <t>2112417</t>
  </si>
  <si>
    <t>Мадриз Рито Вильмер Антонио</t>
  </si>
  <si>
    <t>МНТМ-21-2-2А</t>
  </si>
  <si>
    <t>Венесуэла Боливарианская Республика</t>
  </si>
  <si>
    <t>Д/В008/121/21-39282</t>
  </si>
  <si>
    <t>2112420</t>
  </si>
  <si>
    <t>Разумов Сергей Игоревич</t>
  </si>
  <si>
    <t>2112474</t>
  </si>
  <si>
    <t>Аль Хабиб Кенан</t>
  </si>
  <si>
    <t>Д/В008/121/21-39232</t>
  </si>
  <si>
    <t>2112478</t>
  </si>
  <si>
    <t>Мин Туяйн Хлайн</t>
  </si>
  <si>
    <t>Мьянма</t>
  </si>
  <si>
    <t>Д/В008/121/22-39404</t>
  </si>
  <si>
    <t>2112484</t>
  </si>
  <si>
    <t>Ньи Зин Тейн</t>
  </si>
  <si>
    <t>Д/В008/121/21-39385</t>
  </si>
  <si>
    <t>2112485</t>
  </si>
  <si>
    <t>Тхьо Зин Хтей</t>
  </si>
  <si>
    <t>Д/В008/121/22-39403</t>
  </si>
  <si>
    <t>2112486</t>
  </si>
  <si>
    <t>Эй Мин Хтей</t>
  </si>
  <si>
    <t>Д/В008/121/21-39384</t>
  </si>
  <si>
    <t>2112494</t>
  </si>
  <si>
    <t>Мниси Луис Кристиан</t>
  </si>
  <si>
    <t>Южная Африка</t>
  </si>
  <si>
    <t>Д/В008/121/21-38865</t>
  </si>
  <si>
    <t>2112498</t>
  </si>
  <si>
    <t>Аристисабаль Харамильо Дани Даниэль</t>
  </si>
  <si>
    <t>МИВТ-21-7-8А</t>
  </si>
  <si>
    <t>Д/В008/121/21-38301</t>
  </si>
  <si>
    <t>2112500</t>
  </si>
  <si>
    <t>Со Ту Хтун</t>
  </si>
  <si>
    <t>Д/В008/121/21-39398</t>
  </si>
  <si>
    <t>2112501</t>
  </si>
  <si>
    <t>Джаббар Эстабрак Абдулзахра Джаббар</t>
  </si>
  <si>
    <t>Д/В008/121/22-42781</t>
  </si>
  <si>
    <t>2112513</t>
  </si>
  <si>
    <t>Конте Сахид Альфа</t>
  </si>
  <si>
    <t>Сьерра-Леоне</t>
  </si>
  <si>
    <t>Д/В008/121/21-39281</t>
  </si>
  <si>
    <t>2112521</t>
  </si>
  <si>
    <t>Харисов Вильдан Анастасович</t>
  </si>
  <si>
    <t>2112547</t>
  </si>
  <si>
    <t>Алхаснави Мустафа Хади Абед</t>
  </si>
  <si>
    <t>Д/В008/121/22-42782</t>
  </si>
  <si>
    <t>2112553</t>
  </si>
  <si>
    <t>Шахид Мохаммед Закария</t>
  </si>
  <si>
    <t>Д/В008/121/21-38785</t>
  </si>
  <si>
    <t>2112593</t>
  </si>
  <si>
    <t>Д/В008/121/21-39308</t>
  </si>
  <si>
    <t>2112647</t>
  </si>
  <si>
    <t>Д/В008/121/21-38491</t>
  </si>
  <si>
    <t>2112648</t>
  </si>
  <si>
    <t>Д/В008/121/21-38790</t>
  </si>
  <si>
    <t>2112661</t>
  </si>
  <si>
    <t>Мутури Лореан Нкироте</t>
  </si>
  <si>
    <t>Д/В008/121/21-37762</t>
  </si>
  <si>
    <t>2112670</t>
  </si>
  <si>
    <t>Д/В008/121/21-38562</t>
  </si>
  <si>
    <t>2112678</t>
  </si>
  <si>
    <t>Тсала Эдонго Борис Протаис</t>
  </si>
  <si>
    <t>Камерун</t>
  </si>
  <si>
    <t>Д/В008/121/22-42447</t>
  </si>
  <si>
    <t>2112681</t>
  </si>
  <si>
    <t>Динь Тхи Куиен</t>
  </si>
  <si>
    <t>Д/В008/121/21-39195</t>
  </si>
  <si>
    <t>2112682</t>
  </si>
  <si>
    <t>Танди Таураи Десмонд</t>
  </si>
  <si>
    <t>Д/В008/121/21-38612</t>
  </si>
  <si>
    <t>2112683</t>
  </si>
  <si>
    <t>Д/В008/121/22-42982</t>
  </si>
  <si>
    <t>2112684</t>
  </si>
  <si>
    <t>До Тхи Нгок Фыонг</t>
  </si>
  <si>
    <t>Д/В008/121/21-39197</t>
  </si>
  <si>
    <t>2112685</t>
  </si>
  <si>
    <t>Аббас Фатима</t>
  </si>
  <si>
    <t>Д/В008/121/22-42627</t>
  </si>
  <si>
    <t>2112696</t>
  </si>
  <si>
    <t>Д/В008/121/21-39191</t>
  </si>
  <si>
    <t>2112713</t>
  </si>
  <si>
    <t>Катунин Александр Александрович</t>
  </si>
  <si>
    <t>2112715</t>
  </si>
  <si>
    <t>Мааодах Али Мохаммед Ахмед</t>
  </si>
  <si>
    <t>Д/В008/121/22-39941</t>
  </si>
  <si>
    <t>2112716</t>
  </si>
  <si>
    <t>Косяченко Илья</t>
  </si>
  <si>
    <t>Д/В008/121/21-39111</t>
  </si>
  <si>
    <t>2112718</t>
  </si>
  <si>
    <t>Золотухина Ксения Александровна</t>
  </si>
  <si>
    <t>Д/В008/121/21-38998</t>
  </si>
  <si>
    <t>2112724</t>
  </si>
  <si>
    <t>Чуквума Эммануел Угочукву</t>
  </si>
  <si>
    <t>Д/В008/121/22-39399</t>
  </si>
  <si>
    <t>2112725</t>
  </si>
  <si>
    <t>Слюсаренко Кристина Алексеевна</t>
  </si>
  <si>
    <t>2112732</t>
  </si>
  <si>
    <t>2112784</t>
  </si>
  <si>
    <t>Д/В008/121/21-39013</t>
  </si>
  <si>
    <t>2112785</t>
  </si>
  <si>
    <t>Угочукву Осонду Альфонсус</t>
  </si>
  <si>
    <t>Д/В008/121/21-39208</t>
  </si>
  <si>
    <t>2112794</t>
  </si>
  <si>
    <t>Гаджиева Мадина Ахмедовна</t>
  </si>
  <si>
    <t>2112797</t>
  </si>
  <si>
    <t>Гасанова Эля Рашидовна</t>
  </si>
  <si>
    <t>2112798</t>
  </si>
  <si>
    <t>Д/В008/121/21-39274</t>
  </si>
  <si>
    <t>2112799</t>
  </si>
  <si>
    <t>Д/В008/121/21-39333</t>
  </si>
  <si>
    <t>2112804</t>
  </si>
  <si>
    <t>Яровой Вадим Викторович</t>
  </si>
  <si>
    <t>Д/В008/121/22-40727</t>
  </si>
  <si>
    <t>2112805</t>
  </si>
  <si>
    <t>Кабаира Мауд Рурамисаи</t>
  </si>
  <si>
    <t>Д/В008/121/22-39829</t>
  </si>
  <si>
    <t>2112826</t>
  </si>
  <si>
    <t>Холикова Гулафзо Сохибовна</t>
  </si>
  <si>
    <t>Д/В008/121/21-39075</t>
  </si>
  <si>
    <t>2112830</t>
  </si>
  <si>
    <t>Чукарев Алексей Федорович</t>
  </si>
  <si>
    <t>2112863</t>
  </si>
  <si>
    <t>Поздняков Алексей Владимирович</t>
  </si>
  <si>
    <t>2112864</t>
  </si>
  <si>
    <t>Зябликова Анастасия Владиславовна</t>
  </si>
  <si>
    <t>2112876</t>
  </si>
  <si>
    <t>Симба Анселму Бенвинду</t>
  </si>
  <si>
    <t>Д/В008/121/21-39363</t>
  </si>
  <si>
    <t>2112877</t>
  </si>
  <si>
    <t>Матьява Лордвин</t>
  </si>
  <si>
    <t>2112903</t>
  </si>
  <si>
    <t>Виейра Граса Энда</t>
  </si>
  <si>
    <t>Д/В008/121/21-38630</t>
  </si>
  <si>
    <t>2200353</t>
  </si>
  <si>
    <t>Аль-Табакджали Луэй Саади Хасан</t>
  </si>
  <si>
    <t>Д/В008/121/22-42899</t>
  </si>
  <si>
    <t>2213649</t>
  </si>
  <si>
    <t>Аталлах Фернандес Кайо Сезар</t>
  </si>
  <si>
    <t>Бразилия</t>
  </si>
  <si>
    <t>Д/В008/121/22-42815</t>
  </si>
  <si>
    <t>Общежитие</t>
  </si>
  <si>
    <t>Адрес</t>
  </si>
  <si>
    <t>#ERROR!</t>
  </si>
  <si>
    <t>#REF!</t>
  </si>
  <si>
    <t>забыла указать</t>
  </si>
  <si>
    <t>к мужу</t>
  </si>
  <si>
    <t>отсутствует место постоянной регистрации</t>
  </si>
  <si>
    <t>Под.отделение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</si>
</sst>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0&quot;.&quot;"/>
  </numFmts>
  <fonts count="13">
    <font>
      <sz val="10"/>
      <color rgb="FF000000"/>
      <name val="Arial"/>
      <scheme val="minor"/>
    </font>
    <font>
      <b/>
      <sz val="9"/>
      <color theme="1"/>
      <name val="Calibri"/>
    </font>
    <font>
      <sz val="10"/>
      <name val="Arial"/>
    </font>
    <font>
      <sz val="10"/>
      <color theme="1"/>
      <name val="Arial"/>
      <scheme val="minor"/>
    </font>
    <font>
      <sz val="9"/>
      <color theme="1"/>
      <name val="Calibri"/>
    </font>
    <font>
      <b/>
      <sz val="9"/>
      <color rgb="FF000000"/>
      <name val="Calibri"/>
    </font>
    <font>
      <sz val="8"/>
      <color rgb="FF000000"/>
      <name val="Calibri"/>
    </font>
    <font>
      <sz val="9"/>
      <color rgb="FF000000"/>
      <name val="Calibri"/>
    </font>
    <font>
      <b/>
      <sz val="14"/>
      <color theme="1"/>
      <name val="Calibri"/>
    </font>
    <font>
      <sz val="14"/>
      <color theme="1"/>
      <name val="Calibri"/>
    </font>
    <font>
      <b/>
      <sz val="11"/>
      <color theme="1"/>
      <name val="&quot;Times New Roman&quot;"/>
    </font>
    <font>
      <sz val="11"/>
      <color theme="1"/>
      <name val="&quot;Times New Roman&quot;"/>
    </font>
    <font>
      <sz val="9"/>
      <color rgb="FF1F1F1F"/>
      <name val="Arial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D9EAD3"/>
        <bgColor rgb="FFD9EAD3"/>
      </patternFill>
    </fill>
    <fill>
      <patternFill patternType="solid">
        <fgColor rgb="FFDAE2FA"/>
        <bgColor rgb="FFDAE2FA"/>
      </patternFill>
    </fill>
    <fill>
      <patternFill patternType="solid">
        <fgColor rgb="FF91ABF0"/>
        <bgColor rgb="FF91ABF0"/>
      </patternFill>
    </fill>
    <fill>
      <patternFill patternType="solid">
        <fgColor rgb="FFB4C6F5"/>
        <bgColor rgb="FFB4C6F5"/>
      </patternFill>
    </fill>
    <fill>
      <patternFill patternType="solid">
        <fgColor rgb="FFE7E1F9"/>
        <bgColor rgb="FFE7E1F9"/>
      </patternFill>
    </fill>
    <fill>
      <patternFill patternType="solid">
        <fgColor rgb="FFB8A9ED"/>
        <bgColor rgb="FFB8A9ED"/>
      </patternFill>
    </fill>
    <fill>
      <patternFill patternType="solid">
        <fgColor rgb="FFCFC6F2"/>
        <bgColor rgb="FFCFC6F2"/>
      </patternFill>
    </fill>
    <fill>
      <patternFill patternType="solid">
        <fgColor rgb="FFEE80BC"/>
        <bgColor rgb="FFEE80BC"/>
      </patternFill>
    </fill>
    <fill>
      <patternFill patternType="solid">
        <fgColor rgb="FFF3ABD2"/>
        <bgColor rgb="FFF3ABD2"/>
      </patternFill>
    </fill>
    <fill>
      <patternFill patternType="solid">
        <fgColor rgb="FFFAD3E9"/>
        <bgColor rgb="FFFAD3E9"/>
      </patternFill>
    </fill>
    <fill>
      <patternFill patternType="solid">
        <fgColor rgb="FFF7D9E1"/>
        <bgColor rgb="FFF7D9E1"/>
      </patternFill>
    </fill>
    <fill>
      <patternFill patternType="solid">
        <fgColor rgb="FFEEB5C6"/>
        <bgColor rgb="FFEEB5C6"/>
      </patternFill>
    </fill>
    <fill>
      <patternFill patternType="solid">
        <fgColor rgb="FFFFFFFF"/>
        <bgColor rgb="FFFFFFFF"/>
      </patternFill>
    </fill>
    <fill>
      <patternFill patternType="solid">
        <fgColor rgb="FF6FA8DC"/>
        <bgColor rgb="FF6FA8DC"/>
      </patternFill>
    </fill>
    <fill>
      <patternFill patternType="solid">
        <fgColor rgb="FF9FC5E8"/>
        <bgColor rgb="FF9FC5E8"/>
      </patternFill>
    </fill>
    <fill>
      <patternFill patternType="solid">
        <fgColor rgb="FFF5DEB3"/>
        <bgColor rgb="FFF5DEB3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1" fillId="6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1" fontId="4" fillId="7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wrapText="1"/>
    </xf>
    <xf numFmtId="1" fontId="4" fillId="0" borderId="1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 wrapText="1"/>
    </xf>
    <xf numFmtId="1" fontId="4" fillId="0" borderId="1" xfId="0" applyNumberFormat="1" applyFont="1" applyBorder="1"/>
    <xf numFmtId="0" fontId="4" fillId="0" borderId="1" xfId="0" applyFont="1" applyBorder="1"/>
    <xf numFmtId="1" fontId="4" fillId="0" borderId="0" xfId="0" applyNumberFormat="1" applyFon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6" fillId="0" borderId="0" xfId="0" applyFont="1" applyAlignment="1">
      <alignment wrapText="1"/>
    </xf>
    <xf numFmtId="0" fontId="5" fillId="9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wrapText="1"/>
    </xf>
    <xf numFmtId="0" fontId="5" fillId="10" borderId="1" xfId="0" applyFont="1" applyFill="1" applyBorder="1" applyAlignment="1">
      <alignment horizontal="center" wrapText="1"/>
    </xf>
    <xf numFmtId="0" fontId="5" fillId="8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center" wrapText="1"/>
    </xf>
    <xf numFmtId="0" fontId="5" fillId="8" borderId="1" xfId="0" applyFont="1" applyFill="1" applyBorder="1" applyAlignment="1">
      <alignment horizontal="center" wrapText="1"/>
    </xf>
    <xf numFmtId="0" fontId="5" fillId="8" borderId="5" xfId="0" applyFont="1" applyFill="1" applyBorder="1" applyAlignment="1">
      <alignment horizontal="left" wrapText="1"/>
    </xf>
    <xf numFmtId="0" fontId="5" fillId="10" borderId="1" xfId="0" applyFont="1" applyFill="1" applyBorder="1" applyAlignment="1">
      <alignment horizontal="left" wrapText="1"/>
    </xf>
    <xf numFmtId="0" fontId="5" fillId="10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left" wrapText="1"/>
    </xf>
    <xf numFmtId="0" fontId="5" fillId="12" borderId="1" xfId="0" applyFont="1" applyFill="1" applyBorder="1" applyAlignment="1">
      <alignment horizontal="center" wrapText="1"/>
    </xf>
    <xf numFmtId="0" fontId="5" fillId="13" borderId="1" xfId="0" applyFont="1" applyFill="1" applyBorder="1" applyAlignment="1">
      <alignment horizontal="left" wrapText="1"/>
    </xf>
    <xf numFmtId="0" fontId="5" fillId="13" borderId="1" xfId="0" applyFont="1" applyFill="1" applyBorder="1" applyAlignment="1">
      <alignment horizontal="center" wrapText="1"/>
    </xf>
    <xf numFmtId="0" fontId="5" fillId="11" borderId="1" xfId="0" applyFont="1" applyFill="1" applyBorder="1" applyAlignment="1">
      <alignment horizontal="left" wrapText="1"/>
    </xf>
    <xf numFmtId="0" fontId="5" fillId="11" borderId="1" xfId="0" applyFont="1" applyFill="1" applyBorder="1" applyAlignment="1">
      <alignment horizontal="center" wrapText="1"/>
    </xf>
    <xf numFmtId="0" fontId="5" fillId="11" borderId="5" xfId="0" applyFont="1" applyFill="1" applyBorder="1" applyAlignment="1">
      <alignment horizontal="left" wrapText="1"/>
    </xf>
    <xf numFmtId="0" fontId="5" fillId="11" borderId="0" xfId="0" applyFont="1" applyFill="1" applyAlignment="1">
      <alignment horizontal="left" wrapText="1"/>
    </xf>
    <xf numFmtId="0" fontId="5" fillId="14" borderId="1" xfId="0" applyFont="1" applyFill="1" applyBorder="1" applyAlignment="1">
      <alignment horizontal="left" wrapText="1"/>
    </xf>
    <xf numFmtId="0" fontId="5" fillId="14" borderId="2" xfId="0" applyFont="1" applyFill="1" applyBorder="1" applyAlignment="1">
      <alignment horizontal="center" wrapText="1"/>
    </xf>
    <xf numFmtId="0" fontId="5" fillId="14" borderId="3" xfId="0" applyFont="1" applyFill="1" applyBorder="1" applyAlignment="1">
      <alignment horizontal="center" wrapText="1"/>
    </xf>
    <xf numFmtId="0" fontId="5" fillId="14" borderId="1" xfId="0" applyFont="1" applyFill="1" applyBorder="1" applyAlignment="1">
      <alignment horizontal="center" wrapText="1"/>
    </xf>
    <xf numFmtId="0" fontId="5" fillId="14" borderId="4" xfId="0" applyFont="1" applyFill="1" applyBorder="1" applyAlignment="1">
      <alignment horizontal="center" wrapText="1"/>
    </xf>
    <xf numFmtId="0" fontId="5" fillId="15" borderId="1" xfId="0" applyFont="1" applyFill="1" applyBorder="1" applyAlignment="1">
      <alignment horizontal="left" wrapText="1"/>
    </xf>
    <xf numFmtId="0" fontId="5" fillId="15" borderId="1" xfId="0" applyFont="1" applyFill="1" applyBorder="1" applyAlignment="1">
      <alignment horizontal="center" wrapText="1"/>
    </xf>
    <xf numFmtId="0" fontId="5" fillId="15" borderId="6" xfId="0" applyFont="1" applyFill="1" applyBorder="1" applyAlignment="1">
      <alignment horizontal="center" wrapText="1"/>
    </xf>
    <xf numFmtId="0" fontId="5" fillId="16" borderId="1" xfId="0" applyFont="1" applyFill="1" applyBorder="1" applyAlignment="1">
      <alignment horizontal="left" wrapText="1"/>
    </xf>
    <xf numFmtId="0" fontId="5" fillId="16" borderId="1" xfId="0" applyFont="1" applyFill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5" fillId="16" borderId="5" xfId="0" applyFont="1" applyFill="1" applyBorder="1" applyAlignment="1">
      <alignment horizontal="left" wrapText="1"/>
    </xf>
    <xf numFmtId="0" fontId="7" fillId="0" borderId="7" xfId="0" applyFont="1" applyBorder="1" applyAlignment="1">
      <alignment horizontal="center" wrapText="1"/>
    </xf>
    <xf numFmtId="0" fontId="5" fillId="15" borderId="1" xfId="0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  <xf numFmtId="0" fontId="5" fillId="18" borderId="5" xfId="0" applyFont="1" applyFill="1" applyBorder="1" applyAlignment="1">
      <alignment horizontal="center" wrapText="1"/>
    </xf>
    <xf numFmtId="0" fontId="5" fillId="18" borderId="6" xfId="0" applyFont="1" applyFill="1" applyBorder="1" applyAlignment="1">
      <alignment horizontal="center" wrapText="1"/>
    </xf>
    <xf numFmtId="0" fontId="7" fillId="18" borderId="5" xfId="0" applyFont="1" applyFill="1" applyBorder="1" applyAlignment="1">
      <alignment horizontal="center" wrapText="1"/>
    </xf>
    <xf numFmtId="0" fontId="7" fillId="18" borderId="6" xfId="0" applyFont="1" applyFill="1" applyBorder="1" applyAlignment="1">
      <alignment horizontal="center" wrapText="1"/>
    </xf>
    <xf numFmtId="0" fontId="5" fillId="17" borderId="5" xfId="0" applyFont="1" applyFill="1" applyBorder="1" applyAlignment="1">
      <alignment horizontal="center" wrapText="1"/>
    </xf>
    <xf numFmtId="0" fontId="6" fillId="0" borderId="0" xfId="0" applyFont="1"/>
    <xf numFmtId="0" fontId="7" fillId="19" borderId="0" xfId="0" applyFont="1" applyFill="1" applyAlignment="1">
      <alignment horizontal="left"/>
    </xf>
    <xf numFmtId="0" fontId="8" fillId="14" borderId="9" xfId="0" applyFont="1" applyFill="1" applyBorder="1" applyAlignment="1">
      <alignment horizontal="center" vertical="center"/>
    </xf>
    <xf numFmtId="0" fontId="8" fillId="16" borderId="12" xfId="0" applyFont="1" applyFill="1" applyBorder="1" applyAlignment="1">
      <alignment horizontal="center" vertical="center"/>
    </xf>
    <xf numFmtId="0" fontId="8" fillId="21" borderId="12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8" fillId="21" borderId="13" xfId="0" applyFont="1" applyFill="1" applyBorder="1" applyAlignment="1">
      <alignment horizontal="center" vertical="center"/>
    </xf>
    <xf numFmtId="0" fontId="8" fillId="20" borderId="12" xfId="0" applyFont="1" applyFill="1" applyBorder="1" applyAlignment="1">
      <alignment horizontal="center" vertical="center"/>
    </xf>
    <xf numFmtId="0" fontId="10" fillId="22" borderId="12" xfId="0" applyFont="1" applyFill="1" applyBorder="1" applyAlignment="1">
      <alignment wrapText="1"/>
    </xf>
    <xf numFmtId="0" fontId="10" fillId="22" borderId="10" xfId="0" applyFont="1" applyFill="1" applyBorder="1" applyAlignment="1">
      <alignment vertical="top" wrapText="1"/>
    </xf>
    <xf numFmtId="165" fontId="11" fillId="0" borderId="14" xfId="0" applyNumberFormat="1" applyFont="1" applyBorder="1" applyAlignment="1">
      <alignment horizontal="right" wrapText="1"/>
    </xf>
    <xf numFmtId="0" fontId="11" fillId="0" borderId="15" xfId="0" applyFont="1" applyBorder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3" fillId="0" borderId="0" xfId="0" applyNumberFormat="1" applyFont="1"/>
    <xf numFmtId="0" fontId="12" fillId="0" borderId="0" xfId="0" applyFont="1"/>
    <xf numFmtId="0" fontId="5" fillId="8" borderId="2" xfId="0" applyFont="1" applyFill="1" applyBorder="1" applyAlignment="1">
      <alignment horizontal="center" wrapText="1"/>
    </xf>
    <xf numFmtId="0" fontId="2" fillId="0" borderId="3" xfId="0" applyFont="1" applyBorder="1"/>
    <xf numFmtId="0" fontId="5" fillId="11" borderId="2" xfId="0" applyFont="1" applyFill="1" applyBorder="1" applyAlignment="1">
      <alignment horizontal="center" wrapText="1"/>
    </xf>
    <xf numFmtId="0" fontId="5" fillId="17" borderId="2" xfId="0" applyFont="1" applyFill="1" applyBorder="1" applyAlignment="1">
      <alignment horizontal="center" wrapText="1"/>
    </xf>
    <xf numFmtId="0" fontId="2" fillId="0" borderId="4" xfId="0" applyFont="1" applyBorder="1"/>
    <xf numFmtId="0" fontId="3" fillId="0" borderId="0" xfId="0" applyFont="1" applyAlignment="1">
      <alignment wrapText="1"/>
    </xf>
    <xf numFmtId="0" fontId="0" fillId="0" borderId="0" xfId="0"/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8" fillId="21" borderId="9" xfId="0" applyFont="1" applyFill="1" applyBorder="1" applyAlignment="1">
      <alignment horizontal="center" vertical="center"/>
    </xf>
    <xf numFmtId="0" fontId="2" fillId="0" borderId="10" xfId="0" applyFont="1" applyBorder="1"/>
    <xf numFmtId="0" fontId="8" fillId="20" borderId="8" xfId="0" applyFont="1" applyFill="1" applyBorder="1" applyAlignment="1">
      <alignment horizontal="center" vertical="center"/>
    </xf>
    <xf numFmtId="0" fontId="2" fillId="0" borderId="11" xfId="0" applyFont="1" applyBorder="1"/>
    <xf numFmtId="0" fontId="8" fillId="20" borderId="9" xfId="0" applyFont="1" applyFill="1" applyBorder="1" applyAlignment="1">
      <alignment horizontal="center" vertical="center"/>
    </xf>
  </cellXfs>
  <cellStyles count="1">
    <cellStyle name="Обычный" xfId="0" builtinId="0"/>
  </cellStyles>
  <dxfs count="2">
    <dxf>
      <font>
        <color rgb="FF660000"/>
      </font>
      <fill>
        <patternFill patternType="solid">
          <fgColor rgb="FFEA9999"/>
          <bgColor rgb="FFEA9999"/>
        </patternFill>
      </fill>
    </dxf>
    <dxf>
      <font>
        <color rgb="FF990000"/>
      </font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B6D7A8"/>
    <outlinePr summaryBelow="0" summaryRight="0"/>
  </sheetPr>
  <dimension ref="A1:AA2712"/>
  <sheetViews>
    <sheetView tabSelected="1" workbookViewId="0">
      <pane xSplit="2" ySplit="1" topLeftCell="C30" activePane="bottomRight" state="frozen"/>
      <selection pane="topRight" activeCell="C1" sqref="C1"/>
      <selection pane="bottomLeft" activeCell="A3" sqref="A3"/>
      <selection pane="bottomRight" activeCell="F2717" sqref="F2717"/>
    </sheetView>
  </sheetViews>
  <sheetFormatPr defaultColWidth="12.5546875" defaultRowHeight="15.75" customHeight="1"/>
  <cols>
    <col min="1" max="1" width="12.44140625" customWidth="1"/>
    <col min="2" max="2" width="28.44140625" customWidth="1"/>
    <col min="3" max="3" width="12.5546875" customWidth="1"/>
    <col min="4" max="4" width="12" customWidth="1"/>
    <col min="5" max="5" width="14.88671875" customWidth="1"/>
    <col min="6" max="6" width="15.44140625" customWidth="1"/>
    <col min="7" max="7" width="9.5546875" customWidth="1"/>
    <col min="8" max="8" width="14.6640625" customWidth="1"/>
    <col min="9" max="9" width="13.109375" customWidth="1"/>
    <col min="10" max="10" width="18.6640625" customWidth="1"/>
    <col min="11" max="11" width="14.44140625" customWidth="1"/>
    <col min="12" max="12" width="13.88671875" customWidth="1"/>
    <col min="13" max="13" width="12.88671875" customWidth="1"/>
    <col min="14" max="14" width="10" customWidth="1"/>
    <col min="15" max="15" width="8.6640625" customWidth="1"/>
    <col min="16" max="17" width="30.109375" customWidth="1"/>
    <col min="19" max="19" width="15.33203125" customWidth="1"/>
    <col min="20" max="20" width="23.44140625" customWidth="1"/>
    <col min="21" max="21" width="15.33203125" customWidth="1"/>
    <col min="23" max="23" width="14.6640625" customWidth="1"/>
    <col min="24" max="24" width="16" customWidth="1"/>
    <col min="25" max="26" width="29.33203125" customWidth="1"/>
  </cols>
  <sheetData>
    <row r="1" spans="1:27" ht="48">
      <c r="A1" s="6" t="s">
        <v>10</v>
      </c>
      <c r="B1" s="7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16</v>
      </c>
      <c r="H1" s="7" t="s">
        <v>17</v>
      </c>
      <c r="I1" s="7" t="s">
        <v>18</v>
      </c>
      <c r="J1" s="7" t="s">
        <v>19</v>
      </c>
      <c r="K1" s="7" t="s">
        <v>20</v>
      </c>
      <c r="L1" s="7" t="s">
        <v>21</v>
      </c>
      <c r="M1" s="7" t="s">
        <v>22</v>
      </c>
      <c r="N1" s="7" t="s">
        <v>23</v>
      </c>
      <c r="O1" s="7" t="s">
        <v>24</v>
      </c>
      <c r="P1" s="3" t="s">
        <v>25</v>
      </c>
      <c r="Q1" s="3" t="s">
        <v>26</v>
      </c>
      <c r="R1" s="3" t="s">
        <v>27</v>
      </c>
      <c r="S1" s="3" t="s">
        <v>28</v>
      </c>
      <c r="T1" s="3" t="s">
        <v>29</v>
      </c>
      <c r="U1" s="3" t="s">
        <v>30</v>
      </c>
      <c r="V1" s="4" t="s">
        <v>31</v>
      </c>
      <c r="W1" s="3" t="s">
        <v>32</v>
      </c>
      <c r="X1" s="1" t="s">
        <v>33</v>
      </c>
      <c r="Y1" s="3" t="s">
        <v>34</v>
      </c>
      <c r="Z1" s="1" t="s">
        <v>35</v>
      </c>
      <c r="AA1" s="5"/>
    </row>
    <row r="2" spans="1:27" ht="32.25" hidden="1" customHeight="1">
      <c r="A2" s="8">
        <v>2311813</v>
      </c>
      <c r="B2" s="9" t="s">
        <v>39</v>
      </c>
      <c r="C2" s="10">
        <v>45136</v>
      </c>
      <c r="D2" s="9" t="s">
        <v>40</v>
      </c>
      <c r="E2" s="9" t="s">
        <v>41</v>
      </c>
      <c r="F2" s="9" t="s">
        <v>42</v>
      </c>
      <c r="G2" s="9" t="s">
        <v>43</v>
      </c>
      <c r="H2" s="9" t="s">
        <v>44</v>
      </c>
      <c r="I2" s="11" t="s">
        <v>45</v>
      </c>
      <c r="J2" s="9" t="s">
        <v>46</v>
      </c>
      <c r="K2" s="9" t="s">
        <v>47</v>
      </c>
      <c r="L2" s="9" t="s">
        <v>48</v>
      </c>
      <c r="M2" s="9" t="s">
        <v>49</v>
      </c>
      <c r="N2" s="9" t="s">
        <v>50</v>
      </c>
      <c r="O2" s="9" t="s">
        <v>51</v>
      </c>
      <c r="P2" s="9"/>
      <c r="Q2" s="9"/>
      <c r="R2" s="9"/>
      <c r="S2" s="9" t="s">
        <v>52</v>
      </c>
      <c r="T2" s="9" t="s">
        <v>53</v>
      </c>
      <c r="U2" s="9" t="s">
        <v>54</v>
      </c>
      <c r="V2" s="9" t="s">
        <v>55</v>
      </c>
      <c r="W2" s="9" t="s">
        <v>55</v>
      </c>
      <c r="X2" s="12"/>
      <c r="Y2" s="9" t="s">
        <v>55</v>
      </c>
      <c r="Z2" s="13"/>
    </row>
    <row r="3" spans="1:27" ht="32.25" hidden="1" customHeight="1">
      <c r="A3" s="8">
        <v>2309945</v>
      </c>
      <c r="B3" s="9" t="s">
        <v>56</v>
      </c>
      <c r="C3" s="10">
        <v>45149</v>
      </c>
      <c r="D3" s="9" t="s">
        <v>57</v>
      </c>
      <c r="E3" s="9" t="s">
        <v>41</v>
      </c>
      <c r="F3" s="9" t="s">
        <v>42</v>
      </c>
      <c r="G3" s="9" t="s">
        <v>43</v>
      </c>
      <c r="H3" s="9" t="s">
        <v>58</v>
      </c>
      <c r="I3" s="11" t="s">
        <v>45</v>
      </c>
      <c r="J3" s="9" t="s">
        <v>46</v>
      </c>
      <c r="K3" s="9" t="s">
        <v>47</v>
      </c>
      <c r="L3" s="9" t="s">
        <v>59</v>
      </c>
      <c r="M3" s="9" t="s">
        <v>60</v>
      </c>
      <c r="N3" s="9" t="s">
        <v>50</v>
      </c>
      <c r="O3" s="9" t="s">
        <v>51</v>
      </c>
      <c r="P3" s="9"/>
      <c r="Q3" s="9"/>
      <c r="R3" s="9" t="s">
        <v>61</v>
      </c>
      <c r="S3" s="14" t="s">
        <v>62</v>
      </c>
      <c r="T3" s="9" t="s">
        <v>63</v>
      </c>
      <c r="U3" s="9" t="s">
        <v>54</v>
      </c>
      <c r="V3" s="9" t="s">
        <v>55</v>
      </c>
      <c r="W3" s="9" t="s">
        <v>55</v>
      </c>
      <c r="X3" s="9" t="s">
        <v>64</v>
      </c>
      <c r="Y3" s="9" t="s">
        <v>65</v>
      </c>
      <c r="Z3" s="13"/>
    </row>
    <row r="4" spans="1:27" ht="32.25" hidden="1" customHeight="1">
      <c r="A4" s="8">
        <v>2313993</v>
      </c>
      <c r="B4" s="9" t="s">
        <v>66</v>
      </c>
      <c r="C4" s="10">
        <v>45142</v>
      </c>
      <c r="D4" s="9" t="s">
        <v>67</v>
      </c>
      <c r="E4" s="9" t="s">
        <v>68</v>
      </c>
      <c r="F4" s="9" t="s">
        <v>42</v>
      </c>
      <c r="G4" s="9" t="s">
        <v>43</v>
      </c>
      <c r="H4" s="9" t="s">
        <v>44</v>
      </c>
      <c r="I4" s="11" t="s">
        <v>69</v>
      </c>
      <c r="J4" s="9" t="s">
        <v>70</v>
      </c>
      <c r="K4" s="9" t="s">
        <v>47</v>
      </c>
      <c r="L4" s="9" t="s">
        <v>71</v>
      </c>
      <c r="M4" s="9" t="s">
        <v>72</v>
      </c>
      <c r="N4" s="9" t="s">
        <v>50</v>
      </c>
      <c r="O4" s="9" t="s">
        <v>51</v>
      </c>
      <c r="P4" s="9" t="s">
        <v>73</v>
      </c>
      <c r="Q4" s="9"/>
      <c r="R4" s="9" t="s">
        <v>61</v>
      </c>
      <c r="S4" s="9" t="s">
        <v>74</v>
      </c>
      <c r="T4" s="9" t="s">
        <v>75</v>
      </c>
      <c r="U4" s="9" t="s">
        <v>54</v>
      </c>
      <c r="V4" s="9" t="s">
        <v>55</v>
      </c>
      <c r="W4" s="9" t="s">
        <v>55</v>
      </c>
      <c r="X4" s="12" t="s">
        <v>76</v>
      </c>
      <c r="Y4" s="9" t="s">
        <v>77</v>
      </c>
      <c r="Z4" s="13"/>
    </row>
    <row r="5" spans="1:27" ht="32.25" hidden="1" customHeight="1">
      <c r="A5" s="8">
        <v>2314556</v>
      </c>
      <c r="B5" s="9" t="s">
        <v>78</v>
      </c>
      <c r="C5" s="10">
        <v>45156</v>
      </c>
      <c r="D5" s="9" t="s">
        <v>79</v>
      </c>
      <c r="E5" s="9" t="s">
        <v>41</v>
      </c>
      <c r="F5" s="9" t="s">
        <v>80</v>
      </c>
      <c r="G5" s="9" t="s">
        <v>43</v>
      </c>
      <c r="H5" s="9" t="s">
        <v>44</v>
      </c>
      <c r="I5" s="11" t="s">
        <v>81</v>
      </c>
      <c r="J5" s="9" t="s">
        <v>46</v>
      </c>
      <c r="K5" s="9" t="s">
        <v>47</v>
      </c>
      <c r="L5" s="9" t="s">
        <v>82</v>
      </c>
      <c r="M5" s="9" t="s">
        <v>83</v>
      </c>
      <c r="N5" s="9" t="s">
        <v>84</v>
      </c>
      <c r="O5" s="9" t="s">
        <v>51</v>
      </c>
      <c r="P5" s="9" t="s">
        <v>85</v>
      </c>
      <c r="Q5" s="9"/>
      <c r="R5" s="9" t="s">
        <v>61</v>
      </c>
      <c r="S5" s="14" t="s">
        <v>86</v>
      </c>
      <c r="T5" s="9" t="s">
        <v>87</v>
      </c>
      <c r="U5" s="9" t="s">
        <v>54</v>
      </c>
      <c r="V5" s="9" t="s">
        <v>55</v>
      </c>
      <c r="W5" s="9" t="s">
        <v>55</v>
      </c>
      <c r="X5" s="9" t="s">
        <v>64</v>
      </c>
      <c r="Y5" s="9" t="s">
        <v>65</v>
      </c>
      <c r="Z5" s="13"/>
    </row>
    <row r="6" spans="1:27" ht="32.25" hidden="1" customHeight="1">
      <c r="A6" s="8">
        <v>2311443</v>
      </c>
      <c r="B6" s="9" t="s">
        <v>88</v>
      </c>
      <c r="C6" s="10">
        <v>45156</v>
      </c>
      <c r="D6" s="9" t="s">
        <v>79</v>
      </c>
      <c r="E6" s="9" t="s">
        <v>89</v>
      </c>
      <c r="F6" s="9" t="s">
        <v>80</v>
      </c>
      <c r="G6" s="9" t="s">
        <v>43</v>
      </c>
      <c r="H6" s="9" t="s">
        <v>44</v>
      </c>
      <c r="I6" s="11" t="s">
        <v>90</v>
      </c>
      <c r="J6" s="9" t="s">
        <v>91</v>
      </c>
      <c r="K6" s="9" t="s">
        <v>92</v>
      </c>
      <c r="L6" s="9" t="s">
        <v>93</v>
      </c>
      <c r="M6" s="9" t="s">
        <v>94</v>
      </c>
      <c r="N6" s="9" t="s">
        <v>50</v>
      </c>
      <c r="O6" s="9" t="s">
        <v>51</v>
      </c>
      <c r="P6" s="9" t="s">
        <v>95</v>
      </c>
      <c r="Q6" s="9"/>
      <c r="R6" s="9" t="s">
        <v>61</v>
      </c>
      <c r="S6" s="14" t="s">
        <v>96</v>
      </c>
      <c r="T6" s="9" t="s">
        <v>97</v>
      </c>
      <c r="U6" s="9" t="s">
        <v>54</v>
      </c>
      <c r="V6" s="9" t="s">
        <v>55</v>
      </c>
      <c r="W6" s="9" t="s">
        <v>55</v>
      </c>
      <c r="X6" s="12" t="s">
        <v>98</v>
      </c>
      <c r="Y6" s="9" t="s">
        <v>99</v>
      </c>
      <c r="Z6" s="13"/>
    </row>
    <row r="7" spans="1:27" ht="32.25" hidden="1" customHeight="1">
      <c r="A7" s="8">
        <v>2314785</v>
      </c>
      <c r="B7" s="9" t="s">
        <v>100</v>
      </c>
      <c r="C7" s="10">
        <v>45156</v>
      </c>
      <c r="D7" s="9" t="s">
        <v>79</v>
      </c>
      <c r="E7" s="9" t="s">
        <v>89</v>
      </c>
      <c r="F7" s="9" t="s">
        <v>80</v>
      </c>
      <c r="G7" s="9" t="s">
        <v>43</v>
      </c>
      <c r="H7" s="9" t="s">
        <v>44</v>
      </c>
      <c r="I7" s="11" t="s">
        <v>101</v>
      </c>
      <c r="J7" s="9" t="s">
        <v>102</v>
      </c>
      <c r="K7" s="9" t="s">
        <v>92</v>
      </c>
      <c r="L7" s="9"/>
      <c r="M7" s="9" t="s">
        <v>103</v>
      </c>
      <c r="N7" s="9" t="s">
        <v>50</v>
      </c>
      <c r="O7" s="9" t="s">
        <v>51</v>
      </c>
      <c r="P7" s="9" t="s">
        <v>104</v>
      </c>
      <c r="Q7" s="9"/>
      <c r="R7" s="9" t="s">
        <v>61</v>
      </c>
      <c r="S7" s="14" t="s">
        <v>105</v>
      </c>
      <c r="T7" s="9" t="s">
        <v>106</v>
      </c>
      <c r="U7" s="9" t="s">
        <v>54</v>
      </c>
      <c r="V7" s="9" t="s">
        <v>55</v>
      </c>
      <c r="W7" s="9" t="s">
        <v>55</v>
      </c>
      <c r="X7" s="12" t="s">
        <v>98</v>
      </c>
      <c r="Y7" s="9" t="s">
        <v>99</v>
      </c>
      <c r="Z7" s="13"/>
    </row>
    <row r="8" spans="1:27" ht="32.25" hidden="1" customHeight="1">
      <c r="A8" s="8">
        <v>2315081</v>
      </c>
      <c r="B8" s="9" t="s">
        <v>107</v>
      </c>
      <c r="C8" s="10">
        <v>45156</v>
      </c>
      <c r="D8" s="9" t="s">
        <v>79</v>
      </c>
      <c r="E8" s="9" t="s">
        <v>89</v>
      </c>
      <c r="F8" s="9" t="s">
        <v>80</v>
      </c>
      <c r="G8" s="9" t="s">
        <v>43</v>
      </c>
      <c r="H8" s="9" t="s">
        <v>44</v>
      </c>
      <c r="I8" s="11" t="s">
        <v>108</v>
      </c>
      <c r="J8" s="9" t="s">
        <v>109</v>
      </c>
      <c r="K8" s="9" t="s">
        <v>110</v>
      </c>
      <c r="L8" s="9"/>
      <c r="M8" s="9" t="s">
        <v>111</v>
      </c>
      <c r="N8" s="9" t="s">
        <v>50</v>
      </c>
      <c r="O8" s="9" t="s">
        <v>51</v>
      </c>
      <c r="P8" s="9" t="s">
        <v>112</v>
      </c>
      <c r="Q8" s="9"/>
      <c r="R8" s="9" t="s">
        <v>61</v>
      </c>
      <c r="S8" s="14" t="s">
        <v>113</v>
      </c>
      <c r="T8" s="9" t="s">
        <v>114</v>
      </c>
      <c r="U8" s="9" t="s">
        <v>54</v>
      </c>
      <c r="V8" s="9" t="s">
        <v>55</v>
      </c>
      <c r="W8" s="9" t="s">
        <v>115</v>
      </c>
      <c r="X8" s="12" t="s">
        <v>98</v>
      </c>
      <c r="Y8" s="9" t="s">
        <v>99</v>
      </c>
      <c r="Z8" s="13"/>
    </row>
    <row r="9" spans="1:27" ht="32.25" hidden="1" customHeight="1">
      <c r="A9" s="8">
        <v>2311950</v>
      </c>
      <c r="B9" s="9" t="s">
        <v>116</v>
      </c>
      <c r="C9" s="10">
        <v>45156</v>
      </c>
      <c r="D9" s="9" t="s">
        <v>79</v>
      </c>
      <c r="E9" s="9" t="s">
        <v>89</v>
      </c>
      <c r="F9" s="9" t="s">
        <v>80</v>
      </c>
      <c r="G9" s="9" t="s">
        <v>43</v>
      </c>
      <c r="H9" s="9" t="s">
        <v>44</v>
      </c>
      <c r="I9" s="11" t="s">
        <v>117</v>
      </c>
      <c r="J9" s="9" t="s">
        <v>118</v>
      </c>
      <c r="K9" s="9" t="s">
        <v>110</v>
      </c>
      <c r="L9" s="9" t="s">
        <v>119</v>
      </c>
      <c r="M9" s="9" t="s">
        <v>120</v>
      </c>
      <c r="N9" s="9" t="s">
        <v>50</v>
      </c>
      <c r="O9" s="9" t="s">
        <v>51</v>
      </c>
      <c r="P9" s="9" t="s">
        <v>121</v>
      </c>
      <c r="Q9" s="9"/>
      <c r="R9" s="9" t="s">
        <v>61</v>
      </c>
      <c r="S9" s="14" t="s">
        <v>122</v>
      </c>
      <c r="T9" s="9" t="s">
        <v>123</v>
      </c>
      <c r="U9" s="9" t="s">
        <v>54</v>
      </c>
      <c r="V9" s="9" t="s">
        <v>55</v>
      </c>
      <c r="W9" s="9" t="s">
        <v>55</v>
      </c>
      <c r="X9" s="12" t="s">
        <v>98</v>
      </c>
      <c r="Y9" s="9" t="s">
        <v>99</v>
      </c>
      <c r="Z9" s="13"/>
    </row>
    <row r="10" spans="1:27" ht="32.25" hidden="1" customHeight="1">
      <c r="A10" s="8">
        <v>2309992</v>
      </c>
      <c r="B10" s="9" t="s">
        <v>124</v>
      </c>
      <c r="C10" s="10">
        <v>45156</v>
      </c>
      <c r="D10" s="9" t="s">
        <v>79</v>
      </c>
      <c r="E10" s="9" t="s">
        <v>89</v>
      </c>
      <c r="F10" s="9" t="s">
        <v>80</v>
      </c>
      <c r="G10" s="9" t="s">
        <v>43</v>
      </c>
      <c r="H10" s="9" t="s">
        <v>44</v>
      </c>
      <c r="I10" s="11" t="s">
        <v>101</v>
      </c>
      <c r="J10" s="9" t="s">
        <v>102</v>
      </c>
      <c r="K10" s="9" t="s">
        <v>110</v>
      </c>
      <c r="L10" s="9"/>
      <c r="M10" s="9"/>
      <c r="N10" s="9" t="s">
        <v>50</v>
      </c>
      <c r="O10" s="9" t="s">
        <v>51</v>
      </c>
      <c r="P10" s="9" t="s">
        <v>125</v>
      </c>
      <c r="Q10" s="9"/>
      <c r="R10" s="9" t="s">
        <v>61</v>
      </c>
      <c r="S10" s="14" t="s">
        <v>126</v>
      </c>
      <c r="T10" s="9" t="s">
        <v>127</v>
      </c>
      <c r="U10" s="9" t="s">
        <v>54</v>
      </c>
      <c r="V10" s="9" t="s">
        <v>55</v>
      </c>
      <c r="W10" s="9" t="s">
        <v>115</v>
      </c>
      <c r="X10" s="12" t="s">
        <v>98</v>
      </c>
      <c r="Y10" s="9" t="s">
        <v>99</v>
      </c>
      <c r="Z10" s="13"/>
    </row>
    <row r="11" spans="1:27" ht="32.25" hidden="1" customHeight="1">
      <c r="A11" s="8">
        <v>2303467</v>
      </c>
      <c r="B11" s="9" t="s">
        <v>128</v>
      </c>
      <c r="C11" s="10">
        <v>45149</v>
      </c>
      <c r="D11" s="9" t="s">
        <v>57</v>
      </c>
      <c r="E11" s="9" t="s">
        <v>41</v>
      </c>
      <c r="F11" s="9" t="s">
        <v>42</v>
      </c>
      <c r="G11" s="9" t="s">
        <v>43</v>
      </c>
      <c r="H11" s="9" t="s">
        <v>58</v>
      </c>
      <c r="I11" s="11" t="s">
        <v>129</v>
      </c>
      <c r="J11" s="9" t="s">
        <v>130</v>
      </c>
      <c r="K11" s="9" t="s">
        <v>47</v>
      </c>
      <c r="L11" s="9" t="s">
        <v>48</v>
      </c>
      <c r="M11" s="9" t="s">
        <v>131</v>
      </c>
      <c r="N11" s="9" t="s">
        <v>84</v>
      </c>
      <c r="O11" s="9" t="s">
        <v>51</v>
      </c>
      <c r="P11" s="9"/>
      <c r="Q11" s="9"/>
      <c r="R11" s="9"/>
      <c r="S11" s="14" t="s">
        <v>132</v>
      </c>
      <c r="T11" s="9" t="s">
        <v>133</v>
      </c>
      <c r="U11" s="9" t="s">
        <v>54</v>
      </c>
      <c r="V11" s="9" t="s">
        <v>55</v>
      </c>
      <c r="W11" s="9" t="s">
        <v>55</v>
      </c>
      <c r="X11" s="12"/>
      <c r="Y11" s="9" t="s">
        <v>55</v>
      </c>
      <c r="Z11" s="13"/>
    </row>
    <row r="12" spans="1:27" ht="32.25" hidden="1" customHeight="1">
      <c r="A12" s="8">
        <v>2306912</v>
      </c>
      <c r="B12" s="9" t="s">
        <v>134</v>
      </c>
      <c r="C12" s="10">
        <v>45142</v>
      </c>
      <c r="D12" s="9" t="s">
        <v>67</v>
      </c>
      <c r="E12" s="9" t="s">
        <v>68</v>
      </c>
      <c r="F12" s="9" t="s">
        <v>135</v>
      </c>
      <c r="G12" s="9" t="s">
        <v>43</v>
      </c>
      <c r="H12" s="9" t="s">
        <v>44</v>
      </c>
      <c r="I12" s="11" t="s">
        <v>136</v>
      </c>
      <c r="J12" s="9" t="s">
        <v>137</v>
      </c>
      <c r="K12" s="9" t="s">
        <v>47</v>
      </c>
      <c r="L12" s="9" t="s">
        <v>138</v>
      </c>
      <c r="M12" s="9" t="s">
        <v>139</v>
      </c>
      <c r="N12" s="9" t="s">
        <v>84</v>
      </c>
      <c r="O12" s="9" t="s">
        <v>51</v>
      </c>
      <c r="P12" s="9"/>
      <c r="Q12" s="9"/>
      <c r="R12" s="9" t="s">
        <v>61</v>
      </c>
      <c r="S12" s="9" t="s">
        <v>140</v>
      </c>
      <c r="T12" s="9" t="s">
        <v>141</v>
      </c>
      <c r="U12" s="9" t="s">
        <v>54</v>
      </c>
      <c r="V12" s="9" t="s">
        <v>55</v>
      </c>
      <c r="W12" s="9" t="s">
        <v>55</v>
      </c>
      <c r="X12" s="12" t="s">
        <v>76</v>
      </c>
      <c r="Y12" s="9" t="s">
        <v>77</v>
      </c>
      <c r="Z12" s="13"/>
    </row>
    <row r="13" spans="1:27" ht="32.25" hidden="1" customHeight="1">
      <c r="A13" s="8">
        <v>2307172</v>
      </c>
      <c r="B13" s="9" t="s">
        <v>142</v>
      </c>
      <c r="C13" s="10">
        <v>45142</v>
      </c>
      <c r="D13" s="9" t="s">
        <v>67</v>
      </c>
      <c r="E13" s="9" t="s">
        <v>143</v>
      </c>
      <c r="F13" s="9" t="s">
        <v>42</v>
      </c>
      <c r="G13" s="9" t="s">
        <v>43</v>
      </c>
      <c r="H13" s="9" t="s">
        <v>44</v>
      </c>
      <c r="I13" s="11" t="s">
        <v>144</v>
      </c>
      <c r="J13" s="9" t="s">
        <v>145</v>
      </c>
      <c r="K13" s="9" t="s">
        <v>47</v>
      </c>
      <c r="L13" s="9" t="s">
        <v>48</v>
      </c>
      <c r="M13" s="9" t="s">
        <v>146</v>
      </c>
      <c r="N13" s="9" t="s">
        <v>50</v>
      </c>
      <c r="O13" s="9" t="s">
        <v>51</v>
      </c>
      <c r="P13" s="9" t="s">
        <v>147</v>
      </c>
      <c r="Q13" s="9"/>
      <c r="R13" s="9" t="s">
        <v>61</v>
      </c>
      <c r="S13" s="9" t="s">
        <v>148</v>
      </c>
      <c r="T13" s="9" t="s">
        <v>149</v>
      </c>
      <c r="U13" s="9" t="s">
        <v>54</v>
      </c>
      <c r="V13" s="9" t="s">
        <v>55</v>
      </c>
      <c r="W13" s="9" t="s">
        <v>55</v>
      </c>
      <c r="X13" s="12" t="s">
        <v>150</v>
      </c>
      <c r="Y13" s="9" t="s">
        <v>151</v>
      </c>
      <c r="Z13" s="13"/>
    </row>
    <row r="14" spans="1:27" ht="32.25" hidden="1" customHeight="1">
      <c r="A14" s="8">
        <v>2308482</v>
      </c>
      <c r="B14" s="9" t="s">
        <v>152</v>
      </c>
      <c r="C14" s="10">
        <v>45136</v>
      </c>
      <c r="D14" s="9" t="s">
        <v>40</v>
      </c>
      <c r="E14" s="9" t="s">
        <v>153</v>
      </c>
      <c r="F14" s="9" t="s">
        <v>42</v>
      </c>
      <c r="G14" s="9" t="s">
        <v>43</v>
      </c>
      <c r="H14" s="9" t="s">
        <v>44</v>
      </c>
      <c r="I14" s="11" t="s">
        <v>154</v>
      </c>
      <c r="J14" s="9" t="s">
        <v>155</v>
      </c>
      <c r="K14" s="9" t="s">
        <v>47</v>
      </c>
      <c r="L14" s="9" t="s">
        <v>156</v>
      </c>
      <c r="M14" s="9" t="s">
        <v>157</v>
      </c>
      <c r="N14" s="9" t="s">
        <v>84</v>
      </c>
      <c r="O14" s="9" t="s">
        <v>51</v>
      </c>
      <c r="P14" s="9"/>
      <c r="Q14" s="9" t="s">
        <v>158</v>
      </c>
      <c r="R14" s="9"/>
      <c r="S14" s="9" t="s">
        <v>159</v>
      </c>
      <c r="T14" s="9" t="s">
        <v>160</v>
      </c>
      <c r="U14" s="9" t="s">
        <v>54</v>
      </c>
      <c r="V14" s="9" t="s">
        <v>55</v>
      </c>
      <c r="W14" s="9" t="s">
        <v>55</v>
      </c>
      <c r="X14" s="12"/>
      <c r="Y14" s="9" t="s">
        <v>55</v>
      </c>
      <c r="Z14" s="13"/>
    </row>
    <row r="15" spans="1:27" ht="32.25" hidden="1" customHeight="1">
      <c r="A15" s="8">
        <v>2309485</v>
      </c>
      <c r="B15" s="9" t="s">
        <v>161</v>
      </c>
      <c r="C15" s="10">
        <v>45136</v>
      </c>
      <c r="D15" s="9" t="s">
        <v>40</v>
      </c>
      <c r="E15" s="9" t="s">
        <v>41</v>
      </c>
      <c r="F15" s="9" t="s">
        <v>42</v>
      </c>
      <c r="G15" s="9" t="s">
        <v>43</v>
      </c>
      <c r="H15" s="9" t="s">
        <v>44</v>
      </c>
      <c r="I15" s="11" t="s">
        <v>45</v>
      </c>
      <c r="J15" s="9" t="s">
        <v>46</v>
      </c>
      <c r="K15" s="9" t="s">
        <v>47</v>
      </c>
      <c r="L15" s="9" t="s">
        <v>162</v>
      </c>
      <c r="M15" s="9" t="s">
        <v>163</v>
      </c>
      <c r="N15" s="9" t="s">
        <v>84</v>
      </c>
      <c r="O15" s="9" t="s">
        <v>51</v>
      </c>
      <c r="P15" s="9"/>
      <c r="Q15" s="9"/>
      <c r="R15" s="9" t="s">
        <v>61</v>
      </c>
      <c r="S15" s="9" t="s">
        <v>164</v>
      </c>
      <c r="T15" s="9" t="s">
        <v>165</v>
      </c>
      <c r="U15" s="9" t="s">
        <v>54</v>
      </c>
      <c r="V15" s="9" t="s">
        <v>55</v>
      </c>
      <c r="W15" s="9" t="s">
        <v>55</v>
      </c>
      <c r="X15" s="9" t="s">
        <v>64</v>
      </c>
      <c r="Y15" s="9" t="s">
        <v>65</v>
      </c>
      <c r="Z15" s="13"/>
    </row>
    <row r="16" spans="1:27" ht="32.25" hidden="1" customHeight="1">
      <c r="A16" s="8">
        <v>2310166</v>
      </c>
      <c r="B16" s="9" t="s">
        <v>166</v>
      </c>
      <c r="C16" s="10">
        <v>45149</v>
      </c>
      <c r="D16" s="9" t="s">
        <v>57</v>
      </c>
      <c r="E16" s="9" t="s">
        <v>153</v>
      </c>
      <c r="F16" s="9" t="s">
        <v>42</v>
      </c>
      <c r="G16" s="9" t="s">
        <v>43</v>
      </c>
      <c r="H16" s="9" t="s">
        <v>58</v>
      </c>
      <c r="I16" s="11" t="s">
        <v>154</v>
      </c>
      <c r="J16" s="9" t="s">
        <v>155</v>
      </c>
      <c r="K16" s="9" t="s">
        <v>47</v>
      </c>
      <c r="L16" s="9" t="s">
        <v>167</v>
      </c>
      <c r="M16" s="9" t="s">
        <v>168</v>
      </c>
      <c r="N16" s="9" t="s">
        <v>84</v>
      </c>
      <c r="O16" s="9" t="s">
        <v>51</v>
      </c>
      <c r="P16" s="9"/>
      <c r="Q16" s="9"/>
      <c r="R16" s="9" t="s">
        <v>61</v>
      </c>
      <c r="S16" s="14" t="s">
        <v>169</v>
      </c>
      <c r="T16" s="9" t="s">
        <v>170</v>
      </c>
      <c r="U16" s="9" t="s">
        <v>54</v>
      </c>
      <c r="V16" s="9" t="s">
        <v>55</v>
      </c>
      <c r="W16" s="9" t="s">
        <v>55</v>
      </c>
      <c r="X16" s="12" t="s">
        <v>171</v>
      </c>
      <c r="Y16" s="9" t="s">
        <v>172</v>
      </c>
      <c r="Z16" s="13"/>
    </row>
    <row r="17" spans="1:26" ht="32.25" hidden="1" customHeight="1">
      <c r="A17" s="8">
        <v>2311403</v>
      </c>
      <c r="B17" s="9" t="s">
        <v>173</v>
      </c>
      <c r="C17" s="10">
        <v>45156</v>
      </c>
      <c r="D17" s="9" t="s">
        <v>79</v>
      </c>
      <c r="E17" s="9" t="s">
        <v>89</v>
      </c>
      <c r="F17" s="9" t="s">
        <v>80</v>
      </c>
      <c r="G17" s="9" t="s">
        <v>43</v>
      </c>
      <c r="H17" s="9" t="s">
        <v>44</v>
      </c>
      <c r="I17" s="11" t="s">
        <v>90</v>
      </c>
      <c r="J17" s="9" t="s">
        <v>91</v>
      </c>
      <c r="K17" s="9" t="s">
        <v>47</v>
      </c>
      <c r="L17" s="9" t="s">
        <v>174</v>
      </c>
      <c r="M17" s="9" t="s">
        <v>175</v>
      </c>
      <c r="N17" s="9" t="s">
        <v>84</v>
      </c>
      <c r="O17" s="9" t="s">
        <v>51</v>
      </c>
      <c r="P17" s="9" t="s">
        <v>176</v>
      </c>
      <c r="Q17" s="9"/>
      <c r="R17" s="9" t="s">
        <v>61</v>
      </c>
      <c r="S17" s="14" t="s">
        <v>177</v>
      </c>
      <c r="T17" s="9" t="s">
        <v>178</v>
      </c>
      <c r="U17" s="9" t="s">
        <v>54</v>
      </c>
      <c r="V17" s="9" t="s">
        <v>55</v>
      </c>
      <c r="W17" s="9" t="s">
        <v>55</v>
      </c>
      <c r="X17" s="12" t="s">
        <v>171</v>
      </c>
      <c r="Y17" s="9" t="s">
        <v>172</v>
      </c>
      <c r="Z17" s="13"/>
    </row>
    <row r="18" spans="1:26" ht="32.25" hidden="1" customHeight="1">
      <c r="A18" s="8">
        <v>2312160</v>
      </c>
      <c r="B18" s="9" t="s">
        <v>179</v>
      </c>
      <c r="C18" s="10">
        <v>45149</v>
      </c>
      <c r="D18" s="9" t="s">
        <v>57</v>
      </c>
      <c r="E18" s="9" t="s">
        <v>153</v>
      </c>
      <c r="F18" s="9" t="s">
        <v>42</v>
      </c>
      <c r="G18" s="9" t="s">
        <v>43</v>
      </c>
      <c r="H18" s="9" t="s">
        <v>58</v>
      </c>
      <c r="I18" s="11" t="s">
        <v>154</v>
      </c>
      <c r="J18" s="9" t="s">
        <v>155</v>
      </c>
      <c r="K18" s="9" t="s">
        <v>47</v>
      </c>
      <c r="L18" s="9" t="s">
        <v>180</v>
      </c>
      <c r="M18" s="9" t="s">
        <v>181</v>
      </c>
      <c r="N18" s="9" t="s">
        <v>84</v>
      </c>
      <c r="O18" s="9" t="s">
        <v>51</v>
      </c>
      <c r="P18" s="9"/>
      <c r="Q18" s="9"/>
      <c r="R18" s="9" t="s">
        <v>61</v>
      </c>
      <c r="S18" s="14" t="s">
        <v>182</v>
      </c>
      <c r="T18" s="9" t="s">
        <v>183</v>
      </c>
      <c r="U18" s="9" t="s">
        <v>54</v>
      </c>
      <c r="V18" s="9" t="s">
        <v>55</v>
      </c>
      <c r="W18" s="9" t="s">
        <v>55</v>
      </c>
      <c r="X18" s="12" t="s">
        <v>171</v>
      </c>
      <c r="Y18" s="9" t="s">
        <v>172</v>
      </c>
      <c r="Z18" s="13"/>
    </row>
    <row r="19" spans="1:26" ht="32.25" hidden="1" customHeight="1">
      <c r="A19" s="8">
        <v>2315498</v>
      </c>
      <c r="B19" s="9" t="s">
        <v>184</v>
      </c>
      <c r="C19" s="10">
        <v>45152</v>
      </c>
      <c r="D19" s="9" t="s">
        <v>185</v>
      </c>
      <c r="E19" s="9" t="s">
        <v>41</v>
      </c>
      <c r="F19" s="9" t="s">
        <v>42</v>
      </c>
      <c r="G19" s="9" t="s">
        <v>43</v>
      </c>
      <c r="H19" s="9" t="s">
        <v>44</v>
      </c>
      <c r="I19" s="11" t="s">
        <v>45</v>
      </c>
      <c r="J19" s="9" t="s">
        <v>46</v>
      </c>
      <c r="K19" s="9" t="s">
        <v>186</v>
      </c>
      <c r="L19" s="9" t="s">
        <v>156</v>
      </c>
      <c r="M19" s="9"/>
      <c r="N19" s="9" t="s">
        <v>50</v>
      </c>
      <c r="O19" s="9" t="s">
        <v>187</v>
      </c>
      <c r="P19" s="9"/>
      <c r="Q19" s="9"/>
      <c r="R19" s="9" t="s">
        <v>61</v>
      </c>
      <c r="S19" s="14" t="s">
        <v>188</v>
      </c>
      <c r="T19" s="9"/>
      <c r="U19" s="9" t="s">
        <v>54</v>
      </c>
      <c r="V19" s="9" t="s">
        <v>76</v>
      </c>
      <c r="W19" s="9" t="s">
        <v>55</v>
      </c>
      <c r="X19" s="12" t="s">
        <v>76</v>
      </c>
      <c r="Y19" s="9" t="s">
        <v>77</v>
      </c>
      <c r="Z19" s="13" t="s">
        <v>189</v>
      </c>
    </row>
    <row r="20" spans="1:26" ht="32.25" hidden="1" customHeight="1">
      <c r="A20" s="8">
        <v>2315545</v>
      </c>
      <c r="B20" s="9" t="s">
        <v>190</v>
      </c>
      <c r="C20" s="10">
        <v>45155</v>
      </c>
      <c r="D20" s="9" t="s">
        <v>191</v>
      </c>
      <c r="E20" s="9" t="s">
        <v>41</v>
      </c>
      <c r="F20" s="9" t="s">
        <v>42</v>
      </c>
      <c r="G20" s="9" t="s">
        <v>43</v>
      </c>
      <c r="H20" s="9" t="s">
        <v>44</v>
      </c>
      <c r="I20" s="11" t="s">
        <v>45</v>
      </c>
      <c r="J20" s="9" t="s">
        <v>46</v>
      </c>
      <c r="K20" s="9" t="s">
        <v>192</v>
      </c>
      <c r="L20" s="9" t="s">
        <v>193</v>
      </c>
      <c r="M20" s="9"/>
      <c r="N20" s="9" t="s">
        <v>50</v>
      </c>
      <c r="O20" s="9" t="s">
        <v>187</v>
      </c>
      <c r="P20" s="9"/>
      <c r="Q20" s="9"/>
      <c r="R20" s="9" t="s">
        <v>61</v>
      </c>
      <c r="S20" s="14" t="s">
        <v>194</v>
      </c>
      <c r="T20" s="9" t="s">
        <v>195</v>
      </c>
      <c r="U20" s="9" t="s">
        <v>54</v>
      </c>
      <c r="V20" s="9" t="s">
        <v>55</v>
      </c>
      <c r="W20" s="9" t="s">
        <v>55</v>
      </c>
      <c r="X20" s="9" t="s">
        <v>196</v>
      </c>
      <c r="Y20" s="9" t="s">
        <v>197</v>
      </c>
      <c r="Z20" s="13"/>
    </row>
    <row r="21" spans="1:26" ht="32.25" hidden="1" customHeight="1">
      <c r="A21" s="8">
        <v>2310736</v>
      </c>
      <c r="B21" s="9" t="s">
        <v>198</v>
      </c>
      <c r="C21" s="10">
        <v>45149</v>
      </c>
      <c r="D21" s="9" t="s">
        <v>57</v>
      </c>
      <c r="E21" s="9" t="s">
        <v>41</v>
      </c>
      <c r="F21" s="9" t="s">
        <v>42</v>
      </c>
      <c r="G21" s="9" t="s">
        <v>43</v>
      </c>
      <c r="H21" s="9" t="s">
        <v>58</v>
      </c>
      <c r="I21" s="11" t="s">
        <v>199</v>
      </c>
      <c r="J21" s="9" t="s">
        <v>200</v>
      </c>
      <c r="K21" s="9" t="s">
        <v>47</v>
      </c>
      <c r="L21" s="9" t="s">
        <v>156</v>
      </c>
      <c r="M21" s="9"/>
      <c r="N21" s="9" t="s">
        <v>50</v>
      </c>
      <c r="O21" s="9" t="s">
        <v>51</v>
      </c>
      <c r="P21" s="9"/>
      <c r="Q21" s="9"/>
      <c r="R21" s="9"/>
      <c r="S21" s="14" t="s">
        <v>201</v>
      </c>
      <c r="T21" s="9" t="s">
        <v>202</v>
      </c>
      <c r="U21" s="9" t="s">
        <v>54</v>
      </c>
      <c r="V21" s="9" t="s">
        <v>55</v>
      </c>
      <c r="W21" s="9" t="s">
        <v>55</v>
      </c>
      <c r="X21" s="12"/>
      <c r="Y21" s="9" t="s">
        <v>55</v>
      </c>
      <c r="Z21" s="13"/>
    </row>
    <row r="22" spans="1:26" ht="32.25" hidden="1" customHeight="1">
      <c r="A22" s="8">
        <v>2308027</v>
      </c>
      <c r="B22" s="9" t="s">
        <v>203</v>
      </c>
      <c r="C22" s="10">
        <v>45149</v>
      </c>
      <c r="D22" s="9" t="s">
        <v>57</v>
      </c>
      <c r="E22" s="9" t="s">
        <v>41</v>
      </c>
      <c r="F22" s="9" t="s">
        <v>42</v>
      </c>
      <c r="G22" s="9" t="s">
        <v>43</v>
      </c>
      <c r="H22" s="9" t="s">
        <v>58</v>
      </c>
      <c r="I22" s="11" t="s">
        <v>45</v>
      </c>
      <c r="J22" s="9" t="s">
        <v>46</v>
      </c>
      <c r="K22" s="9" t="s">
        <v>47</v>
      </c>
      <c r="L22" s="9" t="s">
        <v>204</v>
      </c>
      <c r="M22" s="9" t="s">
        <v>205</v>
      </c>
      <c r="N22" s="9" t="s">
        <v>50</v>
      </c>
      <c r="O22" s="9" t="s">
        <v>51</v>
      </c>
      <c r="P22" s="9"/>
      <c r="Q22" s="9"/>
      <c r="R22" s="9" t="s">
        <v>61</v>
      </c>
      <c r="S22" s="14" t="s">
        <v>206</v>
      </c>
      <c r="T22" s="9" t="s">
        <v>207</v>
      </c>
      <c r="U22" s="9" t="s">
        <v>54</v>
      </c>
      <c r="V22" s="9" t="s">
        <v>55</v>
      </c>
      <c r="W22" s="9" t="s">
        <v>55</v>
      </c>
      <c r="X22" s="9" t="s">
        <v>196</v>
      </c>
      <c r="Y22" s="9" t="s">
        <v>197</v>
      </c>
      <c r="Z22" s="13"/>
    </row>
    <row r="23" spans="1:26" ht="32.25" hidden="1" customHeight="1">
      <c r="A23" s="8">
        <v>2302318</v>
      </c>
      <c r="B23" s="9" t="s">
        <v>208</v>
      </c>
      <c r="C23" s="10">
        <v>45149</v>
      </c>
      <c r="D23" s="9" t="s">
        <v>57</v>
      </c>
      <c r="E23" s="9" t="s">
        <v>41</v>
      </c>
      <c r="F23" s="9" t="s">
        <v>42</v>
      </c>
      <c r="G23" s="9" t="s">
        <v>43</v>
      </c>
      <c r="H23" s="9" t="s">
        <v>58</v>
      </c>
      <c r="I23" s="11" t="s">
        <v>45</v>
      </c>
      <c r="J23" s="9" t="s">
        <v>46</v>
      </c>
      <c r="K23" s="9" t="s">
        <v>47</v>
      </c>
      <c r="L23" s="9" t="s">
        <v>156</v>
      </c>
      <c r="M23" s="9"/>
      <c r="N23" s="9" t="s">
        <v>50</v>
      </c>
      <c r="O23" s="9" t="s">
        <v>51</v>
      </c>
      <c r="P23" s="9"/>
      <c r="Q23" s="9"/>
      <c r="R23" s="9"/>
      <c r="S23" s="14" t="s">
        <v>209</v>
      </c>
      <c r="T23" s="9" t="s">
        <v>210</v>
      </c>
      <c r="U23" s="9" t="s">
        <v>54</v>
      </c>
      <c r="V23" s="9" t="s">
        <v>55</v>
      </c>
      <c r="W23" s="9" t="s">
        <v>55</v>
      </c>
      <c r="X23" s="12"/>
      <c r="Y23" s="9" t="s">
        <v>55</v>
      </c>
      <c r="Z23" s="13"/>
    </row>
    <row r="24" spans="1:26" ht="32.25" hidden="1" customHeight="1">
      <c r="A24" s="8">
        <v>2301413</v>
      </c>
      <c r="B24" s="9" t="s">
        <v>211</v>
      </c>
      <c r="C24" s="10">
        <v>45156</v>
      </c>
      <c r="D24" s="9" t="s">
        <v>79</v>
      </c>
      <c r="E24" s="9" t="s">
        <v>89</v>
      </c>
      <c r="F24" s="9" t="s">
        <v>80</v>
      </c>
      <c r="G24" s="9" t="s">
        <v>43</v>
      </c>
      <c r="H24" s="9" t="s">
        <v>44</v>
      </c>
      <c r="I24" s="11" t="s">
        <v>101</v>
      </c>
      <c r="J24" s="9" t="s">
        <v>102</v>
      </c>
      <c r="K24" s="9" t="s">
        <v>47</v>
      </c>
      <c r="L24" s="9" t="s">
        <v>156</v>
      </c>
      <c r="M24" s="9"/>
      <c r="N24" s="9" t="s">
        <v>84</v>
      </c>
      <c r="O24" s="9" t="s">
        <v>51</v>
      </c>
      <c r="P24" s="9" t="s">
        <v>212</v>
      </c>
      <c r="Q24" s="9"/>
      <c r="R24" s="9"/>
      <c r="S24" s="14" t="s">
        <v>213</v>
      </c>
      <c r="T24" s="9" t="s">
        <v>214</v>
      </c>
      <c r="U24" s="9" t="s">
        <v>54</v>
      </c>
      <c r="V24" s="9" t="s">
        <v>55</v>
      </c>
      <c r="W24" s="9" t="s">
        <v>55</v>
      </c>
      <c r="X24" s="12"/>
      <c r="Y24" s="9" t="s">
        <v>55</v>
      </c>
      <c r="Z24" s="13"/>
    </row>
    <row r="25" spans="1:26" ht="32.25" hidden="1" customHeight="1">
      <c r="A25" s="8">
        <v>2307544</v>
      </c>
      <c r="B25" s="9" t="s">
        <v>215</v>
      </c>
      <c r="C25" s="10">
        <v>45149</v>
      </c>
      <c r="D25" s="9" t="s">
        <v>57</v>
      </c>
      <c r="E25" s="9" t="s">
        <v>41</v>
      </c>
      <c r="F25" s="9" t="s">
        <v>42</v>
      </c>
      <c r="G25" s="9" t="s">
        <v>43</v>
      </c>
      <c r="H25" s="9" t="s">
        <v>58</v>
      </c>
      <c r="I25" s="11" t="s">
        <v>199</v>
      </c>
      <c r="J25" s="9" t="s">
        <v>200</v>
      </c>
      <c r="K25" s="9" t="s">
        <v>47</v>
      </c>
      <c r="L25" s="9" t="s">
        <v>156</v>
      </c>
      <c r="M25" s="9"/>
      <c r="N25" s="9" t="s">
        <v>50</v>
      </c>
      <c r="O25" s="9" t="s">
        <v>51</v>
      </c>
      <c r="P25" s="9"/>
      <c r="Q25" s="9"/>
      <c r="R25" s="9"/>
      <c r="S25" s="14" t="s">
        <v>216</v>
      </c>
      <c r="T25" s="9" t="s">
        <v>217</v>
      </c>
      <c r="U25" s="9" t="s">
        <v>54</v>
      </c>
      <c r="V25" s="9" t="s">
        <v>55</v>
      </c>
      <c r="W25" s="9" t="s">
        <v>55</v>
      </c>
      <c r="X25" s="12"/>
      <c r="Y25" s="9" t="s">
        <v>55</v>
      </c>
      <c r="Z25" s="13"/>
    </row>
    <row r="26" spans="1:26" ht="32.25" hidden="1" customHeight="1">
      <c r="A26" s="8">
        <v>2302766</v>
      </c>
      <c r="B26" s="9" t="s">
        <v>218</v>
      </c>
      <c r="C26" s="10">
        <v>45142</v>
      </c>
      <c r="D26" s="9" t="s">
        <v>67</v>
      </c>
      <c r="E26" s="9" t="s">
        <v>143</v>
      </c>
      <c r="F26" s="9" t="s">
        <v>42</v>
      </c>
      <c r="G26" s="9" t="s">
        <v>43</v>
      </c>
      <c r="H26" s="9" t="s">
        <v>44</v>
      </c>
      <c r="I26" s="11" t="s">
        <v>219</v>
      </c>
      <c r="J26" s="9" t="s">
        <v>220</v>
      </c>
      <c r="K26" s="9" t="s">
        <v>47</v>
      </c>
      <c r="L26" s="9" t="s">
        <v>221</v>
      </c>
      <c r="M26" s="9" t="s">
        <v>222</v>
      </c>
      <c r="N26" s="9" t="s">
        <v>84</v>
      </c>
      <c r="O26" s="9" t="s">
        <v>51</v>
      </c>
      <c r="P26" s="9"/>
      <c r="Q26" s="9"/>
      <c r="R26" s="9" t="s">
        <v>61</v>
      </c>
      <c r="S26" s="9" t="s">
        <v>223</v>
      </c>
      <c r="T26" s="9" t="s">
        <v>224</v>
      </c>
      <c r="U26" s="9" t="s">
        <v>54</v>
      </c>
      <c r="V26" s="9" t="s">
        <v>55</v>
      </c>
      <c r="W26" s="9" t="s">
        <v>55</v>
      </c>
      <c r="X26" s="12" t="s">
        <v>171</v>
      </c>
      <c r="Y26" s="9" t="s">
        <v>172</v>
      </c>
      <c r="Z26" s="13"/>
    </row>
    <row r="27" spans="1:26" ht="32.25" hidden="1" customHeight="1">
      <c r="A27" s="8">
        <v>2313933</v>
      </c>
      <c r="B27" s="9" t="s">
        <v>225</v>
      </c>
      <c r="C27" s="10">
        <v>45149</v>
      </c>
      <c r="D27" s="9" t="s">
        <v>57</v>
      </c>
      <c r="E27" s="9" t="s">
        <v>41</v>
      </c>
      <c r="F27" s="9" t="s">
        <v>42</v>
      </c>
      <c r="G27" s="9" t="s">
        <v>43</v>
      </c>
      <c r="H27" s="9" t="s">
        <v>58</v>
      </c>
      <c r="I27" s="11" t="s">
        <v>129</v>
      </c>
      <c r="J27" s="9" t="s">
        <v>130</v>
      </c>
      <c r="K27" s="9" t="s">
        <v>47</v>
      </c>
      <c r="L27" s="9" t="s">
        <v>226</v>
      </c>
      <c r="M27" s="9" t="s">
        <v>227</v>
      </c>
      <c r="N27" s="9" t="s">
        <v>84</v>
      </c>
      <c r="O27" s="9" t="s">
        <v>51</v>
      </c>
      <c r="P27" s="9"/>
      <c r="Q27" s="9"/>
      <c r="R27" s="9" t="s">
        <v>61</v>
      </c>
      <c r="S27" s="14" t="s">
        <v>228</v>
      </c>
      <c r="T27" s="9" t="s">
        <v>229</v>
      </c>
      <c r="U27" s="9" t="s">
        <v>54</v>
      </c>
      <c r="V27" s="9" t="s">
        <v>55</v>
      </c>
      <c r="W27" s="9" t="s">
        <v>55</v>
      </c>
      <c r="X27" s="9" t="s">
        <v>196</v>
      </c>
      <c r="Y27" s="9" t="s">
        <v>197</v>
      </c>
      <c r="Z27" s="13" t="s">
        <v>230</v>
      </c>
    </row>
    <row r="28" spans="1:26" ht="32.25" hidden="1" customHeight="1">
      <c r="A28" s="8">
        <v>2300308</v>
      </c>
      <c r="B28" s="9" t="s">
        <v>231</v>
      </c>
      <c r="C28" s="10">
        <v>45142</v>
      </c>
      <c r="D28" s="9" t="s">
        <v>232</v>
      </c>
      <c r="E28" s="9" t="s">
        <v>41</v>
      </c>
      <c r="F28" s="9" t="s">
        <v>80</v>
      </c>
      <c r="G28" s="9" t="s">
        <v>43</v>
      </c>
      <c r="H28" s="9" t="s">
        <v>44</v>
      </c>
      <c r="I28" s="11" t="s">
        <v>233</v>
      </c>
      <c r="J28" s="9" t="s">
        <v>200</v>
      </c>
      <c r="K28" s="9" t="s">
        <v>234</v>
      </c>
      <c r="L28" s="9"/>
      <c r="M28" s="9" t="s">
        <v>235</v>
      </c>
      <c r="N28" s="9" t="s">
        <v>50</v>
      </c>
      <c r="O28" s="9" t="s">
        <v>187</v>
      </c>
      <c r="P28" s="9" t="s">
        <v>236</v>
      </c>
      <c r="Q28" s="9"/>
      <c r="R28" s="9" t="s">
        <v>61</v>
      </c>
      <c r="S28" s="9" t="s">
        <v>237</v>
      </c>
      <c r="T28" s="9" t="s">
        <v>238</v>
      </c>
      <c r="U28" s="9" t="s">
        <v>54</v>
      </c>
      <c r="V28" s="9" t="s">
        <v>239</v>
      </c>
      <c r="W28" s="9" t="s">
        <v>55</v>
      </c>
      <c r="X28" s="9" t="s">
        <v>64</v>
      </c>
      <c r="Y28" s="9" t="s">
        <v>65</v>
      </c>
      <c r="Z28" s="13" t="s">
        <v>240</v>
      </c>
    </row>
    <row r="29" spans="1:26" ht="32.25" hidden="1" customHeight="1">
      <c r="A29" s="8">
        <v>2312344</v>
      </c>
      <c r="B29" s="9" t="s">
        <v>241</v>
      </c>
      <c r="C29" s="10">
        <v>45156</v>
      </c>
      <c r="D29" s="9" t="s">
        <v>79</v>
      </c>
      <c r="E29" s="9" t="s">
        <v>89</v>
      </c>
      <c r="F29" s="9" t="s">
        <v>80</v>
      </c>
      <c r="G29" s="9" t="s">
        <v>43</v>
      </c>
      <c r="H29" s="9" t="s">
        <v>44</v>
      </c>
      <c r="I29" s="11" t="s">
        <v>101</v>
      </c>
      <c r="J29" s="9" t="s">
        <v>102</v>
      </c>
      <c r="K29" s="9" t="s">
        <v>47</v>
      </c>
      <c r="L29" s="9" t="s">
        <v>48</v>
      </c>
      <c r="M29" s="9" t="s">
        <v>242</v>
      </c>
      <c r="N29" s="9" t="s">
        <v>50</v>
      </c>
      <c r="O29" s="9" t="s">
        <v>51</v>
      </c>
      <c r="P29" s="9" t="s">
        <v>243</v>
      </c>
      <c r="Q29" s="9"/>
      <c r="R29" s="9" t="s">
        <v>61</v>
      </c>
      <c r="S29" s="14" t="s">
        <v>244</v>
      </c>
      <c r="T29" s="9" t="s">
        <v>245</v>
      </c>
      <c r="U29" s="9" t="s">
        <v>54</v>
      </c>
      <c r="V29" s="9" t="s">
        <v>55</v>
      </c>
      <c r="W29" s="9" t="s">
        <v>55</v>
      </c>
      <c r="X29" s="12" t="s">
        <v>98</v>
      </c>
      <c r="Y29" s="9" t="s">
        <v>99</v>
      </c>
      <c r="Z29" s="13"/>
    </row>
    <row r="30" spans="1:26" ht="32.25" customHeight="1">
      <c r="A30" s="8">
        <v>2315579</v>
      </c>
      <c r="B30" s="9" t="s">
        <v>246</v>
      </c>
      <c r="C30" s="10">
        <v>45153</v>
      </c>
      <c r="D30" s="9" t="s">
        <v>247</v>
      </c>
      <c r="E30" s="9" t="s">
        <v>248</v>
      </c>
      <c r="F30" s="9" t="s">
        <v>13288</v>
      </c>
      <c r="G30" s="9" t="s">
        <v>43</v>
      </c>
      <c r="H30" s="9" t="s">
        <v>44</v>
      </c>
      <c r="I30" s="11"/>
      <c r="J30" s="9" t="s">
        <v>249</v>
      </c>
      <c r="K30" s="9" t="s">
        <v>250</v>
      </c>
      <c r="L30" s="9"/>
      <c r="M30" s="9"/>
      <c r="N30" s="9" t="s">
        <v>50</v>
      </c>
      <c r="O30" s="9" t="s">
        <v>187</v>
      </c>
      <c r="P30" s="9"/>
      <c r="Q30" s="9"/>
      <c r="R30" s="9" t="s">
        <v>61</v>
      </c>
      <c r="S30" s="14"/>
      <c r="T30" s="9"/>
      <c r="U30" s="9" t="s">
        <v>55</v>
      </c>
      <c r="V30" s="9" t="s">
        <v>251</v>
      </c>
      <c r="W30" s="9" t="s">
        <v>55</v>
      </c>
      <c r="X30" s="12" t="s">
        <v>171</v>
      </c>
      <c r="Y30" s="9" t="s">
        <v>172</v>
      </c>
      <c r="Z30" s="13"/>
    </row>
    <row r="31" spans="1:26" ht="32.25" hidden="1" customHeight="1">
      <c r="A31" s="8">
        <v>2314635</v>
      </c>
      <c r="B31" s="9" t="s">
        <v>252</v>
      </c>
      <c r="C31" s="10">
        <v>45142</v>
      </c>
      <c r="D31" s="9" t="s">
        <v>232</v>
      </c>
      <c r="E31" s="9" t="s">
        <v>41</v>
      </c>
      <c r="F31" s="9" t="s">
        <v>80</v>
      </c>
      <c r="G31" s="9" t="s">
        <v>43</v>
      </c>
      <c r="H31" s="9" t="s">
        <v>44</v>
      </c>
      <c r="I31" s="11" t="s">
        <v>81</v>
      </c>
      <c r="J31" s="9" t="s">
        <v>46</v>
      </c>
      <c r="K31" s="9" t="s">
        <v>250</v>
      </c>
      <c r="L31" s="9"/>
      <c r="M31" s="9"/>
      <c r="N31" s="9" t="s">
        <v>50</v>
      </c>
      <c r="O31" s="9" t="s">
        <v>187</v>
      </c>
      <c r="P31" s="9" t="s">
        <v>253</v>
      </c>
      <c r="Q31" s="9"/>
      <c r="R31" s="9" t="s">
        <v>61</v>
      </c>
      <c r="S31" s="9" t="s">
        <v>254</v>
      </c>
      <c r="T31" s="9" t="s">
        <v>255</v>
      </c>
      <c r="U31" s="9" t="s">
        <v>54</v>
      </c>
      <c r="V31" s="9" t="s">
        <v>239</v>
      </c>
      <c r="W31" s="9" t="s">
        <v>55</v>
      </c>
      <c r="X31" s="12" t="s">
        <v>64</v>
      </c>
      <c r="Y31" s="9" t="s">
        <v>65</v>
      </c>
      <c r="Z31" s="13" t="s">
        <v>240</v>
      </c>
    </row>
    <row r="32" spans="1:26" ht="32.25" hidden="1" customHeight="1">
      <c r="A32" s="8">
        <v>2308244</v>
      </c>
      <c r="B32" s="9" t="s">
        <v>256</v>
      </c>
      <c r="C32" s="10">
        <v>45142</v>
      </c>
      <c r="D32" s="9" t="s">
        <v>67</v>
      </c>
      <c r="E32" s="9" t="s">
        <v>41</v>
      </c>
      <c r="F32" s="9" t="s">
        <v>42</v>
      </c>
      <c r="G32" s="9" t="s">
        <v>43</v>
      </c>
      <c r="H32" s="9" t="s">
        <v>44</v>
      </c>
      <c r="I32" s="11" t="s">
        <v>45</v>
      </c>
      <c r="J32" s="9" t="s">
        <v>46</v>
      </c>
      <c r="K32" s="9" t="s">
        <v>47</v>
      </c>
      <c r="L32" s="9" t="s">
        <v>82</v>
      </c>
      <c r="M32" s="9" t="s">
        <v>257</v>
      </c>
      <c r="N32" s="9" t="s">
        <v>50</v>
      </c>
      <c r="O32" s="9" t="s">
        <v>51</v>
      </c>
      <c r="P32" s="9"/>
      <c r="Q32" s="9"/>
      <c r="R32" s="9" t="s">
        <v>61</v>
      </c>
      <c r="S32" s="9" t="s">
        <v>258</v>
      </c>
      <c r="T32" s="9" t="s">
        <v>259</v>
      </c>
      <c r="U32" s="9" t="s">
        <v>54</v>
      </c>
      <c r="V32" s="9" t="s">
        <v>55</v>
      </c>
      <c r="W32" s="9" t="s">
        <v>55</v>
      </c>
      <c r="X32" s="9" t="s">
        <v>64</v>
      </c>
      <c r="Y32" s="9" t="s">
        <v>65</v>
      </c>
      <c r="Z32" s="13"/>
    </row>
    <row r="33" spans="1:26" ht="32.25" hidden="1" customHeight="1">
      <c r="A33" s="8">
        <v>2300359</v>
      </c>
      <c r="B33" s="9" t="s">
        <v>260</v>
      </c>
      <c r="C33" s="10">
        <v>45149</v>
      </c>
      <c r="D33" s="9" t="s">
        <v>261</v>
      </c>
      <c r="E33" s="9" t="s">
        <v>68</v>
      </c>
      <c r="F33" s="9" t="s">
        <v>262</v>
      </c>
      <c r="G33" s="9" t="s">
        <v>43</v>
      </c>
      <c r="H33" s="9" t="s">
        <v>44</v>
      </c>
      <c r="I33" s="11" t="s">
        <v>263</v>
      </c>
      <c r="J33" s="9" t="s">
        <v>264</v>
      </c>
      <c r="K33" s="9" t="s">
        <v>47</v>
      </c>
      <c r="L33" s="9" t="s">
        <v>156</v>
      </c>
      <c r="M33" s="9"/>
      <c r="N33" s="9" t="s">
        <v>50</v>
      </c>
      <c r="O33" s="9" t="s">
        <v>51</v>
      </c>
      <c r="P33" s="9"/>
      <c r="Q33" s="9"/>
      <c r="R33" s="9"/>
      <c r="S33" s="14" t="s">
        <v>265</v>
      </c>
      <c r="T33" s="9" t="s">
        <v>266</v>
      </c>
      <c r="U33" s="9" t="s">
        <v>262</v>
      </c>
      <c r="V33" s="9" t="s">
        <v>55</v>
      </c>
      <c r="W33" s="9" t="s">
        <v>115</v>
      </c>
      <c r="X33" s="12"/>
      <c r="Y33" s="9" t="s">
        <v>55</v>
      </c>
      <c r="Z33" s="13"/>
    </row>
    <row r="34" spans="1:26" ht="32.25" hidden="1" customHeight="1">
      <c r="A34" s="8">
        <v>2304211</v>
      </c>
      <c r="B34" s="9" t="s">
        <v>267</v>
      </c>
      <c r="C34" s="10">
        <v>45149</v>
      </c>
      <c r="D34" s="9" t="s">
        <v>57</v>
      </c>
      <c r="E34" s="9" t="s">
        <v>41</v>
      </c>
      <c r="F34" s="9" t="s">
        <v>42</v>
      </c>
      <c r="G34" s="9" t="s">
        <v>43</v>
      </c>
      <c r="H34" s="9" t="s">
        <v>58</v>
      </c>
      <c r="I34" s="11" t="s">
        <v>45</v>
      </c>
      <c r="J34" s="9" t="s">
        <v>46</v>
      </c>
      <c r="K34" s="9" t="s">
        <v>47</v>
      </c>
      <c r="L34" s="9" t="s">
        <v>156</v>
      </c>
      <c r="M34" s="9"/>
      <c r="N34" s="9" t="s">
        <v>50</v>
      </c>
      <c r="O34" s="9" t="s">
        <v>51</v>
      </c>
      <c r="P34" s="9"/>
      <c r="Q34" s="9"/>
      <c r="R34" s="9"/>
      <c r="S34" s="14" t="s">
        <v>268</v>
      </c>
      <c r="T34" s="9" t="s">
        <v>269</v>
      </c>
      <c r="U34" s="9" t="s">
        <v>54</v>
      </c>
      <c r="V34" s="9" t="s">
        <v>55</v>
      </c>
      <c r="W34" s="9" t="s">
        <v>55</v>
      </c>
      <c r="X34" s="12"/>
      <c r="Y34" s="9" t="s">
        <v>55</v>
      </c>
      <c r="Z34" s="13"/>
    </row>
    <row r="35" spans="1:26" ht="32.25" hidden="1" customHeight="1">
      <c r="A35" s="8">
        <v>2300342</v>
      </c>
      <c r="B35" s="9" t="s">
        <v>270</v>
      </c>
      <c r="C35" s="10">
        <v>45142</v>
      </c>
      <c r="D35" s="9" t="s">
        <v>232</v>
      </c>
      <c r="E35" s="9" t="s">
        <v>68</v>
      </c>
      <c r="F35" s="9" t="s">
        <v>80</v>
      </c>
      <c r="G35" s="9" t="s">
        <v>43</v>
      </c>
      <c r="H35" s="9" t="s">
        <v>44</v>
      </c>
      <c r="I35" s="11" t="s">
        <v>90</v>
      </c>
      <c r="J35" s="9" t="s">
        <v>91</v>
      </c>
      <c r="K35" s="9" t="s">
        <v>271</v>
      </c>
      <c r="L35" s="9"/>
      <c r="M35" s="9" t="s">
        <v>272</v>
      </c>
      <c r="N35" s="9" t="s">
        <v>84</v>
      </c>
      <c r="O35" s="9" t="s">
        <v>187</v>
      </c>
      <c r="P35" s="9" t="s">
        <v>273</v>
      </c>
      <c r="Q35" s="9"/>
      <c r="R35" s="9" t="s">
        <v>61</v>
      </c>
      <c r="S35" s="9" t="s">
        <v>274</v>
      </c>
      <c r="T35" s="9" t="s">
        <v>275</v>
      </c>
      <c r="U35" s="9" t="s">
        <v>54</v>
      </c>
      <c r="V35" s="9" t="s">
        <v>276</v>
      </c>
      <c r="W35" s="9" t="s">
        <v>55</v>
      </c>
      <c r="X35" s="12" t="s">
        <v>98</v>
      </c>
      <c r="Y35" s="9" t="s">
        <v>99</v>
      </c>
      <c r="Z35" s="13"/>
    </row>
    <row r="36" spans="1:26" ht="32.25" hidden="1" customHeight="1">
      <c r="A36" s="8">
        <v>2314804</v>
      </c>
      <c r="B36" s="9" t="s">
        <v>277</v>
      </c>
      <c r="C36" s="10">
        <v>45156</v>
      </c>
      <c r="D36" s="9" t="s">
        <v>79</v>
      </c>
      <c r="E36" s="9" t="s">
        <v>89</v>
      </c>
      <c r="F36" s="9" t="s">
        <v>80</v>
      </c>
      <c r="G36" s="9" t="s">
        <v>43</v>
      </c>
      <c r="H36" s="9" t="s">
        <v>44</v>
      </c>
      <c r="I36" s="11" t="s">
        <v>108</v>
      </c>
      <c r="J36" s="9" t="s">
        <v>109</v>
      </c>
      <c r="K36" s="9" t="s">
        <v>110</v>
      </c>
      <c r="L36" s="9" t="s">
        <v>278</v>
      </c>
      <c r="M36" s="9" t="s">
        <v>279</v>
      </c>
      <c r="N36" s="9" t="s">
        <v>50</v>
      </c>
      <c r="O36" s="9" t="s">
        <v>51</v>
      </c>
      <c r="P36" s="9" t="s">
        <v>112</v>
      </c>
      <c r="Q36" s="9"/>
      <c r="R36" s="9" t="s">
        <v>61</v>
      </c>
      <c r="S36" s="14" t="s">
        <v>280</v>
      </c>
      <c r="T36" s="9" t="s">
        <v>281</v>
      </c>
      <c r="U36" s="9" t="s">
        <v>54</v>
      </c>
      <c r="V36" s="9" t="s">
        <v>55</v>
      </c>
      <c r="W36" s="9" t="s">
        <v>55</v>
      </c>
      <c r="X36" s="12" t="s">
        <v>98</v>
      </c>
      <c r="Y36" s="9" t="s">
        <v>99</v>
      </c>
      <c r="Z36" s="13"/>
    </row>
    <row r="37" spans="1:26" ht="32.25" hidden="1" customHeight="1">
      <c r="A37" s="8">
        <v>2314626</v>
      </c>
      <c r="B37" s="9" t="s">
        <v>282</v>
      </c>
      <c r="C37" s="10">
        <v>45156</v>
      </c>
      <c r="D37" s="9" t="s">
        <v>79</v>
      </c>
      <c r="E37" s="9" t="s">
        <v>68</v>
      </c>
      <c r="F37" s="9" t="s">
        <v>80</v>
      </c>
      <c r="G37" s="9" t="s">
        <v>43</v>
      </c>
      <c r="H37" s="9" t="s">
        <v>44</v>
      </c>
      <c r="I37" s="11" t="s">
        <v>117</v>
      </c>
      <c r="J37" s="9" t="s">
        <v>118</v>
      </c>
      <c r="K37" s="9" t="s">
        <v>92</v>
      </c>
      <c r="L37" s="9" t="s">
        <v>283</v>
      </c>
      <c r="M37" s="9" t="s">
        <v>284</v>
      </c>
      <c r="N37" s="9" t="s">
        <v>50</v>
      </c>
      <c r="O37" s="9" t="s">
        <v>51</v>
      </c>
      <c r="P37" s="9" t="s">
        <v>285</v>
      </c>
      <c r="Q37" s="9"/>
      <c r="R37" s="9" t="s">
        <v>61</v>
      </c>
      <c r="S37" s="14" t="s">
        <v>286</v>
      </c>
      <c r="T37" s="9" t="s">
        <v>287</v>
      </c>
      <c r="U37" s="9" t="s">
        <v>54</v>
      </c>
      <c r="V37" s="9" t="s">
        <v>55</v>
      </c>
      <c r="W37" s="9" t="s">
        <v>55</v>
      </c>
      <c r="X37" s="12" t="s">
        <v>76</v>
      </c>
      <c r="Y37" s="9" t="s">
        <v>77</v>
      </c>
      <c r="Z37" s="13" t="s">
        <v>288</v>
      </c>
    </row>
    <row r="38" spans="1:26" ht="32.25" hidden="1" customHeight="1">
      <c r="A38" s="8">
        <v>2303163</v>
      </c>
      <c r="B38" s="9" t="s">
        <v>289</v>
      </c>
      <c r="C38" s="10">
        <v>45149</v>
      </c>
      <c r="D38" s="9" t="s">
        <v>57</v>
      </c>
      <c r="E38" s="9" t="s">
        <v>41</v>
      </c>
      <c r="F38" s="9" t="s">
        <v>42</v>
      </c>
      <c r="G38" s="9" t="s">
        <v>43</v>
      </c>
      <c r="H38" s="9" t="s">
        <v>58</v>
      </c>
      <c r="I38" s="11" t="s">
        <v>45</v>
      </c>
      <c r="J38" s="9" t="s">
        <v>46</v>
      </c>
      <c r="K38" s="9" t="s">
        <v>47</v>
      </c>
      <c r="L38" s="9" t="s">
        <v>290</v>
      </c>
      <c r="M38" s="9" t="s">
        <v>291</v>
      </c>
      <c r="N38" s="9" t="s">
        <v>84</v>
      </c>
      <c r="O38" s="9" t="s">
        <v>51</v>
      </c>
      <c r="P38" s="9"/>
      <c r="Q38" s="9"/>
      <c r="R38" s="9"/>
      <c r="S38" s="14" t="s">
        <v>292</v>
      </c>
      <c r="T38" s="9" t="s">
        <v>293</v>
      </c>
      <c r="U38" s="9" t="s">
        <v>54</v>
      </c>
      <c r="V38" s="9" t="s">
        <v>55</v>
      </c>
      <c r="W38" s="9" t="s">
        <v>55</v>
      </c>
      <c r="X38" s="12"/>
      <c r="Y38" s="9" t="s">
        <v>55</v>
      </c>
      <c r="Z38" s="13"/>
    </row>
    <row r="39" spans="1:26" ht="32.25" hidden="1" customHeight="1">
      <c r="A39" s="8">
        <v>2301360</v>
      </c>
      <c r="B39" s="9" t="s">
        <v>294</v>
      </c>
      <c r="C39" s="10">
        <v>45149</v>
      </c>
      <c r="D39" s="9" t="s">
        <v>57</v>
      </c>
      <c r="E39" s="9" t="s">
        <v>295</v>
      </c>
      <c r="F39" s="9" t="s">
        <v>42</v>
      </c>
      <c r="G39" s="9" t="s">
        <v>43</v>
      </c>
      <c r="H39" s="9" t="s">
        <v>58</v>
      </c>
      <c r="I39" s="11" t="s">
        <v>296</v>
      </c>
      <c r="J39" s="9" t="s">
        <v>297</v>
      </c>
      <c r="K39" s="9" t="s">
        <v>47</v>
      </c>
      <c r="L39" s="9" t="s">
        <v>156</v>
      </c>
      <c r="M39" s="9"/>
      <c r="N39" s="9" t="s">
        <v>84</v>
      </c>
      <c r="O39" s="9" t="s">
        <v>51</v>
      </c>
      <c r="P39" s="9"/>
      <c r="Q39" s="9"/>
      <c r="R39" s="9"/>
      <c r="S39" s="14" t="s">
        <v>298</v>
      </c>
      <c r="T39" s="9" t="s">
        <v>299</v>
      </c>
      <c r="U39" s="9" t="s">
        <v>54</v>
      </c>
      <c r="V39" s="9" t="s">
        <v>55</v>
      </c>
      <c r="W39" s="9" t="s">
        <v>55</v>
      </c>
      <c r="X39" s="12"/>
      <c r="Y39" s="9" t="s">
        <v>55</v>
      </c>
      <c r="Z39" s="13"/>
    </row>
    <row r="40" spans="1:26" ht="32.25" hidden="1" customHeight="1">
      <c r="A40" s="8">
        <v>2302618</v>
      </c>
      <c r="B40" s="9" t="s">
        <v>300</v>
      </c>
      <c r="C40" s="10">
        <v>45136</v>
      </c>
      <c r="D40" s="9" t="s">
        <v>301</v>
      </c>
      <c r="E40" s="9" t="s">
        <v>41</v>
      </c>
      <c r="F40" s="9" t="s">
        <v>42</v>
      </c>
      <c r="G40" s="9" t="s">
        <v>43</v>
      </c>
      <c r="H40" s="9" t="s">
        <v>44</v>
      </c>
      <c r="I40" s="11" t="s">
        <v>129</v>
      </c>
      <c r="J40" s="9" t="s">
        <v>130</v>
      </c>
      <c r="K40" s="9" t="s">
        <v>47</v>
      </c>
      <c r="L40" s="9" t="s">
        <v>156</v>
      </c>
      <c r="M40" s="9"/>
      <c r="N40" s="9" t="s">
        <v>84</v>
      </c>
      <c r="O40" s="9" t="s">
        <v>51</v>
      </c>
      <c r="P40" s="9"/>
      <c r="Q40" s="9"/>
      <c r="R40" s="9"/>
      <c r="S40" s="9" t="s">
        <v>302</v>
      </c>
      <c r="T40" s="9" t="s">
        <v>303</v>
      </c>
      <c r="U40" s="9" t="s">
        <v>54</v>
      </c>
      <c r="V40" s="9" t="s">
        <v>55</v>
      </c>
      <c r="W40" s="9" t="s">
        <v>55</v>
      </c>
      <c r="X40" s="12"/>
      <c r="Y40" s="9" t="s">
        <v>55</v>
      </c>
      <c r="Z40" s="13"/>
    </row>
    <row r="41" spans="1:26" ht="32.25" hidden="1" customHeight="1">
      <c r="A41" s="8">
        <v>2301773</v>
      </c>
      <c r="B41" s="9" t="s">
        <v>304</v>
      </c>
      <c r="C41" s="10">
        <v>45149</v>
      </c>
      <c r="D41" s="9" t="s">
        <v>57</v>
      </c>
      <c r="E41" s="9" t="s">
        <v>295</v>
      </c>
      <c r="F41" s="9" t="s">
        <v>42</v>
      </c>
      <c r="G41" s="9" t="s">
        <v>43</v>
      </c>
      <c r="H41" s="9" t="s">
        <v>58</v>
      </c>
      <c r="I41" s="11" t="s">
        <v>296</v>
      </c>
      <c r="J41" s="9" t="s">
        <v>297</v>
      </c>
      <c r="K41" s="9" t="s">
        <v>47</v>
      </c>
      <c r="L41" s="9" t="s">
        <v>305</v>
      </c>
      <c r="M41" s="9" t="s">
        <v>306</v>
      </c>
      <c r="N41" s="9" t="s">
        <v>50</v>
      </c>
      <c r="O41" s="9" t="s">
        <v>51</v>
      </c>
      <c r="P41" s="9"/>
      <c r="Q41" s="9"/>
      <c r="R41" s="9"/>
      <c r="S41" s="14" t="s">
        <v>307</v>
      </c>
      <c r="T41" s="9" t="s">
        <v>308</v>
      </c>
      <c r="U41" s="9" t="s">
        <v>54</v>
      </c>
      <c r="V41" s="9" t="s">
        <v>55</v>
      </c>
      <c r="W41" s="9" t="s">
        <v>55</v>
      </c>
      <c r="X41" s="12"/>
      <c r="Y41" s="9" t="s">
        <v>55</v>
      </c>
      <c r="Z41" s="13"/>
    </row>
    <row r="42" spans="1:26" ht="32.25" hidden="1" customHeight="1">
      <c r="A42" s="8">
        <v>2312073</v>
      </c>
      <c r="B42" s="9" t="s">
        <v>309</v>
      </c>
      <c r="C42" s="10">
        <v>45142</v>
      </c>
      <c r="D42" s="9" t="s">
        <v>67</v>
      </c>
      <c r="E42" s="9" t="s">
        <v>143</v>
      </c>
      <c r="F42" s="9" t="s">
        <v>42</v>
      </c>
      <c r="G42" s="9" t="s">
        <v>43</v>
      </c>
      <c r="H42" s="9" t="s">
        <v>44</v>
      </c>
      <c r="I42" s="11" t="s">
        <v>219</v>
      </c>
      <c r="J42" s="9" t="s">
        <v>220</v>
      </c>
      <c r="K42" s="9" t="s">
        <v>47</v>
      </c>
      <c r="L42" s="9" t="s">
        <v>310</v>
      </c>
      <c r="M42" s="9" t="s">
        <v>311</v>
      </c>
      <c r="N42" s="9" t="s">
        <v>84</v>
      </c>
      <c r="O42" s="9" t="s">
        <v>51</v>
      </c>
      <c r="P42" s="9"/>
      <c r="Q42" s="9"/>
      <c r="R42" s="9" t="s">
        <v>61</v>
      </c>
      <c r="S42" s="9" t="s">
        <v>312</v>
      </c>
      <c r="T42" s="9" t="s">
        <v>313</v>
      </c>
      <c r="U42" s="9" t="s">
        <v>54</v>
      </c>
      <c r="V42" s="9" t="s">
        <v>55</v>
      </c>
      <c r="W42" s="9" t="s">
        <v>55</v>
      </c>
      <c r="X42" s="12" t="s">
        <v>171</v>
      </c>
      <c r="Y42" s="9" t="s">
        <v>172</v>
      </c>
      <c r="Z42" s="13"/>
    </row>
    <row r="43" spans="1:26" ht="32.25" hidden="1" customHeight="1">
      <c r="A43" s="8">
        <v>2309579</v>
      </c>
      <c r="B43" s="9" t="s">
        <v>314</v>
      </c>
      <c r="C43" s="10">
        <v>45156</v>
      </c>
      <c r="D43" s="9" t="s">
        <v>79</v>
      </c>
      <c r="E43" s="9" t="s">
        <v>89</v>
      </c>
      <c r="F43" s="9" t="s">
        <v>80</v>
      </c>
      <c r="G43" s="9" t="s">
        <v>43</v>
      </c>
      <c r="H43" s="9" t="s">
        <v>44</v>
      </c>
      <c r="I43" s="11" t="s">
        <v>101</v>
      </c>
      <c r="J43" s="9" t="s">
        <v>102</v>
      </c>
      <c r="K43" s="9" t="s">
        <v>47</v>
      </c>
      <c r="L43" s="9" t="s">
        <v>82</v>
      </c>
      <c r="M43" s="9" t="s">
        <v>315</v>
      </c>
      <c r="N43" s="9" t="s">
        <v>50</v>
      </c>
      <c r="O43" s="9" t="s">
        <v>51</v>
      </c>
      <c r="P43" s="9" t="s">
        <v>104</v>
      </c>
      <c r="Q43" s="9"/>
      <c r="R43" s="9" t="s">
        <v>61</v>
      </c>
      <c r="S43" s="14" t="s">
        <v>316</v>
      </c>
      <c r="T43" s="9" t="s">
        <v>317</v>
      </c>
      <c r="U43" s="9" t="s">
        <v>54</v>
      </c>
      <c r="V43" s="9" t="s">
        <v>318</v>
      </c>
      <c r="W43" s="9" t="s">
        <v>115</v>
      </c>
      <c r="X43" s="12" t="s">
        <v>319</v>
      </c>
      <c r="Y43" s="9" t="s">
        <v>320</v>
      </c>
      <c r="Z43" s="13"/>
    </row>
    <row r="44" spans="1:26" ht="32.25" hidden="1" customHeight="1">
      <c r="A44" s="8">
        <v>2308768</v>
      </c>
      <c r="B44" s="9" t="s">
        <v>321</v>
      </c>
      <c r="C44" s="10">
        <v>45142</v>
      </c>
      <c r="D44" s="9" t="s">
        <v>67</v>
      </c>
      <c r="E44" s="9" t="s">
        <v>68</v>
      </c>
      <c r="F44" s="9" t="s">
        <v>135</v>
      </c>
      <c r="G44" s="9" t="s">
        <v>43</v>
      </c>
      <c r="H44" s="9" t="s">
        <v>44</v>
      </c>
      <c r="I44" s="11" t="s">
        <v>136</v>
      </c>
      <c r="J44" s="9" t="s">
        <v>137</v>
      </c>
      <c r="K44" s="9" t="s">
        <v>110</v>
      </c>
      <c r="L44" s="9"/>
      <c r="M44" s="9" t="s">
        <v>322</v>
      </c>
      <c r="N44" s="9" t="s">
        <v>50</v>
      </c>
      <c r="O44" s="9" t="s">
        <v>51</v>
      </c>
      <c r="P44" s="9"/>
      <c r="Q44" s="9"/>
      <c r="R44" s="9" t="s">
        <v>61</v>
      </c>
      <c r="S44" s="9" t="s">
        <v>323</v>
      </c>
      <c r="T44" s="9" t="s">
        <v>324</v>
      </c>
      <c r="U44" s="9" t="s">
        <v>54</v>
      </c>
      <c r="V44" s="9" t="s">
        <v>55</v>
      </c>
      <c r="W44" s="9" t="s">
        <v>55</v>
      </c>
      <c r="X44" s="12" t="s">
        <v>76</v>
      </c>
      <c r="Y44" s="9" t="s">
        <v>77</v>
      </c>
      <c r="Z44" s="13"/>
    </row>
    <row r="45" spans="1:26" ht="32.25" hidden="1" customHeight="1">
      <c r="A45" s="8">
        <v>2314368</v>
      </c>
      <c r="B45" s="9" t="s">
        <v>325</v>
      </c>
      <c r="C45" s="10">
        <v>45142</v>
      </c>
      <c r="D45" s="9" t="s">
        <v>232</v>
      </c>
      <c r="E45" s="9" t="s">
        <v>143</v>
      </c>
      <c r="F45" s="9" t="s">
        <v>80</v>
      </c>
      <c r="G45" s="9" t="s">
        <v>43</v>
      </c>
      <c r="H45" s="9" t="s">
        <v>44</v>
      </c>
      <c r="I45" s="11" t="s">
        <v>326</v>
      </c>
      <c r="J45" s="9" t="s">
        <v>327</v>
      </c>
      <c r="K45" s="9" t="s">
        <v>250</v>
      </c>
      <c r="L45" s="9"/>
      <c r="M45" s="9"/>
      <c r="N45" s="9" t="s">
        <v>50</v>
      </c>
      <c r="O45" s="9" t="s">
        <v>187</v>
      </c>
      <c r="P45" s="9" t="s">
        <v>328</v>
      </c>
      <c r="Q45" s="9"/>
      <c r="R45" s="9" t="s">
        <v>61</v>
      </c>
      <c r="S45" s="9" t="s">
        <v>329</v>
      </c>
      <c r="T45" s="9" t="s">
        <v>330</v>
      </c>
      <c r="U45" s="9" t="s">
        <v>54</v>
      </c>
      <c r="V45" s="9" t="s">
        <v>331</v>
      </c>
      <c r="W45" s="9" t="s">
        <v>115</v>
      </c>
      <c r="X45" s="12" t="s">
        <v>64</v>
      </c>
      <c r="Y45" s="9" t="s">
        <v>65</v>
      </c>
      <c r="Z45" s="13" t="s">
        <v>332</v>
      </c>
    </row>
    <row r="46" spans="1:26" ht="32.25" hidden="1" customHeight="1">
      <c r="A46" s="8">
        <v>2300668</v>
      </c>
      <c r="B46" s="9" t="s">
        <v>333</v>
      </c>
      <c r="C46" s="10">
        <v>45142</v>
      </c>
      <c r="D46" s="9" t="s">
        <v>67</v>
      </c>
      <c r="E46" s="9" t="s">
        <v>143</v>
      </c>
      <c r="F46" s="9" t="s">
        <v>42</v>
      </c>
      <c r="G46" s="9" t="s">
        <v>43</v>
      </c>
      <c r="H46" s="9" t="s">
        <v>44</v>
      </c>
      <c r="I46" s="11" t="s">
        <v>334</v>
      </c>
      <c r="J46" s="9" t="s">
        <v>327</v>
      </c>
      <c r="K46" s="9" t="s">
        <v>47</v>
      </c>
      <c r="L46" s="9" t="s">
        <v>156</v>
      </c>
      <c r="M46" s="9" t="s">
        <v>335</v>
      </c>
      <c r="N46" s="9" t="s">
        <v>84</v>
      </c>
      <c r="O46" s="9" t="s">
        <v>51</v>
      </c>
      <c r="P46" s="9" t="s">
        <v>336</v>
      </c>
      <c r="Q46" s="9"/>
      <c r="R46" s="9"/>
      <c r="S46" s="9" t="s">
        <v>337</v>
      </c>
      <c r="T46" s="9" t="s">
        <v>338</v>
      </c>
      <c r="U46" s="9" t="s">
        <v>54</v>
      </c>
      <c r="V46" s="9" t="s">
        <v>55</v>
      </c>
      <c r="W46" s="9" t="s">
        <v>55</v>
      </c>
      <c r="X46" s="12"/>
      <c r="Y46" s="9" t="s">
        <v>55</v>
      </c>
      <c r="Z46" s="13"/>
    </row>
    <row r="47" spans="1:26" ht="32.25" hidden="1" customHeight="1">
      <c r="A47" s="8">
        <v>2309279</v>
      </c>
      <c r="B47" s="9" t="s">
        <v>339</v>
      </c>
      <c r="C47" s="10">
        <v>45149</v>
      </c>
      <c r="D47" s="9" t="s">
        <v>261</v>
      </c>
      <c r="E47" s="9" t="s">
        <v>68</v>
      </c>
      <c r="F47" s="9" t="s">
        <v>262</v>
      </c>
      <c r="G47" s="9" t="s">
        <v>43</v>
      </c>
      <c r="H47" s="9" t="s">
        <v>44</v>
      </c>
      <c r="I47" s="11" t="s">
        <v>263</v>
      </c>
      <c r="J47" s="9" t="s">
        <v>264</v>
      </c>
      <c r="K47" s="9" t="s">
        <v>47</v>
      </c>
      <c r="L47" s="9" t="s">
        <v>340</v>
      </c>
      <c r="M47" s="9" t="s">
        <v>341</v>
      </c>
      <c r="N47" s="9" t="s">
        <v>50</v>
      </c>
      <c r="O47" s="9" t="s">
        <v>51</v>
      </c>
      <c r="P47" s="9"/>
      <c r="Q47" s="9"/>
      <c r="R47" s="9"/>
      <c r="S47" s="14" t="s">
        <v>342</v>
      </c>
      <c r="T47" s="9" t="s">
        <v>343</v>
      </c>
      <c r="U47" s="9" t="s">
        <v>262</v>
      </c>
      <c r="V47" s="9" t="s">
        <v>55</v>
      </c>
      <c r="W47" s="9" t="s">
        <v>55</v>
      </c>
      <c r="X47" s="12"/>
      <c r="Y47" s="9" t="s">
        <v>55</v>
      </c>
      <c r="Z47" s="13"/>
    </row>
    <row r="48" spans="1:26" ht="32.25" hidden="1" customHeight="1">
      <c r="A48" s="8">
        <v>2314225</v>
      </c>
      <c r="B48" s="9" t="s">
        <v>344</v>
      </c>
      <c r="C48" s="10">
        <v>45156</v>
      </c>
      <c r="D48" s="9" t="s">
        <v>79</v>
      </c>
      <c r="E48" s="9" t="s">
        <v>41</v>
      </c>
      <c r="F48" s="9" t="s">
        <v>80</v>
      </c>
      <c r="G48" s="9" t="s">
        <v>43</v>
      </c>
      <c r="H48" s="9" t="s">
        <v>44</v>
      </c>
      <c r="I48" s="11" t="s">
        <v>81</v>
      </c>
      <c r="J48" s="9" t="s">
        <v>46</v>
      </c>
      <c r="K48" s="9" t="s">
        <v>47</v>
      </c>
      <c r="L48" s="9" t="s">
        <v>162</v>
      </c>
      <c r="M48" s="9" t="s">
        <v>345</v>
      </c>
      <c r="N48" s="9" t="s">
        <v>50</v>
      </c>
      <c r="O48" s="9" t="s">
        <v>51</v>
      </c>
      <c r="P48" s="9" t="s">
        <v>85</v>
      </c>
      <c r="Q48" s="9"/>
      <c r="R48" s="9"/>
      <c r="S48" s="14" t="s">
        <v>346</v>
      </c>
      <c r="T48" s="9" t="s">
        <v>347</v>
      </c>
      <c r="U48" s="9" t="s">
        <v>54</v>
      </c>
      <c r="V48" s="9"/>
      <c r="W48" s="9" t="s">
        <v>115</v>
      </c>
      <c r="X48" s="12"/>
      <c r="Y48" s="9" t="s">
        <v>55</v>
      </c>
      <c r="Z48" s="13"/>
    </row>
    <row r="49" spans="1:26" ht="32.25" hidden="1" customHeight="1">
      <c r="A49" s="8">
        <v>2302668</v>
      </c>
      <c r="B49" s="9" t="s">
        <v>348</v>
      </c>
      <c r="C49" s="10">
        <v>45156</v>
      </c>
      <c r="D49" s="9" t="s">
        <v>79</v>
      </c>
      <c r="E49" s="9" t="s">
        <v>41</v>
      </c>
      <c r="F49" s="9" t="s">
        <v>80</v>
      </c>
      <c r="G49" s="9" t="s">
        <v>43</v>
      </c>
      <c r="H49" s="9" t="s">
        <v>44</v>
      </c>
      <c r="I49" s="11" t="s">
        <v>233</v>
      </c>
      <c r="J49" s="9" t="s">
        <v>200</v>
      </c>
      <c r="K49" s="9" t="s">
        <v>47</v>
      </c>
      <c r="L49" s="9" t="s">
        <v>349</v>
      </c>
      <c r="M49" s="9" t="s">
        <v>350</v>
      </c>
      <c r="N49" s="9" t="s">
        <v>50</v>
      </c>
      <c r="O49" s="9" t="s">
        <v>51</v>
      </c>
      <c r="P49" s="9" t="s">
        <v>236</v>
      </c>
      <c r="Q49" s="9"/>
      <c r="R49" s="9"/>
      <c r="S49" s="14" t="s">
        <v>351</v>
      </c>
      <c r="T49" s="9" t="s">
        <v>352</v>
      </c>
      <c r="U49" s="9" t="s">
        <v>54</v>
      </c>
      <c r="V49" s="9"/>
      <c r="W49" s="9" t="s">
        <v>115</v>
      </c>
      <c r="X49" s="12"/>
      <c r="Y49" s="9" t="s">
        <v>55</v>
      </c>
      <c r="Z49" s="13"/>
    </row>
    <row r="50" spans="1:26" ht="32.25" hidden="1" customHeight="1">
      <c r="A50" s="8">
        <v>2307048</v>
      </c>
      <c r="B50" s="9" t="s">
        <v>353</v>
      </c>
      <c r="C50" s="10">
        <v>45142</v>
      </c>
      <c r="D50" s="9" t="s">
        <v>67</v>
      </c>
      <c r="E50" s="9" t="s">
        <v>89</v>
      </c>
      <c r="F50" s="9" t="s">
        <v>42</v>
      </c>
      <c r="G50" s="9" t="s">
        <v>43</v>
      </c>
      <c r="H50" s="9" t="s">
        <v>44</v>
      </c>
      <c r="I50" s="11" t="s">
        <v>354</v>
      </c>
      <c r="J50" s="9" t="s">
        <v>91</v>
      </c>
      <c r="K50" s="9" t="s">
        <v>110</v>
      </c>
      <c r="L50" s="9" t="s">
        <v>111</v>
      </c>
      <c r="M50" s="9" t="s">
        <v>355</v>
      </c>
      <c r="N50" s="9" t="s">
        <v>50</v>
      </c>
      <c r="O50" s="9" t="s">
        <v>51</v>
      </c>
      <c r="P50" s="9" t="s">
        <v>356</v>
      </c>
      <c r="Q50" s="9"/>
      <c r="R50" s="9" t="s">
        <v>61</v>
      </c>
      <c r="S50" s="9" t="s">
        <v>357</v>
      </c>
      <c r="T50" s="9" t="s">
        <v>358</v>
      </c>
      <c r="U50" s="9" t="s">
        <v>54</v>
      </c>
      <c r="V50" s="9" t="s">
        <v>55</v>
      </c>
      <c r="W50" s="9" t="s">
        <v>55</v>
      </c>
      <c r="X50" s="12" t="s">
        <v>98</v>
      </c>
      <c r="Y50" s="9" t="s">
        <v>99</v>
      </c>
      <c r="Z50" s="13"/>
    </row>
    <row r="51" spans="1:26" ht="32.25" hidden="1" customHeight="1">
      <c r="A51" s="8">
        <v>2305088</v>
      </c>
      <c r="B51" s="9" t="s">
        <v>359</v>
      </c>
      <c r="C51" s="10">
        <v>45142</v>
      </c>
      <c r="D51" s="9" t="s">
        <v>67</v>
      </c>
      <c r="E51" s="9" t="s">
        <v>89</v>
      </c>
      <c r="F51" s="9" t="s">
        <v>42</v>
      </c>
      <c r="G51" s="9" t="s">
        <v>43</v>
      </c>
      <c r="H51" s="9" t="s">
        <v>44</v>
      </c>
      <c r="I51" s="11" t="s">
        <v>360</v>
      </c>
      <c r="J51" s="9" t="s">
        <v>102</v>
      </c>
      <c r="K51" s="9" t="s">
        <v>47</v>
      </c>
      <c r="L51" s="9" t="s">
        <v>156</v>
      </c>
      <c r="M51" s="9"/>
      <c r="N51" s="9" t="s">
        <v>50</v>
      </c>
      <c r="O51" s="9" t="s">
        <v>51</v>
      </c>
      <c r="P51" s="9" t="s">
        <v>361</v>
      </c>
      <c r="Q51" s="9"/>
      <c r="R51" s="9"/>
      <c r="S51" s="9" t="s">
        <v>362</v>
      </c>
      <c r="T51" s="9" t="s">
        <v>363</v>
      </c>
      <c r="U51" s="9" t="s">
        <v>54</v>
      </c>
      <c r="V51" s="9" t="s">
        <v>55</v>
      </c>
      <c r="W51" s="9" t="s">
        <v>55</v>
      </c>
      <c r="X51" s="12"/>
      <c r="Y51" s="9" t="s">
        <v>55</v>
      </c>
      <c r="Z51" s="13"/>
    </row>
    <row r="52" spans="1:26" ht="32.25" hidden="1" customHeight="1">
      <c r="A52" s="8">
        <v>2309081</v>
      </c>
      <c r="B52" s="9" t="s">
        <v>364</v>
      </c>
      <c r="C52" s="10">
        <v>45156</v>
      </c>
      <c r="D52" s="9" t="s">
        <v>79</v>
      </c>
      <c r="E52" s="9" t="s">
        <v>89</v>
      </c>
      <c r="F52" s="9" t="s">
        <v>80</v>
      </c>
      <c r="G52" s="9" t="s">
        <v>43</v>
      </c>
      <c r="H52" s="9" t="s">
        <v>44</v>
      </c>
      <c r="I52" s="11" t="s">
        <v>365</v>
      </c>
      <c r="J52" s="9" t="s">
        <v>366</v>
      </c>
      <c r="K52" s="9" t="s">
        <v>47</v>
      </c>
      <c r="L52" s="9" t="s">
        <v>156</v>
      </c>
      <c r="M52" s="9"/>
      <c r="N52" s="9" t="s">
        <v>84</v>
      </c>
      <c r="O52" s="9" t="s">
        <v>51</v>
      </c>
      <c r="P52" s="9" t="s">
        <v>367</v>
      </c>
      <c r="Q52" s="9"/>
      <c r="R52" s="9"/>
      <c r="S52" s="14" t="s">
        <v>368</v>
      </c>
      <c r="T52" s="9" t="s">
        <v>369</v>
      </c>
      <c r="U52" s="9" t="s">
        <v>54</v>
      </c>
      <c r="V52" s="9" t="s">
        <v>370</v>
      </c>
      <c r="W52" s="9" t="s">
        <v>115</v>
      </c>
      <c r="X52" s="12"/>
      <c r="Y52" s="9" t="s">
        <v>55</v>
      </c>
      <c r="Z52" s="13"/>
    </row>
    <row r="53" spans="1:26" ht="32.25" hidden="1" customHeight="1">
      <c r="A53" s="8">
        <v>2301752</v>
      </c>
      <c r="B53" s="9" t="s">
        <v>371</v>
      </c>
      <c r="C53" s="10">
        <v>45149</v>
      </c>
      <c r="D53" s="9" t="s">
        <v>57</v>
      </c>
      <c r="E53" s="9" t="s">
        <v>41</v>
      </c>
      <c r="F53" s="9" t="s">
        <v>42</v>
      </c>
      <c r="G53" s="9" t="s">
        <v>43</v>
      </c>
      <c r="H53" s="9" t="s">
        <v>58</v>
      </c>
      <c r="I53" s="11" t="s">
        <v>199</v>
      </c>
      <c r="J53" s="9" t="s">
        <v>200</v>
      </c>
      <c r="K53" s="9" t="s">
        <v>47</v>
      </c>
      <c r="L53" s="9" t="s">
        <v>48</v>
      </c>
      <c r="M53" s="9" t="s">
        <v>372</v>
      </c>
      <c r="N53" s="9" t="s">
        <v>84</v>
      </c>
      <c r="O53" s="9" t="s">
        <v>51</v>
      </c>
      <c r="P53" s="9"/>
      <c r="Q53" s="9"/>
      <c r="R53" s="9"/>
      <c r="S53" s="14" t="s">
        <v>373</v>
      </c>
      <c r="T53" s="9" t="s">
        <v>374</v>
      </c>
      <c r="U53" s="9" t="s">
        <v>54</v>
      </c>
      <c r="V53" s="9" t="s">
        <v>55</v>
      </c>
      <c r="W53" s="9" t="s">
        <v>55</v>
      </c>
      <c r="X53" s="12"/>
      <c r="Y53" s="9" t="s">
        <v>55</v>
      </c>
      <c r="Z53" s="13"/>
    </row>
    <row r="54" spans="1:26" ht="32.25" hidden="1" customHeight="1">
      <c r="A54" s="8">
        <v>2302191</v>
      </c>
      <c r="B54" s="9" t="s">
        <v>375</v>
      </c>
      <c r="C54" s="10">
        <v>45156</v>
      </c>
      <c r="D54" s="9" t="s">
        <v>79</v>
      </c>
      <c r="E54" s="9" t="s">
        <v>89</v>
      </c>
      <c r="F54" s="9" t="s">
        <v>80</v>
      </c>
      <c r="G54" s="9" t="s">
        <v>43</v>
      </c>
      <c r="H54" s="9" t="s">
        <v>44</v>
      </c>
      <c r="I54" s="11" t="s">
        <v>101</v>
      </c>
      <c r="J54" s="9" t="s">
        <v>102</v>
      </c>
      <c r="K54" s="9" t="s">
        <v>47</v>
      </c>
      <c r="L54" s="9" t="s">
        <v>156</v>
      </c>
      <c r="M54" s="9"/>
      <c r="N54" s="9" t="s">
        <v>50</v>
      </c>
      <c r="O54" s="9" t="s">
        <v>51</v>
      </c>
      <c r="P54" s="9" t="s">
        <v>104</v>
      </c>
      <c r="Q54" s="9"/>
      <c r="R54" s="9"/>
      <c r="S54" s="14" t="s">
        <v>376</v>
      </c>
      <c r="T54" s="9" t="s">
        <v>377</v>
      </c>
      <c r="U54" s="9" t="s">
        <v>54</v>
      </c>
      <c r="V54" s="9"/>
      <c r="W54" s="9" t="s">
        <v>115</v>
      </c>
      <c r="X54" s="12"/>
      <c r="Y54" s="9" t="s">
        <v>55</v>
      </c>
      <c r="Z54" s="13"/>
    </row>
    <row r="55" spans="1:26" ht="32.25" hidden="1" customHeight="1">
      <c r="A55" s="8">
        <v>2310450</v>
      </c>
      <c r="B55" s="9" t="s">
        <v>378</v>
      </c>
      <c r="C55" s="10">
        <v>45156</v>
      </c>
      <c r="D55" s="9" t="s">
        <v>79</v>
      </c>
      <c r="E55" s="9" t="s">
        <v>68</v>
      </c>
      <c r="F55" s="9" t="s">
        <v>80</v>
      </c>
      <c r="G55" s="9" t="s">
        <v>43</v>
      </c>
      <c r="H55" s="9" t="s">
        <v>44</v>
      </c>
      <c r="I55" s="11" t="s">
        <v>101</v>
      </c>
      <c r="J55" s="9" t="s">
        <v>102</v>
      </c>
      <c r="K55" s="9" t="s">
        <v>110</v>
      </c>
      <c r="L55" s="9"/>
      <c r="M55" s="9"/>
      <c r="N55" s="9" t="s">
        <v>50</v>
      </c>
      <c r="O55" s="9" t="s">
        <v>51</v>
      </c>
      <c r="P55" s="9" t="s">
        <v>379</v>
      </c>
      <c r="Q55" s="9"/>
      <c r="R55" s="9" t="s">
        <v>61</v>
      </c>
      <c r="S55" s="14" t="s">
        <v>380</v>
      </c>
      <c r="T55" s="9" t="s">
        <v>381</v>
      </c>
      <c r="U55" s="9" t="s">
        <v>54</v>
      </c>
      <c r="V55" s="9" t="s">
        <v>55</v>
      </c>
      <c r="W55" s="9" t="s">
        <v>115</v>
      </c>
      <c r="X55" s="12" t="s">
        <v>196</v>
      </c>
      <c r="Y55" s="9" t="s">
        <v>197</v>
      </c>
      <c r="Z55" s="13"/>
    </row>
    <row r="56" spans="1:26" ht="32.25" hidden="1" customHeight="1">
      <c r="A56" s="8">
        <v>2300304</v>
      </c>
      <c r="B56" s="9" t="s">
        <v>382</v>
      </c>
      <c r="C56" s="10">
        <v>45142</v>
      </c>
      <c r="D56" s="9" t="s">
        <v>383</v>
      </c>
      <c r="E56" s="9" t="s">
        <v>143</v>
      </c>
      <c r="F56" s="9" t="s">
        <v>262</v>
      </c>
      <c r="G56" s="9" t="s">
        <v>43</v>
      </c>
      <c r="H56" s="9" t="s">
        <v>44</v>
      </c>
      <c r="I56" s="11" t="s">
        <v>384</v>
      </c>
      <c r="J56" s="9" t="s">
        <v>385</v>
      </c>
      <c r="K56" s="9" t="s">
        <v>234</v>
      </c>
      <c r="L56" s="9"/>
      <c r="M56" s="9" t="s">
        <v>386</v>
      </c>
      <c r="N56" s="9" t="s">
        <v>50</v>
      </c>
      <c r="O56" s="9" t="s">
        <v>187</v>
      </c>
      <c r="P56" s="9"/>
      <c r="Q56" s="9"/>
      <c r="R56" s="9" t="s">
        <v>61</v>
      </c>
      <c r="S56" s="9" t="s">
        <v>387</v>
      </c>
      <c r="T56" s="9" t="s">
        <v>388</v>
      </c>
      <c r="U56" s="9" t="s">
        <v>262</v>
      </c>
      <c r="V56" s="9" t="s">
        <v>331</v>
      </c>
      <c r="W56" s="9" t="s">
        <v>55</v>
      </c>
      <c r="X56" s="12" t="s">
        <v>389</v>
      </c>
      <c r="Y56" s="9" t="s">
        <v>390</v>
      </c>
      <c r="Z56" s="13"/>
    </row>
    <row r="57" spans="1:26" ht="32.25" hidden="1" customHeight="1">
      <c r="A57" s="8">
        <v>2315572</v>
      </c>
      <c r="B57" s="9" t="s">
        <v>391</v>
      </c>
      <c r="C57" s="10">
        <v>45155</v>
      </c>
      <c r="D57" s="9" t="s">
        <v>392</v>
      </c>
      <c r="E57" s="9" t="s">
        <v>41</v>
      </c>
      <c r="F57" s="9" t="s">
        <v>80</v>
      </c>
      <c r="G57" s="9" t="s">
        <v>43</v>
      </c>
      <c r="H57" s="9" t="s">
        <v>44</v>
      </c>
      <c r="I57" s="11" t="s">
        <v>81</v>
      </c>
      <c r="J57" s="9" t="s">
        <v>46</v>
      </c>
      <c r="K57" s="9" t="s">
        <v>393</v>
      </c>
      <c r="L57" s="9"/>
      <c r="M57" s="9" t="s">
        <v>394</v>
      </c>
      <c r="N57" s="9" t="s">
        <v>50</v>
      </c>
      <c r="O57" s="9" t="s">
        <v>187</v>
      </c>
      <c r="P57" s="9" t="s">
        <v>395</v>
      </c>
      <c r="Q57" s="9"/>
      <c r="R57" s="9" t="s">
        <v>61</v>
      </c>
      <c r="S57" s="14" t="s">
        <v>396</v>
      </c>
      <c r="T57" s="9" t="s">
        <v>397</v>
      </c>
      <c r="U57" s="9" t="s">
        <v>54</v>
      </c>
      <c r="V57" s="9" t="s">
        <v>55</v>
      </c>
      <c r="W57" s="9" t="s">
        <v>55</v>
      </c>
      <c r="X57" s="12" t="s">
        <v>196</v>
      </c>
      <c r="Y57" s="9" t="s">
        <v>197</v>
      </c>
      <c r="Z57" s="13"/>
    </row>
    <row r="58" spans="1:26" ht="32.25" hidden="1" customHeight="1">
      <c r="A58" s="8">
        <v>2302227</v>
      </c>
      <c r="B58" s="9" t="s">
        <v>398</v>
      </c>
      <c r="C58" s="10">
        <v>45142</v>
      </c>
      <c r="D58" s="9" t="s">
        <v>232</v>
      </c>
      <c r="E58" s="9" t="s">
        <v>143</v>
      </c>
      <c r="F58" s="9" t="s">
        <v>80</v>
      </c>
      <c r="G58" s="9" t="s">
        <v>43</v>
      </c>
      <c r="H58" s="9" t="s">
        <v>44</v>
      </c>
      <c r="I58" s="11" t="s">
        <v>399</v>
      </c>
      <c r="J58" s="9" t="s">
        <v>400</v>
      </c>
      <c r="K58" s="9" t="s">
        <v>271</v>
      </c>
      <c r="L58" s="9" t="s">
        <v>401</v>
      </c>
      <c r="M58" s="9" t="s">
        <v>401</v>
      </c>
      <c r="N58" s="9" t="s">
        <v>84</v>
      </c>
      <c r="O58" s="9" t="s">
        <v>187</v>
      </c>
      <c r="P58" s="9" t="s">
        <v>402</v>
      </c>
      <c r="Q58" s="9"/>
      <c r="R58" s="9" t="s">
        <v>61</v>
      </c>
      <c r="S58" s="9" t="s">
        <v>403</v>
      </c>
      <c r="T58" s="9" t="s">
        <v>404</v>
      </c>
      <c r="U58" s="9" t="s">
        <v>54</v>
      </c>
      <c r="V58" s="9" t="s">
        <v>55</v>
      </c>
      <c r="W58" s="9" t="s">
        <v>55</v>
      </c>
      <c r="X58" s="12" t="s">
        <v>150</v>
      </c>
      <c r="Y58" s="9" t="s">
        <v>151</v>
      </c>
      <c r="Z58" s="13"/>
    </row>
    <row r="59" spans="1:26" ht="32.25" hidden="1" customHeight="1">
      <c r="A59" s="8">
        <v>2306361</v>
      </c>
      <c r="B59" s="9" t="s">
        <v>405</v>
      </c>
      <c r="C59" s="10">
        <v>45149</v>
      </c>
      <c r="D59" s="9" t="s">
        <v>57</v>
      </c>
      <c r="E59" s="9" t="s">
        <v>295</v>
      </c>
      <c r="F59" s="9" t="s">
        <v>42</v>
      </c>
      <c r="G59" s="9" t="s">
        <v>43</v>
      </c>
      <c r="H59" s="9" t="s">
        <v>58</v>
      </c>
      <c r="I59" s="11" t="s">
        <v>406</v>
      </c>
      <c r="J59" s="9" t="s">
        <v>407</v>
      </c>
      <c r="K59" s="9" t="s">
        <v>47</v>
      </c>
      <c r="L59" s="9" t="s">
        <v>156</v>
      </c>
      <c r="M59" s="9"/>
      <c r="N59" s="9" t="s">
        <v>84</v>
      </c>
      <c r="O59" s="9" t="s">
        <v>51</v>
      </c>
      <c r="P59" s="9"/>
      <c r="Q59" s="9"/>
      <c r="R59" s="9"/>
      <c r="S59" s="14" t="s">
        <v>408</v>
      </c>
      <c r="T59" s="9" t="s">
        <v>409</v>
      </c>
      <c r="U59" s="9" t="s">
        <v>54</v>
      </c>
      <c r="V59" s="9" t="s">
        <v>55</v>
      </c>
      <c r="W59" s="9" t="s">
        <v>55</v>
      </c>
      <c r="X59" s="12"/>
      <c r="Y59" s="9" t="s">
        <v>55</v>
      </c>
      <c r="Z59" s="13"/>
    </row>
    <row r="60" spans="1:26" ht="32.25" hidden="1" customHeight="1">
      <c r="A60" s="8">
        <v>2302239</v>
      </c>
      <c r="B60" s="9" t="s">
        <v>410</v>
      </c>
      <c r="C60" s="10">
        <v>45142</v>
      </c>
      <c r="D60" s="9" t="s">
        <v>67</v>
      </c>
      <c r="E60" s="9" t="s">
        <v>68</v>
      </c>
      <c r="F60" s="9" t="s">
        <v>135</v>
      </c>
      <c r="G60" s="9" t="s">
        <v>43</v>
      </c>
      <c r="H60" s="9" t="s">
        <v>44</v>
      </c>
      <c r="I60" s="11" t="s">
        <v>136</v>
      </c>
      <c r="J60" s="9" t="s">
        <v>137</v>
      </c>
      <c r="K60" s="9" t="s">
        <v>47</v>
      </c>
      <c r="L60" s="9" t="s">
        <v>411</v>
      </c>
      <c r="M60" s="9" t="s">
        <v>412</v>
      </c>
      <c r="N60" s="9" t="s">
        <v>50</v>
      </c>
      <c r="O60" s="9" t="s">
        <v>51</v>
      </c>
      <c r="P60" s="9"/>
      <c r="Q60" s="9"/>
      <c r="R60" s="9" t="s">
        <v>61</v>
      </c>
      <c r="S60" s="9" t="s">
        <v>413</v>
      </c>
      <c r="T60" s="9" t="s">
        <v>414</v>
      </c>
      <c r="U60" s="9" t="s">
        <v>54</v>
      </c>
      <c r="V60" s="9" t="s">
        <v>55</v>
      </c>
      <c r="W60" s="9" t="s">
        <v>55</v>
      </c>
      <c r="X60" s="12" t="s">
        <v>76</v>
      </c>
      <c r="Y60" s="9" t="s">
        <v>77</v>
      </c>
      <c r="Z60" s="13"/>
    </row>
    <row r="61" spans="1:26" ht="32.25" hidden="1" customHeight="1">
      <c r="A61" s="8">
        <v>2300754</v>
      </c>
      <c r="B61" s="9" t="s">
        <v>415</v>
      </c>
      <c r="C61" s="10">
        <v>45142</v>
      </c>
      <c r="D61" s="9" t="s">
        <v>67</v>
      </c>
      <c r="E61" s="9" t="s">
        <v>89</v>
      </c>
      <c r="F61" s="9" t="s">
        <v>42</v>
      </c>
      <c r="G61" s="9" t="s">
        <v>43</v>
      </c>
      <c r="H61" s="9" t="s">
        <v>44</v>
      </c>
      <c r="I61" s="11" t="s">
        <v>354</v>
      </c>
      <c r="J61" s="9" t="s">
        <v>91</v>
      </c>
      <c r="K61" s="9" t="s">
        <v>416</v>
      </c>
      <c r="L61" s="9"/>
      <c r="M61" s="9" t="s">
        <v>417</v>
      </c>
      <c r="N61" s="9" t="s">
        <v>50</v>
      </c>
      <c r="O61" s="9" t="s">
        <v>51</v>
      </c>
      <c r="P61" s="9" t="s">
        <v>356</v>
      </c>
      <c r="Q61" s="9"/>
      <c r="R61" s="9" t="s">
        <v>61</v>
      </c>
      <c r="S61" s="9" t="s">
        <v>418</v>
      </c>
      <c r="T61" s="9" t="s">
        <v>419</v>
      </c>
      <c r="U61" s="9" t="s">
        <v>54</v>
      </c>
      <c r="V61" s="9" t="s">
        <v>55</v>
      </c>
      <c r="W61" s="9" t="s">
        <v>55</v>
      </c>
      <c r="X61" s="12" t="s">
        <v>98</v>
      </c>
      <c r="Y61" s="9" t="s">
        <v>99</v>
      </c>
      <c r="Z61" s="13"/>
    </row>
    <row r="62" spans="1:26" ht="32.25" hidden="1" customHeight="1">
      <c r="A62" s="8">
        <v>2306191</v>
      </c>
      <c r="B62" s="9" t="s">
        <v>420</v>
      </c>
      <c r="C62" s="10">
        <v>45149</v>
      </c>
      <c r="D62" s="9" t="s">
        <v>57</v>
      </c>
      <c r="E62" s="9" t="s">
        <v>41</v>
      </c>
      <c r="F62" s="9" t="s">
        <v>42</v>
      </c>
      <c r="G62" s="9" t="s">
        <v>43</v>
      </c>
      <c r="H62" s="9" t="s">
        <v>58</v>
      </c>
      <c r="I62" s="11" t="s">
        <v>129</v>
      </c>
      <c r="J62" s="9" t="s">
        <v>130</v>
      </c>
      <c r="K62" s="9" t="s">
        <v>47</v>
      </c>
      <c r="L62" s="9" t="s">
        <v>48</v>
      </c>
      <c r="M62" s="9" t="s">
        <v>421</v>
      </c>
      <c r="N62" s="9" t="s">
        <v>84</v>
      </c>
      <c r="O62" s="9" t="s">
        <v>51</v>
      </c>
      <c r="P62" s="9"/>
      <c r="Q62" s="9"/>
      <c r="R62" s="9" t="s">
        <v>61</v>
      </c>
      <c r="S62" s="14" t="s">
        <v>422</v>
      </c>
      <c r="T62" s="9" t="s">
        <v>423</v>
      </c>
      <c r="U62" s="9" t="s">
        <v>54</v>
      </c>
      <c r="V62" s="9" t="s">
        <v>55</v>
      </c>
      <c r="W62" s="9" t="s">
        <v>55</v>
      </c>
      <c r="X62" s="9" t="s">
        <v>196</v>
      </c>
      <c r="Y62" s="9" t="s">
        <v>197</v>
      </c>
      <c r="Z62" s="13" t="s">
        <v>230</v>
      </c>
    </row>
    <row r="63" spans="1:26" ht="32.25" hidden="1" customHeight="1">
      <c r="A63" s="8">
        <v>2309152</v>
      </c>
      <c r="B63" s="9" t="s">
        <v>424</v>
      </c>
      <c r="C63" s="10">
        <v>45149</v>
      </c>
      <c r="D63" s="9" t="s">
        <v>57</v>
      </c>
      <c r="E63" s="9" t="s">
        <v>41</v>
      </c>
      <c r="F63" s="9" t="s">
        <v>42</v>
      </c>
      <c r="G63" s="9" t="s">
        <v>43</v>
      </c>
      <c r="H63" s="9" t="s">
        <v>58</v>
      </c>
      <c r="I63" s="11" t="s">
        <v>45</v>
      </c>
      <c r="J63" s="9" t="s">
        <v>46</v>
      </c>
      <c r="K63" s="9" t="s">
        <v>47</v>
      </c>
      <c r="L63" s="9" t="s">
        <v>425</v>
      </c>
      <c r="M63" s="9" t="s">
        <v>426</v>
      </c>
      <c r="N63" s="9" t="s">
        <v>50</v>
      </c>
      <c r="O63" s="9" t="s">
        <v>51</v>
      </c>
      <c r="P63" s="9"/>
      <c r="Q63" s="9"/>
      <c r="R63" s="9"/>
      <c r="S63" s="14" t="s">
        <v>427</v>
      </c>
      <c r="T63" s="9" t="s">
        <v>428</v>
      </c>
      <c r="U63" s="9" t="s">
        <v>54</v>
      </c>
      <c r="V63" s="9" t="s">
        <v>55</v>
      </c>
      <c r="W63" s="9" t="s">
        <v>55</v>
      </c>
      <c r="X63" s="12"/>
      <c r="Y63" s="9" t="s">
        <v>55</v>
      </c>
      <c r="Z63" s="13"/>
    </row>
    <row r="64" spans="1:26" ht="32.25" hidden="1" customHeight="1">
      <c r="A64" s="8">
        <v>2306075</v>
      </c>
      <c r="B64" s="9" t="s">
        <v>429</v>
      </c>
      <c r="C64" s="10">
        <v>45149</v>
      </c>
      <c r="D64" s="9" t="s">
        <v>57</v>
      </c>
      <c r="E64" s="9" t="s">
        <v>153</v>
      </c>
      <c r="F64" s="9" t="s">
        <v>42</v>
      </c>
      <c r="G64" s="9" t="s">
        <v>43</v>
      </c>
      <c r="H64" s="9" t="s">
        <v>58</v>
      </c>
      <c r="I64" s="11" t="s">
        <v>154</v>
      </c>
      <c r="J64" s="9" t="s">
        <v>155</v>
      </c>
      <c r="K64" s="9" t="s">
        <v>47</v>
      </c>
      <c r="L64" s="9" t="s">
        <v>430</v>
      </c>
      <c r="M64" s="9" t="s">
        <v>431</v>
      </c>
      <c r="N64" s="9" t="s">
        <v>84</v>
      </c>
      <c r="O64" s="9" t="s">
        <v>51</v>
      </c>
      <c r="P64" s="9"/>
      <c r="Q64" s="9"/>
      <c r="R64" s="9" t="s">
        <v>61</v>
      </c>
      <c r="S64" s="14" t="s">
        <v>432</v>
      </c>
      <c r="T64" s="9" t="s">
        <v>433</v>
      </c>
      <c r="U64" s="9" t="s">
        <v>54</v>
      </c>
      <c r="V64" s="9" t="s">
        <v>55</v>
      </c>
      <c r="W64" s="9" t="s">
        <v>55</v>
      </c>
      <c r="X64" s="12" t="s">
        <v>171</v>
      </c>
      <c r="Y64" s="9" t="s">
        <v>172</v>
      </c>
      <c r="Z64" s="13"/>
    </row>
    <row r="65" spans="1:26" ht="32.25" hidden="1" customHeight="1">
      <c r="A65" s="8">
        <v>2311726</v>
      </c>
      <c r="B65" s="9" t="s">
        <v>434</v>
      </c>
      <c r="C65" s="10">
        <v>45149</v>
      </c>
      <c r="D65" s="9" t="s">
        <v>261</v>
      </c>
      <c r="E65" s="9" t="s">
        <v>89</v>
      </c>
      <c r="F65" s="9" t="s">
        <v>262</v>
      </c>
      <c r="G65" s="9" t="s">
        <v>43</v>
      </c>
      <c r="H65" s="9" t="s">
        <v>44</v>
      </c>
      <c r="I65" s="11" t="s">
        <v>435</v>
      </c>
      <c r="J65" s="9" t="s">
        <v>436</v>
      </c>
      <c r="K65" s="9" t="s">
        <v>47</v>
      </c>
      <c r="L65" s="9" t="s">
        <v>437</v>
      </c>
      <c r="M65" s="9" t="s">
        <v>438</v>
      </c>
      <c r="N65" s="9" t="s">
        <v>50</v>
      </c>
      <c r="O65" s="9" t="s">
        <v>51</v>
      </c>
      <c r="P65" s="9"/>
      <c r="Q65" s="9"/>
      <c r="R65" s="9" t="s">
        <v>61</v>
      </c>
      <c r="S65" s="14" t="s">
        <v>439</v>
      </c>
      <c r="T65" s="9" t="s">
        <v>440</v>
      </c>
      <c r="U65" s="9" t="s">
        <v>262</v>
      </c>
      <c r="V65" s="9" t="s">
        <v>55</v>
      </c>
      <c r="W65" s="9" t="s">
        <v>55</v>
      </c>
      <c r="X65" s="12" t="s">
        <v>389</v>
      </c>
      <c r="Y65" s="9" t="s">
        <v>390</v>
      </c>
      <c r="Z65" s="13"/>
    </row>
    <row r="66" spans="1:26" ht="32.25" hidden="1" customHeight="1">
      <c r="A66" s="8">
        <v>2314429</v>
      </c>
      <c r="B66" s="9" t="s">
        <v>441</v>
      </c>
      <c r="C66" s="10">
        <v>45142</v>
      </c>
      <c r="D66" s="9" t="s">
        <v>232</v>
      </c>
      <c r="E66" s="9" t="s">
        <v>41</v>
      </c>
      <c r="F66" s="9" t="s">
        <v>80</v>
      </c>
      <c r="G66" s="9" t="s">
        <v>43</v>
      </c>
      <c r="H66" s="9" t="s">
        <v>44</v>
      </c>
      <c r="I66" s="11" t="s">
        <v>233</v>
      </c>
      <c r="J66" s="9" t="s">
        <v>200</v>
      </c>
      <c r="K66" s="9" t="s">
        <v>442</v>
      </c>
      <c r="L66" s="9"/>
      <c r="M66" s="9"/>
      <c r="N66" s="9" t="s">
        <v>50</v>
      </c>
      <c r="O66" s="9" t="s">
        <v>187</v>
      </c>
      <c r="P66" s="9" t="s">
        <v>443</v>
      </c>
      <c r="Q66" s="9"/>
      <c r="R66" s="9" t="s">
        <v>61</v>
      </c>
      <c r="S66" s="9" t="s">
        <v>444</v>
      </c>
      <c r="T66" s="9" t="s">
        <v>445</v>
      </c>
      <c r="U66" s="9" t="s">
        <v>54</v>
      </c>
      <c r="V66" s="9" t="s">
        <v>331</v>
      </c>
      <c r="W66" s="9" t="s">
        <v>115</v>
      </c>
      <c r="X66" s="9" t="s">
        <v>64</v>
      </c>
      <c r="Y66" s="9" t="s">
        <v>65</v>
      </c>
      <c r="Z66" s="13"/>
    </row>
    <row r="67" spans="1:26" ht="32.25" hidden="1" customHeight="1">
      <c r="A67" s="8">
        <v>2314572</v>
      </c>
      <c r="B67" s="9" t="s">
        <v>446</v>
      </c>
      <c r="C67" s="10">
        <v>45156</v>
      </c>
      <c r="D67" s="9" t="s">
        <v>79</v>
      </c>
      <c r="E67" s="9" t="s">
        <v>89</v>
      </c>
      <c r="F67" s="9" t="s">
        <v>80</v>
      </c>
      <c r="G67" s="9" t="s">
        <v>43</v>
      </c>
      <c r="H67" s="9" t="s">
        <v>44</v>
      </c>
      <c r="I67" s="11" t="s">
        <v>101</v>
      </c>
      <c r="J67" s="9" t="s">
        <v>102</v>
      </c>
      <c r="K67" s="9" t="s">
        <v>47</v>
      </c>
      <c r="L67" s="9" t="s">
        <v>156</v>
      </c>
      <c r="M67" s="9"/>
      <c r="N67" s="9" t="s">
        <v>50</v>
      </c>
      <c r="O67" s="9" t="s">
        <v>51</v>
      </c>
      <c r="P67" s="9" t="s">
        <v>447</v>
      </c>
      <c r="Q67" s="9"/>
      <c r="R67" s="9"/>
      <c r="S67" s="14" t="s">
        <v>448</v>
      </c>
      <c r="T67" s="9" t="s">
        <v>449</v>
      </c>
      <c r="U67" s="9" t="s">
        <v>54</v>
      </c>
      <c r="V67" s="9" t="s">
        <v>55</v>
      </c>
      <c r="W67" s="9" t="s">
        <v>55</v>
      </c>
      <c r="X67" s="12"/>
      <c r="Y67" s="9" t="s">
        <v>55</v>
      </c>
      <c r="Z67" s="13"/>
    </row>
    <row r="68" spans="1:26" ht="32.25" hidden="1" customHeight="1">
      <c r="A68" s="8">
        <v>2314633</v>
      </c>
      <c r="B68" s="9" t="s">
        <v>450</v>
      </c>
      <c r="C68" s="10">
        <v>45156</v>
      </c>
      <c r="D68" s="9" t="s">
        <v>79</v>
      </c>
      <c r="E68" s="9" t="s">
        <v>41</v>
      </c>
      <c r="F68" s="9" t="s">
        <v>80</v>
      </c>
      <c r="G68" s="9" t="s">
        <v>43</v>
      </c>
      <c r="H68" s="9" t="s">
        <v>44</v>
      </c>
      <c r="I68" s="11" t="s">
        <v>233</v>
      </c>
      <c r="J68" s="9" t="s">
        <v>200</v>
      </c>
      <c r="K68" s="9" t="s">
        <v>47</v>
      </c>
      <c r="L68" s="9" t="s">
        <v>451</v>
      </c>
      <c r="M68" s="9" t="s">
        <v>452</v>
      </c>
      <c r="N68" s="9" t="s">
        <v>50</v>
      </c>
      <c r="O68" s="9" t="s">
        <v>51</v>
      </c>
      <c r="P68" s="9" t="s">
        <v>453</v>
      </c>
      <c r="Q68" s="9"/>
      <c r="R68" s="9" t="s">
        <v>61</v>
      </c>
      <c r="S68" s="14" t="s">
        <v>454</v>
      </c>
      <c r="T68" s="9" t="s">
        <v>455</v>
      </c>
      <c r="U68" s="9" t="s">
        <v>54</v>
      </c>
      <c r="V68" s="9" t="s">
        <v>55</v>
      </c>
      <c r="W68" s="9" t="s">
        <v>55</v>
      </c>
      <c r="X68" s="9" t="s">
        <v>64</v>
      </c>
      <c r="Y68" s="9" t="s">
        <v>65</v>
      </c>
      <c r="Z68" s="13"/>
    </row>
    <row r="69" spans="1:26" ht="32.25" hidden="1" customHeight="1">
      <c r="A69" s="8">
        <v>2302541</v>
      </c>
      <c r="B69" s="9" t="s">
        <v>456</v>
      </c>
      <c r="C69" s="10">
        <v>45142</v>
      </c>
      <c r="D69" s="9" t="s">
        <v>67</v>
      </c>
      <c r="E69" s="9" t="s">
        <v>68</v>
      </c>
      <c r="F69" s="9" t="s">
        <v>135</v>
      </c>
      <c r="G69" s="9" t="s">
        <v>43</v>
      </c>
      <c r="H69" s="9" t="s">
        <v>44</v>
      </c>
      <c r="I69" s="11" t="s">
        <v>136</v>
      </c>
      <c r="J69" s="9" t="s">
        <v>137</v>
      </c>
      <c r="K69" s="9" t="s">
        <v>47</v>
      </c>
      <c r="L69" s="9" t="s">
        <v>156</v>
      </c>
      <c r="M69" s="9"/>
      <c r="N69" s="9" t="s">
        <v>50</v>
      </c>
      <c r="O69" s="9" t="s">
        <v>51</v>
      </c>
      <c r="P69" s="9"/>
      <c r="Q69" s="9"/>
      <c r="R69" s="9"/>
      <c r="S69" s="9" t="s">
        <v>457</v>
      </c>
      <c r="T69" s="9" t="s">
        <v>458</v>
      </c>
      <c r="U69" s="9" t="s">
        <v>54</v>
      </c>
      <c r="V69" s="9" t="s">
        <v>55</v>
      </c>
      <c r="W69" s="9" t="s">
        <v>55</v>
      </c>
      <c r="X69" s="12"/>
      <c r="Y69" s="9" t="s">
        <v>55</v>
      </c>
      <c r="Z69" s="13"/>
    </row>
    <row r="70" spans="1:26" ht="32.25" hidden="1" customHeight="1">
      <c r="A70" s="8">
        <v>2303434</v>
      </c>
      <c r="B70" s="9" t="s">
        <v>459</v>
      </c>
      <c r="C70" s="10">
        <v>45142</v>
      </c>
      <c r="D70" s="9" t="s">
        <v>67</v>
      </c>
      <c r="E70" s="9" t="s">
        <v>143</v>
      </c>
      <c r="F70" s="9" t="s">
        <v>42</v>
      </c>
      <c r="G70" s="9" t="s">
        <v>43</v>
      </c>
      <c r="H70" s="9" t="s">
        <v>44</v>
      </c>
      <c r="I70" s="11" t="s">
        <v>460</v>
      </c>
      <c r="J70" s="9" t="s">
        <v>400</v>
      </c>
      <c r="K70" s="9" t="s">
        <v>47</v>
      </c>
      <c r="L70" s="9" t="s">
        <v>156</v>
      </c>
      <c r="M70" s="9"/>
      <c r="N70" s="9" t="s">
        <v>84</v>
      </c>
      <c r="O70" s="9" t="s">
        <v>51</v>
      </c>
      <c r="P70" s="9"/>
      <c r="Q70" s="9"/>
      <c r="R70" s="9"/>
      <c r="S70" s="9" t="s">
        <v>461</v>
      </c>
      <c r="T70" s="9" t="s">
        <v>462</v>
      </c>
      <c r="U70" s="9" t="s">
        <v>54</v>
      </c>
      <c r="V70" s="9" t="s">
        <v>55</v>
      </c>
      <c r="W70" s="9" t="s">
        <v>55</v>
      </c>
      <c r="X70" s="12"/>
      <c r="Y70" s="9" t="s">
        <v>55</v>
      </c>
      <c r="Z70" s="13"/>
    </row>
    <row r="71" spans="1:26" ht="32.25" hidden="1" customHeight="1">
      <c r="A71" s="8">
        <v>2304070</v>
      </c>
      <c r="B71" s="9" t="s">
        <v>463</v>
      </c>
      <c r="C71" s="10">
        <v>45136</v>
      </c>
      <c r="D71" s="9" t="s">
        <v>40</v>
      </c>
      <c r="E71" s="9" t="s">
        <v>41</v>
      </c>
      <c r="F71" s="9" t="s">
        <v>42</v>
      </c>
      <c r="G71" s="9" t="s">
        <v>43</v>
      </c>
      <c r="H71" s="9" t="s">
        <v>44</v>
      </c>
      <c r="I71" s="11" t="s">
        <v>45</v>
      </c>
      <c r="J71" s="9" t="s">
        <v>46</v>
      </c>
      <c r="K71" s="9" t="s">
        <v>47</v>
      </c>
      <c r="L71" s="9" t="s">
        <v>340</v>
      </c>
      <c r="M71" s="9" t="s">
        <v>464</v>
      </c>
      <c r="N71" s="9" t="s">
        <v>50</v>
      </c>
      <c r="O71" s="9" t="s">
        <v>51</v>
      </c>
      <c r="P71" s="9"/>
      <c r="Q71" s="9" t="s">
        <v>465</v>
      </c>
      <c r="R71" s="9"/>
      <c r="S71" s="9" t="s">
        <v>466</v>
      </c>
      <c r="T71" s="9" t="s">
        <v>467</v>
      </c>
      <c r="U71" s="9" t="s">
        <v>54</v>
      </c>
      <c r="V71" s="9" t="s">
        <v>55</v>
      </c>
      <c r="W71" s="9" t="s">
        <v>55</v>
      </c>
      <c r="X71" s="12"/>
      <c r="Y71" s="9" t="s">
        <v>55</v>
      </c>
      <c r="Z71" s="13"/>
    </row>
    <row r="72" spans="1:26" ht="32.25" hidden="1" customHeight="1">
      <c r="A72" s="8">
        <v>2305966</v>
      </c>
      <c r="B72" s="9" t="s">
        <v>468</v>
      </c>
      <c r="C72" s="10">
        <v>45149</v>
      </c>
      <c r="D72" s="9" t="s">
        <v>57</v>
      </c>
      <c r="E72" s="9" t="s">
        <v>153</v>
      </c>
      <c r="F72" s="9" t="s">
        <v>42</v>
      </c>
      <c r="G72" s="9" t="s">
        <v>43</v>
      </c>
      <c r="H72" s="9" t="s">
        <v>58</v>
      </c>
      <c r="I72" s="11" t="s">
        <v>154</v>
      </c>
      <c r="J72" s="9" t="s">
        <v>155</v>
      </c>
      <c r="K72" s="9" t="s">
        <v>47</v>
      </c>
      <c r="L72" s="9" t="s">
        <v>48</v>
      </c>
      <c r="M72" s="9" t="s">
        <v>469</v>
      </c>
      <c r="N72" s="9" t="s">
        <v>84</v>
      </c>
      <c r="O72" s="9" t="s">
        <v>51</v>
      </c>
      <c r="P72" s="9"/>
      <c r="Q72" s="9"/>
      <c r="R72" s="9"/>
      <c r="S72" s="14" t="s">
        <v>470</v>
      </c>
      <c r="T72" s="9" t="s">
        <v>471</v>
      </c>
      <c r="U72" s="9" t="s">
        <v>54</v>
      </c>
      <c r="V72" s="9" t="s">
        <v>55</v>
      </c>
      <c r="W72" s="9" t="s">
        <v>55</v>
      </c>
      <c r="X72" s="12"/>
      <c r="Y72" s="9" t="s">
        <v>55</v>
      </c>
      <c r="Z72" s="13"/>
    </row>
    <row r="73" spans="1:26" ht="32.25" hidden="1" customHeight="1">
      <c r="A73" s="8">
        <v>2307225</v>
      </c>
      <c r="B73" s="9" t="s">
        <v>472</v>
      </c>
      <c r="C73" s="10">
        <v>45142</v>
      </c>
      <c r="D73" s="9" t="s">
        <v>232</v>
      </c>
      <c r="E73" s="9" t="s">
        <v>41</v>
      </c>
      <c r="F73" s="9" t="s">
        <v>80</v>
      </c>
      <c r="G73" s="9" t="s">
        <v>43</v>
      </c>
      <c r="H73" s="9" t="s">
        <v>44</v>
      </c>
      <c r="I73" s="11" t="s">
        <v>81</v>
      </c>
      <c r="J73" s="9" t="s">
        <v>46</v>
      </c>
      <c r="K73" s="9" t="s">
        <v>473</v>
      </c>
      <c r="L73" s="9" t="s">
        <v>474</v>
      </c>
      <c r="M73" s="9" t="s">
        <v>474</v>
      </c>
      <c r="N73" s="9" t="s">
        <v>50</v>
      </c>
      <c r="O73" s="9" t="s">
        <v>187</v>
      </c>
      <c r="P73" s="9" t="s">
        <v>395</v>
      </c>
      <c r="Q73" s="9"/>
      <c r="R73" s="9" t="s">
        <v>61</v>
      </c>
      <c r="S73" s="9" t="s">
        <v>475</v>
      </c>
      <c r="T73" s="9" t="s">
        <v>476</v>
      </c>
      <c r="U73" s="9" t="s">
        <v>54</v>
      </c>
      <c r="V73" s="9" t="s">
        <v>76</v>
      </c>
      <c r="W73" s="9" t="s">
        <v>55</v>
      </c>
      <c r="X73" s="9" t="s">
        <v>76</v>
      </c>
      <c r="Y73" s="9" t="s">
        <v>77</v>
      </c>
      <c r="Z73" s="13" t="s">
        <v>240</v>
      </c>
    </row>
    <row r="74" spans="1:26" ht="32.25" hidden="1" customHeight="1">
      <c r="A74" s="8">
        <v>2307155</v>
      </c>
      <c r="B74" s="9" t="s">
        <v>477</v>
      </c>
      <c r="C74" s="10">
        <v>45156</v>
      </c>
      <c r="D74" s="9" t="s">
        <v>79</v>
      </c>
      <c r="E74" s="9" t="s">
        <v>41</v>
      </c>
      <c r="F74" s="9" t="s">
        <v>80</v>
      </c>
      <c r="G74" s="9" t="s">
        <v>43</v>
      </c>
      <c r="H74" s="9" t="s">
        <v>44</v>
      </c>
      <c r="I74" s="11" t="s">
        <v>478</v>
      </c>
      <c r="J74" s="9" t="s">
        <v>479</v>
      </c>
      <c r="K74" s="9" t="s">
        <v>47</v>
      </c>
      <c r="L74" s="9" t="s">
        <v>480</v>
      </c>
      <c r="M74" s="9" t="s">
        <v>481</v>
      </c>
      <c r="N74" s="9" t="s">
        <v>84</v>
      </c>
      <c r="O74" s="9" t="s">
        <v>51</v>
      </c>
      <c r="P74" s="9" t="s">
        <v>482</v>
      </c>
      <c r="Q74" s="9"/>
      <c r="R74" s="9" t="s">
        <v>61</v>
      </c>
      <c r="S74" s="14" t="s">
        <v>483</v>
      </c>
      <c r="T74" s="9" t="s">
        <v>484</v>
      </c>
      <c r="U74" s="9" t="s">
        <v>54</v>
      </c>
      <c r="V74" s="9" t="s">
        <v>55</v>
      </c>
      <c r="W74" s="9" t="s">
        <v>55</v>
      </c>
      <c r="X74" s="12" t="s">
        <v>150</v>
      </c>
      <c r="Y74" s="9" t="s">
        <v>151</v>
      </c>
      <c r="Z74" s="13"/>
    </row>
    <row r="75" spans="1:26" ht="32.25" hidden="1" customHeight="1">
      <c r="A75" s="8">
        <v>2306782</v>
      </c>
      <c r="B75" s="9" t="s">
        <v>485</v>
      </c>
      <c r="C75" s="10">
        <v>45142</v>
      </c>
      <c r="D75" s="9" t="s">
        <v>67</v>
      </c>
      <c r="E75" s="9" t="s">
        <v>68</v>
      </c>
      <c r="F75" s="9" t="s">
        <v>135</v>
      </c>
      <c r="G75" s="9" t="s">
        <v>43</v>
      </c>
      <c r="H75" s="9" t="s">
        <v>44</v>
      </c>
      <c r="I75" s="11" t="s">
        <v>136</v>
      </c>
      <c r="J75" s="9" t="s">
        <v>137</v>
      </c>
      <c r="K75" s="9" t="s">
        <v>92</v>
      </c>
      <c r="L75" s="9"/>
      <c r="M75" s="9" t="s">
        <v>103</v>
      </c>
      <c r="N75" s="9" t="s">
        <v>50</v>
      </c>
      <c r="O75" s="9" t="s">
        <v>51</v>
      </c>
      <c r="P75" s="9"/>
      <c r="Q75" s="9"/>
      <c r="R75" s="9" t="s">
        <v>61</v>
      </c>
      <c r="S75" s="9" t="s">
        <v>486</v>
      </c>
      <c r="T75" s="9" t="s">
        <v>487</v>
      </c>
      <c r="U75" s="9" t="s">
        <v>54</v>
      </c>
      <c r="V75" s="9" t="s">
        <v>55</v>
      </c>
      <c r="W75" s="9" t="s">
        <v>55</v>
      </c>
      <c r="X75" s="12" t="s">
        <v>76</v>
      </c>
      <c r="Y75" s="9" t="s">
        <v>77</v>
      </c>
      <c r="Z75" s="13"/>
    </row>
    <row r="76" spans="1:26" ht="32.25" hidden="1" customHeight="1">
      <c r="A76" s="8">
        <v>2300109</v>
      </c>
      <c r="B76" s="9" t="s">
        <v>488</v>
      </c>
      <c r="C76" s="10">
        <v>45149</v>
      </c>
      <c r="D76" s="9" t="s">
        <v>261</v>
      </c>
      <c r="E76" s="9" t="s">
        <v>68</v>
      </c>
      <c r="F76" s="9" t="s">
        <v>262</v>
      </c>
      <c r="G76" s="9" t="s">
        <v>43</v>
      </c>
      <c r="H76" s="9" t="s">
        <v>44</v>
      </c>
      <c r="I76" s="11" t="s">
        <v>263</v>
      </c>
      <c r="J76" s="9" t="s">
        <v>264</v>
      </c>
      <c r="K76" s="9" t="s">
        <v>47</v>
      </c>
      <c r="L76" s="9" t="s">
        <v>174</v>
      </c>
      <c r="M76" s="9" t="s">
        <v>489</v>
      </c>
      <c r="N76" s="9" t="s">
        <v>50</v>
      </c>
      <c r="O76" s="9" t="s">
        <v>51</v>
      </c>
      <c r="P76" s="9"/>
      <c r="Q76" s="9"/>
      <c r="R76" s="9" t="s">
        <v>61</v>
      </c>
      <c r="S76" s="14" t="s">
        <v>490</v>
      </c>
      <c r="T76" s="9" t="s">
        <v>491</v>
      </c>
      <c r="U76" s="9" t="s">
        <v>262</v>
      </c>
      <c r="V76" s="9" t="s">
        <v>55</v>
      </c>
      <c r="W76" s="9" t="s">
        <v>115</v>
      </c>
      <c r="X76" s="12" t="s">
        <v>389</v>
      </c>
      <c r="Y76" s="9" t="s">
        <v>390</v>
      </c>
      <c r="Z76" s="13"/>
    </row>
    <row r="77" spans="1:26" ht="32.25" hidden="1" customHeight="1">
      <c r="A77" s="8">
        <v>2300864</v>
      </c>
      <c r="B77" s="9" t="s">
        <v>492</v>
      </c>
      <c r="C77" s="10">
        <v>45149</v>
      </c>
      <c r="D77" s="9" t="s">
        <v>57</v>
      </c>
      <c r="E77" s="9" t="s">
        <v>41</v>
      </c>
      <c r="F77" s="9" t="s">
        <v>42</v>
      </c>
      <c r="G77" s="9" t="s">
        <v>43</v>
      </c>
      <c r="H77" s="9" t="s">
        <v>58</v>
      </c>
      <c r="I77" s="11" t="s">
        <v>45</v>
      </c>
      <c r="J77" s="9" t="s">
        <v>46</v>
      </c>
      <c r="K77" s="9" t="s">
        <v>47</v>
      </c>
      <c r="L77" s="9" t="s">
        <v>156</v>
      </c>
      <c r="M77" s="9"/>
      <c r="N77" s="9" t="s">
        <v>84</v>
      </c>
      <c r="O77" s="9" t="s">
        <v>51</v>
      </c>
      <c r="P77" s="9"/>
      <c r="Q77" s="9"/>
      <c r="R77" s="9"/>
      <c r="S77" s="14" t="s">
        <v>493</v>
      </c>
      <c r="T77" s="9" t="s">
        <v>494</v>
      </c>
      <c r="U77" s="9" t="s">
        <v>54</v>
      </c>
      <c r="V77" s="9" t="s">
        <v>55</v>
      </c>
      <c r="W77" s="9" t="s">
        <v>55</v>
      </c>
      <c r="X77" s="12"/>
      <c r="Y77" s="9" t="s">
        <v>55</v>
      </c>
      <c r="Z77" s="13"/>
    </row>
    <row r="78" spans="1:26" ht="32.25" hidden="1" customHeight="1">
      <c r="A78" s="8">
        <v>2309520</v>
      </c>
      <c r="B78" s="9" t="s">
        <v>495</v>
      </c>
      <c r="C78" s="10">
        <v>45156</v>
      </c>
      <c r="D78" s="9" t="s">
        <v>79</v>
      </c>
      <c r="E78" s="9" t="s">
        <v>89</v>
      </c>
      <c r="F78" s="9" t="s">
        <v>80</v>
      </c>
      <c r="G78" s="9" t="s">
        <v>43</v>
      </c>
      <c r="H78" s="9" t="s">
        <v>44</v>
      </c>
      <c r="I78" s="11" t="s">
        <v>90</v>
      </c>
      <c r="J78" s="9" t="s">
        <v>91</v>
      </c>
      <c r="K78" s="9" t="s">
        <v>496</v>
      </c>
      <c r="L78" s="9" t="s">
        <v>497</v>
      </c>
      <c r="M78" s="9"/>
      <c r="N78" s="9" t="s">
        <v>50</v>
      </c>
      <c r="O78" s="9" t="s">
        <v>51</v>
      </c>
      <c r="P78" s="9" t="s">
        <v>498</v>
      </c>
      <c r="Q78" s="9"/>
      <c r="R78" s="9" t="s">
        <v>61</v>
      </c>
      <c r="S78" s="14" t="s">
        <v>499</v>
      </c>
      <c r="T78" s="9" t="s">
        <v>500</v>
      </c>
      <c r="U78" s="9" t="s">
        <v>54</v>
      </c>
      <c r="V78" s="9" t="s">
        <v>55</v>
      </c>
      <c r="W78" s="9" t="s">
        <v>115</v>
      </c>
      <c r="X78" s="12" t="s">
        <v>98</v>
      </c>
      <c r="Y78" s="9" t="s">
        <v>99</v>
      </c>
      <c r="Z78" s="13"/>
    </row>
    <row r="79" spans="1:26" ht="32.25" hidden="1" customHeight="1">
      <c r="A79" s="8">
        <v>2300340</v>
      </c>
      <c r="B79" s="9" t="s">
        <v>501</v>
      </c>
      <c r="C79" s="10">
        <v>45142</v>
      </c>
      <c r="D79" s="9" t="s">
        <v>232</v>
      </c>
      <c r="E79" s="9" t="s">
        <v>41</v>
      </c>
      <c r="F79" s="9" t="s">
        <v>80</v>
      </c>
      <c r="G79" s="9" t="s">
        <v>43</v>
      </c>
      <c r="H79" s="9" t="s">
        <v>44</v>
      </c>
      <c r="I79" s="11" t="s">
        <v>81</v>
      </c>
      <c r="J79" s="9" t="s">
        <v>46</v>
      </c>
      <c r="K79" s="9" t="s">
        <v>271</v>
      </c>
      <c r="L79" s="9"/>
      <c r="M79" s="9" t="s">
        <v>502</v>
      </c>
      <c r="N79" s="9" t="s">
        <v>50</v>
      </c>
      <c r="O79" s="9" t="s">
        <v>187</v>
      </c>
      <c r="P79" s="9" t="s">
        <v>503</v>
      </c>
      <c r="Q79" s="9"/>
      <c r="R79" s="9" t="s">
        <v>61</v>
      </c>
      <c r="S79" s="9" t="s">
        <v>504</v>
      </c>
      <c r="T79" s="9" t="s">
        <v>505</v>
      </c>
      <c r="U79" s="9" t="s">
        <v>54</v>
      </c>
      <c r="V79" s="9" t="s">
        <v>76</v>
      </c>
      <c r="W79" s="9" t="s">
        <v>55</v>
      </c>
      <c r="X79" s="12" t="s">
        <v>76</v>
      </c>
      <c r="Y79" s="9" t="s">
        <v>77</v>
      </c>
      <c r="Z79" s="13" t="s">
        <v>240</v>
      </c>
    </row>
    <row r="80" spans="1:26" ht="32.25" hidden="1" customHeight="1">
      <c r="A80" s="8">
        <v>2315145</v>
      </c>
      <c r="B80" s="9" t="s">
        <v>506</v>
      </c>
      <c r="C80" s="10">
        <v>45149</v>
      </c>
      <c r="D80" s="9" t="s">
        <v>57</v>
      </c>
      <c r="E80" s="9" t="s">
        <v>41</v>
      </c>
      <c r="F80" s="9" t="s">
        <v>42</v>
      </c>
      <c r="G80" s="9" t="s">
        <v>43</v>
      </c>
      <c r="H80" s="9" t="s">
        <v>58</v>
      </c>
      <c r="I80" s="11" t="s">
        <v>129</v>
      </c>
      <c r="J80" s="9" t="s">
        <v>130</v>
      </c>
      <c r="K80" s="9" t="s">
        <v>47</v>
      </c>
      <c r="L80" s="9" t="s">
        <v>156</v>
      </c>
      <c r="M80" s="9"/>
      <c r="N80" s="9" t="s">
        <v>84</v>
      </c>
      <c r="O80" s="9" t="s">
        <v>51</v>
      </c>
      <c r="P80" s="9"/>
      <c r="Q80" s="9"/>
      <c r="R80" s="9"/>
      <c r="S80" s="14" t="s">
        <v>507</v>
      </c>
      <c r="T80" s="9" t="s">
        <v>508</v>
      </c>
      <c r="U80" s="9" t="s">
        <v>54</v>
      </c>
      <c r="V80" s="9" t="s">
        <v>55</v>
      </c>
      <c r="W80" s="9" t="s">
        <v>55</v>
      </c>
      <c r="X80" s="12"/>
      <c r="Y80" s="9" t="s">
        <v>55</v>
      </c>
      <c r="Z80" s="13"/>
    </row>
    <row r="81" spans="1:26" ht="32.25" hidden="1" customHeight="1">
      <c r="A81" s="8">
        <v>2300485</v>
      </c>
      <c r="B81" s="9" t="s">
        <v>509</v>
      </c>
      <c r="C81" s="10">
        <v>45156</v>
      </c>
      <c r="D81" s="9" t="s">
        <v>79</v>
      </c>
      <c r="E81" s="9" t="s">
        <v>41</v>
      </c>
      <c r="F81" s="9" t="s">
        <v>80</v>
      </c>
      <c r="G81" s="9" t="s">
        <v>43</v>
      </c>
      <c r="H81" s="9" t="s">
        <v>44</v>
      </c>
      <c r="I81" s="11" t="s">
        <v>233</v>
      </c>
      <c r="J81" s="9" t="s">
        <v>200</v>
      </c>
      <c r="K81" s="9" t="s">
        <v>47</v>
      </c>
      <c r="L81" s="9" t="s">
        <v>48</v>
      </c>
      <c r="M81" s="9" t="s">
        <v>131</v>
      </c>
      <c r="N81" s="9" t="s">
        <v>84</v>
      </c>
      <c r="O81" s="9" t="s">
        <v>51</v>
      </c>
      <c r="P81" s="9" t="s">
        <v>443</v>
      </c>
      <c r="Q81" s="9"/>
      <c r="R81" s="9" t="s">
        <v>61</v>
      </c>
      <c r="S81" s="14" t="s">
        <v>510</v>
      </c>
      <c r="T81" s="9" t="s">
        <v>511</v>
      </c>
      <c r="U81" s="9" t="s">
        <v>54</v>
      </c>
      <c r="V81" s="9" t="s">
        <v>55</v>
      </c>
      <c r="W81" s="9" t="s">
        <v>115</v>
      </c>
      <c r="X81" s="9"/>
      <c r="Y81" s="9" t="s">
        <v>55</v>
      </c>
      <c r="Z81" s="13" t="s">
        <v>512</v>
      </c>
    </row>
    <row r="82" spans="1:26" ht="32.25" hidden="1" customHeight="1">
      <c r="A82" s="8">
        <v>2314233</v>
      </c>
      <c r="B82" s="9" t="s">
        <v>513</v>
      </c>
      <c r="C82" s="10">
        <v>45149</v>
      </c>
      <c r="D82" s="9" t="s">
        <v>57</v>
      </c>
      <c r="E82" s="9" t="s">
        <v>41</v>
      </c>
      <c r="F82" s="9" t="s">
        <v>42</v>
      </c>
      <c r="G82" s="9" t="s">
        <v>43</v>
      </c>
      <c r="H82" s="9" t="s">
        <v>58</v>
      </c>
      <c r="I82" s="11" t="s">
        <v>45</v>
      </c>
      <c r="J82" s="9" t="s">
        <v>46</v>
      </c>
      <c r="K82" s="9" t="s">
        <v>47</v>
      </c>
      <c r="L82" s="9" t="s">
        <v>156</v>
      </c>
      <c r="M82" s="9"/>
      <c r="N82" s="9" t="s">
        <v>50</v>
      </c>
      <c r="O82" s="9" t="s">
        <v>51</v>
      </c>
      <c r="P82" s="9"/>
      <c r="Q82" s="9"/>
      <c r="R82" s="9"/>
      <c r="S82" s="14" t="s">
        <v>514</v>
      </c>
      <c r="T82" s="9" t="s">
        <v>515</v>
      </c>
      <c r="U82" s="9" t="s">
        <v>54</v>
      </c>
      <c r="V82" s="9" t="s">
        <v>55</v>
      </c>
      <c r="W82" s="9" t="s">
        <v>55</v>
      </c>
      <c r="X82" s="12"/>
      <c r="Y82" s="9" t="s">
        <v>55</v>
      </c>
      <c r="Z82" s="13"/>
    </row>
    <row r="83" spans="1:26" ht="32.25" hidden="1" customHeight="1">
      <c r="A83" s="8">
        <v>2304913</v>
      </c>
      <c r="B83" s="9" t="s">
        <v>516</v>
      </c>
      <c r="C83" s="10">
        <v>45136</v>
      </c>
      <c r="D83" s="9" t="s">
        <v>40</v>
      </c>
      <c r="E83" s="9" t="s">
        <v>153</v>
      </c>
      <c r="F83" s="9" t="s">
        <v>42</v>
      </c>
      <c r="G83" s="9" t="s">
        <v>43</v>
      </c>
      <c r="H83" s="9" t="s">
        <v>44</v>
      </c>
      <c r="I83" s="11" t="s">
        <v>154</v>
      </c>
      <c r="J83" s="9" t="s">
        <v>155</v>
      </c>
      <c r="K83" s="9" t="s">
        <v>47</v>
      </c>
      <c r="L83" s="9" t="s">
        <v>517</v>
      </c>
      <c r="M83" s="9" t="s">
        <v>518</v>
      </c>
      <c r="N83" s="9" t="s">
        <v>84</v>
      </c>
      <c r="O83" s="9" t="s">
        <v>51</v>
      </c>
      <c r="P83" s="9"/>
      <c r="Q83" s="9"/>
      <c r="R83" s="9" t="s">
        <v>61</v>
      </c>
      <c r="S83" s="9" t="s">
        <v>519</v>
      </c>
      <c r="T83" s="9" t="s">
        <v>520</v>
      </c>
      <c r="U83" s="9" t="s">
        <v>54</v>
      </c>
      <c r="V83" s="9" t="s">
        <v>55</v>
      </c>
      <c r="W83" s="9" t="s">
        <v>55</v>
      </c>
      <c r="X83" s="12" t="s">
        <v>171</v>
      </c>
      <c r="Y83" s="9" t="s">
        <v>172</v>
      </c>
      <c r="Z83" s="13"/>
    </row>
    <row r="84" spans="1:26" ht="32.25" hidden="1" customHeight="1">
      <c r="A84" s="8">
        <v>2300345</v>
      </c>
      <c r="B84" s="9" t="s">
        <v>521</v>
      </c>
      <c r="C84" s="10">
        <v>45142</v>
      </c>
      <c r="D84" s="9" t="s">
        <v>232</v>
      </c>
      <c r="E84" s="9" t="s">
        <v>143</v>
      </c>
      <c r="F84" s="9" t="s">
        <v>80</v>
      </c>
      <c r="G84" s="9" t="s">
        <v>43</v>
      </c>
      <c r="H84" s="9" t="s">
        <v>44</v>
      </c>
      <c r="I84" s="11" t="s">
        <v>326</v>
      </c>
      <c r="J84" s="9" t="s">
        <v>327</v>
      </c>
      <c r="K84" s="9" t="s">
        <v>271</v>
      </c>
      <c r="L84" s="9"/>
      <c r="M84" s="9" t="s">
        <v>502</v>
      </c>
      <c r="N84" s="9" t="s">
        <v>50</v>
      </c>
      <c r="O84" s="9" t="s">
        <v>187</v>
      </c>
      <c r="P84" s="9" t="s">
        <v>522</v>
      </c>
      <c r="Q84" s="9"/>
      <c r="R84" s="9" t="s">
        <v>61</v>
      </c>
      <c r="S84" s="9" t="s">
        <v>523</v>
      </c>
      <c r="T84" s="9" t="s">
        <v>524</v>
      </c>
      <c r="U84" s="9" t="s">
        <v>54</v>
      </c>
      <c r="V84" s="9" t="s">
        <v>525</v>
      </c>
      <c r="W84" s="9" t="s">
        <v>55</v>
      </c>
      <c r="X84" s="12" t="s">
        <v>150</v>
      </c>
      <c r="Y84" s="9" t="s">
        <v>151</v>
      </c>
      <c r="Z84" s="13" t="s">
        <v>240</v>
      </c>
    </row>
    <row r="85" spans="1:26" ht="32.25" hidden="1" customHeight="1">
      <c r="A85" s="8">
        <v>2315571</v>
      </c>
      <c r="B85" s="9" t="s">
        <v>526</v>
      </c>
      <c r="C85" s="10">
        <v>45155</v>
      </c>
      <c r="D85" s="9" t="s">
        <v>392</v>
      </c>
      <c r="E85" s="9" t="s">
        <v>41</v>
      </c>
      <c r="F85" s="9" t="s">
        <v>80</v>
      </c>
      <c r="G85" s="9" t="s">
        <v>43</v>
      </c>
      <c r="H85" s="9" t="s">
        <v>44</v>
      </c>
      <c r="I85" s="11" t="s">
        <v>527</v>
      </c>
      <c r="J85" s="9" t="s">
        <v>130</v>
      </c>
      <c r="K85" s="9" t="s">
        <v>393</v>
      </c>
      <c r="L85" s="9"/>
      <c r="M85" s="9" t="s">
        <v>528</v>
      </c>
      <c r="N85" s="9" t="s">
        <v>50</v>
      </c>
      <c r="O85" s="9" t="s">
        <v>187</v>
      </c>
      <c r="P85" s="9" t="s">
        <v>529</v>
      </c>
      <c r="Q85" s="9"/>
      <c r="R85" s="9" t="s">
        <v>61</v>
      </c>
      <c r="S85" s="14" t="s">
        <v>530</v>
      </c>
      <c r="T85" s="9" t="s">
        <v>531</v>
      </c>
      <c r="U85" s="9" t="s">
        <v>54</v>
      </c>
      <c r="V85" s="9" t="s">
        <v>55</v>
      </c>
      <c r="W85" s="9" t="s">
        <v>55</v>
      </c>
      <c r="X85" s="12" t="s">
        <v>64</v>
      </c>
      <c r="Y85" s="9" t="s">
        <v>65</v>
      </c>
      <c r="Z85" s="13"/>
    </row>
    <row r="86" spans="1:26" ht="32.25" hidden="1" customHeight="1">
      <c r="A86" s="8">
        <v>2301991</v>
      </c>
      <c r="B86" s="9" t="s">
        <v>532</v>
      </c>
      <c r="C86" s="10">
        <v>45142</v>
      </c>
      <c r="D86" s="9" t="s">
        <v>67</v>
      </c>
      <c r="E86" s="9" t="s">
        <v>143</v>
      </c>
      <c r="F86" s="9" t="s">
        <v>42</v>
      </c>
      <c r="G86" s="9" t="s">
        <v>43</v>
      </c>
      <c r="H86" s="9" t="s">
        <v>44</v>
      </c>
      <c r="I86" s="11" t="s">
        <v>144</v>
      </c>
      <c r="J86" s="9" t="s">
        <v>145</v>
      </c>
      <c r="K86" s="9" t="s">
        <v>47</v>
      </c>
      <c r="L86" s="9" t="s">
        <v>533</v>
      </c>
      <c r="M86" s="9" t="s">
        <v>534</v>
      </c>
      <c r="N86" s="9" t="s">
        <v>50</v>
      </c>
      <c r="O86" s="9" t="s">
        <v>51</v>
      </c>
      <c r="P86" s="9" t="s">
        <v>147</v>
      </c>
      <c r="Q86" s="9"/>
      <c r="R86" s="9" t="s">
        <v>61</v>
      </c>
      <c r="S86" s="9" t="s">
        <v>535</v>
      </c>
      <c r="T86" s="9" t="s">
        <v>536</v>
      </c>
      <c r="U86" s="9" t="s">
        <v>54</v>
      </c>
      <c r="V86" s="9" t="s">
        <v>55</v>
      </c>
      <c r="W86" s="9" t="s">
        <v>55</v>
      </c>
      <c r="X86" s="12" t="s">
        <v>150</v>
      </c>
      <c r="Y86" s="9" t="s">
        <v>151</v>
      </c>
      <c r="Z86" s="13"/>
    </row>
    <row r="87" spans="1:26" ht="32.25" hidden="1" customHeight="1">
      <c r="A87" s="8">
        <v>2306609</v>
      </c>
      <c r="B87" s="9" t="s">
        <v>537</v>
      </c>
      <c r="C87" s="10">
        <v>45149</v>
      </c>
      <c r="D87" s="9" t="s">
        <v>57</v>
      </c>
      <c r="E87" s="9" t="s">
        <v>41</v>
      </c>
      <c r="F87" s="9" t="s">
        <v>42</v>
      </c>
      <c r="G87" s="9" t="s">
        <v>43</v>
      </c>
      <c r="H87" s="9" t="s">
        <v>58</v>
      </c>
      <c r="I87" s="11" t="s">
        <v>45</v>
      </c>
      <c r="J87" s="9" t="s">
        <v>46</v>
      </c>
      <c r="K87" s="9" t="s">
        <v>47</v>
      </c>
      <c r="L87" s="9" t="s">
        <v>156</v>
      </c>
      <c r="M87" s="9"/>
      <c r="N87" s="9" t="s">
        <v>50</v>
      </c>
      <c r="O87" s="9" t="s">
        <v>51</v>
      </c>
      <c r="P87" s="9"/>
      <c r="Q87" s="9"/>
      <c r="R87" s="9"/>
      <c r="S87" s="14" t="s">
        <v>538</v>
      </c>
      <c r="T87" s="9" t="s">
        <v>539</v>
      </c>
      <c r="U87" s="9" t="s">
        <v>54</v>
      </c>
      <c r="V87" s="9" t="s">
        <v>55</v>
      </c>
      <c r="W87" s="9" t="s">
        <v>55</v>
      </c>
      <c r="X87" s="12"/>
      <c r="Y87" s="9" t="s">
        <v>55</v>
      </c>
      <c r="Z87" s="13"/>
    </row>
    <row r="88" spans="1:26" ht="32.25" hidden="1" customHeight="1">
      <c r="A88" s="8">
        <v>2307489</v>
      </c>
      <c r="B88" s="9" t="s">
        <v>540</v>
      </c>
      <c r="C88" s="10">
        <v>45149</v>
      </c>
      <c r="D88" s="9" t="s">
        <v>57</v>
      </c>
      <c r="E88" s="9" t="s">
        <v>295</v>
      </c>
      <c r="F88" s="9" t="s">
        <v>42</v>
      </c>
      <c r="G88" s="9" t="s">
        <v>43</v>
      </c>
      <c r="H88" s="9" t="s">
        <v>58</v>
      </c>
      <c r="I88" s="11" t="s">
        <v>296</v>
      </c>
      <c r="J88" s="9" t="s">
        <v>297</v>
      </c>
      <c r="K88" s="9" t="s">
        <v>47</v>
      </c>
      <c r="L88" s="9" t="s">
        <v>167</v>
      </c>
      <c r="M88" s="9" t="s">
        <v>541</v>
      </c>
      <c r="N88" s="9" t="s">
        <v>84</v>
      </c>
      <c r="O88" s="9" t="s">
        <v>51</v>
      </c>
      <c r="P88" s="9"/>
      <c r="Q88" s="9"/>
      <c r="R88" s="9" t="s">
        <v>61</v>
      </c>
      <c r="S88" s="14" t="s">
        <v>542</v>
      </c>
      <c r="T88" s="9" t="s">
        <v>543</v>
      </c>
      <c r="U88" s="9" t="s">
        <v>54</v>
      </c>
      <c r="V88" s="9" t="s">
        <v>55</v>
      </c>
      <c r="W88" s="9" t="s">
        <v>55</v>
      </c>
      <c r="X88" s="9" t="s">
        <v>319</v>
      </c>
      <c r="Y88" s="9" t="s">
        <v>320</v>
      </c>
      <c r="Z88" s="13"/>
    </row>
    <row r="89" spans="1:26" ht="32.25" hidden="1" customHeight="1">
      <c r="A89" s="8">
        <v>2302397</v>
      </c>
      <c r="B89" s="9" t="s">
        <v>544</v>
      </c>
      <c r="C89" s="10">
        <v>45156</v>
      </c>
      <c r="D89" s="9" t="s">
        <v>79</v>
      </c>
      <c r="E89" s="9" t="s">
        <v>89</v>
      </c>
      <c r="F89" s="9" t="s">
        <v>80</v>
      </c>
      <c r="G89" s="9" t="s">
        <v>43</v>
      </c>
      <c r="H89" s="9" t="s">
        <v>44</v>
      </c>
      <c r="I89" s="11" t="s">
        <v>90</v>
      </c>
      <c r="J89" s="9" t="s">
        <v>91</v>
      </c>
      <c r="K89" s="9" t="s">
        <v>47</v>
      </c>
      <c r="L89" s="9" t="s">
        <v>517</v>
      </c>
      <c r="M89" s="9" t="s">
        <v>545</v>
      </c>
      <c r="N89" s="9" t="s">
        <v>84</v>
      </c>
      <c r="O89" s="9" t="s">
        <v>51</v>
      </c>
      <c r="P89" s="9" t="s">
        <v>546</v>
      </c>
      <c r="Q89" s="9"/>
      <c r="R89" s="9" t="s">
        <v>61</v>
      </c>
      <c r="S89" s="14" t="s">
        <v>547</v>
      </c>
      <c r="T89" s="9" t="s">
        <v>548</v>
      </c>
      <c r="U89" s="9" t="s">
        <v>54</v>
      </c>
      <c r="V89" s="9" t="s">
        <v>318</v>
      </c>
      <c r="W89" s="9" t="s">
        <v>115</v>
      </c>
      <c r="X89" s="12" t="s">
        <v>319</v>
      </c>
      <c r="Y89" s="9" t="s">
        <v>320</v>
      </c>
      <c r="Z89" s="13"/>
    </row>
    <row r="90" spans="1:26" ht="32.25" hidden="1" customHeight="1">
      <c r="A90" s="8">
        <v>2310642</v>
      </c>
      <c r="B90" s="9" t="s">
        <v>549</v>
      </c>
      <c r="C90" s="10">
        <v>45149</v>
      </c>
      <c r="D90" s="9" t="s">
        <v>57</v>
      </c>
      <c r="E90" s="9" t="s">
        <v>153</v>
      </c>
      <c r="F90" s="9" t="s">
        <v>42</v>
      </c>
      <c r="G90" s="9" t="s">
        <v>43</v>
      </c>
      <c r="H90" s="9" t="s">
        <v>58</v>
      </c>
      <c r="I90" s="11" t="s">
        <v>154</v>
      </c>
      <c r="J90" s="9" t="s">
        <v>155</v>
      </c>
      <c r="K90" s="9" t="s">
        <v>47</v>
      </c>
      <c r="L90" s="9" t="s">
        <v>156</v>
      </c>
      <c r="M90" s="9"/>
      <c r="N90" s="9" t="s">
        <v>84</v>
      </c>
      <c r="O90" s="9" t="s">
        <v>51</v>
      </c>
      <c r="P90" s="9"/>
      <c r="Q90" s="9"/>
      <c r="R90" s="9"/>
      <c r="S90" s="14" t="s">
        <v>550</v>
      </c>
      <c r="T90" s="9" t="s">
        <v>551</v>
      </c>
      <c r="U90" s="9" t="s">
        <v>54</v>
      </c>
      <c r="V90" s="9" t="s">
        <v>55</v>
      </c>
      <c r="W90" s="9" t="s">
        <v>55</v>
      </c>
      <c r="X90" s="12"/>
      <c r="Y90" s="9" t="s">
        <v>55</v>
      </c>
      <c r="Z90" s="13"/>
    </row>
    <row r="91" spans="1:26" ht="32.25" hidden="1" customHeight="1">
      <c r="A91" s="8">
        <v>2307342</v>
      </c>
      <c r="B91" s="9" t="s">
        <v>552</v>
      </c>
      <c r="C91" s="10">
        <v>45149</v>
      </c>
      <c r="D91" s="9" t="s">
        <v>57</v>
      </c>
      <c r="E91" s="9" t="s">
        <v>41</v>
      </c>
      <c r="F91" s="9" t="s">
        <v>42</v>
      </c>
      <c r="G91" s="9" t="s">
        <v>43</v>
      </c>
      <c r="H91" s="9" t="s">
        <v>58</v>
      </c>
      <c r="I91" s="11" t="s">
        <v>129</v>
      </c>
      <c r="J91" s="9" t="s">
        <v>130</v>
      </c>
      <c r="K91" s="9" t="s">
        <v>47</v>
      </c>
      <c r="L91" s="9" t="s">
        <v>553</v>
      </c>
      <c r="M91" s="9" t="s">
        <v>554</v>
      </c>
      <c r="N91" s="9" t="s">
        <v>84</v>
      </c>
      <c r="O91" s="9" t="s">
        <v>51</v>
      </c>
      <c r="P91" s="9"/>
      <c r="Q91" s="9"/>
      <c r="R91" s="9" t="s">
        <v>61</v>
      </c>
      <c r="S91" s="14" t="s">
        <v>555</v>
      </c>
      <c r="T91" s="9" t="s">
        <v>556</v>
      </c>
      <c r="U91" s="9" t="s">
        <v>54</v>
      </c>
      <c r="V91" s="9" t="s">
        <v>55</v>
      </c>
      <c r="W91" s="9" t="s">
        <v>55</v>
      </c>
      <c r="X91" s="9" t="s">
        <v>196</v>
      </c>
      <c r="Y91" s="9" t="s">
        <v>197</v>
      </c>
      <c r="Z91" s="13" t="s">
        <v>230</v>
      </c>
    </row>
    <row r="92" spans="1:26" ht="32.25" hidden="1" customHeight="1">
      <c r="A92" s="8">
        <v>2302889</v>
      </c>
      <c r="B92" s="9" t="s">
        <v>557</v>
      </c>
      <c r="C92" s="10">
        <v>45142</v>
      </c>
      <c r="D92" s="9" t="s">
        <v>67</v>
      </c>
      <c r="E92" s="9" t="s">
        <v>143</v>
      </c>
      <c r="F92" s="9" t="s">
        <v>42</v>
      </c>
      <c r="G92" s="9" t="s">
        <v>43</v>
      </c>
      <c r="H92" s="9" t="s">
        <v>44</v>
      </c>
      <c r="I92" s="11" t="s">
        <v>144</v>
      </c>
      <c r="J92" s="9" t="s">
        <v>145</v>
      </c>
      <c r="K92" s="9" t="s">
        <v>47</v>
      </c>
      <c r="L92" s="9" t="s">
        <v>156</v>
      </c>
      <c r="M92" s="9"/>
      <c r="N92" s="9" t="s">
        <v>84</v>
      </c>
      <c r="O92" s="9" t="s">
        <v>51</v>
      </c>
      <c r="P92" s="9" t="s">
        <v>147</v>
      </c>
      <c r="Q92" s="9"/>
      <c r="R92" s="9"/>
      <c r="S92" s="9" t="s">
        <v>558</v>
      </c>
      <c r="T92" s="9" t="s">
        <v>559</v>
      </c>
      <c r="U92" s="9" t="s">
        <v>54</v>
      </c>
      <c r="V92" s="9" t="s">
        <v>55</v>
      </c>
      <c r="W92" s="9" t="s">
        <v>55</v>
      </c>
      <c r="X92" s="12"/>
      <c r="Y92" s="9" t="s">
        <v>55</v>
      </c>
      <c r="Z92" s="13"/>
    </row>
    <row r="93" spans="1:26" ht="32.25" hidden="1" customHeight="1">
      <c r="A93" s="8">
        <v>2312607</v>
      </c>
      <c r="B93" s="9" t="s">
        <v>560</v>
      </c>
      <c r="C93" s="10">
        <v>45142</v>
      </c>
      <c r="D93" s="9" t="s">
        <v>232</v>
      </c>
      <c r="E93" s="9" t="s">
        <v>41</v>
      </c>
      <c r="F93" s="9" t="s">
        <v>80</v>
      </c>
      <c r="G93" s="9" t="s">
        <v>43</v>
      </c>
      <c r="H93" s="9" t="s">
        <v>44</v>
      </c>
      <c r="I93" s="11" t="s">
        <v>81</v>
      </c>
      <c r="J93" s="9" t="s">
        <v>46</v>
      </c>
      <c r="K93" s="9" t="s">
        <v>561</v>
      </c>
      <c r="L93" s="9"/>
      <c r="M93" s="9"/>
      <c r="N93" s="9" t="s">
        <v>50</v>
      </c>
      <c r="O93" s="9" t="s">
        <v>187</v>
      </c>
      <c r="P93" s="9" t="s">
        <v>395</v>
      </c>
      <c r="Q93" s="9"/>
      <c r="R93" s="9" t="s">
        <v>61</v>
      </c>
      <c r="S93" s="9" t="s">
        <v>562</v>
      </c>
      <c r="T93" s="9" t="s">
        <v>563</v>
      </c>
      <c r="U93" s="9" t="s">
        <v>54</v>
      </c>
      <c r="V93" s="9" t="s">
        <v>331</v>
      </c>
      <c r="W93" s="9" t="s">
        <v>115</v>
      </c>
      <c r="X93" s="9" t="s">
        <v>64</v>
      </c>
      <c r="Y93" s="9" t="s">
        <v>65</v>
      </c>
      <c r="Z93" s="13"/>
    </row>
    <row r="94" spans="1:26" ht="32.25" hidden="1" customHeight="1">
      <c r="A94" s="8">
        <v>2307834</v>
      </c>
      <c r="B94" s="9" t="s">
        <v>564</v>
      </c>
      <c r="C94" s="10">
        <v>45156</v>
      </c>
      <c r="D94" s="9" t="s">
        <v>565</v>
      </c>
      <c r="E94" s="9" t="s">
        <v>41</v>
      </c>
      <c r="F94" s="9" t="s">
        <v>42</v>
      </c>
      <c r="G94" s="9" t="s">
        <v>43</v>
      </c>
      <c r="H94" s="9" t="s">
        <v>58</v>
      </c>
      <c r="I94" s="11" t="s">
        <v>45</v>
      </c>
      <c r="J94" s="9" t="s">
        <v>46</v>
      </c>
      <c r="K94" s="9" t="s">
        <v>47</v>
      </c>
      <c r="L94" s="9" t="s">
        <v>310</v>
      </c>
      <c r="M94" s="9" t="s">
        <v>311</v>
      </c>
      <c r="N94" s="9" t="s">
        <v>84</v>
      </c>
      <c r="O94" s="9" t="s">
        <v>51</v>
      </c>
      <c r="P94" s="9"/>
      <c r="Q94" s="9"/>
      <c r="R94" s="9" t="s">
        <v>61</v>
      </c>
      <c r="S94" s="14" t="s">
        <v>566</v>
      </c>
      <c r="T94" s="9" t="s">
        <v>567</v>
      </c>
      <c r="U94" s="9" t="s">
        <v>54</v>
      </c>
      <c r="V94" s="9" t="s">
        <v>55</v>
      </c>
      <c r="W94" s="9" t="s">
        <v>55</v>
      </c>
      <c r="X94" s="9" t="s">
        <v>196</v>
      </c>
      <c r="Y94" s="9" t="s">
        <v>197</v>
      </c>
      <c r="Z94" s="13"/>
    </row>
    <row r="95" spans="1:26" ht="32.25" hidden="1" customHeight="1">
      <c r="A95" s="8">
        <v>2311645</v>
      </c>
      <c r="B95" s="9" t="s">
        <v>568</v>
      </c>
      <c r="C95" s="10">
        <v>45156</v>
      </c>
      <c r="D95" s="9" t="s">
        <v>565</v>
      </c>
      <c r="E95" s="9" t="s">
        <v>41</v>
      </c>
      <c r="F95" s="9" t="s">
        <v>42</v>
      </c>
      <c r="G95" s="9" t="s">
        <v>43</v>
      </c>
      <c r="H95" s="9" t="s">
        <v>58</v>
      </c>
      <c r="I95" s="11" t="s">
        <v>45</v>
      </c>
      <c r="J95" s="9" t="s">
        <v>46</v>
      </c>
      <c r="K95" s="9" t="s">
        <v>47</v>
      </c>
      <c r="L95" s="9" t="s">
        <v>569</v>
      </c>
      <c r="M95" s="9" t="s">
        <v>570</v>
      </c>
      <c r="N95" s="9" t="s">
        <v>50</v>
      </c>
      <c r="O95" s="9" t="s">
        <v>51</v>
      </c>
      <c r="P95" s="9"/>
      <c r="Q95" s="9"/>
      <c r="R95" s="9" t="s">
        <v>61</v>
      </c>
      <c r="S95" s="14" t="s">
        <v>571</v>
      </c>
      <c r="T95" s="9" t="s">
        <v>572</v>
      </c>
      <c r="U95" s="9" t="s">
        <v>54</v>
      </c>
      <c r="V95" s="9" t="s">
        <v>55</v>
      </c>
      <c r="W95" s="9" t="s">
        <v>55</v>
      </c>
      <c r="X95" s="9" t="s">
        <v>64</v>
      </c>
      <c r="Y95" s="9" t="s">
        <v>65</v>
      </c>
      <c r="Z95" s="13"/>
    </row>
    <row r="96" spans="1:26" ht="32.25" hidden="1" customHeight="1">
      <c r="A96" s="8">
        <v>2306618</v>
      </c>
      <c r="B96" s="9" t="s">
        <v>573</v>
      </c>
      <c r="C96" s="10">
        <v>45156</v>
      </c>
      <c r="D96" s="9" t="s">
        <v>79</v>
      </c>
      <c r="E96" s="9" t="s">
        <v>143</v>
      </c>
      <c r="F96" s="9" t="s">
        <v>80</v>
      </c>
      <c r="G96" s="9" t="s">
        <v>43</v>
      </c>
      <c r="H96" s="9" t="s">
        <v>44</v>
      </c>
      <c r="I96" s="11" t="s">
        <v>326</v>
      </c>
      <c r="J96" s="9" t="s">
        <v>327</v>
      </c>
      <c r="K96" s="9" t="s">
        <v>47</v>
      </c>
      <c r="L96" s="9" t="s">
        <v>574</v>
      </c>
      <c r="M96" s="9" t="s">
        <v>575</v>
      </c>
      <c r="N96" s="9" t="s">
        <v>50</v>
      </c>
      <c r="O96" s="9" t="s">
        <v>51</v>
      </c>
      <c r="P96" s="9" t="s">
        <v>576</v>
      </c>
      <c r="Q96" s="9"/>
      <c r="R96" s="9" t="s">
        <v>61</v>
      </c>
      <c r="S96" s="14" t="s">
        <v>577</v>
      </c>
      <c r="T96" s="9" t="s">
        <v>578</v>
      </c>
      <c r="U96" s="9" t="s">
        <v>54</v>
      </c>
      <c r="V96" s="9" t="s">
        <v>55</v>
      </c>
      <c r="W96" s="9" t="s">
        <v>55</v>
      </c>
      <c r="X96" s="12" t="s">
        <v>150</v>
      </c>
      <c r="Y96" s="9" t="s">
        <v>151</v>
      </c>
      <c r="Z96" s="13"/>
    </row>
    <row r="97" spans="1:26" ht="32.25" hidden="1" customHeight="1">
      <c r="A97" s="8">
        <v>2309581</v>
      </c>
      <c r="B97" s="9" t="s">
        <v>579</v>
      </c>
      <c r="C97" s="10">
        <v>45156</v>
      </c>
      <c r="D97" s="9" t="s">
        <v>79</v>
      </c>
      <c r="E97" s="9" t="s">
        <v>41</v>
      </c>
      <c r="F97" s="9" t="s">
        <v>80</v>
      </c>
      <c r="G97" s="9" t="s">
        <v>43</v>
      </c>
      <c r="H97" s="9" t="s">
        <v>44</v>
      </c>
      <c r="I97" s="11" t="s">
        <v>81</v>
      </c>
      <c r="J97" s="9" t="s">
        <v>46</v>
      </c>
      <c r="K97" s="9" t="s">
        <v>47</v>
      </c>
      <c r="L97" s="9" t="s">
        <v>580</v>
      </c>
      <c r="M97" s="9" t="s">
        <v>581</v>
      </c>
      <c r="N97" s="9" t="s">
        <v>50</v>
      </c>
      <c r="O97" s="9" t="s">
        <v>51</v>
      </c>
      <c r="P97" s="9" t="s">
        <v>582</v>
      </c>
      <c r="Q97" s="9"/>
      <c r="R97" s="9" t="s">
        <v>61</v>
      </c>
      <c r="S97" s="14" t="s">
        <v>583</v>
      </c>
      <c r="T97" s="9" t="s">
        <v>584</v>
      </c>
      <c r="U97" s="9" t="s">
        <v>54</v>
      </c>
      <c r="V97" s="9" t="s">
        <v>331</v>
      </c>
      <c r="W97" s="9" t="s">
        <v>115</v>
      </c>
      <c r="X97" s="9" t="s">
        <v>64</v>
      </c>
      <c r="Y97" s="9" t="s">
        <v>65</v>
      </c>
      <c r="Z97" s="13"/>
    </row>
    <row r="98" spans="1:26" ht="32.25" hidden="1" customHeight="1">
      <c r="A98" s="8">
        <v>2304550</v>
      </c>
      <c r="B98" s="9" t="s">
        <v>585</v>
      </c>
      <c r="C98" s="10">
        <v>45156</v>
      </c>
      <c r="D98" s="9" t="s">
        <v>79</v>
      </c>
      <c r="E98" s="9" t="s">
        <v>89</v>
      </c>
      <c r="F98" s="9" t="s">
        <v>80</v>
      </c>
      <c r="G98" s="9" t="s">
        <v>43</v>
      </c>
      <c r="H98" s="9" t="s">
        <v>44</v>
      </c>
      <c r="I98" s="11" t="s">
        <v>117</v>
      </c>
      <c r="J98" s="9" t="s">
        <v>118</v>
      </c>
      <c r="K98" s="9" t="s">
        <v>47</v>
      </c>
      <c r="L98" s="9" t="s">
        <v>586</v>
      </c>
      <c r="M98" s="9" t="s">
        <v>587</v>
      </c>
      <c r="N98" s="9" t="s">
        <v>50</v>
      </c>
      <c r="O98" s="9" t="s">
        <v>51</v>
      </c>
      <c r="P98" s="9" t="s">
        <v>121</v>
      </c>
      <c r="Q98" s="9"/>
      <c r="R98" s="9"/>
      <c r="S98" s="14" t="s">
        <v>588</v>
      </c>
      <c r="T98" s="9" t="s">
        <v>589</v>
      </c>
      <c r="U98" s="9" t="s">
        <v>54</v>
      </c>
      <c r="V98" s="9" t="s">
        <v>55</v>
      </c>
      <c r="W98" s="9" t="s">
        <v>55</v>
      </c>
      <c r="X98" s="12"/>
      <c r="Y98" s="9" t="s">
        <v>55</v>
      </c>
      <c r="Z98" s="13"/>
    </row>
    <row r="99" spans="1:26" ht="32.25" hidden="1" customHeight="1">
      <c r="A99" s="8">
        <v>2306220</v>
      </c>
      <c r="B99" s="9" t="s">
        <v>590</v>
      </c>
      <c r="C99" s="10">
        <v>45136</v>
      </c>
      <c r="D99" s="9" t="s">
        <v>40</v>
      </c>
      <c r="E99" s="9" t="s">
        <v>143</v>
      </c>
      <c r="F99" s="9" t="s">
        <v>42</v>
      </c>
      <c r="G99" s="9" t="s">
        <v>43</v>
      </c>
      <c r="H99" s="9" t="s">
        <v>44</v>
      </c>
      <c r="I99" s="11" t="s">
        <v>219</v>
      </c>
      <c r="J99" s="9" t="s">
        <v>220</v>
      </c>
      <c r="K99" s="9" t="s">
        <v>47</v>
      </c>
      <c r="L99" s="9" t="s">
        <v>591</v>
      </c>
      <c r="M99" s="9" t="s">
        <v>592</v>
      </c>
      <c r="N99" s="9" t="s">
        <v>50</v>
      </c>
      <c r="O99" s="9" t="s">
        <v>51</v>
      </c>
      <c r="P99" s="9"/>
      <c r="Q99" s="9"/>
      <c r="R99" s="9" t="s">
        <v>61</v>
      </c>
      <c r="S99" s="9" t="s">
        <v>593</v>
      </c>
      <c r="T99" s="9" t="s">
        <v>594</v>
      </c>
      <c r="U99" s="9" t="s">
        <v>54</v>
      </c>
      <c r="V99" s="9" t="s">
        <v>55</v>
      </c>
      <c r="W99" s="9" t="s">
        <v>55</v>
      </c>
      <c r="X99" s="12" t="s">
        <v>171</v>
      </c>
      <c r="Y99" s="9" t="s">
        <v>172</v>
      </c>
      <c r="Z99" s="13"/>
    </row>
    <row r="100" spans="1:26" ht="32.25" hidden="1" customHeight="1">
      <c r="A100" s="8">
        <v>2306389</v>
      </c>
      <c r="B100" s="9" t="s">
        <v>595</v>
      </c>
      <c r="C100" s="10">
        <v>45142</v>
      </c>
      <c r="D100" s="9" t="s">
        <v>67</v>
      </c>
      <c r="E100" s="9" t="s">
        <v>143</v>
      </c>
      <c r="F100" s="9" t="s">
        <v>42</v>
      </c>
      <c r="G100" s="9" t="s">
        <v>43</v>
      </c>
      <c r="H100" s="9" t="s">
        <v>44</v>
      </c>
      <c r="I100" s="11" t="s">
        <v>596</v>
      </c>
      <c r="J100" s="9" t="s">
        <v>597</v>
      </c>
      <c r="K100" s="9" t="s">
        <v>47</v>
      </c>
      <c r="L100" s="9" t="s">
        <v>598</v>
      </c>
      <c r="M100" s="9" t="s">
        <v>599</v>
      </c>
      <c r="N100" s="9" t="s">
        <v>50</v>
      </c>
      <c r="O100" s="9" t="s">
        <v>51</v>
      </c>
      <c r="P100" s="9"/>
      <c r="Q100" s="9"/>
      <c r="R100" s="9" t="s">
        <v>61</v>
      </c>
      <c r="S100" s="9" t="s">
        <v>600</v>
      </c>
      <c r="T100" s="9" t="s">
        <v>601</v>
      </c>
      <c r="U100" s="9" t="s">
        <v>54</v>
      </c>
      <c r="V100" s="9" t="s">
        <v>55</v>
      </c>
      <c r="W100" s="9" t="s">
        <v>55</v>
      </c>
      <c r="X100" s="12" t="s">
        <v>171</v>
      </c>
      <c r="Y100" s="9" t="s">
        <v>172</v>
      </c>
      <c r="Z100" s="13"/>
    </row>
    <row r="101" spans="1:26" ht="32.25" hidden="1" customHeight="1">
      <c r="A101" s="8">
        <v>2302523</v>
      </c>
      <c r="B101" s="9" t="s">
        <v>602</v>
      </c>
      <c r="C101" s="10">
        <v>45149</v>
      </c>
      <c r="D101" s="9" t="s">
        <v>57</v>
      </c>
      <c r="E101" s="9" t="s">
        <v>153</v>
      </c>
      <c r="F101" s="9" t="s">
        <v>42</v>
      </c>
      <c r="G101" s="9" t="s">
        <v>43</v>
      </c>
      <c r="H101" s="9" t="s">
        <v>58</v>
      </c>
      <c r="I101" s="11" t="s">
        <v>154</v>
      </c>
      <c r="J101" s="9" t="s">
        <v>155</v>
      </c>
      <c r="K101" s="9" t="s">
        <v>47</v>
      </c>
      <c r="L101" s="9" t="s">
        <v>156</v>
      </c>
      <c r="M101" s="9"/>
      <c r="N101" s="9" t="s">
        <v>84</v>
      </c>
      <c r="O101" s="9" t="s">
        <v>51</v>
      </c>
      <c r="P101" s="9"/>
      <c r="Q101" s="9"/>
      <c r="R101" s="9"/>
      <c r="S101" s="14" t="s">
        <v>603</v>
      </c>
      <c r="T101" s="9" t="s">
        <v>604</v>
      </c>
      <c r="U101" s="9" t="s">
        <v>54</v>
      </c>
      <c r="V101" s="9" t="s">
        <v>55</v>
      </c>
      <c r="W101" s="9" t="s">
        <v>55</v>
      </c>
      <c r="X101" s="12"/>
      <c r="Y101" s="9" t="s">
        <v>55</v>
      </c>
      <c r="Z101" s="13"/>
    </row>
    <row r="102" spans="1:26" ht="32.25" hidden="1" customHeight="1">
      <c r="A102" s="8">
        <v>2311176</v>
      </c>
      <c r="B102" s="9" t="s">
        <v>605</v>
      </c>
      <c r="C102" s="10">
        <v>45149</v>
      </c>
      <c r="D102" s="9" t="s">
        <v>57</v>
      </c>
      <c r="E102" s="9" t="s">
        <v>41</v>
      </c>
      <c r="F102" s="9" t="s">
        <v>42</v>
      </c>
      <c r="G102" s="9" t="s">
        <v>43</v>
      </c>
      <c r="H102" s="9" t="s">
        <v>58</v>
      </c>
      <c r="I102" s="11" t="s">
        <v>129</v>
      </c>
      <c r="J102" s="9" t="s">
        <v>130</v>
      </c>
      <c r="K102" s="9" t="s">
        <v>47</v>
      </c>
      <c r="L102" s="9" t="s">
        <v>480</v>
      </c>
      <c r="M102" s="9" t="s">
        <v>606</v>
      </c>
      <c r="N102" s="9" t="s">
        <v>84</v>
      </c>
      <c r="O102" s="9" t="s">
        <v>51</v>
      </c>
      <c r="P102" s="9"/>
      <c r="Q102" s="9"/>
      <c r="R102" s="9" t="s">
        <v>61</v>
      </c>
      <c r="S102" s="14" t="s">
        <v>607</v>
      </c>
      <c r="T102" s="9" t="s">
        <v>608</v>
      </c>
      <c r="U102" s="9" t="s">
        <v>54</v>
      </c>
      <c r="V102" s="9" t="s">
        <v>55</v>
      </c>
      <c r="W102" s="9" t="s">
        <v>55</v>
      </c>
      <c r="X102" s="9" t="s">
        <v>319</v>
      </c>
      <c r="Y102" s="9" t="s">
        <v>320</v>
      </c>
      <c r="Z102" s="13" t="s">
        <v>230</v>
      </c>
    </row>
    <row r="103" spans="1:26" ht="32.25" hidden="1" customHeight="1">
      <c r="A103" s="8">
        <v>2309609</v>
      </c>
      <c r="B103" s="9" t="s">
        <v>609</v>
      </c>
      <c r="C103" s="10">
        <v>45142</v>
      </c>
      <c r="D103" s="9" t="s">
        <v>67</v>
      </c>
      <c r="E103" s="9" t="s">
        <v>295</v>
      </c>
      <c r="F103" s="9" t="s">
        <v>42</v>
      </c>
      <c r="G103" s="9" t="s">
        <v>43</v>
      </c>
      <c r="H103" s="9" t="s">
        <v>44</v>
      </c>
      <c r="I103" s="11" t="s">
        <v>296</v>
      </c>
      <c r="J103" s="9" t="s">
        <v>297</v>
      </c>
      <c r="K103" s="9" t="s">
        <v>47</v>
      </c>
      <c r="L103" s="9" t="s">
        <v>598</v>
      </c>
      <c r="M103" s="9" t="s">
        <v>610</v>
      </c>
      <c r="N103" s="9" t="s">
        <v>84</v>
      </c>
      <c r="O103" s="9" t="s">
        <v>51</v>
      </c>
      <c r="P103" s="9"/>
      <c r="Q103" s="9"/>
      <c r="R103" s="9" t="s">
        <v>61</v>
      </c>
      <c r="S103" s="9" t="s">
        <v>611</v>
      </c>
      <c r="T103" s="9" t="s">
        <v>612</v>
      </c>
      <c r="U103" s="9" t="s">
        <v>54</v>
      </c>
      <c r="V103" s="9" t="s">
        <v>55</v>
      </c>
      <c r="W103" s="9" t="s">
        <v>55</v>
      </c>
      <c r="X103" s="9" t="s">
        <v>319</v>
      </c>
      <c r="Y103" s="9" t="s">
        <v>320</v>
      </c>
      <c r="Z103" s="13"/>
    </row>
    <row r="104" spans="1:26" ht="32.25" hidden="1" customHeight="1">
      <c r="A104" s="8">
        <v>2311070</v>
      </c>
      <c r="B104" s="9" t="s">
        <v>613</v>
      </c>
      <c r="C104" s="10">
        <v>45149</v>
      </c>
      <c r="D104" s="9" t="s">
        <v>57</v>
      </c>
      <c r="E104" s="9" t="s">
        <v>41</v>
      </c>
      <c r="F104" s="9" t="s">
        <v>42</v>
      </c>
      <c r="G104" s="9" t="s">
        <v>43</v>
      </c>
      <c r="H104" s="9" t="s">
        <v>58</v>
      </c>
      <c r="I104" s="11" t="s">
        <v>199</v>
      </c>
      <c r="J104" s="9" t="s">
        <v>200</v>
      </c>
      <c r="K104" s="9" t="s">
        <v>47</v>
      </c>
      <c r="L104" s="9" t="s">
        <v>156</v>
      </c>
      <c r="M104" s="9"/>
      <c r="N104" s="9" t="s">
        <v>84</v>
      </c>
      <c r="O104" s="9" t="s">
        <v>51</v>
      </c>
      <c r="P104" s="9"/>
      <c r="Q104" s="9"/>
      <c r="R104" s="9"/>
      <c r="S104" s="14" t="s">
        <v>614</v>
      </c>
      <c r="T104" s="9" t="s">
        <v>615</v>
      </c>
      <c r="U104" s="9" t="s">
        <v>54</v>
      </c>
      <c r="V104" s="9" t="s">
        <v>55</v>
      </c>
      <c r="W104" s="9" t="s">
        <v>55</v>
      </c>
      <c r="X104" s="12"/>
      <c r="Y104" s="9" t="s">
        <v>55</v>
      </c>
      <c r="Z104" s="13"/>
    </row>
    <row r="105" spans="1:26" ht="32.25" hidden="1" customHeight="1">
      <c r="A105" s="8">
        <v>2309464</v>
      </c>
      <c r="B105" s="9" t="s">
        <v>616</v>
      </c>
      <c r="C105" s="10">
        <v>45142</v>
      </c>
      <c r="D105" s="9" t="s">
        <v>67</v>
      </c>
      <c r="E105" s="9" t="s">
        <v>143</v>
      </c>
      <c r="F105" s="9" t="s">
        <v>42</v>
      </c>
      <c r="G105" s="9" t="s">
        <v>43</v>
      </c>
      <c r="H105" s="9" t="s">
        <v>44</v>
      </c>
      <c r="I105" s="11" t="s">
        <v>334</v>
      </c>
      <c r="J105" s="9" t="s">
        <v>327</v>
      </c>
      <c r="K105" s="9" t="s">
        <v>47</v>
      </c>
      <c r="L105" s="9" t="s">
        <v>574</v>
      </c>
      <c r="M105" s="9" t="s">
        <v>617</v>
      </c>
      <c r="N105" s="9" t="s">
        <v>50</v>
      </c>
      <c r="O105" s="9" t="s">
        <v>51</v>
      </c>
      <c r="P105" s="9" t="s">
        <v>336</v>
      </c>
      <c r="Q105" s="9"/>
      <c r="R105" s="9" t="s">
        <v>61</v>
      </c>
      <c r="S105" s="9" t="s">
        <v>618</v>
      </c>
      <c r="T105" s="9" t="s">
        <v>619</v>
      </c>
      <c r="U105" s="9" t="s">
        <v>54</v>
      </c>
      <c r="V105" s="9" t="s">
        <v>55</v>
      </c>
      <c r="W105" s="9" t="s">
        <v>55</v>
      </c>
      <c r="X105" s="12" t="s">
        <v>150</v>
      </c>
      <c r="Y105" s="9" t="s">
        <v>151</v>
      </c>
      <c r="Z105" s="13"/>
    </row>
    <row r="106" spans="1:26" ht="32.25" hidden="1" customHeight="1">
      <c r="A106" s="8">
        <v>2302689</v>
      </c>
      <c r="B106" s="9" t="s">
        <v>620</v>
      </c>
      <c r="C106" s="10">
        <v>45149</v>
      </c>
      <c r="D106" s="9" t="s">
        <v>57</v>
      </c>
      <c r="E106" s="9" t="s">
        <v>41</v>
      </c>
      <c r="F106" s="9" t="s">
        <v>42</v>
      </c>
      <c r="G106" s="9" t="s">
        <v>43</v>
      </c>
      <c r="H106" s="9" t="s">
        <v>58</v>
      </c>
      <c r="I106" s="11" t="s">
        <v>45</v>
      </c>
      <c r="J106" s="9" t="s">
        <v>46</v>
      </c>
      <c r="K106" s="9" t="s">
        <v>47</v>
      </c>
      <c r="L106" s="9" t="s">
        <v>156</v>
      </c>
      <c r="M106" s="9"/>
      <c r="N106" s="9" t="s">
        <v>50</v>
      </c>
      <c r="O106" s="9" t="s">
        <v>51</v>
      </c>
      <c r="P106" s="9"/>
      <c r="Q106" s="9"/>
      <c r="R106" s="9"/>
      <c r="S106" s="14" t="s">
        <v>621</v>
      </c>
      <c r="T106" s="9" t="s">
        <v>622</v>
      </c>
      <c r="U106" s="9" t="s">
        <v>54</v>
      </c>
      <c r="V106" s="9" t="s">
        <v>55</v>
      </c>
      <c r="W106" s="9" t="s">
        <v>55</v>
      </c>
      <c r="X106" s="12"/>
      <c r="Y106" s="9" t="s">
        <v>55</v>
      </c>
      <c r="Z106" s="13"/>
    </row>
    <row r="107" spans="1:26" ht="32.25" hidden="1" customHeight="1">
      <c r="A107" s="8">
        <v>2305825</v>
      </c>
      <c r="B107" s="9" t="s">
        <v>623</v>
      </c>
      <c r="C107" s="10">
        <v>45142</v>
      </c>
      <c r="D107" s="9" t="s">
        <v>67</v>
      </c>
      <c r="E107" s="9" t="s">
        <v>68</v>
      </c>
      <c r="F107" s="9" t="s">
        <v>135</v>
      </c>
      <c r="G107" s="9" t="s">
        <v>43</v>
      </c>
      <c r="H107" s="9" t="s">
        <v>44</v>
      </c>
      <c r="I107" s="11" t="s">
        <v>136</v>
      </c>
      <c r="J107" s="9" t="s">
        <v>137</v>
      </c>
      <c r="K107" s="9" t="s">
        <v>47</v>
      </c>
      <c r="L107" s="9" t="s">
        <v>138</v>
      </c>
      <c r="M107" s="9" t="s">
        <v>624</v>
      </c>
      <c r="N107" s="9" t="s">
        <v>50</v>
      </c>
      <c r="O107" s="9" t="s">
        <v>51</v>
      </c>
      <c r="P107" s="9"/>
      <c r="Q107" s="9"/>
      <c r="R107" s="9" t="s">
        <v>61</v>
      </c>
      <c r="S107" s="9" t="s">
        <v>625</v>
      </c>
      <c r="T107" s="9" t="s">
        <v>626</v>
      </c>
      <c r="U107" s="9" t="s">
        <v>54</v>
      </c>
      <c r="V107" s="9" t="s">
        <v>55</v>
      </c>
      <c r="W107" s="9" t="s">
        <v>55</v>
      </c>
      <c r="X107" s="12" t="s">
        <v>76</v>
      </c>
      <c r="Y107" s="9" t="s">
        <v>77</v>
      </c>
      <c r="Z107" s="13"/>
    </row>
    <row r="108" spans="1:26" ht="32.25" hidden="1" customHeight="1">
      <c r="A108" s="8">
        <v>2302230</v>
      </c>
      <c r="B108" s="9" t="s">
        <v>627</v>
      </c>
      <c r="C108" s="10">
        <v>45142</v>
      </c>
      <c r="D108" s="9" t="s">
        <v>67</v>
      </c>
      <c r="E108" s="9" t="s">
        <v>68</v>
      </c>
      <c r="F108" s="9" t="s">
        <v>135</v>
      </c>
      <c r="G108" s="9" t="s">
        <v>43</v>
      </c>
      <c r="H108" s="9" t="s">
        <v>44</v>
      </c>
      <c r="I108" s="11" t="s">
        <v>136</v>
      </c>
      <c r="J108" s="9" t="s">
        <v>137</v>
      </c>
      <c r="K108" s="9" t="s">
        <v>47</v>
      </c>
      <c r="L108" s="9" t="s">
        <v>174</v>
      </c>
      <c r="M108" s="9" t="s">
        <v>628</v>
      </c>
      <c r="N108" s="9" t="s">
        <v>50</v>
      </c>
      <c r="O108" s="9" t="s">
        <v>51</v>
      </c>
      <c r="P108" s="9"/>
      <c r="Q108" s="9"/>
      <c r="R108" s="9" t="s">
        <v>61</v>
      </c>
      <c r="S108" s="9" t="s">
        <v>629</v>
      </c>
      <c r="T108" s="9" t="s">
        <v>630</v>
      </c>
      <c r="U108" s="9" t="s">
        <v>54</v>
      </c>
      <c r="V108" s="9" t="s">
        <v>55</v>
      </c>
      <c r="W108" s="9" t="s">
        <v>55</v>
      </c>
      <c r="X108" s="12" t="s">
        <v>76</v>
      </c>
      <c r="Y108" s="9" t="s">
        <v>77</v>
      </c>
      <c r="Z108" s="13"/>
    </row>
    <row r="109" spans="1:26" ht="32.25" hidden="1" customHeight="1">
      <c r="A109" s="8">
        <v>2314606</v>
      </c>
      <c r="B109" s="9" t="s">
        <v>631</v>
      </c>
      <c r="C109" s="10">
        <v>45149</v>
      </c>
      <c r="D109" s="9" t="s">
        <v>57</v>
      </c>
      <c r="E109" s="9" t="s">
        <v>41</v>
      </c>
      <c r="F109" s="9" t="s">
        <v>42</v>
      </c>
      <c r="G109" s="9" t="s">
        <v>43</v>
      </c>
      <c r="H109" s="9" t="s">
        <v>58</v>
      </c>
      <c r="I109" s="11" t="s">
        <v>199</v>
      </c>
      <c r="J109" s="9" t="s">
        <v>200</v>
      </c>
      <c r="K109" s="9" t="s">
        <v>47</v>
      </c>
      <c r="L109" s="9" t="s">
        <v>156</v>
      </c>
      <c r="M109" s="9"/>
      <c r="N109" s="9" t="s">
        <v>50</v>
      </c>
      <c r="O109" s="9" t="s">
        <v>51</v>
      </c>
      <c r="P109" s="9"/>
      <c r="Q109" s="9"/>
      <c r="R109" s="9"/>
      <c r="S109" s="14" t="s">
        <v>632</v>
      </c>
      <c r="T109" s="9" t="s">
        <v>633</v>
      </c>
      <c r="U109" s="9" t="s">
        <v>54</v>
      </c>
      <c r="V109" s="9" t="s">
        <v>55</v>
      </c>
      <c r="W109" s="9" t="s">
        <v>55</v>
      </c>
      <c r="X109" s="12"/>
      <c r="Y109" s="9" t="s">
        <v>55</v>
      </c>
      <c r="Z109" s="13"/>
    </row>
    <row r="110" spans="1:26" ht="32.25" hidden="1" customHeight="1">
      <c r="A110" s="8">
        <v>2313312</v>
      </c>
      <c r="B110" s="9" t="s">
        <v>634</v>
      </c>
      <c r="C110" s="10">
        <v>45142</v>
      </c>
      <c r="D110" s="9" t="s">
        <v>67</v>
      </c>
      <c r="E110" s="9" t="s">
        <v>143</v>
      </c>
      <c r="F110" s="9" t="s">
        <v>42</v>
      </c>
      <c r="G110" s="9" t="s">
        <v>43</v>
      </c>
      <c r="H110" s="9" t="s">
        <v>44</v>
      </c>
      <c r="I110" s="11" t="s">
        <v>460</v>
      </c>
      <c r="J110" s="9" t="s">
        <v>400</v>
      </c>
      <c r="K110" s="9" t="s">
        <v>47</v>
      </c>
      <c r="L110" s="9" t="s">
        <v>226</v>
      </c>
      <c r="M110" s="9" t="s">
        <v>635</v>
      </c>
      <c r="N110" s="9" t="s">
        <v>84</v>
      </c>
      <c r="O110" s="9" t="s">
        <v>51</v>
      </c>
      <c r="P110" s="9"/>
      <c r="Q110" s="9"/>
      <c r="R110" s="9" t="s">
        <v>61</v>
      </c>
      <c r="S110" s="9" t="s">
        <v>636</v>
      </c>
      <c r="T110" s="9" t="s">
        <v>637</v>
      </c>
      <c r="U110" s="9" t="s">
        <v>54</v>
      </c>
      <c r="V110" s="9" t="s">
        <v>55</v>
      </c>
      <c r="W110" s="9" t="s">
        <v>55</v>
      </c>
      <c r="X110" s="12" t="s">
        <v>150</v>
      </c>
      <c r="Y110" s="9" t="s">
        <v>151</v>
      </c>
      <c r="Z110" s="13"/>
    </row>
    <row r="111" spans="1:26" ht="32.25" hidden="1" customHeight="1">
      <c r="A111" s="8">
        <v>2315443</v>
      </c>
      <c r="B111" s="9" t="s">
        <v>638</v>
      </c>
      <c r="C111" s="10">
        <v>45152</v>
      </c>
      <c r="D111" s="9" t="s">
        <v>639</v>
      </c>
      <c r="E111" s="9" t="s">
        <v>143</v>
      </c>
      <c r="F111" s="9" t="s">
        <v>80</v>
      </c>
      <c r="G111" s="9" t="s">
        <v>43</v>
      </c>
      <c r="H111" s="9" t="s">
        <v>44</v>
      </c>
      <c r="I111" s="11" t="s">
        <v>326</v>
      </c>
      <c r="J111" s="9" t="s">
        <v>327</v>
      </c>
      <c r="K111" s="9" t="s">
        <v>250</v>
      </c>
      <c r="L111" s="9"/>
      <c r="M111" s="9" t="s">
        <v>640</v>
      </c>
      <c r="N111" s="9" t="s">
        <v>50</v>
      </c>
      <c r="O111" s="9" t="s">
        <v>187</v>
      </c>
      <c r="P111" s="9" t="s">
        <v>522</v>
      </c>
      <c r="Q111" s="9"/>
      <c r="R111" s="9" t="s">
        <v>61</v>
      </c>
      <c r="S111" s="14" t="s">
        <v>641</v>
      </c>
      <c r="T111" s="9" t="s">
        <v>642</v>
      </c>
      <c r="U111" s="9" t="s">
        <v>54</v>
      </c>
      <c r="V111" s="9" t="s">
        <v>55</v>
      </c>
      <c r="W111" s="9" t="s">
        <v>55</v>
      </c>
      <c r="X111" s="12" t="s">
        <v>150</v>
      </c>
      <c r="Y111" s="9" t="s">
        <v>151</v>
      </c>
      <c r="Z111" s="13"/>
    </row>
    <row r="112" spans="1:26" ht="32.25" hidden="1" customHeight="1">
      <c r="A112" s="8">
        <v>2313941</v>
      </c>
      <c r="B112" s="9" t="s">
        <v>643</v>
      </c>
      <c r="C112" s="10">
        <v>45136</v>
      </c>
      <c r="D112" s="9" t="s">
        <v>40</v>
      </c>
      <c r="E112" s="9" t="s">
        <v>41</v>
      </c>
      <c r="F112" s="9" t="s">
        <v>42</v>
      </c>
      <c r="G112" s="9" t="s">
        <v>43</v>
      </c>
      <c r="H112" s="9" t="s">
        <v>44</v>
      </c>
      <c r="I112" s="11" t="s">
        <v>45</v>
      </c>
      <c r="J112" s="9" t="s">
        <v>46</v>
      </c>
      <c r="K112" s="9" t="s">
        <v>47</v>
      </c>
      <c r="L112" s="9" t="s">
        <v>174</v>
      </c>
      <c r="M112" s="9" t="s">
        <v>644</v>
      </c>
      <c r="N112" s="9" t="s">
        <v>50</v>
      </c>
      <c r="O112" s="9" t="s">
        <v>51</v>
      </c>
      <c r="P112" s="9"/>
      <c r="Q112" s="9"/>
      <c r="R112" s="9" t="s">
        <v>61</v>
      </c>
      <c r="S112" s="9" t="s">
        <v>645</v>
      </c>
      <c r="T112" s="9" t="s">
        <v>646</v>
      </c>
      <c r="U112" s="9" t="s">
        <v>54</v>
      </c>
      <c r="V112" s="9" t="s">
        <v>55</v>
      </c>
      <c r="W112" s="9" t="s">
        <v>55</v>
      </c>
      <c r="X112" s="9" t="s">
        <v>64</v>
      </c>
      <c r="Y112" s="9" t="s">
        <v>65</v>
      </c>
      <c r="Z112" s="13"/>
    </row>
    <row r="113" spans="1:26" ht="32.25" hidden="1" customHeight="1">
      <c r="A113" s="8">
        <v>2300162</v>
      </c>
      <c r="B113" s="9" t="s">
        <v>647</v>
      </c>
      <c r="C113" s="10">
        <v>45149</v>
      </c>
      <c r="D113" s="9" t="s">
        <v>261</v>
      </c>
      <c r="E113" s="9" t="s">
        <v>68</v>
      </c>
      <c r="F113" s="9" t="s">
        <v>262</v>
      </c>
      <c r="G113" s="9" t="s">
        <v>43</v>
      </c>
      <c r="H113" s="9" t="s">
        <v>44</v>
      </c>
      <c r="I113" s="11" t="s">
        <v>648</v>
      </c>
      <c r="J113" s="9" t="s">
        <v>649</v>
      </c>
      <c r="K113" s="9" t="s">
        <v>47</v>
      </c>
      <c r="L113" s="9" t="s">
        <v>48</v>
      </c>
      <c r="M113" s="9" t="s">
        <v>131</v>
      </c>
      <c r="N113" s="9" t="s">
        <v>50</v>
      </c>
      <c r="O113" s="9" t="s">
        <v>51</v>
      </c>
      <c r="P113" s="9"/>
      <c r="Q113" s="9"/>
      <c r="R113" s="9"/>
      <c r="S113" s="14" t="s">
        <v>650</v>
      </c>
      <c r="T113" s="9" t="s">
        <v>651</v>
      </c>
      <c r="U113" s="9" t="s">
        <v>262</v>
      </c>
      <c r="V113" s="9" t="s">
        <v>55</v>
      </c>
      <c r="W113" s="9" t="s">
        <v>115</v>
      </c>
      <c r="X113" s="12"/>
      <c r="Y113" s="9" t="s">
        <v>55</v>
      </c>
      <c r="Z113" s="13"/>
    </row>
    <row r="114" spans="1:26" ht="32.25" hidden="1" customHeight="1">
      <c r="A114" s="8">
        <v>2314543</v>
      </c>
      <c r="B114" s="9" t="s">
        <v>652</v>
      </c>
      <c r="C114" s="10">
        <v>45156</v>
      </c>
      <c r="D114" s="9" t="s">
        <v>79</v>
      </c>
      <c r="E114" s="9" t="s">
        <v>143</v>
      </c>
      <c r="F114" s="9" t="s">
        <v>80</v>
      </c>
      <c r="G114" s="9" t="s">
        <v>43</v>
      </c>
      <c r="H114" s="9" t="s">
        <v>44</v>
      </c>
      <c r="I114" s="11" t="s">
        <v>326</v>
      </c>
      <c r="J114" s="9" t="s">
        <v>327</v>
      </c>
      <c r="K114" s="9" t="s">
        <v>47</v>
      </c>
      <c r="L114" s="9" t="s">
        <v>480</v>
      </c>
      <c r="M114" s="9" t="s">
        <v>653</v>
      </c>
      <c r="N114" s="9" t="s">
        <v>50</v>
      </c>
      <c r="O114" s="9" t="s">
        <v>51</v>
      </c>
      <c r="P114" s="9" t="s">
        <v>654</v>
      </c>
      <c r="Q114" s="9"/>
      <c r="R114" s="9" t="s">
        <v>61</v>
      </c>
      <c r="S114" s="14" t="s">
        <v>655</v>
      </c>
      <c r="T114" s="9" t="s">
        <v>656</v>
      </c>
      <c r="U114" s="9" t="s">
        <v>54</v>
      </c>
      <c r="V114" s="9" t="s">
        <v>55</v>
      </c>
      <c r="W114" s="9" t="s">
        <v>55</v>
      </c>
      <c r="X114" s="12" t="s">
        <v>150</v>
      </c>
      <c r="Y114" s="9" t="s">
        <v>151</v>
      </c>
      <c r="Z114" s="13"/>
    </row>
    <row r="115" spans="1:26" ht="32.25" hidden="1" customHeight="1">
      <c r="A115" s="8">
        <v>2302268</v>
      </c>
      <c r="B115" s="9" t="s">
        <v>657</v>
      </c>
      <c r="C115" s="10">
        <v>45149</v>
      </c>
      <c r="D115" s="9" t="s">
        <v>57</v>
      </c>
      <c r="E115" s="9" t="s">
        <v>153</v>
      </c>
      <c r="F115" s="9" t="s">
        <v>42</v>
      </c>
      <c r="G115" s="9" t="s">
        <v>43</v>
      </c>
      <c r="H115" s="9" t="s">
        <v>58</v>
      </c>
      <c r="I115" s="11" t="s">
        <v>154</v>
      </c>
      <c r="J115" s="9" t="s">
        <v>155</v>
      </c>
      <c r="K115" s="9" t="s">
        <v>47</v>
      </c>
      <c r="L115" s="9" t="s">
        <v>156</v>
      </c>
      <c r="M115" s="9"/>
      <c r="N115" s="9" t="s">
        <v>84</v>
      </c>
      <c r="O115" s="9" t="s">
        <v>51</v>
      </c>
      <c r="P115" s="9"/>
      <c r="Q115" s="9"/>
      <c r="R115" s="9"/>
      <c r="S115" s="14" t="s">
        <v>658</v>
      </c>
      <c r="T115" s="9" t="s">
        <v>659</v>
      </c>
      <c r="U115" s="9" t="s">
        <v>54</v>
      </c>
      <c r="V115" s="9" t="s">
        <v>55</v>
      </c>
      <c r="W115" s="9" t="s">
        <v>55</v>
      </c>
      <c r="X115" s="12"/>
      <c r="Y115" s="9" t="s">
        <v>55</v>
      </c>
      <c r="Z115" s="13"/>
    </row>
    <row r="116" spans="1:26" ht="32.25" hidden="1" customHeight="1">
      <c r="A116" s="8">
        <v>2308724</v>
      </c>
      <c r="B116" s="9" t="s">
        <v>660</v>
      </c>
      <c r="C116" s="10">
        <v>45149</v>
      </c>
      <c r="D116" s="9" t="s">
        <v>57</v>
      </c>
      <c r="E116" s="9" t="s">
        <v>41</v>
      </c>
      <c r="F116" s="9" t="s">
        <v>42</v>
      </c>
      <c r="G116" s="9" t="s">
        <v>43</v>
      </c>
      <c r="H116" s="9" t="s">
        <v>58</v>
      </c>
      <c r="I116" s="11" t="s">
        <v>661</v>
      </c>
      <c r="J116" s="9" t="s">
        <v>662</v>
      </c>
      <c r="K116" s="9" t="s">
        <v>47</v>
      </c>
      <c r="L116" s="9" t="s">
        <v>156</v>
      </c>
      <c r="M116" s="9"/>
      <c r="N116" s="9" t="s">
        <v>50</v>
      </c>
      <c r="O116" s="9" t="s">
        <v>51</v>
      </c>
      <c r="P116" s="9"/>
      <c r="Q116" s="9"/>
      <c r="R116" s="9"/>
      <c r="S116" s="14" t="s">
        <v>663</v>
      </c>
      <c r="T116" s="9" t="s">
        <v>664</v>
      </c>
      <c r="U116" s="9" t="s">
        <v>54</v>
      </c>
      <c r="V116" s="9" t="s">
        <v>55</v>
      </c>
      <c r="W116" s="9" t="s">
        <v>55</v>
      </c>
      <c r="X116" s="12"/>
      <c r="Y116" s="9" t="s">
        <v>55</v>
      </c>
      <c r="Z116" s="13"/>
    </row>
    <row r="117" spans="1:26" ht="32.25" hidden="1" customHeight="1">
      <c r="A117" s="8">
        <v>2306246</v>
      </c>
      <c r="B117" s="9" t="s">
        <v>665</v>
      </c>
      <c r="C117" s="10">
        <v>45156</v>
      </c>
      <c r="D117" s="9" t="s">
        <v>79</v>
      </c>
      <c r="E117" s="9" t="s">
        <v>41</v>
      </c>
      <c r="F117" s="9" t="s">
        <v>80</v>
      </c>
      <c r="G117" s="9" t="s">
        <v>43</v>
      </c>
      <c r="H117" s="9" t="s">
        <v>44</v>
      </c>
      <c r="I117" s="11" t="s">
        <v>233</v>
      </c>
      <c r="J117" s="9" t="s">
        <v>200</v>
      </c>
      <c r="K117" s="9" t="s">
        <v>47</v>
      </c>
      <c r="L117" s="9" t="s">
        <v>156</v>
      </c>
      <c r="M117" s="9"/>
      <c r="N117" s="9" t="s">
        <v>50</v>
      </c>
      <c r="O117" s="9" t="s">
        <v>51</v>
      </c>
      <c r="P117" s="9" t="s">
        <v>443</v>
      </c>
      <c r="Q117" s="9"/>
      <c r="R117" s="9"/>
      <c r="S117" s="14" t="s">
        <v>666</v>
      </c>
      <c r="T117" s="9" t="s">
        <v>667</v>
      </c>
      <c r="U117" s="9" t="s">
        <v>54</v>
      </c>
      <c r="V117" s="9" t="s">
        <v>55</v>
      </c>
      <c r="W117" s="9" t="s">
        <v>55</v>
      </c>
      <c r="X117" s="12"/>
      <c r="Y117" s="9" t="s">
        <v>55</v>
      </c>
      <c r="Z117" s="13"/>
    </row>
    <row r="118" spans="1:26" ht="32.25" hidden="1" customHeight="1">
      <c r="A118" s="8">
        <v>2300908</v>
      </c>
      <c r="B118" s="9" t="s">
        <v>668</v>
      </c>
      <c r="C118" s="10">
        <v>45156</v>
      </c>
      <c r="D118" s="9" t="s">
        <v>79</v>
      </c>
      <c r="E118" s="9" t="s">
        <v>68</v>
      </c>
      <c r="F118" s="9" t="s">
        <v>80</v>
      </c>
      <c r="G118" s="9" t="s">
        <v>43</v>
      </c>
      <c r="H118" s="9" t="s">
        <v>44</v>
      </c>
      <c r="I118" s="11" t="s">
        <v>90</v>
      </c>
      <c r="J118" s="9" t="s">
        <v>91</v>
      </c>
      <c r="K118" s="9" t="s">
        <v>47</v>
      </c>
      <c r="L118" s="9" t="s">
        <v>174</v>
      </c>
      <c r="M118" s="9" t="s">
        <v>669</v>
      </c>
      <c r="N118" s="9" t="s">
        <v>50</v>
      </c>
      <c r="O118" s="9" t="s">
        <v>51</v>
      </c>
      <c r="P118" s="9" t="s">
        <v>670</v>
      </c>
      <c r="Q118" s="9"/>
      <c r="R118" s="9"/>
      <c r="S118" s="14" t="s">
        <v>671</v>
      </c>
      <c r="T118" s="9" t="s">
        <v>672</v>
      </c>
      <c r="U118" s="9" t="s">
        <v>54</v>
      </c>
      <c r="V118" s="9" t="s">
        <v>55</v>
      </c>
      <c r="W118" s="9" t="s">
        <v>55</v>
      </c>
      <c r="X118" s="12"/>
      <c r="Y118" s="9" t="s">
        <v>55</v>
      </c>
      <c r="Z118" s="13"/>
    </row>
    <row r="119" spans="1:26" ht="32.25" hidden="1" customHeight="1">
      <c r="A119" s="8">
        <v>2304091</v>
      </c>
      <c r="B119" s="9" t="s">
        <v>673</v>
      </c>
      <c r="C119" s="10">
        <v>45149</v>
      </c>
      <c r="D119" s="9" t="s">
        <v>57</v>
      </c>
      <c r="E119" s="9" t="s">
        <v>295</v>
      </c>
      <c r="F119" s="9" t="s">
        <v>42</v>
      </c>
      <c r="G119" s="9" t="s">
        <v>43</v>
      </c>
      <c r="H119" s="9" t="s">
        <v>58</v>
      </c>
      <c r="I119" s="11" t="s">
        <v>406</v>
      </c>
      <c r="J119" s="9" t="s">
        <v>407</v>
      </c>
      <c r="K119" s="9" t="s">
        <v>47</v>
      </c>
      <c r="L119" s="9" t="s">
        <v>48</v>
      </c>
      <c r="M119" s="9" t="s">
        <v>674</v>
      </c>
      <c r="N119" s="9" t="s">
        <v>84</v>
      </c>
      <c r="O119" s="9" t="s">
        <v>51</v>
      </c>
      <c r="P119" s="9"/>
      <c r="Q119" s="9"/>
      <c r="R119" s="9"/>
      <c r="S119" s="14" t="s">
        <v>675</v>
      </c>
      <c r="T119" s="9" t="s">
        <v>676</v>
      </c>
      <c r="U119" s="9" t="s">
        <v>54</v>
      </c>
      <c r="V119" s="9" t="s">
        <v>55</v>
      </c>
      <c r="W119" s="9" t="s">
        <v>55</v>
      </c>
      <c r="X119" s="12"/>
      <c r="Y119" s="9" t="s">
        <v>55</v>
      </c>
      <c r="Z119" s="13"/>
    </row>
    <row r="120" spans="1:26" ht="32.25" hidden="1" customHeight="1">
      <c r="A120" s="8">
        <v>2303462</v>
      </c>
      <c r="B120" s="9" t="s">
        <v>677</v>
      </c>
      <c r="C120" s="10">
        <v>45136</v>
      </c>
      <c r="D120" s="9" t="s">
        <v>301</v>
      </c>
      <c r="E120" s="9" t="s">
        <v>68</v>
      </c>
      <c r="F120" s="9" t="s">
        <v>135</v>
      </c>
      <c r="G120" s="9" t="s">
        <v>43</v>
      </c>
      <c r="H120" s="9" t="s">
        <v>44</v>
      </c>
      <c r="I120" s="11" t="s">
        <v>136</v>
      </c>
      <c r="J120" s="9" t="s">
        <v>137</v>
      </c>
      <c r="K120" s="9" t="s">
        <v>47</v>
      </c>
      <c r="L120" s="9" t="s">
        <v>569</v>
      </c>
      <c r="M120" s="9" t="s">
        <v>678</v>
      </c>
      <c r="N120" s="9" t="s">
        <v>50</v>
      </c>
      <c r="O120" s="9" t="s">
        <v>51</v>
      </c>
      <c r="P120" s="9"/>
      <c r="Q120" s="9"/>
      <c r="R120" s="9" t="s">
        <v>61</v>
      </c>
      <c r="S120" s="9" t="s">
        <v>679</v>
      </c>
      <c r="T120" s="9" t="s">
        <v>680</v>
      </c>
      <c r="U120" s="9" t="s">
        <v>54</v>
      </c>
      <c r="V120" s="9" t="s">
        <v>55</v>
      </c>
      <c r="W120" s="9" t="s">
        <v>55</v>
      </c>
      <c r="X120" s="12" t="s">
        <v>76</v>
      </c>
      <c r="Y120" s="9" t="s">
        <v>77</v>
      </c>
      <c r="Z120" s="13"/>
    </row>
    <row r="121" spans="1:26" ht="32.25" hidden="1" customHeight="1">
      <c r="A121" s="8">
        <v>2307800</v>
      </c>
      <c r="B121" s="9" t="s">
        <v>681</v>
      </c>
      <c r="C121" s="10">
        <v>45149</v>
      </c>
      <c r="D121" s="9" t="s">
        <v>57</v>
      </c>
      <c r="E121" s="9" t="s">
        <v>295</v>
      </c>
      <c r="F121" s="9" t="s">
        <v>42</v>
      </c>
      <c r="G121" s="9" t="s">
        <v>43</v>
      </c>
      <c r="H121" s="9" t="s">
        <v>58</v>
      </c>
      <c r="I121" s="11" t="s">
        <v>406</v>
      </c>
      <c r="J121" s="9" t="s">
        <v>407</v>
      </c>
      <c r="K121" s="9" t="s">
        <v>47</v>
      </c>
      <c r="L121" s="9" t="s">
        <v>156</v>
      </c>
      <c r="M121" s="9" t="s">
        <v>335</v>
      </c>
      <c r="N121" s="9" t="s">
        <v>50</v>
      </c>
      <c r="O121" s="9" t="s">
        <v>51</v>
      </c>
      <c r="P121" s="9"/>
      <c r="Q121" s="9"/>
      <c r="R121" s="9"/>
      <c r="S121" s="14" t="s">
        <v>682</v>
      </c>
      <c r="T121" s="9" t="s">
        <v>683</v>
      </c>
      <c r="U121" s="9" t="s">
        <v>54</v>
      </c>
      <c r="V121" s="9" t="s">
        <v>55</v>
      </c>
      <c r="W121" s="9" t="s">
        <v>55</v>
      </c>
      <c r="X121" s="12"/>
      <c r="Y121" s="9" t="s">
        <v>55</v>
      </c>
      <c r="Z121" s="13"/>
    </row>
    <row r="122" spans="1:26" ht="32.25" hidden="1" customHeight="1">
      <c r="A122" s="8">
        <v>2312387</v>
      </c>
      <c r="B122" s="9" t="s">
        <v>684</v>
      </c>
      <c r="C122" s="10">
        <v>45149</v>
      </c>
      <c r="D122" s="9" t="s">
        <v>261</v>
      </c>
      <c r="E122" s="9" t="s">
        <v>89</v>
      </c>
      <c r="F122" s="9" t="s">
        <v>262</v>
      </c>
      <c r="G122" s="9" t="s">
        <v>43</v>
      </c>
      <c r="H122" s="9" t="s">
        <v>44</v>
      </c>
      <c r="I122" s="11" t="s">
        <v>685</v>
      </c>
      <c r="J122" s="9" t="s">
        <v>686</v>
      </c>
      <c r="K122" s="9" t="s">
        <v>47</v>
      </c>
      <c r="L122" s="9" t="s">
        <v>156</v>
      </c>
      <c r="M122" s="9"/>
      <c r="N122" s="9" t="s">
        <v>50</v>
      </c>
      <c r="O122" s="9" t="s">
        <v>51</v>
      </c>
      <c r="P122" s="9"/>
      <c r="Q122" s="9"/>
      <c r="R122" s="9"/>
      <c r="S122" s="14" t="s">
        <v>687</v>
      </c>
      <c r="T122" s="9" t="s">
        <v>688</v>
      </c>
      <c r="U122" s="9" t="s">
        <v>262</v>
      </c>
      <c r="V122" s="9" t="s">
        <v>55</v>
      </c>
      <c r="W122" s="9" t="s">
        <v>55</v>
      </c>
      <c r="X122" s="12"/>
      <c r="Y122" s="9" t="s">
        <v>55</v>
      </c>
      <c r="Z122" s="13"/>
    </row>
    <row r="123" spans="1:26" ht="32.25" hidden="1" customHeight="1">
      <c r="A123" s="8">
        <v>2301636</v>
      </c>
      <c r="B123" s="9" t="s">
        <v>689</v>
      </c>
      <c r="C123" s="10">
        <v>45156</v>
      </c>
      <c r="D123" s="9" t="s">
        <v>79</v>
      </c>
      <c r="E123" s="9" t="s">
        <v>41</v>
      </c>
      <c r="F123" s="9" t="s">
        <v>80</v>
      </c>
      <c r="G123" s="9" t="s">
        <v>43</v>
      </c>
      <c r="H123" s="9" t="s">
        <v>44</v>
      </c>
      <c r="I123" s="11" t="s">
        <v>233</v>
      </c>
      <c r="J123" s="9" t="s">
        <v>200</v>
      </c>
      <c r="K123" s="9" t="s">
        <v>47</v>
      </c>
      <c r="L123" s="9" t="s">
        <v>156</v>
      </c>
      <c r="M123" s="9"/>
      <c r="N123" s="9" t="s">
        <v>50</v>
      </c>
      <c r="O123" s="9" t="s">
        <v>51</v>
      </c>
      <c r="P123" s="9" t="s">
        <v>443</v>
      </c>
      <c r="Q123" s="9"/>
      <c r="R123" s="9"/>
      <c r="S123" s="14" t="s">
        <v>690</v>
      </c>
      <c r="T123" s="9" t="s">
        <v>691</v>
      </c>
      <c r="U123" s="9" t="s">
        <v>54</v>
      </c>
      <c r="V123" s="9"/>
      <c r="W123" s="9" t="s">
        <v>115</v>
      </c>
      <c r="X123" s="12"/>
      <c r="Y123" s="9" t="s">
        <v>55</v>
      </c>
      <c r="Z123" s="13"/>
    </row>
    <row r="124" spans="1:26" ht="32.25" hidden="1" customHeight="1">
      <c r="A124" s="8">
        <v>2309359</v>
      </c>
      <c r="B124" s="9" t="s">
        <v>692</v>
      </c>
      <c r="C124" s="10">
        <v>45149</v>
      </c>
      <c r="D124" s="9" t="s">
        <v>57</v>
      </c>
      <c r="E124" s="9" t="s">
        <v>41</v>
      </c>
      <c r="F124" s="9" t="s">
        <v>42</v>
      </c>
      <c r="G124" s="9" t="s">
        <v>43</v>
      </c>
      <c r="H124" s="9" t="s">
        <v>58</v>
      </c>
      <c r="I124" s="11" t="s">
        <v>199</v>
      </c>
      <c r="J124" s="9" t="s">
        <v>200</v>
      </c>
      <c r="K124" s="9" t="s">
        <v>47</v>
      </c>
      <c r="L124" s="9" t="s">
        <v>156</v>
      </c>
      <c r="M124" s="9"/>
      <c r="N124" s="9" t="s">
        <v>50</v>
      </c>
      <c r="O124" s="9" t="s">
        <v>51</v>
      </c>
      <c r="P124" s="9"/>
      <c r="Q124" s="9"/>
      <c r="R124" s="9"/>
      <c r="S124" s="14" t="s">
        <v>693</v>
      </c>
      <c r="T124" s="9" t="s">
        <v>694</v>
      </c>
      <c r="U124" s="9" t="s">
        <v>54</v>
      </c>
      <c r="V124" s="9" t="s">
        <v>55</v>
      </c>
      <c r="W124" s="9" t="s">
        <v>55</v>
      </c>
      <c r="X124" s="12"/>
      <c r="Y124" s="9" t="s">
        <v>55</v>
      </c>
      <c r="Z124" s="13"/>
    </row>
    <row r="125" spans="1:26" ht="32.25" hidden="1" customHeight="1">
      <c r="A125" s="8">
        <v>2309996</v>
      </c>
      <c r="B125" s="9" t="s">
        <v>695</v>
      </c>
      <c r="C125" s="10">
        <v>45156</v>
      </c>
      <c r="D125" s="9" t="s">
        <v>79</v>
      </c>
      <c r="E125" s="9" t="s">
        <v>68</v>
      </c>
      <c r="F125" s="9" t="s">
        <v>80</v>
      </c>
      <c r="G125" s="9" t="s">
        <v>43</v>
      </c>
      <c r="H125" s="9" t="s">
        <v>44</v>
      </c>
      <c r="I125" s="11" t="s">
        <v>696</v>
      </c>
      <c r="J125" s="9" t="s">
        <v>70</v>
      </c>
      <c r="K125" s="9" t="s">
        <v>47</v>
      </c>
      <c r="L125" s="9" t="s">
        <v>598</v>
      </c>
      <c r="M125" s="9" t="s">
        <v>697</v>
      </c>
      <c r="N125" s="9" t="s">
        <v>84</v>
      </c>
      <c r="O125" s="9" t="s">
        <v>51</v>
      </c>
      <c r="P125" s="9" t="s">
        <v>698</v>
      </c>
      <c r="Q125" s="9"/>
      <c r="R125" s="9" t="s">
        <v>61</v>
      </c>
      <c r="S125" s="14" t="s">
        <v>699</v>
      </c>
      <c r="T125" s="9" t="s">
        <v>700</v>
      </c>
      <c r="U125" s="9" t="s">
        <v>54</v>
      </c>
      <c r="V125" s="9" t="s">
        <v>701</v>
      </c>
      <c r="W125" s="9" t="s">
        <v>115</v>
      </c>
      <c r="X125" s="12" t="s">
        <v>196</v>
      </c>
      <c r="Y125" s="9" t="s">
        <v>197</v>
      </c>
      <c r="Z125" s="13"/>
    </row>
    <row r="126" spans="1:26" ht="32.25" hidden="1" customHeight="1">
      <c r="A126" s="8">
        <v>2302297</v>
      </c>
      <c r="B126" s="9" t="s">
        <v>702</v>
      </c>
      <c r="C126" s="10">
        <v>45149</v>
      </c>
      <c r="D126" s="9" t="s">
        <v>57</v>
      </c>
      <c r="E126" s="9" t="s">
        <v>295</v>
      </c>
      <c r="F126" s="9" t="s">
        <v>42</v>
      </c>
      <c r="G126" s="9" t="s">
        <v>43</v>
      </c>
      <c r="H126" s="9" t="s">
        <v>58</v>
      </c>
      <c r="I126" s="11" t="s">
        <v>296</v>
      </c>
      <c r="J126" s="9" t="s">
        <v>297</v>
      </c>
      <c r="K126" s="9" t="s">
        <v>47</v>
      </c>
      <c r="L126" s="9" t="s">
        <v>156</v>
      </c>
      <c r="M126" s="9"/>
      <c r="N126" s="9" t="s">
        <v>84</v>
      </c>
      <c r="O126" s="9" t="s">
        <v>51</v>
      </c>
      <c r="P126" s="9"/>
      <c r="Q126" s="9"/>
      <c r="R126" s="9"/>
      <c r="S126" s="14" t="s">
        <v>703</v>
      </c>
      <c r="T126" s="9" t="s">
        <v>704</v>
      </c>
      <c r="U126" s="9" t="s">
        <v>54</v>
      </c>
      <c r="V126" s="9" t="s">
        <v>55</v>
      </c>
      <c r="W126" s="9" t="s">
        <v>55</v>
      </c>
      <c r="X126" s="12"/>
      <c r="Y126" s="9" t="s">
        <v>55</v>
      </c>
      <c r="Z126" s="13"/>
    </row>
    <row r="127" spans="1:26" ht="32.25" hidden="1" customHeight="1">
      <c r="A127" s="8">
        <v>2313606</v>
      </c>
      <c r="B127" s="9" t="s">
        <v>705</v>
      </c>
      <c r="C127" s="10">
        <v>45156</v>
      </c>
      <c r="D127" s="9" t="s">
        <v>79</v>
      </c>
      <c r="E127" s="9" t="s">
        <v>89</v>
      </c>
      <c r="F127" s="9" t="s">
        <v>80</v>
      </c>
      <c r="G127" s="9" t="s">
        <v>43</v>
      </c>
      <c r="H127" s="9" t="s">
        <v>44</v>
      </c>
      <c r="I127" s="11" t="s">
        <v>101</v>
      </c>
      <c r="J127" s="9" t="s">
        <v>102</v>
      </c>
      <c r="K127" s="9" t="s">
        <v>47</v>
      </c>
      <c r="L127" s="9" t="s">
        <v>706</v>
      </c>
      <c r="M127" s="9" t="s">
        <v>707</v>
      </c>
      <c r="N127" s="9" t="s">
        <v>84</v>
      </c>
      <c r="O127" s="9" t="s">
        <v>51</v>
      </c>
      <c r="P127" s="9" t="s">
        <v>708</v>
      </c>
      <c r="Q127" s="9"/>
      <c r="R127" s="9" t="s">
        <v>61</v>
      </c>
      <c r="S127" s="14" t="s">
        <v>709</v>
      </c>
      <c r="T127" s="9" t="s">
        <v>710</v>
      </c>
      <c r="U127" s="9" t="s">
        <v>54</v>
      </c>
      <c r="V127" s="9" t="s">
        <v>711</v>
      </c>
      <c r="W127" s="9" t="s">
        <v>115</v>
      </c>
      <c r="X127" s="12" t="s">
        <v>98</v>
      </c>
      <c r="Y127" s="9" t="s">
        <v>99</v>
      </c>
      <c r="Z127" s="13"/>
    </row>
    <row r="128" spans="1:26" ht="32.25" hidden="1" customHeight="1">
      <c r="A128" s="8">
        <v>2301442</v>
      </c>
      <c r="B128" s="9" t="s">
        <v>712</v>
      </c>
      <c r="C128" s="10">
        <v>45156</v>
      </c>
      <c r="D128" s="9" t="s">
        <v>79</v>
      </c>
      <c r="E128" s="9" t="s">
        <v>89</v>
      </c>
      <c r="F128" s="9" t="s">
        <v>80</v>
      </c>
      <c r="G128" s="9" t="s">
        <v>43</v>
      </c>
      <c r="H128" s="9" t="s">
        <v>44</v>
      </c>
      <c r="I128" s="11" t="s">
        <v>101</v>
      </c>
      <c r="J128" s="9" t="s">
        <v>102</v>
      </c>
      <c r="K128" s="9" t="s">
        <v>47</v>
      </c>
      <c r="L128" s="9" t="s">
        <v>713</v>
      </c>
      <c r="M128" s="9" t="s">
        <v>714</v>
      </c>
      <c r="N128" s="9" t="s">
        <v>50</v>
      </c>
      <c r="O128" s="9" t="s">
        <v>51</v>
      </c>
      <c r="P128" s="9" t="s">
        <v>715</v>
      </c>
      <c r="Q128" s="9"/>
      <c r="R128" s="9"/>
      <c r="S128" s="14" t="s">
        <v>716</v>
      </c>
      <c r="T128" s="9" t="s">
        <v>717</v>
      </c>
      <c r="U128" s="9" t="s">
        <v>54</v>
      </c>
      <c r="V128" s="9" t="s">
        <v>55</v>
      </c>
      <c r="W128" s="9" t="s">
        <v>55</v>
      </c>
      <c r="X128" s="12"/>
      <c r="Y128" s="9" t="s">
        <v>55</v>
      </c>
      <c r="Z128" s="13"/>
    </row>
    <row r="129" spans="1:26" ht="32.25" hidden="1" customHeight="1">
      <c r="A129" s="8">
        <v>2307689</v>
      </c>
      <c r="B129" s="9" t="s">
        <v>718</v>
      </c>
      <c r="C129" s="10">
        <v>45149</v>
      </c>
      <c r="D129" s="9" t="s">
        <v>57</v>
      </c>
      <c r="E129" s="9" t="s">
        <v>143</v>
      </c>
      <c r="F129" s="9" t="s">
        <v>42</v>
      </c>
      <c r="G129" s="9" t="s">
        <v>43</v>
      </c>
      <c r="H129" s="9" t="s">
        <v>58</v>
      </c>
      <c r="I129" s="11" t="s">
        <v>144</v>
      </c>
      <c r="J129" s="9" t="s">
        <v>145</v>
      </c>
      <c r="K129" s="9" t="s">
        <v>47</v>
      </c>
      <c r="L129" s="9" t="s">
        <v>156</v>
      </c>
      <c r="M129" s="9"/>
      <c r="N129" s="9" t="s">
        <v>50</v>
      </c>
      <c r="O129" s="9" t="s">
        <v>51</v>
      </c>
      <c r="P129" s="9" t="s">
        <v>147</v>
      </c>
      <c r="Q129" s="9"/>
      <c r="R129" s="9"/>
      <c r="S129" s="14" t="s">
        <v>719</v>
      </c>
      <c r="T129" s="9" t="s">
        <v>720</v>
      </c>
      <c r="U129" s="9" t="s">
        <v>54</v>
      </c>
      <c r="V129" s="9" t="s">
        <v>55</v>
      </c>
      <c r="W129" s="9" t="s">
        <v>55</v>
      </c>
      <c r="X129" s="12"/>
      <c r="Y129" s="9" t="s">
        <v>55</v>
      </c>
      <c r="Z129" s="13"/>
    </row>
    <row r="130" spans="1:26" ht="32.25" hidden="1" customHeight="1">
      <c r="A130" s="8">
        <v>2305406</v>
      </c>
      <c r="B130" s="9" t="s">
        <v>721</v>
      </c>
      <c r="C130" s="10">
        <v>45156</v>
      </c>
      <c r="D130" s="9" t="s">
        <v>79</v>
      </c>
      <c r="E130" s="9" t="s">
        <v>41</v>
      </c>
      <c r="F130" s="9" t="s">
        <v>80</v>
      </c>
      <c r="G130" s="9" t="s">
        <v>43</v>
      </c>
      <c r="H130" s="9" t="s">
        <v>44</v>
      </c>
      <c r="I130" s="11" t="s">
        <v>81</v>
      </c>
      <c r="J130" s="9" t="s">
        <v>46</v>
      </c>
      <c r="K130" s="9" t="s">
        <v>47</v>
      </c>
      <c r="L130" s="9" t="s">
        <v>290</v>
      </c>
      <c r="M130" s="9" t="s">
        <v>291</v>
      </c>
      <c r="N130" s="9" t="s">
        <v>84</v>
      </c>
      <c r="O130" s="9" t="s">
        <v>51</v>
      </c>
      <c r="P130" s="9" t="s">
        <v>503</v>
      </c>
      <c r="Q130" s="9"/>
      <c r="R130" s="9" t="s">
        <v>61</v>
      </c>
      <c r="S130" s="14" t="s">
        <v>722</v>
      </c>
      <c r="T130" s="9" t="s">
        <v>723</v>
      </c>
      <c r="U130" s="9" t="s">
        <v>54</v>
      </c>
      <c r="V130" s="9" t="s">
        <v>318</v>
      </c>
      <c r="W130" s="9" t="s">
        <v>115</v>
      </c>
      <c r="X130" s="12" t="s">
        <v>319</v>
      </c>
      <c r="Y130" s="9" t="s">
        <v>320</v>
      </c>
      <c r="Z130" s="13"/>
    </row>
    <row r="131" spans="1:26" ht="32.25" hidden="1" customHeight="1">
      <c r="A131" s="8">
        <v>2303569</v>
      </c>
      <c r="B131" s="9" t="s">
        <v>724</v>
      </c>
      <c r="C131" s="10">
        <v>45156</v>
      </c>
      <c r="D131" s="9" t="s">
        <v>79</v>
      </c>
      <c r="E131" s="9" t="s">
        <v>143</v>
      </c>
      <c r="F131" s="9" t="s">
        <v>80</v>
      </c>
      <c r="G131" s="9" t="s">
        <v>43</v>
      </c>
      <c r="H131" s="9" t="s">
        <v>44</v>
      </c>
      <c r="I131" s="11" t="s">
        <v>725</v>
      </c>
      <c r="J131" s="9" t="s">
        <v>145</v>
      </c>
      <c r="K131" s="9" t="s">
        <v>47</v>
      </c>
      <c r="L131" s="9" t="s">
        <v>48</v>
      </c>
      <c r="M131" s="9" t="s">
        <v>726</v>
      </c>
      <c r="N131" s="9" t="s">
        <v>50</v>
      </c>
      <c r="O131" s="9" t="s">
        <v>51</v>
      </c>
      <c r="P131" s="9" t="s">
        <v>727</v>
      </c>
      <c r="Q131" s="9"/>
      <c r="R131" s="9"/>
      <c r="S131" s="14" t="s">
        <v>728</v>
      </c>
      <c r="T131" s="9" t="s">
        <v>729</v>
      </c>
      <c r="U131" s="9" t="s">
        <v>54</v>
      </c>
      <c r="V131" s="9"/>
      <c r="W131" s="9" t="s">
        <v>115</v>
      </c>
      <c r="X131" s="12"/>
      <c r="Y131" s="9" t="s">
        <v>55</v>
      </c>
      <c r="Z131" s="13"/>
    </row>
    <row r="132" spans="1:26" ht="32.25" hidden="1" customHeight="1">
      <c r="A132" s="8">
        <v>2314069</v>
      </c>
      <c r="B132" s="9" t="s">
        <v>730</v>
      </c>
      <c r="C132" s="10">
        <v>45156</v>
      </c>
      <c r="D132" s="9" t="s">
        <v>79</v>
      </c>
      <c r="E132" s="9" t="s">
        <v>41</v>
      </c>
      <c r="F132" s="9" t="s">
        <v>80</v>
      </c>
      <c r="G132" s="9" t="s">
        <v>43</v>
      </c>
      <c r="H132" s="9" t="s">
        <v>44</v>
      </c>
      <c r="I132" s="11" t="s">
        <v>81</v>
      </c>
      <c r="J132" s="9" t="s">
        <v>46</v>
      </c>
      <c r="K132" s="9" t="s">
        <v>47</v>
      </c>
      <c r="L132" s="9" t="s">
        <v>167</v>
      </c>
      <c r="M132" s="9" t="s">
        <v>168</v>
      </c>
      <c r="N132" s="9" t="s">
        <v>50</v>
      </c>
      <c r="O132" s="9" t="s">
        <v>51</v>
      </c>
      <c r="P132" s="9" t="s">
        <v>503</v>
      </c>
      <c r="Q132" s="9"/>
      <c r="R132" s="9" t="s">
        <v>61</v>
      </c>
      <c r="S132" s="14" t="s">
        <v>731</v>
      </c>
      <c r="T132" s="9" t="s">
        <v>732</v>
      </c>
      <c r="U132" s="9" t="s">
        <v>54</v>
      </c>
      <c r="V132" s="9" t="s">
        <v>331</v>
      </c>
      <c r="W132" s="9" t="s">
        <v>115</v>
      </c>
      <c r="X132" s="9" t="s">
        <v>64</v>
      </c>
      <c r="Y132" s="9" t="s">
        <v>65</v>
      </c>
      <c r="Z132" s="13"/>
    </row>
    <row r="133" spans="1:26" ht="32.25" hidden="1" customHeight="1">
      <c r="A133" s="8">
        <v>2313667</v>
      </c>
      <c r="B133" s="9" t="s">
        <v>733</v>
      </c>
      <c r="C133" s="10">
        <v>45149</v>
      </c>
      <c r="D133" s="9" t="s">
        <v>57</v>
      </c>
      <c r="E133" s="9" t="s">
        <v>153</v>
      </c>
      <c r="F133" s="9" t="s">
        <v>42</v>
      </c>
      <c r="G133" s="9" t="s">
        <v>43</v>
      </c>
      <c r="H133" s="9" t="s">
        <v>58</v>
      </c>
      <c r="I133" s="11" t="s">
        <v>154</v>
      </c>
      <c r="J133" s="9" t="s">
        <v>155</v>
      </c>
      <c r="K133" s="9" t="s">
        <v>47</v>
      </c>
      <c r="L133" s="9" t="s">
        <v>156</v>
      </c>
      <c r="M133" s="9" t="s">
        <v>157</v>
      </c>
      <c r="N133" s="9" t="s">
        <v>84</v>
      </c>
      <c r="O133" s="9" t="s">
        <v>51</v>
      </c>
      <c r="P133" s="9"/>
      <c r="Q133" s="9"/>
      <c r="R133" s="9"/>
      <c r="S133" s="14" t="s">
        <v>734</v>
      </c>
      <c r="T133" s="9" t="s">
        <v>735</v>
      </c>
      <c r="U133" s="9" t="s">
        <v>54</v>
      </c>
      <c r="V133" s="9" t="s">
        <v>55</v>
      </c>
      <c r="W133" s="9" t="s">
        <v>55</v>
      </c>
      <c r="X133" s="12"/>
      <c r="Y133" s="9" t="s">
        <v>55</v>
      </c>
      <c r="Z133" s="13"/>
    </row>
    <row r="134" spans="1:26" ht="32.25" hidden="1" customHeight="1">
      <c r="A134" s="8">
        <v>2303638</v>
      </c>
      <c r="B134" s="9" t="s">
        <v>736</v>
      </c>
      <c r="C134" s="10">
        <v>45149</v>
      </c>
      <c r="D134" s="9" t="s">
        <v>57</v>
      </c>
      <c r="E134" s="9" t="s">
        <v>41</v>
      </c>
      <c r="F134" s="9" t="s">
        <v>42</v>
      </c>
      <c r="G134" s="9" t="s">
        <v>43</v>
      </c>
      <c r="H134" s="9" t="s">
        <v>58</v>
      </c>
      <c r="I134" s="11" t="s">
        <v>129</v>
      </c>
      <c r="J134" s="9" t="s">
        <v>130</v>
      </c>
      <c r="K134" s="9" t="s">
        <v>47</v>
      </c>
      <c r="L134" s="9" t="s">
        <v>156</v>
      </c>
      <c r="M134" s="9" t="s">
        <v>737</v>
      </c>
      <c r="N134" s="9" t="s">
        <v>50</v>
      </c>
      <c r="O134" s="9" t="s">
        <v>51</v>
      </c>
      <c r="P134" s="9"/>
      <c r="Q134" s="9"/>
      <c r="R134" s="9"/>
      <c r="S134" s="14" t="s">
        <v>738</v>
      </c>
      <c r="T134" s="9" t="s">
        <v>739</v>
      </c>
      <c r="U134" s="9" t="s">
        <v>54</v>
      </c>
      <c r="V134" s="9" t="s">
        <v>55</v>
      </c>
      <c r="W134" s="9" t="s">
        <v>55</v>
      </c>
      <c r="X134" s="12"/>
      <c r="Y134" s="9" t="s">
        <v>55</v>
      </c>
      <c r="Z134" s="13"/>
    </row>
    <row r="135" spans="1:26" ht="32.25" hidden="1" customHeight="1">
      <c r="A135" s="8">
        <v>2305896</v>
      </c>
      <c r="B135" s="9" t="s">
        <v>740</v>
      </c>
      <c r="C135" s="10">
        <v>45149</v>
      </c>
      <c r="D135" s="9" t="s">
        <v>57</v>
      </c>
      <c r="E135" s="9" t="s">
        <v>41</v>
      </c>
      <c r="F135" s="9" t="s">
        <v>42</v>
      </c>
      <c r="G135" s="9" t="s">
        <v>43</v>
      </c>
      <c r="H135" s="9" t="s">
        <v>58</v>
      </c>
      <c r="I135" s="11" t="s">
        <v>129</v>
      </c>
      <c r="J135" s="9" t="s">
        <v>130</v>
      </c>
      <c r="K135" s="9" t="s">
        <v>47</v>
      </c>
      <c r="L135" s="9" t="s">
        <v>741</v>
      </c>
      <c r="M135" s="9" t="s">
        <v>742</v>
      </c>
      <c r="N135" s="9" t="s">
        <v>84</v>
      </c>
      <c r="O135" s="9" t="s">
        <v>51</v>
      </c>
      <c r="P135" s="9"/>
      <c r="Q135" s="9"/>
      <c r="R135" s="9" t="s">
        <v>61</v>
      </c>
      <c r="S135" s="14" t="s">
        <v>743</v>
      </c>
      <c r="T135" s="9" t="s">
        <v>744</v>
      </c>
      <c r="U135" s="9" t="s">
        <v>54</v>
      </c>
      <c r="V135" s="9" t="s">
        <v>55</v>
      </c>
      <c r="W135" s="9" t="s">
        <v>55</v>
      </c>
      <c r="X135" s="9" t="s">
        <v>319</v>
      </c>
      <c r="Y135" s="9" t="s">
        <v>320</v>
      </c>
      <c r="Z135" s="13" t="s">
        <v>230</v>
      </c>
    </row>
    <row r="136" spans="1:26" ht="32.25" hidden="1" customHeight="1">
      <c r="A136" s="8">
        <v>2304640</v>
      </c>
      <c r="B136" s="9" t="s">
        <v>745</v>
      </c>
      <c r="C136" s="10">
        <v>45142</v>
      </c>
      <c r="D136" s="9" t="s">
        <v>67</v>
      </c>
      <c r="E136" s="9" t="s">
        <v>41</v>
      </c>
      <c r="F136" s="9" t="s">
        <v>42</v>
      </c>
      <c r="G136" s="9" t="s">
        <v>43</v>
      </c>
      <c r="H136" s="9" t="s">
        <v>44</v>
      </c>
      <c r="I136" s="11" t="s">
        <v>129</v>
      </c>
      <c r="J136" s="9" t="s">
        <v>130</v>
      </c>
      <c r="K136" s="9" t="s">
        <v>47</v>
      </c>
      <c r="L136" s="9" t="s">
        <v>746</v>
      </c>
      <c r="M136" s="9" t="s">
        <v>747</v>
      </c>
      <c r="N136" s="9" t="s">
        <v>84</v>
      </c>
      <c r="O136" s="9" t="s">
        <v>51</v>
      </c>
      <c r="P136" s="9"/>
      <c r="Q136" s="9"/>
      <c r="R136" s="9" t="s">
        <v>61</v>
      </c>
      <c r="S136" s="9" t="s">
        <v>748</v>
      </c>
      <c r="T136" s="9" t="s">
        <v>749</v>
      </c>
      <c r="U136" s="9" t="s">
        <v>54</v>
      </c>
      <c r="V136" s="9" t="s">
        <v>55</v>
      </c>
      <c r="W136" s="9" t="s">
        <v>55</v>
      </c>
      <c r="X136" s="9" t="s">
        <v>196</v>
      </c>
      <c r="Y136" s="9" t="s">
        <v>197</v>
      </c>
      <c r="Z136" s="13" t="s">
        <v>230</v>
      </c>
    </row>
    <row r="137" spans="1:26" ht="32.25" hidden="1" customHeight="1">
      <c r="A137" s="8">
        <v>2305191</v>
      </c>
      <c r="B137" s="9" t="s">
        <v>750</v>
      </c>
      <c r="C137" s="10">
        <v>45156</v>
      </c>
      <c r="D137" s="9" t="s">
        <v>79</v>
      </c>
      <c r="E137" s="9" t="s">
        <v>89</v>
      </c>
      <c r="F137" s="9" t="s">
        <v>80</v>
      </c>
      <c r="G137" s="9" t="s">
        <v>43</v>
      </c>
      <c r="H137" s="9" t="s">
        <v>44</v>
      </c>
      <c r="I137" s="11" t="s">
        <v>101</v>
      </c>
      <c r="J137" s="9" t="s">
        <v>102</v>
      </c>
      <c r="K137" s="9" t="s">
        <v>47</v>
      </c>
      <c r="L137" s="9" t="s">
        <v>48</v>
      </c>
      <c r="M137" s="9" t="s">
        <v>751</v>
      </c>
      <c r="N137" s="9" t="s">
        <v>84</v>
      </c>
      <c r="O137" s="9" t="s">
        <v>51</v>
      </c>
      <c r="P137" s="9" t="s">
        <v>104</v>
      </c>
      <c r="Q137" s="9"/>
      <c r="R137" s="9"/>
      <c r="S137" s="14" t="s">
        <v>752</v>
      </c>
      <c r="T137" s="9" t="s">
        <v>753</v>
      </c>
      <c r="U137" s="9" t="s">
        <v>54</v>
      </c>
      <c r="V137" s="9"/>
      <c r="W137" s="9" t="s">
        <v>115</v>
      </c>
      <c r="X137" s="12"/>
      <c r="Y137" s="9" t="s">
        <v>55</v>
      </c>
      <c r="Z137" s="13"/>
    </row>
    <row r="138" spans="1:26" ht="32.25" hidden="1" customHeight="1">
      <c r="A138" s="8">
        <v>2315233</v>
      </c>
      <c r="B138" s="9" t="s">
        <v>754</v>
      </c>
      <c r="C138" s="10">
        <v>45152</v>
      </c>
      <c r="D138" s="9" t="s">
        <v>755</v>
      </c>
      <c r="E138" s="9" t="s">
        <v>68</v>
      </c>
      <c r="F138" s="9" t="s">
        <v>262</v>
      </c>
      <c r="G138" s="9" t="s">
        <v>43</v>
      </c>
      <c r="H138" s="9" t="s">
        <v>44</v>
      </c>
      <c r="I138" s="11" t="s">
        <v>756</v>
      </c>
      <c r="J138" s="9" t="s">
        <v>757</v>
      </c>
      <c r="K138" s="9" t="s">
        <v>758</v>
      </c>
      <c r="L138" s="9"/>
      <c r="M138" s="9" t="s">
        <v>759</v>
      </c>
      <c r="N138" s="9" t="s">
        <v>50</v>
      </c>
      <c r="O138" s="9" t="s">
        <v>187</v>
      </c>
      <c r="P138" s="9"/>
      <c r="Q138" s="9"/>
      <c r="R138" s="9" t="s">
        <v>61</v>
      </c>
      <c r="S138" s="14" t="s">
        <v>760</v>
      </c>
      <c r="T138" s="9" t="s">
        <v>761</v>
      </c>
      <c r="U138" s="9" t="s">
        <v>262</v>
      </c>
      <c r="V138" s="9" t="s">
        <v>331</v>
      </c>
      <c r="W138" s="9" t="s">
        <v>115</v>
      </c>
      <c r="X138" s="12" t="s">
        <v>64</v>
      </c>
      <c r="Y138" s="9" t="s">
        <v>65</v>
      </c>
      <c r="Z138" s="13" t="s">
        <v>762</v>
      </c>
    </row>
    <row r="139" spans="1:26" ht="32.25" hidden="1" customHeight="1">
      <c r="A139" s="8">
        <v>2309657</v>
      </c>
      <c r="B139" s="9" t="s">
        <v>763</v>
      </c>
      <c r="C139" s="10">
        <v>45142</v>
      </c>
      <c r="D139" s="9" t="s">
        <v>67</v>
      </c>
      <c r="E139" s="9" t="s">
        <v>68</v>
      </c>
      <c r="F139" s="9" t="s">
        <v>135</v>
      </c>
      <c r="G139" s="9" t="s">
        <v>43</v>
      </c>
      <c r="H139" s="9" t="s">
        <v>44</v>
      </c>
      <c r="I139" s="11" t="s">
        <v>136</v>
      </c>
      <c r="J139" s="9" t="s">
        <v>137</v>
      </c>
      <c r="K139" s="9" t="s">
        <v>47</v>
      </c>
      <c r="L139" s="9" t="s">
        <v>764</v>
      </c>
      <c r="M139" s="9"/>
      <c r="N139" s="9" t="s">
        <v>84</v>
      </c>
      <c r="O139" s="9" t="s">
        <v>51</v>
      </c>
      <c r="P139" s="9"/>
      <c r="Q139" s="9"/>
      <c r="R139" s="9" t="s">
        <v>61</v>
      </c>
      <c r="S139" s="9" t="s">
        <v>765</v>
      </c>
      <c r="T139" s="9" t="s">
        <v>766</v>
      </c>
      <c r="U139" s="9" t="s">
        <v>54</v>
      </c>
      <c r="V139" s="9" t="s">
        <v>55</v>
      </c>
      <c r="W139" s="9" t="s">
        <v>55</v>
      </c>
      <c r="X139" s="12" t="s">
        <v>76</v>
      </c>
      <c r="Y139" s="9" t="s">
        <v>77</v>
      </c>
      <c r="Z139" s="13"/>
    </row>
    <row r="140" spans="1:26" ht="32.25" hidden="1" customHeight="1">
      <c r="A140" s="8">
        <v>2303876</v>
      </c>
      <c r="B140" s="9" t="s">
        <v>767</v>
      </c>
      <c r="C140" s="10">
        <v>45149</v>
      </c>
      <c r="D140" s="9" t="s">
        <v>57</v>
      </c>
      <c r="E140" s="9" t="s">
        <v>41</v>
      </c>
      <c r="F140" s="9" t="s">
        <v>42</v>
      </c>
      <c r="G140" s="9" t="s">
        <v>43</v>
      </c>
      <c r="H140" s="9" t="s">
        <v>58</v>
      </c>
      <c r="I140" s="11" t="s">
        <v>45</v>
      </c>
      <c r="J140" s="9" t="s">
        <v>46</v>
      </c>
      <c r="K140" s="9" t="s">
        <v>47</v>
      </c>
      <c r="L140" s="9" t="s">
        <v>156</v>
      </c>
      <c r="M140" s="9"/>
      <c r="N140" s="9" t="s">
        <v>84</v>
      </c>
      <c r="O140" s="9" t="s">
        <v>51</v>
      </c>
      <c r="P140" s="9"/>
      <c r="Q140" s="9"/>
      <c r="R140" s="9"/>
      <c r="S140" s="14" t="s">
        <v>768</v>
      </c>
      <c r="T140" s="9" t="s">
        <v>769</v>
      </c>
      <c r="U140" s="9" t="s">
        <v>54</v>
      </c>
      <c r="V140" s="9" t="s">
        <v>55</v>
      </c>
      <c r="W140" s="9" t="s">
        <v>55</v>
      </c>
      <c r="X140" s="12"/>
      <c r="Y140" s="9" t="s">
        <v>55</v>
      </c>
      <c r="Z140" s="13"/>
    </row>
    <row r="141" spans="1:26" ht="32.25" hidden="1" customHeight="1">
      <c r="A141" s="8">
        <v>2301405</v>
      </c>
      <c r="B141" s="9" t="s">
        <v>770</v>
      </c>
      <c r="C141" s="10">
        <v>45149</v>
      </c>
      <c r="D141" s="9" t="s">
        <v>261</v>
      </c>
      <c r="E141" s="9" t="s">
        <v>68</v>
      </c>
      <c r="F141" s="9" t="s">
        <v>262</v>
      </c>
      <c r="G141" s="9" t="s">
        <v>43</v>
      </c>
      <c r="H141" s="9" t="s">
        <v>44</v>
      </c>
      <c r="I141" s="11" t="s">
        <v>263</v>
      </c>
      <c r="J141" s="9" t="s">
        <v>264</v>
      </c>
      <c r="K141" s="9" t="s">
        <v>47</v>
      </c>
      <c r="L141" s="9" t="s">
        <v>156</v>
      </c>
      <c r="M141" s="9"/>
      <c r="N141" s="9" t="s">
        <v>50</v>
      </c>
      <c r="O141" s="9" t="s">
        <v>51</v>
      </c>
      <c r="P141" s="9"/>
      <c r="Q141" s="9"/>
      <c r="R141" s="9"/>
      <c r="S141" s="14" t="s">
        <v>771</v>
      </c>
      <c r="T141" s="9" t="s">
        <v>772</v>
      </c>
      <c r="U141" s="9" t="s">
        <v>262</v>
      </c>
      <c r="V141" s="9" t="s">
        <v>55</v>
      </c>
      <c r="W141" s="9" t="s">
        <v>55</v>
      </c>
      <c r="X141" s="12"/>
      <c r="Y141" s="9" t="s">
        <v>55</v>
      </c>
      <c r="Z141" s="13"/>
    </row>
    <row r="142" spans="1:26" ht="32.25" hidden="1" customHeight="1">
      <c r="A142" s="8">
        <v>2314259</v>
      </c>
      <c r="B142" s="9" t="s">
        <v>773</v>
      </c>
      <c r="C142" s="10">
        <v>45156</v>
      </c>
      <c r="D142" s="9" t="s">
        <v>79</v>
      </c>
      <c r="E142" s="9" t="s">
        <v>68</v>
      </c>
      <c r="F142" s="9" t="s">
        <v>80</v>
      </c>
      <c r="G142" s="9" t="s">
        <v>43</v>
      </c>
      <c r="H142" s="9" t="s">
        <v>44</v>
      </c>
      <c r="I142" s="11" t="s">
        <v>90</v>
      </c>
      <c r="J142" s="9" t="s">
        <v>91</v>
      </c>
      <c r="K142" s="9" t="s">
        <v>47</v>
      </c>
      <c r="L142" s="9" t="s">
        <v>156</v>
      </c>
      <c r="M142" s="9"/>
      <c r="N142" s="9" t="s">
        <v>50</v>
      </c>
      <c r="O142" s="9" t="s">
        <v>51</v>
      </c>
      <c r="P142" s="9" t="s">
        <v>273</v>
      </c>
      <c r="Q142" s="9"/>
      <c r="R142" s="9"/>
      <c r="S142" s="14" t="s">
        <v>774</v>
      </c>
      <c r="T142" s="9" t="s">
        <v>775</v>
      </c>
      <c r="U142" s="9" t="s">
        <v>54</v>
      </c>
      <c r="V142" s="9" t="s">
        <v>55</v>
      </c>
      <c r="W142" s="9" t="s">
        <v>55</v>
      </c>
      <c r="X142" s="12"/>
      <c r="Y142" s="9" t="s">
        <v>55</v>
      </c>
      <c r="Z142" s="13"/>
    </row>
    <row r="143" spans="1:26" ht="32.25" hidden="1" customHeight="1">
      <c r="A143" s="8">
        <v>2304636</v>
      </c>
      <c r="B143" s="9" t="s">
        <v>776</v>
      </c>
      <c r="C143" s="10">
        <v>45156</v>
      </c>
      <c r="D143" s="9" t="s">
        <v>565</v>
      </c>
      <c r="E143" s="9" t="s">
        <v>295</v>
      </c>
      <c r="F143" s="9" t="s">
        <v>42</v>
      </c>
      <c r="G143" s="9" t="s">
        <v>43</v>
      </c>
      <c r="H143" s="9" t="s">
        <v>58</v>
      </c>
      <c r="I143" s="11" t="s">
        <v>296</v>
      </c>
      <c r="J143" s="9" t="s">
        <v>297</v>
      </c>
      <c r="K143" s="9" t="s">
        <v>47</v>
      </c>
      <c r="L143" s="9" t="s">
        <v>777</v>
      </c>
      <c r="M143" s="9"/>
      <c r="N143" s="9" t="s">
        <v>84</v>
      </c>
      <c r="O143" s="9" t="s">
        <v>51</v>
      </c>
      <c r="P143" s="9"/>
      <c r="Q143" s="9"/>
      <c r="R143" s="9" t="s">
        <v>61</v>
      </c>
      <c r="S143" s="14" t="s">
        <v>778</v>
      </c>
      <c r="T143" s="9" t="s">
        <v>779</v>
      </c>
      <c r="U143" s="9" t="s">
        <v>54</v>
      </c>
      <c r="V143" s="9" t="s">
        <v>55</v>
      </c>
      <c r="W143" s="9" t="s">
        <v>55</v>
      </c>
      <c r="X143" s="9" t="s">
        <v>319</v>
      </c>
      <c r="Y143" s="9" t="s">
        <v>320</v>
      </c>
      <c r="Z143" s="13"/>
    </row>
    <row r="144" spans="1:26" ht="32.25" hidden="1" customHeight="1">
      <c r="A144" s="8">
        <v>2314340</v>
      </c>
      <c r="B144" s="9" t="s">
        <v>780</v>
      </c>
      <c r="C144" s="10">
        <v>45156</v>
      </c>
      <c r="D144" s="9" t="s">
        <v>79</v>
      </c>
      <c r="E144" s="9" t="s">
        <v>89</v>
      </c>
      <c r="F144" s="9" t="s">
        <v>80</v>
      </c>
      <c r="G144" s="9" t="s">
        <v>43</v>
      </c>
      <c r="H144" s="9" t="s">
        <v>44</v>
      </c>
      <c r="I144" s="11" t="s">
        <v>101</v>
      </c>
      <c r="J144" s="9" t="s">
        <v>102</v>
      </c>
      <c r="K144" s="9" t="s">
        <v>47</v>
      </c>
      <c r="L144" s="9" t="s">
        <v>777</v>
      </c>
      <c r="M144" s="9" t="s">
        <v>781</v>
      </c>
      <c r="N144" s="9" t="s">
        <v>50</v>
      </c>
      <c r="O144" s="9" t="s">
        <v>51</v>
      </c>
      <c r="P144" s="9" t="s">
        <v>715</v>
      </c>
      <c r="Q144" s="9"/>
      <c r="R144" s="9"/>
      <c r="S144" s="14" t="s">
        <v>782</v>
      </c>
      <c r="T144" s="9" t="s">
        <v>783</v>
      </c>
      <c r="U144" s="9" t="s">
        <v>54</v>
      </c>
      <c r="V144" s="9" t="s">
        <v>55</v>
      </c>
      <c r="W144" s="9" t="s">
        <v>55</v>
      </c>
      <c r="X144" s="12"/>
      <c r="Y144" s="9" t="s">
        <v>55</v>
      </c>
      <c r="Z144" s="13"/>
    </row>
    <row r="145" spans="1:26" ht="32.25" hidden="1" customHeight="1">
      <c r="A145" s="8">
        <v>2302737</v>
      </c>
      <c r="B145" s="9" t="s">
        <v>784</v>
      </c>
      <c r="C145" s="10">
        <v>45156</v>
      </c>
      <c r="D145" s="9" t="s">
        <v>79</v>
      </c>
      <c r="E145" s="9" t="s">
        <v>41</v>
      </c>
      <c r="F145" s="9" t="s">
        <v>80</v>
      </c>
      <c r="G145" s="9" t="s">
        <v>43</v>
      </c>
      <c r="H145" s="9" t="s">
        <v>44</v>
      </c>
      <c r="I145" s="11" t="s">
        <v>81</v>
      </c>
      <c r="J145" s="9" t="s">
        <v>46</v>
      </c>
      <c r="K145" s="9" t="s">
        <v>47</v>
      </c>
      <c r="L145" s="9" t="s">
        <v>349</v>
      </c>
      <c r="M145" s="9" t="s">
        <v>785</v>
      </c>
      <c r="N145" s="9" t="s">
        <v>50</v>
      </c>
      <c r="O145" s="9" t="s">
        <v>51</v>
      </c>
      <c r="P145" s="9" t="s">
        <v>503</v>
      </c>
      <c r="Q145" s="9"/>
      <c r="R145" s="9" t="s">
        <v>61</v>
      </c>
      <c r="S145" s="14" t="s">
        <v>786</v>
      </c>
      <c r="T145" s="9" t="s">
        <v>787</v>
      </c>
      <c r="U145" s="9" t="s">
        <v>54</v>
      </c>
      <c r="V145" s="9" t="s">
        <v>331</v>
      </c>
      <c r="W145" s="9" t="s">
        <v>115</v>
      </c>
      <c r="X145" s="9" t="s">
        <v>64</v>
      </c>
      <c r="Y145" s="9" t="s">
        <v>65</v>
      </c>
      <c r="Z145" s="13"/>
    </row>
    <row r="146" spans="1:26" ht="32.25" hidden="1" customHeight="1">
      <c r="A146" s="8">
        <v>2306427</v>
      </c>
      <c r="B146" s="9" t="s">
        <v>788</v>
      </c>
      <c r="C146" s="10">
        <v>45149</v>
      </c>
      <c r="D146" s="9" t="s">
        <v>57</v>
      </c>
      <c r="E146" s="9" t="s">
        <v>153</v>
      </c>
      <c r="F146" s="9" t="s">
        <v>42</v>
      </c>
      <c r="G146" s="9" t="s">
        <v>43</v>
      </c>
      <c r="H146" s="9" t="s">
        <v>58</v>
      </c>
      <c r="I146" s="11" t="s">
        <v>154</v>
      </c>
      <c r="J146" s="9" t="s">
        <v>155</v>
      </c>
      <c r="K146" s="9" t="s">
        <v>47</v>
      </c>
      <c r="L146" s="9" t="s">
        <v>156</v>
      </c>
      <c r="M146" s="9"/>
      <c r="N146" s="9" t="s">
        <v>84</v>
      </c>
      <c r="O146" s="9" t="s">
        <v>51</v>
      </c>
      <c r="P146" s="9"/>
      <c r="Q146" s="9"/>
      <c r="R146" s="9"/>
      <c r="S146" s="14" t="s">
        <v>789</v>
      </c>
      <c r="T146" s="9" t="s">
        <v>790</v>
      </c>
      <c r="U146" s="9" t="s">
        <v>54</v>
      </c>
      <c r="V146" s="9" t="s">
        <v>55</v>
      </c>
      <c r="W146" s="9" t="s">
        <v>55</v>
      </c>
      <c r="X146" s="12"/>
      <c r="Y146" s="9" t="s">
        <v>55</v>
      </c>
      <c r="Z146" s="13"/>
    </row>
    <row r="147" spans="1:26" ht="32.25" hidden="1" customHeight="1">
      <c r="A147" s="8">
        <v>2309719</v>
      </c>
      <c r="B147" s="9" t="s">
        <v>791</v>
      </c>
      <c r="C147" s="10">
        <v>45149</v>
      </c>
      <c r="D147" s="9" t="s">
        <v>57</v>
      </c>
      <c r="E147" s="9" t="s">
        <v>41</v>
      </c>
      <c r="F147" s="9" t="s">
        <v>42</v>
      </c>
      <c r="G147" s="9" t="s">
        <v>43</v>
      </c>
      <c r="H147" s="9" t="s">
        <v>58</v>
      </c>
      <c r="I147" s="11" t="s">
        <v>199</v>
      </c>
      <c r="J147" s="9" t="s">
        <v>200</v>
      </c>
      <c r="K147" s="9" t="s">
        <v>47</v>
      </c>
      <c r="L147" s="9" t="s">
        <v>480</v>
      </c>
      <c r="M147" s="9" t="s">
        <v>481</v>
      </c>
      <c r="N147" s="9" t="s">
        <v>50</v>
      </c>
      <c r="O147" s="9" t="s">
        <v>51</v>
      </c>
      <c r="P147" s="9"/>
      <c r="Q147" s="9"/>
      <c r="R147" s="9" t="s">
        <v>61</v>
      </c>
      <c r="S147" s="14" t="s">
        <v>792</v>
      </c>
      <c r="T147" s="9" t="s">
        <v>793</v>
      </c>
      <c r="U147" s="9" t="s">
        <v>54</v>
      </c>
      <c r="V147" s="9" t="s">
        <v>55</v>
      </c>
      <c r="W147" s="9" t="s">
        <v>55</v>
      </c>
      <c r="X147" s="12" t="s">
        <v>196</v>
      </c>
      <c r="Y147" s="9" t="s">
        <v>197</v>
      </c>
      <c r="Z147" s="13"/>
    </row>
    <row r="148" spans="1:26" ht="32.25" hidden="1" customHeight="1">
      <c r="A148" s="8">
        <v>2313632</v>
      </c>
      <c r="B148" s="9" t="s">
        <v>794</v>
      </c>
      <c r="C148" s="10">
        <v>45142</v>
      </c>
      <c r="D148" s="9" t="s">
        <v>67</v>
      </c>
      <c r="E148" s="9" t="s">
        <v>41</v>
      </c>
      <c r="F148" s="9" t="s">
        <v>42</v>
      </c>
      <c r="G148" s="9" t="s">
        <v>43</v>
      </c>
      <c r="H148" s="9" t="s">
        <v>44</v>
      </c>
      <c r="I148" s="11" t="s">
        <v>199</v>
      </c>
      <c r="J148" s="9" t="s">
        <v>200</v>
      </c>
      <c r="K148" s="9" t="s">
        <v>47</v>
      </c>
      <c r="L148" s="9" t="s">
        <v>305</v>
      </c>
      <c r="M148" s="9" t="s">
        <v>795</v>
      </c>
      <c r="N148" s="9" t="s">
        <v>84</v>
      </c>
      <c r="O148" s="9" t="s">
        <v>51</v>
      </c>
      <c r="P148" s="9"/>
      <c r="Q148" s="9"/>
      <c r="R148" s="9" t="s">
        <v>61</v>
      </c>
      <c r="S148" s="9" t="s">
        <v>796</v>
      </c>
      <c r="T148" s="9" t="s">
        <v>797</v>
      </c>
      <c r="U148" s="9" t="s">
        <v>54</v>
      </c>
      <c r="V148" s="9" t="s">
        <v>55</v>
      </c>
      <c r="W148" s="9" t="s">
        <v>55</v>
      </c>
      <c r="X148" s="12" t="s">
        <v>196</v>
      </c>
      <c r="Y148" s="9" t="s">
        <v>197</v>
      </c>
      <c r="Z148" s="13"/>
    </row>
    <row r="149" spans="1:26" ht="32.25" hidden="1" customHeight="1">
      <c r="A149" s="8">
        <v>2310004</v>
      </c>
      <c r="B149" s="9" t="s">
        <v>798</v>
      </c>
      <c r="C149" s="10">
        <v>45156</v>
      </c>
      <c r="D149" s="9" t="s">
        <v>79</v>
      </c>
      <c r="E149" s="9" t="s">
        <v>143</v>
      </c>
      <c r="F149" s="9" t="s">
        <v>80</v>
      </c>
      <c r="G149" s="9" t="s">
        <v>43</v>
      </c>
      <c r="H149" s="9" t="s">
        <v>44</v>
      </c>
      <c r="I149" s="11" t="s">
        <v>326</v>
      </c>
      <c r="J149" s="9" t="s">
        <v>327</v>
      </c>
      <c r="K149" s="9" t="s">
        <v>47</v>
      </c>
      <c r="L149" s="9" t="s">
        <v>799</v>
      </c>
      <c r="M149" s="9" t="s">
        <v>800</v>
      </c>
      <c r="N149" s="9" t="s">
        <v>50</v>
      </c>
      <c r="O149" s="9" t="s">
        <v>51</v>
      </c>
      <c r="P149" s="9" t="s">
        <v>576</v>
      </c>
      <c r="Q149" s="9"/>
      <c r="R149" s="9" t="s">
        <v>61</v>
      </c>
      <c r="S149" s="14" t="s">
        <v>801</v>
      </c>
      <c r="T149" s="9" t="s">
        <v>802</v>
      </c>
      <c r="U149" s="9" t="s">
        <v>54</v>
      </c>
      <c r="V149" s="9" t="s">
        <v>251</v>
      </c>
      <c r="W149" s="9" t="s">
        <v>115</v>
      </c>
      <c r="X149" s="12" t="s">
        <v>171</v>
      </c>
      <c r="Y149" s="9" t="s">
        <v>172</v>
      </c>
      <c r="Z149" s="13"/>
    </row>
    <row r="150" spans="1:26" ht="32.25" hidden="1" customHeight="1">
      <c r="A150" s="8">
        <v>2304253</v>
      </c>
      <c r="B150" s="9" t="s">
        <v>803</v>
      </c>
      <c r="C150" s="10">
        <v>45142</v>
      </c>
      <c r="D150" s="9" t="s">
        <v>67</v>
      </c>
      <c r="E150" s="9" t="s">
        <v>68</v>
      </c>
      <c r="F150" s="9" t="s">
        <v>135</v>
      </c>
      <c r="G150" s="9" t="s">
        <v>43</v>
      </c>
      <c r="H150" s="9" t="s">
        <v>44</v>
      </c>
      <c r="I150" s="11" t="s">
        <v>136</v>
      </c>
      <c r="J150" s="9" t="s">
        <v>137</v>
      </c>
      <c r="K150" s="9" t="s">
        <v>47</v>
      </c>
      <c r="L150" s="9" t="s">
        <v>569</v>
      </c>
      <c r="M150" s="9" t="s">
        <v>804</v>
      </c>
      <c r="N150" s="9" t="s">
        <v>84</v>
      </c>
      <c r="O150" s="9" t="s">
        <v>51</v>
      </c>
      <c r="P150" s="9"/>
      <c r="Q150" s="9"/>
      <c r="R150" s="9" t="s">
        <v>61</v>
      </c>
      <c r="S150" s="9" t="s">
        <v>805</v>
      </c>
      <c r="T150" s="9" t="s">
        <v>806</v>
      </c>
      <c r="U150" s="9" t="s">
        <v>54</v>
      </c>
      <c r="V150" s="9" t="s">
        <v>55</v>
      </c>
      <c r="W150" s="9" t="s">
        <v>55</v>
      </c>
      <c r="X150" s="12" t="s">
        <v>76</v>
      </c>
      <c r="Y150" s="9" t="s">
        <v>77</v>
      </c>
      <c r="Z150" s="13"/>
    </row>
    <row r="151" spans="1:26" ht="32.25" hidden="1" customHeight="1">
      <c r="A151" s="8">
        <v>2313405</v>
      </c>
      <c r="B151" s="9" t="s">
        <v>807</v>
      </c>
      <c r="C151" s="10">
        <v>45149</v>
      </c>
      <c r="D151" s="9" t="s">
        <v>57</v>
      </c>
      <c r="E151" s="9" t="s">
        <v>41</v>
      </c>
      <c r="F151" s="9" t="s">
        <v>42</v>
      </c>
      <c r="G151" s="9" t="s">
        <v>43</v>
      </c>
      <c r="H151" s="9" t="s">
        <v>58</v>
      </c>
      <c r="I151" s="11" t="s">
        <v>199</v>
      </c>
      <c r="J151" s="9" t="s">
        <v>200</v>
      </c>
      <c r="K151" s="9" t="s">
        <v>47</v>
      </c>
      <c r="L151" s="9" t="s">
        <v>156</v>
      </c>
      <c r="M151" s="9"/>
      <c r="N151" s="9" t="s">
        <v>50</v>
      </c>
      <c r="O151" s="9" t="s">
        <v>51</v>
      </c>
      <c r="P151" s="9"/>
      <c r="Q151" s="9"/>
      <c r="R151" s="9"/>
      <c r="S151" s="14" t="s">
        <v>808</v>
      </c>
      <c r="T151" s="9" t="s">
        <v>809</v>
      </c>
      <c r="U151" s="9" t="s">
        <v>54</v>
      </c>
      <c r="V151" s="9" t="s">
        <v>55</v>
      </c>
      <c r="W151" s="9" t="s">
        <v>55</v>
      </c>
      <c r="X151" s="12"/>
      <c r="Y151" s="9" t="s">
        <v>55</v>
      </c>
      <c r="Z151" s="13"/>
    </row>
    <row r="152" spans="1:26" ht="32.25" hidden="1" customHeight="1">
      <c r="A152" s="8">
        <v>2308535</v>
      </c>
      <c r="B152" s="9" t="s">
        <v>810</v>
      </c>
      <c r="C152" s="10">
        <v>45142</v>
      </c>
      <c r="D152" s="9" t="s">
        <v>67</v>
      </c>
      <c r="E152" s="9" t="s">
        <v>143</v>
      </c>
      <c r="F152" s="9" t="s">
        <v>42</v>
      </c>
      <c r="G152" s="9" t="s">
        <v>43</v>
      </c>
      <c r="H152" s="9" t="s">
        <v>44</v>
      </c>
      <c r="I152" s="11" t="s">
        <v>334</v>
      </c>
      <c r="J152" s="9" t="s">
        <v>327</v>
      </c>
      <c r="K152" s="9" t="s">
        <v>47</v>
      </c>
      <c r="L152" s="9" t="s">
        <v>156</v>
      </c>
      <c r="M152" s="9"/>
      <c r="N152" s="9" t="s">
        <v>84</v>
      </c>
      <c r="O152" s="9" t="s">
        <v>51</v>
      </c>
      <c r="P152" s="9" t="s">
        <v>336</v>
      </c>
      <c r="Q152" s="9"/>
      <c r="R152" s="9"/>
      <c r="S152" s="9" t="s">
        <v>811</v>
      </c>
      <c r="T152" s="9" t="s">
        <v>812</v>
      </c>
      <c r="U152" s="9" t="s">
        <v>54</v>
      </c>
      <c r="V152" s="9" t="s">
        <v>55</v>
      </c>
      <c r="W152" s="9" t="s">
        <v>55</v>
      </c>
      <c r="X152" s="12"/>
      <c r="Y152" s="9" t="s">
        <v>55</v>
      </c>
      <c r="Z152" s="13"/>
    </row>
    <row r="153" spans="1:26" ht="32.25" hidden="1" customHeight="1">
      <c r="A153" s="8">
        <v>2308045</v>
      </c>
      <c r="B153" s="9" t="s">
        <v>813</v>
      </c>
      <c r="C153" s="10">
        <v>45156</v>
      </c>
      <c r="D153" s="9" t="s">
        <v>79</v>
      </c>
      <c r="E153" s="9" t="s">
        <v>41</v>
      </c>
      <c r="F153" s="9" t="s">
        <v>80</v>
      </c>
      <c r="G153" s="9" t="s">
        <v>43</v>
      </c>
      <c r="H153" s="9" t="s">
        <v>44</v>
      </c>
      <c r="I153" s="11" t="s">
        <v>478</v>
      </c>
      <c r="J153" s="9" t="s">
        <v>479</v>
      </c>
      <c r="K153" s="9" t="s">
        <v>416</v>
      </c>
      <c r="L153" s="9"/>
      <c r="M153" s="9" t="s">
        <v>814</v>
      </c>
      <c r="N153" s="9" t="s">
        <v>50</v>
      </c>
      <c r="O153" s="9" t="s">
        <v>51</v>
      </c>
      <c r="P153" s="9" t="s">
        <v>482</v>
      </c>
      <c r="Q153" s="9"/>
      <c r="R153" s="9" t="s">
        <v>61</v>
      </c>
      <c r="S153" s="14" t="s">
        <v>815</v>
      </c>
      <c r="T153" s="9" t="s">
        <v>816</v>
      </c>
      <c r="U153" s="9" t="s">
        <v>54</v>
      </c>
      <c r="V153" s="9" t="s">
        <v>331</v>
      </c>
      <c r="W153" s="9" t="s">
        <v>115</v>
      </c>
      <c r="X153" s="9" t="s">
        <v>64</v>
      </c>
      <c r="Y153" s="9" t="s">
        <v>65</v>
      </c>
      <c r="Z153" s="13"/>
    </row>
    <row r="154" spans="1:26" ht="32.25" hidden="1" customHeight="1">
      <c r="A154" s="8">
        <v>2315025</v>
      </c>
      <c r="B154" s="9" t="s">
        <v>817</v>
      </c>
      <c r="C154" s="10">
        <v>45156</v>
      </c>
      <c r="D154" s="9" t="s">
        <v>79</v>
      </c>
      <c r="E154" s="9" t="s">
        <v>89</v>
      </c>
      <c r="F154" s="9" t="s">
        <v>80</v>
      </c>
      <c r="G154" s="9" t="s">
        <v>43</v>
      </c>
      <c r="H154" s="9" t="s">
        <v>44</v>
      </c>
      <c r="I154" s="11" t="s">
        <v>90</v>
      </c>
      <c r="J154" s="9" t="s">
        <v>91</v>
      </c>
      <c r="K154" s="9" t="s">
        <v>818</v>
      </c>
      <c r="L154" s="9"/>
      <c r="M154" s="9"/>
      <c r="N154" s="9" t="s">
        <v>50</v>
      </c>
      <c r="O154" s="9" t="s">
        <v>51</v>
      </c>
      <c r="P154" s="9" t="s">
        <v>498</v>
      </c>
      <c r="Q154" s="9"/>
      <c r="R154" s="9" t="s">
        <v>61</v>
      </c>
      <c r="S154" s="14" t="s">
        <v>819</v>
      </c>
      <c r="T154" s="9" t="s">
        <v>820</v>
      </c>
      <c r="U154" s="9" t="s">
        <v>54</v>
      </c>
      <c r="V154" s="9" t="s">
        <v>55</v>
      </c>
      <c r="W154" s="9" t="s">
        <v>55</v>
      </c>
      <c r="X154" s="12" t="s">
        <v>98</v>
      </c>
      <c r="Y154" s="9" t="s">
        <v>99</v>
      </c>
      <c r="Z154" s="13"/>
    </row>
    <row r="155" spans="1:26" ht="32.25" hidden="1" customHeight="1">
      <c r="A155" s="8">
        <v>2314271</v>
      </c>
      <c r="B155" s="9" t="s">
        <v>821</v>
      </c>
      <c r="C155" s="10">
        <v>45156</v>
      </c>
      <c r="D155" s="9" t="s">
        <v>79</v>
      </c>
      <c r="E155" s="9" t="s">
        <v>41</v>
      </c>
      <c r="F155" s="9" t="s">
        <v>80</v>
      </c>
      <c r="G155" s="9" t="s">
        <v>43</v>
      </c>
      <c r="H155" s="9" t="s">
        <v>44</v>
      </c>
      <c r="I155" s="11" t="s">
        <v>81</v>
      </c>
      <c r="J155" s="9" t="s">
        <v>46</v>
      </c>
      <c r="K155" s="9" t="s">
        <v>47</v>
      </c>
      <c r="L155" s="9" t="s">
        <v>822</v>
      </c>
      <c r="M155" s="9" t="s">
        <v>823</v>
      </c>
      <c r="N155" s="9" t="s">
        <v>50</v>
      </c>
      <c r="O155" s="9" t="s">
        <v>51</v>
      </c>
      <c r="P155" s="9" t="s">
        <v>85</v>
      </c>
      <c r="Q155" s="9"/>
      <c r="R155" s="9" t="s">
        <v>61</v>
      </c>
      <c r="S155" s="14" t="s">
        <v>824</v>
      </c>
      <c r="T155" s="9" t="s">
        <v>825</v>
      </c>
      <c r="U155" s="9" t="s">
        <v>54</v>
      </c>
      <c r="V155" s="9" t="s">
        <v>55</v>
      </c>
      <c r="W155" s="9" t="s">
        <v>55</v>
      </c>
      <c r="X155" s="9" t="s">
        <v>64</v>
      </c>
      <c r="Y155" s="9" t="s">
        <v>65</v>
      </c>
      <c r="Z155" s="13"/>
    </row>
    <row r="156" spans="1:26" ht="32.25" hidden="1" customHeight="1">
      <c r="A156" s="8">
        <v>2301551</v>
      </c>
      <c r="B156" s="9" t="s">
        <v>826</v>
      </c>
      <c r="C156" s="10">
        <v>45156</v>
      </c>
      <c r="D156" s="9" t="s">
        <v>79</v>
      </c>
      <c r="E156" s="9" t="s">
        <v>143</v>
      </c>
      <c r="F156" s="9" t="s">
        <v>80</v>
      </c>
      <c r="G156" s="9" t="s">
        <v>43</v>
      </c>
      <c r="H156" s="9" t="s">
        <v>44</v>
      </c>
      <c r="I156" s="11" t="s">
        <v>326</v>
      </c>
      <c r="J156" s="9" t="s">
        <v>327</v>
      </c>
      <c r="K156" s="9" t="s">
        <v>47</v>
      </c>
      <c r="L156" s="9" t="s">
        <v>827</v>
      </c>
      <c r="M156" s="9" t="s">
        <v>828</v>
      </c>
      <c r="N156" s="9" t="s">
        <v>84</v>
      </c>
      <c r="O156" s="9" t="s">
        <v>51</v>
      </c>
      <c r="P156" s="9" t="s">
        <v>654</v>
      </c>
      <c r="Q156" s="9"/>
      <c r="R156" s="9" t="s">
        <v>61</v>
      </c>
      <c r="S156" s="14" t="s">
        <v>829</v>
      </c>
      <c r="T156" s="9" t="s">
        <v>830</v>
      </c>
      <c r="U156" s="9" t="s">
        <v>54</v>
      </c>
      <c r="V156" s="9" t="s">
        <v>370</v>
      </c>
      <c r="W156" s="9" t="s">
        <v>115</v>
      </c>
      <c r="X156" s="12" t="s">
        <v>150</v>
      </c>
      <c r="Y156" s="9" t="s">
        <v>151</v>
      </c>
      <c r="Z156" s="13"/>
    </row>
    <row r="157" spans="1:26" ht="32.25" hidden="1" customHeight="1">
      <c r="A157" s="8">
        <v>2302367</v>
      </c>
      <c r="B157" s="9" t="s">
        <v>831</v>
      </c>
      <c r="C157" s="10">
        <v>45136</v>
      </c>
      <c r="D157" s="9" t="s">
        <v>40</v>
      </c>
      <c r="E157" s="9" t="s">
        <v>41</v>
      </c>
      <c r="F157" s="9" t="s">
        <v>42</v>
      </c>
      <c r="G157" s="9" t="s">
        <v>43</v>
      </c>
      <c r="H157" s="9" t="s">
        <v>44</v>
      </c>
      <c r="I157" s="11" t="s">
        <v>45</v>
      </c>
      <c r="J157" s="9" t="s">
        <v>46</v>
      </c>
      <c r="K157" s="9" t="s">
        <v>47</v>
      </c>
      <c r="L157" s="9" t="s">
        <v>156</v>
      </c>
      <c r="M157" s="9" t="s">
        <v>832</v>
      </c>
      <c r="N157" s="9" t="s">
        <v>50</v>
      </c>
      <c r="O157" s="9" t="s">
        <v>51</v>
      </c>
      <c r="P157" s="9"/>
      <c r="Q157" s="9"/>
      <c r="R157" s="9"/>
      <c r="S157" s="9" t="s">
        <v>833</v>
      </c>
      <c r="T157" s="9" t="s">
        <v>834</v>
      </c>
      <c r="U157" s="9" t="s">
        <v>54</v>
      </c>
      <c r="V157" s="9" t="s">
        <v>55</v>
      </c>
      <c r="W157" s="9" t="s">
        <v>55</v>
      </c>
      <c r="X157" s="9"/>
      <c r="Y157" s="9" t="s">
        <v>55</v>
      </c>
      <c r="Z157" s="13"/>
    </row>
    <row r="158" spans="1:26" ht="32.25" hidden="1" customHeight="1">
      <c r="A158" s="8">
        <v>2305037</v>
      </c>
      <c r="B158" s="9" t="s">
        <v>835</v>
      </c>
      <c r="C158" s="10">
        <v>45142</v>
      </c>
      <c r="D158" s="9" t="s">
        <v>67</v>
      </c>
      <c r="E158" s="9" t="s">
        <v>143</v>
      </c>
      <c r="F158" s="9" t="s">
        <v>42</v>
      </c>
      <c r="G158" s="9" t="s">
        <v>43</v>
      </c>
      <c r="H158" s="9" t="s">
        <v>44</v>
      </c>
      <c r="I158" s="11" t="s">
        <v>334</v>
      </c>
      <c r="J158" s="9" t="s">
        <v>327</v>
      </c>
      <c r="K158" s="9" t="s">
        <v>47</v>
      </c>
      <c r="L158" s="9" t="s">
        <v>204</v>
      </c>
      <c r="M158" s="9" t="s">
        <v>836</v>
      </c>
      <c r="N158" s="9" t="s">
        <v>84</v>
      </c>
      <c r="O158" s="9" t="s">
        <v>51</v>
      </c>
      <c r="P158" s="9" t="s">
        <v>336</v>
      </c>
      <c r="Q158" s="9"/>
      <c r="R158" s="9" t="s">
        <v>61</v>
      </c>
      <c r="S158" s="9" t="s">
        <v>837</v>
      </c>
      <c r="T158" s="9" t="s">
        <v>838</v>
      </c>
      <c r="U158" s="9" t="s">
        <v>54</v>
      </c>
      <c r="V158" s="9" t="s">
        <v>55</v>
      </c>
      <c r="W158" s="9" t="s">
        <v>55</v>
      </c>
      <c r="X158" s="12" t="s">
        <v>150</v>
      </c>
      <c r="Y158" s="9" t="s">
        <v>151</v>
      </c>
      <c r="Z158" s="13"/>
    </row>
    <row r="159" spans="1:26" ht="32.25" hidden="1" customHeight="1">
      <c r="A159" s="8">
        <v>2308640</v>
      </c>
      <c r="B159" s="9" t="s">
        <v>839</v>
      </c>
      <c r="C159" s="10">
        <v>45156</v>
      </c>
      <c r="D159" s="9" t="s">
        <v>79</v>
      </c>
      <c r="E159" s="9" t="s">
        <v>41</v>
      </c>
      <c r="F159" s="9" t="s">
        <v>80</v>
      </c>
      <c r="G159" s="9" t="s">
        <v>43</v>
      </c>
      <c r="H159" s="9" t="s">
        <v>44</v>
      </c>
      <c r="I159" s="11" t="s">
        <v>81</v>
      </c>
      <c r="J159" s="9" t="s">
        <v>46</v>
      </c>
      <c r="K159" s="9" t="s">
        <v>47</v>
      </c>
      <c r="L159" s="9" t="s">
        <v>156</v>
      </c>
      <c r="M159" s="9"/>
      <c r="N159" s="9" t="s">
        <v>50</v>
      </c>
      <c r="O159" s="9" t="s">
        <v>51</v>
      </c>
      <c r="P159" s="9" t="s">
        <v>503</v>
      </c>
      <c r="Q159" s="9"/>
      <c r="R159" s="9"/>
      <c r="S159" s="14" t="s">
        <v>840</v>
      </c>
      <c r="T159" s="9" t="s">
        <v>841</v>
      </c>
      <c r="U159" s="9" t="s">
        <v>54</v>
      </c>
      <c r="V159" s="9" t="s">
        <v>55</v>
      </c>
      <c r="W159" s="9" t="s">
        <v>55</v>
      </c>
      <c r="X159" s="12"/>
      <c r="Y159" s="9" t="s">
        <v>55</v>
      </c>
      <c r="Z159" s="13"/>
    </row>
    <row r="160" spans="1:26" ht="32.25" hidden="1" customHeight="1">
      <c r="A160" s="8">
        <v>2301965</v>
      </c>
      <c r="B160" s="9" t="s">
        <v>842</v>
      </c>
      <c r="C160" s="10">
        <v>45149</v>
      </c>
      <c r="D160" s="9" t="s">
        <v>57</v>
      </c>
      <c r="E160" s="9" t="s">
        <v>295</v>
      </c>
      <c r="F160" s="9" t="s">
        <v>42</v>
      </c>
      <c r="G160" s="9" t="s">
        <v>43</v>
      </c>
      <c r="H160" s="9" t="s">
        <v>58</v>
      </c>
      <c r="I160" s="11" t="s">
        <v>406</v>
      </c>
      <c r="J160" s="9" t="s">
        <v>407</v>
      </c>
      <c r="K160" s="9" t="s">
        <v>47</v>
      </c>
      <c r="L160" s="9" t="s">
        <v>156</v>
      </c>
      <c r="M160" s="9"/>
      <c r="N160" s="9" t="s">
        <v>84</v>
      </c>
      <c r="O160" s="9" t="s">
        <v>51</v>
      </c>
      <c r="P160" s="9"/>
      <c r="Q160" s="9"/>
      <c r="R160" s="9"/>
      <c r="S160" s="14" t="s">
        <v>843</v>
      </c>
      <c r="T160" s="9" t="s">
        <v>844</v>
      </c>
      <c r="U160" s="9" t="s">
        <v>54</v>
      </c>
      <c r="V160" s="9" t="s">
        <v>55</v>
      </c>
      <c r="W160" s="9" t="s">
        <v>55</v>
      </c>
      <c r="X160" s="12"/>
      <c r="Y160" s="9" t="s">
        <v>55</v>
      </c>
      <c r="Z160" s="13"/>
    </row>
    <row r="161" spans="1:26" ht="32.25" hidden="1" customHeight="1">
      <c r="A161" s="8">
        <v>2314746</v>
      </c>
      <c r="B161" s="9" t="s">
        <v>845</v>
      </c>
      <c r="C161" s="10">
        <v>45149</v>
      </c>
      <c r="D161" s="9" t="s">
        <v>57</v>
      </c>
      <c r="E161" s="9" t="s">
        <v>153</v>
      </c>
      <c r="F161" s="9" t="s">
        <v>42</v>
      </c>
      <c r="G161" s="9" t="s">
        <v>43</v>
      </c>
      <c r="H161" s="9" t="s">
        <v>58</v>
      </c>
      <c r="I161" s="11" t="s">
        <v>154</v>
      </c>
      <c r="J161" s="9" t="s">
        <v>155</v>
      </c>
      <c r="K161" s="9" t="s">
        <v>47</v>
      </c>
      <c r="L161" s="9" t="s">
        <v>846</v>
      </c>
      <c r="M161" s="9" t="s">
        <v>847</v>
      </c>
      <c r="N161" s="9" t="s">
        <v>84</v>
      </c>
      <c r="O161" s="9" t="s">
        <v>51</v>
      </c>
      <c r="P161" s="9"/>
      <c r="Q161" s="9"/>
      <c r="R161" s="9" t="s">
        <v>61</v>
      </c>
      <c r="S161" s="14" t="s">
        <v>848</v>
      </c>
      <c r="T161" s="9" t="s">
        <v>849</v>
      </c>
      <c r="U161" s="9" t="s">
        <v>54</v>
      </c>
      <c r="V161" s="9" t="s">
        <v>55</v>
      </c>
      <c r="W161" s="9" t="s">
        <v>55</v>
      </c>
      <c r="X161" s="12" t="s">
        <v>171</v>
      </c>
      <c r="Y161" s="9" t="s">
        <v>172</v>
      </c>
      <c r="Z161" s="13"/>
    </row>
    <row r="162" spans="1:26" ht="32.25" hidden="1" customHeight="1">
      <c r="A162" s="8">
        <v>2314378</v>
      </c>
      <c r="B162" s="9" t="s">
        <v>850</v>
      </c>
      <c r="C162" s="10">
        <v>45142</v>
      </c>
      <c r="D162" s="9" t="s">
        <v>232</v>
      </c>
      <c r="E162" s="9" t="s">
        <v>41</v>
      </c>
      <c r="F162" s="9" t="s">
        <v>80</v>
      </c>
      <c r="G162" s="9" t="s">
        <v>43</v>
      </c>
      <c r="H162" s="9" t="s">
        <v>44</v>
      </c>
      <c r="I162" s="11" t="s">
        <v>81</v>
      </c>
      <c r="J162" s="9" t="s">
        <v>46</v>
      </c>
      <c r="K162" s="9" t="s">
        <v>186</v>
      </c>
      <c r="L162" s="9" t="s">
        <v>156</v>
      </c>
      <c r="M162" s="9"/>
      <c r="N162" s="9" t="s">
        <v>50</v>
      </c>
      <c r="O162" s="9" t="s">
        <v>187</v>
      </c>
      <c r="P162" s="9" t="s">
        <v>851</v>
      </c>
      <c r="Q162" s="9"/>
      <c r="R162" s="9" t="s">
        <v>61</v>
      </c>
      <c r="S162" s="9" t="s">
        <v>852</v>
      </c>
      <c r="T162" s="9" t="s">
        <v>853</v>
      </c>
      <c r="U162" s="9" t="s">
        <v>54</v>
      </c>
      <c r="V162" s="9" t="s">
        <v>55</v>
      </c>
      <c r="W162" s="9" t="s">
        <v>55</v>
      </c>
      <c r="X162" s="9" t="s">
        <v>64</v>
      </c>
      <c r="Y162" s="9" t="s">
        <v>65</v>
      </c>
      <c r="Z162" s="13"/>
    </row>
    <row r="163" spans="1:26" ht="32.25" hidden="1" customHeight="1">
      <c r="A163" s="8">
        <v>2306608</v>
      </c>
      <c r="B163" s="9" t="s">
        <v>854</v>
      </c>
      <c r="C163" s="10">
        <v>45149</v>
      </c>
      <c r="D163" s="9" t="s">
        <v>57</v>
      </c>
      <c r="E163" s="9" t="s">
        <v>41</v>
      </c>
      <c r="F163" s="9" t="s">
        <v>42</v>
      </c>
      <c r="G163" s="9" t="s">
        <v>43</v>
      </c>
      <c r="H163" s="9" t="s">
        <v>58</v>
      </c>
      <c r="I163" s="11" t="s">
        <v>45</v>
      </c>
      <c r="J163" s="9" t="s">
        <v>46</v>
      </c>
      <c r="K163" s="9" t="s">
        <v>47</v>
      </c>
      <c r="L163" s="9" t="s">
        <v>156</v>
      </c>
      <c r="M163" s="9"/>
      <c r="N163" s="9" t="s">
        <v>84</v>
      </c>
      <c r="O163" s="9" t="s">
        <v>51</v>
      </c>
      <c r="P163" s="9"/>
      <c r="Q163" s="9"/>
      <c r="R163" s="9"/>
      <c r="S163" s="14" t="s">
        <v>855</v>
      </c>
      <c r="T163" s="9" t="s">
        <v>856</v>
      </c>
      <c r="U163" s="9" t="s">
        <v>54</v>
      </c>
      <c r="V163" s="9" t="s">
        <v>55</v>
      </c>
      <c r="W163" s="9" t="s">
        <v>55</v>
      </c>
      <c r="X163" s="12"/>
      <c r="Y163" s="9" t="s">
        <v>55</v>
      </c>
      <c r="Z163" s="13"/>
    </row>
    <row r="164" spans="1:26" ht="32.25" hidden="1" customHeight="1">
      <c r="A164" s="8">
        <v>2309831</v>
      </c>
      <c r="B164" s="9" t="s">
        <v>857</v>
      </c>
      <c r="C164" s="10">
        <v>45156</v>
      </c>
      <c r="D164" s="9" t="s">
        <v>79</v>
      </c>
      <c r="E164" s="9" t="s">
        <v>89</v>
      </c>
      <c r="F164" s="9" t="s">
        <v>80</v>
      </c>
      <c r="G164" s="9" t="s">
        <v>43</v>
      </c>
      <c r="H164" s="9" t="s">
        <v>44</v>
      </c>
      <c r="I164" s="11" t="s">
        <v>101</v>
      </c>
      <c r="J164" s="9" t="s">
        <v>102</v>
      </c>
      <c r="K164" s="9" t="s">
        <v>47</v>
      </c>
      <c r="L164" s="9" t="s">
        <v>858</v>
      </c>
      <c r="M164" s="9" t="s">
        <v>859</v>
      </c>
      <c r="N164" s="9" t="s">
        <v>50</v>
      </c>
      <c r="O164" s="9" t="s">
        <v>51</v>
      </c>
      <c r="P164" s="9" t="s">
        <v>104</v>
      </c>
      <c r="Q164" s="9"/>
      <c r="R164" s="9"/>
      <c r="S164" s="14" t="s">
        <v>860</v>
      </c>
      <c r="T164" s="9" t="s">
        <v>861</v>
      </c>
      <c r="U164" s="9" t="s">
        <v>54</v>
      </c>
      <c r="V164" s="9" t="s">
        <v>318</v>
      </c>
      <c r="W164" s="9" t="s">
        <v>115</v>
      </c>
      <c r="X164" s="12"/>
      <c r="Y164" s="9" t="s">
        <v>55</v>
      </c>
      <c r="Z164" s="13"/>
    </row>
    <row r="165" spans="1:26" ht="32.25" hidden="1" customHeight="1">
      <c r="A165" s="8">
        <v>2311341</v>
      </c>
      <c r="B165" s="9" t="s">
        <v>862</v>
      </c>
      <c r="C165" s="10">
        <v>45156</v>
      </c>
      <c r="D165" s="9" t="s">
        <v>79</v>
      </c>
      <c r="E165" s="9" t="s">
        <v>41</v>
      </c>
      <c r="F165" s="9" t="s">
        <v>80</v>
      </c>
      <c r="G165" s="9" t="s">
        <v>43</v>
      </c>
      <c r="H165" s="9" t="s">
        <v>44</v>
      </c>
      <c r="I165" s="11" t="s">
        <v>233</v>
      </c>
      <c r="J165" s="9" t="s">
        <v>200</v>
      </c>
      <c r="K165" s="9" t="s">
        <v>47</v>
      </c>
      <c r="L165" s="9" t="s">
        <v>863</v>
      </c>
      <c r="M165" s="9" t="s">
        <v>864</v>
      </c>
      <c r="N165" s="9" t="s">
        <v>50</v>
      </c>
      <c r="O165" s="9" t="s">
        <v>51</v>
      </c>
      <c r="P165" s="9" t="s">
        <v>865</v>
      </c>
      <c r="Q165" s="9"/>
      <c r="R165" s="9" t="s">
        <v>61</v>
      </c>
      <c r="S165" s="14" t="s">
        <v>866</v>
      </c>
      <c r="T165" s="9" t="s">
        <v>867</v>
      </c>
      <c r="U165" s="9" t="s">
        <v>54</v>
      </c>
      <c r="V165" s="9"/>
      <c r="W165" s="9" t="s">
        <v>115</v>
      </c>
      <c r="X165" s="9" t="s">
        <v>64</v>
      </c>
      <c r="Y165" s="9" t="s">
        <v>65</v>
      </c>
      <c r="Z165" s="13"/>
    </row>
    <row r="166" spans="1:26" ht="32.25" hidden="1" customHeight="1">
      <c r="A166" s="8">
        <v>2305322</v>
      </c>
      <c r="B166" s="9" t="s">
        <v>868</v>
      </c>
      <c r="C166" s="10">
        <v>45156</v>
      </c>
      <c r="D166" s="9" t="s">
        <v>79</v>
      </c>
      <c r="E166" s="9" t="s">
        <v>89</v>
      </c>
      <c r="F166" s="9" t="s">
        <v>80</v>
      </c>
      <c r="G166" s="9" t="s">
        <v>43</v>
      </c>
      <c r="H166" s="9" t="s">
        <v>44</v>
      </c>
      <c r="I166" s="11" t="s">
        <v>90</v>
      </c>
      <c r="J166" s="9" t="s">
        <v>91</v>
      </c>
      <c r="K166" s="9" t="s">
        <v>47</v>
      </c>
      <c r="L166" s="9" t="s">
        <v>741</v>
      </c>
      <c r="M166" s="9" t="s">
        <v>869</v>
      </c>
      <c r="N166" s="9" t="s">
        <v>84</v>
      </c>
      <c r="O166" s="9" t="s">
        <v>51</v>
      </c>
      <c r="P166" s="9" t="s">
        <v>95</v>
      </c>
      <c r="Q166" s="9"/>
      <c r="R166" s="9" t="s">
        <v>61</v>
      </c>
      <c r="S166" s="14" t="s">
        <v>870</v>
      </c>
      <c r="T166" s="9" t="s">
        <v>871</v>
      </c>
      <c r="U166" s="9" t="s">
        <v>54</v>
      </c>
      <c r="V166" s="9" t="s">
        <v>370</v>
      </c>
      <c r="W166" s="9" t="s">
        <v>115</v>
      </c>
      <c r="X166" s="12" t="s">
        <v>150</v>
      </c>
      <c r="Y166" s="9" t="s">
        <v>151</v>
      </c>
      <c r="Z166" s="13"/>
    </row>
    <row r="167" spans="1:26" ht="32.25" hidden="1" customHeight="1">
      <c r="A167" s="8">
        <v>2301358</v>
      </c>
      <c r="B167" s="9" t="s">
        <v>872</v>
      </c>
      <c r="C167" s="10">
        <v>45142</v>
      </c>
      <c r="D167" s="9" t="s">
        <v>67</v>
      </c>
      <c r="E167" s="9" t="s">
        <v>41</v>
      </c>
      <c r="F167" s="9" t="s">
        <v>42</v>
      </c>
      <c r="G167" s="9" t="s">
        <v>43</v>
      </c>
      <c r="H167" s="9" t="s">
        <v>44</v>
      </c>
      <c r="I167" s="11" t="s">
        <v>45</v>
      </c>
      <c r="J167" s="9" t="s">
        <v>46</v>
      </c>
      <c r="K167" s="9" t="s">
        <v>47</v>
      </c>
      <c r="L167" s="9" t="s">
        <v>822</v>
      </c>
      <c r="M167" s="9" t="s">
        <v>873</v>
      </c>
      <c r="N167" s="9" t="s">
        <v>84</v>
      </c>
      <c r="O167" s="9" t="s">
        <v>51</v>
      </c>
      <c r="P167" s="9"/>
      <c r="Q167" s="9"/>
      <c r="R167" s="9" t="s">
        <v>61</v>
      </c>
      <c r="S167" s="9" t="s">
        <v>874</v>
      </c>
      <c r="T167" s="9" t="s">
        <v>875</v>
      </c>
      <c r="U167" s="9" t="s">
        <v>54</v>
      </c>
      <c r="V167" s="9" t="s">
        <v>55</v>
      </c>
      <c r="W167" s="9" t="s">
        <v>55</v>
      </c>
      <c r="X167" s="9" t="s">
        <v>64</v>
      </c>
      <c r="Y167" s="9" t="s">
        <v>65</v>
      </c>
      <c r="Z167" s="13"/>
    </row>
    <row r="168" spans="1:26" ht="32.25" hidden="1" customHeight="1">
      <c r="A168" s="8">
        <v>2312939</v>
      </c>
      <c r="B168" s="9" t="s">
        <v>876</v>
      </c>
      <c r="C168" s="10">
        <v>45142</v>
      </c>
      <c r="D168" s="9" t="s">
        <v>67</v>
      </c>
      <c r="E168" s="9" t="s">
        <v>41</v>
      </c>
      <c r="F168" s="9" t="s">
        <v>42</v>
      </c>
      <c r="G168" s="9" t="s">
        <v>43</v>
      </c>
      <c r="H168" s="9" t="s">
        <v>44</v>
      </c>
      <c r="I168" s="11" t="s">
        <v>45</v>
      </c>
      <c r="J168" s="9" t="s">
        <v>46</v>
      </c>
      <c r="K168" s="9" t="s">
        <v>47</v>
      </c>
      <c r="L168" s="9" t="s">
        <v>741</v>
      </c>
      <c r="M168" s="9" t="s">
        <v>742</v>
      </c>
      <c r="N168" s="9" t="s">
        <v>84</v>
      </c>
      <c r="O168" s="9" t="s">
        <v>51</v>
      </c>
      <c r="P168" s="9"/>
      <c r="Q168" s="9"/>
      <c r="R168" s="9" t="s">
        <v>61</v>
      </c>
      <c r="S168" s="9" t="s">
        <v>877</v>
      </c>
      <c r="T168" s="9" t="s">
        <v>878</v>
      </c>
      <c r="U168" s="9" t="s">
        <v>54</v>
      </c>
      <c r="V168" s="9" t="s">
        <v>55</v>
      </c>
      <c r="W168" s="9" t="s">
        <v>55</v>
      </c>
      <c r="X168" s="9" t="s">
        <v>196</v>
      </c>
      <c r="Y168" s="9" t="s">
        <v>197</v>
      </c>
      <c r="Z168" s="13"/>
    </row>
    <row r="169" spans="1:26" ht="32.25" hidden="1" customHeight="1">
      <c r="A169" s="8">
        <v>2311258</v>
      </c>
      <c r="B169" s="9" t="s">
        <v>879</v>
      </c>
      <c r="C169" s="10">
        <v>45156</v>
      </c>
      <c r="D169" s="9" t="s">
        <v>79</v>
      </c>
      <c r="E169" s="9" t="s">
        <v>68</v>
      </c>
      <c r="F169" s="9" t="s">
        <v>80</v>
      </c>
      <c r="G169" s="9" t="s">
        <v>43</v>
      </c>
      <c r="H169" s="9" t="s">
        <v>44</v>
      </c>
      <c r="I169" s="11" t="s">
        <v>90</v>
      </c>
      <c r="J169" s="9" t="s">
        <v>91</v>
      </c>
      <c r="K169" s="9" t="s">
        <v>110</v>
      </c>
      <c r="L169" s="9" t="s">
        <v>119</v>
      </c>
      <c r="M169" s="9" t="s">
        <v>880</v>
      </c>
      <c r="N169" s="9" t="s">
        <v>84</v>
      </c>
      <c r="O169" s="9" t="s">
        <v>51</v>
      </c>
      <c r="P169" s="9" t="s">
        <v>670</v>
      </c>
      <c r="Q169" s="9"/>
      <c r="R169" s="9" t="s">
        <v>61</v>
      </c>
      <c r="S169" s="14" t="s">
        <v>881</v>
      </c>
      <c r="T169" s="9" t="s">
        <v>882</v>
      </c>
      <c r="U169" s="9" t="s">
        <v>54</v>
      </c>
      <c r="V169" s="9" t="s">
        <v>55</v>
      </c>
      <c r="W169" s="9" t="s">
        <v>55</v>
      </c>
      <c r="X169" s="12" t="s">
        <v>196</v>
      </c>
      <c r="Y169" s="9" t="s">
        <v>197</v>
      </c>
      <c r="Z169" s="13"/>
    </row>
    <row r="170" spans="1:26" ht="32.25" hidden="1" customHeight="1">
      <c r="A170" s="8">
        <v>2306841</v>
      </c>
      <c r="B170" s="9" t="s">
        <v>883</v>
      </c>
      <c r="C170" s="10">
        <v>45149</v>
      </c>
      <c r="D170" s="9" t="s">
        <v>57</v>
      </c>
      <c r="E170" s="9" t="s">
        <v>153</v>
      </c>
      <c r="F170" s="9" t="s">
        <v>42</v>
      </c>
      <c r="G170" s="9" t="s">
        <v>43</v>
      </c>
      <c r="H170" s="9" t="s">
        <v>58</v>
      </c>
      <c r="I170" s="11" t="s">
        <v>154</v>
      </c>
      <c r="J170" s="9" t="s">
        <v>155</v>
      </c>
      <c r="K170" s="9" t="s">
        <v>47</v>
      </c>
      <c r="L170" s="9" t="s">
        <v>741</v>
      </c>
      <c r="M170" s="9" t="s">
        <v>884</v>
      </c>
      <c r="N170" s="9" t="s">
        <v>84</v>
      </c>
      <c r="O170" s="9" t="s">
        <v>51</v>
      </c>
      <c r="P170" s="9"/>
      <c r="Q170" s="9"/>
      <c r="R170" s="9" t="s">
        <v>61</v>
      </c>
      <c r="S170" s="14" t="s">
        <v>885</v>
      </c>
      <c r="T170" s="9" t="s">
        <v>886</v>
      </c>
      <c r="U170" s="9" t="s">
        <v>54</v>
      </c>
      <c r="V170" s="9" t="s">
        <v>55</v>
      </c>
      <c r="W170" s="9" t="s">
        <v>55</v>
      </c>
      <c r="X170" s="12" t="s">
        <v>171</v>
      </c>
      <c r="Y170" s="9" t="s">
        <v>172</v>
      </c>
      <c r="Z170" s="13"/>
    </row>
    <row r="171" spans="1:26" ht="32.25" hidden="1" customHeight="1">
      <c r="A171" s="8">
        <v>2315465</v>
      </c>
      <c r="B171" s="9" t="s">
        <v>887</v>
      </c>
      <c r="C171" s="10">
        <v>45152</v>
      </c>
      <c r="D171" s="9" t="s">
        <v>639</v>
      </c>
      <c r="E171" s="9" t="s">
        <v>68</v>
      </c>
      <c r="F171" s="9" t="s">
        <v>80</v>
      </c>
      <c r="G171" s="9" t="s">
        <v>43</v>
      </c>
      <c r="H171" s="9" t="s">
        <v>44</v>
      </c>
      <c r="I171" s="11" t="s">
        <v>696</v>
      </c>
      <c r="J171" s="9" t="s">
        <v>70</v>
      </c>
      <c r="K171" s="9" t="s">
        <v>473</v>
      </c>
      <c r="L171" s="9"/>
      <c r="M171" s="9" t="s">
        <v>888</v>
      </c>
      <c r="N171" s="9" t="s">
        <v>84</v>
      </c>
      <c r="O171" s="9" t="s">
        <v>187</v>
      </c>
      <c r="P171" s="9" t="s">
        <v>698</v>
      </c>
      <c r="Q171" s="9"/>
      <c r="R171" s="9" t="s">
        <v>61</v>
      </c>
      <c r="S171" s="14" t="s">
        <v>889</v>
      </c>
      <c r="T171" s="9" t="s">
        <v>890</v>
      </c>
      <c r="U171" s="9" t="s">
        <v>54</v>
      </c>
      <c r="V171" s="9" t="s">
        <v>891</v>
      </c>
      <c r="W171" s="9" t="s">
        <v>115</v>
      </c>
      <c r="X171" s="12" t="s">
        <v>76</v>
      </c>
      <c r="Y171" s="9" t="s">
        <v>77</v>
      </c>
      <c r="Z171" s="13"/>
    </row>
    <row r="172" spans="1:26" ht="32.25" hidden="1" customHeight="1">
      <c r="A172" s="8">
        <v>2312847</v>
      </c>
      <c r="B172" s="9" t="s">
        <v>892</v>
      </c>
      <c r="C172" s="10">
        <v>45142</v>
      </c>
      <c r="D172" s="9" t="s">
        <v>383</v>
      </c>
      <c r="E172" s="9" t="s">
        <v>295</v>
      </c>
      <c r="F172" s="9" t="s">
        <v>262</v>
      </c>
      <c r="G172" s="9" t="s">
        <v>43</v>
      </c>
      <c r="H172" s="9" t="s">
        <v>44</v>
      </c>
      <c r="I172" s="11" t="s">
        <v>893</v>
      </c>
      <c r="J172" s="9" t="s">
        <v>894</v>
      </c>
      <c r="K172" s="9" t="s">
        <v>192</v>
      </c>
      <c r="L172" s="9"/>
      <c r="M172" s="9"/>
      <c r="N172" s="9" t="s">
        <v>84</v>
      </c>
      <c r="O172" s="9" t="s">
        <v>187</v>
      </c>
      <c r="P172" s="9"/>
      <c r="Q172" s="9"/>
      <c r="R172" s="9" t="s">
        <v>61</v>
      </c>
      <c r="S172" s="9" t="s">
        <v>895</v>
      </c>
      <c r="T172" s="9" t="s">
        <v>896</v>
      </c>
      <c r="U172" s="9" t="s">
        <v>262</v>
      </c>
      <c r="V172" s="9" t="s">
        <v>897</v>
      </c>
      <c r="W172" s="9" t="s">
        <v>115</v>
      </c>
      <c r="X172" s="9" t="s">
        <v>389</v>
      </c>
      <c r="Y172" s="9" t="s">
        <v>390</v>
      </c>
      <c r="Z172" s="13"/>
    </row>
    <row r="173" spans="1:26" ht="32.25" hidden="1" customHeight="1">
      <c r="A173" s="8">
        <v>2315388</v>
      </c>
      <c r="B173" s="9" t="s">
        <v>898</v>
      </c>
      <c r="C173" s="10">
        <v>45152</v>
      </c>
      <c r="D173" s="9" t="s">
        <v>639</v>
      </c>
      <c r="E173" s="9" t="s">
        <v>41</v>
      </c>
      <c r="F173" s="9" t="s">
        <v>80</v>
      </c>
      <c r="G173" s="9" t="s">
        <v>43</v>
      </c>
      <c r="H173" s="9" t="s">
        <v>44</v>
      </c>
      <c r="I173" s="11" t="s">
        <v>81</v>
      </c>
      <c r="J173" s="9" t="s">
        <v>46</v>
      </c>
      <c r="K173" s="9" t="s">
        <v>192</v>
      </c>
      <c r="L173" s="9"/>
      <c r="M173" s="9" t="s">
        <v>899</v>
      </c>
      <c r="N173" s="9" t="s">
        <v>50</v>
      </c>
      <c r="O173" s="9" t="s">
        <v>187</v>
      </c>
      <c r="P173" s="9" t="s">
        <v>395</v>
      </c>
      <c r="Q173" s="9"/>
      <c r="R173" s="9" t="s">
        <v>61</v>
      </c>
      <c r="S173" s="14" t="s">
        <v>641</v>
      </c>
      <c r="T173" s="9" t="s">
        <v>900</v>
      </c>
      <c r="U173" s="9" t="s">
        <v>54</v>
      </c>
      <c r="V173" s="9" t="s">
        <v>55</v>
      </c>
      <c r="W173" s="9" t="s">
        <v>55</v>
      </c>
      <c r="X173" s="9" t="s">
        <v>64</v>
      </c>
      <c r="Y173" s="9" t="s">
        <v>65</v>
      </c>
      <c r="Z173" s="13"/>
    </row>
    <row r="174" spans="1:26" ht="32.25" hidden="1" customHeight="1">
      <c r="A174" s="8">
        <v>2314210</v>
      </c>
      <c r="B174" s="9" t="s">
        <v>901</v>
      </c>
      <c r="C174" s="10">
        <v>45156</v>
      </c>
      <c r="D174" s="9" t="s">
        <v>79</v>
      </c>
      <c r="E174" s="9" t="s">
        <v>89</v>
      </c>
      <c r="F174" s="9" t="s">
        <v>80</v>
      </c>
      <c r="G174" s="9" t="s">
        <v>43</v>
      </c>
      <c r="H174" s="9" t="s">
        <v>44</v>
      </c>
      <c r="I174" s="11" t="s">
        <v>101</v>
      </c>
      <c r="J174" s="9" t="s">
        <v>102</v>
      </c>
      <c r="K174" s="9" t="s">
        <v>110</v>
      </c>
      <c r="L174" s="9" t="s">
        <v>902</v>
      </c>
      <c r="M174" s="9" t="s">
        <v>880</v>
      </c>
      <c r="N174" s="9" t="s">
        <v>50</v>
      </c>
      <c r="O174" s="9" t="s">
        <v>51</v>
      </c>
      <c r="P174" s="9" t="s">
        <v>125</v>
      </c>
      <c r="Q174" s="9"/>
      <c r="R174" s="9" t="s">
        <v>61</v>
      </c>
      <c r="S174" s="14" t="s">
        <v>903</v>
      </c>
      <c r="T174" s="9" t="s">
        <v>904</v>
      </c>
      <c r="U174" s="9" t="s">
        <v>54</v>
      </c>
      <c r="V174" s="9" t="s">
        <v>55</v>
      </c>
      <c r="W174" s="9" t="s">
        <v>115</v>
      </c>
      <c r="X174" s="12" t="s">
        <v>98</v>
      </c>
      <c r="Y174" s="9" t="s">
        <v>99</v>
      </c>
      <c r="Z174" s="13"/>
    </row>
    <row r="175" spans="1:26" ht="32.25" hidden="1" customHeight="1">
      <c r="A175" s="8">
        <v>2308511</v>
      </c>
      <c r="B175" s="9" t="s">
        <v>905</v>
      </c>
      <c r="C175" s="10">
        <v>45149</v>
      </c>
      <c r="D175" s="9" t="s">
        <v>57</v>
      </c>
      <c r="E175" s="9" t="s">
        <v>41</v>
      </c>
      <c r="F175" s="9" t="s">
        <v>42</v>
      </c>
      <c r="G175" s="9" t="s">
        <v>43</v>
      </c>
      <c r="H175" s="9" t="s">
        <v>58</v>
      </c>
      <c r="I175" s="11" t="s">
        <v>199</v>
      </c>
      <c r="J175" s="9" t="s">
        <v>200</v>
      </c>
      <c r="K175" s="9" t="s">
        <v>47</v>
      </c>
      <c r="L175" s="9" t="s">
        <v>82</v>
      </c>
      <c r="M175" s="9" t="s">
        <v>257</v>
      </c>
      <c r="N175" s="9" t="s">
        <v>84</v>
      </c>
      <c r="O175" s="9" t="s">
        <v>51</v>
      </c>
      <c r="P175" s="9"/>
      <c r="Q175" s="9"/>
      <c r="R175" s="9"/>
      <c r="S175" s="14" t="s">
        <v>906</v>
      </c>
      <c r="T175" s="9" t="s">
        <v>907</v>
      </c>
      <c r="U175" s="9" t="s">
        <v>54</v>
      </c>
      <c r="V175" s="9" t="s">
        <v>55</v>
      </c>
      <c r="W175" s="9" t="s">
        <v>55</v>
      </c>
      <c r="X175" s="12"/>
      <c r="Y175" s="9" t="s">
        <v>55</v>
      </c>
      <c r="Z175" s="13"/>
    </row>
    <row r="176" spans="1:26" ht="32.25" hidden="1" customHeight="1">
      <c r="A176" s="8">
        <v>2311970</v>
      </c>
      <c r="B176" s="9" t="s">
        <v>908</v>
      </c>
      <c r="C176" s="10">
        <v>45156</v>
      </c>
      <c r="D176" s="9" t="s">
        <v>79</v>
      </c>
      <c r="E176" s="9" t="s">
        <v>89</v>
      </c>
      <c r="F176" s="9" t="s">
        <v>80</v>
      </c>
      <c r="G176" s="9" t="s">
        <v>43</v>
      </c>
      <c r="H176" s="9" t="s">
        <v>44</v>
      </c>
      <c r="I176" s="11" t="s">
        <v>90</v>
      </c>
      <c r="J176" s="9" t="s">
        <v>91</v>
      </c>
      <c r="K176" s="9" t="s">
        <v>47</v>
      </c>
      <c r="L176" s="9" t="s">
        <v>741</v>
      </c>
      <c r="M176" s="9" t="s">
        <v>909</v>
      </c>
      <c r="N176" s="9" t="s">
        <v>84</v>
      </c>
      <c r="O176" s="9" t="s">
        <v>51</v>
      </c>
      <c r="P176" s="9" t="s">
        <v>546</v>
      </c>
      <c r="Q176" s="9"/>
      <c r="R176" s="9" t="s">
        <v>61</v>
      </c>
      <c r="S176" s="14" t="s">
        <v>910</v>
      </c>
      <c r="T176" s="9" t="s">
        <v>911</v>
      </c>
      <c r="U176" s="9" t="s">
        <v>54</v>
      </c>
      <c r="V176" s="9" t="s">
        <v>55</v>
      </c>
      <c r="W176" s="9" t="s">
        <v>55</v>
      </c>
      <c r="X176" s="12" t="s">
        <v>98</v>
      </c>
      <c r="Y176" s="9" t="s">
        <v>99</v>
      </c>
      <c r="Z176" s="13"/>
    </row>
    <row r="177" spans="1:26" ht="32.25" hidden="1" customHeight="1">
      <c r="A177" s="8">
        <v>2307890</v>
      </c>
      <c r="B177" s="9" t="s">
        <v>912</v>
      </c>
      <c r="C177" s="10">
        <v>45156</v>
      </c>
      <c r="D177" s="9" t="s">
        <v>79</v>
      </c>
      <c r="E177" s="9" t="s">
        <v>89</v>
      </c>
      <c r="F177" s="9" t="s">
        <v>80</v>
      </c>
      <c r="G177" s="9" t="s">
        <v>43</v>
      </c>
      <c r="H177" s="9" t="s">
        <v>44</v>
      </c>
      <c r="I177" s="11" t="s">
        <v>101</v>
      </c>
      <c r="J177" s="9" t="s">
        <v>102</v>
      </c>
      <c r="K177" s="9" t="s">
        <v>416</v>
      </c>
      <c r="L177" s="9" t="s">
        <v>913</v>
      </c>
      <c r="M177" s="9" t="s">
        <v>914</v>
      </c>
      <c r="N177" s="9" t="s">
        <v>50</v>
      </c>
      <c r="O177" s="9" t="s">
        <v>51</v>
      </c>
      <c r="P177" s="9" t="s">
        <v>125</v>
      </c>
      <c r="Q177" s="9"/>
      <c r="R177" s="9" t="s">
        <v>61</v>
      </c>
      <c r="S177" s="14" t="s">
        <v>915</v>
      </c>
      <c r="T177" s="9" t="s">
        <v>916</v>
      </c>
      <c r="U177" s="9" t="s">
        <v>54</v>
      </c>
      <c r="V177" s="9" t="s">
        <v>711</v>
      </c>
      <c r="W177" s="9" t="s">
        <v>115</v>
      </c>
      <c r="X177" s="12" t="s">
        <v>98</v>
      </c>
      <c r="Y177" s="9" t="s">
        <v>99</v>
      </c>
      <c r="Z177" s="13" t="s">
        <v>240</v>
      </c>
    </row>
    <row r="178" spans="1:26" ht="32.25" hidden="1" customHeight="1">
      <c r="A178" s="8">
        <v>2311158</v>
      </c>
      <c r="B178" s="9" t="s">
        <v>917</v>
      </c>
      <c r="C178" s="10">
        <v>45149</v>
      </c>
      <c r="D178" s="9" t="s">
        <v>57</v>
      </c>
      <c r="E178" s="9" t="s">
        <v>41</v>
      </c>
      <c r="F178" s="9" t="s">
        <v>42</v>
      </c>
      <c r="G178" s="9" t="s">
        <v>43</v>
      </c>
      <c r="H178" s="9" t="s">
        <v>58</v>
      </c>
      <c r="I178" s="11" t="s">
        <v>45</v>
      </c>
      <c r="J178" s="9" t="s">
        <v>46</v>
      </c>
      <c r="K178" s="9" t="s">
        <v>47</v>
      </c>
      <c r="L178" s="9" t="s">
        <v>586</v>
      </c>
      <c r="M178" s="9" t="s">
        <v>918</v>
      </c>
      <c r="N178" s="9" t="s">
        <v>50</v>
      </c>
      <c r="O178" s="9" t="s">
        <v>51</v>
      </c>
      <c r="P178" s="9"/>
      <c r="Q178" s="9"/>
      <c r="R178" s="9" t="s">
        <v>61</v>
      </c>
      <c r="S178" s="14" t="s">
        <v>919</v>
      </c>
      <c r="T178" s="9" t="s">
        <v>920</v>
      </c>
      <c r="U178" s="9" t="s">
        <v>54</v>
      </c>
      <c r="V178" s="9" t="s">
        <v>55</v>
      </c>
      <c r="W178" s="9" t="s">
        <v>55</v>
      </c>
      <c r="X178" s="9" t="s">
        <v>64</v>
      </c>
      <c r="Y178" s="9" t="s">
        <v>65</v>
      </c>
      <c r="Z178" s="13"/>
    </row>
    <row r="179" spans="1:26" ht="32.25" hidden="1" customHeight="1">
      <c r="A179" s="8">
        <v>2303162</v>
      </c>
      <c r="B179" s="9" t="s">
        <v>921</v>
      </c>
      <c r="C179" s="10">
        <v>45149</v>
      </c>
      <c r="D179" s="9" t="s">
        <v>57</v>
      </c>
      <c r="E179" s="9" t="s">
        <v>89</v>
      </c>
      <c r="F179" s="9" t="s">
        <v>42</v>
      </c>
      <c r="G179" s="9" t="s">
        <v>43</v>
      </c>
      <c r="H179" s="9" t="s">
        <v>58</v>
      </c>
      <c r="I179" s="11" t="s">
        <v>354</v>
      </c>
      <c r="J179" s="9" t="s">
        <v>91</v>
      </c>
      <c r="K179" s="9" t="s">
        <v>47</v>
      </c>
      <c r="L179" s="9" t="s">
        <v>741</v>
      </c>
      <c r="M179" s="9" t="s">
        <v>742</v>
      </c>
      <c r="N179" s="9" t="s">
        <v>50</v>
      </c>
      <c r="O179" s="9" t="s">
        <v>51</v>
      </c>
      <c r="P179" s="9" t="s">
        <v>356</v>
      </c>
      <c r="Q179" s="9"/>
      <c r="R179" s="9" t="s">
        <v>61</v>
      </c>
      <c r="S179" s="14" t="s">
        <v>922</v>
      </c>
      <c r="T179" s="9" t="s">
        <v>923</v>
      </c>
      <c r="U179" s="9" t="s">
        <v>54</v>
      </c>
      <c r="V179" s="9" t="s">
        <v>55</v>
      </c>
      <c r="W179" s="9" t="s">
        <v>55</v>
      </c>
      <c r="X179" s="12" t="s">
        <v>98</v>
      </c>
      <c r="Y179" s="9" t="s">
        <v>99</v>
      </c>
      <c r="Z179" s="13"/>
    </row>
    <row r="180" spans="1:26" ht="32.25" hidden="1" customHeight="1">
      <c r="A180" s="8">
        <v>2306561</v>
      </c>
      <c r="B180" s="9" t="s">
        <v>924</v>
      </c>
      <c r="C180" s="10">
        <v>45156</v>
      </c>
      <c r="D180" s="9" t="s">
        <v>79</v>
      </c>
      <c r="E180" s="9" t="s">
        <v>68</v>
      </c>
      <c r="F180" s="9" t="s">
        <v>80</v>
      </c>
      <c r="G180" s="9" t="s">
        <v>43</v>
      </c>
      <c r="H180" s="9" t="s">
        <v>44</v>
      </c>
      <c r="I180" s="11" t="s">
        <v>101</v>
      </c>
      <c r="J180" s="9" t="s">
        <v>102</v>
      </c>
      <c r="K180" s="9" t="s">
        <v>47</v>
      </c>
      <c r="L180" s="9" t="s">
        <v>533</v>
      </c>
      <c r="M180" s="9" t="s">
        <v>925</v>
      </c>
      <c r="N180" s="9" t="s">
        <v>84</v>
      </c>
      <c r="O180" s="9" t="s">
        <v>51</v>
      </c>
      <c r="P180" s="9" t="s">
        <v>379</v>
      </c>
      <c r="Q180" s="9"/>
      <c r="R180" s="9"/>
      <c r="S180" s="14" t="s">
        <v>926</v>
      </c>
      <c r="T180" s="9" t="s">
        <v>927</v>
      </c>
      <c r="U180" s="9" t="s">
        <v>54</v>
      </c>
      <c r="V180" s="9" t="s">
        <v>55</v>
      </c>
      <c r="W180" s="9" t="s">
        <v>55</v>
      </c>
      <c r="X180" s="12"/>
      <c r="Y180" s="9" t="s">
        <v>55</v>
      </c>
      <c r="Z180" s="13"/>
    </row>
    <row r="181" spans="1:26" ht="32.25" hidden="1" customHeight="1">
      <c r="A181" s="8">
        <v>2315247</v>
      </c>
      <c r="B181" s="9" t="s">
        <v>928</v>
      </c>
      <c r="C181" s="10">
        <v>45156</v>
      </c>
      <c r="D181" s="9" t="s">
        <v>79</v>
      </c>
      <c r="E181" s="9" t="s">
        <v>68</v>
      </c>
      <c r="F181" s="9" t="s">
        <v>80</v>
      </c>
      <c r="G181" s="9" t="s">
        <v>43</v>
      </c>
      <c r="H181" s="9" t="s">
        <v>44</v>
      </c>
      <c r="I181" s="11" t="s">
        <v>90</v>
      </c>
      <c r="J181" s="9" t="s">
        <v>91</v>
      </c>
      <c r="K181" s="9" t="s">
        <v>92</v>
      </c>
      <c r="L181" s="9"/>
      <c r="M181" s="9"/>
      <c r="N181" s="9" t="s">
        <v>50</v>
      </c>
      <c r="O181" s="9" t="s">
        <v>51</v>
      </c>
      <c r="P181" s="9" t="s">
        <v>929</v>
      </c>
      <c r="Q181" s="9"/>
      <c r="R181" s="9" t="s">
        <v>61</v>
      </c>
      <c r="S181" s="14" t="s">
        <v>930</v>
      </c>
      <c r="T181" s="9" t="s">
        <v>931</v>
      </c>
      <c r="U181" s="9" t="s">
        <v>54</v>
      </c>
      <c r="V181" s="9" t="s">
        <v>55</v>
      </c>
      <c r="W181" s="9" t="s">
        <v>55</v>
      </c>
      <c r="X181" s="12" t="s">
        <v>196</v>
      </c>
      <c r="Y181" s="9" t="s">
        <v>197</v>
      </c>
      <c r="Z181" s="13"/>
    </row>
    <row r="182" spans="1:26" ht="32.25" hidden="1" customHeight="1">
      <c r="A182" s="8">
        <v>2301141</v>
      </c>
      <c r="B182" s="9" t="s">
        <v>932</v>
      </c>
      <c r="C182" s="10">
        <v>45136</v>
      </c>
      <c r="D182" s="9" t="s">
        <v>40</v>
      </c>
      <c r="E182" s="9" t="s">
        <v>68</v>
      </c>
      <c r="F182" s="9" t="s">
        <v>42</v>
      </c>
      <c r="G182" s="9" t="s">
        <v>43</v>
      </c>
      <c r="H182" s="9" t="s">
        <v>44</v>
      </c>
      <c r="I182" s="11" t="s">
        <v>69</v>
      </c>
      <c r="J182" s="9" t="s">
        <v>70</v>
      </c>
      <c r="K182" s="9" t="s">
        <v>47</v>
      </c>
      <c r="L182" s="9" t="s">
        <v>553</v>
      </c>
      <c r="M182" s="9" t="s">
        <v>933</v>
      </c>
      <c r="N182" s="9" t="s">
        <v>50</v>
      </c>
      <c r="O182" s="9" t="s">
        <v>51</v>
      </c>
      <c r="P182" s="9" t="s">
        <v>73</v>
      </c>
      <c r="Q182" s="9"/>
      <c r="R182" s="9" t="s">
        <v>61</v>
      </c>
      <c r="S182" s="9" t="s">
        <v>934</v>
      </c>
      <c r="T182" s="9" t="s">
        <v>935</v>
      </c>
      <c r="U182" s="9" t="s">
        <v>54</v>
      </c>
      <c r="V182" s="9" t="s">
        <v>55</v>
      </c>
      <c r="W182" s="9" t="s">
        <v>55</v>
      </c>
      <c r="X182" s="12" t="s">
        <v>76</v>
      </c>
      <c r="Y182" s="9" t="s">
        <v>77</v>
      </c>
      <c r="Z182" s="13"/>
    </row>
    <row r="183" spans="1:26" ht="32.25" hidden="1" customHeight="1">
      <c r="A183" s="8">
        <v>2302466</v>
      </c>
      <c r="B183" s="9" t="s">
        <v>936</v>
      </c>
      <c r="C183" s="10">
        <v>45149</v>
      </c>
      <c r="D183" s="9" t="s">
        <v>57</v>
      </c>
      <c r="E183" s="9" t="s">
        <v>295</v>
      </c>
      <c r="F183" s="9" t="s">
        <v>42</v>
      </c>
      <c r="G183" s="9" t="s">
        <v>43</v>
      </c>
      <c r="H183" s="9" t="s">
        <v>58</v>
      </c>
      <c r="I183" s="11" t="s">
        <v>296</v>
      </c>
      <c r="J183" s="9" t="s">
        <v>297</v>
      </c>
      <c r="K183" s="9" t="s">
        <v>47</v>
      </c>
      <c r="L183" s="9" t="s">
        <v>156</v>
      </c>
      <c r="M183" s="9"/>
      <c r="N183" s="9" t="s">
        <v>84</v>
      </c>
      <c r="O183" s="9" t="s">
        <v>51</v>
      </c>
      <c r="P183" s="9"/>
      <c r="Q183" s="9"/>
      <c r="R183" s="9"/>
      <c r="S183" s="14" t="s">
        <v>937</v>
      </c>
      <c r="T183" s="9" t="s">
        <v>938</v>
      </c>
      <c r="U183" s="9" t="s">
        <v>54</v>
      </c>
      <c r="V183" s="9" t="s">
        <v>55</v>
      </c>
      <c r="W183" s="9" t="s">
        <v>55</v>
      </c>
      <c r="X183" s="12"/>
      <c r="Y183" s="9" t="s">
        <v>55</v>
      </c>
      <c r="Z183" s="13"/>
    </row>
    <row r="184" spans="1:26" ht="32.25" hidden="1" customHeight="1">
      <c r="A184" s="8">
        <v>2302922</v>
      </c>
      <c r="B184" s="9" t="s">
        <v>939</v>
      </c>
      <c r="C184" s="10">
        <v>45136</v>
      </c>
      <c r="D184" s="9" t="s">
        <v>940</v>
      </c>
      <c r="E184" s="9" t="s">
        <v>153</v>
      </c>
      <c r="F184" s="9" t="s">
        <v>42</v>
      </c>
      <c r="G184" s="9" t="s">
        <v>43</v>
      </c>
      <c r="H184" s="9" t="s">
        <v>44</v>
      </c>
      <c r="I184" s="11" t="s">
        <v>154</v>
      </c>
      <c r="J184" s="9" t="s">
        <v>155</v>
      </c>
      <c r="K184" s="9" t="s">
        <v>47</v>
      </c>
      <c r="L184" s="9" t="s">
        <v>156</v>
      </c>
      <c r="M184" s="9"/>
      <c r="N184" s="9" t="s">
        <v>84</v>
      </c>
      <c r="O184" s="9" t="s">
        <v>51</v>
      </c>
      <c r="P184" s="9"/>
      <c r="Q184" s="9" t="s">
        <v>941</v>
      </c>
      <c r="R184" s="9"/>
      <c r="S184" s="9" t="s">
        <v>942</v>
      </c>
      <c r="T184" s="9" t="s">
        <v>943</v>
      </c>
      <c r="U184" s="9" t="s">
        <v>54</v>
      </c>
      <c r="V184" s="9" t="s">
        <v>55</v>
      </c>
      <c r="W184" s="9" t="s">
        <v>55</v>
      </c>
      <c r="X184" s="12"/>
      <c r="Y184" s="9" t="s">
        <v>55</v>
      </c>
      <c r="Z184" s="13"/>
    </row>
    <row r="185" spans="1:26" ht="32.25" hidden="1" customHeight="1">
      <c r="A185" s="8">
        <v>2301906</v>
      </c>
      <c r="B185" s="9" t="s">
        <v>944</v>
      </c>
      <c r="C185" s="10">
        <v>45149</v>
      </c>
      <c r="D185" s="9" t="s">
        <v>57</v>
      </c>
      <c r="E185" s="9" t="s">
        <v>41</v>
      </c>
      <c r="F185" s="9" t="s">
        <v>42</v>
      </c>
      <c r="G185" s="9" t="s">
        <v>43</v>
      </c>
      <c r="H185" s="9" t="s">
        <v>58</v>
      </c>
      <c r="I185" s="11" t="s">
        <v>45</v>
      </c>
      <c r="J185" s="9" t="s">
        <v>46</v>
      </c>
      <c r="K185" s="9" t="s">
        <v>47</v>
      </c>
      <c r="L185" s="9" t="s">
        <v>48</v>
      </c>
      <c r="M185" s="9" t="s">
        <v>242</v>
      </c>
      <c r="N185" s="9" t="s">
        <v>50</v>
      </c>
      <c r="O185" s="9" t="s">
        <v>51</v>
      </c>
      <c r="P185" s="9"/>
      <c r="Q185" s="9"/>
      <c r="R185" s="9"/>
      <c r="S185" s="14" t="s">
        <v>945</v>
      </c>
      <c r="T185" s="9" t="s">
        <v>946</v>
      </c>
      <c r="U185" s="9" t="s">
        <v>54</v>
      </c>
      <c r="V185" s="9" t="s">
        <v>55</v>
      </c>
      <c r="W185" s="9" t="s">
        <v>55</v>
      </c>
      <c r="X185" s="12"/>
      <c r="Y185" s="9" t="s">
        <v>55</v>
      </c>
      <c r="Z185" s="13"/>
    </row>
    <row r="186" spans="1:26" ht="32.25" hidden="1" customHeight="1">
      <c r="A186" s="8">
        <v>2304080</v>
      </c>
      <c r="B186" s="9" t="s">
        <v>947</v>
      </c>
      <c r="C186" s="10">
        <v>45142</v>
      </c>
      <c r="D186" s="9" t="s">
        <v>67</v>
      </c>
      <c r="E186" s="9" t="s">
        <v>41</v>
      </c>
      <c r="F186" s="9" t="s">
        <v>42</v>
      </c>
      <c r="G186" s="9" t="s">
        <v>43</v>
      </c>
      <c r="H186" s="9" t="s">
        <v>44</v>
      </c>
      <c r="I186" s="11" t="s">
        <v>661</v>
      </c>
      <c r="J186" s="9" t="s">
        <v>662</v>
      </c>
      <c r="K186" s="9" t="s">
        <v>47</v>
      </c>
      <c r="L186" s="9" t="s">
        <v>948</v>
      </c>
      <c r="M186" s="9" t="s">
        <v>949</v>
      </c>
      <c r="N186" s="9" t="s">
        <v>84</v>
      </c>
      <c r="O186" s="9" t="s">
        <v>51</v>
      </c>
      <c r="P186" s="9"/>
      <c r="Q186" s="9"/>
      <c r="R186" s="9" t="s">
        <v>61</v>
      </c>
      <c r="S186" s="9" t="s">
        <v>950</v>
      </c>
      <c r="T186" s="9" t="s">
        <v>951</v>
      </c>
      <c r="U186" s="9" t="s">
        <v>54</v>
      </c>
      <c r="V186" s="9" t="s">
        <v>55</v>
      </c>
      <c r="W186" s="9" t="s">
        <v>55</v>
      </c>
      <c r="X186" s="9" t="s">
        <v>64</v>
      </c>
      <c r="Y186" s="9" t="s">
        <v>65</v>
      </c>
      <c r="Z186" s="13"/>
    </row>
    <row r="187" spans="1:26" ht="32.25" hidden="1" customHeight="1">
      <c r="A187" s="8">
        <v>2300511</v>
      </c>
      <c r="B187" s="9" t="s">
        <v>952</v>
      </c>
      <c r="C187" s="10">
        <v>45156</v>
      </c>
      <c r="D187" s="9" t="s">
        <v>79</v>
      </c>
      <c r="E187" s="9" t="s">
        <v>143</v>
      </c>
      <c r="F187" s="9" t="s">
        <v>80</v>
      </c>
      <c r="G187" s="9" t="s">
        <v>43</v>
      </c>
      <c r="H187" s="9" t="s">
        <v>44</v>
      </c>
      <c r="I187" s="11" t="s">
        <v>326</v>
      </c>
      <c r="J187" s="9" t="s">
        <v>327</v>
      </c>
      <c r="K187" s="9" t="s">
        <v>47</v>
      </c>
      <c r="L187" s="9"/>
      <c r="M187" s="9"/>
      <c r="N187" s="9" t="s">
        <v>84</v>
      </c>
      <c r="O187" s="9" t="s">
        <v>51</v>
      </c>
      <c r="P187" s="9" t="s">
        <v>953</v>
      </c>
      <c r="Q187" s="9"/>
      <c r="R187" s="9"/>
      <c r="S187" s="14" t="s">
        <v>954</v>
      </c>
      <c r="T187" s="9" t="s">
        <v>955</v>
      </c>
      <c r="U187" s="9" t="s">
        <v>54</v>
      </c>
      <c r="V187" s="9" t="s">
        <v>55</v>
      </c>
      <c r="W187" s="9" t="s">
        <v>55</v>
      </c>
      <c r="X187" s="12"/>
      <c r="Y187" s="9" t="s">
        <v>55</v>
      </c>
      <c r="Z187" s="13"/>
    </row>
    <row r="188" spans="1:26" ht="32.25" hidden="1" customHeight="1">
      <c r="A188" s="8">
        <v>2307451</v>
      </c>
      <c r="B188" s="9" t="s">
        <v>956</v>
      </c>
      <c r="C188" s="10">
        <v>45156</v>
      </c>
      <c r="D188" s="9" t="s">
        <v>79</v>
      </c>
      <c r="E188" s="9" t="s">
        <v>89</v>
      </c>
      <c r="F188" s="9" t="s">
        <v>80</v>
      </c>
      <c r="G188" s="9" t="s">
        <v>43</v>
      </c>
      <c r="H188" s="9" t="s">
        <v>44</v>
      </c>
      <c r="I188" s="11" t="s">
        <v>117</v>
      </c>
      <c r="J188" s="9" t="s">
        <v>118</v>
      </c>
      <c r="K188" s="9" t="s">
        <v>47</v>
      </c>
      <c r="L188" s="9" t="s">
        <v>156</v>
      </c>
      <c r="M188" s="9"/>
      <c r="N188" s="9" t="s">
        <v>50</v>
      </c>
      <c r="O188" s="9" t="s">
        <v>51</v>
      </c>
      <c r="P188" s="9" t="s">
        <v>121</v>
      </c>
      <c r="Q188" s="9"/>
      <c r="R188" s="9"/>
      <c r="S188" s="14" t="s">
        <v>957</v>
      </c>
      <c r="T188" s="9" t="s">
        <v>958</v>
      </c>
      <c r="U188" s="9" t="s">
        <v>54</v>
      </c>
      <c r="V188" s="9" t="s">
        <v>55</v>
      </c>
      <c r="W188" s="9" t="s">
        <v>55</v>
      </c>
      <c r="X188" s="12"/>
      <c r="Y188" s="9" t="s">
        <v>55</v>
      </c>
      <c r="Z188" s="13"/>
    </row>
    <row r="189" spans="1:26" ht="32.25" hidden="1" customHeight="1">
      <c r="A189" s="8">
        <v>2302043</v>
      </c>
      <c r="B189" s="9" t="s">
        <v>959</v>
      </c>
      <c r="C189" s="10">
        <v>45142</v>
      </c>
      <c r="D189" s="9" t="s">
        <v>67</v>
      </c>
      <c r="E189" s="9" t="s">
        <v>143</v>
      </c>
      <c r="F189" s="9" t="s">
        <v>42</v>
      </c>
      <c r="G189" s="9" t="s">
        <v>43</v>
      </c>
      <c r="H189" s="9" t="s">
        <v>44</v>
      </c>
      <c r="I189" s="11" t="s">
        <v>219</v>
      </c>
      <c r="J189" s="9" t="s">
        <v>220</v>
      </c>
      <c r="K189" s="9" t="s">
        <v>47</v>
      </c>
      <c r="L189" s="9" t="s">
        <v>553</v>
      </c>
      <c r="M189" s="9" t="s">
        <v>960</v>
      </c>
      <c r="N189" s="9" t="s">
        <v>84</v>
      </c>
      <c r="O189" s="9" t="s">
        <v>51</v>
      </c>
      <c r="P189" s="9"/>
      <c r="Q189" s="9"/>
      <c r="R189" s="9" t="s">
        <v>61</v>
      </c>
      <c r="S189" s="9" t="s">
        <v>961</v>
      </c>
      <c r="T189" s="9" t="s">
        <v>962</v>
      </c>
      <c r="U189" s="9" t="s">
        <v>54</v>
      </c>
      <c r="V189" s="9" t="s">
        <v>55</v>
      </c>
      <c r="W189" s="9" t="s">
        <v>55</v>
      </c>
      <c r="X189" s="12" t="s">
        <v>319</v>
      </c>
      <c r="Y189" s="9" t="s">
        <v>320</v>
      </c>
      <c r="Z189" s="13" t="s">
        <v>963</v>
      </c>
    </row>
    <row r="190" spans="1:26" ht="32.25" hidden="1" customHeight="1">
      <c r="A190" s="8">
        <v>2305155</v>
      </c>
      <c r="B190" s="9" t="s">
        <v>964</v>
      </c>
      <c r="C190" s="10">
        <v>45149</v>
      </c>
      <c r="D190" s="9" t="s">
        <v>57</v>
      </c>
      <c r="E190" s="9" t="s">
        <v>153</v>
      </c>
      <c r="F190" s="9" t="s">
        <v>42</v>
      </c>
      <c r="G190" s="9" t="s">
        <v>43</v>
      </c>
      <c r="H190" s="9" t="s">
        <v>58</v>
      </c>
      <c r="I190" s="11" t="s">
        <v>154</v>
      </c>
      <c r="J190" s="9" t="s">
        <v>155</v>
      </c>
      <c r="K190" s="9" t="s">
        <v>47</v>
      </c>
      <c r="L190" s="9" t="s">
        <v>226</v>
      </c>
      <c r="M190" s="9" t="s">
        <v>965</v>
      </c>
      <c r="N190" s="9" t="s">
        <v>84</v>
      </c>
      <c r="O190" s="9" t="s">
        <v>51</v>
      </c>
      <c r="P190" s="9"/>
      <c r="Q190" s="9"/>
      <c r="R190" s="9" t="s">
        <v>61</v>
      </c>
      <c r="S190" s="14" t="s">
        <v>966</v>
      </c>
      <c r="T190" s="9" t="s">
        <v>967</v>
      </c>
      <c r="U190" s="9" t="s">
        <v>54</v>
      </c>
      <c r="V190" s="9" t="s">
        <v>55</v>
      </c>
      <c r="W190" s="9" t="s">
        <v>55</v>
      </c>
      <c r="X190" s="12" t="s">
        <v>171</v>
      </c>
      <c r="Y190" s="9" t="s">
        <v>172</v>
      </c>
      <c r="Z190" s="13"/>
    </row>
    <row r="191" spans="1:26" ht="32.25" hidden="1" customHeight="1">
      <c r="A191" s="8">
        <v>2304684</v>
      </c>
      <c r="B191" s="9" t="s">
        <v>968</v>
      </c>
      <c r="C191" s="10">
        <v>45149</v>
      </c>
      <c r="D191" s="9" t="s">
        <v>57</v>
      </c>
      <c r="E191" s="9" t="s">
        <v>41</v>
      </c>
      <c r="F191" s="9" t="s">
        <v>42</v>
      </c>
      <c r="G191" s="9" t="s">
        <v>43</v>
      </c>
      <c r="H191" s="9" t="s">
        <v>58</v>
      </c>
      <c r="I191" s="11" t="s">
        <v>45</v>
      </c>
      <c r="J191" s="9" t="s">
        <v>46</v>
      </c>
      <c r="K191" s="9" t="s">
        <v>47</v>
      </c>
      <c r="L191" s="9" t="s">
        <v>741</v>
      </c>
      <c r="M191" s="9" t="s">
        <v>742</v>
      </c>
      <c r="N191" s="9" t="s">
        <v>84</v>
      </c>
      <c r="O191" s="9" t="s">
        <v>51</v>
      </c>
      <c r="P191" s="9"/>
      <c r="Q191" s="9"/>
      <c r="R191" s="9" t="s">
        <v>61</v>
      </c>
      <c r="S191" s="14" t="s">
        <v>969</v>
      </c>
      <c r="T191" s="9" t="s">
        <v>970</v>
      </c>
      <c r="U191" s="9" t="s">
        <v>54</v>
      </c>
      <c r="V191" s="9" t="s">
        <v>55</v>
      </c>
      <c r="W191" s="9" t="s">
        <v>55</v>
      </c>
      <c r="X191" s="9" t="s">
        <v>196</v>
      </c>
      <c r="Y191" s="9" t="s">
        <v>197</v>
      </c>
      <c r="Z191" s="13"/>
    </row>
    <row r="192" spans="1:26" ht="32.25" hidden="1" customHeight="1">
      <c r="A192" s="8">
        <v>2301878</v>
      </c>
      <c r="B192" s="9" t="s">
        <v>971</v>
      </c>
      <c r="C192" s="10">
        <v>45149</v>
      </c>
      <c r="D192" s="9" t="s">
        <v>57</v>
      </c>
      <c r="E192" s="9" t="s">
        <v>153</v>
      </c>
      <c r="F192" s="9" t="s">
        <v>42</v>
      </c>
      <c r="G192" s="9" t="s">
        <v>43</v>
      </c>
      <c r="H192" s="9" t="s">
        <v>58</v>
      </c>
      <c r="I192" s="11" t="s">
        <v>154</v>
      </c>
      <c r="J192" s="9" t="s">
        <v>155</v>
      </c>
      <c r="K192" s="9" t="s">
        <v>47</v>
      </c>
      <c r="L192" s="9" t="s">
        <v>48</v>
      </c>
      <c r="M192" s="9" t="s">
        <v>49</v>
      </c>
      <c r="N192" s="9" t="s">
        <v>50</v>
      </c>
      <c r="O192" s="9" t="s">
        <v>51</v>
      </c>
      <c r="P192" s="9"/>
      <c r="Q192" s="9"/>
      <c r="R192" s="9"/>
      <c r="S192" s="14" t="s">
        <v>972</v>
      </c>
      <c r="T192" s="9" t="s">
        <v>973</v>
      </c>
      <c r="U192" s="9" t="s">
        <v>54</v>
      </c>
      <c r="V192" s="9" t="s">
        <v>55</v>
      </c>
      <c r="W192" s="9" t="s">
        <v>55</v>
      </c>
      <c r="X192" s="12"/>
      <c r="Y192" s="9" t="s">
        <v>55</v>
      </c>
      <c r="Z192" s="13"/>
    </row>
    <row r="193" spans="1:26" ht="32.25" hidden="1" customHeight="1">
      <c r="A193" s="8">
        <v>2303557</v>
      </c>
      <c r="B193" s="9" t="s">
        <v>974</v>
      </c>
      <c r="C193" s="10">
        <v>45142</v>
      </c>
      <c r="D193" s="9" t="s">
        <v>67</v>
      </c>
      <c r="E193" s="9" t="s">
        <v>89</v>
      </c>
      <c r="F193" s="9" t="s">
        <v>42</v>
      </c>
      <c r="G193" s="9" t="s">
        <v>43</v>
      </c>
      <c r="H193" s="9" t="s">
        <v>44</v>
      </c>
      <c r="I193" s="11" t="s">
        <v>360</v>
      </c>
      <c r="J193" s="9" t="s">
        <v>102</v>
      </c>
      <c r="K193" s="9" t="s">
        <v>47</v>
      </c>
      <c r="L193" s="9" t="s">
        <v>569</v>
      </c>
      <c r="M193" s="9" t="s">
        <v>975</v>
      </c>
      <c r="N193" s="9" t="s">
        <v>50</v>
      </c>
      <c r="O193" s="9" t="s">
        <v>51</v>
      </c>
      <c r="P193" s="9" t="s">
        <v>361</v>
      </c>
      <c r="Q193" s="9"/>
      <c r="R193" s="9" t="s">
        <v>61</v>
      </c>
      <c r="S193" s="9" t="s">
        <v>976</v>
      </c>
      <c r="T193" s="9" t="s">
        <v>977</v>
      </c>
      <c r="U193" s="9" t="s">
        <v>54</v>
      </c>
      <c r="V193" s="9" t="s">
        <v>55</v>
      </c>
      <c r="W193" s="9" t="s">
        <v>55</v>
      </c>
      <c r="X193" s="12" t="s">
        <v>98</v>
      </c>
      <c r="Y193" s="9" t="s">
        <v>99</v>
      </c>
      <c r="Z193" s="13"/>
    </row>
    <row r="194" spans="1:26" ht="32.25" hidden="1" customHeight="1">
      <c r="A194" s="8">
        <v>2304223</v>
      </c>
      <c r="B194" s="9" t="s">
        <v>978</v>
      </c>
      <c r="C194" s="10">
        <v>45142</v>
      </c>
      <c r="D194" s="9" t="s">
        <v>67</v>
      </c>
      <c r="E194" s="9" t="s">
        <v>68</v>
      </c>
      <c r="F194" s="9" t="s">
        <v>135</v>
      </c>
      <c r="G194" s="9" t="s">
        <v>43</v>
      </c>
      <c r="H194" s="9" t="s">
        <v>44</v>
      </c>
      <c r="I194" s="11" t="s">
        <v>136</v>
      </c>
      <c r="J194" s="9" t="s">
        <v>137</v>
      </c>
      <c r="K194" s="9" t="s">
        <v>47</v>
      </c>
      <c r="L194" s="9" t="s">
        <v>411</v>
      </c>
      <c r="M194" s="9" t="s">
        <v>412</v>
      </c>
      <c r="N194" s="9" t="s">
        <v>50</v>
      </c>
      <c r="O194" s="9" t="s">
        <v>51</v>
      </c>
      <c r="P194" s="9"/>
      <c r="Q194" s="9"/>
      <c r="R194" s="9" t="s">
        <v>61</v>
      </c>
      <c r="S194" s="9" t="s">
        <v>979</v>
      </c>
      <c r="T194" s="9" t="s">
        <v>980</v>
      </c>
      <c r="U194" s="9" t="s">
        <v>54</v>
      </c>
      <c r="V194" s="9" t="s">
        <v>55</v>
      </c>
      <c r="W194" s="9" t="s">
        <v>55</v>
      </c>
      <c r="X194" s="12" t="s">
        <v>76</v>
      </c>
      <c r="Y194" s="9" t="s">
        <v>77</v>
      </c>
      <c r="Z194" s="13"/>
    </row>
    <row r="195" spans="1:26" ht="32.25" hidden="1" customHeight="1">
      <c r="A195" s="8">
        <v>2311002</v>
      </c>
      <c r="B195" s="9" t="s">
        <v>981</v>
      </c>
      <c r="C195" s="10">
        <v>45156</v>
      </c>
      <c r="D195" s="9" t="s">
        <v>79</v>
      </c>
      <c r="E195" s="9" t="s">
        <v>41</v>
      </c>
      <c r="F195" s="9" t="s">
        <v>80</v>
      </c>
      <c r="G195" s="9" t="s">
        <v>43</v>
      </c>
      <c r="H195" s="9" t="s">
        <v>44</v>
      </c>
      <c r="I195" s="11" t="s">
        <v>81</v>
      </c>
      <c r="J195" s="9" t="s">
        <v>46</v>
      </c>
      <c r="K195" s="9" t="s">
        <v>47</v>
      </c>
      <c r="L195" s="9" t="s">
        <v>156</v>
      </c>
      <c r="M195" s="9"/>
      <c r="N195" s="9" t="s">
        <v>50</v>
      </c>
      <c r="O195" s="9" t="s">
        <v>51</v>
      </c>
      <c r="P195" s="9" t="s">
        <v>582</v>
      </c>
      <c r="Q195" s="9"/>
      <c r="R195" s="9"/>
      <c r="S195" s="14" t="s">
        <v>982</v>
      </c>
      <c r="T195" s="9" t="s">
        <v>983</v>
      </c>
      <c r="U195" s="9" t="s">
        <v>54</v>
      </c>
      <c r="V195" s="9" t="s">
        <v>55</v>
      </c>
      <c r="W195" s="9" t="s">
        <v>55</v>
      </c>
      <c r="X195" s="12"/>
      <c r="Y195" s="9" t="s">
        <v>55</v>
      </c>
      <c r="Z195" s="13"/>
    </row>
    <row r="196" spans="1:26" ht="32.25" hidden="1" customHeight="1">
      <c r="A196" s="8">
        <v>2308897</v>
      </c>
      <c r="B196" s="9" t="s">
        <v>984</v>
      </c>
      <c r="C196" s="10">
        <v>45142</v>
      </c>
      <c r="D196" s="9" t="s">
        <v>67</v>
      </c>
      <c r="E196" s="9" t="s">
        <v>143</v>
      </c>
      <c r="F196" s="9" t="s">
        <v>42</v>
      </c>
      <c r="G196" s="9" t="s">
        <v>43</v>
      </c>
      <c r="H196" s="9" t="s">
        <v>44</v>
      </c>
      <c r="I196" s="11" t="s">
        <v>460</v>
      </c>
      <c r="J196" s="9" t="s">
        <v>400</v>
      </c>
      <c r="K196" s="9" t="s">
        <v>47</v>
      </c>
      <c r="L196" s="9" t="s">
        <v>827</v>
      </c>
      <c r="M196" s="9" t="s">
        <v>828</v>
      </c>
      <c r="N196" s="9" t="s">
        <v>84</v>
      </c>
      <c r="O196" s="9" t="s">
        <v>51</v>
      </c>
      <c r="P196" s="9"/>
      <c r="Q196" s="9"/>
      <c r="R196" s="9" t="s">
        <v>61</v>
      </c>
      <c r="S196" s="9" t="s">
        <v>985</v>
      </c>
      <c r="T196" s="9" t="s">
        <v>986</v>
      </c>
      <c r="U196" s="9" t="s">
        <v>54</v>
      </c>
      <c r="V196" s="9" t="s">
        <v>55</v>
      </c>
      <c r="W196" s="9" t="s">
        <v>55</v>
      </c>
      <c r="X196" s="12" t="s">
        <v>150</v>
      </c>
      <c r="Y196" s="9" t="s">
        <v>151</v>
      </c>
      <c r="Z196" s="13"/>
    </row>
    <row r="197" spans="1:26" ht="32.25" hidden="1" customHeight="1">
      <c r="A197" s="8">
        <v>2314593</v>
      </c>
      <c r="B197" s="9" t="s">
        <v>987</v>
      </c>
      <c r="C197" s="10">
        <v>45156</v>
      </c>
      <c r="D197" s="9" t="s">
        <v>79</v>
      </c>
      <c r="E197" s="9" t="s">
        <v>41</v>
      </c>
      <c r="F197" s="9" t="s">
        <v>80</v>
      </c>
      <c r="G197" s="9" t="s">
        <v>43</v>
      </c>
      <c r="H197" s="9" t="s">
        <v>44</v>
      </c>
      <c r="I197" s="11" t="s">
        <v>233</v>
      </c>
      <c r="J197" s="9" t="s">
        <v>200</v>
      </c>
      <c r="K197" s="9" t="s">
        <v>47</v>
      </c>
      <c r="L197" s="9" t="s">
        <v>156</v>
      </c>
      <c r="M197" s="9"/>
      <c r="N197" s="9" t="s">
        <v>50</v>
      </c>
      <c r="O197" s="9" t="s">
        <v>51</v>
      </c>
      <c r="P197" s="9" t="s">
        <v>865</v>
      </c>
      <c r="Q197" s="9"/>
      <c r="R197" s="9"/>
      <c r="S197" s="14" t="s">
        <v>988</v>
      </c>
      <c r="T197" s="9" t="s">
        <v>989</v>
      </c>
      <c r="U197" s="9" t="s">
        <v>54</v>
      </c>
      <c r="V197" s="9" t="s">
        <v>55</v>
      </c>
      <c r="W197" s="9" t="s">
        <v>55</v>
      </c>
      <c r="X197" s="12"/>
      <c r="Y197" s="9" t="s">
        <v>55</v>
      </c>
      <c r="Z197" s="13"/>
    </row>
    <row r="198" spans="1:26" ht="32.25" hidden="1" customHeight="1">
      <c r="A198" s="8">
        <v>2312576</v>
      </c>
      <c r="B198" s="9" t="s">
        <v>990</v>
      </c>
      <c r="C198" s="10">
        <v>45136</v>
      </c>
      <c r="D198" s="9" t="s">
        <v>40</v>
      </c>
      <c r="E198" s="9" t="s">
        <v>153</v>
      </c>
      <c r="F198" s="9" t="s">
        <v>42</v>
      </c>
      <c r="G198" s="9" t="s">
        <v>43</v>
      </c>
      <c r="H198" s="9" t="s">
        <v>44</v>
      </c>
      <c r="I198" s="11" t="s">
        <v>154</v>
      </c>
      <c r="J198" s="9" t="s">
        <v>155</v>
      </c>
      <c r="K198" s="9" t="s">
        <v>47</v>
      </c>
      <c r="L198" s="9" t="s">
        <v>174</v>
      </c>
      <c r="M198" s="9" t="s">
        <v>991</v>
      </c>
      <c r="N198" s="9" t="s">
        <v>84</v>
      </c>
      <c r="O198" s="9" t="s">
        <v>51</v>
      </c>
      <c r="P198" s="9"/>
      <c r="Q198" s="9"/>
      <c r="R198" s="9" t="s">
        <v>61</v>
      </c>
      <c r="S198" s="9" t="s">
        <v>992</v>
      </c>
      <c r="T198" s="9" t="s">
        <v>993</v>
      </c>
      <c r="U198" s="9" t="s">
        <v>54</v>
      </c>
      <c r="V198" s="9" t="s">
        <v>55</v>
      </c>
      <c r="W198" s="9" t="s">
        <v>55</v>
      </c>
      <c r="X198" s="12" t="s">
        <v>171</v>
      </c>
      <c r="Y198" s="9" t="s">
        <v>172</v>
      </c>
      <c r="Z198" s="13"/>
    </row>
    <row r="199" spans="1:26" ht="32.25" hidden="1" customHeight="1">
      <c r="A199" s="8">
        <v>2305593</v>
      </c>
      <c r="B199" s="9" t="s">
        <v>994</v>
      </c>
      <c r="C199" s="10">
        <v>45142</v>
      </c>
      <c r="D199" s="9" t="s">
        <v>67</v>
      </c>
      <c r="E199" s="9" t="s">
        <v>41</v>
      </c>
      <c r="F199" s="9" t="s">
        <v>42</v>
      </c>
      <c r="G199" s="9" t="s">
        <v>43</v>
      </c>
      <c r="H199" s="9" t="s">
        <v>44</v>
      </c>
      <c r="I199" s="11" t="s">
        <v>45</v>
      </c>
      <c r="J199" s="9" t="s">
        <v>46</v>
      </c>
      <c r="K199" s="9" t="s">
        <v>47</v>
      </c>
      <c r="L199" s="9" t="s">
        <v>741</v>
      </c>
      <c r="M199" s="9" t="s">
        <v>995</v>
      </c>
      <c r="N199" s="9" t="s">
        <v>50</v>
      </c>
      <c r="O199" s="9" t="s">
        <v>51</v>
      </c>
      <c r="P199" s="9"/>
      <c r="Q199" s="9"/>
      <c r="R199" s="9" t="s">
        <v>61</v>
      </c>
      <c r="S199" s="9" t="s">
        <v>996</v>
      </c>
      <c r="T199" s="9" t="s">
        <v>997</v>
      </c>
      <c r="U199" s="9" t="s">
        <v>54</v>
      </c>
      <c r="V199" s="9" t="s">
        <v>55</v>
      </c>
      <c r="W199" s="9" t="s">
        <v>55</v>
      </c>
      <c r="X199" s="9" t="s">
        <v>64</v>
      </c>
      <c r="Y199" s="9" t="s">
        <v>65</v>
      </c>
      <c r="Z199" s="13"/>
    </row>
    <row r="200" spans="1:26" ht="32.25" hidden="1" customHeight="1">
      <c r="A200" s="8">
        <v>2314325</v>
      </c>
      <c r="B200" s="9" t="s">
        <v>998</v>
      </c>
      <c r="C200" s="10">
        <v>45156</v>
      </c>
      <c r="D200" s="9" t="s">
        <v>79</v>
      </c>
      <c r="E200" s="9" t="s">
        <v>89</v>
      </c>
      <c r="F200" s="9" t="s">
        <v>80</v>
      </c>
      <c r="G200" s="9" t="s">
        <v>43</v>
      </c>
      <c r="H200" s="9" t="s">
        <v>44</v>
      </c>
      <c r="I200" s="11" t="s">
        <v>90</v>
      </c>
      <c r="J200" s="9" t="s">
        <v>91</v>
      </c>
      <c r="K200" s="9" t="s">
        <v>47</v>
      </c>
      <c r="L200" s="9" t="s">
        <v>290</v>
      </c>
      <c r="M200" s="9" t="s">
        <v>999</v>
      </c>
      <c r="N200" s="9" t="s">
        <v>84</v>
      </c>
      <c r="O200" s="9" t="s">
        <v>51</v>
      </c>
      <c r="P200" s="9" t="s">
        <v>546</v>
      </c>
      <c r="Q200" s="9"/>
      <c r="R200" s="9"/>
      <c r="S200" s="14" t="s">
        <v>1000</v>
      </c>
      <c r="T200" s="9" t="s">
        <v>1001</v>
      </c>
      <c r="U200" s="9" t="s">
        <v>54</v>
      </c>
      <c r="V200" s="9" t="s">
        <v>55</v>
      </c>
      <c r="W200" s="9" t="s">
        <v>115</v>
      </c>
      <c r="X200" s="12"/>
      <c r="Y200" s="9" t="s">
        <v>55</v>
      </c>
      <c r="Z200" s="13"/>
    </row>
    <row r="201" spans="1:26" ht="32.25" hidden="1" customHeight="1">
      <c r="A201" s="8">
        <v>2309450</v>
      </c>
      <c r="B201" s="9" t="s">
        <v>1002</v>
      </c>
      <c r="C201" s="10">
        <v>45149</v>
      </c>
      <c r="D201" s="9" t="s">
        <v>57</v>
      </c>
      <c r="E201" s="9" t="s">
        <v>153</v>
      </c>
      <c r="F201" s="9" t="s">
        <v>42</v>
      </c>
      <c r="G201" s="9" t="s">
        <v>43</v>
      </c>
      <c r="H201" s="9" t="s">
        <v>58</v>
      </c>
      <c r="I201" s="11" t="s">
        <v>154</v>
      </c>
      <c r="J201" s="9" t="s">
        <v>155</v>
      </c>
      <c r="K201" s="9" t="s">
        <v>47</v>
      </c>
      <c r="L201" s="9" t="s">
        <v>156</v>
      </c>
      <c r="M201" s="9"/>
      <c r="N201" s="9" t="s">
        <v>84</v>
      </c>
      <c r="O201" s="9" t="s">
        <v>51</v>
      </c>
      <c r="P201" s="9"/>
      <c r="Q201" s="9"/>
      <c r="R201" s="9"/>
      <c r="S201" s="14" t="s">
        <v>1003</v>
      </c>
      <c r="T201" s="9" t="s">
        <v>1004</v>
      </c>
      <c r="U201" s="9" t="s">
        <v>54</v>
      </c>
      <c r="V201" s="9" t="s">
        <v>55</v>
      </c>
      <c r="W201" s="9" t="s">
        <v>55</v>
      </c>
      <c r="X201" s="12"/>
      <c r="Y201" s="9" t="s">
        <v>55</v>
      </c>
      <c r="Z201" s="13"/>
    </row>
    <row r="202" spans="1:26" ht="32.25" hidden="1" customHeight="1">
      <c r="A202" s="8">
        <v>2304554</v>
      </c>
      <c r="B202" s="9" t="s">
        <v>1005</v>
      </c>
      <c r="C202" s="10">
        <v>45149</v>
      </c>
      <c r="D202" s="9" t="s">
        <v>57</v>
      </c>
      <c r="E202" s="9" t="s">
        <v>41</v>
      </c>
      <c r="F202" s="9" t="s">
        <v>42</v>
      </c>
      <c r="G202" s="9" t="s">
        <v>43</v>
      </c>
      <c r="H202" s="9" t="s">
        <v>58</v>
      </c>
      <c r="I202" s="11" t="s">
        <v>45</v>
      </c>
      <c r="J202" s="9" t="s">
        <v>46</v>
      </c>
      <c r="K202" s="9" t="s">
        <v>47</v>
      </c>
      <c r="L202" s="9" t="s">
        <v>437</v>
      </c>
      <c r="M202" s="9" t="s">
        <v>1006</v>
      </c>
      <c r="N202" s="9" t="s">
        <v>50</v>
      </c>
      <c r="O202" s="9" t="s">
        <v>51</v>
      </c>
      <c r="P202" s="9"/>
      <c r="Q202" s="9"/>
      <c r="R202" s="9" t="s">
        <v>61</v>
      </c>
      <c r="S202" s="14" t="s">
        <v>1007</v>
      </c>
      <c r="T202" s="9" t="s">
        <v>1008</v>
      </c>
      <c r="U202" s="9" t="s">
        <v>54</v>
      </c>
      <c r="V202" s="9" t="s">
        <v>55</v>
      </c>
      <c r="W202" s="9" t="s">
        <v>55</v>
      </c>
      <c r="X202" s="9" t="s">
        <v>64</v>
      </c>
      <c r="Y202" s="9" t="s">
        <v>65</v>
      </c>
      <c r="Z202" s="13"/>
    </row>
    <row r="203" spans="1:26" ht="32.25" hidden="1" customHeight="1">
      <c r="A203" s="8">
        <v>2307922</v>
      </c>
      <c r="B203" s="9" t="s">
        <v>1009</v>
      </c>
      <c r="C203" s="10">
        <v>45149</v>
      </c>
      <c r="D203" s="9" t="s">
        <v>57</v>
      </c>
      <c r="E203" s="9" t="s">
        <v>41</v>
      </c>
      <c r="F203" s="9" t="s">
        <v>42</v>
      </c>
      <c r="G203" s="9" t="s">
        <v>43</v>
      </c>
      <c r="H203" s="9" t="s">
        <v>58</v>
      </c>
      <c r="I203" s="11" t="s">
        <v>45</v>
      </c>
      <c r="J203" s="9" t="s">
        <v>46</v>
      </c>
      <c r="K203" s="9" t="s">
        <v>47</v>
      </c>
      <c r="L203" s="9" t="s">
        <v>48</v>
      </c>
      <c r="M203" s="9" t="s">
        <v>469</v>
      </c>
      <c r="N203" s="9" t="s">
        <v>84</v>
      </c>
      <c r="O203" s="9" t="s">
        <v>51</v>
      </c>
      <c r="P203" s="9"/>
      <c r="Q203" s="9"/>
      <c r="R203" s="9"/>
      <c r="S203" s="14" t="s">
        <v>1010</v>
      </c>
      <c r="T203" s="9" t="s">
        <v>1011</v>
      </c>
      <c r="U203" s="9" t="s">
        <v>54</v>
      </c>
      <c r="V203" s="9" t="s">
        <v>55</v>
      </c>
      <c r="W203" s="9" t="s">
        <v>55</v>
      </c>
      <c r="X203" s="12"/>
      <c r="Y203" s="9" t="s">
        <v>55</v>
      </c>
      <c r="Z203" s="13"/>
    </row>
    <row r="204" spans="1:26" ht="32.25" hidden="1" customHeight="1">
      <c r="A204" s="8">
        <v>2303635</v>
      </c>
      <c r="B204" s="9" t="s">
        <v>1012</v>
      </c>
      <c r="C204" s="10">
        <v>45156</v>
      </c>
      <c r="D204" s="9" t="s">
        <v>79</v>
      </c>
      <c r="E204" s="9" t="s">
        <v>89</v>
      </c>
      <c r="F204" s="9" t="s">
        <v>80</v>
      </c>
      <c r="G204" s="9" t="s">
        <v>43</v>
      </c>
      <c r="H204" s="9" t="s">
        <v>44</v>
      </c>
      <c r="I204" s="11" t="s">
        <v>101</v>
      </c>
      <c r="J204" s="9" t="s">
        <v>102</v>
      </c>
      <c r="K204" s="9" t="s">
        <v>47</v>
      </c>
      <c r="L204" s="9" t="s">
        <v>305</v>
      </c>
      <c r="M204" s="9" t="s">
        <v>1013</v>
      </c>
      <c r="N204" s="9" t="s">
        <v>50</v>
      </c>
      <c r="O204" s="9" t="s">
        <v>51</v>
      </c>
      <c r="P204" s="9" t="s">
        <v>243</v>
      </c>
      <c r="Q204" s="9"/>
      <c r="R204" s="9" t="s">
        <v>61</v>
      </c>
      <c r="S204" s="14" t="s">
        <v>1014</v>
      </c>
      <c r="T204" s="9" t="s">
        <v>1015</v>
      </c>
      <c r="U204" s="9" t="s">
        <v>54</v>
      </c>
      <c r="V204" s="9" t="s">
        <v>711</v>
      </c>
      <c r="W204" s="9" t="s">
        <v>115</v>
      </c>
      <c r="X204" s="12" t="s">
        <v>98</v>
      </c>
      <c r="Y204" s="9" t="s">
        <v>99</v>
      </c>
      <c r="Z204" s="13"/>
    </row>
    <row r="205" spans="1:26" ht="32.25" hidden="1" customHeight="1">
      <c r="A205" s="8">
        <v>2310648</v>
      </c>
      <c r="B205" s="9" t="s">
        <v>1016</v>
      </c>
      <c r="C205" s="10">
        <v>45149</v>
      </c>
      <c r="D205" s="9" t="s">
        <v>57</v>
      </c>
      <c r="E205" s="9" t="s">
        <v>153</v>
      </c>
      <c r="F205" s="9" t="s">
        <v>42</v>
      </c>
      <c r="G205" s="9" t="s">
        <v>43</v>
      </c>
      <c r="H205" s="9" t="s">
        <v>58</v>
      </c>
      <c r="I205" s="11" t="s">
        <v>154</v>
      </c>
      <c r="J205" s="9" t="s">
        <v>155</v>
      </c>
      <c r="K205" s="9" t="s">
        <v>47</v>
      </c>
      <c r="L205" s="9" t="s">
        <v>156</v>
      </c>
      <c r="M205" s="9"/>
      <c r="N205" s="9" t="s">
        <v>84</v>
      </c>
      <c r="O205" s="9" t="s">
        <v>51</v>
      </c>
      <c r="P205" s="9"/>
      <c r="Q205" s="9"/>
      <c r="R205" s="9"/>
      <c r="S205" s="14" t="s">
        <v>1017</v>
      </c>
      <c r="T205" s="9" t="s">
        <v>1018</v>
      </c>
      <c r="U205" s="9" t="s">
        <v>54</v>
      </c>
      <c r="V205" s="9" t="s">
        <v>55</v>
      </c>
      <c r="W205" s="9" t="s">
        <v>55</v>
      </c>
      <c r="X205" s="12"/>
      <c r="Y205" s="9" t="s">
        <v>55</v>
      </c>
      <c r="Z205" s="13"/>
    </row>
    <row r="206" spans="1:26" ht="32.25" hidden="1" customHeight="1">
      <c r="A206" s="8">
        <v>2312704</v>
      </c>
      <c r="B206" s="9" t="s">
        <v>1019</v>
      </c>
      <c r="C206" s="10">
        <v>45142</v>
      </c>
      <c r="D206" s="9" t="s">
        <v>383</v>
      </c>
      <c r="E206" s="9" t="s">
        <v>68</v>
      </c>
      <c r="F206" s="9" t="s">
        <v>262</v>
      </c>
      <c r="G206" s="9" t="s">
        <v>43</v>
      </c>
      <c r="H206" s="9" t="s">
        <v>44</v>
      </c>
      <c r="I206" s="11" t="s">
        <v>1020</v>
      </c>
      <c r="J206" s="9" t="s">
        <v>1021</v>
      </c>
      <c r="K206" s="9" t="s">
        <v>1022</v>
      </c>
      <c r="L206" s="9"/>
      <c r="M206" s="9" t="s">
        <v>1023</v>
      </c>
      <c r="N206" s="9" t="s">
        <v>50</v>
      </c>
      <c r="O206" s="9" t="s">
        <v>187</v>
      </c>
      <c r="P206" s="9"/>
      <c r="Q206" s="9"/>
      <c r="R206" s="9" t="s">
        <v>61</v>
      </c>
      <c r="S206" s="9" t="s">
        <v>1024</v>
      </c>
      <c r="T206" s="9" t="s">
        <v>1025</v>
      </c>
      <c r="U206" s="9" t="s">
        <v>262</v>
      </c>
      <c r="V206" s="9" t="s">
        <v>701</v>
      </c>
      <c r="W206" s="9" t="s">
        <v>115</v>
      </c>
      <c r="X206" s="12" t="s">
        <v>196</v>
      </c>
      <c r="Y206" s="9" t="s">
        <v>197</v>
      </c>
      <c r="Z206" s="13" t="s">
        <v>1026</v>
      </c>
    </row>
    <row r="207" spans="1:26" ht="32.25" hidden="1" customHeight="1">
      <c r="A207" s="8">
        <v>2310177</v>
      </c>
      <c r="B207" s="9" t="s">
        <v>1027</v>
      </c>
      <c r="C207" s="10">
        <v>45156</v>
      </c>
      <c r="D207" s="9" t="s">
        <v>79</v>
      </c>
      <c r="E207" s="9" t="s">
        <v>143</v>
      </c>
      <c r="F207" s="9" t="s">
        <v>80</v>
      </c>
      <c r="G207" s="9" t="s">
        <v>43</v>
      </c>
      <c r="H207" s="9" t="s">
        <v>44</v>
      </c>
      <c r="I207" s="11" t="s">
        <v>326</v>
      </c>
      <c r="J207" s="9" t="s">
        <v>327</v>
      </c>
      <c r="K207" s="9" t="s">
        <v>47</v>
      </c>
      <c r="L207" s="9" t="s">
        <v>48</v>
      </c>
      <c r="M207" s="9" t="s">
        <v>1028</v>
      </c>
      <c r="N207" s="9" t="s">
        <v>84</v>
      </c>
      <c r="O207" s="9" t="s">
        <v>51</v>
      </c>
      <c r="P207" s="9" t="s">
        <v>1029</v>
      </c>
      <c r="Q207" s="9"/>
      <c r="R207" s="9" t="s">
        <v>61</v>
      </c>
      <c r="S207" s="14" t="s">
        <v>1030</v>
      </c>
      <c r="T207" s="9" t="s">
        <v>1031</v>
      </c>
      <c r="U207" s="9" t="s">
        <v>54</v>
      </c>
      <c r="V207" s="9" t="s">
        <v>370</v>
      </c>
      <c r="W207" s="9" t="s">
        <v>115</v>
      </c>
      <c r="X207" s="12" t="s">
        <v>150</v>
      </c>
      <c r="Y207" s="9" t="s">
        <v>151</v>
      </c>
      <c r="Z207" s="13"/>
    </row>
    <row r="208" spans="1:26" ht="32.25" hidden="1" customHeight="1">
      <c r="A208" s="8">
        <v>2302270</v>
      </c>
      <c r="B208" s="9" t="s">
        <v>1032</v>
      </c>
      <c r="C208" s="10">
        <v>45142</v>
      </c>
      <c r="D208" s="9" t="s">
        <v>67</v>
      </c>
      <c r="E208" s="9" t="s">
        <v>68</v>
      </c>
      <c r="F208" s="9" t="s">
        <v>135</v>
      </c>
      <c r="G208" s="9" t="s">
        <v>43</v>
      </c>
      <c r="H208" s="9" t="s">
        <v>44</v>
      </c>
      <c r="I208" s="11" t="s">
        <v>136</v>
      </c>
      <c r="J208" s="9" t="s">
        <v>137</v>
      </c>
      <c r="K208" s="9" t="s">
        <v>47</v>
      </c>
      <c r="L208" s="9" t="s">
        <v>411</v>
      </c>
      <c r="M208" s="9" t="s">
        <v>412</v>
      </c>
      <c r="N208" s="9" t="s">
        <v>50</v>
      </c>
      <c r="O208" s="9" t="s">
        <v>51</v>
      </c>
      <c r="P208" s="9"/>
      <c r="Q208" s="9"/>
      <c r="R208" s="9" t="s">
        <v>61</v>
      </c>
      <c r="S208" s="9" t="s">
        <v>1033</v>
      </c>
      <c r="T208" s="9" t="s">
        <v>1034</v>
      </c>
      <c r="U208" s="9" t="s">
        <v>54</v>
      </c>
      <c r="V208" s="9" t="s">
        <v>55</v>
      </c>
      <c r="W208" s="9" t="s">
        <v>55</v>
      </c>
      <c r="X208" s="12" t="s">
        <v>76</v>
      </c>
      <c r="Y208" s="9" t="s">
        <v>77</v>
      </c>
      <c r="Z208" s="13"/>
    </row>
    <row r="209" spans="1:26" ht="32.25" hidden="1" customHeight="1">
      <c r="A209" s="8">
        <v>2309568</v>
      </c>
      <c r="B209" s="9" t="s">
        <v>1035</v>
      </c>
      <c r="C209" s="10">
        <v>45142</v>
      </c>
      <c r="D209" s="9" t="s">
        <v>67</v>
      </c>
      <c r="E209" s="9" t="s">
        <v>89</v>
      </c>
      <c r="F209" s="9" t="s">
        <v>42</v>
      </c>
      <c r="G209" s="9" t="s">
        <v>43</v>
      </c>
      <c r="H209" s="9" t="s">
        <v>44</v>
      </c>
      <c r="I209" s="11" t="s">
        <v>360</v>
      </c>
      <c r="J209" s="9" t="s">
        <v>102</v>
      </c>
      <c r="K209" s="9" t="s">
        <v>47</v>
      </c>
      <c r="L209" s="9" t="s">
        <v>48</v>
      </c>
      <c r="M209" s="9" t="s">
        <v>1036</v>
      </c>
      <c r="N209" s="9" t="s">
        <v>50</v>
      </c>
      <c r="O209" s="9" t="s">
        <v>51</v>
      </c>
      <c r="P209" s="9" t="s">
        <v>361</v>
      </c>
      <c r="Q209" s="9"/>
      <c r="R209" s="9" t="s">
        <v>61</v>
      </c>
      <c r="S209" s="9" t="s">
        <v>1037</v>
      </c>
      <c r="T209" s="9" t="s">
        <v>1038</v>
      </c>
      <c r="U209" s="9" t="s">
        <v>54</v>
      </c>
      <c r="V209" s="9" t="s">
        <v>55</v>
      </c>
      <c r="W209" s="9" t="s">
        <v>55</v>
      </c>
      <c r="X209" s="12" t="s">
        <v>98</v>
      </c>
      <c r="Y209" s="9" t="s">
        <v>99</v>
      </c>
      <c r="Z209" s="13"/>
    </row>
    <row r="210" spans="1:26" ht="32.25" hidden="1" customHeight="1">
      <c r="A210" s="8">
        <v>2314427</v>
      </c>
      <c r="B210" s="9" t="s">
        <v>1039</v>
      </c>
      <c r="C210" s="10">
        <v>45156</v>
      </c>
      <c r="D210" s="9" t="s">
        <v>79</v>
      </c>
      <c r="E210" s="9" t="s">
        <v>41</v>
      </c>
      <c r="F210" s="9" t="s">
        <v>80</v>
      </c>
      <c r="G210" s="9" t="s">
        <v>43</v>
      </c>
      <c r="H210" s="9" t="s">
        <v>44</v>
      </c>
      <c r="I210" s="11" t="s">
        <v>81</v>
      </c>
      <c r="J210" s="9" t="s">
        <v>46</v>
      </c>
      <c r="K210" s="9" t="s">
        <v>47</v>
      </c>
      <c r="L210" s="9" t="s">
        <v>1040</v>
      </c>
      <c r="M210" s="9" t="s">
        <v>1041</v>
      </c>
      <c r="N210" s="9" t="s">
        <v>50</v>
      </c>
      <c r="O210" s="9" t="s">
        <v>51</v>
      </c>
      <c r="P210" s="9" t="s">
        <v>503</v>
      </c>
      <c r="Q210" s="9"/>
      <c r="R210" s="9" t="s">
        <v>61</v>
      </c>
      <c r="S210" s="14" t="s">
        <v>1042</v>
      </c>
      <c r="T210" s="9" t="s">
        <v>1043</v>
      </c>
      <c r="U210" s="9" t="s">
        <v>54</v>
      </c>
      <c r="V210" s="9" t="s">
        <v>897</v>
      </c>
      <c r="W210" s="9" t="s">
        <v>115</v>
      </c>
      <c r="X210" s="12" t="s">
        <v>64</v>
      </c>
      <c r="Y210" s="9" t="s">
        <v>65</v>
      </c>
      <c r="Z210" s="13"/>
    </row>
    <row r="211" spans="1:26" ht="32.25" hidden="1" customHeight="1">
      <c r="A211" s="8">
        <v>2314688</v>
      </c>
      <c r="B211" s="9" t="s">
        <v>1044</v>
      </c>
      <c r="C211" s="10">
        <v>45156</v>
      </c>
      <c r="D211" s="9" t="s">
        <v>79</v>
      </c>
      <c r="E211" s="9" t="s">
        <v>143</v>
      </c>
      <c r="F211" s="9" t="s">
        <v>80</v>
      </c>
      <c r="G211" s="9" t="s">
        <v>43</v>
      </c>
      <c r="H211" s="9" t="s">
        <v>44</v>
      </c>
      <c r="I211" s="11" t="s">
        <v>326</v>
      </c>
      <c r="J211" s="9" t="s">
        <v>327</v>
      </c>
      <c r="K211" s="9" t="s">
        <v>47</v>
      </c>
      <c r="L211" s="9" t="s">
        <v>290</v>
      </c>
      <c r="M211" s="9" t="s">
        <v>1045</v>
      </c>
      <c r="N211" s="9" t="s">
        <v>50</v>
      </c>
      <c r="O211" s="9" t="s">
        <v>51</v>
      </c>
      <c r="P211" s="9" t="s">
        <v>1029</v>
      </c>
      <c r="Q211" s="9"/>
      <c r="R211" s="9" t="s">
        <v>61</v>
      </c>
      <c r="S211" s="14" t="s">
        <v>1046</v>
      </c>
      <c r="T211" s="9" t="s">
        <v>1047</v>
      </c>
      <c r="U211" s="9" t="s">
        <v>54</v>
      </c>
      <c r="V211" s="9" t="s">
        <v>55</v>
      </c>
      <c r="W211" s="9" t="s">
        <v>55</v>
      </c>
      <c r="X211" s="12" t="s">
        <v>150</v>
      </c>
      <c r="Y211" s="9" t="s">
        <v>151</v>
      </c>
      <c r="Z211" s="13"/>
    </row>
    <row r="212" spans="1:26" ht="32.25" hidden="1" customHeight="1">
      <c r="A212" s="8">
        <v>2311177</v>
      </c>
      <c r="B212" s="9" t="s">
        <v>1048</v>
      </c>
      <c r="C212" s="10">
        <v>45136</v>
      </c>
      <c r="D212" s="9" t="s">
        <v>40</v>
      </c>
      <c r="E212" s="9" t="s">
        <v>143</v>
      </c>
      <c r="F212" s="9" t="s">
        <v>42</v>
      </c>
      <c r="G212" s="9" t="s">
        <v>43</v>
      </c>
      <c r="H212" s="9" t="s">
        <v>44</v>
      </c>
      <c r="I212" s="11" t="s">
        <v>334</v>
      </c>
      <c r="J212" s="9" t="s">
        <v>327</v>
      </c>
      <c r="K212" s="9" t="s">
        <v>47</v>
      </c>
      <c r="L212" s="9" t="s">
        <v>226</v>
      </c>
      <c r="M212" s="9" t="s">
        <v>1049</v>
      </c>
      <c r="N212" s="9" t="s">
        <v>84</v>
      </c>
      <c r="O212" s="9" t="s">
        <v>51</v>
      </c>
      <c r="P212" s="9" t="s">
        <v>336</v>
      </c>
      <c r="Q212" s="9"/>
      <c r="R212" s="9" t="s">
        <v>61</v>
      </c>
      <c r="S212" s="9" t="s">
        <v>1050</v>
      </c>
      <c r="T212" s="9" t="s">
        <v>1051</v>
      </c>
      <c r="U212" s="9" t="s">
        <v>54</v>
      </c>
      <c r="V212" s="9" t="s">
        <v>55</v>
      </c>
      <c r="W212" s="9" t="s">
        <v>55</v>
      </c>
      <c r="X212" s="12" t="s">
        <v>150</v>
      </c>
      <c r="Y212" s="9" t="s">
        <v>151</v>
      </c>
      <c r="Z212" s="13"/>
    </row>
    <row r="213" spans="1:26" ht="32.25" hidden="1" customHeight="1">
      <c r="A213" s="8">
        <v>2302410</v>
      </c>
      <c r="B213" s="9" t="s">
        <v>1052</v>
      </c>
      <c r="C213" s="10">
        <v>45142</v>
      </c>
      <c r="D213" s="9" t="s">
        <v>67</v>
      </c>
      <c r="E213" s="9" t="s">
        <v>143</v>
      </c>
      <c r="F213" s="9" t="s">
        <v>42</v>
      </c>
      <c r="G213" s="9" t="s">
        <v>43</v>
      </c>
      <c r="H213" s="9" t="s">
        <v>44</v>
      </c>
      <c r="I213" s="11" t="s">
        <v>219</v>
      </c>
      <c r="J213" s="9" t="s">
        <v>220</v>
      </c>
      <c r="K213" s="9" t="s">
        <v>47</v>
      </c>
      <c r="L213" s="9" t="s">
        <v>156</v>
      </c>
      <c r="M213" s="9"/>
      <c r="N213" s="9" t="s">
        <v>84</v>
      </c>
      <c r="O213" s="9" t="s">
        <v>51</v>
      </c>
      <c r="P213" s="9"/>
      <c r="Q213" s="9"/>
      <c r="R213" s="9"/>
      <c r="S213" s="9" t="s">
        <v>1053</v>
      </c>
      <c r="T213" s="9" t="s">
        <v>1054</v>
      </c>
      <c r="U213" s="9" t="s">
        <v>54</v>
      </c>
      <c r="V213" s="9" t="s">
        <v>55</v>
      </c>
      <c r="W213" s="9" t="s">
        <v>55</v>
      </c>
      <c r="X213" s="12"/>
      <c r="Y213" s="9" t="s">
        <v>55</v>
      </c>
      <c r="Z213" s="13"/>
    </row>
    <row r="214" spans="1:26" ht="32.25" hidden="1" customHeight="1">
      <c r="A214" s="8">
        <v>2312368</v>
      </c>
      <c r="B214" s="9" t="s">
        <v>1055</v>
      </c>
      <c r="C214" s="10">
        <v>45142</v>
      </c>
      <c r="D214" s="9" t="s">
        <v>67</v>
      </c>
      <c r="E214" s="9" t="s">
        <v>143</v>
      </c>
      <c r="F214" s="9" t="s">
        <v>42</v>
      </c>
      <c r="G214" s="9" t="s">
        <v>43</v>
      </c>
      <c r="H214" s="9" t="s">
        <v>44</v>
      </c>
      <c r="I214" s="11" t="s">
        <v>334</v>
      </c>
      <c r="J214" s="9" t="s">
        <v>327</v>
      </c>
      <c r="K214" s="9" t="s">
        <v>47</v>
      </c>
      <c r="L214" s="9" t="s">
        <v>1056</v>
      </c>
      <c r="M214" s="9" t="s">
        <v>1057</v>
      </c>
      <c r="N214" s="9" t="s">
        <v>84</v>
      </c>
      <c r="O214" s="9" t="s">
        <v>51</v>
      </c>
      <c r="P214" s="9" t="s">
        <v>336</v>
      </c>
      <c r="Q214" s="9"/>
      <c r="R214" s="9"/>
      <c r="S214" s="9" t="s">
        <v>1058</v>
      </c>
      <c r="T214" s="9" t="s">
        <v>1059</v>
      </c>
      <c r="U214" s="9" t="s">
        <v>54</v>
      </c>
      <c r="V214" s="9" t="s">
        <v>55</v>
      </c>
      <c r="W214" s="9" t="s">
        <v>55</v>
      </c>
      <c r="X214" s="12"/>
      <c r="Y214" s="9" t="s">
        <v>55</v>
      </c>
      <c r="Z214" s="13"/>
    </row>
    <row r="215" spans="1:26" ht="32.25" hidden="1" customHeight="1">
      <c r="A215" s="8">
        <v>2308050</v>
      </c>
      <c r="B215" s="9" t="s">
        <v>1060</v>
      </c>
      <c r="C215" s="10">
        <v>45149</v>
      </c>
      <c r="D215" s="9" t="s">
        <v>57</v>
      </c>
      <c r="E215" s="9" t="s">
        <v>153</v>
      </c>
      <c r="F215" s="9" t="s">
        <v>42</v>
      </c>
      <c r="G215" s="9" t="s">
        <v>43</v>
      </c>
      <c r="H215" s="9" t="s">
        <v>58</v>
      </c>
      <c r="I215" s="11" t="s">
        <v>154</v>
      </c>
      <c r="J215" s="9" t="s">
        <v>155</v>
      </c>
      <c r="K215" s="9" t="s">
        <v>47</v>
      </c>
      <c r="L215" s="9" t="s">
        <v>156</v>
      </c>
      <c r="M215" s="9"/>
      <c r="N215" s="9" t="s">
        <v>84</v>
      </c>
      <c r="O215" s="9" t="s">
        <v>51</v>
      </c>
      <c r="P215" s="9"/>
      <c r="Q215" s="9"/>
      <c r="R215" s="9"/>
      <c r="S215" s="14" t="s">
        <v>1061</v>
      </c>
      <c r="T215" s="9" t="s">
        <v>1062</v>
      </c>
      <c r="U215" s="9" t="s">
        <v>54</v>
      </c>
      <c r="V215" s="9" t="s">
        <v>55</v>
      </c>
      <c r="W215" s="9" t="s">
        <v>55</v>
      </c>
      <c r="X215" s="12"/>
      <c r="Y215" s="9" t="s">
        <v>55</v>
      </c>
      <c r="Z215" s="13"/>
    </row>
    <row r="216" spans="1:26" ht="32.25" hidden="1" customHeight="1">
      <c r="A216" s="8">
        <v>2302165</v>
      </c>
      <c r="B216" s="9" t="s">
        <v>1063</v>
      </c>
      <c r="C216" s="10">
        <v>45142</v>
      </c>
      <c r="D216" s="9" t="s">
        <v>67</v>
      </c>
      <c r="E216" s="9" t="s">
        <v>143</v>
      </c>
      <c r="F216" s="9" t="s">
        <v>42</v>
      </c>
      <c r="G216" s="9" t="s">
        <v>43</v>
      </c>
      <c r="H216" s="9" t="s">
        <v>44</v>
      </c>
      <c r="I216" s="11" t="s">
        <v>144</v>
      </c>
      <c r="J216" s="9" t="s">
        <v>145</v>
      </c>
      <c r="K216" s="9" t="s">
        <v>47</v>
      </c>
      <c r="L216" s="9" t="s">
        <v>156</v>
      </c>
      <c r="M216" s="9"/>
      <c r="N216" s="9" t="s">
        <v>50</v>
      </c>
      <c r="O216" s="9" t="s">
        <v>51</v>
      </c>
      <c r="P216" s="9" t="s">
        <v>147</v>
      </c>
      <c r="Q216" s="9"/>
      <c r="R216" s="9"/>
      <c r="S216" s="9" t="s">
        <v>1064</v>
      </c>
      <c r="T216" s="9" t="s">
        <v>1065</v>
      </c>
      <c r="U216" s="9" t="s">
        <v>54</v>
      </c>
      <c r="V216" s="9" t="s">
        <v>55</v>
      </c>
      <c r="W216" s="9" t="s">
        <v>55</v>
      </c>
      <c r="X216" s="12"/>
      <c r="Y216" s="9" t="s">
        <v>55</v>
      </c>
      <c r="Z216" s="13"/>
    </row>
    <row r="217" spans="1:26" ht="32.25" customHeight="1">
      <c r="A217" s="8">
        <v>2315577</v>
      </c>
      <c r="B217" s="9" t="s">
        <v>1066</v>
      </c>
      <c r="C217" s="10">
        <v>45154</v>
      </c>
      <c r="D217" s="9" t="s">
        <v>1067</v>
      </c>
      <c r="E217" s="9" t="s">
        <v>248</v>
      </c>
      <c r="F217" s="9" t="s">
        <v>13288</v>
      </c>
      <c r="G217" s="9" t="s">
        <v>43</v>
      </c>
      <c r="H217" s="9" t="s">
        <v>58</v>
      </c>
      <c r="I217" s="11"/>
      <c r="J217" s="9" t="s">
        <v>1068</v>
      </c>
      <c r="K217" s="9" t="s">
        <v>1069</v>
      </c>
      <c r="L217" s="9"/>
      <c r="M217" s="9"/>
      <c r="N217" s="9" t="s">
        <v>50</v>
      </c>
      <c r="O217" s="9" t="s">
        <v>51</v>
      </c>
      <c r="P217" s="9"/>
      <c r="Q217" s="9"/>
      <c r="R217" s="9" t="s">
        <v>61</v>
      </c>
      <c r="S217" s="14"/>
      <c r="T217" s="9"/>
      <c r="U217" s="9" t="s">
        <v>55</v>
      </c>
      <c r="V217" s="9" t="s">
        <v>897</v>
      </c>
      <c r="W217" s="9" t="s">
        <v>55</v>
      </c>
      <c r="X217" s="12" t="s">
        <v>389</v>
      </c>
      <c r="Y217" s="9" t="s">
        <v>390</v>
      </c>
      <c r="Z217" s="13" t="s">
        <v>1070</v>
      </c>
    </row>
    <row r="218" spans="1:26" ht="32.25" hidden="1" customHeight="1">
      <c r="A218" s="8">
        <v>2307679</v>
      </c>
      <c r="B218" s="9" t="s">
        <v>1071</v>
      </c>
      <c r="C218" s="10">
        <v>45136</v>
      </c>
      <c r="D218" s="9" t="s">
        <v>1072</v>
      </c>
      <c r="E218" s="9" t="s">
        <v>41</v>
      </c>
      <c r="F218" s="9" t="s">
        <v>42</v>
      </c>
      <c r="G218" s="9" t="s">
        <v>43</v>
      </c>
      <c r="H218" s="9" t="s">
        <v>44</v>
      </c>
      <c r="I218" s="11" t="s">
        <v>1073</v>
      </c>
      <c r="J218" s="9" t="s">
        <v>479</v>
      </c>
      <c r="K218" s="9" t="s">
        <v>47</v>
      </c>
      <c r="L218" s="9" t="s">
        <v>48</v>
      </c>
      <c r="M218" s="9" t="s">
        <v>1074</v>
      </c>
      <c r="N218" s="9" t="s">
        <v>50</v>
      </c>
      <c r="O218" s="9" t="s">
        <v>51</v>
      </c>
      <c r="P218" s="9"/>
      <c r="Q218" s="9"/>
      <c r="R218" s="9" t="s">
        <v>61</v>
      </c>
      <c r="S218" s="9" t="s">
        <v>1075</v>
      </c>
      <c r="T218" s="9" t="s">
        <v>1076</v>
      </c>
      <c r="U218" s="9" t="s">
        <v>54</v>
      </c>
      <c r="V218" s="9" t="s">
        <v>55</v>
      </c>
      <c r="W218" s="9" t="s">
        <v>55</v>
      </c>
      <c r="X218" s="9" t="s">
        <v>196</v>
      </c>
      <c r="Y218" s="9" t="s">
        <v>197</v>
      </c>
      <c r="Z218" s="13"/>
    </row>
    <row r="219" spans="1:26" ht="32.25" hidden="1" customHeight="1">
      <c r="A219" s="8">
        <v>2305261</v>
      </c>
      <c r="B219" s="9" t="s">
        <v>1077</v>
      </c>
      <c r="C219" s="10">
        <v>45149</v>
      </c>
      <c r="D219" s="9" t="s">
        <v>57</v>
      </c>
      <c r="E219" s="9" t="s">
        <v>41</v>
      </c>
      <c r="F219" s="9" t="s">
        <v>42</v>
      </c>
      <c r="G219" s="9" t="s">
        <v>43</v>
      </c>
      <c r="H219" s="9" t="s">
        <v>58</v>
      </c>
      <c r="I219" s="11" t="s">
        <v>199</v>
      </c>
      <c r="J219" s="9" t="s">
        <v>200</v>
      </c>
      <c r="K219" s="9" t="s">
        <v>47</v>
      </c>
      <c r="L219" s="9" t="s">
        <v>156</v>
      </c>
      <c r="M219" s="9"/>
      <c r="N219" s="9" t="s">
        <v>50</v>
      </c>
      <c r="O219" s="9" t="s">
        <v>51</v>
      </c>
      <c r="P219" s="9"/>
      <c r="Q219" s="9"/>
      <c r="R219" s="9"/>
      <c r="S219" s="14" t="s">
        <v>1078</v>
      </c>
      <c r="T219" s="9" t="s">
        <v>1079</v>
      </c>
      <c r="U219" s="9" t="s">
        <v>54</v>
      </c>
      <c r="V219" s="9" t="s">
        <v>55</v>
      </c>
      <c r="W219" s="9" t="s">
        <v>55</v>
      </c>
      <c r="X219" s="12"/>
      <c r="Y219" s="9" t="s">
        <v>55</v>
      </c>
      <c r="Z219" s="13"/>
    </row>
    <row r="220" spans="1:26" ht="32.25" hidden="1" customHeight="1">
      <c r="A220" s="8">
        <v>2309582</v>
      </c>
      <c r="B220" s="9" t="s">
        <v>1080</v>
      </c>
      <c r="C220" s="10">
        <v>45149</v>
      </c>
      <c r="D220" s="9" t="s">
        <v>57</v>
      </c>
      <c r="E220" s="9" t="s">
        <v>153</v>
      </c>
      <c r="F220" s="9" t="s">
        <v>42</v>
      </c>
      <c r="G220" s="9" t="s">
        <v>43</v>
      </c>
      <c r="H220" s="9" t="s">
        <v>58</v>
      </c>
      <c r="I220" s="11" t="s">
        <v>154</v>
      </c>
      <c r="J220" s="9" t="s">
        <v>155</v>
      </c>
      <c r="K220" s="9" t="s">
        <v>47</v>
      </c>
      <c r="L220" s="9" t="s">
        <v>846</v>
      </c>
      <c r="M220" s="9" t="s">
        <v>1081</v>
      </c>
      <c r="N220" s="9" t="s">
        <v>84</v>
      </c>
      <c r="O220" s="9" t="s">
        <v>51</v>
      </c>
      <c r="P220" s="9"/>
      <c r="Q220" s="9"/>
      <c r="R220" s="9" t="s">
        <v>61</v>
      </c>
      <c r="S220" s="14" t="s">
        <v>1082</v>
      </c>
      <c r="T220" s="9" t="s">
        <v>1083</v>
      </c>
      <c r="U220" s="9" t="s">
        <v>54</v>
      </c>
      <c r="V220" s="9" t="s">
        <v>55</v>
      </c>
      <c r="W220" s="9" t="s">
        <v>55</v>
      </c>
      <c r="X220" s="12" t="s">
        <v>171</v>
      </c>
      <c r="Y220" s="9" t="s">
        <v>172</v>
      </c>
      <c r="Z220" s="13"/>
    </row>
    <row r="221" spans="1:26" ht="32.25" hidden="1" customHeight="1">
      <c r="A221" s="8">
        <v>2300167</v>
      </c>
      <c r="B221" s="9" t="s">
        <v>1084</v>
      </c>
      <c r="C221" s="10">
        <v>45149</v>
      </c>
      <c r="D221" s="9" t="s">
        <v>261</v>
      </c>
      <c r="E221" s="9" t="s">
        <v>68</v>
      </c>
      <c r="F221" s="9" t="s">
        <v>262</v>
      </c>
      <c r="G221" s="9" t="s">
        <v>43</v>
      </c>
      <c r="H221" s="9" t="s">
        <v>44</v>
      </c>
      <c r="I221" s="11" t="s">
        <v>1085</v>
      </c>
      <c r="J221" s="9" t="s">
        <v>1086</v>
      </c>
      <c r="K221" s="9" t="s">
        <v>47</v>
      </c>
      <c r="L221" s="9" t="s">
        <v>1087</v>
      </c>
      <c r="M221" s="9" t="s">
        <v>1088</v>
      </c>
      <c r="N221" s="9" t="s">
        <v>50</v>
      </c>
      <c r="O221" s="9" t="s">
        <v>51</v>
      </c>
      <c r="P221" s="9"/>
      <c r="Q221" s="9"/>
      <c r="R221" s="9"/>
      <c r="S221" s="14" t="s">
        <v>1089</v>
      </c>
      <c r="T221" s="9" t="s">
        <v>1090</v>
      </c>
      <c r="U221" s="9" t="s">
        <v>262</v>
      </c>
      <c r="V221" s="9" t="s">
        <v>55</v>
      </c>
      <c r="W221" s="9" t="s">
        <v>115</v>
      </c>
      <c r="X221" s="12"/>
      <c r="Y221" s="9" t="s">
        <v>55</v>
      </c>
      <c r="Z221" s="13"/>
    </row>
    <row r="222" spans="1:26" ht="32.25" hidden="1" customHeight="1">
      <c r="A222" s="8">
        <v>2304454</v>
      </c>
      <c r="B222" s="9" t="s">
        <v>1091</v>
      </c>
      <c r="C222" s="10">
        <v>45156</v>
      </c>
      <c r="D222" s="9" t="s">
        <v>79</v>
      </c>
      <c r="E222" s="9" t="s">
        <v>68</v>
      </c>
      <c r="F222" s="9" t="s">
        <v>80</v>
      </c>
      <c r="G222" s="9" t="s">
        <v>43</v>
      </c>
      <c r="H222" s="9" t="s">
        <v>44</v>
      </c>
      <c r="I222" s="11" t="s">
        <v>90</v>
      </c>
      <c r="J222" s="9" t="s">
        <v>91</v>
      </c>
      <c r="K222" s="9" t="s">
        <v>47</v>
      </c>
      <c r="L222" s="9" t="s">
        <v>156</v>
      </c>
      <c r="M222" s="9"/>
      <c r="N222" s="9" t="s">
        <v>50</v>
      </c>
      <c r="O222" s="9" t="s">
        <v>51</v>
      </c>
      <c r="P222" s="9" t="s">
        <v>273</v>
      </c>
      <c r="Q222" s="9"/>
      <c r="R222" s="9"/>
      <c r="S222" s="14" t="s">
        <v>1092</v>
      </c>
      <c r="T222" s="9" t="s">
        <v>1093</v>
      </c>
      <c r="U222" s="9" t="s">
        <v>54</v>
      </c>
      <c r="V222" s="9" t="s">
        <v>55</v>
      </c>
      <c r="W222" s="9" t="s">
        <v>55</v>
      </c>
      <c r="X222" s="12"/>
      <c r="Y222" s="9" t="s">
        <v>55</v>
      </c>
      <c r="Z222" s="13"/>
    </row>
    <row r="223" spans="1:26" ht="32.25" hidden="1" customHeight="1">
      <c r="A223" s="8">
        <v>2301284</v>
      </c>
      <c r="B223" s="9" t="s">
        <v>1094</v>
      </c>
      <c r="C223" s="10">
        <v>45142</v>
      </c>
      <c r="D223" s="9" t="s">
        <v>67</v>
      </c>
      <c r="E223" s="9" t="s">
        <v>143</v>
      </c>
      <c r="F223" s="9" t="s">
        <v>42</v>
      </c>
      <c r="G223" s="9" t="s">
        <v>43</v>
      </c>
      <c r="H223" s="9" t="s">
        <v>44</v>
      </c>
      <c r="I223" s="11" t="s">
        <v>334</v>
      </c>
      <c r="J223" s="9" t="s">
        <v>327</v>
      </c>
      <c r="K223" s="9" t="s">
        <v>47</v>
      </c>
      <c r="L223" s="9" t="s">
        <v>156</v>
      </c>
      <c r="M223" s="9"/>
      <c r="N223" s="9" t="s">
        <v>50</v>
      </c>
      <c r="O223" s="9" t="s">
        <v>51</v>
      </c>
      <c r="P223" s="9" t="s">
        <v>336</v>
      </c>
      <c r="Q223" s="9"/>
      <c r="R223" s="9"/>
      <c r="S223" s="9" t="s">
        <v>1095</v>
      </c>
      <c r="T223" s="9" t="s">
        <v>1096</v>
      </c>
      <c r="U223" s="9" t="s">
        <v>54</v>
      </c>
      <c r="V223" s="9" t="s">
        <v>55</v>
      </c>
      <c r="W223" s="9" t="s">
        <v>55</v>
      </c>
      <c r="X223" s="12"/>
      <c r="Y223" s="9" t="s">
        <v>55</v>
      </c>
      <c r="Z223" s="13"/>
    </row>
    <row r="224" spans="1:26" ht="32.25" hidden="1" customHeight="1">
      <c r="A224" s="8">
        <v>2314004</v>
      </c>
      <c r="B224" s="9" t="s">
        <v>1097</v>
      </c>
      <c r="C224" s="10">
        <v>45149</v>
      </c>
      <c r="D224" s="9" t="s">
        <v>57</v>
      </c>
      <c r="E224" s="9" t="s">
        <v>41</v>
      </c>
      <c r="F224" s="9" t="s">
        <v>42</v>
      </c>
      <c r="G224" s="9" t="s">
        <v>43</v>
      </c>
      <c r="H224" s="9" t="s">
        <v>58</v>
      </c>
      <c r="I224" s="11" t="s">
        <v>45</v>
      </c>
      <c r="J224" s="9" t="s">
        <v>46</v>
      </c>
      <c r="K224" s="9" t="s">
        <v>47</v>
      </c>
      <c r="L224" s="9" t="s">
        <v>48</v>
      </c>
      <c r="M224" s="9"/>
      <c r="N224" s="9" t="s">
        <v>50</v>
      </c>
      <c r="O224" s="9" t="s">
        <v>51</v>
      </c>
      <c r="P224" s="9"/>
      <c r="Q224" s="9"/>
      <c r="R224" s="9" t="s">
        <v>61</v>
      </c>
      <c r="S224" s="14" t="s">
        <v>1098</v>
      </c>
      <c r="T224" s="9" t="s">
        <v>1099</v>
      </c>
      <c r="U224" s="9" t="s">
        <v>54</v>
      </c>
      <c r="V224" s="9" t="s">
        <v>55</v>
      </c>
      <c r="W224" s="9" t="s">
        <v>55</v>
      </c>
      <c r="X224" s="9" t="s">
        <v>196</v>
      </c>
      <c r="Y224" s="9" t="s">
        <v>197</v>
      </c>
      <c r="Z224" s="13"/>
    </row>
    <row r="225" spans="1:26" ht="32.25" hidden="1" customHeight="1">
      <c r="A225" s="8">
        <v>2302251</v>
      </c>
      <c r="B225" s="9" t="s">
        <v>1100</v>
      </c>
      <c r="C225" s="10">
        <v>45149</v>
      </c>
      <c r="D225" s="9" t="s">
        <v>261</v>
      </c>
      <c r="E225" s="9" t="s">
        <v>89</v>
      </c>
      <c r="F225" s="9" t="s">
        <v>262</v>
      </c>
      <c r="G225" s="9" t="s">
        <v>43</v>
      </c>
      <c r="H225" s="9" t="s">
        <v>44</v>
      </c>
      <c r="I225" s="11" t="s">
        <v>1101</v>
      </c>
      <c r="J225" s="9" t="s">
        <v>1102</v>
      </c>
      <c r="K225" s="9" t="s">
        <v>47</v>
      </c>
      <c r="L225" s="9" t="s">
        <v>858</v>
      </c>
      <c r="M225" s="9" t="s">
        <v>1103</v>
      </c>
      <c r="N225" s="9" t="s">
        <v>50</v>
      </c>
      <c r="O225" s="9" t="s">
        <v>51</v>
      </c>
      <c r="P225" s="9"/>
      <c r="Q225" s="9"/>
      <c r="R225" s="9" t="s">
        <v>61</v>
      </c>
      <c r="S225" s="14" t="s">
        <v>1104</v>
      </c>
      <c r="T225" s="9" t="s">
        <v>1105</v>
      </c>
      <c r="U225" s="9" t="s">
        <v>262</v>
      </c>
      <c r="V225" s="9" t="s">
        <v>711</v>
      </c>
      <c r="W225" s="9" t="s">
        <v>115</v>
      </c>
      <c r="X225" s="12" t="s">
        <v>389</v>
      </c>
      <c r="Y225" s="9" t="s">
        <v>390</v>
      </c>
      <c r="Z225" s="13"/>
    </row>
    <row r="226" spans="1:26" ht="32.25" hidden="1" customHeight="1">
      <c r="A226" s="8">
        <v>2309039</v>
      </c>
      <c r="B226" s="9" t="s">
        <v>1106</v>
      </c>
      <c r="C226" s="10">
        <v>45142</v>
      </c>
      <c r="D226" s="9" t="s">
        <v>67</v>
      </c>
      <c r="E226" s="9" t="s">
        <v>68</v>
      </c>
      <c r="F226" s="9" t="s">
        <v>135</v>
      </c>
      <c r="G226" s="9" t="s">
        <v>43</v>
      </c>
      <c r="H226" s="9" t="s">
        <v>44</v>
      </c>
      <c r="I226" s="11" t="s">
        <v>136</v>
      </c>
      <c r="J226" s="9" t="s">
        <v>137</v>
      </c>
      <c r="K226" s="9" t="s">
        <v>47</v>
      </c>
      <c r="L226" s="9" t="s">
        <v>156</v>
      </c>
      <c r="M226" s="9"/>
      <c r="N226" s="9" t="s">
        <v>50</v>
      </c>
      <c r="O226" s="9" t="s">
        <v>51</v>
      </c>
      <c r="P226" s="9"/>
      <c r="Q226" s="9"/>
      <c r="R226" s="9"/>
      <c r="S226" s="9" t="s">
        <v>1107</v>
      </c>
      <c r="T226" s="9" t="s">
        <v>1108</v>
      </c>
      <c r="U226" s="9" t="s">
        <v>54</v>
      </c>
      <c r="V226" s="9" t="s">
        <v>55</v>
      </c>
      <c r="W226" s="9" t="s">
        <v>55</v>
      </c>
      <c r="X226" s="12"/>
      <c r="Y226" s="9" t="s">
        <v>55</v>
      </c>
      <c r="Z226" s="13"/>
    </row>
    <row r="227" spans="1:26" ht="32.25" hidden="1" customHeight="1">
      <c r="A227" s="8">
        <v>2303972</v>
      </c>
      <c r="B227" s="9" t="s">
        <v>1109</v>
      </c>
      <c r="C227" s="10">
        <v>45149</v>
      </c>
      <c r="D227" s="9" t="s">
        <v>57</v>
      </c>
      <c r="E227" s="9" t="s">
        <v>41</v>
      </c>
      <c r="F227" s="9" t="s">
        <v>42</v>
      </c>
      <c r="G227" s="9" t="s">
        <v>43</v>
      </c>
      <c r="H227" s="9" t="s">
        <v>58</v>
      </c>
      <c r="I227" s="11" t="s">
        <v>199</v>
      </c>
      <c r="J227" s="9" t="s">
        <v>200</v>
      </c>
      <c r="K227" s="9" t="s">
        <v>47</v>
      </c>
      <c r="L227" s="9" t="s">
        <v>156</v>
      </c>
      <c r="M227" s="9"/>
      <c r="N227" s="9" t="s">
        <v>50</v>
      </c>
      <c r="O227" s="9" t="s">
        <v>51</v>
      </c>
      <c r="P227" s="9"/>
      <c r="Q227" s="9"/>
      <c r="R227" s="9"/>
      <c r="S227" s="14" t="s">
        <v>1110</v>
      </c>
      <c r="T227" s="9" t="s">
        <v>1111</v>
      </c>
      <c r="U227" s="9" t="s">
        <v>54</v>
      </c>
      <c r="V227" s="9" t="s">
        <v>55</v>
      </c>
      <c r="W227" s="9" t="s">
        <v>55</v>
      </c>
      <c r="X227" s="12"/>
      <c r="Y227" s="9" t="s">
        <v>55</v>
      </c>
      <c r="Z227" s="13"/>
    </row>
    <row r="228" spans="1:26" ht="32.25" hidden="1" customHeight="1">
      <c r="A228" s="8">
        <v>2312138</v>
      </c>
      <c r="B228" s="9" t="s">
        <v>1112</v>
      </c>
      <c r="C228" s="10">
        <v>45156</v>
      </c>
      <c r="D228" s="9" t="s">
        <v>79</v>
      </c>
      <c r="E228" s="9" t="s">
        <v>41</v>
      </c>
      <c r="F228" s="9" t="s">
        <v>80</v>
      </c>
      <c r="G228" s="9" t="s">
        <v>43</v>
      </c>
      <c r="H228" s="9" t="s">
        <v>44</v>
      </c>
      <c r="I228" s="11" t="s">
        <v>233</v>
      </c>
      <c r="J228" s="9" t="s">
        <v>200</v>
      </c>
      <c r="K228" s="9" t="s">
        <v>47</v>
      </c>
      <c r="L228" s="9" t="s">
        <v>48</v>
      </c>
      <c r="M228" s="9" t="s">
        <v>469</v>
      </c>
      <c r="N228" s="9" t="s">
        <v>84</v>
      </c>
      <c r="O228" s="9" t="s">
        <v>51</v>
      </c>
      <c r="P228" s="9" t="s">
        <v>236</v>
      </c>
      <c r="Q228" s="9"/>
      <c r="R228" s="9"/>
      <c r="S228" s="14" t="s">
        <v>1113</v>
      </c>
      <c r="T228" s="9" t="s">
        <v>1114</v>
      </c>
      <c r="U228" s="9" t="s">
        <v>54</v>
      </c>
      <c r="V228" s="9" t="s">
        <v>55</v>
      </c>
      <c r="W228" s="9" t="s">
        <v>55</v>
      </c>
      <c r="X228" s="12"/>
      <c r="Y228" s="9" t="s">
        <v>55</v>
      </c>
      <c r="Z228" s="13"/>
    </row>
    <row r="229" spans="1:26" ht="32.25" hidden="1" customHeight="1">
      <c r="A229" s="8">
        <v>2307508</v>
      </c>
      <c r="B229" s="9" t="s">
        <v>1115</v>
      </c>
      <c r="C229" s="10">
        <v>45156</v>
      </c>
      <c r="D229" s="9" t="s">
        <v>79</v>
      </c>
      <c r="E229" s="9" t="s">
        <v>143</v>
      </c>
      <c r="F229" s="9" t="s">
        <v>80</v>
      </c>
      <c r="G229" s="9" t="s">
        <v>43</v>
      </c>
      <c r="H229" s="9" t="s">
        <v>44</v>
      </c>
      <c r="I229" s="11" t="s">
        <v>326</v>
      </c>
      <c r="J229" s="9" t="s">
        <v>327</v>
      </c>
      <c r="K229" s="9" t="s">
        <v>47</v>
      </c>
      <c r="L229" s="9" t="s">
        <v>48</v>
      </c>
      <c r="M229" s="9" t="s">
        <v>1116</v>
      </c>
      <c r="N229" s="9" t="s">
        <v>84</v>
      </c>
      <c r="O229" s="9" t="s">
        <v>51</v>
      </c>
      <c r="P229" s="9" t="s">
        <v>1117</v>
      </c>
      <c r="Q229" s="9"/>
      <c r="R229" s="9"/>
      <c r="S229" s="14" t="s">
        <v>1118</v>
      </c>
      <c r="T229" s="9" t="s">
        <v>1119</v>
      </c>
      <c r="U229" s="9" t="s">
        <v>54</v>
      </c>
      <c r="V229" s="9" t="s">
        <v>55</v>
      </c>
      <c r="W229" s="9" t="s">
        <v>55</v>
      </c>
      <c r="X229" s="12"/>
      <c r="Y229" s="9" t="s">
        <v>55</v>
      </c>
      <c r="Z229" s="13"/>
    </row>
    <row r="230" spans="1:26" ht="32.25" hidden="1" customHeight="1">
      <c r="A230" s="8">
        <v>2301911</v>
      </c>
      <c r="B230" s="9" t="s">
        <v>1120</v>
      </c>
      <c r="C230" s="10">
        <v>45142</v>
      </c>
      <c r="D230" s="9" t="s">
        <v>67</v>
      </c>
      <c r="E230" s="9" t="s">
        <v>143</v>
      </c>
      <c r="F230" s="9" t="s">
        <v>42</v>
      </c>
      <c r="G230" s="9" t="s">
        <v>43</v>
      </c>
      <c r="H230" s="9" t="s">
        <v>44</v>
      </c>
      <c r="I230" s="11" t="s">
        <v>334</v>
      </c>
      <c r="J230" s="9" t="s">
        <v>327</v>
      </c>
      <c r="K230" s="9" t="s">
        <v>47</v>
      </c>
      <c r="L230" s="9" t="s">
        <v>204</v>
      </c>
      <c r="M230" s="9" t="s">
        <v>1121</v>
      </c>
      <c r="N230" s="9" t="s">
        <v>84</v>
      </c>
      <c r="O230" s="9" t="s">
        <v>51</v>
      </c>
      <c r="P230" s="9" t="s">
        <v>336</v>
      </c>
      <c r="Q230" s="9"/>
      <c r="R230" s="9" t="s">
        <v>61</v>
      </c>
      <c r="S230" s="9" t="s">
        <v>1122</v>
      </c>
      <c r="T230" s="9" t="s">
        <v>1123</v>
      </c>
      <c r="U230" s="9" t="s">
        <v>54</v>
      </c>
      <c r="V230" s="9" t="s">
        <v>55</v>
      </c>
      <c r="W230" s="9" t="s">
        <v>55</v>
      </c>
      <c r="X230" s="12" t="s">
        <v>150</v>
      </c>
      <c r="Y230" s="9" t="s">
        <v>151</v>
      </c>
      <c r="Z230" s="13"/>
    </row>
    <row r="231" spans="1:26" ht="32.25" hidden="1" customHeight="1">
      <c r="A231" s="8">
        <v>2301506</v>
      </c>
      <c r="B231" s="9" t="s">
        <v>1124</v>
      </c>
      <c r="C231" s="10">
        <v>45156</v>
      </c>
      <c r="D231" s="9" t="s">
        <v>79</v>
      </c>
      <c r="E231" s="9" t="s">
        <v>41</v>
      </c>
      <c r="F231" s="9" t="s">
        <v>80</v>
      </c>
      <c r="G231" s="9" t="s">
        <v>43</v>
      </c>
      <c r="H231" s="9" t="s">
        <v>44</v>
      </c>
      <c r="I231" s="11" t="s">
        <v>81</v>
      </c>
      <c r="J231" s="9" t="s">
        <v>46</v>
      </c>
      <c r="K231" s="9" t="s">
        <v>47</v>
      </c>
      <c r="L231" s="9" t="s">
        <v>167</v>
      </c>
      <c r="M231" s="9" t="s">
        <v>168</v>
      </c>
      <c r="N231" s="9" t="s">
        <v>84</v>
      </c>
      <c r="O231" s="9" t="s">
        <v>51</v>
      </c>
      <c r="P231" s="9" t="s">
        <v>851</v>
      </c>
      <c r="Q231" s="9"/>
      <c r="R231" s="9" t="s">
        <v>61</v>
      </c>
      <c r="S231" s="14" t="s">
        <v>1125</v>
      </c>
      <c r="T231" s="9" t="s">
        <v>1126</v>
      </c>
      <c r="U231" s="9" t="s">
        <v>54</v>
      </c>
      <c r="V231" s="9" t="s">
        <v>55</v>
      </c>
      <c r="W231" s="9" t="s">
        <v>55</v>
      </c>
      <c r="X231" s="9" t="s">
        <v>64</v>
      </c>
      <c r="Y231" s="9" t="s">
        <v>65</v>
      </c>
      <c r="Z231" s="13"/>
    </row>
    <row r="232" spans="1:26" ht="32.25" hidden="1" customHeight="1">
      <c r="A232" s="8">
        <v>2304925</v>
      </c>
      <c r="B232" s="9" t="s">
        <v>1127</v>
      </c>
      <c r="C232" s="10">
        <v>45156</v>
      </c>
      <c r="D232" s="9" t="s">
        <v>79</v>
      </c>
      <c r="E232" s="9" t="s">
        <v>89</v>
      </c>
      <c r="F232" s="9" t="s">
        <v>80</v>
      </c>
      <c r="G232" s="9" t="s">
        <v>43</v>
      </c>
      <c r="H232" s="9" t="s">
        <v>44</v>
      </c>
      <c r="I232" s="11" t="s">
        <v>101</v>
      </c>
      <c r="J232" s="9" t="s">
        <v>102</v>
      </c>
      <c r="K232" s="9" t="s">
        <v>47</v>
      </c>
      <c r="L232" s="9" t="s">
        <v>1128</v>
      </c>
      <c r="M232" s="9" t="s">
        <v>1129</v>
      </c>
      <c r="N232" s="9" t="s">
        <v>50</v>
      </c>
      <c r="O232" s="9" t="s">
        <v>51</v>
      </c>
      <c r="P232" s="9" t="s">
        <v>447</v>
      </c>
      <c r="Q232" s="9"/>
      <c r="R232" s="9"/>
      <c r="S232" s="14" t="s">
        <v>1130</v>
      </c>
      <c r="T232" s="9" t="s">
        <v>1131</v>
      </c>
      <c r="U232" s="9" t="s">
        <v>54</v>
      </c>
      <c r="V232" s="9" t="s">
        <v>55</v>
      </c>
      <c r="W232" s="9" t="s">
        <v>55</v>
      </c>
      <c r="X232" s="12"/>
      <c r="Y232" s="9" t="s">
        <v>55</v>
      </c>
      <c r="Z232" s="13"/>
    </row>
    <row r="233" spans="1:26" ht="32.25" hidden="1" customHeight="1">
      <c r="A233" s="8">
        <v>2300808</v>
      </c>
      <c r="B233" s="9" t="s">
        <v>1132</v>
      </c>
      <c r="C233" s="10">
        <v>45142</v>
      </c>
      <c r="D233" s="9" t="s">
        <v>67</v>
      </c>
      <c r="E233" s="9" t="s">
        <v>143</v>
      </c>
      <c r="F233" s="9" t="s">
        <v>42</v>
      </c>
      <c r="G233" s="9" t="s">
        <v>43</v>
      </c>
      <c r="H233" s="9" t="s">
        <v>44</v>
      </c>
      <c r="I233" s="11" t="s">
        <v>334</v>
      </c>
      <c r="J233" s="9" t="s">
        <v>327</v>
      </c>
      <c r="K233" s="9" t="s">
        <v>47</v>
      </c>
      <c r="L233" s="9" t="s">
        <v>156</v>
      </c>
      <c r="M233" s="9"/>
      <c r="N233" s="9" t="s">
        <v>50</v>
      </c>
      <c r="O233" s="9" t="s">
        <v>51</v>
      </c>
      <c r="P233" s="9" t="s">
        <v>336</v>
      </c>
      <c r="Q233" s="9"/>
      <c r="R233" s="9"/>
      <c r="S233" s="9" t="s">
        <v>1133</v>
      </c>
      <c r="T233" s="9" t="s">
        <v>1134</v>
      </c>
      <c r="U233" s="9" t="s">
        <v>54</v>
      </c>
      <c r="V233" s="9" t="s">
        <v>55</v>
      </c>
      <c r="W233" s="9" t="s">
        <v>55</v>
      </c>
      <c r="X233" s="12"/>
      <c r="Y233" s="9" t="s">
        <v>55</v>
      </c>
      <c r="Z233" s="13"/>
    </row>
    <row r="234" spans="1:26" ht="32.25" hidden="1" customHeight="1">
      <c r="A234" s="8">
        <v>2312422</v>
      </c>
      <c r="B234" s="9" t="s">
        <v>1135</v>
      </c>
      <c r="C234" s="10">
        <v>45149</v>
      </c>
      <c r="D234" s="9" t="s">
        <v>261</v>
      </c>
      <c r="E234" s="9" t="s">
        <v>143</v>
      </c>
      <c r="F234" s="9" t="s">
        <v>262</v>
      </c>
      <c r="G234" s="9" t="s">
        <v>43</v>
      </c>
      <c r="H234" s="9" t="s">
        <v>44</v>
      </c>
      <c r="I234" s="11" t="s">
        <v>1136</v>
      </c>
      <c r="J234" s="9" t="s">
        <v>1137</v>
      </c>
      <c r="K234" s="9" t="s">
        <v>47</v>
      </c>
      <c r="L234" s="9" t="s">
        <v>221</v>
      </c>
      <c r="M234" s="9" t="s">
        <v>1138</v>
      </c>
      <c r="N234" s="9" t="s">
        <v>50</v>
      </c>
      <c r="O234" s="9" t="s">
        <v>51</v>
      </c>
      <c r="P234" s="9"/>
      <c r="Q234" s="9"/>
      <c r="R234" s="9" t="s">
        <v>61</v>
      </c>
      <c r="S234" s="14" t="s">
        <v>1139</v>
      </c>
      <c r="T234" s="9" t="s">
        <v>1140</v>
      </c>
      <c r="U234" s="9" t="s">
        <v>262</v>
      </c>
      <c r="V234" s="9" t="s">
        <v>55</v>
      </c>
      <c r="W234" s="9" t="s">
        <v>55</v>
      </c>
      <c r="X234" s="12" t="s">
        <v>389</v>
      </c>
      <c r="Y234" s="9" t="s">
        <v>390</v>
      </c>
      <c r="Z234" s="13"/>
    </row>
    <row r="235" spans="1:26" ht="32.25" hidden="1" customHeight="1">
      <c r="A235" s="8">
        <v>2301747</v>
      </c>
      <c r="B235" s="9" t="s">
        <v>1141</v>
      </c>
      <c r="C235" s="10">
        <v>45156</v>
      </c>
      <c r="D235" s="9" t="s">
        <v>79</v>
      </c>
      <c r="E235" s="9" t="s">
        <v>143</v>
      </c>
      <c r="F235" s="9" t="s">
        <v>80</v>
      </c>
      <c r="G235" s="9" t="s">
        <v>43</v>
      </c>
      <c r="H235" s="9" t="s">
        <v>44</v>
      </c>
      <c r="I235" s="11" t="s">
        <v>326</v>
      </c>
      <c r="J235" s="9" t="s">
        <v>327</v>
      </c>
      <c r="K235" s="9" t="s">
        <v>47</v>
      </c>
      <c r="L235" s="9" t="s">
        <v>221</v>
      </c>
      <c r="M235" s="9" t="s">
        <v>1142</v>
      </c>
      <c r="N235" s="9" t="s">
        <v>84</v>
      </c>
      <c r="O235" s="9" t="s">
        <v>51</v>
      </c>
      <c r="P235" s="9" t="s">
        <v>1143</v>
      </c>
      <c r="Q235" s="9"/>
      <c r="R235" s="9" t="s">
        <v>61</v>
      </c>
      <c r="S235" s="14" t="s">
        <v>1144</v>
      </c>
      <c r="T235" s="9" t="s">
        <v>1145</v>
      </c>
      <c r="U235" s="9" t="s">
        <v>54</v>
      </c>
      <c r="V235" s="9" t="s">
        <v>370</v>
      </c>
      <c r="W235" s="9" t="s">
        <v>115</v>
      </c>
      <c r="X235" s="12" t="s">
        <v>150</v>
      </c>
      <c r="Y235" s="9" t="s">
        <v>151</v>
      </c>
      <c r="Z235" s="13"/>
    </row>
    <row r="236" spans="1:26" ht="32.25" hidden="1" customHeight="1">
      <c r="A236" s="8">
        <v>2308878</v>
      </c>
      <c r="B236" s="9" t="s">
        <v>1146</v>
      </c>
      <c r="C236" s="10">
        <v>45149</v>
      </c>
      <c r="D236" s="9" t="s">
        <v>57</v>
      </c>
      <c r="E236" s="9" t="s">
        <v>41</v>
      </c>
      <c r="F236" s="9" t="s">
        <v>42</v>
      </c>
      <c r="G236" s="9" t="s">
        <v>43</v>
      </c>
      <c r="H236" s="9" t="s">
        <v>58</v>
      </c>
      <c r="I236" s="11" t="s">
        <v>661</v>
      </c>
      <c r="J236" s="9" t="s">
        <v>662</v>
      </c>
      <c r="K236" s="9" t="s">
        <v>47</v>
      </c>
      <c r="L236" s="9" t="s">
        <v>1040</v>
      </c>
      <c r="M236" s="9" t="s">
        <v>1147</v>
      </c>
      <c r="N236" s="9" t="s">
        <v>50</v>
      </c>
      <c r="O236" s="9" t="s">
        <v>51</v>
      </c>
      <c r="P236" s="9"/>
      <c r="Q236" s="9"/>
      <c r="R236" s="9" t="s">
        <v>61</v>
      </c>
      <c r="S236" s="14" t="s">
        <v>1148</v>
      </c>
      <c r="T236" s="9" t="s">
        <v>1149</v>
      </c>
      <c r="U236" s="9" t="s">
        <v>54</v>
      </c>
      <c r="V236" s="9" t="s">
        <v>55</v>
      </c>
      <c r="W236" s="9" t="s">
        <v>55</v>
      </c>
      <c r="X236" s="9" t="s">
        <v>64</v>
      </c>
      <c r="Y236" s="9" t="s">
        <v>65</v>
      </c>
      <c r="Z236" s="13"/>
    </row>
    <row r="237" spans="1:26" ht="32.25" hidden="1" customHeight="1">
      <c r="A237" s="8">
        <v>2311998</v>
      </c>
      <c r="B237" s="9" t="s">
        <v>1150</v>
      </c>
      <c r="C237" s="10">
        <v>45156</v>
      </c>
      <c r="D237" s="9" t="s">
        <v>79</v>
      </c>
      <c r="E237" s="9" t="s">
        <v>89</v>
      </c>
      <c r="F237" s="9" t="s">
        <v>80</v>
      </c>
      <c r="G237" s="9" t="s">
        <v>43</v>
      </c>
      <c r="H237" s="9" t="s">
        <v>44</v>
      </c>
      <c r="I237" s="11" t="s">
        <v>90</v>
      </c>
      <c r="J237" s="9" t="s">
        <v>91</v>
      </c>
      <c r="K237" s="9" t="s">
        <v>47</v>
      </c>
      <c r="L237" s="9" t="s">
        <v>799</v>
      </c>
      <c r="M237" s="9" t="s">
        <v>1151</v>
      </c>
      <c r="N237" s="9" t="s">
        <v>50</v>
      </c>
      <c r="O237" s="9" t="s">
        <v>51</v>
      </c>
      <c r="P237" s="9" t="s">
        <v>498</v>
      </c>
      <c r="Q237" s="9"/>
      <c r="R237" s="9" t="s">
        <v>61</v>
      </c>
      <c r="S237" s="14" t="s">
        <v>1152</v>
      </c>
      <c r="T237" s="9" t="s">
        <v>1153</v>
      </c>
      <c r="U237" s="9" t="s">
        <v>54</v>
      </c>
      <c r="V237" s="9" t="s">
        <v>55</v>
      </c>
      <c r="W237" s="9" t="s">
        <v>55</v>
      </c>
      <c r="X237" s="12" t="s">
        <v>98</v>
      </c>
      <c r="Y237" s="9" t="s">
        <v>99</v>
      </c>
      <c r="Z237" s="13"/>
    </row>
    <row r="238" spans="1:26" ht="32.25" hidden="1" customHeight="1">
      <c r="A238" s="8">
        <v>2310908</v>
      </c>
      <c r="B238" s="9" t="s">
        <v>1154</v>
      </c>
      <c r="C238" s="10">
        <v>45136</v>
      </c>
      <c r="D238" s="9" t="s">
        <v>40</v>
      </c>
      <c r="E238" s="9" t="s">
        <v>41</v>
      </c>
      <c r="F238" s="9" t="s">
        <v>42</v>
      </c>
      <c r="G238" s="9" t="s">
        <v>43</v>
      </c>
      <c r="H238" s="9" t="s">
        <v>44</v>
      </c>
      <c r="I238" s="11" t="s">
        <v>45</v>
      </c>
      <c r="J238" s="9" t="s">
        <v>46</v>
      </c>
      <c r="K238" s="9" t="s">
        <v>47</v>
      </c>
      <c r="L238" s="9" t="s">
        <v>174</v>
      </c>
      <c r="M238" s="9" t="s">
        <v>644</v>
      </c>
      <c r="N238" s="9" t="s">
        <v>50</v>
      </c>
      <c r="O238" s="9" t="s">
        <v>51</v>
      </c>
      <c r="P238" s="9"/>
      <c r="Q238" s="9"/>
      <c r="R238" s="9"/>
      <c r="S238" s="9" t="s">
        <v>1155</v>
      </c>
      <c r="T238" s="9" t="s">
        <v>1156</v>
      </c>
      <c r="U238" s="9" t="s">
        <v>54</v>
      </c>
      <c r="V238" s="9" t="s">
        <v>55</v>
      </c>
      <c r="W238" s="9" t="s">
        <v>55</v>
      </c>
      <c r="X238" s="12"/>
      <c r="Y238" s="9" t="s">
        <v>55</v>
      </c>
      <c r="Z238" s="13"/>
    </row>
    <row r="239" spans="1:26" ht="32.25" hidden="1" customHeight="1">
      <c r="A239" s="8">
        <v>2315405</v>
      </c>
      <c r="B239" s="9" t="s">
        <v>1157</v>
      </c>
      <c r="C239" s="10">
        <v>45152</v>
      </c>
      <c r="D239" s="9" t="s">
        <v>185</v>
      </c>
      <c r="E239" s="9" t="s">
        <v>41</v>
      </c>
      <c r="F239" s="9" t="s">
        <v>42</v>
      </c>
      <c r="G239" s="9" t="s">
        <v>43</v>
      </c>
      <c r="H239" s="9" t="s">
        <v>44</v>
      </c>
      <c r="I239" s="11" t="s">
        <v>1073</v>
      </c>
      <c r="J239" s="9" t="s">
        <v>479</v>
      </c>
      <c r="K239" s="9" t="s">
        <v>1158</v>
      </c>
      <c r="L239" s="9"/>
      <c r="M239" s="9" t="s">
        <v>1159</v>
      </c>
      <c r="N239" s="9" t="s">
        <v>50</v>
      </c>
      <c r="O239" s="9" t="s">
        <v>187</v>
      </c>
      <c r="P239" s="9"/>
      <c r="Q239" s="9"/>
      <c r="R239" s="9" t="s">
        <v>61</v>
      </c>
      <c r="S239" s="14" t="s">
        <v>1160</v>
      </c>
      <c r="T239" s="9" t="s">
        <v>1161</v>
      </c>
      <c r="U239" s="9" t="s">
        <v>54</v>
      </c>
      <c r="V239" s="9" t="s">
        <v>55</v>
      </c>
      <c r="W239" s="9" t="s">
        <v>55</v>
      </c>
      <c r="X239" s="9" t="s">
        <v>196</v>
      </c>
      <c r="Y239" s="9" t="s">
        <v>197</v>
      </c>
      <c r="Z239" s="13"/>
    </row>
    <row r="240" spans="1:26" ht="32.25" hidden="1" customHeight="1">
      <c r="A240" s="8">
        <v>2303361</v>
      </c>
      <c r="B240" s="9" t="s">
        <v>1162</v>
      </c>
      <c r="C240" s="10">
        <v>45149</v>
      </c>
      <c r="D240" s="9" t="s">
        <v>57</v>
      </c>
      <c r="E240" s="9" t="s">
        <v>41</v>
      </c>
      <c r="F240" s="9" t="s">
        <v>42</v>
      </c>
      <c r="G240" s="9" t="s">
        <v>43</v>
      </c>
      <c r="H240" s="9" t="s">
        <v>58</v>
      </c>
      <c r="I240" s="11" t="s">
        <v>129</v>
      </c>
      <c r="J240" s="9" t="s">
        <v>130</v>
      </c>
      <c r="K240" s="9" t="s">
        <v>47</v>
      </c>
      <c r="L240" s="9" t="s">
        <v>156</v>
      </c>
      <c r="M240" s="9"/>
      <c r="N240" s="9" t="s">
        <v>84</v>
      </c>
      <c r="O240" s="9" t="s">
        <v>51</v>
      </c>
      <c r="P240" s="9"/>
      <c r="Q240" s="9"/>
      <c r="R240" s="9"/>
      <c r="S240" s="14" t="s">
        <v>1163</v>
      </c>
      <c r="T240" s="9" t="s">
        <v>1164</v>
      </c>
      <c r="U240" s="9" t="s">
        <v>54</v>
      </c>
      <c r="V240" s="9" t="s">
        <v>55</v>
      </c>
      <c r="W240" s="9" t="s">
        <v>55</v>
      </c>
      <c r="X240" s="12"/>
      <c r="Y240" s="9" t="s">
        <v>55</v>
      </c>
      <c r="Z240" s="13"/>
    </row>
    <row r="241" spans="1:26" ht="32.25" hidden="1" customHeight="1">
      <c r="A241" s="8">
        <v>2302517</v>
      </c>
      <c r="B241" s="9" t="s">
        <v>1165</v>
      </c>
      <c r="C241" s="10">
        <v>45142</v>
      </c>
      <c r="D241" s="9" t="s">
        <v>67</v>
      </c>
      <c r="E241" s="9" t="s">
        <v>68</v>
      </c>
      <c r="F241" s="9" t="s">
        <v>135</v>
      </c>
      <c r="G241" s="9" t="s">
        <v>43</v>
      </c>
      <c r="H241" s="9" t="s">
        <v>44</v>
      </c>
      <c r="I241" s="11" t="s">
        <v>136</v>
      </c>
      <c r="J241" s="9" t="s">
        <v>137</v>
      </c>
      <c r="K241" s="9" t="s">
        <v>47</v>
      </c>
      <c r="L241" s="9" t="s">
        <v>48</v>
      </c>
      <c r="M241" s="9" t="s">
        <v>1166</v>
      </c>
      <c r="N241" s="9" t="s">
        <v>50</v>
      </c>
      <c r="O241" s="9" t="s">
        <v>51</v>
      </c>
      <c r="P241" s="9"/>
      <c r="Q241" s="9"/>
      <c r="R241" s="9"/>
      <c r="S241" s="9" t="s">
        <v>1167</v>
      </c>
      <c r="T241" s="9" t="s">
        <v>1168</v>
      </c>
      <c r="U241" s="9" t="s">
        <v>54</v>
      </c>
      <c r="V241" s="9" t="s">
        <v>55</v>
      </c>
      <c r="W241" s="9" t="s">
        <v>55</v>
      </c>
      <c r="X241" s="12"/>
      <c r="Y241" s="9" t="s">
        <v>55</v>
      </c>
      <c r="Z241" s="13"/>
    </row>
    <row r="242" spans="1:26" ht="32.25" hidden="1" customHeight="1">
      <c r="A242" s="8">
        <v>2306598</v>
      </c>
      <c r="B242" s="9" t="s">
        <v>1169</v>
      </c>
      <c r="C242" s="10">
        <v>45142</v>
      </c>
      <c r="D242" s="9" t="s">
        <v>67</v>
      </c>
      <c r="E242" s="9" t="s">
        <v>143</v>
      </c>
      <c r="F242" s="9" t="s">
        <v>42</v>
      </c>
      <c r="G242" s="9" t="s">
        <v>43</v>
      </c>
      <c r="H242" s="9" t="s">
        <v>44</v>
      </c>
      <c r="I242" s="11" t="s">
        <v>219</v>
      </c>
      <c r="J242" s="9" t="s">
        <v>220</v>
      </c>
      <c r="K242" s="9" t="s">
        <v>47</v>
      </c>
      <c r="L242" s="9" t="s">
        <v>156</v>
      </c>
      <c r="M242" s="9"/>
      <c r="N242" s="9" t="s">
        <v>50</v>
      </c>
      <c r="O242" s="9" t="s">
        <v>51</v>
      </c>
      <c r="P242" s="9"/>
      <c r="Q242" s="9"/>
      <c r="R242" s="9"/>
      <c r="S242" s="9" t="s">
        <v>1170</v>
      </c>
      <c r="T242" s="9" t="s">
        <v>1171</v>
      </c>
      <c r="U242" s="9" t="s">
        <v>54</v>
      </c>
      <c r="V242" s="9" t="s">
        <v>55</v>
      </c>
      <c r="W242" s="9" t="s">
        <v>55</v>
      </c>
      <c r="X242" s="12"/>
      <c r="Y242" s="9" t="s">
        <v>55</v>
      </c>
      <c r="Z242" s="13"/>
    </row>
    <row r="243" spans="1:26" ht="32.25" hidden="1" customHeight="1">
      <c r="A243" s="8">
        <v>2304518</v>
      </c>
      <c r="B243" s="9" t="s">
        <v>1172</v>
      </c>
      <c r="C243" s="10">
        <v>45136</v>
      </c>
      <c r="D243" s="9" t="s">
        <v>40</v>
      </c>
      <c r="E243" s="9" t="s">
        <v>41</v>
      </c>
      <c r="F243" s="9" t="s">
        <v>42</v>
      </c>
      <c r="G243" s="9" t="s">
        <v>43</v>
      </c>
      <c r="H243" s="9" t="s">
        <v>44</v>
      </c>
      <c r="I243" s="11" t="s">
        <v>661</v>
      </c>
      <c r="J243" s="9" t="s">
        <v>662</v>
      </c>
      <c r="K243" s="9" t="s">
        <v>47</v>
      </c>
      <c r="L243" s="9" t="s">
        <v>156</v>
      </c>
      <c r="M243" s="9"/>
      <c r="N243" s="9" t="s">
        <v>50</v>
      </c>
      <c r="O243" s="9" t="s">
        <v>51</v>
      </c>
      <c r="P243" s="9"/>
      <c r="Q243" s="9"/>
      <c r="R243" s="9"/>
      <c r="S243" s="9" t="s">
        <v>1173</v>
      </c>
      <c r="T243" s="9" t="s">
        <v>1174</v>
      </c>
      <c r="U243" s="9" t="s">
        <v>54</v>
      </c>
      <c r="V243" s="9" t="s">
        <v>55</v>
      </c>
      <c r="W243" s="9" t="s">
        <v>55</v>
      </c>
      <c r="X243" s="12"/>
      <c r="Y243" s="9" t="s">
        <v>55</v>
      </c>
      <c r="Z243" s="13"/>
    </row>
    <row r="244" spans="1:26" ht="32.25" hidden="1" customHeight="1">
      <c r="A244" s="8">
        <v>2314457</v>
      </c>
      <c r="B244" s="9" t="s">
        <v>1175</v>
      </c>
      <c r="C244" s="10">
        <v>45156</v>
      </c>
      <c r="D244" s="9" t="s">
        <v>79</v>
      </c>
      <c r="E244" s="9" t="s">
        <v>68</v>
      </c>
      <c r="F244" s="9" t="s">
        <v>80</v>
      </c>
      <c r="G244" s="9" t="s">
        <v>43</v>
      </c>
      <c r="H244" s="9" t="s">
        <v>44</v>
      </c>
      <c r="I244" s="11" t="s">
        <v>90</v>
      </c>
      <c r="J244" s="9" t="s">
        <v>91</v>
      </c>
      <c r="K244" s="9" t="s">
        <v>47</v>
      </c>
      <c r="L244" s="9" t="s">
        <v>71</v>
      </c>
      <c r="M244" s="9" t="s">
        <v>1176</v>
      </c>
      <c r="N244" s="9" t="s">
        <v>50</v>
      </c>
      <c r="O244" s="9" t="s">
        <v>51</v>
      </c>
      <c r="P244" s="9" t="s">
        <v>273</v>
      </c>
      <c r="Q244" s="9"/>
      <c r="R244" s="9" t="s">
        <v>61</v>
      </c>
      <c r="S244" s="14" t="s">
        <v>1177</v>
      </c>
      <c r="T244" s="9" t="s">
        <v>1178</v>
      </c>
      <c r="U244" s="9" t="s">
        <v>54</v>
      </c>
      <c r="V244" s="9" t="s">
        <v>55</v>
      </c>
      <c r="W244" s="9" t="s">
        <v>55</v>
      </c>
      <c r="X244" s="12" t="s">
        <v>196</v>
      </c>
      <c r="Y244" s="9" t="s">
        <v>197</v>
      </c>
      <c r="Z244" s="13"/>
    </row>
    <row r="245" spans="1:26" ht="32.25" hidden="1" customHeight="1">
      <c r="A245" s="8">
        <v>2305093</v>
      </c>
      <c r="B245" s="9" t="s">
        <v>1179</v>
      </c>
      <c r="C245" s="10">
        <v>45149</v>
      </c>
      <c r="D245" s="9" t="s">
        <v>57</v>
      </c>
      <c r="E245" s="9" t="s">
        <v>41</v>
      </c>
      <c r="F245" s="9" t="s">
        <v>42</v>
      </c>
      <c r="G245" s="9" t="s">
        <v>43</v>
      </c>
      <c r="H245" s="9" t="s">
        <v>58</v>
      </c>
      <c r="I245" s="11" t="s">
        <v>45</v>
      </c>
      <c r="J245" s="9" t="s">
        <v>46</v>
      </c>
      <c r="K245" s="9" t="s">
        <v>47</v>
      </c>
      <c r="L245" s="9" t="s">
        <v>48</v>
      </c>
      <c r="M245" s="9"/>
      <c r="N245" s="9" t="s">
        <v>50</v>
      </c>
      <c r="O245" s="9" t="s">
        <v>51</v>
      </c>
      <c r="P245" s="9"/>
      <c r="Q245" s="9"/>
      <c r="R245" s="9"/>
      <c r="S245" s="14" t="s">
        <v>1180</v>
      </c>
      <c r="T245" s="9" t="s">
        <v>1181</v>
      </c>
      <c r="U245" s="9" t="s">
        <v>54</v>
      </c>
      <c r="V245" s="9" t="s">
        <v>55</v>
      </c>
      <c r="W245" s="9" t="s">
        <v>55</v>
      </c>
      <c r="X245" s="12"/>
      <c r="Y245" s="9" t="s">
        <v>55</v>
      </c>
      <c r="Z245" s="13"/>
    </row>
    <row r="246" spans="1:26" ht="32.25" hidden="1" customHeight="1">
      <c r="A246" s="8">
        <v>2310483</v>
      </c>
      <c r="B246" s="9" t="s">
        <v>1182</v>
      </c>
      <c r="C246" s="10">
        <v>45142</v>
      </c>
      <c r="D246" s="9" t="s">
        <v>67</v>
      </c>
      <c r="E246" s="9" t="s">
        <v>68</v>
      </c>
      <c r="F246" s="9" t="s">
        <v>135</v>
      </c>
      <c r="G246" s="9" t="s">
        <v>43</v>
      </c>
      <c r="H246" s="9" t="s">
        <v>44</v>
      </c>
      <c r="I246" s="11" t="s">
        <v>136</v>
      </c>
      <c r="J246" s="9" t="s">
        <v>137</v>
      </c>
      <c r="K246" s="9" t="s">
        <v>47</v>
      </c>
      <c r="L246" s="9" t="s">
        <v>174</v>
      </c>
      <c r="M246" s="9" t="s">
        <v>644</v>
      </c>
      <c r="N246" s="9" t="s">
        <v>84</v>
      </c>
      <c r="O246" s="9" t="s">
        <v>51</v>
      </c>
      <c r="P246" s="9"/>
      <c r="Q246" s="9"/>
      <c r="R246" s="9" t="s">
        <v>61</v>
      </c>
      <c r="S246" s="9" t="s">
        <v>1183</v>
      </c>
      <c r="T246" s="9" t="s">
        <v>1184</v>
      </c>
      <c r="U246" s="9" t="s">
        <v>54</v>
      </c>
      <c r="V246" s="9" t="s">
        <v>55</v>
      </c>
      <c r="W246" s="9" t="s">
        <v>55</v>
      </c>
      <c r="X246" s="12" t="s">
        <v>76</v>
      </c>
      <c r="Y246" s="9" t="s">
        <v>77</v>
      </c>
      <c r="Z246" s="13"/>
    </row>
    <row r="247" spans="1:26" ht="32.25" hidden="1" customHeight="1">
      <c r="A247" s="8">
        <v>2302460</v>
      </c>
      <c r="B247" s="9" t="s">
        <v>1185</v>
      </c>
      <c r="C247" s="10">
        <v>45156</v>
      </c>
      <c r="D247" s="9" t="s">
        <v>79</v>
      </c>
      <c r="E247" s="9" t="s">
        <v>89</v>
      </c>
      <c r="F247" s="9" t="s">
        <v>80</v>
      </c>
      <c r="G247" s="9" t="s">
        <v>43</v>
      </c>
      <c r="H247" s="9" t="s">
        <v>44</v>
      </c>
      <c r="I247" s="11" t="s">
        <v>365</v>
      </c>
      <c r="J247" s="9" t="s">
        <v>366</v>
      </c>
      <c r="K247" s="9" t="s">
        <v>47</v>
      </c>
      <c r="L247" s="9" t="s">
        <v>340</v>
      </c>
      <c r="M247" s="9" t="s">
        <v>1186</v>
      </c>
      <c r="N247" s="9" t="s">
        <v>84</v>
      </c>
      <c r="O247" s="9" t="s">
        <v>51</v>
      </c>
      <c r="P247" s="9" t="s">
        <v>367</v>
      </c>
      <c r="Q247" s="9"/>
      <c r="R247" s="9" t="s">
        <v>61</v>
      </c>
      <c r="S247" s="14" t="s">
        <v>1187</v>
      </c>
      <c r="T247" s="9" t="s">
        <v>1188</v>
      </c>
      <c r="U247" s="9" t="s">
        <v>54</v>
      </c>
      <c r="V247" s="9" t="s">
        <v>711</v>
      </c>
      <c r="W247" s="9" t="s">
        <v>115</v>
      </c>
      <c r="X247" s="12" t="s">
        <v>98</v>
      </c>
      <c r="Y247" s="9" t="s">
        <v>99</v>
      </c>
      <c r="Z247" s="13"/>
    </row>
    <row r="248" spans="1:26" ht="32.25" hidden="1" customHeight="1">
      <c r="A248" s="8">
        <v>2302021</v>
      </c>
      <c r="B248" s="9" t="s">
        <v>1189</v>
      </c>
      <c r="C248" s="10">
        <v>45142</v>
      </c>
      <c r="D248" s="9" t="s">
        <v>67</v>
      </c>
      <c r="E248" s="9" t="s">
        <v>68</v>
      </c>
      <c r="F248" s="9" t="s">
        <v>135</v>
      </c>
      <c r="G248" s="9" t="s">
        <v>43</v>
      </c>
      <c r="H248" s="9" t="s">
        <v>44</v>
      </c>
      <c r="I248" s="11" t="s">
        <v>136</v>
      </c>
      <c r="J248" s="9" t="s">
        <v>137</v>
      </c>
      <c r="K248" s="9" t="s">
        <v>47</v>
      </c>
      <c r="L248" s="9" t="s">
        <v>174</v>
      </c>
      <c r="M248" s="9" t="s">
        <v>1190</v>
      </c>
      <c r="N248" s="9" t="s">
        <v>84</v>
      </c>
      <c r="O248" s="9" t="s">
        <v>51</v>
      </c>
      <c r="P248" s="9"/>
      <c r="Q248" s="9"/>
      <c r="R248" s="9" t="s">
        <v>61</v>
      </c>
      <c r="S248" s="9" t="s">
        <v>1191</v>
      </c>
      <c r="T248" s="9" t="s">
        <v>1192</v>
      </c>
      <c r="U248" s="9" t="s">
        <v>54</v>
      </c>
      <c r="V248" s="9" t="s">
        <v>55</v>
      </c>
      <c r="W248" s="9" t="s">
        <v>55</v>
      </c>
      <c r="X248" s="12" t="s">
        <v>76</v>
      </c>
      <c r="Y248" s="9" t="s">
        <v>77</v>
      </c>
      <c r="Z248" s="13"/>
    </row>
    <row r="249" spans="1:26" ht="32.25" hidden="1" customHeight="1">
      <c r="A249" s="8">
        <v>2303760</v>
      </c>
      <c r="B249" s="9" t="s">
        <v>1193</v>
      </c>
      <c r="C249" s="10">
        <v>45142</v>
      </c>
      <c r="D249" s="9" t="s">
        <v>67</v>
      </c>
      <c r="E249" s="9" t="s">
        <v>41</v>
      </c>
      <c r="F249" s="9" t="s">
        <v>42</v>
      </c>
      <c r="G249" s="9" t="s">
        <v>43</v>
      </c>
      <c r="H249" s="9" t="s">
        <v>44</v>
      </c>
      <c r="I249" s="11" t="s">
        <v>661</v>
      </c>
      <c r="J249" s="9" t="s">
        <v>662</v>
      </c>
      <c r="K249" s="9" t="s">
        <v>47</v>
      </c>
      <c r="L249" s="9" t="s">
        <v>204</v>
      </c>
      <c r="M249" s="9" t="s">
        <v>1194</v>
      </c>
      <c r="N249" s="9" t="s">
        <v>50</v>
      </c>
      <c r="O249" s="9" t="s">
        <v>51</v>
      </c>
      <c r="P249" s="9"/>
      <c r="Q249" s="9"/>
      <c r="R249" s="9" t="s">
        <v>61</v>
      </c>
      <c r="S249" s="9" t="s">
        <v>1195</v>
      </c>
      <c r="T249" s="9" t="s">
        <v>1196</v>
      </c>
      <c r="U249" s="9" t="s">
        <v>54</v>
      </c>
      <c r="V249" s="9" t="s">
        <v>55</v>
      </c>
      <c r="W249" s="9" t="s">
        <v>55</v>
      </c>
      <c r="X249" s="9" t="s">
        <v>64</v>
      </c>
      <c r="Y249" s="9" t="s">
        <v>65</v>
      </c>
      <c r="Z249" s="13"/>
    </row>
    <row r="250" spans="1:26" ht="32.25" hidden="1" customHeight="1">
      <c r="A250" s="8">
        <v>2302638</v>
      </c>
      <c r="B250" s="9" t="s">
        <v>1197</v>
      </c>
      <c r="C250" s="10">
        <v>45149</v>
      </c>
      <c r="D250" s="9" t="s">
        <v>57</v>
      </c>
      <c r="E250" s="9" t="s">
        <v>295</v>
      </c>
      <c r="F250" s="9" t="s">
        <v>42</v>
      </c>
      <c r="G250" s="9" t="s">
        <v>43</v>
      </c>
      <c r="H250" s="9" t="s">
        <v>58</v>
      </c>
      <c r="I250" s="11" t="s">
        <v>406</v>
      </c>
      <c r="J250" s="9" t="s">
        <v>407</v>
      </c>
      <c r="K250" s="9" t="s">
        <v>47</v>
      </c>
      <c r="L250" s="9" t="s">
        <v>82</v>
      </c>
      <c r="M250" s="9" t="s">
        <v>1198</v>
      </c>
      <c r="N250" s="9" t="s">
        <v>50</v>
      </c>
      <c r="O250" s="9" t="s">
        <v>51</v>
      </c>
      <c r="P250" s="9"/>
      <c r="Q250" s="9"/>
      <c r="R250" s="9"/>
      <c r="S250" s="14" t="s">
        <v>1199</v>
      </c>
      <c r="T250" s="9" t="s">
        <v>1200</v>
      </c>
      <c r="U250" s="9" t="s">
        <v>54</v>
      </c>
      <c r="V250" s="9" t="s">
        <v>55</v>
      </c>
      <c r="W250" s="9" t="s">
        <v>55</v>
      </c>
      <c r="X250" s="12"/>
      <c r="Y250" s="9" t="s">
        <v>55</v>
      </c>
      <c r="Z250" s="13"/>
    </row>
    <row r="251" spans="1:26" ht="32.25" hidden="1" customHeight="1">
      <c r="A251" s="8">
        <v>2308178</v>
      </c>
      <c r="B251" s="9" t="s">
        <v>1201</v>
      </c>
      <c r="C251" s="10">
        <v>45142</v>
      </c>
      <c r="D251" s="9" t="s">
        <v>67</v>
      </c>
      <c r="E251" s="9" t="s">
        <v>68</v>
      </c>
      <c r="F251" s="9" t="s">
        <v>135</v>
      </c>
      <c r="G251" s="9" t="s">
        <v>43</v>
      </c>
      <c r="H251" s="9" t="s">
        <v>44</v>
      </c>
      <c r="I251" s="11" t="s">
        <v>136</v>
      </c>
      <c r="J251" s="9" t="s">
        <v>137</v>
      </c>
      <c r="K251" s="9" t="s">
        <v>47</v>
      </c>
      <c r="L251" s="9" t="s">
        <v>1202</v>
      </c>
      <c r="M251" s="9" t="s">
        <v>1203</v>
      </c>
      <c r="N251" s="9" t="s">
        <v>50</v>
      </c>
      <c r="O251" s="9" t="s">
        <v>51</v>
      </c>
      <c r="P251" s="9"/>
      <c r="Q251" s="9"/>
      <c r="R251" s="9" t="s">
        <v>61</v>
      </c>
      <c r="S251" s="9" t="s">
        <v>1204</v>
      </c>
      <c r="T251" s="9" t="s">
        <v>1205</v>
      </c>
      <c r="U251" s="9" t="s">
        <v>54</v>
      </c>
      <c r="V251" s="9" t="s">
        <v>55</v>
      </c>
      <c r="W251" s="9" t="s">
        <v>55</v>
      </c>
      <c r="X251" s="12" t="s">
        <v>76</v>
      </c>
      <c r="Y251" s="9" t="s">
        <v>77</v>
      </c>
      <c r="Z251" s="13"/>
    </row>
    <row r="252" spans="1:26" ht="32.25" hidden="1" customHeight="1">
      <c r="A252" s="8">
        <v>2310084</v>
      </c>
      <c r="B252" s="9" t="s">
        <v>1206</v>
      </c>
      <c r="C252" s="10">
        <v>45149</v>
      </c>
      <c r="D252" s="9" t="s">
        <v>57</v>
      </c>
      <c r="E252" s="9" t="s">
        <v>295</v>
      </c>
      <c r="F252" s="9" t="s">
        <v>42</v>
      </c>
      <c r="G252" s="9" t="s">
        <v>43</v>
      </c>
      <c r="H252" s="9" t="s">
        <v>58</v>
      </c>
      <c r="I252" s="11" t="s">
        <v>406</v>
      </c>
      <c r="J252" s="9" t="s">
        <v>407</v>
      </c>
      <c r="K252" s="9" t="s">
        <v>47</v>
      </c>
      <c r="L252" s="9" t="s">
        <v>156</v>
      </c>
      <c r="M252" s="9"/>
      <c r="N252" s="9" t="s">
        <v>50</v>
      </c>
      <c r="O252" s="9" t="s">
        <v>51</v>
      </c>
      <c r="P252" s="9"/>
      <c r="Q252" s="9"/>
      <c r="R252" s="9"/>
      <c r="S252" s="14" t="s">
        <v>1207</v>
      </c>
      <c r="T252" s="9" t="s">
        <v>1208</v>
      </c>
      <c r="U252" s="9" t="s">
        <v>54</v>
      </c>
      <c r="V252" s="9" t="s">
        <v>55</v>
      </c>
      <c r="W252" s="9" t="s">
        <v>55</v>
      </c>
      <c r="X252" s="12"/>
      <c r="Y252" s="9" t="s">
        <v>55</v>
      </c>
      <c r="Z252" s="13"/>
    </row>
    <row r="253" spans="1:26" ht="32.25" hidden="1" customHeight="1">
      <c r="A253" s="8">
        <v>2313977</v>
      </c>
      <c r="B253" s="9" t="s">
        <v>1209</v>
      </c>
      <c r="C253" s="10">
        <v>45149</v>
      </c>
      <c r="D253" s="9" t="s">
        <v>57</v>
      </c>
      <c r="E253" s="9" t="s">
        <v>41</v>
      </c>
      <c r="F253" s="9" t="s">
        <v>42</v>
      </c>
      <c r="G253" s="9" t="s">
        <v>43</v>
      </c>
      <c r="H253" s="9" t="s">
        <v>58</v>
      </c>
      <c r="I253" s="11" t="s">
        <v>45</v>
      </c>
      <c r="J253" s="9" t="s">
        <v>46</v>
      </c>
      <c r="K253" s="9" t="s">
        <v>47</v>
      </c>
      <c r="L253" s="9" t="s">
        <v>156</v>
      </c>
      <c r="M253" s="9"/>
      <c r="N253" s="9" t="s">
        <v>84</v>
      </c>
      <c r="O253" s="9" t="s">
        <v>51</v>
      </c>
      <c r="P253" s="9"/>
      <c r="Q253" s="9"/>
      <c r="R253" s="9"/>
      <c r="S253" s="14" t="s">
        <v>1210</v>
      </c>
      <c r="T253" s="9" t="s">
        <v>1211</v>
      </c>
      <c r="U253" s="9" t="s">
        <v>54</v>
      </c>
      <c r="V253" s="9" t="s">
        <v>55</v>
      </c>
      <c r="W253" s="9" t="s">
        <v>55</v>
      </c>
      <c r="X253" s="12"/>
      <c r="Y253" s="9" t="s">
        <v>55</v>
      </c>
      <c r="Z253" s="13"/>
    </row>
    <row r="254" spans="1:26" ht="32.25" hidden="1" customHeight="1">
      <c r="A254" s="8">
        <v>2309360</v>
      </c>
      <c r="B254" s="9" t="s">
        <v>1212</v>
      </c>
      <c r="C254" s="10">
        <v>45156</v>
      </c>
      <c r="D254" s="9" t="s">
        <v>79</v>
      </c>
      <c r="E254" s="9" t="s">
        <v>143</v>
      </c>
      <c r="F254" s="9" t="s">
        <v>80</v>
      </c>
      <c r="G254" s="9" t="s">
        <v>43</v>
      </c>
      <c r="H254" s="9" t="s">
        <v>44</v>
      </c>
      <c r="I254" s="11" t="s">
        <v>725</v>
      </c>
      <c r="J254" s="9" t="s">
        <v>145</v>
      </c>
      <c r="K254" s="9" t="s">
        <v>47</v>
      </c>
      <c r="L254" s="9" t="s">
        <v>713</v>
      </c>
      <c r="M254" s="9" t="s">
        <v>1213</v>
      </c>
      <c r="N254" s="9" t="s">
        <v>50</v>
      </c>
      <c r="O254" s="9" t="s">
        <v>51</v>
      </c>
      <c r="P254" s="9" t="s">
        <v>727</v>
      </c>
      <c r="Q254" s="9"/>
      <c r="R254" s="9" t="s">
        <v>61</v>
      </c>
      <c r="S254" s="14" t="s">
        <v>1214</v>
      </c>
      <c r="T254" s="9" t="s">
        <v>1215</v>
      </c>
      <c r="U254" s="9" t="s">
        <v>54</v>
      </c>
      <c r="V254" s="9" t="s">
        <v>251</v>
      </c>
      <c r="W254" s="9" t="s">
        <v>115</v>
      </c>
      <c r="X254" s="12" t="s">
        <v>171</v>
      </c>
      <c r="Y254" s="9" t="s">
        <v>172</v>
      </c>
      <c r="Z254" s="13"/>
    </row>
    <row r="255" spans="1:26" ht="32.25" hidden="1" customHeight="1">
      <c r="A255" s="8">
        <v>2304826</v>
      </c>
      <c r="B255" s="9" t="s">
        <v>1216</v>
      </c>
      <c r="C255" s="10">
        <v>45156</v>
      </c>
      <c r="D255" s="9" t="s">
        <v>79</v>
      </c>
      <c r="E255" s="9" t="s">
        <v>41</v>
      </c>
      <c r="F255" s="9" t="s">
        <v>80</v>
      </c>
      <c r="G255" s="9" t="s">
        <v>43</v>
      </c>
      <c r="H255" s="9" t="s">
        <v>44</v>
      </c>
      <c r="I255" s="11" t="s">
        <v>233</v>
      </c>
      <c r="J255" s="9" t="s">
        <v>200</v>
      </c>
      <c r="K255" s="9" t="s">
        <v>47</v>
      </c>
      <c r="L255" s="9" t="s">
        <v>156</v>
      </c>
      <c r="M255" s="9" t="s">
        <v>1217</v>
      </c>
      <c r="N255" s="9" t="s">
        <v>50</v>
      </c>
      <c r="O255" s="9" t="s">
        <v>51</v>
      </c>
      <c r="P255" s="9" t="s">
        <v>453</v>
      </c>
      <c r="Q255" s="9"/>
      <c r="R255" s="9" t="s">
        <v>61</v>
      </c>
      <c r="S255" s="14" t="s">
        <v>1218</v>
      </c>
      <c r="T255" s="9" t="s">
        <v>1219</v>
      </c>
      <c r="U255" s="9" t="s">
        <v>54</v>
      </c>
      <c r="V255" s="9"/>
      <c r="W255" s="9" t="s">
        <v>115</v>
      </c>
      <c r="X255" s="9"/>
      <c r="Y255" s="9" t="s">
        <v>55</v>
      </c>
      <c r="Z255" s="13" t="s">
        <v>1220</v>
      </c>
    </row>
    <row r="256" spans="1:26" ht="32.25" hidden="1" customHeight="1">
      <c r="A256" s="8">
        <v>2300101</v>
      </c>
      <c r="B256" s="9" t="s">
        <v>1221</v>
      </c>
      <c r="C256" s="10">
        <v>45149</v>
      </c>
      <c r="D256" s="9" t="s">
        <v>261</v>
      </c>
      <c r="E256" s="9" t="s">
        <v>68</v>
      </c>
      <c r="F256" s="9" t="s">
        <v>262</v>
      </c>
      <c r="G256" s="9" t="s">
        <v>43</v>
      </c>
      <c r="H256" s="9" t="s">
        <v>44</v>
      </c>
      <c r="I256" s="11" t="s">
        <v>648</v>
      </c>
      <c r="J256" s="9" t="s">
        <v>649</v>
      </c>
      <c r="K256" s="9" t="s">
        <v>47</v>
      </c>
      <c r="L256" s="9" t="s">
        <v>349</v>
      </c>
      <c r="M256" s="9" t="s">
        <v>1222</v>
      </c>
      <c r="N256" s="9" t="s">
        <v>50</v>
      </c>
      <c r="O256" s="9" t="s">
        <v>51</v>
      </c>
      <c r="P256" s="9"/>
      <c r="Q256" s="9"/>
      <c r="R256" s="9" t="s">
        <v>61</v>
      </c>
      <c r="S256" s="14" t="s">
        <v>1223</v>
      </c>
      <c r="T256" s="9" t="s">
        <v>1224</v>
      </c>
      <c r="U256" s="9" t="s">
        <v>262</v>
      </c>
      <c r="V256" s="9" t="s">
        <v>1225</v>
      </c>
      <c r="W256" s="9" t="s">
        <v>115</v>
      </c>
      <c r="X256" s="12" t="s">
        <v>76</v>
      </c>
      <c r="Y256" s="9" t="s">
        <v>77</v>
      </c>
      <c r="Z256" s="13" t="s">
        <v>1026</v>
      </c>
    </row>
    <row r="257" spans="1:26" ht="32.25" hidden="1" customHeight="1">
      <c r="A257" s="8">
        <v>2312254</v>
      </c>
      <c r="B257" s="9" t="s">
        <v>1226</v>
      </c>
      <c r="C257" s="10">
        <v>45156</v>
      </c>
      <c r="D257" s="9" t="s">
        <v>79</v>
      </c>
      <c r="E257" s="9" t="s">
        <v>89</v>
      </c>
      <c r="F257" s="9" t="s">
        <v>80</v>
      </c>
      <c r="G257" s="9" t="s">
        <v>43</v>
      </c>
      <c r="H257" s="9" t="s">
        <v>44</v>
      </c>
      <c r="I257" s="11" t="s">
        <v>101</v>
      </c>
      <c r="J257" s="9" t="s">
        <v>102</v>
      </c>
      <c r="K257" s="9" t="s">
        <v>47</v>
      </c>
      <c r="L257" s="9" t="s">
        <v>1227</v>
      </c>
      <c r="M257" s="9" t="s">
        <v>1228</v>
      </c>
      <c r="N257" s="9" t="s">
        <v>84</v>
      </c>
      <c r="O257" s="9" t="s">
        <v>51</v>
      </c>
      <c r="P257" s="9" t="s">
        <v>1229</v>
      </c>
      <c r="Q257" s="9"/>
      <c r="R257" s="9" t="s">
        <v>61</v>
      </c>
      <c r="S257" s="14" t="s">
        <v>1230</v>
      </c>
      <c r="T257" s="9" t="s">
        <v>1231</v>
      </c>
      <c r="U257" s="9" t="s">
        <v>54</v>
      </c>
      <c r="V257" s="9" t="s">
        <v>55</v>
      </c>
      <c r="W257" s="9" t="s">
        <v>55</v>
      </c>
      <c r="X257" s="12" t="s">
        <v>98</v>
      </c>
      <c r="Y257" s="9" t="s">
        <v>99</v>
      </c>
      <c r="Z257" s="13"/>
    </row>
    <row r="258" spans="1:26" ht="32.25" hidden="1" customHeight="1">
      <c r="A258" s="8">
        <v>2315265</v>
      </c>
      <c r="B258" s="9" t="s">
        <v>1232</v>
      </c>
      <c r="C258" s="10">
        <v>45152</v>
      </c>
      <c r="D258" s="9" t="s">
        <v>755</v>
      </c>
      <c r="E258" s="9" t="s">
        <v>143</v>
      </c>
      <c r="F258" s="9" t="s">
        <v>262</v>
      </c>
      <c r="G258" s="9" t="s">
        <v>43</v>
      </c>
      <c r="H258" s="9" t="s">
        <v>44</v>
      </c>
      <c r="I258" s="11" t="s">
        <v>1136</v>
      </c>
      <c r="J258" s="9" t="s">
        <v>1137</v>
      </c>
      <c r="K258" s="9" t="s">
        <v>1233</v>
      </c>
      <c r="L258" s="9"/>
      <c r="M258" s="9"/>
      <c r="N258" s="9" t="s">
        <v>50</v>
      </c>
      <c r="O258" s="9" t="s">
        <v>187</v>
      </c>
      <c r="P258" s="9"/>
      <c r="Q258" s="9"/>
      <c r="R258" s="9" t="s">
        <v>61</v>
      </c>
      <c r="S258" s="14" t="s">
        <v>1234</v>
      </c>
      <c r="T258" s="9" t="s">
        <v>1235</v>
      </c>
      <c r="U258" s="9" t="s">
        <v>262</v>
      </c>
      <c r="V258" s="9" t="s">
        <v>55</v>
      </c>
      <c r="W258" s="9" t="s">
        <v>115</v>
      </c>
      <c r="X258" s="12" t="s">
        <v>389</v>
      </c>
      <c r="Y258" s="9" t="s">
        <v>390</v>
      </c>
      <c r="Z258" s="13"/>
    </row>
    <row r="259" spans="1:26" ht="32.25" hidden="1" customHeight="1">
      <c r="A259" s="8">
        <v>2308489</v>
      </c>
      <c r="B259" s="9" t="s">
        <v>1236</v>
      </c>
      <c r="C259" s="10">
        <v>45156</v>
      </c>
      <c r="D259" s="9" t="s">
        <v>79</v>
      </c>
      <c r="E259" s="9" t="s">
        <v>143</v>
      </c>
      <c r="F259" s="9" t="s">
        <v>80</v>
      </c>
      <c r="G259" s="9" t="s">
        <v>43</v>
      </c>
      <c r="H259" s="9" t="s">
        <v>44</v>
      </c>
      <c r="I259" s="11" t="s">
        <v>326</v>
      </c>
      <c r="J259" s="9" t="s">
        <v>327</v>
      </c>
      <c r="K259" s="9" t="s">
        <v>47</v>
      </c>
      <c r="L259" s="9" t="s">
        <v>290</v>
      </c>
      <c r="M259" s="9" t="s">
        <v>1237</v>
      </c>
      <c r="N259" s="9" t="s">
        <v>84</v>
      </c>
      <c r="O259" s="9" t="s">
        <v>51</v>
      </c>
      <c r="P259" s="9" t="s">
        <v>1238</v>
      </c>
      <c r="Q259" s="9"/>
      <c r="R259" s="9"/>
      <c r="S259" s="14" t="s">
        <v>1239</v>
      </c>
      <c r="T259" s="9" t="s">
        <v>1240</v>
      </c>
      <c r="U259" s="9" t="s">
        <v>54</v>
      </c>
      <c r="V259" s="9" t="s">
        <v>55</v>
      </c>
      <c r="W259" s="9" t="s">
        <v>115</v>
      </c>
      <c r="X259" s="12"/>
      <c r="Y259" s="9" t="s">
        <v>55</v>
      </c>
      <c r="Z259" s="13"/>
    </row>
    <row r="260" spans="1:26" ht="32.25" hidden="1" customHeight="1">
      <c r="A260" s="8">
        <v>2302172</v>
      </c>
      <c r="B260" s="9" t="s">
        <v>1241</v>
      </c>
      <c r="C260" s="10">
        <v>45156</v>
      </c>
      <c r="D260" s="9" t="s">
        <v>79</v>
      </c>
      <c r="E260" s="9" t="s">
        <v>68</v>
      </c>
      <c r="F260" s="9" t="s">
        <v>80</v>
      </c>
      <c r="G260" s="9" t="s">
        <v>43</v>
      </c>
      <c r="H260" s="9" t="s">
        <v>44</v>
      </c>
      <c r="I260" s="11" t="s">
        <v>696</v>
      </c>
      <c r="J260" s="9" t="s">
        <v>70</v>
      </c>
      <c r="K260" s="9" t="s">
        <v>92</v>
      </c>
      <c r="L260" s="9"/>
      <c r="M260" s="9" t="s">
        <v>1242</v>
      </c>
      <c r="N260" s="9" t="s">
        <v>50</v>
      </c>
      <c r="O260" s="9" t="s">
        <v>51</v>
      </c>
      <c r="P260" s="9" t="s">
        <v>698</v>
      </c>
      <c r="Q260" s="9"/>
      <c r="R260" s="9" t="s">
        <v>61</v>
      </c>
      <c r="S260" s="14" t="s">
        <v>1243</v>
      </c>
      <c r="T260" s="9" t="s">
        <v>1244</v>
      </c>
      <c r="U260" s="9" t="s">
        <v>54</v>
      </c>
      <c r="V260" s="9" t="s">
        <v>55</v>
      </c>
      <c r="W260" s="9" t="s">
        <v>115</v>
      </c>
      <c r="X260" s="12" t="s">
        <v>76</v>
      </c>
      <c r="Y260" s="9" t="s">
        <v>77</v>
      </c>
      <c r="Z260" s="13"/>
    </row>
    <row r="261" spans="1:26" ht="32.25" hidden="1" customHeight="1">
      <c r="A261" s="8">
        <v>2314039</v>
      </c>
      <c r="B261" s="9" t="s">
        <v>1245</v>
      </c>
      <c r="C261" s="10">
        <v>45156</v>
      </c>
      <c r="D261" s="9" t="s">
        <v>79</v>
      </c>
      <c r="E261" s="9" t="s">
        <v>143</v>
      </c>
      <c r="F261" s="9" t="s">
        <v>80</v>
      </c>
      <c r="G261" s="9" t="s">
        <v>43</v>
      </c>
      <c r="H261" s="9" t="s">
        <v>44</v>
      </c>
      <c r="I261" s="11" t="s">
        <v>326</v>
      </c>
      <c r="J261" s="9" t="s">
        <v>327</v>
      </c>
      <c r="K261" s="9" t="s">
        <v>110</v>
      </c>
      <c r="L261" s="9"/>
      <c r="M261" s="9"/>
      <c r="N261" s="9" t="s">
        <v>50</v>
      </c>
      <c r="O261" s="9" t="s">
        <v>51</v>
      </c>
      <c r="P261" s="9" t="s">
        <v>1238</v>
      </c>
      <c r="Q261" s="9"/>
      <c r="R261" s="9" t="s">
        <v>61</v>
      </c>
      <c r="S261" s="14" t="s">
        <v>1246</v>
      </c>
      <c r="T261" s="9" t="s">
        <v>1247</v>
      </c>
      <c r="U261" s="9" t="s">
        <v>54</v>
      </c>
      <c r="V261" s="9" t="s">
        <v>370</v>
      </c>
      <c r="W261" s="9" t="s">
        <v>115</v>
      </c>
      <c r="X261" s="12" t="s">
        <v>150</v>
      </c>
      <c r="Y261" s="9" t="s">
        <v>151</v>
      </c>
      <c r="Z261" s="13"/>
    </row>
    <row r="262" spans="1:26" ht="32.25" hidden="1" customHeight="1">
      <c r="A262" s="8">
        <v>2306196</v>
      </c>
      <c r="B262" s="9" t="s">
        <v>1248</v>
      </c>
      <c r="C262" s="10">
        <v>45149</v>
      </c>
      <c r="D262" s="9" t="s">
        <v>57</v>
      </c>
      <c r="E262" s="9" t="s">
        <v>295</v>
      </c>
      <c r="F262" s="9" t="s">
        <v>42</v>
      </c>
      <c r="G262" s="9" t="s">
        <v>43</v>
      </c>
      <c r="H262" s="9" t="s">
        <v>58</v>
      </c>
      <c r="I262" s="11" t="s">
        <v>406</v>
      </c>
      <c r="J262" s="9" t="s">
        <v>407</v>
      </c>
      <c r="K262" s="9" t="s">
        <v>47</v>
      </c>
      <c r="L262" s="9" t="s">
        <v>167</v>
      </c>
      <c r="M262" s="9" t="s">
        <v>168</v>
      </c>
      <c r="N262" s="9" t="s">
        <v>84</v>
      </c>
      <c r="O262" s="9" t="s">
        <v>51</v>
      </c>
      <c r="P262" s="9"/>
      <c r="Q262" s="9"/>
      <c r="R262" s="9" t="s">
        <v>61</v>
      </c>
      <c r="S262" s="14" t="s">
        <v>1249</v>
      </c>
      <c r="T262" s="9" t="s">
        <v>1250</v>
      </c>
      <c r="U262" s="9" t="s">
        <v>54</v>
      </c>
      <c r="V262" s="9" t="s">
        <v>55</v>
      </c>
      <c r="W262" s="9" t="s">
        <v>55</v>
      </c>
      <c r="X262" s="9" t="s">
        <v>319</v>
      </c>
      <c r="Y262" s="9" t="s">
        <v>320</v>
      </c>
      <c r="Z262" s="13"/>
    </row>
    <row r="263" spans="1:26" ht="32.25" hidden="1" customHeight="1">
      <c r="A263" s="8">
        <v>2314324</v>
      </c>
      <c r="B263" s="9" t="s">
        <v>1251</v>
      </c>
      <c r="C263" s="10">
        <v>45156</v>
      </c>
      <c r="D263" s="9" t="s">
        <v>79</v>
      </c>
      <c r="E263" s="9" t="s">
        <v>89</v>
      </c>
      <c r="F263" s="9" t="s">
        <v>80</v>
      </c>
      <c r="G263" s="9" t="s">
        <v>43</v>
      </c>
      <c r="H263" s="9" t="s">
        <v>44</v>
      </c>
      <c r="I263" s="11" t="s">
        <v>101</v>
      </c>
      <c r="J263" s="9" t="s">
        <v>102</v>
      </c>
      <c r="K263" s="9" t="s">
        <v>47</v>
      </c>
      <c r="L263" s="9" t="s">
        <v>777</v>
      </c>
      <c r="M263" s="9"/>
      <c r="N263" s="9" t="s">
        <v>50</v>
      </c>
      <c r="O263" s="9" t="s">
        <v>51</v>
      </c>
      <c r="P263" s="9" t="s">
        <v>715</v>
      </c>
      <c r="Q263" s="9"/>
      <c r="R263" s="9"/>
      <c r="S263" s="14" t="s">
        <v>1252</v>
      </c>
      <c r="T263" s="9" t="s">
        <v>1253</v>
      </c>
      <c r="U263" s="9" t="s">
        <v>54</v>
      </c>
      <c r="V263" s="9" t="s">
        <v>55</v>
      </c>
      <c r="W263" s="9" t="s">
        <v>55</v>
      </c>
      <c r="X263" s="12"/>
      <c r="Y263" s="9" t="s">
        <v>55</v>
      </c>
      <c r="Z263" s="13"/>
    </row>
    <row r="264" spans="1:26" ht="32.25" hidden="1" customHeight="1">
      <c r="A264" s="8">
        <v>2312923</v>
      </c>
      <c r="B264" s="9" t="s">
        <v>1254</v>
      </c>
      <c r="C264" s="10">
        <v>45156</v>
      </c>
      <c r="D264" s="9" t="s">
        <v>79</v>
      </c>
      <c r="E264" s="9" t="s">
        <v>41</v>
      </c>
      <c r="F264" s="9" t="s">
        <v>80</v>
      </c>
      <c r="G264" s="9" t="s">
        <v>43</v>
      </c>
      <c r="H264" s="9" t="s">
        <v>44</v>
      </c>
      <c r="I264" s="11" t="s">
        <v>233</v>
      </c>
      <c r="J264" s="9" t="s">
        <v>200</v>
      </c>
      <c r="K264" s="9" t="s">
        <v>47</v>
      </c>
      <c r="L264" s="9" t="s">
        <v>156</v>
      </c>
      <c r="M264" s="9"/>
      <c r="N264" s="9" t="s">
        <v>50</v>
      </c>
      <c r="O264" s="9" t="s">
        <v>51</v>
      </c>
      <c r="P264" s="9" t="s">
        <v>236</v>
      </c>
      <c r="Q264" s="9"/>
      <c r="R264" s="9"/>
      <c r="S264" s="14" t="s">
        <v>1255</v>
      </c>
      <c r="T264" s="9" t="s">
        <v>1256</v>
      </c>
      <c r="U264" s="9" t="s">
        <v>54</v>
      </c>
      <c r="V264" s="9" t="s">
        <v>55</v>
      </c>
      <c r="W264" s="9" t="s">
        <v>55</v>
      </c>
      <c r="X264" s="12"/>
      <c r="Y264" s="9" t="s">
        <v>55</v>
      </c>
      <c r="Z264" s="13"/>
    </row>
    <row r="265" spans="1:26" ht="32.25" hidden="1" customHeight="1">
      <c r="A265" s="8">
        <v>2304191</v>
      </c>
      <c r="B265" s="9" t="s">
        <v>1257</v>
      </c>
      <c r="C265" s="10">
        <v>45149</v>
      </c>
      <c r="D265" s="9" t="s">
        <v>57</v>
      </c>
      <c r="E265" s="9" t="s">
        <v>41</v>
      </c>
      <c r="F265" s="9" t="s">
        <v>42</v>
      </c>
      <c r="G265" s="9" t="s">
        <v>43</v>
      </c>
      <c r="H265" s="9" t="s">
        <v>58</v>
      </c>
      <c r="I265" s="11" t="s">
        <v>199</v>
      </c>
      <c r="J265" s="9" t="s">
        <v>200</v>
      </c>
      <c r="K265" s="9" t="s">
        <v>47</v>
      </c>
      <c r="L265" s="9" t="s">
        <v>863</v>
      </c>
      <c r="M265" s="9" t="s">
        <v>1258</v>
      </c>
      <c r="N265" s="9" t="s">
        <v>50</v>
      </c>
      <c r="O265" s="9" t="s">
        <v>51</v>
      </c>
      <c r="P265" s="9"/>
      <c r="Q265" s="9"/>
      <c r="R265" s="9" t="s">
        <v>61</v>
      </c>
      <c r="S265" s="14" t="s">
        <v>1259</v>
      </c>
      <c r="T265" s="9" t="s">
        <v>1260</v>
      </c>
      <c r="U265" s="9" t="s">
        <v>54</v>
      </c>
      <c r="V265" s="9" t="s">
        <v>55</v>
      </c>
      <c r="W265" s="9" t="s">
        <v>55</v>
      </c>
      <c r="X265" s="12" t="s">
        <v>196</v>
      </c>
      <c r="Y265" s="9" t="s">
        <v>197</v>
      </c>
      <c r="Z265" s="13"/>
    </row>
    <row r="266" spans="1:26" ht="32.25" hidden="1" customHeight="1">
      <c r="A266" s="8">
        <v>2302769</v>
      </c>
      <c r="B266" s="9" t="s">
        <v>1261</v>
      </c>
      <c r="C266" s="10">
        <v>45156</v>
      </c>
      <c r="D266" s="9" t="s">
        <v>79</v>
      </c>
      <c r="E266" s="9" t="s">
        <v>41</v>
      </c>
      <c r="F266" s="9" t="s">
        <v>80</v>
      </c>
      <c r="G266" s="9" t="s">
        <v>43</v>
      </c>
      <c r="H266" s="9" t="s">
        <v>44</v>
      </c>
      <c r="I266" s="11" t="s">
        <v>81</v>
      </c>
      <c r="J266" s="9" t="s">
        <v>46</v>
      </c>
      <c r="K266" s="9" t="s">
        <v>47</v>
      </c>
      <c r="L266" s="9" t="s">
        <v>706</v>
      </c>
      <c r="M266" s="9" t="s">
        <v>1262</v>
      </c>
      <c r="N266" s="9" t="s">
        <v>50</v>
      </c>
      <c r="O266" s="9" t="s">
        <v>51</v>
      </c>
      <c r="P266" s="9" t="s">
        <v>1263</v>
      </c>
      <c r="Q266" s="9"/>
      <c r="R266" s="9" t="s">
        <v>61</v>
      </c>
      <c r="S266" s="14" t="s">
        <v>1264</v>
      </c>
      <c r="T266" s="9" t="s">
        <v>1265</v>
      </c>
      <c r="U266" s="9" t="s">
        <v>54</v>
      </c>
      <c r="V266" s="9" t="s">
        <v>1266</v>
      </c>
      <c r="W266" s="9" t="s">
        <v>115</v>
      </c>
      <c r="X266" s="12" t="s">
        <v>76</v>
      </c>
      <c r="Y266" s="9" t="s">
        <v>77</v>
      </c>
      <c r="Z266" s="13"/>
    </row>
    <row r="267" spans="1:26" ht="32.25" hidden="1" customHeight="1">
      <c r="A267" s="8">
        <v>2314043</v>
      </c>
      <c r="B267" s="9" t="s">
        <v>1267</v>
      </c>
      <c r="C267" s="10">
        <v>45156</v>
      </c>
      <c r="D267" s="9" t="s">
        <v>79</v>
      </c>
      <c r="E267" s="9" t="s">
        <v>89</v>
      </c>
      <c r="F267" s="9" t="s">
        <v>80</v>
      </c>
      <c r="G267" s="9" t="s">
        <v>43</v>
      </c>
      <c r="H267" s="9" t="s">
        <v>44</v>
      </c>
      <c r="I267" s="11" t="s">
        <v>101</v>
      </c>
      <c r="J267" s="9" t="s">
        <v>102</v>
      </c>
      <c r="K267" s="9" t="s">
        <v>47</v>
      </c>
      <c r="L267" s="9" t="s">
        <v>713</v>
      </c>
      <c r="M267" s="9" t="s">
        <v>714</v>
      </c>
      <c r="N267" s="9" t="s">
        <v>50</v>
      </c>
      <c r="O267" s="9" t="s">
        <v>51</v>
      </c>
      <c r="P267" s="9" t="s">
        <v>212</v>
      </c>
      <c r="Q267" s="9"/>
      <c r="R267" s="9"/>
      <c r="S267" s="14" t="s">
        <v>1268</v>
      </c>
      <c r="T267" s="9" t="s">
        <v>1269</v>
      </c>
      <c r="U267" s="9" t="s">
        <v>54</v>
      </c>
      <c r="V267" s="9" t="s">
        <v>55</v>
      </c>
      <c r="W267" s="9" t="s">
        <v>55</v>
      </c>
      <c r="X267" s="12"/>
      <c r="Y267" s="9" t="s">
        <v>55</v>
      </c>
      <c r="Z267" s="13"/>
    </row>
    <row r="268" spans="1:26" ht="32.25" hidden="1" customHeight="1">
      <c r="A268" s="8">
        <v>2302576</v>
      </c>
      <c r="B268" s="9" t="s">
        <v>1270</v>
      </c>
      <c r="C268" s="10">
        <v>45136</v>
      </c>
      <c r="D268" s="9" t="s">
        <v>40</v>
      </c>
      <c r="E268" s="9" t="s">
        <v>41</v>
      </c>
      <c r="F268" s="9" t="s">
        <v>42</v>
      </c>
      <c r="G268" s="9" t="s">
        <v>43</v>
      </c>
      <c r="H268" s="9" t="s">
        <v>44</v>
      </c>
      <c r="I268" s="11" t="s">
        <v>661</v>
      </c>
      <c r="J268" s="9" t="s">
        <v>662</v>
      </c>
      <c r="K268" s="9" t="s">
        <v>47</v>
      </c>
      <c r="L268" s="9" t="s">
        <v>156</v>
      </c>
      <c r="M268" s="9" t="s">
        <v>157</v>
      </c>
      <c r="N268" s="9" t="s">
        <v>50</v>
      </c>
      <c r="O268" s="9" t="s">
        <v>51</v>
      </c>
      <c r="P268" s="9"/>
      <c r="Q268" s="9"/>
      <c r="R268" s="9"/>
      <c r="S268" s="9" t="s">
        <v>1271</v>
      </c>
      <c r="T268" s="9" t="s">
        <v>1272</v>
      </c>
      <c r="U268" s="9" t="s">
        <v>54</v>
      </c>
      <c r="V268" s="9" t="s">
        <v>55</v>
      </c>
      <c r="W268" s="9" t="s">
        <v>55</v>
      </c>
      <c r="X268" s="9"/>
      <c r="Y268" s="9" t="s">
        <v>55</v>
      </c>
      <c r="Z268" s="13"/>
    </row>
    <row r="269" spans="1:26" ht="32.25" hidden="1" customHeight="1">
      <c r="A269" s="8">
        <v>2304445</v>
      </c>
      <c r="B269" s="9" t="s">
        <v>1273</v>
      </c>
      <c r="C269" s="10">
        <v>45149</v>
      </c>
      <c r="D269" s="9" t="s">
        <v>57</v>
      </c>
      <c r="E269" s="9" t="s">
        <v>41</v>
      </c>
      <c r="F269" s="9" t="s">
        <v>42</v>
      </c>
      <c r="G269" s="9" t="s">
        <v>43</v>
      </c>
      <c r="H269" s="9" t="s">
        <v>58</v>
      </c>
      <c r="I269" s="11" t="s">
        <v>45</v>
      </c>
      <c r="J269" s="9" t="s">
        <v>46</v>
      </c>
      <c r="K269" s="9" t="s">
        <v>47</v>
      </c>
      <c r="L269" s="9" t="s">
        <v>156</v>
      </c>
      <c r="M269" s="9"/>
      <c r="N269" s="9" t="s">
        <v>50</v>
      </c>
      <c r="O269" s="9" t="s">
        <v>51</v>
      </c>
      <c r="P269" s="9"/>
      <c r="Q269" s="9"/>
      <c r="R269" s="9"/>
      <c r="S269" s="14" t="s">
        <v>1274</v>
      </c>
      <c r="T269" s="9" t="s">
        <v>1275</v>
      </c>
      <c r="U269" s="9" t="s">
        <v>54</v>
      </c>
      <c r="V269" s="9" t="s">
        <v>55</v>
      </c>
      <c r="W269" s="9" t="s">
        <v>55</v>
      </c>
      <c r="X269" s="12"/>
      <c r="Y269" s="9" t="s">
        <v>55</v>
      </c>
      <c r="Z269" s="13"/>
    </row>
    <row r="270" spans="1:26" ht="32.25" hidden="1" customHeight="1">
      <c r="A270" s="8">
        <v>2314582</v>
      </c>
      <c r="B270" s="9" t="s">
        <v>1276</v>
      </c>
      <c r="C270" s="10">
        <v>45156</v>
      </c>
      <c r="D270" s="9" t="s">
        <v>79</v>
      </c>
      <c r="E270" s="9" t="s">
        <v>89</v>
      </c>
      <c r="F270" s="9" t="s">
        <v>80</v>
      </c>
      <c r="G270" s="9" t="s">
        <v>43</v>
      </c>
      <c r="H270" s="9" t="s">
        <v>44</v>
      </c>
      <c r="I270" s="11" t="s">
        <v>90</v>
      </c>
      <c r="J270" s="9" t="s">
        <v>91</v>
      </c>
      <c r="K270" s="9" t="s">
        <v>47</v>
      </c>
      <c r="L270" s="9" t="s">
        <v>777</v>
      </c>
      <c r="M270" s="9"/>
      <c r="N270" s="9" t="s">
        <v>50</v>
      </c>
      <c r="O270" s="9" t="s">
        <v>51</v>
      </c>
      <c r="P270" s="9" t="s">
        <v>95</v>
      </c>
      <c r="Q270" s="9"/>
      <c r="R270" s="9" t="s">
        <v>61</v>
      </c>
      <c r="S270" s="14" t="s">
        <v>1277</v>
      </c>
      <c r="T270" s="9" t="s">
        <v>1278</v>
      </c>
      <c r="U270" s="9" t="s">
        <v>54</v>
      </c>
      <c r="V270" s="9" t="s">
        <v>55</v>
      </c>
      <c r="W270" s="9" t="s">
        <v>55</v>
      </c>
      <c r="X270" s="12" t="s">
        <v>98</v>
      </c>
      <c r="Y270" s="9" t="s">
        <v>99</v>
      </c>
      <c r="Z270" s="13"/>
    </row>
    <row r="271" spans="1:26" ht="32.25" hidden="1" customHeight="1">
      <c r="A271" s="8">
        <v>2309963</v>
      </c>
      <c r="B271" s="9" t="s">
        <v>1279</v>
      </c>
      <c r="C271" s="10">
        <v>45149</v>
      </c>
      <c r="D271" s="9" t="s">
        <v>57</v>
      </c>
      <c r="E271" s="9" t="s">
        <v>41</v>
      </c>
      <c r="F271" s="9" t="s">
        <v>42</v>
      </c>
      <c r="G271" s="9" t="s">
        <v>43</v>
      </c>
      <c r="H271" s="9" t="s">
        <v>58</v>
      </c>
      <c r="I271" s="11" t="s">
        <v>45</v>
      </c>
      <c r="J271" s="9" t="s">
        <v>46</v>
      </c>
      <c r="K271" s="9" t="s">
        <v>47</v>
      </c>
      <c r="L271" s="9" t="s">
        <v>156</v>
      </c>
      <c r="M271" s="9"/>
      <c r="N271" s="9" t="s">
        <v>50</v>
      </c>
      <c r="O271" s="9" t="s">
        <v>51</v>
      </c>
      <c r="P271" s="9"/>
      <c r="Q271" s="9"/>
      <c r="R271" s="9"/>
      <c r="S271" s="14" t="s">
        <v>1280</v>
      </c>
      <c r="T271" s="9" t="s">
        <v>1281</v>
      </c>
      <c r="U271" s="9" t="s">
        <v>54</v>
      </c>
      <c r="V271" s="9" t="s">
        <v>55</v>
      </c>
      <c r="W271" s="9" t="s">
        <v>55</v>
      </c>
      <c r="X271" s="12"/>
      <c r="Y271" s="9" t="s">
        <v>55</v>
      </c>
      <c r="Z271" s="13"/>
    </row>
    <row r="272" spans="1:26" ht="32.25" hidden="1" customHeight="1">
      <c r="A272" s="8">
        <v>2311306</v>
      </c>
      <c r="B272" s="9" t="s">
        <v>1282</v>
      </c>
      <c r="C272" s="10">
        <v>45156</v>
      </c>
      <c r="D272" s="9" t="s">
        <v>79</v>
      </c>
      <c r="E272" s="9" t="s">
        <v>143</v>
      </c>
      <c r="F272" s="9" t="s">
        <v>80</v>
      </c>
      <c r="G272" s="9" t="s">
        <v>43</v>
      </c>
      <c r="H272" s="9" t="s">
        <v>44</v>
      </c>
      <c r="I272" s="11" t="s">
        <v>326</v>
      </c>
      <c r="J272" s="9" t="s">
        <v>327</v>
      </c>
      <c r="K272" s="9" t="s">
        <v>47</v>
      </c>
      <c r="L272" s="9" t="s">
        <v>48</v>
      </c>
      <c r="M272" s="9" t="s">
        <v>1283</v>
      </c>
      <c r="N272" s="9" t="s">
        <v>84</v>
      </c>
      <c r="O272" s="9" t="s">
        <v>51</v>
      </c>
      <c r="P272" s="9" t="s">
        <v>1143</v>
      </c>
      <c r="Q272" s="9"/>
      <c r="R272" s="9"/>
      <c r="S272" s="14" t="s">
        <v>1284</v>
      </c>
      <c r="T272" s="9" t="s">
        <v>1285</v>
      </c>
      <c r="U272" s="9" t="s">
        <v>54</v>
      </c>
      <c r="V272" s="9"/>
      <c r="W272" s="9" t="s">
        <v>115</v>
      </c>
      <c r="X272" s="12"/>
      <c r="Y272" s="9" t="s">
        <v>55</v>
      </c>
      <c r="Z272" s="13"/>
    </row>
    <row r="273" spans="1:26" ht="32.25" hidden="1" customHeight="1">
      <c r="A273" s="8">
        <v>2315239</v>
      </c>
      <c r="B273" s="9" t="s">
        <v>1286</v>
      </c>
      <c r="C273" s="10">
        <v>45152</v>
      </c>
      <c r="D273" s="9" t="s">
        <v>185</v>
      </c>
      <c r="E273" s="9" t="s">
        <v>153</v>
      </c>
      <c r="F273" s="9" t="s">
        <v>42</v>
      </c>
      <c r="G273" s="9" t="s">
        <v>43</v>
      </c>
      <c r="H273" s="9" t="s">
        <v>44</v>
      </c>
      <c r="I273" s="11" t="s">
        <v>154</v>
      </c>
      <c r="J273" s="9" t="s">
        <v>155</v>
      </c>
      <c r="K273" s="9" t="s">
        <v>1158</v>
      </c>
      <c r="L273" s="9"/>
      <c r="M273" s="9" t="s">
        <v>1287</v>
      </c>
      <c r="N273" s="9" t="s">
        <v>84</v>
      </c>
      <c r="O273" s="9" t="s">
        <v>187</v>
      </c>
      <c r="P273" s="9"/>
      <c r="Q273" s="9"/>
      <c r="R273" s="9" t="s">
        <v>61</v>
      </c>
      <c r="S273" s="14" t="s">
        <v>1288</v>
      </c>
      <c r="T273" s="9" t="s">
        <v>1289</v>
      </c>
      <c r="U273" s="9" t="s">
        <v>54</v>
      </c>
      <c r="V273" s="9" t="s">
        <v>55</v>
      </c>
      <c r="W273" s="9" t="s">
        <v>55</v>
      </c>
      <c r="X273" s="12" t="s">
        <v>171</v>
      </c>
      <c r="Y273" s="9" t="s">
        <v>172</v>
      </c>
      <c r="Z273" s="13"/>
    </row>
    <row r="274" spans="1:26" ht="32.25" hidden="1" customHeight="1">
      <c r="A274" s="8">
        <v>2312967</v>
      </c>
      <c r="B274" s="9" t="s">
        <v>1290</v>
      </c>
      <c r="C274" s="10">
        <v>45149</v>
      </c>
      <c r="D274" s="9" t="s">
        <v>261</v>
      </c>
      <c r="E274" s="9" t="s">
        <v>143</v>
      </c>
      <c r="F274" s="9" t="s">
        <v>262</v>
      </c>
      <c r="G274" s="9" t="s">
        <v>43</v>
      </c>
      <c r="H274" s="9" t="s">
        <v>44</v>
      </c>
      <c r="I274" s="11" t="s">
        <v>1291</v>
      </c>
      <c r="J274" s="9" t="s">
        <v>1292</v>
      </c>
      <c r="K274" s="9" t="s">
        <v>47</v>
      </c>
      <c r="L274" s="9" t="s">
        <v>580</v>
      </c>
      <c r="M274" s="9" t="s">
        <v>1293</v>
      </c>
      <c r="N274" s="9" t="s">
        <v>50</v>
      </c>
      <c r="O274" s="9" t="s">
        <v>51</v>
      </c>
      <c r="P274" s="9"/>
      <c r="Q274" s="9"/>
      <c r="R274" s="9" t="s">
        <v>61</v>
      </c>
      <c r="S274" s="14" t="s">
        <v>1294</v>
      </c>
      <c r="T274" s="9" t="s">
        <v>1295</v>
      </c>
      <c r="U274" s="9" t="s">
        <v>262</v>
      </c>
      <c r="V274" s="9" t="s">
        <v>370</v>
      </c>
      <c r="W274" s="9" t="s">
        <v>115</v>
      </c>
      <c r="X274" s="12" t="s">
        <v>389</v>
      </c>
      <c r="Y274" s="9" t="s">
        <v>390</v>
      </c>
      <c r="Z274" s="13"/>
    </row>
    <row r="275" spans="1:26" ht="32.25" hidden="1" customHeight="1">
      <c r="A275" s="8">
        <v>2314299</v>
      </c>
      <c r="B275" s="9" t="s">
        <v>1296</v>
      </c>
      <c r="C275" s="10">
        <v>45156</v>
      </c>
      <c r="D275" s="9" t="s">
        <v>79</v>
      </c>
      <c r="E275" s="9" t="s">
        <v>68</v>
      </c>
      <c r="F275" s="9" t="s">
        <v>80</v>
      </c>
      <c r="G275" s="9" t="s">
        <v>43</v>
      </c>
      <c r="H275" s="9" t="s">
        <v>44</v>
      </c>
      <c r="I275" s="11" t="s">
        <v>117</v>
      </c>
      <c r="J275" s="9" t="s">
        <v>118</v>
      </c>
      <c r="K275" s="9" t="s">
        <v>47</v>
      </c>
      <c r="L275" s="9" t="s">
        <v>340</v>
      </c>
      <c r="M275" s="9" t="s">
        <v>1297</v>
      </c>
      <c r="N275" s="9" t="s">
        <v>50</v>
      </c>
      <c r="O275" s="9" t="s">
        <v>51</v>
      </c>
      <c r="P275" s="9" t="s">
        <v>285</v>
      </c>
      <c r="Q275" s="9"/>
      <c r="R275" s="9" t="s">
        <v>61</v>
      </c>
      <c r="S275" s="14" t="s">
        <v>1298</v>
      </c>
      <c r="T275" s="9" t="s">
        <v>1299</v>
      </c>
      <c r="U275" s="9" t="s">
        <v>54</v>
      </c>
      <c r="V275" s="9" t="s">
        <v>55</v>
      </c>
      <c r="W275" s="9" t="s">
        <v>55</v>
      </c>
      <c r="X275" s="12" t="s">
        <v>196</v>
      </c>
      <c r="Y275" s="9" t="s">
        <v>197</v>
      </c>
      <c r="Z275" s="13"/>
    </row>
    <row r="276" spans="1:26" ht="32.25" hidden="1" customHeight="1">
      <c r="A276" s="8">
        <v>2313230</v>
      </c>
      <c r="B276" s="9" t="s">
        <v>1300</v>
      </c>
      <c r="C276" s="10">
        <v>45156</v>
      </c>
      <c r="D276" s="9" t="s">
        <v>79</v>
      </c>
      <c r="E276" s="9" t="s">
        <v>89</v>
      </c>
      <c r="F276" s="9" t="s">
        <v>80</v>
      </c>
      <c r="G276" s="9" t="s">
        <v>43</v>
      </c>
      <c r="H276" s="9" t="s">
        <v>44</v>
      </c>
      <c r="I276" s="11" t="s">
        <v>101</v>
      </c>
      <c r="J276" s="9" t="s">
        <v>102</v>
      </c>
      <c r="K276" s="9" t="s">
        <v>92</v>
      </c>
      <c r="L276" s="9" t="s">
        <v>1301</v>
      </c>
      <c r="M276" s="9" t="s">
        <v>1302</v>
      </c>
      <c r="N276" s="9" t="s">
        <v>50</v>
      </c>
      <c r="O276" s="9" t="s">
        <v>51</v>
      </c>
      <c r="P276" s="9" t="s">
        <v>125</v>
      </c>
      <c r="Q276" s="9"/>
      <c r="R276" s="9" t="s">
        <v>61</v>
      </c>
      <c r="S276" s="14" t="s">
        <v>1303</v>
      </c>
      <c r="T276" s="9" t="s">
        <v>1304</v>
      </c>
      <c r="U276" s="9" t="s">
        <v>54</v>
      </c>
      <c r="V276" s="9" t="s">
        <v>55</v>
      </c>
      <c r="W276" s="9" t="s">
        <v>55</v>
      </c>
      <c r="X276" s="12" t="s">
        <v>98</v>
      </c>
      <c r="Y276" s="9" t="s">
        <v>99</v>
      </c>
      <c r="Z276" s="13"/>
    </row>
    <row r="277" spans="1:26" ht="32.25" hidden="1" customHeight="1">
      <c r="A277" s="8">
        <v>2310977</v>
      </c>
      <c r="B277" s="9" t="s">
        <v>1305</v>
      </c>
      <c r="C277" s="10">
        <v>45156</v>
      </c>
      <c r="D277" s="9" t="s">
        <v>79</v>
      </c>
      <c r="E277" s="9" t="s">
        <v>89</v>
      </c>
      <c r="F277" s="9" t="s">
        <v>80</v>
      </c>
      <c r="G277" s="9" t="s">
        <v>43</v>
      </c>
      <c r="H277" s="9" t="s">
        <v>44</v>
      </c>
      <c r="I277" s="11" t="s">
        <v>108</v>
      </c>
      <c r="J277" s="9" t="s">
        <v>109</v>
      </c>
      <c r="K277" s="9" t="s">
        <v>110</v>
      </c>
      <c r="L277" s="9" t="s">
        <v>119</v>
      </c>
      <c r="M277" s="9" t="s">
        <v>1306</v>
      </c>
      <c r="N277" s="9" t="s">
        <v>84</v>
      </c>
      <c r="O277" s="9" t="s">
        <v>51</v>
      </c>
      <c r="P277" s="9" t="s">
        <v>112</v>
      </c>
      <c r="Q277" s="9"/>
      <c r="R277" s="9" t="s">
        <v>61</v>
      </c>
      <c r="S277" s="14" t="s">
        <v>1307</v>
      </c>
      <c r="T277" s="9" t="s">
        <v>1308</v>
      </c>
      <c r="U277" s="9" t="s">
        <v>54</v>
      </c>
      <c r="V277" s="9" t="s">
        <v>55</v>
      </c>
      <c r="W277" s="9" t="s">
        <v>115</v>
      </c>
      <c r="X277" s="12" t="s">
        <v>98</v>
      </c>
      <c r="Y277" s="9" t="s">
        <v>99</v>
      </c>
      <c r="Z277" s="13"/>
    </row>
    <row r="278" spans="1:26" ht="32.25" hidden="1" customHeight="1">
      <c r="A278" s="8">
        <v>2304118</v>
      </c>
      <c r="B278" s="9" t="s">
        <v>1309</v>
      </c>
      <c r="C278" s="10">
        <v>45156</v>
      </c>
      <c r="D278" s="9" t="s">
        <v>79</v>
      </c>
      <c r="E278" s="9" t="s">
        <v>41</v>
      </c>
      <c r="F278" s="9" t="s">
        <v>80</v>
      </c>
      <c r="G278" s="9" t="s">
        <v>43</v>
      </c>
      <c r="H278" s="9" t="s">
        <v>44</v>
      </c>
      <c r="I278" s="11" t="s">
        <v>81</v>
      </c>
      <c r="J278" s="9" t="s">
        <v>46</v>
      </c>
      <c r="K278" s="9" t="s">
        <v>47</v>
      </c>
      <c r="L278" s="9" t="s">
        <v>1310</v>
      </c>
      <c r="M278" s="9" t="s">
        <v>1311</v>
      </c>
      <c r="N278" s="9" t="s">
        <v>84</v>
      </c>
      <c r="O278" s="9" t="s">
        <v>51</v>
      </c>
      <c r="P278" s="9" t="s">
        <v>1263</v>
      </c>
      <c r="Q278" s="9"/>
      <c r="R278" s="9"/>
      <c r="S278" s="14" t="s">
        <v>1312</v>
      </c>
      <c r="T278" s="9" t="s">
        <v>1313</v>
      </c>
      <c r="U278" s="9" t="s">
        <v>54</v>
      </c>
      <c r="V278" s="9"/>
      <c r="W278" s="9" t="s">
        <v>115</v>
      </c>
      <c r="X278" s="12"/>
      <c r="Y278" s="9" t="s">
        <v>55</v>
      </c>
      <c r="Z278" s="13"/>
    </row>
    <row r="279" spans="1:26" ht="32.25" hidden="1" customHeight="1">
      <c r="A279" s="8">
        <v>2300288</v>
      </c>
      <c r="B279" s="9" t="s">
        <v>1314</v>
      </c>
      <c r="C279" s="10">
        <v>45149</v>
      </c>
      <c r="D279" s="9" t="s">
        <v>261</v>
      </c>
      <c r="E279" s="9" t="s">
        <v>68</v>
      </c>
      <c r="F279" s="9" t="s">
        <v>262</v>
      </c>
      <c r="G279" s="9" t="s">
        <v>43</v>
      </c>
      <c r="H279" s="9" t="s">
        <v>44</v>
      </c>
      <c r="I279" s="11" t="s">
        <v>648</v>
      </c>
      <c r="J279" s="9" t="s">
        <v>649</v>
      </c>
      <c r="K279" s="9" t="s">
        <v>47</v>
      </c>
      <c r="L279" s="9" t="s">
        <v>1315</v>
      </c>
      <c r="M279" s="9" t="s">
        <v>1316</v>
      </c>
      <c r="N279" s="9" t="s">
        <v>84</v>
      </c>
      <c r="O279" s="9" t="s">
        <v>51</v>
      </c>
      <c r="P279" s="9"/>
      <c r="Q279" s="9"/>
      <c r="R279" s="9" t="s">
        <v>61</v>
      </c>
      <c r="S279" s="14" t="s">
        <v>1317</v>
      </c>
      <c r="T279" s="9" t="s">
        <v>1318</v>
      </c>
      <c r="U279" s="9" t="s">
        <v>262</v>
      </c>
      <c r="V279" s="9" t="s">
        <v>55</v>
      </c>
      <c r="W279" s="9" t="s">
        <v>55</v>
      </c>
      <c r="X279" s="12" t="s">
        <v>389</v>
      </c>
      <c r="Y279" s="9" t="s">
        <v>390</v>
      </c>
      <c r="Z279" s="13"/>
    </row>
    <row r="280" spans="1:26" ht="32.25" hidden="1" customHeight="1">
      <c r="A280" s="8">
        <v>2314042</v>
      </c>
      <c r="B280" s="9" t="s">
        <v>1319</v>
      </c>
      <c r="C280" s="10">
        <v>45149</v>
      </c>
      <c r="D280" s="9" t="s">
        <v>57</v>
      </c>
      <c r="E280" s="9" t="s">
        <v>41</v>
      </c>
      <c r="F280" s="9" t="s">
        <v>42</v>
      </c>
      <c r="G280" s="9" t="s">
        <v>43</v>
      </c>
      <c r="H280" s="9" t="s">
        <v>58</v>
      </c>
      <c r="I280" s="11" t="s">
        <v>199</v>
      </c>
      <c r="J280" s="9" t="s">
        <v>200</v>
      </c>
      <c r="K280" s="9" t="s">
        <v>47</v>
      </c>
      <c r="L280" s="9" t="s">
        <v>156</v>
      </c>
      <c r="M280" s="9"/>
      <c r="N280" s="9" t="s">
        <v>50</v>
      </c>
      <c r="O280" s="9" t="s">
        <v>51</v>
      </c>
      <c r="P280" s="9"/>
      <c r="Q280" s="9"/>
      <c r="R280" s="9"/>
      <c r="S280" s="14" t="s">
        <v>1320</v>
      </c>
      <c r="T280" s="9" t="s">
        <v>1321</v>
      </c>
      <c r="U280" s="9" t="s">
        <v>54</v>
      </c>
      <c r="V280" s="9" t="s">
        <v>55</v>
      </c>
      <c r="W280" s="9" t="s">
        <v>55</v>
      </c>
      <c r="X280" s="12"/>
      <c r="Y280" s="9" t="s">
        <v>55</v>
      </c>
      <c r="Z280" s="13"/>
    </row>
    <row r="281" spans="1:26" ht="32.25" hidden="1" customHeight="1">
      <c r="A281" s="8">
        <v>2306032</v>
      </c>
      <c r="B281" s="9" t="s">
        <v>1322</v>
      </c>
      <c r="C281" s="10">
        <v>45142</v>
      </c>
      <c r="D281" s="9" t="s">
        <v>67</v>
      </c>
      <c r="E281" s="9" t="s">
        <v>68</v>
      </c>
      <c r="F281" s="9" t="s">
        <v>135</v>
      </c>
      <c r="G281" s="9" t="s">
        <v>43</v>
      </c>
      <c r="H281" s="9" t="s">
        <v>44</v>
      </c>
      <c r="I281" s="11" t="s">
        <v>136</v>
      </c>
      <c r="J281" s="9" t="s">
        <v>137</v>
      </c>
      <c r="K281" s="9" t="s">
        <v>47</v>
      </c>
      <c r="L281" s="9" t="s">
        <v>411</v>
      </c>
      <c r="M281" s="9" t="s">
        <v>1323</v>
      </c>
      <c r="N281" s="9" t="s">
        <v>50</v>
      </c>
      <c r="O281" s="9" t="s">
        <v>51</v>
      </c>
      <c r="P281" s="9"/>
      <c r="Q281" s="9"/>
      <c r="R281" s="9" t="s">
        <v>61</v>
      </c>
      <c r="S281" s="9" t="s">
        <v>1324</v>
      </c>
      <c r="T281" s="9" t="s">
        <v>1325</v>
      </c>
      <c r="U281" s="9" t="s">
        <v>54</v>
      </c>
      <c r="V281" s="9" t="s">
        <v>55</v>
      </c>
      <c r="W281" s="9" t="s">
        <v>55</v>
      </c>
      <c r="X281" s="12" t="s">
        <v>76</v>
      </c>
      <c r="Y281" s="9" t="s">
        <v>77</v>
      </c>
      <c r="Z281" s="13"/>
    </row>
    <row r="282" spans="1:26" ht="32.25" hidden="1" customHeight="1">
      <c r="A282" s="8">
        <v>2303742</v>
      </c>
      <c r="B282" s="9" t="s">
        <v>1326</v>
      </c>
      <c r="C282" s="10">
        <v>45149</v>
      </c>
      <c r="D282" s="9" t="s">
        <v>57</v>
      </c>
      <c r="E282" s="9" t="s">
        <v>41</v>
      </c>
      <c r="F282" s="9" t="s">
        <v>42</v>
      </c>
      <c r="G282" s="9" t="s">
        <v>43</v>
      </c>
      <c r="H282" s="9" t="s">
        <v>58</v>
      </c>
      <c r="I282" s="11" t="s">
        <v>661</v>
      </c>
      <c r="J282" s="9" t="s">
        <v>662</v>
      </c>
      <c r="K282" s="9" t="s">
        <v>47</v>
      </c>
      <c r="L282" s="9" t="s">
        <v>156</v>
      </c>
      <c r="M282" s="9"/>
      <c r="N282" s="9" t="s">
        <v>50</v>
      </c>
      <c r="O282" s="9" t="s">
        <v>51</v>
      </c>
      <c r="P282" s="9"/>
      <c r="Q282" s="9"/>
      <c r="R282" s="9"/>
      <c r="S282" s="14" t="s">
        <v>1327</v>
      </c>
      <c r="T282" s="9" t="s">
        <v>1328</v>
      </c>
      <c r="U282" s="9" t="s">
        <v>54</v>
      </c>
      <c r="V282" s="9" t="s">
        <v>55</v>
      </c>
      <c r="W282" s="9" t="s">
        <v>55</v>
      </c>
      <c r="X282" s="12"/>
      <c r="Y282" s="9" t="s">
        <v>55</v>
      </c>
      <c r="Z282" s="13"/>
    </row>
    <row r="283" spans="1:26" ht="32.25" hidden="1" customHeight="1">
      <c r="A283" s="8">
        <v>2308817</v>
      </c>
      <c r="B283" s="9" t="s">
        <v>1329</v>
      </c>
      <c r="C283" s="10">
        <v>45149</v>
      </c>
      <c r="D283" s="9" t="s">
        <v>57</v>
      </c>
      <c r="E283" s="9" t="s">
        <v>295</v>
      </c>
      <c r="F283" s="9" t="s">
        <v>42</v>
      </c>
      <c r="G283" s="9" t="s">
        <v>43</v>
      </c>
      <c r="H283" s="9" t="s">
        <v>58</v>
      </c>
      <c r="I283" s="11" t="s">
        <v>296</v>
      </c>
      <c r="J283" s="9" t="s">
        <v>297</v>
      </c>
      <c r="K283" s="9" t="s">
        <v>47</v>
      </c>
      <c r="L283" s="9" t="s">
        <v>156</v>
      </c>
      <c r="M283" s="9"/>
      <c r="N283" s="9" t="s">
        <v>50</v>
      </c>
      <c r="O283" s="9" t="s">
        <v>51</v>
      </c>
      <c r="P283" s="9"/>
      <c r="Q283" s="9"/>
      <c r="R283" s="9"/>
      <c r="S283" s="14" t="s">
        <v>1330</v>
      </c>
      <c r="T283" s="9" t="s">
        <v>1331</v>
      </c>
      <c r="U283" s="9" t="s">
        <v>54</v>
      </c>
      <c r="V283" s="9" t="s">
        <v>55</v>
      </c>
      <c r="W283" s="9" t="s">
        <v>55</v>
      </c>
      <c r="X283" s="12"/>
      <c r="Y283" s="9" t="s">
        <v>55</v>
      </c>
      <c r="Z283" s="13"/>
    </row>
    <row r="284" spans="1:26" ht="32.25" hidden="1" customHeight="1">
      <c r="A284" s="8">
        <v>2314372</v>
      </c>
      <c r="B284" s="9" t="s">
        <v>1332</v>
      </c>
      <c r="C284" s="10">
        <v>45156</v>
      </c>
      <c r="D284" s="9" t="s">
        <v>79</v>
      </c>
      <c r="E284" s="9" t="s">
        <v>41</v>
      </c>
      <c r="F284" s="9" t="s">
        <v>80</v>
      </c>
      <c r="G284" s="9" t="s">
        <v>43</v>
      </c>
      <c r="H284" s="9" t="s">
        <v>44</v>
      </c>
      <c r="I284" s="11" t="s">
        <v>233</v>
      </c>
      <c r="J284" s="9" t="s">
        <v>200</v>
      </c>
      <c r="K284" s="9" t="s">
        <v>47</v>
      </c>
      <c r="L284" s="9" t="s">
        <v>1333</v>
      </c>
      <c r="M284" s="9" t="s">
        <v>1334</v>
      </c>
      <c r="N284" s="9" t="s">
        <v>84</v>
      </c>
      <c r="O284" s="9" t="s">
        <v>51</v>
      </c>
      <c r="P284" s="9" t="s">
        <v>865</v>
      </c>
      <c r="Q284" s="9"/>
      <c r="R284" s="9" t="s">
        <v>61</v>
      </c>
      <c r="S284" s="14" t="s">
        <v>1335</v>
      </c>
      <c r="T284" s="9" t="s">
        <v>1336</v>
      </c>
      <c r="U284" s="9" t="s">
        <v>54</v>
      </c>
      <c r="V284" s="9" t="s">
        <v>55</v>
      </c>
      <c r="W284" s="9" t="s">
        <v>55</v>
      </c>
      <c r="X284" s="9" t="s">
        <v>64</v>
      </c>
      <c r="Y284" s="9" t="s">
        <v>65</v>
      </c>
      <c r="Z284" s="13"/>
    </row>
    <row r="285" spans="1:26" ht="32.25" hidden="1" customHeight="1">
      <c r="A285" s="8">
        <v>2300182</v>
      </c>
      <c r="B285" s="9" t="s">
        <v>1337</v>
      </c>
      <c r="C285" s="10">
        <v>45149</v>
      </c>
      <c r="D285" s="9" t="s">
        <v>261</v>
      </c>
      <c r="E285" s="9" t="s">
        <v>68</v>
      </c>
      <c r="F285" s="9" t="s">
        <v>262</v>
      </c>
      <c r="G285" s="9" t="s">
        <v>43</v>
      </c>
      <c r="H285" s="9" t="s">
        <v>44</v>
      </c>
      <c r="I285" s="11" t="s">
        <v>1338</v>
      </c>
      <c r="J285" s="9" t="s">
        <v>1339</v>
      </c>
      <c r="K285" s="9" t="s">
        <v>47</v>
      </c>
      <c r="L285" s="9" t="s">
        <v>156</v>
      </c>
      <c r="M285" s="9"/>
      <c r="N285" s="9" t="s">
        <v>50</v>
      </c>
      <c r="O285" s="9" t="s">
        <v>51</v>
      </c>
      <c r="P285" s="9"/>
      <c r="Q285" s="9"/>
      <c r="R285" s="9" t="s">
        <v>61</v>
      </c>
      <c r="S285" s="14" t="s">
        <v>1340</v>
      </c>
      <c r="T285" s="9" t="s">
        <v>1341</v>
      </c>
      <c r="U285" s="9" t="s">
        <v>262</v>
      </c>
      <c r="V285" s="9" t="s">
        <v>55</v>
      </c>
      <c r="W285" s="9" t="s">
        <v>115</v>
      </c>
      <c r="X285" s="12" t="s">
        <v>389</v>
      </c>
      <c r="Y285" s="9" t="s">
        <v>390</v>
      </c>
      <c r="Z285" s="79" t="s">
        <v>13287</v>
      </c>
    </row>
    <row r="286" spans="1:26" ht="32.25" hidden="1" customHeight="1">
      <c r="A286" s="8">
        <v>2300181</v>
      </c>
      <c r="B286" s="9" t="s">
        <v>1342</v>
      </c>
      <c r="C286" s="10">
        <v>45149</v>
      </c>
      <c r="D286" s="9" t="s">
        <v>261</v>
      </c>
      <c r="E286" s="9" t="s">
        <v>153</v>
      </c>
      <c r="F286" s="9" t="s">
        <v>262</v>
      </c>
      <c r="G286" s="9" t="s">
        <v>43</v>
      </c>
      <c r="H286" s="9" t="s">
        <v>44</v>
      </c>
      <c r="I286" s="11" t="s">
        <v>1343</v>
      </c>
      <c r="J286" s="9" t="s">
        <v>1344</v>
      </c>
      <c r="K286" s="9" t="s">
        <v>47</v>
      </c>
      <c r="L286" s="9" t="s">
        <v>174</v>
      </c>
      <c r="M286" s="9" t="s">
        <v>1190</v>
      </c>
      <c r="N286" s="9" t="s">
        <v>84</v>
      </c>
      <c r="O286" s="9" t="s">
        <v>51</v>
      </c>
      <c r="P286" s="9"/>
      <c r="Q286" s="9"/>
      <c r="R286" s="9" t="s">
        <v>61</v>
      </c>
      <c r="S286" s="14" t="s">
        <v>1345</v>
      </c>
      <c r="T286" s="9" t="s">
        <v>1346</v>
      </c>
      <c r="U286" s="9" t="s">
        <v>262</v>
      </c>
      <c r="V286" s="9" t="s">
        <v>55</v>
      </c>
      <c r="W286" s="9" t="s">
        <v>115</v>
      </c>
      <c r="X286" s="12" t="s">
        <v>389</v>
      </c>
      <c r="Y286" s="9" t="s">
        <v>390</v>
      </c>
      <c r="Z286" s="13"/>
    </row>
    <row r="287" spans="1:26" ht="32.25" hidden="1" customHeight="1">
      <c r="A287" s="8">
        <v>2307467</v>
      </c>
      <c r="B287" s="9" t="s">
        <v>1347</v>
      </c>
      <c r="C287" s="10">
        <v>45142</v>
      </c>
      <c r="D287" s="9" t="s">
        <v>67</v>
      </c>
      <c r="E287" s="9" t="s">
        <v>143</v>
      </c>
      <c r="F287" s="9" t="s">
        <v>42</v>
      </c>
      <c r="G287" s="9" t="s">
        <v>43</v>
      </c>
      <c r="H287" s="9" t="s">
        <v>44</v>
      </c>
      <c r="I287" s="11" t="s">
        <v>334</v>
      </c>
      <c r="J287" s="9" t="s">
        <v>327</v>
      </c>
      <c r="K287" s="9" t="s">
        <v>47</v>
      </c>
      <c r="L287" s="9" t="s">
        <v>1040</v>
      </c>
      <c r="M287" s="9" t="s">
        <v>1147</v>
      </c>
      <c r="N287" s="9" t="s">
        <v>50</v>
      </c>
      <c r="O287" s="9" t="s">
        <v>51</v>
      </c>
      <c r="P287" s="9" t="s">
        <v>336</v>
      </c>
      <c r="Q287" s="9"/>
      <c r="R287" s="9" t="s">
        <v>61</v>
      </c>
      <c r="S287" s="9" t="s">
        <v>1348</v>
      </c>
      <c r="T287" s="9" t="s">
        <v>1349</v>
      </c>
      <c r="U287" s="9" t="s">
        <v>54</v>
      </c>
      <c r="V287" s="9" t="s">
        <v>55</v>
      </c>
      <c r="W287" s="9" t="s">
        <v>55</v>
      </c>
      <c r="X287" s="12" t="s">
        <v>150</v>
      </c>
      <c r="Y287" s="9" t="s">
        <v>151</v>
      </c>
      <c r="Z287" s="13" t="s">
        <v>1350</v>
      </c>
    </row>
    <row r="288" spans="1:26" ht="32.25" hidden="1" customHeight="1">
      <c r="A288" s="8">
        <v>2310878</v>
      </c>
      <c r="B288" s="9" t="s">
        <v>1351</v>
      </c>
      <c r="C288" s="10">
        <v>45149</v>
      </c>
      <c r="D288" s="9" t="s">
        <v>57</v>
      </c>
      <c r="E288" s="9" t="s">
        <v>41</v>
      </c>
      <c r="F288" s="9" t="s">
        <v>42</v>
      </c>
      <c r="G288" s="9" t="s">
        <v>43</v>
      </c>
      <c r="H288" s="9" t="s">
        <v>58</v>
      </c>
      <c r="I288" s="11" t="s">
        <v>661</v>
      </c>
      <c r="J288" s="9" t="s">
        <v>662</v>
      </c>
      <c r="K288" s="9" t="s">
        <v>47</v>
      </c>
      <c r="L288" s="9" t="s">
        <v>156</v>
      </c>
      <c r="M288" s="9" t="s">
        <v>1352</v>
      </c>
      <c r="N288" s="9" t="s">
        <v>50</v>
      </c>
      <c r="O288" s="9" t="s">
        <v>51</v>
      </c>
      <c r="P288" s="9"/>
      <c r="Q288" s="9"/>
      <c r="R288" s="9"/>
      <c r="S288" s="14" t="s">
        <v>1353</v>
      </c>
      <c r="T288" s="9" t="s">
        <v>1354</v>
      </c>
      <c r="U288" s="9" t="s">
        <v>54</v>
      </c>
      <c r="V288" s="9" t="s">
        <v>55</v>
      </c>
      <c r="W288" s="9" t="s">
        <v>55</v>
      </c>
      <c r="X288" s="12"/>
      <c r="Y288" s="9" t="s">
        <v>55</v>
      </c>
      <c r="Z288" s="13"/>
    </row>
    <row r="289" spans="1:26" ht="32.25" hidden="1" customHeight="1">
      <c r="A289" s="8">
        <v>2308451</v>
      </c>
      <c r="B289" s="9" t="s">
        <v>1355</v>
      </c>
      <c r="C289" s="10">
        <v>45149</v>
      </c>
      <c r="D289" s="9" t="s">
        <v>57</v>
      </c>
      <c r="E289" s="9" t="s">
        <v>41</v>
      </c>
      <c r="F289" s="9" t="s">
        <v>42</v>
      </c>
      <c r="G289" s="9" t="s">
        <v>43</v>
      </c>
      <c r="H289" s="9" t="s">
        <v>58</v>
      </c>
      <c r="I289" s="11" t="s">
        <v>45</v>
      </c>
      <c r="J289" s="9" t="s">
        <v>46</v>
      </c>
      <c r="K289" s="9" t="s">
        <v>47</v>
      </c>
      <c r="L289" s="9" t="s">
        <v>156</v>
      </c>
      <c r="M289" s="9"/>
      <c r="N289" s="9" t="s">
        <v>50</v>
      </c>
      <c r="O289" s="9" t="s">
        <v>51</v>
      </c>
      <c r="P289" s="9"/>
      <c r="Q289" s="9"/>
      <c r="R289" s="9"/>
      <c r="S289" s="14" t="s">
        <v>1356</v>
      </c>
      <c r="T289" s="9" t="s">
        <v>1357</v>
      </c>
      <c r="U289" s="9" t="s">
        <v>54</v>
      </c>
      <c r="V289" s="9" t="s">
        <v>55</v>
      </c>
      <c r="W289" s="9" t="s">
        <v>55</v>
      </c>
      <c r="X289" s="12"/>
      <c r="Y289" s="9" t="s">
        <v>55</v>
      </c>
      <c r="Z289" s="13"/>
    </row>
    <row r="290" spans="1:26" ht="32.25" hidden="1" customHeight="1">
      <c r="A290" s="8">
        <v>2309900</v>
      </c>
      <c r="B290" s="9" t="s">
        <v>1358</v>
      </c>
      <c r="C290" s="10">
        <v>45142</v>
      </c>
      <c r="D290" s="9" t="s">
        <v>67</v>
      </c>
      <c r="E290" s="9" t="s">
        <v>153</v>
      </c>
      <c r="F290" s="9" t="s">
        <v>42</v>
      </c>
      <c r="G290" s="9" t="s">
        <v>43</v>
      </c>
      <c r="H290" s="9" t="s">
        <v>44</v>
      </c>
      <c r="I290" s="11" t="s">
        <v>154</v>
      </c>
      <c r="J290" s="9" t="s">
        <v>155</v>
      </c>
      <c r="K290" s="9" t="s">
        <v>47</v>
      </c>
      <c r="L290" s="9" t="s">
        <v>480</v>
      </c>
      <c r="M290" s="9" t="s">
        <v>481</v>
      </c>
      <c r="N290" s="9" t="s">
        <v>84</v>
      </c>
      <c r="O290" s="9" t="s">
        <v>51</v>
      </c>
      <c r="P290" s="9"/>
      <c r="Q290" s="9"/>
      <c r="R290" s="9" t="s">
        <v>61</v>
      </c>
      <c r="S290" s="9" t="s">
        <v>1359</v>
      </c>
      <c r="T290" s="9" t="s">
        <v>1360</v>
      </c>
      <c r="U290" s="9" t="s">
        <v>54</v>
      </c>
      <c r="V290" s="9" t="s">
        <v>55</v>
      </c>
      <c r="W290" s="9" t="s">
        <v>55</v>
      </c>
      <c r="X290" s="12" t="s">
        <v>171</v>
      </c>
      <c r="Y290" s="9" t="s">
        <v>172</v>
      </c>
      <c r="Z290" s="13"/>
    </row>
    <row r="291" spans="1:26" ht="32.25" hidden="1" customHeight="1">
      <c r="A291" s="8">
        <v>2309121</v>
      </c>
      <c r="B291" s="9" t="s">
        <v>1361</v>
      </c>
      <c r="C291" s="10">
        <v>45149</v>
      </c>
      <c r="D291" s="9" t="s">
        <v>261</v>
      </c>
      <c r="E291" s="9" t="s">
        <v>143</v>
      </c>
      <c r="F291" s="9" t="s">
        <v>262</v>
      </c>
      <c r="G291" s="9" t="s">
        <v>43</v>
      </c>
      <c r="H291" s="9" t="s">
        <v>44</v>
      </c>
      <c r="I291" s="11" t="s">
        <v>384</v>
      </c>
      <c r="J291" s="9" t="s">
        <v>385</v>
      </c>
      <c r="K291" s="9" t="s">
        <v>416</v>
      </c>
      <c r="L291" s="9"/>
      <c r="M291" s="9" t="s">
        <v>1362</v>
      </c>
      <c r="N291" s="9" t="s">
        <v>50</v>
      </c>
      <c r="O291" s="9" t="s">
        <v>51</v>
      </c>
      <c r="P291" s="9"/>
      <c r="Q291" s="9"/>
      <c r="R291" s="9" t="s">
        <v>61</v>
      </c>
      <c r="S291" s="14" t="s">
        <v>1363</v>
      </c>
      <c r="T291" s="9" t="s">
        <v>1364</v>
      </c>
      <c r="U291" s="9" t="s">
        <v>262</v>
      </c>
      <c r="V291" s="9" t="s">
        <v>370</v>
      </c>
      <c r="W291" s="9" t="s">
        <v>115</v>
      </c>
      <c r="X291" s="12" t="s">
        <v>389</v>
      </c>
      <c r="Y291" s="9" t="s">
        <v>390</v>
      </c>
      <c r="Z291" s="13"/>
    </row>
    <row r="292" spans="1:26" ht="32.25" hidden="1" customHeight="1">
      <c r="A292" s="8">
        <v>2309021</v>
      </c>
      <c r="B292" s="9" t="s">
        <v>1365</v>
      </c>
      <c r="C292" s="10">
        <v>45149</v>
      </c>
      <c r="D292" s="9" t="s">
        <v>57</v>
      </c>
      <c r="E292" s="9" t="s">
        <v>153</v>
      </c>
      <c r="F292" s="9" t="s">
        <v>42</v>
      </c>
      <c r="G292" s="9" t="s">
        <v>43</v>
      </c>
      <c r="H292" s="9" t="s">
        <v>58</v>
      </c>
      <c r="I292" s="11" t="s">
        <v>154</v>
      </c>
      <c r="J292" s="9" t="s">
        <v>155</v>
      </c>
      <c r="K292" s="9" t="s">
        <v>47</v>
      </c>
      <c r="L292" s="9" t="s">
        <v>48</v>
      </c>
      <c r="M292" s="9" t="s">
        <v>1366</v>
      </c>
      <c r="N292" s="9" t="s">
        <v>84</v>
      </c>
      <c r="O292" s="9" t="s">
        <v>51</v>
      </c>
      <c r="P292" s="9"/>
      <c r="Q292" s="9"/>
      <c r="R292" s="9" t="s">
        <v>61</v>
      </c>
      <c r="S292" s="14" t="s">
        <v>1367</v>
      </c>
      <c r="T292" s="9" t="s">
        <v>1368</v>
      </c>
      <c r="U292" s="9" t="s">
        <v>54</v>
      </c>
      <c r="V292" s="9" t="s">
        <v>55</v>
      </c>
      <c r="W292" s="9" t="s">
        <v>55</v>
      </c>
      <c r="X292" s="12" t="s">
        <v>171</v>
      </c>
      <c r="Y292" s="9" t="s">
        <v>172</v>
      </c>
      <c r="Z292" s="13" t="s">
        <v>1369</v>
      </c>
    </row>
    <row r="293" spans="1:26" ht="32.25" hidden="1" customHeight="1">
      <c r="A293" s="8">
        <v>2312386</v>
      </c>
      <c r="B293" s="9" t="s">
        <v>1370</v>
      </c>
      <c r="C293" s="10">
        <v>45136</v>
      </c>
      <c r="D293" s="9" t="s">
        <v>301</v>
      </c>
      <c r="E293" s="9" t="s">
        <v>143</v>
      </c>
      <c r="F293" s="9" t="s">
        <v>42</v>
      </c>
      <c r="G293" s="9" t="s">
        <v>43</v>
      </c>
      <c r="H293" s="9" t="s">
        <v>44</v>
      </c>
      <c r="I293" s="11" t="s">
        <v>334</v>
      </c>
      <c r="J293" s="9" t="s">
        <v>327</v>
      </c>
      <c r="K293" s="9" t="s">
        <v>47</v>
      </c>
      <c r="L293" s="9" t="s">
        <v>822</v>
      </c>
      <c r="M293" s="9" t="s">
        <v>823</v>
      </c>
      <c r="N293" s="9" t="s">
        <v>50</v>
      </c>
      <c r="O293" s="9" t="s">
        <v>51</v>
      </c>
      <c r="P293" s="9" t="s">
        <v>336</v>
      </c>
      <c r="Q293" s="9"/>
      <c r="R293" s="9" t="s">
        <v>61</v>
      </c>
      <c r="S293" s="9" t="s">
        <v>1371</v>
      </c>
      <c r="T293" s="9" t="s">
        <v>1372</v>
      </c>
      <c r="U293" s="9" t="s">
        <v>54</v>
      </c>
      <c r="V293" s="9" t="s">
        <v>55</v>
      </c>
      <c r="W293" s="9" t="s">
        <v>55</v>
      </c>
      <c r="X293" s="12" t="s">
        <v>150</v>
      </c>
      <c r="Y293" s="9" t="s">
        <v>151</v>
      </c>
      <c r="Z293" s="13"/>
    </row>
    <row r="294" spans="1:26" ht="32.25" hidden="1" customHeight="1">
      <c r="A294" s="8">
        <v>2314547</v>
      </c>
      <c r="B294" s="9" t="s">
        <v>1373</v>
      </c>
      <c r="C294" s="10">
        <v>45156</v>
      </c>
      <c r="D294" s="9" t="s">
        <v>79</v>
      </c>
      <c r="E294" s="9" t="s">
        <v>41</v>
      </c>
      <c r="F294" s="9" t="s">
        <v>80</v>
      </c>
      <c r="G294" s="9" t="s">
        <v>43</v>
      </c>
      <c r="H294" s="9" t="s">
        <v>44</v>
      </c>
      <c r="I294" s="11" t="s">
        <v>478</v>
      </c>
      <c r="J294" s="9" t="s">
        <v>479</v>
      </c>
      <c r="K294" s="9" t="s">
        <v>47</v>
      </c>
      <c r="L294" s="9" t="s">
        <v>226</v>
      </c>
      <c r="M294" s="9" t="s">
        <v>1374</v>
      </c>
      <c r="N294" s="9" t="s">
        <v>50</v>
      </c>
      <c r="O294" s="9" t="s">
        <v>51</v>
      </c>
      <c r="P294" s="9" t="s">
        <v>482</v>
      </c>
      <c r="Q294" s="9"/>
      <c r="R294" s="9"/>
      <c r="S294" s="14" t="s">
        <v>1375</v>
      </c>
      <c r="T294" s="9" t="s">
        <v>1376</v>
      </c>
      <c r="U294" s="9" t="s">
        <v>54</v>
      </c>
      <c r="V294" s="9" t="s">
        <v>55</v>
      </c>
      <c r="W294" s="9" t="s">
        <v>55</v>
      </c>
      <c r="X294" s="12"/>
      <c r="Y294" s="9" t="s">
        <v>55</v>
      </c>
      <c r="Z294" s="13"/>
    </row>
    <row r="295" spans="1:26" ht="32.25" hidden="1" customHeight="1">
      <c r="A295" s="8">
        <v>2315255</v>
      </c>
      <c r="B295" s="9" t="s">
        <v>1377</v>
      </c>
      <c r="C295" s="10">
        <v>45149</v>
      </c>
      <c r="D295" s="9" t="s">
        <v>57</v>
      </c>
      <c r="E295" s="9" t="s">
        <v>41</v>
      </c>
      <c r="F295" s="9" t="s">
        <v>42</v>
      </c>
      <c r="G295" s="9" t="s">
        <v>43</v>
      </c>
      <c r="H295" s="9" t="s">
        <v>58</v>
      </c>
      <c r="I295" s="11" t="s">
        <v>45</v>
      </c>
      <c r="J295" s="9" t="s">
        <v>46</v>
      </c>
      <c r="K295" s="9" t="s">
        <v>47</v>
      </c>
      <c r="L295" s="9" t="s">
        <v>1378</v>
      </c>
      <c r="M295" s="9" t="s">
        <v>1379</v>
      </c>
      <c r="N295" s="9" t="s">
        <v>50</v>
      </c>
      <c r="O295" s="9" t="s">
        <v>51</v>
      </c>
      <c r="P295" s="9"/>
      <c r="Q295" s="9"/>
      <c r="R295" s="9" t="s">
        <v>61</v>
      </c>
      <c r="S295" s="14" t="s">
        <v>1380</v>
      </c>
      <c r="T295" s="9" t="s">
        <v>1381</v>
      </c>
      <c r="U295" s="9" t="s">
        <v>54</v>
      </c>
      <c r="V295" s="9" t="s">
        <v>55</v>
      </c>
      <c r="W295" s="9" t="s">
        <v>55</v>
      </c>
      <c r="X295" s="9" t="s">
        <v>64</v>
      </c>
      <c r="Y295" s="9" t="s">
        <v>65</v>
      </c>
      <c r="Z295" s="13"/>
    </row>
    <row r="296" spans="1:26" ht="32.25" hidden="1" customHeight="1">
      <c r="A296" s="8">
        <v>2313721</v>
      </c>
      <c r="B296" s="9" t="s">
        <v>1382</v>
      </c>
      <c r="C296" s="10">
        <v>45156</v>
      </c>
      <c r="D296" s="9" t="s">
        <v>79</v>
      </c>
      <c r="E296" s="9" t="s">
        <v>143</v>
      </c>
      <c r="F296" s="9" t="s">
        <v>80</v>
      </c>
      <c r="G296" s="9" t="s">
        <v>43</v>
      </c>
      <c r="H296" s="9" t="s">
        <v>44</v>
      </c>
      <c r="I296" s="11" t="s">
        <v>326</v>
      </c>
      <c r="J296" s="9" t="s">
        <v>327</v>
      </c>
      <c r="K296" s="9" t="s">
        <v>47</v>
      </c>
      <c r="L296" s="9" t="s">
        <v>822</v>
      </c>
      <c r="M296" s="9" t="s">
        <v>1383</v>
      </c>
      <c r="N296" s="9" t="s">
        <v>84</v>
      </c>
      <c r="O296" s="9" t="s">
        <v>51</v>
      </c>
      <c r="P296" s="9" t="s">
        <v>1143</v>
      </c>
      <c r="Q296" s="9"/>
      <c r="R296" s="9" t="s">
        <v>61</v>
      </c>
      <c r="S296" s="14" t="s">
        <v>1384</v>
      </c>
      <c r="T296" s="9" t="s">
        <v>1385</v>
      </c>
      <c r="U296" s="9" t="s">
        <v>54</v>
      </c>
      <c r="V296" s="9" t="s">
        <v>370</v>
      </c>
      <c r="W296" s="9" t="s">
        <v>115</v>
      </c>
      <c r="X296" s="12" t="s">
        <v>150</v>
      </c>
      <c r="Y296" s="9" t="s">
        <v>151</v>
      </c>
      <c r="Z296" s="13"/>
    </row>
    <row r="297" spans="1:26" ht="32.25" hidden="1" customHeight="1">
      <c r="A297" s="8">
        <v>2302386</v>
      </c>
      <c r="B297" s="9" t="s">
        <v>1386</v>
      </c>
      <c r="C297" s="10">
        <v>45142</v>
      </c>
      <c r="D297" s="9" t="s">
        <v>67</v>
      </c>
      <c r="E297" s="9" t="s">
        <v>143</v>
      </c>
      <c r="F297" s="9" t="s">
        <v>42</v>
      </c>
      <c r="G297" s="9" t="s">
        <v>43</v>
      </c>
      <c r="H297" s="9" t="s">
        <v>44</v>
      </c>
      <c r="I297" s="11" t="s">
        <v>334</v>
      </c>
      <c r="J297" s="9" t="s">
        <v>327</v>
      </c>
      <c r="K297" s="9" t="s">
        <v>47</v>
      </c>
      <c r="L297" s="9" t="s">
        <v>586</v>
      </c>
      <c r="M297" s="9" t="s">
        <v>918</v>
      </c>
      <c r="N297" s="9" t="s">
        <v>50</v>
      </c>
      <c r="O297" s="9" t="s">
        <v>51</v>
      </c>
      <c r="P297" s="9" t="s">
        <v>336</v>
      </c>
      <c r="Q297" s="9"/>
      <c r="R297" s="9"/>
      <c r="S297" s="9" t="s">
        <v>1387</v>
      </c>
      <c r="T297" s="9" t="s">
        <v>1388</v>
      </c>
      <c r="U297" s="9" t="s">
        <v>54</v>
      </c>
      <c r="V297" s="9" t="s">
        <v>55</v>
      </c>
      <c r="W297" s="9" t="s">
        <v>55</v>
      </c>
      <c r="X297" s="12"/>
      <c r="Y297" s="9" t="s">
        <v>55</v>
      </c>
      <c r="Z297" s="13"/>
    </row>
    <row r="298" spans="1:26" ht="32.25" hidden="1" customHeight="1">
      <c r="A298" s="8">
        <v>2310617</v>
      </c>
      <c r="B298" s="9" t="s">
        <v>1389</v>
      </c>
      <c r="C298" s="10">
        <v>45149</v>
      </c>
      <c r="D298" s="9" t="s">
        <v>57</v>
      </c>
      <c r="E298" s="9" t="s">
        <v>41</v>
      </c>
      <c r="F298" s="9" t="s">
        <v>42</v>
      </c>
      <c r="G298" s="9" t="s">
        <v>43</v>
      </c>
      <c r="H298" s="9" t="s">
        <v>58</v>
      </c>
      <c r="I298" s="11" t="s">
        <v>199</v>
      </c>
      <c r="J298" s="9" t="s">
        <v>200</v>
      </c>
      <c r="K298" s="9" t="s">
        <v>47</v>
      </c>
      <c r="L298" s="9" t="s">
        <v>156</v>
      </c>
      <c r="M298" s="9"/>
      <c r="N298" s="9" t="s">
        <v>84</v>
      </c>
      <c r="O298" s="9" t="s">
        <v>51</v>
      </c>
      <c r="P298" s="9"/>
      <c r="Q298" s="9"/>
      <c r="R298" s="9"/>
      <c r="S298" s="14" t="s">
        <v>1390</v>
      </c>
      <c r="T298" s="9" t="s">
        <v>1391</v>
      </c>
      <c r="U298" s="9" t="s">
        <v>54</v>
      </c>
      <c r="V298" s="9" t="s">
        <v>55</v>
      </c>
      <c r="W298" s="9" t="s">
        <v>55</v>
      </c>
      <c r="X298" s="12"/>
      <c r="Y298" s="9" t="s">
        <v>55</v>
      </c>
      <c r="Z298" s="13"/>
    </row>
    <row r="299" spans="1:26" ht="32.25" hidden="1" customHeight="1">
      <c r="A299" s="8">
        <v>2308327</v>
      </c>
      <c r="B299" s="9" t="s">
        <v>1392</v>
      </c>
      <c r="C299" s="10">
        <v>45149</v>
      </c>
      <c r="D299" s="9" t="s">
        <v>57</v>
      </c>
      <c r="E299" s="9" t="s">
        <v>153</v>
      </c>
      <c r="F299" s="9" t="s">
        <v>42</v>
      </c>
      <c r="G299" s="9" t="s">
        <v>43</v>
      </c>
      <c r="H299" s="9" t="s">
        <v>58</v>
      </c>
      <c r="I299" s="11" t="s">
        <v>154</v>
      </c>
      <c r="J299" s="9" t="s">
        <v>155</v>
      </c>
      <c r="K299" s="9" t="s">
        <v>47</v>
      </c>
      <c r="L299" s="9" t="s">
        <v>221</v>
      </c>
      <c r="M299" s="9" t="s">
        <v>1142</v>
      </c>
      <c r="N299" s="9" t="s">
        <v>84</v>
      </c>
      <c r="O299" s="9" t="s">
        <v>51</v>
      </c>
      <c r="P299" s="9"/>
      <c r="Q299" s="9"/>
      <c r="R299" s="9" t="s">
        <v>61</v>
      </c>
      <c r="S299" s="14" t="s">
        <v>1393</v>
      </c>
      <c r="T299" s="9" t="s">
        <v>1394</v>
      </c>
      <c r="U299" s="9" t="s">
        <v>54</v>
      </c>
      <c r="V299" s="9" t="s">
        <v>55</v>
      </c>
      <c r="W299" s="9" t="s">
        <v>55</v>
      </c>
      <c r="X299" s="12" t="s">
        <v>171</v>
      </c>
      <c r="Y299" s="9" t="s">
        <v>172</v>
      </c>
      <c r="Z299" s="13"/>
    </row>
    <row r="300" spans="1:26" ht="32.25" hidden="1" customHeight="1">
      <c r="A300" s="8">
        <v>2312041</v>
      </c>
      <c r="B300" s="9" t="s">
        <v>1395</v>
      </c>
      <c r="C300" s="10">
        <v>45156</v>
      </c>
      <c r="D300" s="9" t="s">
        <v>79</v>
      </c>
      <c r="E300" s="9" t="s">
        <v>143</v>
      </c>
      <c r="F300" s="9" t="s">
        <v>80</v>
      </c>
      <c r="G300" s="9" t="s">
        <v>43</v>
      </c>
      <c r="H300" s="9" t="s">
        <v>44</v>
      </c>
      <c r="I300" s="11" t="s">
        <v>326</v>
      </c>
      <c r="J300" s="9" t="s">
        <v>327</v>
      </c>
      <c r="K300" s="9" t="s">
        <v>47</v>
      </c>
      <c r="L300" s="9" t="s">
        <v>863</v>
      </c>
      <c r="M300" s="9" t="s">
        <v>1396</v>
      </c>
      <c r="N300" s="9" t="s">
        <v>50</v>
      </c>
      <c r="O300" s="9" t="s">
        <v>51</v>
      </c>
      <c r="P300" s="9" t="s">
        <v>1117</v>
      </c>
      <c r="Q300" s="9"/>
      <c r="R300" s="9" t="s">
        <v>61</v>
      </c>
      <c r="S300" s="14" t="s">
        <v>1397</v>
      </c>
      <c r="T300" s="9" t="s">
        <v>1398</v>
      </c>
      <c r="U300" s="9" t="s">
        <v>54</v>
      </c>
      <c r="V300" s="9" t="s">
        <v>55</v>
      </c>
      <c r="W300" s="9" t="s">
        <v>55</v>
      </c>
      <c r="X300" s="12" t="s">
        <v>389</v>
      </c>
      <c r="Y300" s="9" t="s">
        <v>390</v>
      </c>
      <c r="Z300" s="13" t="s">
        <v>1399</v>
      </c>
    </row>
    <row r="301" spans="1:26" ht="32.25" hidden="1" customHeight="1">
      <c r="A301" s="8">
        <v>2315015</v>
      </c>
      <c r="B301" s="9" t="s">
        <v>1400</v>
      </c>
      <c r="C301" s="10">
        <v>45156</v>
      </c>
      <c r="D301" s="9" t="s">
        <v>79</v>
      </c>
      <c r="E301" s="9" t="s">
        <v>89</v>
      </c>
      <c r="F301" s="9" t="s">
        <v>80</v>
      </c>
      <c r="G301" s="9" t="s">
        <v>43</v>
      </c>
      <c r="H301" s="9" t="s">
        <v>44</v>
      </c>
      <c r="I301" s="11" t="s">
        <v>101</v>
      </c>
      <c r="J301" s="9" t="s">
        <v>102</v>
      </c>
      <c r="K301" s="9" t="s">
        <v>92</v>
      </c>
      <c r="L301" s="9"/>
      <c r="M301" s="9" t="s">
        <v>1401</v>
      </c>
      <c r="N301" s="9" t="s">
        <v>50</v>
      </c>
      <c r="O301" s="9" t="s">
        <v>51</v>
      </c>
      <c r="P301" s="9" t="s">
        <v>1402</v>
      </c>
      <c r="Q301" s="9"/>
      <c r="R301" s="9"/>
      <c r="S301" s="14" t="s">
        <v>1403</v>
      </c>
      <c r="T301" s="9" t="s">
        <v>1404</v>
      </c>
      <c r="U301" s="9" t="s">
        <v>54</v>
      </c>
      <c r="V301" s="9" t="s">
        <v>55</v>
      </c>
      <c r="W301" s="9" t="s">
        <v>55</v>
      </c>
      <c r="X301" s="12"/>
      <c r="Y301" s="9" t="s">
        <v>55</v>
      </c>
      <c r="Z301" s="13"/>
    </row>
    <row r="302" spans="1:26" ht="32.25" hidden="1" customHeight="1">
      <c r="A302" s="8">
        <v>2308830</v>
      </c>
      <c r="B302" s="9" t="s">
        <v>1405</v>
      </c>
      <c r="C302" s="10">
        <v>45149</v>
      </c>
      <c r="D302" s="9" t="s">
        <v>261</v>
      </c>
      <c r="E302" s="9" t="s">
        <v>89</v>
      </c>
      <c r="F302" s="9" t="s">
        <v>262</v>
      </c>
      <c r="G302" s="9" t="s">
        <v>43</v>
      </c>
      <c r="H302" s="9" t="s">
        <v>44</v>
      </c>
      <c r="I302" s="11" t="s">
        <v>435</v>
      </c>
      <c r="J302" s="9" t="s">
        <v>436</v>
      </c>
      <c r="K302" s="9" t="s">
        <v>47</v>
      </c>
      <c r="L302" s="9" t="s">
        <v>553</v>
      </c>
      <c r="M302" s="9" t="s">
        <v>1406</v>
      </c>
      <c r="N302" s="9" t="s">
        <v>84</v>
      </c>
      <c r="O302" s="9" t="s">
        <v>51</v>
      </c>
      <c r="P302" s="9"/>
      <c r="Q302" s="9"/>
      <c r="R302" s="9"/>
      <c r="S302" s="14" t="s">
        <v>1407</v>
      </c>
      <c r="T302" s="9" t="s">
        <v>1408</v>
      </c>
      <c r="U302" s="9" t="s">
        <v>262</v>
      </c>
      <c r="V302" s="9"/>
      <c r="W302" s="9" t="s">
        <v>115</v>
      </c>
      <c r="X302" s="12"/>
      <c r="Y302" s="9" t="s">
        <v>55</v>
      </c>
      <c r="Z302" s="13"/>
    </row>
    <row r="303" spans="1:26" ht="32.25" hidden="1" customHeight="1">
      <c r="A303" s="8">
        <v>2312133</v>
      </c>
      <c r="B303" s="9" t="s">
        <v>1409</v>
      </c>
      <c r="C303" s="10">
        <v>45149</v>
      </c>
      <c r="D303" s="9" t="s">
        <v>261</v>
      </c>
      <c r="E303" s="9" t="s">
        <v>295</v>
      </c>
      <c r="F303" s="9" t="s">
        <v>262</v>
      </c>
      <c r="G303" s="9" t="s">
        <v>43</v>
      </c>
      <c r="H303" s="9" t="s">
        <v>44</v>
      </c>
      <c r="I303" s="11" t="s">
        <v>893</v>
      </c>
      <c r="J303" s="9" t="s">
        <v>894</v>
      </c>
      <c r="K303" s="9" t="s">
        <v>47</v>
      </c>
      <c r="L303" s="9" t="s">
        <v>156</v>
      </c>
      <c r="M303" s="9"/>
      <c r="N303" s="9" t="s">
        <v>50</v>
      </c>
      <c r="O303" s="9" t="s">
        <v>51</v>
      </c>
      <c r="P303" s="9"/>
      <c r="Q303" s="9"/>
      <c r="R303" s="9"/>
      <c r="S303" s="14" t="s">
        <v>1410</v>
      </c>
      <c r="T303" s="9" t="s">
        <v>1411</v>
      </c>
      <c r="U303" s="9" t="s">
        <v>262</v>
      </c>
      <c r="V303" s="9" t="s">
        <v>55</v>
      </c>
      <c r="W303" s="9" t="s">
        <v>115</v>
      </c>
      <c r="X303" s="12"/>
      <c r="Y303" s="9" t="s">
        <v>55</v>
      </c>
      <c r="Z303" s="13"/>
    </row>
    <row r="304" spans="1:26" ht="32.25" hidden="1" customHeight="1">
      <c r="A304" s="8">
        <v>2314463</v>
      </c>
      <c r="B304" s="9" t="s">
        <v>1412</v>
      </c>
      <c r="C304" s="10">
        <v>45156</v>
      </c>
      <c r="D304" s="9" t="s">
        <v>79</v>
      </c>
      <c r="E304" s="9" t="s">
        <v>41</v>
      </c>
      <c r="F304" s="9" t="s">
        <v>80</v>
      </c>
      <c r="G304" s="9" t="s">
        <v>43</v>
      </c>
      <c r="H304" s="9" t="s">
        <v>44</v>
      </c>
      <c r="I304" s="11" t="s">
        <v>478</v>
      </c>
      <c r="J304" s="9" t="s">
        <v>479</v>
      </c>
      <c r="K304" s="9" t="s">
        <v>47</v>
      </c>
      <c r="L304" s="9" t="s">
        <v>517</v>
      </c>
      <c r="M304" s="9" t="s">
        <v>1413</v>
      </c>
      <c r="N304" s="9" t="s">
        <v>50</v>
      </c>
      <c r="O304" s="9" t="s">
        <v>51</v>
      </c>
      <c r="P304" s="9" t="s">
        <v>1414</v>
      </c>
      <c r="Q304" s="9"/>
      <c r="R304" s="9" t="s">
        <v>61</v>
      </c>
      <c r="S304" s="14" t="s">
        <v>1415</v>
      </c>
      <c r="T304" s="9" t="s">
        <v>1416</v>
      </c>
      <c r="U304" s="9" t="s">
        <v>54</v>
      </c>
      <c r="V304" s="9" t="s">
        <v>331</v>
      </c>
      <c r="W304" s="9" t="s">
        <v>115</v>
      </c>
      <c r="X304" s="9" t="s">
        <v>64</v>
      </c>
      <c r="Y304" s="9" t="s">
        <v>65</v>
      </c>
      <c r="Z304" s="13"/>
    </row>
    <row r="305" spans="1:26" ht="32.25" hidden="1" customHeight="1">
      <c r="A305" s="8">
        <v>2314328</v>
      </c>
      <c r="B305" s="9" t="s">
        <v>1417</v>
      </c>
      <c r="C305" s="10">
        <v>45156</v>
      </c>
      <c r="D305" s="9" t="s">
        <v>79</v>
      </c>
      <c r="E305" s="9" t="s">
        <v>143</v>
      </c>
      <c r="F305" s="9" t="s">
        <v>80</v>
      </c>
      <c r="G305" s="9" t="s">
        <v>43</v>
      </c>
      <c r="H305" s="9" t="s">
        <v>44</v>
      </c>
      <c r="I305" s="11" t="s">
        <v>326</v>
      </c>
      <c r="J305" s="9" t="s">
        <v>327</v>
      </c>
      <c r="K305" s="9" t="s">
        <v>47</v>
      </c>
      <c r="L305" s="9" t="s">
        <v>48</v>
      </c>
      <c r="M305" s="9" t="s">
        <v>1418</v>
      </c>
      <c r="N305" s="9" t="s">
        <v>50</v>
      </c>
      <c r="O305" s="9" t="s">
        <v>51</v>
      </c>
      <c r="P305" s="9" t="s">
        <v>1117</v>
      </c>
      <c r="Q305" s="9"/>
      <c r="R305" s="9" t="s">
        <v>61</v>
      </c>
      <c r="S305" s="14" t="s">
        <v>1419</v>
      </c>
      <c r="T305" s="9" t="s">
        <v>1420</v>
      </c>
      <c r="U305" s="9" t="s">
        <v>54</v>
      </c>
      <c r="V305" s="9" t="s">
        <v>55</v>
      </c>
      <c r="W305" s="9" t="s">
        <v>55</v>
      </c>
      <c r="X305" s="12" t="s">
        <v>389</v>
      </c>
      <c r="Y305" s="9" t="s">
        <v>390</v>
      </c>
      <c r="Z305" s="13" t="s">
        <v>1399</v>
      </c>
    </row>
    <row r="306" spans="1:26" ht="32.25" hidden="1" customHeight="1">
      <c r="A306" s="8">
        <v>2311853</v>
      </c>
      <c r="B306" s="9" t="s">
        <v>1421</v>
      </c>
      <c r="C306" s="10">
        <v>45149</v>
      </c>
      <c r="D306" s="9" t="s">
        <v>57</v>
      </c>
      <c r="E306" s="9" t="s">
        <v>41</v>
      </c>
      <c r="F306" s="9" t="s">
        <v>42</v>
      </c>
      <c r="G306" s="9" t="s">
        <v>43</v>
      </c>
      <c r="H306" s="9" t="s">
        <v>58</v>
      </c>
      <c r="I306" s="11" t="s">
        <v>661</v>
      </c>
      <c r="J306" s="9" t="s">
        <v>662</v>
      </c>
      <c r="K306" s="9" t="s">
        <v>47</v>
      </c>
      <c r="L306" s="9" t="s">
        <v>48</v>
      </c>
      <c r="M306" s="9" t="s">
        <v>1422</v>
      </c>
      <c r="N306" s="9" t="s">
        <v>50</v>
      </c>
      <c r="O306" s="9" t="s">
        <v>51</v>
      </c>
      <c r="P306" s="9"/>
      <c r="Q306" s="9"/>
      <c r="R306" s="9"/>
      <c r="S306" s="14" t="s">
        <v>1423</v>
      </c>
      <c r="T306" s="9" t="s">
        <v>1424</v>
      </c>
      <c r="U306" s="9" t="s">
        <v>54</v>
      </c>
      <c r="V306" s="9" t="s">
        <v>55</v>
      </c>
      <c r="W306" s="9" t="s">
        <v>55</v>
      </c>
      <c r="X306" s="12"/>
      <c r="Y306" s="9" t="s">
        <v>55</v>
      </c>
      <c r="Z306" s="13"/>
    </row>
    <row r="307" spans="1:26" ht="32.25" hidden="1" customHeight="1">
      <c r="A307" s="8">
        <v>2309539</v>
      </c>
      <c r="B307" s="9" t="s">
        <v>1425</v>
      </c>
      <c r="C307" s="10">
        <v>45142</v>
      </c>
      <c r="D307" s="9" t="s">
        <v>67</v>
      </c>
      <c r="E307" s="9" t="s">
        <v>143</v>
      </c>
      <c r="F307" s="9" t="s">
        <v>42</v>
      </c>
      <c r="G307" s="9" t="s">
        <v>43</v>
      </c>
      <c r="H307" s="9" t="s">
        <v>44</v>
      </c>
      <c r="I307" s="11" t="s">
        <v>144</v>
      </c>
      <c r="J307" s="9" t="s">
        <v>145</v>
      </c>
      <c r="K307" s="9" t="s">
        <v>47</v>
      </c>
      <c r="L307" s="9" t="s">
        <v>574</v>
      </c>
      <c r="M307" s="9" t="s">
        <v>617</v>
      </c>
      <c r="N307" s="9" t="s">
        <v>50</v>
      </c>
      <c r="O307" s="9" t="s">
        <v>51</v>
      </c>
      <c r="P307" s="9" t="s">
        <v>147</v>
      </c>
      <c r="Q307" s="9"/>
      <c r="R307" s="9" t="s">
        <v>61</v>
      </c>
      <c r="S307" s="9" t="s">
        <v>1426</v>
      </c>
      <c r="T307" s="9" t="s">
        <v>1427</v>
      </c>
      <c r="U307" s="9" t="s">
        <v>54</v>
      </c>
      <c r="V307" s="9" t="s">
        <v>55</v>
      </c>
      <c r="W307" s="9" t="s">
        <v>55</v>
      </c>
      <c r="X307" s="12" t="s">
        <v>150</v>
      </c>
      <c r="Y307" s="9" t="s">
        <v>151</v>
      </c>
      <c r="Z307" s="13"/>
    </row>
    <row r="308" spans="1:26" ht="32.25" hidden="1" customHeight="1">
      <c r="A308" s="8">
        <v>2313111</v>
      </c>
      <c r="B308" s="9" t="s">
        <v>1428</v>
      </c>
      <c r="C308" s="10">
        <v>45149</v>
      </c>
      <c r="D308" s="9" t="s">
        <v>57</v>
      </c>
      <c r="E308" s="9" t="s">
        <v>41</v>
      </c>
      <c r="F308" s="9" t="s">
        <v>42</v>
      </c>
      <c r="G308" s="9" t="s">
        <v>43</v>
      </c>
      <c r="H308" s="9" t="s">
        <v>58</v>
      </c>
      <c r="I308" s="11" t="s">
        <v>199</v>
      </c>
      <c r="J308" s="9" t="s">
        <v>200</v>
      </c>
      <c r="K308" s="9" t="s">
        <v>47</v>
      </c>
      <c r="L308" s="9" t="s">
        <v>156</v>
      </c>
      <c r="M308" s="9"/>
      <c r="N308" s="9" t="s">
        <v>84</v>
      </c>
      <c r="O308" s="9" t="s">
        <v>51</v>
      </c>
      <c r="P308" s="9"/>
      <c r="Q308" s="9"/>
      <c r="R308" s="9"/>
      <c r="S308" s="14" t="s">
        <v>1429</v>
      </c>
      <c r="T308" s="9" t="s">
        <v>1430</v>
      </c>
      <c r="U308" s="9" t="s">
        <v>54</v>
      </c>
      <c r="V308" s="9" t="s">
        <v>55</v>
      </c>
      <c r="W308" s="9" t="s">
        <v>55</v>
      </c>
      <c r="X308" s="12"/>
      <c r="Y308" s="9" t="s">
        <v>55</v>
      </c>
      <c r="Z308" s="13"/>
    </row>
    <row r="309" spans="1:26" ht="32.25" hidden="1" customHeight="1">
      <c r="A309" s="8">
        <v>2310575</v>
      </c>
      <c r="B309" s="9" t="s">
        <v>1431</v>
      </c>
      <c r="C309" s="10">
        <v>45156</v>
      </c>
      <c r="D309" s="9" t="s">
        <v>79</v>
      </c>
      <c r="E309" s="9" t="s">
        <v>41</v>
      </c>
      <c r="F309" s="9" t="s">
        <v>80</v>
      </c>
      <c r="G309" s="9" t="s">
        <v>43</v>
      </c>
      <c r="H309" s="9" t="s">
        <v>44</v>
      </c>
      <c r="I309" s="11" t="s">
        <v>81</v>
      </c>
      <c r="J309" s="9" t="s">
        <v>46</v>
      </c>
      <c r="K309" s="9" t="s">
        <v>47</v>
      </c>
      <c r="L309" s="9" t="s">
        <v>156</v>
      </c>
      <c r="M309" s="9"/>
      <c r="N309" s="9" t="s">
        <v>50</v>
      </c>
      <c r="O309" s="9" t="s">
        <v>51</v>
      </c>
      <c r="P309" s="9" t="s">
        <v>582</v>
      </c>
      <c r="Q309" s="9"/>
      <c r="R309" s="9"/>
      <c r="S309" s="14" t="s">
        <v>1432</v>
      </c>
      <c r="T309" s="9" t="s">
        <v>1433</v>
      </c>
      <c r="U309" s="9" t="s">
        <v>54</v>
      </c>
      <c r="V309" s="9"/>
      <c r="W309" s="9" t="s">
        <v>115</v>
      </c>
      <c r="X309" s="12"/>
      <c r="Y309" s="9" t="s">
        <v>55</v>
      </c>
      <c r="Z309" s="13"/>
    </row>
    <row r="310" spans="1:26" ht="32.25" hidden="1" customHeight="1">
      <c r="A310" s="8">
        <v>2312248</v>
      </c>
      <c r="B310" s="9" t="s">
        <v>1434</v>
      </c>
      <c r="C310" s="10">
        <v>45156</v>
      </c>
      <c r="D310" s="9" t="s">
        <v>79</v>
      </c>
      <c r="E310" s="9" t="s">
        <v>41</v>
      </c>
      <c r="F310" s="9" t="s">
        <v>80</v>
      </c>
      <c r="G310" s="9" t="s">
        <v>43</v>
      </c>
      <c r="H310" s="9" t="s">
        <v>44</v>
      </c>
      <c r="I310" s="11" t="s">
        <v>478</v>
      </c>
      <c r="J310" s="9" t="s">
        <v>479</v>
      </c>
      <c r="K310" s="9" t="s">
        <v>47</v>
      </c>
      <c r="L310" s="9" t="s">
        <v>156</v>
      </c>
      <c r="M310" s="9" t="s">
        <v>1435</v>
      </c>
      <c r="N310" s="9" t="s">
        <v>50</v>
      </c>
      <c r="O310" s="9" t="s">
        <v>51</v>
      </c>
      <c r="P310" s="9" t="s">
        <v>482</v>
      </c>
      <c r="Q310" s="9"/>
      <c r="R310" s="9"/>
      <c r="S310" s="14" t="s">
        <v>1436</v>
      </c>
      <c r="T310" s="9" t="s">
        <v>1437</v>
      </c>
      <c r="U310" s="9" t="s">
        <v>54</v>
      </c>
      <c r="V310" s="9" t="s">
        <v>55</v>
      </c>
      <c r="W310" s="9" t="s">
        <v>55</v>
      </c>
      <c r="X310" s="12"/>
      <c r="Y310" s="9" t="s">
        <v>55</v>
      </c>
      <c r="Z310" s="13"/>
    </row>
    <row r="311" spans="1:26" ht="32.25" hidden="1" customHeight="1">
      <c r="A311" s="8">
        <v>2301865</v>
      </c>
      <c r="B311" s="9" t="s">
        <v>1438</v>
      </c>
      <c r="C311" s="10">
        <v>45142</v>
      </c>
      <c r="D311" s="9" t="s">
        <v>67</v>
      </c>
      <c r="E311" s="9" t="s">
        <v>89</v>
      </c>
      <c r="F311" s="9" t="s">
        <v>42</v>
      </c>
      <c r="G311" s="9" t="s">
        <v>43</v>
      </c>
      <c r="H311" s="9" t="s">
        <v>44</v>
      </c>
      <c r="I311" s="11" t="s">
        <v>354</v>
      </c>
      <c r="J311" s="9" t="s">
        <v>91</v>
      </c>
      <c r="K311" s="9" t="s">
        <v>47</v>
      </c>
      <c r="L311" s="9" t="s">
        <v>48</v>
      </c>
      <c r="M311" s="9" t="s">
        <v>1439</v>
      </c>
      <c r="N311" s="9" t="s">
        <v>50</v>
      </c>
      <c r="O311" s="9" t="s">
        <v>51</v>
      </c>
      <c r="P311" s="9" t="s">
        <v>356</v>
      </c>
      <c r="Q311" s="9"/>
      <c r="R311" s="9" t="s">
        <v>61</v>
      </c>
      <c r="S311" s="9" t="s">
        <v>1440</v>
      </c>
      <c r="T311" s="9" t="s">
        <v>1441</v>
      </c>
      <c r="U311" s="9" t="s">
        <v>54</v>
      </c>
      <c r="V311" s="9" t="s">
        <v>55</v>
      </c>
      <c r="W311" s="9" t="s">
        <v>55</v>
      </c>
      <c r="X311" s="12" t="s">
        <v>98</v>
      </c>
      <c r="Y311" s="9" t="s">
        <v>99</v>
      </c>
      <c r="Z311" s="13"/>
    </row>
    <row r="312" spans="1:26" ht="32.25" hidden="1" customHeight="1">
      <c r="A312" s="8">
        <v>2303353</v>
      </c>
      <c r="B312" s="9" t="s">
        <v>1442</v>
      </c>
      <c r="C312" s="10">
        <v>45142</v>
      </c>
      <c r="D312" s="9" t="s">
        <v>67</v>
      </c>
      <c r="E312" s="9" t="s">
        <v>68</v>
      </c>
      <c r="F312" s="9" t="s">
        <v>135</v>
      </c>
      <c r="G312" s="9" t="s">
        <v>43</v>
      </c>
      <c r="H312" s="9" t="s">
        <v>44</v>
      </c>
      <c r="I312" s="11" t="s">
        <v>136</v>
      </c>
      <c r="J312" s="9" t="s">
        <v>137</v>
      </c>
      <c r="K312" s="9" t="s">
        <v>47</v>
      </c>
      <c r="L312" s="9" t="s">
        <v>411</v>
      </c>
      <c r="M312" s="9" t="s">
        <v>1443</v>
      </c>
      <c r="N312" s="9" t="s">
        <v>84</v>
      </c>
      <c r="O312" s="9" t="s">
        <v>51</v>
      </c>
      <c r="P312" s="9"/>
      <c r="Q312" s="9"/>
      <c r="R312" s="9" t="s">
        <v>61</v>
      </c>
      <c r="S312" s="9" t="s">
        <v>1444</v>
      </c>
      <c r="T312" s="9" t="s">
        <v>1445</v>
      </c>
      <c r="U312" s="9" t="s">
        <v>54</v>
      </c>
      <c r="V312" s="9" t="s">
        <v>55</v>
      </c>
      <c r="W312" s="9" t="s">
        <v>55</v>
      </c>
      <c r="X312" s="12" t="s">
        <v>76</v>
      </c>
      <c r="Y312" s="9" t="s">
        <v>77</v>
      </c>
      <c r="Z312" s="13"/>
    </row>
    <row r="313" spans="1:26" ht="32.25" hidden="1" customHeight="1">
      <c r="A313" s="8">
        <v>2309201</v>
      </c>
      <c r="B313" s="9" t="s">
        <v>1446</v>
      </c>
      <c r="C313" s="10">
        <v>45156</v>
      </c>
      <c r="D313" s="9" t="s">
        <v>79</v>
      </c>
      <c r="E313" s="9" t="s">
        <v>41</v>
      </c>
      <c r="F313" s="9" t="s">
        <v>80</v>
      </c>
      <c r="G313" s="9" t="s">
        <v>43</v>
      </c>
      <c r="H313" s="9" t="s">
        <v>44</v>
      </c>
      <c r="I313" s="11" t="s">
        <v>527</v>
      </c>
      <c r="J313" s="9" t="s">
        <v>130</v>
      </c>
      <c r="K313" s="9" t="s">
        <v>47</v>
      </c>
      <c r="L313" s="9" t="s">
        <v>48</v>
      </c>
      <c r="M313" s="9" t="s">
        <v>1447</v>
      </c>
      <c r="N313" s="9" t="s">
        <v>84</v>
      </c>
      <c r="O313" s="9" t="s">
        <v>51</v>
      </c>
      <c r="P313" s="9" t="s">
        <v>529</v>
      </c>
      <c r="Q313" s="9"/>
      <c r="R313" s="9"/>
      <c r="S313" s="14" t="s">
        <v>1448</v>
      </c>
      <c r="T313" s="9" t="s">
        <v>1449</v>
      </c>
      <c r="U313" s="9" t="s">
        <v>54</v>
      </c>
      <c r="V313" s="9" t="s">
        <v>55</v>
      </c>
      <c r="W313" s="9" t="s">
        <v>55</v>
      </c>
      <c r="X313" s="12"/>
      <c r="Y313" s="9" t="s">
        <v>55</v>
      </c>
      <c r="Z313" s="13"/>
    </row>
    <row r="314" spans="1:26" ht="32.25" hidden="1" customHeight="1">
      <c r="A314" s="8">
        <v>2315115</v>
      </c>
      <c r="B314" s="9" t="s">
        <v>1450</v>
      </c>
      <c r="C314" s="10">
        <v>45149</v>
      </c>
      <c r="D314" s="9" t="s">
        <v>57</v>
      </c>
      <c r="E314" s="9" t="s">
        <v>295</v>
      </c>
      <c r="F314" s="9" t="s">
        <v>42</v>
      </c>
      <c r="G314" s="9" t="s">
        <v>43</v>
      </c>
      <c r="H314" s="9" t="s">
        <v>58</v>
      </c>
      <c r="I314" s="11" t="s">
        <v>406</v>
      </c>
      <c r="J314" s="9" t="s">
        <v>407</v>
      </c>
      <c r="K314" s="9" t="s">
        <v>47</v>
      </c>
      <c r="L314" s="9" t="s">
        <v>221</v>
      </c>
      <c r="M314" s="9" t="s">
        <v>1451</v>
      </c>
      <c r="N314" s="9" t="s">
        <v>84</v>
      </c>
      <c r="O314" s="9" t="s">
        <v>51</v>
      </c>
      <c r="P314" s="9"/>
      <c r="Q314" s="9"/>
      <c r="R314" s="9" t="s">
        <v>61</v>
      </c>
      <c r="S314" s="14" t="s">
        <v>1452</v>
      </c>
      <c r="T314" s="9" t="s">
        <v>1453</v>
      </c>
      <c r="U314" s="9" t="s">
        <v>54</v>
      </c>
      <c r="V314" s="9" t="s">
        <v>55</v>
      </c>
      <c r="W314" s="9" t="s">
        <v>55</v>
      </c>
      <c r="X314" s="9" t="s">
        <v>319</v>
      </c>
      <c r="Y314" s="9" t="s">
        <v>320</v>
      </c>
      <c r="Z314" s="13"/>
    </row>
    <row r="315" spans="1:26" ht="32.25" hidden="1" customHeight="1">
      <c r="A315" s="8">
        <v>2300170</v>
      </c>
      <c r="B315" s="9" t="s">
        <v>1454</v>
      </c>
      <c r="C315" s="10">
        <v>45149</v>
      </c>
      <c r="D315" s="9" t="s">
        <v>261</v>
      </c>
      <c r="E315" s="9" t="s">
        <v>68</v>
      </c>
      <c r="F315" s="9" t="s">
        <v>262</v>
      </c>
      <c r="G315" s="9" t="s">
        <v>43</v>
      </c>
      <c r="H315" s="9" t="s">
        <v>44</v>
      </c>
      <c r="I315" s="11" t="s">
        <v>1455</v>
      </c>
      <c r="J315" s="9" t="s">
        <v>1456</v>
      </c>
      <c r="K315" s="9" t="s">
        <v>47</v>
      </c>
      <c r="L315" s="9" t="s">
        <v>411</v>
      </c>
      <c r="M315" s="9" t="s">
        <v>1457</v>
      </c>
      <c r="N315" s="9" t="s">
        <v>84</v>
      </c>
      <c r="O315" s="9" t="s">
        <v>51</v>
      </c>
      <c r="P315" s="9"/>
      <c r="Q315" s="9"/>
      <c r="R315" s="9" t="s">
        <v>61</v>
      </c>
      <c r="S315" s="14" t="s">
        <v>1458</v>
      </c>
      <c r="T315" s="9" t="s">
        <v>1459</v>
      </c>
      <c r="U315" s="9" t="s">
        <v>262</v>
      </c>
      <c r="V315" s="9" t="s">
        <v>711</v>
      </c>
      <c r="W315" s="9" t="s">
        <v>115</v>
      </c>
      <c r="X315" s="12" t="s">
        <v>98</v>
      </c>
      <c r="Y315" s="9" t="s">
        <v>99</v>
      </c>
      <c r="Z315" s="13" t="s">
        <v>1460</v>
      </c>
    </row>
    <row r="316" spans="1:26" ht="32.25" hidden="1" customHeight="1">
      <c r="A316" s="8">
        <v>2307680</v>
      </c>
      <c r="B316" s="9" t="s">
        <v>1461</v>
      </c>
      <c r="C316" s="10">
        <v>45142</v>
      </c>
      <c r="D316" s="9" t="s">
        <v>67</v>
      </c>
      <c r="E316" s="9" t="s">
        <v>89</v>
      </c>
      <c r="F316" s="9" t="s">
        <v>42</v>
      </c>
      <c r="G316" s="9" t="s">
        <v>43</v>
      </c>
      <c r="H316" s="9" t="s">
        <v>44</v>
      </c>
      <c r="I316" s="11" t="s">
        <v>354</v>
      </c>
      <c r="J316" s="9" t="s">
        <v>91</v>
      </c>
      <c r="K316" s="9" t="s">
        <v>1462</v>
      </c>
      <c r="L316" s="9"/>
      <c r="M316" s="9"/>
      <c r="N316" s="9" t="s">
        <v>84</v>
      </c>
      <c r="O316" s="9" t="s">
        <v>51</v>
      </c>
      <c r="P316" s="9" t="s">
        <v>356</v>
      </c>
      <c r="Q316" s="9"/>
      <c r="R316" s="9" t="s">
        <v>61</v>
      </c>
      <c r="S316" s="9" t="s">
        <v>1463</v>
      </c>
      <c r="T316" s="9" t="s">
        <v>1464</v>
      </c>
      <c r="U316" s="9" t="s">
        <v>54</v>
      </c>
      <c r="V316" s="9" t="s">
        <v>55</v>
      </c>
      <c r="W316" s="9" t="s">
        <v>55</v>
      </c>
      <c r="X316" s="12" t="s">
        <v>171</v>
      </c>
      <c r="Y316" s="9" t="s">
        <v>172</v>
      </c>
      <c r="Z316" s="13" t="s">
        <v>1465</v>
      </c>
    </row>
    <row r="317" spans="1:26" ht="32.25" hidden="1" customHeight="1">
      <c r="A317" s="8">
        <v>2306093</v>
      </c>
      <c r="B317" s="9" t="s">
        <v>1466</v>
      </c>
      <c r="C317" s="10">
        <v>45142</v>
      </c>
      <c r="D317" s="9" t="s">
        <v>67</v>
      </c>
      <c r="E317" s="9" t="s">
        <v>89</v>
      </c>
      <c r="F317" s="9" t="s">
        <v>42</v>
      </c>
      <c r="G317" s="9" t="s">
        <v>43</v>
      </c>
      <c r="H317" s="9" t="s">
        <v>44</v>
      </c>
      <c r="I317" s="11" t="s">
        <v>354</v>
      </c>
      <c r="J317" s="9" t="s">
        <v>91</v>
      </c>
      <c r="K317" s="9" t="s">
        <v>47</v>
      </c>
      <c r="L317" s="9" t="s">
        <v>156</v>
      </c>
      <c r="M317" s="9"/>
      <c r="N317" s="9" t="s">
        <v>84</v>
      </c>
      <c r="O317" s="9" t="s">
        <v>51</v>
      </c>
      <c r="P317" s="9" t="s">
        <v>356</v>
      </c>
      <c r="Q317" s="9"/>
      <c r="R317" s="9"/>
      <c r="S317" s="9" t="s">
        <v>1467</v>
      </c>
      <c r="T317" s="9" t="s">
        <v>1468</v>
      </c>
      <c r="U317" s="9" t="s">
        <v>54</v>
      </c>
      <c r="V317" s="9" t="s">
        <v>55</v>
      </c>
      <c r="W317" s="9" t="s">
        <v>55</v>
      </c>
      <c r="X317" s="12"/>
      <c r="Y317" s="9" t="s">
        <v>55</v>
      </c>
      <c r="Z317" s="13"/>
    </row>
    <row r="318" spans="1:26" ht="32.25" hidden="1" customHeight="1">
      <c r="A318" s="8">
        <v>2310793</v>
      </c>
      <c r="B318" s="9" t="s">
        <v>1469</v>
      </c>
      <c r="C318" s="10">
        <v>45156</v>
      </c>
      <c r="D318" s="9" t="s">
        <v>79</v>
      </c>
      <c r="E318" s="9" t="s">
        <v>143</v>
      </c>
      <c r="F318" s="9" t="s">
        <v>80</v>
      </c>
      <c r="G318" s="9" t="s">
        <v>43</v>
      </c>
      <c r="H318" s="9" t="s">
        <v>44</v>
      </c>
      <c r="I318" s="11" t="s">
        <v>399</v>
      </c>
      <c r="J318" s="9" t="s">
        <v>400</v>
      </c>
      <c r="K318" s="9" t="s">
        <v>47</v>
      </c>
      <c r="L318" s="9" t="s">
        <v>156</v>
      </c>
      <c r="M318" s="9"/>
      <c r="N318" s="9" t="s">
        <v>50</v>
      </c>
      <c r="O318" s="9" t="s">
        <v>51</v>
      </c>
      <c r="P318" s="9" t="s">
        <v>1137</v>
      </c>
      <c r="Q318" s="9"/>
      <c r="R318" s="9"/>
      <c r="S318" s="14" t="s">
        <v>1470</v>
      </c>
      <c r="T318" s="9" t="s">
        <v>1471</v>
      </c>
      <c r="U318" s="9" t="s">
        <v>54</v>
      </c>
      <c r="V318" s="9"/>
      <c r="W318" s="9" t="s">
        <v>115</v>
      </c>
      <c r="X318" s="12"/>
      <c r="Y318" s="9" t="s">
        <v>55</v>
      </c>
      <c r="Z318" s="13"/>
    </row>
    <row r="319" spans="1:26" ht="32.25" hidden="1" customHeight="1">
      <c r="A319" s="8">
        <v>2302073</v>
      </c>
      <c r="B319" s="9" t="s">
        <v>1472</v>
      </c>
      <c r="C319" s="10">
        <v>45156</v>
      </c>
      <c r="D319" s="9" t="s">
        <v>79</v>
      </c>
      <c r="E319" s="9" t="s">
        <v>89</v>
      </c>
      <c r="F319" s="9" t="s">
        <v>80</v>
      </c>
      <c r="G319" s="9" t="s">
        <v>43</v>
      </c>
      <c r="H319" s="9" t="s">
        <v>44</v>
      </c>
      <c r="I319" s="11" t="s">
        <v>90</v>
      </c>
      <c r="J319" s="9" t="s">
        <v>91</v>
      </c>
      <c r="K319" s="9" t="s">
        <v>47</v>
      </c>
      <c r="L319" s="9" t="s">
        <v>340</v>
      </c>
      <c r="M319" s="9" t="s">
        <v>1473</v>
      </c>
      <c r="N319" s="9" t="s">
        <v>50</v>
      </c>
      <c r="O319" s="9" t="s">
        <v>51</v>
      </c>
      <c r="P319" s="9" t="s">
        <v>546</v>
      </c>
      <c r="Q319" s="9"/>
      <c r="R319" s="9" t="s">
        <v>61</v>
      </c>
      <c r="S319" s="14" t="s">
        <v>1474</v>
      </c>
      <c r="T319" s="9" t="s">
        <v>1475</v>
      </c>
      <c r="U319" s="9" t="s">
        <v>54</v>
      </c>
      <c r="V319" s="9" t="s">
        <v>711</v>
      </c>
      <c r="W319" s="9" t="s">
        <v>115</v>
      </c>
      <c r="X319" s="12" t="s">
        <v>98</v>
      </c>
      <c r="Y319" s="9" t="s">
        <v>99</v>
      </c>
      <c r="Z319" s="13"/>
    </row>
    <row r="320" spans="1:26" ht="32.25" hidden="1" customHeight="1">
      <c r="A320" s="8">
        <v>2312474</v>
      </c>
      <c r="B320" s="9" t="s">
        <v>1476</v>
      </c>
      <c r="C320" s="10">
        <v>45149</v>
      </c>
      <c r="D320" s="9" t="s">
        <v>57</v>
      </c>
      <c r="E320" s="9" t="s">
        <v>41</v>
      </c>
      <c r="F320" s="9" t="s">
        <v>42</v>
      </c>
      <c r="G320" s="9" t="s">
        <v>43</v>
      </c>
      <c r="H320" s="9" t="s">
        <v>58</v>
      </c>
      <c r="I320" s="11" t="s">
        <v>199</v>
      </c>
      <c r="J320" s="9" t="s">
        <v>200</v>
      </c>
      <c r="K320" s="9" t="s">
        <v>47</v>
      </c>
      <c r="L320" s="9" t="s">
        <v>1315</v>
      </c>
      <c r="M320" s="9" t="s">
        <v>1316</v>
      </c>
      <c r="N320" s="9" t="s">
        <v>50</v>
      </c>
      <c r="O320" s="9" t="s">
        <v>51</v>
      </c>
      <c r="P320" s="9"/>
      <c r="Q320" s="9"/>
      <c r="R320" s="9" t="s">
        <v>61</v>
      </c>
      <c r="S320" s="14" t="s">
        <v>1477</v>
      </c>
      <c r="T320" s="9" t="s">
        <v>1478</v>
      </c>
      <c r="U320" s="9" t="s">
        <v>54</v>
      </c>
      <c r="V320" s="9" t="s">
        <v>55</v>
      </c>
      <c r="W320" s="9" t="s">
        <v>55</v>
      </c>
      <c r="X320" s="12" t="s">
        <v>196</v>
      </c>
      <c r="Y320" s="9" t="s">
        <v>197</v>
      </c>
      <c r="Z320" s="13"/>
    </row>
    <row r="321" spans="1:26" ht="32.25" hidden="1" customHeight="1">
      <c r="A321" s="8">
        <v>2308578</v>
      </c>
      <c r="B321" s="9" t="s">
        <v>1479</v>
      </c>
      <c r="C321" s="10">
        <v>45142</v>
      </c>
      <c r="D321" s="9" t="s">
        <v>67</v>
      </c>
      <c r="E321" s="9" t="s">
        <v>68</v>
      </c>
      <c r="F321" s="9" t="s">
        <v>135</v>
      </c>
      <c r="G321" s="9" t="s">
        <v>43</v>
      </c>
      <c r="H321" s="9" t="s">
        <v>44</v>
      </c>
      <c r="I321" s="11" t="s">
        <v>136</v>
      </c>
      <c r="J321" s="9" t="s">
        <v>137</v>
      </c>
      <c r="K321" s="9" t="s">
        <v>47</v>
      </c>
      <c r="L321" s="9" t="s">
        <v>349</v>
      </c>
      <c r="M321" s="9" t="s">
        <v>1480</v>
      </c>
      <c r="N321" s="9" t="s">
        <v>84</v>
      </c>
      <c r="O321" s="9" t="s">
        <v>51</v>
      </c>
      <c r="P321" s="9"/>
      <c r="Q321" s="9" t="s">
        <v>1481</v>
      </c>
      <c r="R321" s="9" t="s">
        <v>61</v>
      </c>
      <c r="S321" s="9" t="s">
        <v>1482</v>
      </c>
      <c r="T321" s="9" t="s">
        <v>1483</v>
      </c>
      <c r="U321" s="9" t="s">
        <v>54</v>
      </c>
      <c r="V321" s="9" t="s">
        <v>55</v>
      </c>
      <c r="W321" s="9" t="s">
        <v>55</v>
      </c>
      <c r="X321" s="12" t="s">
        <v>76</v>
      </c>
      <c r="Y321" s="9" t="s">
        <v>77</v>
      </c>
      <c r="Z321" s="13"/>
    </row>
    <row r="322" spans="1:26" ht="32.25" hidden="1" customHeight="1">
      <c r="A322" s="8">
        <v>2302933</v>
      </c>
      <c r="B322" s="9" t="s">
        <v>1484</v>
      </c>
      <c r="C322" s="10">
        <v>45149</v>
      </c>
      <c r="D322" s="9" t="s">
        <v>57</v>
      </c>
      <c r="E322" s="9" t="s">
        <v>41</v>
      </c>
      <c r="F322" s="9" t="s">
        <v>42</v>
      </c>
      <c r="G322" s="9" t="s">
        <v>43</v>
      </c>
      <c r="H322" s="9" t="s">
        <v>58</v>
      </c>
      <c r="I322" s="11" t="s">
        <v>45</v>
      </c>
      <c r="J322" s="9" t="s">
        <v>46</v>
      </c>
      <c r="K322" s="9" t="s">
        <v>47</v>
      </c>
      <c r="L322" s="9" t="s">
        <v>156</v>
      </c>
      <c r="M322" s="9"/>
      <c r="N322" s="9" t="s">
        <v>50</v>
      </c>
      <c r="O322" s="9" t="s">
        <v>51</v>
      </c>
      <c r="P322" s="9"/>
      <c r="Q322" s="9"/>
      <c r="R322" s="9"/>
      <c r="S322" s="14" t="s">
        <v>1485</v>
      </c>
      <c r="T322" s="9" t="s">
        <v>1486</v>
      </c>
      <c r="U322" s="9" t="s">
        <v>54</v>
      </c>
      <c r="V322" s="9" t="s">
        <v>55</v>
      </c>
      <c r="W322" s="9" t="s">
        <v>55</v>
      </c>
      <c r="X322" s="12"/>
      <c r="Y322" s="9" t="s">
        <v>55</v>
      </c>
      <c r="Z322" s="13"/>
    </row>
    <row r="323" spans="1:26" ht="32.25" hidden="1" customHeight="1">
      <c r="A323" s="8">
        <v>2301898</v>
      </c>
      <c r="B323" s="9" t="s">
        <v>1487</v>
      </c>
      <c r="C323" s="10">
        <v>45149</v>
      </c>
      <c r="D323" s="9" t="s">
        <v>261</v>
      </c>
      <c r="E323" s="9" t="s">
        <v>89</v>
      </c>
      <c r="F323" s="9" t="s">
        <v>262</v>
      </c>
      <c r="G323" s="9" t="s">
        <v>43</v>
      </c>
      <c r="H323" s="9" t="s">
        <v>44</v>
      </c>
      <c r="I323" s="11" t="s">
        <v>1488</v>
      </c>
      <c r="J323" s="9" t="s">
        <v>1489</v>
      </c>
      <c r="K323" s="9" t="s">
        <v>47</v>
      </c>
      <c r="L323" s="9" t="s">
        <v>799</v>
      </c>
      <c r="M323" s="9" t="s">
        <v>1490</v>
      </c>
      <c r="N323" s="9" t="s">
        <v>50</v>
      </c>
      <c r="O323" s="9" t="s">
        <v>51</v>
      </c>
      <c r="P323" s="9"/>
      <c r="Q323" s="9"/>
      <c r="R323" s="9" t="s">
        <v>61</v>
      </c>
      <c r="S323" s="14" t="s">
        <v>1491</v>
      </c>
      <c r="T323" s="9" t="s">
        <v>1492</v>
      </c>
      <c r="U323" s="9" t="s">
        <v>262</v>
      </c>
      <c r="V323" s="9" t="s">
        <v>711</v>
      </c>
      <c r="W323" s="9" t="s">
        <v>115</v>
      </c>
      <c r="X323" s="12" t="s">
        <v>98</v>
      </c>
      <c r="Y323" s="9" t="s">
        <v>99</v>
      </c>
      <c r="Z323" s="13" t="s">
        <v>1493</v>
      </c>
    </row>
    <row r="324" spans="1:26" ht="32.25" hidden="1" customHeight="1">
      <c r="A324" s="8">
        <v>2304972</v>
      </c>
      <c r="B324" s="9" t="s">
        <v>1494</v>
      </c>
      <c r="C324" s="10">
        <v>45149</v>
      </c>
      <c r="D324" s="9" t="s">
        <v>261</v>
      </c>
      <c r="E324" s="9" t="s">
        <v>89</v>
      </c>
      <c r="F324" s="9" t="s">
        <v>262</v>
      </c>
      <c r="G324" s="9" t="s">
        <v>43</v>
      </c>
      <c r="H324" s="9" t="s">
        <v>44</v>
      </c>
      <c r="I324" s="11" t="s">
        <v>1488</v>
      </c>
      <c r="J324" s="9" t="s">
        <v>1489</v>
      </c>
      <c r="K324" s="9" t="s">
        <v>47</v>
      </c>
      <c r="L324" s="9" t="s">
        <v>162</v>
      </c>
      <c r="M324" s="9" t="s">
        <v>163</v>
      </c>
      <c r="N324" s="9" t="s">
        <v>50</v>
      </c>
      <c r="O324" s="9" t="s">
        <v>51</v>
      </c>
      <c r="P324" s="9"/>
      <c r="Q324" s="9"/>
      <c r="R324" s="9"/>
      <c r="S324" s="14" t="s">
        <v>1495</v>
      </c>
      <c r="T324" s="9" t="s">
        <v>1496</v>
      </c>
      <c r="U324" s="9" t="s">
        <v>262</v>
      </c>
      <c r="V324" s="9" t="s">
        <v>55</v>
      </c>
      <c r="W324" s="9" t="s">
        <v>55</v>
      </c>
      <c r="X324" s="12"/>
      <c r="Y324" s="9" t="s">
        <v>55</v>
      </c>
      <c r="Z324" s="13"/>
    </row>
    <row r="325" spans="1:26" ht="32.25" hidden="1" customHeight="1">
      <c r="A325" s="8">
        <v>2302142</v>
      </c>
      <c r="B325" s="9" t="s">
        <v>1497</v>
      </c>
      <c r="C325" s="10">
        <v>45149</v>
      </c>
      <c r="D325" s="9" t="s">
        <v>57</v>
      </c>
      <c r="E325" s="9" t="s">
        <v>153</v>
      </c>
      <c r="F325" s="9" t="s">
        <v>42</v>
      </c>
      <c r="G325" s="9" t="s">
        <v>43</v>
      </c>
      <c r="H325" s="9" t="s">
        <v>58</v>
      </c>
      <c r="I325" s="11" t="s">
        <v>154</v>
      </c>
      <c r="J325" s="9" t="s">
        <v>155</v>
      </c>
      <c r="K325" s="9" t="s">
        <v>47</v>
      </c>
      <c r="L325" s="9" t="s">
        <v>746</v>
      </c>
      <c r="M325" s="9" t="s">
        <v>1498</v>
      </c>
      <c r="N325" s="9" t="s">
        <v>84</v>
      </c>
      <c r="O325" s="9" t="s">
        <v>51</v>
      </c>
      <c r="P325" s="9"/>
      <c r="Q325" s="9"/>
      <c r="R325" s="9" t="s">
        <v>61</v>
      </c>
      <c r="S325" s="14" t="s">
        <v>1499</v>
      </c>
      <c r="T325" s="9" t="s">
        <v>1500</v>
      </c>
      <c r="U325" s="9" t="s">
        <v>54</v>
      </c>
      <c r="V325" s="9" t="s">
        <v>55</v>
      </c>
      <c r="W325" s="9" t="s">
        <v>55</v>
      </c>
      <c r="X325" s="12" t="s">
        <v>171</v>
      </c>
      <c r="Y325" s="9" t="s">
        <v>172</v>
      </c>
      <c r="Z325" s="13"/>
    </row>
    <row r="326" spans="1:26" ht="32.25" hidden="1" customHeight="1">
      <c r="A326" s="8">
        <v>2305748</v>
      </c>
      <c r="B326" s="9" t="s">
        <v>1501</v>
      </c>
      <c r="C326" s="10">
        <v>45142</v>
      </c>
      <c r="D326" s="9" t="s">
        <v>67</v>
      </c>
      <c r="E326" s="9" t="s">
        <v>143</v>
      </c>
      <c r="F326" s="9" t="s">
        <v>42</v>
      </c>
      <c r="G326" s="9" t="s">
        <v>43</v>
      </c>
      <c r="H326" s="9" t="s">
        <v>44</v>
      </c>
      <c r="I326" s="11" t="s">
        <v>334</v>
      </c>
      <c r="J326" s="9" t="s">
        <v>327</v>
      </c>
      <c r="K326" s="9" t="s">
        <v>47</v>
      </c>
      <c r="L326" s="9" t="s">
        <v>598</v>
      </c>
      <c r="M326" s="9" t="s">
        <v>599</v>
      </c>
      <c r="N326" s="9" t="s">
        <v>84</v>
      </c>
      <c r="O326" s="9" t="s">
        <v>51</v>
      </c>
      <c r="P326" s="9" t="s">
        <v>336</v>
      </c>
      <c r="Q326" s="9"/>
      <c r="R326" s="9" t="s">
        <v>61</v>
      </c>
      <c r="S326" s="9" t="s">
        <v>1502</v>
      </c>
      <c r="T326" s="9" t="s">
        <v>1503</v>
      </c>
      <c r="U326" s="9" t="s">
        <v>54</v>
      </c>
      <c r="V326" s="9" t="s">
        <v>55</v>
      </c>
      <c r="W326" s="9" t="s">
        <v>55</v>
      </c>
      <c r="X326" s="12" t="s">
        <v>150</v>
      </c>
      <c r="Y326" s="9" t="s">
        <v>151</v>
      </c>
      <c r="Z326" s="13"/>
    </row>
    <row r="327" spans="1:26" ht="32.25" hidden="1" customHeight="1">
      <c r="A327" s="8">
        <v>2303238</v>
      </c>
      <c r="B327" s="9" t="s">
        <v>1504</v>
      </c>
      <c r="C327" s="10">
        <v>45149</v>
      </c>
      <c r="D327" s="9" t="s">
        <v>57</v>
      </c>
      <c r="E327" s="9" t="s">
        <v>41</v>
      </c>
      <c r="F327" s="9" t="s">
        <v>42</v>
      </c>
      <c r="G327" s="9" t="s">
        <v>43</v>
      </c>
      <c r="H327" s="9" t="s">
        <v>58</v>
      </c>
      <c r="I327" s="11" t="s">
        <v>45</v>
      </c>
      <c r="J327" s="9" t="s">
        <v>46</v>
      </c>
      <c r="K327" s="9" t="s">
        <v>47</v>
      </c>
      <c r="L327" s="9" t="s">
        <v>156</v>
      </c>
      <c r="M327" s="9"/>
      <c r="N327" s="9" t="s">
        <v>84</v>
      </c>
      <c r="O327" s="9" t="s">
        <v>51</v>
      </c>
      <c r="P327" s="9"/>
      <c r="Q327" s="9"/>
      <c r="R327" s="9"/>
      <c r="S327" s="14" t="s">
        <v>1505</v>
      </c>
      <c r="T327" s="9" t="s">
        <v>1506</v>
      </c>
      <c r="U327" s="9" t="s">
        <v>54</v>
      </c>
      <c r="V327" s="9" t="s">
        <v>55</v>
      </c>
      <c r="W327" s="9" t="s">
        <v>55</v>
      </c>
      <c r="X327" s="12"/>
      <c r="Y327" s="9" t="s">
        <v>55</v>
      </c>
      <c r="Z327" s="13"/>
    </row>
    <row r="328" spans="1:26" ht="32.25" hidden="1" customHeight="1">
      <c r="A328" s="8">
        <v>2314244</v>
      </c>
      <c r="B328" s="9" t="s">
        <v>1507</v>
      </c>
      <c r="C328" s="10">
        <v>45156</v>
      </c>
      <c r="D328" s="9" t="s">
        <v>79</v>
      </c>
      <c r="E328" s="9" t="s">
        <v>143</v>
      </c>
      <c r="F328" s="9" t="s">
        <v>80</v>
      </c>
      <c r="G328" s="9" t="s">
        <v>43</v>
      </c>
      <c r="H328" s="9" t="s">
        <v>44</v>
      </c>
      <c r="I328" s="11" t="s">
        <v>326</v>
      </c>
      <c r="J328" s="9" t="s">
        <v>327</v>
      </c>
      <c r="K328" s="9" t="s">
        <v>47</v>
      </c>
      <c r="L328" s="9" t="s">
        <v>226</v>
      </c>
      <c r="M328" s="9" t="s">
        <v>1508</v>
      </c>
      <c r="N328" s="9" t="s">
        <v>50</v>
      </c>
      <c r="O328" s="9" t="s">
        <v>51</v>
      </c>
      <c r="P328" s="9" t="s">
        <v>1143</v>
      </c>
      <c r="Q328" s="9"/>
      <c r="R328" s="9" t="s">
        <v>61</v>
      </c>
      <c r="S328" s="14" t="s">
        <v>1509</v>
      </c>
      <c r="T328" s="9" t="s">
        <v>1510</v>
      </c>
      <c r="U328" s="9" t="s">
        <v>54</v>
      </c>
      <c r="V328" s="9" t="s">
        <v>370</v>
      </c>
      <c r="W328" s="9" t="s">
        <v>115</v>
      </c>
      <c r="X328" s="12" t="s">
        <v>150</v>
      </c>
      <c r="Y328" s="9" t="s">
        <v>151</v>
      </c>
      <c r="Z328" s="13"/>
    </row>
    <row r="329" spans="1:26" ht="32.25" hidden="1" customHeight="1">
      <c r="A329" s="8">
        <v>2315094</v>
      </c>
      <c r="B329" s="9" t="s">
        <v>1511</v>
      </c>
      <c r="C329" s="10">
        <v>45156</v>
      </c>
      <c r="D329" s="9" t="s">
        <v>79</v>
      </c>
      <c r="E329" s="9" t="s">
        <v>41</v>
      </c>
      <c r="F329" s="9" t="s">
        <v>80</v>
      </c>
      <c r="G329" s="9" t="s">
        <v>43</v>
      </c>
      <c r="H329" s="9" t="s">
        <v>44</v>
      </c>
      <c r="I329" s="11" t="s">
        <v>81</v>
      </c>
      <c r="J329" s="9" t="s">
        <v>46</v>
      </c>
      <c r="K329" s="9" t="s">
        <v>47</v>
      </c>
      <c r="L329" s="9" t="s">
        <v>1315</v>
      </c>
      <c r="M329" s="9" t="s">
        <v>1316</v>
      </c>
      <c r="N329" s="9" t="s">
        <v>50</v>
      </c>
      <c r="O329" s="9" t="s">
        <v>51</v>
      </c>
      <c r="P329" s="9" t="s">
        <v>85</v>
      </c>
      <c r="Q329" s="9"/>
      <c r="R329" s="9" t="s">
        <v>61</v>
      </c>
      <c r="S329" s="14" t="s">
        <v>1512</v>
      </c>
      <c r="T329" s="9" t="s">
        <v>1513</v>
      </c>
      <c r="U329" s="9" t="s">
        <v>54</v>
      </c>
      <c r="V329" s="9" t="s">
        <v>55</v>
      </c>
      <c r="W329" s="9" t="s">
        <v>55</v>
      </c>
      <c r="X329" s="12" t="s">
        <v>64</v>
      </c>
      <c r="Y329" s="9" t="s">
        <v>65</v>
      </c>
      <c r="Z329" s="13"/>
    </row>
    <row r="330" spans="1:26" ht="32.25" hidden="1" customHeight="1">
      <c r="A330" s="8">
        <v>2306162</v>
      </c>
      <c r="B330" s="9" t="s">
        <v>1514</v>
      </c>
      <c r="C330" s="10">
        <v>45142</v>
      </c>
      <c r="D330" s="9" t="s">
        <v>67</v>
      </c>
      <c r="E330" s="9" t="s">
        <v>89</v>
      </c>
      <c r="F330" s="9" t="s">
        <v>42</v>
      </c>
      <c r="G330" s="9" t="s">
        <v>43</v>
      </c>
      <c r="H330" s="9" t="s">
        <v>44</v>
      </c>
      <c r="I330" s="11" t="s">
        <v>360</v>
      </c>
      <c r="J330" s="9" t="s">
        <v>102</v>
      </c>
      <c r="K330" s="9" t="s">
        <v>47</v>
      </c>
      <c r="L330" s="9" t="s">
        <v>340</v>
      </c>
      <c r="M330" s="9" t="s">
        <v>1515</v>
      </c>
      <c r="N330" s="9" t="s">
        <v>50</v>
      </c>
      <c r="O330" s="9" t="s">
        <v>51</v>
      </c>
      <c r="P330" s="9" t="s">
        <v>361</v>
      </c>
      <c r="Q330" s="9" t="s">
        <v>465</v>
      </c>
      <c r="R330" s="9" t="s">
        <v>61</v>
      </c>
      <c r="S330" s="9" t="s">
        <v>1516</v>
      </c>
      <c r="T330" s="9" t="s">
        <v>1517</v>
      </c>
      <c r="U330" s="9" t="s">
        <v>54</v>
      </c>
      <c r="V330" s="9" t="s">
        <v>55</v>
      </c>
      <c r="W330" s="9" t="s">
        <v>55</v>
      </c>
      <c r="X330" s="12" t="s">
        <v>98</v>
      </c>
      <c r="Y330" s="9" t="s">
        <v>99</v>
      </c>
      <c r="Z330" s="13"/>
    </row>
    <row r="331" spans="1:26" ht="32.25" hidden="1" customHeight="1">
      <c r="A331" s="8">
        <v>2312886</v>
      </c>
      <c r="B331" s="9" t="s">
        <v>1518</v>
      </c>
      <c r="C331" s="10">
        <v>45156</v>
      </c>
      <c r="D331" s="9" t="s">
        <v>79</v>
      </c>
      <c r="E331" s="9" t="s">
        <v>143</v>
      </c>
      <c r="F331" s="9" t="s">
        <v>80</v>
      </c>
      <c r="G331" s="9" t="s">
        <v>43</v>
      </c>
      <c r="H331" s="9" t="s">
        <v>44</v>
      </c>
      <c r="I331" s="11" t="s">
        <v>725</v>
      </c>
      <c r="J331" s="9" t="s">
        <v>145</v>
      </c>
      <c r="K331" s="9" t="s">
        <v>47</v>
      </c>
      <c r="L331" s="9" t="s">
        <v>48</v>
      </c>
      <c r="M331" s="9" t="s">
        <v>1519</v>
      </c>
      <c r="N331" s="9" t="s">
        <v>84</v>
      </c>
      <c r="O331" s="9" t="s">
        <v>51</v>
      </c>
      <c r="P331" s="9" t="s">
        <v>1520</v>
      </c>
      <c r="Q331" s="9"/>
      <c r="R331" s="9"/>
      <c r="S331" s="14" t="s">
        <v>1521</v>
      </c>
      <c r="T331" s="9" t="s">
        <v>1522</v>
      </c>
      <c r="U331" s="9" t="s">
        <v>54</v>
      </c>
      <c r="V331" s="9" t="s">
        <v>55</v>
      </c>
      <c r="W331" s="9" t="s">
        <v>55</v>
      </c>
      <c r="X331" s="12"/>
      <c r="Y331" s="9" t="s">
        <v>55</v>
      </c>
      <c r="Z331" s="13"/>
    </row>
    <row r="332" spans="1:26" ht="32.25" hidden="1" customHeight="1">
      <c r="A332" s="8">
        <v>2305989</v>
      </c>
      <c r="B332" s="9" t="s">
        <v>1523</v>
      </c>
      <c r="C332" s="10">
        <v>45149</v>
      </c>
      <c r="D332" s="9" t="s">
        <v>57</v>
      </c>
      <c r="E332" s="9" t="s">
        <v>41</v>
      </c>
      <c r="F332" s="9" t="s">
        <v>42</v>
      </c>
      <c r="G332" s="9" t="s">
        <v>43</v>
      </c>
      <c r="H332" s="9" t="s">
        <v>58</v>
      </c>
      <c r="I332" s="11" t="s">
        <v>45</v>
      </c>
      <c r="J332" s="9" t="s">
        <v>46</v>
      </c>
      <c r="K332" s="9" t="s">
        <v>47</v>
      </c>
      <c r="L332" s="9" t="s">
        <v>162</v>
      </c>
      <c r="M332" s="9" t="s">
        <v>163</v>
      </c>
      <c r="N332" s="9" t="s">
        <v>50</v>
      </c>
      <c r="O332" s="9" t="s">
        <v>51</v>
      </c>
      <c r="P332" s="9"/>
      <c r="Q332" s="9"/>
      <c r="R332" s="9" t="s">
        <v>61</v>
      </c>
      <c r="S332" s="14" t="s">
        <v>1524</v>
      </c>
      <c r="T332" s="9" t="s">
        <v>1525</v>
      </c>
      <c r="U332" s="9" t="s">
        <v>54</v>
      </c>
      <c r="V332" s="9" t="s">
        <v>55</v>
      </c>
      <c r="W332" s="9" t="s">
        <v>55</v>
      </c>
      <c r="X332" s="9" t="s">
        <v>196</v>
      </c>
      <c r="Y332" s="9" t="s">
        <v>197</v>
      </c>
      <c r="Z332" s="9" t="s">
        <v>1526</v>
      </c>
    </row>
    <row r="333" spans="1:26" ht="32.25" hidden="1" customHeight="1">
      <c r="A333" s="8">
        <v>2300726</v>
      </c>
      <c r="B333" s="9" t="s">
        <v>1527</v>
      </c>
      <c r="C333" s="10">
        <v>45142</v>
      </c>
      <c r="D333" s="9" t="s">
        <v>67</v>
      </c>
      <c r="E333" s="9" t="s">
        <v>89</v>
      </c>
      <c r="F333" s="9" t="s">
        <v>42</v>
      </c>
      <c r="G333" s="9" t="s">
        <v>43</v>
      </c>
      <c r="H333" s="9" t="s">
        <v>44</v>
      </c>
      <c r="I333" s="11" t="s">
        <v>354</v>
      </c>
      <c r="J333" s="9" t="s">
        <v>91</v>
      </c>
      <c r="K333" s="9" t="s">
        <v>47</v>
      </c>
      <c r="L333" s="9" t="s">
        <v>180</v>
      </c>
      <c r="M333" s="9" t="s">
        <v>181</v>
      </c>
      <c r="N333" s="9" t="s">
        <v>84</v>
      </c>
      <c r="O333" s="9" t="s">
        <v>51</v>
      </c>
      <c r="P333" s="9" t="s">
        <v>356</v>
      </c>
      <c r="Q333" s="9"/>
      <c r="R333" s="9" t="s">
        <v>61</v>
      </c>
      <c r="S333" s="9" t="s">
        <v>1528</v>
      </c>
      <c r="T333" s="9" t="s">
        <v>1529</v>
      </c>
      <c r="U333" s="9" t="s">
        <v>54</v>
      </c>
      <c r="V333" s="9" t="s">
        <v>55</v>
      </c>
      <c r="W333" s="9" t="s">
        <v>55</v>
      </c>
      <c r="X333" s="12" t="s">
        <v>98</v>
      </c>
      <c r="Y333" s="9" t="s">
        <v>99</v>
      </c>
      <c r="Z333" s="13"/>
    </row>
    <row r="334" spans="1:26" ht="32.25" hidden="1" customHeight="1">
      <c r="A334" s="8">
        <v>2307796</v>
      </c>
      <c r="B334" s="9" t="s">
        <v>1530</v>
      </c>
      <c r="C334" s="10">
        <v>45156</v>
      </c>
      <c r="D334" s="9" t="s">
        <v>79</v>
      </c>
      <c r="E334" s="9" t="s">
        <v>143</v>
      </c>
      <c r="F334" s="9" t="s">
        <v>80</v>
      </c>
      <c r="G334" s="9" t="s">
        <v>43</v>
      </c>
      <c r="H334" s="9" t="s">
        <v>44</v>
      </c>
      <c r="I334" s="11" t="s">
        <v>725</v>
      </c>
      <c r="J334" s="9" t="s">
        <v>145</v>
      </c>
      <c r="K334" s="9" t="s">
        <v>47</v>
      </c>
      <c r="L334" s="9" t="s">
        <v>305</v>
      </c>
      <c r="M334" s="9" t="s">
        <v>1531</v>
      </c>
      <c r="N334" s="9" t="s">
        <v>50</v>
      </c>
      <c r="O334" s="9" t="s">
        <v>51</v>
      </c>
      <c r="P334" s="9" t="s">
        <v>727</v>
      </c>
      <c r="Q334" s="9"/>
      <c r="R334" s="9" t="s">
        <v>61</v>
      </c>
      <c r="S334" s="14" t="s">
        <v>1532</v>
      </c>
      <c r="T334" s="9" t="s">
        <v>1533</v>
      </c>
      <c r="U334" s="9" t="s">
        <v>54</v>
      </c>
      <c r="V334" s="9" t="s">
        <v>251</v>
      </c>
      <c r="W334" s="9" t="s">
        <v>115</v>
      </c>
      <c r="X334" s="12" t="s">
        <v>171</v>
      </c>
      <c r="Y334" s="9" t="s">
        <v>172</v>
      </c>
      <c r="Z334" s="13"/>
    </row>
    <row r="335" spans="1:26" ht="32.25" hidden="1" customHeight="1">
      <c r="A335" s="8">
        <v>2307447</v>
      </c>
      <c r="B335" s="9" t="s">
        <v>1534</v>
      </c>
      <c r="C335" s="10">
        <v>45142</v>
      </c>
      <c r="D335" s="9" t="s">
        <v>67</v>
      </c>
      <c r="E335" s="9" t="s">
        <v>89</v>
      </c>
      <c r="F335" s="9" t="s">
        <v>42</v>
      </c>
      <c r="G335" s="9" t="s">
        <v>43</v>
      </c>
      <c r="H335" s="9" t="s">
        <v>44</v>
      </c>
      <c r="I335" s="11" t="s">
        <v>354</v>
      </c>
      <c r="J335" s="9" t="s">
        <v>91</v>
      </c>
      <c r="K335" s="9" t="s">
        <v>47</v>
      </c>
      <c r="L335" s="9" t="s">
        <v>846</v>
      </c>
      <c r="M335" s="9" t="s">
        <v>1535</v>
      </c>
      <c r="N335" s="9" t="s">
        <v>50</v>
      </c>
      <c r="O335" s="9" t="s">
        <v>51</v>
      </c>
      <c r="P335" s="9" t="s">
        <v>356</v>
      </c>
      <c r="Q335" s="9"/>
      <c r="R335" s="9" t="s">
        <v>61</v>
      </c>
      <c r="S335" s="9" t="s">
        <v>1536</v>
      </c>
      <c r="T335" s="9" t="s">
        <v>1537</v>
      </c>
      <c r="U335" s="9" t="s">
        <v>54</v>
      </c>
      <c r="V335" s="9" t="s">
        <v>55</v>
      </c>
      <c r="W335" s="9" t="s">
        <v>55</v>
      </c>
      <c r="X335" s="12" t="s">
        <v>98</v>
      </c>
      <c r="Y335" s="9" t="s">
        <v>99</v>
      </c>
      <c r="Z335" s="13"/>
    </row>
    <row r="336" spans="1:26" ht="32.25" hidden="1" customHeight="1">
      <c r="A336" s="8">
        <v>2301574</v>
      </c>
      <c r="B336" s="9" t="s">
        <v>1538</v>
      </c>
      <c r="C336" s="10">
        <v>45142</v>
      </c>
      <c r="D336" s="9" t="s">
        <v>67</v>
      </c>
      <c r="E336" s="9" t="s">
        <v>295</v>
      </c>
      <c r="F336" s="9" t="s">
        <v>42</v>
      </c>
      <c r="G336" s="9" t="s">
        <v>43</v>
      </c>
      <c r="H336" s="9" t="s">
        <v>44</v>
      </c>
      <c r="I336" s="11" t="s">
        <v>296</v>
      </c>
      <c r="J336" s="9" t="s">
        <v>297</v>
      </c>
      <c r="K336" s="9" t="s">
        <v>47</v>
      </c>
      <c r="L336" s="9" t="s">
        <v>305</v>
      </c>
      <c r="M336" s="9" t="s">
        <v>306</v>
      </c>
      <c r="N336" s="9" t="s">
        <v>50</v>
      </c>
      <c r="O336" s="9" t="s">
        <v>51</v>
      </c>
      <c r="P336" s="9"/>
      <c r="Q336" s="9"/>
      <c r="R336" s="9" t="s">
        <v>61</v>
      </c>
      <c r="S336" s="9" t="s">
        <v>1539</v>
      </c>
      <c r="T336" s="9" t="s">
        <v>1540</v>
      </c>
      <c r="U336" s="9" t="s">
        <v>54</v>
      </c>
      <c r="V336" s="9" t="s">
        <v>55</v>
      </c>
      <c r="W336" s="9" t="s">
        <v>55</v>
      </c>
      <c r="X336" s="9" t="s">
        <v>319</v>
      </c>
      <c r="Y336" s="9" t="s">
        <v>320</v>
      </c>
      <c r="Z336" s="13"/>
    </row>
    <row r="337" spans="1:26" ht="32.25" hidden="1" customHeight="1">
      <c r="A337" s="8">
        <v>2309246</v>
      </c>
      <c r="B337" s="9" t="s">
        <v>1541</v>
      </c>
      <c r="C337" s="10">
        <v>45156</v>
      </c>
      <c r="D337" s="9" t="s">
        <v>79</v>
      </c>
      <c r="E337" s="9" t="s">
        <v>143</v>
      </c>
      <c r="F337" s="9" t="s">
        <v>80</v>
      </c>
      <c r="G337" s="9" t="s">
        <v>43</v>
      </c>
      <c r="H337" s="9" t="s">
        <v>44</v>
      </c>
      <c r="I337" s="11" t="s">
        <v>725</v>
      </c>
      <c r="J337" s="9" t="s">
        <v>145</v>
      </c>
      <c r="K337" s="9" t="s">
        <v>47</v>
      </c>
      <c r="L337" s="9" t="s">
        <v>1542</v>
      </c>
      <c r="M337" s="9" t="s">
        <v>1543</v>
      </c>
      <c r="N337" s="9" t="s">
        <v>50</v>
      </c>
      <c r="O337" s="9" t="s">
        <v>51</v>
      </c>
      <c r="P337" s="9" t="s">
        <v>727</v>
      </c>
      <c r="Q337" s="9"/>
      <c r="R337" s="9" t="s">
        <v>61</v>
      </c>
      <c r="S337" s="14" t="s">
        <v>1544</v>
      </c>
      <c r="T337" s="9" t="s">
        <v>1545</v>
      </c>
      <c r="U337" s="9" t="s">
        <v>54</v>
      </c>
      <c r="V337" s="9" t="s">
        <v>251</v>
      </c>
      <c r="W337" s="9" t="s">
        <v>115</v>
      </c>
      <c r="X337" s="12" t="s">
        <v>171</v>
      </c>
      <c r="Y337" s="9" t="s">
        <v>172</v>
      </c>
      <c r="Z337" s="13"/>
    </row>
    <row r="338" spans="1:26" ht="32.25" hidden="1" customHeight="1">
      <c r="A338" s="8">
        <v>2308150</v>
      </c>
      <c r="B338" s="9" t="s">
        <v>1546</v>
      </c>
      <c r="C338" s="10">
        <v>45136</v>
      </c>
      <c r="D338" s="9" t="s">
        <v>40</v>
      </c>
      <c r="E338" s="9" t="s">
        <v>41</v>
      </c>
      <c r="F338" s="9" t="s">
        <v>42</v>
      </c>
      <c r="G338" s="9" t="s">
        <v>43</v>
      </c>
      <c r="H338" s="9" t="s">
        <v>44</v>
      </c>
      <c r="I338" s="11" t="s">
        <v>45</v>
      </c>
      <c r="J338" s="9" t="s">
        <v>46</v>
      </c>
      <c r="K338" s="9" t="s">
        <v>47</v>
      </c>
      <c r="L338" s="9" t="s">
        <v>598</v>
      </c>
      <c r="M338" s="9" t="s">
        <v>599</v>
      </c>
      <c r="N338" s="9" t="s">
        <v>50</v>
      </c>
      <c r="O338" s="9" t="s">
        <v>51</v>
      </c>
      <c r="P338" s="9"/>
      <c r="Q338" s="9"/>
      <c r="R338" s="9" t="s">
        <v>61</v>
      </c>
      <c r="S338" s="9" t="s">
        <v>1547</v>
      </c>
      <c r="T338" s="9" t="s">
        <v>1548</v>
      </c>
      <c r="U338" s="9" t="s">
        <v>54</v>
      </c>
      <c r="V338" s="9" t="s">
        <v>55</v>
      </c>
      <c r="W338" s="9" t="s">
        <v>55</v>
      </c>
      <c r="X338" s="9" t="s">
        <v>64</v>
      </c>
      <c r="Y338" s="9" t="s">
        <v>65</v>
      </c>
      <c r="Z338" s="13"/>
    </row>
    <row r="339" spans="1:26" ht="32.25" hidden="1" customHeight="1">
      <c r="A339" s="8">
        <v>2309549</v>
      </c>
      <c r="B339" s="9" t="s">
        <v>1549</v>
      </c>
      <c r="C339" s="10">
        <v>45156</v>
      </c>
      <c r="D339" s="9" t="s">
        <v>79</v>
      </c>
      <c r="E339" s="9" t="s">
        <v>41</v>
      </c>
      <c r="F339" s="9" t="s">
        <v>80</v>
      </c>
      <c r="G339" s="9" t="s">
        <v>43</v>
      </c>
      <c r="H339" s="9" t="s">
        <v>44</v>
      </c>
      <c r="I339" s="11" t="s">
        <v>233</v>
      </c>
      <c r="J339" s="9" t="s">
        <v>200</v>
      </c>
      <c r="K339" s="9" t="s">
        <v>47</v>
      </c>
      <c r="L339" s="9" t="s">
        <v>156</v>
      </c>
      <c r="M339" s="9"/>
      <c r="N339" s="9" t="s">
        <v>50</v>
      </c>
      <c r="O339" s="9" t="s">
        <v>51</v>
      </c>
      <c r="P339" s="9" t="s">
        <v>453</v>
      </c>
      <c r="Q339" s="9"/>
      <c r="R339" s="9"/>
      <c r="S339" s="14" t="s">
        <v>1550</v>
      </c>
      <c r="T339" s="9" t="s">
        <v>1551</v>
      </c>
      <c r="U339" s="9" t="s">
        <v>54</v>
      </c>
      <c r="V339" s="9"/>
      <c r="W339" s="9" t="s">
        <v>115</v>
      </c>
      <c r="X339" s="12"/>
      <c r="Y339" s="9" t="s">
        <v>55</v>
      </c>
      <c r="Z339" s="13"/>
    </row>
    <row r="340" spans="1:26" ht="32.25" hidden="1" customHeight="1">
      <c r="A340" s="8">
        <v>2312421</v>
      </c>
      <c r="B340" s="9" t="s">
        <v>1552</v>
      </c>
      <c r="C340" s="10">
        <v>45149</v>
      </c>
      <c r="D340" s="9" t="s">
        <v>261</v>
      </c>
      <c r="E340" s="9" t="s">
        <v>41</v>
      </c>
      <c r="F340" s="9" t="s">
        <v>262</v>
      </c>
      <c r="G340" s="9" t="s">
        <v>43</v>
      </c>
      <c r="H340" s="9" t="s">
        <v>44</v>
      </c>
      <c r="I340" s="11" t="s">
        <v>1553</v>
      </c>
      <c r="J340" s="9" t="s">
        <v>1554</v>
      </c>
      <c r="K340" s="9" t="s">
        <v>47</v>
      </c>
      <c r="L340" s="9" t="s">
        <v>59</v>
      </c>
      <c r="M340" s="9" t="s">
        <v>60</v>
      </c>
      <c r="N340" s="9" t="s">
        <v>50</v>
      </c>
      <c r="O340" s="9" t="s">
        <v>51</v>
      </c>
      <c r="P340" s="9"/>
      <c r="Q340" s="9"/>
      <c r="R340" s="9" t="s">
        <v>61</v>
      </c>
      <c r="S340" s="14" t="s">
        <v>1555</v>
      </c>
      <c r="T340" s="9" t="s">
        <v>1556</v>
      </c>
      <c r="U340" s="9" t="s">
        <v>262</v>
      </c>
      <c r="V340" s="9" t="s">
        <v>55</v>
      </c>
      <c r="W340" s="9" t="s">
        <v>55</v>
      </c>
      <c r="X340" s="12" t="s">
        <v>389</v>
      </c>
      <c r="Y340" s="9" t="s">
        <v>390</v>
      </c>
      <c r="Z340" s="13"/>
    </row>
    <row r="341" spans="1:26" ht="32.25" hidden="1" customHeight="1">
      <c r="A341" s="8">
        <v>2311739</v>
      </c>
      <c r="B341" s="9" t="s">
        <v>1557</v>
      </c>
      <c r="C341" s="10">
        <v>45149</v>
      </c>
      <c r="D341" s="9" t="s">
        <v>261</v>
      </c>
      <c r="E341" s="9" t="s">
        <v>143</v>
      </c>
      <c r="F341" s="9" t="s">
        <v>262</v>
      </c>
      <c r="G341" s="9" t="s">
        <v>43</v>
      </c>
      <c r="H341" s="9" t="s">
        <v>44</v>
      </c>
      <c r="I341" s="11" t="s">
        <v>435</v>
      </c>
      <c r="J341" s="9" t="s">
        <v>436</v>
      </c>
      <c r="K341" s="9" t="s">
        <v>47</v>
      </c>
      <c r="L341" s="9" t="s">
        <v>156</v>
      </c>
      <c r="M341" s="9"/>
      <c r="N341" s="9" t="s">
        <v>84</v>
      </c>
      <c r="O341" s="9" t="s">
        <v>51</v>
      </c>
      <c r="P341" s="9"/>
      <c r="Q341" s="9"/>
      <c r="R341" s="9"/>
      <c r="S341" s="14" t="s">
        <v>1558</v>
      </c>
      <c r="T341" s="9" t="s">
        <v>1559</v>
      </c>
      <c r="U341" s="9" t="s">
        <v>262</v>
      </c>
      <c r="V341" s="9"/>
      <c r="W341" s="9" t="s">
        <v>115</v>
      </c>
      <c r="X341" s="12"/>
      <c r="Y341" s="9" t="s">
        <v>55</v>
      </c>
      <c r="Z341" s="13"/>
    </row>
    <row r="342" spans="1:26" ht="32.25" hidden="1" customHeight="1">
      <c r="A342" s="8">
        <v>2300242</v>
      </c>
      <c r="B342" s="9" t="s">
        <v>1560</v>
      </c>
      <c r="C342" s="10">
        <v>45149</v>
      </c>
      <c r="D342" s="9" t="s">
        <v>261</v>
      </c>
      <c r="E342" s="9" t="s">
        <v>89</v>
      </c>
      <c r="F342" s="9" t="s">
        <v>262</v>
      </c>
      <c r="G342" s="9" t="s">
        <v>43</v>
      </c>
      <c r="H342" s="9" t="s">
        <v>44</v>
      </c>
      <c r="I342" s="11" t="s">
        <v>1561</v>
      </c>
      <c r="J342" s="9" t="s">
        <v>1562</v>
      </c>
      <c r="K342" s="9" t="s">
        <v>47</v>
      </c>
      <c r="L342" s="9" t="s">
        <v>1378</v>
      </c>
      <c r="M342" s="9" t="s">
        <v>1563</v>
      </c>
      <c r="N342" s="9" t="s">
        <v>50</v>
      </c>
      <c r="O342" s="9" t="s">
        <v>51</v>
      </c>
      <c r="P342" s="9"/>
      <c r="Q342" s="9"/>
      <c r="R342" s="9"/>
      <c r="S342" s="14" t="s">
        <v>1564</v>
      </c>
      <c r="T342" s="9" t="s">
        <v>1565</v>
      </c>
      <c r="U342" s="9" t="s">
        <v>262</v>
      </c>
      <c r="V342" s="9" t="s">
        <v>55</v>
      </c>
      <c r="W342" s="9" t="s">
        <v>115</v>
      </c>
      <c r="X342" s="12"/>
      <c r="Y342" s="9" t="s">
        <v>55</v>
      </c>
      <c r="Z342" s="13"/>
    </row>
    <row r="343" spans="1:26" ht="32.25" hidden="1" customHeight="1">
      <c r="A343" s="8">
        <v>2312354</v>
      </c>
      <c r="B343" s="9" t="s">
        <v>1566</v>
      </c>
      <c r="C343" s="10">
        <v>45156</v>
      </c>
      <c r="D343" s="9" t="s">
        <v>79</v>
      </c>
      <c r="E343" s="9" t="s">
        <v>143</v>
      </c>
      <c r="F343" s="9" t="s">
        <v>80</v>
      </c>
      <c r="G343" s="9" t="s">
        <v>43</v>
      </c>
      <c r="H343" s="9" t="s">
        <v>44</v>
      </c>
      <c r="I343" s="11" t="s">
        <v>326</v>
      </c>
      <c r="J343" s="9" t="s">
        <v>327</v>
      </c>
      <c r="K343" s="9" t="s">
        <v>47</v>
      </c>
      <c r="L343" s="9" t="s">
        <v>180</v>
      </c>
      <c r="M343" s="9" t="s">
        <v>1567</v>
      </c>
      <c r="N343" s="9" t="s">
        <v>84</v>
      </c>
      <c r="O343" s="9" t="s">
        <v>51</v>
      </c>
      <c r="P343" s="9" t="s">
        <v>1117</v>
      </c>
      <c r="Q343" s="9"/>
      <c r="R343" s="9" t="s">
        <v>61</v>
      </c>
      <c r="S343" s="14" t="s">
        <v>1568</v>
      </c>
      <c r="T343" s="9" t="s">
        <v>1569</v>
      </c>
      <c r="U343" s="9" t="s">
        <v>54</v>
      </c>
      <c r="V343" s="9" t="s">
        <v>55</v>
      </c>
      <c r="W343" s="9" t="s">
        <v>55</v>
      </c>
      <c r="X343" s="12" t="s">
        <v>389</v>
      </c>
      <c r="Y343" s="9" t="s">
        <v>390</v>
      </c>
      <c r="Z343" s="13" t="s">
        <v>1399</v>
      </c>
    </row>
    <row r="344" spans="1:26" ht="32.25" hidden="1" customHeight="1">
      <c r="A344" s="8">
        <v>2303482</v>
      </c>
      <c r="B344" s="9" t="s">
        <v>1570</v>
      </c>
      <c r="C344" s="10">
        <v>45156</v>
      </c>
      <c r="D344" s="9" t="s">
        <v>79</v>
      </c>
      <c r="E344" s="9" t="s">
        <v>89</v>
      </c>
      <c r="F344" s="9" t="s">
        <v>80</v>
      </c>
      <c r="G344" s="9" t="s">
        <v>43</v>
      </c>
      <c r="H344" s="9" t="s">
        <v>44</v>
      </c>
      <c r="I344" s="11" t="s">
        <v>101</v>
      </c>
      <c r="J344" s="9" t="s">
        <v>102</v>
      </c>
      <c r="K344" s="9" t="s">
        <v>47</v>
      </c>
      <c r="L344" s="9" t="s">
        <v>1040</v>
      </c>
      <c r="M344" s="9" t="s">
        <v>1041</v>
      </c>
      <c r="N344" s="9" t="s">
        <v>50</v>
      </c>
      <c r="O344" s="9" t="s">
        <v>51</v>
      </c>
      <c r="P344" s="9" t="s">
        <v>447</v>
      </c>
      <c r="Q344" s="9"/>
      <c r="R344" s="9"/>
      <c r="S344" s="14" t="s">
        <v>1571</v>
      </c>
      <c r="T344" s="9" t="s">
        <v>1572</v>
      </c>
      <c r="U344" s="9" t="s">
        <v>54</v>
      </c>
      <c r="V344" s="9" t="s">
        <v>55</v>
      </c>
      <c r="W344" s="9" t="s">
        <v>55</v>
      </c>
      <c r="X344" s="12"/>
      <c r="Y344" s="9" t="s">
        <v>55</v>
      </c>
      <c r="Z344" s="13"/>
    </row>
    <row r="345" spans="1:26" ht="32.25" hidden="1" customHeight="1">
      <c r="A345" s="8">
        <v>2302215</v>
      </c>
      <c r="B345" s="9" t="s">
        <v>1573</v>
      </c>
      <c r="C345" s="10">
        <v>45149</v>
      </c>
      <c r="D345" s="9" t="s">
        <v>57</v>
      </c>
      <c r="E345" s="9" t="s">
        <v>295</v>
      </c>
      <c r="F345" s="9" t="s">
        <v>42</v>
      </c>
      <c r="G345" s="9" t="s">
        <v>43</v>
      </c>
      <c r="H345" s="9" t="s">
        <v>58</v>
      </c>
      <c r="I345" s="11" t="s">
        <v>406</v>
      </c>
      <c r="J345" s="9" t="s">
        <v>407</v>
      </c>
      <c r="K345" s="9" t="s">
        <v>47</v>
      </c>
      <c r="L345" s="9" t="s">
        <v>156</v>
      </c>
      <c r="M345" s="9"/>
      <c r="N345" s="9" t="s">
        <v>84</v>
      </c>
      <c r="O345" s="9" t="s">
        <v>51</v>
      </c>
      <c r="P345" s="9"/>
      <c r="Q345" s="9"/>
      <c r="R345" s="9"/>
      <c r="S345" s="14" t="s">
        <v>1574</v>
      </c>
      <c r="T345" s="9" t="s">
        <v>1575</v>
      </c>
      <c r="U345" s="9" t="s">
        <v>54</v>
      </c>
      <c r="V345" s="9" t="s">
        <v>55</v>
      </c>
      <c r="W345" s="9" t="s">
        <v>55</v>
      </c>
      <c r="X345" s="12"/>
      <c r="Y345" s="9" t="s">
        <v>55</v>
      </c>
      <c r="Z345" s="13"/>
    </row>
    <row r="346" spans="1:26" ht="32.25" hidden="1" customHeight="1">
      <c r="A346" s="8">
        <v>2311139</v>
      </c>
      <c r="B346" s="9" t="s">
        <v>1576</v>
      </c>
      <c r="C346" s="10">
        <v>45149</v>
      </c>
      <c r="D346" s="9" t="s">
        <v>57</v>
      </c>
      <c r="E346" s="9" t="s">
        <v>295</v>
      </c>
      <c r="F346" s="9" t="s">
        <v>42</v>
      </c>
      <c r="G346" s="9" t="s">
        <v>43</v>
      </c>
      <c r="H346" s="9" t="s">
        <v>58</v>
      </c>
      <c r="I346" s="11" t="s">
        <v>296</v>
      </c>
      <c r="J346" s="9" t="s">
        <v>297</v>
      </c>
      <c r="K346" s="9" t="s">
        <v>47</v>
      </c>
      <c r="L346" s="9" t="s">
        <v>574</v>
      </c>
      <c r="M346" s="9" t="s">
        <v>575</v>
      </c>
      <c r="N346" s="9" t="s">
        <v>84</v>
      </c>
      <c r="O346" s="9" t="s">
        <v>51</v>
      </c>
      <c r="P346" s="9"/>
      <c r="Q346" s="9"/>
      <c r="R346" s="9" t="s">
        <v>61</v>
      </c>
      <c r="S346" s="14" t="s">
        <v>1577</v>
      </c>
      <c r="T346" s="9" t="s">
        <v>1578</v>
      </c>
      <c r="U346" s="9" t="s">
        <v>54</v>
      </c>
      <c r="V346" s="9" t="s">
        <v>55</v>
      </c>
      <c r="W346" s="9" t="s">
        <v>55</v>
      </c>
      <c r="X346" s="9" t="s">
        <v>319</v>
      </c>
      <c r="Y346" s="9" t="s">
        <v>320</v>
      </c>
      <c r="Z346" s="13"/>
    </row>
    <row r="347" spans="1:26" ht="32.25" hidden="1" customHeight="1">
      <c r="A347" s="8">
        <v>2315389</v>
      </c>
      <c r="B347" s="9" t="s">
        <v>1579</v>
      </c>
      <c r="C347" s="10">
        <v>45152</v>
      </c>
      <c r="D347" s="9" t="s">
        <v>185</v>
      </c>
      <c r="E347" s="9" t="s">
        <v>41</v>
      </c>
      <c r="F347" s="9" t="s">
        <v>42</v>
      </c>
      <c r="G347" s="9" t="s">
        <v>43</v>
      </c>
      <c r="H347" s="9" t="s">
        <v>44</v>
      </c>
      <c r="I347" s="11" t="s">
        <v>1073</v>
      </c>
      <c r="J347" s="9" t="s">
        <v>479</v>
      </c>
      <c r="K347" s="9" t="s">
        <v>1158</v>
      </c>
      <c r="L347" s="9"/>
      <c r="M347" s="9" t="s">
        <v>1580</v>
      </c>
      <c r="N347" s="9" t="s">
        <v>50</v>
      </c>
      <c r="O347" s="9" t="s">
        <v>187</v>
      </c>
      <c r="P347" s="9"/>
      <c r="Q347" s="9"/>
      <c r="R347" s="9" t="s">
        <v>61</v>
      </c>
      <c r="S347" s="14" t="s">
        <v>1581</v>
      </c>
      <c r="T347" s="9" t="s">
        <v>1582</v>
      </c>
      <c r="U347" s="9" t="s">
        <v>54</v>
      </c>
      <c r="V347" s="9" t="s">
        <v>55</v>
      </c>
      <c r="W347" s="9" t="s">
        <v>55</v>
      </c>
      <c r="X347" s="9" t="s">
        <v>196</v>
      </c>
      <c r="Y347" s="9" t="s">
        <v>197</v>
      </c>
      <c r="Z347" s="13" t="s">
        <v>1583</v>
      </c>
    </row>
    <row r="348" spans="1:26" ht="32.25" hidden="1" customHeight="1">
      <c r="A348" s="8">
        <v>2309091</v>
      </c>
      <c r="B348" s="9" t="s">
        <v>1584</v>
      </c>
      <c r="C348" s="10">
        <v>45136</v>
      </c>
      <c r="D348" s="9" t="s">
        <v>1072</v>
      </c>
      <c r="E348" s="9" t="s">
        <v>295</v>
      </c>
      <c r="F348" s="9" t="s">
        <v>42</v>
      </c>
      <c r="G348" s="9" t="s">
        <v>43</v>
      </c>
      <c r="H348" s="9" t="s">
        <v>44</v>
      </c>
      <c r="I348" s="11" t="s">
        <v>406</v>
      </c>
      <c r="J348" s="9" t="s">
        <v>407</v>
      </c>
      <c r="K348" s="9" t="s">
        <v>47</v>
      </c>
      <c r="L348" s="9" t="s">
        <v>221</v>
      </c>
      <c r="M348" s="9" t="s">
        <v>1451</v>
      </c>
      <c r="N348" s="9" t="s">
        <v>84</v>
      </c>
      <c r="O348" s="9" t="s">
        <v>51</v>
      </c>
      <c r="P348" s="9"/>
      <c r="Q348" s="9"/>
      <c r="R348" s="9" t="s">
        <v>61</v>
      </c>
      <c r="S348" s="9" t="s">
        <v>1585</v>
      </c>
      <c r="T348" s="9" t="s">
        <v>1586</v>
      </c>
      <c r="U348" s="9" t="s">
        <v>54</v>
      </c>
      <c r="V348" s="9" t="s">
        <v>55</v>
      </c>
      <c r="W348" s="9" t="s">
        <v>55</v>
      </c>
      <c r="X348" s="9" t="s">
        <v>319</v>
      </c>
      <c r="Y348" s="9" t="s">
        <v>320</v>
      </c>
      <c r="Z348" s="13"/>
    </row>
    <row r="349" spans="1:26" ht="32.25" hidden="1" customHeight="1">
      <c r="A349" s="8">
        <v>2314476</v>
      </c>
      <c r="B349" s="9" t="s">
        <v>1587</v>
      </c>
      <c r="C349" s="10">
        <v>45156</v>
      </c>
      <c r="D349" s="9" t="s">
        <v>79</v>
      </c>
      <c r="E349" s="9" t="s">
        <v>153</v>
      </c>
      <c r="F349" s="9" t="s">
        <v>80</v>
      </c>
      <c r="G349" s="9" t="s">
        <v>43</v>
      </c>
      <c r="H349" s="9" t="s">
        <v>44</v>
      </c>
      <c r="I349" s="11" t="s">
        <v>1588</v>
      </c>
      <c r="J349" s="9" t="s">
        <v>155</v>
      </c>
      <c r="K349" s="9" t="s">
        <v>47</v>
      </c>
      <c r="L349" s="9" t="s">
        <v>156</v>
      </c>
      <c r="M349" s="9"/>
      <c r="N349" s="9" t="s">
        <v>84</v>
      </c>
      <c r="O349" s="9" t="s">
        <v>51</v>
      </c>
      <c r="P349" s="9" t="s">
        <v>1589</v>
      </c>
      <c r="Q349" s="9"/>
      <c r="R349" s="9"/>
      <c r="S349" s="14" t="s">
        <v>1590</v>
      </c>
      <c r="T349" s="9" t="s">
        <v>1591</v>
      </c>
      <c r="U349" s="9" t="s">
        <v>54</v>
      </c>
      <c r="V349" s="9" t="s">
        <v>55</v>
      </c>
      <c r="W349" s="9" t="s">
        <v>55</v>
      </c>
      <c r="X349" s="12"/>
      <c r="Y349" s="9" t="s">
        <v>55</v>
      </c>
      <c r="Z349" s="13"/>
    </row>
    <row r="350" spans="1:26" ht="32.25" hidden="1" customHeight="1">
      <c r="A350" s="8">
        <v>2308788</v>
      </c>
      <c r="B350" s="9" t="s">
        <v>1592</v>
      </c>
      <c r="C350" s="10">
        <v>45156</v>
      </c>
      <c r="D350" s="9" t="s">
        <v>79</v>
      </c>
      <c r="E350" s="9" t="s">
        <v>89</v>
      </c>
      <c r="F350" s="9" t="s">
        <v>80</v>
      </c>
      <c r="G350" s="9" t="s">
        <v>43</v>
      </c>
      <c r="H350" s="9" t="s">
        <v>44</v>
      </c>
      <c r="I350" s="11" t="s">
        <v>101</v>
      </c>
      <c r="J350" s="9" t="s">
        <v>102</v>
      </c>
      <c r="K350" s="9" t="s">
        <v>47</v>
      </c>
      <c r="L350" s="9" t="s">
        <v>1378</v>
      </c>
      <c r="M350" s="9" t="s">
        <v>1593</v>
      </c>
      <c r="N350" s="9" t="s">
        <v>50</v>
      </c>
      <c r="O350" s="9" t="s">
        <v>51</v>
      </c>
      <c r="P350" s="9" t="s">
        <v>104</v>
      </c>
      <c r="Q350" s="9"/>
      <c r="R350" s="9" t="s">
        <v>61</v>
      </c>
      <c r="S350" s="14" t="s">
        <v>1594</v>
      </c>
      <c r="T350" s="9" t="s">
        <v>1595</v>
      </c>
      <c r="U350" s="9" t="s">
        <v>54</v>
      </c>
      <c r="V350" s="9" t="s">
        <v>318</v>
      </c>
      <c r="W350" s="9" t="s">
        <v>115</v>
      </c>
      <c r="X350" s="12" t="s">
        <v>319</v>
      </c>
      <c r="Y350" s="9" t="s">
        <v>320</v>
      </c>
      <c r="Z350" s="13"/>
    </row>
    <row r="351" spans="1:26" ht="32.25" hidden="1" customHeight="1">
      <c r="A351" s="8">
        <v>2300843</v>
      </c>
      <c r="B351" s="9" t="s">
        <v>1596</v>
      </c>
      <c r="C351" s="10">
        <v>45156</v>
      </c>
      <c r="D351" s="9" t="s">
        <v>79</v>
      </c>
      <c r="E351" s="9" t="s">
        <v>89</v>
      </c>
      <c r="F351" s="9" t="s">
        <v>80</v>
      </c>
      <c r="G351" s="9" t="s">
        <v>43</v>
      </c>
      <c r="H351" s="9" t="s">
        <v>44</v>
      </c>
      <c r="I351" s="11" t="s">
        <v>101</v>
      </c>
      <c r="J351" s="9" t="s">
        <v>102</v>
      </c>
      <c r="K351" s="9" t="s">
        <v>47</v>
      </c>
      <c r="L351" s="9" t="s">
        <v>713</v>
      </c>
      <c r="M351" s="9" t="s">
        <v>714</v>
      </c>
      <c r="N351" s="9" t="s">
        <v>50</v>
      </c>
      <c r="O351" s="9" t="s">
        <v>51</v>
      </c>
      <c r="P351" s="9" t="s">
        <v>715</v>
      </c>
      <c r="Q351" s="9"/>
      <c r="R351" s="9"/>
      <c r="S351" s="14" t="s">
        <v>1597</v>
      </c>
      <c r="T351" s="9" t="s">
        <v>1598</v>
      </c>
      <c r="U351" s="9" t="s">
        <v>54</v>
      </c>
      <c r="V351" s="9" t="s">
        <v>55</v>
      </c>
      <c r="W351" s="9" t="s">
        <v>55</v>
      </c>
      <c r="X351" s="12"/>
      <c r="Y351" s="9" t="s">
        <v>55</v>
      </c>
      <c r="Z351" s="13"/>
    </row>
    <row r="352" spans="1:26" ht="32.25" hidden="1" customHeight="1">
      <c r="A352" s="8">
        <v>2311884</v>
      </c>
      <c r="B352" s="9" t="s">
        <v>1599</v>
      </c>
      <c r="C352" s="10">
        <v>45156</v>
      </c>
      <c r="D352" s="9" t="s">
        <v>79</v>
      </c>
      <c r="E352" s="9" t="s">
        <v>295</v>
      </c>
      <c r="F352" s="9" t="s">
        <v>80</v>
      </c>
      <c r="G352" s="9" t="s">
        <v>43</v>
      </c>
      <c r="H352" s="9" t="s">
        <v>44</v>
      </c>
      <c r="I352" s="11" t="s">
        <v>1600</v>
      </c>
      <c r="J352" s="9" t="s">
        <v>407</v>
      </c>
      <c r="K352" s="9" t="s">
        <v>47</v>
      </c>
      <c r="L352" s="9" t="s">
        <v>349</v>
      </c>
      <c r="M352" s="9" t="s">
        <v>785</v>
      </c>
      <c r="N352" s="9" t="s">
        <v>50</v>
      </c>
      <c r="O352" s="9" t="s">
        <v>51</v>
      </c>
      <c r="P352" s="9" t="s">
        <v>1601</v>
      </c>
      <c r="Q352" s="9"/>
      <c r="R352" s="9" t="s">
        <v>61</v>
      </c>
      <c r="S352" s="14" t="s">
        <v>1602</v>
      </c>
      <c r="T352" s="9" t="s">
        <v>1603</v>
      </c>
      <c r="U352" s="9" t="s">
        <v>54</v>
      </c>
      <c r="V352" s="9" t="s">
        <v>318</v>
      </c>
      <c r="W352" s="9" t="s">
        <v>115</v>
      </c>
      <c r="X352" s="12" t="s">
        <v>319</v>
      </c>
      <c r="Y352" s="9" t="s">
        <v>320</v>
      </c>
      <c r="Z352" s="13"/>
    </row>
    <row r="353" spans="1:26" ht="32.25" hidden="1" customHeight="1">
      <c r="A353" s="8">
        <v>2314610</v>
      </c>
      <c r="B353" s="9" t="s">
        <v>1604</v>
      </c>
      <c r="C353" s="10">
        <v>45156</v>
      </c>
      <c r="D353" s="9" t="s">
        <v>79</v>
      </c>
      <c r="E353" s="9" t="s">
        <v>89</v>
      </c>
      <c r="F353" s="9" t="s">
        <v>80</v>
      </c>
      <c r="G353" s="9" t="s">
        <v>43</v>
      </c>
      <c r="H353" s="9" t="s">
        <v>44</v>
      </c>
      <c r="I353" s="11" t="s">
        <v>90</v>
      </c>
      <c r="J353" s="9" t="s">
        <v>91</v>
      </c>
      <c r="K353" s="9" t="s">
        <v>416</v>
      </c>
      <c r="L353" s="9"/>
      <c r="M353" s="9" t="s">
        <v>1605</v>
      </c>
      <c r="N353" s="9" t="s">
        <v>50</v>
      </c>
      <c r="O353" s="9" t="s">
        <v>51</v>
      </c>
      <c r="P353" s="9" t="s">
        <v>498</v>
      </c>
      <c r="Q353" s="9"/>
      <c r="R353" s="9" t="s">
        <v>61</v>
      </c>
      <c r="S353" s="14" t="s">
        <v>1606</v>
      </c>
      <c r="T353" s="9" t="s">
        <v>1607</v>
      </c>
      <c r="U353" s="9" t="s">
        <v>54</v>
      </c>
      <c r="V353" s="9" t="s">
        <v>55</v>
      </c>
      <c r="W353" s="9" t="s">
        <v>115</v>
      </c>
      <c r="X353" s="12" t="s">
        <v>98</v>
      </c>
      <c r="Y353" s="9" t="s">
        <v>99</v>
      </c>
      <c r="Z353" s="13"/>
    </row>
    <row r="354" spans="1:26" ht="32.25" hidden="1" customHeight="1">
      <c r="A354" s="8">
        <v>2307806</v>
      </c>
      <c r="B354" s="9" t="s">
        <v>1608</v>
      </c>
      <c r="C354" s="10">
        <v>45149</v>
      </c>
      <c r="D354" s="9" t="s">
        <v>57</v>
      </c>
      <c r="E354" s="9" t="s">
        <v>41</v>
      </c>
      <c r="F354" s="9" t="s">
        <v>42</v>
      </c>
      <c r="G354" s="9" t="s">
        <v>43</v>
      </c>
      <c r="H354" s="9" t="s">
        <v>58</v>
      </c>
      <c r="I354" s="11" t="s">
        <v>199</v>
      </c>
      <c r="J354" s="9" t="s">
        <v>200</v>
      </c>
      <c r="K354" s="9" t="s">
        <v>47</v>
      </c>
      <c r="L354" s="9" t="s">
        <v>156</v>
      </c>
      <c r="M354" s="9"/>
      <c r="N354" s="9" t="s">
        <v>50</v>
      </c>
      <c r="O354" s="9" t="s">
        <v>51</v>
      </c>
      <c r="P354" s="9"/>
      <c r="Q354" s="9"/>
      <c r="R354" s="9"/>
      <c r="S354" s="14" t="s">
        <v>1609</v>
      </c>
      <c r="T354" s="9" t="s">
        <v>1610</v>
      </c>
      <c r="U354" s="9" t="s">
        <v>54</v>
      </c>
      <c r="V354" s="9" t="s">
        <v>55</v>
      </c>
      <c r="W354" s="9" t="s">
        <v>55</v>
      </c>
      <c r="X354" s="12"/>
      <c r="Y354" s="9" t="s">
        <v>55</v>
      </c>
      <c r="Z354" s="13"/>
    </row>
    <row r="355" spans="1:26" ht="32.25" hidden="1" customHeight="1">
      <c r="A355" s="8">
        <v>2309324</v>
      </c>
      <c r="B355" s="9" t="s">
        <v>1611</v>
      </c>
      <c r="C355" s="10">
        <v>45156</v>
      </c>
      <c r="D355" s="9" t="s">
        <v>79</v>
      </c>
      <c r="E355" s="9" t="s">
        <v>41</v>
      </c>
      <c r="F355" s="9" t="s">
        <v>80</v>
      </c>
      <c r="G355" s="9" t="s">
        <v>43</v>
      </c>
      <c r="H355" s="9" t="s">
        <v>44</v>
      </c>
      <c r="I355" s="11" t="s">
        <v>478</v>
      </c>
      <c r="J355" s="9" t="s">
        <v>479</v>
      </c>
      <c r="K355" s="9" t="s">
        <v>47</v>
      </c>
      <c r="L355" s="9" t="s">
        <v>1612</v>
      </c>
      <c r="M355" s="9" t="s">
        <v>1613</v>
      </c>
      <c r="N355" s="9" t="s">
        <v>84</v>
      </c>
      <c r="O355" s="9" t="s">
        <v>51</v>
      </c>
      <c r="P355" s="9" t="s">
        <v>1414</v>
      </c>
      <c r="Q355" s="9"/>
      <c r="R355" s="9" t="s">
        <v>61</v>
      </c>
      <c r="S355" s="14" t="s">
        <v>1614</v>
      </c>
      <c r="T355" s="9" t="s">
        <v>1615</v>
      </c>
      <c r="U355" s="9" t="s">
        <v>54</v>
      </c>
      <c r="V355" s="9" t="s">
        <v>55</v>
      </c>
      <c r="W355" s="9" t="s">
        <v>55</v>
      </c>
      <c r="X355" s="12" t="s">
        <v>150</v>
      </c>
      <c r="Y355" s="9" t="s">
        <v>151</v>
      </c>
      <c r="Z355" s="13"/>
    </row>
    <row r="356" spans="1:26" ht="32.25" hidden="1" customHeight="1">
      <c r="A356" s="8">
        <v>2310776</v>
      </c>
      <c r="B356" s="9" t="s">
        <v>1616</v>
      </c>
      <c r="C356" s="10">
        <v>45156</v>
      </c>
      <c r="D356" s="9" t="s">
        <v>79</v>
      </c>
      <c r="E356" s="9" t="s">
        <v>143</v>
      </c>
      <c r="F356" s="9" t="s">
        <v>80</v>
      </c>
      <c r="G356" s="9" t="s">
        <v>43</v>
      </c>
      <c r="H356" s="9" t="s">
        <v>44</v>
      </c>
      <c r="I356" s="11" t="s">
        <v>399</v>
      </c>
      <c r="J356" s="9" t="s">
        <v>400</v>
      </c>
      <c r="K356" s="9" t="s">
        <v>47</v>
      </c>
      <c r="L356" s="9" t="s">
        <v>156</v>
      </c>
      <c r="M356" s="9"/>
      <c r="N356" s="9" t="s">
        <v>50</v>
      </c>
      <c r="O356" s="9" t="s">
        <v>51</v>
      </c>
      <c r="P356" s="9" t="s">
        <v>1617</v>
      </c>
      <c r="Q356" s="9"/>
      <c r="R356" s="9"/>
      <c r="S356" s="14" t="s">
        <v>1618</v>
      </c>
      <c r="T356" s="9"/>
      <c r="U356" s="9" t="s">
        <v>54</v>
      </c>
      <c r="V356" s="9"/>
      <c r="W356" s="9" t="s">
        <v>115</v>
      </c>
      <c r="X356" s="12"/>
      <c r="Y356" s="9" t="s">
        <v>55</v>
      </c>
      <c r="Z356" s="13"/>
    </row>
    <row r="357" spans="1:26" ht="32.25" hidden="1" customHeight="1">
      <c r="A357" s="8">
        <v>2310558</v>
      </c>
      <c r="B357" s="9" t="s">
        <v>1619</v>
      </c>
      <c r="C357" s="10">
        <v>45149</v>
      </c>
      <c r="D357" s="9" t="s">
        <v>261</v>
      </c>
      <c r="E357" s="9" t="s">
        <v>143</v>
      </c>
      <c r="F357" s="9" t="s">
        <v>262</v>
      </c>
      <c r="G357" s="9" t="s">
        <v>43</v>
      </c>
      <c r="H357" s="9" t="s">
        <v>44</v>
      </c>
      <c r="I357" s="11" t="s">
        <v>1620</v>
      </c>
      <c r="J357" s="9" t="s">
        <v>1621</v>
      </c>
      <c r="K357" s="9" t="s">
        <v>47</v>
      </c>
      <c r="L357" s="9" t="s">
        <v>305</v>
      </c>
      <c r="M357" s="9" t="s">
        <v>306</v>
      </c>
      <c r="N357" s="9" t="s">
        <v>84</v>
      </c>
      <c r="O357" s="9" t="s">
        <v>51</v>
      </c>
      <c r="P357" s="9"/>
      <c r="Q357" s="9"/>
      <c r="R357" s="9" t="s">
        <v>61</v>
      </c>
      <c r="S357" s="14" t="s">
        <v>1622</v>
      </c>
      <c r="T357" s="9" t="s">
        <v>1623</v>
      </c>
      <c r="U357" s="9" t="s">
        <v>262</v>
      </c>
      <c r="V357" s="9" t="s">
        <v>370</v>
      </c>
      <c r="W357" s="9" t="s">
        <v>115</v>
      </c>
      <c r="X357" s="12" t="s">
        <v>389</v>
      </c>
      <c r="Y357" s="9" t="s">
        <v>390</v>
      </c>
      <c r="Z357" s="13"/>
    </row>
    <row r="358" spans="1:26" ht="32.25" hidden="1" customHeight="1">
      <c r="A358" s="8">
        <v>2314342</v>
      </c>
      <c r="B358" s="9" t="s">
        <v>1624</v>
      </c>
      <c r="C358" s="10">
        <v>45156</v>
      </c>
      <c r="D358" s="9" t="s">
        <v>79</v>
      </c>
      <c r="E358" s="9" t="s">
        <v>68</v>
      </c>
      <c r="F358" s="9" t="s">
        <v>80</v>
      </c>
      <c r="G358" s="9" t="s">
        <v>43</v>
      </c>
      <c r="H358" s="9" t="s">
        <v>44</v>
      </c>
      <c r="I358" s="11" t="s">
        <v>90</v>
      </c>
      <c r="J358" s="9" t="s">
        <v>91</v>
      </c>
      <c r="K358" s="9" t="s">
        <v>47</v>
      </c>
      <c r="L358" s="9" t="s">
        <v>156</v>
      </c>
      <c r="M358" s="9"/>
      <c r="N358" s="9" t="s">
        <v>50</v>
      </c>
      <c r="O358" s="9" t="s">
        <v>51</v>
      </c>
      <c r="P358" s="9" t="s">
        <v>670</v>
      </c>
      <c r="Q358" s="9"/>
      <c r="R358" s="9"/>
      <c r="S358" s="14" t="s">
        <v>1625</v>
      </c>
      <c r="T358" s="9" t="s">
        <v>1626</v>
      </c>
      <c r="U358" s="9" t="s">
        <v>54</v>
      </c>
      <c r="V358" s="9" t="s">
        <v>55</v>
      </c>
      <c r="W358" s="9" t="s">
        <v>55</v>
      </c>
      <c r="X358" s="12"/>
      <c r="Y358" s="9" t="s">
        <v>55</v>
      </c>
      <c r="Z358" s="13"/>
    </row>
    <row r="359" spans="1:26" ht="32.25" hidden="1" customHeight="1">
      <c r="A359" s="8">
        <v>2305391</v>
      </c>
      <c r="B359" s="9" t="s">
        <v>1627</v>
      </c>
      <c r="C359" s="10">
        <v>45149</v>
      </c>
      <c r="D359" s="9" t="s">
        <v>57</v>
      </c>
      <c r="E359" s="9" t="s">
        <v>41</v>
      </c>
      <c r="F359" s="9" t="s">
        <v>42</v>
      </c>
      <c r="G359" s="9" t="s">
        <v>43</v>
      </c>
      <c r="H359" s="9" t="s">
        <v>58</v>
      </c>
      <c r="I359" s="11" t="s">
        <v>199</v>
      </c>
      <c r="J359" s="9" t="s">
        <v>200</v>
      </c>
      <c r="K359" s="9" t="s">
        <v>47</v>
      </c>
      <c r="L359" s="9" t="s">
        <v>822</v>
      </c>
      <c r="M359" s="9" t="s">
        <v>1628</v>
      </c>
      <c r="N359" s="9" t="s">
        <v>50</v>
      </c>
      <c r="O359" s="9" t="s">
        <v>51</v>
      </c>
      <c r="P359" s="9"/>
      <c r="Q359" s="9"/>
      <c r="R359" s="9" t="s">
        <v>61</v>
      </c>
      <c r="S359" s="14" t="s">
        <v>1629</v>
      </c>
      <c r="T359" s="9" t="s">
        <v>1630</v>
      </c>
      <c r="U359" s="9" t="s">
        <v>54</v>
      </c>
      <c r="V359" s="9" t="s">
        <v>55</v>
      </c>
      <c r="W359" s="9" t="s">
        <v>55</v>
      </c>
      <c r="X359" s="12" t="s">
        <v>196</v>
      </c>
      <c r="Y359" s="9" t="s">
        <v>197</v>
      </c>
      <c r="Z359" s="13"/>
    </row>
    <row r="360" spans="1:26" ht="32.25" hidden="1" customHeight="1">
      <c r="A360" s="8">
        <v>2306930</v>
      </c>
      <c r="B360" s="9" t="s">
        <v>1631</v>
      </c>
      <c r="C360" s="10">
        <v>45142</v>
      </c>
      <c r="D360" s="9" t="s">
        <v>67</v>
      </c>
      <c r="E360" s="9" t="s">
        <v>68</v>
      </c>
      <c r="F360" s="9" t="s">
        <v>135</v>
      </c>
      <c r="G360" s="9" t="s">
        <v>43</v>
      </c>
      <c r="H360" s="9" t="s">
        <v>44</v>
      </c>
      <c r="I360" s="11" t="s">
        <v>136</v>
      </c>
      <c r="J360" s="9" t="s">
        <v>137</v>
      </c>
      <c r="K360" s="9" t="s">
        <v>47</v>
      </c>
      <c r="L360" s="9" t="s">
        <v>156</v>
      </c>
      <c r="M360" s="9"/>
      <c r="N360" s="9" t="s">
        <v>84</v>
      </c>
      <c r="O360" s="9" t="s">
        <v>51</v>
      </c>
      <c r="P360" s="9"/>
      <c r="Q360" s="9"/>
      <c r="R360" s="9"/>
      <c r="S360" s="9" t="s">
        <v>1632</v>
      </c>
      <c r="T360" s="9" t="s">
        <v>1633</v>
      </c>
      <c r="U360" s="9" t="s">
        <v>54</v>
      </c>
      <c r="V360" s="9" t="s">
        <v>55</v>
      </c>
      <c r="W360" s="9" t="s">
        <v>55</v>
      </c>
      <c r="X360" s="12"/>
      <c r="Y360" s="9" t="s">
        <v>55</v>
      </c>
      <c r="Z360" s="13"/>
    </row>
    <row r="361" spans="1:26" ht="32.25" hidden="1" customHeight="1">
      <c r="A361" s="8">
        <v>2306625</v>
      </c>
      <c r="B361" s="9" t="s">
        <v>1634</v>
      </c>
      <c r="C361" s="10">
        <v>45149</v>
      </c>
      <c r="D361" s="9" t="s">
        <v>57</v>
      </c>
      <c r="E361" s="9" t="s">
        <v>295</v>
      </c>
      <c r="F361" s="9" t="s">
        <v>42</v>
      </c>
      <c r="G361" s="9" t="s">
        <v>43</v>
      </c>
      <c r="H361" s="9" t="s">
        <v>58</v>
      </c>
      <c r="I361" s="11" t="s">
        <v>296</v>
      </c>
      <c r="J361" s="9" t="s">
        <v>297</v>
      </c>
      <c r="K361" s="9" t="s">
        <v>47</v>
      </c>
      <c r="L361" s="9" t="s">
        <v>82</v>
      </c>
      <c r="M361" s="9" t="s">
        <v>1635</v>
      </c>
      <c r="N361" s="9" t="s">
        <v>84</v>
      </c>
      <c r="O361" s="9" t="s">
        <v>51</v>
      </c>
      <c r="P361" s="9"/>
      <c r="Q361" s="9"/>
      <c r="R361" s="9"/>
      <c r="S361" s="14" t="s">
        <v>1636</v>
      </c>
      <c r="T361" s="9" t="s">
        <v>1637</v>
      </c>
      <c r="U361" s="9" t="s">
        <v>54</v>
      </c>
      <c r="V361" s="9" t="s">
        <v>55</v>
      </c>
      <c r="W361" s="9" t="s">
        <v>55</v>
      </c>
      <c r="X361" s="12"/>
      <c r="Y361" s="9" t="s">
        <v>55</v>
      </c>
      <c r="Z361" s="13"/>
    </row>
    <row r="362" spans="1:26" ht="32.25" hidden="1" customHeight="1">
      <c r="A362" s="8">
        <v>2309168</v>
      </c>
      <c r="B362" s="9" t="s">
        <v>1638</v>
      </c>
      <c r="C362" s="10">
        <v>45149</v>
      </c>
      <c r="D362" s="9" t="s">
        <v>261</v>
      </c>
      <c r="E362" s="9" t="s">
        <v>68</v>
      </c>
      <c r="F362" s="9" t="s">
        <v>262</v>
      </c>
      <c r="G362" s="9" t="s">
        <v>43</v>
      </c>
      <c r="H362" s="9" t="s">
        <v>44</v>
      </c>
      <c r="I362" s="11" t="s">
        <v>263</v>
      </c>
      <c r="J362" s="9" t="s">
        <v>264</v>
      </c>
      <c r="K362" s="9" t="s">
        <v>47</v>
      </c>
      <c r="L362" s="9" t="s">
        <v>156</v>
      </c>
      <c r="M362" s="9"/>
      <c r="N362" s="9" t="s">
        <v>50</v>
      </c>
      <c r="O362" s="9" t="s">
        <v>51</v>
      </c>
      <c r="P362" s="9"/>
      <c r="Q362" s="9"/>
      <c r="R362" s="9"/>
      <c r="S362" s="14" t="s">
        <v>1639</v>
      </c>
      <c r="T362" s="9" t="s">
        <v>1640</v>
      </c>
      <c r="U362" s="9" t="s">
        <v>262</v>
      </c>
      <c r="V362" s="9" t="s">
        <v>55</v>
      </c>
      <c r="W362" s="9" t="s">
        <v>55</v>
      </c>
      <c r="X362" s="12"/>
      <c r="Y362" s="9" t="s">
        <v>55</v>
      </c>
      <c r="Z362" s="13"/>
    </row>
    <row r="363" spans="1:26" ht="32.25" hidden="1" customHeight="1">
      <c r="A363" s="8">
        <v>2309103</v>
      </c>
      <c r="B363" s="9" t="s">
        <v>1641</v>
      </c>
      <c r="C363" s="10">
        <v>45142</v>
      </c>
      <c r="D363" s="9" t="s">
        <v>67</v>
      </c>
      <c r="E363" s="9" t="s">
        <v>68</v>
      </c>
      <c r="F363" s="9" t="s">
        <v>135</v>
      </c>
      <c r="G363" s="9" t="s">
        <v>43</v>
      </c>
      <c r="H363" s="9" t="s">
        <v>44</v>
      </c>
      <c r="I363" s="11" t="s">
        <v>136</v>
      </c>
      <c r="J363" s="9" t="s">
        <v>137</v>
      </c>
      <c r="K363" s="9" t="s">
        <v>47</v>
      </c>
      <c r="L363" s="9" t="s">
        <v>411</v>
      </c>
      <c r="M363" s="9" t="s">
        <v>412</v>
      </c>
      <c r="N363" s="9" t="s">
        <v>50</v>
      </c>
      <c r="O363" s="9" t="s">
        <v>51</v>
      </c>
      <c r="P363" s="9"/>
      <c r="Q363" s="9"/>
      <c r="R363" s="9" t="s">
        <v>61</v>
      </c>
      <c r="S363" s="9" t="s">
        <v>1642</v>
      </c>
      <c r="T363" s="9" t="s">
        <v>1643</v>
      </c>
      <c r="U363" s="9" t="s">
        <v>54</v>
      </c>
      <c r="V363" s="9" t="s">
        <v>55</v>
      </c>
      <c r="W363" s="9" t="s">
        <v>55</v>
      </c>
      <c r="X363" s="12" t="s">
        <v>76</v>
      </c>
      <c r="Y363" s="9" t="s">
        <v>77</v>
      </c>
      <c r="Z363" s="13" t="s">
        <v>1644</v>
      </c>
    </row>
    <row r="364" spans="1:26" ht="32.25" hidden="1" customHeight="1">
      <c r="A364" s="8">
        <v>2314984</v>
      </c>
      <c r="B364" s="9" t="s">
        <v>1645</v>
      </c>
      <c r="C364" s="10">
        <v>45156</v>
      </c>
      <c r="D364" s="9" t="s">
        <v>79</v>
      </c>
      <c r="E364" s="9" t="s">
        <v>143</v>
      </c>
      <c r="F364" s="9" t="s">
        <v>80</v>
      </c>
      <c r="G364" s="9" t="s">
        <v>43</v>
      </c>
      <c r="H364" s="9" t="s">
        <v>44</v>
      </c>
      <c r="I364" s="11" t="s">
        <v>326</v>
      </c>
      <c r="J364" s="9" t="s">
        <v>327</v>
      </c>
      <c r="K364" s="9" t="s">
        <v>47</v>
      </c>
      <c r="L364" s="9" t="s">
        <v>799</v>
      </c>
      <c r="M364" s="9" t="s">
        <v>1490</v>
      </c>
      <c r="N364" s="9" t="s">
        <v>84</v>
      </c>
      <c r="O364" s="9" t="s">
        <v>51</v>
      </c>
      <c r="P364" s="9" t="s">
        <v>1646</v>
      </c>
      <c r="Q364" s="9"/>
      <c r="R364" s="9"/>
      <c r="S364" s="14" t="s">
        <v>1647</v>
      </c>
      <c r="T364" s="9" t="s">
        <v>1648</v>
      </c>
      <c r="U364" s="9" t="s">
        <v>54</v>
      </c>
      <c r="V364" s="9" t="s">
        <v>55</v>
      </c>
      <c r="W364" s="9" t="s">
        <v>115</v>
      </c>
      <c r="X364" s="12"/>
      <c r="Y364" s="9" t="s">
        <v>55</v>
      </c>
      <c r="Z364" s="13"/>
    </row>
    <row r="365" spans="1:26" ht="32.25" hidden="1" customHeight="1">
      <c r="A365" s="8">
        <v>2304121</v>
      </c>
      <c r="B365" s="9" t="s">
        <v>1649</v>
      </c>
      <c r="C365" s="10">
        <v>45149</v>
      </c>
      <c r="D365" s="9" t="s">
        <v>57</v>
      </c>
      <c r="E365" s="9" t="s">
        <v>41</v>
      </c>
      <c r="F365" s="9" t="s">
        <v>42</v>
      </c>
      <c r="G365" s="9" t="s">
        <v>43</v>
      </c>
      <c r="H365" s="9" t="s">
        <v>58</v>
      </c>
      <c r="I365" s="11" t="s">
        <v>45</v>
      </c>
      <c r="J365" s="9" t="s">
        <v>46</v>
      </c>
      <c r="K365" s="9" t="s">
        <v>47</v>
      </c>
      <c r="L365" s="9" t="s">
        <v>156</v>
      </c>
      <c r="M365" s="9"/>
      <c r="N365" s="9" t="s">
        <v>50</v>
      </c>
      <c r="O365" s="9" t="s">
        <v>51</v>
      </c>
      <c r="P365" s="9"/>
      <c r="Q365" s="9"/>
      <c r="R365" s="9"/>
      <c r="S365" s="14" t="s">
        <v>1650</v>
      </c>
      <c r="T365" s="9" t="s">
        <v>1651</v>
      </c>
      <c r="U365" s="9" t="s">
        <v>54</v>
      </c>
      <c r="V365" s="9" t="s">
        <v>55</v>
      </c>
      <c r="W365" s="9" t="s">
        <v>55</v>
      </c>
      <c r="X365" s="12"/>
      <c r="Y365" s="9" t="s">
        <v>55</v>
      </c>
      <c r="Z365" s="13"/>
    </row>
    <row r="366" spans="1:26" ht="32.25" hidden="1" customHeight="1">
      <c r="A366" s="8">
        <v>2311934</v>
      </c>
      <c r="B366" s="9" t="s">
        <v>1652</v>
      </c>
      <c r="C366" s="10">
        <v>45149</v>
      </c>
      <c r="D366" s="9" t="s">
        <v>261</v>
      </c>
      <c r="E366" s="9" t="s">
        <v>143</v>
      </c>
      <c r="F366" s="9" t="s">
        <v>262</v>
      </c>
      <c r="G366" s="9" t="s">
        <v>43</v>
      </c>
      <c r="H366" s="9" t="s">
        <v>44</v>
      </c>
      <c r="I366" s="11" t="s">
        <v>435</v>
      </c>
      <c r="J366" s="9" t="s">
        <v>436</v>
      </c>
      <c r="K366" s="9" t="s">
        <v>47</v>
      </c>
      <c r="L366" s="9" t="s">
        <v>221</v>
      </c>
      <c r="M366" s="9" t="s">
        <v>1653</v>
      </c>
      <c r="N366" s="9" t="s">
        <v>50</v>
      </c>
      <c r="O366" s="9" t="s">
        <v>51</v>
      </c>
      <c r="P366" s="9"/>
      <c r="Q366" s="9"/>
      <c r="R366" s="9"/>
      <c r="S366" s="14" t="s">
        <v>1654</v>
      </c>
      <c r="T366" s="9" t="s">
        <v>1655</v>
      </c>
      <c r="U366" s="9" t="s">
        <v>262</v>
      </c>
      <c r="V366" s="9" t="s">
        <v>55</v>
      </c>
      <c r="W366" s="9" t="s">
        <v>55</v>
      </c>
      <c r="X366" s="12"/>
      <c r="Y366" s="9" t="s">
        <v>55</v>
      </c>
      <c r="Z366" s="13"/>
    </row>
    <row r="367" spans="1:26" ht="32.25" hidden="1" customHeight="1">
      <c r="A367" s="8">
        <v>2311567</v>
      </c>
      <c r="B367" s="9" t="s">
        <v>1656</v>
      </c>
      <c r="C367" s="10">
        <v>45149</v>
      </c>
      <c r="D367" s="9" t="s">
        <v>57</v>
      </c>
      <c r="E367" s="9" t="s">
        <v>41</v>
      </c>
      <c r="F367" s="9" t="s">
        <v>42</v>
      </c>
      <c r="G367" s="9" t="s">
        <v>43</v>
      </c>
      <c r="H367" s="9" t="s">
        <v>58</v>
      </c>
      <c r="I367" s="11" t="s">
        <v>129</v>
      </c>
      <c r="J367" s="9" t="s">
        <v>130</v>
      </c>
      <c r="K367" s="9" t="s">
        <v>47</v>
      </c>
      <c r="L367" s="9" t="s">
        <v>591</v>
      </c>
      <c r="M367" s="9" t="s">
        <v>1657</v>
      </c>
      <c r="N367" s="9" t="s">
        <v>50</v>
      </c>
      <c r="O367" s="9" t="s">
        <v>51</v>
      </c>
      <c r="P367" s="9"/>
      <c r="Q367" s="9"/>
      <c r="R367" s="9" t="s">
        <v>61</v>
      </c>
      <c r="S367" s="14" t="s">
        <v>1658</v>
      </c>
      <c r="T367" s="9" t="s">
        <v>1659</v>
      </c>
      <c r="U367" s="9" t="s">
        <v>54</v>
      </c>
      <c r="V367" s="9" t="s">
        <v>55</v>
      </c>
      <c r="W367" s="9" t="s">
        <v>55</v>
      </c>
      <c r="X367" s="9" t="s">
        <v>98</v>
      </c>
      <c r="Y367" s="9" t="s">
        <v>99</v>
      </c>
      <c r="Z367" s="13" t="s">
        <v>230</v>
      </c>
    </row>
    <row r="368" spans="1:26" ht="32.25" hidden="1" customHeight="1">
      <c r="A368" s="8">
        <v>2305002</v>
      </c>
      <c r="B368" s="9" t="s">
        <v>1660</v>
      </c>
      <c r="C368" s="10">
        <v>45142</v>
      </c>
      <c r="D368" s="9" t="s">
        <v>67</v>
      </c>
      <c r="E368" s="9" t="s">
        <v>89</v>
      </c>
      <c r="F368" s="9" t="s">
        <v>42</v>
      </c>
      <c r="G368" s="9" t="s">
        <v>43</v>
      </c>
      <c r="H368" s="9" t="s">
        <v>44</v>
      </c>
      <c r="I368" s="11" t="s">
        <v>360</v>
      </c>
      <c r="J368" s="9" t="s">
        <v>102</v>
      </c>
      <c r="K368" s="9" t="s">
        <v>47</v>
      </c>
      <c r="L368" s="9" t="s">
        <v>1378</v>
      </c>
      <c r="M368" s="9" t="s">
        <v>1593</v>
      </c>
      <c r="N368" s="9" t="s">
        <v>50</v>
      </c>
      <c r="O368" s="9" t="s">
        <v>51</v>
      </c>
      <c r="P368" s="9" t="s">
        <v>361</v>
      </c>
      <c r="Q368" s="9"/>
      <c r="R368" s="9" t="s">
        <v>61</v>
      </c>
      <c r="S368" s="9" t="s">
        <v>1661</v>
      </c>
      <c r="T368" s="9" t="s">
        <v>1662</v>
      </c>
      <c r="U368" s="9" t="s">
        <v>54</v>
      </c>
      <c r="V368" s="9" t="s">
        <v>55</v>
      </c>
      <c r="W368" s="9" t="s">
        <v>55</v>
      </c>
      <c r="X368" s="12" t="s">
        <v>98</v>
      </c>
      <c r="Y368" s="9" t="s">
        <v>99</v>
      </c>
      <c r="Z368" s="13"/>
    </row>
    <row r="369" spans="1:26" ht="32.25" hidden="1" customHeight="1">
      <c r="A369" s="8">
        <v>2302695</v>
      </c>
      <c r="B369" s="9" t="s">
        <v>1663</v>
      </c>
      <c r="C369" s="10">
        <v>45156</v>
      </c>
      <c r="D369" s="9" t="s">
        <v>79</v>
      </c>
      <c r="E369" s="9" t="s">
        <v>89</v>
      </c>
      <c r="F369" s="9" t="s">
        <v>80</v>
      </c>
      <c r="G369" s="9" t="s">
        <v>43</v>
      </c>
      <c r="H369" s="9" t="s">
        <v>44</v>
      </c>
      <c r="I369" s="11" t="s">
        <v>90</v>
      </c>
      <c r="J369" s="9" t="s">
        <v>91</v>
      </c>
      <c r="K369" s="9" t="s">
        <v>47</v>
      </c>
      <c r="L369" s="9" t="s">
        <v>1378</v>
      </c>
      <c r="M369" s="9" t="s">
        <v>1664</v>
      </c>
      <c r="N369" s="9" t="s">
        <v>50</v>
      </c>
      <c r="O369" s="9" t="s">
        <v>51</v>
      </c>
      <c r="P369" s="9" t="s">
        <v>546</v>
      </c>
      <c r="Q369" s="9"/>
      <c r="R369" s="9" t="s">
        <v>61</v>
      </c>
      <c r="S369" s="14" t="s">
        <v>1665</v>
      </c>
      <c r="T369" s="9" t="s">
        <v>1666</v>
      </c>
      <c r="U369" s="9" t="s">
        <v>54</v>
      </c>
      <c r="V369" s="9" t="s">
        <v>711</v>
      </c>
      <c r="W369" s="9" t="s">
        <v>115</v>
      </c>
      <c r="X369" s="12" t="s">
        <v>98</v>
      </c>
      <c r="Y369" s="9" t="s">
        <v>99</v>
      </c>
      <c r="Z369" s="13"/>
    </row>
    <row r="370" spans="1:26" ht="32.25" hidden="1" customHeight="1">
      <c r="A370" s="8">
        <v>2314623</v>
      </c>
      <c r="B370" s="9" t="s">
        <v>1667</v>
      </c>
      <c r="C370" s="10">
        <v>45156</v>
      </c>
      <c r="D370" s="9" t="s">
        <v>79</v>
      </c>
      <c r="E370" s="9" t="s">
        <v>143</v>
      </c>
      <c r="F370" s="9" t="s">
        <v>80</v>
      </c>
      <c r="G370" s="9" t="s">
        <v>43</v>
      </c>
      <c r="H370" s="9" t="s">
        <v>44</v>
      </c>
      <c r="I370" s="11" t="s">
        <v>326</v>
      </c>
      <c r="J370" s="9" t="s">
        <v>327</v>
      </c>
      <c r="K370" s="9" t="s">
        <v>47</v>
      </c>
      <c r="L370" s="9" t="s">
        <v>827</v>
      </c>
      <c r="M370" s="9" t="s">
        <v>828</v>
      </c>
      <c r="N370" s="9" t="s">
        <v>50</v>
      </c>
      <c r="O370" s="9" t="s">
        <v>51</v>
      </c>
      <c r="P370" s="9" t="s">
        <v>1143</v>
      </c>
      <c r="Q370" s="9"/>
      <c r="R370" s="9" t="s">
        <v>61</v>
      </c>
      <c r="S370" s="14" t="s">
        <v>1668</v>
      </c>
      <c r="T370" s="9" t="s">
        <v>1669</v>
      </c>
      <c r="U370" s="9" t="s">
        <v>54</v>
      </c>
      <c r="V370" s="9" t="s">
        <v>370</v>
      </c>
      <c r="W370" s="9" t="s">
        <v>115</v>
      </c>
      <c r="X370" s="12" t="s">
        <v>150</v>
      </c>
      <c r="Y370" s="9" t="s">
        <v>151</v>
      </c>
      <c r="Z370" s="13"/>
    </row>
    <row r="371" spans="1:26" ht="32.25" hidden="1" customHeight="1">
      <c r="A371" s="8">
        <v>2300110</v>
      </c>
      <c r="B371" s="9" t="s">
        <v>1670</v>
      </c>
      <c r="C371" s="10">
        <v>45149</v>
      </c>
      <c r="D371" s="9" t="s">
        <v>261</v>
      </c>
      <c r="E371" s="9" t="s">
        <v>68</v>
      </c>
      <c r="F371" s="9" t="s">
        <v>262</v>
      </c>
      <c r="G371" s="9" t="s">
        <v>43</v>
      </c>
      <c r="H371" s="9" t="s">
        <v>44</v>
      </c>
      <c r="I371" s="11" t="s">
        <v>1671</v>
      </c>
      <c r="J371" s="9" t="s">
        <v>1672</v>
      </c>
      <c r="K371" s="9" t="s">
        <v>47</v>
      </c>
      <c r="L371" s="9" t="s">
        <v>1673</v>
      </c>
      <c r="M371" s="9" t="s">
        <v>624</v>
      </c>
      <c r="N371" s="9" t="s">
        <v>50</v>
      </c>
      <c r="O371" s="9" t="s">
        <v>51</v>
      </c>
      <c r="P371" s="9"/>
      <c r="Q371" s="9"/>
      <c r="R371" s="9" t="s">
        <v>61</v>
      </c>
      <c r="S371" s="14" t="s">
        <v>1674</v>
      </c>
      <c r="T371" s="9" t="s">
        <v>1675</v>
      </c>
      <c r="U371" s="9" t="s">
        <v>262</v>
      </c>
      <c r="V371" s="9" t="s">
        <v>55</v>
      </c>
      <c r="W371" s="9" t="s">
        <v>115</v>
      </c>
      <c r="X371" s="12" t="s">
        <v>389</v>
      </c>
      <c r="Y371" s="9" t="s">
        <v>390</v>
      </c>
      <c r="Z371" s="13"/>
    </row>
    <row r="372" spans="1:26" ht="32.25" hidden="1" customHeight="1">
      <c r="A372" s="8">
        <v>2307587</v>
      </c>
      <c r="B372" s="9" t="s">
        <v>1676</v>
      </c>
      <c r="C372" s="10">
        <v>45149</v>
      </c>
      <c r="D372" s="9" t="s">
        <v>57</v>
      </c>
      <c r="E372" s="9" t="s">
        <v>41</v>
      </c>
      <c r="F372" s="9" t="s">
        <v>42</v>
      </c>
      <c r="G372" s="9" t="s">
        <v>43</v>
      </c>
      <c r="H372" s="9" t="s">
        <v>58</v>
      </c>
      <c r="I372" s="11" t="s">
        <v>129</v>
      </c>
      <c r="J372" s="9" t="s">
        <v>130</v>
      </c>
      <c r="K372" s="9" t="s">
        <v>47</v>
      </c>
      <c r="L372" s="9" t="s">
        <v>156</v>
      </c>
      <c r="M372" s="9"/>
      <c r="N372" s="9" t="s">
        <v>84</v>
      </c>
      <c r="O372" s="9" t="s">
        <v>51</v>
      </c>
      <c r="P372" s="9"/>
      <c r="Q372" s="9"/>
      <c r="R372" s="9"/>
      <c r="S372" s="14" t="s">
        <v>1677</v>
      </c>
      <c r="T372" s="9" t="s">
        <v>1678</v>
      </c>
      <c r="U372" s="9" t="s">
        <v>54</v>
      </c>
      <c r="V372" s="9" t="s">
        <v>55</v>
      </c>
      <c r="W372" s="9" t="s">
        <v>55</v>
      </c>
      <c r="X372" s="12"/>
      <c r="Y372" s="9" t="s">
        <v>55</v>
      </c>
      <c r="Z372" s="13"/>
    </row>
    <row r="373" spans="1:26" ht="32.25" hidden="1" customHeight="1">
      <c r="A373" s="8">
        <v>2307125</v>
      </c>
      <c r="B373" s="9" t="s">
        <v>1679</v>
      </c>
      <c r="C373" s="10">
        <v>45156</v>
      </c>
      <c r="D373" s="9" t="s">
        <v>79</v>
      </c>
      <c r="E373" s="9" t="s">
        <v>41</v>
      </c>
      <c r="F373" s="9" t="s">
        <v>80</v>
      </c>
      <c r="G373" s="9" t="s">
        <v>43</v>
      </c>
      <c r="H373" s="9" t="s">
        <v>44</v>
      </c>
      <c r="I373" s="11" t="s">
        <v>478</v>
      </c>
      <c r="J373" s="9" t="s">
        <v>479</v>
      </c>
      <c r="K373" s="9" t="s">
        <v>47</v>
      </c>
      <c r="L373" s="9" t="s">
        <v>827</v>
      </c>
      <c r="M373" s="9" t="s">
        <v>828</v>
      </c>
      <c r="N373" s="9" t="s">
        <v>50</v>
      </c>
      <c r="O373" s="9" t="s">
        <v>51</v>
      </c>
      <c r="P373" s="9" t="s">
        <v>1414</v>
      </c>
      <c r="Q373" s="9"/>
      <c r="R373" s="9" t="s">
        <v>61</v>
      </c>
      <c r="S373" s="14" t="s">
        <v>1680</v>
      </c>
      <c r="T373" s="9" t="s">
        <v>1681</v>
      </c>
      <c r="U373" s="9" t="s">
        <v>54</v>
      </c>
      <c r="V373" s="9" t="s">
        <v>331</v>
      </c>
      <c r="W373" s="9" t="s">
        <v>115</v>
      </c>
      <c r="X373" s="9" t="s">
        <v>64</v>
      </c>
      <c r="Y373" s="9" t="s">
        <v>65</v>
      </c>
      <c r="Z373" s="13"/>
    </row>
    <row r="374" spans="1:26" ht="32.25" hidden="1" customHeight="1">
      <c r="A374" s="8">
        <v>2306862</v>
      </c>
      <c r="B374" s="9" t="s">
        <v>1682</v>
      </c>
      <c r="C374" s="10">
        <v>45149</v>
      </c>
      <c r="D374" s="9" t="s">
        <v>57</v>
      </c>
      <c r="E374" s="9" t="s">
        <v>41</v>
      </c>
      <c r="F374" s="9" t="s">
        <v>42</v>
      </c>
      <c r="G374" s="9" t="s">
        <v>43</v>
      </c>
      <c r="H374" s="9" t="s">
        <v>58</v>
      </c>
      <c r="I374" s="11" t="s">
        <v>45</v>
      </c>
      <c r="J374" s="9" t="s">
        <v>46</v>
      </c>
      <c r="K374" s="9" t="s">
        <v>47</v>
      </c>
      <c r="L374" s="9" t="s">
        <v>226</v>
      </c>
      <c r="M374" s="9" t="s">
        <v>1374</v>
      </c>
      <c r="N374" s="9" t="s">
        <v>50</v>
      </c>
      <c r="O374" s="9" t="s">
        <v>51</v>
      </c>
      <c r="P374" s="9"/>
      <c r="Q374" s="9"/>
      <c r="R374" s="9" t="s">
        <v>61</v>
      </c>
      <c r="S374" s="14" t="s">
        <v>1683</v>
      </c>
      <c r="T374" s="9" t="s">
        <v>1684</v>
      </c>
      <c r="U374" s="9" t="s">
        <v>54</v>
      </c>
      <c r="V374" s="9" t="s">
        <v>55</v>
      </c>
      <c r="W374" s="9" t="s">
        <v>55</v>
      </c>
      <c r="X374" s="9" t="s">
        <v>64</v>
      </c>
      <c r="Y374" s="9" t="s">
        <v>65</v>
      </c>
      <c r="Z374" s="13"/>
    </row>
    <row r="375" spans="1:26" ht="32.25" hidden="1" customHeight="1">
      <c r="A375" s="8">
        <v>2310263</v>
      </c>
      <c r="B375" s="9" t="s">
        <v>1685</v>
      </c>
      <c r="C375" s="10">
        <v>45136</v>
      </c>
      <c r="D375" s="9" t="s">
        <v>40</v>
      </c>
      <c r="E375" s="9" t="s">
        <v>41</v>
      </c>
      <c r="F375" s="9" t="s">
        <v>42</v>
      </c>
      <c r="G375" s="9" t="s">
        <v>43</v>
      </c>
      <c r="H375" s="9" t="s">
        <v>44</v>
      </c>
      <c r="I375" s="11" t="s">
        <v>45</v>
      </c>
      <c r="J375" s="9" t="s">
        <v>46</v>
      </c>
      <c r="K375" s="9" t="s">
        <v>47</v>
      </c>
      <c r="L375" s="9" t="s">
        <v>1686</v>
      </c>
      <c r="M375" s="9" t="s">
        <v>1687</v>
      </c>
      <c r="N375" s="9" t="s">
        <v>50</v>
      </c>
      <c r="O375" s="9" t="s">
        <v>51</v>
      </c>
      <c r="P375" s="9"/>
      <c r="Q375" s="9"/>
      <c r="R375" s="9" t="s">
        <v>61</v>
      </c>
      <c r="S375" s="9" t="s">
        <v>1688</v>
      </c>
      <c r="T375" s="9" t="s">
        <v>1689</v>
      </c>
      <c r="U375" s="9" t="s">
        <v>54</v>
      </c>
      <c r="V375" s="9" t="s">
        <v>55</v>
      </c>
      <c r="W375" s="9" t="s">
        <v>55</v>
      </c>
      <c r="X375" s="9" t="s">
        <v>64</v>
      </c>
      <c r="Y375" s="9" t="s">
        <v>65</v>
      </c>
      <c r="Z375" s="13"/>
    </row>
    <row r="376" spans="1:26" ht="32.25" hidden="1" customHeight="1">
      <c r="A376" s="8">
        <v>2306124</v>
      </c>
      <c r="B376" s="9" t="s">
        <v>1690</v>
      </c>
      <c r="C376" s="10">
        <v>45156</v>
      </c>
      <c r="D376" s="9" t="s">
        <v>79</v>
      </c>
      <c r="E376" s="9" t="s">
        <v>143</v>
      </c>
      <c r="F376" s="9" t="s">
        <v>80</v>
      </c>
      <c r="G376" s="9" t="s">
        <v>43</v>
      </c>
      <c r="H376" s="9" t="s">
        <v>44</v>
      </c>
      <c r="I376" s="11" t="s">
        <v>326</v>
      </c>
      <c r="J376" s="9" t="s">
        <v>327</v>
      </c>
      <c r="K376" s="9" t="s">
        <v>47</v>
      </c>
      <c r="L376" s="9" t="s">
        <v>799</v>
      </c>
      <c r="M376" s="9" t="s">
        <v>1691</v>
      </c>
      <c r="N376" s="9" t="s">
        <v>50</v>
      </c>
      <c r="O376" s="9" t="s">
        <v>51</v>
      </c>
      <c r="P376" s="9" t="s">
        <v>654</v>
      </c>
      <c r="Q376" s="9"/>
      <c r="R376" s="9" t="s">
        <v>61</v>
      </c>
      <c r="S376" s="14" t="s">
        <v>1692</v>
      </c>
      <c r="T376" s="9" t="s">
        <v>1693</v>
      </c>
      <c r="U376" s="9" t="s">
        <v>54</v>
      </c>
      <c r="V376" s="9" t="s">
        <v>370</v>
      </c>
      <c r="W376" s="9" t="s">
        <v>115</v>
      </c>
      <c r="X376" s="12" t="s">
        <v>150</v>
      </c>
      <c r="Y376" s="9" t="s">
        <v>151</v>
      </c>
      <c r="Z376" s="13"/>
    </row>
    <row r="377" spans="1:26" ht="32.25" hidden="1" customHeight="1">
      <c r="A377" s="8">
        <v>2308767</v>
      </c>
      <c r="B377" s="9" t="s">
        <v>1694</v>
      </c>
      <c r="C377" s="10">
        <v>45149</v>
      </c>
      <c r="D377" s="9" t="s">
        <v>57</v>
      </c>
      <c r="E377" s="9" t="s">
        <v>153</v>
      </c>
      <c r="F377" s="9" t="s">
        <v>42</v>
      </c>
      <c r="G377" s="9" t="s">
        <v>43</v>
      </c>
      <c r="H377" s="9" t="s">
        <v>58</v>
      </c>
      <c r="I377" s="11" t="s">
        <v>154</v>
      </c>
      <c r="J377" s="9" t="s">
        <v>155</v>
      </c>
      <c r="K377" s="9" t="s">
        <v>47</v>
      </c>
      <c r="L377" s="9" t="s">
        <v>553</v>
      </c>
      <c r="M377" s="9" t="s">
        <v>960</v>
      </c>
      <c r="N377" s="9" t="s">
        <v>84</v>
      </c>
      <c r="O377" s="9" t="s">
        <v>51</v>
      </c>
      <c r="P377" s="9"/>
      <c r="Q377" s="9"/>
      <c r="R377" s="9" t="s">
        <v>61</v>
      </c>
      <c r="S377" s="14" t="s">
        <v>1695</v>
      </c>
      <c r="T377" s="9" t="s">
        <v>1696</v>
      </c>
      <c r="U377" s="9" t="s">
        <v>54</v>
      </c>
      <c r="V377" s="9" t="s">
        <v>55</v>
      </c>
      <c r="W377" s="9" t="s">
        <v>55</v>
      </c>
      <c r="X377" s="12" t="s">
        <v>171</v>
      </c>
      <c r="Y377" s="9" t="s">
        <v>172</v>
      </c>
      <c r="Z377" s="13"/>
    </row>
    <row r="378" spans="1:26" ht="32.25" hidden="1" customHeight="1">
      <c r="A378" s="8">
        <v>2303215</v>
      </c>
      <c r="B378" s="9" t="s">
        <v>1697</v>
      </c>
      <c r="C378" s="10">
        <v>45149</v>
      </c>
      <c r="D378" s="9" t="s">
        <v>57</v>
      </c>
      <c r="E378" s="9" t="s">
        <v>41</v>
      </c>
      <c r="F378" s="9" t="s">
        <v>42</v>
      </c>
      <c r="G378" s="9" t="s">
        <v>43</v>
      </c>
      <c r="H378" s="9" t="s">
        <v>58</v>
      </c>
      <c r="I378" s="11" t="s">
        <v>1073</v>
      </c>
      <c r="J378" s="9" t="s">
        <v>479</v>
      </c>
      <c r="K378" s="9" t="s">
        <v>47</v>
      </c>
      <c r="L378" s="9" t="s">
        <v>156</v>
      </c>
      <c r="M378" s="9"/>
      <c r="N378" s="9" t="s">
        <v>50</v>
      </c>
      <c r="O378" s="9" t="s">
        <v>51</v>
      </c>
      <c r="P378" s="9"/>
      <c r="Q378" s="9"/>
      <c r="R378" s="9"/>
      <c r="S378" s="14" t="s">
        <v>1698</v>
      </c>
      <c r="T378" s="9" t="s">
        <v>1699</v>
      </c>
      <c r="U378" s="9" t="s">
        <v>54</v>
      </c>
      <c r="V378" s="9" t="s">
        <v>55</v>
      </c>
      <c r="W378" s="9" t="s">
        <v>55</v>
      </c>
      <c r="X378" s="12"/>
      <c r="Y378" s="9" t="s">
        <v>55</v>
      </c>
      <c r="Z378" s="13"/>
    </row>
    <row r="379" spans="1:26" ht="32.25" hidden="1" customHeight="1">
      <c r="A379" s="8">
        <v>2309745</v>
      </c>
      <c r="B379" s="9" t="s">
        <v>1700</v>
      </c>
      <c r="C379" s="10">
        <v>45156</v>
      </c>
      <c r="D379" s="9" t="s">
        <v>79</v>
      </c>
      <c r="E379" s="9" t="s">
        <v>143</v>
      </c>
      <c r="F379" s="9" t="s">
        <v>80</v>
      </c>
      <c r="G379" s="9" t="s">
        <v>43</v>
      </c>
      <c r="H379" s="9" t="s">
        <v>44</v>
      </c>
      <c r="I379" s="11" t="s">
        <v>326</v>
      </c>
      <c r="J379" s="9" t="s">
        <v>327</v>
      </c>
      <c r="K379" s="9" t="s">
        <v>47</v>
      </c>
      <c r="L379" s="9" t="s">
        <v>799</v>
      </c>
      <c r="M379" s="9" t="s">
        <v>1490</v>
      </c>
      <c r="N379" s="9" t="s">
        <v>50</v>
      </c>
      <c r="O379" s="9" t="s">
        <v>51</v>
      </c>
      <c r="P379" s="9" t="s">
        <v>1646</v>
      </c>
      <c r="Q379" s="9"/>
      <c r="R379" s="9" t="s">
        <v>61</v>
      </c>
      <c r="S379" s="14" t="s">
        <v>1701</v>
      </c>
      <c r="T379" s="9" t="s">
        <v>1702</v>
      </c>
      <c r="U379" s="9" t="s">
        <v>54</v>
      </c>
      <c r="V379" s="9" t="s">
        <v>55</v>
      </c>
      <c r="W379" s="9" t="s">
        <v>115</v>
      </c>
      <c r="X379" s="12" t="s">
        <v>150</v>
      </c>
      <c r="Y379" s="9" t="s">
        <v>151</v>
      </c>
      <c r="Z379" s="13"/>
    </row>
    <row r="380" spans="1:26" ht="32.25" hidden="1" customHeight="1">
      <c r="A380" s="8">
        <v>2308742</v>
      </c>
      <c r="B380" s="9" t="s">
        <v>1703</v>
      </c>
      <c r="C380" s="10">
        <v>45142</v>
      </c>
      <c r="D380" s="9" t="s">
        <v>67</v>
      </c>
      <c r="E380" s="9" t="s">
        <v>41</v>
      </c>
      <c r="F380" s="9" t="s">
        <v>42</v>
      </c>
      <c r="G380" s="9" t="s">
        <v>43</v>
      </c>
      <c r="H380" s="9" t="s">
        <v>44</v>
      </c>
      <c r="I380" s="11" t="s">
        <v>129</v>
      </c>
      <c r="J380" s="9" t="s">
        <v>130</v>
      </c>
      <c r="K380" s="9" t="s">
        <v>47</v>
      </c>
      <c r="L380" s="9" t="s">
        <v>1040</v>
      </c>
      <c r="M380" s="9" t="s">
        <v>1041</v>
      </c>
      <c r="N380" s="9" t="s">
        <v>84</v>
      </c>
      <c r="O380" s="9" t="s">
        <v>51</v>
      </c>
      <c r="P380" s="9"/>
      <c r="Q380" s="9"/>
      <c r="R380" s="9" t="s">
        <v>61</v>
      </c>
      <c r="S380" s="9" t="s">
        <v>1704</v>
      </c>
      <c r="T380" s="9" t="s">
        <v>1705</v>
      </c>
      <c r="U380" s="9" t="s">
        <v>54</v>
      </c>
      <c r="V380" s="9" t="s">
        <v>55</v>
      </c>
      <c r="W380" s="9" t="s">
        <v>55</v>
      </c>
      <c r="X380" s="9" t="s">
        <v>196</v>
      </c>
      <c r="Y380" s="9" t="s">
        <v>197</v>
      </c>
      <c r="Z380" s="13" t="s">
        <v>230</v>
      </c>
    </row>
    <row r="381" spans="1:26" ht="32.25" hidden="1" customHeight="1">
      <c r="A381" s="8">
        <v>2302383</v>
      </c>
      <c r="B381" s="9" t="s">
        <v>1706</v>
      </c>
      <c r="C381" s="10">
        <v>45156</v>
      </c>
      <c r="D381" s="9" t="s">
        <v>79</v>
      </c>
      <c r="E381" s="9" t="s">
        <v>89</v>
      </c>
      <c r="F381" s="9" t="s">
        <v>80</v>
      </c>
      <c r="G381" s="9" t="s">
        <v>43</v>
      </c>
      <c r="H381" s="9" t="s">
        <v>44</v>
      </c>
      <c r="I381" s="11" t="s">
        <v>101</v>
      </c>
      <c r="J381" s="9" t="s">
        <v>102</v>
      </c>
      <c r="K381" s="9" t="s">
        <v>47</v>
      </c>
      <c r="L381" s="9" t="s">
        <v>437</v>
      </c>
      <c r="M381" s="9" t="s">
        <v>1707</v>
      </c>
      <c r="N381" s="9" t="s">
        <v>84</v>
      </c>
      <c r="O381" s="9" t="s">
        <v>51</v>
      </c>
      <c r="P381" s="9" t="s">
        <v>125</v>
      </c>
      <c r="Q381" s="9"/>
      <c r="R381" s="9" t="s">
        <v>61</v>
      </c>
      <c r="S381" s="14" t="s">
        <v>1708</v>
      </c>
      <c r="T381" s="9" t="s">
        <v>1709</v>
      </c>
      <c r="U381" s="9" t="s">
        <v>54</v>
      </c>
      <c r="V381" s="9" t="s">
        <v>318</v>
      </c>
      <c r="W381" s="9" t="s">
        <v>115</v>
      </c>
      <c r="X381" s="12" t="s">
        <v>319</v>
      </c>
      <c r="Y381" s="9" t="s">
        <v>320</v>
      </c>
      <c r="Z381" s="13"/>
    </row>
    <row r="382" spans="1:26" ht="32.25" hidden="1" customHeight="1">
      <c r="A382" s="8">
        <v>2311074</v>
      </c>
      <c r="B382" s="9" t="s">
        <v>1710</v>
      </c>
      <c r="C382" s="10">
        <v>45156</v>
      </c>
      <c r="D382" s="9" t="s">
        <v>79</v>
      </c>
      <c r="E382" s="9" t="s">
        <v>143</v>
      </c>
      <c r="F382" s="9" t="s">
        <v>80</v>
      </c>
      <c r="G382" s="9" t="s">
        <v>43</v>
      </c>
      <c r="H382" s="9" t="s">
        <v>44</v>
      </c>
      <c r="I382" s="11" t="s">
        <v>326</v>
      </c>
      <c r="J382" s="9" t="s">
        <v>327</v>
      </c>
      <c r="K382" s="9" t="s">
        <v>47</v>
      </c>
      <c r="L382" s="9" t="s">
        <v>156</v>
      </c>
      <c r="M382" s="9"/>
      <c r="N382" s="9" t="s">
        <v>84</v>
      </c>
      <c r="O382" s="9" t="s">
        <v>51</v>
      </c>
      <c r="P382" s="9" t="s">
        <v>1143</v>
      </c>
      <c r="Q382" s="9"/>
      <c r="R382" s="9"/>
      <c r="S382" s="14" t="s">
        <v>1711</v>
      </c>
      <c r="T382" s="9" t="s">
        <v>1712</v>
      </c>
      <c r="U382" s="9" t="s">
        <v>54</v>
      </c>
      <c r="V382" s="9" t="s">
        <v>55</v>
      </c>
      <c r="W382" s="9" t="s">
        <v>55</v>
      </c>
      <c r="X382" s="12"/>
      <c r="Y382" s="9" t="s">
        <v>55</v>
      </c>
      <c r="Z382" s="13"/>
    </row>
    <row r="383" spans="1:26" ht="32.25" hidden="1" customHeight="1">
      <c r="A383" s="8">
        <v>2307879</v>
      </c>
      <c r="B383" s="9" t="s">
        <v>1713</v>
      </c>
      <c r="C383" s="10">
        <v>45142</v>
      </c>
      <c r="D383" s="9" t="s">
        <v>67</v>
      </c>
      <c r="E383" s="9" t="s">
        <v>143</v>
      </c>
      <c r="F383" s="9" t="s">
        <v>42</v>
      </c>
      <c r="G383" s="9" t="s">
        <v>43</v>
      </c>
      <c r="H383" s="9" t="s">
        <v>44</v>
      </c>
      <c r="I383" s="11" t="s">
        <v>334</v>
      </c>
      <c r="J383" s="9" t="s">
        <v>327</v>
      </c>
      <c r="K383" s="9" t="s">
        <v>47</v>
      </c>
      <c r="L383" s="9" t="s">
        <v>156</v>
      </c>
      <c r="M383" s="9"/>
      <c r="N383" s="9" t="s">
        <v>50</v>
      </c>
      <c r="O383" s="9" t="s">
        <v>51</v>
      </c>
      <c r="P383" s="9" t="s">
        <v>336</v>
      </c>
      <c r="Q383" s="9"/>
      <c r="R383" s="9"/>
      <c r="S383" s="9" t="s">
        <v>1714</v>
      </c>
      <c r="T383" s="9" t="s">
        <v>1715</v>
      </c>
      <c r="U383" s="9" t="s">
        <v>54</v>
      </c>
      <c r="V383" s="9" t="s">
        <v>55</v>
      </c>
      <c r="W383" s="9" t="s">
        <v>55</v>
      </c>
      <c r="X383" s="12"/>
      <c r="Y383" s="9" t="s">
        <v>55</v>
      </c>
      <c r="Z383" s="13"/>
    </row>
    <row r="384" spans="1:26" ht="32.25" hidden="1" customHeight="1">
      <c r="A384" s="8">
        <v>2306102</v>
      </c>
      <c r="B384" s="9" t="s">
        <v>1716</v>
      </c>
      <c r="C384" s="10">
        <v>45149</v>
      </c>
      <c r="D384" s="9" t="s">
        <v>57</v>
      </c>
      <c r="E384" s="9" t="s">
        <v>41</v>
      </c>
      <c r="F384" s="9" t="s">
        <v>42</v>
      </c>
      <c r="G384" s="9" t="s">
        <v>43</v>
      </c>
      <c r="H384" s="9" t="s">
        <v>58</v>
      </c>
      <c r="I384" s="11" t="s">
        <v>661</v>
      </c>
      <c r="J384" s="9" t="s">
        <v>662</v>
      </c>
      <c r="K384" s="9" t="s">
        <v>47</v>
      </c>
      <c r="L384" s="9" t="s">
        <v>156</v>
      </c>
      <c r="M384" s="9"/>
      <c r="N384" s="9" t="s">
        <v>50</v>
      </c>
      <c r="O384" s="9" t="s">
        <v>51</v>
      </c>
      <c r="P384" s="9"/>
      <c r="Q384" s="9"/>
      <c r="R384" s="9"/>
      <c r="S384" s="14" t="s">
        <v>1717</v>
      </c>
      <c r="T384" s="9" t="s">
        <v>1718</v>
      </c>
      <c r="U384" s="9" t="s">
        <v>54</v>
      </c>
      <c r="V384" s="9" t="s">
        <v>55</v>
      </c>
      <c r="W384" s="9" t="s">
        <v>55</v>
      </c>
      <c r="X384" s="12"/>
      <c r="Y384" s="9" t="s">
        <v>55</v>
      </c>
      <c r="Z384" s="13"/>
    </row>
    <row r="385" spans="1:26" ht="32.25" hidden="1" customHeight="1">
      <c r="A385" s="8">
        <v>2313330</v>
      </c>
      <c r="B385" s="9" t="s">
        <v>1719</v>
      </c>
      <c r="C385" s="10">
        <v>45156</v>
      </c>
      <c r="D385" s="9" t="s">
        <v>79</v>
      </c>
      <c r="E385" s="9" t="s">
        <v>41</v>
      </c>
      <c r="F385" s="9" t="s">
        <v>80</v>
      </c>
      <c r="G385" s="9" t="s">
        <v>43</v>
      </c>
      <c r="H385" s="9" t="s">
        <v>44</v>
      </c>
      <c r="I385" s="11" t="s">
        <v>478</v>
      </c>
      <c r="J385" s="9" t="s">
        <v>479</v>
      </c>
      <c r="K385" s="9" t="s">
        <v>47</v>
      </c>
      <c r="L385" s="9" t="s">
        <v>598</v>
      </c>
      <c r="M385" s="9" t="s">
        <v>1720</v>
      </c>
      <c r="N385" s="9" t="s">
        <v>50</v>
      </c>
      <c r="O385" s="9" t="s">
        <v>51</v>
      </c>
      <c r="P385" s="9" t="s">
        <v>1414</v>
      </c>
      <c r="Q385" s="9"/>
      <c r="R385" s="9" t="s">
        <v>61</v>
      </c>
      <c r="S385" s="14" t="s">
        <v>1721</v>
      </c>
      <c r="T385" s="9" t="s">
        <v>1722</v>
      </c>
      <c r="U385" s="9" t="s">
        <v>54</v>
      </c>
      <c r="V385" s="9" t="s">
        <v>55</v>
      </c>
      <c r="W385" s="9" t="s">
        <v>55</v>
      </c>
      <c r="X385" s="12" t="s">
        <v>150</v>
      </c>
      <c r="Y385" s="9" t="s">
        <v>151</v>
      </c>
      <c r="Z385" s="13"/>
    </row>
    <row r="386" spans="1:26" ht="32.25" hidden="1" customHeight="1">
      <c r="A386" s="8">
        <v>2313065</v>
      </c>
      <c r="B386" s="9" t="s">
        <v>1723</v>
      </c>
      <c r="C386" s="10">
        <v>45156</v>
      </c>
      <c r="D386" s="9" t="s">
        <v>79</v>
      </c>
      <c r="E386" s="9" t="s">
        <v>89</v>
      </c>
      <c r="F386" s="9" t="s">
        <v>80</v>
      </c>
      <c r="G386" s="9" t="s">
        <v>43</v>
      </c>
      <c r="H386" s="9" t="s">
        <v>44</v>
      </c>
      <c r="I386" s="11" t="s">
        <v>101</v>
      </c>
      <c r="J386" s="9" t="s">
        <v>102</v>
      </c>
      <c r="K386" s="9" t="s">
        <v>47</v>
      </c>
      <c r="L386" s="9" t="s">
        <v>713</v>
      </c>
      <c r="M386" s="9" t="s">
        <v>1724</v>
      </c>
      <c r="N386" s="9" t="s">
        <v>50</v>
      </c>
      <c r="O386" s="9" t="s">
        <v>51</v>
      </c>
      <c r="P386" s="9" t="s">
        <v>715</v>
      </c>
      <c r="Q386" s="9"/>
      <c r="R386" s="9" t="s">
        <v>61</v>
      </c>
      <c r="S386" s="14" t="s">
        <v>1725</v>
      </c>
      <c r="T386" s="9" t="s">
        <v>1726</v>
      </c>
      <c r="U386" s="9" t="s">
        <v>54</v>
      </c>
      <c r="V386" s="9" t="s">
        <v>55</v>
      </c>
      <c r="W386" s="9" t="s">
        <v>55</v>
      </c>
      <c r="X386" s="12" t="s">
        <v>98</v>
      </c>
      <c r="Y386" s="9" t="s">
        <v>99</v>
      </c>
      <c r="Z386" s="13"/>
    </row>
    <row r="387" spans="1:26" ht="32.25" hidden="1" customHeight="1">
      <c r="A387" s="8">
        <v>2302706</v>
      </c>
      <c r="B387" s="9" t="s">
        <v>1727</v>
      </c>
      <c r="C387" s="10">
        <v>45149</v>
      </c>
      <c r="D387" s="9" t="s">
        <v>57</v>
      </c>
      <c r="E387" s="9" t="s">
        <v>41</v>
      </c>
      <c r="F387" s="9" t="s">
        <v>42</v>
      </c>
      <c r="G387" s="9" t="s">
        <v>43</v>
      </c>
      <c r="H387" s="9" t="s">
        <v>58</v>
      </c>
      <c r="I387" s="11" t="s">
        <v>45</v>
      </c>
      <c r="J387" s="9" t="s">
        <v>46</v>
      </c>
      <c r="K387" s="9" t="s">
        <v>47</v>
      </c>
      <c r="L387" s="9" t="s">
        <v>156</v>
      </c>
      <c r="M387" s="9"/>
      <c r="N387" s="9" t="s">
        <v>50</v>
      </c>
      <c r="O387" s="9" t="s">
        <v>51</v>
      </c>
      <c r="P387" s="9"/>
      <c r="Q387" s="9"/>
      <c r="R387" s="9"/>
      <c r="S387" s="14" t="s">
        <v>1728</v>
      </c>
      <c r="T387" s="9" t="s">
        <v>1729</v>
      </c>
      <c r="U387" s="9" t="s">
        <v>54</v>
      </c>
      <c r="V387" s="9" t="s">
        <v>55</v>
      </c>
      <c r="W387" s="9" t="s">
        <v>55</v>
      </c>
      <c r="X387" s="12"/>
      <c r="Y387" s="9" t="s">
        <v>55</v>
      </c>
      <c r="Z387" s="13"/>
    </row>
    <row r="388" spans="1:26" ht="32.25" hidden="1" customHeight="1">
      <c r="A388" s="8">
        <v>2301980</v>
      </c>
      <c r="B388" s="9" t="s">
        <v>1730</v>
      </c>
      <c r="C388" s="10">
        <v>45142</v>
      </c>
      <c r="D388" s="9" t="s">
        <v>67</v>
      </c>
      <c r="E388" s="9" t="s">
        <v>68</v>
      </c>
      <c r="F388" s="9" t="s">
        <v>135</v>
      </c>
      <c r="G388" s="9" t="s">
        <v>43</v>
      </c>
      <c r="H388" s="9" t="s">
        <v>44</v>
      </c>
      <c r="I388" s="11" t="s">
        <v>136</v>
      </c>
      <c r="J388" s="9" t="s">
        <v>137</v>
      </c>
      <c r="K388" s="9" t="s">
        <v>47</v>
      </c>
      <c r="L388" s="9" t="s">
        <v>411</v>
      </c>
      <c r="M388" s="9" t="s">
        <v>412</v>
      </c>
      <c r="N388" s="9" t="s">
        <v>84</v>
      </c>
      <c r="O388" s="9" t="s">
        <v>51</v>
      </c>
      <c r="P388" s="9"/>
      <c r="Q388" s="9"/>
      <c r="R388" s="9" t="s">
        <v>61</v>
      </c>
      <c r="S388" s="9" t="s">
        <v>1731</v>
      </c>
      <c r="T388" s="9" t="s">
        <v>1732</v>
      </c>
      <c r="U388" s="9" t="s">
        <v>54</v>
      </c>
      <c r="V388" s="9" t="s">
        <v>55</v>
      </c>
      <c r="W388" s="9" t="s">
        <v>55</v>
      </c>
      <c r="X388" s="12" t="s">
        <v>76</v>
      </c>
      <c r="Y388" s="9" t="s">
        <v>77</v>
      </c>
      <c r="Z388" s="13"/>
    </row>
    <row r="389" spans="1:26" ht="32.25" hidden="1" customHeight="1">
      <c r="A389" s="8">
        <v>2304896</v>
      </c>
      <c r="B389" s="9" t="s">
        <v>1733</v>
      </c>
      <c r="C389" s="10">
        <v>45149</v>
      </c>
      <c r="D389" s="9" t="s">
        <v>57</v>
      </c>
      <c r="E389" s="9" t="s">
        <v>41</v>
      </c>
      <c r="F389" s="9" t="s">
        <v>42</v>
      </c>
      <c r="G389" s="9" t="s">
        <v>43</v>
      </c>
      <c r="H389" s="9" t="s">
        <v>58</v>
      </c>
      <c r="I389" s="11" t="s">
        <v>199</v>
      </c>
      <c r="J389" s="9" t="s">
        <v>200</v>
      </c>
      <c r="K389" s="9" t="s">
        <v>47</v>
      </c>
      <c r="L389" s="9" t="s">
        <v>156</v>
      </c>
      <c r="M389" s="9"/>
      <c r="N389" s="9" t="s">
        <v>84</v>
      </c>
      <c r="O389" s="9" t="s">
        <v>51</v>
      </c>
      <c r="P389" s="9"/>
      <c r="Q389" s="9"/>
      <c r="R389" s="9"/>
      <c r="S389" s="14" t="s">
        <v>1734</v>
      </c>
      <c r="T389" s="9" t="s">
        <v>1735</v>
      </c>
      <c r="U389" s="9" t="s">
        <v>54</v>
      </c>
      <c r="V389" s="9" t="s">
        <v>55</v>
      </c>
      <c r="W389" s="9" t="s">
        <v>55</v>
      </c>
      <c r="X389" s="12"/>
      <c r="Y389" s="9" t="s">
        <v>55</v>
      </c>
      <c r="Z389" s="13"/>
    </row>
    <row r="390" spans="1:26" ht="32.25" hidden="1" customHeight="1">
      <c r="A390" s="8">
        <v>2304349</v>
      </c>
      <c r="B390" s="9" t="s">
        <v>1736</v>
      </c>
      <c r="C390" s="10">
        <v>45156</v>
      </c>
      <c r="D390" s="9" t="s">
        <v>79</v>
      </c>
      <c r="E390" s="9" t="s">
        <v>68</v>
      </c>
      <c r="F390" s="9" t="s">
        <v>80</v>
      </c>
      <c r="G390" s="9" t="s">
        <v>43</v>
      </c>
      <c r="H390" s="9" t="s">
        <v>44</v>
      </c>
      <c r="I390" s="11" t="s">
        <v>117</v>
      </c>
      <c r="J390" s="9" t="s">
        <v>118</v>
      </c>
      <c r="K390" s="9" t="s">
        <v>47</v>
      </c>
      <c r="L390" s="9" t="s">
        <v>1056</v>
      </c>
      <c r="M390" s="9" t="s">
        <v>1737</v>
      </c>
      <c r="N390" s="9" t="s">
        <v>84</v>
      </c>
      <c r="O390" s="9" t="s">
        <v>51</v>
      </c>
      <c r="P390" s="9" t="s">
        <v>285</v>
      </c>
      <c r="Q390" s="9"/>
      <c r="R390" s="9" t="s">
        <v>61</v>
      </c>
      <c r="S390" s="14" t="s">
        <v>1738</v>
      </c>
      <c r="T390" s="9" t="s">
        <v>1739</v>
      </c>
      <c r="U390" s="9" t="s">
        <v>54</v>
      </c>
      <c r="V390" s="9" t="s">
        <v>318</v>
      </c>
      <c r="W390" s="9" t="s">
        <v>115</v>
      </c>
      <c r="X390" s="12" t="s">
        <v>319</v>
      </c>
      <c r="Y390" s="9" t="s">
        <v>320</v>
      </c>
      <c r="Z390" s="13"/>
    </row>
    <row r="391" spans="1:26" ht="32.25" hidden="1" customHeight="1">
      <c r="A391" s="8">
        <v>2302938</v>
      </c>
      <c r="B391" s="9" t="s">
        <v>1740</v>
      </c>
      <c r="C391" s="10">
        <v>45142</v>
      </c>
      <c r="D391" s="9" t="s">
        <v>67</v>
      </c>
      <c r="E391" s="9" t="s">
        <v>143</v>
      </c>
      <c r="F391" s="9" t="s">
        <v>42</v>
      </c>
      <c r="G391" s="9" t="s">
        <v>43</v>
      </c>
      <c r="H391" s="9" t="s">
        <v>44</v>
      </c>
      <c r="I391" s="11" t="s">
        <v>460</v>
      </c>
      <c r="J391" s="9" t="s">
        <v>400</v>
      </c>
      <c r="K391" s="9" t="s">
        <v>47</v>
      </c>
      <c r="L391" s="9" t="s">
        <v>156</v>
      </c>
      <c r="M391" s="9"/>
      <c r="N391" s="9" t="s">
        <v>84</v>
      </c>
      <c r="O391" s="9" t="s">
        <v>51</v>
      </c>
      <c r="P391" s="9"/>
      <c r="Q391" s="9"/>
      <c r="R391" s="9"/>
      <c r="S391" s="9" t="s">
        <v>1741</v>
      </c>
      <c r="T391" s="9" t="s">
        <v>1742</v>
      </c>
      <c r="U391" s="9" t="s">
        <v>54</v>
      </c>
      <c r="V391" s="9" t="s">
        <v>55</v>
      </c>
      <c r="W391" s="9" t="s">
        <v>55</v>
      </c>
      <c r="X391" s="12"/>
      <c r="Y391" s="9" t="s">
        <v>55</v>
      </c>
      <c r="Z391" s="13"/>
    </row>
    <row r="392" spans="1:26" ht="32.25" hidden="1" customHeight="1">
      <c r="A392" s="8">
        <v>2301530</v>
      </c>
      <c r="B392" s="9" t="s">
        <v>1743</v>
      </c>
      <c r="C392" s="10">
        <v>45149</v>
      </c>
      <c r="D392" s="9" t="s">
        <v>57</v>
      </c>
      <c r="E392" s="9" t="s">
        <v>295</v>
      </c>
      <c r="F392" s="9" t="s">
        <v>42</v>
      </c>
      <c r="G392" s="9" t="s">
        <v>43</v>
      </c>
      <c r="H392" s="9" t="s">
        <v>58</v>
      </c>
      <c r="I392" s="11" t="s">
        <v>406</v>
      </c>
      <c r="J392" s="9" t="s">
        <v>407</v>
      </c>
      <c r="K392" s="9" t="s">
        <v>47</v>
      </c>
      <c r="L392" s="9" t="s">
        <v>863</v>
      </c>
      <c r="M392" s="9" t="s">
        <v>1396</v>
      </c>
      <c r="N392" s="9" t="s">
        <v>84</v>
      </c>
      <c r="O392" s="9" t="s">
        <v>51</v>
      </c>
      <c r="P392" s="9"/>
      <c r="Q392" s="9"/>
      <c r="R392" s="9" t="s">
        <v>61</v>
      </c>
      <c r="S392" s="14" t="s">
        <v>1744</v>
      </c>
      <c r="T392" s="9" t="s">
        <v>1745</v>
      </c>
      <c r="U392" s="9" t="s">
        <v>54</v>
      </c>
      <c r="V392" s="9" t="s">
        <v>55</v>
      </c>
      <c r="W392" s="9" t="s">
        <v>55</v>
      </c>
      <c r="X392" s="9" t="s">
        <v>319</v>
      </c>
      <c r="Y392" s="9" t="s">
        <v>320</v>
      </c>
      <c r="Z392" s="13"/>
    </row>
    <row r="393" spans="1:26" ht="32.25" hidden="1" customHeight="1">
      <c r="A393" s="8">
        <v>2311382</v>
      </c>
      <c r="B393" s="9" t="s">
        <v>1746</v>
      </c>
      <c r="C393" s="10">
        <v>45149</v>
      </c>
      <c r="D393" s="9" t="s">
        <v>57</v>
      </c>
      <c r="E393" s="9" t="s">
        <v>41</v>
      </c>
      <c r="F393" s="9" t="s">
        <v>42</v>
      </c>
      <c r="G393" s="9" t="s">
        <v>43</v>
      </c>
      <c r="H393" s="9" t="s">
        <v>58</v>
      </c>
      <c r="I393" s="11" t="s">
        <v>45</v>
      </c>
      <c r="J393" s="9" t="s">
        <v>46</v>
      </c>
      <c r="K393" s="9" t="s">
        <v>47</v>
      </c>
      <c r="L393" s="9" t="s">
        <v>822</v>
      </c>
      <c r="M393" s="9" t="s">
        <v>823</v>
      </c>
      <c r="N393" s="9" t="s">
        <v>50</v>
      </c>
      <c r="O393" s="9" t="s">
        <v>51</v>
      </c>
      <c r="P393" s="9"/>
      <c r="Q393" s="9"/>
      <c r="R393" s="9" t="s">
        <v>61</v>
      </c>
      <c r="S393" s="14" t="s">
        <v>1747</v>
      </c>
      <c r="T393" s="9" t="s">
        <v>1748</v>
      </c>
      <c r="U393" s="9" t="s">
        <v>54</v>
      </c>
      <c r="V393" s="9" t="s">
        <v>55</v>
      </c>
      <c r="W393" s="9" t="s">
        <v>55</v>
      </c>
      <c r="X393" s="9" t="s">
        <v>64</v>
      </c>
      <c r="Y393" s="9" t="s">
        <v>65</v>
      </c>
      <c r="Z393" s="13"/>
    </row>
    <row r="394" spans="1:26" ht="32.25" hidden="1" customHeight="1">
      <c r="A394" s="8">
        <v>2313972</v>
      </c>
      <c r="B394" s="9" t="s">
        <v>1749</v>
      </c>
      <c r="C394" s="10">
        <v>45142</v>
      </c>
      <c r="D394" s="9" t="s">
        <v>67</v>
      </c>
      <c r="E394" s="9" t="s">
        <v>295</v>
      </c>
      <c r="F394" s="9" t="s">
        <v>42</v>
      </c>
      <c r="G394" s="9" t="s">
        <v>43</v>
      </c>
      <c r="H394" s="9" t="s">
        <v>44</v>
      </c>
      <c r="I394" s="11" t="s">
        <v>406</v>
      </c>
      <c r="J394" s="9" t="s">
        <v>407</v>
      </c>
      <c r="K394" s="9" t="s">
        <v>47</v>
      </c>
      <c r="L394" s="9" t="s">
        <v>1686</v>
      </c>
      <c r="M394" s="9" t="s">
        <v>1750</v>
      </c>
      <c r="N394" s="9" t="s">
        <v>50</v>
      </c>
      <c r="O394" s="9" t="s">
        <v>51</v>
      </c>
      <c r="P394" s="9"/>
      <c r="Q394" s="9"/>
      <c r="R394" s="9" t="s">
        <v>61</v>
      </c>
      <c r="S394" s="9" t="s">
        <v>1751</v>
      </c>
      <c r="T394" s="9" t="s">
        <v>1752</v>
      </c>
      <c r="U394" s="9" t="s">
        <v>54</v>
      </c>
      <c r="V394" s="9" t="s">
        <v>55</v>
      </c>
      <c r="W394" s="9" t="s">
        <v>55</v>
      </c>
      <c r="X394" s="9" t="s">
        <v>319</v>
      </c>
      <c r="Y394" s="9" t="s">
        <v>320</v>
      </c>
      <c r="Z394" s="13"/>
    </row>
    <row r="395" spans="1:26" ht="32.25" hidden="1" customHeight="1">
      <c r="A395" s="8">
        <v>2304940</v>
      </c>
      <c r="B395" s="9" t="s">
        <v>1753</v>
      </c>
      <c r="C395" s="10">
        <v>45149</v>
      </c>
      <c r="D395" s="9" t="s">
        <v>57</v>
      </c>
      <c r="E395" s="9" t="s">
        <v>41</v>
      </c>
      <c r="F395" s="9" t="s">
        <v>42</v>
      </c>
      <c r="G395" s="9" t="s">
        <v>43</v>
      </c>
      <c r="H395" s="9" t="s">
        <v>58</v>
      </c>
      <c r="I395" s="11" t="s">
        <v>199</v>
      </c>
      <c r="J395" s="9" t="s">
        <v>200</v>
      </c>
      <c r="K395" s="9" t="s">
        <v>47</v>
      </c>
      <c r="L395" s="9" t="s">
        <v>156</v>
      </c>
      <c r="M395" s="9"/>
      <c r="N395" s="9" t="s">
        <v>84</v>
      </c>
      <c r="O395" s="9" t="s">
        <v>51</v>
      </c>
      <c r="P395" s="9"/>
      <c r="Q395" s="9"/>
      <c r="R395" s="9"/>
      <c r="S395" s="14" t="s">
        <v>1754</v>
      </c>
      <c r="T395" s="9" t="s">
        <v>1755</v>
      </c>
      <c r="U395" s="9" t="s">
        <v>54</v>
      </c>
      <c r="V395" s="9" t="s">
        <v>55</v>
      </c>
      <c r="W395" s="9" t="s">
        <v>55</v>
      </c>
      <c r="X395" s="12"/>
      <c r="Y395" s="9" t="s">
        <v>55</v>
      </c>
      <c r="Z395" s="13"/>
    </row>
    <row r="396" spans="1:26" ht="32.25" hidden="1" customHeight="1">
      <c r="A396" s="8">
        <v>2305429</v>
      </c>
      <c r="B396" s="9" t="s">
        <v>1756</v>
      </c>
      <c r="C396" s="10">
        <v>45149</v>
      </c>
      <c r="D396" s="9" t="s">
        <v>57</v>
      </c>
      <c r="E396" s="9" t="s">
        <v>295</v>
      </c>
      <c r="F396" s="9" t="s">
        <v>42</v>
      </c>
      <c r="G396" s="9" t="s">
        <v>43</v>
      </c>
      <c r="H396" s="9" t="s">
        <v>58</v>
      </c>
      <c r="I396" s="11" t="s">
        <v>406</v>
      </c>
      <c r="J396" s="9" t="s">
        <v>407</v>
      </c>
      <c r="K396" s="9" t="s">
        <v>47</v>
      </c>
      <c r="L396" s="9" t="s">
        <v>156</v>
      </c>
      <c r="M396" s="9"/>
      <c r="N396" s="9" t="s">
        <v>84</v>
      </c>
      <c r="O396" s="9" t="s">
        <v>51</v>
      </c>
      <c r="P396" s="9"/>
      <c r="Q396" s="9"/>
      <c r="R396" s="9"/>
      <c r="S396" s="14" t="s">
        <v>1757</v>
      </c>
      <c r="T396" s="9" t="s">
        <v>1758</v>
      </c>
      <c r="U396" s="9" t="s">
        <v>54</v>
      </c>
      <c r="V396" s="9" t="s">
        <v>55</v>
      </c>
      <c r="W396" s="9" t="s">
        <v>55</v>
      </c>
      <c r="X396" s="12"/>
      <c r="Y396" s="9" t="s">
        <v>55</v>
      </c>
      <c r="Z396" s="13"/>
    </row>
    <row r="397" spans="1:26" ht="32.25" hidden="1" customHeight="1">
      <c r="A397" s="8">
        <v>2304309</v>
      </c>
      <c r="B397" s="9" t="s">
        <v>1759</v>
      </c>
      <c r="C397" s="10">
        <v>45149</v>
      </c>
      <c r="D397" s="9" t="s">
        <v>57</v>
      </c>
      <c r="E397" s="9" t="s">
        <v>295</v>
      </c>
      <c r="F397" s="9" t="s">
        <v>42</v>
      </c>
      <c r="G397" s="9" t="s">
        <v>43</v>
      </c>
      <c r="H397" s="9" t="s">
        <v>58</v>
      </c>
      <c r="I397" s="11" t="s">
        <v>296</v>
      </c>
      <c r="J397" s="9" t="s">
        <v>297</v>
      </c>
      <c r="K397" s="9" t="s">
        <v>47</v>
      </c>
      <c r="L397" s="9" t="s">
        <v>1760</v>
      </c>
      <c r="M397" s="9" t="s">
        <v>1761</v>
      </c>
      <c r="N397" s="9" t="s">
        <v>84</v>
      </c>
      <c r="O397" s="9" t="s">
        <v>51</v>
      </c>
      <c r="P397" s="9"/>
      <c r="Q397" s="9"/>
      <c r="R397" s="9" t="s">
        <v>61</v>
      </c>
      <c r="S397" s="14" t="s">
        <v>1762</v>
      </c>
      <c r="T397" s="9" t="s">
        <v>1763</v>
      </c>
      <c r="U397" s="9" t="s">
        <v>54</v>
      </c>
      <c r="V397" s="9" t="s">
        <v>55</v>
      </c>
      <c r="W397" s="9" t="s">
        <v>55</v>
      </c>
      <c r="X397" s="9" t="s">
        <v>319</v>
      </c>
      <c r="Y397" s="9" t="s">
        <v>320</v>
      </c>
      <c r="Z397" s="13"/>
    </row>
    <row r="398" spans="1:26" ht="32.25" hidden="1" customHeight="1">
      <c r="A398" s="8">
        <v>2308569</v>
      </c>
      <c r="B398" s="9" t="s">
        <v>1764</v>
      </c>
      <c r="C398" s="10">
        <v>45149</v>
      </c>
      <c r="D398" s="9" t="s">
        <v>57</v>
      </c>
      <c r="E398" s="9" t="s">
        <v>295</v>
      </c>
      <c r="F398" s="9" t="s">
        <v>42</v>
      </c>
      <c r="G398" s="9" t="s">
        <v>43</v>
      </c>
      <c r="H398" s="9" t="s">
        <v>58</v>
      </c>
      <c r="I398" s="11" t="s">
        <v>406</v>
      </c>
      <c r="J398" s="9" t="s">
        <v>407</v>
      </c>
      <c r="K398" s="9" t="s">
        <v>47</v>
      </c>
      <c r="L398" s="9" t="s">
        <v>156</v>
      </c>
      <c r="M398" s="9"/>
      <c r="N398" s="9" t="s">
        <v>84</v>
      </c>
      <c r="O398" s="9" t="s">
        <v>51</v>
      </c>
      <c r="P398" s="9"/>
      <c r="Q398" s="9"/>
      <c r="R398" s="9"/>
      <c r="S398" s="14" t="s">
        <v>1765</v>
      </c>
      <c r="T398" s="9" t="s">
        <v>1766</v>
      </c>
      <c r="U398" s="9" t="s">
        <v>54</v>
      </c>
      <c r="V398" s="9" t="s">
        <v>55</v>
      </c>
      <c r="W398" s="9" t="s">
        <v>55</v>
      </c>
      <c r="X398" s="12"/>
      <c r="Y398" s="9" t="s">
        <v>55</v>
      </c>
      <c r="Z398" s="13"/>
    </row>
    <row r="399" spans="1:26" ht="32.25" hidden="1" customHeight="1">
      <c r="A399" s="8">
        <v>2309287</v>
      </c>
      <c r="B399" s="9" t="s">
        <v>1767</v>
      </c>
      <c r="C399" s="10">
        <v>45149</v>
      </c>
      <c r="D399" s="9" t="s">
        <v>261</v>
      </c>
      <c r="E399" s="9" t="s">
        <v>143</v>
      </c>
      <c r="F399" s="9" t="s">
        <v>262</v>
      </c>
      <c r="G399" s="9" t="s">
        <v>43</v>
      </c>
      <c r="H399" s="9" t="s">
        <v>44</v>
      </c>
      <c r="I399" s="11" t="s">
        <v>1291</v>
      </c>
      <c r="J399" s="9" t="s">
        <v>1292</v>
      </c>
      <c r="K399" s="9" t="s">
        <v>47</v>
      </c>
      <c r="L399" s="9" t="s">
        <v>174</v>
      </c>
      <c r="M399" s="9" t="s">
        <v>1768</v>
      </c>
      <c r="N399" s="9" t="s">
        <v>50</v>
      </c>
      <c r="O399" s="9" t="s">
        <v>51</v>
      </c>
      <c r="P399" s="9"/>
      <c r="Q399" s="9"/>
      <c r="R399" s="9" t="s">
        <v>61</v>
      </c>
      <c r="S399" s="14" t="s">
        <v>1769</v>
      </c>
      <c r="T399" s="9" t="s">
        <v>1770</v>
      </c>
      <c r="U399" s="9" t="s">
        <v>262</v>
      </c>
      <c r="V399" s="9" t="s">
        <v>251</v>
      </c>
      <c r="W399" s="9" t="s">
        <v>115</v>
      </c>
      <c r="X399" s="12" t="s">
        <v>171</v>
      </c>
      <c r="Y399" s="9" t="s">
        <v>172</v>
      </c>
      <c r="Z399" s="13" t="s">
        <v>1771</v>
      </c>
    </row>
    <row r="400" spans="1:26" ht="32.25" hidden="1" customHeight="1">
      <c r="A400" s="8">
        <v>2309958</v>
      </c>
      <c r="B400" s="9" t="s">
        <v>1772</v>
      </c>
      <c r="C400" s="10">
        <v>45149</v>
      </c>
      <c r="D400" s="9" t="s">
        <v>261</v>
      </c>
      <c r="E400" s="9" t="s">
        <v>89</v>
      </c>
      <c r="F400" s="9" t="s">
        <v>262</v>
      </c>
      <c r="G400" s="9" t="s">
        <v>43</v>
      </c>
      <c r="H400" s="9" t="s">
        <v>44</v>
      </c>
      <c r="I400" s="11" t="s">
        <v>1773</v>
      </c>
      <c r="J400" s="9" t="s">
        <v>1774</v>
      </c>
      <c r="K400" s="9" t="s">
        <v>47</v>
      </c>
      <c r="L400" s="9" t="s">
        <v>174</v>
      </c>
      <c r="M400" s="9" t="s">
        <v>1775</v>
      </c>
      <c r="N400" s="9" t="s">
        <v>84</v>
      </c>
      <c r="O400" s="9" t="s">
        <v>51</v>
      </c>
      <c r="P400" s="9"/>
      <c r="Q400" s="9"/>
      <c r="R400" s="9" t="s">
        <v>61</v>
      </c>
      <c r="S400" s="14" t="s">
        <v>1776</v>
      </c>
      <c r="T400" s="9" t="s">
        <v>1777</v>
      </c>
      <c r="U400" s="9" t="s">
        <v>262</v>
      </c>
      <c r="V400" s="9" t="s">
        <v>55</v>
      </c>
      <c r="W400" s="9" t="s">
        <v>115</v>
      </c>
      <c r="X400" s="12" t="s">
        <v>171</v>
      </c>
      <c r="Y400" s="9" t="s">
        <v>172</v>
      </c>
      <c r="Z400" s="13" t="s">
        <v>1778</v>
      </c>
    </row>
    <row r="401" spans="1:26" ht="32.25" hidden="1" customHeight="1">
      <c r="A401" s="8">
        <v>2302621</v>
      </c>
      <c r="B401" s="9" t="s">
        <v>1779</v>
      </c>
      <c r="C401" s="10">
        <v>45149</v>
      </c>
      <c r="D401" s="9" t="s">
        <v>57</v>
      </c>
      <c r="E401" s="9" t="s">
        <v>153</v>
      </c>
      <c r="F401" s="9" t="s">
        <v>42</v>
      </c>
      <c r="G401" s="9" t="s">
        <v>43</v>
      </c>
      <c r="H401" s="9" t="s">
        <v>58</v>
      </c>
      <c r="I401" s="11" t="s">
        <v>154</v>
      </c>
      <c r="J401" s="9" t="s">
        <v>155</v>
      </c>
      <c r="K401" s="9" t="s">
        <v>47</v>
      </c>
      <c r="L401" s="9" t="s">
        <v>180</v>
      </c>
      <c r="M401" s="9" t="s">
        <v>181</v>
      </c>
      <c r="N401" s="9" t="s">
        <v>84</v>
      </c>
      <c r="O401" s="9" t="s">
        <v>51</v>
      </c>
      <c r="P401" s="9"/>
      <c r="Q401" s="9"/>
      <c r="R401" s="9" t="s">
        <v>61</v>
      </c>
      <c r="S401" s="14" t="s">
        <v>1780</v>
      </c>
      <c r="T401" s="9" t="s">
        <v>1781</v>
      </c>
      <c r="U401" s="9" t="s">
        <v>54</v>
      </c>
      <c r="V401" s="9" t="s">
        <v>55</v>
      </c>
      <c r="W401" s="9" t="s">
        <v>55</v>
      </c>
      <c r="X401" s="12" t="s">
        <v>171</v>
      </c>
      <c r="Y401" s="9" t="s">
        <v>172</v>
      </c>
      <c r="Z401" s="13"/>
    </row>
    <row r="402" spans="1:26" ht="32.25" hidden="1" customHeight="1">
      <c r="A402" s="8">
        <v>2303219</v>
      </c>
      <c r="B402" s="9" t="s">
        <v>1782</v>
      </c>
      <c r="C402" s="10">
        <v>45156</v>
      </c>
      <c r="D402" s="9" t="s">
        <v>79</v>
      </c>
      <c r="E402" s="9" t="s">
        <v>89</v>
      </c>
      <c r="F402" s="9" t="s">
        <v>80</v>
      </c>
      <c r="G402" s="9" t="s">
        <v>43</v>
      </c>
      <c r="H402" s="9" t="s">
        <v>44</v>
      </c>
      <c r="I402" s="11" t="s">
        <v>365</v>
      </c>
      <c r="J402" s="9" t="s">
        <v>366</v>
      </c>
      <c r="K402" s="9" t="s">
        <v>47</v>
      </c>
      <c r="L402" s="9" t="s">
        <v>48</v>
      </c>
      <c r="M402" s="9" t="s">
        <v>726</v>
      </c>
      <c r="N402" s="9" t="s">
        <v>84</v>
      </c>
      <c r="O402" s="9" t="s">
        <v>51</v>
      </c>
      <c r="P402" s="9" t="s">
        <v>367</v>
      </c>
      <c r="Q402" s="9"/>
      <c r="R402" s="9" t="s">
        <v>61</v>
      </c>
      <c r="S402" s="14" t="s">
        <v>1783</v>
      </c>
      <c r="T402" s="9" t="s">
        <v>1784</v>
      </c>
      <c r="U402" s="9" t="s">
        <v>54</v>
      </c>
      <c r="V402" s="9" t="s">
        <v>897</v>
      </c>
      <c r="W402" s="9" t="s">
        <v>115</v>
      </c>
      <c r="X402" s="12" t="s">
        <v>389</v>
      </c>
      <c r="Y402" s="9" t="s">
        <v>390</v>
      </c>
      <c r="Z402" s="13" t="s">
        <v>1785</v>
      </c>
    </row>
    <row r="403" spans="1:26" ht="32.25" hidden="1" customHeight="1">
      <c r="A403" s="8">
        <v>2309818</v>
      </c>
      <c r="B403" s="9" t="s">
        <v>1786</v>
      </c>
      <c r="C403" s="10">
        <v>45142</v>
      </c>
      <c r="D403" s="9" t="s">
        <v>67</v>
      </c>
      <c r="E403" s="9" t="s">
        <v>143</v>
      </c>
      <c r="F403" s="9" t="s">
        <v>42</v>
      </c>
      <c r="G403" s="9" t="s">
        <v>43</v>
      </c>
      <c r="H403" s="9" t="s">
        <v>44</v>
      </c>
      <c r="I403" s="11" t="s">
        <v>219</v>
      </c>
      <c r="J403" s="9" t="s">
        <v>220</v>
      </c>
      <c r="K403" s="9" t="s">
        <v>47</v>
      </c>
      <c r="L403" s="9" t="s">
        <v>290</v>
      </c>
      <c r="M403" s="9" t="s">
        <v>1787</v>
      </c>
      <c r="N403" s="9" t="s">
        <v>50</v>
      </c>
      <c r="O403" s="9" t="s">
        <v>51</v>
      </c>
      <c r="P403" s="9"/>
      <c r="Q403" s="9"/>
      <c r="R403" s="9" t="s">
        <v>61</v>
      </c>
      <c r="S403" s="9" t="s">
        <v>1788</v>
      </c>
      <c r="T403" s="9" t="s">
        <v>1789</v>
      </c>
      <c r="U403" s="9" t="s">
        <v>54</v>
      </c>
      <c r="V403" s="9" t="s">
        <v>55</v>
      </c>
      <c r="W403" s="9" t="s">
        <v>55</v>
      </c>
      <c r="X403" s="12" t="s">
        <v>171</v>
      </c>
      <c r="Y403" s="9" t="s">
        <v>172</v>
      </c>
      <c r="Z403" s="13"/>
    </row>
    <row r="404" spans="1:26" ht="32.25" hidden="1" customHeight="1">
      <c r="A404" s="8">
        <v>2305085</v>
      </c>
      <c r="B404" s="9" t="s">
        <v>1790</v>
      </c>
      <c r="C404" s="10">
        <v>45149</v>
      </c>
      <c r="D404" s="9" t="s">
        <v>57</v>
      </c>
      <c r="E404" s="9" t="s">
        <v>41</v>
      </c>
      <c r="F404" s="9" t="s">
        <v>42</v>
      </c>
      <c r="G404" s="9" t="s">
        <v>43</v>
      </c>
      <c r="H404" s="9" t="s">
        <v>58</v>
      </c>
      <c r="I404" s="11" t="s">
        <v>45</v>
      </c>
      <c r="J404" s="9" t="s">
        <v>46</v>
      </c>
      <c r="K404" s="9" t="s">
        <v>47</v>
      </c>
      <c r="L404" s="9" t="s">
        <v>156</v>
      </c>
      <c r="M404" s="9"/>
      <c r="N404" s="9" t="s">
        <v>50</v>
      </c>
      <c r="O404" s="9" t="s">
        <v>51</v>
      </c>
      <c r="P404" s="9"/>
      <c r="Q404" s="9"/>
      <c r="R404" s="9"/>
      <c r="S404" s="14" t="s">
        <v>1791</v>
      </c>
      <c r="T404" s="9" t="s">
        <v>1792</v>
      </c>
      <c r="U404" s="9" t="s">
        <v>54</v>
      </c>
      <c r="V404" s="9" t="s">
        <v>55</v>
      </c>
      <c r="W404" s="9" t="s">
        <v>55</v>
      </c>
      <c r="X404" s="12"/>
      <c r="Y404" s="9" t="s">
        <v>55</v>
      </c>
      <c r="Z404" s="13"/>
    </row>
    <row r="405" spans="1:26" ht="32.25" hidden="1" customHeight="1">
      <c r="A405" s="8">
        <v>2302774</v>
      </c>
      <c r="B405" s="9" t="s">
        <v>1793</v>
      </c>
      <c r="C405" s="10">
        <v>45149</v>
      </c>
      <c r="D405" s="9" t="s">
        <v>57</v>
      </c>
      <c r="E405" s="9" t="s">
        <v>41</v>
      </c>
      <c r="F405" s="9" t="s">
        <v>42</v>
      </c>
      <c r="G405" s="9" t="s">
        <v>43</v>
      </c>
      <c r="H405" s="9" t="s">
        <v>58</v>
      </c>
      <c r="I405" s="11" t="s">
        <v>45</v>
      </c>
      <c r="J405" s="9" t="s">
        <v>46</v>
      </c>
      <c r="K405" s="9" t="s">
        <v>47</v>
      </c>
      <c r="L405" s="9" t="s">
        <v>1040</v>
      </c>
      <c r="M405" s="9" t="s">
        <v>1794</v>
      </c>
      <c r="N405" s="9" t="s">
        <v>84</v>
      </c>
      <c r="O405" s="9" t="s">
        <v>51</v>
      </c>
      <c r="P405" s="9"/>
      <c r="Q405" s="9"/>
      <c r="R405" s="9" t="s">
        <v>61</v>
      </c>
      <c r="S405" s="14" t="s">
        <v>1795</v>
      </c>
      <c r="T405" s="9" t="s">
        <v>1796</v>
      </c>
      <c r="U405" s="9" t="s">
        <v>54</v>
      </c>
      <c r="V405" s="9" t="s">
        <v>55</v>
      </c>
      <c r="W405" s="9" t="s">
        <v>55</v>
      </c>
      <c r="X405" s="9" t="s">
        <v>196</v>
      </c>
      <c r="Y405" s="9" t="s">
        <v>197</v>
      </c>
      <c r="Z405" s="13"/>
    </row>
    <row r="406" spans="1:26" ht="32.25" hidden="1" customHeight="1">
      <c r="A406" s="8">
        <v>2300768</v>
      </c>
      <c r="B406" s="9" t="s">
        <v>1797</v>
      </c>
      <c r="C406" s="10">
        <v>45142</v>
      </c>
      <c r="D406" s="9" t="s">
        <v>67</v>
      </c>
      <c r="E406" s="9" t="s">
        <v>68</v>
      </c>
      <c r="F406" s="9" t="s">
        <v>135</v>
      </c>
      <c r="G406" s="9" t="s">
        <v>43</v>
      </c>
      <c r="H406" s="9" t="s">
        <v>44</v>
      </c>
      <c r="I406" s="11" t="s">
        <v>136</v>
      </c>
      <c r="J406" s="9" t="s">
        <v>137</v>
      </c>
      <c r="K406" s="9" t="s">
        <v>416</v>
      </c>
      <c r="L406" s="9"/>
      <c r="M406" s="9" t="s">
        <v>814</v>
      </c>
      <c r="N406" s="9" t="s">
        <v>84</v>
      </c>
      <c r="O406" s="9" t="s">
        <v>51</v>
      </c>
      <c r="P406" s="9"/>
      <c r="Q406" s="9"/>
      <c r="R406" s="9" t="s">
        <v>61</v>
      </c>
      <c r="S406" s="9" t="s">
        <v>1798</v>
      </c>
      <c r="T406" s="9" t="s">
        <v>1799</v>
      </c>
      <c r="U406" s="9" t="s">
        <v>54</v>
      </c>
      <c r="V406" s="9" t="s">
        <v>55</v>
      </c>
      <c r="W406" s="9" t="s">
        <v>55</v>
      </c>
      <c r="X406" s="12" t="s">
        <v>76</v>
      </c>
      <c r="Y406" s="9" t="s">
        <v>77</v>
      </c>
      <c r="Z406" s="13"/>
    </row>
    <row r="407" spans="1:26" ht="32.25" hidden="1" customHeight="1">
      <c r="A407" s="8">
        <v>2300090</v>
      </c>
      <c r="B407" s="9" t="s">
        <v>1800</v>
      </c>
      <c r="C407" s="10">
        <v>45149</v>
      </c>
      <c r="D407" s="9" t="s">
        <v>261</v>
      </c>
      <c r="E407" s="9" t="s">
        <v>68</v>
      </c>
      <c r="F407" s="9" t="s">
        <v>262</v>
      </c>
      <c r="G407" s="9" t="s">
        <v>43</v>
      </c>
      <c r="H407" s="9" t="s">
        <v>44</v>
      </c>
      <c r="I407" s="11" t="s">
        <v>648</v>
      </c>
      <c r="J407" s="9" t="s">
        <v>649</v>
      </c>
      <c r="K407" s="9" t="s">
        <v>47</v>
      </c>
      <c r="L407" s="9" t="s">
        <v>1801</v>
      </c>
      <c r="M407" s="9" t="s">
        <v>1802</v>
      </c>
      <c r="N407" s="9" t="s">
        <v>50</v>
      </c>
      <c r="O407" s="9" t="s">
        <v>51</v>
      </c>
      <c r="P407" s="9"/>
      <c r="Q407" s="9"/>
      <c r="R407" s="9" t="s">
        <v>61</v>
      </c>
      <c r="S407" s="14" t="s">
        <v>1803</v>
      </c>
      <c r="T407" s="9" t="s">
        <v>1804</v>
      </c>
      <c r="U407" s="9" t="s">
        <v>262</v>
      </c>
      <c r="V407" s="9" t="s">
        <v>55</v>
      </c>
      <c r="W407" s="9" t="s">
        <v>115</v>
      </c>
      <c r="X407" s="12" t="s">
        <v>389</v>
      </c>
      <c r="Y407" s="9" t="s">
        <v>390</v>
      </c>
      <c r="Z407" s="13"/>
    </row>
    <row r="408" spans="1:26" ht="32.25" hidden="1" customHeight="1">
      <c r="A408" s="8">
        <v>2314030</v>
      </c>
      <c r="B408" s="9" t="s">
        <v>1805</v>
      </c>
      <c r="C408" s="10">
        <v>45156</v>
      </c>
      <c r="D408" s="9" t="s">
        <v>79</v>
      </c>
      <c r="E408" s="9" t="s">
        <v>41</v>
      </c>
      <c r="F408" s="9" t="s">
        <v>80</v>
      </c>
      <c r="G408" s="9" t="s">
        <v>43</v>
      </c>
      <c r="H408" s="9" t="s">
        <v>44</v>
      </c>
      <c r="I408" s="11" t="s">
        <v>81</v>
      </c>
      <c r="J408" s="9" t="s">
        <v>46</v>
      </c>
      <c r="K408" s="9" t="s">
        <v>47</v>
      </c>
      <c r="L408" s="9" t="s">
        <v>799</v>
      </c>
      <c r="M408" s="9" t="s">
        <v>1806</v>
      </c>
      <c r="N408" s="9" t="s">
        <v>84</v>
      </c>
      <c r="O408" s="9" t="s">
        <v>51</v>
      </c>
      <c r="P408" s="9" t="s">
        <v>1263</v>
      </c>
      <c r="Q408" s="9"/>
      <c r="R408" s="9"/>
      <c r="S408" s="14" t="s">
        <v>1807</v>
      </c>
      <c r="T408" s="9" t="s">
        <v>1808</v>
      </c>
      <c r="U408" s="9" t="s">
        <v>54</v>
      </c>
      <c r="V408" s="9" t="s">
        <v>55</v>
      </c>
      <c r="W408" s="9" t="s">
        <v>55</v>
      </c>
      <c r="X408" s="12"/>
      <c r="Y408" s="9" t="s">
        <v>55</v>
      </c>
      <c r="Z408" s="13"/>
    </row>
    <row r="409" spans="1:26" ht="32.25" hidden="1" customHeight="1">
      <c r="A409" s="8">
        <v>2309200</v>
      </c>
      <c r="B409" s="9" t="s">
        <v>1809</v>
      </c>
      <c r="C409" s="10">
        <v>45156</v>
      </c>
      <c r="D409" s="9" t="s">
        <v>79</v>
      </c>
      <c r="E409" s="9" t="s">
        <v>89</v>
      </c>
      <c r="F409" s="9" t="s">
        <v>80</v>
      </c>
      <c r="G409" s="9" t="s">
        <v>43</v>
      </c>
      <c r="H409" s="9" t="s">
        <v>44</v>
      </c>
      <c r="I409" s="11" t="s">
        <v>101</v>
      </c>
      <c r="J409" s="9" t="s">
        <v>102</v>
      </c>
      <c r="K409" s="9" t="s">
        <v>47</v>
      </c>
      <c r="L409" s="9" t="s">
        <v>1542</v>
      </c>
      <c r="M409" s="9" t="s">
        <v>1810</v>
      </c>
      <c r="N409" s="9" t="s">
        <v>50</v>
      </c>
      <c r="O409" s="9" t="s">
        <v>51</v>
      </c>
      <c r="P409" s="9" t="s">
        <v>104</v>
      </c>
      <c r="Q409" s="9"/>
      <c r="R409" s="9"/>
      <c r="S409" s="14" t="s">
        <v>1811</v>
      </c>
      <c r="T409" s="9" t="s">
        <v>1812</v>
      </c>
      <c r="U409" s="9" t="s">
        <v>54</v>
      </c>
      <c r="V409" s="9" t="s">
        <v>55</v>
      </c>
      <c r="W409" s="9" t="s">
        <v>55</v>
      </c>
      <c r="X409" s="12"/>
      <c r="Y409" s="9" t="s">
        <v>55</v>
      </c>
      <c r="Z409" s="13"/>
    </row>
    <row r="410" spans="1:26" ht="32.25" hidden="1" customHeight="1">
      <c r="A410" s="8">
        <v>2314264</v>
      </c>
      <c r="B410" s="9" t="s">
        <v>1813</v>
      </c>
      <c r="C410" s="10">
        <v>45156</v>
      </c>
      <c r="D410" s="9" t="s">
        <v>79</v>
      </c>
      <c r="E410" s="9" t="s">
        <v>68</v>
      </c>
      <c r="F410" s="9" t="s">
        <v>80</v>
      </c>
      <c r="G410" s="9" t="s">
        <v>43</v>
      </c>
      <c r="H410" s="9" t="s">
        <v>44</v>
      </c>
      <c r="I410" s="11" t="s">
        <v>117</v>
      </c>
      <c r="J410" s="9" t="s">
        <v>118</v>
      </c>
      <c r="K410" s="9" t="s">
        <v>47</v>
      </c>
      <c r="L410" s="9" t="s">
        <v>156</v>
      </c>
      <c r="M410" s="9"/>
      <c r="N410" s="9" t="s">
        <v>50</v>
      </c>
      <c r="O410" s="9" t="s">
        <v>51</v>
      </c>
      <c r="P410" s="9" t="s">
        <v>285</v>
      </c>
      <c r="Q410" s="9"/>
      <c r="R410" s="9"/>
      <c r="S410" s="14" t="s">
        <v>1814</v>
      </c>
      <c r="T410" s="9" t="s">
        <v>1815</v>
      </c>
      <c r="U410" s="9" t="s">
        <v>54</v>
      </c>
      <c r="V410" s="9" t="s">
        <v>55</v>
      </c>
      <c r="W410" s="9" t="s">
        <v>55</v>
      </c>
      <c r="X410" s="12"/>
      <c r="Y410" s="9" t="s">
        <v>55</v>
      </c>
      <c r="Z410" s="13"/>
    </row>
    <row r="411" spans="1:26" ht="32.25" hidden="1" customHeight="1">
      <c r="A411" s="8">
        <v>2303348</v>
      </c>
      <c r="B411" s="9" t="s">
        <v>1816</v>
      </c>
      <c r="C411" s="10">
        <v>45149</v>
      </c>
      <c r="D411" s="9" t="s">
        <v>57</v>
      </c>
      <c r="E411" s="9" t="s">
        <v>41</v>
      </c>
      <c r="F411" s="9" t="s">
        <v>42</v>
      </c>
      <c r="G411" s="9" t="s">
        <v>43</v>
      </c>
      <c r="H411" s="9" t="s">
        <v>58</v>
      </c>
      <c r="I411" s="11" t="s">
        <v>45</v>
      </c>
      <c r="J411" s="9" t="s">
        <v>46</v>
      </c>
      <c r="K411" s="9" t="s">
        <v>47</v>
      </c>
      <c r="L411" s="9" t="s">
        <v>156</v>
      </c>
      <c r="M411" s="9"/>
      <c r="N411" s="9" t="s">
        <v>50</v>
      </c>
      <c r="O411" s="9" t="s">
        <v>51</v>
      </c>
      <c r="P411" s="9"/>
      <c r="Q411" s="9"/>
      <c r="R411" s="9"/>
      <c r="S411" s="14" t="s">
        <v>1817</v>
      </c>
      <c r="T411" s="9" t="s">
        <v>1818</v>
      </c>
      <c r="U411" s="9" t="s">
        <v>54</v>
      </c>
      <c r="V411" s="9" t="s">
        <v>55</v>
      </c>
      <c r="W411" s="9" t="s">
        <v>55</v>
      </c>
      <c r="X411" s="12"/>
      <c r="Y411" s="9" t="s">
        <v>55</v>
      </c>
      <c r="Z411" s="13"/>
    </row>
    <row r="412" spans="1:26" ht="32.25" hidden="1" customHeight="1">
      <c r="A412" s="8">
        <v>2307217</v>
      </c>
      <c r="B412" s="9" t="s">
        <v>1819</v>
      </c>
      <c r="C412" s="10">
        <v>45149</v>
      </c>
      <c r="D412" s="9" t="s">
        <v>261</v>
      </c>
      <c r="E412" s="9" t="s">
        <v>89</v>
      </c>
      <c r="F412" s="9" t="s">
        <v>262</v>
      </c>
      <c r="G412" s="9" t="s">
        <v>43</v>
      </c>
      <c r="H412" s="9" t="s">
        <v>44</v>
      </c>
      <c r="I412" s="11" t="s">
        <v>685</v>
      </c>
      <c r="J412" s="9" t="s">
        <v>686</v>
      </c>
      <c r="K412" s="9" t="s">
        <v>47</v>
      </c>
      <c r="L412" s="9" t="s">
        <v>1227</v>
      </c>
      <c r="M412" s="9" t="s">
        <v>1820</v>
      </c>
      <c r="N412" s="9" t="s">
        <v>50</v>
      </c>
      <c r="O412" s="9" t="s">
        <v>51</v>
      </c>
      <c r="P412" s="9"/>
      <c r="Q412" s="9"/>
      <c r="R412" s="9" t="s">
        <v>61</v>
      </c>
      <c r="S412" s="14" t="s">
        <v>1821</v>
      </c>
      <c r="T412" s="9" t="s">
        <v>1822</v>
      </c>
      <c r="U412" s="9" t="s">
        <v>262</v>
      </c>
      <c r="V412" s="9" t="s">
        <v>711</v>
      </c>
      <c r="W412" s="9" t="s">
        <v>115</v>
      </c>
      <c r="X412" s="12" t="s">
        <v>389</v>
      </c>
      <c r="Y412" s="9" t="s">
        <v>390</v>
      </c>
      <c r="Z412" s="13"/>
    </row>
    <row r="413" spans="1:26" ht="32.25" hidden="1" customHeight="1">
      <c r="A413" s="8">
        <v>2313259</v>
      </c>
      <c r="B413" s="9" t="s">
        <v>1823</v>
      </c>
      <c r="C413" s="10">
        <v>45149</v>
      </c>
      <c r="D413" s="9" t="s">
        <v>57</v>
      </c>
      <c r="E413" s="9" t="s">
        <v>41</v>
      </c>
      <c r="F413" s="9" t="s">
        <v>42</v>
      </c>
      <c r="G413" s="9" t="s">
        <v>43</v>
      </c>
      <c r="H413" s="9" t="s">
        <v>58</v>
      </c>
      <c r="I413" s="11" t="s">
        <v>661</v>
      </c>
      <c r="J413" s="9" t="s">
        <v>662</v>
      </c>
      <c r="K413" s="9" t="s">
        <v>47</v>
      </c>
      <c r="L413" s="9" t="s">
        <v>48</v>
      </c>
      <c r="M413" s="9" t="s">
        <v>1824</v>
      </c>
      <c r="N413" s="9" t="s">
        <v>84</v>
      </c>
      <c r="O413" s="9" t="s">
        <v>51</v>
      </c>
      <c r="P413" s="9"/>
      <c r="Q413" s="9"/>
      <c r="R413" s="9" t="s">
        <v>61</v>
      </c>
      <c r="S413" s="14" t="s">
        <v>1825</v>
      </c>
      <c r="T413" s="9" t="s">
        <v>1826</v>
      </c>
      <c r="U413" s="9" t="s">
        <v>54</v>
      </c>
      <c r="V413" s="9" t="s">
        <v>55</v>
      </c>
      <c r="W413" s="9" t="s">
        <v>55</v>
      </c>
      <c r="X413" s="9" t="s">
        <v>64</v>
      </c>
      <c r="Y413" s="9" t="s">
        <v>65</v>
      </c>
      <c r="Z413" s="13"/>
    </row>
    <row r="414" spans="1:26" ht="32.25" hidden="1" customHeight="1">
      <c r="A414" s="8">
        <v>2311723</v>
      </c>
      <c r="B414" s="9" t="s">
        <v>1827</v>
      </c>
      <c r="C414" s="10">
        <v>45156</v>
      </c>
      <c r="D414" s="9" t="s">
        <v>79</v>
      </c>
      <c r="E414" s="9" t="s">
        <v>143</v>
      </c>
      <c r="F414" s="9" t="s">
        <v>80</v>
      </c>
      <c r="G414" s="9" t="s">
        <v>43</v>
      </c>
      <c r="H414" s="9" t="s">
        <v>44</v>
      </c>
      <c r="I414" s="11" t="s">
        <v>326</v>
      </c>
      <c r="J414" s="9" t="s">
        <v>327</v>
      </c>
      <c r="K414" s="9" t="s">
        <v>47</v>
      </c>
      <c r="L414" s="9" t="s">
        <v>156</v>
      </c>
      <c r="M414" s="9"/>
      <c r="N414" s="9" t="s">
        <v>84</v>
      </c>
      <c r="O414" s="9" t="s">
        <v>51</v>
      </c>
      <c r="P414" s="9" t="s">
        <v>1117</v>
      </c>
      <c r="Q414" s="9"/>
      <c r="R414" s="9"/>
      <c r="S414" s="14" t="s">
        <v>1828</v>
      </c>
      <c r="T414" s="9" t="s">
        <v>1829</v>
      </c>
      <c r="U414" s="9" t="s">
        <v>54</v>
      </c>
      <c r="V414" s="9" t="s">
        <v>55</v>
      </c>
      <c r="W414" s="9" t="s">
        <v>55</v>
      </c>
      <c r="X414" s="12"/>
      <c r="Y414" s="9" t="s">
        <v>55</v>
      </c>
      <c r="Z414" s="13"/>
    </row>
    <row r="415" spans="1:26" ht="32.25" hidden="1" customHeight="1">
      <c r="A415" s="8">
        <v>2307827</v>
      </c>
      <c r="B415" s="9" t="s">
        <v>1830</v>
      </c>
      <c r="C415" s="10">
        <v>45149</v>
      </c>
      <c r="D415" s="9" t="s">
        <v>57</v>
      </c>
      <c r="E415" s="9" t="s">
        <v>41</v>
      </c>
      <c r="F415" s="9" t="s">
        <v>42</v>
      </c>
      <c r="G415" s="9" t="s">
        <v>43</v>
      </c>
      <c r="H415" s="9" t="s">
        <v>58</v>
      </c>
      <c r="I415" s="11" t="s">
        <v>45</v>
      </c>
      <c r="J415" s="9" t="s">
        <v>46</v>
      </c>
      <c r="K415" s="9" t="s">
        <v>47</v>
      </c>
      <c r="L415" s="9" t="s">
        <v>1831</v>
      </c>
      <c r="M415" s="9" t="s">
        <v>1832</v>
      </c>
      <c r="N415" s="9" t="s">
        <v>84</v>
      </c>
      <c r="O415" s="9" t="s">
        <v>51</v>
      </c>
      <c r="P415" s="9"/>
      <c r="Q415" s="9"/>
      <c r="R415" s="9" t="s">
        <v>61</v>
      </c>
      <c r="S415" s="14" t="s">
        <v>1833</v>
      </c>
      <c r="T415" s="9" t="s">
        <v>1834</v>
      </c>
      <c r="U415" s="9" t="s">
        <v>54</v>
      </c>
      <c r="V415" s="9" t="s">
        <v>55</v>
      </c>
      <c r="W415" s="9" t="s">
        <v>55</v>
      </c>
      <c r="X415" s="9" t="s">
        <v>64</v>
      </c>
      <c r="Y415" s="9" t="s">
        <v>65</v>
      </c>
      <c r="Z415" s="13"/>
    </row>
    <row r="416" spans="1:26" ht="32.25" hidden="1" customHeight="1">
      <c r="A416" s="8">
        <v>2313466</v>
      </c>
      <c r="B416" s="9" t="s">
        <v>1835</v>
      </c>
      <c r="C416" s="10">
        <v>45156</v>
      </c>
      <c r="D416" s="9" t="s">
        <v>79</v>
      </c>
      <c r="E416" s="9" t="s">
        <v>41</v>
      </c>
      <c r="F416" s="9" t="s">
        <v>80</v>
      </c>
      <c r="G416" s="9" t="s">
        <v>43</v>
      </c>
      <c r="H416" s="9" t="s">
        <v>44</v>
      </c>
      <c r="I416" s="11" t="s">
        <v>233</v>
      </c>
      <c r="J416" s="9" t="s">
        <v>200</v>
      </c>
      <c r="K416" s="9" t="s">
        <v>47</v>
      </c>
      <c r="L416" s="9" t="s">
        <v>156</v>
      </c>
      <c r="M416" s="9"/>
      <c r="N416" s="9" t="s">
        <v>50</v>
      </c>
      <c r="O416" s="9" t="s">
        <v>51</v>
      </c>
      <c r="P416" s="9" t="s">
        <v>443</v>
      </c>
      <c r="Q416" s="9"/>
      <c r="R416" s="9"/>
      <c r="S416" s="14" t="s">
        <v>1836</v>
      </c>
      <c r="T416" s="9" t="s">
        <v>1837</v>
      </c>
      <c r="U416" s="9" t="s">
        <v>54</v>
      </c>
      <c r="V416" s="9" t="s">
        <v>55</v>
      </c>
      <c r="W416" s="9" t="s">
        <v>55</v>
      </c>
      <c r="X416" s="12"/>
      <c r="Y416" s="9" t="s">
        <v>55</v>
      </c>
      <c r="Z416" s="13"/>
    </row>
    <row r="417" spans="1:26" ht="32.25" hidden="1" customHeight="1">
      <c r="A417" s="8">
        <v>2310291</v>
      </c>
      <c r="B417" s="9" t="s">
        <v>1838</v>
      </c>
      <c r="C417" s="10">
        <v>45156</v>
      </c>
      <c r="D417" s="9" t="s">
        <v>79</v>
      </c>
      <c r="E417" s="9" t="s">
        <v>68</v>
      </c>
      <c r="F417" s="9" t="s">
        <v>80</v>
      </c>
      <c r="G417" s="9" t="s">
        <v>43</v>
      </c>
      <c r="H417" s="9" t="s">
        <v>44</v>
      </c>
      <c r="I417" s="11" t="s">
        <v>696</v>
      </c>
      <c r="J417" s="9" t="s">
        <v>70</v>
      </c>
      <c r="K417" s="9" t="s">
        <v>47</v>
      </c>
      <c r="L417" s="9" t="s">
        <v>1839</v>
      </c>
      <c r="M417" s="9" t="s">
        <v>1840</v>
      </c>
      <c r="N417" s="9" t="s">
        <v>50</v>
      </c>
      <c r="O417" s="9" t="s">
        <v>51</v>
      </c>
      <c r="P417" s="9" t="s">
        <v>1841</v>
      </c>
      <c r="Q417" s="9"/>
      <c r="R417" s="9" t="s">
        <v>61</v>
      </c>
      <c r="S417" s="14" t="s">
        <v>1842</v>
      </c>
      <c r="T417" s="9" t="s">
        <v>1843</v>
      </c>
      <c r="U417" s="9" t="s">
        <v>54</v>
      </c>
      <c r="V417" s="9" t="s">
        <v>55</v>
      </c>
      <c r="W417" s="9" t="s">
        <v>55</v>
      </c>
      <c r="X417" s="12" t="s">
        <v>196</v>
      </c>
      <c r="Y417" s="9" t="s">
        <v>197</v>
      </c>
      <c r="Z417" s="13"/>
    </row>
    <row r="418" spans="1:26" ht="32.25" hidden="1" customHeight="1">
      <c r="A418" s="8">
        <v>2315243</v>
      </c>
      <c r="B418" s="9" t="s">
        <v>1844</v>
      </c>
      <c r="C418" s="10">
        <v>45152</v>
      </c>
      <c r="D418" s="9" t="s">
        <v>639</v>
      </c>
      <c r="E418" s="9" t="s">
        <v>143</v>
      </c>
      <c r="F418" s="9" t="s">
        <v>80</v>
      </c>
      <c r="G418" s="9" t="s">
        <v>43</v>
      </c>
      <c r="H418" s="9" t="s">
        <v>44</v>
      </c>
      <c r="I418" s="11" t="s">
        <v>326</v>
      </c>
      <c r="J418" s="9" t="s">
        <v>327</v>
      </c>
      <c r="K418" s="9" t="s">
        <v>1845</v>
      </c>
      <c r="L418" s="9"/>
      <c r="M418" s="9" t="s">
        <v>1846</v>
      </c>
      <c r="N418" s="9" t="s">
        <v>84</v>
      </c>
      <c r="O418" s="9" t="s">
        <v>187</v>
      </c>
      <c r="P418" s="9" t="s">
        <v>522</v>
      </c>
      <c r="Q418" s="9"/>
      <c r="R418" s="9" t="s">
        <v>61</v>
      </c>
      <c r="S418" s="14" t="s">
        <v>1847</v>
      </c>
      <c r="T418" s="9" t="s">
        <v>1848</v>
      </c>
      <c r="U418" s="9" t="s">
        <v>54</v>
      </c>
      <c r="V418" s="9" t="s">
        <v>525</v>
      </c>
      <c r="W418" s="9" t="s">
        <v>55</v>
      </c>
      <c r="X418" s="12" t="s">
        <v>150</v>
      </c>
      <c r="Y418" s="9" t="s">
        <v>151</v>
      </c>
      <c r="Z418" s="13" t="s">
        <v>240</v>
      </c>
    </row>
    <row r="419" spans="1:26" ht="32.25" hidden="1" customHeight="1">
      <c r="A419" s="8">
        <v>2312754</v>
      </c>
      <c r="B419" s="9" t="s">
        <v>1849</v>
      </c>
      <c r="C419" s="10">
        <v>45142</v>
      </c>
      <c r="D419" s="9" t="s">
        <v>1850</v>
      </c>
      <c r="E419" s="9" t="s">
        <v>295</v>
      </c>
      <c r="F419" s="9" t="s">
        <v>42</v>
      </c>
      <c r="G419" s="9" t="s">
        <v>43</v>
      </c>
      <c r="H419" s="9" t="s">
        <v>44</v>
      </c>
      <c r="I419" s="11" t="s">
        <v>406</v>
      </c>
      <c r="J419" s="9" t="s">
        <v>407</v>
      </c>
      <c r="K419" s="9" t="s">
        <v>1851</v>
      </c>
      <c r="L419" s="9"/>
      <c r="M419" s="9"/>
      <c r="N419" s="9" t="s">
        <v>84</v>
      </c>
      <c r="O419" s="9" t="s">
        <v>187</v>
      </c>
      <c r="P419" s="9"/>
      <c r="Q419" s="9"/>
      <c r="R419" s="9" t="s">
        <v>61</v>
      </c>
      <c r="S419" s="9" t="s">
        <v>641</v>
      </c>
      <c r="T419" s="9" t="s">
        <v>1852</v>
      </c>
      <c r="U419" s="9" t="s">
        <v>54</v>
      </c>
      <c r="V419" s="9" t="s">
        <v>55</v>
      </c>
      <c r="W419" s="9" t="s">
        <v>55</v>
      </c>
      <c r="X419" s="12" t="s">
        <v>319</v>
      </c>
      <c r="Y419" s="9" t="s">
        <v>320</v>
      </c>
      <c r="Z419" s="13"/>
    </row>
    <row r="420" spans="1:26" ht="32.25" hidden="1" customHeight="1">
      <c r="A420" s="8">
        <v>2301955</v>
      </c>
      <c r="B420" s="9" t="s">
        <v>1853</v>
      </c>
      <c r="C420" s="10">
        <v>45149</v>
      </c>
      <c r="D420" s="9" t="s">
        <v>57</v>
      </c>
      <c r="E420" s="9" t="s">
        <v>41</v>
      </c>
      <c r="F420" s="9" t="s">
        <v>42</v>
      </c>
      <c r="G420" s="9" t="s">
        <v>43</v>
      </c>
      <c r="H420" s="9" t="s">
        <v>58</v>
      </c>
      <c r="I420" s="11" t="s">
        <v>45</v>
      </c>
      <c r="J420" s="9" t="s">
        <v>46</v>
      </c>
      <c r="K420" s="9" t="s">
        <v>47</v>
      </c>
      <c r="L420" s="9" t="s">
        <v>156</v>
      </c>
      <c r="M420" s="9"/>
      <c r="N420" s="9" t="s">
        <v>84</v>
      </c>
      <c r="O420" s="9" t="s">
        <v>51</v>
      </c>
      <c r="P420" s="9"/>
      <c r="Q420" s="9"/>
      <c r="R420" s="9"/>
      <c r="S420" s="14" t="s">
        <v>1854</v>
      </c>
      <c r="T420" s="9" t="s">
        <v>1855</v>
      </c>
      <c r="U420" s="9" t="s">
        <v>54</v>
      </c>
      <c r="V420" s="9" t="s">
        <v>55</v>
      </c>
      <c r="W420" s="9" t="s">
        <v>55</v>
      </c>
      <c r="X420" s="12"/>
      <c r="Y420" s="9" t="s">
        <v>55</v>
      </c>
      <c r="Z420" s="13"/>
    </row>
    <row r="421" spans="1:26" ht="32.25" hidden="1" customHeight="1">
      <c r="A421" s="8">
        <v>2302946</v>
      </c>
      <c r="B421" s="9" t="s">
        <v>1856</v>
      </c>
      <c r="C421" s="10">
        <v>45149</v>
      </c>
      <c r="D421" s="9" t="s">
        <v>57</v>
      </c>
      <c r="E421" s="9" t="s">
        <v>295</v>
      </c>
      <c r="F421" s="9" t="s">
        <v>42</v>
      </c>
      <c r="G421" s="9" t="s">
        <v>43</v>
      </c>
      <c r="H421" s="9" t="s">
        <v>58</v>
      </c>
      <c r="I421" s="11" t="s">
        <v>296</v>
      </c>
      <c r="J421" s="9" t="s">
        <v>297</v>
      </c>
      <c r="K421" s="9" t="s">
        <v>47</v>
      </c>
      <c r="L421" s="9" t="s">
        <v>586</v>
      </c>
      <c r="M421" s="9" t="s">
        <v>918</v>
      </c>
      <c r="N421" s="9" t="s">
        <v>84</v>
      </c>
      <c r="O421" s="9" t="s">
        <v>51</v>
      </c>
      <c r="P421" s="9"/>
      <c r="Q421" s="9"/>
      <c r="R421" s="9" t="s">
        <v>61</v>
      </c>
      <c r="S421" s="14" t="s">
        <v>1857</v>
      </c>
      <c r="T421" s="9" t="s">
        <v>1858</v>
      </c>
      <c r="U421" s="9" t="s">
        <v>54</v>
      </c>
      <c r="V421" s="9" t="s">
        <v>55</v>
      </c>
      <c r="W421" s="9" t="s">
        <v>55</v>
      </c>
      <c r="X421" s="9" t="s">
        <v>319</v>
      </c>
      <c r="Y421" s="9" t="s">
        <v>320</v>
      </c>
      <c r="Z421" s="13"/>
    </row>
    <row r="422" spans="1:26" ht="32.25" hidden="1" customHeight="1">
      <c r="A422" s="8">
        <v>2313918</v>
      </c>
      <c r="B422" s="9" t="s">
        <v>1859</v>
      </c>
      <c r="C422" s="10">
        <v>45156</v>
      </c>
      <c r="D422" s="9" t="s">
        <v>79</v>
      </c>
      <c r="E422" s="9" t="s">
        <v>41</v>
      </c>
      <c r="F422" s="9" t="s">
        <v>80</v>
      </c>
      <c r="G422" s="9" t="s">
        <v>43</v>
      </c>
      <c r="H422" s="9" t="s">
        <v>44</v>
      </c>
      <c r="I422" s="11" t="s">
        <v>478</v>
      </c>
      <c r="J422" s="9" t="s">
        <v>479</v>
      </c>
      <c r="K422" s="9" t="s">
        <v>47</v>
      </c>
      <c r="L422" s="9" t="s">
        <v>48</v>
      </c>
      <c r="M422" s="9"/>
      <c r="N422" s="9" t="s">
        <v>50</v>
      </c>
      <c r="O422" s="9" t="s">
        <v>51</v>
      </c>
      <c r="P422" s="9" t="s">
        <v>1414</v>
      </c>
      <c r="Q422" s="9"/>
      <c r="R422" s="9"/>
      <c r="S422" s="14" t="s">
        <v>1860</v>
      </c>
      <c r="T422" s="9" t="s">
        <v>1861</v>
      </c>
      <c r="U422" s="9" t="s">
        <v>54</v>
      </c>
      <c r="V422" s="9" t="s">
        <v>55</v>
      </c>
      <c r="W422" s="9" t="s">
        <v>55</v>
      </c>
      <c r="X422" s="12"/>
      <c r="Y422" s="9" t="s">
        <v>55</v>
      </c>
      <c r="Z422" s="13"/>
    </row>
    <row r="423" spans="1:26" ht="32.25" hidden="1" customHeight="1">
      <c r="A423" s="8">
        <v>2303258</v>
      </c>
      <c r="B423" s="9" t="s">
        <v>1862</v>
      </c>
      <c r="C423" s="10">
        <v>45142</v>
      </c>
      <c r="D423" s="9" t="s">
        <v>67</v>
      </c>
      <c r="E423" s="9" t="s">
        <v>41</v>
      </c>
      <c r="F423" s="9" t="s">
        <v>42</v>
      </c>
      <c r="G423" s="9" t="s">
        <v>43</v>
      </c>
      <c r="H423" s="9" t="s">
        <v>44</v>
      </c>
      <c r="I423" s="11" t="s">
        <v>129</v>
      </c>
      <c r="J423" s="9" t="s">
        <v>130</v>
      </c>
      <c r="K423" s="9" t="s">
        <v>47</v>
      </c>
      <c r="L423" s="9" t="s">
        <v>156</v>
      </c>
      <c r="M423" s="9" t="s">
        <v>157</v>
      </c>
      <c r="N423" s="9" t="s">
        <v>50</v>
      </c>
      <c r="O423" s="9" t="s">
        <v>51</v>
      </c>
      <c r="P423" s="9"/>
      <c r="Q423" s="9"/>
      <c r="R423" s="9"/>
      <c r="S423" s="9" t="s">
        <v>1863</v>
      </c>
      <c r="T423" s="9" t="s">
        <v>1864</v>
      </c>
      <c r="U423" s="9" t="s">
        <v>54</v>
      </c>
      <c r="V423" s="9" t="s">
        <v>55</v>
      </c>
      <c r="W423" s="9" t="s">
        <v>55</v>
      </c>
      <c r="X423" s="12"/>
      <c r="Y423" s="9" t="s">
        <v>55</v>
      </c>
      <c r="Z423" s="13"/>
    </row>
    <row r="424" spans="1:26" ht="32.25" hidden="1" customHeight="1">
      <c r="A424" s="8">
        <v>2302199</v>
      </c>
      <c r="B424" s="9" t="s">
        <v>1865</v>
      </c>
      <c r="C424" s="10">
        <v>45156</v>
      </c>
      <c r="D424" s="9" t="s">
        <v>565</v>
      </c>
      <c r="E424" s="9" t="s">
        <v>41</v>
      </c>
      <c r="F424" s="9" t="s">
        <v>42</v>
      </c>
      <c r="G424" s="9" t="s">
        <v>43</v>
      </c>
      <c r="H424" s="9" t="s">
        <v>58</v>
      </c>
      <c r="I424" s="11" t="s">
        <v>45</v>
      </c>
      <c r="J424" s="9" t="s">
        <v>46</v>
      </c>
      <c r="K424" s="9" t="s">
        <v>47</v>
      </c>
      <c r="L424" s="9" t="s">
        <v>48</v>
      </c>
      <c r="M424" s="9" t="s">
        <v>49</v>
      </c>
      <c r="N424" s="9" t="s">
        <v>50</v>
      </c>
      <c r="O424" s="9" t="s">
        <v>51</v>
      </c>
      <c r="P424" s="9"/>
      <c r="Q424" s="9"/>
      <c r="R424" s="9"/>
      <c r="S424" s="14" t="s">
        <v>1866</v>
      </c>
      <c r="T424" s="9" t="s">
        <v>1867</v>
      </c>
      <c r="U424" s="9" t="s">
        <v>54</v>
      </c>
      <c r="V424" s="9" t="s">
        <v>55</v>
      </c>
      <c r="W424" s="9" t="s">
        <v>55</v>
      </c>
      <c r="X424" s="12"/>
      <c r="Y424" s="9" t="s">
        <v>55</v>
      </c>
      <c r="Z424" s="13"/>
    </row>
    <row r="425" spans="1:26" ht="32.25" hidden="1" customHeight="1">
      <c r="A425" s="8">
        <v>2312752</v>
      </c>
      <c r="B425" s="9" t="s">
        <v>1868</v>
      </c>
      <c r="C425" s="10">
        <v>45136</v>
      </c>
      <c r="D425" s="9" t="s">
        <v>40</v>
      </c>
      <c r="E425" s="9" t="s">
        <v>41</v>
      </c>
      <c r="F425" s="9" t="s">
        <v>42</v>
      </c>
      <c r="G425" s="9" t="s">
        <v>43</v>
      </c>
      <c r="H425" s="9" t="s">
        <v>44</v>
      </c>
      <c r="I425" s="11" t="s">
        <v>661</v>
      </c>
      <c r="J425" s="9" t="s">
        <v>662</v>
      </c>
      <c r="K425" s="9" t="s">
        <v>47</v>
      </c>
      <c r="L425" s="9" t="s">
        <v>741</v>
      </c>
      <c r="M425" s="9" t="s">
        <v>742</v>
      </c>
      <c r="N425" s="9" t="s">
        <v>84</v>
      </c>
      <c r="O425" s="9" t="s">
        <v>51</v>
      </c>
      <c r="P425" s="9"/>
      <c r="Q425" s="9"/>
      <c r="R425" s="9" t="s">
        <v>61</v>
      </c>
      <c r="S425" s="9" t="s">
        <v>1869</v>
      </c>
      <c r="T425" s="9" t="s">
        <v>1870</v>
      </c>
      <c r="U425" s="9" t="s">
        <v>54</v>
      </c>
      <c r="V425" s="9" t="s">
        <v>55</v>
      </c>
      <c r="W425" s="9" t="s">
        <v>55</v>
      </c>
      <c r="X425" s="9" t="s">
        <v>64</v>
      </c>
      <c r="Y425" s="9" t="s">
        <v>65</v>
      </c>
      <c r="Z425" s="13"/>
    </row>
    <row r="426" spans="1:26" ht="32.25" hidden="1" customHeight="1">
      <c r="A426" s="8">
        <v>2309187</v>
      </c>
      <c r="B426" s="9" t="s">
        <v>1871</v>
      </c>
      <c r="C426" s="10">
        <v>45149</v>
      </c>
      <c r="D426" s="9" t="s">
        <v>57</v>
      </c>
      <c r="E426" s="9" t="s">
        <v>295</v>
      </c>
      <c r="F426" s="9" t="s">
        <v>42</v>
      </c>
      <c r="G426" s="9" t="s">
        <v>43</v>
      </c>
      <c r="H426" s="9" t="s">
        <v>58</v>
      </c>
      <c r="I426" s="11" t="s">
        <v>406</v>
      </c>
      <c r="J426" s="9" t="s">
        <v>407</v>
      </c>
      <c r="K426" s="9" t="s">
        <v>47</v>
      </c>
      <c r="L426" s="9" t="s">
        <v>48</v>
      </c>
      <c r="M426" s="9" t="s">
        <v>1872</v>
      </c>
      <c r="N426" s="9" t="s">
        <v>84</v>
      </c>
      <c r="O426" s="9" t="s">
        <v>51</v>
      </c>
      <c r="P426" s="9"/>
      <c r="Q426" s="9"/>
      <c r="R426" s="9"/>
      <c r="S426" s="14" t="s">
        <v>1873</v>
      </c>
      <c r="T426" s="9" t="s">
        <v>1874</v>
      </c>
      <c r="U426" s="9" t="s">
        <v>54</v>
      </c>
      <c r="V426" s="9" t="s">
        <v>55</v>
      </c>
      <c r="W426" s="9" t="s">
        <v>55</v>
      </c>
      <c r="X426" s="12"/>
      <c r="Y426" s="9" t="s">
        <v>55</v>
      </c>
      <c r="Z426" s="13"/>
    </row>
    <row r="427" spans="1:26" ht="32.25" hidden="1" customHeight="1">
      <c r="A427" s="8">
        <v>2313729</v>
      </c>
      <c r="B427" s="9" t="s">
        <v>1875</v>
      </c>
      <c r="C427" s="10">
        <v>45149</v>
      </c>
      <c r="D427" s="9" t="s">
        <v>57</v>
      </c>
      <c r="E427" s="9" t="s">
        <v>41</v>
      </c>
      <c r="F427" s="9" t="s">
        <v>42</v>
      </c>
      <c r="G427" s="9" t="s">
        <v>43</v>
      </c>
      <c r="H427" s="9" t="s">
        <v>58</v>
      </c>
      <c r="I427" s="11" t="s">
        <v>199</v>
      </c>
      <c r="J427" s="9" t="s">
        <v>200</v>
      </c>
      <c r="K427" s="9" t="s">
        <v>47</v>
      </c>
      <c r="L427" s="9" t="s">
        <v>156</v>
      </c>
      <c r="M427" s="9"/>
      <c r="N427" s="9" t="s">
        <v>84</v>
      </c>
      <c r="O427" s="9" t="s">
        <v>51</v>
      </c>
      <c r="P427" s="9"/>
      <c r="Q427" s="9"/>
      <c r="R427" s="9"/>
      <c r="S427" s="14" t="s">
        <v>1876</v>
      </c>
      <c r="T427" s="9" t="s">
        <v>1877</v>
      </c>
      <c r="U427" s="9" t="s">
        <v>54</v>
      </c>
      <c r="V427" s="9" t="s">
        <v>55</v>
      </c>
      <c r="W427" s="9" t="s">
        <v>55</v>
      </c>
      <c r="X427" s="12"/>
      <c r="Y427" s="9" t="s">
        <v>55</v>
      </c>
      <c r="Z427" s="13"/>
    </row>
    <row r="428" spans="1:26" ht="32.25" hidden="1" customHeight="1">
      <c r="A428" s="8">
        <v>2310800</v>
      </c>
      <c r="B428" s="9" t="s">
        <v>1878</v>
      </c>
      <c r="C428" s="10">
        <v>45136</v>
      </c>
      <c r="D428" s="9" t="s">
        <v>40</v>
      </c>
      <c r="E428" s="9" t="s">
        <v>41</v>
      </c>
      <c r="F428" s="9" t="s">
        <v>42</v>
      </c>
      <c r="G428" s="9" t="s">
        <v>43</v>
      </c>
      <c r="H428" s="9" t="s">
        <v>44</v>
      </c>
      <c r="I428" s="11" t="s">
        <v>199</v>
      </c>
      <c r="J428" s="9" t="s">
        <v>200</v>
      </c>
      <c r="K428" s="9" t="s">
        <v>47</v>
      </c>
      <c r="L428" s="9" t="s">
        <v>1040</v>
      </c>
      <c r="M428" s="9" t="s">
        <v>1041</v>
      </c>
      <c r="N428" s="9" t="s">
        <v>84</v>
      </c>
      <c r="O428" s="9" t="s">
        <v>51</v>
      </c>
      <c r="P428" s="9"/>
      <c r="Q428" s="9"/>
      <c r="R428" s="9" t="s">
        <v>61</v>
      </c>
      <c r="S428" s="9" t="s">
        <v>1879</v>
      </c>
      <c r="T428" s="9" t="s">
        <v>1880</v>
      </c>
      <c r="U428" s="9" t="s">
        <v>54</v>
      </c>
      <c r="V428" s="9" t="s">
        <v>55</v>
      </c>
      <c r="W428" s="9" t="s">
        <v>55</v>
      </c>
      <c r="X428" s="12" t="s">
        <v>196</v>
      </c>
      <c r="Y428" s="9" t="s">
        <v>197</v>
      </c>
      <c r="Z428" s="13"/>
    </row>
    <row r="429" spans="1:26" ht="32.25" hidden="1" customHeight="1">
      <c r="A429" s="8">
        <v>2308405</v>
      </c>
      <c r="B429" s="9" t="s">
        <v>1881</v>
      </c>
      <c r="C429" s="10">
        <v>45142</v>
      </c>
      <c r="D429" s="9" t="s">
        <v>67</v>
      </c>
      <c r="E429" s="9" t="s">
        <v>153</v>
      </c>
      <c r="F429" s="9" t="s">
        <v>42</v>
      </c>
      <c r="G429" s="9" t="s">
        <v>43</v>
      </c>
      <c r="H429" s="9" t="s">
        <v>44</v>
      </c>
      <c r="I429" s="11" t="s">
        <v>154</v>
      </c>
      <c r="J429" s="9" t="s">
        <v>155</v>
      </c>
      <c r="K429" s="9" t="s">
        <v>47</v>
      </c>
      <c r="L429" s="9" t="s">
        <v>437</v>
      </c>
      <c r="M429" s="9" t="s">
        <v>1882</v>
      </c>
      <c r="N429" s="9" t="s">
        <v>84</v>
      </c>
      <c r="O429" s="9" t="s">
        <v>51</v>
      </c>
      <c r="P429" s="9"/>
      <c r="Q429" s="9"/>
      <c r="R429" s="9" t="s">
        <v>61</v>
      </c>
      <c r="S429" s="9" t="s">
        <v>1883</v>
      </c>
      <c r="T429" s="9" t="s">
        <v>1884</v>
      </c>
      <c r="U429" s="9" t="s">
        <v>54</v>
      </c>
      <c r="V429" s="9" t="s">
        <v>55</v>
      </c>
      <c r="W429" s="9" t="s">
        <v>55</v>
      </c>
      <c r="X429" s="12" t="s">
        <v>171</v>
      </c>
      <c r="Y429" s="9" t="s">
        <v>172</v>
      </c>
      <c r="Z429" s="13"/>
    </row>
    <row r="430" spans="1:26" ht="32.25" hidden="1" customHeight="1">
      <c r="A430" s="8">
        <v>2302149</v>
      </c>
      <c r="B430" s="9" t="s">
        <v>1885</v>
      </c>
      <c r="C430" s="10">
        <v>45156</v>
      </c>
      <c r="D430" s="9" t="s">
        <v>79</v>
      </c>
      <c r="E430" s="9" t="s">
        <v>89</v>
      </c>
      <c r="F430" s="9" t="s">
        <v>80</v>
      </c>
      <c r="G430" s="9" t="s">
        <v>43</v>
      </c>
      <c r="H430" s="9" t="s">
        <v>44</v>
      </c>
      <c r="I430" s="11" t="s">
        <v>101</v>
      </c>
      <c r="J430" s="9" t="s">
        <v>102</v>
      </c>
      <c r="K430" s="9" t="s">
        <v>47</v>
      </c>
      <c r="L430" s="9" t="s">
        <v>713</v>
      </c>
      <c r="M430" s="9" t="s">
        <v>714</v>
      </c>
      <c r="N430" s="9" t="s">
        <v>50</v>
      </c>
      <c r="O430" s="9" t="s">
        <v>51</v>
      </c>
      <c r="P430" s="9" t="s">
        <v>447</v>
      </c>
      <c r="Q430" s="9"/>
      <c r="R430" s="9" t="s">
        <v>61</v>
      </c>
      <c r="S430" s="14" t="s">
        <v>1886</v>
      </c>
      <c r="T430" s="9" t="s">
        <v>1887</v>
      </c>
      <c r="U430" s="9" t="s">
        <v>54</v>
      </c>
      <c r="V430" s="9" t="s">
        <v>55</v>
      </c>
      <c r="W430" s="9" t="s">
        <v>55</v>
      </c>
      <c r="X430" s="12" t="s">
        <v>98</v>
      </c>
      <c r="Y430" s="9" t="s">
        <v>99</v>
      </c>
      <c r="Z430" s="13"/>
    </row>
    <row r="431" spans="1:26" ht="32.25" hidden="1" customHeight="1">
      <c r="A431" s="8">
        <v>2302150</v>
      </c>
      <c r="B431" s="9" t="s">
        <v>1888</v>
      </c>
      <c r="C431" s="10">
        <v>45149</v>
      </c>
      <c r="D431" s="9" t="s">
        <v>261</v>
      </c>
      <c r="E431" s="9" t="s">
        <v>89</v>
      </c>
      <c r="F431" s="9" t="s">
        <v>262</v>
      </c>
      <c r="G431" s="9" t="s">
        <v>43</v>
      </c>
      <c r="H431" s="9" t="s">
        <v>44</v>
      </c>
      <c r="I431" s="11" t="s">
        <v>1889</v>
      </c>
      <c r="J431" s="9" t="s">
        <v>1890</v>
      </c>
      <c r="K431" s="9" t="s">
        <v>47</v>
      </c>
      <c r="L431" s="9" t="s">
        <v>713</v>
      </c>
      <c r="M431" s="9" t="s">
        <v>1891</v>
      </c>
      <c r="N431" s="9" t="s">
        <v>84</v>
      </c>
      <c r="O431" s="9" t="s">
        <v>51</v>
      </c>
      <c r="P431" s="9"/>
      <c r="Q431" s="9"/>
      <c r="R431" s="9" t="s">
        <v>61</v>
      </c>
      <c r="S431" s="14" t="s">
        <v>1892</v>
      </c>
      <c r="T431" s="9" t="s">
        <v>1893</v>
      </c>
      <c r="U431" s="9" t="s">
        <v>262</v>
      </c>
      <c r="V431" s="9" t="s">
        <v>55</v>
      </c>
      <c r="W431" s="9" t="s">
        <v>55</v>
      </c>
      <c r="X431" s="12" t="s">
        <v>389</v>
      </c>
      <c r="Y431" s="9" t="s">
        <v>390</v>
      </c>
      <c r="Z431" s="13"/>
    </row>
    <row r="432" spans="1:26" ht="32.25" hidden="1" customHeight="1">
      <c r="A432" s="8">
        <v>2305734</v>
      </c>
      <c r="B432" s="9" t="s">
        <v>1894</v>
      </c>
      <c r="C432" s="10">
        <v>45156</v>
      </c>
      <c r="D432" s="9" t="s">
        <v>565</v>
      </c>
      <c r="E432" s="9" t="s">
        <v>295</v>
      </c>
      <c r="F432" s="9" t="s">
        <v>42</v>
      </c>
      <c r="G432" s="9" t="s">
        <v>43</v>
      </c>
      <c r="H432" s="9" t="s">
        <v>58</v>
      </c>
      <c r="I432" s="11" t="s">
        <v>296</v>
      </c>
      <c r="J432" s="9" t="s">
        <v>297</v>
      </c>
      <c r="K432" s="9" t="s">
        <v>47</v>
      </c>
      <c r="L432" s="9" t="s">
        <v>156</v>
      </c>
      <c r="M432" s="9"/>
      <c r="N432" s="9" t="s">
        <v>50</v>
      </c>
      <c r="O432" s="9" t="s">
        <v>51</v>
      </c>
      <c r="P432" s="9"/>
      <c r="Q432" s="9"/>
      <c r="R432" s="9"/>
      <c r="S432" s="14" t="s">
        <v>1895</v>
      </c>
      <c r="T432" s="9" t="s">
        <v>1896</v>
      </c>
      <c r="U432" s="9" t="s">
        <v>54</v>
      </c>
      <c r="V432" s="9" t="s">
        <v>55</v>
      </c>
      <c r="W432" s="9" t="s">
        <v>55</v>
      </c>
      <c r="X432" s="12"/>
      <c r="Y432" s="9" t="s">
        <v>55</v>
      </c>
      <c r="Z432" s="13"/>
    </row>
    <row r="433" spans="1:26" ht="32.25" hidden="1" customHeight="1">
      <c r="A433" s="8">
        <v>2311776</v>
      </c>
      <c r="B433" s="9" t="s">
        <v>1897</v>
      </c>
      <c r="C433" s="10">
        <v>45156</v>
      </c>
      <c r="D433" s="9" t="s">
        <v>79</v>
      </c>
      <c r="E433" s="9" t="s">
        <v>68</v>
      </c>
      <c r="F433" s="9" t="s">
        <v>80</v>
      </c>
      <c r="G433" s="9" t="s">
        <v>43</v>
      </c>
      <c r="H433" s="9" t="s">
        <v>44</v>
      </c>
      <c r="I433" s="11" t="s">
        <v>696</v>
      </c>
      <c r="J433" s="9" t="s">
        <v>70</v>
      </c>
      <c r="K433" s="9" t="s">
        <v>47</v>
      </c>
      <c r="L433" s="9" t="s">
        <v>156</v>
      </c>
      <c r="M433" s="9"/>
      <c r="N433" s="9" t="s">
        <v>50</v>
      </c>
      <c r="O433" s="9" t="s">
        <v>51</v>
      </c>
      <c r="P433" s="9" t="s">
        <v>698</v>
      </c>
      <c r="Q433" s="9"/>
      <c r="R433" s="9"/>
      <c r="S433" s="14" t="s">
        <v>1898</v>
      </c>
      <c r="T433" s="9" t="s">
        <v>1899</v>
      </c>
      <c r="U433" s="9" t="s">
        <v>54</v>
      </c>
      <c r="V433" s="9"/>
      <c r="W433" s="9" t="s">
        <v>115</v>
      </c>
      <c r="X433" s="12"/>
      <c r="Y433" s="9" t="s">
        <v>55</v>
      </c>
      <c r="Z433" s="13"/>
    </row>
    <row r="434" spans="1:26" ht="32.25" hidden="1" customHeight="1">
      <c r="A434" s="8">
        <v>2313914</v>
      </c>
      <c r="B434" s="9" t="s">
        <v>1900</v>
      </c>
      <c r="C434" s="10">
        <v>45156</v>
      </c>
      <c r="D434" s="9" t="s">
        <v>79</v>
      </c>
      <c r="E434" s="9" t="s">
        <v>143</v>
      </c>
      <c r="F434" s="9" t="s">
        <v>80</v>
      </c>
      <c r="G434" s="9" t="s">
        <v>43</v>
      </c>
      <c r="H434" s="9" t="s">
        <v>44</v>
      </c>
      <c r="I434" s="11" t="s">
        <v>326</v>
      </c>
      <c r="J434" s="9" t="s">
        <v>327</v>
      </c>
      <c r="K434" s="9" t="s">
        <v>47</v>
      </c>
      <c r="L434" s="9" t="s">
        <v>156</v>
      </c>
      <c r="M434" s="9"/>
      <c r="N434" s="9" t="s">
        <v>84</v>
      </c>
      <c r="O434" s="9" t="s">
        <v>51</v>
      </c>
      <c r="P434" s="9" t="s">
        <v>1238</v>
      </c>
      <c r="Q434" s="9"/>
      <c r="R434" s="9"/>
      <c r="S434" s="14" t="s">
        <v>1901</v>
      </c>
      <c r="T434" s="9" t="s">
        <v>1902</v>
      </c>
      <c r="U434" s="9" t="s">
        <v>54</v>
      </c>
      <c r="V434" s="9" t="s">
        <v>55</v>
      </c>
      <c r="W434" s="9" t="s">
        <v>55</v>
      </c>
      <c r="X434" s="12"/>
      <c r="Y434" s="9" t="s">
        <v>55</v>
      </c>
      <c r="Z434" s="13"/>
    </row>
    <row r="435" spans="1:26" ht="32.25" hidden="1" customHeight="1">
      <c r="A435" s="8">
        <v>2302535</v>
      </c>
      <c r="B435" s="9" t="s">
        <v>1903</v>
      </c>
      <c r="C435" s="10">
        <v>45156</v>
      </c>
      <c r="D435" s="9" t="s">
        <v>79</v>
      </c>
      <c r="E435" s="9" t="s">
        <v>89</v>
      </c>
      <c r="F435" s="9" t="s">
        <v>80</v>
      </c>
      <c r="G435" s="9" t="s">
        <v>43</v>
      </c>
      <c r="H435" s="9" t="s">
        <v>44</v>
      </c>
      <c r="I435" s="11" t="s">
        <v>101</v>
      </c>
      <c r="J435" s="9" t="s">
        <v>102</v>
      </c>
      <c r="K435" s="9" t="s">
        <v>47</v>
      </c>
      <c r="L435" s="9" t="s">
        <v>310</v>
      </c>
      <c r="M435" s="9" t="s">
        <v>311</v>
      </c>
      <c r="N435" s="9" t="s">
        <v>84</v>
      </c>
      <c r="O435" s="9" t="s">
        <v>51</v>
      </c>
      <c r="P435" s="9" t="s">
        <v>104</v>
      </c>
      <c r="Q435" s="9"/>
      <c r="R435" s="9" t="s">
        <v>61</v>
      </c>
      <c r="S435" s="14" t="s">
        <v>1904</v>
      </c>
      <c r="T435" s="9" t="s">
        <v>1905</v>
      </c>
      <c r="U435" s="9" t="s">
        <v>54</v>
      </c>
      <c r="V435" s="9" t="s">
        <v>318</v>
      </c>
      <c r="W435" s="9" t="s">
        <v>115</v>
      </c>
      <c r="X435" s="12" t="s">
        <v>319</v>
      </c>
      <c r="Y435" s="9" t="s">
        <v>320</v>
      </c>
      <c r="Z435" s="13"/>
    </row>
    <row r="436" spans="1:26" ht="32.25" hidden="1" customHeight="1">
      <c r="A436" s="8">
        <v>2302366</v>
      </c>
      <c r="B436" s="9" t="s">
        <v>1906</v>
      </c>
      <c r="C436" s="10">
        <v>45156</v>
      </c>
      <c r="D436" s="9" t="s">
        <v>79</v>
      </c>
      <c r="E436" s="9" t="s">
        <v>89</v>
      </c>
      <c r="F436" s="9" t="s">
        <v>80</v>
      </c>
      <c r="G436" s="9" t="s">
        <v>43</v>
      </c>
      <c r="H436" s="9" t="s">
        <v>44</v>
      </c>
      <c r="I436" s="11" t="s">
        <v>101</v>
      </c>
      <c r="J436" s="9" t="s">
        <v>102</v>
      </c>
      <c r="K436" s="9" t="s">
        <v>416</v>
      </c>
      <c r="L436" s="9"/>
      <c r="M436" s="9"/>
      <c r="N436" s="9" t="s">
        <v>50</v>
      </c>
      <c r="O436" s="9" t="s">
        <v>51</v>
      </c>
      <c r="P436" s="9" t="s">
        <v>1907</v>
      </c>
      <c r="Q436" s="9"/>
      <c r="R436" s="9" t="s">
        <v>61</v>
      </c>
      <c r="S436" s="14" t="s">
        <v>1908</v>
      </c>
      <c r="T436" s="9" t="s">
        <v>1909</v>
      </c>
      <c r="U436" s="9" t="s">
        <v>54</v>
      </c>
      <c r="V436" s="9" t="s">
        <v>711</v>
      </c>
      <c r="W436" s="9" t="s">
        <v>115</v>
      </c>
      <c r="X436" s="12" t="s">
        <v>98</v>
      </c>
      <c r="Y436" s="9" t="s">
        <v>99</v>
      </c>
      <c r="Z436" s="13"/>
    </row>
    <row r="437" spans="1:26" ht="32.25" hidden="1" customHeight="1">
      <c r="A437" s="8">
        <v>2312183</v>
      </c>
      <c r="B437" s="9" t="s">
        <v>1910</v>
      </c>
      <c r="C437" s="10">
        <v>45149</v>
      </c>
      <c r="D437" s="9" t="s">
        <v>57</v>
      </c>
      <c r="E437" s="9" t="s">
        <v>153</v>
      </c>
      <c r="F437" s="9" t="s">
        <v>42</v>
      </c>
      <c r="G437" s="9" t="s">
        <v>43</v>
      </c>
      <c r="H437" s="9" t="s">
        <v>58</v>
      </c>
      <c r="I437" s="11" t="s">
        <v>154</v>
      </c>
      <c r="J437" s="9" t="s">
        <v>155</v>
      </c>
      <c r="K437" s="9" t="s">
        <v>47</v>
      </c>
      <c r="L437" s="9" t="s">
        <v>156</v>
      </c>
      <c r="M437" s="9"/>
      <c r="N437" s="9" t="s">
        <v>50</v>
      </c>
      <c r="O437" s="9" t="s">
        <v>51</v>
      </c>
      <c r="P437" s="9"/>
      <c r="Q437" s="9"/>
      <c r="R437" s="9"/>
      <c r="S437" s="14" t="s">
        <v>1911</v>
      </c>
      <c r="T437" s="9" t="s">
        <v>1912</v>
      </c>
      <c r="U437" s="9" t="s">
        <v>54</v>
      </c>
      <c r="V437" s="9" t="s">
        <v>55</v>
      </c>
      <c r="W437" s="9" t="s">
        <v>55</v>
      </c>
      <c r="X437" s="12"/>
      <c r="Y437" s="9" t="s">
        <v>55</v>
      </c>
      <c r="Z437" s="13"/>
    </row>
    <row r="438" spans="1:26" ht="32.25" hidden="1" customHeight="1">
      <c r="A438" s="8">
        <v>2310379</v>
      </c>
      <c r="B438" s="9" t="s">
        <v>1913</v>
      </c>
      <c r="C438" s="10">
        <v>45156</v>
      </c>
      <c r="D438" s="9" t="s">
        <v>79</v>
      </c>
      <c r="E438" s="9" t="s">
        <v>41</v>
      </c>
      <c r="F438" s="9" t="s">
        <v>80</v>
      </c>
      <c r="G438" s="9" t="s">
        <v>43</v>
      </c>
      <c r="H438" s="9" t="s">
        <v>44</v>
      </c>
      <c r="I438" s="11" t="s">
        <v>478</v>
      </c>
      <c r="J438" s="9" t="s">
        <v>479</v>
      </c>
      <c r="K438" s="9" t="s">
        <v>47</v>
      </c>
      <c r="L438" s="9" t="s">
        <v>777</v>
      </c>
      <c r="M438" s="9"/>
      <c r="N438" s="9" t="s">
        <v>84</v>
      </c>
      <c r="O438" s="9" t="s">
        <v>51</v>
      </c>
      <c r="P438" s="9" t="s">
        <v>1414</v>
      </c>
      <c r="Q438" s="9"/>
      <c r="R438" s="9" t="s">
        <v>61</v>
      </c>
      <c r="S438" s="14" t="s">
        <v>1914</v>
      </c>
      <c r="T438" s="9" t="s">
        <v>1915</v>
      </c>
      <c r="U438" s="9" t="s">
        <v>54</v>
      </c>
      <c r="V438" s="9" t="s">
        <v>1916</v>
      </c>
      <c r="W438" s="9" t="s">
        <v>115</v>
      </c>
      <c r="X438" s="12" t="s">
        <v>389</v>
      </c>
      <c r="Y438" s="9" t="s">
        <v>390</v>
      </c>
      <c r="Z438" s="13" t="s">
        <v>240</v>
      </c>
    </row>
    <row r="439" spans="1:26" ht="32.25" hidden="1" customHeight="1">
      <c r="A439" s="8">
        <v>2307603</v>
      </c>
      <c r="B439" s="9" t="s">
        <v>1917</v>
      </c>
      <c r="C439" s="10">
        <v>45142</v>
      </c>
      <c r="D439" s="9" t="s">
        <v>67</v>
      </c>
      <c r="E439" s="9" t="s">
        <v>89</v>
      </c>
      <c r="F439" s="9" t="s">
        <v>42</v>
      </c>
      <c r="G439" s="9" t="s">
        <v>43</v>
      </c>
      <c r="H439" s="9" t="s">
        <v>44</v>
      </c>
      <c r="I439" s="11" t="s">
        <v>354</v>
      </c>
      <c r="J439" s="9" t="s">
        <v>91</v>
      </c>
      <c r="K439" s="9" t="s">
        <v>47</v>
      </c>
      <c r="L439" s="9" t="s">
        <v>799</v>
      </c>
      <c r="M439" s="9" t="s">
        <v>1490</v>
      </c>
      <c r="N439" s="9" t="s">
        <v>84</v>
      </c>
      <c r="O439" s="9" t="s">
        <v>51</v>
      </c>
      <c r="P439" s="9" t="s">
        <v>356</v>
      </c>
      <c r="Q439" s="9"/>
      <c r="R439" s="9" t="s">
        <v>61</v>
      </c>
      <c r="S439" s="9" t="s">
        <v>1918</v>
      </c>
      <c r="T439" s="9" t="s">
        <v>1919</v>
      </c>
      <c r="U439" s="9" t="s">
        <v>54</v>
      </c>
      <c r="V439" s="9" t="s">
        <v>55</v>
      </c>
      <c r="W439" s="9" t="s">
        <v>55</v>
      </c>
      <c r="X439" s="12" t="s">
        <v>98</v>
      </c>
      <c r="Y439" s="9" t="s">
        <v>99</v>
      </c>
      <c r="Z439" s="13"/>
    </row>
    <row r="440" spans="1:26" ht="32.25" hidden="1" customHeight="1">
      <c r="A440" s="8">
        <v>2308686</v>
      </c>
      <c r="B440" s="9" t="s">
        <v>1920</v>
      </c>
      <c r="C440" s="10">
        <v>45142</v>
      </c>
      <c r="D440" s="9" t="s">
        <v>67</v>
      </c>
      <c r="E440" s="9" t="s">
        <v>143</v>
      </c>
      <c r="F440" s="9" t="s">
        <v>42</v>
      </c>
      <c r="G440" s="9" t="s">
        <v>43</v>
      </c>
      <c r="H440" s="9" t="s">
        <v>44</v>
      </c>
      <c r="I440" s="11" t="s">
        <v>334</v>
      </c>
      <c r="J440" s="9" t="s">
        <v>327</v>
      </c>
      <c r="K440" s="9" t="s">
        <v>47</v>
      </c>
      <c r="L440" s="9" t="s">
        <v>1542</v>
      </c>
      <c r="M440" s="9" t="s">
        <v>1543</v>
      </c>
      <c r="N440" s="9" t="s">
        <v>84</v>
      </c>
      <c r="O440" s="9" t="s">
        <v>51</v>
      </c>
      <c r="P440" s="9" t="s">
        <v>336</v>
      </c>
      <c r="Q440" s="9"/>
      <c r="R440" s="9" t="s">
        <v>61</v>
      </c>
      <c r="S440" s="9" t="s">
        <v>1921</v>
      </c>
      <c r="T440" s="9" t="s">
        <v>1922</v>
      </c>
      <c r="U440" s="9" t="s">
        <v>54</v>
      </c>
      <c r="V440" s="9" t="s">
        <v>55</v>
      </c>
      <c r="W440" s="9" t="s">
        <v>55</v>
      </c>
      <c r="X440" s="12" t="s">
        <v>150</v>
      </c>
      <c r="Y440" s="9" t="s">
        <v>151</v>
      </c>
      <c r="Z440" s="13"/>
    </row>
    <row r="441" spans="1:26" ht="32.25" hidden="1" customHeight="1">
      <c r="A441" s="8">
        <v>2315363</v>
      </c>
      <c r="B441" s="9" t="s">
        <v>1923</v>
      </c>
      <c r="C441" s="10">
        <v>45149</v>
      </c>
      <c r="D441" s="9" t="s">
        <v>57</v>
      </c>
      <c r="E441" s="9" t="s">
        <v>153</v>
      </c>
      <c r="F441" s="9" t="s">
        <v>42</v>
      </c>
      <c r="G441" s="9" t="s">
        <v>43</v>
      </c>
      <c r="H441" s="9" t="s">
        <v>58</v>
      </c>
      <c r="I441" s="11" t="s">
        <v>154</v>
      </c>
      <c r="J441" s="9" t="s">
        <v>155</v>
      </c>
      <c r="K441" s="9" t="s">
        <v>47</v>
      </c>
      <c r="L441" s="9" t="s">
        <v>1924</v>
      </c>
      <c r="M441" s="9" t="s">
        <v>1925</v>
      </c>
      <c r="N441" s="9" t="s">
        <v>84</v>
      </c>
      <c r="O441" s="9" t="s">
        <v>51</v>
      </c>
      <c r="P441" s="9"/>
      <c r="Q441" s="9"/>
      <c r="R441" s="9" t="s">
        <v>61</v>
      </c>
      <c r="S441" s="14" t="s">
        <v>1926</v>
      </c>
      <c r="T441" s="9" t="s">
        <v>1927</v>
      </c>
      <c r="U441" s="9" t="s">
        <v>54</v>
      </c>
      <c r="V441" s="9" t="s">
        <v>55</v>
      </c>
      <c r="W441" s="9" t="s">
        <v>55</v>
      </c>
      <c r="X441" s="12" t="s">
        <v>171</v>
      </c>
      <c r="Y441" s="9" t="s">
        <v>172</v>
      </c>
      <c r="Z441" s="13"/>
    </row>
    <row r="442" spans="1:26" ht="32.25" hidden="1" customHeight="1">
      <c r="A442" s="8">
        <v>2307626</v>
      </c>
      <c r="B442" s="9" t="s">
        <v>1928</v>
      </c>
      <c r="C442" s="10">
        <v>45142</v>
      </c>
      <c r="D442" s="9" t="s">
        <v>67</v>
      </c>
      <c r="E442" s="9" t="s">
        <v>68</v>
      </c>
      <c r="F442" s="9" t="s">
        <v>135</v>
      </c>
      <c r="G442" s="9" t="s">
        <v>43</v>
      </c>
      <c r="H442" s="9" t="s">
        <v>44</v>
      </c>
      <c r="I442" s="11" t="s">
        <v>136</v>
      </c>
      <c r="J442" s="9" t="s">
        <v>137</v>
      </c>
      <c r="K442" s="9" t="s">
        <v>47</v>
      </c>
      <c r="L442" s="9" t="s">
        <v>138</v>
      </c>
      <c r="M442" s="9" t="s">
        <v>1929</v>
      </c>
      <c r="N442" s="9" t="s">
        <v>50</v>
      </c>
      <c r="O442" s="9" t="s">
        <v>51</v>
      </c>
      <c r="P442" s="9"/>
      <c r="Q442" s="9"/>
      <c r="R442" s="9" t="s">
        <v>61</v>
      </c>
      <c r="S442" s="9" t="s">
        <v>1930</v>
      </c>
      <c r="T442" s="9" t="s">
        <v>1931</v>
      </c>
      <c r="U442" s="9" t="s">
        <v>54</v>
      </c>
      <c r="V442" s="9" t="s">
        <v>55</v>
      </c>
      <c r="W442" s="9" t="s">
        <v>55</v>
      </c>
      <c r="X442" s="12" t="s">
        <v>76</v>
      </c>
      <c r="Y442" s="9" t="s">
        <v>77</v>
      </c>
      <c r="Z442" s="13"/>
    </row>
    <row r="443" spans="1:26" ht="32.25" hidden="1" customHeight="1">
      <c r="A443" s="8">
        <v>2308278</v>
      </c>
      <c r="B443" s="9" t="s">
        <v>1932</v>
      </c>
      <c r="C443" s="10">
        <v>45149</v>
      </c>
      <c r="D443" s="9" t="s">
        <v>57</v>
      </c>
      <c r="E443" s="9" t="s">
        <v>41</v>
      </c>
      <c r="F443" s="9" t="s">
        <v>42</v>
      </c>
      <c r="G443" s="9" t="s">
        <v>43</v>
      </c>
      <c r="H443" s="9" t="s">
        <v>58</v>
      </c>
      <c r="I443" s="11" t="s">
        <v>45</v>
      </c>
      <c r="J443" s="9" t="s">
        <v>46</v>
      </c>
      <c r="K443" s="9" t="s">
        <v>47</v>
      </c>
      <c r="L443" s="9" t="s">
        <v>574</v>
      </c>
      <c r="M443" s="9" t="s">
        <v>575</v>
      </c>
      <c r="N443" s="9" t="s">
        <v>50</v>
      </c>
      <c r="O443" s="9" t="s">
        <v>51</v>
      </c>
      <c r="P443" s="9"/>
      <c r="Q443" s="9"/>
      <c r="R443" s="9" t="s">
        <v>61</v>
      </c>
      <c r="S443" s="14" t="s">
        <v>1933</v>
      </c>
      <c r="T443" s="9" t="s">
        <v>1934</v>
      </c>
      <c r="U443" s="9" t="s">
        <v>54</v>
      </c>
      <c r="V443" s="9" t="s">
        <v>55</v>
      </c>
      <c r="W443" s="9" t="s">
        <v>55</v>
      </c>
      <c r="X443" s="9" t="s">
        <v>64</v>
      </c>
      <c r="Y443" s="9" t="s">
        <v>65</v>
      </c>
      <c r="Z443" s="13"/>
    </row>
    <row r="444" spans="1:26" ht="32.25" hidden="1" customHeight="1">
      <c r="A444" s="8">
        <v>2315257</v>
      </c>
      <c r="B444" s="9" t="s">
        <v>1935</v>
      </c>
      <c r="C444" s="10">
        <v>45149</v>
      </c>
      <c r="D444" s="9" t="s">
        <v>57</v>
      </c>
      <c r="E444" s="9" t="s">
        <v>153</v>
      </c>
      <c r="F444" s="9" t="s">
        <v>42</v>
      </c>
      <c r="G444" s="9" t="s">
        <v>43</v>
      </c>
      <c r="H444" s="9" t="s">
        <v>58</v>
      </c>
      <c r="I444" s="11" t="s">
        <v>154</v>
      </c>
      <c r="J444" s="9" t="s">
        <v>155</v>
      </c>
      <c r="K444" s="9" t="s">
        <v>47</v>
      </c>
      <c r="L444" s="9" t="s">
        <v>586</v>
      </c>
      <c r="M444" s="9" t="s">
        <v>1936</v>
      </c>
      <c r="N444" s="9" t="s">
        <v>84</v>
      </c>
      <c r="O444" s="9" t="s">
        <v>51</v>
      </c>
      <c r="P444" s="9"/>
      <c r="Q444" s="9"/>
      <c r="R444" s="9" t="s">
        <v>61</v>
      </c>
      <c r="S444" s="14" t="s">
        <v>1937</v>
      </c>
      <c r="T444" s="9" t="s">
        <v>1938</v>
      </c>
      <c r="U444" s="9" t="s">
        <v>54</v>
      </c>
      <c r="V444" s="9" t="s">
        <v>55</v>
      </c>
      <c r="W444" s="9" t="s">
        <v>55</v>
      </c>
      <c r="X444" s="12" t="s">
        <v>171</v>
      </c>
      <c r="Y444" s="9" t="s">
        <v>172</v>
      </c>
      <c r="Z444" s="13"/>
    </row>
    <row r="445" spans="1:26" ht="32.25" hidden="1" customHeight="1">
      <c r="A445" s="8">
        <v>2305864</v>
      </c>
      <c r="B445" s="9" t="s">
        <v>1939</v>
      </c>
      <c r="C445" s="10">
        <v>45142</v>
      </c>
      <c r="D445" s="9" t="s">
        <v>67</v>
      </c>
      <c r="E445" s="9" t="s">
        <v>143</v>
      </c>
      <c r="F445" s="9" t="s">
        <v>42</v>
      </c>
      <c r="G445" s="9" t="s">
        <v>43</v>
      </c>
      <c r="H445" s="9" t="s">
        <v>44</v>
      </c>
      <c r="I445" s="11" t="s">
        <v>334</v>
      </c>
      <c r="J445" s="9" t="s">
        <v>327</v>
      </c>
      <c r="K445" s="9" t="s">
        <v>47</v>
      </c>
      <c r="L445" s="9" t="s">
        <v>156</v>
      </c>
      <c r="M445" s="9"/>
      <c r="N445" s="9" t="s">
        <v>84</v>
      </c>
      <c r="O445" s="9" t="s">
        <v>51</v>
      </c>
      <c r="P445" s="9" t="s">
        <v>336</v>
      </c>
      <c r="Q445" s="9"/>
      <c r="R445" s="9"/>
      <c r="S445" s="9" t="s">
        <v>1940</v>
      </c>
      <c r="T445" s="9" t="s">
        <v>1941</v>
      </c>
      <c r="U445" s="9" t="s">
        <v>54</v>
      </c>
      <c r="V445" s="9" t="s">
        <v>55</v>
      </c>
      <c r="W445" s="9" t="s">
        <v>55</v>
      </c>
      <c r="X445" s="12"/>
      <c r="Y445" s="9" t="s">
        <v>55</v>
      </c>
      <c r="Z445" s="13"/>
    </row>
    <row r="446" spans="1:26" ht="32.25" hidden="1" customHeight="1">
      <c r="A446" s="8">
        <v>2302953</v>
      </c>
      <c r="B446" s="9" t="s">
        <v>1942</v>
      </c>
      <c r="C446" s="10">
        <v>45149</v>
      </c>
      <c r="D446" s="9" t="s">
        <v>57</v>
      </c>
      <c r="E446" s="9" t="s">
        <v>41</v>
      </c>
      <c r="F446" s="9" t="s">
        <v>42</v>
      </c>
      <c r="G446" s="9" t="s">
        <v>43</v>
      </c>
      <c r="H446" s="9" t="s">
        <v>58</v>
      </c>
      <c r="I446" s="11" t="s">
        <v>1073</v>
      </c>
      <c r="J446" s="9" t="s">
        <v>479</v>
      </c>
      <c r="K446" s="9" t="s">
        <v>47</v>
      </c>
      <c r="L446" s="9" t="s">
        <v>48</v>
      </c>
      <c r="M446" s="9" t="s">
        <v>1943</v>
      </c>
      <c r="N446" s="9" t="s">
        <v>50</v>
      </c>
      <c r="O446" s="9" t="s">
        <v>51</v>
      </c>
      <c r="P446" s="9"/>
      <c r="Q446" s="9"/>
      <c r="R446" s="9"/>
      <c r="S446" s="14" t="s">
        <v>1944</v>
      </c>
      <c r="T446" s="9" t="s">
        <v>1945</v>
      </c>
      <c r="U446" s="9" t="s">
        <v>54</v>
      </c>
      <c r="V446" s="9" t="s">
        <v>55</v>
      </c>
      <c r="W446" s="9" t="s">
        <v>55</v>
      </c>
      <c r="X446" s="12"/>
      <c r="Y446" s="9" t="s">
        <v>55</v>
      </c>
      <c r="Z446" s="13"/>
    </row>
    <row r="447" spans="1:26" ht="32.25" hidden="1" customHeight="1">
      <c r="A447" s="8">
        <v>2303528</v>
      </c>
      <c r="B447" s="9" t="s">
        <v>1946</v>
      </c>
      <c r="C447" s="10">
        <v>45156</v>
      </c>
      <c r="D447" s="9" t="s">
        <v>79</v>
      </c>
      <c r="E447" s="9" t="s">
        <v>41</v>
      </c>
      <c r="F447" s="9" t="s">
        <v>80</v>
      </c>
      <c r="G447" s="9" t="s">
        <v>43</v>
      </c>
      <c r="H447" s="9" t="s">
        <v>44</v>
      </c>
      <c r="I447" s="11" t="s">
        <v>81</v>
      </c>
      <c r="J447" s="9" t="s">
        <v>46</v>
      </c>
      <c r="K447" s="9" t="s">
        <v>47</v>
      </c>
      <c r="L447" s="9" t="s">
        <v>156</v>
      </c>
      <c r="M447" s="9"/>
      <c r="N447" s="9" t="s">
        <v>50</v>
      </c>
      <c r="O447" s="9" t="s">
        <v>51</v>
      </c>
      <c r="P447" s="9" t="s">
        <v>503</v>
      </c>
      <c r="Q447" s="9"/>
      <c r="R447" s="9"/>
      <c r="S447" s="14" t="s">
        <v>1947</v>
      </c>
      <c r="T447" s="9" t="s">
        <v>1948</v>
      </c>
      <c r="U447" s="9" t="s">
        <v>54</v>
      </c>
      <c r="V447" s="9"/>
      <c r="W447" s="9" t="s">
        <v>55</v>
      </c>
      <c r="X447" s="12"/>
      <c r="Y447" s="9" t="s">
        <v>55</v>
      </c>
      <c r="Z447" s="13"/>
    </row>
    <row r="448" spans="1:26" ht="32.25" hidden="1" customHeight="1">
      <c r="A448" s="8">
        <v>2301874</v>
      </c>
      <c r="B448" s="9" t="s">
        <v>1949</v>
      </c>
      <c r="C448" s="10">
        <v>45149</v>
      </c>
      <c r="D448" s="9" t="s">
        <v>57</v>
      </c>
      <c r="E448" s="9" t="s">
        <v>41</v>
      </c>
      <c r="F448" s="9" t="s">
        <v>42</v>
      </c>
      <c r="G448" s="9" t="s">
        <v>43</v>
      </c>
      <c r="H448" s="9" t="s">
        <v>58</v>
      </c>
      <c r="I448" s="11" t="s">
        <v>45</v>
      </c>
      <c r="J448" s="9" t="s">
        <v>46</v>
      </c>
      <c r="K448" s="9" t="s">
        <v>47</v>
      </c>
      <c r="L448" s="9" t="s">
        <v>156</v>
      </c>
      <c r="M448" s="9"/>
      <c r="N448" s="9" t="s">
        <v>50</v>
      </c>
      <c r="O448" s="9" t="s">
        <v>51</v>
      </c>
      <c r="P448" s="9"/>
      <c r="Q448" s="9"/>
      <c r="R448" s="9"/>
      <c r="S448" s="14" t="s">
        <v>1950</v>
      </c>
      <c r="T448" s="9" t="s">
        <v>1951</v>
      </c>
      <c r="U448" s="9" t="s">
        <v>54</v>
      </c>
      <c r="V448" s="9" t="s">
        <v>55</v>
      </c>
      <c r="W448" s="9" t="s">
        <v>55</v>
      </c>
      <c r="X448" s="12"/>
      <c r="Y448" s="9" t="s">
        <v>55</v>
      </c>
      <c r="Z448" s="13"/>
    </row>
    <row r="449" spans="1:26" ht="32.25" hidden="1" customHeight="1">
      <c r="A449" s="8">
        <v>2311285</v>
      </c>
      <c r="B449" s="9" t="s">
        <v>1952</v>
      </c>
      <c r="C449" s="10">
        <v>45156</v>
      </c>
      <c r="D449" s="9" t="s">
        <v>79</v>
      </c>
      <c r="E449" s="9" t="s">
        <v>68</v>
      </c>
      <c r="F449" s="9" t="s">
        <v>80</v>
      </c>
      <c r="G449" s="9" t="s">
        <v>43</v>
      </c>
      <c r="H449" s="9" t="s">
        <v>44</v>
      </c>
      <c r="I449" s="11" t="s">
        <v>696</v>
      </c>
      <c r="J449" s="9" t="s">
        <v>70</v>
      </c>
      <c r="K449" s="9" t="s">
        <v>47</v>
      </c>
      <c r="L449" s="9" t="s">
        <v>48</v>
      </c>
      <c r="M449" s="9" t="s">
        <v>1824</v>
      </c>
      <c r="N449" s="9" t="s">
        <v>50</v>
      </c>
      <c r="O449" s="9" t="s">
        <v>51</v>
      </c>
      <c r="P449" s="9" t="s">
        <v>1841</v>
      </c>
      <c r="Q449" s="9"/>
      <c r="R449" s="9"/>
      <c r="S449" s="14" t="s">
        <v>1953</v>
      </c>
      <c r="T449" s="9" t="s">
        <v>1954</v>
      </c>
      <c r="U449" s="9" t="s">
        <v>54</v>
      </c>
      <c r="V449" s="9"/>
      <c r="W449" s="9" t="s">
        <v>115</v>
      </c>
      <c r="X449" s="12"/>
      <c r="Y449" s="9" t="s">
        <v>55</v>
      </c>
      <c r="Z449" s="13"/>
    </row>
    <row r="450" spans="1:26" ht="32.25" hidden="1" customHeight="1">
      <c r="A450" s="8">
        <v>2306422</v>
      </c>
      <c r="B450" s="9" t="s">
        <v>1955</v>
      </c>
      <c r="C450" s="10">
        <v>45149</v>
      </c>
      <c r="D450" s="9" t="s">
        <v>57</v>
      </c>
      <c r="E450" s="9" t="s">
        <v>295</v>
      </c>
      <c r="F450" s="9" t="s">
        <v>42</v>
      </c>
      <c r="G450" s="9" t="s">
        <v>43</v>
      </c>
      <c r="H450" s="9" t="s">
        <v>58</v>
      </c>
      <c r="I450" s="11" t="s">
        <v>296</v>
      </c>
      <c r="J450" s="9" t="s">
        <v>297</v>
      </c>
      <c r="K450" s="9" t="s">
        <v>47</v>
      </c>
      <c r="L450" s="9" t="s">
        <v>156</v>
      </c>
      <c r="M450" s="9"/>
      <c r="N450" s="9" t="s">
        <v>50</v>
      </c>
      <c r="O450" s="9" t="s">
        <v>51</v>
      </c>
      <c r="P450" s="9"/>
      <c r="Q450" s="9"/>
      <c r="R450" s="9"/>
      <c r="S450" s="14" t="s">
        <v>1956</v>
      </c>
      <c r="T450" s="9" t="s">
        <v>1957</v>
      </c>
      <c r="U450" s="9" t="s">
        <v>54</v>
      </c>
      <c r="V450" s="9" t="s">
        <v>55</v>
      </c>
      <c r="W450" s="9" t="s">
        <v>55</v>
      </c>
      <c r="X450" s="12"/>
      <c r="Y450" s="9" t="s">
        <v>55</v>
      </c>
      <c r="Z450" s="13"/>
    </row>
    <row r="451" spans="1:26" ht="32.25" hidden="1" customHeight="1">
      <c r="A451" s="8">
        <v>2301897</v>
      </c>
      <c r="B451" s="9" t="s">
        <v>1958</v>
      </c>
      <c r="C451" s="10">
        <v>45156</v>
      </c>
      <c r="D451" s="9" t="s">
        <v>565</v>
      </c>
      <c r="E451" s="9" t="s">
        <v>295</v>
      </c>
      <c r="F451" s="9" t="s">
        <v>42</v>
      </c>
      <c r="G451" s="9" t="s">
        <v>43</v>
      </c>
      <c r="H451" s="9" t="s">
        <v>58</v>
      </c>
      <c r="I451" s="11" t="s">
        <v>296</v>
      </c>
      <c r="J451" s="9" t="s">
        <v>297</v>
      </c>
      <c r="K451" s="9" t="s">
        <v>47</v>
      </c>
      <c r="L451" s="9" t="s">
        <v>799</v>
      </c>
      <c r="M451" s="9" t="s">
        <v>800</v>
      </c>
      <c r="N451" s="9" t="s">
        <v>84</v>
      </c>
      <c r="O451" s="9" t="s">
        <v>51</v>
      </c>
      <c r="P451" s="9"/>
      <c r="Q451" s="9"/>
      <c r="R451" s="9" t="s">
        <v>61</v>
      </c>
      <c r="S451" s="14" t="s">
        <v>1959</v>
      </c>
      <c r="T451" s="9" t="s">
        <v>1960</v>
      </c>
      <c r="U451" s="9" t="s">
        <v>54</v>
      </c>
      <c r="V451" s="9" t="s">
        <v>55</v>
      </c>
      <c r="W451" s="9" t="s">
        <v>55</v>
      </c>
      <c r="X451" s="9" t="s">
        <v>319</v>
      </c>
      <c r="Y451" s="9" t="s">
        <v>320</v>
      </c>
      <c r="Z451" s="13"/>
    </row>
    <row r="452" spans="1:26" ht="32.25" hidden="1" customHeight="1">
      <c r="A452" s="8">
        <v>2308397</v>
      </c>
      <c r="B452" s="9" t="s">
        <v>1961</v>
      </c>
      <c r="C452" s="10">
        <v>45136</v>
      </c>
      <c r="D452" s="9" t="s">
        <v>40</v>
      </c>
      <c r="E452" s="9" t="s">
        <v>153</v>
      </c>
      <c r="F452" s="9" t="s">
        <v>42</v>
      </c>
      <c r="G452" s="9" t="s">
        <v>43</v>
      </c>
      <c r="H452" s="9" t="s">
        <v>44</v>
      </c>
      <c r="I452" s="11" t="s">
        <v>154</v>
      </c>
      <c r="J452" s="9" t="s">
        <v>155</v>
      </c>
      <c r="K452" s="9" t="s">
        <v>47</v>
      </c>
      <c r="L452" s="9" t="s">
        <v>713</v>
      </c>
      <c r="M452" s="9" t="s">
        <v>1962</v>
      </c>
      <c r="N452" s="9" t="s">
        <v>84</v>
      </c>
      <c r="O452" s="9" t="s">
        <v>51</v>
      </c>
      <c r="P452" s="9"/>
      <c r="Q452" s="9"/>
      <c r="R452" s="9" t="s">
        <v>61</v>
      </c>
      <c r="S452" s="9" t="s">
        <v>1963</v>
      </c>
      <c r="T452" s="9" t="s">
        <v>1964</v>
      </c>
      <c r="U452" s="9" t="s">
        <v>54</v>
      </c>
      <c r="V452" s="9" t="s">
        <v>55</v>
      </c>
      <c r="W452" s="9" t="s">
        <v>55</v>
      </c>
      <c r="X452" s="12" t="s">
        <v>171</v>
      </c>
      <c r="Y452" s="9" t="s">
        <v>172</v>
      </c>
      <c r="Z452" s="13"/>
    </row>
    <row r="453" spans="1:26" ht="32.25" hidden="1" customHeight="1">
      <c r="A453" s="8">
        <v>2315278</v>
      </c>
      <c r="B453" s="9" t="s">
        <v>1965</v>
      </c>
      <c r="C453" s="10">
        <v>45156</v>
      </c>
      <c r="D453" s="9" t="s">
        <v>565</v>
      </c>
      <c r="E453" s="9" t="s">
        <v>153</v>
      </c>
      <c r="F453" s="9" t="s">
        <v>42</v>
      </c>
      <c r="G453" s="9" t="s">
        <v>43</v>
      </c>
      <c r="H453" s="9" t="s">
        <v>58</v>
      </c>
      <c r="I453" s="11" t="s">
        <v>154</v>
      </c>
      <c r="J453" s="9" t="s">
        <v>155</v>
      </c>
      <c r="K453" s="9" t="s">
        <v>47</v>
      </c>
      <c r="L453" s="9" t="s">
        <v>858</v>
      </c>
      <c r="M453" s="9" t="s">
        <v>1103</v>
      </c>
      <c r="N453" s="9" t="s">
        <v>84</v>
      </c>
      <c r="O453" s="9" t="s">
        <v>51</v>
      </c>
      <c r="P453" s="9"/>
      <c r="Q453" s="9"/>
      <c r="R453" s="9" t="s">
        <v>61</v>
      </c>
      <c r="S453" s="14" t="s">
        <v>1966</v>
      </c>
      <c r="T453" s="9" t="s">
        <v>1967</v>
      </c>
      <c r="U453" s="9" t="s">
        <v>54</v>
      </c>
      <c r="V453" s="9" t="s">
        <v>55</v>
      </c>
      <c r="W453" s="9" t="s">
        <v>55</v>
      </c>
      <c r="X453" s="12" t="s">
        <v>171</v>
      </c>
      <c r="Y453" s="9" t="s">
        <v>172</v>
      </c>
      <c r="Z453" s="13"/>
    </row>
    <row r="454" spans="1:26" ht="32.25" hidden="1" customHeight="1">
      <c r="A454" s="8">
        <v>2308606</v>
      </c>
      <c r="B454" s="9" t="s">
        <v>1968</v>
      </c>
      <c r="C454" s="10">
        <v>45149</v>
      </c>
      <c r="D454" s="9" t="s">
        <v>57</v>
      </c>
      <c r="E454" s="9" t="s">
        <v>153</v>
      </c>
      <c r="F454" s="9" t="s">
        <v>42</v>
      </c>
      <c r="G454" s="9" t="s">
        <v>43</v>
      </c>
      <c r="H454" s="9" t="s">
        <v>58</v>
      </c>
      <c r="I454" s="11" t="s">
        <v>154</v>
      </c>
      <c r="J454" s="9" t="s">
        <v>155</v>
      </c>
      <c r="K454" s="9" t="s">
        <v>47</v>
      </c>
      <c r="L454" s="9" t="s">
        <v>156</v>
      </c>
      <c r="M454" s="9"/>
      <c r="N454" s="9" t="s">
        <v>84</v>
      </c>
      <c r="O454" s="9" t="s">
        <v>51</v>
      </c>
      <c r="P454" s="9"/>
      <c r="Q454" s="9"/>
      <c r="R454" s="9"/>
      <c r="S454" s="14" t="s">
        <v>1969</v>
      </c>
      <c r="T454" s="9" t="s">
        <v>1970</v>
      </c>
      <c r="U454" s="9" t="s">
        <v>54</v>
      </c>
      <c r="V454" s="9" t="s">
        <v>55</v>
      </c>
      <c r="W454" s="9" t="s">
        <v>55</v>
      </c>
      <c r="X454" s="12"/>
      <c r="Y454" s="9" t="s">
        <v>55</v>
      </c>
      <c r="Z454" s="13"/>
    </row>
    <row r="455" spans="1:26" ht="32.25" hidden="1" customHeight="1">
      <c r="A455" s="8">
        <v>2304414</v>
      </c>
      <c r="B455" s="9" t="s">
        <v>1971</v>
      </c>
      <c r="C455" s="10">
        <v>45156</v>
      </c>
      <c r="D455" s="9" t="s">
        <v>79</v>
      </c>
      <c r="E455" s="9" t="s">
        <v>295</v>
      </c>
      <c r="F455" s="9" t="s">
        <v>80</v>
      </c>
      <c r="G455" s="9" t="s">
        <v>43</v>
      </c>
      <c r="H455" s="9" t="s">
        <v>44</v>
      </c>
      <c r="I455" s="11" t="s">
        <v>1972</v>
      </c>
      <c r="J455" s="9" t="s">
        <v>297</v>
      </c>
      <c r="K455" s="9" t="s">
        <v>47</v>
      </c>
      <c r="L455" s="9" t="s">
        <v>48</v>
      </c>
      <c r="M455" s="9" t="s">
        <v>1973</v>
      </c>
      <c r="N455" s="9" t="s">
        <v>50</v>
      </c>
      <c r="O455" s="9" t="s">
        <v>51</v>
      </c>
      <c r="P455" s="9" t="s">
        <v>1974</v>
      </c>
      <c r="Q455" s="9"/>
      <c r="R455" s="9" t="s">
        <v>61</v>
      </c>
      <c r="S455" s="14" t="s">
        <v>1975</v>
      </c>
      <c r="T455" s="9" t="s">
        <v>1976</v>
      </c>
      <c r="U455" s="9" t="s">
        <v>54</v>
      </c>
      <c r="V455" s="9" t="s">
        <v>318</v>
      </c>
      <c r="W455" s="9" t="s">
        <v>115</v>
      </c>
      <c r="X455" s="12" t="s">
        <v>319</v>
      </c>
      <c r="Y455" s="9" t="s">
        <v>320</v>
      </c>
      <c r="Z455" s="13"/>
    </row>
    <row r="456" spans="1:26" ht="32.25" hidden="1" customHeight="1">
      <c r="A456" s="8">
        <v>2304839</v>
      </c>
      <c r="B456" s="9" t="s">
        <v>1977</v>
      </c>
      <c r="C456" s="10">
        <v>45136</v>
      </c>
      <c r="D456" s="9" t="s">
        <v>1072</v>
      </c>
      <c r="E456" s="9" t="s">
        <v>41</v>
      </c>
      <c r="F456" s="9" t="s">
        <v>42</v>
      </c>
      <c r="G456" s="9" t="s">
        <v>43</v>
      </c>
      <c r="H456" s="9" t="s">
        <v>44</v>
      </c>
      <c r="I456" s="11" t="s">
        <v>45</v>
      </c>
      <c r="J456" s="9" t="s">
        <v>46</v>
      </c>
      <c r="K456" s="9" t="s">
        <v>47</v>
      </c>
      <c r="L456" s="9" t="s">
        <v>167</v>
      </c>
      <c r="M456" s="9" t="s">
        <v>168</v>
      </c>
      <c r="N456" s="9" t="s">
        <v>50</v>
      </c>
      <c r="O456" s="9" t="s">
        <v>51</v>
      </c>
      <c r="P456" s="9"/>
      <c r="Q456" s="9"/>
      <c r="R456" s="9" t="s">
        <v>61</v>
      </c>
      <c r="S456" s="9" t="s">
        <v>1978</v>
      </c>
      <c r="T456" s="9" t="s">
        <v>1979</v>
      </c>
      <c r="U456" s="9" t="s">
        <v>54</v>
      </c>
      <c r="V456" s="9" t="s">
        <v>55</v>
      </c>
      <c r="W456" s="9" t="s">
        <v>55</v>
      </c>
      <c r="X456" s="9" t="s">
        <v>64</v>
      </c>
      <c r="Y456" s="9" t="s">
        <v>65</v>
      </c>
      <c r="Z456" s="13"/>
    </row>
    <row r="457" spans="1:26" ht="32.25" hidden="1" customHeight="1">
      <c r="A457" s="8">
        <v>2302459</v>
      </c>
      <c r="B457" s="9" t="s">
        <v>1980</v>
      </c>
      <c r="C457" s="10">
        <v>45149</v>
      </c>
      <c r="D457" s="9" t="s">
        <v>57</v>
      </c>
      <c r="E457" s="9" t="s">
        <v>41</v>
      </c>
      <c r="F457" s="9" t="s">
        <v>42</v>
      </c>
      <c r="G457" s="9" t="s">
        <v>43</v>
      </c>
      <c r="H457" s="9" t="s">
        <v>58</v>
      </c>
      <c r="I457" s="11" t="s">
        <v>129</v>
      </c>
      <c r="J457" s="9" t="s">
        <v>130</v>
      </c>
      <c r="K457" s="9" t="s">
        <v>47</v>
      </c>
      <c r="L457" s="9" t="s">
        <v>1087</v>
      </c>
      <c r="M457" s="9" t="s">
        <v>1981</v>
      </c>
      <c r="N457" s="9" t="s">
        <v>50</v>
      </c>
      <c r="O457" s="9" t="s">
        <v>51</v>
      </c>
      <c r="P457" s="9"/>
      <c r="Q457" s="9"/>
      <c r="R457" s="9" t="s">
        <v>61</v>
      </c>
      <c r="S457" s="14" t="s">
        <v>1982</v>
      </c>
      <c r="T457" s="9" t="s">
        <v>1983</v>
      </c>
      <c r="U457" s="9" t="s">
        <v>54</v>
      </c>
      <c r="V457" s="9" t="s">
        <v>55</v>
      </c>
      <c r="W457" s="9" t="s">
        <v>55</v>
      </c>
      <c r="X457" s="9" t="s">
        <v>319</v>
      </c>
      <c r="Y457" s="9" t="s">
        <v>320</v>
      </c>
      <c r="Z457" s="13" t="s">
        <v>230</v>
      </c>
    </row>
    <row r="458" spans="1:26" ht="32.25" hidden="1" customHeight="1">
      <c r="A458" s="8">
        <v>2301784</v>
      </c>
      <c r="B458" s="9" t="s">
        <v>1984</v>
      </c>
      <c r="C458" s="10">
        <v>45156</v>
      </c>
      <c r="D458" s="9" t="s">
        <v>79</v>
      </c>
      <c r="E458" s="9" t="s">
        <v>41</v>
      </c>
      <c r="F458" s="9" t="s">
        <v>80</v>
      </c>
      <c r="G458" s="9" t="s">
        <v>43</v>
      </c>
      <c r="H458" s="9" t="s">
        <v>44</v>
      </c>
      <c r="I458" s="11" t="s">
        <v>233</v>
      </c>
      <c r="J458" s="9" t="s">
        <v>200</v>
      </c>
      <c r="K458" s="9" t="s">
        <v>47</v>
      </c>
      <c r="L458" s="9" t="s">
        <v>48</v>
      </c>
      <c r="M458" s="9" t="s">
        <v>1985</v>
      </c>
      <c r="N458" s="9" t="s">
        <v>50</v>
      </c>
      <c r="O458" s="9" t="s">
        <v>51</v>
      </c>
      <c r="P458" s="9" t="s">
        <v>236</v>
      </c>
      <c r="Q458" s="9"/>
      <c r="R458" s="9"/>
      <c r="S458" s="14" t="s">
        <v>1986</v>
      </c>
      <c r="T458" s="9" t="s">
        <v>1987</v>
      </c>
      <c r="U458" s="9" t="s">
        <v>54</v>
      </c>
      <c r="V458" s="9"/>
      <c r="W458" s="9" t="s">
        <v>115</v>
      </c>
      <c r="X458" s="12"/>
      <c r="Y458" s="9" t="s">
        <v>55</v>
      </c>
      <c r="Z458" s="13"/>
    </row>
    <row r="459" spans="1:26" ht="32.25" hidden="1" customHeight="1">
      <c r="A459" s="8">
        <v>2305902</v>
      </c>
      <c r="B459" s="9" t="s">
        <v>1988</v>
      </c>
      <c r="C459" s="10">
        <v>45149</v>
      </c>
      <c r="D459" s="9" t="s">
        <v>57</v>
      </c>
      <c r="E459" s="9" t="s">
        <v>41</v>
      </c>
      <c r="F459" s="9" t="s">
        <v>42</v>
      </c>
      <c r="G459" s="9" t="s">
        <v>43</v>
      </c>
      <c r="H459" s="9" t="s">
        <v>58</v>
      </c>
      <c r="I459" s="11" t="s">
        <v>1073</v>
      </c>
      <c r="J459" s="9" t="s">
        <v>479</v>
      </c>
      <c r="K459" s="9" t="s">
        <v>47</v>
      </c>
      <c r="L459" s="9" t="s">
        <v>156</v>
      </c>
      <c r="M459" s="9"/>
      <c r="N459" s="9" t="s">
        <v>50</v>
      </c>
      <c r="O459" s="9" t="s">
        <v>51</v>
      </c>
      <c r="P459" s="9"/>
      <c r="Q459" s="9"/>
      <c r="R459" s="9"/>
      <c r="S459" s="14" t="s">
        <v>1989</v>
      </c>
      <c r="T459" s="9" t="s">
        <v>1990</v>
      </c>
      <c r="U459" s="9" t="s">
        <v>54</v>
      </c>
      <c r="V459" s="9" t="s">
        <v>55</v>
      </c>
      <c r="W459" s="9" t="s">
        <v>55</v>
      </c>
      <c r="X459" s="12"/>
      <c r="Y459" s="9" t="s">
        <v>55</v>
      </c>
      <c r="Z459" s="13"/>
    </row>
    <row r="460" spans="1:26" ht="32.25" hidden="1" customHeight="1">
      <c r="A460" s="8">
        <v>2309447</v>
      </c>
      <c r="B460" s="9" t="s">
        <v>1991</v>
      </c>
      <c r="C460" s="10">
        <v>45142</v>
      </c>
      <c r="D460" s="9" t="s">
        <v>67</v>
      </c>
      <c r="E460" s="9" t="s">
        <v>143</v>
      </c>
      <c r="F460" s="9" t="s">
        <v>42</v>
      </c>
      <c r="G460" s="9" t="s">
        <v>43</v>
      </c>
      <c r="H460" s="9" t="s">
        <v>44</v>
      </c>
      <c r="I460" s="11" t="s">
        <v>144</v>
      </c>
      <c r="J460" s="9" t="s">
        <v>145</v>
      </c>
      <c r="K460" s="9" t="s">
        <v>47</v>
      </c>
      <c r="L460" s="9" t="s">
        <v>1992</v>
      </c>
      <c r="M460" s="9" t="s">
        <v>1993</v>
      </c>
      <c r="N460" s="9" t="s">
        <v>50</v>
      </c>
      <c r="O460" s="9" t="s">
        <v>51</v>
      </c>
      <c r="P460" s="9" t="s">
        <v>147</v>
      </c>
      <c r="Q460" s="9"/>
      <c r="R460" s="9" t="s">
        <v>61</v>
      </c>
      <c r="S460" s="9" t="s">
        <v>1994</v>
      </c>
      <c r="T460" s="9" t="s">
        <v>1995</v>
      </c>
      <c r="U460" s="9" t="s">
        <v>54</v>
      </c>
      <c r="V460" s="9" t="s">
        <v>55</v>
      </c>
      <c r="W460" s="9" t="s">
        <v>55</v>
      </c>
      <c r="X460" s="12" t="s">
        <v>150</v>
      </c>
      <c r="Y460" s="9" t="s">
        <v>151</v>
      </c>
      <c r="Z460" s="13"/>
    </row>
    <row r="461" spans="1:26" ht="32.25" hidden="1" customHeight="1">
      <c r="A461" s="8">
        <v>2310164</v>
      </c>
      <c r="B461" s="9" t="s">
        <v>1996</v>
      </c>
      <c r="C461" s="10">
        <v>45156</v>
      </c>
      <c r="D461" s="9" t="s">
        <v>565</v>
      </c>
      <c r="E461" s="9" t="s">
        <v>41</v>
      </c>
      <c r="F461" s="9" t="s">
        <v>42</v>
      </c>
      <c r="G461" s="9" t="s">
        <v>43</v>
      </c>
      <c r="H461" s="9" t="s">
        <v>58</v>
      </c>
      <c r="I461" s="11" t="s">
        <v>199</v>
      </c>
      <c r="J461" s="9" t="s">
        <v>200</v>
      </c>
      <c r="K461" s="9" t="s">
        <v>47</v>
      </c>
      <c r="L461" s="9" t="s">
        <v>156</v>
      </c>
      <c r="M461" s="9"/>
      <c r="N461" s="9" t="s">
        <v>84</v>
      </c>
      <c r="O461" s="9" t="s">
        <v>51</v>
      </c>
      <c r="P461" s="9"/>
      <c r="Q461" s="9"/>
      <c r="R461" s="9"/>
      <c r="S461" s="14" t="s">
        <v>1997</v>
      </c>
      <c r="T461" s="9" t="s">
        <v>1998</v>
      </c>
      <c r="U461" s="9" t="s">
        <v>54</v>
      </c>
      <c r="V461" s="9" t="s">
        <v>55</v>
      </c>
      <c r="W461" s="9" t="s">
        <v>55</v>
      </c>
      <c r="X461" s="12"/>
      <c r="Y461" s="9" t="s">
        <v>55</v>
      </c>
      <c r="Z461" s="13"/>
    </row>
    <row r="462" spans="1:26" ht="32.25" hidden="1" customHeight="1">
      <c r="A462" s="8">
        <v>2306614</v>
      </c>
      <c r="B462" s="9" t="s">
        <v>1999</v>
      </c>
      <c r="C462" s="10">
        <v>45156</v>
      </c>
      <c r="D462" s="9" t="s">
        <v>79</v>
      </c>
      <c r="E462" s="9" t="s">
        <v>89</v>
      </c>
      <c r="F462" s="9" t="s">
        <v>80</v>
      </c>
      <c r="G462" s="9" t="s">
        <v>43</v>
      </c>
      <c r="H462" s="9" t="s">
        <v>44</v>
      </c>
      <c r="I462" s="11" t="s">
        <v>101</v>
      </c>
      <c r="J462" s="9" t="s">
        <v>102</v>
      </c>
      <c r="K462" s="9" t="s">
        <v>47</v>
      </c>
      <c r="L462" s="9" t="s">
        <v>156</v>
      </c>
      <c r="M462" s="9"/>
      <c r="N462" s="9" t="s">
        <v>50</v>
      </c>
      <c r="O462" s="9" t="s">
        <v>51</v>
      </c>
      <c r="P462" s="9" t="s">
        <v>243</v>
      </c>
      <c r="Q462" s="9"/>
      <c r="R462" s="9"/>
      <c r="S462" s="14" t="s">
        <v>2000</v>
      </c>
      <c r="T462" s="9" t="s">
        <v>2001</v>
      </c>
      <c r="U462" s="9" t="s">
        <v>54</v>
      </c>
      <c r="V462" s="9" t="s">
        <v>55</v>
      </c>
      <c r="W462" s="9" t="s">
        <v>55</v>
      </c>
      <c r="X462" s="12"/>
      <c r="Y462" s="9" t="s">
        <v>55</v>
      </c>
      <c r="Z462" s="13"/>
    </row>
    <row r="463" spans="1:26" ht="32.25" hidden="1" customHeight="1">
      <c r="A463" s="8">
        <v>2307127</v>
      </c>
      <c r="B463" s="9" t="s">
        <v>2002</v>
      </c>
      <c r="C463" s="10">
        <v>45156</v>
      </c>
      <c r="D463" s="9" t="s">
        <v>79</v>
      </c>
      <c r="E463" s="9" t="s">
        <v>143</v>
      </c>
      <c r="F463" s="9" t="s">
        <v>80</v>
      </c>
      <c r="G463" s="9" t="s">
        <v>43</v>
      </c>
      <c r="H463" s="9" t="s">
        <v>44</v>
      </c>
      <c r="I463" s="11" t="s">
        <v>725</v>
      </c>
      <c r="J463" s="9" t="s">
        <v>145</v>
      </c>
      <c r="K463" s="9" t="s">
        <v>47</v>
      </c>
      <c r="L463" s="9" t="s">
        <v>156</v>
      </c>
      <c r="M463" s="9"/>
      <c r="N463" s="9" t="s">
        <v>50</v>
      </c>
      <c r="O463" s="9" t="s">
        <v>51</v>
      </c>
      <c r="P463" s="9" t="s">
        <v>727</v>
      </c>
      <c r="Q463" s="9"/>
      <c r="R463" s="9"/>
      <c r="S463" s="14" t="s">
        <v>2003</v>
      </c>
      <c r="T463" s="9" t="s">
        <v>2004</v>
      </c>
      <c r="U463" s="9" t="s">
        <v>54</v>
      </c>
      <c r="V463" s="9"/>
      <c r="W463" s="9" t="s">
        <v>115</v>
      </c>
      <c r="X463" s="12"/>
      <c r="Y463" s="9" t="s">
        <v>55</v>
      </c>
      <c r="Z463" s="13"/>
    </row>
    <row r="464" spans="1:26" ht="32.25" hidden="1" customHeight="1">
      <c r="A464" s="8">
        <v>2305089</v>
      </c>
      <c r="B464" s="9" t="s">
        <v>2005</v>
      </c>
      <c r="C464" s="10">
        <v>45149</v>
      </c>
      <c r="D464" s="9" t="s">
        <v>57</v>
      </c>
      <c r="E464" s="9" t="s">
        <v>41</v>
      </c>
      <c r="F464" s="9" t="s">
        <v>42</v>
      </c>
      <c r="G464" s="9" t="s">
        <v>43</v>
      </c>
      <c r="H464" s="9" t="s">
        <v>58</v>
      </c>
      <c r="I464" s="11" t="s">
        <v>129</v>
      </c>
      <c r="J464" s="9" t="s">
        <v>130</v>
      </c>
      <c r="K464" s="9" t="s">
        <v>47</v>
      </c>
      <c r="L464" s="9" t="s">
        <v>2006</v>
      </c>
      <c r="M464" s="9" t="s">
        <v>2007</v>
      </c>
      <c r="N464" s="9" t="s">
        <v>84</v>
      </c>
      <c r="O464" s="9" t="s">
        <v>51</v>
      </c>
      <c r="P464" s="9"/>
      <c r="Q464" s="9"/>
      <c r="R464" s="9" t="s">
        <v>61</v>
      </c>
      <c r="S464" s="14" t="s">
        <v>2008</v>
      </c>
      <c r="T464" s="9" t="s">
        <v>2009</v>
      </c>
      <c r="U464" s="9" t="s">
        <v>54</v>
      </c>
      <c r="V464" s="9" t="s">
        <v>55</v>
      </c>
      <c r="W464" s="9" t="s">
        <v>55</v>
      </c>
      <c r="X464" s="9" t="s">
        <v>319</v>
      </c>
      <c r="Y464" s="9" t="s">
        <v>320</v>
      </c>
      <c r="Z464" s="13" t="s">
        <v>230</v>
      </c>
    </row>
    <row r="465" spans="1:26" ht="32.25" hidden="1" customHeight="1">
      <c r="A465" s="8">
        <v>2302351</v>
      </c>
      <c r="B465" s="9" t="s">
        <v>2010</v>
      </c>
      <c r="C465" s="10">
        <v>45149</v>
      </c>
      <c r="D465" s="9" t="s">
        <v>57</v>
      </c>
      <c r="E465" s="9" t="s">
        <v>41</v>
      </c>
      <c r="F465" s="9" t="s">
        <v>42</v>
      </c>
      <c r="G465" s="9" t="s">
        <v>43</v>
      </c>
      <c r="H465" s="9" t="s">
        <v>58</v>
      </c>
      <c r="I465" s="11" t="s">
        <v>199</v>
      </c>
      <c r="J465" s="9" t="s">
        <v>200</v>
      </c>
      <c r="K465" s="9" t="s">
        <v>47</v>
      </c>
      <c r="L465" s="9" t="s">
        <v>48</v>
      </c>
      <c r="M465" s="9" t="s">
        <v>2011</v>
      </c>
      <c r="N465" s="9" t="s">
        <v>50</v>
      </c>
      <c r="O465" s="9" t="s">
        <v>51</v>
      </c>
      <c r="P465" s="9"/>
      <c r="Q465" s="9"/>
      <c r="R465" s="9"/>
      <c r="S465" s="14" t="s">
        <v>2012</v>
      </c>
      <c r="T465" s="9" t="s">
        <v>2013</v>
      </c>
      <c r="U465" s="9" t="s">
        <v>54</v>
      </c>
      <c r="V465" s="9" t="s">
        <v>55</v>
      </c>
      <c r="W465" s="9" t="s">
        <v>55</v>
      </c>
      <c r="X465" s="12"/>
      <c r="Y465" s="9" t="s">
        <v>55</v>
      </c>
      <c r="Z465" s="13"/>
    </row>
    <row r="466" spans="1:26" ht="32.25" hidden="1" customHeight="1">
      <c r="A466" s="8">
        <v>2305834</v>
      </c>
      <c r="B466" s="9" t="s">
        <v>2014</v>
      </c>
      <c r="C466" s="10">
        <v>45149</v>
      </c>
      <c r="D466" s="9" t="s">
        <v>57</v>
      </c>
      <c r="E466" s="9" t="s">
        <v>41</v>
      </c>
      <c r="F466" s="9" t="s">
        <v>42</v>
      </c>
      <c r="G466" s="9" t="s">
        <v>43</v>
      </c>
      <c r="H466" s="9" t="s">
        <v>58</v>
      </c>
      <c r="I466" s="11" t="s">
        <v>1073</v>
      </c>
      <c r="J466" s="9" t="s">
        <v>479</v>
      </c>
      <c r="K466" s="9" t="s">
        <v>47</v>
      </c>
      <c r="L466" s="9" t="s">
        <v>156</v>
      </c>
      <c r="M466" s="9"/>
      <c r="N466" s="9" t="s">
        <v>50</v>
      </c>
      <c r="O466" s="9" t="s">
        <v>51</v>
      </c>
      <c r="P466" s="9"/>
      <c r="Q466" s="9"/>
      <c r="R466" s="9"/>
      <c r="S466" s="14" t="s">
        <v>2015</v>
      </c>
      <c r="T466" s="9" t="s">
        <v>2016</v>
      </c>
      <c r="U466" s="9" t="s">
        <v>54</v>
      </c>
      <c r="V466" s="9" t="s">
        <v>55</v>
      </c>
      <c r="W466" s="9" t="s">
        <v>55</v>
      </c>
      <c r="X466" s="12"/>
      <c r="Y466" s="9" t="s">
        <v>55</v>
      </c>
      <c r="Z466" s="13"/>
    </row>
    <row r="467" spans="1:26" ht="32.25" hidden="1" customHeight="1">
      <c r="A467" s="8">
        <v>2302594</v>
      </c>
      <c r="B467" s="9" t="s">
        <v>2017</v>
      </c>
      <c r="C467" s="10">
        <v>45136</v>
      </c>
      <c r="D467" s="9" t="s">
        <v>40</v>
      </c>
      <c r="E467" s="9" t="s">
        <v>41</v>
      </c>
      <c r="F467" s="9" t="s">
        <v>42</v>
      </c>
      <c r="G467" s="9" t="s">
        <v>43</v>
      </c>
      <c r="H467" s="9" t="s">
        <v>44</v>
      </c>
      <c r="I467" s="11" t="s">
        <v>1073</v>
      </c>
      <c r="J467" s="9" t="s">
        <v>479</v>
      </c>
      <c r="K467" s="9" t="s">
        <v>47</v>
      </c>
      <c r="L467" s="9" t="s">
        <v>156</v>
      </c>
      <c r="M467" s="9"/>
      <c r="N467" s="9" t="s">
        <v>84</v>
      </c>
      <c r="O467" s="9" t="s">
        <v>51</v>
      </c>
      <c r="P467" s="9"/>
      <c r="Q467" s="9"/>
      <c r="R467" s="9"/>
      <c r="S467" s="9" t="s">
        <v>2018</v>
      </c>
      <c r="T467" s="9" t="s">
        <v>2019</v>
      </c>
      <c r="U467" s="9" t="s">
        <v>54</v>
      </c>
      <c r="V467" s="9" t="s">
        <v>55</v>
      </c>
      <c r="W467" s="9" t="s">
        <v>55</v>
      </c>
      <c r="X467" s="9"/>
      <c r="Y467" s="9" t="s">
        <v>55</v>
      </c>
      <c r="Z467" s="13"/>
    </row>
    <row r="468" spans="1:26" ht="32.25" hidden="1" customHeight="1">
      <c r="A468" s="8">
        <v>2307927</v>
      </c>
      <c r="B468" s="9" t="s">
        <v>2020</v>
      </c>
      <c r="C468" s="10">
        <v>45136</v>
      </c>
      <c r="D468" s="9" t="s">
        <v>40</v>
      </c>
      <c r="E468" s="9" t="s">
        <v>41</v>
      </c>
      <c r="F468" s="9" t="s">
        <v>42</v>
      </c>
      <c r="G468" s="9" t="s">
        <v>43</v>
      </c>
      <c r="H468" s="9" t="s">
        <v>44</v>
      </c>
      <c r="I468" s="11" t="s">
        <v>45</v>
      </c>
      <c r="J468" s="9" t="s">
        <v>46</v>
      </c>
      <c r="K468" s="9" t="s">
        <v>47</v>
      </c>
      <c r="L468" s="9" t="s">
        <v>713</v>
      </c>
      <c r="M468" s="9" t="s">
        <v>2021</v>
      </c>
      <c r="N468" s="9" t="s">
        <v>50</v>
      </c>
      <c r="O468" s="9" t="s">
        <v>51</v>
      </c>
      <c r="P468" s="9"/>
      <c r="Q468" s="9"/>
      <c r="R468" s="9" t="s">
        <v>61</v>
      </c>
      <c r="S468" s="9" t="s">
        <v>2022</v>
      </c>
      <c r="T468" s="9" t="s">
        <v>2023</v>
      </c>
      <c r="U468" s="9" t="s">
        <v>54</v>
      </c>
      <c r="V468" s="9" t="s">
        <v>55</v>
      </c>
      <c r="W468" s="9" t="s">
        <v>55</v>
      </c>
      <c r="X468" s="9" t="s">
        <v>64</v>
      </c>
      <c r="Y468" s="9" t="s">
        <v>65</v>
      </c>
      <c r="Z468" s="13"/>
    </row>
    <row r="469" spans="1:26" ht="32.25" hidden="1" customHeight="1">
      <c r="A469" s="8">
        <v>2315417</v>
      </c>
      <c r="B469" s="9" t="s">
        <v>2024</v>
      </c>
      <c r="C469" s="10">
        <v>45152</v>
      </c>
      <c r="D469" s="9" t="s">
        <v>185</v>
      </c>
      <c r="E469" s="9" t="s">
        <v>295</v>
      </c>
      <c r="F469" s="9" t="s">
        <v>42</v>
      </c>
      <c r="G469" s="9" t="s">
        <v>43</v>
      </c>
      <c r="H469" s="9" t="s">
        <v>44</v>
      </c>
      <c r="I469" s="11" t="s">
        <v>296</v>
      </c>
      <c r="J469" s="9" t="s">
        <v>297</v>
      </c>
      <c r="K469" s="9" t="s">
        <v>92</v>
      </c>
      <c r="L469" s="9" t="s">
        <v>2025</v>
      </c>
      <c r="M469" s="9" t="s">
        <v>2026</v>
      </c>
      <c r="N469" s="9" t="s">
        <v>50</v>
      </c>
      <c r="O469" s="9" t="s">
        <v>187</v>
      </c>
      <c r="P469" s="9"/>
      <c r="Q469" s="9"/>
      <c r="R469" s="9" t="s">
        <v>61</v>
      </c>
      <c r="S469" s="14" t="s">
        <v>2027</v>
      </c>
      <c r="T469" s="9" t="s">
        <v>2028</v>
      </c>
      <c r="U469" s="9" t="s">
        <v>54</v>
      </c>
      <c r="V469" s="9" t="s">
        <v>55</v>
      </c>
      <c r="W469" s="9" t="s">
        <v>55</v>
      </c>
      <c r="X469" s="12" t="s">
        <v>319</v>
      </c>
      <c r="Y469" s="9" t="s">
        <v>320</v>
      </c>
      <c r="Z469" s="13"/>
    </row>
    <row r="470" spans="1:26" ht="32.25" hidden="1" customHeight="1">
      <c r="A470" s="8">
        <v>2312756</v>
      </c>
      <c r="B470" s="9" t="s">
        <v>2029</v>
      </c>
      <c r="C470" s="10">
        <v>45149</v>
      </c>
      <c r="D470" s="9" t="s">
        <v>57</v>
      </c>
      <c r="E470" s="9" t="s">
        <v>295</v>
      </c>
      <c r="F470" s="9" t="s">
        <v>42</v>
      </c>
      <c r="G470" s="9" t="s">
        <v>43</v>
      </c>
      <c r="H470" s="9" t="s">
        <v>58</v>
      </c>
      <c r="I470" s="11" t="s">
        <v>296</v>
      </c>
      <c r="J470" s="9" t="s">
        <v>297</v>
      </c>
      <c r="K470" s="9" t="s">
        <v>47</v>
      </c>
      <c r="L470" s="9" t="s">
        <v>1686</v>
      </c>
      <c r="M470" s="9" t="s">
        <v>1750</v>
      </c>
      <c r="N470" s="9" t="s">
        <v>50</v>
      </c>
      <c r="O470" s="9" t="s">
        <v>51</v>
      </c>
      <c r="P470" s="9"/>
      <c r="Q470" s="9"/>
      <c r="R470" s="9" t="s">
        <v>61</v>
      </c>
      <c r="S470" s="14" t="s">
        <v>2030</v>
      </c>
      <c r="T470" s="9" t="s">
        <v>2031</v>
      </c>
      <c r="U470" s="9" t="s">
        <v>54</v>
      </c>
      <c r="V470" s="9" t="s">
        <v>55</v>
      </c>
      <c r="W470" s="9" t="s">
        <v>55</v>
      </c>
      <c r="X470" s="9" t="s">
        <v>319</v>
      </c>
      <c r="Y470" s="9" t="s">
        <v>320</v>
      </c>
      <c r="Z470" s="13"/>
    </row>
    <row r="471" spans="1:26" ht="32.25" hidden="1" customHeight="1">
      <c r="A471" s="8">
        <v>2304951</v>
      </c>
      <c r="B471" s="9" t="s">
        <v>2032</v>
      </c>
      <c r="C471" s="10">
        <v>45149</v>
      </c>
      <c r="D471" s="9" t="s">
        <v>57</v>
      </c>
      <c r="E471" s="9" t="s">
        <v>41</v>
      </c>
      <c r="F471" s="9" t="s">
        <v>42</v>
      </c>
      <c r="G471" s="9" t="s">
        <v>43</v>
      </c>
      <c r="H471" s="9" t="s">
        <v>58</v>
      </c>
      <c r="I471" s="11" t="s">
        <v>45</v>
      </c>
      <c r="J471" s="9" t="s">
        <v>46</v>
      </c>
      <c r="K471" s="9" t="s">
        <v>47</v>
      </c>
      <c r="L471" s="9" t="s">
        <v>156</v>
      </c>
      <c r="M471" s="9"/>
      <c r="N471" s="9" t="s">
        <v>50</v>
      </c>
      <c r="O471" s="9" t="s">
        <v>51</v>
      </c>
      <c r="P471" s="9"/>
      <c r="Q471" s="9"/>
      <c r="R471" s="9"/>
      <c r="S471" s="14" t="s">
        <v>2033</v>
      </c>
      <c r="T471" s="9" t="s">
        <v>2034</v>
      </c>
      <c r="U471" s="9" t="s">
        <v>54</v>
      </c>
      <c r="V471" s="9" t="s">
        <v>55</v>
      </c>
      <c r="W471" s="9" t="s">
        <v>55</v>
      </c>
      <c r="X471" s="12"/>
      <c r="Y471" s="9" t="s">
        <v>55</v>
      </c>
      <c r="Z471" s="13"/>
    </row>
    <row r="472" spans="1:26" ht="32.25" hidden="1" customHeight="1">
      <c r="A472" s="8">
        <v>2300303</v>
      </c>
      <c r="B472" s="9" t="s">
        <v>2035</v>
      </c>
      <c r="C472" s="10">
        <v>45142</v>
      </c>
      <c r="D472" s="9" t="s">
        <v>1850</v>
      </c>
      <c r="E472" s="9" t="s">
        <v>89</v>
      </c>
      <c r="F472" s="9" t="s">
        <v>42</v>
      </c>
      <c r="G472" s="9" t="s">
        <v>43</v>
      </c>
      <c r="H472" s="9" t="s">
        <v>44</v>
      </c>
      <c r="I472" s="11" t="s">
        <v>360</v>
      </c>
      <c r="J472" s="9" t="s">
        <v>102</v>
      </c>
      <c r="K472" s="9" t="s">
        <v>2036</v>
      </c>
      <c r="L472" s="9"/>
      <c r="M472" s="9" t="s">
        <v>2037</v>
      </c>
      <c r="N472" s="9" t="s">
        <v>50</v>
      </c>
      <c r="O472" s="9" t="s">
        <v>187</v>
      </c>
      <c r="P472" s="9" t="s">
        <v>361</v>
      </c>
      <c r="Q472" s="9"/>
      <c r="R472" s="9" t="s">
        <v>61</v>
      </c>
      <c r="S472" s="9" t="s">
        <v>2038</v>
      </c>
      <c r="T472" s="9" t="s">
        <v>2039</v>
      </c>
      <c r="U472" s="9" t="s">
        <v>54</v>
      </c>
      <c r="V472" s="9" t="s">
        <v>276</v>
      </c>
      <c r="W472" s="9"/>
      <c r="X472" s="12" t="s">
        <v>98</v>
      </c>
      <c r="Y472" s="9" t="s">
        <v>99</v>
      </c>
      <c r="Z472" s="13" t="s">
        <v>240</v>
      </c>
    </row>
    <row r="473" spans="1:26" ht="32.25" hidden="1" customHeight="1">
      <c r="A473" s="8">
        <v>2307100</v>
      </c>
      <c r="B473" s="9" t="s">
        <v>2040</v>
      </c>
      <c r="C473" s="10">
        <v>45149</v>
      </c>
      <c r="D473" s="9" t="s">
        <v>57</v>
      </c>
      <c r="E473" s="9" t="s">
        <v>41</v>
      </c>
      <c r="F473" s="9" t="s">
        <v>42</v>
      </c>
      <c r="G473" s="9" t="s">
        <v>43</v>
      </c>
      <c r="H473" s="9" t="s">
        <v>58</v>
      </c>
      <c r="I473" s="11" t="s">
        <v>661</v>
      </c>
      <c r="J473" s="9" t="s">
        <v>662</v>
      </c>
      <c r="K473" s="9" t="s">
        <v>47</v>
      </c>
      <c r="L473" s="9" t="s">
        <v>48</v>
      </c>
      <c r="M473" s="9" t="s">
        <v>1418</v>
      </c>
      <c r="N473" s="9" t="s">
        <v>50</v>
      </c>
      <c r="O473" s="9" t="s">
        <v>51</v>
      </c>
      <c r="P473" s="9"/>
      <c r="Q473" s="9"/>
      <c r="R473" s="9" t="s">
        <v>61</v>
      </c>
      <c r="S473" s="14" t="s">
        <v>2041</v>
      </c>
      <c r="T473" s="9" t="s">
        <v>2042</v>
      </c>
      <c r="U473" s="9" t="s">
        <v>54</v>
      </c>
      <c r="V473" s="9" t="s">
        <v>55</v>
      </c>
      <c r="W473" s="9" t="s">
        <v>55</v>
      </c>
      <c r="X473" s="9" t="s">
        <v>64</v>
      </c>
      <c r="Y473" s="9" t="s">
        <v>65</v>
      </c>
      <c r="Z473" s="13"/>
    </row>
    <row r="474" spans="1:26" ht="32.25" hidden="1" customHeight="1">
      <c r="A474" s="8">
        <v>2308584</v>
      </c>
      <c r="B474" s="9" t="s">
        <v>2043</v>
      </c>
      <c r="C474" s="10">
        <v>45156</v>
      </c>
      <c r="D474" s="9" t="s">
        <v>79</v>
      </c>
      <c r="E474" s="9" t="s">
        <v>89</v>
      </c>
      <c r="F474" s="9" t="s">
        <v>80</v>
      </c>
      <c r="G474" s="9" t="s">
        <v>43</v>
      </c>
      <c r="H474" s="9" t="s">
        <v>44</v>
      </c>
      <c r="I474" s="11" t="s">
        <v>101</v>
      </c>
      <c r="J474" s="9" t="s">
        <v>102</v>
      </c>
      <c r="K474" s="9" t="s">
        <v>47</v>
      </c>
      <c r="L474" s="9" t="s">
        <v>1227</v>
      </c>
      <c r="M474" s="9" t="s">
        <v>2044</v>
      </c>
      <c r="N474" s="9" t="s">
        <v>84</v>
      </c>
      <c r="O474" s="9" t="s">
        <v>51</v>
      </c>
      <c r="P474" s="9" t="s">
        <v>1229</v>
      </c>
      <c r="Q474" s="9"/>
      <c r="R474" s="9" t="s">
        <v>61</v>
      </c>
      <c r="S474" s="14" t="s">
        <v>2045</v>
      </c>
      <c r="T474" s="9" t="s">
        <v>2046</v>
      </c>
      <c r="U474" s="9" t="s">
        <v>54</v>
      </c>
      <c r="V474" s="9" t="s">
        <v>55</v>
      </c>
      <c r="W474" s="9" t="s">
        <v>55</v>
      </c>
      <c r="X474" s="12" t="s">
        <v>98</v>
      </c>
      <c r="Y474" s="9" t="s">
        <v>99</v>
      </c>
      <c r="Z474" s="13"/>
    </row>
    <row r="475" spans="1:26" ht="32.25" hidden="1" customHeight="1">
      <c r="A475" s="8">
        <v>2306572</v>
      </c>
      <c r="B475" s="9" t="s">
        <v>2047</v>
      </c>
      <c r="C475" s="10">
        <v>45142</v>
      </c>
      <c r="D475" s="9" t="s">
        <v>67</v>
      </c>
      <c r="E475" s="9" t="s">
        <v>143</v>
      </c>
      <c r="F475" s="9" t="s">
        <v>42</v>
      </c>
      <c r="G475" s="9" t="s">
        <v>43</v>
      </c>
      <c r="H475" s="9" t="s">
        <v>44</v>
      </c>
      <c r="I475" s="11" t="s">
        <v>144</v>
      </c>
      <c r="J475" s="9" t="s">
        <v>145</v>
      </c>
      <c r="K475" s="9" t="s">
        <v>47</v>
      </c>
      <c r="L475" s="9" t="s">
        <v>713</v>
      </c>
      <c r="M475" s="9" t="s">
        <v>714</v>
      </c>
      <c r="N475" s="9" t="s">
        <v>84</v>
      </c>
      <c r="O475" s="9" t="s">
        <v>51</v>
      </c>
      <c r="P475" s="9" t="s">
        <v>147</v>
      </c>
      <c r="Q475" s="9"/>
      <c r="R475" s="9" t="s">
        <v>61</v>
      </c>
      <c r="S475" s="9" t="s">
        <v>2048</v>
      </c>
      <c r="T475" s="9" t="s">
        <v>2049</v>
      </c>
      <c r="U475" s="9" t="s">
        <v>54</v>
      </c>
      <c r="V475" s="9" t="s">
        <v>55</v>
      </c>
      <c r="W475" s="9" t="s">
        <v>55</v>
      </c>
      <c r="X475" s="12" t="s">
        <v>150</v>
      </c>
      <c r="Y475" s="9" t="s">
        <v>151</v>
      </c>
      <c r="Z475" s="13"/>
    </row>
    <row r="476" spans="1:26" ht="32.25" hidden="1" customHeight="1">
      <c r="A476" s="8">
        <v>2308751</v>
      </c>
      <c r="B476" s="9" t="s">
        <v>2050</v>
      </c>
      <c r="C476" s="10">
        <v>45149</v>
      </c>
      <c r="D476" s="9" t="s">
        <v>261</v>
      </c>
      <c r="E476" s="9" t="s">
        <v>68</v>
      </c>
      <c r="F476" s="9" t="s">
        <v>262</v>
      </c>
      <c r="G476" s="9" t="s">
        <v>43</v>
      </c>
      <c r="H476" s="9" t="s">
        <v>44</v>
      </c>
      <c r="I476" s="11" t="s">
        <v>1085</v>
      </c>
      <c r="J476" s="9" t="s">
        <v>1086</v>
      </c>
      <c r="K476" s="9" t="s">
        <v>47</v>
      </c>
      <c r="L476" s="9" t="s">
        <v>741</v>
      </c>
      <c r="M476" s="9" t="s">
        <v>2051</v>
      </c>
      <c r="N476" s="9" t="s">
        <v>50</v>
      </c>
      <c r="O476" s="9" t="s">
        <v>51</v>
      </c>
      <c r="P476" s="9"/>
      <c r="Q476" s="9"/>
      <c r="R476" s="9" t="s">
        <v>61</v>
      </c>
      <c r="S476" s="14" t="s">
        <v>2052</v>
      </c>
      <c r="T476" s="9" t="s">
        <v>2053</v>
      </c>
      <c r="U476" s="9" t="s">
        <v>262</v>
      </c>
      <c r="V476" s="9" t="s">
        <v>55</v>
      </c>
      <c r="W476" s="9" t="s">
        <v>55</v>
      </c>
      <c r="X476" s="12" t="s">
        <v>389</v>
      </c>
      <c r="Y476" s="9" t="s">
        <v>390</v>
      </c>
      <c r="Z476" s="13"/>
    </row>
    <row r="477" spans="1:26" ht="32.25" hidden="1" customHeight="1">
      <c r="A477" s="8">
        <v>2302171</v>
      </c>
      <c r="B477" s="9" t="s">
        <v>2054</v>
      </c>
      <c r="C477" s="10">
        <v>45136</v>
      </c>
      <c r="D477" s="9" t="s">
        <v>40</v>
      </c>
      <c r="E477" s="9" t="s">
        <v>41</v>
      </c>
      <c r="F477" s="9" t="s">
        <v>42</v>
      </c>
      <c r="G477" s="9" t="s">
        <v>43</v>
      </c>
      <c r="H477" s="9" t="s">
        <v>44</v>
      </c>
      <c r="I477" s="11" t="s">
        <v>661</v>
      </c>
      <c r="J477" s="9" t="s">
        <v>662</v>
      </c>
      <c r="K477" s="9" t="s">
        <v>47</v>
      </c>
      <c r="L477" s="9" t="s">
        <v>48</v>
      </c>
      <c r="M477" s="9" t="s">
        <v>2055</v>
      </c>
      <c r="N477" s="9" t="s">
        <v>50</v>
      </c>
      <c r="O477" s="9" t="s">
        <v>51</v>
      </c>
      <c r="P477" s="9"/>
      <c r="Q477" s="9"/>
      <c r="R477" s="9" t="s">
        <v>61</v>
      </c>
      <c r="S477" s="9" t="s">
        <v>2056</v>
      </c>
      <c r="T477" s="9" t="s">
        <v>2057</v>
      </c>
      <c r="U477" s="9" t="s">
        <v>54</v>
      </c>
      <c r="V477" s="9" t="s">
        <v>55</v>
      </c>
      <c r="W477" s="9" t="s">
        <v>55</v>
      </c>
      <c r="X477" s="9" t="s">
        <v>64</v>
      </c>
      <c r="Y477" s="9" t="s">
        <v>65</v>
      </c>
      <c r="Z477" s="13"/>
    </row>
    <row r="478" spans="1:26" ht="32.25" hidden="1" customHeight="1">
      <c r="A478" s="8">
        <v>2312318</v>
      </c>
      <c r="B478" s="9" t="s">
        <v>2058</v>
      </c>
      <c r="C478" s="10">
        <v>45142</v>
      </c>
      <c r="D478" s="9" t="s">
        <v>67</v>
      </c>
      <c r="E478" s="9" t="s">
        <v>89</v>
      </c>
      <c r="F478" s="9" t="s">
        <v>42</v>
      </c>
      <c r="G478" s="9" t="s">
        <v>43</v>
      </c>
      <c r="H478" s="9" t="s">
        <v>44</v>
      </c>
      <c r="I478" s="11" t="s">
        <v>360</v>
      </c>
      <c r="J478" s="9" t="s">
        <v>102</v>
      </c>
      <c r="K478" s="9" t="s">
        <v>47</v>
      </c>
      <c r="L478" s="9" t="s">
        <v>948</v>
      </c>
      <c r="M478" s="9" t="s">
        <v>949</v>
      </c>
      <c r="N478" s="9" t="s">
        <v>50</v>
      </c>
      <c r="O478" s="9" t="s">
        <v>51</v>
      </c>
      <c r="P478" s="9" t="s">
        <v>361</v>
      </c>
      <c r="Q478" s="9"/>
      <c r="R478" s="9" t="s">
        <v>61</v>
      </c>
      <c r="S478" s="9" t="s">
        <v>2059</v>
      </c>
      <c r="T478" s="9" t="s">
        <v>2060</v>
      </c>
      <c r="U478" s="9" t="s">
        <v>54</v>
      </c>
      <c r="V478" s="9" t="s">
        <v>55</v>
      </c>
      <c r="W478" s="9" t="s">
        <v>55</v>
      </c>
      <c r="X478" s="12" t="s">
        <v>98</v>
      </c>
      <c r="Y478" s="9" t="s">
        <v>99</v>
      </c>
      <c r="Z478" s="13"/>
    </row>
    <row r="479" spans="1:26" ht="32.25" hidden="1" customHeight="1">
      <c r="A479" s="8">
        <v>2308906</v>
      </c>
      <c r="B479" s="9" t="s">
        <v>2061</v>
      </c>
      <c r="C479" s="10">
        <v>45142</v>
      </c>
      <c r="D479" s="9" t="s">
        <v>67</v>
      </c>
      <c r="E479" s="9" t="s">
        <v>89</v>
      </c>
      <c r="F479" s="9" t="s">
        <v>42</v>
      </c>
      <c r="G479" s="9" t="s">
        <v>43</v>
      </c>
      <c r="H479" s="9" t="s">
        <v>44</v>
      </c>
      <c r="I479" s="11" t="s">
        <v>360</v>
      </c>
      <c r="J479" s="9" t="s">
        <v>102</v>
      </c>
      <c r="K479" s="9" t="s">
        <v>47</v>
      </c>
      <c r="L479" s="9" t="s">
        <v>167</v>
      </c>
      <c r="M479" s="9" t="s">
        <v>168</v>
      </c>
      <c r="N479" s="9" t="s">
        <v>50</v>
      </c>
      <c r="O479" s="9" t="s">
        <v>51</v>
      </c>
      <c r="P479" s="9" t="s">
        <v>361</v>
      </c>
      <c r="Q479" s="9"/>
      <c r="R479" s="9" t="s">
        <v>61</v>
      </c>
      <c r="S479" s="9" t="s">
        <v>2062</v>
      </c>
      <c r="T479" s="9" t="s">
        <v>2063</v>
      </c>
      <c r="U479" s="9" t="s">
        <v>54</v>
      </c>
      <c r="V479" s="9" t="s">
        <v>55</v>
      </c>
      <c r="W479" s="9" t="s">
        <v>55</v>
      </c>
      <c r="X479" s="12" t="s">
        <v>98</v>
      </c>
      <c r="Y479" s="9" t="s">
        <v>99</v>
      </c>
      <c r="Z479" s="13"/>
    </row>
    <row r="480" spans="1:26" ht="32.25" hidden="1" customHeight="1">
      <c r="A480" s="8">
        <v>2303496</v>
      </c>
      <c r="B480" s="9" t="s">
        <v>2064</v>
      </c>
      <c r="C480" s="10">
        <v>45149</v>
      </c>
      <c r="D480" s="9" t="s">
        <v>57</v>
      </c>
      <c r="E480" s="9" t="s">
        <v>153</v>
      </c>
      <c r="F480" s="9" t="s">
        <v>42</v>
      </c>
      <c r="G480" s="9" t="s">
        <v>43</v>
      </c>
      <c r="H480" s="9" t="s">
        <v>58</v>
      </c>
      <c r="I480" s="11" t="s">
        <v>154</v>
      </c>
      <c r="J480" s="9" t="s">
        <v>155</v>
      </c>
      <c r="K480" s="9" t="s">
        <v>47</v>
      </c>
      <c r="L480" s="9" t="s">
        <v>156</v>
      </c>
      <c r="M480" s="9"/>
      <c r="N480" s="9" t="s">
        <v>50</v>
      </c>
      <c r="O480" s="9" t="s">
        <v>51</v>
      </c>
      <c r="P480" s="9"/>
      <c r="Q480" s="9"/>
      <c r="R480" s="9"/>
      <c r="S480" s="14" t="s">
        <v>2065</v>
      </c>
      <c r="T480" s="9" t="s">
        <v>2066</v>
      </c>
      <c r="U480" s="9" t="s">
        <v>54</v>
      </c>
      <c r="V480" s="9" t="s">
        <v>55</v>
      </c>
      <c r="W480" s="9" t="s">
        <v>55</v>
      </c>
      <c r="X480" s="12"/>
      <c r="Y480" s="9" t="s">
        <v>55</v>
      </c>
      <c r="Z480" s="13"/>
    </row>
    <row r="481" spans="1:26" ht="32.25" hidden="1" customHeight="1">
      <c r="A481" s="8">
        <v>2305850</v>
      </c>
      <c r="B481" s="9" t="s">
        <v>2067</v>
      </c>
      <c r="C481" s="10">
        <v>45142</v>
      </c>
      <c r="D481" s="9" t="s">
        <v>67</v>
      </c>
      <c r="E481" s="9" t="s">
        <v>68</v>
      </c>
      <c r="F481" s="9" t="s">
        <v>135</v>
      </c>
      <c r="G481" s="9" t="s">
        <v>43</v>
      </c>
      <c r="H481" s="9" t="s">
        <v>44</v>
      </c>
      <c r="I481" s="11" t="s">
        <v>136</v>
      </c>
      <c r="J481" s="9" t="s">
        <v>137</v>
      </c>
      <c r="K481" s="9" t="s">
        <v>47</v>
      </c>
      <c r="L481" s="9" t="s">
        <v>156</v>
      </c>
      <c r="M481" s="9"/>
      <c r="N481" s="9" t="s">
        <v>50</v>
      </c>
      <c r="O481" s="9" t="s">
        <v>51</v>
      </c>
      <c r="P481" s="9"/>
      <c r="Q481" s="9"/>
      <c r="R481" s="9"/>
      <c r="S481" s="9" t="s">
        <v>2068</v>
      </c>
      <c r="T481" s="9" t="s">
        <v>2069</v>
      </c>
      <c r="U481" s="9" t="s">
        <v>54</v>
      </c>
      <c r="V481" s="9" t="s">
        <v>55</v>
      </c>
      <c r="W481" s="9" t="s">
        <v>55</v>
      </c>
      <c r="X481" s="12"/>
      <c r="Y481" s="9" t="s">
        <v>55</v>
      </c>
      <c r="Z481" s="13"/>
    </row>
    <row r="482" spans="1:26" ht="32.25" hidden="1" customHeight="1">
      <c r="A482" s="8">
        <v>2302045</v>
      </c>
      <c r="B482" s="9" t="s">
        <v>2070</v>
      </c>
      <c r="C482" s="10">
        <v>45142</v>
      </c>
      <c r="D482" s="9" t="s">
        <v>67</v>
      </c>
      <c r="E482" s="9" t="s">
        <v>68</v>
      </c>
      <c r="F482" s="9" t="s">
        <v>135</v>
      </c>
      <c r="G482" s="9" t="s">
        <v>43</v>
      </c>
      <c r="H482" s="9" t="s">
        <v>44</v>
      </c>
      <c r="I482" s="11" t="s">
        <v>136</v>
      </c>
      <c r="J482" s="9" t="s">
        <v>137</v>
      </c>
      <c r="K482" s="9" t="s">
        <v>47</v>
      </c>
      <c r="L482" s="9" t="s">
        <v>138</v>
      </c>
      <c r="M482" s="9" t="s">
        <v>624</v>
      </c>
      <c r="N482" s="9" t="s">
        <v>50</v>
      </c>
      <c r="O482" s="9" t="s">
        <v>51</v>
      </c>
      <c r="P482" s="9"/>
      <c r="Q482" s="9"/>
      <c r="R482" s="9" t="s">
        <v>61</v>
      </c>
      <c r="S482" s="9" t="s">
        <v>2071</v>
      </c>
      <c r="T482" s="9" t="s">
        <v>2072</v>
      </c>
      <c r="U482" s="9" t="s">
        <v>54</v>
      </c>
      <c r="V482" s="9" t="s">
        <v>55</v>
      </c>
      <c r="W482" s="9" t="s">
        <v>55</v>
      </c>
      <c r="X482" s="12" t="s">
        <v>76</v>
      </c>
      <c r="Y482" s="9" t="s">
        <v>77</v>
      </c>
      <c r="Z482" s="13"/>
    </row>
    <row r="483" spans="1:26" ht="32.25" hidden="1" customHeight="1">
      <c r="A483" s="8">
        <v>2310969</v>
      </c>
      <c r="B483" s="9" t="s">
        <v>2073</v>
      </c>
      <c r="C483" s="10">
        <v>45136</v>
      </c>
      <c r="D483" s="9" t="s">
        <v>40</v>
      </c>
      <c r="E483" s="9" t="s">
        <v>143</v>
      </c>
      <c r="F483" s="9" t="s">
        <v>42</v>
      </c>
      <c r="G483" s="9" t="s">
        <v>43</v>
      </c>
      <c r="H483" s="9" t="s">
        <v>44</v>
      </c>
      <c r="I483" s="11" t="s">
        <v>144</v>
      </c>
      <c r="J483" s="9" t="s">
        <v>145</v>
      </c>
      <c r="K483" s="9" t="s">
        <v>47</v>
      </c>
      <c r="L483" s="9" t="s">
        <v>799</v>
      </c>
      <c r="M483" s="9" t="s">
        <v>1490</v>
      </c>
      <c r="N483" s="9" t="s">
        <v>50</v>
      </c>
      <c r="O483" s="9" t="s">
        <v>51</v>
      </c>
      <c r="P483" s="9" t="s">
        <v>147</v>
      </c>
      <c r="Q483" s="9"/>
      <c r="R483" s="9" t="s">
        <v>61</v>
      </c>
      <c r="S483" s="9" t="s">
        <v>2074</v>
      </c>
      <c r="T483" s="9" t="s">
        <v>2075</v>
      </c>
      <c r="U483" s="9" t="s">
        <v>54</v>
      </c>
      <c r="V483" s="9" t="s">
        <v>55</v>
      </c>
      <c r="W483" s="9" t="s">
        <v>55</v>
      </c>
      <c r="X483" s="12" t="s">
        <v>150</v>
      </c>
      <c r="Y483" s="9" t="s">
        <v>151</v>
      </c>
      <c r="Z483" s="13"/>
    </row>
    <row r="484" spans="1:26" ht="32.25" hidden="1" customHeight="1">
      <c r="A484" s="8">
        <v>2314742</v>
      </c>
      <c r="B484" s="9" t="s">
        <v>2076</v>
      </c>
      <c r="C484" s="10">
        <v>45156</v>
      </c>
      <c r="D484" s="9" t="s">
        <v>79</v>
      </c>
      <c r="E484" s="9" t="s">
        <v>41</v>
      </c>
      <c r="F484" s="9" t="s">
        <v>80</v>
      </c>
      <c r="G484" s="9" t="s">
        <v>43</v>
      </c>
      <c r="H484" s="9" t="s">
        <v>44</v>
      </c>
      <c r="I484" s="11" t="s">
        <v>233</v>
      </c>
      <c r="J484" s="9" t="s">
        <v>200</v>
      </c>
      <c r="K484" s="9" t="s">
        <v>47</v>
      </c>
      <c r="L484" s="9" t="s">
        <v>156</v>
      </c>
      <c r="M484" s="9"/>
      <c r="N484" s="9" t="s">
        <v>50</v>
      </c>
      <c r="O484" s="9" t="s">
        <v>51</v>
      </c>
      <c r="P484" s="9" t="s">
        <v>443</v>
      </c>
      <c r="Q484" s="9"/>
      <c r="R484" s="9"/>
      <c r="S484" s="14" t="s">
        <v>2077</v>
      </c>
      <c r="T484" s="9" t="s">
        <v>2078</v>
      </c>
      <c r="U484" s="9" t="s">
        <v>54</v>
      </c>
      <c r="V484" s="9"/>
      <c r="W484" s="9" t="s">
        <v>115</v>
      </c>
      <c r="X484" s="12"/>
      <c r="Y484" s="9" t="s">
        <v>55</v>
      </c>
      <c r="Z484" s="13"/>
    </row>
    <row r="485" spans="1:26" ht="32.25" hidden="1" customHeight="1">
      <c r="A485" s="8">
        <v>2313187</v>
      </c>
      <c r="B485" s="9" t="s">
        <v>2079</v>
      </c>
      <c r="C485" s="10">
        <v>45142</v>
      </c>
      <c r="D485" s="9" t="s">
        <v>67</v>
      </c>
      <c r="E485" s="9" t="s">
        <v>68</v>
      </c>
      <c r="F485" s="9" t="s">
        <v>135</v>
      </c>
      <c r="G485" s="9" t="s">
        <v>43</v>
      </c>
      <c r="H485" s="9" t="s">
        <v>44</v>
      </c>
      <c r="I485" s="11" t="s">
        <v>136</v>
      </c>
      <c r="J485" s="9" t="s">
        <v>137</v>
      </c>
      <c r="K485" s="9" t="s">
        <v>47</v>
      </c>
      <c r="L485" s="9" t="s">
        <v>2080</v>
      </c>
      <c r="M485" s="9" t="s">
        <v>2081</v>
      </c>
      <c r="N485" s="9" t="s">
        <v>84</v>
      </c>
      <c r="O485" s="9" t="s">
        <v>51</v>
      </c>
      <c r="P485" s="9"/>
      <c r="Q485" s="9"/>
      <c r="R485" s="9" t="s">
        <v>61</v>
      </c>
      <c r="S485" s="9" t="s">
        <v>2082</v>
      </c>
      <c r="T485" s="9" t="s">
        <v>2083</v>
      </c>
      <c r="U485" s="9" t="s">
        <v>54</v>
      </c>
      <c r="V485" s="9" t="s">
        <v>55</v>
      </c>
      <c r="W485" s="9" t="s">
        <v>55</v>
      </c>
      <c r="X485" s="12" t="s">
        <v>76</v>
      </c>
      <c r="Y485" s="9" t="s">
        <v>77</v>
      </c>
      <c r="Z485" s="13"/>
    </row>
    <row r="486" spans="1:26" ht="32.25" hidden="1" customHeight="1">
      <c r="A486" s="8">
        <v>2310016</v>
      </c>
      <c r="B486" s="9" t="s">
        <v>2084</v>
      </c>
      <c r="C486" s="10">
        <v>45156</v>
      </c>
      <c r="D486" s="9" t="s">
        <v>79</v>
      </c>
      <c r="E486" s="9" t="s">
        <v>153</v>
      </c>
      <c r="F486" s="9" t="s">
        <v>80</v>
      </c>
      <c r="G486" s="9" t="s">
        <v>43</v>
      </c>
      <c r="H486" s="9" t="s">
        <v>44</v>
      </c>
      <c r="I486" s="11" t="s">
        <v>1588</v>
      </c>
      <c r="J486" s="9" t="s">
        <v>155</v>
      </c>
      <c r="K486" s="9" t="s">
        <v>47</v>
      </c>
      <c r="L486" s="9" t="s">
        <v>1040</v>
      </c>
      <c r="M486" s="9" t="s">
        <v>1147</v>
      </c>
      <c r="N486" s="9" t="s">
        <v>50</v>
      </c>
      <c r="O486" s="9" t="s">
        <v>51</v>
      </c>
      <c r="P486" s="9" t="s">
        <v>2085</v>
      </c>
      <c r="Q486" s="9"/>
      <c r="R486" s="9" t="s">
        <v>61</v>
      </c>
      <c r="S486" s="14" t="s">
        <v>2086</v>
      </c>
      <c r="T486" s="9" t="s">
        <v>2087</v>
      </c>
      <c r="U486" s="9" t="s">
        <v>54</v>
      </c>
      <c r="V486" s="9" t="s">
        <v>55</v>
      </c>
      <c r="W486" s="9" t="s">
        <v>55</v>
      </c>
      <c r="X486" s="12" t="s">
        <v>319</v>
      </c>
      <c r="Y486" s="9" t="s">
        <v>320</v>
      </c>
      <c r="Z486" s="13"/>
    </row>
    <row r="487" spans="1:26" ht="32.25" hidden="1" customHeight="1">
      <c r="A487" s="8">
        <v>2308758</v>
      </c>
      <c r="B487" s="9" t="s">
        <v>2088</v>
      </c>
      <c r="C487" s="10">
        <v>45142</v>
      </c>
      <c r="D487" s="9" t="s">
        <v>67</v>
      </c>
      <c r="E487" s="9" t="s">
        <v>68</v>
      </c>
      <c r="F487" s="9" t="s">
        <v>135</v>
      </c>
      <c r="G487" s="9" t="s">
        <v>43</v>
      </c>
      <c r="H487" s="9" t="s">
        <v>44</v>
      </c>
      <c r="I487" s="11" t="s">
        <v>136</v>
      </c>
      <c r="J487" s="9" t="s">
        <v>137</v>
      </c>
      <c r="K487" s="9" t="s">
        <v>47</v>
      </c>
      <c r="L487" s="9" t="s">
        <v>1087</v>
      </c>
      <c r="M487" s="9" t="s">
        <v>2089</v>
      </c>
      <c r="N487" s="9" t="s">
        <v>50</v>
      </c>
      <c r="O487" s="9" t="s">
        <v>51</v>
      </c>
      <c r="P487" s="9"/>
      <c r="Q487" s="9"/>
      <c r="R487" s="9" t="s">
        <v>61</v>
      </c>
      <c r="S487" s="9" t="s">
        <v>2090</v>
      </c>
      <c r="T487" s="9" t="s">
        <v>2091</v>
      </c>
      <c r="U487" s="9" t="s">
        <v>54</v>
      </c>
      <c r="V487" s="9" t="s">
        <v>55</v>
      </c>
      <c r="W487" s="9" t="s">
        <v>55</v>
      </c>
      <c r="X487" s="12" t="s">
        <v>76</v>
      </c>
      <c r="Y487" s="9" t="s">
        <v>77</v>
      </c>
      <c r="Z487" s="13"/>
    </row>
    <row r="488" spans="1:26" ht="32.25" hidden="1" customHeight="1">
      <c r="A488" s="8">
        <v>2312121</v>
      </c>
      <c r="B488" s="9" t="s">
        <v>2092</v>
      </c>
      <c r="C488" s="10">
        <v>45149</v>
      </c>
      <c r="D488" s="9" t="s">
        <v>57</v>
      </c>
      <c r="E488" s="9" t="s">
        <v>41</v>
      </c>
      <c r="F488" s="9" t="s">
        <v>42</v>
      </c>
      <c r="G488" s="9" t="s">
        <v>43</v>
      </c>
      <c r="H488" s="9" t="s">
        <v>58</v>
      </c>
      <c r="I488" s="11" t="s">
        <v>661</v>
      </c>
      <c r="J488" s="9" t="s">
        <v>662</v>
      </c>
      <c r="K488" s="9" t="s">
        <v>47</v>
      </c>
      <c r="L488" s="9" t="s">
        <v>1040</v>
      </c>
      <c r="M488" s="9" t="s">
        <v>2093</v>
      </c>
      <c r="N488" s="9" t="s">
        <v>50</v>
      </c>
      <c r="O488" s="9" t="s">
        <v>51</v>
      </c>
      <c r="P488" s="9"/>
      <c r="Q488" s="9"/>
      <c r="R488" s="9" t="s">
        <v>61</v>
      </c>
      <c r="S488" s="14" t="s">
        <v>2094</v>
      </c>
      <c r="T488" s="9" t="s">
        <v>2095</v>
      </c>
      <c r="U488" s="9" t="s">
        <v>54</v>
      </c>
      <c r="V488" s="9" t="s">
        <v>55</v>
      </c>
      <c r="W488" s="9" t="s">
        <v>55</v>
      </c>
      <c r="X488" s="9" t="s">
        <v>64</v>
      </c>
      <c r="Y488" s="9" t="s">
        <v>65</v>
      </c>
      <c r="Z488" s="13"/>
    </row>
    <row r="489" spans="1:26" ht="32.25" hidden="1" customHeight="1">
      <c r="A489" s="8">
        <v>2301618</v>
      </c>
      <c r="B489" s="9" t="s">
        <v>2096</v>
      </c>
      <c r="C489" s="10">
        <v>45149</v>
      </c>
      <c r="D489" s="9" t="s">
        <v>57</v>
      </c>
      <c r="E489" s="9" t="s">
        <v>41</v>
      </c>
      <c r="F489" s="9" t="s">
        <v>42</v>
      </c>
      <c r="G489" s="9" t="s">
        <v>43</v>
      </c>
      <c r="H489" s="9" t="s">
        <v>58</v>
      </c>
      <c r="I489" s="11" t="s">
        <v>45</v>
      </c>
      <c r="J489" s="9" t="s">
        <v>46</v>
      </c>
      <c r="K489" s="9" t="s">
        <v>47</v>
      </c>
      <c r="L489" s="9" t="s">
        <v>48</v>
      </c>
      <c r="M489" s="9" t="s">
        <v>49</v>
      </c>
      <c r="N489" s="9" t="s">
        <v>84</v>
      </c>
      <c r="O489" s="9" t="s">
        <v>51</v>
      </c>
      <c r="P489" s="9"/>
      <c r="Q489" s="9"/>
      <c r="R489" s="9"/>
      <c r="S489" s="14" t="s">
        <v>2097</v>
      </c>
      <c r="T489" s="9" t="s">
        <v>2098</v>
      </c>
      <c r="U489" s="9" t="s">
        <v>54</v>
      </c>
      <c r="V489" s="9" t="s">
        <v>55</v>
      </c>
      <c r="W489" s="9" t="s">
        <v>55</v>
      </c>
      <c r="X489" s="12"/>
      <c r="Y489" s="9" t="s">
        <v>55</v>
      </c>
      <c r="Z489" s="13"/>
    </row>
    <row r="490" spans="1:26" ht="32.25" hidden="1" customHeight="1">
      <c r="A490" s="8">
        <v>2313478</v>
      </c>
      <c r="B490" s="9" t="s">
        <v>2099</v>
      </c>
      <c r="C490" s="10">
        <v>45156</v>
      </c>
      <c r="D490" s="9" t="s">
        <v>79</v>
      </c>
      <c r="E490" s="9" t="s">
        <v>143</v>
      </c>
      <c r="F490" s="9" t="s">
        <v>80</v>
      </c>
      <c r="G490" s="9" t="s">
        <v>43</v>
      </c>
      <c r="H490" s="9" t="s">
        <v>44</v>
      </c>
      <c r="I490" s="11" t="s">
        <v>326</v>
      </c>
      <c r="J490" s="9" t="s">
        <v>327</v>
      </c>
      <c r="K490" s="9" t="s">
        <v>47</v>
      </c>
      <c r="L490" s="9" t="s">
        <v>741</v>
      </c>
      <c r="M490" s="9" t="s">
        <v>2100</v>
      </c>
      <c r="N490" s="9" t="s">
        <v>50</v>
      </c>
      <c r="O490" s="9" t="s">
        <v>51</v>
      </c>
      <c r="P490" s="9" t="s">
        <v>1238</v>
      </c>
      <c r="Q490" s="9"/>
      <c r="R490" s="9" t="s">
        <v>61</v>
      </c>
      <c r="S490" s="14" t="s">
        <v>2101</v>
      </c>
      <c r="T490" s="9" t="s">
        <v>2102</v>
      </c>
      <c r="U490" s="9" t="s">
        <v>54</v>
      </c>
      <c r="V490" s="9" t="s">
        <v>370</v>
      </c>
      <c r="W490" s="9" t="s">
        <v>115</v>
      </c>
      <c r="X490" s="12" t="s">
        <v>150</v>
      </c>
      <c r="Y490" s="9" t="s">
        <v>151</v>
      </c>
      <c r="Z490" s="13"/>
    </row>
    <row r="491" spans="1:26" ht="32.25" hidden="1" customHeight="1">
      <c r="A491" s="8">
        <v>2307597</v>
      </c>
      <c r="B491" s="9" t="s">
        <v>2103</v>
      </c>
      <c r="C491" s="10">
        <v>45156</v>
      </c>
      <c r="D491" s="9" t="s">
        <v>79</v>
      </c>
      <c r="E491" s="9" t="s">
        <v>41</v>
      </c>
      <c r="F491" s="9" t="s">
        <v>80</v>
      </c>
      <c r="G491" s="9" t="s">
        <v>43</v>
      </c>
      <c r="H491" s="9" t="s">
        <v>44</v>
      </c>
      <c r="I491" s="11" t="s">
        <v>81</v>
      </c>
      <c r="J491" s="9" t="s">
        <v>46</v>
      </c>
      <c r="K491" s="9" t="s">
        <v>47</v>
      </c>
      <c r="L491" s="9" t="s">
        <v>822</v>
      </c>
      <c r="M491" s="9" t="s">
        <v>2104</v>
      </c>
      <c r="N491" s="9" t="s">
        <v>50</v>
      </c>
      <c r="O491" s="9" t="s">
        <v>51</v>
      </c>
      <c r="P491" s="9" t="s">
        <v>503</v>
      </c>
      <c r="Q491" s="9"/>
      <c r="R491" s="9" t="s">
        <v>61</v>
      </c>
      <c r="S491" s="14" t="s">
        <v>2105</v>
      </c>
      <c r="T491" s="9" t="s">
        <v>2106</v>
      </c>
      <c r="U491" s="9" t="s">
        <v>54</v>
      </c>
      <c r="V491" s="9" t="s">
        <v>318</v>
      </c>
      <c r="W491" s="9" t="s">
        <v>115</v>
      </c>
      <c r="X491" s="12" t="s">
        <v>319</v>
      </c>
      <c r="Y491" s="9" t="s">
        <v>320</v>
      </c>
      <c r="Z491" s="13"/>
    </row>
    <row r="492" spans="1:26" ht="32.25" hidden="1" customHeight="1">
      <c r="A492" s="8">
        <v>2304608</v>
      </c>
      <c r="B492" s="9" t="s">
        <v>2107</v>
      </c>
      <c r="C492" s="10">
        <v>45142</v>
      </c>
      <c r="D492" s="9" t="s">
        <v>67</v>
      </c>
      <c r="E492" s="9" t="s">
        <v>68</v>
      </c>
      <c r="F492" s="9" t="s">
        <v>135</v>
      </c>
      <c r="G492" s="9" t="s">
        <v>43</v>
      </c>
      <c r="H492" s="9" t="s">
        <v>44</v>
      </c>
      <c r="I492" s="11" t="s">
        <v>136</v>
      </c>
      <c r="J492" s="9" t="s">
        <v>137</v>
      </c>
      <c r="K492" s="9" t="s">
        <v>47</v>
      </c>
      <c r="L492" s="9" t="s">
        <v>138</v>
      </c>
      <c r="M492" s="9" t="s">
        <v>2108</v>
      </c>
      <c r="N492" s="9" t="s">
        <v>50</v>
      </c>
      <c r="O492" s="9" t="s">
        <v>51</v>
      </c>
      <c r="P492" s="9"/>
      <c r="Q492" s="9"/>
      <c r="R492" s="9" t="s">
        <v>61</v>
      </c>
      <c r="S492" s="9" t="s">
        <v>2109</v>
      </c>
      <c r="T492" s="9" t="s">
        <v>2110</v>
      </c>
      <c r="U492" s="9" t="s">
        <v>54</v>
      </c>
      <c r="V492" s="9" t="s">
        <v>55</v>
      </c>
      <c r="W492" s="9" t="s">
        <v>55</v>
      </c>
      <c r="X492" s="12" t="s">
        <v>76</v>
      </c>
      <c r="Y492" s="9" t="s">
        <v>77</v>
      </c>
      <c r="Z492" s="13"/>
    </row>
    <row r="493" spans="1:26" ht="32.25" hidden="1" customHeight="1">
      <c r="A493" s="8">
        <v>2310938</v>
      </c>
      <c r="B493" s="9" t="s">
        <v>2111</v>
      </c>
      <c r="C493" s="10">
        <v>45149</v>
      </c>
      <c r="D493" s="9" t="s">
        <v>57</v>
      </c>
      <c r="E493" s="9" t="s">
        <v>153</v>
      </c>
      <c r="F493" s="9" t="s">
        <v>42</v>
      </c>
      <c r="G493" s="9" t="s">
        <v>43</v>
      </c>
      <c r="H493" s="9" t="s">
        <v>58</v>
      </c>
      <c r="I493" s="11" t="s">
        <v>154</v>
      </c>
      <c r="J493" s="9" t="s">
        <v>155</v>
      </c>
      <c r="K493" s="9" t="s">
        <v>47</v>
      </c>
      <c r="L493" s="9" t="s">
        <v>741</v>
      </c>
      <c r="M493" s="9" t="s">
        <v>2112</v>
      </c>
      <c r="N493" s="9" t="s">
        <v>84</v>
      </c>
      <c r="O493" s="9" t="s">
        <v>51</v>
      </c>
      <c r="P493" s="9"/>
      <c r="Q493" s="9"/>
      <c r="R493" s="9" t="s">
        <v>61</v>
      </c>
      <c r="S493" s="14" t="s">
        <v>2113</v>
      </c>
      <c r="T493" s="9" t="s">
        <v>2114</v>
      </c>
      <c r="U493" s="9" t="s">
        <v>54</v>
      </c>
      <c r="V493" s="9" t="s">
        <v>55</v>
      </c>
      <c r="W493" s="9" t="s">
        <v>55</v>
      </c>
      <c r="X493" s="12" t="s">
        <v>171</v>
      </c>
      <c r="Y493" s="9" t="s">
        <v>172</v>
      </c>
      <c r="Z493" s="13"/>
    </row>
    <row r="494" spans="1:26" ht="32.25" hidden="1" customHeight="1">
      <c r="A494" s="8">
        <v>2304592</v>
      </c>
      <c r="B494" s="9" t="s">
        <v>2115</v>
      </c>
      <c r="C494" s="10">
        <v>45156</v>
      </c>
      <c r="D494" s="9" t="s">
        <v>79</v>
      </c>
      <c r="E494" s="9" t="s">
        <v>89</v>
      </c>
      <c r="F494" s="9" t="s">
        <v>80</v>
      </c>
      <c r="G494" s="9" t="s">
        <v>43</v>
      </c>
      <c r="H494" s="9" t="s">
        <v>44</v>
      </c>
      <c r="I494" s="11" t="s">
        <v>90</v>
      </c>
      <c r="J494" s="9" t="s">
        <v>91</v>
      </c>
      <c r="K494" s="9" t="s">
        <v>47</v>
      </c>
      <c r="L494" s="9" t="s">
        <v>741</v>
      </c>
      <c r="M494" s="9" t="s">
        <v>2116</v>
      </c>
      <c r="N494" s="9" t="s">
        <v>84</v>
      </c>
      <c r="O494" s="9" t="s">
        <v>51</v>
      </c>
      <c r="P494" s="9" t="s">
        <v>546</v>
      </c>
      <c r="Q494" s="9"/>
      <c r="R494" s="9" t="s">
        <v>61</v>
      </c>
      <c r="S494" s="14" t="s">
        <v>2117</v>
      </c>
      <c r="T494" s="9" t="s">
        <v>2118</v>
      </c>
      <c r="U494" s="9" t="s">
        <v>54</v>
      </c>
      <c r="V494" s="9" t="s">
        <v>318</v>
      </c>
      <c r="W494" s="9" t="s">
        <v>115</v>
      </c>
      <c r="X494" s="12" t="s">
        <v>319</v>
      </c>
      <c r="Y494" s="9" t="s">
        <v>320</v>
      </c>
      <c r="Z494" s="13"/>
    </row>
    <row r="495" spans="1:26" ht="32.25" hidden="1" customHeight="1">
      <c r="A495" s="8">
        <v>2303794</v>
      </c>
      <c r="B495" s="9" t="s">
        <v>2119</v>
      </c>
      <c r="C495" s="10">
        <v>45142</v>
      </c>
      <c r="D495" s="9" t="s">
        <v>67</v>
      </c>
      <c r="E495" s="9" t="s">
        <v>89</v>
      </c>
      <c r="F495" s="9" t="s">
        <v>42</v>
      </c>
      <c r="G495" s="9" t="s">
        <v>43</v>
      </c>
      <c r="H495" s="9" t="s">
        <v>44</v>
      </c>
      <c r="I495" s="11" t="s">
        <v>360</v>
      </c>
      <c r="J495" s="9" t="s">
        <v>102</v>
      </c>
      <c r="K495" s="9" t="s">
        <v>47</v>
      </c>
      <c r="L495" s="9" t="s">
        <v>1831</v>
      </c>
      <c r="M495" s="9" t="s">
        <v>2120</v>
      </c>
      <c r="N495" s="9" t="s">
        <v>50</v>
      </c>
      <c r="O495" s="9" t="s">
        <v>51</v>
      </c>
      <c r="P495" s="9" t="s">
        <v>361</v>
      </c>
      <c r="Q495" s="9"/>
      <c r="R495" s="9"/>
      <c r="S495" s="9" t="s">
        <v>2121</v>
      </c>
      <c r="T495" s="9" t="s">
        <v>2122</v>
      </c>
      <c r="U495" s="9" t="s">
        <v>54</v>
      </c>
      <c r="V495" s="9" t="s">
        <v>55</v>
      </c>
      <c r="W495" s="9" t="s">
        <v>55</v>
      </c>
      <c r="X495" s="12"/>
      <c r="Y495" s="9" t="s">
        <v>55</v>
      </c>
      <c r="Z495" s="13"/>
    </row>
    <row r="496" spans="1:26" ht="32.25" hidden="1" customHeight="1">
      <c r="A496" s="8">
        <v>2310684</v>
      </c>
      <c r="B496" s="9" t="s">
        <v>2123</v>
      </c>
      <c r="C496" s="10">
        <v>45156</v>
      </c>
      <c r="D496" s="9" t="s">
        <v>79</v>
      </c>
      <c r="E496" s="9" t="s">
        <v>89</v>
      </c>
      <c r="F496" s="9" t="s">
        <v>80</v>
      </c>
      <c r="G496" s="9" t="s">
        <v>43</v>
      </c>
      <c r="H496" s="9" t="s">
        <v>44</v>
      </c>
      <c r="I496" s="11" t="s">
        <v>117</v>
      </c>
      <c r="J496" s="9" t="s">
        <v>118</v>
      </c>
      <c r="K496" s="9" t="s">
        <v>47</v>
      </c>
      <c r="L496" s="9" t="s">
        <v>1542</v>
      </c>
      <c r="M496" s="9" t="s">
        <v>1543</v>
      </c>
      <c r="N496" s="9" t="s">
        <v>84</v>
      </c>
      <c r="O496" s="9" t="s">
        <v>51</v>
      </c>
      <c r="P496" s="9" t="s">
        <v>121</v>
      </c>
      <c r="Q496" s="9"/>
      <c r="R496" s="9" t="s">
        <v>61</v>
      </c>
      <c r="S496" s="14" t="s">
        <v>2124</v>
      </c>
      <c r="T496" s="9" t="s">
        <v>2125</v>
      </c>
      <c r="U496" s="9" t="s">
        <v>54</v>
      </c>
      <c r="V496" s="9" t="s">
        <v>55</v>
      </c>
      <c r="W496" s="9" t="s">
        <v>55</v>
      </c>
      <c r="X496" s="12" t="s">
        <v>98</v>
      </c>
      <c r="Y496" s="9" t="s">
        <v>99</v>
      </c>
      <c r="Z496" s="13"/>
    </row>
    <row r="497" spans="1:26" ht="32.25" hidden="1" customHeight="1">
      <c r="A497" s="8">
        <v>2303620</v>
      </c>
      <c r="B497" s="9" t="s">
        <v>2126</v>
      </c>
      <c r="C497" s="10">
        <v>45149</v>
      </c>
      <c r="D497" s="9" t="s">
        <v>57</v>
      </c>
      <c r="E497" s="9" t="s">
        <v>41</v>
      </c>
      <c r="F497" s="9" t="s">
        <v>42</v>
      </c>
      <c r="G497" s="9" t="s">
        <v>43</v>
      </c>
      <c r="H497" s="9" t="s">
        <v>58</v>
      </c>
      <c r="I497" s="11" t="s">
        <v>129</v>
      </c>
      <c r="J497" s="9" t="s">
        <v>130</v>
      </c>
      <c r="K497" s="9" t="s">
        <v>47</v>
      </c>
      <c r="L497" s="9" t="s">
        <v>156</v>
      </c>
      <c r="M497" s="9"/>
      <c r="N497" s="9" t="s">
        <v>84</v>
      </c>
      <c r="O497" s="9" t="s">
        <v>51</v>
      </c>
      <c r="P497" s="9"/>
      <c r="Q497" s="9"/>
      <c r="R497" s="9"/>
      <c r="S497" s="14" t="s">
        <v>2127</v>
      </c>
      <c r="T497" s="9" t="s">
        <v>2128</v>
      </c>
      <c r="U497" s="9" t="s">
        <v>54</v>
      </c>
      <c r="V497" s="9" t="s">
        <v>55</v>
      </c>
      <c r="W497" s="9" t="s">
        <v>55</v>
      </c>
      <c r="X497" s="12"/>
      <c r="Y497" s="9" t="s">
        <v>55</v>
      </c>
      <c r="Z497" s="13"/>
    </row>
    <row r="498" spans="1:26" ht="32.25" hidden="1" customHeight="1">
      <c r="A498" s="8">
        <v>2302985</v>
      </c>
      <c r="B498" s="9" t="s">
        <v>2129</v>
      </c>
      <c r="C498" s="10">
        <v>45149</v>
      </c>
      <c r="D498" s="9" t="s">
        <v>57</v>
      </c>
      <c r="E498" s="9" t="s">
        <v>41</v>
      </c>
      <c r="F498" s="9" t="s">
        <v>42</v>
      </c>
      <c r="G498" s="9" t="s">
        <v>43</v>
      </c>
      <c r="H498" s="9" t="s">
        <v>58</v>
      </c>
      <c r="I498" s="11" t="s">
        <v>129</v>
      </c>
      <c r="J498" s="9" t="s">
        <v>130</v>
      </c>
      <c r="K498" s="9" t="s">
        <v>47</v>
      </c>
      <c r="L498" s="9" t="s">
        <v>1378</v>
      </c>
      <c r="M498" s="9" t="s">
        <v>1664</v>
      </c>
      <c r="N498" s="9" t="s">
        <v>84</v>
      </c>
      <c r="O498" s="9" t="s">
        <v>51</v>
      </c>
      <c r="P498" s="9"/>
      <c r="Q498" s="9"/>
      <c r="R498" s="9" t="s">
        <v>61</v>
      </c>
      <c r="S498" s="14" t="s">
        <v>2130</v>
      </c>
      <c r="T498" s="9" t="s">
        <v>2131</v>
      </c>
      <c r="U498" s="9" t="s">
        <v>54</v>
      </c>
      <c r="V498" s="9" t="s">
        <v>55</v>
      </c>
      <c r="W498" s="9" t="s">
        <v>55</v>
      </c>
      <c r="X498" s="9" t="s">
        <v>319</v>
      </c>
      <c r="Y498" s="9" t="s">
        <v>320</v>
      </c>
      <c r="Z498" s="13" t="s">
        <v>230</v>
      </c>
    </row>
    <row r="499" spans="1:26" ht="32.25" hidden="1" customHeight="1">
      <c r="A499" s="8">
        <v>2313113</v>
      </c>
      <c r="B499" s="9" t="s">
        <v>2132</v>
      </c>
      <c r="C499" s="10">
        <v>45156</v>
      </c>
      <c r="D499" s="9" t="s">
        <v>79</v>
      </c>
      <c r="E499" s="9" t="s">
        <v>143</v>
      </c>
      <c r="F499" s="9" t="s">
        <v>80</v>
      </c>
      <c r="G499" s="9" t="s">
        <v>43</v>
      </c>
      <c r="H499" s="9" t="s">
        <v>44</v>
      </c>
      <c r="I499" s="11" t="s">
        <v>326</v>
      </c>
      <c r="J499" s="9" t="s">
        <v>327</v>
      </c>
      <c r="K499" s="9" t="s">
        <v>47</v>
      </c>
      <c r="L499" s="9" t="s">
        <v>863</v>
      </c>
      <c r="M499" s="9" t="s">
        <v>2133</v>
      </c>
      <c r="N499" s="9" t="s">
        <v>84</v>
      </c>
      <c r="O499" s="9" t="s">
        <v>51</v>
      </c>
      <c r="P499" s="9" t="s">
        <v>1646</v>
      </c>
      <c r="Q499" s="9"/>
      <c r="R499" s="9" t="s">
        <v>61</v>
      </c>
      <c r="S499" s="14" t="s">
        <v>2134</v>
      </c>
      <c r="T499" s="9" t="s">
        <v>2135</v>
      </c>
      <c r="U499" s="9" t="s">
        <v>54</v>
      </c>
      <c r="V499" s="9" t="s">
        <v>55</v>
      </c>
      <c r="W499" s="9" t="s">
        <v>55</v>
      </c>
      <c r="X499" s="12" t="s">
        <v>150</v>
      </c>
      <c r="Y499" s="9" t="s">
        <v>151</v>
      </c>
      <c r="Z499" s="13"/>
    </row>
    <row r="500" spans="1:26" ht="32.25" hidden="1" customHeight="1">
      <c r="A500" s="8">
        <v>2315155</v>
      </c>
      <c r="B500" s="9" t="s">
        <v>2136</v>
      </c>
      <c r="C500" s="10">
        <v>45149</v>
      </c>
      <c r="D500" s="9" t="s">
        <v>57</v>
      </c>
      <c r="E500" s="9" t="s">
        <v>41</v>
      </c>
      <c r="F500" s="9" t="s">
        <v>42</v>
      </c>
      <c r="G500" s="9" t="s">
        <v>43</v>
      </c>
      <c r="H500" s="9" t="s">
        <v>58</v>
      </c>
      <c r="I500" s="11" t="s">
        <v>45</v>
      </c>
      <c r="J500" s="9" t="s">
        <v>46</v>
      </c>
      <c r="K500" s="9" t="s">
        <v>47</v>
      </c>
      <c r="L500" s="9" t="s">
        <v>799</v>
      </c>
      <c r="M500" s="9" t="s">
        <v>1691</v>
      </c>
      <c r="N500" s="9" t="s">
        <v>84</v>
      </c>
      <c r="O500" s="9" t="s">
        <v>51</v>
      </c>
      <c r="P500" s="9"/>
      <c r="Q500" s="9"/>
      <c r="R500" s="9" t="s">
        <v>61</v>
      </c>
      <c r="S500" s="14" t="s">
        <v>2137</v>
      </c>
      <c r="T500" s="9" t="s">
        <v>2138</v>
      </c>
      <c r="U500" s="9" t="s">
        <v>54</v>
      </c>
      <c r="V500" s="9" t="s">
        <v>55</v>
      </c>
      <c r="W500" s="9" t="s">
        <v>55</v>
      </c>
      <c r="X500" s="9" t="s">
        <v>64</v>
      </c>
      <c r="Y500" s="9" t="s">
        <v>65</v>
      </c>
      <c r="Z500" s="13"/>
    </row>
    <row r="501" spans="1:26" ht="32.25" hidden="1" customHeight="1">
      <c r="A501" s="8">
        <v>2302238</v>
      </c>
      <c r="B501" s="9" t="s">
        <v>2139</v>
      </c>
      <c r="C501" s="10">
        <v>45149</v>
      </c>
      <c r="D501" s="9" t="s">
        <v>57</v>
      </c>
      <c r="E501" s="9" t="s">
        <v>153</v>
      </c>
      <c r="F501" s="9" t="s">
        <v>42</v>
      </c>
      <c r="G501" s="9" t="s">
        <v>43</v>
      </c>
      <c r="H501" s="9" t="s">
        <v>58</v>
      </c>
      <c r="I501" s="11" t="s">
        <v>154</v>
      </c>
      <c r="J501" s="9" t="s">
        <v>155</v>
      </c>
      <c r="K501" s="9" t="s">
        <v>47</v>
      </c>
      <c r="L501" s="9" t="s">
        <v>156</v>
      </c>
      <c r="M501" s="9"/>
      <c r="N501" s="9" t="s">
        <v>84</v>
      </c>
      <c r="O501" s="9" t="s">
        <v>51</v>
      </c>
      <c r="P501" s="9"/>
      <c r="Q501" s="9"/>
      <c r="R501" s="9"/>
      <c r="S501" s="14" t="s">
        <v>2140</v>
      </c>
      <c r="T501" s="9" t="s">
        <v>2141</v>
      </c>
      <c r="U501" s="9" t="s">
        <v>54</v>
      </c>
      <c r="V501" s="9" t="s">
        <v>55</v>
      </c>
      <c r="W501" s="9" t="s">
        <v>55</v>
      </c>
      <c r="X501" s="12"/>
      <c r="Y501" s="9" t="s">
        <v>55</v>
      </c>
      <c r="Z501" s="13"/>
    </row>
    <row r="502" spans="1:26" ht="32.25" hidden="1" customHeight="1">
      <c r="A502" s="8">
        <v>2309600</v>
      </c>
      <c r="B502" s="9" t="s">
        <v>2142</v>
      </c>
      <c r="C502" s="10">
        <v>45156</v>
      </c>
      <c r="D502" s="9" t="s">
        <v>79</v>
      </c>
      <c r="E502" s="9" t="s">
        <v>143</v>
      </c>
      <c r="F502" s="9" t="s">
        <v>80</v>
      </c>
      <c r="G502" s="9" t="s">
        <v>43</v>
      </c>
      <c r="H502" s="9" t="s">
        <v>44</v>
      </c>
      <c r="I502" s="11" t="s">
        <v>725</v>
      </c>
      <c r="J502" s="9" t="s">
        <v>145</v>
      </c>
      <c r="K502" s="9" t="s">
        <v>47</v>
      </c>
      <c r="L502" s="9" t="s">
        <v>827</v>
      </c>
      <c r="M502" s="9" t="s">
        <v>2143</v>
      </c>
      <c r="N502" s="9" t="s">
        <v>84</v>
      </c>
      <c r="O502" s="9" t="s">
        <v>51</v>
      </c>
      <c r="P502" s="9" t="s">
        <v>1520</v>
      </c>
      <c r="Q502" s="9"/>
      <c r="R502" s="9" t="s">
        <v>61</v>
      </c>
      <c r="S502" s="14" t="s">
        <v>2144</v>
      </c>
      <c r="T502" s="9" t="s">
        <v>2145</v>
      </c>
      <c r="U502" s="9" t="s">
        <v>54</v>
      </c>
      <c r="V502" s="9" t="s">
        <v>251</v>
      </c>
      <c r="W502" s="9" t="s">
        <v>115</v>
      </c>
      <c r="X502" s="12" t="s">
        <v>171</v>
      </c>
      <c r="Y502" s="9" t="s">
        <v>172</v>
      </c>
      <c r="Z502" s="13"/>
    </row>
    <row r="503" spans="1:26" ht="32.25" hidden="1" customHeight="1">
      <c r="A503" s="8">
        <v>2313376</v>
      </c>
      <c r="B503" s="9" t="s">
        <v>2146</v>
      </c>
      <c r="C503" s="10">
        <v>45149</v>
      </c>
      <c r="D503" s="9" t="s">
        <v>57</v>
      </c>
      <c r="E503" s="9" t="s">
        <v>153</v>
      </c>
      <c r="F503" s="9" t="s">
        <v>42</v>
      </c>
      <c r="G503" s="9" t="s">
        <v>43</v>
      </c>
      <c r="H503" s="9" t="s">
        <v>58</v>
      </c>
      <c r="I503" s="11" t="s">
        <v>154</v>
      </c>
      <c r="J503" s="9" t="s">
        <v>155</v>
      </c>
      <c r="K503" s="9" t="s">
        <v>47</v>
      </c>
      <c r="L503" s="9" t="s">
        <v>2147</v>
      </c>
      <c r="M503" s="9" t="s">
        <v>2148</v>
      </c>
      <c r="N503" s="9" t="s">
        <v>84</v>
      </c>
      <c r="O503" s="9" t="s">
        <v>51</v>
      </c>
      <c r="P503" s="9"/>
      <c r="Q503" s="9"/>
      <c r="R503" s="9" t="s">
        <v>61</v>
      </c>
      <c r="S503" s="14" t="s">
        <v>2149</v>
      </c>
      <c r="T503" s="9" t="s">
        <v>2150</v>
      </c>
      <c r="U503" s="9" t="s">
        <v>54</v>
      </c>
      <c r="V503" s="9" t="s">
        <v>55</v>
      </c>
      <c r="W503" s="9" t="s">
        <v>55</v>
      </c>
      <c r="X503" s="12" t="s">
        <v>171</v>
      </c>
      <c r="Y503" s="9" t="s">
        <v>172</v>
      </c>
      <c r="Z503" s="13"/>
    </row>
    <row r="504" spans="1:26" ht="32.25" hidden="1" customHeight="1">
      <c r="A504" s="8">
        <v>2302565</v>
      </c>
      <c r="B504" s="9" t="s">
        <v>2151</v>
      </c>
      <c r="C504" s="10">
        <v>45156</v>
      </c>
      <c r="D504" s="9" t="s">
        <v>79</v>
      </c>
      <c r="E504" s="9" t="s">
        <v>41</v>
      </c>
      <c r="F504" s="9" t="s">
        <v>80</v>
      </c>
      <c r="G504" s="9" t="s">
        <v>43</v>
      </c>
      <c r="H504" s="9" t="s">
        <v>44</v>
      </c>
      <c r="I504" s="11" t="s">
        <v>233</v>
      </c>
      <c r="J504" s="9" t="s">
        <v>200</v>
      </c>
      <c r="K504" s="9" t="s">
        <v>47</v>
      </c>
      <c r="L504" s="9" t="s">
        <v>156</v>
      </c>
      <c r="M504" s="9"/>
      <c r="N504" s="9" t="s">
        <v>50</v>
      </c>
      <c r="O504" s="9" t="s">
        <v>51</v>
      </c>
      <c r="P504" s="9" t="s">
        <v>865</v>
      </c>
      <c r="Q504" s="9"/>
      <c r="R504" s="9"/>
      <c r="S504" s="14" t="s">
        <v>2152</v>
      </c>
      <c r="T504" s="9" t="s">
        <v>2153</v>
      </c>
      <c r="U504" s="9" t="s">
        <v>54</v>
      </c>
      <c r="V504" s="9"/>
      <c r="W504" s="9" t="s">
        <v>115</v>
      </c>
      <c r="X504" s="12"/>
      <c r="Y504" s="9" t="s">
        <v>55</v>
      </c>
      <c r="Z504" s="13"/>
    </row>
    <row r="505" spans="1:26" ht="32.25" hidden="1" customHeight="1">
      <c r="A505" s="8">
        <v>2303949</v>
      </c>
      <c r="B505" s="9" t="s">
        <v>2154</v>
      </c>
      <c r="C505" s="10">
        <v>45142</v>
      </c>
      <c r="D505" s="9" t="s">
        <v>67</v>
      </c>
      <c r="E505" s="9" t="s">
        <v>68</v>
      </c>
      <c r="F505" s="9" t="s">
        <v>135</v>
      </c>
      <c r="G505" s="9" t="s">
        <v>43</v>
      </c>
      <c r="H505" s="9" t="s">
        <v>44</v>
      </c>
      <c r="I505" s="11" t="s">
        <v>136</v>
      </c>
      <c r="J505" s="9" t="s">
        <v>137</v>
      </c>
      <c r="K505" s="9" t="s">
        <v>47</v>
      </c>
      <c r="L505" s="9" t="s">
        <v>569</v>
      </c>
      <c r="M505" s="9" t="s">
        <v>2155</v>
      </c>
      <c r="N505" s="9" t="s">
        <v>50</v>
      </c>
      <c r="O505" s="9" t="s">
        <v>51</v>
      </c>
      <c r="P505" s="9"/>
      <c r="Q505" s="9"/>
      <c r="R505" s="9" t="s">
        <v>61</v>
      </c>
      <c r="S505" s="9" t="s">
        <v>2156</v>
      </c>
      <c r="T505" s="9" t="s">
        <v>2157</v>
      </c>
      <c r="U505" s="9" t="s">
        <v>54</v>
      </c>
      <c r="V505" s="9" t="s">
        <v>55</v>
      </c>
      <c r="W505" s="9" t="s">
        <v>55</v>
      </c>
      <c r="X505" s="12" t="s">
        <v>76</v>
      </c>
      <c r="Y505" s="9" t="s">
        <v>77</v>
      </c>
      <c r="Z505" s="13"/>
    </row>
    <row r="506" spans="1:26" ht="32.25" hidden="1" customHeight="1">
      <c r="A506" s="8">
        <v>2311481</v>
      </c>
      <c r="B506" s="9" t="s">
        <v>2158</v>
      </c>
      <c r="C506" s="10">
        <v>45149</v>
      </c>
      <c r="D506" s="9" t="s">
        <v>261</v>
      </c>
      <c r="E506" s="9" t="s">
        <v>89</v>
      </c>
      <c r="F506" s="9" t="s">
        <v>262</v>
      </c>
      <c r="G506" s="9" t="s">
        <v>43</v>
      </c>
      <c r="H506" s="9" t="s">
        <v>44</v>
      </c>
      <c r="I506" s="11" t="s">
        <v>685</v>
      </c>
      <c r="J506" s="9" t="s">
        <v>686</v>
      </c>
      <c r="K506" s="9" t="s">
        <v>47</v>
      </c>
      <c r="L506" s="9" t="s">
        <v>48</v>
      </c>
      <c r="M506" s="9" t="s">
        <v>2159</v>
      </c>
      <c r="N506" s="9" t="s">
        <v>50</v>
      </c>
      <c r="O506" s="9" t="s">
        <v>51</v>
      </c>
      <c r="P506" s="9"/>
      <c r="Q506" s="9"/>
      <c r="R506" s="9"/>
      <c r="S506" s="14" t="s">
        <v>2160</v>
      </c>
      <c r="T506" s="9" t="s">
        <v>2161</v>
      </c>
      <c r="U506" s="9" t="s">
        <v>262</v>
      </c>
      <c r="V506" s="9"/>
      <c r="W506" s="9" t="s">
        <v>115</v>
      </c>
      <c r="X506" s="12"/>
      <c r="Y506" s="9" t="s">
        <v>55</v>
      </c>
      <c r="Z506" s="13"/>
    </row>
    <row r="507" spans="1:26" ht="32.25" hidden="1" customHeight="1">
      <c r="A507" s="8">
        <v>2305770</v>
      </c>
      <c r="B507" s="9" t="s">
        <v>2162</v>
      </c>
      <c r="C507" s="10">
        <v>45136</v>
      </c>
      <c r="D507" s="9" t="s">
        <v>40</v>
      </c>
      <c r="E507" s="9" t="s">
        <v>41</v>
      </c>
      <c r="F507" s="9" t="s">
        <v>42</v>
      </c>
      <c r="G507" s="9" t="s">
        <v>43</v>
      </c>
      <c r="H507" s="9" t="s">
        <v>44</v>
      </c>
      <c r="I507" s="11" t="s">
        <v>199</v>
      </c>
      <c r="J507" s="9" t="s">
        <v>200</v>
      </c>
      <c r="K507" s="9" t="s">
        <v>47</v>
      </c>
      <c r="L507" s="9" t="s">
        <v>156</v>
      </c>
      <c r="M507" s="9"/>
      <c r="N507" s="9" t="s">
        <v>50</v>
      </c>
      <c r="O507" s="9" t="s">
        <v>51</v>
      </c>
      <c r="P507" s="9"/>
      <c r="Q507" s="9"/>
      <c r="R507" s="9"/>
      <c r="S507" s="9" t="s">
        <v>2163</v>
      </c>
      <c r="T507" s="9" t="s">
        <v>2164</v>
      </c>
      <c r="U507" s="9" t="s">
        <v>54</v>
      </c>
      <c r="V507" s="9" t="s">
        <v>55</v>
      </c>
      <c r="W507" s="9" t="s">
        <v>55</v>
      </c>
      <c r="X507" s="9"/>
      <c r="Y507" s="9" t="s">
        <v>55</v>
      </c>
      <c r="Z507" s="13"/>
    </row>
    <row r="508" spans="1:26" ht="32.25" hidden="1" customHeight="1">
      <c r="A508" s="8">
        <v>2312998</v>
      </c>
      <c r="B508" s="9" t="s">
        <v>2165</v>
      </c>
      <c r="C508" s="10">
        <v>45156</v>
      </c>
      <c r="D508" s="9" t="s">
        <v>79</v>
      </c>
      <c r="E508" s="9" t="s">
        <v>89</v>
      </c>
      <c r="F508" s="9" t="s">
        <v>80</v>
      </c>
      <c r="G508" s="9" t="s">
        <v>43</v>
      </c>
      <c r="H508" s="9" t="s">
        <v>44</v>
      </c>
      <c r="I508" s="11" t="s">
        <v>101</v>
      </c>
      <c r="J508" s="9" t="s">
        <v>102</v>
      </c>
      <c r="K508" s="9" t="s">
        <v>47</v>
      </c>
      <c r="L508" s="9" t="s">
        <v>204</v>
      </c>
      <c r="M508" s="9" t="s">
        <v>2166</v>
      </c>
      <c r="N508" s="9" t="s">
        <v>84</v>
      </c>
      <c r="O508" s="9" t="s">
        <v>51</v>
      </c>
      <c r="P508" s="9" t="s">
        <v>104</v>
      </c>
      <c r="Q508" s="9"/>
      <c r="R508" s="9" t="s">
        <v>61</v>
      </c>
      <c r="S508" s="14" t="s">
        <v>2167</v>
      </c>
      <c r="T508" s="9" t="s">
        <v>2168</v>
      </c>
      <c r="U508" s="9" t="s">
        <v>54</v>
      </c>
      <c r="V508" s="9" t="s">
        <v>55</v>
      </c>
      <c r="W508" s="9" t="s">
        <v>55</v>
      </c>
      <c r="X508" s="12" t="s">
        <v>98</v>
      </c>
      <c r="Y508" s="9" t="s">
        <v>99</v>
      </c>
      <c r="Z508" s="13"/>
    </row>
    <row r="509" spans="1:26" ht="32.25" hidden="1" customHeight="1">
      <c r="A509" s="8">
        <v>2302370</v>
      </c>
      <c r="B509" s="9" t="s">
        <v>2169</v>
      </c>
      <c r="C509" s="10">
        <v>45142</v>
      </c>
      <c r="D509" s="9" t="s">
        <v>67</v>
      </c>
      <c r="E509" s="9" t="s">
        <v>68</v>
      </c>
      <c r="F509" s="9" t="s">
        <v>135</v>
      </c>
      <c r="G509" s="9" t="s">
        <v>43</v>
      </c>
      <c r="H509" s="9" t="s">
        <v>44</v>
      </c>
      <c r="I509" s="11" t="s">
        <v>136</v>
      </c>
      <c r="J509" s="9" t="s">
        <v>137</v>
      </c>
      <c r="K509" s="9" t="s">
        <v>47</v>
      </c>
      <c r="L509" s="9" t="s">
        <v>167</v>
      </c>
      <c r="M509" s="9" t="s">
        <v>2170</v>
      </c>
      <c r="N509" s="9" t="s">
        <v>50</v>
      </c>
      <c r="O509" s="9" t="s">
        <v>51</v>
      </c>
      <c r="P509" s="9"/>
      <c r="Q509" s="9"/>
      <c r="R509" s="9" t="s">
        <v>61</v>
      </c>
      <c r="S509" s="9" t="s">
        <v>2171</v>
      </c>
      <c r="T509" s="9" t="s">
        <v>2172</v>
      </c>
      <c r="U509" s="9" t="s">
        <v>54</v>
      </c>
      <c r="V509" s="9" t="s">
        <v>55</v>
      </c>
      <c r="W509" s="9" t="s">
        <v>55</v>
      </c>
      <c r="X509" s="12" t="s">
        <v>76</v>
      </c>
      <c r="Y509" s="9" t="s">
        <v>77</v>
      </c>
      <c r="Z509" s="13"/>
    </row>
    <row r="510" spans="1:26" ht="32.25" hidden="1" customHeight="1">
      <c r="A510" s="8">
        <v>2315189</v>
      </c>
      <c r="B510" s="9" t="s">
        <v>2173</v>
      </c>
      <c r="C510" s="10">
        <v>45152</v>
      </c>
      <c r="D510" s="9" t="s">
        <v>185</v>
      </c>
      <c r="E510" s="9" t="s">
        <v>41</v>
      </c>
      <c r="F510" s="9" t="s">
        <v>42</v>
      </c>
      <c r="G510" s="9" t="s">
        <v>43</v>
      </c>
      <c r="H510" s="9" t="s">
        <v>44</v>
      </c>
      <c r="I510" s="11" t="s">
        <v>45</v>
      </c>
      <c r="J510" s="9" t="s">
        <v>46</v>
      </c>
      <c r="K510" s="9" t="s">
        <v>2174</v>
      </c>
      <c r="L510" s="9"/>
      <c r="M510" s="9"/>
      <c r="N510" s="9" t="s">
        <v>50</v>
      </c>
      <c r="O510" s="9" t="s">
        <v>187</v>
      </c>
      <c r="P510" s="9"/>
      <c r="Q510" s="9"/>
      <c r="R510" s="9" t="s">
        <v>61</v>
      </c>
      <c r="S510" s="14" t="s">
        <v>2175</v>
      </c>
      <c r="T510" s="9" t="s">
        <v>2176</v>
      </c>
      <c r="U510" s="9" t="s">
        <v>54</v>
      </c>
      <c r="V510" s="9" t="s">
        <v>2177</v>
      </c>
      <c r="W510" s="9"/>
      <c r="X510" s="12" t="s">
        <v>171</v>
      </c>
      <c r="Y510" s="9" t="s">
        <v>172</v>
      </c>
      <c r="Z510" s="13" t="s">
        <v>240</v>
      </c>
    </row>
    <row r="511" spans="1:26" ht="32.25" hidden="1" customHeight="1">
      <c r="A511" s="8">
        <v>2314916</v>
      </c>
      <c r="B511" s="9" t="s">
        <v>2178</v>
      </c>
      <c r="C511" s="10">
        <v>45156</v>
      </c>
      <c r="D511" s="9" t="s">
        <v>79</v>
      </c>
      <c r="E511" s="9" t="s">
        <v>41</v>
      </c>
      <c r="F511" s="9" t="s">
        <v>80</v>
      </c>
      <c r="G511" s="9" t="s">
        <v>43</v>
      </c>
      <c r="H511" s="9" t="s">
        <v>44</v>
      </c>
      <c r="I511" s="11" t="s">
        <v>81</v>
      </c>
      <c r="J511" s="9" t="s">
        <v>46</v>
      </c>
      <c r="K511" s="9" t="s">
        <v>47</v>
      </c>
      <c r="L511" s="9" t="s">
        <v>822</v>
      </c>
      <c r="M511" s="9" t="s">
        <v>1628</v>
      </c>
      <c r="N511" s="9" t="s">
        <v>50</v>
      </c>
      <c r="O511" s="9" t="s">
        <v>51</v>
      </c>
      <c r="P511" s="9" t="s">
        <v>85</v>
      </c>
      <c r="Q511" s="9"/>
      <c r="R511" s="9" t="s">
        <v>61</v>
      </c>
      <c r="S511" s="14" t="s">
        <v>2179</v>
      </c>
      <c r="T511" s="9" t="s">
        <v>2180</v>
      </c>
      <c r="U511" s="9" t="s">
        <v>54</v>
      </c>
      <c r="V511" s="9" t="s">
        <v>55</v>
      </c>
      <c r="W511" s="9" t="s">
        <v>55</v>
      </c>
      <c r="X511" s="9" t="s">
        <v>64</v>
      </c>
      <c r="Y511" s="9" t="s">
        <v>65</v>
      </c>
      <c r="Z511" s="13"/>
    </row>
    <row r="512" spans="1:26" ht="32.25" hidden="1" customHeight="1">
      <c r="A512" s="8">
        <v>2313797</v>
      </c>
      <c r="B512" s="9" t="s">
        <v>2181</v>
      </c>
      <c r="C512" s="10">
        <v>45156</v>
      </c>
      <c r="D512" s="9" t="s">
        <v>79</v>
      </c>
      <c r="E512" s="9" t="s">
        <v>68</v>
      </c>
      <c r="F512" s="9" t="s">
        <v>80</v>
      </c>
      <c r="G512" s="9" t="s">
        <v>43</v>
      </c>
      <c r="H512" s="9" t="s">
        <v>44</v>
      </c>
      <c r="I512" s="11" t="s">
        <v>101</v>
      </c>
      <c r="J512" s="9" t="s">
        <v>102</v>
      </c>
      <c r="K512" s="9" t="s">
        <v>110</v>
      </c>
      <c r="L512" s="9"/>
      <c r="M512" s="9"/>
      <c r="N512" s="9" t="s">
        <v>84</v>
      </c>
      <c r="O512" s="9" t="s">
        <v>51</v>
      </c>
      <c r="P512" s="9" t="s">
        <v>379</v>
      </c>
      <c r="Q512" s="9"/>
      <c r="R512" s="9"/>
      <c r="S512" s="14" t="s">
        <v>2182</v>
      </c>
      <c r="T512" s="9" t="s">
        <v>2183</v>
      </c>
      <c r="U512" s="9" t="s">
        <v>54</v>
      </c>
      <c r="V512" s="9" t="s">
        <v>55</v>
      </c>
      <c r="W512" s="9" t="s">
        <v>115</v>
      </c>
      <c r="X512" s="12"/>
      <c r="Y512" s="9" t="s">
        <v>55</v>
      </c>
      <c r="Z512" s="13"/>
    </row>
    <row r="513" spans="1:26" ht="32.25" hidden="1" customHeight="1">
      <c r="A513" s="8">
        <v>2312482</v>
      </c>
      <c r="B513" s="9" t="s">
        <v>2184</v>
      </c>
      <c r="C513" s="10">
        <v>45142</v>
      </c>
      <c r="D513" s="9" t="s">
        <v>67</v>
      </c>
      <c r="E513" s="9" t="s">
        <v>41</v>
      </c>
      <c r="F513" s="9" t="s">
        <v>42</v>
      </c>
      <c r="G513" s="9" t="s">
        <v>43</v>
      </c>
      <c r="H513" s="9" t="s">
        <v>44</v>
      </c>
      <c r="I513" s="11" t="s">
        <v>45</v>
      </c>
      <c r="J513" s="9" t="s">
        <v>46</v>
      </c>
      <c r="K513" s="9" t="s">
        <v>47</v>
      </c>
      <c r="L513" s="9" t="s">
        <v>167</v>
      </c>
      <c r="M513" s="9" t="s">
        <v>168</v>
      </c>
      <c r="N513" s="9" t="s">
        <v>84</v>
      </c>
      <c r="O513" s="9" t="s">
        <v>51</v>
      </c>
      <c r="P513" s="9"/>
      <c r="Q513" s="9"/>
      <c r="R513" s="9" t="s">
        <v>61</v>
      </c>
      <c r="S513" s="9" t="s">
        <v>2185</v>
      </c>
      <c r="T513" s="9" t="s">
        <v>2186</v>
      </c>
      <c r="U513" s="9" t="s">
        <v>54</v>
      </c>
      <c r="V513" s="9" t="s">
        <v>55</v>
      </c>
      <c r="W513" s="9" t="s">
        <v>55</v>
      </c>
      <c r="X513" s="9" t="s">
        <v>64</v>
      </c>
      <c r="Y513" s="9" t="s">
        <v>65</v>
      </c>
      <c r="Z513" s="13"/>
    </row>
    <row r="514" spans="1:26" ht="32.25" hidden="1" customHeight="1">
      <c r="A514" s="8">
        <v>2302531</v>
      </c>
      <c r="B514" s="9" t="s">
        <v>2187</v>
      </c>
      <c r="C514" s="10">
        <v>45156</v>
      </c>
      <c r="D514" s="9" t="s">
        <v>79</v>
      </c>
      <c r="E514" s="9" t="s">
        <v>89</v>
      </c>
      <c r="F514" s="9" t="s">
        <v>80</v>
      </c>
      <c r="G514" s="9" t="s">
        <v>43</v>
      </c>
      <c r="H514" s="9" t="s">
        <v>44</v>
      </c>
      <c r="I514" s="11" t="s">
        <v>101</v>
      </c>
      <c r="J514" s="9" t="s">
        <v>102</v>
      </c>
      <c r="K514" s="9" t="s">
        <v>47</v>
      </c>
      <c r="L514" s="9" t="s">
        <v>226</v>
      </c>
      <c r="M514" s="9" t="s">
        <v>227</v>
      </c>
      <c r="N514" s="9" t="s">
        <v>84</v>
      </c>
      <c r="O514" s="9" t="s">
        <v>51</v>
      </c>
      <c r="P514" s="9" t="s">
        <v>2188</v>
      </c>
      <c r="Q514" s="9"/>
      <c r="R514" s="9" t="s">
        <v>61</v>
      </c>
      <c r="S514" s="14" t="s">
        <v>2189</v>
      </c>
      <c r="T514" s="9" t="s">
        <v>2190</v>
      </c>
      <c r="U514" s="9" t="s">
        <v>54</v>
      </c>
      <c r="V514" s="9" t="s">
        <v>711</v>
      </c>
      <c r="W514" s="9" t="s">
        <v>115</v>
      </c>
      <c r="X514" s="12" t="s">
        <v>98</v>
      </c>
      <c r="Y514" s="9" t="s">
        <v>99</v>
      </c>
      <c r="Z514" s="13"/>
    </row>
    <row r="515" spans="1:26" ht="32.25" hidden="1" customHeight="1">
      <c r="A515" s="8">
        <v>2300258</v>
      </c>
      <c r="B515" s="9" t="s">
        <v>2191</v>
      </c>
      <c r="C515" s="10">
        <v>45149</v>
      </c>
      <c r="D515" s="9" t="s">
        <v>261</v>
      </c>
      <c r="E515" s="9" t="s">
        <v>295</v>
      </c>
      <c r="F515" s="9" t="s">
        <v>262</v>
      </c>
      <c r="G515" s="9" t="s">
        <v>43</v>
      </c>
      <c r="H515" s="9" t="s">
        <v>44</v>
      </c>
      <c r="I515" s="11" t="s">
        <v>893</v>
      </c>
      <c r="J515" s="9" t="s">
        <v>894</v>
      </c>
      <c r="K515" s="9" t="s">
        <v>47</v>
      </c>
      <c r="L515" s="9" t="s">
        <v>48</v>
      </c>
      <c r="M515" s="9" t="s">
        <v>726</v>
      </c>
      <c r="N515" s="9" t="s">
        <v>50</v>
      </c>
      <c r="O515" s="9" t="s">
        <v>51</v>
      </c>
      <c r="P515" s="9"/>
      <c r="Q515" s="9"/>
      <c r="R515" s="9"/>
      <c r="S515" s="14" t="s">
        <v>2192</v>
      </c>
      <c r="T515" s="9" t="s">
        <v>2193</v>
      </c>
      <c r="U515" s="9" t="s">
        <v>262</v>
      </c>
      <c r="V515" s="9" t="s">
        <v>55</v>
      </c>
      <c r="W515" s="9" t="s">
        <v>115</v>
      </c>
      <c r="X515" s="12"/>
      <c r="Y515" s="9" t="s">
        <v>55</v>
      </c>
      <c r="Z515" s="13"/>
    </row>
    <row r="516" spans="1:26" ht="32.25" hidden="1" customHeight="1">
      <c r="A516" s="8">
        <v>2304355</v>
      </c>
      <c r="B516" s="9" t="s">
        <v>2194</v>
      </c>
      <c r="C516" s="10">
        <v>45156</v>
      </c>
      <c r="D516" s="9" t="s">
        <v>565</v>
      </c>
      <c r="E516" s="9" t="s">
        <v>143</v>
      </c>
      <c r="F516" s="9" t="s">
        <v>42</v>
      </c>
      <c r="G516" s="9" t="s">
        <v>43</v>
      </c>
      <c r="H516" s="9" t="s">
        <v>58</v>
      </c>
      <c r="I516" s="11" t="s">
        <v>334</v>
      </c>
      <c r="J516" s="9" t="s">
        <v>327</v>
      </c>
      <c r="K516" s="9" t="s">
        <v>47</v>
      </c>
      <c r="L516" s="9" t="s">
        <v>48</v>
      </c>
      <c r="M516" s="9" t="s">
        <v>2011</v>
      </c>
      <c r="N516" s="9" t="s">
        <v>50</v>
      </c>
      <c r="O516" s="9" t="s">
        <v>51</v>
      </c>
      <c r="P516" s="9" t="s">
        <v>336</v>
      </c>
      <c r="Q516" s="9"/>
      <c r="R516" s="9"/>
      <c r="S516" s="14" t="s">
        <v>2195</v>
      </c>
      <c r="T516" s="9" t="s">
        <v>2196</v>
      </c>
      <c r="U516" s="9" t="s">
        <v>54</v>
      </c>
      <c r="V516" s="9" t="s">
        <v>55</v>
      </c>
      <c r="W516" s="9" t="s">
        <v>55</v>
      </c>
      <c r="X516" s="12"/>
      <c r="Y516" s="9" t="s">
        <v>55</v>
      </c>
      <c r="Z516" s="13"/>
    </row>
    <row r="517" spans="1:26" ht="32.25" hidden="1" customHeight="1">
      <c r="A517" s="8">
        <v>2311956</v>
      </c>
      <c r="B517" s="9" t="s">
        <v>2197</v>
      </c>
      <c r="C517" s="10">
        <v>45142</v>
      </c>
      <c r="D517" s="9" t="s">
        <v>67</v>
      </c>
      <c r="E517" s="9" t="s">
        <v>68</v>
      </c>
      <c r="F517" s="9" t="s">
        <v>135</v>
      </c>
      <c r="G517" s="9" t="s">
        <v>43</v>
      </c>
      <c r="H517" s="9" t="s">
        <v>44</v>
      </c>
      <c r="I517" s="11" t="s">
        <v>136</v>
      </c>
      <c r="J517" s="9" t="s">
        <v>137</v>
      </c>
      <c r="K517" s="9" t="s">
        <v>47</v>
      </c>
      <c r="L517" s="9" t="s">
        <v>48</v>
      </c>
      <c r="M517" s="9" t="s">
        <v>2198</v>
      </c>
      <c r="N517" s="9" t="s">
        <v>84</v>
      </c>
      <c r="O517" s="9" t="s">
        <v>51</v>
      </c>
      <c r="P517" s="9"/>
      <c r="Q517" s="9"/>
      <c r="R517" s="9" t="s">
        <v>61</v>
      </c>
      <c r="S517" s="9" t="s">
        <v>2199</v>
      </c>
      <c r="T517" s="9" t="s">
        <v>2200</v>
      </c>
      <c r="U517" s="9" t="s">
        <v>54</v>
      </c>
      <c r="V517" s="9" t="s">
        <v>55</v>
      </c>
      <c r="W517" s="9" t="s">
        <v>55</v>
      </c>
      <c r="X517" s="12" t="s">
        <v>76</v>
      </c>
      <c r="Y517" s="9" t="s">
        <v>77</v>
      </c>
      <c r="Z517" s="13"/>
    </row>
    <row r="518" spans="1:26" ht="32.25" hidden="1" customHeight="1">
      <c r="A518" s="8">
        <v>2302471</v>
      </c>
      <c r="B518" s="9" t="s">
        <v>2201</v>
      </c>
      <c r="C518" s="10">
        <v>45149</v>
      </c>
      <c r="D518" s="9" t="s">
        <v>57</v>
      </c>
      <c r="E518" s="9" t="s">
        <v>41</v>
      </c>
      <c r="F518" s="9" t="s">
        <v>42</v>
      </c>
      <c r="G518" s="9" t="s">
        <v>43</v>
      </c>
      <c r="H518" s="9" t="s">
        <v>58</v>
      </c>
      <c r="I518" s="11" t="s">
        <v>129</v>
      </c>
      <c r="J518" s="9" t="s">
        <v>130</v>
      </c>
      <c r="K518" s="9" t="s">
        <v>47</v>
      </c>
      <c r="L518" s="9" t="s">
        <v>156</v>
      </c>
      <c r="M518" s="9"/>
      <c r="N518" s="9" t="s">
        <v>84</v>
      </c>
      <c r="O518" s="9" t="s">
        <v>51</v>
      </c>
      <c r="P518" s="9"/>
      <c r="Q518" s="9"/>
      <c r="R518" s="9"/>
      <c r="S518" s="14" t="s">
        <v>2202</v>
      </c>
      <c r="T518" s="9" t="s">
        <v>2203</v>
      </c>
      <c r="U518" s="9" t="s">
        <v>54</v>
      </c>
      <c r="V518" s="9" t="s">
        <v>55</v>
      </c>
      <c r="W518" s="9" t="s">
        <v>55</v>
      </c>
      <c r="X518" s="12"/>
      <c r="Y518" s="9" t="s">
        <v>55</v>
      </c>
      <c r="Z518" s="13"/>
    </row>
    <row r="519" spans="1:26" ht="32.25" hidden="1" customHeight="1">
      <c r="A519" s="8">
        <v>2312341</v>
      </c>
      <c r="B519" s="9" t="s">
        <v>2204</v>
      </c>
      <c r="C519" s="10">
        <v>45142</v>
      </c>
      <c r="D519" s="9" t="s">
        <v>67</v>
      </c>
      <c r="E519" s="9" t="s">
        <v>143</v>
      </c>
      <c r="F519" s="9" t="s">
        <v>42</v>
      </c>
      <c r="G519" s="9" t="s">
        <v>43</v>
      </c>
      <c r="H519" s="9" t="s">
        <v>44</v>
      </c>
      <c r="I519" s="11" t="s">
        <v>144</v>
      </c>
      <c r="J519" s="9" t="s">
        <v>145</v>
      </c>
      <c r="K519" s="9" t="s">
        <v>47</v>
      </c>
      <c r="L519" s="9" t="s">
        <v>799</v>
      </c>
      <c r="M519" s="9" t="s">
        <v>800</v>
      </c>
      <c r="N519" s="9" t="s">
        <v>50</v>
      </c>
      <c r="O519" s="9" t="s">
        <v>51</v>
      </c>
      <c r="P519" s="9" t="s">
        <v>147</v>
      </c>
      <c r="Q519" s="9"/>
      <c r="R519" s="9"/>
      <c r="S519" s="9" t="s">
        <v>2205</v>
      </c>
      <c r="T519" s="9" t="s">
        <v>2206</v>
      </c>
      <c r="U519" s="9" t="s">
        <v>54</v>
      </c>
      <c r="V519" s="9" t="s">
        <v>55</v>
      </c>
      <c r="W519" s="9" t="s">
        <v>55</v>
      </c>
      <c r="X519" s="12"/>
      <c r="Y519" s="9" t="s">
        <v>55</v>
      </c>
      <c r="Z519" s="13"/>
    </row>
    <row r="520" spans="1:26" ht="32.25" hidden="1" customHeight="1">
      <c r="A520" s="8">
        <v>2301451</v>
      </c>
      <c r="B520" s="9" t="s">
        <v>2207</v>
      </c>
      <c r="C520" s="10">
        <v>45149</v>
      </c>
      <c r="D520" s="9" t="s">
        <v>57</v>
      </c>
      <c r="E520" s="9" t="s">
        <v>41</v>
      </c>
      <c r="F520" s="9" t="s">
        <v>42</v>
      </c>
      <c r="G520" s="9" t="s">
        <v>43</v>
      </c>
      <c r="H520" s="9" t="s">
        <v>58</v>
      </c>
      <c r="I520" s="11" t="s">
        <v>45</v>
      </c>
      <c r="J520" s="9" t="s">
        <v>46</v>
      </c>
      <c r="K520" s="9" t="s">
        <v>47</v>
      </c>
      <c r="L520" s="9" t="s">
        <v>156</v>
      </c>
      <c r="M520" s="9"/>
      <c r="N520" s="9" t="s">
        <v>84</v>
      </c>
      <c r="O520" s="9" t="s">
        <v>51</v>
      </c>
      <c r="P520" s="9"/>
      <c r="Q520" s="9"/>
      <c r="R520" s="9"/>
      <c r="S520" s="14" t="s">
        <v>2208</v>
      </c>
      <c r="T520" s="9" t="s">
        <v>2209</v>
      </c>
      <c r="U520" s="9" t="s">
        <v>54</v>
      </c>
      <c r="V520" s="9" t="s">
        <v>55</v>
      </c>
      <c r="W520" s="9" t="s">
        <v>55</v>
      </c>
      <c r="X520" s="12"/>
      <c r="Y520" s="9" t="s">
        <v>55</v>
      </c>
      <c r="Z520" s="13"/>
    </row>
    <row r="521" spans="1:26" ht="32.25" hidden="1" customHeight="1">
      <c r="A521" s="8">
        <v>2301256</v>
      </c>
      <c r="B521" s="9" t="s">
        <v>2210</v>
      </c>
      <c r="C521" s="10">
        <v>45149</v>
      </c>
      <c r="D521" s="9" t="s">
        <v>57</v>
      </c>
      <c r="E521" s="9" t="s">
        <v>295</v>
      </c>
      <c r="F521" s="9" t="s">
        <v>42</v>
      </c>
      <c r="G521" s="9" t="s">
        <v>43</v>
      </c>
      <c r="H521" s="9" t="s">
        <v>58</v>
      </c>
      <c r="I521" s="11" t="s">
        <v>296</v>
      </c>
      <c r="J521" s="9" t="s">
        <v>297</v>
      </c>
      <c r="K521" s="9" t="s">
        <v>47</v>
      </c>
      <c r="L521" s="9" t="s">
        <v>156</v>
      </c>
      <c r="M521" s="9"/>
      <c r="N521" s="9" t="s">
        <v>84</v>
      </c>
      <c r="O521" s="9" t="s">
        <v>51</v>
      </c>
      <c r="P521" s="9"/>
      <c r="Q521" s="9"/>
      <c r="R521" s="9"/>
      <c r="S521" s="14" t="s">
        <v>2211</v>
      </c>
      <c r="T521" s="9" t="s">
        <v>2212</v>
      </c>
      <c r="U521" s="9" t="s">
        <v>54</v>
      </c>
      <c r="V521" s="9" t="s">
        <v>55</v>
      </c>
      <c r="W521" s="9" t="s">
        <v>55</v>
      </c>
      <c r="X521" s="12"/>
      <c r="Y521" s="9" t="s">
        <v>55</v>
      </c>
      <c r="Z521" s="13"/>
    </row>
    <row r="522" spans="1:26" ht="32.25" hidden="1" customHeight="1">
      <c r="A522" s="8">
        <v>2302544</v>
      </c>
      <c r="B522" s="9" t="s">
        <v>2213</v>
      </c>
      <c r="C522" s="10">
        <v>45156</v>
      </c>
      <c r="D522" s="9" t="s">
        <v>79</v>
      </c>
      <c r="E522" s="9" t="s">
        <v>143</v>
      </c>
      <c r="F522" s="9" t="s">
        <v>80</v>
      </c>
      <c r="G522" s="9" t="s">
        <v>43</v>
      </c>
      <c r="H522" s="9" t="s">
        <v>44</v>
      </c>
      <c r="I522" s="11" t="s">
        <v>326</v>
      </c>
      <c r="J522" s="9" t="s">
        <v>327</v>
      </c>
      <c r="K522" s="9" t="s">
        <v>47</v>
      </c>
      <c r="L522" s="9" t="s">
        <v>741</v>
      </c>
      <c r="M522" s="9" t="s">
        <v>742</v>
      </c>
      <c r="N522" s="9" t="s">
        <v>84</v>
      </c>
      <c r="O522" s="9" t="s">
        <v>51</v>
      </c>
      <c r="P522" s="9" t="s">
        <v>1117</v>
      </c>
      <c r="Q522" s="9"/>
      <c r="R522" s="9" t="s">
        <v>61</v>
      </c>
      <c r="S522" s="14" t="s">
        <v>2214</v>
      </c>
      <c r="T522" s="9" t="s">
        <v>2215</v>
      </c>
      <c r="U522" s="9" t="s">
        <v>54</v>
      </c>
      <c r="V522" s="9" t="s">
        <v>370</v>
      </c>
      <c r="W522" s="9" t="s">
        <v>115</v>
      </c>
      <c r="X522" s="12" t="s">
        <v>389</v>
      </c>
      <c r="Y522" s="9" t="s">
        <v>390</v>
      </c>
      <c r="Z522" s="13" t="s">
        <v>1399</v>
      </c>
    </row>
    <row r="523" spans="1:26" ht="32.25" hidden="1" customHeight="1">
      <c r="A523" s="8">
        <v>2306330</v>
      </c>
      <c r="B523" s="9" t="s">
        <v>2216</v>
      </c>
      <c r="C523" s="10">
        <v>45156</v>
      </c>
      <c r="D523" s="9" t="s">
        <v>79</v>
      </c>
      <c r="E523" s="9" t="s">
        <v>143</v>
      </c>
      <c r="F523" s="9" t="s">
        <v>80</v>
      </c>
      <c r="G523" s="9" t="s">
        <v>43</v>
      </c>
      <c r="H523" s="9" t="s">
        <v>44</v>
      </c>
      <c r="I523" s="11" t="s">
        <v>326</v>
      </c>
      <c r="J523" s="9" t="s">
        <v>327</v>
      </c>
      <c r="K523" s="9" t="s">
        <v>47</v>
      </c>
      <c r="L523" s="9" t="s">
        <v>741</v>
      </c>
      <c r="M523" s="9" t="s">
        <v>2112</v>
      </c>
      <c r="N523" s="9" t="s">
        <v>84</v>
      </c>
      <c r="O523" s="9" t="s">
        <v>51</v>
      </c>
      <c r="P523" s="9" t="s">
        <v>1238</v>
      </c>
      <c r="Q523" s="9"/>
      <c r="R523" s="9" t="s">
        <v>61</v>
      </c>
      <c r="S523" s="14" t="s">
        <v>2217</v>
      </c>
      <c r="T523" s="9" t="s">
        <v>2218</v>
      </c>
      <c r="U523" s="9" t="s">
        <v>54</v>
      </c>
      <c r="V523" s="9" t="s">
        <v>370</v>
      </c>
      <c r="W523" s="9" t="s">
        <v>115</v>
      </c>
      <c r="X523" s="12" t="s">
        <v>150</v>
      </c>
      <c r="Y523" s="9" t="s">
        <v>151</v>
      </c>
      <c r="Z523" s="13"/>
    </row>
    <row r="524" spans="1:26" ht="32.25" hidden="1" customHeight="1">
      <c r="A524" s="8">
        <v>2312417</v>
      </c>
      <c r="B524" s="9" t="s">
        <v>2219</v>
      </c>
      <c r="C524" s="10">
        <v>45149</v>
      </c>
      <c r="D524" s="9" t="s">
        <v>261</v>
      </c>
      <c r="E524" s="9" t="s">
        <v>89</v>
      </c>
      <c r="F524" s="9" t="s">
        <v>262</v>
      </c>
      <c r="G524" s="9" t="s">
        <v>43</v>
      </c>
      <c r="H524" s="9" t="s">
        <v>44</v>
      </c>
      <c r="I524" s="11" t="s">
        <v>1561</v>
      </c>
      <c r="J524" s="9" t="s">
        <v>1562</v>
      </c>
      <c r="K524" s="9" t="s">
        <v>47</v>
      </c>
      <c r="L524" s="9" t="s">
        <v>48</v>
      </c>
      <c r="M524" s="9" t="s">
        <v>1985</v>
      </c>
      <c r="N524" s="9" t="s">
        <v>50</v>
      </c>
      <c r="O524" s="9" t="s">
        <v>51</v>
      </c>
      <c r="P524" s="9"/>
      <c r="Q524" s="9"/>
      <c r="R524" s="9"/>
      <c r="S524" s="14" t="s">
        <v>2220</v>
      </c>
      <c r="T524" s="9" t="s">
        <v>2221</v>
      </c>
      <c r="U524" s="9" t="s">
        <v>262</v>
      </c>
      <c r="V524" s="9" t="s">
        <v>55</v>
      </c>
      <c r="W524" s="9" t="s">
        <v>115</v>
      </c>
      <c r="X524" s="12"/>
      <c r="Y524" s="9" t="s">
        <v>55</v>
      </c>
      <c r="Z524" s="13"/>
    </row>
    <row r="525" spans="1:26" ht="32.25" hidden="1" customHeight="1">
      <c r="A525" s="8">
        <v>2302380</v>
      </c>
      <c r="B525" s="9" t="s">
        <v>2222</v>
      </c>
      <c r="C525" s="10">
        <v>45142</v>
      </c>
      <c r="D525" s="9" t="s">
        <v>67</v>
      </c>
      <c r="E525" s="9" t="s">
        <v>143</v>
      </c>
      <c r="F525" s="9" t="s">
        <v>42</v>
      </c>
      <c r="G525" s="9" t="s">
        <v>43</v>
      </c>
      <c r="H525" s="9" t="s">
        <v>44</v>
      </c>
      <c r="I525" s="11" t="s">
        <v>144</v>
      </c>
      <c r="J525" s="9" t="s">
        <v>145</v>
      </c>
      <c r="K525" s="9" t="s">
        <v>47</v>
      </c>
      <c r="L525" s="9" t="s">
        <v>48</v>
      </c>
      <c r="M525" s="9" t="s">
        <v>1943</v>
      </c>
      <c r="N525" s="9" t="s">
        <v>50</v>
      </c>
      <c r="O525" s="9" t="s">
        <v>51</v>
      </c>
      <c r="P525" s="9" t="s">
        <v>147</v>
      </c>
      <c r="Q525" s="9"/>
      <c r="R525" s="9"/>
      <c r="S525" s="9" t="s">
        <v>2223</v>
      </c>
      <c r="T525" s="9" t="s">
        <v>2224</v>
      </c>
      <c r="U525" s="9" t="s">
        <v>54</v>
      </c>
      <c r="V525" s="9" t="s">
        <v>55</v>
      </c>
      <c r="W525" s="9" t="s">
        <v>55</v>
      </c>
      <c r="X525" s="12"/>
      <c r="Y525" s="9" t="s">
        <v>55</v>
      </c>
      <c r="Z525" s="13"/>
    </row>
    <row r="526" spans="1:26" ht="32.25" hidden="1" customHeight="1">
      <c r="A526" s="8">
        <v>2309147</v>
      </c>
      <c r="B526" s="9" t="s">
        <v>2225</v>
      </c>
      <c r="C526" s="10">
        <v>45156</v>
      </c>
      <c r="D526" s="9" t="s">
        <v>79</v>
      </c>
      <c r="E526" s="9" t="s">
        <v>41</v>
      </c>
      <c r="F526" s="9" t="s">
        <v>80</v>
      </c>
      <c r="G526" s="9" t="s">
        <v>43</v>
      </c>
      <c r="H526" s="9" t="s">
        <v>44</v>
      </c>
      <c r="I526" s="11" t="s">
        <v>81</v>
      </c>
      <c r="J526" s="9" t="s">
        <v>46</v>
      </c>
      <c r="K526" s="9" t="s">
        <v>47</v>
      </c>
      <c r="L526" s="9" t="s">
        <v>822</v>
      </c>
      <c r="M526" s="9" t="s">
        <v>823</v>
      </c>
      <c r="N526" s="9" t="s">
        <v>84</v>
      </c>
      <c r="O526" s="9" t="s">
        <v>51</v>
      </c>
      <c r="P526" s="9" t="s">
        <v>1263</v>
      </c>
      <c r="Q526" s="9"/>
      <c r="R526" s="9" t="s">
        <v>61</v>
      </c>
      <c r="S526" s="14" t="s">
        <v>2226</v>
      </c>
      <c r="T526" s="9" t="s">
        <v>2227</v>
      </c>
      <c r="U526" s="9" t="s">
        <v>54</v>
      </c>
      <c r="V526" s="9" t="s">
        <v>331</v>
      </c>
      <c r="W526" s="9" t="s">
        <v>115</v>
      </c>
      <c r="X526" s="9" t="s">
        <v>64</v>
      </c>
      <c r="Y526" s="9" t="s">
        <v>65</v>
      </c>
      <c r="Z526" s="13"/>
    </row>
    <row r="527" spans="1:26" ht="32.25" hidden="1" customHeight="1">
      <c r="A527" s="8">
        <v>2312115</v>
      </c>
      <c r="B527" s="9" t="s">
        <v>2228</v>
      </c>
      <c r="C527" s="10">
        <v>45142</v>
      </c>
      <c r="D527" s="9" t="s">
        <v>67</v>
      </c>
      <c r="E527" s="9" t="s">
        <v>143</v>
      </c>
      <c r="F527" s="9" t="s">
        <v>42</v>
      </c>
      <c r="G527" s="9" t="s">
        <v>43</v>
      </c>
      <c r="H527" s="9" t="s">
        <v>44</v>
      </c>
      <c r="I527" s="11" t="s">
        <v>219</v>
      </c>
      <c r="J527" s="9" t="s">
        <v>220</v>
      </c>
      <c r="K527" s="9" t="s">
        <v>47</v>
      </c>
      <c r="L527" s="9" t="s">
        <v>162</v>
      </c>
      <c r="M527" s="9" t="s">
        <v>2229</v>
      </c>
      <c r="N527" s="9" t="s">
        <v>84</v>
      </c>
      <c r="O527" s="9" t="s">
        <v>51</v>
      </c>
      <c r="P527" s="9"/>
      <c r="Q527" s="9"/>
      <c r="R527" s="9" t="s">
        <v>61</v>
      </c>
      <c r="S527" s="9" t="s">
        <v>2230</v>
      </c>
      <c r="T527" s="9" t="s">
        <v>2231</v>
      </c>
      <c r="U527" s="9" t="s">
        <v>54</v>
      </c>
      <c r="V527" s="9" t="s">
        <v>55</v>
      </c>
      <c r="W527" s="9" t="s">
        <v>55</v>
      </c>
      <c r="X527" s="12" t="s">
        <v>171</v>
      </c>
      <c r="Y527" s="9" t="s">
        <v>172</v>
      </c>
      <c r="Z527" s="13"/>
    </row>
    <row r="528" spans="1:26" ht="32.25" hidden="1" customHeight="1">
      <c r="A528" s="8">
        <v>2314353</v>
      </c>
      <c r="B528" s="9" t="s">
        <v>2232</v>
      </c>
      <c r="C528" s="10">
        <v>45156</v>
      </c>
      <c r="D528" s="9" t="s">
        <v>79</v>
      </c>
      <c r="E528" s="9" t="s">
        <v>89</v>
      </c>
      <c r="F528" s="9" t="s">
        <v>80</v>
      </c>
      <c r="G528" s="9" t="s">
        <v>43</v>
      </c>
      <c r="H528" s="9" t="s">
        <v>44</v>
      </c>
      <c r="I528" s="11" t="s">
        <v>101</v>
      </c>
      <c r="J528" s="9" t="s">
        <v>102</v>
      </c>
      <c r="K528" s="9" t="s">
        <v>47</v>
      </c>
      <c r="L528" s="9" t="s">
        <v>2233</v>
      </c>
      <c r="M528" s="9" t="s">
        <v>2234</v>
      </c>
      <c r="N528" s="9" t="s">
        <v>50</v>
      </c>
      <c r="O528" s="9" t="s">
        <v>51</v>
      </c>
      <c r="P528" s="9" t="s">
        <v>125</v>
      </c>
      <c r="Q528" s="9"/>
      <c r="R528" s="9" t="s">
        <v>61</v>
      </c>
      <c r="S528" s="14" t="s">
        <v>2235</v>
      </c>
      <c r="T528" s="9" t="s">
        <v>2236</v>
      </c>
      <c r="U528" s="9" t="s">
        <v>54</v>
      </c>
      <c r="V528" s="9" t="s">
        <v>711</v>
      </c>
      <c r="W528" s="9" t="s">
        <v>115</v>
      </c>
      <c r="X528" s="12" t="s">
        <v>98</v>
      </c>
      <c r="Y528" s="9" t="s">
        <v>99</v>
      </c>
      <c r="Z528" s="13"/>
    </row>
    <row r="529" spans="1:26" ht="32.25" hidden="1" customHeight="1">
      <c r="A529" s="8">
        <v>2311965</v>
      </c>
      <c r="B529" s="9" t="s">
        <v>2237</v>
      </c>
      <c r="C529" s="10">
        <v>45136</v>
      </c>
      <c r="D529" s="9" t="s">
        <v>940</v>
      </c>
      <c r="E529" s="9" t="s">
        <v>41</v>
      </c>
      <c r="F529" s="9" t="s">
        <v>42</v>
      </c>
      <c r="G529" s="9" t="s">
        <v>43</v>
      </c>
      <c r="H529" s="9" t="s">
        <v>44</v>
      </c>
      <c r="I529" s="11" t="s">
        <v>45</v>
      </c>
      <c r="J529" s="9" t="s">
        <v>46</v>
      </c>
      <c r="K529" s="9" t="s">
        <v>47</v>
      </c>
      <c r="L529" s="9" t="s">
        <v>156</v>
      </c>
      <c r="M529" s="9"/>
      <c r="N529" s="9" t="s">
        <v>50</v>
      </c>
      <c r="O529" s="9" t="s">
        <v>51</v>
      </c>
      <c r="P529" s="9"/>
      <c r="Q529" s="9" t="s">
        <v>941</v>
      </c>
      <c r="R529" s="9"/>
      <c r="S529" s="9" t="s">
        <v>2238</v>
      </c>
      <c r="T529" s="9" t="s">
        <v>2239</v>
      </c>
      <c r="U529" s="9" t="s">
        <v>54</v>
      </c>
      <c r="V529" s="9" t="s">
        <v>55</v>
      </c>
      <c r="W529" s="9" t="s">
        <v>55</v>
      </c>
      <c r="X529" s="12"/>
      <c r="Y529" s="9" t="s">
        <v>55</v>
      </c>
      <c r="Z529" s="13"/>
    </row>
    <row r="530" spans="1:26" ht="32.25" hidden="1" customHeight="1">
      <c r="A530" s="8">
        <v>2312389</v>
      </c>
      <c r="B530" s="9" t="s">
        <v>2240</v>
      </c>
      <c r="C530" s="10">
        <v>45136</v>
      </c>
      <c r="D530" s="9" t="s">
        <v>40</v>
      </c>
      <c r="E530" s="9" t="s">
        <v>295</v>
      </c>
      <c r="F530" s="9" t="s">
        <v>42</v>
      </c>
      <c r="G530" s="9" t="s">
        <v>43</v>
      </c>
      <c r="H530" s="9" t="s">
        <v>44</v>
      </c>
      <c r="I530" s="11" t="s">
        <v>296</v>
      </c>
      <c r="J530" s="9" t="s">
        <v>297</v>
      </c>
      <c r="K530" s="9" t="s">
        <v>47</v>
      </c>
      <c r="L530" s="9" t="s">
        <v>48</v>
      </c>
      <c r="M530" s="9" t="s">
        <v>674</v>
      </c>
      <c r="N530" s="9" t="s">
        <v>84</v>
      </c>
      <c r="O530" s="9" t="s">
        <v>51</v>
      </c>
      <c r="P530" s="9"/>
      <c r="Q530" s="9"/>
      <c r="R530" s="9"/>
      <c r="S530" s="9" t="s">
        <v>2241</v>
      </c>
      <c r="T530" s="9" t="s">
        <v>2242</v>
      </c>
      <c r="U530" s="9" t="s">
        <v>54</v>
      </c>
      <c r="V530" s="9" t="s">
        <v>55</v>
      </c>
      <c r="W530" s="9" t="s">
        <v>55</v>
      </c>
      <c r="X530" s="12"/>
      <c r="Y530" s="9" t="s">
        <v>55</v>
      </c>
      <c r="Z530" s="13"/>
    </row>
    <row r="531" spans="1:26" ht="32.25" hidden="1" customHeight="1">
      <c r="A531" s="8">
        <v>2310666</v>
      </c>
      <c r="B531" s="9" t="s">
        <v>2243</v>
      </c>
      <c r="C531" s="10">
        <v>45142</v>
      </c>
      <c r="D531" s="9" t="s">
        <v>67</v>
      </c>
      <c r="E531" s="9" t="s">
        <v>41</v>
      </c>
      <c r="F531" s="9" t="s">
        <v>42</v>
      </c>
      <c r="G531" s="9" t="s">
        <v>43</v>
      </c>
      <c r="H531" s="9" t="s">
        <v>44</v>
      </c>
      <c r="I531" s="11" t="s">
        <v>129</v>
      </c>
      <c r="J531" s="9" t="s">
        <v>130</v>
      </c>
      <c r="K531" s="9" t="s">
        <v>47</v>
      </c>
      <c r="L531" s="9" t="s">
        <v>425</v>
      </c>
      <c r="M531" s="9" t="s">
        <v>2244</v>
      </c>
      <c r="N531" s="9" t="s">
        <v>84</v>
      </c>
      <c r="O531" s="9" t="s">
        <v>51</v>
      </c>
      <c r="P531" s="9"/>
      <c r="Q531" s="9"/>
      <c r="R531" s="9" t="s">
        <v>61</v>
      </c>
      <c r="S531" s="9" t="s">
        <v>2245</v>
      </c>
      <c r="T531" s="9" t="s">
        <v>2246</v>
      </c>
      <c r="U531" s="9" t="s">
        <v>54</v>
      </c>
      <c r="V531" s="9" t="s">
        <v>55</v>
      </c>
      <c r="W531" s="9" t="s">
        <v>55</v>
      </c>
      <c r="X531" s="12" t="s">
        <v>196</v>
      </c>
      <c r="Y531" s="9" t="s">
        <v>197</v>
      </c>
      <c r="Z531" s="13" t="s">
        <v>230</v>
      </c>
    </row>
    <row r="532" spans="1:26" ht="32.25" hidden="1" customHeight="1">
      <c r="A532" s="8">
        <v>2306679</v>
      </c>
      <c r="B532" s="9" t="s">
        <v>2247</v>
      </c>
      <c r="C532" s="10">
        <v>45149</v>
      </c>
      <c r="D532" s="9" t="s">
        <v>57</v>
      </c>
      <c r="E532" s="9" t="s">
        <v>41</v>
      </c>
      <c r="F532" s="9" t="s">
        <v>42</v>
      </c>
      <c r="G532" s="9" t="s">
        <v>43</v>
      </c>
      <c r="H532" s="9" t="s">
        <v>58</v>
      </c>
      <c r="I532" s="11" t="s">
        <v>129</v>
      </c>
      <c r="J532" s="9" t="s">
        <v>130</v>
      </c>
      <c r="K532" s="9" t="s">
        <v>47</v>
      </c>
      <c r="L532" s="9" t="s">
        <v>156</v>
      </c>
      <c r="M532" s="9"/>
      <c r="N532" s="9" t="s">
        <v>50</v>
      </c>
      <c r="O532" s="9" t="s">
        <v>51</v>
      </c>
      <c r="P532" s="9"/>
      <c r="Q532" s="9"/>
      <c r="R532" s="9"/>
      <c r="S532" s="14" t="s">
        <v>2248</v>
      </c>
      <c r="T532" s="9" t="s">
        <v>2249</v>
      </c>
      <c r="U532" s="9" t="s">
        <v>54</v>
      </c>
      <c r="V532" s="9" t="s">
        <v>55</v>
      </c>
      <c r="W532" s="9" t="s">
        <v>55</v>
      </c>
      <c r="X532" s="12"/>
      <c r="Y532" s="9" t="s">
        <v>55</v>
      </c>
      <c r="Z532" s="13"/>
    </row>
    <row r="533" spans="1:26" ht="32.25" hidden="1" customHeight="1">
      <c r="A533" s="8">
        <v>2311152</v>
      </c>
      <c r="B533" s="9" t="s">
        <v>2250</v>
      </c>
      <c r="C533" s="10">
        <v>45142</v>
      </c>
      <c r="D533" s="9" t="s">
        <v>67</v>
      </c>
      <c r="E533" s="9" t="s">
        <v>143</v>
      </c>
      <c r="F533" s="9" t="s">
        <v>42</v>
      </c>
      <c r="G533" s="9" t="s">
        <v>43</v>
      </c>
      <c r="H533" s="9" t="s">
        <v>44</v>
      </c>
      <c r="I533" s="11" t="s">
        <v>144</v>
      </c>
      <c r="J533" s="9" t="s">
        <v>145</v>
      </c>
      <c r="K533" s="9" t="s">
        <v>47</v>
      </c>
      <c r="L533" s="9" t="s">
        <v>48</v>
      </c>
      <c r="M533" s="9" t="s">
        <v>421</v>
      </c>
      <c r="N533" s="9" t="s">
        <v>50</v>
      </c>
      <c r="O533" s="9" t="s">
        <v>51</v>
      </c>
      <c r="P533" s="9" t="s">
        <v>147</v>
      </c>
      <c r="Q533" s="9"/>
      <c r="R533" s="9" t="s">
        <v>61</v>
      </c>
      <c r="S533" s="9" t="s">
        <v>2251</v>
      </c>
      <c r="T533" s="9" t="s">
        <v>2252</v>
      </c>
      <c r="U533" s="9" t="s">
        <v>54</v>
      </c>
      <c r="V533" s="9" t="s">
        <v>55</v>
      </c>
      <c r="W533" s="9" t="s">
        <v>55</v>
      </c>
      <c r="X533" s="12" t="s">
        <v>150</v>
      </c>
      <c r="Y533" s="9" t="s">
        <v>151</v>
      </c>
      <c r="Z533" s="13"/>
    </row>
    <row r="534" spans="1:26" ht="32.25" hidden="1" customHeight="1">
      <c r="A534" s="8">
        <v>2300168</v>
      </c>
      <c r="B534" s="9" t="s">
        <v>2253</v>
      </c>
      <c r="C534" s="10">
        <v>45149</v>
      </c>
      <c r="D534" s="9" t="s">
        <v>261</v>
      </c>
      <c r="E534" s="9" t="s">
        <v>68</v>
      </c>
      <c r="F534" s="9" t="s">
        <v>262</v>
      </c>
      <c r="G534" s="9" t="s">
        <v>43</v>
      </c>
      <c r="H534" s="9" t="s">
        <v>44</v>
      </c>
      <c r="I534" s="11" t="s">
        <v>1085</v>
      </c>
      <c r="J534" s="9" t="s">
        <v>1086</v>
      </c>
      <c r="K534" s="9" t="s">
        <v>47</v>
      </c>
      <c r="L534" s="9" t="s">
        <v>349</v>
      </c>
      <c r="M534" s="9" t="s">
        <v>785</v>
      </c>
      <c r="N534" s="9" t="s">
        <v>84</v>
      </c>
      <c r="O534" s="9" t="s">
        <v>51</v>
      </c>
      <c r="P534" s="9"/>
      <c r="Q534" s="9"/>
      <c r="R534" s="9" t="s">
        <v>61</v>
      </c>
      <c r="S534" s="14" t="s">
        <v>2254</v>
      </c>
      <c r="T534" s="9" t="s">
        <v>2255</v>
      </c>
      <c r="U534" s="9" t="s">
        <v>262</v>
      </c>
      <c r="V534" s="9" t="s">
        <v>55</v>
      </c>
      <c r="W534" s="9" t="s">
        <v>115</v>
      </c>
      <c r="X534" s="12" t="s">
        <v>196</v>
      </c>
      <c r="Y534" s="9" t="s">
        <v>197</v>
      </c>
      <c r="Z534" s="13" t="s">
        <v>2256</v>
      </c>
    </row>
    <row r="535" spans="1:26" ht="32.25" hidden="1" customHeight="1">
      <c r="A535" s="8">
        <v>2304942</v>
      </c>
      <c r="B535" s="9" t="s">
        <v>2257</v>
      </c>
      <c r="C535" s="10">
        <v>45156</v>
      </c>
      <c r="D535" s="9" t="s">
        <v>79</v>
      </c>
      <c r="E535" s="9" t="s">
        <v>41</v>
      </c>
      <c r="F535" s="9" t="s">
        <v>80</v>
      </c>
      <c r="G535" s="9" t="s">
        <v>43</v>
      </c>
      <c r="H535" s="9" t="s">
        <v>44</v>
      </c>
      <c r="I535" s="11" t="s">
        <v>233</v>
      </c>
      <c r="J535" s="9" t="s">
        <v>200</v>
      </c>
      <c r="K535" s="9" t="s">
        <v>47</v>
      </c>
      <c r="L535" s="9" t="s">
        <v>226</v>
      </c>
      <c r="M535" s="9" t="s">
        <v>1374</v>
      </c>
      <c r="N535" s="9" t="s">
        <v>50</v>
      </c>
      <c r="O535" s="9" t="s">
        <v>51</v>
      </c>
      <c r="P535" s="9" t="s">
        <v>453</v>
      </c>
      <c r="Q535" s="9"/>
      <c r="R535" s="9" t="s">
        <v>61</v>
      </c>
      <c r="S535" s="14" t="s">
        <v>2258</v>
      </c>
      <c r="T535" s="9" t="s">
        <v>2259</v>
      </c>
      <c r="U535" s="9" t="s">
        <v>54</v>
      </c>
      <c r="V535" s="9" t="s">
        <v>331</v>
      </c>
      <c r="W535" s="9" t="s">
        <v>115</v>
      </c>
      <c r="X535" s="9" t="s">
        <v>64</v>
      </c>
      <c r="Y535" s="9" t="s">
        <v>65</v>
      </c>
      <c r="Z535" s="13"/>
    </row>
    <row r="536" spans="1:26" ht="32.25" hidden="1" customHeight="1">
      <c r="A536" s="8">
        <v>2306579</v>
      </c>
      <c r="B536" s="9" t="s">
        <v>2260</v>
      </c>
      <c r="C536" s="10">
        <v>45156</v>
      </c>
      <c r="D536" s="9" t="s">
        <v>79</v>
      </c>
      <c r="E536" s="9" t="s">
        <v>143</v>
      </c>
      <c r="F536" s="9" t="s">
        <v>80</v>
      </c>
      <c r="G536" s="9" t="s">
        <v>43</v>
      </c>
      <c r="H536" s="9" t="s">
        <v>44</v>
      </c>
      <c r="I536" s="11" t="s">
        <v>326</v>
      </c>
      <c r="J536" s="9" t="s">
        <v>327</v>
      </c>
      <c r="K536" s="9" t="s">
        <v>47</v>
      </c>
      <c r="L536" s="9" t="s">
        <v>204</v>
      </c>
      <c r="M536" s="9" t="s">
        <v>836</v>
      </c>
      <c r="N536" s="9" t="s">
        <v>50</v>
      </c>
      <c r="O536" s="9" t="s">
        <v>51</v>
      </c>
      <c r="P536" s="9" t="s">
        <v>1143</v>
      </c>
      <c r="Q536" s="9"/>
      <c r="R536" s="9" t="s">
        <v>61</v>
      </c>
      <c r="S536" s="14" t="s">
        <v>2261</v>
      </c>
      <c r="T536" s="9" t="s">
        <v>2262</v>
      </c>
      <c r="U536" s="9" t="s">
        <v>54</v>
      </c>
      <c r="V536" s="9" t="s">
        <v>251</v>
      </c>
      <c r="W536" s="9" t="s">
        <v>115</v>
      </c>
      <c r="X536" s="12" t="s">
        <v>171</v>
      </c>
      <c r="Y536" s="9" t="s">
        <v>172</v>
      </c>
      <c r="Z536" s="13"/>
    </row>
    <row r="537" spans="1:26" ht="32.25" hidden="1" customHeight="1">
      <c r="A537" s="8">
        <v>2301316</v>
      </c>
      <c r="B537" s="9" t="s">
        <v>2263</v>
      </c>
      <c r="C537" s="10">
        <v>45149</v>
      </c>
      <c r="D537" s="9" t="s">
        <v>57</v>
      </c>
      <c r="E537" s="9" t="s">
        <v>295</v>
      </c>
      <c r="F537" s="9" t="s">
        <v>42</v>
      </c>
      <c r="G537" s="9" t="s">
        <v>43</v>
      </c>
      <c r="H537" s="9" t="s">
        <v>58</v>
      </c>
      <c r="I537" s="11" t="s">
        <v>296</v>
      </c>
      <c r="J537" s="9" t="s">
        <v>297</v>
      </c>
      <c r="K537" s="9" t="s">
        <v>47</v>
      </c>
      <c r="L537" s="9" t="s">
        <v>48</v>
      </c>
      <c r="M537" s="9" t="s">
        <v>2264</v>
      </c>
      <c r="N537" s="9" t="s">
        <v>50</v>
      </c>
      <c r="O537" s="9" t="s">
        <v>51</v>
      </c>
      <c r="P537" s="9"/>
      <c r="Q537" s="9"/>
      <c r="R537" s="9" t="s">
        <v>61</v>
      </c>
      <c r="S537" s="14" t="s">
        <v>2265</v>
      </c>
      <c r="T537" s="9" t="s">
        <v>2266</v>
      </c>
      <c r="U537" s="9" t="s">
        <v>54</v>
      </c>
      <c r="V537" s="9" t="s">
        <v>55</v>
      </c>
      <c r="W537" s="9" t="s">
        <v>55</v>
      </c>
      <c r="X537" s="9" t="s">
        <v>319</v>
      </c>
      <c r="Y537" s="9" t="s">
        <v>320</v>
      </c>
      <c r="Z537" s="13"/>
    </row>
    <row r="538" spans="1:26" ht="32.25" hidden="1" customHeight="1">
      <c r="A538" s="8">
        <v>2302093</v>
      </c>
      <c r="B538" s="9" t="s">
        <v>2267</v>
      </c>
      <c r="C538" s="10">
        <v>45149</v>
      </c>
      <c r="D538" s="9" t="s">
        <v>57</v>
      </c>
      <c r="E538" s="9" t="s">
        <v>41</v>
      </c>
      <c r="F538" s="9" t="s">
        <v>42</v>
      </c>
      <c r="G538" s="9" t="s">
        <v>43</v>
      </c>
      <c r="H538" s="9" t="s">
        <v>58</v>
      </c>
      <c r="I538" s="11" t="s">
        <v>45</v>
      </c>
      <c r="J538" s="9" t="s">
        <v>46</v>
      </c>
      <c r="K538" s="9" t="s">
        <v>47</v>
      </c>
      <c r="L538" s="9" t="s">
        <v>48</v>
      </c>
      <c r="M538" s="9" t="s">
        <v>469</v>
      </c>
      <c r="N538" s="9" t="s">
        <v>50</v>
      </c>
      <c r="O538" s="9" t="s">
        <v>51</v>
      </c>
      <c r="P538" s="9"/>
      <c r="Q538" s="9"/>
      <c r="R538" s="9"/>
      <c r="S538" s="14" t="s">
        <v>2268</v>
      </c>
      <c r="T538" s="9" t="s">
        <v>2269</v>
      </c>
      <c r="U538" s="9" t="s">
        <v>54</v>
      </c>
      <c r="V538" s="9" t="s">
        <v>55</v>
      </c>
      <c r="W538" s="9" t="s">
        <v>55</v>
      </c>
      <c r="X538" s="12"/>
      <c r="Y538" s="9" t="s">
        <v>55</v>
      </c>
      <c r="Z538" s="13"/>
    </row>
    <row r="539" spans="1:26" ht="32.25" hidden="1" customHeight="1">
      <c r="A539" s="8">
        <v>2305941</v>
      </c>
      <c r="B539" s="9" t="s">
        <v>2270</v>
      </c>
      <c r="C539" s="10">
        <v>45142</v>
      </c>
      <c r="D539" s="9" t="s">
        <v>67</v>
      </c>
      <c r="E539" s="9" t="s">
        <v>143</v>
      </c>
      <c r="F539" s="9" t="s">
        <v>42</v>
      </c>
      <c r="G539" s="9" t="s">
        <v>43</v>
      </c>
      <c r="H539" s="9" t="s">
        <v>44</v>
      </c>
      <c r="I539" s="11" t="s">
        <v>144</v>
      </c>
      <c r="J539" s="9" t="s">
        <v>145</v>
      </c>
      <c r="K539" s="9" t="s">
        <v>47</v>
      </c>
      <c r="L539" s="9" t="s">
        <v>156</v>
      </c>
      <c r="M539" s="9"/>
      <c r="N539" s="9" t="s">
        <v>50</v>
      </c>
      <c r="O539" s="9" t="s">
        <v>51</v>
      </c>
      <c r="P539" s="9" t="s">
        <v>147</v>
      </c>
      <c r="Q539" s="9"/>
      <c r="R539" s="9"/>
      <c r="S539" s="9" t="s">
        <v>2271</v>
      </c>
      <c r="T539" s="9" t="s">
        <v>2272</v>
      </c>
      <c r="U539" s="9" t="s">
        <v>54</v>
      </c>
      <c r="V539" s="9" t="s">
        <v>55</v>
      </c>
      <c r="W539" s="9" t="s">
        <v>55</v>
      </c>
      <c r="X539" s="12"/>
      <c r="Y539" s="9" t="s">
        <v>55</v>
      </c>
      <c r="Z539" s="13"/>
    </row>
    <row r="540" spans="1:26" ht="32.25" hidden="1" customHeight="1">
      <c r="A540" s="8">
        <v>2308323</v>
      </c>
      <c r="B540" s="9" t="s">
        <v>2273</v>
      </c>
      <c r="C540" s="10">
        <v>45136</v>
      </c>
      <c r="D540" s="9" t="s">
        <v>1072</v>
      </c>
      <c r="E540" s="9" t="s">
        <v>41</v>
      </c>
      <c r="F540" s="9" t="s">
        <v>42</v>
      </c>
      <c r="G540" s="9" t="s">
        <v>43</v>
      </c>
      <c r="H540" s="9" t="s">
        <v>44</v>
      </c>
      <c r="I540" s="11" t="s">
        <v>45</v>
      </c>
      <c r="J540" s="9" t="s">
        <v>46</v>
      </c>
      <c r="K540" s="9" t="s">
        <v>47</v>
      </c>
      <c r="L540" s="9" t="s">
        <v>221</v>
      </c>
      <c r="M540" s="9" t="s">
        <v>1142</v>
      </c>
      <c r="N540" s="9" t="s">
        <v>84</v>
      </c>
      <c r="O540" s="9" t="s">
        <v>51</v>
      </c>
      <c r="P540" s="9"/>
      <c r="Q540" s="9"/>
      <c r="R540" s="9"/>
      <c r="S540" s="9" t="s">
        <v>2274</v>
      </c>
      <c r="T540" s="9" t="s">
        <v>2275</v>
      </c>
      <c r="U540" s="9" t="s">
        <v>54</v>
      </c>
      <c r="V540" s="9" t="s">
        <v>55</v>
      </c>
      <c r="W540" s="9" t="s">
        <v>55</v>
      </c>
      <c r="X540" s="12"/>
      <c r="Y540" s="9" t="s">
        <v>55</v>
      </c>
      <c r="Z540" s="13"/>
    </row>
    <row r="541" spans="1:26" ht="32.25" hidden="1" customHeight="1">
      <c r="A541" s="8">
        <v>2303188</v>
      </c>
      <c r="B541" s="9" t="s">
        <v>2276</v>
      </c>
      <c r="C541" s="10">
        <v>45149</v>
      </c>
      <c r="D541" s="9" t="s">
        <v>261</v>
      </c>
      <c r="E541" s="9" t="s">
        <v>89</v>
      </c>
      <c r="F541" s="9" t="s">
        <v>262</v>
      </c>
      <c r="G541" s="9" t="s">
        <v>43</v>
      </c>
      <c r="H541" s="9" t="s">
        <v>44</v>
      </c>
      <c r="I541" s="11" t="s">
        <v>685</v>
      </c>
      <c r="J541" s="9" t="s">
        <v>686</v>
      </c>
      <c r="K541" s="9" t="s">
        <v>47</v>
      </c>
      <c r="L541" s="9" t="s">
        <v>156</v>
      </c>
      <c r="M541" s="9"/>
      <c r="N541" s="9" t="s">
        <v>50</v>
      </c>
      <c r="O541" s="9" t="s">
        <v>51</v>
      </c>
      <c r="P541" s="9"/>
      <c r="Q541" s="9"/>
      <c r="R541" s="9"/>
      <c r="S541" s="14" t="s">
        <v>2277</v>
      </c>
      <c r="T541" s="9" t="s">
        <v>2278</v>
      </c>
      <c r="U541" s="9" t="s">
        <v>262</v>
      </c>
      <c r="V541" s="9"/>
      <c r="W541" s="9" t="s">
        <v>115</v>
      </c>
      <c r="X541" s="12"/>
      <c r="Y541" s="9" t="s">
        <v>55</v>
      </c>
      <c r="Z541" s="13"/>
    </row>
    <row r="542" spans="1:26" ht="32.25" hidden="1" customHeight="1">
      <c r="A542" s="8">
        <v>2307356</v>
      </c>
      <c r="B542" s="9" t="s">
        <v>2279</v>
      </c>
      <c r="C542" s="10">
        <v>45156</v>
      </c>
      <c r="D542" s="9" t="s">
        <v>79</v>
      </c>
      <c r="E542" s="9" t="s">
        <v>89</v>
      </c>
      <c r="F542" s="9" t="s">
        <v>80</v>
      </c>
      <c r="G542" s="9" t="s">
        <v>43</v>
      </c>
      <c r="H542" s="9" t="s">
        <v>44</v>
      </c>
      <c r="I542" s="11" t="s">
        <v>101</v>
      </c>
      <c r="J542" s="9" t="s">
        <v>102</v>
      </c>
      <c r="K542" s="9" t="s">
        <v>416</v>
      </c>
      <c r="L542" s="9"/>
      <c r="M542" s="9"/>
      <c r="N542" s="9" t="s">
        <v>84</v>
      </c>
      <c r="O542" s="9" t="s">
        <v>51</v>
      </c>
      <c r="P542" s="9" t="s">
        <v>708</v>
      </c>
      <c r="Q542" s="9"/>
      <c r="R542" s="9" t="s">
        <v>61</v>
      </c>
      <c r="S542" s="14" t="s">
        <v>2280</v>
      </c>
      <c r="T542" s="9" t="s">
        <v>2281</v>
      </c>
      <c r="U542" s="9" t="s">
        <v>54</v>
      </c>
      <c r="V542" s="9" t="s">
        <v>711</v>
      </c>
      <c r="W542" s="9" t="s">
        <v>115</v>
      </c>
      <c r="X542" s="12" t="s">
        <v>98</v>
      </c>
      <c r="Y542" s="9" t="s">
        <v>99</v>
      </c>
      <c r="Z542" s="13"/>
    </row>
    <row r="543" spans="1:26" ht="32.25" hidden="1" customHeight="1">
      <c r="A543" s="8">
        <v>2301615</v>
      </c>
      <c r="B543" s="9" t="s">
        <v>2282</v>
      </c>
      <c r="C543" s="10">
        <v>45136</v>
      </c>
      <c r="D543" s="9" t="s">
        <v>40</v>
      </c>
      <c r="E543" s="9" t="s">
        <v>143</v>
      </c>
      <c r="F543" s="9" t="s">
        <v>42</v>
      </c>
      <c r="G543" s="9" t="s">
        <v>43</v>
      </c>
      <c r="H543" s="9" t="s">
        <v>44</v>
      </c>
      <c r="I543" s="11" t="s">
        <v>334</v>
      </c>
      <c r="J543" s="9" t="s">
        <v>327</v>
      </c>
      <c r="K543" s="9" t="s">
        <v>47</v>
      </c>
      <c r="L543" s="9" t="s">
        <v>349</v>
      </c>
      <c r="M543" s="9" t="s">
        <v>785</v>
      </c>
      <c r="N543" s="9" t="s">
        <v>84</v>
      </c>
      <c r="O543" s="9" t="s">
        <v>51</v>
      </c>
      <c r="P543" s="9" t="s">
        <v>336</v>
      </c>
      <c r="Q543" s="9"/>
      <c r="R543" s="9" t="s">
        <v>61</v>
      </c>
      <c r="S543" s="9" t="s">
        <v>2283</v>
      </c>
      <c r="T543" s="9" t="s">
        <v>2284</v>
      </c>
      <c r="U543" s="9" t="s">
        <v>54</v>
      </c>
      <c r="V543" s="9" t="s">
        <v>55</v>
      </c>
      <c r="W543" s="9" t="s">
        <v>55</v>
      </c>
      <c r="X543" s="12" t="s">
        <v>150</v>
      </c>
      <c r="Y543" s="9" t="s">
        <v>151</v>
      </c>
      <c r="Z543" s="13"/>
    </row>
    <row r="544" spans="1:26" ht="32.25" hidden="1" customHeight="1">
      <c r="A544" s="8">
        <v>2306424</v>
      </c>
      <c r="B544" s="9" t="s">
        <v>2285</v>
      </c>
      <c r="C544" s="10">
        <v>45156</v>
      </c>
      <c r="D544" s="9" t="s">
        <v>79</v>
      </c>
      <c r="E544" s="9" t="s">
        <v>41</v>
      </c>
      <c r="F544" s="9" t="s">
        <v>80</v>
      </c>
      <c r="G544" s="9" t="s">
        <v>43</v>
      </c>
      <c r="H544" s="9" t="s">
        <v>44</v>
      </c>
      <c r="I544" s="11" t="s">
        <v>527</v>
      </c>
      <c r="J544" s="9" t="s">
        <v>130</v>
      </c>
      <c r="K544" s="9" t="s">
        <v>47</v>
      </c>
      <c r="L544" s="9" t="s">
        <v>156</v>
      </c>
      <c r="M544" s="9"/>
      <c r="N544" s="9" t="s">
        <v>84</v>
      </c>
      <c r="O544" s="9" t="s">
        <v>51</v>
      </c>
      <c r="P544" s="9" t="s">
        <v>529</v>
      </c>
      <c r="Q544" s="9"/>
      <c r="R544" s="9"/>
      <c r="S544" s="14" t="s">
        <v>2286</v>
      </c>
      <c r="T544" s="9" t="s">
        <v>2287</v>
      </c>
      <c r="U544" s="9" t="s">
        <v>54</v>
      </c>
      <c r="V544" s="9"/>
      <c r="W544" s="9" t="s">
        <v>115</v>
      </c>
      <c r="X544" s="12"/>
      <c r="Y544" s="9" t="s">
        <v>55</v>
      </c>
      <c r="Z544" s="13"/>
    </row>
    <row r="545" spans="1:26" ht="32.25" hidden="1" customHeight="1">
      <c r="A545" s="8">
        <v>2308388</v>
      </c>
      <c r="B545" s="9" t="s">
        <v>2288</v>
      </c>
      <c r="C545" s="10">
        <v>45149</v>
      </c>
      <c r="D545" s="9" t="s">
        <v>57</v>
      </c>
      <c r="E545" s="9" t="s">
        <v>41</v>
      </c>
      <c r="F545" s="9" t="s">
        <v>42</v>
      </c>
      <c r="G545" s="9" t="s">
        <v>43</v>
      </c>
      <c r="H545" s="9" t="s">
        <v>58</v>
      </c>
      <c r="I545" s="11" t="s">
        <v>129</v>
      </c>
      <c r="J545" s="9" t="s">
        <v>130</v>
      </c>
      <c r="K545" s="9" t="s">
        <v>47</v>
      </c>
      <c r="L545" s="9" t="s">
        <v>437</v>
      </c>
      <c r="M545" s="9" t="s">
        <v>1882</v>
      </c>
      <c r="N545" s="9" t="s">
        <v>50</v>
      </c>
      <c r="O545" s="9" t="s">
        <v>51</v>
      </c>
      <c r="P545" s="9"/>
      <c r="Q545" s="9"/>
      <c r="R545" s="9"/>
      <c r="S545" s="14" t="s">
        <v>2289</v>
      </c>
      <c r="T545" s="9" t="s">
        <v>2290</v>
      </c>
      <c r="U545" s="9" t="s">
        <v>54</v>
      </c>
      <c r="V545" s="9" t="s">
        <v>55</v>
      </c>
      <c r="W545" s="9" t="s">
        <v>55</v>
      </c>
      <c r="X545" s="12"/>
      <c r="Y545" s="9" t="s">
        <v>55</v>
      </c>
      <c r="Z545" s="13"/>
    </row>
    <row r="546" spans="1:26" ht="32.25" hidden="1" customHeight="1">
      <c r="A546" s="8">
        <v>2308769</v>
      </c>
      <c r="B546" s="9" t="s">
        <v>2291</v>
      </c>
      <c r="C546" s="10">
        <v>45149</v>
      </c>
      <c r="D546" s="9" t="s">
        <v>261</v>
      </c>
      <c r="E546" s="9" t="s">
        <v>143</v>
      </c>
      <c r="F546" s="9" t="s">
        <v>262</v>
      </c>
      <c r="G546" s="9" t="s">
        <v>43</v>
      </c>
      <c r="H546" s="9" t="s">
        <v>44</v>
      </c>
      <c r="I546" s="11" t="s">
        <v>1291</v>
      </c>
      <c r="J546" s="9" t="s">
        <v>1292</v>
      </c>
      <c r="K546" s="9" t="s">
        <v>47</v>
      </c>
      <c r="L546" s="9" t="s">
        <v>204</v>
      </c>
      <c r="M546" s="9" t="s">
        <v>2166</v>
      </c>
      <c r="N546" s="9" t="s">
        <v>84</v>
      </c>
      <c r="O546" s="9" t="s">
        <v>51</v>
      </c>
      <c r="P546" s="9"/>
      <c r="Q546" s="9"/>
      <c r="R546" s="9" t="s">
        <v>61</v>
      </c>
      <c r="S546" s="14" t="s">
        <v>2292</v>
      </c>
      <c r="T546" s="9" t="s">
        <v>2293</v>
      </c>
      <c r="U546" s="9" t="s">
        <v>262</v>
      </c>
      <c r="V546" s="9" t="s">
        <v>370</v>
      </c>
      <c r="W546" s="9" t="s">
        <v>115</v>
      </c>
      <c r="X546" s="12" t="s">
        <v>389</v>
      </c>
      <c r="Y546" s="9" t="s">
        <v>390</v>
      </c>
      <c r="Z546" s="13"/>
    </row>
    <row r="547" spans="1:26" ht="32.25" hidden="1" customHeight="1">
      <c r="A547" s="8">
        <v>2302273</v>
      </c>
      <c r="B547" s="9" t="s">
        <v>2294</v>
      </c>
      <c r="C547" s="10">
        <v>45142</v>
      </c>
      <c r="D547" s="9" t="s">
        <v>67</v>
      </c>
      <c r="E547" s="9" t="s">
        <v>143</v>
      </c>
      <c r="F547" s="9" t="s">
        <v>42</v>
      </c>
      <c r="G547" s="9" t="s">
        <v>43</v>
      </c>
      <c r="H547" s="9" t="s">
        <v>44</v>
      </c>
      <c r="I547" s="11" t="s">
        <v>334</v>
      </c>
      <c r="J547" s="9" t="s">
        <v>327</v>
      </c>
      <c r="K547" s="9" t="s">
        <v>47</v>
      </c>
      <c r="L547" s="9" t="s">
        <v>156</v>
      </c>
      <c r="M547" s="9"/>
      <c r="N547" s="9" t="s">
        <v>50</v>
      </c>
      <c r="O547" s="9" t="s">
        <v>51</v>
      </c>
      <c r="P547" s="9" t="s">
        <v>336</v>
      </c>
      <c r="Q547" s="9"/>
      <c r="R547" s="9"/>
      <c r="S547" s="9" t="s">
        <v>2295</v>
      </c>
      <c r="T547" s="9" t="s">
        <v>2296</v>
      </c>
      <c r="U547" s="9" t="s">
        <v>54</v>
      </c>
      <c r="V547" s="9" t="s">
        <v>55</v>
      </c>
      <c r="W547" s="9" t="s">
        <v>55</v>
      </c>
      <c r="X547" s="12"/>
      <c r="Y547" s="9" t="s">
        <v>55</v>
      </c>
      <c r="Z547" s="13"/>
    </row>
    <row r="548" spans="1:26" ht="32.25" hidden="1" customHeight="1">
      <c r="A548" s="8">
        <v>2311832</v>
      </c>
      <c r="B548" s="9" t="s">
        <v>2297</v>
      </c>
      <c r="C548" s="10">
        <v>45149</v>
      </c>
      <c r="D548" s="9" t="s">
        <v>261</v>
      </c>
      <c r="E548" s="9" t="s">
        <v>41</v>
      </c>
      <c r="F548" s="9" t="s">
        <v>262</v>
      </c>
      <c r="G548" s="9" t="s">
        <v>43</v>
      </c>
      <c r="H548" s="9" t="s">
        <v>44</v>
      </c>
      <c r="I548" s="11" t="s">
        <v>1553</v>
      </c>
      <c r="J548" s="9" t="s">
        <v>1554</v>
      </c>
      <c r="K548" s="9" t="s">
        <v>47</v>
      </c>
      <c r="L548" s="9" t="s">
        <v>156</v>
      </c>
      <c r="M548" s="9" t="s">
        <v>2298</v>
      </c>
      <c r="N548" s="9" t="s">
        <v>50</v>
      </c>
      <c r="O548" s="9" t="s">
        <v>51</v>
      </c>
      <c r="P548" s="9"/>
      <c r="Q548" s="9"/>
      <c r="R548" s="9"/>
      <c r="S548" s="14" t="s">
        <v>2299</v>
      </c>
      <c r="T548" s="9" t="s">
        <v>2300</v>
      </c>
      <c r="U548" s="9" t="s">
        <v>262</v>
      </c>
      <c r="V548" s="9"/>
      <c r="W548" s="9" t="s">
        <v>115</v>
      </c>
      <c r="X548" s="12"/>
      <c r="Y548" s="9" t="s">
        <v>55</v>
      </c>
      <c r="Z548" s="13"/>
    </row>
    <row r="549" spans="1:26" ht="32.25" hidden="1" customHeight="1">
      <c r="A549" s="8">
        <v>2313916</v>
      </c>
      <c r="B549" s="9" t="s">
        <v>2301</v>
      </c>
      <c r="C549" s="10">
        <v>45142</v>
      </c>
      <c r="D549" s="9" t="s">
        <v>67</v>
      </c>
      <c r="E549" s="9" t="s">
        <v>143</v>
      </c>
      <c r="F549" s="9" t="s">
        <v>42</v>
      </c>
      <c r="G549" s="9" t="s">
        <v>43</v>
      </c>
      <c r="H549" s="9" t="s">
        <v>44</v>
      </c>
      <c r="I549" s="11" t="s">
        <v>334</v>
      </c>
      <c r="J549" s="9" t="s">
        <v>327</v>
      </c>
      <c r="K549" s="9" t="s">
        <v>47</v>
      </c>
      <c r="L549" s="9" t="s">
        <v>741</v>
      </c>
      <c r="M549" s="9" t="s">
        <v>742</v>
      </c>
      <c r="N549" s="9" t="s">
        <v>84</v>
      </c>
      <c r="O549" s="9" t="s">
        <v>51</v>
      </c>
      <c r="P549" s="9" t="s">
        <v>336</v>
      </c>
      <c r="Q549" s="9"/>
      <c r="R549" s="9" t="s">
        <v>61</v>
      </c>
      <c r="S549" s="9" t="s">
        <v>2302</v>
      </c>
      <c r="T549" s="9" t="s">
        <v>2303</v>
      </c>
      <c r="U549" s="9" t="s">
        <v>54</v>
      </c>
      <c r="V549" s="9" t="s">
        <v>55</v>
      </c>
      <c r="W549" s="9" t="s">
        <v>55</v>
      </c>
      <c r="X549" s="12" t="s">
        <v>150</v>
      </c>
      <c r="Y549" s="9" t="s">
        <v>151</v>
      </c>
      <c r="Z549" s="13"/>
    </row>
    <row r="550" spans="1:26" ht="32.25" hidden="1" customHeight="1">
      <c r="A550" s="8">
        <v>2302024</v>
      </c>
      <c r="B550" s="9" t="s">
        <v>2304</v>
      </c>
      <c r="C550" s="10">
        <v>45149</v>
      </c>
      <c r="D550" s="9" t="s">
        <v>57</v>
      </c>
      <c r="E550" s="9" t="s">
        <v>41</v>
      </c>
      <c r="F550" s="9" t="s">
        <v>42</v>
      </c>
      <c r="G550" s="9" t="s">
        <v>43</v>
      </c>
      <c r="H550" s="9" t="s">
        <v>58</v>
      </c>
      <c r="I550" s="11" t="s">
        <v>45</v>
      </c>
      <c r="J550" s="9" t="s">
        <v>46</v>
      </c>
      <c r="K550" s="9" t="s">
        <v>47</v>
      </c>
      <c r="L550" s="9" t="s">
        <v>48</v>
      </c>
      <c r="M550" s="9" t="s">
        <v>1985</v>
      </c>
      <c r="N550" s="9" t="s">
        <v>50</v>
      </c>
      <c r="O550" s="9" t="s">
        <v>51</v>
      </c>
      <c r="P550" s="9"/>
      <c r="Q550" s="9"/>
      <c r="R550" s="9"/>
      <c r="S550" s="14" t="s">
        <v>2305</v>
      </c>
      <c r="T550" s="9" t="s">
        <v>2306</v>
      </c>
      <c r="U550" s="9" t="s">
        <v>54</v>
      </c>
      <c r="V550" s="9" t="s">
        <v>55</v>
      </c>
      <c r="W550" s="9" t="s">
        <v>55</v>
      </c>
      <c r="X550" s="12"/>
      <c r="Y550" s="9" t="s">
        <v>55</v>
      </c>
      <c r="Z550" s="13"/>
    </row>
    <row r="551" spans="1:26" ht="32.25" hidden="1" customHeight="1">
      <c r="A551" s="8">
        <v>2311173</v>
      </c>
      <c r="B551" s="9" t="s">
        <v>2307</v>
      </c>
      <c r="C551" s="10">
        <v>45142</v>
      </c>
      <c r="D551" s="9" t="s">
        <v>67</v>
      </c>
      <c r="E551" s="9" t="s">
        <v>68</v>
      </c>
      <c r="F551" s="9" t="s">
        <v>135</v>
      </c>
      <c r="G551" s="9" t="s">
        <v>43</v>
      </c>
      <c r="H551" s="9" t="s">
        <v>44</v>
      </c>
      <c r="I551" s="11" t="s">
        <v>136</v>
      </c>
      <c r="J551" s="9" t="s">
        <v>137</v>
      </c>
      <c r="K551" s="9" t="s">
        <v>47</v>
      </c>
      <c r="L551" s="9" t="s">
        <v>863</v>
      </c>
      <c r="M551" s="9" t="s">
        <v>1258</v>
      </c>
      <c r="N551" s="9" t="s">
        <v>50</v>
      </c>
      <c r="O551" s="9" t="s">
        <v>51</v>
      </c>
      <c r="P551" s="9"/>
      <c r="Q551" s="9"/>
      <c r="R551" s="9" t="s">
        <v>61</v>
      </c>
      <c r="S551" s="9" t="s">
        <v>2308</v>
      </c>
      <c r="T551" s="9" t="s">
        <v>2309</v>
      </c>
      <c r="U551" s="9" t="s">
        <v>54</v>
      </c>
      <c r="V551" s="9" t="s">
        <v>55</v>
      </c>
      <c r="W551" s="9" t="s">
        <v>55</v>
      </c>
      <c r="X551" s="12" t="s">
        <v>76</v>
      </c>
      <c r="Y551" s="9" t="s">
        <v>77</v>
      </c>
      <c r="Z551" s="13"/>
    </row>
    <row r="552" spans="1:26" ht="32.25" hidden="1" customHeight="1">
      <c r="A552" s="8">
        <v>2313424</v>
      </c>
      <c r="B552" s="9" t="s">
        <v>2310</v>
      </c>
      <c r="C552" s="10">
        <v>45149</v>
      </c>
      <c r="D552" s="9" t="s">
        <v>57</v>
      </c>
      <c r="E552" s="9" t="s">
        <v>153</v>
      </c>
      <c r="F552" s="9" t="s">
        <v>42</v>
      </c>
      <c r="G552" s="9" t="s">
        <v>43</v>
      </c>
      <c r="H552" s="9" t="s">
        <v>58</v>
      </c>
      <c r="I552" s="11" t="s">
        <v>154</v>
      </c>
      <c r="J552" s="9" t="s">
        <v>155</v>
      </c>
      <c r="K552" s="9" t="s">
        <v>47</v>
      </c>
      <c r="L552" s="9" t="s">
        <v>48</v>
      </c>
      <c r="M552" s="9" t="s">
        <v>146</v>
      </c>
      <c r="N552" s="9" t="s">
        <v>84</v>
      </c>
      <c r="O552" s="9" t="s">
        <v>51</v>
      </c>
      <c r="P552" s="9"/>
      <c r="Q552" s="9"/>
      <c r="R552" s="9" t="s">
        <v>61</v>
      </c>
      <c r="S552" s="14" t="s">
        <v>2311</v>
      </c>
      <c r="T552" s="9" t="s">
        <v>2312</v>
      </c>
      <c r="U552" s="9" t="s">
        <v>54</v>
      </c>
      <c r="V552" s="9" t="s">
        <v>55</v>
      </c>
      <c r="W552" s="9" t="s">
        <v>55</v>
      </c>
      <c r="X552" s="12" t="s">
        <v>171</v>
      </c>
      <c r="Y552" s="9" t="s">
        <v>172</v>
      </c>
      <c r="Z552" s="13"/>
    </row>
    <row r="553" spans="1:26" ht="32.25" hidden="1" customHeight="1">
      <c r="A553" s="8">
        <v>2306760</v>
      </c>
      <c r="B553" s="9" t="s">
        <v>2313</v>
      </c>
      <c r="C553" s="10">
        <v>45149</v>
      </c>
      <c r="D553" s="9" t="s">
        <v>57</v>
      </c>
      <c r="E553" s="9" t="s">
        <v>41</v>
      </c>
      <c r="F553" s="9" t="s">
        <v>42</v>
      </c>
      <c r="G553" s="9" t="s">
        <v>43</v>
      </c>
      <c r="H553" s="9" t="s">
        <v>58</v>
      </c>
      <c r="I553" s="11" t="s">
        <v>45</v>
      </c>
      <c r="J553" s="9" t="s">
        <v>46</v>
      </c>
      <c r="K553" s="9" t="s">
        <v>47</v>
      </c>
      <c r="L553" s="9" t="s">
        <v>48</v>
      </c>
      <c r="M553" s="9" t="s">
        <v>2159</v>
      </c>
      <c r="N553" s="9" t="s">
        <v>84</v>
      </c>
      <c r="O553" s="9" t="s">
        <v>51</v>
      </c>
      <c r="P553" s="9"/>
      <c r="Q553" s="9"/>
      <c r="R553" s="9"/>
      <c r="S553" s="14" t="s">
        <v>2314</v>
      </c>
      <c r="T553" s="9" t="s">
        <v>2315</v>
      </c>
      <c r="U553" s="9" t="s">
        <v>54</v>
      </c>
      <c r="V553" s="9" t="s">
        <v>55</v>
      </c>
      <c r="W553" s="9" t="s">
        <v>55</v>
      </c>
      <c r="X553" s="12"/>
      <c r="Y553" s="9" t="s">
        <v>55</v>
      </c>
      <c r="Z553" s="13"/>
    </row>
    <row r="554" spans="1:26" ht="32.25" hidden="1" customHeight="1">
      <c r="A554" s="8">
        <v>2311352</v>
      </c>
      <c r="B554" s="9" t="s">
        <v>2316</v>
      </c>
      <c r="C554" s="10">
        <v>45142</v>
      </c>
      <c r="D554" s="9" t="s">
        <v>67</v>
      </c>
      <c r="E554" s="9" t="s">
        <v>143</v>
      </c>
      <c r="F554" s="9" t="s">
        <v>42</v>
      </c>
      <c r="G554" s="9" t="s">
        <v>43</v>
      </c>
      <c r="H554" s="9" t="s">
        <v>44</v>
      </c>
      <c r="I554" s="11" t="s">
        <v>334</v>
      </c>
      <c r="J554" s="9" t="s">
        <v>327</v>
      </c>
      <c r="K554" s="9" t="s">
        <v>47</v>
      </c>
      <c r="L554" s="9" t="s">
        <v>1378</v>
      </c>
      <c r="M554" s="9" t="s">
        <v>1593</v>
      </c>
      <c r="N554" s="9" t="s">
        <v>50</v>
      </c>
      <c r="O554" s="9" t="s">
        <v>51</v>
      </c>
      <c r="P554" s="9" t="s">
        <v>336</v>
      </c>
      <c r="Q554" s="9"/>
      <c r="R554" s="9" t="s">
        <v>61</v>
      </c>
      <c r="S554" s="9" t="s">
        <v>2317</v>
      </c>
      <c r="T554" s="9" t="s">
        <v>2318</v>
      </c>
      <c r="U554" s="9" t="s">
        <v>54</v>
      </c>
      <c r="V554" s="9" t="s">
        <v>55</v>
      </c>
      <c r="W554" s="9" t="s">
        <v>55</v>
      </c>
      <c r="X554" s="12" t="s">
        <v>150</v>
      </c>
      <c r="Y554" s="9" t="s">
        <v>151</v>
      </c>
      <c r="Z554" s="13"/>
    </row>
    <row r="555" spans="1:26" ht="32.25" hidden="1" customHeight="1">
      <c r="A555" s="8">
        <v>2311396</v>
      </c>
      <c r="B555" s="9" t="s">
        <v>2319</v>
      </c>
      <c r="C555" s="10">
        <v>45142</v>
      </c>
      <c r="D555" s="9" t="s">
        <v>67</v>
      </c>
      <c r="E555" s="9" t="s">
        <v>143</v>
      </c>
      <c r="F555" s="9" t="s">
        <v>42</v>
      </c>
      <c r="G555" s="9" t="s">
        <v>43</v>
      </c>
      <c r="H555" s="9" t="s">
        <v>44</v>
      </c>
      <c r="I555" s="11" t="s">
        <v>219</v>
      </c>
      <c r="J555" s="9" t="s">
        <v>220</v>
      </c>
      <c r="K555" s="9" t="s">
        <v>47</v>
      </c>
      <c r="L555" s="9" t="s">
        <v>1542</v>
      </c>
      <c r="M555" s="9" t="s">
        <v>2320</v>
      </c>
      <c r="N555" s="9" t="s">
        <v>84</v>
      </c>
      <c r="O555" s="9" t="s">
        <v>51</v>
      </c>
      <c r="P555" s="9"/>
      <c r="Q555" s="9"/>
      <c r="R555" s="9" t="s">
        <v>61</v>
      </c>
      <c r="S555" s="9" t="s">
        <v>2321</v>
      </c>
      <c r="T555" s="9" t="s">
        <v>2322</v>
      </c>
      <c r="U555" s="9" t="s">
        <v>54</v>
      </c>
      <c r="V555" s="9" t="s">
        <v>55</v>
      </c>
      <c r="W555" s="9" t="s">
        <v>55</v>
      </c>
      <c r="X555" s="12" t="s">
        <v>171</v>
      </c>
      <c r="Y555" s="9" t="s">
        <v>172</v>
      </c>
      <c r="Z555" s="13"/>
    </row>
    <row r="556" spans="1:26" ht="32.25" hidden="1" customHeight="1">
      <c r="A556" s="8">
        <v>2315245</v>
      </c>
      <c r="B556" s="9" t="s">
        <v>2323</v>
      </c>
      <c r="C556" s="10">
        <v>45149</v>
      </c>
      <c r="D556" s="9" t="s">
        <v>57</v>
      </c>
      <c r="E556" s="9" t="s">
        <v>41</v>
      </c>
      <c r="F556" s="9" t="s">
        <v>42</v>
      </c>
      <c r="G556" s="9" t="s">
        <v>43</v>
      </c>
      <c r="H556" s="9" t="s">
        <v>58</v>
      </c>
      <c r="I556" s="11" t="s">
        <v>45</v>
      </c>
      <c r="J556" s="9" t="s">
        <v>46</v>
      </c>
      <c r="K556" s="9" t="s">
        <v>47</v>
      </c>
      <c r="L556" s="9" t="s">
        <v>156</v>
      </c>
      <c r="M556" s="9"/>
      <c r="N556" s="9" t="s">
        <v>50</v>
      </c>
      <c r="O556" s="9" t="s">
        <v>51</v>
      </c>
      <c r="P556" s="9"/>
      <c r="Q556" s="9"/>
      <c r="R556" s="9"/>
      <c r="S556" s="14" t="s">
        <v>2324</v>
      </c>
      <c r="T556" s="9" t="s">
        <v>2325</v>
      </c>
      <c r="U556" s="9" t="s">
        <v>54</v>
      </c>
      <c r="V556" s="9" t="s">
        <v>55</v>
      </c>
      <c r="W556" s="9" t="s">
        <v>55</v>
      </c>
      <c r="X556" s="12"/>
      <c r="Y556" s="9" t="s">
        <v>55</v>
      </c>
      <c r="Z556" s="13"/>
    </row>
    <row r="557" spans="1:26" ht="32.25" hidden="1" customHeight="1">
      <c r="A557" s="8">
        <v>2310383</v>
      </c>
      <c r="B557" s="9" t="s">
        <v>2326</v>
      </c>
      <c r="C557" s="10">
        <v>45149</v>
      </c>
      <c r="D557" s="9" t="s">
        <v>57</v>
      </c>
      <c r="E557" s="9" t="s">
        <v>153</v>
      </c>
      <c r="F557" s="9" t="s">
        <v>42</v>
      </c>
      <c r="G557" s="9" t="s">
        <v>43</v>
      </c>
      <c r="H557" s="9" t="s">
        <v>58</v>
      </c>
      <c r="I557" s="11" t="s">
        <v>154</v>
      </c>
      <c r="J557" s="9" t="s">
        <v>155</v>
      </c>
      <c r="K557" s="9" t="s">
        <v>47</v>
      </c>
      <c r="L557" s="9" t="s">
        <v>48</v>
      </c>
      <c r="M557" s="9" t="s">
        <v>1283</v>
      </c>
      <c r="N557" s="9" t="s">
        <v>84</v>
      </c>
      <c r="O557" s="9" t="s">
        <v>51</v>
      </c>
      <c r="P557" s="9"/>
      <c r="Q557" s="9"/>
      <c r="R557" s="9"/>
      <c r="S557" s="14" t="s">
        <v>2327</v>
      </c>
      <c r="T557" s="9" t="s">
        <v>2328</v>
      </c>
      <c r="U557" s="9" t="s">
        <v>54</v>
      </c>
      <c r="V557" s="9" t="s">
        <v>55</v>
      </c>
      <c r="W557" s="9" t="s">
        <v>55</v>
      </c>
      <c r="X557" s="12"/>
      <c r="Y557" s="9" t="s">
        <v>55</v>
      </c>
      <c r="Z557" s="13"/>
    </row>
    <row r="558" spans="1:26" ht="32.25" hidden="1" customHeight="1">
      <c r="A558" s="8">
        <v>2304531</v>
      </c>
      <c r="B558" s="9" t="s">
        <v>2329</v>
      </c>
      <c r="C558" s="10">
        <v>45156</v>
      </c>
      <c r="D558" s="9" t="s">
        <v>79</v>
      </c>
      <c r="E558" s="9" t="s">
        <v>295</v>
      </c>
      <c r="F558" s="9" t="s">
        <v>80</v>
      </c>
      <c r="G558" s="9" t="s">
        <v>43</v>
      </c>
      <c r="H558" s="9" t="s">
        <v>44</v>
      </c>
      <c r="I558" s="11" t="s">
        <v>1972</v>
      </c>
      <c r="J558" s="9" t="s">
        <v>297</v>
      </c>
      <c r="K558" s="9" t="s">
        <v>47</v>
      </c>
      <c r="L558" s="9" t="s">
        <v>156</v>
      </c>
      <c r="M558" s="9"/>
      <c r="N558" s="9" t="s">
        <v>50</v>
      </c>
      <c r="O558" s="9" t="s">
        <v>51</v>
      </c>
      <c r="P558" s="9" t="s">
        <v>1974</v>
      </c>
      <c r="Q558" s="9"/>
      <c r="R558" s="9"/>
      <c r="S558" s="14" t="s">
        <v>2330</v>
      </c>
      <c r="T558" s="9" t="s">
        <v>2331</v>
      </c>
      <c r="U558" s="9" t="s">
        <v>54</v>
      </c>
      <c r="V558" s="9"/>
      <c r="W558" s="9" t="s">
        <v>115</v>
      </c>
      <c r="X558" s="12"/>
      <c r="Y558" s="9" t="s">
        <v>55</v>
      </c>
      <c r="Z558" s="13"/>
    </row>
    <row r="559" spans="1:26" ht="32.25" hidden="1" customHeight="1">
      <c r="A559" s="8">
        <v>2310832</v>
      </c>
      <c r="B559" s="9" t="s">
        <v>2332</v>
      </c>
      <c r="C559" s="10">
        <v>45156</v>
      </c>
      <c r="D559" s="9" t="s">
        <v>79</v>
      </c>
      <c r="E559" s="9" t="s">
        <v>41</v>
      </c>
      <c r="F559" s="9" t="s">
        <v>80</v>
      </c>
      <c r="G559" s="9" t="s">
        <v>43</v>
      </c>
      <c r="H559" s="9" t="s">
        <v>44</v>
      </c>
      <c r="I559" s="11" t="s">
        <v>81</v>
      </c>
      <c r="J559" s="9" t="s">
        <v>46</v>
      </c>
      <c r="K559" s="9" t="s">
        <v>47</v>
      </c>
      <c r="L559" s="9" t="s">
        <v>1040</v>
      </c>
      <c r="M559" s="9" t="s">
        <v>1147</v>
      </c>
      <c r="N559" s="9" t="s">
        <v>50</v>
      </c>
      <c r="O559" s="9" t="s">
        <v>51</v>
      </c>
      <c r="P559" s="9" t="s">
        <v>85</v>
      </c>
      <c r="Q559" s="9"/>
      <c r="R559" s="9" t="s">
        <v>61</v>
      </c>
      <c r="S559" s="14" t="s">
        <v>2333</v>
      </c>
      <c r="T559" s="9" t="s">
        <v>2334</v>
      </c>
      <c r="U559" s="9" t="s">
        <v>54</v>
      </c>
      <c r="V559" s="9" t="s">
        <v>55</v>
      </c>
      <c r="W559" s="9" t="s">
        <v>55</v>
      </c>
      <c r="X559" s="9" t="s">
        <v>64</v>
      </c>
      <c r="Y559" s="9" t="s">
        <v>65</v>
      </c>
      <c r="Z559" s="13"/>
    </row>
    <row r="560" spans="1:26" ht="32.25" hidden="1" customHeight="1">
      <c r="A560" s="8">
        <v>2308692</v>
      </c>
      <c r="B560" s="9" t="s">
        <v>2335</v>
      </c>
      <c r="C560" s="10">
        <v>45156</v>
      </c>
      <c r="D560" s="9" t="s">
        <v>79</v>
      </c>
      <c r="E560" s="9" t="s">
        <v>89</v>
      </c>
      <c r="F560" s="9" t="s">
        <v>80</v>
      </c>
      <c r="G560" s="9" t="s">
        <v>43</v>
      </c>
      <c r="H560" s="9" t="s">
        <v>44</v>
      </c>
      <c r="I560" s="11" t="s">
        <v>101</v>
      </c>
      <c r="J560" s="9" t="s">
        <v>102</v>
      </c>
      <c r="K560" s="9" t="s">
        <v>47</v>
      </c>
      <c r="L560" s="9" t="s">
        <v>174</v>
      </c>
      <c r="M560" s="9" t="s">
        <v>2336</v>
      </c>
      <c r="N560" s="9" t="s">
        <v>50</v>
      </c>
      <c r="O560" s="9" t="s">
        <v>51</v>
      </c>
      <c r="P560" s="9" t="s">
        <v>447</v>
      </c>
      <c r="Q560" s="9"/>
      <c r="R560" s="9" t="s">
        <v>61</v>
      </c>
      <c r="S560" s="14" t="s">
        <v>2337</v>
      </c>
      <c r="T560" s="9" t="s">
        <v>2338</v>
      </c>
      <c r="U560" s="9" t="s">
        <v>54</v>
      </c>
      <c r="V560" s="9" t="s">
        <v>711</v>
      </c>
      <c r="W560" s="9" t="s">
        <v>115</v>
      </c>
      <c r="X560" s="12" t="s">
        <v>98</v>
      </c>
      <c r="Y560" s="9" t="s">
        <v>99</v>
      </c>
      <c r="Z560" s="13" t="s">
        <v>240</v>
      </c>
    </row>
    <row r="561" spans="1:26" ht="32.25" hidden="1" customHeight="1">
      <c r="A561" s="8">
        <v>2311953</v>
      </c>
      <c r="B561" s="9" t="s">
        <v>2339</v>
      </c>
      <c r="C561" s="10">
        <v>45156</v>
      </c>
      <c r="D561" s="9" t="s">
        <v>79</v>
      </c>
      <c r="E561" s="9" t="s">
        <v>153</v>
      </c>
      <c r="F561" s="9" t="s">
        <v>80</v>
      </c>
      <c r="G561" s="9" t="s">
        <v>43</v>
      </c>
      <c r="H561" s="9" t="s">
        <v>44</v>
      </c>
      <c r="I561" s="11" t="s">
        <v>1588</v>
      </c>
      <c r="J561" s="9" t="s">
        <v>155</v>
      </c>
      <c r="K561" s="9" t="s">
        <v>47</v>
      </c>
      <c r="L561" s="9" t="s">
        <v>746</v>
      </c>
      <c r="M561" s="9" t="s">
        <v>747</v>
      </c>
      <c r="N561" s="9" t="s">
        <v>84</v>
      </c>
      <c r="O561" s="9" t="s">
        <v>51</v>
      </c>
      <c r="P561" s="9" t="s">
        <v>2085</v>
      </c>
      <c r="Q561" s="9"/>
      <c r="R561" s="9"/>
      <c r="S561" s="14" t="s">
        <v>2340</v>
      </c>
      <c r="T561" s="9" t="s">
        <v>2341</v>
      </c>
      <c r="U561" s="9" t="s">
        <v>54</v>
      </c>
      <c r="V561" s="9" t="s">
        <v>55</v>
      </c>
      <c r="W561" s="9" t="s">
        <v>55</v>
      </c>
      <c r="X561" s="12"/>
      <c r="Y561" s="9" t="s">
        <v>55</v>
      </c>
      <c r="Z561" s="13"/>
    </row>
    <row r="562" spans="1:26" ht="32.25" hidden="1" customHeight="1">
      <c r="A562" s="8">
        <v>2314630</v>
      </c>
      <c r="B562" s="9" t="s">
        <v>2342</v>
      </c>
      <c r="C562" s="10">
        <v>45156</v>
      </c>
      <c r="D562" s="9" t="s">
        <v>79</v>
      </c>
      <c r="E562" s="9" t="s">
        <v>143</v>
      </c>
      <c r="F562" s="9" t="s">
        <v>80</v>
      </c>
      <c r="G562" s="9" t="s">
        <v>43</v>
      </c>
      <c r="H562" s="9" t="s">
        <v>44</v>
      </c>
      <c r="I562" s="11" t="s">
        <v>326</v>
      </c>
      <c r="J562" s="9" t="s">
        <v>327</v>
      </c>
      <c r="K562" s="9" t="s">
        <v>47</v>
      </c>
      <c r="L562" s="9" t="s">
        <v>553</v>
      </c>
      <c r="M562" s="9" t="s">
        <v>933</v>
      </c>
      <c r="N562" s="9" t="s">
        <v>84</v>
      </c>
      <c r="O562" s="9" t="s">
        <v>51</v>
      </c>
      <c r="P562" s="9" t="s">
        <v>1238</v>
      </c>
      <c r="Q562" s="9"/>
      <c r="R562" s="9" t="s">
        <v>61</v>
      </c>
      <c r="S562" s="14" t="s">
        <v>2343</v>
      </c>
      <c r="T562" s="9" t="s">
        <v>2344</v>
      </c>
      <c r="U562" s="9" t="s">
        <v>54</v>
      </c>
      <c r="V562" s="9" t="s">
        <v>370</v>
      </c>
      <c r="W562" s="9" t="s">
        <v>115</v>
      </c>
      <c r="X562" s="12" t="s">
        <v>150</v>
      </c>
      <c r="Y562" s="9" t="s">
        <v>151</v>
      </c>
      <c r="Z562" s="13"/>
    </row>
    <row r="563" spans="1:26" ht="32.25" hidden="1" customHeight="1">
      <c r="A563" s="8">
        <v>2315152</v>
      </c>
      <c r="B563" s="9" t="s">
        <v>2345</v>
      </c>
      <c r="C563" s="10">
        <v>45149</v>
      </c>
      <c r="D563" s="9" t="s">
        <v>57</v>
      </c>
      <c r="E563" s="9" t="s">
        <v>295</v>
      </c>
      <c r="F563" s="9" t="s">
        <v>42</v>
      </c>
      <c r="G563" s="9" t="s">
        <v>43</v>
      </c>
      <c r="H563" s="9" t="s">
        <v>58</v>
      </c>
      <c r="I563" s="11" t="s">
        <v>296</v>
      </c>
      <c r="J563" s="9" t="s">
        <v>297</v>
      </c>
      <c r="K563" s="9" t="s">
        <v>47</v>
      </c>
      <c r="L563" s="9" t="s">
        <v>2006</v>
      </c>
      <c r="M563" s="9" t="s">
        <v>2346</v>
      </c>
      <c r="N563" s="9" t="s">
        <v>84</v>
      </c>
      <c r="O563" s="9" t="s">
        <v>51</v>
      </c>
      <c r="P563" s="9"/>
      <c r="Q563" s="9"/>
      <c r="R563" s="9" t="s">
        <v>61</v>
      </c>
      <c r="S563" s="14" t="s">
        <v>2347</v>
      </c>
      <c r="T563" s="9" t="s">
        <v>2348</v>
      </c>
      <c r="U563" s="9" t="s">
        <v>54</v>
      </c>
      <c r="V563" s="9" t="s">
        <v>55</v>
      </c>
      <c r="W563" s="9" t="s">
        <v>55</v>
      </c>
      <c r="X563" s="9" t="s">
        <v>319</v>
      </c>
      <c r="Y563" s="9" t="s">
        <v>320</v>
      </c>
      <c r="Z563" s="13"/>
    </row>
    <row r="564" spans="1:26" ht="32.25" hidden="1" customHeight="1">
      <c r="A564" s="8">
        <v>2303906</v>
      </c>
      <c r="B564" s="9" t="s">
        <v>2349</v>
      </c>
      <c r="C564" s="10">
        <v>45149</v>
      </c>
      <c r="D564" s="9" t="s">
        <v>57</v>
      </c>
      <c r="E564" s="9" t="s">
        <v>41</v>
      </c>
      <c r="F564" s="9" t="s">
        <v>42</v>
      </c>
      <c r="G564" s="9" t="s">
        <v>43</v>
      </c>
      <c r="H564" s="9" t="s">
        <v>58</v>
      </c>
      <c r="I564" s="11" t="s">
        <v>129</v>
      </c>
      <c r="J564" s="9" t="s">
        <v>130</v>
      </c>
      <c r="K564" s="9" t="s">
        <v>47</v>
      </c>
      <c r="L564" s="9" t="s">
        <v>156</v>
      </c>
      <c r="M564" s="9"/>
      <c r="N564" s="9" t="s">
        <v>84</v>
      </c>
      <c r="O564" s="9" t="s">
        <v>51</v>
      </c>
      <c r="P564" s="9"/>
      <c r="Q564" s="9"/>
      <c r="R564" s="9"/>
      <c r="S564" s="14" t="s">
        <v>2350</v>
      </c>
      <c r="T564" s="9" t="s">
        <v>2351</v>
      </c>
      <c r="U564" s="9" t="s">
        <v>54</v>
      </c>
      <c r="V564" s="9" t="s">
        <v>55</v>
      </c>
      <c r="W564" s="9" t="s">
        <v>55</v>
      </c>
      <c r="X564" s="12"/>
      <c r="Y564" s="9" t="s">
        <v>55</v>
      </c>
      <c r="Z564" s="13"/>
    </row>
    <row r="565" spans="1:26" ht="32.25" hidden="1" customHeight="1">
      <c r="A565" s="8">
        <v>2304820</v>
      </c>
      <c r="B565" s="9" t="s">
        <v>2352</v>
      </c>
      <c r="C565" s="10">
        <v>45156</v>
      </c>
      <c r="D565" s="9" t="s">
        <v>79</v>
      </c>
      <c r="E565" s="9" t="s">
        <v>41</v>
      </c>
      <c r="F565" s="9" t="s">
        <v>80</v>
      </c>
      <c r="G565" s="9" t="s">
        <v>43</v>
      </c>
      <c r="H565" s="9" t="s">
        <v>44</v>
      </c>
      <c r="I565" s="11" t="s">
        <v>478</v>
      </c>
      <c r="J565" s="9" t="s">
        <v>479</v>
      </c>
      <c r="K565" s="9" t="s">
        <v>47</v>
      </c>
      <c r="L565" s="9" t="s">
        <v>799</v>
      </c>
      <c r="M565" s="9" t="s">
        <v>800</v>
      </c>
      <c r="N565" s="9" t="s">
        <v>84</v>
      </c>
      <c r="O565" s="9" t="s">
        <v>51</v>
      </c>
      <c r="P565" s="9" t="s">
        <v>482</v>
      </c>
      <c r="Q565" s="9"/>
      <c r="R565" s="9" t="s">
        <v>61</v>
      </c>
      <c r="S565" s="14" t="s">
        <v>2353</v>
      </c>
      <c r="T565" s="9" t="s">
        <v>2354</v>
      </c>
      <c r="U565" s="9" t="s">
        <v>54</v>
      </c>
      <c r="V565" s="9" t="s">
        <v>331</v>
      </c>
      <c r="W565" s="9" t="s">
        <v>115</v>
      </c>
      <c r="X565" s="9" t="s">
        <v>64</v>
      </c>
      <c r="Y565" s="9" t="s">
        <v>65</v>
      </c>
      <c r="Z565" s="13"/>
    </row>
    <row r="566" spans="1:26" ht="32.25" hidden="1" customHeight="1">
      <c r="A566" s="8">
        <v>2303382</v>
      </c>
      <c r="B566" s="9" t="s">
        <v>2355</v>
      </c>
      <c r="C566" s="10">
        <v>45142</v>
      </c>
      <c r="D566" s="9" t="s">
        <v>67</v>
      </c>
      <c r="E566" s="9" t="s">
        <v>68</v>
      </c>
      <c r="F566" s="9" t="s">
        <v>135</v>
      </c>
      <c r="G566" s="9" t="s">
        <v>43</v>
      </c>
      <c r="H566" s="9" t="s">
        <v>44</v>
      </c>
      <c r="I566" s="11" t="s">
        <v>136</v>
      </c>
      <c r="J566" s="9" t="s">
        <v>137</v>
      </c>
      <c r="K566" s="9" t="s">
        <v>47</v>
      </c>
      <c r="L566" s="9" t="s">
        <v>425</v>
      </c>
      <c r="M566" s="9" t="s">
        <v>2356</v>
      </c>
      <c r="N566" s="9" t="s">
        <v>50</v>
      </c>
      <c r="O566" s="9" t="s">
        <v>51</v>
      </c>
      <c r="P566" s="9"/>
      <c r="Q566" s="9"/>
      <c r="R566" s="9" t="s">
        <v>61</v>
      </c>
      <c r="S566" s="9" t="s">
        <v>2357</v>
      </c>
      <c r="T566" s="9" t="s">
        <v>2358</v>
      </c>
      <c r="U566" s="9" t="s">
        <v>54</v>
      </c>
      <c r="V566" s="9" t="s">
        <v>55</v>
      </c>
      <c r="W566" s="9" t="s">
        <v>55</v>
      </c>
      <c r="X566" s="12" t="s">
        <v>76</v>
      </c>
      <c r="Y566" s="9" t="s">
        <v>77</v>
      </c>
      <c r="Z566" s="13"/>
    </row>
    <row r="567" spans="1:26" ht="32.25" hidden="1" customHeight="1">
      <c r="A567" s="8">
        <v>2311932</v>
      </c>
      <c r="B567" s="9" t="s">
        <v>2359</v>
      </c>
      <c r="C567" s="10">
        <v>45149</v>
      </c>
      <c r="D567" s="9" t="s">
        <v>261</v>
      </c>
      <c r="E567" s="9" t="s">
        <v>143</v>
      </c>
      <c r="F567" s="9" t="s">
        <v>262</v>
      </c>
      <c r="G567" s="9" t="s">
        <v>43</v>
      </c>
      <c r="H567" s="9" t="s">
        <v>44</v>
      </c>
      <c r="I567" s="11" t="s">
        <v>1291</v>
      </c>
      <c r="J567" s="9" t="s">
        <v>1292</v>
      </c>
      <c r="K567" s="9" t="s">
        <v>47</v>
      </c>
      <c r="L567" s="9" t="s">
        <v>156</v>
      </c>
      <c r="M567" s="9"/>
      <c r="N567" s="9" t="s">
        <v>50</v>
      </c>
      <c r="O567" s="9" t="s">
        <v>51</v>
      </c>
      <c r="P567" s="9"/>
      <c r="Q567" s="9"/>
      <c r="R567" s="9"/>
      <c r="S567" s="14" t="s">
        <v>2360</v>
      </c>
      <c r="T567" s="9" t="s">
        <v>2361</v>
      </c>
      <c r="U567" s="9" t="s">
        <v>262</v>
      </c>
      <c r="V567" s="9" t="s">
        <v>55</v>
      </c>
      <c r="W567" s="9" t="s">
        <v>55</v>
      </c>
      <c r="X567" s="12"/>
      <c r="Y567" s="9" t="s">
        <v>55</v>
      </c>
      <c r="Z567" s="13"/>
    </row>
    <row r="568" spans="1:26" ht="32.25" hidden="1" customHeight="1">
      <c r="A568" s="8">
        <v>2312293</v>
      </c>
      <c r="B568" s="9" t="s">
        <v>2362</v>
      </c>
      <c r="C568" s="10">
        <v>45142</v>
      </c>
      <c r="D568" s="9" t="s">
        <v>67</v>
      </c>
      <c r="E568" s="9" t="s">
        <v>143</v>
      </c>
      <c r="F568" s="9" t="s">
        <v>42</v>
      </c>
      <c r="G568" s="9" t="s">
        <v>43</v>
      </c>
      <c r="H568" s="9" t="s">
        <v>44</v>
      </c>
      <c r="I568" s="11" t="s">
        <v>460</v>
      </c>
      <c r="J568" s="9" t="s">
        <v>400</v>
      </c>
      <c r="K568" s="9" t="s">
        <v>47</v>
      </c>
      <c r="L568" s="9" t="s">
        <v>48</v>
      </c>
      <c r="M568" s="9" t="s">
        <v>1116</v>
      </c>
      <c r="N568" s="9" t="s">
        <v>84</v>
      </c>
      <c r="O568" s="9" t="s">
        <v>51</v>
      </c>
      <c r="P568" s="9"/>
      <c r="Q568" s="9"/>
      <c r="R568" s="9"/>
      <c r="S568" s="9" t="s">
        <v>2363</v>
      </c>
      <c r="T568" s="9" t="s">
        <v>2364</v>
      </c>
      <c r="U568" s="9" t="s">
        <v>54</v>
      </c>
      <c r="V568" s="9" t="s">
        <v>55</v>
      </c>
      <c r="W568" s="9" t="s">
        <v>55</v>
      </c>
      <c r="X568" s="12"/>
      <c r="Y568" s="9" t="s">
        <v>55</v>
      </c>
      <c r="Z568" s="13"/>
    </row>
    <row r="569" spans="1:26" ht="32.25" hidden="1" customHeight="1">
      <c r="A569" s="8">
        <v>2300105</v>
      </c>
      <c r="B569" s="9" t="s">
        <v>2365</v>
      </c>
      <c r="C569" s="10">
        <v>45149</v>
      </c>
      <c r="D569" s="9" t="s">
        <v>261</v>
      </c>
      <c r="E569" s="9" t="s">
        <v>68</v>
      </c>
      <c r="F569" s="9" t="s">
        <v>262</v>
      </c>
      <c r="G569" s="9" t="s">
        <v>43</v>
      </c>
      <c r="H569" s="9" t="s">
        <v>44</v>
      </c>
      <c r="I569" s="11" t="s">
        <v>1020</v>
      </c>
      <c r="J569" s="9" t="s">
        <v>1021</v>
      </c>
      <c r="K569" s="9" t="s">
        <v>47</v>
      </c>
      <c r="L569" s="9" t="s">
        <v>1227</v>
      </c>
      <c r="M569" s="9" t="s">
        <v>2366</v>
      </c>
      <c r="N569" s="9" t="s">
        <v>50</v>
      </c>
      <c r="O569" s="9" t="s">
        <v>51</v>
      </c>
      <c r="P569" s="9"/>
      <c r="Q569" s="9"/>
      <c r="R569" s="9" t="s">
        <v>61</v>
      </c>
      <c r="S569" s="14" t="s">
        <v>2367</v>
      </c>
      <c r="T569" s="9" t="s">
        <v>2368</v>
      </c>
      <c r="U569" s="9" t="s">
        <v>262</v>
      </c>
      <c r="V569" s="9" t="s">
        <v>2369</v>
      </c>
      <c r="W569" s="9" t="s">
        <v>115</v>
      </c>
      <c r="X569" s="12" t="s">
        <v>76</v>
      </c>
      <c r="Y569" s="9" t="s">
        <v>77</v>
      </c>
      <c r="Z569" s="13" t="s">
        <v>1026</v>
      </c>
    </row>
    <row r="570" spans="1:26" ht="32.25" hidden="1" customHeight="1">
      <c r="A570" s="8">
        <v>2303818</v>
      </c>
      <c r="B570" s="9" t="s">
        <v>2370</v>
      </c>
      <c r="C570" s="10">
        <v>45136</v>
      </c>
      <c r="D570" s="9" t="s">
        <v>40</v>
      </c>
      <c r="E570" s="9" t="s">
        <v>41</v>
      </c>
      <c r="F570" s="9" t="s">
        <v>42</v>
      </c>
      <c r="G570" s="9" t="s">
        <v>43</v>
      </c>
      <c r="H570" s="9" t="s">
        <v>44</v>
      </c>
      <c r="I570" s="11" t="s">
        <v>661</v>
      </c>
      <c r="J570" s="9" t="s">
        <v>662</v>
      </c>
      <c r="K570" s="9" t="s">
        <v>47</v>
      </c>
      <c r="L570" s="9" t="s">
        <v>167</v>
      </c>
      <c r="M570" s="9" t="s">
        <v>168</v>
      </c>
      <c r="N570" s="9" t="s">
        <v>50</v>
      </c>
      <c r="O570" s="9" t="s">
        <v>51</v>
      </c>
      <c r="P570" s="9"/>
      <c r="Q570" s="9"/>
      <c r="R570" s="9" t="s">
        <v>61</v>
      </c>
      <c r="S570" s="9" t="s">
        <v>2371</v>
      </c>
      <c r="T570" s="9" t="s">
        <v>2372</v>
      </c>
      <c r="U570" s="9" t="s">
        <v>54</v>
      </c>
      <c r="V570" s="9" t="s">
        <v>55</v>
      </c>
      <c r="W570" s="9" t="s">
        <v>55</v>
      </c>
      <c r="X570" s="9" t="s">
        <v>64</v>
      </c>
      <c r="Y570" s="9" t="s">
        <v>65</v>
      </c>
      <c r="Z570" s="13" t="s">
        <v>2373</v>
      </c>
    </row>
    <row r="571" spans="1:26" ht="32.25" hidden="1" customHeight="1">
      <c r="A571" s="8">
        <v>2310989</v>
      </c>
      <c r="B571" s="9" t="s">
        <v>2374</v>
      </c>
      <c r="C571" s="10">
        <v>45136</v>
      </c>
      <c r="D571" s="9" t="s">
        <v>40</v>
      </c>
      <c r="E571" s="9" t="s">
        <v>41</v>
      </c>
      <c r="F571" s="9" t="s">
        <v>42</v>
      </c>
      <c r="G571" s="9" t="s">
        <v>43</v>
      </c>
      <c r="H571" s="9" t="s">
        <v>44</v>
      </c>
      <c r="I571" s="11" t="s">
        <v>45</v>
      </c>
      <c r="J571" s="9" t="s">
        <v>46</v>
      </c>
      <c r="K571" s="9" t="s">
        <v>47</v>
      </c>
      <c r="L571" s="9" t="s">
        <v>846</v>
      </c>
      <c r="M571" s="9" t="s">
        <v>1081</v>
      </c>
      <c r="N571" s="9" t="s">
        <v>50</v>
      </c>
      <c r="O571" s="9" t="s">
        <v>51</v>
      </c>
      <c r="P571" s="9"/>
      <c r="Q571" s="9"/>
      <c r="R571" s="9" t="s">
        <v>61</v>
      </c>
      <c r="S571" s="9" t="s">
        <v>2375</v>
      </c>
      <c r="T571" s="9" t="s">
        <v>2376</v>
      </c>
      <c r="U571" s="9" t="s">
        <v>54</v>
      </c>
      <c r="V571" s="9" t="s">
        <v>55</v>
      </c>
      <c r="W571" s="9" t="s">
        <v>55</v>
      </c>
      <c r="X571" s="9" t="s">
        <v>64</v>
      </c>
      <c r="Y571" s="9" t="s">
        <v>65</v>
      </c>
      <c r="Z571" s="13"/>
    </row>
    <row r="572" spans="1:26" ht="32.25" hidden="1" customHeight="1">
      <c r="A572" s="8">
        <v>2306413</v>
      </c>
      <c r="B572" s="9" t="s">
        <v>2377</v>
      </c>
      <c r="C572" s="10">
        <v>45136</v>
      </c>
      <c r="D572" s="9" t="s">
        <v>40</v>
      </c>
      <c r="E572" s="9" t="s">
        <v>143</v>
      </c>
      <c r="F572" s="9" t="s">
        <v>42</v>
      </c>
      <c r="G572" s="9" t="s">
        <v>43</v>
      </c>
      <c r="H572" s="9" t="s">
        <v>44</v>
      </c>
      <c r="I572" s="11" t="s">
        <v>219</v>
      </c>
      <c r="J572" s="9" t="s">
        <v>220</v>
      </c>
      <c r="K572" s="9" t="s">
        <v>47</v>
      </c>
      <c r="L572" s="9" t="s">
        <v>827</v>
      </c>
      <c r="M572" s="9" t="s">
        <v>828</v>
      </c>
      <c r="N572" s="9" t="s">
        <v>50</v>
      </c>
      <c r="O572" s="9" t="s">
        <v>51</v>
      </c>
      <c r="P572" s="9"/>
      <c r="Q572" s="9"/>
      <c r="R572" s="9" t="s">
        <v>61</v>
      </c>
      <c r="S572" s="9" t="s">
        <v>2378</v>
      </c>
      <c r="T572" s="9" t="s">
        <v>2379</v>
      </c>
      <c r="U572" s="9" t="s">
        <v>54</v>
      </c>
      <c r="V572" s="9" t="s">
        <v>55</v>
      </c>
      <c r="W572" s="9" t="s">
        <v>55</v>
      </c>
      <c r="X572" s="12" t="s">
        <v>171</v>
      </c>
      <c r="Y572" s="9" t="s">
        <v>172</v>
      </c>
      <c r="Z572" s="13"/>
    </row>
    <row r="573" spans="1:26" ht="32.25" hidden="1" customHeight="1">
      <c r="A573" s="8">
        <v>2304357</v>
      </c>
      <c r="B573" s="9" t="s">
        <v>2380</v>
      </c>
      <c r="C573" s="10">
        <v>45156</v>
      </c>
      <c r="D573" s="9" t="s">
        <v>79</v>
      </c>
      <c r="E573" s="9" t="s">
        <v>89</v>
      </c>
      <c r="F573" s="9" t="s">
        <v>80</v>
      </c>
      <c r="G573" s="9" t="s">
        <v>43</v>
      </c>
      <c r="H573" s="9" t="s">
        <v>44</v>
      </c>
      <c r="I573" s="11" t="s">
        <v>101</v>
      </c>
      <c r="J573" s="9" t="s">
        <v>102</v>
      </c>
      <c r="K573" s="9" t="s">
        <v>47</v>
      </c>
      <c r="L573" s="9" t="s">
        <v>156</v>
      </c>
      <c r="M573" s="9"/>
      <c r="N573" s="9" t="s">
        <v>50</v>
      </c>
      <c r="O573" s="9" t="s">
        <v>51</v>
      </c>
      <c r="P573" s="9" t="s">
        <v>715</v>
      </c>
      <c r="Q573" s="9"/>
      <c r="R573" s="9"/>
      <c r="S573" s="14" t="s">
        <v>2381</v>
      </c>
      <c r="T573" s="9" t="s">
        <v>2382</v>
      </c>
      <c r="U573" s="9" t="s">
        <v>54</v>
      </c>
      <c r="V573" s="9" t="s">
        <v>55</v>
      </c>
      <c r="W573" s="9" t="s">
        <v>55</v>
      </c>
      <c r="X573" s="12"/>
      <c r="Y573" s="9" t="s">
        <v>55</v>
      </c>
      <c r="Z573" s="13"/>
    </row>
    <row r="574" spans="1:26" ht="32.25" hidden="1" customHeight="1">
      <c r="A574" s="8">
        <v>2302568</v>
      </c>
      <c r="B574" s="9" t="s">
        <v>2383</v>
      </c>
      <c r="C574" s="10">
        <v>45156</v>
      </c>
      <c r="D574" s="9" t="s">
        <v>79</v>
      </c>
      <c r="E574" s="9" t="s">
        <v>89</v>
      </c>
      <c r="F574" s="9" t="s">
        <v>80</v>
      </c>
      <c r="G574" s="9" t="s">
        <v>43</v>
      </c>
      <c r="H574" s="9" t="s">
        <v>44</v>
      </c>
      <c r="I574" s="11" t="s">
        <v>90</v>
      </c>
      <c r="J574" s="9" t="s">
        <v>91</v>
      </c>
      <c r="K574" s="9" t="s">
        <v>47</v>
      </c>
      <c r="L574" s="9" t="s">
        <v>340</v>
      </c>
      <c r="M574" s="9" t="s">
        <v>2384</v>
      </c>
      <c r="N574" s="9" t="s">
        <v>50</v>
      </c>
      <c r="O574" s="9" t="s">
        <v>51</v>
      </c>
      <c r="P574" s="9" t="s">
        <v>546</v>
      </c>
      <c r="Q574" s="9"/>
      <c r="R574" s="9" t="s">
        <v>61</v>
      </c>
      <c r="S574" s="14" t="s">
        <v>2385</v>
      </c>
      <c r="T574" s="9" t="s">
        <v>2386</v>
      </c>
      <c r="U574" s="9" t="s">
        <v>54</v>
      </c>
      <c r="V574" s="9" t="s">
        <v>711</v>
      </c>
      <c r="W574" s="9" t="s">
        <v>115</v>
      </c>
      <c r="X574" s="12" t="s">
        <v>98</v>
      </c>
      <c r="Y574" s="9" t="s">
        <v>99</v>
      </c>
      <c r="Z574" s="13"/>
    </row>
    <row r="575" spans="1:26" ht="32.25" hidden="1" customHeight="1">
      <c r="A575" s="8">
        <v>2305275</v>
      </c>
      <c r="B575" s="9" t="s">
        <v>2387</v>
      </c>
      <c r="C575" s="10">
        <v>45149</v>
      </c>
      <c r="D575" s="9" t="s">
        <v>57</v>
      </c>
      <c r="E575" s="9" t="s">
        <v>41</v>
      </c>
      <c r="F575" s="9" t="s">
        <v>42</v>
      </c>
      <c r="G575" s="9" t="s">
        <v>43</v>
      </c>
      <c r="H575" s="9" t="s">
        <v>58</v>
      </c>
      <c r="I575" s="11" t="s">
        <v>45</v>
      </c>
      <c r="J575" s="9" t="s">
        <v>46</v>
      </c>
      <c r="K575" s="9" t="s">
        <v>47</v>
      </c>
      <c r="L575" s="9" t="s">
        <v>48</v>
      </c>
      <c r="M575" s="9" t="s">
        <v>674</v>
      </c>
      <c r="N575" s="9" t="s">
        <v>50</v>
      </c>
      <c r="O575" s="9" t="s">
        <v>51</v>
      </c>
      <c r="P575" s="9"/>
      <c r="Q575" s="9"/>
      <c r="R575" s="9"/>
      <c r="S575" s="14" t="s">
        <v>2388</v>
      </c>
      <c r="T575" s="9" t="s">
        <v>2389</v>
      </c>
      <c r="U575" s="9" t="s">
        <v>54</v>
      </c>
      <c r="V575" s="9" t="s">
        <v>55</v>
      </c>
      <c r="W575" s="9" t="s">
        <v>55</v>
      </c>
      <c r="X575" s="12"/>
      <c r="Y575" s="9" t="s">
        <v>55</v>
      </c>
      <c r="Z575" s="13"/>
    </row>
    <row r="576" spans="1:26" ht="32.25" hidden="1" customHeight="1">
      <c r="A576" s="8">
        <v>2309743</v>
      </c>
      <c r="B576" s="9" t="s">
        <v>2390</v>
      </c>
      <c r="C576" s="10">
        <v>45156</v>
      </c>
      <c r="D576" s="9" t="s">
        <v>79</v>
      </c>
      <c r="E576" s="9" t="s">
        <v>153</v>
      </c>
      <c r="F576" s="9" t="s">
        <v>80</v>
      </c>
      <c r="G576" s="9" t="s">
        <v>43</v>
      </c>
      <c r="H576" s="9" t="s">
        <v>44</v>
      </c>
      <c r="I576" s="11" t="s">
        <v>1588</v>
      </c>
      <c r="J576" s="9" t="s">
        <v>155</v>
      </c>
      <c r="K576" s="9" t="s">
        <v>47</v>
      </c>
      <c r="L576" s="9" t="s">
        <v>1333</v>
      </c>
      <c r="M576" s="9" t="s">
        <v>1334</v>
      </c>
      <c r="N576" s="9" t="s">
        <v>84</v>
      </c>
      <c r="O576" s="9" t="s">
        <v>51</v>
      </c>
      <c r="P576" s="9" t="s">
        <v>2391</v>
      </c>
      <c r="Q576" s="9"/>
      <c r="R576" s="9" t="s">
        <v>61</v>
      </c>
      <c r="S576" s="14" t="s">
        <v>2392</v>
      </c>
      <c r="T576" s="9" t="s">
        <v>2393</v>
      </c>
      <c r="U576" s="9" t="s">
        <v>54</v>
      </c>
      <c r="V576" s="9" t="s">
        <v>55</v>
      </c>
      <c r="W576" s="9" t="s">
        <v>55</v>
      </c>
      <c r="X576" s="12" t="s">
        <v>319</v>
      </c>
      <c r="Y576" s="9" t="s">
        <v>320</v>
      </c>
      <c r="Z576" s="13"/>
    </row>
    <row r="577" spans="1:26" ht="32.25" hidden="1" customHeight="1">
      <c r="A577" s="8">
        <v>2313451</v>
      </c>
      <c r="B577" s="9" t="s">
        <v>2394</v>
      </c>
      <c r="C577" s="10">
        <v>45156</v>
      </c>
      <c r="D577" s="9" t="s">
        <v>79</v>
      </c>
      <c r="E577" s="9" t="s">
        <v>143</v>
      </c>
      <c r="F577" s="9" t="s">
        <v>80</v>
      </c>
      <c r="G577" s="9" t="s">
        <v>43</v>
      </c>
      <c r="H577" s="9" t="s">
        <v>44</v>
      </c>
      <c r="I577" s="11" t="s">
        <v>326</v>
      </c>
      <c r="J577" s="9" t="s">
        <v>327</v>
      </c>
      <c r="K577" s="9" t="s">
        <v>47</v>
      </c>
      <c r="L577" s="9" t="s">
        <v>822</v>
      </c>
      <c r="M577" s="9" t="s">
        <v>2395</v>
      </c>
      <c r="N577" s="9" t="s">
        <v>84</v>
      </c>
      <c r="O577" s="9" t="s">
        <v>51</v>
      </c>
      <c r="P577" s="9" t="s">
        <v>576</v>
      </c>
      <c r="Q577" s="9"/>
      <c r="R577" s="9" t="s">
        <v>61</v>
      </c>
      <c r="S577" s="14" t="s">
        <v>2396</v>
      </c>
      <c r="T577" s="9" t="s">
        <v>2397</v>
      </c>
      <c r="U577" s="9" t="s">
        <v>54</v>
      </c>
      <c r="V577" s="9" t="s">
        <v>370</v>
      </c>
      <c r="W577" s="9" t="s">
        <v>115</v>
      </c>
      <c r="X577" s="12" t="s">
        <v>150</v>
      </c>
      <c r="Y577" s="9" t="s">
        <v>151</v>
      </c>
      <c r="Z577" s="13"/>
    </row>
    <row r="578" spans="1:26" ht="32.25" hidden="1" customHeight="1">
      <c r="A578" s="8">
        <v>2311119</v>
      </c>
      <c r="B578" s="9" t="s">
        <v>2398</v>
      </c>
      <c r="C578" s="10">
        <v>45156</v>
      </c>
      <c r="D578" s="9" t="s">
        <v>79</v>
      </c>
      <c r="E578" s="9" t="s">
        <v>68</v>
      </c>
      <c r="F578" s="9" t="s">
        <v>80</v>
      </c>
      <c r="G578" s="9" t="s">
        <v>43</v>
      </c>
      <c r="H578" s="9" t="s">
        <v>44</v>
      </c>
      <c r="I578" s="11" t="s">
        <v>90</v>
      </c>
      <c r="J578" s="9" t="s">
        <v>91</v>
      </c>
      <c r="K578" s="9" t="s">
        <v>47</v>
      </c>
      <c r="L578" s="9" t="s">
        <v>2399</v>
      </c>
      <c r="M578" s="9" t="s">
        <v>2400</v>
      </c>
      <c r="N578" s="9" t="s">
        <v>50</v>
      </c>
      <c r="O578" s="9" t="s">
        <v>51</v>
      </c>
      <c r="P578" s="9" t="s">
        <v>670</v>
      </c>
      <c r="Q578" s="9"/>
      <c r="R578" s="9"/>
      <c r="S578" s="14" t="s">
        <v>2401</v>
      </c>
      <c r="T578" s="9" t="s">
        <v>2402</v>
      </c>
      <c r="U578" s="9" t="s">
        <v>54</v>
      </c>
      <c r="V578" s="9" t="s">
        <v>55</v>
      </c>
      <c r="W578" s="9" t="s">
        <v>55</v>
      </c>
      <c r="X578" s="12"/>
      <c r="Y578" s="9" t="s">
        <v>55</v>
      </c>
      <c r="Z578" s="13"/>
    </row>
    <row r="579" spans="1:26" ht="32.25" hidden="1" customHeight="1">
      <c r="A579" s="8">
        <v>2309739</v>
      </c>
      <c r="B579" s="9" t="s">
        <v>2403</v>
      </c>
      <c r="C579" s="10">
        <v>45142</v>
      </c>
      <c r="D579" s="9" t="s">
        <v>67</v>
      </c>
      <c r="E579" s="9" t="s">
        <v>68</v>
      </c>
      <c r="F579" s="9" t="s">
        <v>135</v>
      </c>
      <c r="G579" s="9" t="s">
        <v>43</v>
      </c>
      <c r="H579" s="9" t="s">
        <v>44</v>
      </c>
      <c r="I579" s="11" t="s">
        <v>136</v>
      </c>
      <c r="J579" s="9" t="s">
        <v>137</v>
      </c>
      <c r="K579" s="9" t="s">
        <v>47</v>
      </c>
      <c r="L579" s="9" t="s">
        <v>138</v>
      </c>
      <c r="M579" s="9" t="s">
        <v>2108</v>
      </c>
      <c r="N579" s="9" t="s">
        <v>50</v>
      </c>
      <c r="O579" s="9" t="s">
        <v>51</v>
      </c>
      <c r="P579" s="9"/>
      <c r="Q579" s="9"/>
      <c r="R579" s="9" t="s">
        <v>61</v>
      </c>
      <c r="S579" s="9" t="s">
        <v>2404</v>
      </c>
      <c r="T579" s="9" t="s">
        <v>2405</v>
      </c>
      <c r="U579" s="9" t="s">
        <v>54</v>
      </c>
      <c r="V579" s="9" t="s">
        <v>55</v>
      </c>
      <c r="W579" s="9" t="s">
        <v>55</v>
      </c>
      <c r="X579" s="12" t="s">
        <v>76</v>
      </c>
      <c r="Y579" s="9" t="s">
        <v>77</v>
      </c>
      <c r="Z579" s="13"/>
    </row>
    <row r="580" spans="1:26" ht="32.25" hidden="1" customHeight="1">
      <c r="A580" s="8">
        <v>2303145</v>
      </c>
      <c r="B580" s="9" t="s">
        <v>2406</v>
      </c>
      <c r="C580" s="10">
        <v>45156</v>
      </c>
      <c r="D580" s="9" t="s">
        <v>79</v>
      </c>
      <c r="E580" s="9" t="s">
        <v>89</v>
      </c>
      <c r="F580" s="9" t="s">
        <v>80</v>
      </c>
      <c r="G580" s="9" t="s">
        <v>43</v>
      </c>
      <c r="H580" s="9" t="s">
        <v>44</v>
      </c>
      <c r="I580" s="11" t="s">
        <v>117</v>
      </c>
      <c r="J580" s="9" t="s">
        <v>118</v>
      </c>
      <c r="K580" s="9" t="s">
        <v>47</v>
      </c>
      <c r="L580" s="9" t="s">
        <v>48</v>
      </c>
      <c r="M580" s="9" t="s">
        <v>1973</v>
      </c>
      <c r="N580" s="9" t="s">
        <v>50</v>
      </c>
      <c r="O580" s="9" t="s">
        <v>51</v>
      </c>
      <c r="P580" s="9" t="s">
        <v>121</v>
      </c>
      <c r="Q580" s="9"/>
      <c r="R580" s="9"/>
      <c r="S580" s="14" t="s">
        <v>2407</v>
      </c>
      <c r="T580" s="9" t="s">
        <v>2408</v>
      </c>
      <c r="U580" s="9" t="s">
        <v>54</v>
      </c>
      <c r="V580" s="9" t="s">
        <v>55</v>
      </c>
      <c r="W580" s="9" t="s">
        <v>55</v>
      </c>
      <c r="X580" s="12"/>
      <c r="Y580" s="9" t="s">
        <v>55</v>
      </c>
      <c r="Z580" s="13"/>
    </row>
    <row r="581" spans="1:26" ht="32.25" hidden="1" customHeight="1">
      <c r="A581" s="8">
        <v>2309763</v>
      </c>
      <c r="B581" s="9" t="s">
        <v>2409</v>
      </c>
      <c r="C581" s="10">
        <v>45149</v>
      </c>
      <c r="D581" s="9" t="s">
        <v>57</v>
      </c>
      <c r="E581" s="9" t="s">
        <v>41</v>
      </c>
      <c r="F581" s="9" t="s">
        <v>42</v>
      </c>
      <c r="G581" s="9" t="s">
        <v>43</v>
      </c>
      <c r="H581" s="9" t="s">
        <v>58</v>
      </c>
      <c r="I581" s="11" t="s">
        <v>129</v>
      </c>
      <c r="J581" s="9" t="s">
        <v>130</v>
      </c>
      <c r="K581" s="9" t="s">
        <v>47</v>
      </c>
      <c r="L581" s="9" t="s">
        <v>156</v>
      </c>
      <c r="M581" s="9"/>
      <c r="N581" s="9" t="s">
        <v>84</v>
      </c>
      <c r="O581" s="9" t="s">
        <v>51</v>
      </c>
      <c r="P581" s="9"/>
      <c r="Q581" s="9"/>
      <c r="R581" s="9"/>
      <c r="S581" s="14" t="s">
        <v>2410</v>
      </c>
      <c r="T581" s="9" t="s">
        <v>2411</v>
      </c>
      <c r="U581" s="9" t="s">
        <v>54</v>
      </c>
      <c r="V581" s="9" t="s">
        <v>55</v>
      </c>
      <c r="W581" s="9" t="s">
        <v>55</v>
      </c>
      <c r="X581" s="12"/>
      <c r="Y581" s="9" t="s">
        <v>55</v>
      </c>
      <c r="Z581" s="13"/>
    </row>
    <row r="582" spans="1:26" ht="32.25" hidden="1" customHeight="1">
      <c r="A582" s="8">
        <v>2314934</v>
      </c>
      <c r="B582" s="9" t="s">
        <v>2412</v>
      </c>
      <c r="C582" s="10">
        <v>45156</v>
      </c>
      <c r="D582" s="9" t="s">
        <v>79</v>
      </c>
      <c r="E582" s="9" t="s">
        <v>68</v>
      </c>
      <c r="F582" s="9" t="s">
        <v>80</v>
      </c>
      <c r="G582" s="9" t="s">
        <v>43</v>
      </c>
      <c r="H582" s="9" t="s">
        <v>44</v>
      </c>
      <c r="I582" s="11" t="s">
        <v>101</v>
      </c>
      <c r="J582" s="9" t="s">
        <v>102</v>
      </c>
      <c r="K582" s="9" t="s">
        <v>47</v>
      </c>
      <c r="L582" s="9" t="s">
        <v>156</v>
      </c>
      <c r="M582" s="9"/>
      <c r="N582" s="9" t="s">
        <v>50</v>
      </c>
      <c r="O582" s="9" t="s">
        <v>51</v>
      </c>
      <c r="P582" s="9" t="s">
        <v>379</v>
      </c>
      <c r="Q582" s="9"/>
      <c r="R582" s="9"/>
      <c r="S582" s="14" t="s">
        <v>2413</v>
      </c>
      <c r="T582" s="9" t="s">
        <v>2414</v>
      </c>
      <c r="U582" s="9" t="s">
        <v>54</v>
      </c>
      <c r="V582" s="9" t="s">
        <v>55</v>
      </c>
      <c r="W582" s="9" t="s">
        <v>55</v>
      </c>
      <c r="X582" s="12"/>
      <c r="Y582" s="9" t="s">
        <v>55</v>
      </c>
      <c r="Z582" s="13"/>
    </row>
    <row r="583" spans="1:26" ht="32.25" hidden="1" customHeight="1">
      <c r="A583" s="8">
        <v>2309729</v>
      </c>
      <c r="B583" s="9" t="s">
        <v>2415</v>
      </c>
      <c r="C583" s="10">
        <v>45136</v>
      </c>
      <c r="D583" s="9" t="s">
        <v>40</v>
      </c>
      <c r="E583" s="9" t="s">
        <v>295</v>
      </c>
      <c r="F583" s="9" t="s">
        <v>42</v>
      </c>
      <c r="G583" s="9" t="s">
        <v>43</v>
      </c>
      <c r="H583" s="9" t="s">
        <v>44</v>
      </c>
      <c r="I583" s="11" t="s">
        <v>296</v>
      </c>
      <c r="J583" s="9" t="s">
        <v>297</v>
      </c>
      <c r="K583" s="9" t="s">
        <v>47</v>
      </c>
      <c r="L583" s="9" t="s">
        <v>1040</v>
      </c>
      <c r="M583" s="9" t="s">
        <v>1147</v>
      </c>
      <c r="N583" s="9" t="s">
        <v>84</v>
      </c>
      <c r="O583" s="9" t="s">
        <v>51</v>
      </c>
      <c r="P583" s="9"/>
      <c r="Q583" s="9"/>
      <c r="R583" s="9" t="s">
        <v>61</v>
      </c>
      <c r="S583" s="9" t="s">
        <v>2416</v>
      </c>
      <c r="T583" s="9" t="s">
        <v>2417</v>
      </c>
      <c r="U583" s="9" t="s">
        <v>54</v>
      </c>
      <c r="V583" s="9" t="s">
        <v>55</v>
      </c>
      <c r="W583" s="9" t="s">
        <v>55</v>
      </c>
      <c r="X583" s="9" t="s">
        <v>319</v>
      </c>
      <c r="Y583" s="9" t="s">
        <v>320</v>
      </c>
      <c r="Z583" s="13"/>
    </row>
    <row r="584" spans="1:26" ht="32.25" hidden="1" customHeight="1">
      <c r="A584" s="8">
        <v>2306604</v>
      </c>
      <c r="B584" s="9" t="s">
        <v>2418</v>
      </c>
      <c r="C584" s="10">
        <v>45149</v>
      </c>
      <c r="D584" s="9" t="s">
        <v>261</v>
      </c>
      <c r="E584" s="9" t="s">
        <v>143</v>
      </c>
      <c r="F584" s="9" t="s">
        <v>262</v>
      </c>
      <c r="G584" s="9" t="s">
        <v>43</v>
      </c>
      <c r="H584" s="9" t="s">
        <v>44</v>
      </c>
      <c r="I584" s="11" t="s">
        <v>435</v>
      </c>
      <c r="J584" s="9" t="s">
        <v>436</v>
      </c>
      <c r="K584" s="9" t="s">
        <v>47</v>
      </c>
      <c r="L584" s="9" t="s">
        <v>48</v>
      </c>
      <c r="M584" s="9" t="s">
        <v>1943</v>
      </c>
      <c r="N584" s="9" t="s">
        <v>50</v>
      </c>
      <c r="O584" s="9" t="s">
        <v>51</v>
      </c>
      <c r="P584" s="9"/>
      <c r="Q584" s="9"/>
      <c r="R584" s="9"/>
      <c r="S584" s="14" t="s">
        <v>2419</v>
      </c>
      <c r="T584" s="9" t="s">
        <v>2420</v>
      </c>
      <c r="U584" s="9" t="s">
        <v>262</v>
      </c>
      <c r="V584" s="9" t="s">
        <v>55</v>
      </c>
      <c r="W584" s="9" t="s">
        <v>55</v>
      </c>
      <c r="X584" s="12"/>
      <c r="Y584" s="9" t="s">
        <v>55</v>
      </c>
      <c r="Z584" s="13"/>
    </row>
    <row r="585" spans="1:26" ht="32.25" hidden="1" customHeight="1">
      <c r="A585" s="8">
        <v>2312027</v>
      </c>
      <c r="B585" s="9" t="s">
        <v>2421</v>
      </c>
      <c r="C585" s="10">
        <v>45156</v>
      </c>
      <c r="D585" s="9" t="s">
        <v>79</v>
      </c>
      <c r="E585" s="9" t="s">
        <v>143</v>
      </c>
      <c r="F585" s="9" t="s">
        <v>80</v>
      </c>
      <c r="G585" s="9" t="s">
        <v>43</v>
      </c>
      <c r="H585" s="9" t="s">
        <v>44</v>
      </c>
      <c r="I585" s="11" t="s">
        <v>326</v>
      </c>
      <c r="J585" s="9" t="s">
        <v>327</v>
      </c>
      <c r="K585" s="9" t="s">
        <v>47</v>
      </c>
      <c r="L585" s="9" t="s">
        <v>156</v>
      </c>
      <c r="M585" s="9"/>
      <c r="N585" s="9" t="s">
        <v>84</v>
      </c>
      <c r="O585" s="9" t="s">
        <v>51</v>
      </c>
      <c r="P585" s="9" t="s">
        <v>1029</v>
      </c>
      <c r="Q585" s="9"/>
      <c r="R585" s="9"/>
      <c r="S585" s="14" t="s">
        <v>2422</v>
      </c>
      <c r="T585" s="9" t="s">
        <v>2423</v>
      </c>
      <c r="U585" s="9" t="s">
        <v>54</v>
      </c>
      <c r="V585" s="9"/>
      <c r="W585" s="9" t="s">
        <v>115</v>
      </c>
      <c r="X585" s="12"/>
      <c r="Y585" s="9" t="s">
        <v>55</v>
      </c>
      <c r="Z585" s="13"/>
    </row>
    <row r="586" spans="1:26" ht="32.25" hidden="1" customHeight="1">
      <c r="A586" s="8">
        <v>2305281</v>
      </c>
      <c r="B586" s="9" t="s">
        <v>2424</v>
      </c>
      <c r="C586" s="10">
        <v>45142</v>
      </c>
      <c r="D586" s="9" t="s">
        <v>67</v>
      </c>
      <c r="E586" s="9" t="s">
        <v>143</v>
      </c>
      <c r="F586" s="9" t="s">
        <v>42</v>
      </c>
      <c r="G586" s="9" t="s">
        <v>43</v>
      </c>
      <c r="H586" s="9" t="s">
        <v>44</v>
      </c>
      <c r="I586" s="11" t="s">
        <v>219</v>
      </c>
      <c r="J586" s="9" t="s">
        <v>220</v>
      </c>
      <c r="K586" s="9" t="s">
        <v>47</v>
      </c>
      <c r="L586" s="9" t="s">
        <v>1992</v>
      </c>
      <c r="M586" s="9" t="s">
        <v>1993</v>
      </c>
      <c r="N586" s="9" t="s">
        <v>84</v>
      </c>
      <c r="O586" s="9" t="s">
        <v>51</v>
      </c>
      <c r="P586" s="9"/>
      <c r="Q586" s="9"/>
      <c r="R586" s="9" t="s">
        <v>61</v>
      </c>
      <c r="S586" s="9" t="s">
        <v>2425</v>
      </c>
      <c r="T586" s="9" t="s">
        <v>2426</v>
      </c>
      <c r="U586" s="9" t="s">
        <v>54</v>
      </c>
      <c r="V586" s="9" t="s">
        <v>55</v>
      </c>
      <c r="W586" s="9" t="s">
        <v>55</v>
      </c>
      <c r="X586" s="12" t="s">
        <v>171</v>
      </c>
      <c r="Y586" s="9" t="s">
        <v>172</v>
      </c>
      <c r="Z586" s="13"/>
    </row>
    <row r="587" spans="1:26" ht="32.25" hidden="1" customHeight="1">
      <c r="A587" s="8">
        <v>2314760</v>
      </c>
      <c r="B587" s="9" t="s">
        <v>2427</v>
      </c>
      <c r="C587" s="10">
        <v>45156</v>
      </c>
      <c r="D587" s="9" t="s">
        <v>79</v>
      </c>
      <c r="E587" s="9" t="s">
        <v>143</v>
      </c>
      <c r="F587" s="9" t="s">
        <v>80</v>
      </c>
      <c r="G587" s="9" t="s">
        <v>43</v>
      </c>
      <c r="H587" s="9" t="s">
        <v>44</v>
      </c>
      <c r="I587" s="11" t="s">
        <v>326</v>
      </c>
      <c r="J587" s="9" t="s">
        <v>327</v>
      </c>
      <c r="K587" s="9" t="s">
        <v>47</v>
      </c>
      <c r="L587" s="9" t="s">
        <v>480</v>
      </c>
      <c r="M587" s="9" t="s">
        <v>653</v>
      </c>
      <c r="N587" s="9" t="s">
        <v>84</v>
      </c>
      <c r="O587" s="9" t="s">
        <v>51</v>
      </c>
      <c r="P587" s="9" t="s">
        <v>1029</v>
      </c>
      <c r="Q587" s="9"/>
      <c r="R587" s="9" t="s">
        <v>61</v>
      </c>
      <c r="S587" s="14" t="s">
        <v>2428</v>
      </c>
      <c r="T587" s="9" t="s">
        <v>2429</v>
      </c>
      <c r="U587" s="9" t="s">
        <v>54</v>
      </c>
      <c r="V587" s="9" t="s">
        <v>55</v>
      </c>
      <c r="W587" s="9" t="s">
        <v>55</v>
      </c>
      <c r="X587" s="12" t="s">
        <v>150</v>
      </c>
      <c r="Y587" s="9" t="s">
        <v>151</v>
      </c>
      <c r="Z587" s="13"/>
    </row>
    <row r="588" spans="1:26" ht="32.25" hidden="1" customHeight="1">
      <c r="A588" s="8">
        <v>2311736</v>
      </c>
      <c r="B588" s="9" t="s">
        <v>2430</v>
      </c>
      <c r="C588" s="10">
        <v>45156</v>
      </c>
      <c r="D588" s="9" t="s">
        <v>79</v>
      </c>
      <c r="E588" s="9" t="s">
        <v>89</v>
      </c>
      <c r="F588" s="9" t="s">
        <v>80</v>
      </c>
      <c r="G588" s="9" t="s">
        <v>43</v>
      </c>
      <c r="H588" s="9" t="s">
        <v>44</v>
      </c>
      <c r="I588" s="11" t="s">
        <v>101</v>
      </c>
      <c r="J588" s="9" t="s">
        <v>102</v>
      </c>
      <c r="K588" s="9" t="s">
        <v>47</v>
      </c>
      <c r="L588" s="9" t="s">
        <v>799</v>
      </c>
      <c r="M588" s="9" t="s">
        <v>2431</v>
      </c>
      <c r="N588" s="9" t="s">
        <v>50</v>
      </c>
      <c r="O588" s="9" t="s">
        <v>51</v>
      </c>
      <c r="P588" s="9" t="s">
        <v>715</v>
      </c>
      <c r="Q588" s="9"/>
      <c r="R588" s="9" t="s">
        <v>61</v>
      </c>
      <c r="S588" s="14" t="s">
        <v>2432</v>
      </c>
      <c r="T588" s="9" t="s">
        <v>2433</v>
      </c>
      <c r="U588" s="9" t="s">
        <v>54</v>
      </c>
      <c r="V588" s="9" t="s">
        <v>55</v>
      </c>
      <c r="W588" s="9" t="s">
        <v>115</v>
      </c>
      <c r="X588" s="12" t="s">
        <v>98</v>
      </c>
      <c r="Y588" s="9" t="s">
        <v>99</v>
      </c>
      <c r="Z588" s="13"/>
    </row>
    <row r="589" spans="1:26" ht="32.25" hidden="1" customHeight="1">
      <c r="A589" s="8">
        <v>2305797</v>
      </c>
      <c r="B589" s="9" t="s">
        <v>2434</v>
      </c>
      <c r="C589" s="10">
        <v>45156</v>
      </c>
      <c r="D589" s="9" t="s">
        <v>79</v>
      </c>
      <c r="E589" s="9" t="s">
        <v>143</v>
      </c>
      <c r="F589" s="9" t="s">
        <v>80</v>
      </c>
      <c r="G589" s="9" t="s">
        <v>43</v>
      </c>
      <c r="H589" s="9" t="s">
        <v>44</v>
      </c>
      <c r="I589" s="11" t="s">
        <v>725</v>
      </c>
      <c r="J589" s="9" t="s">
        <v>145</v>
      </c>
      <c r="K589" s="9" t="s">
        <v>47</v>
      </c>
      <c r="L589" s="9" t="s">
        <v>305</v>
      </c>
      <c r="M589" s="9" t="s">
        <v>2435</v>
      </c>
      <c r="N589" s="9" t="s">
        <v>50</v>
      </c>
      <c r="O589" s="9" t="s">
        <v>51</v>
      </c>
      <c r="P589" s="9" t="s">
        <v>727</v>
      </c>
      <c r="Q589" s="9"/>
      <c r="R589" s="9" t="s">
        <v>61</v>
      </c>
      <c r="S589" s="14" t="s">
        <v>2436</v>
      </c>
      <c r="T589" s="9" t="s">
        <v>2437</v>
      </c>
      <c r="U589" s="9" t="s">
        <v>54</v>
      </c>
      <c r="V589" s="9" t="s">
        <v>701</v>
      </c>
      <c r="W589" s="9" t="s">
        <v>55</v>
      </c>
      <c r="X589" s="12" t="s">
        <v>196</v>
      </c>
      <c r="Y589" s="9" t="s">
        <v>197</v>
      </c>
      <c r="Z589" s="13"/>
    </row>
    <row r="590" spans="1:26" ht="32.25" hidden="1" customHeight="1">
      <c r="A590" s="8">
        <v>2305979</v>
      </c>
      <c r="B590" s="9" t="s">
        <v>2438</v>
      </c>
      <c r="C590" s="10">
        <v>45149</v>
      </c>
      <c r="D590" s="9" t="s">
        <v>57</v>
      </c>
      <c r="E590" s="9" t="s">
        <v>41</v>
      </c>
      <c r="F590" s="9" t="s">
        <v>42</v>
      </c>
      <c r="G590" s="9" t="s">
        <v>43</v>
      </c>
      <c r="H590" s="9" t="s">
        <v>58</v>
      </c>
      <c r="I590" s="11" t="s">
        <v>45</v>
      </c>
      <c r="J590" s="9" t="s">
        <v>46</v>
      </c>
      <c r="K590" s="9" t="s">
        <v>47</v>
      </c>
      <c r="L590" s="9" t="s">
        <v>1612</v>
      </c>
      <c r="M590" s="9" t="s">
        <v>1613</v>
      </c>
      <c r="N590" s="9" t="s">
        <v>50</v>
      </c>
      <c r="O590" s="9" t="s">
        <v>51</v>
      </c>
      <c r="P590" s="9"/>
      <c r="Q590" s="9"/>
      <c r="R590" s="9" t="s">
        <v>61</v>
      </c>
      <c r="S590" s="14" t="s">
        <v>2439</v>
      </c>
      <c r="T590" s="9" t="s">
        <v>2440</v>
      </c>
      <c r="U590" s="9" t="s">
        <v>54</v>
      </c>
      <c r="V590" s="9" t="s">
        <v>55</v>
      </c>
      <c r="W590" s="9" t="s">
        <v>55</v>
      </c>
      <c r="X590" s="9" t="s">
        <v>64</v>
      </c>
      <c r="Y590" s="9" t="s">
        <v>65</v>
      </c>
      <c r="Z590" s="13"/>
    </row>
    <row r="591" spans="1:26" ht="32.25" hidden="1" customHeight="1">
      <c r="A591" s="8">
        <v>2315402</v>
      </c>
      <c r="B591" s="9" t="s">
        <v>2441</v>
      </c>
      <c r="C591" s="10">
        <v>45152</v>
      </c>
      <c r="D591" s="9" t="s">
        <v>185</v>
      </c>
      <c r="E591" s="9" t="s">
        <v>295</v>
      </c>
      <c r="F591" s="9" t="s">
        <v>42</v>
      </c>
      <c r="G591" s="9" t="s">
        <v>43</v>
      </c>
      <c r="H591" s="9" t="s">
        <v>44</v>
      </c>
      <c r="I591" s="11" t="s">
        <v>406</v>
      </c>
      <c r="J591" s="9" t="s">
        <v>407</v>
      </c>
      <c r="K591" s="9" t="s">
        <v>1158</v>
      </c>
      <c r="L591" s="9"/>
      <c r="M591" s="9" t="s">
        <v>2442</v>
      </c>
      <c r="N591" s="9" t="s">
        <v>50</v>
      </c>
      <c r="O591" s="9" t="s">
        <v>187</v>
      </c>
      <c r="P591" s="9"/>
      <c r="Q591" s="9"/>
      <c r="R591" s="9" t="s">
        <v>61</v>
      </c>
      <c r="S591" s="14" t="s">
        <v>2443</v>
      </c>
      <c r="T591" s="9" t="s">
        <v>2444</v>
      </c>
      <c r="U591" s="9" t="s">
        <v>54</v>
      </c>
      <c r="V591" s="9" t="s">
        <v>55</v>
      </c>
      <c r="W591" s="9" t="s">
        <v>55</v>
      </c>
      <c r="X591" s="12" t="s">
        <v>319</v>
      </c>
      <c r="Y591" s="9" t="s">
        <v>320</v>
      </c>
      <c r="Z591" s="13"/>
    </row>
    <row r="592" spans="1:26" ht="32.25" hidden="1" customHeight="1">
      <c r="A592" s="8">
        <v>2303396</v>
      </c>
      <c r="B592" s="9" t="s">
        <v>2445</v>
      </c>
      <c r="C592" s="10">
        <v>45149</v>
      </c>
      <c r="D592" s="9" t="s">
        <v>57</v>
      </c>
      <c r="E592" s="9" t="s">
        <v>41</v>
      </c>
      <c r="F592" s="9" t="s">
        <v>42</v>
      </c>
      <c r="G592" s="9" t="s">
        <v>43</v>
      </c>
      <c r="H592" s="9" t="s">
        <v>58</v>
      </c>
      <c r="I592" s="11" t="s">
        <v>129</v>
      </c>
      <c r="J592" s="9" t="s">
        <v>130</v>
      </c>
      <c r="K592" s="9" t="s">
        <v>47</v>
      </c>
      <c r="L592" s="9" t="s">
        <v>746</v>
      </c>
      <c r="M592" s="9" t="s">
        <v>747</v>
      </c>
      <c r="N592" s="9" t="s">
        <v>50</v>
      </c>
      <c r="O592" s="9" t="s">
        <v>51</v>
      </c>
      <c r="P592" s="9"/>
      <c r="Q592" s="9"/>
      <c r="R592" s="9" t="s">
        <v>61</v>
      </c>
      <c r="S592" s="14" t="s">
        <v>2446</v>
      </c>
      <c r="T592" s="9" t="s">
        <v>2447</v>
      </c>
      <c r="U592" s="9" t="s">
        <v>54</v>
      </c>
      <c r="V592" s="9" t="s">
        <v>55</v>
      </c>
      <c r="W592" s="9" t="s">
        <v>55</v>
      </c>
      <c r="X592" s="9" t="s">
        <v>196</v>
      </c>
      <c r="Y592" s="9" t="s">
        <v>197</v>
      </c>
      <c r="Z592" s="13" t="s">
        <v>230</v>
      </c>
    </row>
    <row r="593" spans="1:26" ht="32.25" hidden="1" customHeight="1">
      <c r="A593" s="8">
        <v>2301010</v>
      </c>
      <c r="B593" s="9" t="s">
        <v>2448</v>
      </c>
      <c r="C593" s="10">
        <v>45149</v>
      </c>
      <c r="D593" s="9" t="s">
        <v>261</v>
      </c>
      <c r="E593" s="9" t="s">
        <v>41</v>
      </c>
      <c r="F593" s="9" t="s">
        <v>262</v>
      </c>
      <c r="G593" s="9" t="s">
        <v>43</v>
      </c>
      <c r="H593" s="9" t="s">
        <v>44</v>
      </c>
      <c r="I593" s="11" t="s">
        <v>2449</v>
      </c>
      <c r="J593" s="9" t="s">
        <v>2450</v>
      </c>
      <c r="K593" s="9" t="s">
        <v>47</v>
      </c>
      <c r="L593" s="9" t="s">
        <v>1992</v>
      </c>
      <c r="M593" s="9" t="s">
        <v>2451</v>
      </c>
      <c r="N593" s="9" t="s">
        <v>50</v>
      </c>
      <c r="O593" s="9" t="s">
        <v>51</v>
      </c>
      <c r="P593" s="9"/>
      <c r="Q593" s="9"/>
      <c r="R593" s="9" t="s">
        <v>61</v>
      </c>
      <c r="S593" s="14" t="s">
        <v>2452</v>
      </c>
      <c r="T593" s="9" t="s">
        <v>2453</v>
      </c>
      <c r="U593" s="9" t="s">
        <v>262</v>
      </c>
      <c r="V593" s="9" t="s">
        <v>331</v>
      </c>
      <c r="W593" s="9" t="s">
        <v>115</v>
      </c>
      <c r="X593" s="12" t="s">
        <v>64</v>
      </c>
      <c r="Y593" s="9" t="s">
        <v>65</v>
      </c>
      <c r="Z593" s="13" t="s">
        <v>2454</v>
      </c>
    </row>
    <row r="594" spans="1:26" ht="32.25" hidden="1" customHeight="1">
      <c r="A594" s="8">
        <v>2309674</v>
      </c>
      <c r="B594" s="9" t="s">
        <v>2455</v>
      </c>
      <c r="C594" s="10">
        <v>45149</v>
      </c>
      <c r="D594" s="9" t="s">
        <v>57</v>
      </c>
      <c r="E594" s="9" t="s">
        <v>41</v>
      </c>
      <c r="F594" s="9" t="s">
        <v>42</v>
      </c>
      <c r="G594" s="9" t="s">
        <v>43</v>
      </c>
      <c r="H594" s="9" t="s">
        <v>58</v>
      </c>
      <c r="I594" s="11" t="s">
        <v>1073</v>
      </c>
      <c r="J594" s="9" t="s">
        <v>479</v>
      </c>
      <c r="K594" s="9" t="s">
        <v>47</v>
      </c>
      <c r="L594" s="9" t="s">
        <v>156</v>
      </c>
      <c r="M594" s="9"/>
      <c r="N594" s="9" t="s">
        <v>50</v>
      </c>
      <c r="O594" s="9" t="s">
        <v>51</v>
      </c>
      <c r="P594" s="9"/>
      <c r="Q594" s="9"/>
      <c r="R594" s="9"/>
      <c r="S594" s="14" t="s">
        <v>2456</v>
      </c>
      <c r="T594" s="9" t="s">
        <v>2457</v>
      </c>
      <c r="U594" s="9" t="s">
        <v>54</v>
      </c>
      <c r="V594" s="9" t="s">
        <v>55</v>
      </c>
      <c r="W594" s="9" t="s">
        <v>55</v>
      </c>
      <c r="X594" s="12"/>
      <c r="Y594" s="9" t="s">
        <v>55</v>
      </c>
      <c r="Z594" s="13"/>
    </row>
    <row r="595" spans="1:26" ht="32.25" hidden="1" customHeight="1">
      <c r="A595" s="8">
        <v>2311889</v>
      </c>
      <c r="B595" s="9" t="s">
        <v>2458</v>
      </c>
      <c r="C595" s="10">
        <v>45142</v>
      </c>
      <c r="D595" s="9" t="s">
        <v>67</v>
      </c>
      <c r="E595" s="9" t="s">
        <v>143</v>
      </c>
      <c r="F595" s="9" t="s">
        <v>42</v>
      </c>
      <c r="G595" s="9" t="s">
        <v>43</v>
      </c>
      <c r="H595" s="9" t="s">
        <v>44</v>
      </c>
      <c r="I595" s="11" t="s">
        <v>334</v>
      </c>
      <c r="J595" s="9" t="s">
        <v>327</v>
      </c>
      <c r="K595" s="9" t="s">
        <v>47</v>
      </c>
      <c r="L595" s="9" t="s">
        <v>598</v>
      </c>
      <c r="M595" s="9" t="s">
        <v>599</v>
      </c>
      <c r="N595" s="9" t="s">
        <v>84</v>
      </c>
      <c r="O595" s="9" t="s">
        <v>51</v>
      </c>
      <c r="P595" s="9" t="s">
        <v>336</v>
      </c>
      <c r="Q595" s="9"/>
      <c r="R595" s="9" t="s">
        <v>61</v>
      </c>
      <c r="S595" s="9" t="s">
        <v>2459</v>
      </c>
      <c r="T595" s="9" t="s">
        <v>2460</v>
      </c>
      <c r="U595" s="9" t="s">
        <v>54</v>
      </c>
      <c r="V595" s="9" t="s">
        <v>55</v>
      </c>
      <c r="W595" s="9" t="s">
        <v>55</v>
      </c>
      <c r="X595" s="12" t="s">
        <v>150</v>
      </c>
      <c r="Y595" s="9" t="s">
        <v>151</v>
      </c>
      <c r="Z595" s="13"/>
    </row>
    <row r="596" spans="1:26" ht="32.25" hidden="1" customHeight="1">
      <c r="A596" s="8">
        <v>2310726</v>
      </c>
      <c r="B596" s="9" t="s">
        <v>2461</v>
      </c>
      <c r="C596" s="10">
        <v>45142</v>
      </c>
      <c r="D596" s="9" t="s">
        <v>67</v>
      </c>
      <c r="E596" s="9" t="s">
        <v>41</v>
      </c>
      <c r="F596" s="9" t="s">
        <v>42</v>
      </c>
      <c r="G596" s="9" t="s">
        <v>43</v>
      </c>
      <c r="H596" s="9" t="s">
        <v>44</v>
      </c>
      <c r="I596" s="11" t="s">
        <v>661</v>
      </c>
      <c r="J596" s="9" t="s">
        <v>662</v>
      </c>
      <c r="K596" s="9" t="s">
        <v>47</v>
      </c>
      <c r="L596" s="9" t="s">
        <v>437</v>
      </c>
      <c r="M596" s="9" t="s">
        <v>1882</v>
      </c>
      <c r="N596" s="9" t="s">
        <v>84</v>
      </c>
      <c r="O596" s="9" t="s">
        <v>51</v>
      </c>
      <c r="P596" s="9"/>
      <c r="Q596" s="9"/>
      <c r="R596" s="9" t="s">
        <v>61</v>
      </c>
      <c r="S596" s="9" t="s">
        <v>2462</v>
      </c>
      <c r="T596" s="9" t="s">
        <v>2463</v>
      </c>
      <c r="U596" s="9" t="s">
        <v>54</v>
      </c>
      <c r="V596" s="9" t="s">
        <v>55</v>
      </c>
      <c r="W596" s="9" t="s">
        <v>55</v>
      </c>
      <c r="X596" s="9" t="s">
        <v>64</v>
      </c>
      <c r="Y596" s="9" t="s">
        <v>65</v>
      </c>
      <c r="Z596" s="13"/>
    </row>
    <row r="597" spans="1:26" ht="32.25" hidden="1" customHeight="1">
      <c r="A597" s="8">
        <v>2314493</v>
      </c>
      <c r="B597" s="9" t="s">
        <v>2464</v>
      </c>
      <c r="C597" s="10">
        <v>45149</v>
      </c>
      <c r="D597" s="9" t="s">
        <v>57</v>
      </c>
      <c r="E597" s="9" t="s">
        <v>153</v>
      </c>
      <c r="F597" s="9" t="s">
        <v>42</v>
      </c>
      <c r="G597" s="9" t="s">
        <v>43</v>
      </c>
      <c r="H597" s="9" t="s">
        <v>58</v>
      </c>
      <c r="I597" s="11" t="s">
        <v>154</v>
      </c>
      <c r="J597" s="9" t="s">
        <v>155</v>
      </c>
      <c r="K597" s="9" t="s">
        <v>47</v>
      </c>
      <c r="L597" s="9" t="s">
        <v>48</v>
      </c>
      <c r="M597" s="9" t="s">
        <v>1943</v>
      </c>
      <c r="N597" s="9" t="s">
        <v>84</v>
      </c>
      <c r="O597" s="9" t="s">
        <v>51</v>
      </c>
      <c r="P597" s="9"/>
      <c r="Q597" s="9"/>
      <c r="R597" s="9"/>
      <c r="S597" s="14" t="s">
        <v>2465</v>
      </c>
      <c r="T597" s="9" t="s">
        <v>2466</v>
      </c>
      <c r="U597" s="9" t="s">
        <v>54</v>
      </c>
      <c r="V597" s="9" t="s">
        <v>55</v>
      </c>
      <c r="W597" s="9" t="s">
        <v>55</v>
      </c>
      <c r="X597" s="12"/>
      <c r="Y597" s="9" t="s">
        <v>55</v>
      </c>
      <c r="Z597" s="13"/>
    </row>
    <row r="598" spans="1:26" ht="32.25" hidden="1" customHeight="1">
      <c r="A598" s="8">
        <v>2311545</v>
      </c>
      <c r="B598" s="9" t="s">
        <v>2467</v>
      </c>
      <c r="C598" s="10">
        <v>45142</v>
      </c>
      <c r="D598" s="9" t="s">
        <v>67</v>
      </c>
      <c r="E598" s="9" t="s">
        <v>68</v>
      </c>
      <c r="F598" s="9" t="s">
        <v>135</v>
      </c>
      <c r="G598" s="9" t="s">
        <v>43</v>
      </c>
      <c r="H598" s="9" t="s">
        <v>44</v>
      </c>
      <c r="I598" s="11" t="s">
        <v>136</v>
      </c>
      <c r="J598" s="9" t="s">
        <v>137</v>
      </c>
      <c r="K598" s="9" t="s">
        <v>47</v>
      </c>
      <c r="L598" s="9" t="s">
        <v>174</v>
      </c>
      <c r="M598" s="9" t="s">
        <v>644</v>
      </c>
      <c r="N598" s="9" t="s">
        <v>50</v>
      </c>
      <c r="O598" s="9" t="s">
        <v>51</v>
      </c>
      <c r="P598" s="9"/>
      <c r="Q598" s="9"/>
      <c r="R598" s="9" t="s">
        <v>61</v>
      </c>
      <c r="S598" s="9" t="s">
        <v>2468</v>
      </c>
      <c r="T598" s="9" t="s">
        <v>2469</v>
      </c>
      <c r="U598" s="9" t="s">
        <v>54</v>
      </c>
      <c r="V598" s="9" t="s">
        <v>55</v>
      </c>
      <c r="W598" s="9" t="s">
        <v>55</v>
      </c>
      <c r="X598" s="12" t="s">
        <v>76</v>
      </c>
      <c r="Y598" s="9" t="s">
        <v>77</v>
      </c>
      <c r="Z598" s="13"/>
    </row>
    <row r="599" spans="1:26" ht="32.25" hidden="1" customHeight="1">
      <c r="A599" s="8">
        <v>2315494</v>
      </c>
      <c r="B599" s="9" t="s">
        <v>2467</v>
      </c>
      <c r="C599" s="10">
        <v>45149</v>
      </c>
      <c r="D599" s="9" t="s">
        <v>57</v>
      </c>
      <c r="E599" s="9" t="s">
        <v>41</v>
      </c>
      <c r="F599" s="9" t="s">
        <v>42</v>
      </c>
      <c r="G599" s="9" t="s">
        <v>43</v>
      </c>
      <c r="H599" s="9" t="s">
        <v>58</v>
      </c>
      <c r="I599" s="11" t="s">
        <v>199</v>
      </c>
      <c r="J599" s="9" t="s">
        <v>200</v>
      </c>
      <c r="K599" s="9" t="s">
        <v>47</v>
      </c>
      <c r="L599" s="9" t="s">
        <v>174</v>
      </c>
      <c r="M599" s="9" t="s">
        <v>644</v>
      </c>
      <c r="N599" s="9" t="s">
        <v>50</v>
      </c>
      <c r="O599" s="9" t="s">
        <v>51</v>
      </c>
      <c r="P599" s="9"/>
      <c r="Q599" s="9"/>
      <c r="R599" s="9" t="s">
        <v>61</v>
      </c>
      <c r="S599" s="14" t="s">
        <v>2468</v>
      </c>
      <c r="T599" s="9" t="s">
        <v>2469</v>
      </c>
      <c r="U599" s="9" t="s">
        <v>54</v>
      </c>
      <c r="V599" s="9" t="s">
        <v>55</v>
      </c>
      <c r="W599" s="9" t="s">
        <v>55</v>
      </c>
      <c r="X599" s="12" t="s">
        <v>196</v>
      </c>
      <c r="Y599" s="9" t="s">
        <v>197</v>
      </c>
      <c r="Z599" s="13"/>
    </row>
    <row r="600" spans="1:26" ht="32.25" hidden="1" customHeight="1">
      <c r="A600" s="8">
        <v>2302369</v>
      </c>
      <c r="B600" s="9" t="s">
        <v>2470</v>
      </c>
      <c r="C600" s="10">
        <v>45149</v>
      </c>
      <c r="D600" s="9" t="s">
        <v>57</v>
      </c>
      <c r="E600" s="9" t="s">
        <v>41</v>
      </c>
      <c r="F600" s="9" t="s">
        <v>42</v>
      </c>
      <c r="G600" s="9" t="s">
        <v>43</v>
      </c>
      <c r="H600" s="9" t="s">
        <v>58</v>
      </c>
      <c r="I600" s="11" t="s">
        <v>129</v>
      </c>
      <c r="J600" s="9" t="s">
        <v>130</v>
      </c>
      <c r="K600" s="9" t="s">
        <v>47</v>
      </c>
      <c r="L600" s="9" t="s">
        <v>48</v>
      </c>
      <c r="M600" s="9" t="s">
        <v>242</v>
      </c>
      <c r="N600" s="9" t="s">
        <v>50</v>
      </c>
      <c r="O600" s="9" t="s">
        <v>51</v>
      </c>
      <c r="P600" s="9"/>
      <c r="Q600" s="9"/>
      <c r="R600" s="9"/>
      <c r="S600" s="14" t="s">
        <v>2471</v>
      </c>
      <c r="T600" s="9" t="s">
        <v>2472</v>
      </c>
      <c r="U600" s="9" t="s">
        <v>54</v>
      </c>
      <c r="V600" s="9" t="s">
        <v>55</v>
      </c>
      <c r="W600" s="9" t="s">
        <v>55</v>
      </c>
      <c r="X600" s="12"/>
      <c r="Y600" s="9" t="s">
        <v>55</v>
      </c>
      <c r="Z600" s="13"/>
    </row>
    <row r="601" spans="1:26" ht="32.25" hidden="1" customHeight="1">
      <c r="A601" s="8">
        <v>2311850</v>
      </c>
      <c r="B601" s="9" t="s">
        <v>2473</v>
      </c>
      <c r="C601" s="10">
        <v>45149</v>
      </c>
      <c r="D601" s="9" t="s">
        <v>57</v>
      </c>
      <c r="E601" s="9" t="s">
        <v>295</v>
      </c>
      <c r="F601" s="9" t="s">
        <v>42</v>
      </c>
      <c r="G601" s="9" t="s">
        <v>43</v>
      </c>
      <c r="H601" s="9" t="s">
        <v>58</v>
      </c>
      <c r="I601" s="11" t="s">
        <v>296</v>
      </c>
      <c r="J601" s="9" t="s">
        <v>297</v>
      </c>
      <c r="K601" s="9" t="s">
        <v>47</v>
      </c>
      <c r="L601" s="9" t="s">
        <v>1087</v>
      </c>
      <c r="M601" s="9" t="s">
        <v>1981</v>
      </c>
      <c r="N601" s="9" t="s">
        <v>84</v>
      </c>
      <c r="O601" s="9" t="s">
        <v>51</v>
      </c>
      <c r="P601" s="9"/>
      <c r="Q601" s="9"/>
      <c r="R601" s="9"/>
      <c r="S601" s="14" t="s">
        <v>2474</v>
      </c>
      <c r="T601" s="9" t="s">
        <v>2475</v>
      </c>
      <c r="U601" s="9" t="s">
        <v>54</v>
      </c>
      <c r="V601" s="9" t="s">
        <v>55</v>
      </c>
      <c r="W601" s="9" t="s">
        <v>55</v>
      </c>
      <c r="X601" s="12"/>
      <c r="Y601" s="9" t="s">
        <v>55</v>
      </c>
      <c r="Z601" s="13"/>
    </row>
    <row r="602" spans="1:26" ht="32.25" hidden="1" customHeight="1">
      <c r="A602" s="8">
        <v>2314592</v>
      </c>
      <c r="B602" s="9" t="s">
        <v>2476</v>
      </c>
      <c r="C602" s="10">
        <v>45156</v>
      </c>
      <c r="D602" s="9" t="s">
        <v>79</v>
      </c>
      <c r="E602" s="9" t="s">
        <v>89</v>
      </c>
      <c r="F602" s="9" t="s">
        <v>80</v>
      </c>
      <c r="G602" s="9" t="s">
        <v>43</v>
      </c>
      <c r="H602" s="9" t="s">
        <v>44</v>
      </c>
      <c r="I602" s="11" t="s">
        <v>117</v>
      </c>
      <c r="J602" s="9" t="s">
        <v>118</v>
      </c>
      <c r="K602" s="9" t="s">
        <v>47</v>
      </c>
      <c r="L602" s="9" t="s">
        <v>863</v>
      </c>
      <c r="M602" s="9" t="s">
        <v>1396</v>
      </c>
      <c r="N602" s="9" t="s">
        <v>84</v>
      </c>
      <c r="O602" s="9" t="s">
        <v>51</v>
      </c>
      <c r="P602" s="9" t="s">
        <v>121</v>
      </c>
      <c r="Q602" s="9"/>
      <c r="R602" s="9" t="s">
        <v>61</v>
      </c>
      <c r="S602" s="14" t="s">
        <v>2477</v>
      </c>
      <c r="T602" s="9" t="s">
        <v>2478</v>
      </c>
      <c r="U602" s="9" t="s">
        <v>54</v>
      </c>
      <c r="V602" s="9" t="s">
        <v>55</v>
      </c>
      <c r="W602" s="9" t="s">
        <v>55</v>
      </c>
      <c r="X602" s="12" t="s">
        <v>98</v>
      </c>
      <c r="Y602" s="9" t="s">
        <v>99</v>
      </c>
      <c r="Z602" s="13"/>
    </row>
    <row r="603" spans="1:26" ht="32.25" hidden="1" customHeight="1">
      <c r="A603" s="8">
        <v>2308936</v>
      </c>
      <c r="B603" s="9" t="s">
        <v>2479</v>
      </c>
      <c r="C603" s="10">
        <v>45149</v>
      </c>
      <c r="D603" s="9" t="s">
        <v>57</v>
      </c>
      <c r="E603" s="9" t="s">
        <v>41</v>
      </c>
      <c r="F603" s="9" t="s">
        <v>42</v>
      </c>
      <c r="G603" s="9" t="s">
        <v>43</v>
      </c>
      <c r="H603" s="9" t="s">
        <v>58</v>
      </c>
      <c r="I603" s="11" t="s">
        <v>661</v>
      </c>
      <c r="J603" s="9" t="s">
        <v>662</v>
      </c>
      <c r="K603" s="9" t="s">
        <v>47</v>
      </c>
      <c r="L603" s="9" t="s">
        <v>156</v>
      </c>
      <c r="M603" s="9"/>
      <c r="N603" s="9" t="s">
        <v>50</v>
      </c>
      <c r="O603" s="9" t="s">
        <v>51</v>
      </c>
      <c r="P603" s="9"/>
      <c r="Q603" s="9"/>
      <c r="R603" s="9"/>
      <c r="S603" s="14" t="s">
        <v>2480</v>
      </c>
      <c r="T603" s="9" t="s">
        <v>2481</v>
      </c>
      <c r="U603" s="9" t="s">
        <v>54</v>
      </c>
      <c r="V603" s="9" t="s">
        <v>55</v>
      </c>
      <c r="W603" s="9" t="s">
        <v>55</v>
      </c>
      <c r="X603" s="12"/>
      <c r="Y603" s="9" t="s">
        <v>55</v>
      </c>
      <c r="Z603" s="13"/>
    </row>
    <row r="604" spans="1:26" ht="32.25" hidden="1" customHeight="1">
      <c r="A604" s="8">
        <v>2309151</v>
      </c>
      <c r="B604" s="9" t="s">
        <v>2482</v>
      </c>
      <c r="C604" s="10">
        <v>45149</v>
      </c>
      <c r="D604" s="9" t="s">
        <v>261</v>
      </c>
      <c r="E604" s="9" t="s">
        <v>89</v>
      </c>
      <c r="F604" s="9" t="s">
        <v>262</v>
      </c>
      <c r="G604" s="9" t="s">
        <v>43</v>
      </c>
      <c r="H604" s="9" t="s">
        <v>44</v>
      </c>
      <c r="I604" s="11" t="s">
        <v>2483</v>
      </c>
      <c r="J604" s="9" t="s">
        <v>2484</v>
      </c>
      <c r="K604" s="9" t="s">
        <v>47</v>
      </c>
      <c r="L604" s="9" t="s">
        <v>863</v>
      </c>
      <c r="M604" s="9" t="s">
        <v>2485</v>
      </c>
      <c r="N604" s="9" t="s">
        <v>50</v>
      </c>
      <c r="O604" s="9" t="s">
        <v>51</v>
      </c>
      <c r="P604" s="9"/>
      <c r="Q604" s="9"/>
      <c r="R604" s="9" t="s">
        <v>61</v>
      </c>
      <c r="S604" s="14" t="s">
        <v>2486</v>
      </c>
      <c r="T604" s="9" t="s">
        <v>2487</v>
      </c>
      <c r="U604" s="9" t="s">
        <v>262</v>
      </c>
      <c r="V604" s="9" t="s">
        <v>55</v>
      </c>
      <c r="W604" s="9" t="s">
        <v>55</v>
      </c>
      <c r="X604" s="12" t="s">
        <v>389</v>
      </c>
      <c r="Y604" s="9" t="s">
        <v>390</v>
      </c>
      <c r="Z604" s="13"/>
    </row>
    <row r="605" spans="1:26" ht="32.25" hidden="1" customHeight="1">
      <c r="A605" s="8">
        <v>2301532</v>
      </c>
      <c r="B605" s="9" t="s">
        <v>2488</v>
      </c>
      <c r="C605" s="10">
        <v>45142</v>
      </c>
      <c r="D605" s="9" t="s">
        <v>67</v>
      </c>
      <c r="E605" s="9" t="s">
        <v>295</v>
      </c>
      <c r="F605" s="9" t="s">
        <v>42</v>
      </c>
      <c r="G605" s="9" t="s">
        <v>43</v>
      </c>
      <c r="H605" s="9" t="s">
        <v>44</v>
      </c>
      <c r="I605" s="11" t="s">
        <v>296</v>
      </c>
      <c r="J605" s="9" t="s">
        <v>297</v>
      </c>
      <c r="K605" s="9" t="s">
        <v>47</v>
      </c>
      <c r="L605" s="9" t="s">
        <v>156</v>
      </c>
      <c r="M605" s="9"/>
      <c r="N605" s="9" t="s">
        <v>50</v>
      </c>
      <c r="O605" s="9" t="s">
        <v>51</v>
      </c>
      <c r="P605" s="9"/>
      <c r="Q605" s="9"/>
      <c r="R605" s="9"/>
      <c r="S605" s="9" t="s">
        <v>2489</v>
      </c>
      <c r="T605" s="9" t="s">
        <v>2490</v>
      </c>
      <c r="U605" s="9" t="s">
        <v>54</v>
      </c>
      <c r="V605" s="9" t="s">
        <v>55</v>
      </c>
      <c r="W605" s="9" t="s">
        <v>55</v>
      </c>
      <c r="X605" s="12"/>
      <c r="Y605" s="9" t="s">
        <v>55</v>
      </c>
      <c r="Z605" s="13"/>
    </row>
    <row r="606" spans="1:26" ht="32.25" hidden="1" customHeight="1">
      <c r="A606" s="8">
        <v>2304693</v>
      </c>
      <c r="B606" s="9" t="s">
        <v>2491</v>
      </c>
      <c r="C606" s="10">
        <v>45142</v>
      </c>
      <c r="D606" s="9" t="s">
        <v>67</v>
      </c>
      <c r="E606" s="9" t="s">
        <v>143</v>
      </c>
      <c r="F606" s="9" t="s">
        <v>42</v>
      </c>
      <c r="G606" s="9" t="s">
        <v>43</v>
      </c>
      <c r="H606" s="9" t="s">
        <v>44</v>
      </c>
      <c r="I606" s="11" t="s">
        <v>144</v>
      </c>
      <c r="J606" s="9" t="s">
        <v>145</v>
      </c>
      <c r="K606" s="9" t="s">
        <v>47</v>
      </c>
      <c r="L606" s="9" t="s">
        <v>349</v>
      </c>
      <c r="M606" s="9" t="s">
        <v>2492</v>
      </c>
      <c r="N606" s="9" t="s">
        <v>50</v>
      </c>
      <c r="O606" s="9" t="s">
        <v>51</v>
      </c>
      <c r="P606" s="9" t="s">
        <v>147</v>
      </c>
      <c r="Q606" s="9"/>
      <c r="R606" s="9" t="s">
        <v>61</v>
      </c>
      <c r="S606" s="9" t="s">
        <v>2493</v>
      </c>
      <c r="T606" s="9" t="s">
        <v>2494</v>
      </c>
      <c r="U606" s="9" t="s">
        <v>54</v>
      </c>
      <c r="V606" s="9" t="s">
        <v>55</v>
      </c>
      <c r="W606" s="9" t="s">
        <v>55</v>
      </c>
      <c r="X606" s="12" t="s">
        <v>150</v>
      </c>
      <c r="Y606" s="9" t="s">
        <v>151</v>
      </c>
      <c r="Z606" s="13"/>
    </row>
    <row r="607" spans="1:26" ht="32.25" hidden="1" customHeight="1">
      <c r="A607" s="8">
        <v>2309680</v>
      </c>
      <c r="B607" s="9" t="s">
        <v>2495</v>
      </c>
      <c r="C607" s="10">
        <v>45156</v>
      </c>
      <c r="D607" s="9" t="s">
        <v>79</v>
      </c>
      <c r="E607" s="9" t="s">
        <v>41</v>
      </c>
      <c r="F607" s="9" t="s">
        <v>80</v>
      </c>
      <c r="G607" s="9" t="s">
        <v>43</v>
      </c>
      <c r="H607" s="9" t="s">
        <v>44</v>
      </c>
      <c r="I607" s="11" t="s">
        <v>233</v>
      </c>
      <c r="J607" s="9" t="s">
        <v>200</v>
      </c>
      <c r="K607" s="9" t="s">
        <v>47</v>
      </c>
      <c r="L607" s="9" t="s">
        <v>48</v>
      </c>
      <c r="M607" s="9" t="s">
        <v>49</v>
      </c>
      <c r="N607" s="9" t="s">
        <v>50</v>
      </c>
      <c r="O607" s="9" t="s">
        <v>51</v>
      </c>
      <c r="P607" s="9" t="s">
        <v>443</v>
      </c>
      <c r="Q607" s="9"/>
      <c r="R607" s="9"/>
      <c r="S607" s="14" t="s">
        <v>2496</v>
      </c>
      <c r="T607" s="9" t="s">
        <v>2497</v>
      </c>
      <c r="U607" s="9" t="s">
        <v>54</v>
      </c>
      <c r="V607" s="9" t="s">
        <v>55</v>
      </c>
      <c r="W607" s="9" t="s">
        <v>55</v>
      </c>
      <c r="X607" s="12"/>
      <c r="Y607" s="9" t="s">
        <v>55</v>
      </c>
      <c r="Z607" s="13"/>
    </row>
    <row r="608" spans="1:26" ht="32.25" hidden="1" customHeight="1">
      <c r="A608" s="8">
        <v>2315374</v>
      </c>
      <c r="B608" s="9" t="s">
        <v>2498</v>
      </c>
      <c r="C608" s="10">
        <v>45152</v>
      </c>
      <c r="D608" s="9" t="s">
        <v>185</v>
      </c>
      <c r="E608" s="9" t="s">
        <v>68</v>
      </c>
      <c r="F608" s="9" t="s">
        <v>135</v>
      </c>
      <c r="G608" s="9" t="s">
        <v>43</v>
      </c>
      <c r="H608" s="9" t="s">
        <v>44</v>
      </c>
      <c r="I608" s="11" t="s">
        <v>136</v>
      </c>
      <c r="J608" s="9" t="s">
        <v>137</v>
      </c>
      <c r="K608" s="9" t="s">
        <v>1462</v>
      </c>
      <c r="L608" s="9"/>
      <c r="M608" s="9" t="s">
        <v>2499</v>
      </c>
      <c r="N608" s="9" t="s">
        <v>50</v>
      </c>
      <c r="O608" s="9" t="s">
        <v>187</v>
      </c>
      <c r="P608" s="9"/>
      <c r="Q608" s="9"/>
      <c r="R608" s="9" t="s">
        <v>61</v>
      </c>
      <c r="S608" s="14" t="s">
        <v>641</v>
      </c>
      <c r="T608" s="9" t="s">
        <v>2500</v>
      </c>
      <c r="U608" s="9" t="s">
        <v>54</v>
      </c>
      <c r="V608" s="9" t="s">
        <v>55</v>
      </c>
      <c r="W608" s="9" t="s">
        <v>55</v>
      </c>
      <c r="X608" s="12" t="s">
        <v>76</v>
      </c>
      <c r="Y608" s="9" t="s">
        <v>77</v>
      </c>
      <c r="Z608" s="13"/>
    </row>
    <row r="609" spans="1:26" ht="32.25" hidden="1" customHeight="1">
      <c r="A609" s="8">
        <v>2312047</v>
      </c>
      <c r="B609" s="9" t="s">
        <v>2501</v>
      </c>
      <c r="C609" s="10">
        <v>45149</v>
      </c>
      <c r="D609" s="9" t="s">
        <v>57</v>
      </c>
      <c r="E609" s="9" t="s">
        <v>41</v>
      </c>
      <c r="F609" s="9" t="s">
        <v>42</v>
      </c>
      <c r="G609" s="9" t="s">
        <v>43</v>
      </c>
      <c r="H609" s="9" t="s">
        <v>58</v>
      </c>
      <c r="I609" s="11" t="s">
        <v>199</v>
      </c>
      <c r="J609" s="9" t="s">
        <v>200</v>
      </c>
      <c r="K609" s="9" t="s">
        <v>47</v>
      </c>
      <c r="L609" s="9" t="s">
        <v>221</v>
      </c>
      <c r="M609" s="9" t="s">
        <v>1451</v>
      </c>
      <c r="N609" s="9" t="s">
        <v>50</v>
      </c>
      <c r="O609" s="9" t="s">
        <v>51</v>
      </c>
      <c r="P609" s="9"/>
      <c r="Q609" s="9"/>
      <c r="R609" s="9" t="s">
        <v>61</v>
      </c>
      <c r="S609" s="14" t="s">
        <v>2502</v>
      </c>
      <c r="T609" s="9" t="s">
        <v>2503</v>
      </c>
      <c r="U609" s="9" t="s">
        <v>54</v>
      </c>
      <c r="V609" s="9" t="s">
        <v>55</v>
      </c>
      <c r="W609" s="9" t="s">
        <v>55</v>
      </c>
      <c r="X609" s="12" t="s">
        <v>196</v>
      </c>
      <c r="Y609" s="9" t="s">
        <v>197</v>
      </c>
      <c r="Z609" s="13"/>
    </row>
    <row r="610" spans="1:26" ht="32.25" hidden="1" customHeight="1">
      <c r="A610" s="8">
        <v>2303292</v>
      </c>
      <c r="B610" s="9" t="s">
        <v>2504</v>
      </c>
      <c r="C610" s="10">
        <v>45149</v>
      </c>
      <c r="D610" s="9" t="s">
        <v>57</v>
      </c>
      <c r="E610" s="9" t="s">
        <v>41</v>
      </c>
      <c r="F610" s="9" t="s">
        <v>42</v>
      </c>
      <c r="G610" s="9" t="s">
        <v>43</v>
      </c>
      <c r="H610" s="9" t="s">
        <v>58</v>
      </c>
      <c r="I610" s="11" t="s">
        <v>129</v>
      </c>
      <c r="J610" s="9" t="s">
        <v>130</v>
      </c>
      <c r="K610" s="9" t="s">
        <v>47</v>
      </c>
      <c r="L610" s="9" t="s">
        <v>48</v>
      </c>
      <c r="M610" s="9" t="s">
        <v>469</v>
      </c>
      <c r="N610" s="9" t="s">
        <v>50</v>
      </c>
      <c r="O610" s="9" t="s">
        <v>51</v>
      </c>
      <c r="P610" s="9"/>
      <c r="Q610" s="9"/>
      <c r="R610" s="9"/>
      <c r="S610" s="14" t="s">
        <v>2505</v>
      </c>
      <c r="T610" s="9" t="s">
        <v>2506</v>
      </c>
      <c r="U610" s="9" t="s">
        <v>54</v>
      </c>
      <c r="V610" s="9" t="s">
        <v>55</v>
      </c>
      <c r="W610" s="9" t="s">
        <v>55</v>
      </c>
      <c r="X610" s="12"/>
      <c r="Y610" s="9" t="s">
        <v>55</v>
      </c>
      <c r="Z610" s="13"/>
    </row>
    <row r="611" spans="1:26" ht="32.25" hidden="1" customHeight="1">
      <c r="A611" s="8">
        <v>2306661</v>
      </c>
      <c r="B611" s="9" t="s">
        <v>2507</v>
      </c>
      <c r="C611" s="10">
        <v>45149</v>
      </c>
      <c r="D611" s="9" t="s">
        <v>57</v>
      </c>
      <c r="E611" s="9" t="s">
        <v>295</v>
      </c>
      <c r="F611" s="9" t="s">
        <v>42</v>
      </c>
      <c r="G611" s="9" t="s">
        <v>43</v>
      </c>
      <c r="H611" s="9" t="s">
        <v>58</v>
      </c>
      <c r="I611" s="11" t="s">
        <v>296</v>
      </c>
      <c r="J611" s="9" t="s">
        <v>297</v>
      </c>
      <c r="K611" s="9" t="s">
        <v>47</v>
      </c>
      <c r="L611" s="9" t="s">
        <v>1686</v>
      </c>
      <c r="M611" s="9" t="s">
        <v>1750</v>
      </c>
      <c r="N611" s="9" t="s">
        <v>50</v>
      </c>
      <c r="O611" s="9" t="s">
        <v>51</v>
      </c>
      <c r="P611" s="9"/>
      <c r="Q611" s="9"/>
      <c r="R611" s="9" t="s">
        <v>61</v>
      </c>
      <c r="S611" s="14" t="s">
        <v>2508</v>
      </c>
      <c r="T611" s="9" t="s">
        <v>2509</v>
      </c>
      <c r="U611" s="9" t="s">
        <v>54</v>
      </c>
      <c r="V611" s="9" t="s">
        <v>55</v>
      </c>
      <c r="W611" s="9" t="s">
        <v>55</v>
      </c>
      <c r="X611" s="9" t="s">
        <v>319</v>
      </c>
      <c r="Y611" s="9" t="s">
        <v>320</v>
      </c>
      <c r="Z611" s="13"/>
    </row>
    <row r="612" spans="1:26" ht="32.25" hidden="1" customHeight="1">
      <c r="A612" s="8">
        <v>2309775</v>
      </c>
      <c r="B612" s="9" t="s">
        <v>2510</v>
      </c>
      <c r="C612" s="10">
        <v>45149</v>
      </c>
      <c r="D612" s="9" t="s">
        <v>57</v>
      </c>
      <c r="E612" s="9" t="s">
        <v>41</v>
      </c>
      <c r="F612" s="9" t="s">
        <v>42</v>
      </c>
      <c r="G612" s="9" t="s">
        <v>43</v>
      </c>
      <c r="H612" s="9" t="s">
        <v>58</v>
      </c>
      <c r="I612" s="11" t="s">
        <v>199</v>
      </c>
      <c r="J612" s="9" t="s">
        <v>200</v>
      </c>
      <c r="K612" s="9" t="s">
        <v>47</v>
      </c>
      <c r="L612" s="9" t="s">
        <v>48</v>
      </c>
      <c r="M612" s="9" t="s">
        <v>1366</v>
      </c>
      <c r="N612" s="9" t="s">
        <v>50</v>
      </c>
      <c r="O612" s="9" t="s">
        <v>51</v>
      </c>
      <c r="P612" s="9"/>
      <c r="Q612" s="9"/>
      <c r="R612" s="9"/>
      <c r="S612" s="14" t="s">
        <v>2511</v>
      </c>
      <c r="T612" s="9" t="s">
        <v>2512</v>
      </c>
      <c r="U612" s="9" t="s">
        <v>54</v>
      </c>
      <c r="V612" s="9" t="s">
        <v>55</v>
      </c>
      <c r="W612" s="9" t="s">
        <v>55</v>
      </c>
      <c r="X612" s="12"/>
      <c r="Y612" s="9" t="s">
        <v>55</v>
      </c>
      <c r="Z612" s="13"/>
    </row>
    <row r="613" spans="1:26" ht="32.25" hidden="1" customHeight="1">
      <c r="A613" s="8">
        <v>2310939</v>
      </c>
      <c r="B613" s="9" t="s">
        <v>2513</v>
      </c>
      <c r="C613" s="10">
        <v>45136</v>
      </c>
      <c r="D613" s="9" t="s">
        <v>40</v>
      </c>
      <c r="E613" s="9" t="s">
        <v>41</v>
      </c>
      <c r="F613" s="9" t="s">
        <v>42</v>
      </c>
      <c r="G613" s="9" t="s">
        <v>43</v>
      </c>
      <c r="H613" s="9" t="s">
        <v>44</v>
      </c>
      <c r="I613" s="11" t="s">
        <v>45</v>
      </c>
      <c r="J613" s="9" t="s">
        <v>46</v>
      </c>
      <c r="K613" s="9" t="s">
        <v>47</v>
      </c>
      <c r="L613" s="9" t="s">
        <v>156</v>
      </c>
      <c r="M613" s="9"/>
      <c r="N613" s="9" t="s">
        <v>50</v>
      </c>
      <c r="O613" s="9" t="s">
        <v>51</v>
      </c>
      <c r="P613" s="9"/>
      <c r="Q613" s="9"/>
      <c r="R613" s="9"/>
      <c r="S613" s="9" t="s">
        <v>2514</v>
      </c>
      <c r="T613" s="9" t="s">
        <v>2515</v>
      </c>
      <c r="U613" s="9" t="s">
        <v>54</v>
      </c>
      <c r="V613" s="9" t="s">
        <v>55</v>
      </c>
      <c r="W613" s="9" t="s">
        <v>55</v>
      </c>
      <c r="X613" s="12"/>
      <c r="Y613" s="9" t="s">
        <v>55</v>
      </c>
      <c r="Z613" s="13"/>
    </row>
    <row r="614" spans="1:26" ht="32.25" hidden="1" customHeight="1">
      <c r="A614" s="8">
        <v>2303662</v>
      </c>
      <c r="B614" s="9" t="s">
        <v>2516</v>
      </c>
      <c r="C614" s="10">
        <v>45142</v>
      </c>
      <c r="D614" s="9" t="s">
        <v>67</v>
      </c>
      <c r="E614" s="9" t="s">
        <v>143</v>
      </c>
      <c r="F614" s="9" t="s">
        <v>42</v>
      </c>
      <c r="G614" s="9" t="s">
        <v>43</v>
      </c>
      <c r="H614" s="9" t="s">
        <v>44</v>
      </c>
      <c r="I614" s="11" t="s">
        <v>334</v>
      </c>
      <c r="J614" s="9" t="s">
        <v>327</v>
      </c>
      <c r="K614" s="9" t="s">
        <v>47</v>
      </c>
      <c r="L614" s="9" t="s">
        <v>1227</v>
      </c>
      <c r="M614" s="9" t="s">
        <v>1820</v>
      </c>
      <c r="N614" s="9" t="s">
        <v>50</v>
      </c>
      <c r="O614" s="9" t="s">
        <v>51</v>
      </c>
      <c r="P614" s="9" t="s">
        <v>336</v>
      </c>
      <c r="Q614" s="9"/>
      <c r="R614" s="9"/>
      <c r="S614" s="9" t="s">
        <v>2517</v>
      </c>
      <c r="T614" s="9" t="s">
        <v>2518</v>
      </c>
      <c r="U614" s="9" t="s">
        <v>54</v>
      </c>
      <c r="V614" s="9" t="s">
        <v>55</v>
      </c>
      <c r="W614" s="9" t="s">
        <v>55</v>
      </c>
      <c r="X614" s="12"/>
      <c r="Y614" s="9" t="s">
        <v>55</v>
      </c>
      <c r="Z614" s="13"/>
    </row>
    <row r="615" spans="1:26" ht="32.25" hidden="1" customHeight="1">
      <c r="A615" s="8">
        <v>2308364</v>
      </c>
      <c r="B615" s="9" t="s">
        <v>2519</v>
      </c>
      <c r="C615" s="10">
        <v>45136</v>
      </c>
      <c r="D615" s="9" t="s">
        <v>301</v>
      </c>
      <c r="E615" s="9" t="s">
        <v>41</v>
      </c>
      <c r="F615" s="9" t="s">
        <v>42</v>
      </c>
      <c r="G615" s="9" t="s">
        <v>43</v>
      </c>
      <c r="H615" s="9" t="s">
        <v>44</v>
      </c>
      <c r="I615" s="11" t="s">
        <v>45</v>
      </c>
      <c r="J615" s="9" t="s">
        <v>46</v>
      </c>
      <c r="K615" s="9" t="s">
        <v>47</v>
      </c>
      <c r="L615" s="9" t="s">
        <v>586</v>
      </c>
      <c r="M615" s="9" t="s">
        <v>2520</v>
      </c>
      <c r="N615" s="9" t="s">
        <v>50</v>
      </c>
      <c r="O615" s="9" t="s">
        <v>51</v>
      </c>
      <c r="P615" s="9"/>
      <c r="Q615" s="9"/>
      <c r="R615" s="9" t="s">
        <v>61</v>
      </c>
      <c r="S615" s="9" t="s">
        <v>2521</v>
      </c>
      <c r="T615" s="9" t="s">
        <v>2522</v>
      </c>
      <c r="U615" s="9" t="s">
        <v>54</v>
      </c>
      <c r="V615" s="9" t="s">
        <v>55</v>
      </c>
      <c r="W615" s="9" t="s">
        <v>55</v>
      </c>
      <c r="X615" s="9" t="s">
        <v>64</v>
      </c>
      <c r="Y615" s="9" t="s">
        <v>65</v>
      </c>
      <c r="Z615" s="13"/>
    </row>
    <row r="616" spans="1:26" ht="32.25" hidden="1" customHeight="1">
      <c r="A616" s="8">
        <v>2303578</v>
      </c>
      <c r="B616" s="9" t="s">
        <v>2523</v>
      </c>
      <c r="C616" s="10">
        <v>45142</v>
      </c>
      <c r="D616" s="9" t="s">
        <v>67</v>
      </c>
      <c r="E616" s="9" t="s">
        <v>68</v>
      </c>
      <c r="F616" s="9" t="s">
        <v>135</v>
      </c>
      <c r="G616" s="9" t="s">
        <v>43</v>
      </c>
      <c r="H616" s="9" t="s">
        <v>44</v>
      </c>
      <c r="I616" s="11" t="s">
        <v>136</v>
      </c>
      <c r="J616" s="9" t="s">
        <v>137</v>
      </c>
      <c r="K616" s="9" t="s">
        <v>47</v>
      </c>
      <c r="L616" s="9" t="s">
        <v>569</v>
      </c>
      <c r="M616" s="9" t="s">
        <v>2524</v>
      </c>
      <c r="N616" s="9" t="s">
        <v>50</v>
      </c>
      <c r="O616" s="9" t="s">
        <v>51</v>
      </c>
      <c r="P616" s="9"/>
      <c r="Q616" s="9"/>
      <c r="R616" s="9" t="s">
        <v>61</v>
      </c>
      <c r="S616" s="9" t="s">
        <v>2525</v>
      </c>
      <c r="T616" s="9" t="s">
        <v>2526</v>
      </c>
      <c r="U616" s="9" t="s">
        <v>54</v>
      </c>
      <c r="V616" s="9" t="s">
        <v>55</v>
      </c>
      <c r="W616" s="9" t="s">
        <v>55</v>
      </c>
      <c r="X616" s="12" t="s">
        <v>76</v>
      </c>
      <c r="Y616" s="9" t="s">
        <v>77</v>
      </c>
      <c r="Z616" s="13"/>
    </row>
    <row r="617" spans="1:26" ht="32.25" hidden="1" customHeight="1">
      <c r="A617" s="8">
        <v>2304790</v>
      </c>
      <c r="B617" s="9" t="s">
        <v>2527</v>
      </c>
      <c r="C617" s="10">
        <v>45149</v>
      </c>
      <c r="D617" s="9" t="s">
        <v>57</v>
      </c>
      <c r="E617" s="9" t="s">
        <v>41</v>
      </c>
      <c r="F617" s="9" t="s">
        <v>42</v>
      </c>
      <c r="G617" s="9" t="s">
        <v>43</v>
      </c>
      <c r="H617" s="9" t="s">
        <v>58</v>
      </c>
      <c r="I617" s="11" t="s">
        <v>129</v>
      </c>
      <c r="J617" s="9" t="s">
        <v>130</v>
      </c>
      <c r="K617" s="9" t="s">
        <v>47</v>
      </c>
      <c r="L617" s="9" t="s">
        <v>221</v>
      </c>
      <c r="M617" s="9" t="s">
        <v>1142</v>
      </c>
      <c r="N617" s="9" t="s">
        <v>84</v>
      </c>
      <c r="O617" s="9" t="s">
        <v>51</v>
      </c>
      <c r="P617" s="9"/>
      <c r="Q617" s="9"/>
      <c r="R617" s="9"/>
      <c r="S617" s="14" t="s">
        <v>2528</v>
      </c>
      <c r="T617" s="9" t="s">
        <v>2529</v>
      </c>
      <c r="U617" s="9" t="s">
        <v>54</v>
      </c>
      <c r="V617" s="9" t="s">
        <v>55</v>
      </c>
      <c r="W617" s="9" t="s">
        <v>55</v>
      </c>
      <c r="X617" s="12"/>
      <c r="Y617" s="9" t="s">
        <v>55</v>
      </c>
      <c r="Z617" s="13"/>
    </row>
    <row r="618" spans="1:26" ht="32.25" hidden="1" customHeight="1">
      <c r="A618" s="8">
        <v>2303303</v>
      </c>
      <c r="B618" s="9" t="s">
        <v>2530</v>
      </c>
      <c r="C618" s="10">
        <v>45149</v>
      </c>
      <c r="D618" s="9" t="s">
        <v>57</v>
      </c>
      <c r="E618" s="9" t="s">
        <v>295</v>
      </c>
      <c r="F618" s="9" t="s">
        <v>42</v>
      </c>
      <c r="G618" s="9" t="s">
        <v>43</v>
      </c>
      <c r="H618" s="9" t="s">
        <v>58</v>
      </c>
      <c r="I618" s="11" t="s">
        <v>406</v>
      </c>
      <c r="J618" s="9" t="s">
        <v>407</v>
      </c>
      <c r="K618" s="9" t="s">
        <v>47</v>
      </c>
      <c r="L618" s="9" t="s">
        <v>156</v>
      </c>
      <c r="M618" s="9"/>
      <c r="N618" s="9" t="s">
        <v>50</v>
      </c>
      <c r="O618" s="9" t="s">
        <v>51</v>
      </c>
      <c r="P618" s="9"/>
      <c r="Q618" s="9"/>
      <c r="R618" s="9"/>
      <c r="S618" s="14" t="s">
        <v>2531</v>
      </c>
      <c r="T618" s="9" t="s">
        <v>2532</v>
      </c>
      <c r="U618" s="9" t="s">
        <v>54</v>
      </c>
      <c r="V618" s="9" t="s">
        <v>55</v>
      </c>
      <c r="W618" s="9" t="s">
        <v>55</v>
      </c>
      <c r="X618" s="12"/>
      <c r="Y618" s="9" t="s">
        <v>55</v>
      </c>
      <c r="Z618" s="13"/>
    </row>
    <row r="619" spans="1:26" ht="32.25" hidden="1" customHeight="1">
      <c r="A619" s="8">
        <v>2312275</v>
      </c>
      <c r="B619" s="9" t="s">
        <v>2533</v>
      </c>
      <c r="C619" s="10">
        <v>45149</v>
      </c>
      <c r="D619" s="9" t="s">
        <v>261</v>
      </c>
      <c r="E619" s="9" t="s">
        <v>143</v>
      </c>
      <c r="F619" s="9" t="s">
        <v>262</v>
      </c>
      <c r="G619" s="9" t="s">
        <v>43</v>
      </c>
      <c r="H619" s="9" t="s">
        <v>44</v>
      </c>
      <c r="I619" s="11" t="s">
        <v>1136</v>
      </c>
      <c r="J619" s="9" t="s">
        <v>1137</v>
      </c>
      <c r="K619" s="9" t="s">
        <v>47</v>
      </c>
      <c r="L619" s="9" t="s">
        <v>799</v>
      </c>
      <c r="M619" s="9" t="s">
        <v>2534</v>
      </c>
      <c r="N619" s="9" t="s">
        <v>84</v>
      </c>
      <c r="O619" s="9" t="s">
        <v>51</v>
      </c>
      <c r="P619" s="9"/>
      <c r="Q619" s="9"/>
      <c r="R619" s="9" t="s">
        <v>61</v>
      </c>
      <c r="S619" s="14" t="s">
        <v>2535</v>
      </c>
      <c r="T619" s="9" t="s">
        <v>2536</v>
      </c>
      <c r="U619" s="9" t="s">
        <v>262</v>
      </c>
      <c r="V619" s="9" t="s">
        <v>370</v>
      </c>
      <c r="W619" s="9" t="s">
        <v>115</v>
      </c>
      <c r="X619" s="12" t="s">
        <v>389</v>
      </c>
      <c r="Y619" s="9" t="s">
        <v>390</v>
      </c>
      <c r="Z619" s="13"/>
    </row>
    <row r="620" spans="1:26" ht="32.25" hidden="1" customHeight="1">
      <c r="A620" s="8">
        <v>2303843</v>
      </c>
      <c r="B620" s="9" t="s">
        <v>2537</v>
      </c>
      <c r="C620" s="10">
        <v>45142</v>
      </c>
      <c r="D620" s="9" t="s">
        <v>67</v>
      </c>
      <c r="E620" s="9" t="s">
        <v>143</v>
      </c>
      <c r="F620" s="9" t="s">
        <v>42</v>
      </c>
      <c r="G620" s="9" t="s">
        <v>43</v>
      </c>
      <c r="H620" s="9" t="s">
        <v>44</v>
      </c>
      <c r="I620" s="11" t="s">
        <v>460</v>
      </c>
      <c r="J620" s="9" t="s">
        <v>400</v>
      </c>
      <c r="K620" s="9" t="s">
        <v>47</v>
      </c>
      <c r="L620" s="9" t="s">
        <v>221</v>
      </c>
      <c r="M620" s="9" t="s">
        <v>2538</v>
      </c>
      <c r="N620" s="9" t="s">
        <v>50</v>
      </c>
      <c r="O620" s="9" t="s">
        <v>51</v>
      </c>
      <c r="P620" s="9"/>
      <c r="Q620" s="9"/>
      <c r="R620" s="9" t="s">
        <v>61</v>
      </c>
      <c r="S620" s="9" t="s">
        <v>2539</v>
      </c>
      <c r="T620" s="9" t="s">
        <v>2540</v>
      </c>
      <c r="U620" s="9" t="s">
        <v>54</v>
      </c>
      <c r="V620" s="9" t="s">
        <v>55</v>
      </c>
      <c r="W620" s="9" t="s">
        <v>55</v>
      </c>
      <c r="X620" s="12" t="s">
        <v>150</v>
      </c>
      <c r="Y620" s="9" t="s">
        <v>151</v>
      </c>
      <c r="Z620" s="13"/>
    </row>
    <row r="621" spans="1:26" ht="32.25" hidden="1" customHeight="1">
      <c r="A621" s="8">
        <v>2308800</v>
      </c>
      <c r="B621" s="9" t="s">
        <v>2541</v>
      </c>
      <c r="C621" s="10">
        <v>45156</v>
      </c>
      <c r="D621" s="9" t="s">
        <v>565</v>
      </c>
      <c r="E621" s="9" t="s">
        <v>41</v>
      </c>
      <c r="F621" s="9" t="s">
        <v>42</v>
      </c>
      <c r="G621" s="9" t="s">
        <v>43</v>
      </c>
      <c r="H621" s="9" t="s">
        <v>58</v>
      </c>
      <c r="I621" s="11" t="s">
        <v>199</v>
      </c>
      <c r="J621" s="9" t="s">
        <v>200</v>
      </c>
      <c r="K621" s="9" t="s">
        <v>47</v>
      </c>
      <c r="L621" s="9" t="s">
        <v>174</v>
      </c>
      <c r="M621" s="9" t="s">
        <v>644</v>
      </c>
      <c r="N621" s="9" t="s">
        <v>50</v>
      </c>
      <c r="O621" s="9" t="s">
        <v>51</v>
      </c>
      <c r="P621" s="9"/>
      <c r="Q621" s="9"/>
      <c r="R621" s="9"/>
      <c r="S621" s="14" t="s">
        <v>2542</v>
      </c>
      <c r="T621" s="9" t="s">
        <v>2543</v>
      </c>
      <c r="U621" s="9" t="s">
        <v>54</v>
      </c>
      <c r="V621" s="9" t="s">
        <v>55</v>
      </c>
      <c r="W621" s="9" t="s">
        <v>55</v>
      </c>
      <c r="X621" s="12"/>
      <c r="Y621" s="9" t="s">
        <v>55</v>
      </c>
      <c r="Z621" s="13"/>
    </row>
    <row r="622" spans="1:26" ht="32.25" hidden="1" customHeight="1">
      <c r="A622" s="8">
        <v>2310719</v>
      </c>
      <c r="B622" s="9" t="s">
        <v>2544</v>
      </c>
      <c r="C622" s="10">
        <v>45142</v>
      </c>
      <c r="D622" s="9" t="s">
        <v>67</v>
      </c>
      <c r="E622" s="9" t="s">
        <v>68</v>
      </c>
      <c r="F622" s="9" t="s">
        <v>135</v>
      </c>
      <c r="G622" s="9" t="s">
        <v>43</v>
      </c>
      <c r="H622" s="9" t="s">
        <v>44</v>
      </c>
      <c r="I622" s="11" t="s">
        <v>136</v>
      </c>
      <c r="J622" s="9" t="s">
        <v>137</v>
      </c>
      <c r="K622" s="9" t="s">
        <v>47</v>
      </c>
      <c r="L622" s="9" t="s">
        <v>480</v>
      </c>
      <c r="M622" s="9" t="s">
        <v>2545</v>
      </c>
      <c r="N622" s="9" t="s">
        <v>50</v>
      </c>
      <c r="O622" s="9" t="s">
        <v>51</v>
      </c>
      <c r="P622" s="9"/>
      <c r="Q622" s="9"/>
      <c r="R622" s="9" t="s">
        <v>61</v>
      </c>
      <c r="S622" s="9" t="s">
        <v>2546</v>
      </c>
      <c r="T622" s="9" t="s">
        <v>2547</v>
      </c>
      <c r="U622" s="9" t="s">
        <v>54</v>
      </c>
      <c r="V622" s="9" t="s">
        <v>55</v>
      </c>
      <c r="W622" s="9" t="s">
        <v>55</v>
      </c>
      <c r="X622" s="12" t="s">
        <v>76</v>
      </c>
      <c r="Y622" s="9" t="s">
        <v>77</v>
      </c>
      <c r="Z622" s="13"/>
    </row>
    <row r="623" spans="1:26" ht="32.25" hidden="1" customHeight="1">
      <c r="A623" s="8">
        <v>2313409</v>
      </c>
      <c r="B623" s="9" t="s">
        <v>2548</v>
      </c>
      <c r="C623" s="10">
        <v>45156</v>
      </c>
      <c r="D623" s="9" t="s">
        <v>565</v>
      </c>
      <c r="E623" s="9" t="s">
        <v>41</v>
      </c>
      <c r="F623" s="9" t="s">
        <v>42</v>
      </c>
      <c r="G623" s="9" t="s">
        <v>43</v>
      </c>
      <c r="H623" s="9" t="s">
        <v>58</v>
      </c>
      <c r="I623" s="11" t="s">
        <v>45</v>
      </c>
      <c r="J623" s="9" t="s">
        <v>46</v>
      </c>
      <c r="K623" s="9" t="s">
        <v>47</v>
      </c>
      <c r="L623" s="9" t="s">
        <v>48</v>
      </c>
      <c r="M623" s="9" t="s">
        <v>1366</v>
      </c>
      <c r="N623" s="9" t="s">
        <v>50</v>
      </c>
      <c r="O623" s="9" t="s">
        <v>51</v>
      </c>
      <c r="P623" s="9"/>
      <c r="Q623" s="9"/>
      <c r="R623" s="9"/>
      <c r="S623" s="14" t="s">
        <v>2549</v>
      </c>
      <c r="T623" s="9" t="s">
        <v>2550</v>
      </c>
      <c r="U623" s="9" t="s">
        <v>54</v>
      </c>
      <c r="V623" s="9" t="s">
        <v>55</v>
      </c>
      <c r="W623" s="9" t="s">
        <v>55</v>
      </c>
      <c r="X623" s="12"/>
      <c r="Y623" s="9" t="s">
        <v>55</v>
      </c>
      <c r="Z623" s="13"/>
    </row>
    <row r="624" spans="1:26" ht="32.25" hidden="1" customHeight="1">
      <c r="A624" s="8">
        <v>2309228</v>
      </c>
      <c r="B624" s="9" t="s">
        <v>2551</v>
      </c>
      <c r="C624" s="10">
        <v>45156</v>
      </c>
      <c r="D624" s="9" t="s">
        <v>79</v>
      </c>
      <c r="E624" s="9" t="s">
        <v>68</v>
      </c>
      <c r="F624" s="9" t="s">
        <v>80</v>
      </c>
      <c r="G624" s="9" t="s">
        <v>43</v>
      </c>
      <c r="H624" s="9" t="s">
        <v>44</v>
      </c>
      <c r="I624" s="11" t="s">
        <v>90</v>
      </c>
      <c r="J624" s="9" t="s">
        <v>91</v>
      </c>
      <c r="K624" s="9" t="s">
        <v>47</v>
      </c>
      <c r="L624" s="9" t="s">
        <v>138</v>
      </c>
      <c r="M624" s="9" t="s">
        <v>624</v>
      </c>
      <c r="N624" s="9" t="s">
        <v>50</v>
      </c>
      <c r="O624" s="9" t="s">
        <v>51</v>
      </c>
      <c r="P624" s="9" t="s">
        <v>670</v>
      </c>
      <c r="Q624" s="9"/>
      <c r="R624" s="9" t="s">
        <v>61</v>
      </c>
      <c r="S624" s="14" t="s">
        <v>2552</v>
      </c>
      <c r="T624" s="9" t="s">
        <v>2553</v>
      </c>
      <c r="U624" s="9" t="s">
        <v>54</v>
      </c>
      <c r="V624" s="9" t="s">
        <v>55</v>
      </c>
      <c r="W624" s="9" t="s">
        <v>55</v>
      </c>
      <c r="X624" s="12" t="s">
        <v>196</v>
      </c>
      <c r="Y624" s="9" t="s">
        <v>197</v>
      </c>
      <c r="Z624" s="13"/>
    </row>
    <row r="625" spans="1:26" ht="32.25" hidden="1" customHeight="1">
      <c r="A625" s="8">
        <v>2303537</v>
      </c>
      <c r="B625" s="9" t="s">
        <v>2554</v>
      </c>
      <c r="C625" s="10">
        <v>45156</v>
      </c>
      <c r="D625" s="9" t="s">
        <v>2555</v>
      </c>
      <c r="E625" s="9" t="s">
        <v>89</v>
      </c>
      <c r="F625" s="9" t="s">
        <v>80</v>
      </c>
      <c r="G625" s="9" t="s">
        <v>43</v>
      </c>
      <c r="H625" s="9" t="s">
        <v>44</v>
      </c>
      <c r="I625" s="11" t="s">
        <v>101</v>
      </c>
      <c r="J625" s="9" t="s">
        <v>102</v>
      </c>
      <c r="K625" s="9" t="s">
        <v>47</v>
      </c>
      <c r="L625" s="9" t="s">
        <v>713</v>
      </c>
      <c r="M625" s="9" t="s">
        <v>2556</v>
      </c>
      <c r="N625" s="9" t="s">
        <v>50</v>
      </c>
      <c r="O625" s="9" t="s">
        <v>51</v>
      </c>
      <c r="P625" s="9" t="s">
        <v>1907</v>
      </c>
      <c r="Q625" s="9"/>
      <c r="R625" s="9" t="s">
        <v>61</v>
      </c>
      <c r="S625" s="14" t="s">
        <v>2557</v>
      </c>
      <c r="T625" s="9" t="s">
        <v>2558</v>
      </c>
      <c r="U625" s="9" t="s">
        <v>54</v>
      </c>
      <c r="V625" s="9" t="s">
        <v>711</v>
      </c>
      <c r="W625" s="9" t="s">
        <v>115</v>
      </c>
      <c r="X625" s="12" t="s">
        <v>98</v>
      </c>
      <c r="Y625" s="9" t="s">
        <v>99</v>
      </c>
      <c r="Z625" s="13"/>
    </row>
    <row r="626" spans="1:26" ht="32.25" hidden="1" customHeight="1">
      <c r="A626" s="8">
        <v>2304824</v>
      </c>
      <c r="B626" s="9" t="s">
        <v>2559</v>
      </c>
      <c r="C626" s="10">
        <v>45136</v>
      </c>
      <c r="D626" s="9" t="s">
        <v>40</v>
      </c>
      <c r="E626" s="9" t="s">
        <v>41</v>
      </c>
      <c r="F626" s="9" t="s">
        <v>42</v>
      </c>
      <c r="G626" s="9" t="s">
        <v>43</v>
      </c>
      <c r="H626" s="9" t="s">
        <v>44</v>
      </c>
      <c r="I626" s="11" t="s">
        <v>45</v>
      </c>
      <c r="J626" s="9" t="s">
        <v>46</v>
      </c>
      <c r="K626" s="9" t="s">
        <v>47</v>
      </c>
      <c r="L626" s="9" t="s">
        <v>2006</v>
      </c>
      <c r="M626" s="9" t="s">
        <v>2560</v>
      </c>
      <c r="N626" s="9" t="s">
        <v>84</v>
      </c>
      <c r="O626" s="9" t="s">
        <v>51</v>
      </c>
      <c r="P626" s="9"/>
      <c r="Q626" s="9"/>
      <c r="R626" s="9" t="s">
        <v>61</v>
      </c>
      <c r="S626" s="9" t="s">
        <v>2561</v>
      </c>
      <c r="T626" s="9" t="s">
        <v>2562</v>
      </c>
      <c r="U626" s="9" t="s">
        <v>54</v>
      </c>
      <c r="V626" s="9" t="s">
        <v>55</v>
      </c>
      <c r="W626" s="9" t="s">
        <v>55</v>
      </c>
      <c r="X626" s="9" t="s">
        <v>196</v>
      </c>
      <c r="Y626" s="9" t="s">
        <v>197</v>
      </c>
      <c r="Z626" s="13"/>
    </row>
    <row r="627" spans="1:26" ht="32.25" hidden="1" customHeight="1">
      <c r="A627" s="8">
        <v>2309426</v>
      </c>
      <c r="B627" s="9" t="s">
        <v>2563</v>
      </c>
      <c r="C627" s="10">
        <v>45142</v>
      </c>
      <c r="D627" s="9" t="s">
        <v>67</v>
      </c>
      <c r="E627" s="9" t="s">
        <v>41</v>
      </c>
      <c r="F627" s="9" t="s">
        <v>42</v>
      </c>
      <c r="G627" s="9" t="s">
        <v>43</v>
      </c>
      <c r="H627" s="9" t="s">
        <v>44</v>
      </c>
      <c r="I627" s="11" t="s">
        <v>45</v>
      </c>
      <c r="J627" s="9" t="s">
        <v>46</v>
      </c>
      <c r="K627" s="9" t="s">
        <v>47</v>
      </c>
      <c r="L627" s="9" t="s">
        <v>162</v>
      </c>
      <c r="M627" s="9" t="s">
        <v>163</v>
      </c>
      <c r="N627" s="9" t="s">
        <v>50</v>
      </c>
      <c r="O627" s="9" t="s">
        <v>51</v>
      </c>
      <c r="P627" s="9"/>
      <c r="Q627" s="9"/>
      <c r="R627" s="9" t="s">
        <v>61</v>
      </c>
      <c r="S627" s="9" t="s">
        <v>2564</v>
      </c>
      <c r="T627" s="9" t="s">
        <v>2565</v>
      </c>
      <c r="U627" s="9" t="s">
        <v>54</v>
      </c>
      <c r="V627" s="9" t="s">
        <v>55</v>
      </c>
      <c r="W627" s="9" t="s">
        <v>55</v>
      </c>
      <c r="X627" s="9" t="s">
        <v>64</v>
      </c>
      <c r="Y627" s="9" t="s">
        <v>65</v>
      </c>
      <c r="Z627" s="13"/>
    </row>
    <row r="628" spans="1:26" ht="32.25" hidden="1" customHeight="1">
      <c r="A628" s="8">
        <v>2302534</v>
      </c>
      <c r="B628" s="9" t="s">
        <v>2566</v>
      </c>
      <c r="C628" s="10">
        <v>45149</v>
      </c>
      <c r="D628" s="9" t="s">
        <v>57</v>
      </c>
      <c r="E628" s="9" t="s">
        <v>41</v>
      </c>
      <c r="F628" s="9" t="s">
        <v>42</v>
      </c>
      <c r="G628" s="9" t="s">
        <v>43</v>
      </c>
      <c r="H628" s="9" t="s">
        <v>58</v>
      </c>
      <c r="I628" s="11" t="s">
        <v>199</v>
      </c>
      <c r="J628" s="9" t="s">
        <v>200</v>
      </c>
      <c r="K628" s="9" t="s">
        <v>47</v>
      </c>
      <c r="L628" s="9" t="s">
        <v>156</v>
      </c>
      <c r="M628" s="9"/>
      <c r="N628" s="9" t="s">
        <v>50</v>
      </c>
      <c r="O628" s="9" t="s">
        <v>51</v>
      </c>
      <c r="P628" s="9"/>
      <c r="Q628" s="9"/>
      <c r="R628" s="9"/>
      <c r="S628" s="14" t="s">
        <v>2567</v>
      </c>
      <c r="T628" s="9" t="s">
        <v>2568</v>
      </c>
      <c r="U628" s="9" t="s">
        <v>54</v>
      </c>
      <c r="V628" s="9" t="s">
        <v>55</v>
      </c>
      <c r="W628" s="9" t="s">
        <v>55</v>
      </c>
      <c r="X628" s="12"/>
      <c r="Y628" s="9" t="s">
        <v>55</v>
      </c>
      <c r="Z628" s="13"/>
    </row>
    <row r="629" spans="1:26" ht="32.25" hidden="1" customHeight="1">
      <c r="A629" s="8">
        <v>2311658</v>
      </c>
      <c r="B629" s="9" t="s">
        <v>2569</v>
      </c>
      <c r="C629" s="10">
        <v>45156</v>
      </c>
      <c r="D629" s="9" t="s">
        <v>79</v>
      </c>
      <c r="E629" s="9" t="s">
        <v>89</v>
      </c>
      <c r="F629" s="9" t="s">
        <v>80</v>
      </c>
      <c r="G629" s="9" t="s">
        <v>43</v>
      </c>
      <c r="H629" s="9" t="s">
        <v>44</v>
      </c>
      <c r="I629" s="11" t="s">
        <v>90</v>
      </c>
      <c r="J629" s="9" t="s">
        <v>91</v>
      </c>
      <c r="K629" s="9" t="s">
        <v>47</v>
      </c>
      <c r="L629" s="9" t="s">
        <v>340</v>
      </c>
      <c r="M629" s="9" t="s">
        <v>2570</v>
      </c>
      <c r="N629" s="9" t="s">
        <v>50</v>
      </c>
      <c r="O629" s="9" t="s">
        <v>51</v>
      </c>
      <c r="P629" s="9" t="s">
        <v>95</v>
      </c>
      <c r="Q629" s="9"/>
      <c r="R629" s="9" t="s">
        <v>61</v>
      </c>
      <c r="S629" s="14" t="s">
        <v>2571</v>
      </c>
      <c r="T629" s="9" t="s">
        <v>2572</v>
      </c>
      <c r="U629" s="9" t="s">
        <v>54</v>
      </c>
      <c r="V629" s="9" t="s">
        <v>55</v>
      </c>
      <c r="W629" s="9" t="s">
        <v>55</v>
      </c>
      <c r="X629" s="12" t="s">
        <v>98</v>
      </c>
      <c r="Y629" s="9" t="s">
        <v>99</v>
      </c>
      <c r="Z629" s="13"/>
    </row>
    <row r="630" spans="1:26" ht="32.25" hidden="1" customHeight="1">
      <c r="A630" s="8">
        <v>2314859</v>
      </c>
      <c r="B630" s="9" t="s">
        <v>2573</v>
      </c>
      <c r="C630" s="10">
        <v>45156</v>
      </c>
      <c r="D630" s="9" t="s">
        <v>79</v>
      </c>
      <c r="E630" s="9" t="s">
        <v>41</v>
      </c>
      <c r="F630" s="9" t="s">
        <v>80</v>
      </c>
      <c r="G630" s="9" t="s">
        <v>43</v>
      </c>
      <c r="H630" s="9" t="s">
        <v>44</v>
      </c>
      <c r="I630" s="11" t="s">
        <v>233</v>
      </c>
      <c r="J630" s="9" t="s">
        <v>200</v>
      </c>
      <c r="K630" s="9" t="s">
        <v>47</v>
      </c>
      <c r="L630" s="9" t="s">
        <v>48</v>
      </c>
      <c r="M630" s="9" t="s">
        <v>1366</v>
      </c>
      <c r="N630" s="9" t="s">
        <v>84</v>
      </c>
      <c r="O630" s="9" t="s">
        <v>51</v>
      </c>
      <c r="P630" s="9" t="s">
        <v>443</v>
      </c>
      <c r="Q630" s="9"/>
      <c r="R630" s="9"/>
      <c r="S630" s="14" t="s">
        <v>2574</v>
      </c>
      <c r="T630" s="9" t="s">
        <v>2575</v>
      </c>
      <c r="U630" s="9" t="s">
        <v>54</v>
      </c>
      <c r="V630" s="9"/>
      <c r="W630" s="9" t="s">
        <v>115</v>
      </c>
      <c r="X630" s="12"/>
      <c r="Y630" s="9" t="s">
        <v>55</v>
      </c>
      <c r="Z630" s="13"/>
    </row>
    <row r="631" spans="1:26" ht="32.25" hidden="1" customHeight="1">
      <c r="A631" s="8">
        <v>2301026</v>
      </c>
      <c r="B631" s="9" t="s">
        <v>2576</v>
      </c>
      <c r="C631" s="10">
        <v>45149</v>
      </c>
      <c r="D631" s="9" t="s">
        <v>57</v>
      </c>
      <c r="E631" s="9" t="s">
        <v>295</v>
      </c>
      <c r="F631" s="9" t="s">
        <v>42</v>
      </c>
      <c r="G631" s="9" t="s">
        <v>43</v>
      </c>
      <c r="H631" s="9" t="s">
        <v>58</v>
      </c>
      <c r="I631" s="11" t="s">
        <v>406</v>
      </c>
      <c r="J631" s="9" t="s">
        <v>407</v>
      </c>
      <c r="K631" s="9" t="s">
        <v>47</v>
      </c>
      <c r="L631" s="9" t="s">
        <v>48</v>
      </c>
      <c r="M631" s="9" t="s">
        <v>1943</v>
      </c>
      <c r="N631" s="9" t="s">
        <v>50</v>
      </c>
      <c r="O631" s="9" t="s">
        <v>51</v>
      </c>
      <c r="P631" s="9"/>
      <c r="Q631" s="9"/>
      <c r="R631" s="9"/>
      <c r="S631" s="14" t="s">
        <v>2577</v>
      </c>
      <c r="T631" s="9" t="s">
        <v>2578</v>
      </c>
      <c r="U631" s="9" t="s">
        <v>54</v>
      </c>
      <c r="V631" s="9" t="s">
        <v>55</v>
      </c>
      <c r="W631" s="9" t="s">
        <v>55</v>
      </c>
      <c r="X631" s="12"/>
      <c r="Y631" s="9" t="s">
        <v>55</v>
      </c>
      <c r="Z631" s="13"/>
    </row>
    <row r="632" spans="1:26" ht="32.25" hidden="1" customHeight="1">
      <c r="A632" s="8">
        <v>2309764</v>
      </c>
      <c r="B632" s="9" t="s">
        <v>2579</v>
      </c>
      <c r="C632" s="10">
        <v>45156</v>
      </c>
      <c r="D632" s="9" t="s">
        <v>565</v>
      </c>
      <c r="E632" s="9" t="s">
        <v>153</v>
      </c>
      <c r="F632" s="9" t="s">
        <v>42</v>
      </c>
      <c r="G632" s="9" t="s">
        <v>43</v>
      </c>
      <c r="H632" s="9" t="s">
        <v>58</v>
      </c>
      <c r="I632" s="11" t="s">
        <v>154</v>
      </c>
      <c r="J632" s="9" t="s">
        <v>155</v>
      </c>
      <c r="K632" s="9" t="s">
        <v>47</v>
      </c>
      <c r="L632" s="9" t="s">
        <v>349</v>
      </c>
      <c r="M632" s="9" t="s">
        <v>2580</v>
      </c>
      <c r="N632" s="9" t="s">
        <v>84</v>
      </c>
      <c r="O632" s="9" t="s">
        <v>51</v>
      </c>
      <c r="P632" s="9"/>
      <c r="Q632" s="9"/>
      <c r="R632" s="9" t="s">
        <v>61</v>
      </c>
      <c r="S632" s="14" t="s">
        <v>2581</v>
      </c>
      <c r="T632" s="9" t="s">
        <v>2582</v>
      </c>
      <c r="U632" s="9" t="s">
        <v>54</v>
      </c>
      <c r="V632" s="9" t="s">
        <v>55</v>
      </c>
      <c r="W632" s="9" t="s">
        <v>55</v>
      </c>
      <c r="X632" s="12" t="s">
        <v>171</v>
      </c>
      <c r="Y632" s="9" t="s">
        <v>172</v>
      </c>
      <c r="Z632" s="13"/>
    </row>
    <row r="633" spans="1:26" ht="32.25" hidden="1" customHeight="1">
      <c r="A633" s="8">
        <v>2309263</v>
      </c>
      <c r="B633" s="9" t="s">
        <v>2583</v>
      </c>
      <c r="C633" s="10">
        <v>45156</v>
      </c>
      <c r="D633" s="9" t="s">
        <v>79</v>
      </c>
      <c r="E633" s="9" t="s">
        <v>143</v>
      </c>
      <c r="F633" s="9" t="s">
        <v>80</v>
      </c>
      <c r="G633" s="9" t="s">
        <v>43</v>
      </c>
      <c r="H633" s="9" t="s">
        <v>44</v>
      </c>
      <c r="I633" s="11" t="s">
        <v>326</v>
      </c>
      <c r="J633" s="9" t="s">
        <v>327</v>
      </c>
      <c r="K633" s="9" t="s">
        <v>47</v>
      </c>
      <c r="L633" s="9" t="s">
        <v>156</v>
      </c>
      <c r="M633" s="9"/>
      <c r="N633" s="9" t="s">
        <v>50</v>
      </c>
      <c r="O633" s="9" t="s">
        <v>51</v>
      </c>
      <c r="P633" s="9" t="s">
        <v>1117</v>
      </c>
      <c r="Q633" s="9"/>
      <c r="R633" s="9"/>
      <c r="S633" s="14" t="s">
        <v>2584</v>
      </c>
      <c r="T633" s="9" t="s">
        <v>2585</v>
      </c>
      <c r="U633" s="9" t="s">
        <v>54</v>
      </c>
      <c r="V633" s="9"/>
      <c r="W633" s="9" t="s">
        <v>115</v>
      </c>
      <c r="X633" s="12"/>
      <c r="Y633" s="9" t="s">
        <v>55</v>
      </c>
      <c r="Z633" s="13"/>
    </row>
    <row r="634" spans="1:26" ht="32.25" hidden="1" customHeight="1">
      <c r="A634" s="8">
        <v>2315404</v>
      </c>
      <c r="B634" s="9" t="s">
        <v>2586</v>
      </c>
      <c r="C634" s="10">
        <v>45152</v>
      </c>
      <c r="D634" s="9" t="s">
        <v>185</v>
      </c>
      <c r="E634" s="9" t="s">
        <v>41</v>
      </c>
      <c r="F634" s="9" t="s">
        <v>42</v>
      </c>
      <c r="G634" s="9" t="s">
        <v>43</v>
      </c>
      <c r="H634" s="9" t="s">
        <v>44</v>
      </c>
      <c r="I634" s="11" t="s">
        <v>1073</v>
      </c>
      <c r="J634" s="9" t="s">
        <v>479</v>
      </c>
      <c r="K634" s="9" t="s">
        <v>1158</v>
      </c>
      <c r="L634" s="9"/>
      <c r="M634" s="9" t="s">
        <v>1580</v>
      </c>
      <c r="N634" s="9" t="s">
        <v>50</v>
      </c>
      <c r="O634" s="9" t="s">
        <v>187</v>
      </c>
      <c r="P634" s="9"/>
      <c r="Q634" s="9"/>
      <c r="R634" s="9" t="s">
        <v>61</v>
      </c>
      <c r="S634" s="14" t="s">
        <v>641</v>
      </c>
      <c r="T634" s="9" t="s">
        <v>2587</v>
      </c>
      <c r="U634" s="9" t="s">
        <v>54</v>
      </c>
      <c r="V634" s="9" t="s">
        <v>55</v>
      </c>
      <c r="W634" s="9" t="s">
        <v>55</v>
      </c>
      <c r="X634" s="9" t="s">
        <v>196</v>
      </c>
      <c r="Y634" s="9" t="s">
        <v>197</v>
      </c>
      <c r="Z634" s="13"/>
    </row>
    <row r="635" spans="1:26" ht="32.25" hidden="1" customHeight="1">
      <c r="A635" s="8">
        <v>2303131</v>
      </c>
      <c r="B635" s="9" t="s">
        <v>2588</v>
      </c>
      <c r="C635" s="10">
        <v>45142</v>
      </c>
      <c r="D635" s="9" t="s">
        <v>67</v>
      </c>
      <c r="E635" s="9" t="s">
        <v>68</v>
      </c>
      <c r="F635" s="9" t="s">
        <v>135</v>
      </c>
      <c r="G635" s="9" t="s">
        <v>43</v>
      </c>
      <c r="H635" s="9" t="s">
        <v>44</v>
      </c>
      <c r="I635" s="11" t="s">
        <v>136</v>
      </c>
      <c r="J635" s="9" t="s">
        <v>137</v>
      </c>
      <c r="K635" s="9" t="s">
        <v>47</v>
      </c>
      <c r="L635" s="9" t="s">
        <v>174</v>
      </c>
      <c r="M635" s="9" t="s">
        <v>1190</v>
      </c>
      <c r="N635" s="9" t="s">
        <v>50</v>
      </c>
      <c r="O635" s="9" t="s">
        <v>51</v>
      </c>
      <c r="P635" s="9"/>
      <c r="Q635" s="9"/>
      <c r="R635" s="9" t="s">
        <v>61</v>
      </c>
      <c r="S635" s="9" t="s">
        <v>2589</v>
      </c>
      <c r="T635" s="9" t="s">
        <v>2590</v>
      </c>
      <c r="U635" s="9" t="s">
        <v>54</v>
      </c>
      <c r="V635" s="9" t="s">
        <v>55</v>
      </c>
      <c r="W635" s="9" t="s">
        <v>55</v>
      </c>
      <c r="X635" s="12" t="s">
        <v>76</v>
      </c>
      <c r="Y635" s="9" t="s">
        <v>77</v>
      </c>
      <c r="Z635" s="13"/>
    </row>
    <row r="636" spans="1:26" ht="32.25" hidden="1" customHeight="1">
      <c r="A636" s="8">
        <v>2314822</v>
      </c>
      <c r="B636" s="9" t="s">
        <v>2591</v>
      </c>
      <c r="C636" s="10">
        <v>45156</v>
      </c>
      <c r="D636" s="9" t="s">
        <v>79</v>
      </c>
      <c r="E636" s="9" t="s">
        <v>153</v>
      </c>
      <c r="F636" s="9" t="s">
        <v>80</v>
      </c>
      <c r="G636" s="9" t="s">
        <v>43</v>
      </c>
      <c r="H636" s="9" t="s">
        <v>44</v>
      </c>
      <c r="I636" s="11" t="s">
        <v>1588</v>
      </c>
      <c r="J636" s="9" t="s">
        <v>155</v>
      </c>
      <c r="K636" s="9" t="s">
        <v>47</v>
      </c>
      <c r="L636" s="9" t="s">
        <v>156</v>
      </c>
      <c r="M636" s="9"/>
      <c r="N636" s="9" t="s">
        <v>84</v>
      </c>
      <c r="O636" s="9" t="s">
        <v>51</v>
      </c>
      <c r="P636" s="9" t="s">
        <v>2391</v>
      </c>
      <c r="Q636" s="9"/>
      <c r="R636" s="9"/>
      <c r="S636" s="14" t="s">
        <v>2592</v>
      </c>
      <c r="T636" s="9" t="s">
        <v>2593</v>
      </c>
      <c r="U636" s="9" t="s">
        <v>54</v>
      </c>
      <c r="V636" s="9"/>
      <c r="W636" s="9" t="s">
        <v>115</v>
      </c>
      <c r="X636" s="12"/>
      <c r="Y636" s="9" t="s">
        <v>55</v>
      </c>
      <c r="Z636" s="13"/>
    </row>
    <row r="637" spans="1:26" ht="32.25" hidden="1" customHeight="1">
      <c r="A637" s="8">
        <v>2305837</v>
      </c>
      <c r="B637" s="9" t="s">
        <v>2594</v>
      </c>
      <c r="C637" s="10">
        <v>45149</v>
      </c>
      <c r="D637" s="9" t="s">
        <v>57</v>
      </c>
      <c r="E637" s="9" t="s">
        <v>41</v>
      </c>
      <c r="F637" s="9" t="s">
        <v>42</v>
      </c>
      <c r="G637" s="9" t="s">
        <v>43</v>
      </c>
      <c r="H637" s="9" t="s">
        <v>58</v>
      </c>
      <c r="I637" s="11" t="s">
        <v>129</v>
      </c>
      <c r="J637" s="9" t="s">
        <v>130</v>
      </c>
      <c r="K637" s="9" t="s">
        <v>47</v>
      </c>
      <c r="L637" s="9" t="s">
        <v>822</v>
      </c>
      <c r="M637" s="9" t="s">
        <v>2595</v>
      </c>
      <c r="N637" s="9" t="s">
        <v>50</v>
      </c>
      <c r="O637" s="9" t="s">
        <v>51</v>
      </c>
      <c r="P637" s="9"/>
      <c r="Q637" s="9"/>
      <c r="R637" s="9" t="s">
        <v>61</v>
      </c>
      <c r="S637" s="14" t="s">
        <v>2596</v>
      </c>
      <c r="T637" s="9" t="s">
        <v>2597</v>
      </c>
      <c r="U637" s="9" t="s">
        <v>54</v>
      </c>
      <c r="V637" s="9" t="s">
        <v>55</v>
      </c>
      <c r="W637" s="9" t="s">
        <v>55</v>
      </c>
      <c r="X637" s="9" t="s">
        <v>319</v>
      </c>
      <c r="Y637" s="9" t="s">
        <v>320</v>
      </c>
      <c r="Z637" s="13" t="s">
        <v>230</v>
      </c>
    </row>
    <row r="638" spans="1:26" ht="32.25" hidden="1" customHeight="1">
      <c r="A638" s="8">
        <v>2311537</v>
      </c>
      <c r="B638" s="9" t="s">
        <v>2598</v>
      </c>
      <c r="C638" s="10">
        <v>45149</v>
      </c>
      <c r="D638" s="9" t="s">
        <v>57</v>
      </c>
      <c r="E638" s="9" t="s">
        <v>41</v>
      </c>
      <c r="F638" s="9" t="s">
        <v>42</v>
      </c>
      <c r="G638" s="9" t="s">
        <v>43</v>
      </c>
      <c r="H638" s="9" t="s">
        <v>58</v>
      </c>
      <c r="I638" s="11" t="s">
        <v>45</v>
      </c>
      <c r="J638" s="9" t="s">
        <v>46</v>
      </c>
      <c r="K638" s="9" t="s">
        <v>47</v>
      </c>
      <c r="L638" s="9" t="s">
        <v>48</v>
      </c>
      <c r="M638" s="9" t="s">
        <v>2011</v>
      </c>
      <c r="N638" s="9" t="s">
        <v>50</v>
      </c>
      <c r="O638" s="9" t="s">
        <v>51</v>
      </c>
      <c r="P638" s="9"/>
      <c r="Q638" s="9"/>
      <c r="R638" s="9"/>
      <c r="S638" s="14" t="s">
        <v>2599</v>
      </c>
      <c r="T638" s="9" t="s">
        <v>2600</v>
      </c>
      <c r="U638" s="9" t="s">
        <v>54</v>
      </c>
      <c r="V638" s="9" t="s">
        <v>55</v>
      </c>
      <c r="W638" s="9" t="s">
        <v>55</v>
      </c>
      <c r="X638" s="12"/>
      <c r="Y638" s="9" t="s">
        <v>55</v>
      </c>
      <c r="Z638" s="13"/>
    </row>
    <row r="639" spans="1:26" ht="32.25" hidden="1" customHeight="1">
      <c r="A639" s="8">
        <v>2311269</v>
      </c>
      <c r="B639" s="9" t="s">
        <v>2601</v>
      </c>
      <c r="C639" s="10">
        <v>45156</v>
      </c>
      <c r="D639" s="9" t="s">
        <v>79</v>
      </c>
      <c r="E639" s="9" t="s">
        <v>68</v>
      </c>
      <c r="F639" s="9" t="s">
        <v>80</v>
      </c>
      <c r="G639" s="9" t="s">
        <v>43</v>
      </c>
      <c r="H639" s="9" t="s">
        <v>44</v>
      </c>
      <c r="I639" s="11" t="s">
        <v>90</v>
      </c>
      <c r="J639" s="9" t="s">
        <v>91</v>
      </c>
      <c r="K639" s="9" t="s">
        <v>47</v>
      </c>
      <c r="L639" s="9" t="s">
        <v>2602</v>
      </c>
      <c r="M639" s="9" t="s">
        <v>2603</v>
      </c>
      <c r="N639" s="9" t="s">
        <v>50</v>
      </c>
      <c r="O639" s="9" t="s">
        <v>51</v>
      </c>
      <c r="P639" s="9" t="s">
        <v>670</v>
      </c>
      <c r="Q639" s="9"/>
      <c r="R639" s="9" t="s">
        <v>61</v>
      </c>
      <c r="S639" s="14" t="s">
        <v>2604</v>
      </c>
      <c r="T639" s="9" t="s">
        <v>2605</v>
      </c>
      <c r="U639" s="9" t="s">
        <v>54</v>
      </c>
      <c r="V639" s="9" t="s">
        <v>55</v>
      </c>
      <c r="W639" s="9" t="s">
        <v>55</v>
      </c>
      <c r="X639" s="12" t="s">
        <v>196</v>
      </c>
      <c r="Y639" s="9" t="s">
        <v>197</v>
      </c>
      <c r="Z639" s="13"/>
    </row>
    <row r="640" spans="1:26" ht="32.25" hidden="1" customHeight="1">
      <c r="A640" s="8">
        <v>2303440</v>
      </c>
      <c r="B640" s="9" t="s">
        <v>2606</v>
      </c>
      <c r="C640" s="10">
        <v>45142</v>
      </c>
      <c r="D640" s="9" t="s">
        <v>67</v>
      </c>
      <c r="E640" s="9" t="s">
        <v>41</v>
      </c>
      <c r="F640" s="9" t="s">
        <v>42</v>
      </c>
      <c r="G640" s="9" t="s">
        <v>43</v>
      </c>
      <c r="H640" s="9" t="s">
        <v>44</v>
      </c>
      <c r="I640" s="11" t="s">
        <v>129</v>
      </c>
      <c r="J640" s="9" t="s">
        <v>130</v>
      </c>
      <c r="K640" s="9" t="s">
        <v>47</v>
      </c>
      <c r="L640" s="9" t="s">
        <v>138</v>
      </c>
      <c r="M640" s="9" t="s">
        <v>2607</v>
      </c>
      <c r="N640" s="9" t="s">
        <v>50</v>
      </c>
      <c r="O640" s="9" t="s">
        <v>51</v>
      </c>
      <c r="P640" s="9"/>
      <c r="Q640" s="9"/>
      <c r="R640" s="9" t="s">
        <v>61</v>
      </c>
      <c r="S640" s="9" t="s">
        <v>2608</v>
      </c>
      <c r="T640" s="9" t="s">
        <v>2609</v>
      </c>
      <c r="U640" s="9" t="s">
        <v>54</v>
      </c>
      <c r="V640" s="9" t="s">
        <v>55</v>
      </c>
      <c r="W640" s="9" t="s">
        <v>55</v>
      </c>
      <c r="X640" s="9" t="s">
        <v>98</v>
      </c>
      <c r="Y640" s="9" t="s">
        <v>99</v>
      </c>
      <c r="Z640" s="13" t="s">
        <v>230</v>
      </c>
    </row>
    <row r="641" spans="1:26" ht="32.25" hidden="1" customHeight="1">
      <c r="A641" s="8">
        <v>2306462</v>
      </c>
      <c r="B641" s="9" t="s">
        <v>2610</v>
      </c>
      <c r="C641" s="10">
        <v>45149</v>
      </c>
      <c r="D641" s="9" t="s">
        <v>57</v>
      </c>
      <c r="E641" s="9" t="s">
        <v>153</v>
      </c>
      <c r="F641" s="9" t="s">
        <v>42</v>
      </c>
      <c r="G641" s="9" t="s">
        <v>43</v>
      </c>
      <c r="H641" s="9" t="s">
        <v>58</v>
      </c>
      <c r="I641" s="11" t="s">
        <v>154</v>
      </c>
      <c r="J641" s="9" t="s">
        <v>155</v>
      </c>
      <c r="K641" s="9" t="s">
        <v>47</v>
      </c>
      <c r="L641" s="9" t="s">
        <v>290</v>
      </c>
      <c r="M641" s="9" t="s">
        <v>2611</v>
      </c>
      <c r="N641" s="9" t="s">
        <v>84</v>
      </c>
      <c r="O641" s="9" t="s">
        <v>51</v>
      </c>
      <c r="P641" s="9"/>
      <c r="Q641" s="9"/>
      <c r="R641" s="9" t="s">
        <v>61</v>
      </c>
      <c r="S641" s="14" t="s">
        <v>2612</v>
      </c>
      <c r="T641" s="9" t="s">
        <v>2613</v>
      </c>
      <c r="U641" s="9" t="s">
        <v>54</v>
      </c>
      <c r="V641" s="9" t="s">
        <v>55</v>
      </c>
      <c r="W641" s="9" t="s">
        <v>55</v>
      </c>
      <c r="X641" s="12" t="s">
        <v>171</v>
      </c>
      <c r="Y641" s="9" t="s">
        <v>172</v>
      </c>
      <c r="Z641" s="13"/>
    </row>
    <row r="642" spans="1:26" ht="32.25" hidden="1" customHeight="1">
      <c r="A642" s="8">
        <v>2314604</v>
      </c>
      <c r="B642" s="9" t="s">
        <v>2614</v>
      </c>
      <c r="C642" s="10">
        <v>45156</v>
      </c>
      <c r="D642" s="9" t="s">
        <v>79</v>
      </c>
      <c r="E642" s="9" t="s">
        <v>68</v>
      </c>
      <c r="F642" s="9" t="s">
        <v>80</v>
      </c>
      <c r="G642" s="9" t="s">
        <v>43</v>
      </c>
      <c r="H642" s="9" t="s">
        <v>44</v>
      </c>
      <c r="I642" s="11" t="s">
        <v>117</v>
      </c>
      <c r="J642" s="9" t="s">
        <v>118</v>
      </c>
      <c r="K642" s="9" t="s">
        <v>92</v>
      </c>
      <c r="L642" s="9"/>
      <c r="M642" s="9" t="s">
        <v>103</v>
      </c>
      <c r="N642" s="9" t="s">
        <v>50</v>
      </c>
      <c r="O642" s="9" t="s">
        <v>51</v>
      </c>
      <c r="P642" s="9" t="s">
        <v>285</v>
      </c>
      <c r="Q642" s="9"/>
      <c r="R642" s="9" t="s">
        <v>61</v>
      </c>
      <c r="S642" s="14" t="s">
        <v>2615</v>
      </c>
      <c r="T642" s="9" t="s">
        <v>2616</v>
      </c>
      <c r="U642" s="9" t="s">
        <v>54</v>
      </c>
      <c r="V642" s="9" t="s">
        <v>55</v>
      </c>
      <c r="W642" s="9" t="s">
        <v>55</v>
      </c>
      <c r="X642" s="12" t="s">
        <v>196</v>
      </c>
      <c r="Y642" s="9" t="s">
        <v>197</v>
      </c>
      <c r="Z642" s="13"/>
    </row>
    <row r="643" spans="1:26" ht="32.25" hidden="1" customHeight="1">
      <c r="A643" s="8">
        <v>2314492</v>
      </c>
      <c r="B643" s="9" t="s">
        <v>2617</v>
      </c>
      <c r="C643" s="10">
        <v>45156</v>
      </c>
      <c r="D643" s="9" t="s">
        <v>79</v>
      </c>
      <c r="E643" s="9" t="s">
        <v>89</v>
      </c>
      <c r="F643" s="9" t="s">
        <v>80</v>
      </c>
      <c r="G643" s="9" t="s">
        <v>43</v>
      </c>
      <c r="H643" s="9" t="s">
        <v>44</v>
      </c>
      <c r="I643" s="11" t="s">
        <v>101</v>
      </c>
      <c r="J643" s="9" t="s">
        <v>102</v>
      </c>
      <c r="K643" s="9" t="s">
        <v>47</v>
      </c>
      <c r="L643" s="9" t="s">
        <v>713</v>
      </c>
      <c r="M643" s="9" t="s">
        <v>714</v>
      </c>
      <c r="N643" s="9" t="s">
        <v>50</v>
      </c>
      <c r="O643" s="9" t="s">
        <v>51</v>
      </c>
      <c r="P643" s="9" t="s">
        <v>715</v>
      </c>
      <c r="Q643" s="9"/>
      <c r="R643" s="9"/>
      <c r="S643" s="14" t="s">
        <v>2618</v>
      </c>
      <c r="T643" s="9" t="s">
        <v>2619</v>
      </c>
      <c r="U643" s="9" t="s">
        <v>54</v>
      </c>
      <c r="V643" s="9" t="s">
        <v>55</v>
      </c>
      <c r="W643" s="9" t="s">
        <v>55</v>
      </c>
      <c r="X643" s="12"/>
      <c r="Y643" s="9" t="s">
        <v>55</v>
      </c>
      <c r="Z643" s="13"/>
    </row>
    <row r="644" spans="1:26" ht="32.25" hidden="1" customHeight="1">
      <c r="A644" s="8">
        <v>2303326</v>
      </c>
      <c r="B644" s="9" t="s">
        <v>2620</v>
      </c>
      <c r="C644" s="10">
        <v>45142</v>
      </c>
      <c r="D644" s="9" t="s">
        <v>67</v>
      </c>
      <c r="E644" s="9" t="s">
        <v>68</v>
      </c>
      <c r="F644" s="9" t="s">
        <v>42</v>
      </c>
      <c r="G644" s="9" t="s">
        <v>43</v>
      </c>
      <c r="H644" s="9" t="s">
        <v>44</v>
      </c>
      <c r="I644" s="11" t="s">
        <v>69</v>
      </c>
      <c r="J644" s="9" t="s">
        <v>70</v>
      </c>
      <c r="K644" s="9" t="s">
        <v>47</v>
      </c>
      <c r="L644" s="9" t="s">
        <v>425</v>
      </c>
      <c r="M644" s="9" t="s">
        <v>2356</v>
      </c>
      <c r="N644" s="9" t="s">
        <v>84</v>
      </c>
      <c r="O644" s="9" t="s">
        <v>51</v>
      </c>
      <c r="P644" s="9" t="s">
        <v>73</v>
      </c>
      <c r="Q644" s="9"/>
      <c r="R644" s="9" t="s">
        <v>61</v>
      </c>
      <c r="S644" s="9" t="s">
        <v>2621</v>
      </c>
      <c r="T644" s="9" t="s">
        <v>2622</v>
      </c>
      <c r="U644" s="9" t="s">
        <v>54</v>
      </c>
      <c r="V644" s="9" t="s">
        <v>55</v>
      </c>
      <c r="W644" s="9" t="s">
        <v>55</v>
      </c>
      <c r="X644" s="12" t="s">
        <v>76</v>
      </c>
      <c r="Y644" s="9" t="s">
        <v>77</v>
      </c>
      <c r="Z644" s="13"/>
    </row>
    <row r="645" spans="1:26" ht="32.25" hidden="1" customHeight="1">
      <c r="A645" s="8">
        <v>2311278</v>
      </c>
      <c r="B645" s="9" t="s">
        <v>2623</v>
      </c>
      <c r="C645" s="10">
        <v>45156</v>
      </c>
      <c r="D645" s="9" t="s">
        <v>79</v>
      </c>
      <c r="E645" s="9" t="s">
        <v>89</v>
      </c>
      <c r="F645" s="9" t="s">
        <v>80</v>
      </c>
      <c r="G645" s="9" t="s">
        <v>43</v>
      </c>
      <c r="H645" s="9" t="s">
        <v>44</v>
      </c>
      <c r="I645" s="11" t="s">
        <v>108</v>
      </c>
      <c r="J645" s="9" t="s">
        <v>109</v>
      </c>
      <c r="K645" s="9" t="s">
        <v>47</v>
      </c>
      <c r="L645" s="9" t="s">
        <v>799</v>
      </c>
      <c r="M645" s="9" t="s">
        <v>1490</v>
      </c>
      <c r="N645" s="9" t="s">
        <v>50</v>
      </c>
      <c r="O645" s="9" t="s">
        <v>51</v>
      </c>
      <c r="P645" s="9" t="s">
        <v>112</v>
      </c>
      <c r="Q645" s="9"/>
      <c r="R645" s="9" t="s">
        <v>61</v>
      </c>
      <c r="S645" s="14" t="s">
        <v>2624</v>
      </c>
      <c r="T645" s="9" t="s">
        <v>2625</v>
      </c>
      <c r="U645" s="9" t="s">
        <v>54</v>
      </c>
      <c r="V645" s="9" t="s">
        <v>55</v>
      </c>
      <c r="W645" s="9" t="s">
        <v>115</v>
      </c>
      <c r="X645" s="12" t="s">
        <v>98</v>
      </c>
      <c r="Y645" s="9" t="s">
        <v>99</v>
      </c>
      <c r="Z645" s="13"/>
    </row>
    <row r="646" spans="1:26" ht="32.25" hidden="1" customHeight="1">
      <c r="A646" s="8">
        <v>2311445</v>
      </c>
      <c r="B646" s="9" t="s">
        <v>2626</v>
      </c>
      <c r="C646" s="10">
        <v>45149</v>
      </c>
      <c r="D646" s="9" t="s">
        <v>261</v>
      </c>
      <c r="E646" s="9" t="s">
        <v>89</v>
      </c>
      <c r="F646" s="9" t="s">
        <v>262</v>
      </c>
      <c r="G646" s="9" t="s">
        <v>43</v>
      </c>
      <c r="H646" s="9" t="s">
        <v>44</v>
      </c>
      <c r="I646" s="11" t="s">
        <v>2627</v>
      </c>
      <c r="J646" s="9" t="s">
        <v>2628</v>
      </c>
      <c r="K646" s="9" t="s">
        <v>47</v>
      </c>
      <c r="L646" s="9" t="s">
        <v>162</v>
      </c>
      <c r="M646" s="9" t="s">
        <v>345</v>
      </c>
      <c r="N646" s="9" t="s">
        <v>50</v>
      </c>
      <c r="O646" s="9" t="s">
        <v>51</v>
      </c>
      <c r="P646" s="9"/>
      <c r="Q646" s="9"/>
      <c r="R646" s="9" t="s">
        <v>61</v>
      </c>
      <c r="S646" s="14" t="s">
        <v>2629</v>
      </c>
      <c r="T646" s="9" t="s">
        <v>2630</v>
      </c>
      <c r="U646" s="9" t="s">
        <v>262</v>
      </c>
      <c r="V646" s="9" t="s">
        <v>55</v>
      </c>
      <c r="W646" s="9" t="s">
        <v>55</v>
      </c>
      <c r="X646" s="12" t="s">
        <v>389</v>
      </c>
      <c r="Y646" s="9" t="s">
        <v>390</v>
      </c>
      <c r="Z646" s="13"/>
    </row>
    <row r="647" spans="1:26" ht="32.25" hidden="1" customHeight="1">
      <c r="A647" s="8">
        <v>2309643</v>
      </c>
      <c r="B647" s="9" t="s">
        <v>2631</v>
      </c>
      <c r="C647" s="10">
        <v>45142</v>
      </c>
      <c r="D647" s="9" t="s">
        <v>67</v>
      </c>
      <c r="E647" s="9" t="s">
        <v>295</v>
      </c>
      <c r="F647" s="9" t="s">
        <v>42</v>
      </c>
      <c r="G647" s="9" t="s">
        <v>43</v>
      </c>
      <c r="H647" s="9" t="s">
        <v>44</v>
      </c>
      <c r="I647" s="11" t="s">
        <v>296</v>
      </c>
      <c r="J647" s="9" t="s">
        <v>297</v>
      </c>
      <c r="K647" s="9" t="s">
        <v>47</v>
      </c>
      <c r="L647" s="9" t="s">
        <v>2632</v>
      </c>
      <c r="M647" s="9" t="s">
        <v>2633</v>
      </c>
      <c r="N647" s="9" t="s">
        <v>84</v>
      </c>
      <c r="O647" s="9" t="s">
        <v>51</v>
      </c>
      <c r="P647" s="9"/>
      <c r="Q647" s="9"/>
      <c r="R647" s="9" t="s">
        <v>61</v>
      </c>
      <c r="S647" s="9" t="s">
        <v>2634</v>
      </c>
      <c r="T647" s="9" t="s">
        <v>2635</v>
      </c>
      <c r="U647" s="9" t="s">
        <v>54</v>
      </c>
      <c r="V647" s="9" t="s">
        <v>55</v>
      </c>
      <c r="W647" s="9" t="s">
        <v>55</v>
      </c>
      <c r="X647" s="9" t="s">
        <v>319</v>
      </c>
      <c r="Y647" s="9" t="s">
        <v>320</v>
      </c>
      <c r="Z647" s="13"/>
    </row>
    <row r="648" spans="1:26" ht="32.25" hidden="1" customHeight="1">
      <c r="A648" s="8">
        <v>2304380</v>
      </c>
      <c r="B648" s="9" t="s">
        <v>2636</v>
      </c>
      <c r="C648" s="10">
        <v>45142</v>
      </c>
      <c r="D648" s="9" t="s">
        <v>67</v>
      </c>
      <c r="E648" s="9" t="s">
        <v>89</v>
      </c>
      <c r="F648" s="9" t="s">
        <v>42</v>
      </c>
      <c r="G648" s="9" t="s">
        <v>43</v>
      </c>
      <c r="H648" s="9" t="s">
        <v>44</v>
      </c>
      <c r="I648" s="11" t="s">
        <v>354</v>
      </c>
      <c r="J648" s="9" t="s">
        <v>91</v>
      </c>
      <c r="K648" s="9" t="s">
        <v>47</v>
      </c>
      <c r="L648" s="9" t="s">
        <v>2637</v>
      </c>
      <c r="M648" s="9" t="s">
        <v>2638</v>
      </c>
      <c r="N648" s="9" t="s">
        <v>50</v>
      </c>
      <c r="O648" s="9" t="s">
        <v>51</v>
      </c>
      <c r="P648" s="9" t="s">
        <v>356</v>
      </c>
      <c r="Q648" s="9"/>
      <c r="R648" s="9"/>
      <c r="S648" s="9" t="s">
        <v>2639</v>
      </c>
      <c r="T648" s="9" t="s">
        <v>2640</v>
      </c>
      <c r="U648" s="9" t="s">
        <v>54</v>
      </c>
      <c r="V648" s="9" t="s">
        <v>55</v>
      </c>
      <c r="W648" s="9" t="s">
        <v>55</v>
      </c>
      <c r="X648" s="12"/>
      <c r="Y648" s="9" t="s">
        <v>55</v>
      </c>
      <c r="Z648" s="13"/>
    </row>
    <row r="649" spans="1:26" ht="32.25" hidden="1" customHeight="1">
      <c r="A649" s="8">
        <v>2310785</v>
      </c>
      <c r="B649" s="9" t="s">
        <v>2641</v>
      </c>
      <c r="C649" s="10">
        <v>45149</v>
      </c>
      <c r="D649" s="9" t="s">
        <v>57</v>
      </c>
      <c r="E649" s="9" t="s">
        <v>41</v>
      </c>
      <c r="F649" s="9" t="s">
        <v>42</v>
      </c>
      <c r="G649" s="9" t="s">
        <v>43</v>
      </c>
      <c r="H649" s="9" t="s">
        <v>58</v>
      </c>
      <c r="I649" s="11" t="s">
        <v>129</v>
      </c>
      <c r="J649" s="9" t="s">
        <v>130</v>
      </c>
      <c r="K649" s="9" t="s">
        <v>47</v>
      </c>
      <c r="L649" s="9" t="s">
        <v>156</v>
      </c>
      <c r="M649" s="9"/>
      <c r="N649" s="9" t="s">
        <v>84</v>
      </c>
      <c r="O649" s="9" t="s">
        <v>51</v>
      </c>
      <c r="P649" s="9"/>
      <c r="Q649" s="9"/>
      <c r="R649" s="9"/>
      <c r="S649" s="14" t="s">
        <v>2642</v>
      </c>
      <c r="T649" s="9" t="s">
        <v>2643</v>
      </c>
      <c r="U649" s="9" t="s">
        <v>54</v>
      </c>
      <c r="V649" s="9" t="s">
        <v>55</v>
      </c>
      <c r="W649" s="9" t="s">
        <v>55</v>
      </c>
      <c r="X649" s="12"/>
      <c r="Y649" s="9" t="s">
        <v>55</v>
      </c>
      <c r="Z649" s="13"/>
    </row>
    <row r="650" spans="1:26" ht="32.25" hidden="1" customHeight="1">
      <c r="A650" s="8">
        <v>2309132</v>
      </c>
      <c r="B650" s="9" t="s">
        <v>2644</v>
      </c>
      <c r="C650" s="10">
        <v>45156</v>
      </c>
      <c r="D650" s="9" t="s">
        <v>79</v>
      </c>
      <c r="E650" s="9" t="s">
        <v>41</v>
      </c>
      <c r="F650" s="9" t="s">
        <v>80</v>
      </c>
      <c r="G650" s="9" t="s">
        <v>43</v>
      </c>
      <c r="H650" s="9" t="s">
        <v>44</v>
      </c>
      <c r="I650" s="11" t="s">
        <v>478</v>
      </c>
      <c r="J650" s="9" t="s">
        <v>479</v>
      </c>
      <c r="K650" s="9" t="s">
        <v>47</v>
      </c>
      <c r="L650" s="9" t="s">
        <v>846</v>
      </c>
      <c r="M650" s="9" t="s">
        <v>1081</v>
      </c>
      <c r="N650" s="9" t="s">
        <v>50</v>
      </c>
      <c r="O650" s="9" t="s">
        <v>51</v>
      </c>
      <c r="P650" s="9" t="s">
        <v>482</v>
      </c>
      <c r="Q650" s="9"/>
      <c r="R650" s="9" t="s">
        <v>61</v>
      </c>
      <c r="S650" s="14" t="s">
        <v>2645</v>
      </c>
      <c r="T650" s="9" t="s">
        <v>2646</v>
      </c>
      <c r="U650" s="9" t="s">
        <v>54</v>
      </c>
      <c r="V650" s="9" t="s">
        <v>55</v>
      </c>
      <c r="W650" s="9" t="s">
        <v>55</v>
      </c>
      <c r="X650" s="12" t="s">
        <v>150</v>
      </c>
      <c r="Y650" s="9" t="s">
        <v>151</v>
      </c>
      <c r="Z650" s="13"/>
    </row>
    <row r="651" spans="1:26" ht="32.25" hidden="1" customHeight="1">
      <c r="A651" s="8">
        <v>2307229</v>
      </c>
      <c r="B651" s="9" t="s">
        <v>2647</v>
      </c>
      <c r="C651" s="10">
        <v>45149</v>
      </c>
      <c r="D651" s="9" t="s">
        <v>57</v>
      </c>
      <c r="E651" s="9" t="s">
        <v>295</v>
      </c>
      <c r="F651" s="9" t="s">
        <v>42</v>
      </c>
      <c r="G651" s="9" t="s">
        <v>43</v>
      </c>
      <c r="H651" s="9" t="s">
        <v>58</v>
      </c>
      <c r="I651" s="11" t="s">
        <v>296</v>
      </c>
      <c r="J651" s="9" t="s">
        <v>297</v>
      </c>
      <c r="K651" s="9" t="s">
        <v>47</v>
      </c>
      <c r="L651" s="9" t="s">
        <v>340</v>
      </c>
      <c r="M651" s="9" t="s">
        <v>1297</v>
      </c>
      <c r="N651" s="9" t="s">
        <v>84</v>
      </c>
      <c r="O651" s="9" t="s">
        <v>51</v>
      </c>
      <c r="P651" s="9"/>
      <c r="Q651" s="9"/>
      <c r="R651" s="9" t="s">
        <v>61</v>
      </c>
      <c r="S651" s="14" t="s">
        <v>2648</v>
      </c>
      <c r="T651" s="9" t="s">
        <v>2649</v>
      </c>
      <c r="U651" s="9" t="s">
        <v>54</v>
      </c>
      <c r="V651" s="9" t="s">
        <v>55</v>
      </c>
      <c r="W651" s="9" t="s">
        <v>55</v>
      </c>
      <c r="X651" s="9" t="s">
        <v>319</v>
      </c>
      <c r="Y651" s="9" t="s">
        <v>320</v>
      </c>
      <c r="Z651" s="13"/>
    </row>
    <row r="652" spans="1:26" ht="32.25" hidden="1" customHeight="1">
      <c r="A652" s="8">
        <v>2302500</v>
      </c>
      <c r="B652" s="9" t="s">
        <v>2650</v>
      </c>
      <c r="C652" s="10">
        <v>45149</v>
      </c>
      <c r="D652" s="9" t="s">
        <v>57</v>
      </c>
      <c r="E652" s="9" t="s">
        <v>153</v>
      </c>
      <c r="F652" s="9" t="s">
        <v>42</v>
      </c>
      <c r="G652" s="9" t="s">
        <v>43</v>
      </c>
      <c r="H652" s="9" t="s">
        <v>58</v>
      </c>
      <c r="I652" s="11" t="s">
        <v>154</v>
      </c>
      <c r="J652" s="9" t="s">
        <v>155</v>
      </c>
      <c r="K652" s="9" t="s">
        <v>47</v>
      </c>
      <c r="L652" s="9" t="s">
        <v>156</v>
      </c>
      <c r="M652" s="9"/>
      <c r="N652" s="9" t="s">
        <v>84</v>
      </c>
      <c r="O652" s="9" t="s">
        <v>51</v>
      </c>
      <c r="P652" s="9"/>
      <c r="Q652" s="9"/>
      <c r="R652" s="9"/>
      <c r="S652" s="14" t="s">
        <v>2651</v>
      </c>
      <c r="T652" s="9" t="s">
        <v>2652</v>
      </c>
      <c r="U652" s="9" t="s">
        <v>54</v>
      </c>
      <c r="V652" s="9" t="s">
        <v>55</v>
      </c>
      <c r="W652" s="9" t="s">
        <v>55</v>
      </c>
      <c r="X652" s="12"/>
      <c r="Y652" s="9" t="s">
        <v>55</v>
      </c>
      <c r="Z652" s="13"/>
    </row>
    <row r="653" spans="1:26" ht="32.25" hidden="1" customHeight="1">
      <c r="A653" s="8">
        <v>2307557</v>
      </c>
      <c r="B653" s="9" t="s">
        <v>2653</v>
      </c>
      <c r="C653" s="10">
        <v>45149</v>
      </c>
      <c r="D653" s="9" t="s">
        <v>57</v>
      </c>
      <c r="E653" s="9" t="s">
        <v>295</v>
      </c>
      <c r="F653" s="9" t="s">
        <v>42</v>
      </c>
      <c r="G653" s="9" t="s">
        <v>43</v>
      </c>
      <c r="H653" s="9" t="s">
        <v>58</v>
      </c>
      <c r="I653" s="11" t="s">
        <v>406</v>
      </c>
      <c r="J653" s="9" t="s">
        <v>407</v>
      </c>
      <c r="K653" s="9" t="s">
        <v>47</v>
      </c>
      <c r="L653" s="9" t="s">
        <v>48</v>
      </c>
      <c r="M653" s="9"/>
      <c r="N653" s="9" t="s">
        <v>84</v>
      </c>
      <c r="O653" s="9" t="s">
        <v>51</v>
      </c>
      <c r="P653" s="9"/>
      <c r="Q653" s="9"/>
      <c r="R653" s="9" t="s">
        <v>61</v>
      </c>
      <c r="S653" s="14" t="s">
        <v>2654</v>
      </c>
      <c r="T653" s="9" t="s">
        <v>2655</v>
      </c>
      <c r="U653" s="9" t="s">
        <v>54</v>
      </c>
      <c r="V653" s="9" t="s">
        <v>55</v>
      </c>
      <c r="W653" s="9" t="s">
        <v>55</v>
      </c>
      <c r="X653" s="9" t="s">
        <v>319</v>
      </c>
      <c r="Y653" s="9" t="s">
        <v>320</v>
      </c>
      <c r="Z653" s="13"/>
    </row>
    <row r="654" spans="1:26" ht="32.25" hidden="1" customHeight="1">
      <c r="A654" s="8">
        <v>2300307</v>
      </c>
      <c r="B654" s="9" t="s">
        <v>2656</v>
      </c>
      <c r="C654" s="10">
        <v>45142</v>
      </c>
      <c r="D654" s="9" t="s">
        <v>1850</v>
      </c>
      <c r="E654" s="9" t="s">
        <v>89</v>
      </c>
      <c r="F654" s="9" t="s">
        <v>42</v>
      </c>
      <c r="G654" s="9" t="s">
        <v>43</v>
      </c>
      <c r="H654" s="9" t="s">
        <v>44</v>
      </c>
      <c r="I654" s="11" t="s">
        <v>360</v>
      </c>
      <c r="J654" s="9" t="s">
        <v>102</v>
      </c>
      <c r="K654" s="9" t="s">
        <v>2036</v>
      </c>
      <c r="L654" s="9"/>
      <c r="M654" s="9" t="s">
        <v>2657</v>
      </c>
      <c r="N654" s="9" t="s">
        <v>50</v>
      </c>
      <c r="O654" s="9" t="s">
        <v>187</v>
      </c>
      <c r="P654" s="9" t="s">
        <v>361</v>
      </c>
      <c r="Q654" s="9"/>
      <c r="R654" s="9" t="s">
        <v>61</v>
      </c>
      <c r="S654" s="9" t="s">
        <v>2658</v>
      </c>
      <c r="T654" s="9" t="s">
        <v>2659</v>
      </c>
      <c r="U654" s="9" t="s">
        <v>54</v>
      </c>
      <c r="V654" s="9" t="s">
        <v>276</v>
      </c>
      <c r="W654" s="9" t="s">
        <v>55</v>
      </c>
      <c r="X654" s="12" t="s">
        <v>98</v>
      </c>
      <c r="Y654" s="9" t="s">
        <v>99</v>
      </c>
      <c r="Z654" s="13" t="s">
        <v>240</v>
      </c>
    </row>
    <row r="655" spans="1:26" ht="32.25" hidden="1" customHeight="1">
      <c r="A655" s="8">
        <v>2310759</v>
      </c>
      <c r="B655" s="9" t="s">
        <v>2660</v>
      </c>
      <c r="C655" s="10">
        <v>45142</v>
      </c>
      <c r="D655" s="9" t="s">
        <v>67</v>
      </c>
      <c r="E655" s="9" t="s">
        <v>143</v>
      </c>
      <c r="F655" s="9" t="s">
        <v>42</v>
      </c>
      <c r="G655" s="9" t="s">
        <v>43</v>
      </c>
      <c r="H655" s="9" t="s">
        <v>44</v>
      </c>
      <c r="I655" s="11" t="s">
        <v>219</v>
      </c>
      <c r="J655" s="9" t="s">
        <v>220</v>
      </c>
      <c r="K655" s="9" t="s">
        <v>47</v>
      </c>
      <c r="L655" s="9" t="s">
        <v>2602</v>
      </c>
      <c r="M655" s="9" t="s">
        <v>2661</v>
      </c>
      <c r="N655" s="9" t="s">
        <v>84</v>
      </c>
      <c r="O655" s="9" t="s">
        <v>51</v>
      </c>
      <c r="P655" s="9"/>
      <c r="Q655" s="9"/>
      <c r="R655" s="9" t="s">
        <v>61</v>
      </c>
      <c r="S655" s="9" t="s">
        <v>2662</v>
      </c>
      <c r="T655" s="9" t="s">
        <v>2663</v>
      </c>
      <c r="U655" s="9" t="s">
        <v>54</v>
      </c>
      <c r="V655" s="9" t="s">
        <v>55</v>
      </c>
      <c r="W655" s="9" t="s">
        <v>55</v>
      </c>
      <c r="X655" s="12" t="s">
        <v>150</v>
      </c>
      <c r="Y655" s="9" t="s">
        <v>151</v>
      </c>
      <c r="Z655" s="13" t="s">
        <v>2664</v>
      </c>
    </row>
    <row r="656" spans="1:26" ht="32.25" hidden="1" customHeight="1">
      <c r="A656" s="8">
        <v>2304351</v>
      </c>
      <c r="B656" s="9" t="s">
        <v>2665</v>
      </c>
      <c r="C656" s="10">
        <v>45142</v>
      </c>
      <c r="D656" s="9" t="s">
        <v>67</v>
      </c>
      <c r="E656" s="9" t="s">
        <v>89</v>
      </c>
      <c r="F656" s="9" t="s">
        <v>42</v>
      </c>
      <c r="G656" s="9" t="s">
        <v>43</v>
      </c>
      <c r="H656" s="9" t="s">
        <v>44</v>
      </c>
      <c r="I656" s="11" t="s">
        <v>354</v>
      </c>
      <c r="J656" s="9" t="s">
        <v>91</v>
      </c>
      <c r="K656" s="9" t="s">
        <v>47</v>
      </c>
      <c r="L656" s="9" t="s">
        <v>569</v>
      </c>
      <c r="M656" s="9" t="s">
        <v>975</v>
      </c>
      <c r="N656" s="9" t="s">
        <v>50</v>
      </c>
      <c r="O656" s="9" t="s">
        <v>51</v>
      </c>
      <c r="P656" s="9" t="s">
        <v>356</v>
      </c>
      <c r="Q656" s="9"/>
      <c r="R656" s="9" t="s">
        <v>61</v>
      </c>
      <c r="S656" s="9" t="s">
        <v>2666</v>
      </c>
      <c r="T656" s="9" t="s">
        <v>2667</v>
      </c>
      <c r="U656" s="9" t="s">
        <v>54</v>
      </c>
      <c r="V656" s="9" t="s">
        <v>55</v>
      </c>
      <c r="W656" s="9" t="s">
        <v>55</v>
      </c>
      <c r="X656" s="12" t="s">
        <v>98</v>
      </c>
      <c r="Y656" s="9" t="s">
        <v>99</v>
      </c>
      <c r="Z656" s="13"/>
    </row>
    <row r="657" spans="1:26" ht="32.25" hidden="1" customHeight="1">
      <c r="A657" s="8">
        <v>2302250</v>
      </c>
      <c r="B657" s="9" t="s">
        <v>2668</v>
      </c>
      <c r="C657" s="10">
        <v>45149</v>
      </c>
      <c r="D657" s="9" t="s">
        <v>57</v>
      </c>
      <c r="E657" s="9" t="s">
        <v>41</v>
      </c>
      <c r="F657" s="9" t="s">
        <v>42</v>
      </c>
      <c r="G657" s="9" t="s">
        <v>43</v>
      </c>
      <c r="H657" s="9" t="s">
        <v>58</v>
      </c>
      <c r="I657" s="11" t="s">
        <v>45</v>
      </c>
      <c r="J657" s="9" t="s">
        <v>46</v>
      </c>
      <c r="K657" s="9" t="s">
        <v>47</v>
      </c>
      <c r="L657" s="9" t="s">
        <v>156</v>
      </c>
      <c r="M657" s="9"/>
      <c r="N657" s="9" t="s">
        <v>50</v>
      </c>
      <c r="O657" s="9" t="s">
        <v>51</v>
      </c>
      <c r="P657" s="9"/>
      <c r="Q657" s="9"/>
      <c r="R657" s="9"/>
      <c r="S657" s="14" t="s">
        <v>2669</v>
      </c>
      <c r="T657" s="9" t="s">
        <v>2670</v>
      </c>
      <c r="U657" s="9" t="s">
        <v>54</v>
      </c>
      <c r="V657" s="9" t="s">
        <v>55</v>
      </c>
      <c r="W657" s="9" t="s">
        <v>55</v>
      </c>
      <c r="X657" s="12"/>
      <c r="Y657" s="9" t="s">
        <v>55</v>
      </c>
      <c r="Z657" s="13"/>
    </row>
    <row r="658" spans="1:26" ht="32.25" hidden="1" customHeight="1">
      <c r="A658" s="8">
        <v>2303083</v>
      </c>
      <c r="B658" s="9" t="s">
        <v>2671</v>
      </c>
      <c r="C658" s="10">
        <v>45149</v>
      </c>
      <c r="D658" s="9" t="s">
        <v>57</v>
      </c>
      <c r="E658" s="9" t="s">
        <v>41</v>
      </c>
      <c r="F658" s="9" t="s">
        <v>42</v>
      </c>
      <c r="G658" s="9" t="s">
        <v>43</v>
      </c>
      <c r="H658" s="9" t="s">
        <v>58</v>
      </c>
      <c r="I658" s="11" t="s">
        <v>199</v>
      </c>
      <c r="J658" s="9" t="s">
        <v>200</v>
      </c>
      <c r="K658" s="9" t="s">
        <v>47</v>
      </c>
      <c r="L658" s="9" t="s">
        <v>1760</v>
      </c>
      <c r="M658" s="9" t="s">
        <v>1761</v>
      </c>
      <c r="N658" s="9" t="s">
        <v>84</v>
      </c>
      <c r="O658" s="9" t="s">
        <v>51</v>
      </c>
      <c r="P658" s="9"/>
      <c r="Q658" s="9"/>
      <c r="R658" s="9"/>
      <c r="S658" s="14" t="s">
        <v>2672</v>
      </c>
      <c r="T658" s="9" t="s">
        <v>2673</v>
      </c>
      <c r="U658" s="9" t="s">
        <v>54</v>
      </c>
      <c r="V658" s="9" t="s">
        <v>55</v>
      </c>
      <c r="W658" s="9" t="s">
        <v>55</v>
      </c>
      <c r="X658" s="12"/>
      <c r="Y658" s="9" t="s">
        <v>55</v>
      </c>
      <c r="Z658" s="13"/>
    </row>
    <row r="659" spans="1:26" ht="32.25" hidden="1" customHeight="1">
      <c r="A659" s="8">
        <v>2315157</v>
      </c>
      <c r="B659" s="9" t="s">
        <v>2674</v>
      </c>
      <c r="C659" s="10">
        <v>45152</v>
      </c>
      <c r="D659" s="9" t="s">
        <v>755</v>
      </c>
      <c r="E659" s="9" t="s">
        <v>41</v>
      </c>
      <c r="F659" s="9" t="s">
        <v>262</v>
      </c>
      <c r="G659" s="9" t="s">
        <v>43</v>
      </c>
      <c r="H659" s="9" t="s">
        <v>44</v>
      </c>
      <c r="I659" s="11" t="s">
        <v>1553</v>
      </c>
      <c r="J659" s="9" t="s">
        <v>1554</v>
      </c>
      <c r="K659" s="9" t="s">
        <v>271</v>
      </c>
      <c r="L659" s="9"/>
      <c r="M659" s="9"/>
      <c r="N659" s="9" t="s">
        <v>50</v>
      </c>
      <c r="O659" s="9" t="s">
        <v>187</v>
      </c>
      <c r="P659" s="9"/>
      <c r="Q659" s="9"/>
      <c r="R659" s="9" t="s">
        <v>61</v>
      </c>
      <c r="S659" s="14" t="s">
        <v>2675</v>
      </c>
      <c r="T659" s="9" t="s">
        <v>2676</v>
      </c>
      <c r="U659" s="9" t="s">
        <v>262</v>
      </c>
      <c r="V659" s="9" t="s">
        <v>331</v>
      </c>
      <c r="W659" s="9" t="s">
        <v>115</v>
      </c>
      <c r="X659" s="12" t="s">
        <v>389</v>
      </c>
      <c r="Y659" s="9" t="s">
        <v>390</v>
      </c>
      <c r="Z659" s="13"/>
    </row>
    <row r="660" spans="1:26" ht="32.25" hidden="1" customHeight="1">
      <c r="A660" s="8">
        <v>2306435</v>
      </c>
      <c r="B660" s="9" t="s">
        <v>2677</v>
      </c>
      <c r="C660" s="10">
        <v>45142</v>
      </c>
      <c r="D660" s="9" t="s">
        <v>67</v>
      </c>
      <c r="E660" s="9" t="s">
        <v>68</v>
      </c>
      <c r="F660" s="9" t="s">
        <v>135</v>
      </c>
      <c r="G660" s="9" t="s">
        <v>43</v>
      </c>
      <c r="H660" s="9" t="s">
        <v>44</v>
      </c>
      <c r="I660" s="11" t="s">
        <v>136</v>
      </c>
      <c r="J660" s="9" t="s">
        <v>137</v>
      </c>
      <c r="K660" s="9" t="s">
        <v>47</v>
      </c>
      <c r="L660" s="9" t="s">
        <v>138</v>
      </c>
      <c r="M660" s="9" t="s">
        <v>1929</v>
      </c>
      <c r="N660" s="9" t="s">
        <v>50</v>
      </c>
      <c r="O660" s="9" t="s">
        <v>51</v>
      </c>
      <c r="P660" s="9"/>
      <c r="Q660" s="9"/>
      <c r="R660" s="9" t="s">
        <v>61</v>
      </c>
      <c r="S660" s="9" t="s">
        <v>2678</v>
      </c>
      <c r="T660" s="9" t="s">
        <v>2679</v>
      </c>
      <c r="U660" s="9" t="s">
        <v>54</v>
      </c>
      <c r="V660" s="9" t="s">
        <v>55</v>
      </c>
      <c r="W660" s="9" t="s">
        <v>55</v>
      </c>
      <c r="X660" s="12" t="s">
        <v>76</v>
      </c>
      <c r="Y660" s="9" t="s">
        <v>77</v>
      </c>
      <c r="Z660" s="13"/>
    </row>
    <row r="661" spans="1:26" ht="32.25" hidden="1" customHeight="1">
      <c r="A661" s="8">
        <v>2312161</v>
      </c>
      <c r="B661" s="9" t="s">
        <v>2680</v>
      </c>
      <c r="C661" s="10">
        <v>45142</v>
      </c>
      <c r="D661" s="9" t="s">
        <v>67</v>
      </c>
      <c r="E661" s="9" t="s">
        <v>143</v>
      </c>
      <c r="F661" s="9" t="s">
        <v>42</v>
      </c>
      <c r="G661" s="9" t="s">
        <v>43</v>
      </c>
      <c r="H661" s="9" t="s">
        <v>44</v>
      </c>
      <c r="I661" s="11" t="s">
        <v>144</v>
      </c>
      <c r="J661" s="9" t="s">
        <v>145</v>
      </c>
      <c r="K661" s="9" t="s">
        <v>47</v>
      </c>
      <c r="L661" s="9" t="s">
        <v>174</v>
      </c>
      <c r="M661" s="9" t="s">
        <v>2681</v>
      </c>
      <c r="N661" s="9" t="s">
        <v>50</v>
      </c>
      <c r="O661" s="9" t="s">
        <v>51</v>
      </c>
      <c r="P661" s="9" t="s">
        <v>147</v>
      </c>
      <c r="Q661" s="9"/>
      <c r="R661" s="9" t="s">
        <v>61</v>
      </c>
      <c r="S661" s="9" t="s">
        <v>2682</v>
      </c>
      <c r="T661" s="9" t="s">
        <v>2683</v>
      </c>
      <c r="U661" s="9" t="s">
        <v>54</v>
      </c>
      <c r="V661" s="9" t="s">
        <v>55</v>
      </c>
      <c r="W661" s="9" t="s">
        <v>55</v>
      </c>
      <c r="X661" s="12" t="s">
        <v>150</v>
      </c>
      <c r="Y661" s="9" t="s">
        <v>151</v>
      </c>
      <c r="Z661" s="13"/>
    </row>
    <row r="662" spans="1:26" ht="32.25" hidden="1" customHeight="1">
      <c r="A662" s="8">
        <v>2302092</v>
      </c>
      <c r="B662" s="9" t="s">
        <v>2684</v>
      </c>
      <c r="C662" s="10">
        <v>45142</v>
      </c>
      <c r="D662" s="9" t="s">
        <v>67</v>
      </c>
      <c r="E662" s="9" t="s">
        <v>89</v>
      </c>
      <c r="F662" s="9" t="s">
        <v>42</v>
      </c>
      <c r="G662" s="9" t="s">
        <v>43</v>
      </c>
      <c r="H662" s="9" t="s">
        <v>44</v>
      </c>
      <c r="I662" s="11" t="s">
        <v>354</v>
      </c>
      <c r="J662" s="9" t="s">
        <v>91</v>
      </c>
      <c r="K662" s="9" t="s">
        <v>47</v>
      </c>
      <c r="L662" s="9" t="s">
        <v>174</v>
      </c>
      <c r="M662" s="9" t="s">
        <v>1190</v>
      </c>
      <c r="N662" s="9" t="s">
        <v>50</v>
      </c>
      <c r="O662" s="9" t="s">
        <v>51</v>
      </c>
      <c r="P662" s="9" t="s">
        <v>356</v>
      </c>
      <c r="Q662" s="9"/>
      <c r="R662" s="9" t="s">
        <v>61</v>
      </c>
      <c r="S662" s="9" t="s">
        <v>2685</v>
      </c>
      <c r="T662" s="9" t="s">
        <v>2686</v>
      </c>
      <c r="U662" s="9" t="s">
        <v>54</v>
      </c>
      <c r="V662" s="9" t="s">
        <v>55</v>
      </c>
      <c r="W662" s="9" t="s">
        <v>55</v>
      </c>
      <c r="X662" s="12" t="s">
        <v>98</v>
      </c>
      <c r="Y662" s="9" t="s">
        <v>99</v>
      </c>
      <c r="Z662" s="13"/>
    </row>
    <row r="663" spans="1:26" ht="32.25" hidden="1" customHeight="1">
      <c r="A663" s="8">
        <v>2303509</v>
      </c>
      <c r="B663" s="9" t="s">
        <v>2687</v>
      </c>
      <c r="C663" s="10">
        <v>45156</v>
      </c>
      <c r="D663" s="9" t="s">
        <v>79</v>
      </c>
      <c r="E663" s="9" t="s">
        <v>41</v>
      </c>
      <c r="F663" s="9" t="s">
        <v>80</v>
      </c>
      <c r="G663" s="9" t="s">
        <v>43</v>
      </c>
      <c r="H663" s="9" t="s">
        <v>44</v>
      </c>
      <c r="I663" s="11" t="s">
        <v>81</v>
      </c>
      <c r="J663" s="9" t="s">
        <v>46</v>
      </c>
      <c r="K663" s="9" t="s">
        <v>47</v>
      </c>
      <c r="L663" s="9" t="s">
        <v>1227</v>
      </c>
      <c r="M663" s="9" t="s">
        <v>1820</v>
      </c>
      <c r="N663" s="9" t="s">
        <v>50</v>
      </c>
      <c r="O663" s="9" t="s">
        <v>51</v>
      </c>
      <c r="P663" s="9" t="s">
        <v>582</v>
      </c>
      <c r="Q663" s="9"/>
      <c r="R663" s="9" t="s">
        <v>61</v>
      </c>
      <c r="S663" s="14" t="s">
        <v>2688</v>
      </c>
      <c r="T663" s="9" t="s">
        <v>2689</v>
      </c>
      <c r="U663" s="9" t="s">
        <v>54</v>
      </c>
      <c r="V663" s="9" t="s">
        <v>331</v>
      </c>
      <c r="W663" s="9" t="s">
        <v>115</v>
      </c>
      <c r="X663" s="9" t="s">
        <v>64</v>
      </c>
      <c r="Y663" s="9" t="s">
        <v>65</v>
      </c>
      <c r="Z663" s="13"/>
    </row>
    <row r="664" spans="1:26" ht="32.25" hidden="1" customHeight="1">
      <c r="A664" s="8">
        <v>2300685</v>
      </c>
      <c r="B664" s="9" t="s">
        <v>2690</v>
      </c>
      <c r="C664" s="10">
        <v>45156</v>
      </c>
      <c r="D664" s="9" t="s">
        <v>565</v>
      </c>
      <c r="E664" s="9" t="s">
        <v>143</v>
      </c>
      <c r="F664" s="9" t="s">
        <v>42</v>
      </c>
      <c r="G664" s="9" t="s">
        <v>43</v>
      </c>
      <c r="H664" s="9" t="s">
        <v>58</v>
      </c>
      <c r="I664" s="11" t="s">
        <v>144</v>
      </c>
      <c r="J664" s="9" t="s">
        <v>145</v>
      </c>
      <c r="K664" s="9" t="s">
        <v>47</v>
      </c>
      <c r="L664" s="9" t="s">
        <v>156</v>
      </c>
      <c r="M664" s="9"/>
      <c r="N664" s="9" t="s">
        <v>50</v>
      </c>
      <c r="O664" s="9" t="s">
        <v>51</v>
      </c>
      <c r="P664" s="9" t="s">
        <v>147</v>
      </c>
      <c r="Q664" s="9"/>
      <c r="R664" s="9"/>
      <c r="S664" s="14" t="s">
        <v>2691</v>
      </c>
      <c r="T664" s="9" t="s">
        <v>2692</v>
      </c>
      <c r="U664" s="9" t="s">
        <v>54</v>
      </c>
      <c r="V664" s="9" t="s">
        <v>55</v>
      </c>
      <c r="W664" s="9" t="s">
        <v>55</v>
      </c>
      <c r="X664" s="12"/>
      <c r="Y664" s="9" t="s">
        <v>55</v>
      </c>
      <c r="Z664" s="13"/>
    </row>
    <row r="665" spans="1:26" ht="32.25" hidden="1" customHeight="1">
      <c r="A665" s="8">
        <v>2313016</v>
      </c>
      <c r="B665" s="9" t="s">
        <v>2693</v>
      </c>
      <c r="C665" s="10">
        <v>45156</v>
      </c>
      <c r="D665" s="9" t="s">
        <v>79</v>
      </c>
      <c r="E665" s="9" t="s">
        <v>41</v>
      </c>
      <c r="F665" s="9" t="s">
        <v>80</v>
      </c>
      <c r="G665" s="9" t="s">
        <v>43</v>
      </c>
      <c r="H665" s="9" t="s">
        <v>44</v>
      </c>
      <c r="I665" s="11" t="s">
        <v>233</v>
      </c>
      <c r="J665" s="9" t="s">
        <v>200</v>
      </c>
      <c r="K665" s="9" t="s">
        <v>47</v>
      </c>
      <c r="L665" s="9" t="s">
        <v>437</v>
      </c>
      <c r="M665" s="9" t="s">
        <v>1882</v>
      </c>
      <c r="N665" s="9" t="s">
        <v>50</v>
      </c>
      <c r="O665" s="9" t="s">
        <v>51</v>
      </c>
      <c r="P665" s="9" t="s">
        <v>236</v>
      </c>
      <c r="Q665" s="9"/>
      <c r="R665" s="9" t="s">
        <v>61</v>
      </c>
      <c r="S665" s="14" t="s">
        <v>2694</v>
      </c>
      <c r="T665" s="9" t="s">
        <v>2695</v>
      </c>
      <c r="U665" s="9" t="s">
        <v>54</v>
      </c>
      <c r="V665" s="9" t="s">
        <v>55</v>
      </c>
      <c r="W665" s="9" t="s">
        <v>55</v>
      </c>
      <c r="X665" s="9" t="s">
        <v>64</v>
      </c>
      <c r="Y665" s="9" t="s">
        <v>65</v>
      </c>
      <c r="Z665" s="13"/>
    </row>
    <row r="666" spans="1:26" ht="32.25" hidden="1" customHeight="1">
      <c r="A666" s="8">
        <v>2314747</v>
      </c>
      <c r="B666" s="9" t="s">
        <v>2696</v>
      </c>
      <c r="C666" s="10">
        <v>45156</v>
      </c>
      <c r="D666" s="9" t="s">
        <v>79</v>
      </c>
      <c r="E666" s="9" t="s">
        <v>143</v>
      </c>
      <c r="F666" s="9" t="s">
        <v>80</v>
      </c>
      <c r="G666" s="9" t="s">
        <v>43</v>
      </c>
      <c r="H666" s="9" t="s">
        <v>44</v>
      </c>
      <c r="I666" s="11" t="s">
        <v>326</v>
      </c>
      <c r="J666" s="9" t="s">
        <v>327</v>
      </c>
      <c r="K666" s="9" t="s">
        <v>47</v>
      </c>
      <c r="L666" s="9" t="s">
        <v>167</v>
      </c>
      <c r="M666" s="9" t="s">
        <v>168</v>
      </c>
      <c r="N666" s="9" t="s">
        <v>50</v>
      </c>
      <c r="O666" s="9" t="s">
        <v>51</v>
      </c>
      <c r="P666" s="9" t="s">
        <v>953</v>
      </c>
      <c r="Q666" s="9"/>
      <c r="R666" s="9" t="s">
        <v>61</v>
      </c>
      <c r="S666" s="14" t="s">
        <v>2697</v>
      </c>
      <c r="T666" s="9" t="s">
        <v>2698</v>
      </c>
      <c r="U666" s="9" t="s">
        <v>54</v>
      </c>
      <c r="V666" s="9" t="s">
        <v>55</v>
      </c>
      <c r="W666" s="9" t="s">
        <v>55</v>
      </c>
      <c r="X666" s="12" t="s">
        <v>150</v>
      </c>
      <c r="Y666" s="9" t="s">
        <v>151</v>
      </c>
      <c r="Z666" s="13"/>
    </row>
    <row r="667" spans="1:26" ht="32.25" hidden="1" customHeight="1">
      <c r="A667" s="8">
        <v>2307376</v>
      </c>
      <c r="B667" s="9" t="s">
        <v>2699</v>
      </c>
      <c r="C667" s="10">
        <v>45156</v>
      </c>
      <c r="D667" s="9" t="s">
        <v>79</v>
      </c>
      <c r="E667" s="9" t="s">
        <v>89</v>
      </c>
      <c r="F667" s="9" t="s">
        <v>80</v>
      </c>
      <c r="G667" s="9" t="s">
        <v>43</v>
      </c>
      <c r="H667" s="9" t="s">
        <v>44</v>
      </c>
      <c r="I667" s="11" t="s">
        <v>101</v>
      </c>
      <c r="J667" s="9" t="s">
        <v>102</v>
      </c>
      <c r="K667" s="9" t="s">
        <v>47</v>
      </c>
      <c r="L667" s="9" t="s">
        <v>713</v>
      </c>
      <c r="M667" s="9" t="s">
        <v>714</v>
      </c>
      <c r="N667" s="9" t="s">
        <v>50</v>
      </c>
      <c r="O667" s="9" t="s">
        <v>51</v>
      </c>
      <c r="P667" s="9" t="s">
        <v>715</v>
      </c>
      <c r="Q667" s="9"/>
      <c r="R667" s="9"/>
      <c r="S667" s="14" t="s">
        <v>2700</v>
      </c>
      <c r="T667" s="9" t="s">
        <v>2701</v>
      </c>
      <c r="U667" s="9" t="s">
        <v>54</v>
      </c>
      <c r="V667" s="9" t="s">
        <v>55</v>
      </c>
      <c r="W667" s="9" t="s">
        <v>55</v>
      </c>
      <c r="X667" s="12"/>
      <c r="Y667" s="9" t="s">
        <v>55</v>
      </c>
      <c r="Z667" s="13"/>
    </row>
    <row r="668" spans="1:26" ht="32.25" hidden="1" customHeight="1">
      <c r="A668" s="8">
        <v>2309083</v>
      </c>
      <c r="B668" s="9" t="s">
        <v>2702</v>
      </c>
      <c r="C668" s="10">
        <v>45156</v>
      </c>
      <c r="D668" s="9" t="s">
        <v>79</v>
      </c>
      <c r="E668" s="9" t="s">
        <v>143</v>
      </c>
      <c r="F668" s="9" t="s">
        <v>80</v>
      </c>
      <c r="G668" s="9" t="s">
        <v>43</v>
      </c>
      <c r="H668" s="9" t="s">
        <v>44</v>
      </c>
      <c r="I668" s="11" t="s">
        <v>326</v>
      </c>
      <c r="J668" s="9" t="s">
        <v>327</v>
      </c>
      <c r="K668" s="9" t="s">
        <v>47</v>
      </c>
      <c r="L668" s="9" t="s">
        <v>290</v>
      </c>
      <c r="M668" s="9" t="s">
        <v>2703</v>
      </c>
      <c r="N668" s="9" t="s">
        <v>84</v>
      </c>
      <c r="O668" s="9" t="s">
        <v>51</v>
      </c>
      <c r="P668" s="9" t="s">
        <v>1238</v>
      </c>
      <c r="Q668" s="9"/>
      <c r="R668" s="9"/>
      <c r="S668" s="14" t="s">
        <v>2704</v>
      </c>
      <c r="T668" s="9" t="s">
        <v>2705</v>
      </c>
      <c r="U668" s="9" t="s">
        <v>54</v>
      </c>
      <c r="V668" s="9" t="s">
        <v>55</v>
      </c>
      <c r="W668" s="9" t="s">
        <v>115</v>
      </c>
      <c r="X668" s="12"/>
      <c r="Y668" s="9" t="s">
        <v>55</v>
      </c>
      <c r="Z668" s="13"/>
    </row>
    <row r="669" spans="1:26" ht="32.25" hidden="1" customHeight="1">
      <c r="A669" s="8">
        <v>2315393</v>
      </c>
      <c r="B669" s="9" t="s">
        <v>2706</v>
      </c>
      <c r="C669" s="10">
        <v>45152</v>
      </c>
      <c r="D669" s="9" t="s">
        <v>755</v>
      </c>
      <c r="E669" s="9" t="s">
        <v>41</v>
      </c>
      <c r="F669" s="9" t="s">
        <v>262</v>
      </c>
      <c r="G669" s="9" t="s">
        <v>43</v>
      </c>
      <c r="H669" s="9" t="s">
        <v>44</v>
      </c>
      <c r="I669" s="11" t="s">
        <v>1553</v>
      </c>
      <c r="J669" s="9" t="s">
        <v>1554</v>
      </c>
      <c r="K669" s="9" t="s">
        <v>2707</v>
      </c>
      <c r="L669" s="9"/>
      <c r="M669" s="9" t="s">
        <v>2708</v>
      </c>
      <c r="N669" s="9" t="s">
        <v>84</v>
      </c>
      <c r="O669" s="9" t="s">
        <v>187</v>
      </c>
      <c r="P669" s="9"/>
      <c r="Q669" s="9"/>
      <c r="R669" s="9" t="s">
        <v>61</v>
      </c>
      <c r="S669" s="14" t="s">
        <v>2709</v>
      </c>
      <c r="T669" s="9" t="s">
        <v>2710</v>
      </c>
      <c r="U669" s="9" t="s">
        <v>262</v>
      </c>
      <c r="V669" s="9" t="s">
        <v>55</v>
      </c>
      <c r="W669" s="9" t="s">
        <v>115</v>
      </c>
      <c r="X669" s="12" t="s">
        <v>389</v>
      </c>
      <c r="Y669" s="9" t="s">
        <v>390</v>
      </c>
      <c r="Z669" s="13"/>
    </row>
    <row r="670" spans="1:26" ht="32.25" hidden="1" customHeight="1">
      <c r="A670" s="8">
        <v>2305225</v>
      </c>
      <c r="B670" s="9" t="s">
        <v>2711</v>
      </c>
      <c r="C670" s="10">
        <v>45156</v>
      </c>
      <c r="D670" s="9" t="s">
        <v>79</v>
      </c>
      <c r="E670" s="9" t="s">
        <v>41</v>
      </c>
      <c r="F670" s="9" t="s">
        <v>80</v>
      </c>
      <c r="G670" s="9" t="s">
        <v>43</v>
      </c>
      <c r="H670" s="9" t="s">
        <v>44</v>
      </c>
      <c r="I670" s="11" t="s">
        <v>527</v>
      </c>
      <c r="J670" s="9" t="s">
        <v>130</v>
      </c>
      <c r="K670" s="9" t="s">
        <v>47</v>
      </c>
      <c r="L670" s="9" t="s">
        <v>156</v>
      </c>
      <c r="M670" s="9"/>
      <c r="N670" s="9" t="s">
        <v>84</v>
      </c>
      <c r="O670" s="9" t="s">
        <v>51</v>
      </c>
      <c r="P670" s="9" t="s">
        <v>529</v>
      </c>
      <c r="Q670" s="9"/>
      <c r="R670" s="9"/>
      <c r="S670" s="14" t="s">
        <v>2712</v>
      </c>
      <c r="T670" s="9" t="s">
        <v>2713</v>
      </c>
      <c r="U670" s="9" t="s">
        <v>54</v>
      </c>
      <c r="V670" s="9"/>
      <c r="W670" s="9" t="s">
        <v>115</v>
      </c>
      <c r="X670" s="12"/>
      <c r="Y670" s="9" t="s">
        <v>55</v>
      </c>
      <c r="Z670" s="13"/>
    </row>
    <row r="671" spans="1:26" ht="32.25" hidden="1" customHeight="1">
      <c r="A671" s="8">
        <v>2314587</v>
      </c>
      <c r="B671" s="9" t="s">
        <v>2714</v>
      </c>
      <c r="C671" s="10">
        <v>45156</v>
      </c>
      <c r="D671" s="9" t="s">
        <v>79</v>
      </c>
      <c r="E671" s="9" t="s">
        <v>89</v>
      </c>
      <c r="F671" s="9" t="s">
        <v>80</v>
      </c>
      <c r="G671" s="9" t="s">
        <v>43</v>
      </c>
      <c r="H671" s="9" t="s">
        <v>44</v>
      </c>
      <c r="I671" s="11" t="s">
        <v>101</v>
      </c>
      <c r="J671" s="9" t="s">
        <v>102</v>
      </c>
      <c r="K671" s="9" t="s">
        <v>47</v>
      </c>
      <c r="L671" s="9" t="s">
        <v>1040</v>
      </c>
      <c r="M671" s="9" t="s">
        <v>1041</v>
      </c>
      <c r="N671" s="9" t="s">
        <v>50</v>
      </c>
      <c r="O671" s="9" t="s">
        <v>51</v>
      </c>
      <c r="P671" s="9" t="s">
        <v>447</v>
      </c>
      <c r="Q671" s="9"/>
      <c r="R671" s="9"/>
      <c r="S671" s="14" t="s">
        <v>2715</v>
      </c>
      <c r="T671" s="9" t="s">
        <v>2716</v>
      </c>
      <c r="U671" s="9" t="s">
        <v>54</v>
      </c>
      <c r="V671" s="9" t="s">
        <v>55</v>
      </c>
      <c r="W671" s="9" t="s">
        <v>55</v>
      </c>
      <c r="X671" s="12"/>
      <c r="Y671" s="9" t="s">
        <v>55</v>
      </c>
      <c r="Z671" s="13"/>
    </row>
    <row r="672" spans="1:26" ht="32.25" hidden="1" customHeight="1">
      <c r="A672" s="8">
        <v>2315433</v>
      </c>
      <c r="B672" s="9" t="s">
        <v>2717</v>
      </c>
      <c r="C672" s="10">
        <v>45152</v>
      </c>
      <c r="D672" s="9" t="s">
        <v>185</v>
      </c>
      <c r="E672" s="9" t="s">
        <v>153</v>
      </c>
      <c r="F672" s="9" t="s">
        <v>42</v>
      </c>
      <c r="G672" s="9" t="s">
        <v>43</v>
      </c>
      <c r="H672" s="9" t="s">
        <v>44</v>
      </c>
      <c r="I672" s="11" t="s">
        <v>154</v>
      </c>
      <c r="J672" s="9" t="s">
        <v>155</v>
      </c>
      <c r="K672" s="9" t="s">
        <v>416</v>
      </c>
      <c r="L672" s="9" t="s">
        <v>2718</v>
      </c>
      <c r="M672" s="9" t="s">
        <v>2719</v>
      </c>
      <c r="N672" s="9" t="s">
        <v>84</v>
      </c>
      <c r="O672" s="9" t="s">
        <v>187</v>
      </c>
      <c r="P672" s="9"/>
      <c r="Q672" s="9"/>
      <c r="R672" s="9" t="s">
        <v>61</v>
      </c>
      <c r="S672" s="14" t="s">
        <v>2720</v>
      </c>
      <c r="T672" s="9" t="s">
        <v>2721</v>
      </c>
      <c r="U672" s="9" t="s">
        <v>54</v>
      </c>
      <c r="V672" s="9" t="s">
        <v>55</v>
      </c>
      <c r="W672" s="9" t="s">
        <v>55</v>
      </c>
      <c r="X672" s="12" t="s">
        <v>171</v>
      </c>
      <c r="Y672" s="9" t="s">
        <v>172</v>
      </c>
      <c r="Z672" s="13"/>
    </row>
    <row r="673" spans="1:26" ht="32.25" hidden="1" customHeight="1">
      <c r="A673" s="8">
        <v>2313574</v>
      </c>
      <c r="B673" s="9" t="s">
        <v>2722</v>
      </c>
      <c r="C673" s="10">
        <v>45142</v>
      </c>
      <c r="D673" s="9" t="s">
        <v>67</v>
      </c>
      <c r="E673" s="9" t="s">
        <v>143</v>
      </c>
      <c r="F673" s="9" t="s">
        <v>42</v>
      </c>
      <c r="G673" s="9" t="s">
        <v>43</v>
      </c>
      <c r="H673" s="9" t="s">
        <v>44</v>
      </c>
      <c r="I673" s="11" t="s">
        <v>334</v>
      </c>
      <c r="J673" s="9" t="s">
        <v>327</v>
      </c>
      <c r="K673" s="9" t="s">
        <v>47</v>
      </c>
      <c r="L673" s="9" t="s">
        <v>799</v>
      </c>
      <c r="M673" s="9" t="s">
        <v>1691</v>
      </c>
      <c r="N673" s="9" t="s">
        <v>84</v>
      </c>
      <c r="O673" s="9" t="s">
        <v>51</v>
      </c>
      <c r="P673" s="9" t="s">
        <v>336</v>
      </c>
      <c r="Q673" s="9"/>
      <c r="R673" s="9" t="s">
        <v>61</v>
      </c>
      <c r="S673" s="9" t="s">
        <v>2723</v>
      </c>
      <c r="T673" s="9" t="s">
        <v>2724</v>
      </c>
      <c r="U673" s="9" t="s">
        <v>54</v>
      </c>
      <c r="V673" s="9" t="s">
        <v>55</v>
      </c>
      <c r="W673" s="9" t="s">
        <v>55</v>
      </c>
      <c r="X673" s="12" t="s">
        <v>150</v>
      </c>
      <c r="Y673" s="9" t="s">
        <v>151</v>
      </c>
      <c r="Z673" s="13"/>
    </row>
    <row r="674" spans="1:26" ht="32.25" hidden="1" customHeight="1">
      <c r="A674" s="8">
        <v>2311149</v>
      </c>
      <c r="B674" s="9" t="s">
        <v>2725</v>
      </c>
      <c r="C674" s="10">
        <v>45149</v>
      </c>
      <c r="D674" s="9" t="s">
        <v>57</v>
      </c>
      <c r="E674" s="9" t="s">
        <v>41</v>
      </c>
      <c r="F674" s="9" t="s">
        <v>42</v>
      </c>
      <c r="G674" s="9" t="s">
        <v>43</v>
      </c>
      <c r="H674" s="9" t="s">
        <v>58</v>
      </c>
      <c r="I674" s="11" t="s">
        <v>199</v>
      </c>
      <c r="J674" s="9" t="s">
        <v>200</v>
      </c>
      <c r="K674" s="9" t="s">
        <v>47</v>
      </c>
      <c r="L674" s="9" t="s">
        <v>517</v>
      </c>
      <c r="M674" s="9" t="s">
        <v>1413</v>
      </c>
      <c r="N674" s="9" t="s">
        <v>84</v>
      </c>
      <c r="O674" s="9" t="s">
        <v>51</v>
      </c>
      <c r="P674" s="9"/>
      <c r="Q674" s="9"/>
      <c r="R674" s="9" t="s">
        <v>61</v>
      </c>
      <c r="S674" s="14" t="s">
        <v>2726</v>
      </c>
      <c r="T674" s="9" t="s">
        <v>2727</v>
      </c>
      <c r="U674" s="9" t="s">
        <v>54</v>
      </c>
      <c r="V674" s="9" t="s">
        <v>55</v>
      </c>
      <c r="W674" s="9" t="s">
        <v>55</v>
      </c>
      <c r="X674" s="12" t="s">
        <v>196</v>
      </c>
      <c r="Y674" s="9" t="s">
        <v>197</v>
      </c>
      <c r="Z674" s="13"/>
    </row>
    <row r="675" spans="1:26" ht="32.25" hidden="1" customHeight="1">
      <c r="A675" s="8">
        <v>2303864</v>
      </c>
      <c r="B675" s="9" t="s">
        <v>2728</v>
      </c>
      <c r="C675" s="10">
        <v>45142</v>
      </c>
      <c r="D675" s="9" t="s">
        <v>67</v>
      </c>
      <c r="E675" s="9" t="s">
        <v>89</v>
      </c>
      <c r="F675" s="9" t="s">
        <v>42</v>
      </c>
      <c r="G675" s="9" t="s">
        <v>43</v>
      </c>
      <c r="H675" s="9" t="s">
        <v>44</v>
      </c>
      <c r="I675" s="11" t="s">
        <v>354</v>
      </c>
      <c r="J675" s="9" t="s">
        <v>91</v>
      </c>
      <c r="K675" s="9" t="s">
        <v>47</v>
      </c>
      <c r="L675" s="9" t="s">
        <v>2729</v>
      </c>
      <c r="M675" s="9" t="s">
        <v>2730</v>
      </c>
      <c r="N675" s="9" t="s">
        <v>84</v>
      </c>
      <c r="O675" s="9" t="s">
        <v>51</v>
      </c>
      <c r="P675" s="9" t="s">
        <v>356</v>
      </c>
      <c r="Q675" s="9"/>
      <c r="R675" s="9" t="s">
        <v>61</v>
      </c>
      <c r="S675" s="9" t="s">
        <v>2731</v>
      </c>
      <c r="T675" s="9" t="s">
        <v>2732</v>
      </c>
      <c r="U675" s="9" t="s">
        <v>54</v>
      </c>
      <c r="V675" s="9" t="s">
        <v>55</v>
      </c>
      <c r="W675" s="9" t="s">
        <v>55</v>
      </c>
      <c r="X675" s="12" t="s">
        <v>98</v>
      </c>
      <c r="Y675" s="9" t="s">
        <v>99</v>
      </c>
      <c r="Z675" s="13"/>
    </row>
    <row r="676" spans="1:26" ht="32.25" hidden="1" customHeight="1">
      <c r="A676" s="8">
        <v>2314431</v>
      </c>
      <c r="B676" s="9" t="s">
        <v>2733</v>
      </c>
      <c r="C676" s="10">
        <v>45156</v>
      </c>
      <c r="D676" s="9" t="s">
        <v>79</v>
      </c>
      <c r="E676" s="9" t="s">
        <v>41</v>
      </c>
      <c r="F676" s="9" t="s">
        <v>80</v>
      </c>
      <c r="G676" s="9" t="s">
        <v>43</v>
      </c>
      <c r="H676" s="9" t="s">
        <v>44</v>
      </c>
      <c r="I676" s="11" t="s">
        <v>81</v>
      </c>
      <c r="J676" s="9" t="s">
        <v>46</v>
      </c>
      <c r="K676" s="9" t="s">
        <v>47</v>
      </c>
      <c r="L676" s="9" t="s">
        <v>1378</v>
      </c>
      <c r="M676" s="9" t="s">
        <v>2734</v>
      </c>
      <c r="N676" s="9" t="s">
        <v>84</v>
      </c>
      <c r="O676" s="9" t="s">
        <v>51</v>
      </c>
      <c r="P676" s="9" t="s">
        <v>503</v>
      </c>
      <c r="Q676" s="9"/>
      <c r="R676" s="9"/>
      <c r="S676" s="14" t="s">
        <v>2735</v>
      </c>
      <c r="T676" s="9" t="s">
        <v>2736</v>
      </c>
      <c r="U676" s="9" t="s">
        <v>54</v>
      </c>
      <c r="V676" s="9" t="s">
        <v>55</v>
      </c>
      <c r="W676" s="9" t="s">
        <v>55</v>
      </c>
      <c r="X676" s="12"/>
      <c r="Y676" s="9" t="s">
        <v>55</v>
      </c>
      <c r="Z676" s="13"/>
    </row>
    <row r="677" spans="1:26" ht="32.25" hidden="1" customHeight="1">
      <c r="A677" s="8">
        <v>2300788</v>
      </c>
      <c r="B677" s="9" t="s">
        <v>2737</v>
      </c>
      <c r="C677" s="10">
        <v>45142</v>
      </c>
      <c r="D677" s="9" t="s">
        <v>67</v>
      </c>
      <c r="E677" s="9" t="s">
        <v>89</v>
      </c>
      <c r="F677" s="9" t="s">
        <v>42</v>
      </c>
      <c r="G677" s="9" t="s">
        <v>43</v>
      </c>
      <c r="H677" s="9" t="s">
        <v>44</v>
      </c>
      <c r="I677" s="11" t="s">
        <v>354</v>
      </c>
      <c r="J677" s="9" t="s">
        <v>91</v>
      </c>
      <c r="K677" s="9" t="s">
        <v>416</v>
      </c>
      <c r="L677" s="9" t="s">
        <v>2738</v>
      </c>
      <c r="M677" s="9" t="s">
        <v>2738</v>
      </c>
      <c r="N677" s="9" t="s">
        <v>50</v>
      </c>
      <c r="O677" s="9" t="s">
        <v>51</v>
      </c>
      <c r="P677" s="9" t="s">
        <v>356</v>
      </c>
      <c r="Q677" s="9"/>
      <c r="R677" s="9" t="s">
        <v>61</v>
      </c>
      <c r="S677" s="9" t="s">
        <v>2739</v>
      </c>
      <c r="T677" s="9" t="s">
        <v>2740</v>
      </c>
      <c r="U677" s="9" t="s">
        <v>54</v>
      </c>
      <c r="V677" s="9" t="s">
        <v>55</v>
      </c>
      <c r="W677" s="9" t="s">
        <v>55</v>
      </c>
      <c r="X677" s="12" t="s">
        <v>98</v>
      </c>
      <c r="Y677" s="9" t="s">
        <v>99</v>
      </c>
      <c r="Z677" s="13"/>
    </row>
    <row r="678" spans="1:26" ht="32.25" hidden="1" customHeight="1">
      <c r="A678" s="8">
        <v>2310234</v>
      </c>
      <c r="B678" s="9" t="s">
        <v>2741</v>
      </c>
      <c r="C678" s="10">
        <v>45149</v>
      </c>
      <c r="D678" s="9" t="s">
        <v>261</v>
      </c>
      <c r="E678" s="9" t="s">
        <v>143</v>
      </c>
      <c r="F678" s="9" t="s">
        <v>262</v>
      </c>
      <c r="G678" s="9" t="s">
        <v>43</v>
      </c>
      <c r="H678" s="9" t="s">
        <v>44</v>
      </c>
      <c r="I678" s="11" t="s">
        <v>1620</v>
      </c>
      <c r="J678" s="9" t="s">
        <v>1621</v>
      </c>
      <c r="K678" s="9" t="s">
        <v>47</v>
      </c>
      <c r="L678" s="9" t="s">
        <v>1924</v>
      </c>
      <c r="M678" s="9" t="s">
        <v>1925</v>
      </c>
      <c r="N678" s="9" t="s">
        <v>50</v>
      </c>
      <c r="O678" s="9" t="s">
        <v>51</v>
      </c>
      <c r="P678" s="9"/>
      <c r="Q678" s="9"/>
      <c r="R678" s="9" t="s">
        <v>61</v>
      </c>
      <c r="S678" s="14" t="s">
        <v>2742</v>
      </c>
      <c r="T678" s="9" t="s">
        <v>2743</v>
      </c>
      <c r="U678" s="9" t="s">
        <v>262</v>
      </c>
      <c r="V678" s="9" t="s">
        <v>370</v>
      </c>
      <c r="W678" s="9" t="s">
        <v>115</v>
      </c>
      <c r="X678" s="12" t="s">
        <v>389</v>
      </c>
      <c r="Y678" s="9" t="s">
        <v>390</v>
      </c>
      <c r="Z678" s="13"/>
    </row>
    <row r="679" spans="1:26" ht="32.25" hidden="1" customHeight="1">
      <c r="A679" s="8">
        <v>2303223</v>
      </c>
      <c r="B679" s="9" t="s">
        <v>2744</v>
      </c>
      <c r="C679" s="10">
        <v>45156</v>
      </c>
      <c r="D679" s="9" t="s">
        <v>79</v>
      </c>
      <c r="E679" s="9" t="s">
        <v>89</v>
      </c>
      <c r="F679" s="9" t="s">
        <v>80</v>
      </c>
      <c r="G679" s="9" t="s">
        <v>43</v>
      </c>
      <c r="H679" s="9" t="s">
        <v>44</v>
      </c>
      <c r="I679" s="11" t="s">
        <v>101</v>
      </c>
      <c r="J679" s="9" t="s">
        <v>102</v>
      </c>
      <c r="K679" s="9" t="s">
        <v>47</v>
      </c>
      <c r="L679" s="9" t="s">
        <v>204</v>
      </c>
      <c r="M679" s="9" t="s">
        <v>2745</v>
      </c>
      <c r="N679" s="9" t="s">
        <v>84</v>
      </c>
      <c r="O679" s="9" t="s">
        <v>51</v>
      </c>
      <c r="P679" s="9" t="s">
        <v>708</v>
      </c>
      <c r="Q679" s="9"/>
      <c r="R679" s="9" t="s">
        <v>61</v>
      </c>
      <c r="S679" s="14" t="s">
        <v>2746</v>
      </c>
      <c r="T679" s="9" t="s">
        <v>2747</v>
      </c>
      <c r="U679" s="9" t="s">
        <v>54</v>
      </c>
      <c r="V679" s="9" t="s">
        <v>711</v>
      </c>
      <c r="W679" s="9" t="s">
        <v>115</v>
      </c>
      <c r="X679" s="12" t="s">
        <v>98</v>
      </c>
      <c r="Y679" s="9" t="s">
        <v>99</v>
      </c>
      <c r="Z679" s="13"/>
    </row>
    <row r="680" spans="1:26" ht="32.25" hidden="1" customHeight="1">
      <c r="A680" s="8">
        <v>2314289</v>
      </c>
      <c r="B680" s="9" t="s">
        <v>2748</v>
      </c>
      <c r="C680" s="10">
        <v>45156</v>
      </c>
      <c r="D680" s="9" t="s">
        <v>79</v>
      </c>
      <c r="E680" s="9" t="s">
        <v>89</v>
      </c>
      <c r="F680" s="9" t="s">
        <v>80</v>
      </c>
      <c r="G680" s="9" t="s">
        <v>43</v>
      </c>
      <c r="H680" s="9" t="s">
        <v>44</v>
      </c>
      <c r="I680" s="11" t="s">
        <v>108</v>
      </c>
      <c r="J680" s="9" t="s">
        <v>109</v>
      </c>
      <c r="K680" s="9" t="s">
        <v>47</v>
      </c>
      <c r="L680" s="9" t="s">
        <v>799</v>
      </c>
      <c r="M680" s="9" t="s">
        <v>1490</v>
      </c>
      <c r="N680" s="9" t="s">
        <v>50</v>
      </c>
      <c r="O680" s="9" t="s">
        <v>51</v>
      </c>
      <c r="P680" s="9" t="s">
        <v>112</v>
      </c>
      <c r="Q680" s="9"/>
      <c r="R680" s="9" t="s">
        <v>61</v>
      </c>
      <c r="S680" s="14" t="s">
        <v>2749</v>
      </c>
      <c r="T680" s="9" t="s">
        <v>2750</v>
      </c>
      <c r="U680" s="9" t="s">
        <v>54</v>
      </c>
      <c r="V680" s="9" t="s">
        <v>55</v>
      </c>
      <c r="W680" s="9" t="s">
        <v>115</v>
      </c>
      <c r="X680" s="12" t="s">
        <v>98</v>
      </c>
      <c r="Y680" s="9" t="s">
        <v>99</v>
      </c>
      <c r="Z680" s="13"/>
    </row>
    <row r="681" spans="1:26" ht="32.25" hidden="1" customHeight="1">
      <c r="A681" s="8">
        <v>2308023</v>
      </c>
      <c r="B681" s="9" t="s">
        <v>2751</v>
      </c>
      <c r="C681" s="10">
        <v>45149</v>
      </c>
      <c r="D681" s="9" t="s">
        <v>57</v>
      </c>
      <c r="E681" s="9" t="s">
        <v>41</v>
      </c>
      <c r="F681" s="9" t="s">
        <v>42</v>
      </c>
      <c r="G681" s="9" t="s">
        <v>43</v>
      </c>
      <c r="H681" s="9" t="s">
        <v>58</v>
      </c>
      <c r="I681" s="11" t="s">
        <v>129</v>
      </c>
      <c r="J681" s="9" t="s">
        <v>130</v>
      </c>
      <c r="K681" s="9" t="s">
        <v>47</v>
      </c>
      <c r="L681" s="9" t="s">
        <v>156</v>
      </c>
      <c r="M681" s="9"/>
      <c r="N681" s="9" t="s">
        <v>50</v>
      </c>
      <c r="O681" s="9" t="s">
        <v>51</v>
      </c>
      <c r="P681" s="9"/>
      <c r="Q681" s="9"/>
      <c r="R681" s="9"/>
      <c r="S681" s="14" t="s">
        <v>2752</v>
      </c>
      <c r="T681" s="9" t="s">
        <v>2753</v>
      </c>
      <c r="U681" s="9" t="s">
        <v>54</v>
      </c>
      <c r="V681" s="9" t="s">
        <v>55</v>
      </c>
      <c r="W681" s="9" t="s">
        <v>55</v>
      </c>
      <c r="X681" s="12"/>
      <c r="Y681" s="9" t="s">
        <v>55</v>
      </c>
      <c r="Z681" s="13"/>
    </row>
    <row r="682" spans="1:26" ht="32.25" hidden="1" customHeight="1">
      <c r="A682" s="8">
        <v>2303094</v>
      </c>
      <c r="B682" s="9" t="s">
        <v>2754</v>
      </c>
      <c r="C682" s="10">
        <v>45136</v>
      </c>
      <c r="D682" s="9" t="s">
        <v>301</v>
      </c>
      <c r="E682" s="9" t="s">
        <v>153</v>
      </c>
      <c r="F682" s="9" t="s">
        <v>42</v>
      </c>
      <c r="G682" s="9" t="s">
        <v>43</v>
      </c>
      <c r="H682" s="9" t="s">
        <v>44</v>
      </c>
      <c r="I682" s="11" t="s">
        <v>154</v>
      </c>
      <c r="J682" s="9" t="s">
        <v>155</v>
      </c>
      <c r="K682" s="9" t="s">
        <v>47</v>
      </c>
      <c r="L682" s="9" t="s">
        <v>1040</v>
      </c>
      <c r="M682" s="9" t="s">
        <v>1041</v>
      </c>
      <c r="N682" s="9" t="s">
        <v>84</v>
      </c>
      <c r="O682" s="9" t="s">
        <v>51</v>
      </c>
      <c r="P682" s="9"/>
      <c r="Q682" s="9"/>
      <c r="R682" s="9" t="s">
        <v>61</v>
      </c>
      <c r="S682" s="9" t="s">
        <v>2755</v>
      </c>
      <c r="T682" s="9" t="s">
        <v>2756</v>
      </c>
      <c r="U682" s="9" t="s">
        <v>54</v>
      </c>
      <c r="V682" s="9" t="s">
        <v>55</v>
      </c>
      <c r="W682" s="9" t="s">
        <v>55</v>
      </c>
      <c r="X682" s="12" t="s">
        <v>171</v>
      </c>
      <c r="Y682" s="9" t="s">
        <v>172</v>
      </c>
      <c r="Z682" s="13"/>
    </row>
    <row r="683" spans="1:26" ht="32.25" hidden="1" customHeight="1">
      <c r="A683" s="8">
        <v>2306033</v>
      </c>
      <c r="B683" s="9" t="s">
        <v>2757</v>
      </c>
      <c r="C683" s="10">
        <v>45149</v>
      </c>
      <c r="D683" s="9" t="s">
        <v>57</v>
      </c>
      <c r="E683" s="9" t="s">
        <v>41</v>
      </c>
      <c r="F683" s="9" t="s">
        <v>42</v>
      </c>
      <c r="G683" s="9" t="s">
        <v>43</v>
      </c>
      <c r="H683" s="9" t="s">
        <v>58</v>
      </c>
      <c r="I683" s="11" t="s">
        <v>661</v>
      </c>
      <c r="J683" s="9" t="s">
        <v>662</v>
      </c>
      <c r="K683" s="9" t="s">
        <v>47</v>
      </c>
      <c r="L683" s="9" t="s">
        <v>156</v>
      </c>
      <c r="M683" s="9"/>
      <c r="N683" s="9" t="s">
        <v>50</v>
      </c>
      <c r="O683" s="9" t="s">
        <v>51</v>
      </c>
      <c r="P683" s="9"/>
      <c r="Q683" s="9"/>
      <c r="R683" s="9"/>
      <c r="S683" s="14" t="s">
        <v>2758</v>
      </c>
      <c r="T683" s="9" t="s">
        <v>2759</v>
      </c>
      <c r="U683" s="9" t="s">
        <v>54</v>
      </c>
      <c r="V683" s="9" t="s">
        <v>55</v>
      </c>
      <c r="W683" s="9" t="s">
        <v>55</v>
      </c>
      <c r="X683" s="12"/>
      <c r="Y683" s="9" t="s">
        <v>55</v>
      </c>
      <c r="Z683" s="13"/>
    </row>
    <row r="684" spans="1:26" ht="32.25" hidden="1" customHeight="1">
      <c r="A684" s="8">
        <v>2300278</v>
      </c>
      <c r="B684" s="9" t="s">
        <v>2760</v>
      </c>
      <c r="C684" s="10">
        <v>45149</v>
      </c>
      <c r="D684" s="9" t="s">
        <v>261</v>
      </c>
      <c r="E684" s="9" t="s">
        <v>68</v>
      </c>
      <c r="F684" s="9" t="s">
        <v>262</v>
      </c>
      <c r="G684" s="9" t="s">
        <v>43</v>
      </c>
      <c r="H684" s="9" t="s">
        <v>44</v>
      </c>
      <c r="I684" s="11" t="s">
        <v>263</v>
      </c>
      <c r="J684" s="9" t="s">
        <v>264</v>
      </c>
      <c r="K684" s="9" t="s">
        <v>47</v>
      </c>
      <c r="L684" s="9" t="s">
        <v>138</v>
      </c>
      <c r="M684" s="9" t="s">
        <v>2761</v>
      </c>
      <c r="N684" s="9" t="s">
        <v>50</v>
      </c>
      <c r="O684" s="9" t="s">
        <v>51</v>
      </c>
      <c r="P684" s="9"/>
      <c r="Q684" s="9"/>
      <c r="R684" s="9"/>
      <c r="S684" s="14" t="s">
        <v>2762</v>
      </c>
      <c r="T684" s="9" t="s">
        <v>2763</v>
      </c>
      <c r="U684" s="9" t="s">
        <v>262</v>
      </c>
      <c r="V684" s="9" t="s">
        <v>55</v>
      </c>
      <c r="W684" s="9" t="s">
        <v>55</v>
      </c>
      <c r="X684" s="12"/>
      <c r="Y684" s="9" t="s">
        <v>55</v>
      </c>
      <c r="Z684" s="13"/>
    </row>
    <row r="685" spans="1:26" ht="32.25" hidden="1" customHeight="1">
      <c r="A685" s="8">
        <v>2304621</v>
      </c>
      <c r="B685" s="9" t="s">
        <v>2764</v>
      </c>
      <c r="C685" s="10">
        <v>45156</v>
      </c>
      <c r="D685" s="9" t="s">
        <v>79</v>
      </c>
      <c r="E685" s="9" t="s">
        <v>89</v>
      </c>
      <c r="F685" s="9" t="s">
        <v>80</v>
      </c>
      <c r="G685" s="9" t="s">
        <v>43</v>
      </c>
      <c r="H685" s="9" t="s">
        <v>44</v>
      </c>
      <c r="I685" s="11" t="s">
        <v>101</v>
      </c>
      <c r="J685" s="9" t="s">
        <v>102</v>
      </c>
      <c r="K685" s="9" t="s">
        <v>47</v>
      </c>
      <c r="L685" s="9" t="s">
        <v>226</v>
      </c>
      <c r="M685" s="9" t="s">
        <v>2765</v>
      </c>
      <c r="N685" s="9" t="s">
        <v>50</v>
      </c>
      <c r="O685" s="9" t="s">
        <v>51</v>
      </c>
      <c r="P685" s="9" t="s">
        <v>1229</v>
      </c>
      <c r="Q685" s="9"/>
      <c r="R685" s="9" t="s">
        <v>61</v>
      </c>
      <c r="S685" s="14" t="s">
        <v>2766</v>
      </c>
      <c r="T685" s="9" t="s">
        <v>2767</v>
      </c>
      <c r="U685" s="9" t="s">
        <v>54</v>
      </c>
      <c r="V685" s="9" t="s">
        <v>55</v>
      </c>
      <c r="W685" s="9" t="s">
        <v>115</v>
      </c>
      <c r="X685" s="12" t="s">
        <v>98</v>
      </c>
      <c r="Y685" s="9" t="s">
        <v>99</v>
      </c>
      <c r="Z685" s="13"/>
    </row>
    <row r="686" spans="1:26" ht="32.25" hidden="1" customHeight="1">
      <c r="A686" s="8">
        <v>2315010</v>
      </c>
      <c r="B686" s="9" t="s">
        <v>2768</v>
      </c>
      <c r="C686" s="10">
        <v>45156</v>
      </c>
      <c r="D686" s="9" t="s">
        <v>79</v>
      </c>
      <c r="E686" s="9" t="s">
        <v>89</v>
      </c>
      <c r="F686" s="9" t="s">
        <v>80</v>
      </c>
      <c r="G686" s="9" t="s">
        <v>43</v>
      </c>
      <c r="H686" s="9" t="s">
        <v>44</v>
      </c>
      <c r="I686" s="11" t="s">
        <v>101</v>
      </c>
      <c r="J686" s="9" t="s">
        <v>102</v>
      </c>
      <c r="K686" s="9" t="s">
        <v>92</v>
      </c>
      <c r="L686" s="9" t="s">
        <v>2769</v>
      </c>
      <c r="M686" s="9" t="s">
        <v>2770</v>
      </c>
      <c r="N686" s="9" t="s">
        <v>50</v>
      </c>
      <c r="O686" s="9" t="s">
        <v>51</v>
      </c>
      <c r="P686" s="9" t="s">
        <v>2771</v>
      </c>
      <c r="Q686" s="9"/>
      <c r="R686" s="9" t="s">
        <v>61</v>
      </c>
      <c r="S686" s="14" t="s">
        <v>2772</v>
      </c>
      <c r="T686" s="9" t="s">
        <v>2773</v>
      </c>
      <c r="U686" s="9" t="s">
        <v>54</v>
      </c>
      <c r="V686" s="9" t="s">
        <v>55</v>
      </c>
      <c r="W686" s="9" t="s">
        <v>55</v>
      </c>
      <c r="X686" s="12" t="s">
        <v>98</v>
      </c>
      <c r="Y686" s="9" t="s">
        <v>99</v>
      </c>
      <c r="Z686" s="13"/>
    </row>
    <row r="687" spans="1:26" ht="32.25" hidden="1" customHeight="1">
      <c r="A687" s="8">
        <v>2305614</v>
      </c>
      <c r="B687" s="9" t="s">
        <v>2774</v>
      </c>
      <c r="C687" s="10">
        <v>45136</v>
      </c>
      <c r="D687" s="9" t="s">
        <v>40</v>
      </c>
      <c r="E687" s="9" t="s">
        <v>41</v>
      </c>
      <c r="F687" s="9" t="s">
        <v>42</v>
      </c>
      <c r="G687" s="9" t="s">
        <v>43</v>
      </c>
      <c r="H687" s="9" t="s">
        <v>44</v>
      </c>
      <c r="I687" s="11" t="s">
        <v>45</v>
      </c>
      <c r="J687" s="9" t="s">
        <v>46</v>
      </c>
      <c r="K687" s="9" t="s">
        <v>47</v>
      </c>
      <c r="L687" s="9" t="s">
        <v>1040</v>
      </c>
      <c r="M687" s="9" t="s">
        <v>1041</v>
      </c>
      <c r="N687" s="9" t="s">
        <v>50</v>
      </c>
      <c r="O687" s="9" t="s">
        <v>51</v>
      </c>
      <c r="P687" s="9"/>
      <c r="Q687" s="9"/>
      <c r="R687" s="9" t="s">
        <v>61</v>
      </c>
      <c r="S687" s="9" t="s">
        <v>2775</v>
      </c>
      <c r="T687" s="9" t="s">
        <v>2776</v>
      </c>
      <c r="U687" s="9" t="s">
        <v>54</v>
      </c>
      <c r="V687" s="9" t="s">
        <v>55</v>
      </c>
      <c r="W687" s="9" t="s">
        <v>55</v>
      </c>
      <c r="X687" s="9" t="s">
        <v>196</v>
      </c>
      <c r="Y687" s="9" t="s">
        <v>197</v>
      </c>
      <c r="Z687" s="13"/>
    </row>
    <row r="688" spans="1:26" ht="32.25" hidden="1" customHeight="1">
      <c r="A688" s="8">
        <v>2309642</v>
      </c>
      <c r="B688" s="9" t="s">
        <v>2777</v>
      </c>
      <c r="C688" s="10">
        <v>45136</v>
      </c>
      <c r="D688" s="9" t="s">
        <v>40</v>
      </c>
      <c r="E688" s="9" t="s">
        <v>41</v>
      </c>
      <c r="F688" s="9" t="s">
        <v>42</v>
      </c>
      <c r="G688" s="9" t="s">
        <v>43</v>
      </c>
      <c r="H688" s="9" t="s">
        <v>44</v>
      </c>
      <c r="I688" s="11" t="s">
        <v>199</v>
      </c>
      <c r="J688" s="9" t="s">
        <v>200</v>
      </c>
      <c r="K688" s="9" t="s">
        <v>47</v>
      </c>
      <c r="L688" s="9" t="s">
        <v>1801</v>
      </c>
      <c r="M688" s="9" t="s">
        <v>2778</v>
      </c>
      <c r="N688" s="9" t="s">
        <v>50</v>
      </c>
      <c r="O688" s="9" t="s">
        <v>51</v>
      </c>
      <c r="P688" s="9"/>
      <c r="Q688" s="9"/>
      <c r="R688" s="9" t="s">
        <v>61</v>
      </c>
      <c r="S688" s="9" t="s">
        <v>2779</v>
      </c>
      <c r="T688" s="9" t="s">
        <v>2780</v>
      </c>
      <c r="U688" s="9" t="s">
        <v>54</v>
      </c>
      <c r="V688" s="9" t="s">
        <v>55</v>
      </c>
      <c r="W688" s="9" t="s">
        <v>55</v>
      </c>
      <c r="X688" s="12" t="s">
        <v>196</v>
      </c>
      <c r="Y688" s="9" t="s">
        <v>197</v>
      </c>
      <c r="Z688" s="13"/>
    </row>
    <row r="689" spans="1:26" ht="32.25" hidden="1" customHeight="1">
      <c r="A689" s="8">
        <v>2310100</v>
      </c>
      <c r="B689" s="9" t="s">
        <v>2781</v>
      </c>
      <c r="C689" s="10">
        <v>45142</v>
      </c>
      <c r="D689" s="9" t="s">
        <v>67</v>
      </c>
      <c r="E689" s="9" t="s">
        <v>68</v>
      </c>
      <c r="F689" s="9" t="s">
        <v>42</v>
      </c>
      <c r="G689" s="9" t="s">
        <v>43</v>
      </c>
      <c r="H689" s="9" t="s">
        <v>44</v>
      </c>
      <c r="I689" s="11" t="s">
        <v>69</v>
      </c>
      <c r="J689" s="9" t="s">
        <v>70</v>
      </c>
      <c r="K689" s="9" t="s">
        <v>47</v>
      </c>
      <c r="L689" s="9" t="s">
        <v>310</v>
      </c>
      <c r="M689" s="9" t="s">
        <v>311</v>
      </c>
      <c r="N689" s="9" t="s">
        <v>50</v>
      </c>
      <c r="O689" s="9" t="s">
        <v>51</v>
      </c>
      <c r="P689" s="9" t="s">
        <v>73</v>
      </c>
      <c r="Q689" s="9"/>
      <c r="R689" s="9" t="s">
        <v>61</v>
      </c>
      <c r="S689" s="9" t="s">
        <v>2782</v>
      </c>
      <c r="T689" s="9" t="s">
        <v>2783</v>
      </c>
      <c r="U689" s="9" t="s">
        <v>54</v>
      </c>
      <c r="V689" s="9" t="s">
        <v>55</v>
      </c>
      <c r="W689" s="9" t="s">
        <v>55</v>
      </c>
      <c r="X689" s="12" t="s">
        <v>76</v>
      </c>
      <c r="Y689" s="9" t="s">
        <v>77</v>
      </c>
      <c r="Z689" s="13"/>
    </row>
    <row r="690" spans="1:26" ht="32.25" hidden="1" customHeight="1">
      <c r="A690" s="8">
        <v>2311279</v>
      </c>
      <c r="B690" s="9" t="s">
        <v>2784</v>
      </c>
      <c r="C690" s="10">
        <v>45156</v>
      </c>
      <c r="D690" s="9" t="s">
        <v>79</v>
      </c>
      <c r="E690" s="9" t="s">
        <v>89</v>
      </c>
      <c r="F690" s="9" t="s">
        <v>80</v>
      </c>
      <c r="G690" s="9" t="s">
        <v>43</v>
      </c>
      <c r="H690" s="9" t="s">
        <v>44</v>
      </c>
      <c r="I690" s="11" t="s">
        <v>90</v>
      </c>
      <c r="J690" s="9" t="s">
        <v>91</v>
      </c>
      <c r="K690" s="9" t="s">
        <v>442</v>
      </c>
      <c r="L690" s="9" t="s">
        <v>2785</v>
      </c>
      <c r="M690" s="9" t="s">
        <v>2785</v>
      </c>
      <c r="N690" s="9" t="s">
        <v>84</v>
      </c>
      <c r="O690" s="9" t="s">
        <v>51</v>
      </c>
      <c r="P690" s="9" t="s">
        <v>95</v>
      </c>
      <c r="Q690" s="9"/>
      <c r="R690" s="9" t="s">
        <v>61</v>
      </c>
      <c r="S690" s="14" t="s">
        <v>2786</v>
      </c>
      <c r="T690" s="9" t="s">
        <v>2787</v>
      </c>
      <c r="U690" s="9" t="s">
        <v>54</v>
      </c>
      <c r="V690" s="9" t="s">
        <v>55</v>
      </c>
      <c r="W690" s="9" t="s">
        <v>55</v>
      </c>
      <c r="X690" s="12" t="s">
        <v>98</v>
      </c>
      <c r="Y690" s="9" t="s">
        <v>99</v>
      </c>
      <c r="Z690" s="13"/>
    </row>
    <row r="691" spans="1:26" ht="32.25" hidden="1" customHeight="1">
      <c r="A691" s="8">
        <v>2312799</v>
      </c>
      <c r="B691" s="9" t="s">
        <v>2788</v>
      </c>
      <c r="C691" s="10">
        <v>45142</v>
      </c>
      <c r="D691" s="9" t="s">
        <v>383</v>
      </c>
      <c r="E691" s="9" t="s">
        <v>68</v>
      </c>
      <c r="F691" s="9" t="s">
        <v>262</v>
      </c>
      <c r="G691" s="9" t="s">
        <v>43</v>
      </c>
      <c r="H691" s="9" t="s">
        <v>44</v>
      </c>
      <c r="I691" s="11" t="s">
        <v>1455</v>
      </c>
      <c r="J691" s="9" t="s">
        <v>1456</v>
      </c>
      <c r="K691" s="9" t="s">
        <v>250</v>
      </c>
      <c r="L691" s="9"/>
      <c r="M691" s="9" t="s">
        <v>2789</v>
      </c>
      <c r="N691" s="9" t="s">
        <v>84</v>
      </c>
      <c r="O691" s="9" t="s">
        <v>187</v>
      </c>
      <c r="P691" s="9"/>
      <c r="Q691" s="9"/>
      <c r="R691" s="9" t="s">
        <v>61</v>
      </c>
      <c r="S691" s="9"/>
      <c r="T691" s="9" t="s">
        <v>2790</v>
      </c>
      <c r="U691" s="9" t="s">
        <v>262</v>
      </c>
      <c r="V691" s="9" t="s">
        <v>55</v>
      </c>
      <c r="W691" s="9" t="s">
        <v>55</v>
      </c>
      <c r="X691" s="12" t="s">
        <v>389</v>
      </c>
      <c r="Y691" s="9" t="s">
        <v>390</v>
      </c>
      <c r="Z691" s="13"/>
    </row>
    <row r="692" spans="1:26" ht="32.25" hidden="1" customHeight="1">
      <c r="A692" s="8">
        <v>2314508</v>
      </c>
      <c r="B692" s="9" t="s">
        <v>2791</v>
      </c>
      <c r="C692" s="10">
        <v>45156</v>
      </c>
      <c r="D692" s="9" t="s">
        <v>79</v>
      </c>
      <c r="E692" s="9" t="s">
        <v>89</v>
      </c>
      <c r="F692" s="9" t="s">
        <v>80</v>
      </c>
      <c r="G692" s="9" t="s">
        <v>43</v>
      </c>
      <c r="H692" s="9" t="s">
        <v>44</v>
      </c>
      <c r="I692" s="11" t="s">
        <v>90</v>
      </c>
      <c r="J692" s="9" t="s">
        <v>91</v>
      </c>
      <c r="K692" s="9" t="s">
        <v>92</v>
      </c>
      <c r="L692" s="9"/>
      <c r="M692" s="9" t="s">
        <v>103</v>
      </c>
      <c r="N692" s="9" t="s">
        <v>50</v>
      </c>
      <c r="O692" s="9" t="s">
        <v>51</v>
      </c>
      <c r="P692" s="9" t="s">
        <v>498</v>
      </c>
      <c r="Q692" s="9"/>
      <c r="R692" s="9" t="s">
        <v>61</v>
      </c>
      <c r="S692" s="14" t="s">
        <v>2792</v>
      </c>
      <c r="T692" s="9" t="s">
        <v>2793</v>
      </c>
      <c r="U692" s="9" t="s">
        <v>54</v>
      </c>
      <c r="V692" s="9" t="s">
        <v>55</v>
      </c>
      <c r="W692" s="9" t="s">
        <v>55</v>
      </c>
      <c r="X692" s="12" t="s">
        <v>98</v>
      </c>
      <c r="Y692" s="9" t="s">
        <v>99</v>
      </c>
      <c r="Z692" s="13"/>
    </row>
    <row r="693" spans="1:26" ht="32.25" hidden="1" customHeight="1">
      <c r="A693" s="8">
        <v>2312711</v>
      </c>
      <c r="B693" s="9" t="s">
        <v>2794</v>
      </c>
      <c r="C693" s="10">
        <v>45142</v>
      </c>
      <c r="D693" s="9" t="s">
        <v>383</v>
      </c>
      <c r="E693" s="9" t="s">
        <v>41</v>
      </c>
      <c r="F693" s="9" t="s">
        <v>262</v>
      </c>
      <c r="G693" s="9" t="s">
        <v>43</v>
      </c>
      <c r="H693" s="9" t="s">
        <v>44</v>
      </c>
      <c r="I693" s="11" t="s">
        <v>1553</v>
      </c>
      <c r="J693" s="9" t="s">
        <v>1554</v>
      </c>
      <c r="K693" s="9" t="s">
        <v>2795</v>
      </c>
      <c r="L693" s="9"/>
      <c r="M693" s="9" t="s">
        <v>2796</v>
      </c>
      <c r="N693" s="9" t="s">
        <v>50</v>
      </c>
      <c r="O693" s="9" t="s">
        <v>187</v>
      </c>
      <c r="P693" s="9"/>
      <c r="Q693" s="9"/>
      <c r="R693" s="9" t="s">
        <v>61</v>
      </c>
      <c r="S693" s="9" t="s">
        <v>2797</v>
      </c>
      <c r="T693" s="9" t="s">
        <v>2798</v>
      </c>
      <c r="U693" s="9" t="s">
        <v>262</v>
      </c>
      <c r="V693" s="9" t="s">
        <v>891</v>
      </c>
      <c r="W693" s="9" t="s">
        <v>115</v>
      </c>
      <c r="X693" s="12" t="s">
        <v>76</v>
      </c>
      <c r="Y693" s="9" t="s">
        <v>77</v>
      </c>
      <c r="Z693" s="13" t="s">
        <v>1026</v>
      </c>
    </row>
    <row r="694" spans="1:26" ht="32.25" hidden="1" customHeight="1">
      <c r="A694" s="8">
        <v>2307624</v>
      </c>
      <c r="B694" s="9" t="s">
        <v>2799</v>
      </c>
      <c r="C694" s="10">
        <v>45156</v>
      </c>
      <c r="D694" s="9" t="s">
        <v>79</v>
      </c>
      <c r="E694" s="9" t="s">
        <v>89</v>
      </c>
      <c r="F694" s="9" t="s">
        <v>80</v>
      </c>
      <c r="G694" s="9" t="s">
        <v>43</v>
      </c>
      <c r="H694" s="9" t="s">
        <v>44</v>
      </c>
      <c r="I694" s="11" t="s">
        <v>101</v>
      </c>
      <c r="J694" s="9" t="s">
        <v>102</v>
      </c>
      <c r="K694" s="9" t="s">
        <v>92</v>
      </c>
      <c r="L694" s="9"/>
      <c r="M694" s="9" t="s">
        <v>2800</v>
      </c>
      <c r="N694" s="9" t="s">
        <v>50</v>
      </c>
      <c r="O694" s="9" t="s">
        <v>51</v>
      </c>
      <c r="P694" s="9" t="s">
        <v>104</v>
      </c>
      <c r="Q694" s="9"/>
      <c r="R694" s="9" t="s">
        <v>61</v>
      </c>
      <c r="S694" s="14" t="s">
        <v>2801</v>
      </c>
      <c r="T694" s="9" t="s">
        <v>2802</v>
      </c>
      <c r="U694" s="9" t="s">
        <v>54</v>
      </c>
      <c r="V694" s="9" t="s">
        <v>251</v>
      </c>
      <c r="W694" s="9" t="s">
        <v>115</v>
      </c>
      <c r="X694" s="12" t="s">
        <v>171</v>
      </c>
      <c r="Y694" s="9" t="s">
        <v>172</v>
      </c>
      <c r="Z694" s="13"/>
    </row>
    <row r="695" spans="1:26" ht="32.25" hidden="1" customHeight="1">
      <c r="A695" s="8">
        <v>2305366</v>
      </c>
      <c r="B695" s="9" t="s">
        <v>2803</v>
      </c>
      <c r="C695" s="10">
        <v>45142</v>
      </c>
      <c r="D695" s="9" t="s">
        <v>67</v>
      </c>
      <c r="E695" s="9" t="s">
        <v>89</v>
      </c>
      <c r="F695" s="9" t="s">
        <v>42</v>
      </c>
      <c r="G695" s="9" t="s">
        <v>43</v>
      </c>
      <c r="H695" s="9" t="s">
        <v>44</v>
      </c>
      <c r="I695" s="11" t="s">
        <v>354</v>
      </c>
      <c r="J695" s="9" t="s">
        <v>91</v>
      </c>
      <c r="K695" s="9" t="s">
        <v>47</v>
      </c>
      <c r="L695" s="9" t="s">
        <v>156</v>
      </c>
      <c r="M695" s="9"/>
      <c r="N695" s="9" t="s">
        <v>50</v>
      </c>
      <c r="O695" s="9" t="s">
        <v>51</v>
      </c>
      <c r="P695" s="9" t="s">
        <v>356</v>
      </c>
      <c r="Q695" s="9"/>
      <c r="R695" s="9"/>
      <c r="S695" s="9" t="s">
        <v>2804</v>
      </c>
      <c r="T695" s="9" t="s">
        <v>2805</v>
      </c>
      <c r="U695" s="9" t="s">
        <v>54</v>
      </c>
      <c r="V695" s="9" t="s">
        <v>55</v>
      </c>
      <c r="W695" s="9" t="s">
        <v>55</v>
      </c>
      <c r="X695" s="12"/>
      <c r="Y695" s="9" t="s">
        <v>55</v>
      </c>
      <c r="Z695" s="13"/>
    </row>
    <row r="696" spans="1:26" ht="32.25" hidden="1" customHeight="1">
      <c r="A696" s="8">
        <v>2300318</v>
      </c>
      <c r="B696" s="9" t="s">
        <v>2806</v>
      </c>
      <c r="C696" s="10">
        <v>45142</v>
      </c>
      <c r="D696" s="9" t="s">
        <v>232</v>
      </c>
      <c r="E696" s="9" t="s">
        <v>41</v>
      </c>
      <c r="F696" s="9" t="s">
        <v>80</v>
      </c>
      <c r="G696" s="9" t="s">
        <v>43</v>
      </c>
      <c r="H696" s="9" t="s">
        <v>44</v>
      </c>
      <c r="I696" s="11" t="s">
        <v>81</v>
      </c>
      <c r="J696" s="9" t="s">
        <v>46</v>
      </c>
      <c r="K696" s="9" t="s">
        <v>2807</v>
      </c>
      <c r="L696" s="9"/>
      <c r="M696" s="9" t="s">
        <v>2808</v>
      </c>
      <c r="N696" s="9" t="s">
        <v>84</v>
      </c>
      <c r="O696" s="9" t="s">
        <v>187</v>
      </c>
      <c r="P696" s="9" t="s">
        <v>503</v>
      </c>
      <c r="Q696" s="9"/>
      <c r="R696" s="9" t="s">
        <v>61</v>
      </c>
      <c r="S696" s="9" t="s">
        <v>2809</v>
      </c>
      <c r="T696" s="9" t="s">
        <v>2810</v>
      </c>
      <c r="U696" s="9" t="s">
        <v>54</v>
      </c>
      <c r="V696" s="9" t="s">
        <v>76</v>
      </c>
      <c r="W696" s="9" t="s">
        <v>55</v>
      </c>
      <c r="X696" s="9" t="s">
        <v>76</v>
      </c>
      <c r="Y696" s="9" t="s">
        <v>77</v>
      </c>
      <c r="Z696" s="13" t="s">
        <v>240</v>
      </c>
    </row>
    <row r="697" spans="1:26" ht="32.25" hidden="1" customHeight="1">
      <c r="A697" s="8">
        <v>2308885</v>
      </c>
      <c r="B697" s="9" t="s">
        <v>2811</v>
      </c>
      <c r="C697" s="10">
        <v>45156</v>
      </c>
      <c r="D697" s="9" t="s">
        <v>565</v>
      </c>
      <c r="E697" s="9" t="s">
        <v>41</v>
      </c>
      <c r="F697" s="9" t="s">
        <v>42</v>
      </c>
      <c r="G697" s="9" t="s">
        <v>43</v>
      </c>
      <c r="H697" s="9" t="s">
        <v>58</v>
      </c>
      <c r="I697" s="11" t="s">
        <v>129</v>
      </c>
      <c r="J697" s="9" t="s">
        <v>130</v>
      </c>
      <c r="K697" s="9" t="s">
        <v>47</v>
      </c>
      <c r="L697" s="9" t="s">
        <v>156</v>
      </c>
      <c r="M697" s="9"/>
      <c r="N697" s="9" t="s">
        <v>50</v>
      </c>
      <c r="O697" s="9" t="s">
        <v>51</v>
      </c>
      <c r="P697" s="9"/>
      <c r="Q697" s="9"/>
      <c r="R697" s="9"/>
      <c r="S697" s="14" t="s">
        <v>2812</v>
      </c>
      <c r="T697" s="9" t="s">
        <v>2813</v>
      </c>
      <c r="U697" s="9" t="s">
        <v>54</v>
      </c>
      <c r="V697" s="9" t="s">
        <v>55</v>
      </c>
      <c r="W697" s="9" t="s">
        <v>55</v>
      </c>
      <c r="X697" s="12"/>
      <c r="Y697" s="9" t="s">
        <v>55</v>
      </c>
      <c r="Z697" s="13"/>
    </row>
    <row r="698" spans="1:26" ht="32.25" hidden="1" customHeight="1">
      <c r="A698" s="8">
        <v>2313401</v>
      </c>
      <c r="B698" s="9" t="s">
        <v>2814</v>
      </c>
      <c r="C698" s="10">
        <v>45156</v>
      </c>
      <c r="D698" s="9" t="s">
        <v>79</v>
      </c>
      <c r="E698" s="9" t="s">
        <v>68</v>
      </c>
      <c r="F698" s="9" t="s">
        <v>80</v>
      </c>
      <c r="G698" s="9" t="s">
        <v>43</v>
      </c>
      <c r="H698" s="9" t="s">
        <v>44</v>
      </c>
      <c r="I698" s="11" t="s">
        <v>90</v>
      </c>
      <c r="J698" s="9" t="s">
        <v>91</v>
      </c>
      <c r="K698" s="9" t="s">
        <v>47</v>
      </c>
      <c r="L698" s="9" t="s">
        <v>48</v>
      </c>
      <c r="M698" s="9" t="s">
        <v>1447</v>
      </c>
      <c r="N698" s="9" t="s">
        <v>50</v>
      </c>
      <c r="O698" s="9" t="s">
        <v>51</v>
      </c>
      <c r="P698" s="9" t="s">
        <v>929</v>
      </c>
      <c r="Q698" s="9"/>
      <c r="R698" s="9"/>
      <c r="S698" s="14" t="s">
        <v>2815</v>
      </c>
      <c r="T698" s="9" t="s">
        <v>2816</v>
      </c>
      <c r="U698" s="9" t="s">
        <v>54</v>
      </c>
      <c r="V698" s="9" t="s">
        <v>55</v>
      </c>
      <c r="W698" s="9" t="s">
        <v>55</v>
      </c>
      <c r="X698" s="12"/>
      <c r="Y698" s="9" t="s">
        <v>55</v>
      </c>
      <c r="Z698" s="13"/>
    </row>
    <row r="699" spans="1:26" ht="32.25" hidden="1" customHeight="1">
      <c r="A699" s="8">
        <v>2301199</v>
      </c>
      <c r="B699" s="9" t="s">
        <v>2817</v>
      </c>
      <c r="C699" s="10">
        <v>45156</v>
      </c>
      <c r="D699" s="9" t="s">
        <v>79</v>
      </c>
      <c r="E699" s="9" t="s">
        <v>89</v>
      </c>
      <c r="F699" s="9" t="s">
        <v>80</v>
      </c>
      <c r="G699" s="9" t="s">
        <v>43</v>
      </c>
      <c r="H699" s="9" t="s">
        <v>44</v>
      </c>
      <c r="I699" s="11" t="s">
        <v>101</v>
      </c>
      <c r="J699" s="9" t="s">
        <v>102</v>
      </c>
      <c r="K699" s="9" t="s">
        <v>47</v>
      </c>
      <c r="L699" s="9" t="s">
        <v>598</v>
      </c>
      <c r="M699" s="9" t="s">
        <v>1720</v>
      </c>
      <c r="N699" s="9" t="s">
        <v>50</v>
      </c>
      <c r="O699" s="9" t="s">
        <v>51</v>
      </c>
      <c r="P699" s="9" t="s">
        <v>104</v>
      </c>
      <c r="Q699" s="9"/>
      <c r="R699" s="9" t="s">
        <v>61</v>
      </c>
      <c r="S699" s="14" t="s">
        <v>2818</v>
      </c>
      <c r="T699" s="9" t="s">
        <v>2819</v>
      </c>
      <c r="U699" s="9" t="s">
        <v>54</v>
      </c>
      <c r="V699" s="9" t="s">
        <v>55</v>
      </c>
      <c r="W699" s="9" t="s">
        <v>55</v>
      </c>
      <c r="X699" s="12" t="s">
        <v>98</v>
      </c>
      <c r="Y699" s="9" t="s">
        <v>99</v>
      </c>
      <c r="Z699" s="13"/>
    </row>
    <row r="700" spans="1:26" ht="32.25" hidden="1" customHeight="1">
      <c r="A700" s="8">
        <v>2308603</v>
      </c>
      <c r="B700" s="9" t="s">
        <v>2820</v>
      </c>
      <c r="C700" s="10">
        <v>45156</v>
      </c>
      <c r="D700" s="9" t="s">
        <v>79</v>
      </c>
      <c r="E700" s="9" t="s">
        <v>41</v>
      </c>
      <c r="F700" s="9" t="s">
        <v>80</v>
      </c>
      <c r="G700" s="9" t="s">
        <v>43</v>
      </c>
      <c r="H700" s="9" t="s">
        <v>44</v>
      </c>
      <c r="I700" s="11" t="s">
        <v>478</v>
      </c>
      <c r="J700" s="9" t="s">
        <v>479</v>
      </c>
      <c r="K700" s="9" t="s">
        <v>47</v>
      </c>
      <c r="L700" s="9" t="s">
        <v>863</v>
      </c>
      <c r="M700" s="9" t="s">
        <v>1258</v>
      </c>
      <c r="N700" s="9" t="s">
        <v>50</v>
      </c>
      <c r="O700" s="9" t="s">
        <v>51</v>
      </c>
      <c r="P700" s="9" t="s">
        <v>482</v>
      </c>
      <c r="Q700" s="9"/>
      <c r="R700" s="9" t="s">
        <v>61</v>
      </c>
      <c r="S700" s="14" t="s">
        <v>2821</v>
      </c>
      <c r="T700" s="9" t="s">
        <v>2822</v>
      </c>
      <c r="U700" s="9" t="s">
        <v>54</v>
      </c>
      <c r="V700" s="9" t="s">
        <v>897</v>
      </c>
      <c r="W700" s="9" t="s">
        <v>55</v>
      </c>
      <c r="X700" s="12" t="s">
        <v>389</v>
      </c>
      <c r="Y700" s="9" t="s">
        <v>390</v>
      </c>
      <c r="Z700" s="13" t="s">
        <v>2823</v>
      </c>
    </row>
    <row r="701" spans="1:26" ht="32.25" hidden="1" customHeight="1">
      <c r="A701" s="8">
        <v>2315609</v>
      </c>
      <c r="B701" s="9" t="s">
        <v>2824</v>
      </c>
      <c r="C701" s="10">
        <v>45155</v>
      </c>
      <c r="D701" s="9" t="s">
        <v>2825</v>
      </c>
      <c r="E701" s="9" t="s">
        <v>41</v>
      </c>
      <c r="F701" s="9" t="s">
        <v>80</v>
      </c>
      <c r="G701" s="9" t="s">
        <v>43</v>
      </c>
      <c r="H701" s="9" t="s">
        <v>44</v>
      </c>
      <c r="I701" s="11" t="s">
        <v>81</v>
      </c>
      <c r="J701" s="9" t="s">
        <v>46</v>
      </c>
      <c r="K701" s="9" t="s">
        <v>2826</v>
      </c>
      <c r="L701" s="9"/>
      <c r="M701" s="9" t="s">
        <v>2827</v>
      </c>
      <c r="N701" s="9" t="s">
        <v>50</v>
      </c>
      <c r="O701" s="9" t="s">
        <v>187</v>
      </c>
      <c r="P701" s="9" t="s">
        <v>395</v>
      </c>
      <c r="Q701" s="9"/>
      <c r="R701" s="9" t="s">
        <v>61</v>
      </c>
      <c r="S701" s="14" t="s">
        <v>641</v>
      </c>
      <c r="T701" s="9" t="s">
        <v>2828</v>
      </c>
      <c r="U701" s="9" t="s">
        <v>54</v>
      </c>
      <c r="V701" s="9" t="s">
        <v>55</v>
      </c>
      <c r="W701" s="9" t="s">
        <v>55</v>
      </c>
      <c r="X701" s="12" t="s">
        <v>196</v>
      </c>
      <c r="Y701" s="9" t="s">
        <v>197</v>
      </c>
      <c r="Z701" s="13"/>
    </row>
    <row r="702" spans="1:26" ht="32.25" hidden="1" customHeight="1">
      <c r="A702" s="8">
        <v>2303534</v>
      </c>
      <c r="B702" s="9" t="s">
        <v>2829</v>
      </c>
      <c r="C702" s="10">
        <v>45142</v>
      </c>
      <c r="D702" s="9" t="s">
        <v>67</v>
      </c>
      <c r="E702" s="9" t="s">
        <v>89</v>
      </c>
      <c r="F702" s="9" t="s">
        <v>42</v>
      </c>
      <c r="G702" s="9" t="s">
        <v>43</v>
      </c>
      <c r="H702" s="9" t="s">
        <v>44</v>
      </c>
      <c r="I702" s="11" t="s">
        <v>354</v>
      </c>
      <c r="J702" s="9" t="s">
        <v>91</v>
      </c>
      <c r="K702" s="9" t="s">
        <v>47</v>
      </c>
      <c r="L702" s="9" t="s">
        <v>221</v>
      </c>
      <c r="M702" s="9" t="s">
        <v>2830</v>
      </c>
      <c r="N702" s="9" t="s">
        <v>50</v>
      </c>
      <c r="O702" s="9" t="s">
        <v>51</v>
      </c>
      <c r="P702" s="9" t="s">
        <v>356</v>
      </c>
      <c r="Q702" s="9"/>
      <c r="R702" s="9" t="s">
        <v>61</v>
      </c>
      <c r="S702" s="9" t="s">
        <v>2831</v>
      </c>
      <c r="T702" s="9" t="s">
        <v>2832</v>
      </c>
      <c r="U702" s="9" t="s">
        <v>54</v>
      </c>
      <c r="V702" s="9" t="s">
        <v>55</v>
      </c>
      <c r="W702" s="9" t="s">
        <v>55</v>
      </c>
      <c r="X702" s="12" t="s">
        <v>319</v>
      </c>
      <c r="Y702" s="9" t="s">
        <v>320</v>
      </c>
      <c r="Z702" s="13" t="s">
        <v>2833</v>
      </c>
    </row>
    <row r="703" spans="1:26" ht="32.25" hidden="1" customHeight="1">
      <c r="A703" s="8">
        <v>2315484</v>
      </c>
      <c r="B703" s="9" t="s">
        <v>2829</v>
      </c>
      <c r="C703" s="10">
        <v>45149</v>
      </c>
      <c r="D703" s="9" t="s">
        <v>57</v>
      </c>
      <c r="E703" s="9" t="s">
        <v>41</v>
      </c>
      <c r="F703" s="9" t="s">
        <v>42</v>
      </c>
      <c r="G703" s="9" t="s">
        <v>43</v>
      </c>
      <c r="H703" s="9" t="s">
        <v>58</v>
      </c>
      <c r="I703" s="11" t="s">
        <v>129</v>
      </c>
      <c r="J703" s="9" t="s">
        <v>130</v>
      </c>
      <c r="K703" s="9" t="s">
        <v>47</v>
      </c>
      <c r="L703" s="9" t="s">
        <v>221</v>
      </c>
      <c r="M703" s="9" t="s">
        <v>2830</v>
      </c>
      <c r="N703" s="9" t="s">
        <v>50</v>
      </c>
      <c r="O703" s="9" t="s">
        <v>51</v>
      </c>
      <c r="P703" s="9"/>
      <c r="Q703" s="9"/>
      <c r="R703" s="9" t="s">
        <v>61</v>
      </c>
      <c r="S703" s="14" t="s">
        <v>2831</v>
      </c>
      <c r="T703" s="9" t="s">
        <v>2832</v>
      </c>
      <c r="U703" s="9" t="s">
        <v>54</v>
      </c>
      <c r="V703" s="9" t="s">
        <v>55</v>
      </c>
      <c r="W703" s="9" t="s">
        <v>55</v>
      </c>
      <c r="X703" s="9" t="s">
        <v>319</v>
      </c>
      <c r="Y703" s="9" t="s">
        <v>320</v>
      </c>
      <c r="Z703" s="13" t="s">
        <v>2834</v>
      </c>
    </row>
    <row r="704" spans="1:26" ht="32.25" hidden="1" customHeight="1">
      <c r="A704" s="8">
        <v>2308488</v>
      </c>
      <c r="B704" s="9" t="s">
        <v>2835</v>
      </c>
      <c r="C704" s="10">
        <v>45142</v>
      </c>
      <c r="D704" s="9" t="s">
        <v>67</v>
      </c>
      <c r="E704" s="9" t="s">
        <v>89</v>
      </c>
      <c r="F704" s="9" t="s">
        <v>42</v>
      </c>
      <c r="G704" s="9" t="s">
        <v>43</v>
      </c>
      <c r="H704" s="9" t="s">
        <v>44</v>
      </c>
      <c r="I704" s="11" t="s">
        <v>360</v>
      </c>
      <c r="J704" s="9" t="s">
        <v>102</v>
      </c>
      <c r="K704" s="9" t="s">
        <v>47</v>
      </c>
      <c r="L704" s="9" t="s">
        <v>48</v>
      </c>
      <c r="M704" s="9" t="s">
        <v>242</v>
      </c>
      <c r="N704" s="9" t="s">
        <v>50</v>
      </c>
      <c r="O704" s="9" t="s">
        <v>51</v>
      </c>
      <c r="P704" s="9" t="s">
        <v>361</v>
      </c>
      <c r="Q704" s="9"/>
      <c r="R704" s="9" t="s">
        <v>61</v>
      </c>
      <c r="S704" s="9" t="s">
        <v>2836</v>
      </c>
      <c r="T704" s="9" t="s">
        <v>2837</v>
      </c>
      <c r="U704" s="9" t="s">
        <v>54</v>
      </c>
      <c r="V704" s="9" t="s">
        <v>55</v>
      </c>
      <c r="W704" s="9" t="s">
        <v>55</v>
      </c>
      <c r="X704" s="12"/>
      <c r="Y704" s="9" t="s">
        <v>55</v>
      </c>
      <c r="Z704" s="13" t="s">
        <v>2838</v>
      </c>
    </row>
    <row r="705" spans="1:26" ht="32.25" hidden="1" customHeight="1">
      <c r="A705" s="8">
        <v>2300916</v>
      </c>
      <c r="B705" s="9" t="s">
        <v>2839</v>
      </c>
      <c r="C705" s="10">
        <v>45136</v>
      </c>
      <c r="D705" s="9" t="s">
        <v>2840</v>
      </c>
      <c r="E705" s="9" t="s">
        <v>295</v>
      </c>
      <c r="F705" s="9" t="s">
        <v>42</v>
      </c>
      <c r="G705" s="9" t="s">
        <v>43</v>
      </c>
      <c r="H705" s="9" t="s">
        <v>44</v>
      </c>
      <c r="I705" s="11" t="s">
        <v>406</v>
      </c>
      <c r="J705" s="9" t="s">
        <v>407</v>
      </c>
      <c r="K705" s="9" t="s">
        <v>47</v>
      </c>
      <c r="L705" s="9" t="s">
        <v>437</v>
      </c>
      <c r="M705" s="9" t="s">
        <v>1006</v>
      </c>
      <c r="N705" s="9" t="s">
        <v>84</v>
      </c>
      <c r="O705" s="9" t="s">
        <v>51</v>
      </c>
      <c r="P705" s="9"/>
      <c r="Q705" s="9"/>
      <c r="R705" s="9" t="s">
        <v>61</v>
      </c>
      <c r="S705" s="9" t="s">
        <v>2841</v>
      </c>
      <c r="T705" s="9" t="s">
        <v>2842</v>
      </c>
      <c r="U705" s="9" t="s">
        <v>54</v>
      </c>
      <c r="V705" s="9" t="s">
        <v>55</v>
      </c>
      <c r="W705" s="9" t="s">
        <v>55</v>
      </c>
      <c r="X705" s="9" t="s">
        <v>319</v>
      </c>
      <c r="Y705" s="9" t="s">
        <v>320</v>
      </c>
      <c r="Z705" s="13"/>
    </row>
    <row r="706" spans="1:26" ht="32.25" hidden="1" customHeight="1">
      <c r="A706" s="8">
        <v>2310502</v>
      </c>
      <c r="B706" s="9" t="s">
        <v>2843</v>
      </c>
      <c r="C706" s="10">
        <v>45136</v>
      </c>
      <c r="D706" s="9" t="s">
        <v>940</v>
      </c>
      <c r="E706" s="9" t="s">
        <v>68</v>
      </c>
      <c r="F706" s="9" t="s">
        <v>135</v>
      </c>
      <c r="G706" s="9" t="s">
        <v>43</v>
      </c>
      <c r="H706" s="9" t="s">
        <v>44</v>
      </c>
      <c r="I706" s="11" t="s">
        <v>136</v>
      </c>
      <c r="J706" s="9" t="s">
        <v>137</v>
      </c>
      <c r="K706" s="9" t="s">
        <v>47</v>
      </c>
      <c r="L706" s="9" t="s">
        <v>1760</v>
      </c>
      <c r="M706" s="9" t="s">
        <v>1761</v>
      </c>
      <c r="N706" s="9" t="s">
        <v>50</v>
      </c>
      <c r="O706" s="9" t="s">
        <v>51</v>
      </c>
      <c r="P706" s="9"/>
      <c r="Q706" s="9" t="s">
        <v>941</v>
      </c>
      <c r="R706" s="9" t="s">
        <v>61</v>
      </c>
      <c r="S706" s="9" t="s">
        <v>2844</v>
      </c>
      <c r="T706" s="9" t="s">
        <v>2845</v>
      </c>
      <c r="U706" s="9" t="s">
        <v>54</v>
      </c>
      <c r="V706" s="9" t="s">
        <v>55</v>
      </c>
      <c r="W706" s="9" t="s">
        <v>55</v>
      </c>
      <c r="X706" s="12" t="s">
        <v>76</v>
      </c>
      <c r="Y706" s="9" t="s">
        <v>77</v>
      </c>
      <c r="Z706" s="13"/>
    </row>
    <row r="707" spans="1:26" ht="32.25" hidden="1" customHeight="1">
      <c r="A707" s="8">
        <v>2308563</v>
      </c>
      <c r="B707" s="9" t="s">
        <v>2846</v>
      </c>
      <c r="C707" s="10">
        <v>45149</v>
      </c>
      <c r="D707" s="9" t="s">
        <v>57</v>
      </c>
      <c r="E707" s="9" t="s">
        <v>41</v>
      </c>
      <c r="F707" s="9" t="s">
        <v>42</v>
      </c>
      <c r="G707" s="9" t="s">
        <v>43</v>
      </c>
      <c r="H707" s="9" t="s">
        <v>58</v>
      </c>
      <c r="I707" s="11" t="s">
        <v>129</v>
      </c>
      <c r="J707" s="9" t="s">
        <v>130</v>
      </c>
      <c r="K707" s="9" t="s">
        <v>47</v>
      </c>
      <c r="L707" s="9" t="s">
        <v>156</v>
      </c>
      <c r="M707" s="9"/>
      <c r="N707" s="9" t="s">
        <v>84</v>
      </c>
      <c r="O707" s="9" t="s">
        <v>51</v>
      </c>
      <c r="P707" s="9"/>
      <c r="Q707" s="9"/>
      <c r="R707" s="9"/>
      <c r="S707" s="14" t="s">
        <v>2847</v>
      </c>
      <c r="T707" s="9" t="s">
        <v>2848</v>
      </c>
      <c r="U707" s="9" t="s">
        <v>54</v>
      </c>
      <c r="V707" s="9" t="s">
        <v>55</v>
      </c>
      <c r="W707" s="9" t="s">
        <v>55</v>
      </c>
      <c r="X707" s="12"/>
      <c r="Y707" s="9" t="s">
        <v>55</v>
      </c>
      <c r="Z707" s="13"/>
    </row>
    <row r="708" spans="1:26" ht="32.25" hidden="1" customHeight="1">
      <c r="A708" s="8">
        <v>2302918</v>
      </c>
      <c r="B708" s="9" t="s">
        <v>2849</v>
      </c>
      <c r="C708" s="10">
        <v>45156</v>
      </c>
      <c r="D708" s="9" t="s">
        <v>79</v>
      </c>
      <c r="E708" s="9" t="s">
        <v>143</v>
      </c>
      <c r="F708" s="9" t="s">
        <v>80</v>
      </c>
      <c r="G708" s="9" t="s">
        <v>43</v>
      </c>
      <c r="H708" s="9" t="s">
        <v>44</v>
      </c>
      <c r="I708" s="11" t="s">
        <v>326</v>
      </c>
      <c r="J708" s="9" t="s">
        <v>327</v>
      </c>
      <c r="K708" s="9" t="s">
        <v>47</v>
      </c>
      <c r="L708" s="9" t="s">
        <v>156</v>
      </c>
      <c r="M708" s="9"/>
      <c r="N708" s="9" t="s">
        <v>50</v>
      </c>
      <c r="O708" s="9" t="s">
        <v>51</v>
      </c>
      <c r="P708" s="9" t="s">
        <v>953</v>
      </c>
      <c r="Q708" s="9"/>
      <c r="R708" s="9"/>
      <c r="S708" s="14" t="s">
        <v>2850</v>
      </c>
      <c r="T708" s="9" t="s">
        <v>2851</v>
      </c>
      <c r="U708" s="9" t="s">
        <v>54</v>
      </c>
      <c r="V708" s="9" t="s">
        <v>55</v>
      </c>
      <c r="W708" s="9" t="s">
        <v>55</v>
      </c>
      <c r="X708" s="12"/>
      <c r="Y708" s="9" t="s">
        <v>55</v>
      </c>
      <c r="Z708" s="13"/>
    </row>
    <row r="709" spans="1:26" ht="32.25" hidden="1" customHeight="1">
      <c r="A709" s="8">
        <v>2309646</v>
      </c>
      <c r="B709" s="9" t="s">
        <v>2852</v>
      </c>
      <c r="C709" s="10">
        <v>45156</v>
      </c>
      <c r="D709" s="9" t="s">
        <v>79</v>
      </c>
      <c r="E709" s="9" t="s">
        <v>41</v>
      </c>
      <c r="F709" s="9" t="s">
        <v>80</v>
      </c>
      <c r="G709" s="9" t="s">
        <v>43</v>
      </c>
      <c r="H709" s="9" t="s">
        <v>44</v>
      </c>
      <c r="I709" s="11" t="s">
        <v>81</v>
      </c>
      <c r="J709" s="9" t="s">
        <v>46</v>
      </c>
      <c r="K709" s="9" t="s">
        <v>47</v>
      </c>
      <c r="L709" s="9" t="s">
        <v>204</v>
      </c>
      <c r="M709" s="9" t="s">
        <v>2166</v>
      </c>
      <c r="N709" s="9" t="s">
        <v>84</v>
      </c>
      <c r="O709" s="9" t="s">
        <v>51</v>
      </c>
      <c r="P709" s="9" t="s">
        <v>1263</v>
      </c>
      <c r="Q709" s="9"/>
      <c r="R709" s="9" t="s">
        <v>61</v>
      </c>
      <c r="S709" s="14" t="s">
        <v>2853</v>
      </c>
      <c r="T709" s="9" t="s">
        <v>2854</v>
      </c>
      <c r="U709" s="9" t="s">
        <v>54</v>
      </c>
      <c r="V709" s="9" t="s">
        <v>55</v>
      </c>
      <c r="W709" s="9" t="s">
        <v>55</v>
      </c>
      <c r="X709" s="9" t="s">
        <v>64</v>
      </c>
      <c r="Y709" s="9" t="s">
        <v>65</v>
      </c>
      <c r="Z709" s="13"/>
    </row>
    <row r="710" spans="1:26" ht="32.25" hidden="1" customHeight="1">
      <c r="A710" s="8">
        <v>2309031</v>
      </c>
      <c r="B710" s="9" t="s">
        <v>2855</v>
      </c>
      <c r="C710" s="10">
        <v>45156</v>
      </c>
      <c r="D710" s="9" t="s">
        <v>79</v>
      </c>
      <c r="E710" s="9" t="s">
        <v>143</v>
      </c>
      <c r="F710" s="9" t="s">
        <v>80</v>
      </c>
      <c r="G710" s="9" t="s">
        <v>43</v>
      </c>
      <c r="H710" s="9" t="s">
        <v>44</v>
      </c>
      <c r="I710" s="11" t="s">
        <v>326</v>
      </c>
      <c r="J710" s="9" t="s">
        <v>327</v>
      </c>
      <c r="K710" s="9" t="s">
        <v>47</v>
      </c>
      <c r="L710" s="9" t="s">
        <v>799</v>
      </c>
      <c r="M710" s="9" t="s">
        <v>1490</v>
      </c>
      <c r="N710" s="9" t="s">
        <v>50</v>
      </c>
      <c r="O710" s="9" t="s">
        <v>51</v>
      </c>
      <c r="P710" s="9" t="s">
        <v>1646</v>
      </c>
      <c r="Q710" s="9"/>
      <c r="R710" s="9" t="s">
        <v>61</v>
      </c>
      <c r="S710" s="14" t="s">
        <v>2856</v>
      </c>
      <c r="T710" s="9" t="s">
        <v>2857</v>
      </c>
      <c r="U710" s="9" t="s">
        <v>54</v>
      </c>
      <c r="V710" s="9" t="s">
        <v>55</v>
      </c>
      <c r="W710" s="9" t="s">
        <v>115</v>
      </c>
      <c r="X710" s="12" t="s">
        <v>150</v>
      </c>
      <c r="Y710" s="9" t="s">
        <v>151</v>
      </c>
      <c r="Z710" s="13"/>
    </row>
    <row r="711" spans="1:26" ht="32.25" hidden="1" customHeight="1">
      <c r="A711" s="8">
        <v>2305235</v>
      </c>
      <c r="B711" s="9" t="s">
        <v>2858</v>
      </c>
      <c r="C711" s="10">
        <v>45156</v>
      </c>
      <c r="D711" s="9" t="s">
        <v>79</v>
      </c>
      <c r="E711" s="9" t="s">
        <v>143</v>
      </c>
      <c r="F711" s="9" t="s">
        <v>80</v>
      </c>
      <c r="G711" s="9" t="s">
        <v>43</v>
      </c>
      <c r="H711" s="9" t="s">
        <v>44</v>
      </c>
      <c r="I711" s="11" t="s">
        <v>326</v>
      </c>
      <c r="J711" s="9" t="s">
        <v>327</v>
      </c>
      <c r="K711" s="9" t="s">
        <v>47</v>
      </c>
      <c r="L711" s="9" t="s">
        <v>2859</v>
      </c>
      <c r="M711" s="9" t="s">
        <v>2860</v>
      </c>
      <c r="N711" s="9" t="s">
        <v>50</v>
      </c>
      <c r="O711" s="9" t="s">
        <v>51</v>
      </c>
      <c r="P711" s="9" t="s">
        <v>1143</v>
      </c>
      <c r="Q711" s="9"/>
      <c r="R711" s="9" t="s">
        <v>61</v>
      </c>
      <c r="S711" s="14" t="s">
        <v>2861</v>
      </c>
      <c r="T711" s="9" t="s">
        <v>2862</v>
      </c>
      <c r="U711" s="9" t="s">
        <v>54</v>
      </c>
      <c r="V711" s="9" t="s">
        <v>370</v>
      </c>
      <c r="W711" s="9" t="s">
        <v>115</v>
      </c>
      <c r="X711" s="12" t="s">
        <v>150</v>
      </c>
      <c r="Y711" s="9" t="s">
        <v>151</v>
      </c>
      <c r="Z711" s="13"/>
    </row>
    <row r="712" spans="1:26" ht="32.25" hidden="1" customHeight="1">
      <c r="A712" s="8">
        <v>2307207</v>
      </c>
      <c r="B712" s="9" t="s">
        <v>2863</v>
      </c>
      <c r="C712" s="10">
        <v>45142</v>
      </c>
      <c r="D712" s="9" t="s">
        <v>67</v>
      </c>
      <c r="E712" s="9" t="s">
        <v>41</v>
      </c>
      <c r="F712" s="9" t="s">
        <v>42</v>
      </c>
      <c r="G712" s="9" t="s">
        <v>43</v>
      </c>
      <c r="H712" s="9" t="s">
        <v>44</v>
      </c>
      <c r="I712" s="11" t="s">
        <v>45</v>
      </c>
      <c r="J712" s="9" t="s">
        <v>46</v>
      </c>
      <c r="K712" s="9" t="s">
        <v>47</v>
      </c>
      <c r="L712" s="9" t="s">
        <v>226</v>
      </c>
      <c r="M712" s="9" t="s">
        <v>1374</v>
      </c>
      <c r="N712" s="9" t="s">
        <v>50</v>
      </c>
      <c r="O712" s="9" t="s">
        <v>51</v>
      </c>
      <c r="P712" s="9"/>
      <c r="Q712" s="9"/>
      <c r="R712" s="9" t="s">
        <v>61</v>
      </c>
      <c r="S712" s="9" t="s">
        <v>2864</v>
      </c>
      <c r="T712" s="9" t="s">
        <v>2865</v>
      </c>
      <c r="U712" s="9" t="s">
        <v>54</v>
      </c>
      <c r="V712" s="9" t="s">
        <v>55</v>
      </c>
      <c r="W712" s="9" t="s">
        <v>55</v>
      </c>
      <c r="X712" s="9" t="s">
        <v>64</v>
      </c>
      <c r="Y712" s="9" t="s">
        <v>65</v>
      </c>
      <c r="Z712" s="13"/>
    </row>
    <row r="713" spans="1:26" ht="32.25" hidden="1" customHeight="1">
      <c r="A713" s="8">
        <v>2312627</v>
      </c>
      <c r="B713" s="9" t="s">
        <v>2866</v>
      </c>
      <c r="C713" s="10">
        <v>45156</v>
      </c>
      <c r="D713" s="9" t="s">
        <v>79</v>
      </c>
      <c r="E713" s="9" t="s">
        <v>41</v>
      </c>
      <c r="F713" s="9" t="s">
        <v>80</v>
      </c>
      <c r="G713" s="9" t="s">
        <v>43</v>
      </c>
      <c r="H713" s="9" t="s">
        <v>44</v>
      </c>
      <c r="I713" s="11" t="s">
        <v>233</v>
      </c>
      <c r="J713" s="9" t="s">
        <v>200</v>
      </c>
      <c r="K713" s="9" t="s">
        <v>47</v>
      </c>
      <c r="L713" s="9" t="s">
        <v>1378</v>
      </c>
      <c r="M713" s="9" t="s">
        <v>2867</v>
      </c>
      <c r="N713" s="9" t="s">
        <v>50</v>
      </c>
      <c r="O713" s="9" t="s">
        <v>51</v>
      </c>
      <c r="P713" s="9" t="s">
        <v>865</v>
      </c>
      <c r="Q713" s="9"/>
      <c r="R713" s="9" t="s">
        <v>61</v>
      </c>
      <c r="S713" s="14" t="s">
        <v>2868</v>
      </c>
      <c r="T713" s="9" t="s">
        <v>2869</v>
      </c>
      <c r="U713" s="9" t="s">
        <v>54</v>
      </c>
      <c r="V713" s="9" t="s">
        <v>55</v>
      </c>
      <c r="W713" s="9" t="s">
        <v>55</v>
      </c>
      <c r="X713" s="9" t="s">
        <v>64</v>
      </c>
      <c r="Y713" s="9" t="s">
        <v>65</v>
      </c>
      <c r="Z713" s="13"/>
    </row>
    <row r="714" spans="1:26" ht="32.25" hidden="1" customHeight="1">
      <c r="A714" s="8">
        <v>2311576</v>
      </c>
      <c r="B714" s="9" t="s">
        <v>2870</v>
      </c>
      <c r="C714" s="10">
        <v>45149</v>
      </c>
      <c r="D714" s="9" t="s">
        <v>261</v>
      </c>
      <c r="E714" s="9" t="s">
        <v>143</v>
      </c>
      <c r="F714" s="9" t="s">
        <v>262</v>
      </c>
      <c r="G714" s="9" t="s">
        <v>43</v>
      </c>
      <c r="H714" s="9" t="s">
        <v>44</v>
      </c>
      <c r="I714" s="11" t="s">
        <v>435</v>
      </c>
      <c r="J714" s="9" t="s">
        <v>436</v>
      </c>
      <c r="K714" s="9" t="s">
        <v>47</v>
      </c>
      <c r="L714" s="9"/>
      <c r="M714" s="9"/>
      <c r="N714" s="9" t="s">
        <v>50</v>
      </c>
      <c r="O714" s="9" t="s">
        <v>51</v>
      </c>
      <c r="P714" s="9"/>
      <c r="Q714" s="9"/>
      <c r="R714" s="9" t="s">
        <v>61</v>
      </c>
      <c r="S714" s="14" t="s">
        <v>2871</v>
      </c>
      <c r="T714" s="9" t="s">
        <v>2872</v>
      </c>
      <c r="U714" s="9" t="s">
        <v>262</v>
      </c>
      <c r="V714" s="9" t="s">
        <v>370</v>
      </c>
      <c r="W714" s="9" t="s">
        <v>115</v>
      </c>
      <c r="X714" s="12" t="s">
        <v>389</v>
      </c>
      <c r="Y714" s="9" t="s">
        <v>390</v>
      </c>
      <c r="Z714" s="13"/>
    </row>
    <row r="715" spans="1:26" ht="32.25" hidden="1" customHeight="1">
      <c r="A715" s="8">
        <v>2300571</v>
      </c>
      <c r="B715" s="9" t="s">
        <v>2873</v>
      </c>
      <c r="C715" s="10">
        <v>45142</v>
      </c>
      <c r="D715" s="9" t="s">
        <v>67</v>
      </c>
      <c r="E715" s="9" t="s">
        <v>143</v>
      </c>
      <c r="F715" s="9" t="s">
        <v>42</v>
      </c>
      <c r="G715" s="9" t="s">
        <v>43</v>
      </c>
      <c r="H715" s="9" t="s">
        <v>44</v>
      </c>
      <c r="I715" s="11" t="s">
        <v>144</v>
      </c>
      <c r="J715" s="9" t="s">
        <v>145</v>
      </c>
      <c r="K715" s="9" t="s">
        <v>47</v>
      </c>
      <c r="L715" s="9" t="s">
        <v>162</v>
      </c>
      <c r="M715" s="9" t="s">
        <v>163</v>
      </c>
      <c r="N715" s="9" t="s">
        <v>50</v>
      </c>
      <c r="O715" s="9" t="s">
        <v>51</v>
      </c>
      <c r="P715" s="9" t="s">
        <v>147</v>
      </c>
      <c r="Q715" s="9"/>
      <c r="R715" s="9" t="s">
        <v>61</v>
      </c>
      <c r="S715" s="9" t="s">
        <v>2874</v>
      </c>
      <c r="T715" s="9" t="s">
        <v>2875</v>
      </c>
      <c r="U715" s="9" t="s">
        <v>54</v>
      </c>
      <c r="V715" s="9" t="s">
        <v>55</v>
      </c>
      <c r="W715" s="9" t="s">
        <v>55</v>
      </c>
      <c r="X715" s="12" t="s">
        <v>150</v>
      </c>
      <c r="Y715" s="9" t="s">
        <v>151</v>
      </c>
      <c r="Z715" s="13"/>
    </row>
    <row r="716" spans="1:26" ht="32.25" hidden="1" customHeight="1">
      <c r="A716" s="8">
        <v>2303075</v>
      </c>
      <c r="B716" s="9" t="s">
        <v>2876</v>
      </c>
      <c r="C716" s="10">
        <v>45156</v>
      </c>
      <c r="D716" s="9" t="s">
        <v>79</v>
      </c>
      <c r="E716" s="9" t="s">
        <v>143</v>
      </c>
      <c r="F716" s="9" t="s">
        <v>80</v>
      </c>
      <c r="G716" s="9" t="s">
        <v>43</v>
      </c>
      <c r="H716" s="9" t="s">
        <v>44</v>
      </c>
      <c r="I716" s="11" t="s">
        <v>399</v>
      </c>
      <c r="J716" s="9" t="s">
        <v>400</v>
      </c>
      <c r="K716" s="9" t="s">
        <v>416</v>
      </c>
      <c r="L716" s="9"/>
      <c r="M716" s="9"/>
      <c r="N716" s="9" t="s">
        <v>50</v>
      </c>
      <c r="O716" s="9" t="s">
        <v>51</v>
      </c>
      <c r="P716" s="9" t="s">
        <v>1137</v>
      </c>
      <c r="Q716" s="9"/>
      <c r="R716" s="9"/>
      <c r="S716" s="14" t="s">
        <v>2877</v>
      </c>
      <c r="T716" s="9" t="s">
        <v>2878</v>
      </c>
      <c r="U716" s="9" t="s">
        <v>54</v>
      </c>
      <c r="V716" s="9" t="s">
        <v>370</v>
      </c>
      <c r="W716" s="9" t="s">
        <v>115</v>
      </c>
      <c r="X716" s="12"/>
      <c r="Y716" s="9" t="s">
        <v>55</v>
      </c>
      <c r="Z716" s="13"/>
    </row>
    <row r="717" spans="1:26" ht="32.25" hidden="1" customHeight="1">
      <c r="A717" s="8">
        <v>2304095</v>
      </c>
      <c r="B717" s="9" t="s">
        <v>2879</v>
      </c>
      <c r="C717" s="10">
        <v>45142</v>
      </c>
      <c r="D717" s="9" t="s">
        <v>67</v>
      </c>
      <c r="E717" s="9" t="s">
        <v>89</v>
      </c>
      <c r="F717" s="9" t="s">
        <v>42</v>
      </c>
      <c r="G717" s="9" t="s">
        <v>43</v>
      </c>
      <c r="H717" s="9" t="s">
        <v>44</v>
      </c>
      <c r="I717" s="11" t="s">
        <v>354</v>
      </c>
      <c r="J717" s="9" t="s">
        <v>91</v>
      </c>
      <c r="K717" s="9" t="s">
        <v>47</v>
      </c>
      <c r="L717" s="9" t="s">
        <v>156</v>
      </c>
      <c r="M717" s="9"/>
      <c r="N717" s="9" t="s">
        <v>84</v>
      </c>
      <c r="O717" s="9" t="s">
        <v>51</v>
      </c>
      <c r="P717" s="9" t="s">
        <v>356</v>
      </c>
      <c r="Q717" s="9"/>
      <c r="R717" s="9"/>
      <c r="S717" s="9" t="s">
        <v>2880</v>
      </c>
      <c r="T717" s="9" t="s">
        <v>2881</v>
      </c>
      <c r="U717" s="9" t="s">
        <v>54</v>
      </c>
      <c r="V717" s="9" t="s">
        <v>55</v>
      </c>
      <c r="W717" s="9" t="s">
        <v>55</v>
      </c>
      <c r="X717" s="12"/>
      <c r="Y717" s="9" t="s">
        <v>55</v>
      </c>
      <c r="Z717" s="13"/>
    </row>
    <row r="718" spans="1:26" ht="32.25" hidden="1" customHeight="1">
      <c r="A718" s="8">
        <v>2300658</v>
      </c>
      <c r="B718" s="9" t="s">
        <v>2882</v>
      </c>
      <c r="C718" s="10">
        <v>45149</v>
      </c>
      <c r="D718" s="9" t="s">
        <v>57</v>
      </c>
      <c r="E718" s="9" t="s">
        <v>295</v>
      </c>
      <c r="F718" s="9" t="s">
        <v>42</v>
      </c>
      <c r="G718" s="9" t="s">
        <v>43</v>
      </c>
      <c r="H718" s="9" t="s">
        <v>58</v>
      </c>
      <c r="I718" s="11" t="s">
        <v>296</v>
      </c>
      <c r="J718" s="9" t="s">
        <v>297</v>
      </c>
      <c r="K718" s="9" t="s">
        <v>47</v>
      </c>
      <c r="L718" s="9" t="s">
        <v>48</v>
      </c>
      <c r="M718" s="9" t="s">
        <v>1447</v>
      </c>
      <c r="N718" s="9" t="s">
        <v>84</v>
      </c>
      <c r="O718" s="9" t="s">
        <v>51</v>
      </c>
      <c r="P718" s="9"/>
      <c r="Q718" s="9"/>
      <c r="R718" s="9"/>
      <c r="S718" s="14" t="s">
        <v>2883</v>
      </c>
      <c r="T718" s="9" t="s">
        <v>2884</v>
      </c>
      <c r="U718" s="9" t="s">
        <v>54</v>
      </c>
      <c r="V718" s="9" t="s">
        <v>55</v>
      </c>
      <c r="W718" s="9" t="s">
        <v>55</v>
      </c>
      <c r="X718" s="12"/>
      <c r="Y718" s="9" t="s">
        <v>55</v>
      </c>
      <c r="Z718" s="13"/>
    </row>
    <row r="719" spans="1:26" ht="32.25" hidden="1" customHeight="1">
      <c r="A719" s="8">
        <v>2309169</v>
      </c>
      <c r="B719" s="9" t="s">
        <v>2885</v>
      </c>
      <c r="C719" s="10">
        <v>45156</v>
      </c>
      <c r="D719" s="9" t="s">
        <v>79</v>
      </c>
      <c r="E719" s="9" t="s">
        <v>89</v>
      </c>
      <c r="F719" s="9" t="s">
        <v>80</v>
      </c>
      <c r="G719" s="9" t="s">
        <v>43</v>
      </c>
      <c r="H719" s="9" t="s">
        <v>44</v>
      </c>
      <c r="I719" s="11" t="s">
        <v>101</v>
      </c>
      <c r="J719" s="9" t="s">
        <v>102</v>
      </c>
      <c r="K719" s="9" t="s">
        <v>47</v>
      </c>
      <c r="L719" s="9" t="s">
        <v>156</v>
      </c>
      <c r="M719" s="9" t="s">
        <v>1352</v>
      </c>
      <c r="N719" s="9" t="s">
        <v>50</v>
      </c>
      <c r="O719" s="9" t="s">
        <v>51</v>
      </c>
      <c r="P719" s="9" t="s">
        <v>104</v>
      </c>
      <c r="Q719" s="9"/>
      <c r="R719" s="9"/>
      <c r="S719" s="14" t="s">
        <v>2886</v>
      </c>
      <c r="T719" s="9" t="s">
        <v>2887</v>
      </c>
      <c r="U719" s="9" t="s">
        <v>54</v>
      </c>
      <c r="V719" s="9" t="s">
        <v>55</v>
      </c>
      <c r="W719" s="9" t="s">
        <v>55</v>
      </c>
      <c r="X719" s="12"/>
      <c r="Y719" s="9" t="s">
        <v>55</v>
      </c>
      <c r="Z719" s="13"/>
    </row>
    <row r="720" spans="1:26" ht="32.25" hidden="1" customHeight="1">
      <c r="A720" s="8">
        <v>2307899</v>
      </c>
      <c r="B720" s="9" t="s">
        <v>2888</v>
      </c>
      <c r="C720" s="10">
        <v>45136</v>
      </c>
      <c r="D720" s="9" t="s">
        <v>40</v>
      </c>
      <c r="E720" s="9" t="s">
        <v>41</v>
      </c>
      <c r="F720" s="9" t="s">
        <v>42</v>
      </c>
      <c r="G720" s="9" t="s">
        <v>43</v>
      </c>
      <c r="H720" s="9" t="s">
        <v>44</v>
      </c>
      <c r="I720" s="11" t="s">
        <v>661</v>
      </c>
      <c r="J720" s="9" t="s">
        <v>662</v>
      </c>
      <c r="K720" s="9" t="s">
        <v>47</v>
      </c>
      <c r="L720" s="9" t="s">
        <v>411</v>
      </c>
      <c r="M720" s="9" t="s">
        <v>412</v>
      </c>
      <c r="N720" s="9" t="s">
        <v>50</v>
      </c>
      <c r="O720" s="9" t="s">
        <v>51</v>
      </c>
      <c r="P720" s="9"/>
      <c r="Q720" s="9"/>
      <c r="R720" s="9" t="s">
        <v>61</v>
      </c>
      <c r="S720" s="9" t="s">
        <v>2889</v>
      </c>
      <c r="T720" s="9" t="s">
        <v>2890</v>
      </c>
      <c r="U720" s="9" t="s">
        <v>54</v>
      </c>
      <c r="V720" s="9" t="s">
        <v>55</v>
      </c>
      <c r="W720" s="9" t="s">
        <v>55</v>
      </c>
      <c r="X720" s="9" t="s">
        <v>64</v>
      </c>
      <c r="Y720" s="9" t="s">
        <v>65</v>
      </c>
      <c r="Z720" s="13"/>
    </row>
    <row r="721" spans="1:26" ht="32.25" hidden="1" customHeight="1">
      <c r="A721" s="8">
        <v>2315407</v>
      </c>
      <c r="B721" s="9" t="s">
        <v>2891</v>
      </c>
      <c r="C721" s="10">
        <v>45152</v>
      </c>
      <c r="D721" s="9" t="s">
        <v>185</v>
      </c>
      <c r="E721" s="9" t="s">
        <v>153</v>
      </c>
      <c r="F721" s="9" t="s">
        <v>42</v>
      </c>
      <c r="G721" s="9" t="s">
        <v>43</v>
      </c>
      <c r="H721" s="9" t="s">
        <v>44</v>
      </c>
      <c r="I721" s="11" t="s">
        <v>154</v>
      </c>
      <c r="J721" s="9" t="s">
        <v>155</v>
      </c>
      <c r="K721" s="9" t="s">
        <v>1158</v>
      </c>
      <c r="L721" s="9"/>
      <c r="M721" s="9" t="s">
        <v>2892</v>
      </c>
      <c r="N721" s="9" t="s">
        <v>84</v>
      </c>
      <c r="O721" s="9" t="s">
        <v>187</v>
      </c>
      <c r="P721" s="9"/>
      <c r="Q721" s="9"/>
      <c r="R721" s="9" t="s">
        <v>61</v>
      </c>
      <c r="S721" s="14" t="s">
        <v>2893</v>
      </c>
      <c r="T721" s="9" t="s">
        <v>2894</v>
      </c>
      <c r="U721" s="9" t="s">
        <v>54</v>
      </c>
      <c r="V721" s="9" t="s">
        <v>55</v>
      </c>
      <c r="W721" s="9" t="s">
        <v>55</v>
      </c>
      <c r="X721" s="12" t="s">
        <v>171</v>
      </c>
      <c r="Y721" s="9" t="s">
        <v>172</v>
      </c>
      <c r="Z721" s="13"/>
    </row>
    <row r="722" spans="1:26" ht="32.25" hidden="1" customHeight="1">
      <c r="A722" s="8">
        <v>2303599</v>
      </c>
      <c r="B722" s="9" t="s">
        <v>2895</v>
      </c>
      <c r="C722" s="10">
        <v>45142</v>
      </c>
      <c r="D722" s="9" t="s">
        <v>67</v>
      </c>
      <c r="E722" s="9" t="s">
        <v>68</v>
      </c>
      <c r="F722" s="9" t="s">
        <v>135</v>
      </c>
      <c r="G722" s="9" t="s">
        <v>43</v>
      </c>
      <c r="H722" s="9" t="s">
        <v>44</v>
      </c>
      <c r="I722" s="11" t="s">
        <v>136</v>
      </c>
      <c r="J722" s="9" t="s">
        <v>137</v>
      </c>
      <c r="K722" s="9" t="s">
        <v>47</v>
      </c>
      <c r="L722" s="9" t="s">
        <v>48</v>
      </c>
      <c r="M722" s="9" t="s">
        <v>1985</v>
      </c>
      <c r="N722" s="9" t="s">
        <v>50</v>
      </c>
      <c r="O722" s="9" t="s">
        <v>51</v>
      </c>
      <c r="P722" s="9"/>
      <c r="Q722" s="9"/>
      <c r="R722" s="9"/>
      <c r="S722" s="9" t="s">
        <v>2896</v>
      </c>
      <c r="T722" s="9" t="s">
        <v>2897</v>
      </c>
      <c r="U722" s="9" t="s">
        <v>54</v>
      </c>
      <c r="V722" s="9" t="s">
        <v>55</v>
      </c>
      <c r="W722" s="9" t="s">
        <v>55</v>
      </c>
      <c r="X722" s="12"/>
      <c r="Y722" s="9" t="s">
        <v>55</v>
      </c>
      <c r="Z722" s="13"/>
    </row>
    <row r="723" spans="1:26" ht="32.25" hidden="1" customHeight="1">
      <c r="A723" s="8">
        <v>2302978</v>
      </c>
      <c r="B723" s="9" t="s">
        <v>2898</v>
      </c>
      <c r="C723" s="10">
        <v>45142</v>
      </c>
      <c r="D723" s="9" t="s">
        <v>67</v>
      </c>
      <c r="E723" s="9" t="s">
        <v>143</v>
      </c>
      <c r="F723" s="9" t="s">
        <v>42</v>
      </c>
      <c r="G723" s="9" t="s">
        <v>43</v>
      </c>
      <c r="H723" s="9" t="s">
        <v>44</v>
      </c>
      <c r="I723" s="11" t="s">
        <v>460</v>
      </c>
      <c r="J723" s="9" t="s">
        <v>400</v>
      </c>
      <c r="K723" s="9" t="s">
        <v>47</v>
      </c>
      <c r="L723" s="9" t="s">
        <v>305</v>
      </c>
      <c r="M723" s="9" t="s">
        <v>2899</v>
      </c>
      <c r="N723" s="9" t="s">
        <v>84</v>
      </c>
      <c r="O723" s="9" t="s">
        <v>51</v>
      </c>
      <c r="P723" s="9"/>
      <c r="Q723" s="9"/>
      <c r="R723" s="9" t="s">
        <v>61</v>
      </c>
      <c r="S723" s="9" t="s">
        <v>2900</v>
      </c>
      <c r="T723" s="9" t="s">
        <v>2901</v>
      </c>
      <c r="U723" s="9" t="s">
        <v>54</v>
      </c>
      <c r="V723" s="9" t="s">
        <v>55</v>
      </c>
      <c r="W723" s="9" t="s">
        <v>55</v>
      </c>
      <c r="X723" s="12" t="s">
        <v>150</v>
      </c>
      <c r="Y723" s="9" t="s">
        <v>151</v>
      </c>
      <c r="Z723" s="13"/>
    </row>
    <row r="724" spans="1:26" ht="32.25" hidden="1" customHeight="1">
      <c r="A724" s="8">
        <v>2308312</v>
      </c>
      <c r="B724" s="9" t="s">
        <v>2902</v>
      </c>
      <c r="C724" s="10">
        <v>45149</v>
      </c>
      <c r="D724" s="9" t="s">
        <v>57</v>
      </c>
      <c r="E724" s="9" t="s">
        <v>41</v>
      </c>
      <c r="F724" s="9" t="s">
        <v>42</v>
      </c>
      <c r="G724" s="9" t="s">
        <v>43</v>
      </c>
      <c r="H724" s="9" t="s">
        <v>58</v>
      </c>
      <c r="I724" s="11" t="s">
        <v>199</v>
      </c>
      <c r="J724" s="9" t="s">
        <v>200</v>
      </c>
      <c r="K724" s="9" t="s">
        <v>47</v>
      </c>
      <c r="L724" s="9" t="s">
        <v>59</v>
      </c>
      <c r="M724" s="9" t="s">
        <v>60</v>
      </c>
      <c r="N724" s="9" t="s">
        <v>84</v>
      </c>
      <c r="O724" s="9" t="s">
        <v>51</v>
      </c>
      <c r="P724" s="9"/>
      <c r="Q724" s="9"/>
      <c r="R724" s="9" t="s">
        <v>61</v>
      </c>
      <c r="S724" s="14" t="s">
        <v>2903</v>
      </c>
      <c r="T724" s="9" t="s">
        <v>2904</v>
      </c>
      <c r="U724" s="9" t="s">
        <v>54</v>
      </c>
      <c r="V724" s="9" t="s">
        <v>55</v>
      </c>
      <c r="W724" s="9" t="s">
        <v>55</v>
      </c>
      <c r="X724" s="12" t="s">
        <v>196</v>
      </c>
      <c r="Y724" s="9" t="s">
        <v>197</v>
      </c>
      <c r="Z724" s="13"/>
    </row>
    <row r="725" spans="1:26" ht="32.25" hidden="1" customHeight="1">
      <c r="A725" s="8">
        <v>2308628</v>
      </c>
      <c r="B725" s="9" t="s">
        <v>2905</v>
      </c>
      <c r="C725" s="10">
        <v>45156</v>
      </c>
      <c r="D725" s="9" t="s">
        <v>79</v>
      </c>
      <c r="E725" s="9" t="s">
        <v>295</v>
      </c>
      <c r="F725" s="9" t="s">
        <v>80</v>
      </c>
      <c r="G725" s="9" t="s">
        <v>43</v>
      </c>
      <c r="H725" s="9" t="s">
        <v>44</v>
      </c>
      <c r="I725" s="11" t="s">
        <v>1600</v>
      </c>
      <c r="J725" s="9" t="s">
        <v>407</v>
      </c>
      <c r="K725" s="9" t="s">
        <v>47</v>
      </c>
      <c r="L725" s="9" t="s">
        <v>48</v>
      </c>
      <c r="M725" s="9" t="s">
        <v>1872</v>
      </c>
      <c r="N725" s="9" t="s">
        <v>50</v>
      </c>
      <c r="O725" s="9" t="s">
        <v>51</v>
      </c>
      <c r="P725" s="9" t="s">
        <v>2906</v>
      </c>
      <c r="Q725" s="9"/>
      <c r="R725" s="9" t="s">
        <v>61</v>
      </c>
      <c r="S725" s="14" t="s">
        <v>2907</v>
      </c>
      <c r="T725" s="9" t="s">
        <v>2908</v>
      </c>
      <c r="U725" s="9" t="s">
        <v>54</v>
      </c>
      <c r="V725" s="9"/>
      <c r="W725" s="9" t="s">
        <v>115</v>
      </c>
      <c r="X725" s="12"/>
      <c r="Y725" s="9" t="s">
        <v>55</v>
      </c>
      <c r="Z725" s="13" t="s">
        <v>2909</v>
      </c>
    </row>
    <row r="726" spans="1:26" ht="32.25" hidden="1" customHeight="1">
      <c r="A726" s="8">
        <v>2311935</v>
      </c>
      <c r="B726" s="9" t="s">
        <v>2910</v>
      </c>
      <c r="C726" s="10">
        <v>45149</v>
      </c>
      <c r="D726" s="9" t="s">
        <v>261</v>
      </c>
      <c r="E726" s="9" t="s">
        <v>143</v>
      </c>
      <c r="F726" s="9" t="s">
        <v>262</v>
      </c>
      <c r="G726" s="9" t="s">
        <v>43</v>
      </c>
      <c r="H726" s="9" t="s">
        <v>44</v>
      </c>
      <c r="I726" s="11" t="s">
        <v>1136</v>
      </c>
      <c r="J726" s="9" t="s">
        <v>1137</v>
      </c>
      <c r="K726" s="9" t="s">
        <v>47</v>
      </c>
      <c r="L726" s="9" t="s">
        <v>48</v>
      </c>
      <c r="M726" s="9" t="s">
        <v>674</v>
      </c>
      <c r="N726" s="9" t="s">
        <v>50</v>
      </c>
      <c r="O726" s="9" t="s">
        <v>51</v>
      </c>
      <c r="P726" s="9"/>
      <c r="Q726" s="9"/>
      <c r="R726" s="9" t="s">
        <v>61</v>
      </c>
      <c r="S726" s="14" t="s">
        <v>2911</v>
      </c>
      <c r="T726" s="9" t="s">
        <v>2912</v>
      </c>
      <c r="U726" s="9" t="s">
        <v>262</v>
      </c>
      <c r="V726" s="9" t="s">
        <v>55</v>
      </c>
      <c r="W726" s="9" t="s">
        <v>55</v>
      </c>
      <c r="X726" s="12" t="s">
        <v>389</v>
      </c>
      <c r="Y726" s="9" t="s">
        <v>390</v>
      </c>
      <c r="Z726" s="13"/>
    </row>
    <row r="727" spans="1:26" ht="32.25" hidden="1" customHeight="1">
      <c r="A727" s="8">
        <v>2304125</v>
      </c>
      <c r="B727" s="9" t="s">
        <v>2913</v>
      </c>
      <c r="C727" s="10">
        <v>45149</v>
      </c>
      <c r="D727" s="9" t="s">
        <v>57</v>
      </c>
      <c r="E727" s="9" t="s">
        <v>153</v>
      </c>
      <c r="F727" s="9" t="s">
        <v>42</v>
      </c>
      <c r="G727" s="9" t="s">
        <v>43</v>
      </c>
      <c r="H727" s="9" t="s">
        <v>58</v>
      </c>
      <c r="I727" s="11" t="s">
        <v>154</v>
      </c>
      <c r="J727" s="9" t="s">
        <v>155</v>
      </c>
      <c r="K727" s="9" t="s">
        <v>47</v>
      </c>
      <c r="L727" s="9" t="s">
        <v>156</v>
      </c>
      <c r="M727" s="9"/>
      <c r="N727" s="9" t="s">
        <v>84</v>
      </c>
      <c r="O727" s="9" t="s">
        <v>51</v>
      </c>
      <c r="P727" s="9"/>
      <c r="Q727" s="9"/>
      <c r="R727" s="9"/>
      <c r="S727" s="14" t="s">
        <v>2914</v>
      </c>
      <c r="T727" s="9" t="s">
        <v>2915</v>
      </c>
      <c r="U727" s="9" t="s">
        <v>54</v>
      </c>
      <c r="V727" s="9" t="s">
        <v>55</v>
      </c>
      <c r="W727" s="9" t="s">
        <v>55</v>
      </c>
      <c r="X727" s="12"/>
      <c r="Y727" s="9" t="s">
        <v>55</v>
      </c>
      <c r="Z727" s="13"/>
    </row>
    <row r="728" spans="1:26" ht="32.25" hidden="1" customHeight="1">
      <c r="A728" s="8">
        <v>2307384</v>
      </c>
      <c r="B728" s="9" t="s">
        <v>2916</v>
      </c>
      <c r="C728" s="10">
        <v>45142</v>
      </c>
      <c r="D728" s="9" t="s">
        <v>67</v>
      </c>
      <c r="E728" s="9" t="s">
        <v>68</v>
      </c>
      <c r="F728" s="9" t="s">
        <v>135</v>
      </c>
      <c r="G728" s="9" t="s">
        <v>43</v>
      </c>
      <c r="H728" s="9" t="s">
        <v>44</v>
      </c>
      <c r="I728" s="11" t="s">
        <v>136</v>
      </c>
      <c r="J728" s="9" t="s">
        <v>137</v>
      </c>
      <c r="K728" s="9" t="s">
        <v>47</v>
      </c>
      <c r="L728" s="9" t="s">
        <v>138</v>
      </c>
      <c r="M728" s="9" t="s">
        <v>624</v>
      </c>
      <c r="N728" s="9" t="s">
        <v>50</v>
      </c>
      <c r="O728" s="9" t="s">
        <v>51</v>
      </c>
      <c r="P728" s="9"/>
      <c r="Q728" s="9"/>
      <c r="R728" s="9" t="s">
        <v>61</v>
      </c>
      <c r="S728" s="9" t="s">
        <v>2917</v>
      </c>
      <c r="T728" s="9" t="s">
        <v>2918</v>
      </c>
      <c r="U728" s="9" t="s">
        <v>54</v>
      </c>
      <c r="V728" s="9" t="s">
        <v>55</v>
      </c>
      <c r="W728" s="9" t="s">
        <v>55</v>
      </c>
      <c r="X728" s="12" t="s">
        <v>76</v>
      </c>
      <c r="Y728" s="9" t="s">
        <v>77</v>
      </c>
      <c r="Z728" s="13"/>
    </row>
    <row r="729" spans="1:26" ht="32.25" hidden="1" customHeight="1">
      <c r="A729" s="8">
        <v>2308447</v>
      </c>
      <c r="B729" s="9" t="s">
        <v>2919</v>
      </c>
      <c r="C729" s="10">
        <v>45136</v>
      </c>
      <c r="D729" s="9" t="s">
        <v>1072</v>
      </c>
      <c r="E729" s="9" t="s">
        <v>143</v>
      </c>
      <c r="F729" s="9" t="s">
        <v>42</v>
      </c>
      <c r="G729" s="9" t="s">
        <v>43</v>
      </c>
      <c r="H729" s="9" t="s">
        <v>44</v>
      </c>
      <c r="I729" s="11" t="s">
        <v>334</v>
      </c>
      <c r="J729" s="9" t="s">
        <v>327</v>
      </c>
      <c r="K729" s="9" t="s">
        <v>47</v>
      </c>
      <c r="L729" s="9" t="s">
        <v>713</v>
      </c>
      <c r="M729" s="9" t="s">
        <v>2920</v>
      </c>
      <c r="N729" s="9" t="s">
        <v>50</v>
      </c>
      <c r="O729" s="9" t="s">
        <v>51</v>
      </c>
      <c r="P729" s="9" t="s">
        <v>336</v>
      </c>
      <c r="Q729" s="9"/>
      <c r="R729" s="9" t="s">
        <v>61</v>
      </c>
      <c r="S729" s="9" t="s">
        <v>2921</v>
      </c>
      <c r="T729" s="9" t="s">
        <v>2922</v>
      </c>
      <c r="U729" s="9" t="s">
        <v>54</v>
      </c>
      <c r="V729" s="9" t="s">
        <v>55</v>
      </c>
      <c r="W729" s="9" t="s">
        <v>55</v>
      </c>
      <c r="X729" s="12" t="s">
        <v>150</v>
      </c>
      <c r="Y729" s="9" t="s">
        <v>151</v>
      </c>
      <c r="Z729" s="13"/>
    </row>
    <row r="730" spans="1:26" ht="32.25" hidden="1" customHeight="1">
      <c r="A730" s="8">
        <v>2305174</v>
      </c>
      <c r="B730" s="9" t="s">
        <v>2923</v>
      </c>
      <c r="C730" s="10">
        <v>45156</v>
      </c>
      <c r="D730" s="9" t="s">
        <v>79</v>
      </c>
      <c r="E730" s="9" t="s">
        <v>143</v>
      </c>
      <c r="F730" s="9" t="s">
        <v>80</v>
      </c>
      <c r="G730" s="9" t="s">
        <v>43</v>
      </c>
      <c r="H730" s="9" t="s">
        <v>44</v>
      </c>
      <c r="I730" s="11" t="s">
        <v>725</v>
      </c>
      <c r="J730" s="9" t="s">
        <v>145</v>
      </c>
      <c r="K730" s="9" t="s">
        <v>47</v>
      </c>
      <c r="L730" s="9" t="s">
        <v>204</v>
      </c>
      <c r="M730" s="9" t="s">
        <v>2166</v>
      </c>
      <c r="N730" s="9" t="s">
        <v>84</v>
      </c>
      <c r="O730" s="9" t="s">
        <v>51</v>
      </c>
      <c r="P730" s="9" t="s">
        <v>2924</v>
      </c>
      <c r="Q730" s="9"/>
      <c r="R730" s="9" t="s">
        <v>61</v>
      </c>
      <c r="S730" s="14" t="s">
        <v>2925</v>
      </c>
      <c r="T730" s="9" t="s">
        <v>2926</v>
      </c>
      <c r="U730" s="9" t="s">
        <v>54</v>
      </c>
      <c r="V730" s="9" t="s">
        <v>251</v>
      </c>
      <c r="W730" s="9" t="s">
        <v>115</v>
      </c>
      <c r="X730" s="12" t="s">
        <v>171</v>
      </c>
      <c r="Y730" s="9" t="s">
        <v>172</v>
      </c>
      <c r="Z730" s="13"/>
    </row>
    <row r="731" spans="1:26" ht="32.25" hidden="1" customHeight="1">
      <c r="A731" s="8">
        <v>2305891</v>
      </c>
      <c r="B731" s="9" t="s">
        <v>2927</v>
      </c>
      <c r="C731" s="10">
        <v>45142</v>
      </c>
      <c r="D731" s="9" t="s">
        <v>67</v>
      </c>
      <c r="E731" s="9" t="s">
        <v>143</v>
      </c>
      <c r="F731" s="9" t="s">
        <v>42</v>
      </c>
      <c r="G731" s="9" t="s">
        <v>43</v>
      </c>
      <c r="H731" s="9" t="s">
        <v>44</v>
      </c>
      <c r="I731" s="11" t="s">
        <v>144</v>
      </c>
      <c r="J731" s="9" t="s">
        <v>145</v>
      </c>
      <c r="K731" s="9" t="s">
        <v>47</v>
      </c>
      <c r="L731" s="9" t="s">
        <v>204</v>
      </c>
      <c r="M731" s="9" t="s">
        <v>2928</v>
      </c>
      <c r="N731" s="9" t="s">
        <v>84</v>
      </c>
      <c r="O731" s="9" t="s">
        <v>51</v>
      </c>
      <c r="P731" s="9" t="s">
        <v>147</v>
      </c>
      <c r="Q731" s="9"/>
      <c r="R731" s="9" t="s">
        <v>61</v>
      </c>
      <c r="S731" s="9" t="s">
        <v>2929</v>
      </c>
      <c r="T731" s="9" t="s">
        <v>2930</v>
      </c>
      <c r="U731" s="9" t="s">
        <v>54</v>
      </c>
      <c r="V731" s="9" t="s">
        <v>55</v>
      </c>
      <c r="W731" s="9" t="s">
        <v>55</v>
      </c>
      <c r="X731" s="12" t="s">
        <v>150</v>
      </c>
      <c r="Y731" s="9" t="s">
        <v>151</v>
      </c>
      <c r="Z731" s="13"/>
    </row>
    <row r="732" spans="1:26" ht="32.25" hidden="1" customHeight="1">
      <c r="A732" s="8">
        <v>2305914</v>
      </c>
      <c r="B732" s="9" t="s">
        <v>2931</v>
      </c>
      <c r="C732" s="10">
        <v>45156</v>
      </c>
      <c r="D732" s="9" t="s">
        <v>565</v>
      </c>
      <c r="E732" s="9" t="s">
        <v>41</v>
      </c>
      <c r="F732" s="9" t="s">
        <v>42</v>
      </c>
      <c r="G732" s="9" t="s">
        <v>43</v>
      </c>
      <c r="H732" s="9" t="s">
        <v>58</v>
      </c>
      <c r="I732" s="11" t="s">
        <v>199</v>
      </c>
      <c r="J732" s="9" t="s">
        <v>200</v>
      </c>
      <c r="K732" s="9" t="s">
        <v>47</v>
      </c>
      <c r="L732" s="9" t="s">
        <v>156</v>
      </c>
      <c r="M732" s="9"/>
      <c r="N732" s="9" t="s">
        <v>50</v>
      </c>
      <c r="O732" s="9" t="s">
        <v>51</v>
      </c>
      <c r="P732" s="9"/>
      <c r="Q732" s="9"/>
      <c r="R732" s="9"/>
      <c r="S732" s="14" t="s">
        <v>2932</v>
      </c>
      <c r="T732" s="9" t="s">
        <v>2933</v>
      </c>
      <c r="U732" s="9" t="s">
        <v>54</v>
      </c>
      <c r="V732" s="9" t="s">
        <v>55</v>
      </c>
      <c r="W732" s="9" t="s">
        <v>55</v>
      </c>
      <c r="X732" s="12"/>
      <c r="Y732" s="9" t="s">
        <v>55</v>
      </c>
      <c r="Z732" s="13"/>
    </row>
    <row r="733" spans="1:26" ht="32.25" hidden="1" customHeight="1">
      <c r="A733" s="8">
        <v>2304625</v>
      </c>
      <c r="B733" s="9" t="s">
        <v>2934</v>
      </c>
      <c r="C733" s="10">
        <v>45142</v>
      </c>
      <c r="D733" s="9" t="s">
        <v>67</v>
      </c>
      <c r="E733" s="9" t="s">
        <v>143</v>
      </c>
      <c r="F733" s="9" t="s">
        <v>42</v>
      </c>
      <c r="G733" s="9" t="s">
        <v>43</v>
      </c>
      <c r="H733" s="9" t="s">
        <v>44</v>
      </c>
      <c r="I733" s="11" t="s">
        <v>334</v>
      </c>
      <c r="J733" s="9" t="s">
        <v>327</v>
      </c>
      <c r="K733" s="9" t="s">
        <v>47</v>
      </c>
      <c r="L733" s="9" t="s">
        <v>226</v>
      </c>
      <c r="M733" s="9" t="s">
        <v>1374</v>
      </c>
      <c r="N733" s="9" t="s">
        <v>50</v>
      </c>
      <c r="O733" s="9" t="s">
        <v>51</v>
      </c>
      <c r="P733" s="9" t="s">
        <v>336</v>
      </c>
      <c r="Q733" s="9"/>
      <c r="R733" s="9" t="s">
        <v>61</v>
      </c>
      <c r="S733" s="9" t="s">
        <v>2935</v>
      </c>
      <c r="T733" s="9" t="s">
        <v>2936</v>
      </c>
      <c r="U733" s="9" t="s">
        <v>54</v>
      </c>
      <c r="V733" s="9" t="s">
        <v>55</v>
      </c>
      <c r="W733" s="9" t="s">
        <v>55</v>
      </c>
      <c r="X733" s="12" t="s">
        <v>150</v>
      </c>
      <c r="Y733" s="9" t="s">
        <v>151</v>
      </c>
      <c r="Z733" s="13"/>
    </row>
    <row r="734" spans="1:26" ht="32.25" hidden="1" customHeight="1">
      <c r="A734" s="8">
        <v>2312139</v>
      </c>
      <c r="B734" s="9" t="s">
        <v>2937</v>
      </c>
      <c r="C734" s="10">
        <v>45149</v>
      </c>
      <c r="D734" s="9" t="s">
        <v>57</v>
      </c>
      <c r="E734" s="9" t="s">
        <v>41</v>
      </c>
      <c r="F734" s="9" t="s">
        <v>42</v>
      </c>
      <c r="G734" s="9" t="s">
        <v>43</v>
      </c>
      <c r="H734" s="9" t="s">
        <v>58</v>
      </c>
      <c r="I734" s="11" t="s">
        <v>45</v>
      </c>
      <c r="J734" s="9" t="s">
        <v>46</v>
      </c>
      <c r="K734" s="9" t="s">
        <v>47</v>
      </c>
      <c r="L734" s="9" t="s">
        <v>156</v>
      </c>
      <c r="M734" s="9"/>
      <c r="N734" s="9" t="s">
        <v>50</v>
      </c>
      <c r="O734" s="9" t="s">
        <v>51</v>
      </c>
      <c r="P734" s="9"/>
      <c r="Q734" s="9"/>
      <c r="R734" s="9"/>
      <c r="S734" s="14" t="s">
        <v>2938</v>
      </c>
      <c r="T734" s="9" t="s">
        <v>2939</v>
      </c>
      <c r="U734" s="9" t="s">
        <v>54</v>
      </c>
      <c r="V734" s="9" t="s">
        <v>55</v>
      </c>
      <c r="W734" s="9" t="s">
        <v>55</v>
      </c>
      <c r="X734" s="12"/>
      <c r="Y734" s="9" t="s">
        <v>55</v>
      </c>
      <c r="Z734" s="13"/>
    </row>
    <row r="735" spans="1:26" ht="32.25" hidden="1" customHeight="1">
      <c r="A735" s="8">
        <v>2311883</v>
      </c>
      <c r="B735" s="9" t="s">
        <v>2940</v>
      </c>
      <c r="C735" s="10">
        <v>45149</v>
      </c>
      <c r="D735" s="9" t="s">
        <v>261</v>
      </c>
      <c r="E735" s="9" t="s">
        <v>143</v>
      </c>
      <c r="F735" s="9" t="s">
        <v>262</v>
      </c>
      <c r="G735" s="9" t="s">
        <v>43</v>
      </c>
      <c r="H735" s="9" t="s">
        <v>44</v>
      </c>
      <c r="I735" s="11" t="s">
        <v>435</v>
      </c>
      <c r="J735" s="9" t="s">
        <v>436</v>
      </c>
      <c r="K735" s="9" t="s">
        <v>47</v>
      </c>
      <c r="L735" s="9" t="s">
        <v>746</v>
      </c>
      <c r="M735" s="9" t="s">
        <v>2941</v>
      </c>
      <c r="N735" s="9" t="s">
        <v>84</v>
      </c>
      <c r="O735" s="9" t="s">
        <v>51</v>
      </c>
      <c r="P735" s="9"/>
      <c r="Q735" s="9"/>
      <c r="R735" s="9" t="s">
        <v>61</v>
      </c>
      <c r="S735" s="14" t="s">
        <v>2942</v>
      </c>
      <c r="T735" s="9" t="s">
        <v>2943</v>
      </c>
      <c r="U735" s="9" t="s">
        <v>262</v>
      </c>
      <c r="V735" s="9" t="s">
        <v>370</v>
      </c>
      <c r="W735" s="9" t="s">
        <v>115</v>
      </c>
      <c r="X735" s="12" t="s">
        <v>389</v>
      </c>
      <c r="Y735" s="9" t="s">
        <v>390</v>
      </c>
      <c r="Z735" s="13"/>
    </row>
    <row r="736" spans="1:26" ht="32.25" hidden="1" customHeight="1">
      <c r="A736" s="8">
        <v>2314946</v>
      </c>
      <c r="B736" s="9" t="s">
        <v>2944</v>
      </c>
      <c r="C736" s="10">
        <v>45156</v>
      </c>
      <c r="D736" s="9" t="s">
        <v>79</v>
      </c>
      <c r="E736" s="9" t="s">
        <v>68</v>
      </c>
      <c r="F736" s="9" t="s">
        <v>80</v>
      </c>
      <c r="G736" s="9" t="s">
        <v>43</v>
      </c>
      <c r="H736" s="9" t="s">
        <v>44</v>
      </c>
      <c r="I736" s="11" t="s">
        <v>117</v>
      </c>
      <c r="J736" s="9" t="s">
        <v>118</v>
      </c>
      <c r="K736" s="9" t="s">
        <v>47</v>
      </c>
      <c r="L736" s="9" t="s">
        <v>156</v>
      </c>
      <c r="M736" s="9"/>
      <c r="N736" s="9" t="s">
        <v>84</v>
      </c>
      <c r="O736" s="9" t="s">
        <v>51</v>
      </c>
      <c r="P736" s="9" t="s">
        <v>2945</v>
      </c>
      <c r="Q736" s="9"/>
      <c r="R736" s="9"/>
      <c r="S736" s="14" t="s">
        <v>2946</v>
      </c>
      <c r="T736" s="9" t="s">
        <v>2947</v>
      </c>
      <c r="U736" s="9" t="s">
        <v>54</v>
      </c>
      <c r="V736" s="9" t="s">
        <v>55</v>
      </c>
      <c r="W736" s="9" t="s">
        <v>55</v>
      </c>
      <c r="X736" s="12"/>
      <c r="Y736" s="9" t="s">
        <v>55</v>
      </c>
      <c r="Z736" s="13"/>
    </row>
    <row r="737" spans="1:26" ht="32.25" hidden="1" customHeight="1">
      <c r="A737" s="8">
        <v>2304822</v>
      </c>
      <c r="B737" s="9" t="s">
        <v>2948</v>
      </c>
      <c r="C737" s="10">
        <v>45156</v>
      </c>
      <c r="D737" s="9" t="s">
        <v>79</v>
      </c>
      <c r="E737" s="9" t="s">
        <v>295</v>
      </c>
      <c r="F737" s="9" t="s">
        <v>80</v>
      </c>
      <c r="G737" s="9" t="s">
        <v>43</v>
      </c>
      <c r="H737" s="9" t="s">
        <v>44</v>
      </c>
      <c r="I737" s="11" t="s">
        <v>1600</v>
      </c>
      <c r="J737" s="9" t="s">
        <v>407</v>
      </c>
      <c r="K737" s="9" t="s">
        <v>47</v>
      </c>
      <c r="L737" s="9" t="s">
        <v>156</v>
      </c>
      <c r="M737" s="9" t="s">
        <v>2949</v>
      </c>
      <c r="N737" s="9" t="s">
        <v>84</v>
      </c>
      <c r="O737" s="9" t="s">
        <v>51</v>
      </c>
      <c r="P737" s="9" t="s">
        <v>1601</v>
      </c>
      <c r="Q737" s="9"/>
      <c r="R737" s="9"/>
      <c r="S737" s="14" t="s">
        <v>2950</v>
      </c>
      <c r="T737" s="9" t="s">
        <v>2951</v>
      </c>
      <c r="U737" s="9" t="s">
        <v>54</v>
      </c>
      <c r="V737" s="9"/>
      <c r="W737" s="9" t="s">
        <v>115</v>
      </c>
      <c r="X737" s="12"/>
      <c r="Y737" s="9" t="s">
        <v>55</v>
      </c>
      <c r="Z737" s="13"/>
    </row>
    <row r="738" spans="1:26" ht="32.25" hidden="1" customHeight="1">
      <c r="A738" s="8">
        <v>2315347</v>
      </c>
      <c r="B738" s="9" t="s">
        <v>2952</v>
      </c>
      <c r="C738" s="10">
        <v>45156</v>
      </c>
      <c r="D738" s="9" t="s">
        <v>565</v>
      </c>
      <c r="E738" s="9" t="s">
        <v>153</v>
      </c>
      <c r="F738" s="9" t="s">
        <v>42</v>
      </c>
      <c r="G738" s="9" t="s">
        <v>43</v>
      </c>
      <c r="H738" s="9" t="s">
        <v>58</v>
      </c>
      <c r="I738" s="11" t="s">
        <v>154</v>
      </c>
      <c r="J738" s="9" t="s">
        <v>155</v>
      </c>
      <c r="K738" s="9" t="s">
        <v>47</v>
      </c>
      <c r="L738" s="9" t="s">
        <v>1040</v>
      </c>
      <c r="M738" s="9" t="s">
        <v>1147</v>
      </c>
      <c r="N738" s="9" t="s">
        <v>84</v>
      </c>
      <c r="O738" s="9" t="s">
        <v>51</v>
      </c>
      <c r="P738" s="9"/>
      <c r="Q738" s="9"/>
      <c r="R738" s="9" t="s">
        <v>61</v>
      </c>
      <c r="S738" s="14" t="s">
        <v>2953</v>
      </c>
      <c r="T738" s="9" t="s">
        <v>2954</v>
      </c>
      <c r="U738" s="9" t="s">
        <v>54</v>
      </c>
      <c r="V738" s="9" t="s">
        <v>55</v>
      </c>
      <c r="W738" s="9" t="s">
        <v>55</v>
      </c>
      <c r="X738" s="12" t="s">
        <v>171</v>
      </c>
      <c r="Y738" s="9" t="s">
        <v>172</v>
      </c>
      <c r="Z738" s="13"/>
    </row>
    <row r="739" spans="1:26" ht="32.25" hidden="1" customHeight="1">
      <c r="A739" s="8">
        <v>2309923</v>
      </c>
      <c r="B739" s="9" t="s">
        <v>2955</v>
      </c>
      <c r="C739" s="10">
        <v>45156</v>
      </c>
      <c r="D739" s="9" t="s">
        <v>565</v>
      </c>
      <c r="E739" s="9" t="s">
        <v>41</v>
      </c>
      <c r="F739" s="9" t="s">
        <v>42</v>
      </c>
      <c r="G739" s="9" t="s">
        <v>43</v>
      </c>
      <c r="H739" s="9" t="s">
        <v>58</v>
      </c>
      <c r="I739" s="11" t="s">
        <v>199</v>
      </c>
      <c r="J739" s="9" t="s">
        <v>200</v>
      </c>
      <c r="K739" s="9" t="s">
        <v>47</v>
      </c>
      <c r="L739" s="9" t="s">
        <v>156</v>
      </c>
      <c r="M739" s="9"/>
      <c r="N739" s="9" t="s">
        <v>50</v>
      </c>
      <c r="O739" s="9" t="s">
        <v>51</v>
      </c>
      <c r="P739" s="9"/>
      <c r="Q739" s="9"/>
      <c r="R739" s="9"/>
      <c r="S739" s="14" t="s">
        <v>2956</v>
      </c>
      <c r="T739" s="9" t="s">
        <v>2957</v>
      </c>
      <c r="U739" s="9" t="s">
        <v>54</v>
      </c>
      <c r="V739" s="9" t="s">
        <v>55</v>
      </c>
      <c r="W739" s="9" t="s">
        <v>55</v>
      </c>
      <c r="X739" s="12"/>
      <c r="Y739" s="9" t="s">
        <v>55</v>
      </c>
      <c r="Z739" s="13"/>
    </row>
    <row r="740" spans="1:26" ht="32.25" hidden="1" customHeight="1">
      <c r="A740" s="8">
        <v>2302030</v>
      </c>
      <c r="B740" s="9" t="s">
        <v>2958</v>
      </c>
      <c r="C740" s="10">
        <v>45156</v>
      </c>
      <c r="D740" s="9" t="s">
        <v>79</v>
      </c>
      <c r="E740" s="9" t="s">
        <v>89</v>
      </c>
      <c r="F740" s="9" t="s">
        <v>80</v>
      </c>
      <c r="G740" s="9" t="s">
        <v>43</v>
      </c>
      <c r="H740" s="9" t="s">
        <v>44</v>
      </c>
      <c r="I740" s="11" t="s">
        <v>90</v>
      </c>
      <c r="J740" s="9" t="s">
        <v>91</v>
      </c>
      <c r="K740" s="9" t="s">
        <v>496</v>
      </c>
      <c r="L740" s="9"/>
      <c r="M740" s="9"/>
      <c r="N740" s="9" t="s">
        <v>50</v>
      </c>
      <c r="O740" s="9" t="s">
        <v>51</v>
      </c>
      <c r="P740" s="9" t="s">
        <v>546</v>
      </c>
      <c r="Q740" s="9"/>
      <c r="R740" s="9" t="s">
        <v>61</v>
      </c>
      <c r="S740" s="14" t="s">
        <v>2959</v>
      </c>
      <c r="T740" s="9" t="s">
        <v>2960</v>
      </c>
      <c r="U740" s="9" t="s">
        <v>54</v>
      </c>
      <c r="V740" s="9" t="s">
        <v>711</v>
      </c>
      <c r="W740" s="9" t="s">
        <v>115</v>
      </c>
      <c r="X740" s="12" t="s">
        <v>98</v>
      </c>
      <c r="Y740" s="9" t="s">
        <v>99</v>
      </c>
      <c r="Z740" s="13"/>
    </row>
    <row r="741" spans="1:26" ht="32.25" hidden="1" customHeight="1">
      <c r="A741" s="8">
        <v>2302747</v>
      </c>
      <c r="B741" s="9" t="s">
        <v>2961</v>
      </c>
      <c r="C741" s="10">
        <v>45149</v>
      </c>
      <c r="D741" s="9" t="s">
        <v>57</v>
      </c>
      <c r="E741" s="9" t="s">
        <v>41</v>
      </c>
      <c r="F741" s="9" t="s">
        <v>42</v>
      </c>
      <c r="G741" s="9" t="s">
        <v>43</v>
      </c>
      <c r="H741" s="9" t="s">
        <v>58</v>
      </c>
      <c r="I741" s="11" t="s">
        <v>45</v>
      </c>
      <c r="J741" s="9" t="s">
        <v>46</v>
      </c>
      <c r="K741" s="9" t="s">
        <v>1158</v>
      </c>
      <c r="L741" s="9"/>
      <c r="M741" s="9"/>
      <c r="N741" s="9" t="s">
        <v>50</v>
      </c>
      <c r="O741" s="9" t="s">
        <v>51</v>
      </c>
      <c r="P741" s="9"/>
      <c r="Q741" s="9"/>
      <c r="R741" s="9"/>
      <c r="S741" s="14" t="s">
        <v>2962</v>
      </c>
      <c r="T741" s="9" t="s">
        <v>2963</v>
      </c>
      <c r="U741" s="9" t="s">
        <v>54</v>
      </c>
      <c r="V741" s="9" t="s">
        <v>55</v>
      </c>
      <c r="W741" s="9" t="s">
        <v>55</v>
      </c>
      <c r="X741" s="12"/>
      <c r="Y741" s="9" t="s">
        <v>55</v>
      </c>
      <c r="Z741" s="13"/>
    </row>
    <row r="742" spans="1:26" ht="32.25" hidden="1" customHeight="1">
      <c r="A742" s="8">
        <v>2302683</v>
      </c>
      <c r="B742" s="9" t="s">
        <v>2964</v>
      </c>
      <c r="C742" s="10">
        <v>45156</v>
      </c>
      <c r="D742" s="9" t="s">
        <v>79</v>
      </c>
      <c r="E742" s="9" t="s">
        <v>41</v>
      </c>
      <c r="F742" s="9" t="s">
        <v>80</v>
      </c>
      <c r="G742" s="9" t="s">
        <v>43</v>
      </c>
      <c r="H742" s="9" t="s">
        <v>44</v>
      </c>
      <c r="I742" s="11" t="s">
        <v>233</v>
      </c>
      <c r="J742" s="9" t="s">
        <v>200</v>
      </c>
      <c r="K742" s="9" t="s">
        <v>47</v>
      </c>
      <c r="L742" s="9" t="s">
        <v>1315</v>
      </c>
      <c r="M742" s="9" t="s">
        <v>1316</v>
      </c>
      <c r="N742" s="9" t="s">
        <v>84</v>
      </c>
      <c r="O742" s="9" t="s">
        <v>51</v>
      </c>
      <c r="P742" s="9" t="s">
        <v>236</v>
      </c>
      <c r="Q742" s="9"/>
      <c r="R742" s="9"/>
      <c r="S742" s="14" t="s">
        <v>2965</v>
      </c>
      <c r="T742" s="9" t="s">
        <v>2966</v>
      </c>
      <c r="U742" s="9" t="s">
        <v>54</v>
      </c>
      <c r="V742" s="9" t="s">
        <v>55</v>
      </c>
      <c r="W742" s="9" t="s">
        <v>55</v>
      </c>
      <c r="X742" s="12"/>
      <c r="Y742" s="9" t="s">
        <v>55</v>
      </c>
      <c r="Z742" s="13"/>
    </row>
    <row r="743" spans="1:26" ht="32.25" hidden="1" customHeight="1">
      <c r="A743" s="8">
        <v>2304175</v>
      </c>
      <c r="B743" s="9" t="s">
        <v>2967</v>
      </c>
      <c r="C743" s="10">
        <v>45149</v>
      </c>
      <c r="D743" s="9" t="s">
        <v>57</v>
      </c>
      <c r="E743" s="9" t="s">
        <v>41</v>
      </c>
      <c r="F743" s="9" t="s">
        <v>42</v>
      </c>
      <c r="G743" s="9" t="s">
        <v>43</v>
      </c>
      <c r="H743" s="9" t="s">
        <v>58</v>
      </c>
      <c r="I743" s="11" t="s">
        <v>661</v>
      </c>
      <c r="J743" s="9" t="s">
        <v>662</v>
      </c>
      <c r="K743" s="9" t="s">
        <v>47</v>
      </c>
      <c r="L743" s="9" t="s">
        <v>586</v>
      </c>
      <c r="M743" s="9" t="s">
        <v>918</v>
      </c>
      <c r="N743" s="9" t="s">
        <v>50</v>
      </c>
      <c r="O743" s="9" t="s">
        <v>51</v>
      </c>
      <c r="P743" s="9"/>
      <c r="Q743" s="9"/>
      <c r="R743" s="9" t="s">
        <v>61</v>
      </c>
      <c r="S743" s="14" t="s">
        <v>2968</v>
      </c>
      <c r="T743" s="9" t="s">
        <v>2969</v>
      </c>
      <c r="U743" s="9" t="s">
        <v>54</v>
      </c>
      <c r="V743" s="9" t="s">
        <v>55</v>
      </c>
      <c r="W743" s="9" t="s">
        <v>55</v>
      </c>
      <c r="X743" s="9" t="s">
        <v>64</v>
      </c>
      <c r="Y743" s="9" t="s">
        <v>65</v>
      </c>
      <c r="Z743" s="13"/>
    </row>
    <row r="744" spans="1:26" ht="32.25" hidden="1" customHeight="1">
      <c r="A744" s="8">
        <v>2307169</v>
      </c>
      <c r="B744" s="9" t="s">
        <v>2970</v>
      </c>
      <c r="C744" s="10">
        <v>45142</v>
      </c>
      <c r="D744" s="9" t="s">
        <v>67</v>
      </c>
      <c r="E744" s="9" t="s">
        <v>68</v>
      </c>
      <c r="F744" s="9" t="s">
        <v>135</v>
      </c>
      <c r="G744" s="9" t="s">
        <v>43</v>
      </c>
      <c r="H744" s="9" t="s">
        <v>44</v>
      </c>
      <c r="I744" s="11" t="s">
        <v>136</v>
      </c>
      <c r="J744" s="9" t="s">
        <v>137</v>
      </c>
      <c r="K744" s="9" t="s">
        <v>92</v>
      </c>
      <c r="L744" s="9" t="s">
        <v>2971</v>
      </c>
      <c r="M744" s="9" t="s">
        <v>2972</v>
      </c>
      <c r="N744" s="9" t="s">
        <v>50</v>
      </c>
      <c r="O744" s="9" t="s">
        <v>51</v>
      </c>
      <c r="P744" s="9"/>
      <c r="Q744" s="9"/>
      <c r="R744" s="9" t="s">
        <v>61</v>
      </c>
      <c r="S744" s="9" t="s">
        <v>1403</v>
      </c>
      <c r="T744" s="9" t="s">
        <v>1404</v>
      </c>
      <c r="U744" s="9" t="s">
        <v>54</v>
      </c>
      <c r="V744" s="9" t="s">
        <v>55</v>
      </c>
      <c r="W744" s="9" t="s">
        <v>55</v>
      </c>
      <c r="X744" s="12" t="s">
        <v>76</v>
      </c>
      <c r="Y744" s="9" t="s">
        <v>77</v>
      </c>
      <c r="Z744" s="13"/>
    </row>
    <row r="745" spans="1:26" ht="32.25" hidden="1" customHeight="1">
      <c r="A745" s="8">
        <v>2308455</v>
      </c>
      <c r="B745" s="9" t="s">
        <v>2973</v>
      </c>
      <c r="C745" s="10">
        <v>45149</v>
      </c>
      <c r="D745" s="9" t="s">
        <v>57</v>
      </c>
      <c r="E745" s="9" t="s">
        <v>41</v>
      </c>
      <c r="F745" s="9" t="s">
        <v>42</v>
      </c>
      <c r="G745" s="9" t="s">
        <v>43</v>
      </c>
      <c r="H745" s="9" t="s">
        <v>58</v>
      </c>
      <c r="I745" s="11" t="s">
        <v>45</v>
      </c>
      <c r="J745" s="9" t="s">
        <v>46</v>
      </c>
      <c r="K745" s="9" t="s">
        <v>47</v>
      </c>
      <c r="L745" s="9" t="s">
        <v>591</v>
      </c>
      <c r="M745" s="9" t="s">
        <v>2974</v>
      </c>
      <c r="N745" s="9" t="s">
        <v>50</v>
      </c>
      <c r="O745" s="9" t="s">
        <v>51</v>
      </c>
      <c r="P745" s="9"/>
      <c r="Q745" s="9"/>
      <c r="R745" s="9" t="s">
        <v>61</v>
      </c>
      <c r="S745" s="14" t="s">
        <v>2975</v>
      </c>
      <c r="T745" s="9" t="s">
        <v>2976</v>
      </c>
      <c r="U745" s="9" t="s">
        <v>54</v>
      </c>
      <c r="V745" s="9" t="s">
        <v>55</v>
      </c>
      <c r="W745" s="9" t="s">
        <v>55</v>
      </c>
      <c r="X745" s="9" t="s">
        <v>64</v>
      </c>
      <c r="Y745" s="9" t="s">
        <v>65</v>
      </c>
      <c r="Z745" s="13"/>
    </row>
    <row r="746" spans="1:26" ht="32.25" hidden="1" customHeight="1">
      <c r="A746" s="8">
        <v>2304898</v>
      </c>
      <c r="B746" s="9" t="s">
        <v>2977</v>
      </c>
      <c r="C746" s="10">
        <v>45142</v>
      </c>
      <c r="D746" s="9" t="s">
        <v>67</v>
      </c>
      <c r="E746" s="9" t="s">
        <v>41</v>
      </c>
      <c r="F746" s="9" t="s">
        <v>42</v>
      </c>
      <c r="G746" s="9" t="s">
        <v>43</v>
      </c>
      <c r="H746" s="9" t="s">
        <v>44</v>
      </c>
      <c r="I746" s="11" t="s">
        <v>661</v>
      </c>
      <c r="J746" s="9" t="s">
        <v>662</v>
      </c>
      <c r="K746" s="9" t="s">
        <v>47</v>
      </c>
      <c r="L746" s="9" t="s">
        <v>174</v>
      </c>
      <c r="M746" s="9" t="s">
        <v>644</v>
      </c>
      <c r="N746" s="9" t="s">
        <v>50</v>
      </c>
      <c r="O746" s="9" t="s">
        <v>51</v>
      </c>
      <c r="P746" s="9"/>
      <c r="Q746" s="9"/>
      <c r="R746" s="9" t="s">
        <v>61</v>
      </c>
      <c r="S746" s="9" t="s">
        <v>2978</v>
      </c>
      <c r="T746" s="9" t="s">
        <v>2979</v>
      </c>
      <c r="U746" s="9" t="s">
        <v>54</v>
      </c>
      <c r="V746" s="9" t="s">
        <v>55</v>
      </c>
      <c r="W746" s="9" t="s">
        <v>55</v>
      </c>
      <c r="X746" s="9" t="s">
        <v>64</v>
      </c>
      <c r="Y746" s="9" t="s">
        <v>65</v>
      </c>
      <c r="Z746" s="13"/>
    </row>
    <row r="747" spans="1:26" ht="32.25" hidden="1" customHeight="1">
      <c r="A747" s="8">
        <v>2302141</v>
      </c>
      <c r="B747" s="9" t="s">
        <v>2980</v>
      </c>
      <c r="C747" s="10">
        <v>45156</v>
      </c>
      <c r="D747" s="9" t="s">
        <v>79</v>
      </c>
      <c r="E747" s="9" t="s">
        <v>89</v>
      </c>
      <c r="F747" s="9" t="s">
        <v>80</v>
      </c>
      <c r="G747" s="9" t="s">
        <v>43</v>
      </c>
      <c r="H747" s="9" t="s">
        <v>44</v>
      </c>
      <c r="I747" s="11" t="s">
        <v>101</v>
      </c>
      <c r="J747" s="9" t="s">
        <v>102</v>
      </c>
      <c r="K747" s="9" t="s">
        <v>47</v>
      </c>
      <c r="L747" s="9" t="s">
        <v>156</v>
      </c>
      <c r="M747" s="9"/>
      <c r="N747" s="9" t="s">
        <v>50</v>
      </c>
      <c r="O747" s="9" t="s">
        <v>51</v>
      </c>
      <c r="P747" s="9" t="s">
        <v>104</v>
      </c>
      <c r="Q747" s="9"/>
      <c r="R747" s="9"/>
      <c r="S747" s="14" t="s">
        <v>2981</v>
      </c>
      <c r="T747" s="9" t="s">
        <v>2982</v>
      </c>
      <c r="U747" s="9" t="s">
        <v>54</v>
      </c>
      <c r="V747" s="9"/>
      <c r="W747" s="9" t="s">
        <v>115</v>
      </c>
      <c r="X747" s="12"/>
      <c r="Y747" s="9" t="s">
        <v>55</v>
      </c>
      <c r="Z747" s="13"/>
    </row>
    <row r="748" spans="1:26" ht="32.25" hidden="1" customHeight="1">
      <c r="A748" s="8">
        <v>2303655</v>
      </c>
      <c r="B748" s="9" t="s">
        <v>2983</v>
      </c>
      <c r="C748" s="10">
        <v>45156</v>
      </c>
      <c r="D748" s="9" t="s">
        <v>79</v>
      </c>
      <c r="E748" s="9" t="s">
        <v>41</v>
      </c>
      <c r="F748" s="9" t="s">
        <v>80</v>
      </c>
      <c r="G748" s="9" t="s">
        <v>43</v>
      </c>
      <c r="H748" s="9" t="s">
        <v>44</v>
      </c>
      <c r="I748" s="11" t="s">
        <v>233</v>
      </c>
      <c r="J748" s="9" t="s">
        <v>200</v>
      </c>
      <c r="K748" s="9" t="s">
        <v>47</v>
      </c>
      <c r="L748" s="9" t="s">
        <v>340</v>
      </c>
      <c r="M748" s="9" t="s">
        <v>2984</v>
      </c>
      <c r="N748" s="9" t="s">
        <v>84</v>
      </c>
      <c r="O748" s="9" t="s">
        <v>51</v>
      </c>
      <c r="P748" s="9" t="s">
        <v>236</v>
      </c>
      <c r="Q748" s="9"/>
      <c r="R748" s="9"/>
      <c r="S748" s="14" t="s">
        <v>2985</v>
      </c>
      <c r="T748" s="9" t="s">
        <v>2986</v>
      </c>
      <c r="U748" s="9" t="s">
        <v>54</v>
      </c>
      <c r="V748" s="9" t="s">
        <v>55</v>
      </c>
      <c r="W748" s="9" t="s">
        <v>55</v>
      </c>
      <c r="X748" s="12"/>
      <c r="Y748" s="9" t="s">
        <v>55</v>
      </c>
      <c r="Z748" s="13"/>
    </row>
    <row r="749" spans="1:26" ht="32.25" hidden="1" customHeight="1">
      <c r="A749" s="8">
        <v>2307183</v>
      </c>
      <c r="B749" s="9" t="s">
        <v>2987</v>
      </c>
      <c r="C749" s="10">
        <v>45136</v>
      </c>
      <c r="D749" s="9" t="s">
        <v>40</v>
      </c>
      <c r="E749" s="9" t="s">
        <v>295</v>
      </c>
      <c r="F749" s="9" t="s">
        <v>42</v>
      </c>
      <c r="G749" s="9" t="s">
        <v>43</v>
      </c>
      <c r="H749" s="9" t="s">
        <v>44</v>
      </c>
      <c r="I749" s="11" t="s">
        <v>406</v>
      </c>
      <c r="J749" s="9" t="s">
        <v>407</v>
      </c>
      <c r="K749" s="9" t="s">
        <v>47</v>
      </c>
      <c r="L749" s="9" t="s">
        <v>156</v>
      </c>
      <c r="M749" s="9"/>
      <c r="N749" s="9" t="s">
        <v>50</v>
      </c>
      <c r="O749" s="9" t="s">
        <v>51</v>
      </c>
      <c r="P749" s="9"/>
      <c r="Q749" s="9"/>
      <c r="R749" s="9"/>
      <c r="S749" s="9" t="s">
        <v>2988</v>
      </c>
      <c r="T749" s="9" t="s">
        <v>2989</v>
      </c>
      <c r="U749" s="9" t="s">
        <v>54</v>
      </c>
      <c r="V749" s="9" t="s">
        <v>55</v>
      </c>
      <c r="W749" s="9" t="s">
        <v>55</v>
      </c>
      <c r="X749" s="12"/>
      <c r="Y749" s="9" t="s">
        <v>55</v>
      </c>
      <c r="Z749" s="13"/>
    </row>
    <row r="750" spans="1:26" ht="32.25" hidden="1" customHeight="1">
      <c r="A750" s="8">
        <v>2300177</v>
      </c>
      <c r="B750" s="9" t="s">
        <v>2990</v>
      </c>
      <c r="C750" s="10">
        <v>45149</v>
      </c>
      <c r="D750" s="9" t="s">
        <v>261</v>
      </c>
      <c r="E750" s="9" t="s">
        <v>68</v>
      </c>
      <c r="F750" s="9" t="s">
        <v>262</v>
      </c>
      <c r="G750" s="9" t="s">
        <v>43</v>
      </c>
      <c r="H750" s="9" t="s">
        <v>44</v>
      </c>
      <c r="I750" s="11" t="s">
        <v>263</v>
      </c>
      <c r="J750" s="9" t="s">
        <v>264</v>
      </c>
      <c r="K750" s="9" t="s">
        <v>47</v>
      </c>
      <c r="L750" s="9" t="s">
        <v>221</v>
      </c>
      <c r="M750" s="9" t="s">
        <v>2991</v>
      </c>
      <c r="N750" s="9" t="s">
        <v>50</v>
      </c>
      <c r="O750" s="9" t="s">
        <v>51</v>
      </c>
      <c r="P750" s="9"/>
      <c r="Q750" s="9"/>
      <c r="R750" s="9"/>
      <c r="S750" s="14" t="s">
        <v>2992</v>
      </c>
      <c r="T750" s="9" t="s">
        <v>2993</v>
      </c>
      <c r="U750" s="9" t="s">
        <v>262</v>
      </c>
      <c r="V750" s="9" t="s">
        <v>55</v>
      </c>
      <c r="W750" s="9" t="s">
        <v>115</v>
      </c>
      <c r="X750" s="12"/>
      <c r="Y750" s="9" t="s">
        <v>55</v>
      </c>
      <c r="Z750" s="13"/>
    </row>
    <row r="751" spans="1:26" ht="32.25" hidden="1" customHeight="1">
      <c r="A751" s="8">
        <v>2305841</v>
      </c>
      <c r="B751" s="9" t="s">
        <v>2994</v>
      </c>
      <c r="C751" s="10">
        <v>45142</v>
      </c>
      <c r="D751" s="9" t="s">
        <v>67</v>
      </c>
      <c r="E751" s="9" t="s">
        <v>41</v>
      </c>
      <c r="F751" s="9" t="s">
        <v>42</v>
      </c>
      <c r="G751" s="9" t="s">
        <v>43</v>
      </c>
      <c r="H751" s="9" t="s">
        <v>44</v>
      </c>
      <c r="I751" s="11" t="s">
        <v>45</v>
      </c>
      <c r="J751" s="9" t="s">
        <v>46</v>
      </c>
      <c r="K751" s="9" t="s">
        <v>47</v>
      </c>
      <c r="L751" s="9" t="s">
        <v>713</v>
      </c>
      <c r="M751" s="9" t="s">
        <v>714</v>
      </c>
      <c r="N751" s="9" t="s">
        <v>50</v>
      </c>
      <c r="O751" s="9" t="s">
        <v>51</v>
      </c>
      <c r="P751" s="9"/>
      <c r="Q751" s="9"/>
      <c r="R751" s="9" t="s">
        <v>61</v>
      </c>
      <c r="S751" s="9" t="s">
        <v>2995</v>
      </c>
      <c r="T751" s="9" t="s">
        <v>2996</v>
      </c>
      <c r="U751" s="9" t="s">
        <v>54</v>
      </c>
      <c r="V751" s="9" t="s">
        <v>55</v>
      </c>
      <c r="W751" s="9" t="s">
        <v>55</v>
      </c>
      <c r="X751" s="9" t="s">
        <v>196</v>
      </c>
      <c r="Y751" s="9" t="s">
        <v>197</v>
      </c>
      <c r="Z751" s="13" t="s">
        <v>2997</v>
      </c>
    </row>
    <row r="752" spans="1:26" ht="32.25" hidden="1" customHeight="1">
      <c r="A752" s="8">
        <v>2300550</v>
      </c>
      <c r="B752" s="9" t="s">
        <v>2998</v>
      </c>
      <c r="C752" s="10">
        <v>45142</v>
      </c>
      <c r="D752" s="9" t="s">
        <v>67</v>
      </c>
      <c r="E752" s="9" t="s">
        <v>68</v>
      </c>
      <c r="F752" s="9" t="s">
        <v>135</v>
      </c>
      <c r="G752" s="9" t="s">
        <v>43</v>
      </c>
      <c r="H752" s="9" t="s">
        <v>44</v>
      </c>
      <c r="I752" s="11" t="s">
        <v>136</v>
      </c>
      <c r="J752" s="9" t="s">
        <v>137</v>
      </c>
      <c r="K752" s="9" t="s">
        <v>47</v>
      </c>
      <c r="L752" s="9" t="s">
        <v>156</v>
      </c>
      <c r="M752" s="9"/>
      <c r="N752" s="9" t="s">
        <v>50</v>
      </c>
      <c r="O752" s="9" t="s">
        <v>51</v>
      </c>
      <c r="P752" s="9"/>
      <c r="Q752" s="9"/>
      <c r="R752" s="9"/>
      <c r="S752" s="9" t="s">
        <v>2999</v>
      </c>
      <c r="T752" s="9" t="s">
        <v>3000</v>
      </c>
      <c r="U752" s="9" t="s">
        <v>54</v>
      </c>
      <c r="V752" s="9" t="s">
        <v>55</v>
      </c>
      <c r="W752" s="9" t="s">
        <v>55</v>
      </c>
      <c r="X752" s="12"/>
      <c r="Y752" s="9" t="s">
        <v>55</v>
      </c>
      <c r="Z752" s="13"/>
    </row>
    <row r="753" spans="1:26" ht="32.25" hidden="1" customHeight="1">
      <c r="A753" s="8">
        <v>2308953</v>
      </c>
      <c r="B753" s="9" t="s">
        <v>3001</v>
      </c>
      <c r="C753" s="10">
        <v>45149</v>
      </c>
      <c r="D753" s="9" t="s">
        <v>57</v>
      </c>
      <c r="E753" s="9" t="s">
        <v>41</v>
      </c>
      <c r="F753" s="9" t="s">
        <v>42</v>
      </c>
      <c r="G753" s="9" t="s">
        <v>43</v>
      </c>
      <c r="H753" s="9" t="s">
        <v>58</v>
      </c>
      <c r="I753" s="11" t="s">
        <v>1073</v>
      </c>
      <c r="J753" s="9" t="s">
        <v>479</v>
      </c>
      <c r="K753" s="9" t="s">
        <v>47</v>
      </c>
      <c r="L753" s="9" t="s">
        <v>156</v>
      </c>
      <c r="M753" s="9"/>
      <c r="N753" s="9" t="s">
        <v>50</v>
      </c>
      <c r="O753" s="9" t="s">
        <v>51</v>
      </c>
      <c r="P753" s="9"/>
      <c r="Q753" s="9"/>
      <c r="R753" s="9"/>
      <c r="S753" s="14" t="s">
        <v>3002</v>
      </c>
      <c r="T753" s="9" t="s">
        <v>3003</v>
      </c>
      <c r="U753" s="9" t="s">
        <v>54</v>
      </c>
      <c r="V753" s="9" t="s">
        <v>55</v>
      </c>
      <c r="W753" s="9" t="s">
        <v>55</v>
      </c>
      <c r="X753" s="12"/>
      <c r="Y753" s="9" t="s">
        <v>55</v>
      </c>
      <c r="Z753" s="13"/>
    </row>
    <row r="754" spans="1:26" ht="32.25" hidden="1" customHeight="1">
      <c r="A754" s="8">
        <v>2300855</v>
      </c>
      <c r="B754" s="9" t="s">
        <v>3004</v>
      </c>
      <c r="C754" s="10">
        <v>45156</v>
      </c>
      <c r="D754" s="9" t="s">
        <v>79</v>
      </c>
      <c r="E754" s="9" t="s">
        <v>68</v>
      </c>
      <c r="F754" s="9" t="s">
        <v>80</v>
      </c>
      <c r="G754" s="9" t="s">
        <v>43</v>
      </c>
      <c r="H754" s="9" t="s">
        <v>44</v>
      </c>
      <c r="I754" s="11" t="s">
        <v>90</v>
      </c>
      <c r="J754" s="9" t="s">
        <v>91</v>
      </c>
      <c r="K754" s="9" t="s">
        <v>47</v>
      </c>
      <c r="L754" s="9" t="s">
        <v>3005</v>
      </c>
      <c r="M754" s="9" t="s">
        <v>3006</v>
      </c>
      <c r="N754" s="9" t="s">
        <v>50</v>
      </c>
      <c r="O754" s="9" t="s">
        <v>51</v>
      </c>
      <c r="P754" s="9" t="s">
        <v>273</v>
      </c>
      <c r="Q754" s="9"/>
      <c r="R754" s="9" t="s">
        <v>61</v>
      </c>
      <c r="S754" s="14" t="s">
        <v>3007</v>
      </c>
      <c r="T754" s="9" t="s">
        <v>3008</v>
      </c>
      <c r="U754" s="9" t="s">
        <v>54</v>
      </c>
      <c r="V754" s="9" t="s">
        <v>55</v>
      </c>
      <c r="W754" s="9" t="s">
        <v>55</v>
      </c>
      <c r="X754" s="12" t="s">
        <v>196</v>
      </c>
      <c r="Y754" s="9" t="s">
        <v>197</v>
      </c>
      <c r="Z754" s="13" t="s">
        <v>3009</v>
      </c>
    </row>
    <row r="755" spans="1:26" ht="32.25" hidden="1" customHeight="1">
      <c r="A755" s="8">
        <v>2308474</v>
      </c>
      <c r="B755" s="9" t="s">
        <v>3010</v>
      </c>
      <c r="C755" s="10">
        <v>45156</v>
      </c>
      <c r="D755" s="9" t="s">
        <v>79</v>
      </c>
      <c r="E755" s="9" t="s">
        <v>68</v>
      </c>
      <c r="F755" s="9" t="s">
        <v>80</v>
      </c>
      <c r="G755" s="9" t="s">
        <v>43</v>
      </c>
      <c r="H755" s="9" t="s">
        <v>44</v>
      </c>
      <c r="I755" s="11" t="s">
        <v>90</v>
      </c>
      <c r="J755" s="9" t="s">
        <v>91</v>
      </c>
      <c r="K755" s="9" t="s">
        <v>47</v>
      </c>
      <c r="L755" s="9" t="s">
        <v>3005</v>
      </c>
      <c r="M755" s="9" t="s">
        <v>3006</v>
      </c>
      <c r="N755" s="9" t="s">
        <v>84</v>
      </c>
      <c r="O755" s="9" t="s">
        <v>51</v>
      </c>
      <c r="P755" s="9" t="s">
        <v>273</v>
      </c>
      <c r="Q755" s="9"/>
      <c r="R755" s="9" t="s">
        <v>61</v>
      </c>
      <c r="S755" s="14" t="s">
        <v>3011</v>
      </c>
      <c r="T755" s="9" t="s">
        <v>3012</v>
      </c>
      <c r="U755" s="9" t="s">
        <v>54</v>
      </c>
      <c r="V755" s="9" t="s">
        <v>55</v>
      </c>
      <c r="W755" s="9" t="s">
        <v>55</v>
      </c>
      <c r="X755" s="12" t="s">
        <v>196</v>
      </c>
      <c r="Y755" s="9" t="s">
        <v>197</v>
      </c>
      <c r="Z755" s="13" t="s">
        <v>3013</v>
      </c>
    </row>
    <row r="756" spans="1:26" ht="32.25" hidden="1" customHeight="1">
      <c r="A756" s="8">
        <v>2308560</v>
      </c>
      <c r="B756" s="9" t="s">
        <v>3014</v>
      </c>
      <c r="C756" s="10">
        <v>45136</v>
      </c>
      <c r="D756" s="9" t="s">
        <v>40</v>
      </c>
      <c r="E756" s="9" t="s">
        <v>41</v>
      </c>
      <c r="F756" s="9" t="s">
        <v>42</v>
      </c>
      <c r="G756" s="9" t="s">
        <v>43</v>
      </c>
      <c r="H756" s="9" t="s">
        <v>44</v>
      </c>
      <c r="I756" s="11" t="s">
        <v>45</v>
      </c>
      <c r="J756" s="9" t="s">
        <v>46</v>
      </c>
      <c r="K756" s="9" t="s">
        <v>47</v>
      </c>
      <c r="L756" s="9" t="s">
        <v>162</v>
      </c>
      <c r="M756" s="9" t="s">
        <v>345</v>
      </c>
      <c r="N756" s="9" t="s">
        <v>50</v>
      </c>
      <c r="O756" s="9" t="s">
        <v>51</v>
      </c>
      <c r="P756" s="9"/>
      <c r="Q756" s="9"/>
      <c r="R756" s="9" t="s">
        <v>61</v>
      </c>
      <c r="S756" s="9" t="s">
        <v>3015</v>
      </c>
      <c r="T756" s="9" t="s">
        <v>3016</v>
      </c>
      <c r="U756" s="9" t="s">
        <v>54</v>
      </c>
      <c r="V756" s="9" t="s">
        <v>55</v>
      </c>
      <c r="W756" s="9" t="s">
        <v>55</v>
      </c>
      <c r="X756" s="9" t="s">
        <v>64</v>
      </c>
      <c r="Y756" s="9" t="s">
        <v>65</v>
      </c>
      <c r="Z756" s="13"/>
    </row>
    <row r="757" spans="1:26" ht="32.25" hidden="1" customHeight="1">
      <c r="A757" s="8">
        <v>2301706</v>
      </c>
      <c r="B757" s="9" t="s">
        <v>3017</v>
      </c>
      <c r="C757" s="10">
        <v>45149</v>
      </c>
      <c r="D757" s="9" t="s">
        <v>57</v>
      </c>
      <c r="E757" s="9" t="s">
        <v>41</v>
      </c>
      <c r="F757" s="9" t="s">
        <v>42</v>
      </c>
      <c r="G757" s="9" t="s">
        <v>43</v>
      </c>
      <c r="H757" s="9" t="s">
        <v>58</v>
      </c>
      <c r="I757" s="11" t="s">
        <v>45</v>
      </c>
      <c r="J757" s="9" t="s">
        <v>46</v>
      </c>
      <c r="K757" s="9" t="s">
        <v>47</v>
      </c>
      <c r="L757" s="9" t="s">
        <v>156</v>
      </c>
      <c r="M757" s="9"/>
      <c r="N757" s="9" t="s">
        <v>50</v>
      </c>
      <c r="O757" s="9" t="s">
        <v>51</v>
      </c>
      <c r="P757" s="9"/>
      <c r="Q757" s="9"/>
      <c r="R757" s="9"/>
      <c r="S757" s="14" t="s">
        <v>3018</v>
      </c>
      <c r="T757" s="9" t="s">
        <v>3019</v>
      </c>
      <c r="U757" s="9" t="s">
        <v>54</v>
      </c>
      <c r="V757" s="9" t="s">
        <v>55</v>
      </c>
      <c r="W757" s="9" t="s">
        <v>55</v>
      </c>
      <c r="X757" s="12"/>
      <c r="Y757" s="9" t="s">
        <v>55</v>
      </c>
      <c r="Z757" s="13"/>
    </row>
    <row r="758" spans="1:26" ht="32.25" hidden="1" customHeight="1">
      <c r="A758" s="8">
        <v>2307473</v>
      </c>
      <c r="B758" s="9" t="s">
        <v>3020</v>
      </c>
      <c r="C758" s="10">
        <v>45156</v>
      </c>
      <c r="D758" s="9" t="s">
        <v>79</v>
      </c>
      <c r="E758" s="9" t="s">
        <v>68</v>
      </c>
      <c r="F758" s="9" t="s">
        <v>80</v>
      </c>
      <c r="G758" s="9" t="s">
        <v>43</v>
      </c>
      <c r="H758" s="9" t="s">
        <v>44</v>
      </c>
      <c r="I758" s="11" t="s">
        <v>90</v>
      </c>
      <c r="J758" s="9" t="s">
        <v>91</v>
      </c>
      <c r="K758" s="9" t="s">
        <v>47</v>
      </c>
      <c r="L758" s="9" t="s">
        <v>48</v>
      </c>
      <c r="M758" s="9" t="s">
        <v>2159</v>
      </c>
      <c r="N758" s="9" t="s">
        <v>50</v>
      </c>
      <c r="O758" s="9" t="s">
        <v>51</v>
      </c>
      <c r="P758" s="9" t="s">
        <v>273</v>
      </c>
      <c r="Q758" s="9"/>
      <c r="R758" s="9"/>
      <c r="S758" s="14" t="s">
        <v>3021</v>
      </c>
      <c r="T758" s="9" t="s">
        <v>3022</v>
      </c>
      <c r="U758" s="9" t="s">
        <v>54</v>
      </c>
      <c r="V758" s="9" t="s">
        <v>55</v>
      </c>
      <c r="W758" s="9" t="s">
        <v>55</v>
      </c>
      <c r="X758" s="12"/>
      <c r="Y758" s="9" t="s">
        <v>55</v>
      </c>
      <c r="Z758" s="13"/>
    </row>
    <row r="759" spans="1:26" ht="32.25" hidden="1" customHeight="1">
      <c r="A759" s="8">
        <v>2304069</v>
      </c>
      <c r="B759" s="9" t="s">
        <v>3023</v>
      </c>
      <c r="C759" s="10">
        <v>45142</v>
      </c>
      <c r="D759" s="9" t="s">
        <v>67</v>
      </c>
      <c r="E759" s="9" t="s">
        <v>68</v>
      </c>
      <c r="F759" s="9" t="s">
        <v>135</v>
      </c>
      <c r="G759" s="9" t="s">
        <v>43</v>
      </c>
      <c r="H759" s="9" t="s">
        <v>44</v>
      </c>
      <c r="I759" s="11" t="s">
        <v>3024</v>
      </c>
      <c r="J759" s="9" t="s">
        <v>3025</v>
      </c>
      <c r="K759" s="9" t="s">
        <v>47</v>
      </c>
      <c r="L759" s="9" t="s">
        <v>1378</v>
      </c>
      <c r="M759" s="9" t="s">
        <v>1664</v>
      </c>
      <c r="N759" s="9" t="s">
        <v>50</v>
      </c>
      <c r="O759" s="9" t="s">
        <v>51</v>
      </c>
      <c r="P759" s="9"/>
      <c r="Q759" s="9"/>
      <c r="R759" s="9" t="s">
        <v>61</v>
      </c>
      <c r="S759" s="9" t="s">
        <v>3026</v>
      </c>
      <c r="T759" s="9" t="s">
        <v>3027</v>
      </c>
      <c r="U759" s="9" t="s">
        <v>54</v>
      </c>
      <c r="V759" s="9" t="s">
        <v>55</v>
      </c>
      <c r="W759" s="9" t="s">
        <v>55</v>
      </c>
      <c r="X759" s="12" t="s">
        <v>76</v>
      </c>
      <c r="Y759" s="9" t="s">
        <v>77</v>
      </c>
      <c r="Z759" s="13"/>
    </row>
    <row r="760" spans="1:26" ht="32.25" hidden="1" customHeight="1">
      <c r="A760" s="8">
        <v>2302496</v>
      </c>
      <c r="B760" s="9" t="s">
        <v>3028</v>
      </c>
      <c r="C760" s="10">
        <v>45142</v>
      </c>
      <c r="D760" s="9" t="s">
        <v>67</v>
      </c>
      <c r="E760" s="9" t="s">
        <v>143</v>
      </c>
      <c r="F760" s="9" t="s">
        <v>42</v>
      </c>
      <c r="G760" s="9" t="s">
        <v>43</v>
      </c>
      <c r="H760" s="9" t="s">
        <v>44</v>
      </c>
      <c r="I760" s="11" t="s">
        <v>144</v>
      </c>
      <c r="J760" s="9" t="s">
        <v>145</v>
      </c>
      <c r="K760" s="9" t="s">
        <v>47</v>
      </c>
      <c r="L760" s="9" t="s">
        <v>480</v>
      </c>
      <c r="M760" s="9" t="s">
        <v>481</v>
      </c>
      <c r="N760" s="9" t="s">
        <v>50</v>
      </c>
      <c r="O760" s="9" t="s">
        <v>51</v>
      </c>
      <c r="P760" s="9" t="s">
        <v>147</v>
      </c>
      <c r="Q760" s="9"/>
      <c r="R760" s="9" t="s">
        <v>61</v>
      </c>
      <c r="S760" s="9" t="s">
        <v>3029</v>
      </c>
      <c r="T760" s="9" t="s">
        <v>3030</v>
      </c>
      <c r="U760" s="9" t="s">
        <v>54</v>
      </c>
      <c r="V760" s="9" t="s">
        <v>55</v>
      </c>
      <c r="W760" s="9" t="s">
        <v>55</v>
      </c>
      <c r="X760" s="12" t="s">
        <v>150</v>
      </c>
      <c r="Y760" s="9" t="s">
        <v>151</v>
      </c>
      <c r="Z760" s="13"/>
    </row>
    <row r="761" spans="1:26" ht="32.25" hidden="1" customHeight="1">
      <c r="A761" s="8">
        <v>2303893</v>
      </c>
      <c r="B761" s="9" t="s">
        <v>3031</v>
      </c>
      <c r="C761" s="10">
        <v>45149</v>
      </c>
      <c r="D761" s="9" t="s">
        <v>57</v>
      </c>
      <c r="E761" s="9" t="s">
        <v>41</v>
      </c>
      <c r="F761" s="9" t="s">
        <v>42</v>
      </c>
      <c r="G761" s="9" t="s">
        <v>43</v>
      </c>
      <c r="H761" s="9" t="s">
        <v>58</v>
      </c>
      <c r="I761" s="11" t="s">
        <v>199</v>
      </c>
      <c r="J761" s="9" t="s">
        <v>200</v>
      </c>
      <c r="K761" s="9" t="s">
        <v>47</v>
      </c>
      <c r="L761" s="9" t="s">
        <v>156</v>
      </c>
      <c r="M761" s="9"/>
      <c r="N761" s="9" t="s">
        <v>50</v>
      </c>
      <c r="O761" s="9" t="s">
        <v>51</v>
      </c>
      <c r="P761" s="9"/>
      <c r="Q761" s="9"/>
      <c r="R761" s="9"/>
      <c r="S761" s="14" t="s">
        <v>3032</v>
      </c>
      <c r="T761" s="9" t="s">
        <v>3033</v>
      </c>
      <c r="U761" s="9" t="s">
        <v>54</v>
      </c>
      <c r="V761" s="9" t="s">
        <v>55</v>
      </c>
      <c r="W761" s="9" t="s">
        <v>55</v>
      </c>
      <c r="X761" s="12"/>
      <c r="Y761" s="9" t="s">
        <v>55</v>
      </c>
      <c r="Z761" s="13"/>
    </row>
    <row r="762" spans="1:26" ht="32.25" hidden="1" customHeight="1">
      <c r="A762" s="8">
        <v>2311343</v>
      </c>
      <c r="B762" s="9" t="s">
        <v>3034</v>
      </c>
      <c r="C762" s="10">
        <v>45142</v>
      </c>
      <c r="D762" s="9" t="s">
        <v>67</v>
      </c>
      <c r="E762" s="9" t="s">
        <v>68</v>
      </c>
      <c r="F762" s="9" t="s">
        <v>42</v>
      </c>
      <c r="G762" s="9" t="s">
        <v>43</v>
      </c>
      <c r="H762" s="9" t="s">
        <v>44</v>
      </c>
      <c r="I762" s="11" t="s">
        <v>69</v>
      </c>
      <c r="J762" s="9" t="s">
        <v>70</v>
      </c>
      <c r="K762" s="9" t="s">
        <v>47</v>
      </c>
      <c r="L762" s="9" t="s">
        <v>290</v>
      </c>
      <c r="M762" s="9" t="s">
        <v>1787</v>
      </c>
      <c r="N762" s="9" t="s">
        <v>84</v>
      </c>
      <c r="O762" s="9" t="s">
        <v>51</v>
      </c>
      <c r="P762" s="9" t="s">
        <v>73</v>
      </c>
      <c r="Q762" s="9"/>
      <c r="R762" s="9" t="s">
        <v>61</v>
      </c>
      <c r="S762" s="9" t="s">
        <v>3035</v>
      </c>
      <c r="T762" s="9" t="s">
        <v>3036</v>
      </c>
      <c r="U762" s="9" t="s">
        <v>54</v>
      </c>
      <c r="V762" s="9" t="s">
        <v>55</v>
      </c>
      <c r="W762" s="9" t="s">
        <v>55</v>
      </c>
      <c r="X762" s="12" t="s">
        <v>76</v>
      </c>
      <c r="Y762" s="9" t="s">
        <v>77</v>
      </c>
      <c r="Z762" s="13"/>
    </row>
    <row r="763" spans="1:26" ht="32.25" hidden="1" customHeight="1">
      <c r="A763" s="8">
        <v>2311801</v>
      </c>
      <c r="B763" s="9" t="s">
        <v>3037</v>
      </c>
      <c r="C763" s="10">
        <v>45149</v>
      </c>
      <c r="D763" s="9" t="s">
        <v>261</v>
      </c>
      <c r="E763" s="9" t="s">
        <v>143</v>
      </c>
      <c r="F763" s="9" t="s">
        <v>262</v>
      </c>
      <c r="G763" s="9" t="s">
        <v>43</v>
      </c>
      <c r="H763" s="9" t="s">
        <v>44</v>
      </c>
      <c r="I763" s="11" t="s">
        <v>1291</v>
      </c>
      <c r="J763" s="9" t="s">
        <v>1292</v>
      </c>
      <c r="K763" s="9" t="s">
        <v>47</v>
      </c>
      <c r="L763" s="9" t="s">
        <v>799</v>
      </c>
      <c r="M763" s="9" t="s">
        <v>1490</v>
      </c>
      <c r="N763" s="9" t="s">
        <v>50</v>
      </c>
      <c r="O763" s="9" t="s">
        <v>51</v>
      </c>
      <c r="P763" s="9"/>
      <c r="Q763" s="9"/>
      <c r="R763" s="9" t="s">
        <v>61</v>
      </c>
      <c r="S763" s="14" t="s">
        <v>3038</v>
      </c>
      <c r="T763" s="9" t="s">
        <v>3039</v>
      </c>
      <c r="U763" s="9" t="s">
        <v>262</v>
      </c>
      <c r="V763" s="9" t="s">
        <v>370</v>
      </c>
      <c r="W763" s="9" t="s">
        <v>115</v>
      </c>
      <c r="X763" s="12" t="s">
        <v>389</v>
      </c>
      <c r="Y763" s="9" t="s">
        <v>390</v>
      </c>
      <c r="Z763" s="13"/>
    </row>
    <row r="764" spans="1:26" ht="32.25" hidden="1" customHeight="1">
      <c r="A764" s="8">
        <v>2300512</v>
      </c>
      <c r="B764" s="9" t="s">
        <v>3040</v>
      </c>
      <c r="C764" s="10">
        <v>45142</v>
      </c>
      <c r="D764" s="9" t="s">
        <v>67</v>
      </c>
      <c r="E764" s="9" t="s">
        <v>68</v>
      </c>
      <c r="F764" s="9" t="s">
        <v>135</v>
      </c>
      <c r="G764" s="9" t="s">
        <v>43</v>
      </c>
      <c r="H764" s="9" t="s">
        <v>44</v>
      </c>
      <c r="I764" s="11" t="s">
        <v>136</v>
      </c>
      <c r="J764" s="9" t="s">
        <v>137</v>
      </c>
      <c r="K764" s="9" t="s">
        <v>416</v>
      </c>
      <c r="L764" s="9" t="s">
        <v>3041</v>
      </c>
      <c r="M764" s="9" t="s">
        <v>3042</v>
      </c>
      <c r="N764" s="9" t="s">
        <v>50</v>
      </c>
      <c r="O764" s="9" t="s">
        <v>51</v>
      </c>
      <c r="P764" s="9"/>
      <c r="Q764" s="9"/>
      <c r="R764" s="9" t="s">
        <v>61</v>
      </c>
      <c r="S764" s="9" t="s">
        <v>3043</v>
      </c>
      <c r="T764" s="9" t="s">
        <v>3044</v>
      </c>
      <c r="U764" s="9" t="s">
        <v>54</v>
      </c>
      <c r="V764" s="9" t="s">
        <v>55</v>
      </c>
      <c r="W764" s="9" t="s">
        <v>55</v>
      </c>
      <c r="X764" s="12" t="s">
        <v>76</v>
      </c>
      <c r="Y764" s="9" t="s">
        <v>77</v>
      </c>
      <c r="Z764" s="13"/>
    </row>
    <row r="765" spans="1:26" ht="32.25" hidden="1" customHeight="1">
      <c r="A765" s="8">
        <v>2308480</v>
      </c>
      <c r="B765" s="9" t="s">
        <v>3045</v>
      </c>
      <c r="C765" s="10">
        <v>45149</v>
      </c>
      <c r="D765" s="9" t="s">
        <v>57</v>
      </c>
      <c r="E765" s="9" t="s">
        <v>153</v>
      </c>
      <c r="F765" s="9" t="s">
        <v>42</v>
      </c>
      <c r="G765" s="9" t="s">
        <v>43</v>
      </c>
      <c r="H765" s="9" t="s">
        <v>58</v>
      </c>
      <c r="I765" s="11" t="s">
        <v>154</v>
      </c>
      <c r="J765" s="9" t="s">
        <v>155</v>
      </c>
      <c r="K765" s="9" t="s">
        <v>47</v>
      </c>
      <c r="L765" s="9" t="s">
        <v>156</v>
      </c>
      <c r="M765" s="9"/>
      <c r="N765" s="9" t="s">
        <v>50</v>
      </c>
      <c r="O765" s="9" t="s">
        <v>51</v>
      </c>
      <c r="P765" s="9"/>
      <c r="Q765" s="9"/>
      <c r="R765" s="9"/>
      <c r="S765" s="14" t="s">
        <v>3046</v>
      </c>
      <c r="T765" s="9" t="s">
        <v>3047</v>
      </c>
      <c r="U765" s="9" t="s">
        <v>54</v>
      </c>
      <c r="V765" s="9" t="s">
        <v>55</v>
      </c>
      <c r="W765" s="9" t="s">
        <v>55</v>
      </c>
      <c r="X765" s="12"/>
      <c r="Y765" s="9" t="s">
        <v>55</v>
      </c>
      <c r="Z765" s="13"/>
    </row>
    <row r="766" spans="1:26" ht="32.25" hidden="1" customHeight="1">
      <c r="A766" s="8">
        <v>2314384</v>
      </c>
      <c r="B766" s="9" t="s">
        <v>3048</v>
      </c>
      <c r="C766" s="10">
        <v>45156</v>
      </c>
      <c r="D766" s="9" t="s">
        <v>79</v>
      </c>
      <c r="E766" s="9" t="s">
        <v>89</v>
      </c>
      <c r="F766" s="9" t="s">
        <v>80</v>
      </c>
      <c r="G766" s="9" t="s">
        <v>43</v>
      </c>
      <c r="H766" s="9" t="s">
        <v>44</v>
      </c>
      <c r="I766" s="11" t="s">
        <v>101</v>
      </c>
      <c r="J766" s="9" t="s">
        <v>102</v>
      </c>
      <c r="K766" s="9" t="s">
        <v>47</v>
      </c>
      <c r="L766" s="9" t="s">
        <v>2859</v>
      </c>
      <c r="M766" s="9" t="s">
        <v>3049</v>
      </c>
      <c r="N766" s="9" t="s">
        <v>50</v>
      </c>
      <c r="O766" s="9" t="s">
        <v>51</v>
      </c>
      <c r="P766" s="9" t="s">
        <v>715</v>
      </c>
      <c r="Q766" s="9"/>
      <c r="R766" s="9" t="s">
        <v>61</v>
      </c>
      <c r="S766" s="14" t="s">
        <v>3050</v>
      </c>
      <c r="T766" s="9" t="s">
        <v>3051</v>
      </c>
      <c r="U766" s="9" t="s">
        <v>54</v>
      </c>
      <c r="V766" s="9" t="s">
        <v>55</v>
      </c>
      <c r="W766" s="9" t="s">
        <v>55</v>
      </c>
      <c r="X766" s="12" t="s">
        <v>98</v>
      </c>
      <c r="Y766" s="9" t="s">
        <v>99</v>
      </c>
      <c r="Z766" s="13"/>
    </row>
    <row r="767" spans="1:26" ht="32.25" hidden="1" customHeight="1">
      <c r="A767" s="8">
        <v>2304019</v>
      </c>
      <c r="B767" s="9" t="s">
        <v>3052</v>
      </c>
      <c r="C767" s="10">
        <v>45136</v>
      </c>
      <c r="D767" s="9" t="s">
        <v>940</v>
      </c>
      <c r="E767" s="9" t="s">
        <v>41</v>
      </c>
      <c r="F767" s="9" t="s">
        <v>42</v>
      </c>
      <c r="G767" s="9" t="s">
        <v>43</v>
      </c>
      <c r="H767" s="9" t="s">
        <v>44</v>
      </c>
      <c r="I767" s="11" t="s">
        <v>45</v>
      </c>
      <c r="J767" s="9" t="s">
        <v>46</v>
      </c>
      <c r="K767" s="9" t="s">
        <v>47</v>
      </c>
      <c r="L767" s="9" t="s">
        <v>48</v>
      </c>
      <c r="M767" s="9" t="s">
        <v>3053</v>
      </c>
      <c r="N767" s="9" t="s">
        <v>84</v>
      </c>
      <c r="O767" s="9" t="s">
        <v>51</v>
      </c>
      <c r="P767" s="9"/>
      <c r="Q767" s="9" t="s">
        <v>941</v>
      </c>
      <c r="R767" s="9" t="s">
        <v>61</v>
      </c>
      <c r="S767" s="9" t="s">
        <v>3054</v>
      </c>
      <c r="T767" s="9" t="s">
        <v>3055</v>
      </c>
      <c r="U767" s="9" t="s">
        <v>54</v>
      </c>
      <c r="V767" s="9" t="s">
        <v>55</v>
      </c>
      <c r="W767" s="9" t="s">
        <v>55</v>
      </c>
      <c r="X767" s="9" t="s">
        <v>196</v>
      </c>
      <c r="Y767" s="9" t="s">
        <v>197</v>
      </c>
      <c r="Z767" s="13"/>
    </row>
    <row r="768" spans="1:26" ht="32.25" hidden="1" customHeight="1">
      <c r="A768" s="8">
        <v>2308718</v>
      </c>
      <c r="B768" s="9" t="s">
        <v>3056</v>
      </c>
      <c r="C768" s="10">
        <v>45142</v>
      </c>
      <c r="D768" s="9" t="s">
        <v>67</v>
      </c>
      <c r="E768" s="9" t="s">
        <v>68</v>
      </c>
      <c r="F768" s="9" t="s">
        <v>135</v>
      </c>
      <c r="G768" s="9" t="s">
        <v>43</v>
      </c>
      <c r="H768" s="9" t="s">
        <v>44</v>
      </c>
      <c r="I768" s="11" t="s">
        <v>136</v>
      </c>
      <c r="J768" s="9" t="s">
        <v>137</v>
      </c>
      <c r="K768" s="9" t="s">
        <v>47</v>
      </c>
      <c r="L768" s="9" t="s">
        <v>411</v>
      </c>
      <c r="M768" s="9" t="s">
        <v>3057</v>
      </c>
      <c r="N768" s="9" t="s">
        <v>84</v>
      </c>
      <c r="O768" s="9" t="s">
        <v>51</v>
      </c>
      <c r="P768" s="9"/>
      <c r="Q768" s="9"/>
      <c r="R768" s="9" t="s">
        <v>61</v>
      </c>
      <c r="S768" s="9" t="s">
        <v>3058</v>
      </c>
      <c r="T768" s="9" t="s">
        <v>3059</v>
      </c>
      <c r="U768" s="9" t="s">
        <v>54</v>
      </c>
      <c r="V768" s="9" t="s">
        <v>55</v>
      </c>
      <c r="W768" s="9" t="s">
        <v>55</v>
      </c>
      <c r="X768" s="12" t="s">
        <v>76</v>
      </c>
      <c r="Y768" s="9" t="s">
        <v>77</v>
      </c>
      <c r="Z768" s="13"/>
    </row>
    <row r="769" spans="1:26" ht="32.25" hidden="1" customHeight="1">
      <c r="A769" s="8">
        <v>2308310</v>
      </c>
      <c r="B769" s="9" t="s">
        <v>3060</v>
      </c>
      <c r="C769" s="10">
        <v>45149</v>
      </c>
      <c r="D769" s="9" t="s">
        <v>57</v>
      </c>
      <c r="E769" s="9" t="s">
        <v>295</v>
      </c>
      <c r="F769" s="9" t="s">
        <v>42</v>
      </c>
      <c r="G769" s="9" t="s">
        <v>43</v>
      </c>
      <c r="H769" s="9" t="s">
        <v>58</v>
      </c>
      <c r="I769" s="11" t="s">
        <v>406</v>
      </c>
      <c r="J769" s="9" t="s">
        <v>407</v>
      </c>
      <c r="K769" s="9" t="s">
        <v>47</v>
      </c>
      <c r="L769" s="9" t="s">
        <v>706</v>
      </c>
      <c r="M769" s="9" t="s">
        <v>3061</v>
      </c>
      <c r="N769" s="9" t="s">
        <v>84</v>
      </c>
      <c r="O769" s="9" t="s">
        <v>51</v>
      </c>
      <c r="P769" s="9"/>
      <c r="Q769" s="9"/>
      <c r="R769" s="9" t="s">
        <v>61</v>
      </c>
      <c r="S769" s="14" t="s">
        <v>3062</v>
      </c>
      <c r="T769" s="9" t="s">
        <v>3063</v>
      </c>
      <c r="U769" s="9" t="s">
        <v>54</v>
      </c>
      <c r="V769" s="9" t="s">
        <v>55</v>
      </c>
      <c r="W769" s="9" t="s">
        <v>55</v>
      </c>
      <c r="X769" s="9" t="s">
        <v>319</v>
      </c>
      <c r="Y769" s="9" t="s">
        <v>320</v>
      </c>
      <c r="Z769" s="13"/>
    </row>
    <row r="770" spans="1:26" ht="32.25" hidden="1" customHeight="1">
      <c r="A770" s="8">
        <v>2315446</v>
      </c>
      <c r="B770" s="9" t="s">
        <v>3064</v>
      </c>
      <c r="C770" s="10">
        <v>45152</v>
      </c>
      <c r="D770" s="9" t="s">
        <v>639</v>
      </c>
      <c r="E770" s="9" t="s">
        <v>143</v>
      </c>
      <c r="F770" s="9" t="s">
        <v>80</v>
      </c>
      <c r="G770" s="9" t="s">
        <v>43</v>
      </c>
      <c r="H770" s="9" t="s">
        <v>44</v>
      </c>
      <c r="I770" s="11" t="s">
        <v>326</v>
      </c>
      <c r="J770" s="9" t="s">
        <v>327</v>
      </c>
      <c r="K770" s="9" t="s">
        <v>250</v>
      </c>
      <c r="L770" s="9"/>
      <c r="M770" s="9" t="s">
        <v>3065</v>
      </c>
      <c r="N770" s="9" t="s">
        <v>84</v>
      </c>
      <c r="O770" s="9" t="s">
        <v>187</v>
      </c>
      <c r="P770" s="9" t="s">
        <v>522</v>
      </c>
      <c r="Q770" s="9"/>
      <c r="R770" s="9" t="s">
        <v>61</v>
      </c>
      <c r="S770" s="14" t="s">
        <v>641</v>
      </c>
      <c r="T770" s="9" t="s">
        <v>3066</v>
      </c>
      <c r="U770" s="9" t="s">
        <v>54</v>
      </c>
      <c r="V770" s="9" t="s">
        <v>55</v>
      </c>
      <c r="W770" s="9" t="s">
        <v>55</v>
      </c>
      <c r="X770" s="12" t="s">
        <v>150</v>
      </c>
      <c r="Y770" s="9" t="s">
        <v>151</v>
      </c>
      <c r="Z770" s="13"/>
    </row>
    <row r="771" spans="1:26" ht="32.25" hidden="1" customHeight="1">
      <c r="A771" s="8">
        <v>2307642</v>
      </c>
      <c r="B771" s="9" t="s">
        <v>3067</v>
      </c>
      <c r="C771" s="10">
        <v>45156</v>
      </c>
      <c r="D771" s="9" t="s">
        <v>79</v>
      </c>
      <c r="E771" s="9" t="s">
        <v>143</v>
      </c>
      <c r="F771" s="9" t="s">
        <v>80</v>
      </c>
      <c r="G771" s="9" t="s">
        <v>43</v>
      </c>
      <c r="H771" s="9" t="s">
        <v>44</v>
      </c>
      <c r="I771" s="11" t="s">
        <v>399</v>
      </c>
      <c r="J771" s="9" t="s">
        <v>400</v>
      </c>
      <c r="K771" s="9" t="s">
        <v>47</v>
      </c>
      <c r="L771" s="9" t="s">
        <v>2632</v>
      </c>
      <c r="M771" s="9" t="s">
        <v>3068</v>
      </c>
      <c r="N771" s="9" t="s">
        <v>84</v>
      </c>
      <c r="O771" s="9" t="s">
        <v>51</v>
      </c>
      <c r="P771" s="9" t="s">
        <v>1137</v>
      </c>
      <c r="Q771" s="9"/>
      <c r="R771" s="9" t="s">
        <v>61</v>
      </c>
      <c r="S771" s="14" t="s">
        <v>3069</v>
      </c>
      <c r="T771" s="9" t="s">
        <v>3070</v>
      </c>
      <c r="U771" s="9" t="s">
        <v>54</v>
      </c>
      <c r="V771" s="9" t="s">
        <v>370</v>
      </c>
      <c r="W771" s="9" t="s">
        <v>115</v>
      </c>
      <c r="X771" s="12" t="s">
        <v>150</v>
      </c>
      <c r="Y771" s="9" t="s">
        <v>151</v>
      </c>
      <c r="Z771" s="13"/>
    </row>
    <row r="772" spans="1:26" ht="32.25" hidden="1" customHeight="1">
      <c r="A772" s="8">
        <v>2307819</v>
      </c>
      <c r="B772" s="9" t="s">
        <v>3071</v>
      </c>
      <c r="C772" s="10">
        <v>45136</v>
      </c>
      <c r="D772" s="9" t="s">
        <v>40</v>
      </c>
      <c r="E772" s="9" t="s">
        <v>41</v>
      </c>
      <c r="F772" s="9" t="s">
        <v>42</v>
      </c>
      <c r="G772" s="9" t="s">
        <v>43</v>
      </c>
      <c r="H772" s="9" t="s">
        <v>44</v>
      </c>
      <c r="I772" s="11" t="s">
        <v>45</v>
      </c>
      <c r="J772" s="9" t="s">
        <v>46</v>
      </c>
      <c r="K772" s="9" t="s">
        <v>47</v>
      </c>
      <c r="L772" s="9" t="s">
        <v>156</v>
      </c>
      <c r="M772" s="9"/>
      <c r="N772" s="9" t="s">
        <v>84</v>
      </c>
      <c r="O772" s="9" t="s">
        <v>51</v>
      </c>
      <c r="P772" s="9"/>
      <c r="Q772" s="9"/>
      <c r="R772" s="9"/>
      <c r="S772" s="9" t="s">
        <v>3072</v>
      </c>
      <c r="T772" s="9" t="s">
        <v>3073</v>
      </c>
      <c r="U772" s="9" t="s">
        <v>54</v>
      </c>
      <c r="V772" s="9" t="s">
        <v>55</v>
      </c>
      <c r="W772" s="9" t="s">
        <v>55</v>
      </c>
      <c r="X772" s="12"/>
      <c r="Y772" s="9" t="s">
        <v>55</v>
      </c>
      <c r="Z772" s="13"/>
    </row>
    <row r="773" spans="1:26" ht="32.25" hidden="1" customHeight="1">
      <c r="A773" s="8">
        <v>2303579</v>
      </c>
      <c r="B773" s="9" t="s">
        <v>3074</v>
      </c>
      <c r="C773" s="10">
        <v>45149</v>
      </c>
      <c r="D773" s="9" t="s">
        <v>57</v>
      </c>
      <c r="E773" s="9" t="s">
        <v>41</v>
      </c>
      <c r="F773" s="9" t="s">
        <v>42</v>
      </c>
      <c r="G773" s="9" t="s">
        <v>43</v>
      </c>
      <c r="H773" s="9" t="s">
        <v>58</v>
      </c>
      <c r="I773" s="11" t="s">
        <v>199</v>
      </c>
      <c r="J773" s="9" t="s">
        <v>200</v>
      </c>
      <c r="K773" s="9" t="s">
        <v>47</v>
      </c>
      <c r="L773" s="9" t="s">
        <v>156</v>
      </c>
      <c r="M773" s="9"/>
      <c r="N773" s="9" t="s">
        <v>84</v>
      </c>
      <c r="O773" s="9" t="s">
        <v>51</v>
      </c>
      <c r="P773" s="9"/>
      <c r="Q773" s="9"/>
      <c r="R773" s="9"/>
      <c r="S773" s="14" t="s">
        <v>3075</v>
      </c>
      <c r="T773" s="9" t="s">
        <v>3076</v>
      </c>
      <c r="U773" s="9" t="s">
        <v>54</v>
      </c>
      <c r="V773" s="9" t="s">
        <v>55</v>
      </c>
      <c r="W773" s="9" t="s">
        <v>55</v>
      </c>
      <c r="X773" s="12"/>
      <c r="Y773" s="9" t="s">
        <v>55</v>
      </c>
      <c r="Z773" s="13"/>
    </row>
    <row r="774" spans="1:26" ht="32.25" hidden="1" customHeight="1">
      <c r="A774" s="8">
        <v>2309303</v>
      </c>
      <c r="B774" s="9" t="s">
        <v>3077</v>
      </c>
      <c r="C774" s="10">
        <v>45156</v>
      </c>
      <c r="D774" s="9" t="s">
        <v>79</v>
      </c>
      <c r="E774" s="9" t="s">
        <v>89</v>
      </c>
      <c r="F774" s="9" t="s">
        <v>80</v>
      </c>
      <c r="G774" s="9" t="s">
        <v>43</v>
      </c>
      <c r="H774" s="9" t="s">
        <v>44</v>
      </c>
      <c r="I774" s="11" t="s">
        <v>101</v>
      </c>
      <c r="J774" s="9" t="s">
        <v>102</v>
      </c>
      <c r="K774" s="9" t="s">
        <v>47</v>
      </c>
      <c r="L774" s="9" t="s">
        <v>713</v>
      </c>
      <c r="M774" s="9" t="s">
        <v>714</v>
      </c>
      <c r="N774" s="9" t="s">
        <v>84</v>
      </c>
      <c r="O774" s="9" t="s">
        <v>51</v>
      </c>
      <c r="P774" s="9" t="s">
        <v>715</v>
      </c>
      <c r="Q774" s="9"/>
      <c r="R774" s="9"/>
      <c r="S774" s="14" t="s">
        <v>3078</v>
      </c>
      <c r="T774" s="9" t="s">
        <v>3079</v>
      </c>
      <c r="U774" s="9" t="s">
        <v>54</v>
      </c>
      <c r="V774" s="9" t="s">
        <v>55</v>
      </c>
      <c r="W774" s="9" t="s">
        <v>55</v>
      </c>
      <c r="X774" s="12"/>
      <c r="Y774" s="9" t="s">
        <v>55</v>
      </c>
      <c r="Z774" s="13"/>
    </row>
    <row r="775" spans="1:26" ht="32.25" hidden="1" customHeight="1">
      <c r="A775" s="8">
        <v>2302431</v>
      </c>
      <c r="B775" s="9" t="s">
        <v>3080</v>
      </c>
      <c r="C775" s="10">
        <v>45149</v>
      </c>
      <c r="D775" s="9" t="s">
        <v>57</v>
      </c>
      <c r="E775" s="9" t="s">
        <v>295</v>
      </c>
      <c r="F775" s="9" t="s">
        <v>42</v>
      </c>
      <c r="G775" s="9" t="s">
        <v>43</v>
      </c>
      <c r="H775" s="9" t="s">
        <v>58</v>
      </c>
      <c r="I775" s="11" t="s">
        <v>406</v>
      </c>
      <c r="J775" s="9" t="s">
        <v>407</v>
      </c>
      <c r="K775" s="9" t="s">
        <v>47</v>
      </c>
      <c r="L775" s="9" t="s">
        <v>48</v>
      </c>
      <c r="M775" s="9" t="s">
        <v>3081</v>
      </c>
      <c r="N775" s="9" t="s">
        <v>50</v>
      </c>
      <c r="O775" s="9" t="s">
        <v>51</v>
      </c>
      <c r="P775" s="9"/>
      <c r="Q775" s="9"/>
      <c r="R775" s="9"/>
      <c r="S775" s="14" t="s">
        <v>3082</v>
      </c>
      <c r="T775" s="9" t="s">
        <v>3083</v>
      </c>
      <c r="U775" s="9" t="s">
        <v>54</v>
      </c>
      <c r="V775" s="9" t="s">
        <v>55</v>
      </c>
      <c r="W775" s="9" t="s">
        <v>55</v>
      </c>
      <c r="X775" s="12"/>
      <c r="Y775" s="9" t="s">
        <v>55</v>
      </c>
      <c r="Z775" s="13"/>
    </row>
    <row r="776" spans="1:26" ht="32.25" hidden="1" customHeight="1">
      <c r="A776" s="8">
        <v>2301238</v>
      </c>
      <c r="B776" s="9" t="s">
        <v>3084</v>
      </c>
      <c r="C776" s="10">
        <v>45142</v>
      </c>
      <c r="D776" s="9" t="s">
        <v>67</v>
      </c>
      <c r="E776" s="9" t="s">
        <v>68</v>
      </c>
      <c r="F776" s="9" t="s">
        <v>135</v>
      </c>
      <c r="G776" s="9" t="s">
        <v>43</v>
      </c>
      <c r="H776" s="9" t="s">
        <v>44</v>
      </c>
      <c r="I776" s="11" t="s">
        <v>136</v>
      </c>
      <c r="J776" s="9" t="s">
        <v>137</v>
      </c>
      <c r="K776" s="9" t="s">
        <v>47</v>
      </c>
      <c r="L776" s="9" t="s">
        <v>349</v>
      </c>
      <c r="M776" s="9" t="s">
        <v>785</v>
      </c>
      <c r="N776" s="9" t="s">
        <v>50</v>
      </c>
      <c r="O776" s="9" t="s">
        <v>51</v>
      </c>
      <c r="P776" s="9"/>
      <c r="Q776" s="9"/>
      <c r="R776" s="9" t="s">
        <v>61</v>
      </c>
      <c r="S776" s="9" t="s">
        <v>3085</v>
      </c>
      <c r="T776" s="9" t="s">
        <v>3086</v>
      </c>
      <c r="U776" s="9" t="s">
        <v>54</v>
      </c>
      <c r="V776" s="9" t="s">
        <v>55</v>
      </c>
      <c r="W776" s="9" t="s">
        <v>55</v>
      </c>
      <c r="X776" s="12" t="s">
        <v>76</v>
      </c>
      <c r="Y776" s="9" t="s">
        <v>77</v>
      </c>
      <c r="Z776" s="13"/>
    </row>
    <row r="777" spans="1:26" ht="32.25" hidden="1" customHeight="1">
      <c r="A777" s="8">
        <v>2307835</v>
      </c>
      <c r="B777" s="9" t="s">
        <v>3087</v>
      </c>
      <c r="C777" s="10">
        <v>45156</v>
      </c>
      <c r="D777" s="9" t="s">
        <v>79</v>
      </c>
      <c r="E777" s="9" t="s">
        <v>89</v>
      </c>
      <c r="F777" s="9" t="s">
        <v>80</v>
      </c>
      <c r="G777" s="9" t="s">
        <v>43</v>
      </c>
      <c r="H777" s="9" t="s">
        <v>44</v>
      </c>
      <c r="I777" s="11" t="s">
        <v>90</v>
      </c>
      <c r="J777" s="9" t="s">
        <v>91</v>
      </c>
      <c r="K777" s="9" t="s">
        <v>47</v>
      </c>
      <c r="L777" s="9" t="s">
        <v>174</v>
      </c>
      <c r="M777" s="9" t="s">
        <v>2336</v>
      </c>
      <c r="N777" s="9" t="s">
        <v>50</v>
      </c>
      <c r="O777" s="9" t="s">
        <v>51</v>
      </c>
      <c r="P777" s="9" t="s">
        <v>546</v>
      </c>
      <c r="Q777" s="9"/>
      <c r="R777" s="9" t="s">
        <v>61</v>
      </c>
      <c r="S777" s="14" t="s">
        <v>3088</v>
      </c>
      <c r="T777" s="9" t="s">
        <v>3089</v>
      </c>
      <c r="U777" s="9" t="s">
        <v>54</v>
      </c>
      <c r="V777" s="9" t="s">
        <v>711</v>
      </c>
      <c r="W777" s="9" t="s">
        <v>115</v>
      </c>
      <c r="X777" s="12" t="s">
        <v>98</v>
      </c>
      <c r="Y777" s="9" t="s">
        <v>99</v>
      </c>
      <c r="Z777" s="13"/>
    </row>
    <row r="778" spans="1:26" ht="32.25" hidden="1" customHeight="1">
      <c r="A778" s="8">
        <v>2304460</v>
      </c>
      <c r="B778" s="9" t="s">
        <v>3090</v>
      </c>
      <c r="C778" s="10">
        <v>45149</v>
      </c>
      <c r="D778" s="9" t="s">
        <v>57</v>
      </c>
      <c r="E778" s="9" t="s">
        <v>41</v>
      </c>
      <c r="F778" s="9" t="s">
        <v>42</v>
      </c>
      <c r="G778" s="9" t="s">
        <v>43</v>
      </c>
      <c r="H778" s="9" t="s">
        <v>58</v>
      </c>
      <c r="I778" s="11" t="s">
        <v>199</v>
      </c>
      <c r="J778" s="9" t="s">
        <v>200</v>
      </c>
      <c r="K778" s="9" t="s">
        <v>47</v>
      </c>
      <c r="L778" s="9" t="s">
        <v>1040</v>
      </c>
      <c r="M778" s="9" t="s">
        <v>1147</v>
      </c>
      <c r="N778" s="9" t="s">
        <v>84</v>
      </c>
      <c r="O778" s="9" t="s">
        <v>51</v>
      </c>
      <c r="P778" s="9"/>
      <c r="Q778" s="9"/>
      <c r="R778" s="9" t="s">
        <v>61</v>
      </c>
      <c r="S778" s="14" t="s">
        <v>3091</v>
      </c>
      <c r="T778" s="9" t="s">
        <v>3092</v>
      </c>
      <c r="U778" s="9" t="s">
        <v>54</v>
      </c>
      <c r="V778" s="9" t="s">
        <v>55</v>
      </c>
      <c r="W778" s="9" t="s">
        <v>55</v>
      </c>
      <c r="X778" s="12" t="s">
        <v>196</v>
      </c>
      <c r="Y778" s="9" t="s">
        <v>197</v>
      </c>
      <c r="Z778" s="13"/>
    </row>
    <row r="779" spans="1:26" ht="32.25" hidden="1" customHeight="1">
      <c r="A779" s="8">
        <v>2305417</v>
      </c>
      <c r="B779" s="9" t="s">
        <v>3093</v>
      </c>
      <c r="C779" s="10">
        <v>45149</v>
      </c>
      <c r="D779" s="9" t="s">
        <v>57</v>
      </c>
      <c r="E779" s="9" t="s">
        <v>41</v>
      </c>
      <c r="F779" s="9" t="s">
        <v>42</v>
      </c>
      <c r="G779" s="9" t="s">
        <v>43</v>
      </c>
      <c r="H779" s="9" t="s">
        <v>58</v>
      </c>
      <c r="I779" s="11" t="s">
        <v>45</v>
      </c>
      <c r="J779" s="9" t="s">
        <v>46</v>
      </c>
      <c r="K779" s="9" t="s">
        <v>47</v>
      </c>
      <c r="L779" s="9" t="s">
        <v>156</v>
      </c>
      <c r="M779" s="9"/>
      <c r="N779" s="9" t="s">
        <v>50</v>
      </c>
      <c r="O779" s="9" t="s">
        <v>51</v>
      </c>
      <c r="P779" s="9"/>
      <c r="Q779" s="9"/>
      <c r="R779" s="9"/>
      <c r="S779" s="14" t="s">
        <v>3094</v>
      </c>
      <c r="T779" s="9" t="s">
        <v>3095</v>
      </c>
      <c r="U779" s="9" t="s">
        <v>54</v>
      </c>
      <c r="V779" s="9" t="s">
        <v>55</v>
      </c>
      <c r="W779" s="9" t="s">
        <v>55</v>
      </c>
      <c r="X779" s="12"/>
      <c r="Y779" s="9" t="s">
        <v>55</v>
      </c>
      <c r="Z779" s="13"/>
    </row>
    <row r="780" spans="1:26" ht="32.25" hidden="1" customHeight="1">
      <c r="A780" s="8">
        <v>2308309</v>
      </c>
      <c r="B780" s="9" t="s">
        <v>3096</v>
      </c>
      <c r="C780" s="10">
        <v>45149</v>
      </c>
      <c r="D780" s="9" t="s">
        <v>57</v>
      </c>
      <c r="E780" s="9" t="s">
        <v>295</v>
      </c>
      <c r="F780" s="9" t="s">
        <v>42</v>
      </c>
      <c r="G780" s="9" t="s">
        <v>43</v>
      </c>
      <c r="H780" s="9" t="s">
        <v>58</v>
      </c>
      <c r="I780" s="11" t="s">
        <v>406</v>
      </c>
      <c r="J780" s="9" t="s">
        <v>407</v>
      </c>
      <c r="K780" s="9" t="s">
        <v>47</v>
      </c>
      <c r="L780" s="9" t="s">
        <v>290</v>
      </c>
      <c r="M780" s="9" t="s">
        <v>1787</v>
      </c>
      <c r="N780" s="9" t="s">
        <v>50</v>
      </c>
      <c r="O780" s="9" t="s">
        <v>51</v>
      </c>
      <c r="P780" s="9"/>
      <c r="Q780" s="9"/>
      <c r="R780" s="9" t="s">
        <v>61</v>
      </c>
      <c r="S780" s="14" t="s">
        <v>3097</v>
      </c>
      <c r="T780" s="9" t="s">
        <v>3098</v>
      </c>
      <c r="U780" s="9" t="s">
        <v>54</v>
      </c>
      <c r="V780" s="9" t="s">
        <v>55</v>
      </c>
      <c r="W780" s="9" t="s">
        <v>55</v>
      </c>
      <c r="X780" s="9" t="s">
        <v>319</v>
      </c>
      <c r="Y780" s="9" t="s">
        <v>320</v>
      </c>
      <c r="Z780" s="13"/>
    </row>
    <row r="781" spans="1:26" ht="32.25" hidden="1" customHeight="1">
      <c r="A781" s="8">
        <v>2306351</v>
      </c>
      <c r="B781" s="9" t="s">
        <v>3099</v>
      </c>
      <c r="C781" s="10">
        <v>45149</v>
      </c>
      <c r="D781" s="9" t="s">
        <v>57</v>
      </c>
      <c r="E781" s="9" t="s">
        <v>41</v>
      </c>
      <c r="F781" s="9" t="s">
        <v>42</v>
      </c>
      <c r="G781" s="9" t="s">
        <v>43</v>
      </c>
      <c r="H781" s="9" t="s">
        <v>58</v>
      </c>
      <c r="I781" s="11" t="s">
        <v>45</v>
      </c>
      <c r="J781" s="9" t="s">
        <v>46</v>
      </c>
      <c r="K781" s="9" t="s">
        <v>47</v>
      </c>
      <c r="L781" s="9" t="s">
        <v>156</v>
      </c>
      <c r="M781" s="9"/>
      <c r="N781" s="9" t="s">
        <v>50</v>
      </c>
      <c r="O781" s="9" t="s">
        <v>51</v>
      </c>
      <c r="P781" s="9"/>
      <c r="Q781" s="9"/>
      <c r="R781" s="9"/>
      <c r="S781" s="14" t="s">
        <v>3100</v>
      </c>
      <c r="T781" s="9" t="s">
        <v>3101</v>
      </c>
      <c r="U781" s="9" t="s">
        <v>54</v>
      </c>
      <c r="V781" s="9" t="s">
        <v>55</v>
      </c>
      <c r="W781" s="9" t="s">
        <v>55</v>
      </c>
      <c r="X781" s="12"/>
      <c r="Y781" s="9" t="s">
        <v>55</v>
      </c>
      <c r="Z781" s="13"/>
    </row>
    <row r="782" spans="1:26" ht="32.25" hidden="1" customHeight="1">
      <c r="A782" s="8">
        <v>2300553</v>
      </c>
      <c r="B782" s="9" t="s">
        <v>3102</v>
      </c>
      <c r="C782" s="10">
        <v>45136</v>
      </c>
      <c r="D782" s="9" t="s">
        <v>40</v>
      </c>
      <c r="E782" s="9" t="s">
        <v>41</v>
      </c>
      <c r="F782" s="9" t="s">
        <v>42</v>
      </c>
      <c r="G782" s="9" t="s">
        <v>43</v>
      </c>
      <c r="H782" s="9" t="s">
        <v>44</v>
      </c>
      <c r="I782" s="11" t="s">
        <v>661</v>
      </c>
      <c r="J782" s="9" t="s">
        <v>662</v>
      </c>
      <c r="K782" s="9" t="s">
        <v>47</v>
      </c>
      <c r="L782" s="9" t="s">
        <v>1992</v>
      </c>
      <c r="M782" s="9" t="s">
        <v>3103</v>
      </c>
      <c r="N782" s="9" t="s">
        <v>50</v>
      </c>
      <c r="O782" s="9" t="s">
        <v>51</v>
      </c>
      <c r="P782" s="9"/>
      <c r="Q782" s="9"/>
      <c r="R782" s="9" t="s">
        <v>61</v>
      </c>
      <c r="S782" s="9" t="s">
        <v>3104</v>
      </c>
      <c r="T782" s="9" t="s">
        <v>3105</v>
      </c>
      <c r="U782" s="9" t="s">
        <v>54</v>
      </c>
      <c r="V782" s="9" t="s">
        <v>55</v>
      </c>
      <c r="W782" s="9" t="s">
        <v>55</v>
      </c>
      <c r="X782" s="9" t="s">
        <v>64</v>
      </c>
      <c r="Y782" s="9" t="s">
        <v>65</v>
      </c>
      <c r="Z782" s="13"/>
    </row>
    <row r="783" spans="1:26" ht="32.25" hidden="1" customHeight="1">
      <c r="A783" s="8">
        <v>2302625</v>
      </c>
      <c r="B783" s="9" t="s">
        <v>3106</v>
      </c>
      <c r="C783" s="10">
        <v>45156</v>
      </c>
      <c r="D783" s="9" t="s">
        <v>79</v>
      </c>
      <c r="E783" s="9" t="s">
        <v>89</v>
      </c>
      <c r="F783" s="9" t="s">
        <v>80</v>
      </c>
      <c r="G783" s="9" t="s">
        <v>43</v>
      </c>
      <c r="H783" s="9" t="s">
        <v>44</v>
      </c>
      <c r="I783" s="11" t="s">
        <v>90</v>
      </c>
      <c r="J783" s="9" t="s">
        <v>91</v>
      </c>
      <c r="K783" s="9" t="s">
        <v>47</v>
      </c>
      <c r="L783" s="9" t="s">
        <v>48</v>
      </c>
      <c r="M783" s="9" t="s">
        <v>1985</v>
      </c>
      <c r="N783" s="9" t="s">
        <v>50</v>
      </c>
      <c r="O783" s="9" t="s">
        <v>51</v>
      </c>
      <c r="P783" s="9" t="s">
        <v>498</v>
      </c>
      <c r="Q783" s="9"/>
      <c r="R783" s="9"/>
      <c r="S783" s="14" t="s">
        <v>3107</v>
      </c>
      <c r="T783" s="9" t="s">
        <v>3108</v>
      </c>
      <c r="U783" s="9" t="s">
        <v>54</v>
      </c>
      <c r="V783" s="9"/>
      <c r="W783" s="9" t="s">
        <v>115</v>
      </c>
      <c r="X783" s="12"/>
      <c r="Y783" s="9" t="s">
        <v>55</v>
      </c>
      <c r="Z783" s="13"/>
    </row>
    <row r="784" spans="1:26" ht="32.25" hidden="1" customHeight="1">
      <c r="A784" s="8">
        <v>2313997</v>
      </c>
      <c r="B784" s="9" t="s">
        <v>3109</v>
      </c>
      <c r="C784" s="10">
        <v>45156</v>
      </c>
      <c r="D784" s="9" t="s">
        <v>79</v>
      </c>
      <c r="E784" s="9" t="s">
        <v>68</v>
      </c>
      <c r="F784" s="9" t="s">
        <v>80</v>
      </c>
      <c r="G784" s="9" t="s">
        <v>43</v>
      </c>
      <c r="H784" s="9" t="s">
        <v>44</v>
      </c>
      <c r="I784" s="11" t="s">
        <v>90</v>
      </c>
      <c r="J784" s="9" t="s">
        <v>91</v>
      </c>
      <c r="K784" s="9" t="s">
        <v>47</v>
      </c>
      <c r="L784" s="9" t="s">
        <v>598</v>
      </c>
      <c r="M784" s="9" t="s">
        <v>599</v>
      </c>
      <c r="N784" s="9" t="s">
        <v>50</v>
      </c>
      <c r="O784" s="9" t="s">
        <v>51</v>
      </c>
      <c r="P784" s="9" t="s">
        <v>670</v>
      </c>
      <c r="Q784" s="9"/>
      <c r="R784" s="9"/>
      <c r="S784" s="14" t="s">
        <v>3110</v>
      </c>
      <c r="T784" s="9" t="s">
        <v>3111</v>
      </c>
      <c r="U784" s="9" t="s">
        <v>54</v>
      </c>
      <c r="V784" s="9" t="s">
        <v>55</v>
      </c>
      <c r="W784" s="9" t="s">
        <v>55</v>
      </c>
      <c r="X784" s="12"/>
      <c r="Y784" s="9" t="s">
        <v>55</v>
      </c>
      <c r="Z784" s="13"/>
    </row>
    <row r="785" spans="1:26" ht="32.25" hidden="1" customHeight="1">
      <c r="A785" s="8">
        <v>2304622</v>
      </c>
      <c r="B785" s="9" t="s">
        <v>3112</v>
      </c>
      <c r="C785" s="10">
        <v>45142</v>
      </c>
      <c r="D785" s="9" t="s">
        <v>67</v>
      </c>
      <c r="E785" s="9" t="s">
        <v>41</v>
      </c>
      <c r="F785" s="9" t="s">
        <v>42</v>
      </c>
      <c r="G785" s="9" t="s">
        <v>43</v>
      </c>
      <c r="H785" s="9" t="s">
        <v>44</v>
      </c>
      <c r="I785" s="11" t="s">
        <v>45</v>
      </c>
      <c r="J785" s="9" t="s">
        <v>46</v>
      </c>
      <c r="K785" s="9" t="s">
        <v>47</v>
      </c>
      <c r="L785" s="9" t="s">
        <v>156</v>
      </c>
      <c r="M785" s="9"/>
      <c r="N785" s="9" t="s">
        <v>50</v>
      </c>
      <c r="O785" s="9" t="s">
        <v>51</v>
      </c>
      <c r="P785" s="9"/>
      <c r="Q785" s="9"/>
      <c r="R785" s="9"/>
      <c r="S785" s="9" t="s">
        <v>3113</v>
      </c>
      <c r="T785" s="9" t="s">
        <v>3114</v>
      </c>
      <c r="U785" s="9" t="s">
        <v>54</v>
      </c>
      <c r="V785" s="9" t="s">
        <v>55</v>
      </c>
      <c r="W785" s="9" t="s">
        <v>55</v>
      </c>
      <c r="X785" s="12"/>
      <c r="Y785" s="9" t="s">
        <v>55</v>
      </c>
      <c r="Z785" s="13"/>
    </row>
    <row r="786" spans="1:26" ht="32.25" hidden="1" customHeight="1">
      <c r="A786" s="8">
        <v>2300867</v>
      </c>
      <c r="B786" s="9" t="s">
        <v>3115</v>
      </c>
      <c r="C786" s="10">
        <v>45142</v>
      </c>
      <c r="D786" s="9" t="s">
        <v>67</v>
      </c>
      <c r="E786" s="9" t="s">
        <v>68</v>
      </c>
      <c r="F786" s="9" t="s">
        <v>135</v>
      </c>
      <c r="G786" s="9" t="s">
        <v>43</v>
      </c>
      <c r="H786" s="9" t="s">
        <v>44</v>
      </c>
      <c r="I786" s="11" t="s">
        <v>136</v>
      </c>
      <c r="J786" s="9" t="s">
        <v>137</v>
      </c>
      <c r="K786" s="9" t="s">
        <v>47</v>
      </c>
      <c r="L786" s="9" t="s">
        <v>156</v>
      </c>
      <c r="M786" s="9"/>
      <c r="N786" s="9" t="s">
        <v>50</v>
      </c>
      <c r="O786" s="9" t="s">
        <v>51</v>
      </c>
      <c r="P786" s="9"/>
      <c r="Q786" s="9"/>
      <c r="R786" s="9"/>
      <c r="S786" s="9" t="s">
        <v>3116</v>
      </c>
      <c r="T786" s="9" t="s">
        <v>3117</v>
      </c>
      <c r="U786" s="9" t="s">
        <v>54</v>
      </c>
      <c r="V786" s="9" t="s">
        <v>55</v>
      </c>
      <c r="W786" s="9" t="s">
        <v>55</v>
      </c>
      <c r="X786" s="12"/>
      <c r="Y786" s="9" t="s">
        <v>55</v>
      </c>
      <c r="Z786" s="13"/>
    </row>
    <row r="787" spans="1:26" ht="32.25" hidden="1" customHeight="1">
      <c r="A787" s="8">
        <v>2304024</v>
      </c>
      <c r="B787" s="9" t="s">
        <v>3118</v>
      </c>
      <c r="C787" s="10">
        <v>45149</v>
      </c>
      <c r="D787" s="9" t="s">
        <v>57</v>
      </c>
      <c r="E787" s="9" t="s">
        <v>41</v>
      </c>
      <c r="F787" s="9" t="s">
        <v>42</v>
      </c>
      <c r="G787" s="9" t="s">
        <v>43</v>
      </c>
      <c r="H787" s="9" t="s">
        <v>58</v>
      </c>
      <c r="I787" s="11" t="s">
        <v>45</v>
      </c>
      <c r="J787" s="9" t="s">
        <v>46</v>
      </c>
      <c r="K787" s="9" t="s">
        <v>47</v>
      </c>
      <c r="L787" s="9" t="s">
        <v>48</v>
      </c>
      <c r="M787" s="9" t="s">
        <v>1943</v>
      </c>
      <c r="N787" s="9" t="s">
        <v>50</v>
      </c>
      <c r="O787" s="9" t="s">
        <v>51</v>
      </c>
      <c r="P787" s="9"/>
      <c r="Q787" s="9"/>
      <c r="R787" s="9"/>
      <c r="S787" s="14" t="s">
        <v>3119</v>
      </c>
      <c r="T787" s="9" t="s">
        <v>3120</v>
      </c>
      <c r="U787" s="9" t="s">
        <v>54</v>
      </c>
      <c r="V787" s="9" t="s">
        <v>55</v>
      </c>
      <c r="W787" s="9" t="s">
        <v>55</v>
      </c>
      <c r="X787" s="12"/>
      <c r="Y787" s="9" t="s">
        <v>55</v>
      </c>
      <c r="Z787" s="13"/>
    </row>
    <row r="788" spans="1:26" ht="32.25" hidden="1" customHeight="1">
      <c r="A788" s="8">
        <v>2307412</v>
      </c>
      <c r="B788" s="9" t="s">
        <v>3121</v>
      </c>
      <c r="C788" s="10">
        <v>45149</v>
      </c>
      <c r="D788" s="9" t="s">
        <v>57</v>
      </c>
      <c r="E788" s="9" t="s">
        <v>41</v>
      </c>
      <c r="F788" s="9" t="s">
        <v>42</v>
      </c>
      <c r="G788" s="9" t="s">
        <v>43</v>
      </c>
      <c r="H788" s="9" t="s">
        <v>58</v>
      </c>
      <c r="I788" s="11" t="s">
        <v>1073</v>
      </c>
      <c r="J788" s="9" t="s">
        <v>479</v>
      </c>
      <c r="K788" s="9" t="s">
        <v>47</v>
      </c>
      <c r="L788" s="9" t="s">
        <v>156</v>
      </c>
      <c r="M788" s="9"/>
      <c r="N788" s="9" t="s">
        <v>50</v>
      </c>
      <c r="O788" s="9" t="s">
        <v>51</v>
      </c>
      <c r="P788" s="9"/>
      <c r="Q788" s="9"/>
      <c r="R788" s="9"/>
      <c r="S788" s="14" t="s">
        <v>3122</v>
      </c>
      <c r="T788" s="9" t="s">
        <v>3123</v>
      </c>
      <c r="U788" s="9" t="s">
        <v>54</v>
      </c>
      <c r="V788" s="9" t="s">
        <v>55</v>
      </c>
      <c r="W788" s="9" t="s">
        <v>55</v>
      </c>
      <c r="X788" s="12"/>
      <c r="Y788" s="9" t="s">
        <v>55</v>
      </c>
      <c r="Z788" s="13"/>
    </row>
    <row r="789" spans="1:26" ht="32.25" hidden="1" customHeight="1">
      <c r="A789" s="8">
        <v>2311804</v>
      </c>
      <c r="B789" s="9" t="s">
        <v>3124</v>
      </c>
      <c r="C789" s="10">
        <v>45149</v>
      </c>
      <c r="D789" s="9" t="s">
        <v>261</v>
      </c>
      <c r="E789" s="9" t="s">
        <v>143</v>
      </c>
      <c r="F789" s="9" t="s">
        <v>262</v>
      </c>
      <c r="G789" s="9" t="s">
        <v>43</v>
      </c>
      <c r="H789" s="9" t="s">
        <v>44</v>
      </c>
      <c r="I789" s="11" t="s">
        <v>1620</v>
      </c>
      <c r="J789" s="9" t="s">
        <v>1621</v>
      </c>
      <c r="K789" s="9" t="s">
        <v>47</v>
      </c>
      <c r="L789" s="9" t="s">
        <v>156</v>
      </c>
      <c r="M789" s="9"/>
      <c r="N789" s="9" t="s">
        <v>50</v>
      </c>
      <c r="O789" s="9" t="s">
        <v>51</v>
      </c>
      <c r="P789" s="9"/>
      <c r="Q789" s="9"/>
      <c r="R789" s="9"/>
      <c r="S789" s="14" t="s">
        <v>3125</v>
      </c>
      <c r="T789" s="9" t="s">
        <v>3126</v>
      </c>
      <c r="U789" s="9" t="s">
        <v>262</v>
      </c>
      <c r="V789" s="9" t="s">
        <v>55</v>
      </c>
      <c r="W789" s="9" t="s">
        <v>115</v>
      </c>
      <c r="X789" s="12"/>
      <c r="Y789" s="9" t="s">
        <v>55</v>
      </c>
      <c r="Z789" s="13"/>
    </row>
    <row r="790" spans="1:26" ht="32.25" hidden="1" customHeight="1">
      <c r="A790" s="8">
        <v>2304358</v>
      </c>
      <c r="B790" s="9" t="s">
        <v>3127</v>
      </c>
      <c r="C790" s="10">
        <v>45149</v>
      </c>
      <c r="D790" s="9" t="s">
        <v>57</v>
      </c>
      <c r="E790" s="9" t="s">
        <v>41</v>
      </c>
      <c r="F790" s="9" t="s">
        <v>42</v>
      </c>
      <c r="G790" s="9" t="s">
        <v>43</v>
      </c>
      <c r="H790" s="9" t="s">
        <v>58</v>
      </c>
      <c r="I790" s="11" t="s">
        <v>45</v>
      </c>
      <c r="J790" s="9" t="s">
        <v>46</v>
      </c>
      <c r="K790" s="9" t="s">
        <v>47</v>
      </c>
      <c r="L790" s="9" t="s">
        <v>156</v>
      </c>
      <c r="M790" s="9"/>
      <c r="N790" s="9" t="s">
        <v>50</v>
      </c>
      <c r="O790" s="9" t="s">
        <v>51</v>
      </c>
      <c r="P790" s="9"/>
      <c r="Q790" s="9"/>
      <c r="R790" s="9"/>
      <c r="S790" s="14" t="s">
        <v>3128</v>
      </c>
      <c r="T790" s="9" t="s">
        <v>3129</v>
      </c>
      <c r="U790" s="9" t="s">
        <v>54</v>
      </c>
      <c r="V790" s="9" t="s">
        <v>55</v>
      </c>
      <c r="W790" s="9" t="s">
        <v>55</v>
      </c>
      <c r="X790" s="12"/>
      <c r="Y790" s="9" t="s">
        <v>55</v>
      </c>
      <c r="Z790" s="13"/>
    </row>
    <row r="791" spans="1:26" ht="32.25" hidden="1" customHeight="1">
      <c r="A791" s="8">
        <v>2308446</v>
      </c>
      <c r="B791" s="9" t="s">
        <v>3130</v>
      </c>
      <c r="C791" s="10">
        <v>45142</v>
      </c>
      <c r="D791" s="9" t="s">
        <v>67</v>
      </c>
      <c r="E791" s="9" t="s">
        <v>68</v>
      </c>
      <c r="F791" s="9" t="s">
        <v>135</v>
      </c>
      <c r="G791" s="9" t="s">
        <v>43</v>
      </c>
      <c r="H791" s="9" t="s">
        <v>44</v>
      </c>
      <c r="I791" s="11" t="s">
        <v>136</v>
      </c>
      <c r="J791" s="9" t="s">
        <v>137</v>
      </c>
      <c r="K791" s="9" t="s">
        <v>47</v>
      </c>
      <c r="L791" s="9" t="s">
        <v>156</v>
      </c>
      <c r="M791" s="9"/>
      <c r="N791" s="9" t="s">
        <v>50</v>
      </c>
      <c r="O791" s="9" t="s">
        <v>51</v>
      </c>
      <c r="P791" s="9"/>
      <c r="Q791" s="9"/>
      <c r="R791" s="9"/>
      <c r="S791" s="9" t="s">
        <v>3131</v>
      </c>
      <c r="T791" s="9" t="s">
        <v>3132</v>
      </c>
      <c r="U791" s="9" t="s">
        <v>54</v>
      </c>
      <c r="V791" s="9" t="s">
        <v>55</v>
      </c>
      <c r="W791" s="9" t="s">
        <v>55</v>
      </c>
      <c r="X791" s="12"/>
      <c r="Y791" s="9" t="s">
        <v>55</v>
      </c>
      <c r="Z791" s="13"/>
    </row>
    <row r="792" spans="1:26" ht="32.25" hidden="1" customHeight="1">
      <c r="A792" s="8">
        <v>2309973</v>
      </c>
      <c r="B792" s="9" t="s">
        <v>3133</v>
      </c>
      <c r="C792" s="10">
        <v>45156</v>
      </c>
      <c r="D792" s="9" t="s">
        <v>79</v>
      </c>
      <c r="E792" s="9" t="s">
        <v>41</v>
      </c>
      <c r="F792" s="9" t="s">
        <v>80</v>
      </c>
      <c r="G792" s="9" t="s">
        <v>43</v>
      </c>
      <c r="H792" s="9" t="s">
        <v>44</v>
      </c>
      <c r="I792" s="11" t="s">
        <v>81</v>
      </c>
      <c r="J792" s="9" t="s">
        <v>46</v>
      </c>
      <c r="K792" s="9" t="s">
        <v>47</v>
      </c>
      <c r="L792" s="9" t="s">
        <v>48</v>
      </c>
      <c r="M792" s="9" t="s">
        <v>372</v>
      </c>
      <c r="N792" s="9" t="s">
        <v>84</v>
      </c>
      <c r="O792" s="9" t="s">
        <v>51</v>
      </c>
      <c r="P792" s="9" t="s">
        <v>503</v>
      </c>
      <c r="Q792" s="9"/>
      <c r="R792" s="9"/>
      <c r="S792" s="14" t="s">
        <v>3134</v>
      </c>
      <c r="T792" s="9" t="s">
        <v>3135</v>
      </c>
      <c r="U792" s="9" t="s">
        <v>54</v>
      </c>
      <c r="V792" s="9" t="s">
        <v>55</v>
      </c>
      <c r="W792" s="9" t="s">
        <v>55</v>
      </c>
      <c r="X792" s="12"/>
      <c r="Y792" s="9" t="s">
        <v>55</v>
      </c>
      <c r="Z792" s="13"/>
    </row>
    <row r="793" spans="1:26" ht="32.25" hidden="1" customHeight="1">
      <c r="A793" s="8">
        <v>2314171</v>
      </c>
      <c r="B793" s="9" t="s">
        <v>3136</v>
      </c>
      <c r="C793" s="10">
        <v>45142</v>
      </c>
      <c r="D793" s="9" t="s">
        <v>67</v>
      </c>
      <c r="E793" s="9" t="s">
        <v>143</v>
      </c>
      <c r="F793" s="9" t="s">
        <v>42</v>
      </c>
      <c r="G793" s="9" t="s">
        <v>43</v>
      </c>
      <c r="H793" s="9" t="s">
        <v>44</v>
      </c>
      <c r="I793" s="11" t="s">
        <v>144</v>
      </c>
      <c r="J793" s="9" t="s">
        <v>145</v>
      </c>
      <c r="K793" s="9" t="s">
        <v>47</v>
      </c>
      <c r="L793" s="9" t="s">
        <v>290</v>
      </c>
      <c r="M793" s="9" t="s">
        <v>3137</v>
      </c>
      <c r="N793" s="9" t="s">
        <v>50</v>
      </c>
      <c r="O793" s="9" t="s">
        <v>51</v>
      </c>
      <c r="P793" s="9" t="s">
        <v>147</v>
      </c>
      <c r="Q793" s="9"/>
      <c r="R793" s="9" t="s">
        <v>61</v>
      </c>
      <c r="S793" s="9" t="s">
        <v>3138</v>
      </c>
      <c r="T793" s="9" t="s">
        <v>3139</v>
      </c>
      <c r="U793" s="9" t="s">
        <v>54</v>
      </c>
      <c r="V793" s="9" t="s">
        <v>55</v>
      </c>
      <c r="W793" s="9" t="s">
        <v>55</v>
      </c>
      <c r="X793" s="12" t="s">
        <v>150</v>
      </c>
      <c r="Y793" s="9" t="s">
        <v>151</v>
      </c>
      <c r="Z793" s="13"/>
    </row>
    <row r="794" spans="1:26" ht="32.25" hidden="1" customHeight="1">
      <c r="A794" s="8">
        <v>2300417</v>
      </c>
      <c r="B794" s="9" t="s">
        <v>3140</v>
      </c>
      <c r="C794" s="10">
        <v>45142</v>
      </c>
      <c r="D794" s="9" t="s">
        <v>232</v>
      </c>
      <c r="E794" s="9" t="s">
        <v>41</v>
      </c>
      <c r="F794" s="9" t="s">
        <v>80</v>
      </c>
      <c r="G794" s="9" t="s">
        <v>43</v>
      </c>
      <c r="H794" s="9" t="s">
        <v>44</v>
      </c>
      <c r="I794" s="11" t="s">
        <v>81</v>
      </c>
      <c r="J794" s="9" t="s">
        <v>46</v>
      </c>
      <c r="K794" s="9" t="s">
        <v>271</v>
      </c>
      <c r="L794" s="9"/>
      <c r="M794" s="9" t="s">
        <v>3141</v>
      </c>
      <c r="N794" s="9" t="s">
        <v>50</v>
      </c>
      <c r="O794" s="9" t="s">
        <v>187</v>
      </c>
      <c r="P794" s="9" t="s">
        <v>503</v>
      </c>
      <c r="Q794" s="9"/>
      <c r="R794" s="9" t="s">
        <v>61</v>
      </c>
      <c r="S794" s="9" t="s">
        <v>3142</v>
      </c>
      <c r="T794" s="9" t="s">
        <v>3143</v>
      </c>
      <c r="U794" s="9" t="s">
        <v>54</v>
      </c>
      <c r="V794" s="9" t="s">
        <v>331</v>
      </c>
      <c r="W794" s="9" t="s">
        <v>55</v>
      </c>
      <c r="X794" s="9" t="s">
        <v>64</v>
      </c>
      <c r="Y794" s="9" t="s">
        <v>65</v>
      </c>
      <c r="Z794" s="13" t="s">
        <v>240</v>
      </c>
    </row>
    <row r="795" spans="1:26" ht="32.25" hidden="1" customHeight="1">
      <c r="A795" s="8">
        <v>2300770</v>
      </c>
      <c r="B795" s="9" t="s">
        <v>3144</v>
      </c>
      <c r="C795" s="10">
        <v>45149</v>
      </c>
      <c r="D795" s="9" t="s">
        <v>57</v>
      </c>
      <c r="E795" s="9" t="s">
        <v>153</v>
      </c>
      <c r="F795" s="9" t="s">
        <v>42</v>
      </c>
      <c r="G795" s="9" t="s">
        <v>43</v>
      </c>
      <c r="H795" s="9" t="s">
        <v>58</v>
      </c>
      <c r="I795" s="11" t="s">
        <v>154</v>
      </c>
      <c r="J795" s="9" t="s">
        <v>155</v>
      </c>
      <c r="K795" s="9" t="s">
        <v>47</v>
      </c>
      <c r="L795" s="9" t="s">
        <v>156</v>
      </c>
      <c r="M795" s="9"/>
      <c r="N795" s="9" t="s">
        <v>84</v>
      </c>
      <c r="O795" s="9" t="s">
        <v>51</v>
      </c>
      <c r="P795" s="9"/>
      <c r="Q795" s="9"/>
      <c r="R795" s="9"/>
      <c r="S795" s="14" t="s">
        <v>3145</v>
      </c>
      <c r="T795" s="9" t="s">
        <v>3146</v>
      </c>
      <c r="U795" s="9" t="s">
        <v>54</v>
      </c>
      <c r="V795" s="9" t="s">
        <v>55</v>
      </c>
      <c r="W795" s="9" t="s">
        <v>115</v>
      </c>
      <c r="X795" s="12"/>
      <c r="Y795" s="9" t="s">
        <v>55</v>
      </c>
      <c r="Z795" s="13"/>
    </row>
    <row r="796" spans="1:26" ht="32.25" hidden="1" customHeight="1">
      <c r="A796" s="8">
        <v>2312249</v>
      </c>
      <c r="B796" s="9" t="s">
        <v>3147</v>
      </c>
      <c r="C796" s="10">
        <v>45142</v>
      </c>
      <c r="D796" s="9" t="s">
        <v>67</v>
      </c>
      <c r="E796" s="9" t="s">
        <v>143</v>
      </c>
      <c r="F796" s="9" t="s">
        <v>42</v>
      </c>
      <c r="G796" s="9" t="s">
        <v>43</v>
      </c>
      <c r="H796" s="9" t="s">
        <v>44</v>
      </c>
      <c r="I796" s="11" t="s">
        <v>144</v>
      </c>
      <c r="J796" s="9" t="s">
        <v>145</v>
      </c>
      <c r="K796" s="9" t="s">
        <v>47</v>
      </c>
      <c r="L796" s="9" t="s">
        <v>48</v>
      </c>
      <c r="M796" s="9" t="s">
        <v>3148</v>
      </c>
      <c r="N796" s="9" t="s">
        <v>84</v>
      </c>
      <c r="O796" s="9" t="s">
        <v>51</v>
      </c>
      <c r="P796" s="9" t="s">
        <v>147</v>
      </c>
      <c r="Q796" s="9"/>
      <c r="R796" s="9" t="s">
        <v>61</v>
      </c>
      <c r="S796" s="9" t="s">
        <v>3149</v>
      </c>
      <c r="T796" s="9" t="s">
        <v>3150</v>
      </c>
      <c r="U796" s="9" t="s">
        <v>54</v>
      </c>
      <c r="V796" s="9" t="s">
        <v>55</v>
      </c>
      <c r="W796" s="9" t="s">
        <v>55</v>
      </c>
      <c r="X796" s="12" t="s">
        <v>150</v>
      </c>
      <c r="Y796" s="9" t="s">
        <v>151</v>
      </c>
      <c r="Z796" s="13"/>
    </row>
    <row r="797" spans="1:26" ht="32.25" hidden="1" customHeight="1">
      <c r="A797" s="8">
        <v>2302001</v>
      </c>
      <c r="B797" s="9" t="s">
        <v>3151</v>
      </c>
      <c r="C797" s="10">
        <v>45149</v>
      </c>
      <c r="D797" s="9" t="s">
        <v>57</v>
      </c>
      <c r="E797" s="9" t="s">
        <v>295</v>
      </c>
      <c r="F797" s="9" t="s">
        <v>42</v>
      </c>
      <c r="G797" s="9" t="s">
        <v>43</v>
      </c>
      <c r="H797" s="9" t="s">
        <v>58</v>
      </c>
      <c r="I797" s="11" t="s">
        <v>406</v>
      </c>
      <c r="J797" s="9" t="s">
        <v>407</v>
      </c>
      <c r="K797" s="9" t="s">
        <v>47</v>
      </c>
      <c r="L797" s="9" t="s">
        <v>48</v>
      </c>
      <c r="M797" s="9"/>
      <c r="N797" s="9" t="s">
        <v>84</v>
      </c>
      <c r="O797" s="9" t="s">
        <v>51</v>
      </c>
      <c r="P797" s="9"/>
      <c r="Q797" s="9"/>
      <c r="R797" s="9"/>
      <c r="S797" s="14" t="s">
        <v>3152</v>
      </c>
      <c r="T797" s="9" t="s">
        <v>3153</v>
      </c>
      <c r="U797" s="9" t="s">
        <v>54</v>
      </c>
      <c r="V797" s="9" t="s">
        <v>55</v>
      </c>
      <c r="W797" s="9" t="s">
        <v>55</v>
      </c>
      <c r="X797" s="12"/>
      <c r="Y797" s="9" t="s">
        <v>55</v>
      </c>
      <c r="Z797" s="13"/>
    </row>
    <row r="798" spans="1:26" ht="32.25" hidden="1" customHeight="1">
      <c r="A798" s="8">
        <v>2305710</v>
      </c>
      <c r="B798" s="9" t="s">
        <v>3154</v>
      </c>
      <c r="C798" s="10">
        <v>45156</v>
      </c>
      <c r="D798" s="9" t="s">
        <v>79</v>
      </c>
      <c r="E798" s="9" t="s">
        <v>89</v>
      </c>
      <c r="F798" s="9" t="s">
        <v>80</v>
      </c>
      <c r="G798" s="9" t="s">
        <v>43</v>
      </c>
      <c r="H798" s="9" t="s">
        <v>44</v>
      </c>
      <c r="I798" s="11" t="s">
        <v>90</v>
      </c>
      <c r="J798" s="9" t="s">
        <v>91</v>
      </c>
      <c r="K798" s="9" t="s">
        <v>47</v>
      </c>
      <c r="L798" s="9" t="s">
        <v>340</v>
      </c>
      <c r="M798" s="9" t="s">
        <v>3155</v>
      </c>
      <c r="N798" s="9" t="s">
        <v>50</v>
      </c>
      <c r="O798" s="9" t="s">
        <v>51</v>
      </c>
      <c r="P798" s="9" t="s">
        <v>546</v>
      </c>
      <c r="Q798" s="9"/>
      <c r="R798" s="9" t="s">
        <v>61</v>
      </c>
      <c r="S798" s="14" t="s">
        <v>3156</v>
      </c>
      <c r="T798" s="9" t="s">
        <v>3157</v>
      </c>
      <c r="U798" s="9" t="s">
        <v>54</v>
      </c>
      <c r="V798" s="9" t="s">
        <v>711</v>
      </c>
      <c r="W798" s="9" t="s">
        <v>115</v>
      </c>
      <c r="X798" s="12" t="s">
        <v>98</v>
      </c>
      <c r="Y798" s="9" t="s">
        <v>99</v>
      </c>
      <c r="Z798" s="13"/>
    </row>
    <row r="799" spans="1:26" ht="32.25" hidden="1" customHeight="1">
      <c r="A799" s="8">
        <v>2307519</v>
      </c>
      <c r="B799" s="9" t="s">
        <v>3158</v>
      </c>
      <c r="C799" s="10">
        <v>45156</v>
      </c>
      <c r="D799" s="9" t="s">
        <v>79</v>
      </c>
      <c r="E799" s="9" t="s">
        <v>41</v>
      </c>
      <c r="F799" s="9" t="s">
        <v>80</v>
      </c>
      <c r="G799" s="9" t="s">
        <v>43</v>
      </c>
      <c r="H799" s="9" t="s">
        <v>44</v>
      </c>
      <c r="I799" s="11" t="s">
        <v>478</v>
      </c>
      <c r="J799" s="9" t="s">
        <v>479</v>
      </c>
      <c r="K799" s="9" t="s">
        <v>47</v>
      </c>
      <c r="L799" s="9" t="s">
        <v>48</v>
      </c>
      <c r="M799" s="9" t="s">
        <v>3159</v>
      </c>
      <c r="N799" s="9" t="s">
        <v>50</v>
      </c>
      <c r="O799" s="9" t="s">
        <v>51</v>
      </c>
      <c r="P799" s="9" t="s">
        <v>1414</v>
      </c>
      <c r="Q799" s="9"/>
      <c r="R799" s="9" t="s">
        <v>61</v>
      </c>
      <c r="S799" s="14" t="s">
        <v>3160</v>
      </c>
      <c r="T799" s="9" t="s">
        <v>3161</v>
      </c>
      <c r="U799" s="9" t="s">
        <v>54</v>
      </c>
      <c r="V799" s="9" t="s">
        <v>1916</v>
      </c>
      <c r="W799" s="9" t="s">
        <v>115</v>
      </c>
      <c r="X799" s="12" t="s">
        <v>64</v>
      </c>
      <c r="Y799" s="9" t="s">
        <v>65</v>
      </c>
      <c r="Z799" s="13"/>
    </row>
    <row r="800" spans="1:26" ht="32.25" hidden="1" customHeight="1">
      <c r="A800" s="8">
        <v>2303574</v>
      </c>
      <c r="B800" s="9" t="s">
        <v>3162</v>
      </c>
      <c r="C800" s="10">
        <v>45156</v>
      </c>
      <c r="D800" s="9" t="s">
        <v>79</v>
      </c>
      <c r="E800" s="9" t="s">
        <v>295</v>
      </c>
      <c r="F800" s="9" t="s">
        <v>80</v>
      </c>
      <c r="G800" s="9" t="s">
        <v>43</v>
      </c>
      <c r="H800" s="9" t="s">
        <v>44</v>
      </c>
      <c r="I800" s="11" t="s">
        <v>1600</v>
      </c>
      <c r="J800" s="9" t="s">
        <v>407</v>
      </c>
      <c r="K800" s="9" t="s">
        <v>47</v>
      </c>
      <c r="L800" s="9" t="s">
        <v>822</v>
      </c>
      <c r="M800" s="9" t="s">
        <v>2595</v>
      </c>
      <c r="N800" s="9" t="s">
        <v>84</v>
      </c>
      <c r="O800" s="9" t="s">
        <v>51</v>
      </c>
      <c r="P800" s="9" t="s">
        <v>2906</v>
      </c>
      <c r="Q800" s="9"/>
      <c r="R800" s="9" t="s">
        <v>61</v>
      </c>
      <c r="S800" s="14" t="s">
        <v>3163</v>
      </c>
      <c r="T800" s="9" t="s">
        <v>3164</v>
      </c>
      <c r="U800" s="9" t="s">
        <v>54</v>
      </c>
      <c r="V800" s="9" t="s">
        <v>318</v>
      </c>
      <c r="W800" s="9" t="s">
        <v>115</v>
      </c>
      <c r="X800" s="12" t="s">
        <v>319</v>
      </c>
      <c r="Y800" s="9" t="s">
        <v>320</v>
      </c>
      <c r="Z800" s="13"/>
    </row>
    <row r="801" spans="1:26" ht="32.25" hidden="1" customHeight="1">
      <c r="A801" s="8">
        <v>2311570</v>
      </c>
      <c r="B801" s="9" t="s">
        <v>3165</v>
      </c>
      <c r="C801" s="10">
        <v>45142</v>
      </c>
      <c r="D801" s="9" t="s">
        <v>67</v>
      </c>
      <c r="E801" s="9" t="s">
        <v>68</v>
      </c>
      <c r="F801" s="9" t="s">
        <v>135</v>
      </c>
      <c r="G801" s="9" t="s">
        <v>43</v>
      </c>
      <c r="H801" s="9" t="s">
        <v>44</v>
      </c>
      <c r="I801" s="11" t="s">
        <v>136</v>
      </c>
      <c r="J801" s="9" t="s">
        <v>137</v>
      </c>
      <c r="K801" s="9" t="s">
        <v>47</v>
      </c>
      <c r="L801" s="9" t="s">
        <v>156</v>
      </c>
      <c r="M801" s="9"/>
      <c r="N801" s="9" t="s">
        <v>50</v>
      </c>
      <c r="O801" s="9" t="s">
        <v>51</v>
      </c>
      <c r="P801" s="9"/>
      <c r="Q801" s="9"/>
      <c r="R801" s="9"/>
      <c r="S801" s="9" t="s">
        <v>3166</v>
      </c>
      <c r="T801" s="9" t="s">
        <v>3167</v>
      </c>
      <c r="U801" s="9" t="s">
        <v>54</v>
      </c>
      <c r="V801" s="9" t="s">
        <v>55</v>
      </c>
      <c r="W801" s="9" t="s">
        <v>55</v>
      </c>
      <c r="X801" s="12"/>
      <c r="Y801" s="9" t="s">
        <v>55</v>
      </c>
      <c r="Z801" s="13"/>
    </row>
    <row r="802" spans="1:26" ht="32.25" hidden="1" customHeight="1">
      <c r="A802" s="8">
        <v>2309727</v>
      </c>
      <c r="B802" s="9" t="s">
        <v>3168</v>
      </c>
      <c r="C802" s="10">
        <v>45149</v>
      </c>
      <c r="D802" s="9" t="s">
        <v>261</v>
      </c>
      <c r="E802" s="9" t="s">
        <v>41</v>
      </c>
      <c r="F802" s="9" t="s">
        <v>262</v>
      </c>
      <c r="G802" s="9" t="s">
        <v>43</v>
      </c>
      <c r="H802" s="9" t="s">
        <v>44</v>
      </c>
      <c r="I802" s="11" t="s">
        <v>1553</v>
      </c>
      <c r="J802" s="9" t="s">
        <v>1554</v>
      </c>
      <c r="K802" s="9" t="s">
        <v>47</v>
      </c>
      <c r="L802" s="9" t="s">
        <v>863</v>
      </c>
      <c r="M802" s="9" t="s">
        <v>1258</v>
      </c>
      <c r="N802" s="9" t="s">
        <v>84</v>
      </c>
      <c r="O802" s="9" t="s">
        <v>51</v>
      </c>
      <c r="P802" s="9"/>
      <c r="Q802" s="9"/>
      <c r="R802" s="9"/>
      <c r="S802" s="14" t="s">
        <v>3169</v>
      </c>
      <c r="T802" s="9" t="s">
        <v>3170</v>
      </c>
      <c r="U802" s="9" t="s">
        <v>262</v>
      </c>
      <c r="V802" s="9" t="s">
        <v>55</v>
      </c>
      <c r="W802" s="9" t="s">
        <v>55</v>
      </c>
      <c r="X802" s="12"/>
      <c r="Y802" s="9" t="s">
        <v>55</v>
      </c>
      <c r="Z802" s="13"/>
    </row>
    <row r="803" spans="1:26" ht="32.25" hidden="1" customHeight="1">
      <c r="A803" s="8">
        <v>2303570</v>
      </c>
      <c r="B803" s="9" t="s">
        <v>3171</v>
      </c>
      <c r="C803" s="10">
        <v>45142</v>
      </c>
      <c r="D803" s="9" t="s">
        <v>67</v>
      </c>
      <c r="E803" s="9" t="s">
        <v>143</v>
      </c>
      <c r="F803" s="9" t="s">
        <v>42</v>
      </c>
      <c r="G803" s="9" t="s">
        <v>43</v>
      </c>
      <c r="H803" s="9" t="s">
        <v>44</v>
      </c>
      <c r="I803" s="11" t="s">
        <v>460</v>
      </c>
      <c r="J803" s="9" t="s">
        <v>400</v>
      </c>
      <c r="K803" s="9" t="s">
        <v>47</v>
      </c>
      <c r="L803" s="9" t="s">
        <v>156</v>
      </c>
      <c r="M803" s="9"/>
      <c r="N803" s="9" t="s">
        <v>50</v>
      </c>
      <c r="O803" s="9" t="s">
        <v>51</v>
      </c>
      <c r="P803" s="9"/>
      <c r="Q803" s="9"/>
      <c r="R803" s="9" t="s">
        <v>61</v>
      </c>
      <c r="S803" s="9" t="s">
        <v>3172</v>
      </c>
      <c r="T803" s="9" t="s">
        <v>3173</v>
      </c>
      <c r="U803" s="9" t="s">
        <v>54</v>
      </c>
      <c r="V803" s="9" t="s">
        <v>55</v>
      </c>
      <c r="W803" s="9" t="s">
        <v>55</v>
      </c>
      <c r="X803" s="12"/>
      <c r="Y803" s="9" t="s">
        <v>55</v>
      </c>
      <c r="Z803" s="13" t="s">
        <v>1220</v>
      </c>
    </row>
    <row r="804" spans="1:26" ht="32.25" hidden="1" customHeight="1">
      <c r="A804" s="8">
        <v>2305255</v>
      </c>
      <c r="B804" s="9" t="s">
        <v>3174</v>
      </c>
      <c r="C804" s="10">
        <v>45149</v>
      </c>
      <c r="D804" s="9" t="s">
        <v>57</v>
      </c>
      <c r="E804" s="9" t="s">
        <v>295</v>
      </c>
      <c r="F804" s="9" t="s">
        <v>42</v>
      </c>
      <c r="G804" s="9" t="s">
        <v>43</v>
      </c>
      <c r="H804" s="9" t="s">
        <v>58</v>
      </c>
      <c r="I804" s="11" t="s">
        <v>406</v>
      </c>
      <c r="J804" s="9" t="s">
        <v>407</v>
      </c>
      <c r="K804" s="9" t="s">
        <v>47</v>
      </c>
      <c r="L804" s="9" t="s">
        <v>221</v>
      </c>
      <c r="M804" s="9" t="s">
        <v>1451</v>
      </c>
      <c r="N804" s="9" t="s">
        <v>50</v>
      </c>
      <c r="O804" s="9" t="s">
        <v>51</v>
      </c>
      <c r="P804" s="9"/>
      <c r="Q804" s="9"/>
      <c r="R804" s="9" t="s">
        <v>61</v>
      </c>
      <c r="S804" s="14" t="s">
        <v>3175</v>
      </c>
      <c r="T804" s="9" t="s">
        <v>3176</v>
      </c>
      <c r="U804" s="9" t="s">
        <v>54</v>
      </c>
      <c r="V804" s="9" t="s">
        <v>55</v>
      </c>
      <c r="W804" s="9" t="s">
        <v>55</v>
      </c>
      <c r="X804" s="9" t="s">
        <v>319</v>
      </c>
      <c r="Y804" s="9" t="s">
        <v>320</v>
      </c>
      <c r="Z804" s="13"/>
    </row>
    <row r="805" spans="1:26" ht="32.25" hidden="1" customHeight="1">
      <c r="A805" s="8">
        <v>2311482</v>
      </c>
      <c r="B805" s="9" t="s">
        <v>3177</v>
      </c>
      <c r="C805" s="10">
        <v>45149</v>
      </c>
      <c r="D805" s="9" t="s">
        <v>261</v>
      </c>
      <c r="E805" s="9" t="s">
        <v>89</v>
      </c>
      <c r="F805" s="9" t="s">
        <v>262</v>
      </c>
      <c r="G805" s="9" t="s">
        <v>43</v>
      </c>
      <c r="H805" s="9" t="s">
        <v>44</v>
      </c>
      <c r="I805" s="11" t="s">
        <v>1488</v>
      </c>
      <c r="J805" s="9" t="s">
        <v>1489</v>
      </c>
      <c r="K805" s="9" t="s">
        <v>47</v>
      </c>
      <c r="L805" s="9" t="s">
        <v>226</v>
      </c>
      <c r="M805" s="9" t="s">
        <v>635</v>
      </c>
      <c r="N805" s="9" t="s">
        <v>50</v>
      </c>
      <c r="O805" s="9" t="s">
        <v>51</v>
      </c>
      <c r="P805" s="9"/>
      <c r="Q805" s="9"/>
      <c r="R805" s="9"/>
      <c r="S805" s="14" t="s">
        <v>3178</v>
      </c>
      <c r="T805" s="9" t="s">
        <v>3179</v>
      </c>
      <c r="U805" s="9" t="s">
        <v>262</v>
      </c>
      <c r="V805" s="9" t="s">
        <v>55</v>
      </c>
      <c r="W805" s="9" t="s">
        <v>55</v>
      </c>
      <c r="X805" s="12"/>
      <c r="Y805" s="9" t="s">
        <v>55</v>
      </c>
      <c r="Z805" s="13"/>
    </row>
    <row r="806" spans="1:26" ht="32.25" hidden="1" customHeight="1">
      <c r="A806" s="8">
        <v>2303604</v>
      </c>
      <c r="B806" s="9" t="s">
        <v>3180</v>
      </c>
      <c r="C806" s="10">
        <v>45142</v>
      </c>
      <c r="D806" s="9" t="s">
        <v>67</v>
      </c>
      <c r="E806" s="9" t="s">
        <v>68</v>
      </c>
      <c r="F806" s="9" t="s">
        <v>135</v>
      </c>
      <c r="G806" s="9" t="s">
        <v>43</v>
      </c>
      <c r="H806" s="9" t="s">
        <v>44</v>
      </c>
      <c r="I806" s="11" t="s">
        <v>136</v>
      </c>
      <c r="J806" s="9" t="s">
        <v>137</v>
      </c>
      <c r="K806" s="9" t="s">
        <v>47</v>
      </c>
      <c r="L806" s="9" t="s">
        <v>411</v>
      </c>
      <c r="M806" s="9" t="s">
        <v>412</v>
      </c>
      <c r="N806" s="9" t="s">
        <v>50</v>
      </c>
      <c r="O806" s="9" t="s">
        <v>51</v>
      </c>
      <c r="P806" s="9"/>
      <c r="Q806" s="9"/>
      <c r="R806" s="9" t="s">
        <v>61</v>
      </c>
      <c r="S806" s="9" t="s">
        <v>3181</v>
      </c>
      <c r="T806" s="9" t="s">
        <v>3182</v>
      </c>
      <c r="U806" s="9" t="s">
        <v>54</v>
      </c>
      <c r="V806" s="9" t="s">
        <v>55</v>
      </c>
      <c r="W806" s="9" t="s">
        <v>55</v>
      </c>
      <c r="X806" s="12" t="s">
        <v>76</v>
      </c>
      <c r="Y806" s="9" t="s">
        <v>77</v>
      </c>
      <c r="Z806" s="13"/>
    </row>
    <row r="807" spans="1:26" ht="32.25" hidden="1" customHeight="1">
      <c r="A807" s="8">
        <v>2311251</v>
      </c>
      <c r="B807" s="9" t="s">
        <v>3183</v>
      </c>
      <c r="C807" s="10">
        <v>45142</v>
      </c>
      <c r="D807" s="9" t="s">
        <v>67</v>
      </c>
      <c r="E807" s="9" t="s">
        <v>295</v>
      </c>
      <c r="F807" s="9" t="s">
        <v>42</v>
      </c>
      <c r="G807" s="9" t="s">
        <v>43</v>
      </c>
      <c r="H807" s="9" t="s">
        <v>44</v>
      </c>
      <c r="I807" s="11" t="s">
        <v>406</v>
      </c>
      <c r="J807" s="9" t="s">
        <v>407</v>
      </c>
      <c r="K807" s="9" t="s">
        <v>47</v>
      </c>
      <c r="L807" s="9" t="s">
        <v>569</v>
      </c>
      <c r="M807" s="9" t="s">
        <v>975</v>
      </c>
      <c r="N807" s="9" t="s">
        <v>84</v>
      </c>
      <c r="O807" s="9" t="s">
        <v>51</v>
      </c>
      <c r="P807" s="9"/>
      <c r="Q807" s="9"/>
      <c r="R807" s="9" t="s">
        <v>61</v>
      </c>
      <c r="S807" s="9" t="s">
        <v>3184</v>
      </c>
      <c r="T807" s="9" t="s">
        <v>3185</v>
      </c>
      <c r="U807" s="9" t="s">
        <v>54</v>
      </c>
      <c r="V807" s="9" t="s">
        <v>55</v>
      </c>
      <c r="W807" s="9" t="s">
        <v>55</v>
      </c>
      <c r="X807" s="9" t="s">
        <v>319</v>
      </c>
      <c r="Y807" s="9" t="s">
        <v>320</v>
      </c>
      <c r="Z807" s="13"/>
    </row>
    <row r="808" spans="1:26" ht="32.25" hidden="1" customHeight="1">
      <c r="A808" s="8">
        <v>2303576</v>
      </c>
      <c r="B808" s="9" t="s">
        <v>3186</v>
      </c>
      <c r="C808" s="10">
        <v>45149</v>
      </c>
      <c r="D808" s="9" t="s">
        <v>57</v>
      </c>
      <c r="E808" s="9" t="s">
        <v>153</v>
      </c>
      <c r="F808" s="9" t="s">
        <v>42</v>
      </c>
      <c r="G808" s="9" t="s">
        <v>43</v>
      </c>
      <c r="H808" s="9" t="s">
        <v>58</v>
      </c>
      <c r="I808" s="11" t="s">
        <v>154</v>
      </c>
      <c r="J808" s="9" t="s">
        <v>155</v>
      </c>
      <c r="K808" s="9" t="s">
        <v>47</v>
      </c>
      <c r="L808" s="9" t="s">
        <v>156</v>
      </c>
      <c r="M808" s="9"/>
      <c r="N808" s="9" t="s">
        <v>84</v>
      </c>
      <c r="O808" s="9" t="s">
        <v>51</v>
      </c>
      <c r="P808" s="9"/>
      <c r="Q808" s="9"/>
      <c r="R808" s="9"/>
      <c r="S808" s="14" t="s">
        <v>3187</v>
      </c>
      <c r="T808" s="9" t="s">
        <v>3188</v>
      </c>
      <c r="U808" s="9" t="s">
        <v>54</v>
      </c>
      <c r="V808" s="9" t="s">
        <v>55</v>
      </c>
      <c r="W808" s="9" t="s">
        <v>55</v>
      </c>
      <c r="X808" s="12"/>
      <c r="Y808" s="9" t="s">
        <v>55</v>
      </c>
      <c r="Z808" s="13"/>
    </row>
    <row r="809" spans="1:26" ht="32.25" hidden="1" customHeight="1">
      <c r="A809" s="8">
        <v>2304590</v>
      </c>
      <c r="B809" s="9" t="s">
        <v>3189</v>
      </c>
      <c r="C809" s="10">
        <v>45149</v>
      </c>
      <c r="D809" s="9" t="s">
        <v>57</v>
      </c>
      <c r="E809" s="9" t="s">
        <v>41</v>
      </c>
      <c r="F809" s="9" t="s">
        <v>42</v>
      </c>
      <c r="G809" s="9" t="s">
        <v>43</v>
      </c>
      <c r="H809" s="9" t="s">
        <v>58</v>
      </c>
      <c r="I809" s="11" t="s">
        <v>199</v>
      </c>
      <c r="J809" s="9" t="s">
        <v>200</v>
      </c>
      <c r="K809" s="9" t="s">
        <v>47</v>
      </c>
      <c r="L809" s="9" t="s">
        <v>156</v>
      </c>
      <c r="M809" s="9"/>
      <c r="N809" s="9" t="s">
        <v>84</v>
      </c>
      <c r="O809" s="9" t="s">
        <v>51</v>
      </c>
      <c r="P809" s="9"/>
      <c r="Q809" s="9"/>
      <c r="R809" s="9"/>
      <c r="S809" s="14" t="s">
        <v>3190</v>
      </c>
      <c r="T809" s="9" t="s">
        <v>3191</v>
      </c>
      <c r="U809" s="9" t="s">
        <v>54</v>
      </c>
      <c r="V809" s="9" t="s">
        <v>55</v>
      </c>
      <c r="W809" s="9" t="s">
        <v>55</v>
      </c>
      <c r="X809" s="12"/>
      <c r="Y809" s="9" t="s">
        <v>55</v>
      </c>
      <c r="Z809" s="13"/>
    </row>
    <row r="810" spans="1:26" ht="32.25" hidden="1" customHeight="1">
      <c r="A810" s="8">
        <v>2301511</v>
      </c>
      <c r="B810" s="9" t="s">
        <v>3192</v>
      </c>
      <c r="C810" s="10">
        <v>45156</v>
      </c>
      <c r="D810" s="9" t="s">
        <v>79</v>
      </c>
      <c r="E810" s="9" t="s">
        <v>89</v>
      </c>
      <c r="F810" s="9" t="s">
        <v>80</v>
      </c>
      <c r="G810" s="9" t="s">
        <v>43</v>
      </c>
      <c r="H810" s="9" t="s">
        <v>44</v>
      </c>
      <c r="I810" s="11" t="s">
        <v>101</v>
      </c>
      <c r="J810" s="9" t="s">
        <v>102</v>
      </c>
      <c r="K810" s="9" t="s">
        <v>47</v>
      </c>
      <c r="L810" s="9" t="s">
        <v>1542</v>
      </c>
      <c r="M810" s="9" t="s">
        <v>3193</v>
      </c>
      <c r="N810" s="9" t="s">
        <v>50</v>
      </c>
      <c r="O810" s="9" t="s">
        <v>51</v>
      </c>
      <c r="P810" s="9" t="s">
        <v>715</v>
      </c>
      <c r="Q810" s="9"/>
      <c r="R810" s="9"/>
      <c r="S810" s="14" t="s">
        <v>3194</v>
      </c>
      <c r="T810" s="9" t="s">
        <v>3195</v>
      </c>
      <c r="U810" s="9" t="s">
        <v>54</v>
      </c>
      <c r="V810" s="9" t="s">
        <v>55</v>
      </c>
      <c r="W810" s="9" t="s">
        <v>55</v>
      </c>
      <c r="X810" s="12"/>
      <c r="Y810" s="9" t="s">
        <v>55</v>
      </c>
      <c r="Z810" s="13"/>
    </row>
    <row r="811" spans="1:26" ht="32.25" hidden="1" customHeight="1">
      <c r="A811" s="8">
        <v>2306253</v>
      </c>
      <c r="B811" s="9" t="s">
        <v>3196</v>
      </c>
      <c r="C811" s="10">
        <v>45156</v>
      </c>
      <c r="D811" s="9" t="s">
        <v>79</v>
      </c>
      <c r="E811" s="9" t="s">
        <v>143</v>
      </c>
      <c r="F811" s="9" t="s">
        <v>80</v>
      </c>
      <c r="G811" s="9" t="s">
        <v>43</v>
      </c>
      <c r="H811" s="9" t="s">
        <v>44</v>
      </c>
      <c r="I811" s="11" t="s">
        <v>326</v>
      </c>
      <c r="J811" s="9" t="s">
        <v>327</v>
      </c>
      <c r="K811" s="9" t="s">
        <v>47</v>
      </c>
      <c r="L811" s="9" t="s">
        <v>517</v>
      </c>
      <c r="M811" s="9" t="s">
        <v>545</v>
      </c>
      <c r="N811" s="9" t="s">
        <v>84</v>
      </c>
      <c r="O811" s="9" t="s">
        <v>51</v>
      </c>
      <c r="P811" s="9" t="s">
        <v>576</v>
      </c>
      <c r="Q811" s="9"/>
      <c r="R811" s="9"/>
      <c r="S811" s="14" t="s">
        <v>3197</v>
      </c>
      <c r="T811" s="9" t="s">
        <v>3198</v>
      </c>
      <c r="U811" s="9" t="s">
        <v>54</v>
      </c>
      <c r="V811" s="9" t="s">
        <v>55</v>
      </c>
      <c r="W811" s="9" t="s">
        <v>55</v>
      </c>
      <c r="X811" s="12"/>
      <c r="Y811" s="9" t="s">
        <v>55</v>
      </c>
      <c r="Z811" s="13"/>
    </row>
    <row r="812" spans="1:26" ht="32.25" hidden="1" customHeight="1">
      <c r="A812" s="8">
        <v>2300103</v>
      </c>
      <c r="B812" s="9" t="s">
        <v>3199</v>
      </c>
      <c r="C812" s="10">
        <v>45149</v>
      </c>
      <c r="D812" s="9" t="s">
        <v>261</v>
      </c>
      <c r="E812" s="9" t="s">
        <v>68</v>
      </c>
      <c r="F812" s="9" t="s">
        <v>262</v>
      </c>
      <c r="G812" s="9" t="s">
        <v>43</v>
      </c>
      <c r="H812" s="9" t="s">
        <v>44</v>
      </c>
      <c r="I812" s="11" t="s">
        <v>1020</v>
      </c>
      <c r="J812" s="9" t="s">
        <v>1021</v>
      </c>
      <c r="K812" s="9" t="s">
        <v>47</v>
      </c>
      <c r="L812" s="9" t="s">
        <v>1227</v>
      </c>
      <c r="M812" s="9" t="s">
        <v>2044</v>
      </c>
      <c r="N812" s="9" t="s">
        <v>50</v>
      </c>
      <c r="O812" s="9" t="s">
        <v>51</v>
      </c>
      <c r="P812" s="9"/>
      <c r="Q812" s="9"/>
      <c r="R812" s="9" t="s">
        <v>61</v>
      </c>
      <c r="S812" s="14" t="s">
        <v>3200</v>
      </c>
      <c r="T812" s="9" t="s">
        <v>3201</v>
      </c>
      <c r="U812" s="9" t="s">
        <v>262</v>
      </c>
      <c r="V812" s="9" t="s">
        <v>2369</v>
      </c>
      <c r="W812" s="9" t="s">
        <v>115</v>
      </c>
      <c r="X812" s="12" t="s">
        <v>76</v>
      </c>
      <c r="Y812" s="9" t="s">
        <v>77</v>
      </c>
      <c r="Z812" s="13" t="s">
        <v>1026</v>
      </c>
    </row>
    <row r="813" spans="1:26" ht="32.25" hidden="1" customHeight="1">
      <c r="A813" s="8">
        <v>2312681</v>
      </c>
      <c r="B813" s="9" t="s">
        <v>3202</v>
      </c>
      <c r="C813" s="10">
        <v>45142</v>
      </c>
      <c r="D813" s="9" t="s">
        <v>383</v>
      </c>
      <c r="E813" s="9" t="s">
        <v>68</v>
      </c>
      <c r="F813" s="9" t="s">
        <v>262</v>
      </c>
      <c r="G813" s="9" t="s">
        <v>43</v>
      </c>
      <c r="H813" s="9" t="s">
        <v>44</v>
      </c>
      <c r="I813" s="11" t="s">
        <v>1020</v>
      </c>
      <c r="J813" s="9" t="s">
        <v>1021</v>
      </c>
      <c r="K813" s="9" t="s">
        <v>3203</v>
      </c>
      <c r="L813" s="9"/>
      <c r="M813" s="9" t="s">
        <v>3204</v>
      </c>
      <c r="N813" s="9" t="s">
        <v>50</v>
      </c>
      <c r="O813" s="9" t="s">
        <v>187</v>
      </c>
      <c r="P813" s="9"/>
      <c r="Q813" s="9"/>
      <c r="R813" s="9" t="s">
        <v>61</v>
      </c>
      <c r="S813" s="9" t="s">
        <v>3205</v>
      </c>
      <c r="T813" s="9" t="s">
        <v>3206</v>
      </c>
      <c r="U813" s="9" t="s">
        <v>262</v>
      </c>
      <c r="V813" s="9" t="s">
        <v>3207</v>
      </c>
      <c r="W813" s="9" t="s">
        <v>115</v>
      </c>
      <c r="X813" s="12" t="s">
        <v>76</v>
      </c>
      <c r="Y813" s="9" t="s">
        <v>77</v>
      </c>
      <c r="Z813" s="13" t="s">
        <v>1026</v>
      </c>
    </row>
    <row r="814" spans="1:26" ht="32.25" hidden="1" customHeight="1">
      <c r="A814" s="8">
        <v>2313820</v>
      </c>
      <c r="B814" s="9" t="s">
        <v>3208</v>
      </c>
      <c r="C814" s="10">
        <v>45149</v>
      </c>
      <c r="D814" s="9" t="s">
        <v>57</v>
      </c>
      <c r="E814" s="9" t="s">
        <v>295</v>
      </c>
      <c r="F814" s="9" t="s">
        <v>42</v>
      </c>
      <c r="G814" s="9" t="s">
        <v>43</v>
      </c>
      <c r="H814" s="9" t="s">
        <v>58</v>
      </c>
      <c r="I814" s="11" t="s">
        <v>406</v>
      </c>
      <c r="J814" s="9" t="s">
        <v>407</v>
      </c>
      <c r="K814" s="9" t="s">
        <v>47</v>
      </c>
      <c r="L814" s="9" t="s">
        <v>221</v>
      </c>
      <c r="M814" s="9" t="s">
        <v>3209</v>
      </c>
      <c r="N814" s="9" t="s">
        <v>84</v>
      </c>
      <c r="O814" s="9" t="s">
        <v>51</v>
      </c>
      <c r="P814" s="9"/>
      <c r="Q814" s="9"/>
      <c r="R814" s="9" t="s">
        <v>61</v>
      </c>
      <c r="S814" s="14" t="s">
        <v>3210</v>
      </c>
      <c r="T814" s="9" t="s">
        <v>3211</v>
      </c>
      <c r="U814" s="9" t="s">
        <v>54</v>
      </c>
      <c r="V814" s="9" t="s">
        <v>55</v>
      </c>
      <c r="W814" s="9" t="s">
        <v>55</v>
      </c>
      <c r="X814" s="9" t="s">
        <v>319</v>
      </c>
      <c r="Y814" s="9" t="s">
        <v>320</v>
      </c>
      <c r="Z814" s="13"/>
    </row>
    <row r="815" spans="1:26" ht="32.25" hidden="1" customHeight="1">
      <c r="A815" s="8">
        <v>2307493</v>
      </c>
      <c r="B815" s="9" t="s">
        <v>3212</v>
      </c>
      <c r="C815" s="10">
        <v>45149</v>
      </c>
      <c r="D815" s="9" t="s">
        <v>57</v>
      </c>
      <c r="E815" s="9" t="s">
        <v>41</v>
      </c>
      <c r="F815" s="9" t="s">
        <v>42</v>
      </c>
      <c r="G815" s="9" t="s">
        <v>43</v>
      </c>
      <c r="H815" s="9" t="s">
        <v>58</v>
      </c>
      <c r="I815" s="11" t="s">
        <v>199</v>
      </c>
      <c r="J815" s="9" t="s">
        <v>200</v>
      </c>
      <c r="K815" s="9" t="s">
        <v>47</v>
      </c>
      <c r="L815" s="9" t="s">
        <v>713</v>
      </c>
      <c r="M815" s="9" t="s">
        <v>3213</v>
      </c>
      <c r="N815" s="9" t="s">
        <v>84</v>
      </c>
      <c r="O815" s="9" t="s">
        <v>51</v>
      </c>
      <c r="P815" s="9"/>
      <c r="Q815" s="9"/>
      <c r="R815" s="9"/>
      <c r="S815" s="14" t="s">
        <v>3214</v>
      </c>
      <c r="T815" s="9" t="s">
        <v>3215</v>
      </c>
      <c r="U815" s="9" t="s">
        <v>54</v>
      </c>
      <c r="V815" s="9" t="s">
        <v>55</v>
      </c>
      <c r="W815" s="9" t="s">
        <v>55</v>
      </c>
      <c r="X815" s="12"/>
      <c r="Y815" s="9" t="s">
        <v>55</v>
      </c>
      <c r="Z815" s="13"/>
    </row>
    <row r="816" spans="1:26" ht="32.25" hidden="1" customHeight="1">
      <c r="A816" s="8">
        <v>2310403</v>
      </c>
      <c r="B816" s="9" t="s">
        <v>3216</v>
      </c>
      <c r="C816" s="10">
        <v>45156</v>
      </c>
      <c r="D816" s="9" t="s">
        <v>79</v>
      </c>
      <c r="E816" s="9" t="s">
        <v>41</v>
      </c>
      <c r="F816" s="9" t="s">
        <v>80</v>
      </c>
      <c r="G816" s="9" t="s">
        <v>43</v>
      </c>
      <c r="H816" s="9" t="s">
        <v>44</v>
      </c>
      <c r="I816" s="11" t="s">
        <v>478</v>
      </c>
      <c r="J816" s="9" t="s">
        <v>479</v>
      </c>
      <c r="K816" s="9" t="s">
        <v>47</v>
      </c>
      <c r="L816" s="9" t="s">
        <v>156</v>
      </c>
      <c r="M816" s="9"/>
      <c r="N816" s="9" t="s">
        <v>50</v>
      </c>
      <c r="O816" s="9" t="s">
        <v>51</v>
      </c>
      <c r="P816" s="9" t="s">
        <v>1414</v>
      </c>
      <c r="Q816" s="9"/>
      <c r="R816" s="9"/>
      <c r="S816" s="14" t="s">
        <v>3217</v>
      </c>
      <c r="T816" s="9" t="s">
        <v>3218</v>
      </c>
      <c r="U816" s="9" t="s">
        <v>54</v>
      </c>
      <c r="V816" s="9" t="s">
        <v>55</v>
      </c>
      <c r="W816" s="9" t="s">
        <v>55</v>
      </c>
      <c r="X816" s="12"/>
      <c r="Y816" s="9" t="s">
        <v>55</v>
      </c>
      <c r="Z816" s="13"/>
    </row>
    <row r="817" spans="1:26" ht="32.25" hidden="1" customHeight="1">
      <c r="A817" s="8">
        <v>2312843</v>
      </c>
      <c r="B817" s="9" t="s">
        <v>3219</v>
      </c>
      <c r="C817" s="10">
        <v>45149</v>
      </c>
      <c r="D817" s="9" t="s">
        <v>57</v>
      </c>
      <c r="E817" s="9" t="s">
        <v>41</v>
      </c>
      <c r="F817" s="9" t="s">
        <v>42</v>
      </c>
      <c r="G817" s="9" t="s">
        <v>43</v>
      </c>
      <c r="H817" s="9" t="s">
        <v>58</v>
      </c>
      <c r="I817" s="11" t="s">
        <v>199</v>
      </c>
      <c r="J817" s="9" t="s">
        <v>200</v>
      </c>
      <c r="K817" s="9" t="s">
        <v>47</v>
      </c>
      <c r="L817" s="9" t="s">
        <v>746</v>
      </c>
      <c r="M817" s="9" t="s">
        <v>747</v>
      </c>
      <c r="N817" s="9" t="s">
        <v>50</v>
      </c>
      <c r="O817" s="9" t="s">
        <v>51</v>
      </c>
      <c r="P817" s="9"/>
      <c r="Q817" s="9"/>
      <c r="R817" s="9" t="s">
        <v>61</v>
      </c>
      <c r="S817" s="14" t="s">
        <v>3220</v>
      </c>
      <c r="T817" s="9" t="s">
        <v>3221</v>
      </c>
      <c r="U817" s="9" t="s">
        <v>54</v>
      </c>
      <c r="V817" s="9" t="s">
        <v>55</v>
      </c>
      <c r="W817" s="9" t="s">
        <v>55</v>
      </c>
      <c r="X817" s="12" t="s">
        <v>196</v>
      </c>
      <c r="Y817" s="9" t="s">
        <v>197</v>
      </c>
      <c r="Z817" s="13"/>
    </row>
    <row r="818" spans="1:26" ht="32.25" hidden="1" customHeight="1">
      <c r="A818" s="8">
        <v>2308542</v>
      </c>
      <c r="B818" s="9" t="s">
        <v>3222</v>
      </c>
      <c r="C818" s="10">
        <v>45142</v>
      </c>
      <c r="D818" s="9" t="s">
        <v>67</v>
      </c>
      <c r="E818" s="9" t="s">
        <v>68</v>
      </c>
      <c r="F818" s="9" t="s">
        <v>135</v>
      </c>
      <c r="G818" s="9" t="s">
        <v>43</v>
      </c>
      <c r="H818" s="9" t="s">
        <v>44</v>
      </c>
      <c r="I818" s="11" t="s">
        <v>136</v>
      </c>
      <c r="J818" s="9" t="s">
        <v>137</v>
      </c>
      <c r="K818" s="9" t="s">
        <v>110</v>
      </c>
      <c r="L818" s="9" t="s">
        <v>3223</v>
      </c>
      <c r="M818" s="9" t="s">
        <v>880</v>
      </c>
      <c r="N818" s="9" t="s">
        <v>84</v>
      </c>
      <c r="O818" s="9" t="s">
        <v>51</v>
      </c>
      <c r="P818" s="9"/>
      <c r="Q818" s="9"/>
      <c r="R818" s="9" t="s">
        <v>61</v>
      </c>
      <c r="S818" s="9" t="s">
        <v>3224</v>
      </c>
      <c r="T818" s="9" t="s">
        <v>3225</v>
      </c>
      <c r="U818" s="9" t="s">
        <v>54</v>
      </c>
      <c r="V818" s="9" t="s">
        <v>55</v>
      </c>
      <c r="W818" s="9" t="s">
        <v>55</v>
      </c>
      <c r="X818" s="12" t="s">
        <v>196</v>
      </c>
      <c r="Y818" s="9" t="s">
        <v>197</v>
      </c>
      <c r="Z818" s="13" t="s">
        <v>3226</v>
      </c>
    </row>
    <row r="819" spans="1:26" ht="32.25" hidden="1" customHeight="1">
      <c r="A819" s="8">
        <v>2300680</v>
      </c>
      <c r="B819" s="9" t="s">
        <v>3227</v>
      </c>
      <c r="C819" s="10">
        <v>45136</v>
      </c>
      <c r="D819" s="9" t="s">
        <v>40</v>
      </c>
      <c r="E819" s="9" t="s">
        <v>41</v>
      </c>
      <c r="F819" s="9" t="s">
        <v>42</v>
      </c>
      <c r="G819" s="9" t="s">
        <v>43</v>
      </c>
      <c r="H819" s="9" t="s">
        <v>44</v>
      </c>
      <c r="I819" s="11" t="s">
        <v>45</v>
      </c>
      <c r="J819" s="9" t="s">
        <v>46</v>
      </c>
      <c r="K819" s="9" t="s">
        <v>47</v>
      </c>
      <c r="L819" s="9" t="s">
        <v>48</v>
      </c>
      <c r="M819" s="9"/>
      <c r="N819" s="9" t="s">
        <v>50</v>
      </c>
      <c r="O819" s="9" t="s">
        <v>51</v>
      </c>
      <c r="P819" s="9"/>
      <c r="Q819" s="9"/>
      <c r="R819" s="9"/>
      <c r="S819" s="9" t="s">
        <v>3228</v>
      </c>
      <c r="T819" s="9" t="s">
        <v>3229</v>
      </c>
      <c r="U819" s="9" t="s">
        <v>54</v>
      </c>
      <c r="V819" s="9" t="s">
        <v>55</v>
      </c>
      <c r="W819" s="9" t="s">
        <v>55</v>
      </c>
      <c r="X819" s="12"/>
      <c r="Y819" s="9" t="s">
        <v>55</v>
      </c>
      <c r="Z819" s="13"/>
    </row>
    <row r="820" spans="1:26" ht="32.25" hidden="1" customHeight="1">
      <c r="A820" s="8">
        <v>2301617</v>
      </c>
      <c r="B820" s="9" t="s">
        <v>3230</v>
      </c>
      <c r="C820" s="10">
        <v>45136</v>
      </c>
      <c r="D820" s="9" t="s">
        <v>40</v>
      </c>
      <c r="E820" s="9" t="s">
        <v>41</v>
      </c>
      <c r="F820" s="9" t="s">
        <v>42</v>
      </c>
      <c r="G820" s="9" t="s">
        <v>43</v>
      </c>
      <c r="H820" s="9" t="s">
        <v>44</v>
      </c>
      <c r="I820" s="11" t="s">
        <v>45</v>
      </c>
      <c r="J820" s="9" t="s">
        <v>46</v>
      </c>
      <c r="K820" s="9" t="s">
        <v>47</v>
      </c>
      <c r="L820" s="9" t="s">
        <v>948</v>
      </c>
      <c r="M820" s="9" t="s">
        <v>949</v>
      </c>
      <c r="N820" s="9" t="s">
        <v>50</v>
      </c>
      <c r="O820" s="9" t="s">
        <v>51</v>
      </c>
      <c r="P820" s="9"/>
      <c r="Q820" s="9"/>
      <c r="R820" s="9" t="s">
        <v>61</v>
      </c>
      <c r="S820" s="9" t="s">
        <v>3231</v>
      </c>
      <c r="T820" s="9" t="s">
        <v>3232</v>
      </c>
      <c r="U820" s="9" t="s">
        <v>54</v>
      </c>
      <c r="V820" s="9" t="s">
        <v>55</v>
      </c>
      <c r="W820" s="9" t="s">
        <v>55</v>
      </c>
      <c r="X820" s="9" t="s">
        <v>64</v>
      </c>
      <c r="Y820" s="9" t="s">
        <v>65</v>
      </c>
      <c r="Z820" s="13"/>
    </row>
    <row r="821" spans="1:26" ht="32.25" hidden="1" customHeight="1">
      <c r="A821" s="8">
        <v>2307523</v>
      </c>
      <c r="B821" s="9" t="s">
        <v>3233</v>
      </c>
      <c r="C821" s="10">
        <v>45156</v>
      </c>
      <c r="D821" s="9" t="s">
        <v>79</v>
      </c>
      <c r="E821" s="9" t="s">
        <v>143</v>
      </c>
      <c r="F821" s="9" t="s">
        <v>80</v>
      </c>
      <c r="G821" s="9" t="s">
        <v>43</v>
      </c>
      <c r="H821" s="9" t="s">
        <v>44</v>
      </c>
      <c r="I821" s="11" t="s">
        <v>326</v>
      </c>
      <c r="J821" s="9" t="s">
        <v>327</v>
      </c>
      <c r="K821" s="9" t="s">
        <v>110</v>
      </c>
      <c r="L821" s="9"/>
      <c r="M821" s="9" t="s">
        <v>3234</v>
      </c>
      <c r="N821" s="9" t="s">
        <v>50</v>
      </c>
      <c r="O821" s="9" t="s">
        <v>51</v>
      </c>
      <c r="P821" s="9" t="s">
        <v>1238</v>
      </c>
      <c r="Q821" s="9"/>
      <c r="R821" s="9" t="s">
        <v>61</v>
      </c>
      <c r="S821" s="14" t="s">
        <v>3235</v>
      </c>
      <c r="T821" s="9" t="s">
        <v>3236</v>
      </c>
      <c r="U821" s="9" t="s">
        <v>54</v>
      </c>
      <c r="V821" s="9" t="s">
        <v>251</v>
      </c>
      <c r="W821" s="9" t="s">
        <v>115</v>
      </c>
      <c r="X821" s="12" t="s">
        <v>171</v>
      </c>
      <c r="Y821" s="9" t="s">
        <v>172</v>
      </c>
      <c r="Z821" s="13"/>
    </row>
    <row r="822" spans="1:26" ht="32.25" hidden="1" customHeight="1">
      <c r="A822" s="8">
        <v>2309247</v>
      </c>
      <c r="B822" s="9" t="s">
        <v>3237</v>
      </c>
      <c r="C822" s="10">
        <v>45156</v>
      </c>
      <c r="D822" s="9" t="s">
        <v>79</v>
      </c>
      <c r="E822" s="9" t="s">
        <v>89</v>
      </c>
      <c r="F822" s="9" t="s">
        <v>80</v>
      </c>
      <c r="G822" s="9" t="s">
        <v>43</v>
      </c>
      <c r="H822" s="9" t="s">
        <v>44</v>
      </c>
      <c r="I822" s="11" t="s">
        <v>108</v>
      </c>
      <c r="J822" s="9" t="s">
        <v>109</v>
      </c>
      <c r="K822" s="9" t="s">
        <v>110</v>
      </c>
      <c r="L822" s="9" t="s">
        <v>110</v>
      </c>
      <c r="M822" s="9" t="s">
        <v>111</v>
      </c>
      <c r="N822" s="9" t="s">
        <v>50</v>
      </c>
      <c r="O822" s="9" t="s">
        <v>51</v>
      </c>
      <c r="P822" s="9" t="s">
        <v>112</v>
      </c>
      <c r="Q822" s="9"/>
      <c r="R822" s="9" t="s">
        <v>61</v>
      </c>
      <c r="S822" s="14" t="s">
        <v>3238</v>
      </c>
      <c r="T822" s="9" t="s">
        <v>3239</v>
      </c>
      <c r="U822" s="9" t="s">
        <v>54</v>
      </c>
      <c r="V822" s="9" t="s">
        <v>55</v>
      </c>
      <c r="W822" s="9" t="s">
        <v>115</v>
      </c>
      <c r="X822" s="12" t="s">
        <v>98</v>
      </c>
      <c r="Y822" s="9" t="s">
        <v>99</v>
      </c>
      <c r="Z822" s="13"/>
    </row>
    <row r="823" spans="1:26" ht="32.25" hidden="1" customHeight="1">
      <c r="A823" s="8">
        <v>2314322</v>
      </c>
      <c r="B823" s="9" t="s">
        <v>3240</v>
      </c>
      <c r="C823" s="10">
        <v>45156</v>
      </c>
      <c r="D823" s="9" t="s">
        <v>79</v>
      </c>
      <c r="E823" s="9" t="s">
        <v>295</v>
      </c>
      <c r="F823" s="9" t="s">
        <v>80</v>
      </c>
      <c r="G823" s="9" t="s">
        <v>43</v>
      </c>
      <c r="H823" s="9" t="s">
        <v>44</v>
      </c>
      <c r="I823" s="11" t="s">
        <v>1600</v>
      </c>
      <c r="J823" s="9" t="s">
        <v>407</v>
      </c>
      <c r="K823" s="9" t="s">
        <v>47</v>
      </c>
      <c r="L823" s="9" t="s">
        <v>48</v>
      </c>
      <c r="M823" s="9" t="s">
        <v>1985</v>
      </c>
      <c r="N823" s="9" t="s">
        <v>84</v>
      </c>
      <c r="O823" s="9" t="s">
        <v>51</v>
      </c>
      <c r="P823" s="9" t="s">
        <v>2906</v>
      </c>
      <c r="Q823" s="9"/>
      <c r="R823" s="9" t="s">
        <v>61</v>
      </c>
      <c r="S823" s="14" t="s">
        <v>3241</v>
      </c>
      <c r="T823" s="9" t="s">
        <v>3242</v>
      </c>
      <c r="U823" s="9" t="s">
        <v>54</v>
      </c>
      <c r="V823" s="9" t="s">
        <v>55</v>
      </c>
      <c r="W823" s="9" t="s">
        <v>55</v>
      </c>
      <c r="X823" s="12"/>
      <c r="Y823" s="9" t="s">
        <v>55</v>
      </c>
      <c r="Z823" s="13" t="s">
        <v>3243</v>
      </c>
    </row>
    <row r="824" spans="1:26" ht="32.25" hidden="1" customHeight="1">
      <c r="A824" s="8">
        <v>2307946</v>
      </c>
      <c r="B824" s="9" t="s">
        <v>3244</v>
      </c>
      <c r="C824" s="10">
        <v>45136</v>
      </c>
      <c r="D824" s="9" t="s">
        <v>1072</v>
      </c>
      <c r="E824" s="9" t="s">
        <v>41</v>
      </c>
      <c r="F824" s="9" t="s">
        <v>42</v>
      </c>
      <c r="G824" s="9" t="s">
        <v>43</v>
      </c>
      <c r="H824" s="9" t="s">
        <v>44</v>
      </c>
      <c r="I824" s="11" t="s">
        <v>1073</v>
      </c>
      <c r="J824" s="9" t="s">
        <v>479</v>
      </c>
      <c r="K824" s="9" t="s">
        <v>47</v>
      </c>
      <c r="L824" s="9" t="s">
        <v>156</v>
      </c>
      <c r="M824" s="9"/>
      <c r="N824" s="9" t="s">
        <v>50</v>
      </c>
      <c r="O824" s="9" t="s">
        <v>51</v>
      </c>
      <c r="P824" s="9"/>
      <c r="Q824" s="9"/>
      <c r="R824" s="9"/>
      <c r="S824" s="9" t="s">
        <v>3245</v>
      </c>
      <c r="T824" s="9" t="s">
        <v>3246</v>
      </c>
      <c r="U824" s="9" t="s">
        <v>54</v>
      </c>
      <c r="V824" s="9" t="s">
        <v>55</v>
      </c>
      <c r="W824" s="9" t="s">
        <v>55</v>
      </c>
      <c r="X824" s="12"/>
      <c r="Y824" s="9" t="s">
        <v>55</v>
      </c>
      <c r="Z824" s="13"/>
    </row>
    <row r="825" spans="1:26" ht="32.25" hidden="1" customHeight="1">
      <c r="A825" s="8">
        <v>2312629</v>
      </c>
      <c r="B825" s="9" t="s">
        <v>3247</v>
      </c>
      <c r="C825" s="10">
        <v>45142</v>
      </c>
      <c r="D825" s="9" t="s">
        <v>67</v>
      </c>
      <c r="E825" s="9" t="s">
        <v>68</v>
      </c>
      <c r="F825" s="9" t="s">
        <v>135</v>
      </c>
      <c r="G825" s="9" t="s">
        <v>43</v>
      </c>
      <c r="H825" s="9" t="s">
        <v>44</v>
      </c>
      <c r="I825" s="11" t="s">
        <v>3024</v>
      </c>
      <c r="J825" s="9" t="s">
        <v>3025</v>
      </c>
      <c r="K825" s="9" t="s">
        <v>47</v>
      </c>
      <c r="L825" s="9" t="s">
        <v>226</v>
      </c>
      <c r="M825" s="9" t="s">
        <v>3248</v>
      </c>
      <c r="N825" s="9" t="s">
        <v>50</v>
      </c>
      <c r="O825" s="9" t="s">
        <v>51</v>
      </c>
      <c r="P825" s="9"/>
      <c r="Q825" s="9"/>
      <c r="R825" s="9" t="s">
        <v>61</v>
      </c>
      <c r="S825" s="9" t="s">
        <v>3249</v>
      </c>
      <c r="T825" s="9" t="s">
        <v>3250</v>
      </c>
      <c r="U825" s="9" t="s">
        <v>54</v>
      </c>
      <c r="V825" s="9" t="s">
        <v>55</v>
      </c>
      <c r="W825" s="9" t="s">
        <v>55</v>
      </c>
      <c r="X825" s="12" t="s">
        <v>76</v>
      </c>
      <c r="Y825" s="9" t="s">
        <v>77</v>
      </c>
      <c r="Z825" s="13" t="s">
        <v>3251</v>
      </c>
    </row>
    <row r="826" spans="1:26" ht="32.25" hidden="1" customHeight="1">
      <c r="A826" s="8">
        <v>2309877</v>
      </c>
      <c r="B826" s="9" t="s">
        <v>3252</v>
      </c>
      <c r="C826" s="10">
        <v>45149</v>
      </c>
      <c r="D826" s="9" t="s">
        <v>57</v>
      </c>
      <c r="E826" s="9" t="s">
        <v>41</v>
      </c>
      <c r="F826" s="9" t="s">
        <v>42</v>
      </c>
      <c r="G826" s="9" t="s">
        <v>43</v>
      </c>
      <c r="H826" s="9" t="s">
        <v>58</v>
      </c>
      <c r="I826" s="11" t="s">
        <v>45</v>
      </c>
      <c r="J826" s="9" t="s">
        <v>46</v>
      </c>
      <c r="K826" s="9" t="s">
        <v>47</v>
      </c>
      <c r="L826" s="9" t="s">
        <v>156</v>
      </c>
      <c r="M826" s="9"/>
      <c r="N826" s="9" t="s">
        <v>50</v>
      </c>
      <c r="O826" s="9" t="s">
        <v>51</v>
      </c>
      <c r="P826" s="9"/>
      <c r="Q826" s="9"/>
      <c r="R826" s="9"/>
      <c r="S826" s="14" t="s">
        <v>3253</v>
      </c>
      <c r="T826" s="9" t="s">
        <v>3254</v>
      </c>
      <c r="U826" s="9" t="s">
        <v>54</v>
      </c>
      <c r="V826" s="9" t="s">
        <v>55</v>
      </c>
      <c r="W826" s="9" t="s">
        <v>55</v>
      </c>
      <c r="X826" s="12"/>
      <c r="Y826" s="9" t="s">
        <v>55</v>
      </c>
      <c r="Z826" s="13"/>
    </row>
    <row r="827" spans="1:26" ht="32.25" hidden="1" customHeight="1">
      <c r="A827" s="8">
        <v>2309329</v>
      </c>
      <c r="B827" s="9" t="s">
        <v>3255</v>
      </c>
      <c r="C827" s="10">
        <v>45149</v>
      </c>
      <c r="D827" s="9" t="s">
        <v>261</v>
      </c>
      <c r="E827" s="9" t="s">
        <v>89</v>
      </c>
      <c r="F827" s="9" t="s">
        <v>262</v>
      </c>
      <c r="G827" s="9" t="s">
        <v>43</v>
      </c>
      <c r="H827" s="9" t="s">
        <v>44</v>
      </c>
      <c r="I827" s="11" t="s">
        <v>685</v>
      </c>
      <c r="J827" s="9" t="s">
        <v>686</v>
      </c>
      <c r="K827" s="9" t="s">
        <v>47</v>
      </c>
      <c r="L827" s="9"/>
      <c r="M827" s="9"/>
      <c r="N827" s="9" t="s">
        <v>50</v>
      </c>
      <c r="O827" s="9" t="s">
        <v>51</v>
      </c>
      <c r="P827" s="9"/>
      <c r="Q827" s="9"/>
      <c r="R827" s="9"/>
      <c r="S827" s="14" t="s">
        <v>3256</v>
      </c>
      <c r="T827" s="9" t="s">
        <v>3257</v>
      </c>
      <c r="U827" s="9" t="s">
        <v>262</v>
      </c>
      <c r="V827" s="9" t="s">
        <v>318</v>
      </c>
      <c r="W827" s="9" t="s">
        <v>115</v>
      </c>
      <c r="X827" s="12"/>
      <c r="Y827" s="9" t="s">
        <v>55</v>
      </c>
      <c r="Z827" s="13"/>
    </row>
    <row r="828" spans="1:26" ht="32.25" hidden="1" customHeight="1">
      <c r="A828" s="8">
        <v>2310541</v>
      </c>
      <c r="B828" s="9" t="s">
        <v>3258</v>
      </c>
      <c r="C828" s="10">
        <v>45149</v>
      </c>
      <c r="D828" s="9" t="s">
        <v>57</v>
      </c>
      <c r="E828" s="9" t="s">
        <v>41</v>
      </c>
      <c r="F828" s="9" t="s">
        <v>42</v>
      </c>
      <c r="G828" s="9" t="s">
        <v>43</v>
      </c>
      <c r="H828" s="9" t="s">
        <v>58</v>
      </c>
      <c r="I828" s="11" t="s">
        <v>129</v>
      </c>
      <c r="J828" s="9" t="s">
        <v>130</v>
      </c>
      <c r="K828" s="9" t="s">
        <v>47</v>
      </c>
      <c r="L828" s="9" t="s">
        <v>156</v>
      </c>
      <c r="M828" s="9"/>
      <c r="N828" s="9" t="s">
        <v>84</v>
      </c>
      <c r="O828" s="9" t="s">
        <v>51</v>
      </c>
      <c r="P828" s="9"/>
      <c r="Q828" s="9"/>
      <c r="R828" s="9" t="s">
        <v>61</v>
      </c>
      <c r="S828" s="14" t="s">
        <v>3259</v>
      </c>
      <c r="T828" s="9" t="s">
        <v>3260</v>
      </c>
      <c r="U828" s="9" t="s">
        <v>54</v>
      </c>
      <c r="V828" s="9" t="s">
        <v>55</v>
      </c>
      <c r="W828" s="9" t="s">
        <v>55</v>
      </c>
      <c r="X828" s="9"/>
      <c r="Y828" s="9" t="s">
        <v>55</v>
      </c>
      <c r="Z828" s="13" t="s">
        <v>1220</v>
      </c>
    </row>
    <row r="829" spans="1:26" ht="32.25" hidden="1" customHeight="1">
      <c r="A829" s="8">
        <v>2302984</v>
      </c>
      <c r="B829" s="9" t="s">
        <v>3261</v>
      </c>
      <c r="C829" s="10">
        <v>45149</v>
      </c>
      <c r="D829" s="9" t="s">
        <v>57</v>
      </c>
      <c r="E829" s="9" t="s">
        <v>41</v>
      </c>
      <c r="F829" s="9" t="s">
        <v>42</v>
      </c>
      <c r="G829" s="9" t="s">
        <v>43</v>
      </c>
      <c r="H829" s="9" t="s">
        <v>58</v>
      </c>
      <c r="I829" s="11" t="s">
        <v>1073</v>
      </c>
      <c r="J829" s="9" t="s">
        <v>479</v>
      </c>
      <c r="K829" s="9" t="s">
        <v>47</v>
      </c>
      <c r="L829" s="9" t="s">
        <v>156</v>
      </c>
      <c r="M829" s="9"/>
      <c r="N829" s="9" t="s">
        <v>50</v>
      </c>
      <c r="O829" s="9" t="s">
        <v>51</v>
      </c>
      <c r="P829" s="9"/>
      <c r="Q829" s="9"/>
      <c r="R829" s="9"/>
      <c r="S829" s="14" t="s">
        <v>3262</v>
      </c>
      <c r="T829" s="9" t="s">
        <v>3263</v>
      </c>
      <c r="U829" s="9" t="s">
        <v>54</v>
      </c>
      <c r="V829" s="9" t="s">
        <v>55</v>
      </c>
      <c r="W829" s="9" t="s">
        <v>55</v>
      </c>
      <c r="X829" s="12"/>
      <c r="Y829" s="9" t="s">
        <v>55</v>
      </c>
      <c r="Z829" s="13"/>
    </row>
    <row r="830" spans="1:26" ht="32.25" hidden="1" customHeight="1">
      <c r="A830" s="8">
        <v>2306588</v>
      </c>
      <c r="B830" s="9" t="s">
        <v>3264</v>
      </c>
      <c r="C830" s="10">
        <v>45142</v>
      </c>
      <c r="D830" s="9" t="s">
        <v>67</v>
      </c>
      <c r="E830" s="9" t="s">
        <v>143</v>
      </c>
      <c r="F830" s="9" t="s">
        <v>42</v>
      </c>
      <c r="G830" s="9" t="s">
        <v>43</v>
      </c>
      <c r="H830" s="9" t="s">
        <v>44</v>
      </c>
      <c r="I830" s="11" t="s">
        <v>460</v>
      </c>
      <c r="J830" s="9" t="s">
        <v>400</v>
      </c>
      <c r="K830" s="9" t="s">
        <v>47</v>
      </c>
      <c r="L830" s="9" t="s">
        <v>48</v>
      </c>
      <c r="M830" s="9" t="s">
        <v>3265</v>
      </c>
      <c r="N830" s="9" t="s">
        <v>84</v>
      </c>
      <c r="O830" s="9" t="s">
        <v>51</v>
      </c>
      <c r="P830" s="9"/>
      <c r="Q830" s="9"/>
      <c r="R830" s="9" t="s">
        <v>61</v>
      </c>
      <c r="S830" s="9" t="s">
        <v>3266</v>
      </c>
      <c r="T830" s="9" t="s">
        <v>3267</v>
      </c>
      <c r="U830" s="9" t="s">
        <v>54</v>
      </c>
      <c r="V830" s="9" t="s">
        <v>55</v>
      </c>
      <c r="W830" s="9" t="s">
        <v>55</v>
      </c>
      <c r="X830" s="12" t="s">
        <v>150</v>
      </c>
      <c r="Y830" s="9" t="s">
        <v>151</v>
      </c>
      <c r="Z830" s="13"/>
    </row>
    <row r="831" spans="1:26" ht="32.25" hidden="1" customHeight="1">
      <c r="A831" s="8">
        <v>2301902</v>
      </c>
      <c r="B831" s="9" t="s">
        <v>3268</v>
      </c>
      <c r="C831" s="10">
        <v>45156</v>
      </c>
      <c r="D831" s="9" t="s">
        <v>79</v>
      </c>
      <c r="E831" s="9" t="s">
        <v>89</v>
      </c>
      <c r="F831" s="9" t="s">
        <v>80</v>
      </c>
      <c r="G831" s="9" t="s">
        <v>43</v>
      </c>
      <c r="H831" s="9" t="s">
        <v>44</v>
      </c>
      <c r="I831" s="11" t="s">
        <v>90</v>
      </c>
      <c r="J831" s="9" t="s">
        <v>91</v>
      </c>
      <c r="K831" s="9" t="s">
        <v>47</v>
      </c>
      <c r="L831" s="9" t="s">
        <v>221</v>
      </c>
      <c r="M831" s="9" t="s">
        <v>1451</v>
      </c>
      <c r="N831" s="9" t="s">
        <v>50</v>
      </c>
      <c r="O831" s="9" t="s">
        <v>51</v>
      </c>
      <c r="P831" s="9" t="s">
        <v>546</v>
      </c>
      <c r="Q831" s="9"/>
      <c r="R831" s="9" t="s">
        <v>61</v>
      </c>
      <c r="S831" s="14" t="s">
        <v>3269</v>
      </c>
      <c r="T831" s="9" t="s">
        <v>3270</v>
      </c>
      <c r="U831" s="9" t="s">
        <v>54</v>
      </c>
      <c r="V831" s="9" t="s">
        <v>711</v>
      </c>
      <c r="W831" s="9" t="s">
        <v>115</v>
      </c>
      <c r="X831" s="12" t="s">
        <v>98</v>
      </c>
      <c r="Y831" s="9" t="s">
        <v>99</v>
      </c>
      <c r="Z831" s="13"/>
    </row>
    <row r="832" spans="1:26" ht="32.25" hidden="1" customHeight="1">
      <c r="A832" s="8">
        <v>2311402</v>
      </c>
      <c r="B832" s="9" t="s">
        <v>3271</v>
      </c>
      <c r="C832" s="10">
        <v>45156</v>
      </c>
      <c r="D832" s="9" t="s">
        <v>79</v>
      </c>
      <c r="E832" s="9" t="s">
        <v>89</v>
      </c>
      <c r="F832" s="9" t="s">
        <v>80</v>
      </c>
      <c r="G832" s="9" t="s">
        <v>43</v>
      </c>
      <c r="H832" s="9" t="s">
        <v>44</v>
      </c>
      <c r="I832" s="11" t="s">
        <v>90</v>
      </c>
      <c r="J832" s="9" t="s">
        <v>91</v>
      </c>
      <c r="K832" s="9" t="s">
        <v>47</v>
      </c>
      <c r="L832" s="9" t="s">
        <v>1992</v>
      </c>
      <c r="M832" s="9" t="s">
        <v>3272</v>
      </c>
      <c r="N832" s="9" t="s">
        <v>84</v>
      </c>
      <c r="O832" s="9" t="s">
        <v>51</v>
      </c>
      <c r="P832" s="9" t="s">
        <v>176</v>
      </c>
      <c r="Q832" s="9"/>
      <c r="R832" s="9" t="s">
        <v>61</v>
      </c>
      <c r="S832" s="14" t="s">
        <v>3273</v>
      </c>
      <c r="T832" s="9" t="s">
        <v>3274</v>
      </c>
      <c r="U832" s="9" t="s">
        <v>54</v>
      </c>
      <c r="V832" s="9" t="s">
        <v>55</v>
      </c>
      <c r="W832" s="9" t="s">
        <v>55</v>
      </c>
      <c r="X832" s="12" t="s">
        <v>171</v>
      </c>
      <c r="Y832" s="9" t="s">
        <v>172</v>
      </c>
      <c r="Z832" s="13"/>
    </row>
    <row r="833" spans="1:26" ht="32.25" hidden="1" customHeight="1">
      <c r="A833" s="8">
        <v>2301385</v>
      </c>
      <c r="B833" s="9" t="s">
        <v>3275</v>
      </c>
      <c r="C833" s="10">
        <v>45149</v>
      </c>
      <c r="D833" s="9" t="s">
        <v>57</v>
      </c>
      <c r="E833" s="9" t="s">
        <v>295</v>
      </c>
      <c r="F833" s="9" t="s">
        <v>42</v>
      </c>
      <c r="G833" s="9" t="s">
        <v>43</v>
      </c>
      <c r="H833" s="9" t="s">
        <v>58</v>
      </c>
      <c r="I833" s="11" t="s">
        <v>296</v>
      </c>
      <c r="J833" s="9" t="s">
        <v>297</v>
      </c>
      <c r="K833" s="9" t="s">
        <v>47</v>
      </c>
      <c r="L833" s="9" t="s">
        <v>48</v>
      </c>
      <c r="M833" s="9" t="s">
        <v>3276</v>
      </c>
      <c r="N833" s="9" t="s">
        <v>50</v>
      </c>
      <c r="O833" s="9" t="s">
        <v>51</v>
      </c>
      <c r="P833" s="9"/>
      <c r="Q833" s="9"/>
      <c r="R833" s="9"/>
      <c r="S833" s="14" t="s">
        <v>3277</v>
      </c>
      <c r="T833" s="9" t="s">
        <v>3278</v>
      </c>
      <c r="U833" s="9" t="s">
        <v>54</v>
      </c>
      <c r="V833" s="9" t="s">
        <v>55</v>
      </c>
      <c r="W833" s="9" t="s">
        <v>55</v>
      </c>
      <c r="X833" s="12"/>
      <c r="Y833" s="9" t="s">
        <v>55</v>
      </c>
      <c r="Z833" s="13"/>
    </row>
    <row r="834" spans="1:26" ht="32.25" hidden="1" customHeight="1">
      <c r="A834" s="8">
        <v>2309651</v>
      </c>
      <c r="B834" s="9" t="s">
        <v>3279</v>
      </c>
      <c r="C834" s="10">
        <v>45149</v>
      </c>
      <c r="D834" s="9" t="s">
        <v>261</v>
      </c>
      <c r="E834" s="9" t="s">
        <v>68</v>
      </c>
      <c r="F834" s="9" t="s">
        <v>262</v>
      </c>
      <c r="G834" s="9" t="s">
        <v>43</v>
      </c>
      <c r="H834" s="9" t="s">
        <v>44</v>
      </c>
      <c r="I834" s="11" t="s">
        <v>756</v>
      </c>
      <c r="J834" s="9" t="s">
        <v>757</v>
      </c>
      <c r="K834" s="9" t="s">
        <v>47</v>
      </c>
      <c r="L834" s="9" t="s">
        <v>846</v>
      </c>
      <c r="M834" s="9" t="s">
        <v>1081</v>
      </c>
      <c r="N834" s="9" t="s">
        <v>50</v>
      </c>
      <c r="O834" s="9" t="s">
        <v>51</v>
      </c>
      <c r="P834" s="9"/>
      <c r="Q834" s="9"/>
      <c r="R834" s="9" t="s">
        <v>61</v>
      </c>
      <c r="S834" s="14" t="s">
        <v>3280</v>
      </c>
      <c r="T834" s="9" t="s">
        <v>3281</v>
      </c>
      <c r="U834" s="9" t="s">
        <v>262</v>
      </c>
      <c r="V834" s="9" t="s">
        <v>1266</v>
      </c>
      <c r="W834" s="9" t="s">
        <v>115</v>
      </c>
      <c r="X834" s="12" t="s">
        <v>76</v>
      </c>
      <c r="Y834" s="9" t="s">
        <v>77</v>
      </c>
      <c r="Z834" s="13" t="s">
        <v>1026</v>
      </c>
    </row>
    <row r="835" spans="1:26" ht="32.25" hidden="1" customHeight="1">
      <c r="A835" s="8">
        <v>2300593</v>
      </c>
      <c r="B835" s="9" t="s">
        <v>3282</v>
      </c>
      <c r="C835" s="10">
        <v>45136</v>
      </c>
      <c r="D835" s="9" t="s">
        <v>40</v>
      </c>
      <c r="E835" s="9" t="s">
        <v>41</v>
      </c>
      <c r="F835" s="9" t="s">
        <v>42</v>
      </c>
      <c r="G835" s="9" t="s">
        <v>43</v>
      </c>
      <c r="H835" s="9" t="s">
        <v>44</v>
      </c>
      <c r="I835" s="11" t="s">
        <v>661</v>
      </c>
      <c r="J835" s="9" t="s">
        <v>662</v>
      </c>
      <c r="K835" s="9" t="s">
        <v>47</v>
      </c>
      <c r="L835" s="9" t="s">
        <v>713</v>
      </c>
      <c r="M835" s="9" t="s">
        <v>3213</v>
      </c>
      <c r="N835" s="9" t="s">
        <v>50</v>
      </c>
      <c r="O835" s="9" t="s">
        <v>51</v>
      </c>
      <c r="P835" s="9"/>
      <c r="Q835" s="9"/>
      <c r="R835" s="9" t="s">
        <v>61</v>
      </c>
      <c r="S835" s="9" t="s">
        <v>3283</v>
      </c>
      <c r="T835" s="9" t="s">
        <v>3284</v>
      </c>
      <c r="U835" s="9" t="s">
        <v>54</v>
      </c>
      <c r="V835" s="9" t="s">
        <v>55</v>
      </c>
      <c r="W835" s="9" t="s">
        <v>55</v>
      </c>
      <c r="X835" s="9" t="s">
        <v>64</v>
      </c>
      <c r="Y835" s="9" t="s">
        <v>65</v>
      </c>
      <c r="Z835" s="13"/>
    </row>
    <row r="836" spans="1:26" ht="32.25" hidden="1" customHeight="1">
      <c r="A836" s="8">
        <v>2302741</v>
      </c>
      <c r="B836" s="9" t="s">
        <v>3285</v>
      </c>
      <c r="C836" s="10">
        <v>45149</v>
      </c>
      <c r="D836" s="9" t="s">
        <v>57</v>
      </c>
      <c r="E836" s="9" t="s">
        <v>41</v>
      </c>
      <c r="F836" s="9" t="s">
        <v>42</v>
      </c>
      <c r="G836" s="9" t="s">
        <v>43</v>
      </c>
      <c r="H836" s="9" t="s">
        <v>58</v>
      </c>
      <c r="I836" s="11" t="s">
        <v>129</v>
      </c>
      <c r="J836" s="9" t="s">
        <v>130</v>
      </c>
      <c r="K836" s="9" t="s">
        <v>47</v>
      </c>
      <c r="L836" s="9" t="s">
        <v>1056</v>
      </c>
      <c r="M836" s="9" t="s">
        <v>3286</v>
      </c>
      <c r="N836" s="9" t="s">
        <v>84</v>
      </c>
      <c r="O836" s="9" t="s">
        <v>51</v>
      </c>
      <c r="P836" s="9"/>
      <c r="Q836" s="9"/>
      <c r="R836" s="9" t="s">
        <v>61</v>
      </c>
      <c r="S836" s="14" t="s">
        <v>3287</v>
      </c>
      <c r="T836" s="9" t="s">
        <v>3288</v>
      </c>
      <c r="U836" s="9" t="s">
        <v>54</v>
      </c>
      <c r="V836" s="9" t="s">
        <v>55</v>
      </c>
      <c r="W836" s="9" t="s">
        <v>55</v>
      </c>
      <c r="X836" s="9" t="s">
        <v>196</v>
      </c>
      <c r="Y836" s="9" t="s">
        <v>197</v>
      </c>
      <c r="Z836" s="13" t="s">
        <v>230</v>
      </c>
    </row>
    <row r="837" spans="1:26" ht="32.25" hidden="1" customHeight="1">
      <c r="A837" s="8">
        <v>2303819</v>
      </c>
      <c r="B837" s="9" t="s">
        <v>3289</v>
      </c>
      <c r="C837" s="10">
        <v>45142</v>
      </c>
      <c r="D837" s="9" t="s">
        <v>67</v>
      </c>
      <c r="E837" s="9" t="s">
        <v>143</v>
      </c>
      <c r="F837" s="9" t="s">
        <v>42</v>
      </c>
      <c r="G837" s="9" t="s">
        <v>43</v>
      </c>
      <c r="H837" s="9" t="s">
        <v>44</v>
      </c>
      <c r="I837" s="11" t="s">
        <v>334</v>
      </c>
      <c r="J837" s="9" t="s">
        <v>327</v>
      </c>
      <c r="K837" s="9" t="s">
        <v>47</v>
      </c>
      <c r="L837" s="9" t="s">
        <v>598</v>
      </c>
      <c r="M837" s="9" t="s">
        <v>697</v>
      </c>
      <c r="N837" s="9" t="s">
        <v>50</v>
      </c>
      <c r="O837" s="9" t="s">
        <v>51</v>
      </c>
      <c r="P837" s="9" t="s">
        <v>336</v>
      </c>
      <c r="Q837" s="9"/>
      <c r="R837" s="9" t="s">
        <v>61</v>
      </c>
      <c r="S837" s="9" t="s">
        <v>3290</v>
      </c>
      <c r="T837" s="9" t="s">
        <v>3291</v>
      </c>
      <c r="U837" s="9" t="s">
        <v>54</v>
      </c>
      <c r="V837" s="9" t="s">
        <v>55</v>
      </c>
      <c r="W837" s="9" t="s">
        <v>55</v>
      </c>
      <c r="X837" s="12" t="s">
        <v>150</v>
      </c>
      <c r="Y837" s="9" t="s">
        <v>151</v>
      </c>
      <c r="Z837" s="13"/>
    </row>
    <row r="838" spans="1:26" ht="32.25" hidden="1" customHeight="1">
      <c r="A838" s="8">
        <v>2312787</v>
      </c>
      <c r="B838" s="9" t="s">
        <v>3292</v>
      </c>
      <c r="C838" s="10">
        <v>45149</v>
      </c>
      <c r="D838" s="9" t="s">
        <v>57</v>
      </c>
      <c r="E838" s="9" t="s">
        <v>295</v>
      </c>
      <c r="F838" s="9" t="s">
        <v>42</v>
      </c>
      <c r="G838" s="9" t="s">
        <v>43</v>
      </c>
      <c r="H838" s="9" t="s">
        <v>58</v>
      </c>
      <c r="I838" s="11" t="s">
        <v>406</v>
      </c>
      <c r="J838" s="9" t="s">
        <v>407</v>
      </c>
      <c r="K838" s="9" t="s">
        <v>47</v>
      </c>
      <c r="L838" s="9" t="s">
        <v>2632</v>
      </c>
      <c r="M838" s="9" t="s">
        <v>3293</v>
      </c>
      <c r="N838" s="9" t="s">
        <v>84</v>
      </c>
      <c r="O838" s="9" t="s">
        <v>51</v>
      </c>
      <c r="P838" s="9"/>
      <c r="Q838" s="9"/>
      <c r="R838" s="9" t="s">
        <v>61</v>
      </c>
      <c r="S838" s="14" t="s">
        <v>3294</v>
      </c>
      <c r="T838" s="9" t="s">
        <v>3295</v>
      </c>
      <c r="U838" s="9" t="s">
        <v>54</v>
      </c>
      <c r="V838" s="9" t="s">
        <v>55</v>
      </c>
      <c r="W838" s="9" t="s">
        <v>55</v>
      </c>
      <c r="X838" s="9" t="s">
        <v>319</v>
      </c>
      <c r="Y838" s="9" t="s">
        <v>320</v>
      </c>
      <c r="Z838" s="13"/>
    </row>
    <row r="839" spans="1:26" ht="32.25" hidden="1" customHeight="1">
      <c r="A839" s="8">
        <v>2306574</v>
      </c>
      <c r="B839" s="9" t="s">
        <v>3296</v>
      </c>
      <c r="C839" s="10">
        <v>45149</v>
      </c>
      <c r="D839" s="9" t="s">
        <v>57</v>
      </c>
      <c r="E839" s="9" t="s">
        <v>295</v>
      </c>
      <c r="F839" s="9" t="s">
        <v>42</v>
      </c>
      <c r="G839" s="9" t="s">
        <v>43</v>
      </c>
      <c r="H839" s="9" t="s">
        <v>58</v>
      </c>
      <c r="I839" s="11" t="s">
        <v>406</v>
      </c>
      <c r="J839" s="9" t="s">
        <v>407</v>
      </c>
      <c r="K839" s="9" t="s">
        <v>47</v>
      </c>
      <c r="L839" s="9" t="s">
        <v>48</v>
      </c>
      <c r="M839" s="9" t="s">
        <v>674</v>
      </c>
      <c r="N839" s="9" t="s">
        <v>84</v>
      </c>
      <c r="O839" s="9" t="s">
        <v>51</v>
      </c>
      <c r="P839" s="9"/>
      <c r="Q839" s="9"/>
      <c r="R839" s="9" t="s">
        <v>61</v>
      </c>
      <c r="S839" s="14" t="s">
        <v>3297</v>
      </c>
      <c r="T839" s="9" t="s">
        <v>3298</v>
      </c>
      <c r="U839" s="9" t="s">
        <v>54</v>
      </c>
      <c r="V839" s="9" t="s">
        <v>55</v>
      </c>
      <c r="W839" s="9" t="s">
        <v>55</v>
      </c>
      <c r="X839" s="9" t="s">
        <v>319</v>
      </c>
      <c r="Y839" s="9" t="s">
        <v>320</v>
      </c>
      <c r="Z839" s="13"/>
    </row>
    <row r="840" spans="1:26" ht="32.25" hidden="1" customHeight="1">
      <c r="A840" s="8">
        <v>2300255</v>
      </c>
      <c r="B840" s="9" t="s">
        <v>3299</v>
      </c>
      <c r="C840" s="10">
        <v>45149</v>
      </c>
      <c r="D840" s="9" t="s">
        <v>261</v>
      </c>
      <c r="E840" s="9" t="s">
        <v>68</v>
      </c>
      <c r="F840" s="9" t="s">
        <v>262</v>
      </c>
      <c r="G840" s="9" t="s">
        <v>43</v>
      </c>
      <c r="H840" s="9" t="s">
        <v>44</v>
      </c>
      <c r="I840" s="11" t="s">
        <v>263</v>
      </c>
      <c r="J840" s="9" t="s">
        <v>264</v>
      </c>
      <c r="K840" s="9" t="s">
        <v>47</v>
      </c>
      <c r="L840" s="9" t="s">
        <v>156</v>
      </c>
      <c r="M840" s="9"/>
      <c r="N840" s="9" t="s">
        <v>50</v>
      </c>
      <c r="O840" s="9" t="s">
        <v>51</v>
      </c>
      <c r="P840" s="9"/>
      <c r="Q840" s="9"/>
      <c r="R840" s="9"/>
      <c r="S840" s="14" t="s">
        <v>3300</v>
      </c>
      <c r="T840" s="9" t="s">
        <v>3301</v>
      </c>
      <c r="U840" s="9" t="s">
        <v>262</v>
      </c>
      <c r="V840" s="9" t="s">
        <v>55</v>
      </c>
      <c r="W840" s="9" t="s">
        <v>55</v>
      </c>
      <c r="X840" s="12"/>
      <c r="Y840" s="9" t="s">
        <v>55</v>
      </c>
      <c r="Z840" s="13"/>
    </row>
    <row r="841" spans="1:26" ht="32.25" hidden="1" customHeight="1">
      <c r="A841" s="8">
        <v>2313148</v>
      </c>
      <c r="B841" s="9" t="s">
        <v>3302</v>
      </c>
      <c r="C841" s="10">
        <v>45156</v>
      </c>
      <c r="D841" s="9" t="s">
        <v>79</v>
      </c>
      <c r="E841" s="9" t="s">
        <v>89</v>
      </c>
      <c r="F841" s="9" t="s">
        <v>80</v>
      </c>
      <c r="G841" s="9" t="s">
        <v>43</v>
      </c>
      <c r="H841" s="9" t="s">
        <v>44</v>
      </c>
      <c r="I841" s="11" t="s">
        <v>101</v>
      </c>
      <c r="J841" s="9" t="s">
        <v>102</v>
      </c>
      <c r="K841" s="9" t="s">
        <v>47</v>
      </c>
      <c r="L841" s="9" t="s">
        <v>713</v>
      </c>
      <c r="M841" s="9" t="s">
        <v>2021</v>
      </c>
      <c r="N841" s="9" t="s">
        <v>84</v>
      </c>
      <c r="O841" s="9" t="s">
        <v>51</v>
      </c>
      <c r="P841" s="9" t="s">
        <v>2188</v>
      </c>
      <c r="Q841" s="9"/>
      <c r="R841" s="9" t="s">
        <v>61</v>
      </c>
      <c r="S841" s="14" t="s">
        <v>3303</v>
      </c>
      <c r="T841" s="9" t="s">
        <v>3304</v>
      </c>
      <c r="U841" s="9" t="s">
        <v>54</v>
      </c>
      <c r="V841" s="9" t="s">
        <v>711</v>
      </c>
      <c r="W841" s="9" t="s">
        <v>115</v>
      </c>
      <c r="X841" s="12" t="s">
        <v>98</v>
      </c>
      <c r="Y841" s="9" t="s">
        <v>99</v>
      </c>
      <c r="Z841" s="13"/>
    </row>
    <row r="842" spans="1:26" ht="32.25" hidden="1" customHeight="1">
      <c r="A842" s="8">
        <v>2312061</v>
      </c>
      <c r="B842" s="9" t="s">
        <v>3305</v>
      </c>
      <c r="C842" s="10">
        <v>45149</v>
      </c>
      <c r="D842" s="9" t="s">
        <v>261</v>
      </c>
      <c r="E842" s="9" t="s">
        <v>143</v>
      </c>
      <c r="F842" s="9" t="s">
        <v>262</v>
      </c>
      <c r="G842" s="9" t="s">
        <v>43</v>
      </c>
      <c r="H842" s="9" t="s">
        <v>44</v>
      </c>
      <c r="I842" s="11" t="s">
        <v>1136</v>
      </c>
      <c r="J842" s="9" t="s">
        <v>1137</v>
      </c>
      <c r="K842" s="9" t="s">
        <v>47</v>
      </c>
      <c r="L842" s="9" t="s">
        <v>156</v>
      </c>
      <c r="M842" s="9"/>
      <c r="N842" s="9" t="s">
        <v>50</v>
      </c>
      <c r="O842" s="9" t="s">
        <v>51</v>
      </c>
      <c r="P842" s="9"/>
      <c r="Q842" s="9"/>
      <c r="R842" s="9"/>
      <c r="S842" s="14" t="s">
        <v>3306</v>
      </c>
      <c r="T842" s="9" t="s">
        <v>3307</v>
      </c>
      <c r="U842" s="9" t="s">
        <v>262</v>
      </c>
      <c r="V842" s="9" t="s">
        <v>55</v>
      </c>
      <c r="W842" s="9" t="s">
        <v>115</v>
      </c>
      <c r="X842" s="12"/>
      <c r="Y842" s="9" t="s">
        <v>55</v>
      </c>
      <c r="Z842" s="13"/>
    </row>
    <row r="843" spans="1:26" ht="32.25" hidden="1" customHeight="1">
      <c r="A843" s="8">
        <v>2305353</v>
      </c>
      <c r="B843" s="9" t="s">
        <v>3308</v>
      </c>
      <c r="C843" s="10">
        <v>45149</v>
      </c>
      <c r="D843" s="9" t="s">
        <v>57</v>
      </c>
      <c r="E843" s="9" t="s">
        <v>41</v>
      </c>
      <c r="F843" s="9" t="s">
        <v>42</v>
      </c>
      <c r="G843" s="9" t="s">
        <v>43</v>
      </c>
      <c r="H843" s="9" t="s">
        <v>58</v>
      </c>
      <c r="I843" s="11" t="s">
        <v>199</v>
      </c>
      <c r="J843" s="9" t="s">
        <v>200</v>
      </c>
      <c r="K843" s="9" t="s">
        <v>47</v>
      </c>
      <c r="L843" s="9" t="s">
        <v>156</v>
      </c>
      <c r="M843" s="9"/>
      <c r="N843" s="9" t="s">
        <v>84</v>
      </c>
      <c r="O843" s="9" t="s">
        <v>51</v>
      </c>
      <c r="P843" s="9"/>
      <c r="Q843" s="9"/>
      <c r="R843" s="9"/>
      <c r="S843" s="14" t="s">
        <v>3309</v>
      </c>
      <c r="T843" s="9" t="s">
        <v>3310</v>
      </c>
      <c r="U843" s="9" t="s">
        <v>54</v>
      </c>
      <c r="V843" s="9" t="s">
        <v>55</v>
      </c>
      <c r="W843" s="9" t="s">
        <v>55</v>
      </c>
      <c r="X843" s="12"/>
      <c r="Y843" s="9" t="s">
        <v>55</v>
      </c>
      <c r="Z843" s="13"/>
    </row>
    <row r="844" spans="1:26" ht="32.25" hidden="1" customHeight="1">
      <c r="A844" s="8">
        <v>2306767</v>
      </c>
      <c r="B844" s="9" t="s">
        <v>3311</v>
      </c>
      <c r="C844" s="10">
        <v>45156</v>
      </c>
      <c r="D844" s="9" t="s">
        <v>79</v>
      </c>
      <c r="E844" s="9" t="s">
        <v>89</v>
      </c>
      <c r="F844" s="9" t="s">
        <v>80</v>
      </c>
      <c r="G844" s="9" t="s">
        <v>43</v>
      </c>
      <c r="H844" s="9" t="s">
        <v>44</v>
      </c>
      <c r="I844" s="11" t="s">
        <v>101</v>
      </c>
      <c r="J844" s="9" t="s">
        <v>102</v>
      </c>
      <c r="K844" s="9" t="s">
        <v>47</v>
      </c>
      <c r="L844" s="9" t="s">
        <v>156</v>
      </c>
      <c r="M844" s="9"/>
      <c r="N844" s="9" t="s">
        <v>84</v>
      </c>
      <c r="O844" s="9" t="s">
        <v>51</v>
      </c>
      <c r="P844" s="9" t="s">
        <v>104</v>
      </c>
      <c r="Q844" s="9"/>
      <c r="R844" s="9"/>
      <c r="S844" s="14" t="s">
        <v>3312</v>
      </c>
      <c r="T844" s="9" t="s">
        <v>3313</v>
      </c>
      <c r="U844" s="9" t="s">
        <v>54</v>
      </c>
      <c r="V844" s="9"/>
      <c r="W844" s="9" t="s">
        <v>115</v>
      </c>
      <c r="X844" s="12"/>
      <c r="Y844" s="9" t="s">
        <v>55</v>
      </c>
      <c r="Z844" s="13"/>
    </row>
    <row r="845" spans="1:26" ht="32.25" hidden="1" customHeight="1">
      <c r="A845" s="8">
        <v>2304282</v>
      </c>
      <c r="B845" s="9" t="s">
        <v>3314</v>
      </c>
      <c r="C845" s="10">
        <v>45142</v>
      </c>
      <c r="D845" s="9" t="s">
        <v>67</v>
      </c>
      <c r="E845" s="9" t="s">
        <v>68</v>
      </c>
      <c r="F845" s="9" t="s">
        <v>135</v>
      </c>
      <c r="G845" s="9" t="s">
        <v>43</v>
      </c>
      <c r="H845" s="9" t="s">
        <v>44</v>
      </c>
      <c r="I845" s="11" t="s">
        <v>136</v>
      </c>
      <c r="J845" s="9" t="s">
        <v>137</v>
      </c>
      <c r="K845" s="9" t="s">
        <v>47</v>
      </c>
      <c r="L845" s="9" t="s">
        <v>174</v>
      </c>
      <c r="M845" s="9" t="s">
        <v>1190</v>
      </c>
      <c r="N845" s="9" t="s">
        <v>50</v>
      </c>
      <c r="O845" s="9" t="s">
        <v>51</v>
      </c>
      <c r="P845" s="9"/>
      <c r="Q845" s="9"/>
      <c r="R845" s="9" t="s">
        <v>61</v>
      </c>
      <c r="S845" s="9" t="s">
        <v>3315</v>
      </c>
      <c r="T845" s="9" t="s">
        <v>3316</v>
      </c>
      <c r="U845" s="9" t="s">
        <v>54</v>
      </c>
      <c r="V845" s="9" t="s">
        <v>55</v>
      </c>
      <c r="W845" s="9" t="s">
        <v>55</v>
      </c>
      <c r="X845" s="12" t="s">
        <v>76</v>
      </c>
      <c r="Y845" s="9" t="s">
        <v>77</v>
      </c>
      <c r="Z845" s="13"/>
    </row>
    <row r="846" spans="1:26" ht="32.25" hidden="1" customHeight="1">
      <c r="A846" s="8">
        <v>2312208</v>
      </c>
      <c r="B846" s="9" t="s">
        <v>3317</v>
      </c>
      <c r="C846" s="10">
        <v>45156</v>
      </c>
      <c r="D846" s="9" t="s">
        <v>79</v>
      </c>
      <c r="E846" s="9" t="s">
        <v>89</v>
      </c>
      <c r="F846" s="9" t="s">
        <v>80</v>
      </c>
      <c r="G846" s="9" t="s">
        <v>43</v>
      </c>
      <c r="H846" s="9" t="s">
        <v>44</v>
      </c>
      <c r="I846" s="11" t="s">
        <v>101</v>
      </c>
      <c r="J846" s="9" t="s">
        <v>102</v>
      </c>
      <c r="K846" s="9" t="s">
        <v>47</v>
      </c>
      <c r="L846" s="9" t="s">
        <v>713</v>
      </c>
      <c r="M846" s="9" t="s">
        <v>714</v>
      </c>
      <c r="N846" s="9" t="s">
        <v>50</v>
      </c>
      <c r="O846" s="9" t="s">
        <v>51</v>
      </c>
      <c r="P846" s="9" t="s">
        <v>212</v>
      </c>
      <c r="Q846" s="9"/>
      <c r="R846" s="9"/>
      <c r="S846" s="14" t="s">
        <v>3318</v>
      </c>
      <c r="T846" s="9" t="s">
        <v>3319</v>
      </c>
      <c r="U846" s="9" t="s">
        <v>54</v>
      </c>
      <c r="V846" s="9" t="s">
        <v>55</v>
      </c>
      <c r="W846" s="9" t="s">
        <v>55</v>
      </c>
      <c r="X846" s="12"/>
      <c r="Y846" s="9" t="s">
        <v>55</v>
      </c>
      <c r="Z846" s="13"/>
    </row>
    <row r="847" spans="1:26" ht="32.25" hidden="1" customHeight="1">
      <c r="A847" s="8">
        <v>2302408</v>
      </c>
      <c r="B847" s="9" t="s">
        <v>3320</v>
      </c>
      <c r="C847" s="10">
        <v>45149</v>
      </c>
      <c r="D847" s="9" t="s">
        <v>57</v>
      </c>
      <c r="E847" s="9" t="s">
        <v>153</v>
      </c>
      <c r="F847" s="9" t="s">
        <v>42</v>
      </c>
      <c r="G847" s="9" t="s">
        <v>43</v>
      </c>
      <c r="H847" s="9" t="s">
        <v>58</v>
      </c>
      <c r="I847" s="11" t="s">
        <v>154</v>
      </c>
      <c r="J847" s="9" t="s">
        <v>155</v>
      </c>
      <c r="K847" s="9" t="s">
        <v>47</v>
      </c>
      <c r="L847" s="9" t="s">
        <v>48</v>
      </c>
      <c r="M847" s="9" t="s">
        <v>3321</v>
      </c>
      <c r="N847" s="9" t="s">
        <v>84</v>
      </c>
      <c r="O847" s="9" t="s">
        <v>51</v>
      </c>
      <c r="P847" s="9"/>
      <c r="Q847" s="9"/>
      <c r="R847" s="9" t="s">
        <v>61</v>
      </c>
      <c r="S847" s="14" t="s">
        <v>3322</v>
      </c>
      <c r="T847" s="9" t="s">
        <v>3323</v>
      </c>
      <c r="U847" s="9" t="s">
        <v>54</v>
      </c>
      <c r="V847" s="9" t="s">
        <v>55</v>
      </c>
      <c r="W847" s="9" t="s">
        <v>55</v>
      </c>
      <c r="X847" s="12" t="s">
        <v>171</v>
      </c>
      <c r="Y847" s="9" t="s">
        <v>172</v>
      </c>
      <c r="Z847" s="13"/>
    </row>
    <row r="848" spans="1:26" ht="32.25" hidden="1" customHeight="1">
      <c r="A848" s="8">
        <v>2301225</v>
      </c>
      <c r="B848" s="9" t="s">
        <v>3324</v>
      </c>
      <c r="C848" s="10">
        <v>45142</v>
      </c>
      <c r="D848" s="9" t="s">
        <v>67</v>
      </c>
      <c r="E848" s="9" t="s">
        <v>89</v>
      </c>
      <c r="F848" s="9" t="s">
        <v>42</v>
      </c>
      <c r="G848" s="9" t="s">
        <v>43</v>
      </c>
      <c r="H848" s="9" t="s">
        <v>44</v>
      </c>
      <c r="I848" s="11" t="s">
        <v>354</v>
      </c>
      <c r="J848" s="9" t="s">
        <v>91</v>
      </c>
      <c r="K848" s="9" t="s">
        <v>47</v>
      </c>
      <c r="L848" s="9" t="s">
        <v>858</v>
      </c>
      <c r="M848" s="9" t="s">
        <v>3325</v>
      </c>
      <c r="N848" s="9" t="s">
        <v>84</v>
      </c>
      <c r="O848" s="9" t="s">
        <v>51</v>
      </c>
      <c r="P848" s="9" t="s">
        <v>356</v>
      </c>
      <c r="Q848" s="9"/>
      <c r="R848" s="9" t="s">
        <v>61</v>
      </c>
      <c r="S848" s="9" t="s">
        <v>3326</v>
      </c>
      <c r="T848" s="9" t="s">
        <v>3327</v>
      </c>
      <c r="U848" s="9" t="s">
        <v>54</v>
      </c>
      <c r="V848" s="9" t="s">
        <v>55</v>
      </c>
      <c r="W848" s="9" t="s">
        <v>55</v>
      </c>
      <c r="X848" s="12" t="s">
        <v>98</v>
      </c>
      <c r="Y848" s="9" t="s">
        <v>99</v>
      </c>
      <c r="Z848" s="13"/>
    </row>
    <row r="849" spans="1:26" ht="32.25" hidden="1" customHeight="1">
      <c r="A849" s="8">
        <v>2308095</v>
      </c>
      <c r="B849" s="9" t="s">
        <v>3328</v>
      </c>
      <c r="C849" s="10">
        <v>45142</v>
      </c>
      <c r="D849" s="9" t="s">
        <v>67</v>
      </c>
      <c r="E849" s="9" t="s">
        <v>143</v>
      </c>
      <c r="F849" s="9" t="s">
        <v>42</v>
      </c>
      <c r="G849" s="9" t="s">
        <v>43</v>
      </c>
      <c r="H849" s="9" t="s">
        <v>44</v>
      </c>
      <c r="I849" s="11" t="s">
        <v>334</v>
      </c>
      <c r="J849" s="9" t="s">
        <v>327</v>
      </c>
      <c r="K849" s="9" t="s">
        <v>47</v>
      </c>
      <c r="L849" s="9" t="s">
        <v>777</v>
      </c>
      <c r="M849" s="9"/>
      <c r="N849" s="9" t="s">
        <v>50</v>
      </c>
      <c r="O849" s="9" t="s">
        <v>51</v>
      </c>
      <c r="P849" s="9" t="s">
        <v>336</v>
      </c>
      <c r="Q849" s="9"/>
      <c r="R849" s="9"/>
      <c r="S849" s="9" t="s">
        <v>3329</v>
      </c>
      <c r="T849" s="9" t="s">
        <v>3330</v>
      </c>
      <c r="U849" s="9" t="s">
        <v>54</v>
      </c>
      <c r="V849" s="9" t="s">
        <v>55</v>
      </c>
      <c r="W849" s="9" t="s">
        <v>55</v>
      </c>
      <c r="X849" s="12"/>
      <c r="Y849" s="9" t="s">
        <v>55</v>
      </c>
      <c r="Z849" s="13"/>
    </row>
    <row r="850" spans="1:26" ht="32.25" hidden="1" customHeight="1">
      <c r="A850" s="8">
        <v>2309331</v>
      </c>
      <c r="B850" s="9" t="s">
        <v>3331</v>
      </c>
      <c r="C850" s="10">
        <v>45149</v>
      </c>
      <c r="D850" s="9" t="s">
        <v>57</v>
      </c>
      <c r="E850" s="9" t="s">
        <v>41</v>
      </c>
      <c r="F850" s="9" t="s">
        <v>42</v>
      </c>
      <c r="G850" s="9" t="s">
        <v>43</v>
      </c>
      <c r="H850" s="9" t="s">
        <v>58</v>
      </c>
      <c r="I850" s="11" t="s">
        <v>199</v>
      </c>
      <c r="J850" s="9" t="s">
        <v>200</v>
      </c>
      <c r="K850" s="9" t="s">
        <v>47</v>
      </c>
      <c r="L850" s="9" t="s">
        <v>156</v>
      </c>
      <c r="M850" s="9"/>
      <c r="N850" s="9" t="s">
        <v>50</v>
      </c>
      <c r="O850" s="9" t="s">
        <v>51</v>
      </c>
      <c r="P850" s="9"/>
      <c r="Q850" s="9"/>
      <c r="R850" s="9"/>
      <c r="S850" s="14" t="s">
        <v>3332</v>
      </c>
      <c r="T850" s="9" t="s">
        <v>3333</v>
      </c>
      <c r="U850" s="9" t="s">
        <v>54</v>
      </c>
      <c r="V850" s="9" t="s">
        <v>55</v>
      </c>
      <c r="W850" s="9" t="s">
        <v>55</v>
      </c>
      <c r="X850" s="12"/>
      <c r="Y850" s="9" t="s">
        <v>55</v>
      </c>
      <c r="Z850" s="13"/>
    </row>
    <row r="851" spans="1:26" ht="32.25" hidden="1" customHeight="1">
      <c r="A851" s="8">
        <v>2310788</v>
      </c>
      <c r="B851" s="9" t="s">
        <v>3334</v>
      </c>
      <c r="C851" s="10">
        <v>45149</v>
      </c>
      <c r="D851" s="9" t="s">
        <v>261</v>
      </c>
      <c r="E851" s="9" t="s">
        <v>143</v>
      </c>
      <c r="F851" s="9" t="s">
        <v>262</v>
      </c>
      <c r="G851" s="9" t="s">
        <v>43</v>
      </c>
      <c r="H851" s="9" t="s">
        <v>44</v>
      </c>
      <c r="I851" s="11" t="s">
        <v>384</v>
      </c>
      <c r="J851" s="9" t="s">
        <v>385</v>
      </c>
      <c r="K851" s="9" t="s">
        <v>47</v>
      </c>
      <c r="L851" s="9" t="s">
        <v>2632</v>
      </c>
      <c r="M851" s="9" t="s">
        <v>3068</v>
      </c>
      <c r="N851" s="9" t="s">
        <v>50</v>
      </c>
      <c r="O851" s="9" t="s">
        <v>51</v>
      </c>
      <c r="P851" s="9"/>
      <c r="Q851" s="9"/>
      <c r="R851" s="9" t="s">
        <v>61</v>
      </c>
      <c r="S851" s="14" t="s">
        <v>3335</v>
      </c>
      <c r="T851" s="9" t="s">
        <v>3336</v>
      </c>
      <c r="U851" s="9" t="s">
        <v>262</v>
      </c>
      <c r="V851" s="9" t="s">
        <v>370</v>
      </c>
      <c r="W851" s="9" t="s">
        <v>115</v>
      </c>
      <c r="X851" s="12" t="s">
        <v>389</v>
      </c>
      <c r="Y851" s="9" t="s">
        <v>390</v>
      </c>
      <c r="Z851" s="13"/>
    </row>
    <row r="852" spans="1:26" ht="32.25" hidden="1" customHeight="1">
      <c r="A852" s="8">
        <v>2303530</v>
      </c>
      <c r="B852" s="9" t="s">
        <v>3337</v>
      </c>
      <c r="C852" s="10">
        <v>45136</v>
      </c>
      <c r="D852" s="9" t="s">
        <v>40</v>
      </c>
      <c r="E852" s="9" t="s">
        <v>41</v>
      </c>
      <c r="F852" s="9" t="s">
        <v>42</v>
      </c>
      <c r="G852" s="9" t="s">
        <v>43</v>
      </c>
      <c r="H852" s="9" t="s">
        <v>44</v>
      </c>
      <c r="I852" s="11" t="s">
        <v>45</v>
      </c>
      <c r="J852" s="9" t="s">
        <v>46</v>
      </c>
      <c r="K852" s="9" t="s">
        <v>47</v>
      </c>
      <c r="L852" s="9" t="s">
        <v>48</v>
      </c>
      <c r="M852" s="9" t="s">
        <v>674</v>
      </c>
      <c r="N852" s="9" t="s">
        <v>50</v>
      </c>
      <c r="O852" s="9" t="s">
        <v>51</v>
      </c>
      <c r="P852" s="9"/>
      <c r="Q852" s="9"/>
      <c r="R852" s="9"/>
      <c r="S852" s="9" t="s">
        <v>3338</v>
      </c>
      <c r="T852" s="9" t="s">
        <v>3339</v>
      </c>
      <c r="U852" s="9" t="s">
        <v>54</v>
      </c>
      <c r="V852" s="9" t="s">
        <v>55</v>
      </c>
      <c r="W852" s="9" t="s">
        <v>55</v>
      </c>
      <c r="X852" s="12"/>
      <c r="Y852" s="9" t="s">
        <v>55</v>
      </c>
      <c r="Z852" s="13"/>
    </row>
    <row r="853" spans="1:26" ht="32.25" hidden="1" customHeight="1">
      <c r="A853" s="8">
        <v>2309114</v>
      </c>
      <c r="B853" s="9" t="s">
        <v>3340</v>
      </c>
      <c r="C853" s="10">
        <v>45149</v>
      </c>
      <c r="D853" s="9" t="s">
        <v>57</v>
      </c>
      <c r="E853" s="9" t="s">
        <v>295</v>
      </c>
      <c r="F853" s="9" t="s">
        <v>42</v>
      </c>
      <c r="G853" s="9" t="s">
        <v>43</v>
      </c>
      <c r="H853" s="9" t="s">
        <v>58</v>
      </c>
      <c r="I853" s="11" t="s">
        <v>406</v>
      </c>
      <c r="J853" s="9" t="s">
        <v>407</v>
      </c>
      <c r="K853" s="9" t="s">
        <v>47</v>
      </c>
      <c r="L853" s="9" t="s">
        <v>156</v>
      </c>
      <c r="M853" s="9"/>
      <c r="N853" s="9" t="s">
        <v>84</v>
      </c>
      <c r="O853" s="9" t="s">
        <v>51</v>
      </c>
      <c r="P853" s="9"/>
      <c r="Q853" s="9"/>
      <c r="R853" s="9"/>
      <c r="S853" s="14" t="s">
        <v>3341</v>
      </c>
      <c r="T853" s="9" t="s">
        <v>3342</v>
      </c>
      <c r="U853" s="9" t="s">
        <v>54</v>
      </c>
      <c r="V853" s="9" t="s">
        <v>55</v>
      </c>
      <c r="W853" s="9" t="s">
        <v>55</v>
      </c>
      <c r="X853" s="12"/>
      <c r="Y853" s="9" t="s">
        <v>55</v>
      </c>
      <c r="Z853" s="13"/>
    </row>
    <row r="854" spans="1:26" ht="32.25" hidden="1" customHeight="1">
      <c r="A854" s="8">
        <v>2305867</v>
      </c>
      <c r="B854" s="9" t="s">
        <v>3343</v>
      </c>
      <c r="C854" s="10">
        <v>45142</v>
      </c>
      <c r="D854" s="9" t="s">
        <v>67</v>
      </c>
      <c r="E854" s="9" t="s">
        <v>41</v>
      </c>
      <c r="F854" s="9" t="s">
        <v>42</v>
      </c>
      <c r="G854" s="9" t="s">
        <v>43</v>
      </c>
      <c r="H854" s="9" t="s">
        <v>44</v>
      </c>
      <c r="I854" s="11" t="s">
        <v>199</v>
      </c>
      <c r="J854" s="9" t="s">
        <v>200</v>
      </c>
      <c r="K854" s="9" t="s">
        <v>47</v>
      </c>
      <c r="L854" s="9" t="s">
        <v>451</v>
      </c>
      <c r="M854" s="9" t="s">
        <v>452</v>
      </c>
      <c r="N854" s="9" t="s">
        <v>84</v>
      </c>
      <c r="O854" s="9" t="s">
        <v>51</v>
      </c>
      <c r="P854" s="9"/>
      <c r="Q854" s="9"/>
      <c r="R854" s="9" t="s">
        <v>61</v>
      </c>
      <c r="S854" s="9" t="s">
        <v>3344</v>
      </c>
      <c r="T854" s="9" t="s">
        <v>3345</v>
      </c>
      <c r="U854" s="9" t="s">
        <v>54</v>
      </c>
      <c r="V854" s="9" t="s">
        <v>55</v>
      </c>
      <c r="W854" s="9" t="s">
        <v>55</v>
      </c>
      <c r="X854" s="12" t="s">
        <v>196</v>
      </c>
      <c r="Y854" s="9" t="s">
        <v>197</v>
      </c>
      <c r="Z854" s="13"/>
    </row>
    <row r="855" spans="1:26" ht="32.25" hidden="1" customHeight="1">
      <c r="A855" s="8">
        <v>2313158</v>
      </c>
      <c r="B855" s="9" t="s">
        <v>3346</v>
      </c>
      <c r="C855" s="10">
        <v>45149</v>
      </c>
      <c r="D855" s="9" t="s">
        <v>57</v>
      </c>
      <c r="E855" s="9" t="s">
        <v>41</v>
      </c>
      <c r="F855" s="9" t="s">
        <v>42</v>
      </c>
      <c r="G855" s="9" t="s">
        <v>43</v>
      </c>
      <c r="H855" s="9" t="s">
        <v>58</v>
      </c>
      <c r="I855" s="11" t="s">
        <v>45</v>
      </c>
      <c r="J855" s="9" t="s">
        <v>46</v>
      </c>
      <c r="K855" s="9" t="s">
        <v>47</v>
      </c>
      <c r="L855" s="9" t="s">
        <v>156</v>
      </c>
      <c r="M855" s="9"/>
      <c r="N855" s="9" t="s">
        <v>50</v>
      </c>
      <c r="O855" s="9" t="s">
        <v>51</v>
      </c>
      <c r="P855" s="9"/>
      <c r="Q855" s="9"/>
      <c r="R855" s="9"/>
      <c r="S855" s="14" t="s">
        <v>3347</v>
      </c>
      <c r="T855" s="9" t="s">
        <v>3348</v>
      </c>
      <c r="U855" s="9" t="s">
        <v>54</v>
      </c>
      <c r="V855" s="9" t="s">
        <v>55</v>
      </c>
      <c r="W855" s="9" t="s">
        <v>55</v>
      </c>
      <c r="X855" s="12"/>
      <c r="Y855" s="9" t="s">
        <v>55</v>
      </c>
      <c r="Z855" s="13"/>
    </row>
    <row r="856" spans="1:26" ht="32.25" hidden="1" customHeight="1">
      <c r="A856" s="8">
        <v>2304122</v>
      </c>
      <c r="B856" s="9" t="s">
        <v>3349</v>
      </c>
      <c r="C856" s="10">
        <v>45149</v>
      </c>
      <c r="D856" s="9" t="s">
        <v>57</v>
      </c>
      <c r="E856" s="9" t="s">
        <v>295</v>
      </c>
      <c r="F856" s="9" t="s">
        <v>42</v>
      </c>
      <c r="G856" s="9" t="s">
        <v>43</v>
      </c>
      <c r="H856" s="9" t="s">
        <v>58</v>
      </c>
      <c r="I856" s="11" t="s">
        <v>296</v>
      </c>
      <c r="J856" s="9" t="s">
        <v>297</v>
      </c>
      <c r="K856" s="9" t="s">
        <v>47</v>
      </c>
      <c r="L856" s="9" t="s">
        <v>437</v>
      </c>
      <c r="M856" s="9" t="s">
        <v>1882</v>
      </c>
      <c r="N856" s="9" t="s">
        <v>84</v>
      </c>
      <c r="O856" s="9" t="s">
        <v>51</v>
      </c>
      <c r="P856" s="9"/>
      <c r="Q856" s="9"/>
      <c r="R856" s="9" t="s">
        <v>61</v>
      </c>
      <c r="S856" s="14" t="s">
        <v>3350</v>
      </c>
      <c r="T856" s="9" t="s">
        <v>3351</v>
      </c>
      <c r="U856" s="9" t="s">
        <v>54</v>
      </c>
      <c r="V856" s="9" t="s">
        <v>55</v>
      </c>
      <c r="W856" s="9" t="s">
        <v>55</v>
      </c>
      <c r="X856" s="9" t="s">
        <v>319</v>
      </c>
      <c r="Y856" s="9" t="s">
        <v>320</v>
      </c>
      <c r="Z856" s="13"/>
    </row>
    <row r="857" spans="1:26" ht="32.25" hidden="1" customHeight="1">
      <c r="A857" s="8">
        <v>2309348</v>
      </c>
      <c r="B857" s="9" t="s">
        <v>3352</v>
      </c>
      <c r="C857" s="10">
        <v>45142</v>
      </c>
      <c r="D857" s="9" t="s">
        <v>67</v>
      </c>
      <c r="E857" s="9" t="s">
        <v>68</v>
      </c>
      <c r="F857" s="9" t="s">
        <v>42</v>
      </c>
      <c r="G857" s="9" t="s">
        <v>43</v>
      </c>
      <c r="H857" s="9" t="s">
        <v>44</v>
      </c>
      <c r="I857" s="11" t="s">
        <v>69</v>
      </c>
      <c r="J857" s="9" t="s">
        <v>70</v>
      </c>
      <c r="K857" s="9" t="s">
        <v>47</v>
      </c>
      <c r="L857" s="9" t="s">
        <v>156</v>
      </c>
      <c r="M857" s="9"/>
      <c r="N857" s="9" t="s">
        <v>50</v>
      </c>
      <c r="O857" s="9" t="s">
        <v>51</v>
      </c>
      <c r="P857" s="9" t="s">
        <v>73</v>
      </c>
      <c r="Q857" s="9"/>
      <c r="R857" s="9"/>
      <c r="S857" s="9" t="s">
        <v>3353</v>
      </c>
      <c r="T857" s="9" t="s">
        <v>3354</v>
      </c>
      <c r="U857" s="9" t="s">
        <v>54</v>
      </c>
      <c r="V857" s="9" t="s">
        <v>55</v>
      </c>
      <c r="W857" s="9" t="s">
        <v>55</v>
      </c>
      <c r="X857" s="12"/>
      <c r="Y857" s="9" t="s">
        <v>55</v>
      </c>
      <c r="Z857" s="13"/>
    </row>
    <row r="858" spans="1:26" ht="32.25" hidden="1" customHeight="1">
      <c r="A858" s="8">
        <v>2302631</v>
      </c>
      <c r="B858" s="9" t="s">
        <v>3355</v>
      </c>
      <c r="C858" s="10">
        <v>45156</v>
      </c>
      <c r="D858" s="9" t="s">
        <v>79</v>
      </c>
      <c r="E858" s="9" t="s">
        <v>153</v>
      </c>
      <c r="F858" s="9" t="s">
        <v>80</v>
      </c>
      <c r="G858" s="9" t="s">
        <v>43</v>
      </c>
      <c r="H858" s="9" t="s">
        <v>44</v>
      </c>
      <c r="I858" s="11" t="s">
        <v>1588</v>
      </c>
      <c r="J858" s="9" t="s">
        <v>155</v>
      </c>
      <c r="K858" s="9" t="s">
        <v>47</v>
      </c>
      <c r="L858" s="9" t="s">
        <v>156</v>
      </c>
      <c r="M858" s="9"/>
      <c r="N858" s="9" t="s">
        <v>84</v>
      </c>
      <c r="O858" s="9" t="s">
        <v>51</v>
      </c>
      <c r="P858" s="9" t="s">
        <v>2085</v>
      </c>
      <c r="Q858" s="9"/>
      <c r="R858" s="9"/>
      <c r="S858" s="14" t="s">
        <v>3356</v>
      </c>
      <c r="T858" s="9" t="s">
        <v>3357</v>
      </c>
      <c r="U858" s="9" t="s">
        <v>54</v>
      </c>
      <c r="V858" s="9"/>
      <c r="W858" s="9" t="s">
        <v>115</v>
      </c>
      <c r="X858" s="12"/>
      <c r="Y858" s="9" t="s">
        <v>55</v>
      </c>
      <c r="Z858" s="13"/>
    </row>
    <row r="859" spans="1:26" ht="32.25" hidden="1" customHeight="1">
      <c r="A859" s="8">
        <v>2303180</v>
      </c>
      <c r="B859" s="9" t="s">
        <v>3358</v>
      </c>
      <c r="C859" s="10">
        <v>45142</v>
      </c>
      <c r="D859" s="9" t="s">
        <v>67</v>
      </c>
      <c r="E859" s="9" t="s">
        <v>68</v>
      </c>
      <c r="F859" s="9" t="s">
        <v>135</v>
      </c>
      <c r="G859" s="9" t="s">
        <v>43</v>
      </c>
      <c r="H859" s="9" t="s">
        <v>44</v>
      </c>
      <c r="I859" s="11" t="s">
        <v>136</v>
      </c>
      <c r="J859" s="9" t="s">
        <v>137</v>
      </c>
      <c r="K859" s="9" t="s">
        <v>47</v>
      </c>
      <c r="L859" s="9" t="s">
        <v>411</v>
      </c>
      <c r="M859" s="9" t="s">
        <v>3359</v>
      </c>
      <c r="N859" s="9" t="s">
        <v>84</v>
      </c>
      <c r="O859" s="9" t="s">
        <v>51</v>
      </c>
      <c r="P859" s="9"/>
      <c r="Q859" s="9"/>
      <c r="R859" s="9" t="s">
        <v>61</v>
      </c>
      <c r="S859" s="9" t="s">
        <v>3360</v>
      </c>
      <c r="T859" s="9" t="s">
        <v>3361</v>
      </c>
      <c r="U859" s="9" t="s">
        <v>54</v>
      </c>
      <c r="V859" s="9" t="s">
        <v>55</v>
      </c>
      <c r="W859" s="9" t="s">
        <v>55</v>
      </c>
      <c r="X859" s="12" t="s">
        <v>76</v>
      </c>
      <c r="Y859" s="9" t="s">
        <v>77</v>
      </c>
      <c r="Z859" s="13"/>
    </row>
    <row r="860" spans="1:26" ht="32.25" hidden="1" customHeight="1">
      <c r="A860" s="8">
        <v>2310586</v>
      </c>
      <c r="B860" s="9" t="s">
        <v>3362</v>
      </c>
      <c r="C860" s="10">
        <v>45136</v>
      </c>
      <c r="D860" s="9" t="s">
        <v>40</v>
      </c>
      <c r="E860" s="9" t="s">
        <v>41</v>
      </c>
      <c r="F860" s="9" t="s">
        <v>42</v>
      </c>
      <c r="G860" s="9" t="s">
        <v>43</v>
      </c>
      <c r="H860" s="9" t="s">
        <v>44</v>
      </c>
      <c r="I860" s="11" t="s">
        <v>661</v>
      </c>
      <c r="J860" s="9" t="s">
        <v>662</v>
      </c>
      <c r="K860" s="9" t="s">
        <v>47</v>
      </c>
      <c r="L860" s="9" t="s">
        <v>741</v>
      </c>
      <c r="M860" s="9" t="s">
        <v>742</v>
      </c>
      <c r="N860" s="9" t="s">
        <v>50</v>
      </c>
      <c r="O860" s="9" t="s">
        <v>51</v>
      </c>
      <c r="P860" s="9"/>
      <c r="Q860" s="9"/>
      <c r="R860" s="9"/>
      <c r="S860" s="9" t="s">
        <v>3363</v>
      </c>
      <c r="T860" s="9" t="s">
        <v>3364</v>
      </c>
      <c r="U860" s="9" t="s">
        <v>54</v>
      </c>
      <c r="V860" s="9" t="s">
        <v>55</v>
      </c>
      <c r="W860" s="9" t="s">
        <v>55</v>
      </c>
      <c r="X860" s="9"/>
      <c r="Y860" s="9" t="s">
        <v>55</v>
      </c>
      <c r="Z860" s="13"/>
    </row>
    <row r="861" spans="1:26" ht="32.25" hidden="1" customHeight="1">
      <c r="A861" s="8">
        <v>2303084</v>
      </c>
      <c r="B861" s="9" t="s">
        <v>3365</v>
      </c>
      <c r="C861" s="10">
        <v>45136</v>
      </c>
      <c r="D861" s="9" t="s">
        <v>40</v>
      </c>
      <c r="E861" s="9" t="s">
        <v>41</v>
      </c>
      <c r="F861" s="9" t="s">
        <v>42</v>
      </c>
      <c r="G861" s="9" t="s">
        <v>43</v>
      </c>
      <c r="H861" s="9" t="s">
        <v>44</v>
      </c>
      <c r="I861" s="11" t="s">
        <v>661</v>
      </c>
      <c r="J861" s="9" t="s">
        <v>662</v>
      </c>
      <c r="K861" s="9" t="s">
        <v>47</v>
      </c>
      <c r="L861" s="9" t="s">
        <v>180</v>
      </c>
      <c r="M861" s="9" t="s">
        <v>181</v>
      </c>
      <c r="N861" s="9" t="s">
        <v>50</v>
      </c>
      <c r="O861" s="9" t="s">
        <v>51</v>
      </c>
      <c r="P861" s="9"/>
      <c r="Q861" s="9"/>
      <c r="R861" s="9" t="s">
        <v>61</v>
      </c>
      <c r="S861" s="9" t="s">
        <v>3366</v>
      </c>
      <c r="T861" s="9" t="s">
        <v>3367</v>
      </c>
      <c r="U861" s="9" t="s">
        <v>54</v>
      </c>
      <c r="V861" s="9" t="s">
        <v>55</v>
      </c>
      <c r="W861" s="9" t="s">
        <v>55</v>
      </c>
      <c r="X861" s="9" t="s">
        <v>64</v>
      </c>
      <c r="Y861" s="9" t="s">
        <v>65</v>
      </c>
      <c r="Z861" s="13"/>
    </row>
    <row r="862" spans="1:26" ht="32.25" hidden="1" customHeight="1">
      <c r="A862" s="8">
        <v>2304857</v>
      </c>
      <c r="B862" s="9" t="s">
        <v>3368</v>
      </c>
      <c r="C862" s="10">
        <v>45156</v>
      </c>
      <c r="D862" s="9" t="s">
        <v>79</v>
      </c>
      <c r="E862" s="9" t="s">
        <v>295</v>
      </c>
      <c r="F862" s="9" t="s">
        <v>80</v>
      </c>
      <c r="G862" s="9" t="s">
        <v>43</v>
      </c>
      <c r="H862" s="9" t="s">
        <v>44</v>
      </c>
      <c r="I862" s="11" t="s">
        <v>1600</v>
      </c>
      <c r="J862" s="9" t="s">
        <v>407</v>
      </c>
      <c r="K862" s="9" t="s">
        <v>47</v>
      </c>
      <c r="L862" s="9" t="s">
        <v>574</v>
      </c>
      <c r="M862" s="9" t="s">
        <v>3369</v>
      </c>
      <c r="N862" s="9" t="s">
        <v>84</v>
      </c>
      <c r="O862" s="9" t="s">
        <v>51</v>
      </c>
      <c r="P862" s="9" t="s">
        <v>1601</v>
      </c>
      <c r="Q862" s="9"/>
      <c r="R862" s="9"/>
      <c r="S862" s="14" t="s">
        <v>3370</v>
      </c>
      <c r="T862" s="9" t="s">
        <v>3371</v>
      </c>
      <c r="U862" s="9" t="s">
        <v>54</v>
      </c>
      <c r="V862" s="9"/>
      <c r="W862" s="9" t="s">
        <v>115</v>
      </c>
      <c r="X862" s="12"/>
      <c r="Y862" s="9" t="s">
        <v>55</v>
      </c>
      <c r="Z862" s="13"/>
    </row>
    <row r="863" spans="1:26" ht="32.25" hidden="1" customHeight="1">
      <c r="A863" s="8">
        <v>2310869</v>
      </c>
      <c r="B863" s="9" t="s">
        <v>3372</v>
      </c>
      <c r="C863" s="10">
        <v>45142</v>
      </c>
      <c r="D863" s="9" t="s">
        <v>67</v>
      </c>
      <c r="E863" s="9" t="s">
        <v>295</v>
      </c>
      <c r="F863" s="9" t="s">
        <v>42</v>
      </c>
      <c r="G863" s="9" t="s">
        <v>43</v>
      </c>
      <c r="H863" s="9" t="s">
        <v>44</v>
      </c>
      <c r="I863" s="11" t="s">
        <v>296</v>
      </c>
      <c r="J863" s="9" t="s">
        <v>297</v>
      </c>
      <c r="K863" s="9" t="s">
        <v>47</v>
      </c>
      <c r="L863" s="9" t="s">
        <v>822</v>
      </c>
      <c r="M863" s="9" t="s">
        <v>823</v>
      </c>
      <c r="N863" s="9" t="s">
        <v>84</v>
      </c>
      <c r="O863" s="9" t="s">
        <v>51</v>
      </c>
      <c r="P863" s="9"/>
      <c r="Q863" s="9"/>
      <c r="R863" s="9" t="s">
        <v>61</v>
      </c>
      <c r="S863" s="9" t="s">
        <v>3373</v>
      </c>
      <c r="T863" s="9" t="s">
        <v>3374</v>
      </c>
      <c r="U863" s="9" t="s">
        <v>54</v>
      </c>
      <c r="V863" s="9" t="s">
        <v>55</v>
      </c>
      <c r="W863" s="9" t="s">
        <v>55</v>
      </c>
      <c r="X863" s="9" t="s">
        <v>319</v>
      </c>
      <c r="Y863" s="9" t="s">
        <v>320</v>
      </c>
      <c r="Z863" s="13"/>
    </row>
    <row r="864" spans="1:26" ht="32.25" hidden="1" customHeight="1">
      <c r="A864" s="8">
        <v>2313349</v>
      </c>
      <c r="B864" s="9" t="s">
        <v>3375</v>
      </c>
      <c r="C864" s="10">
        <v>45156</v>
      </c>
      <c r="D864" s="9" t="s">
        <v>79</v>
      </c>
      <c r="E864" s="9" t="s">
        <v>68</v>
      </c>
      <c r="F864" s="9" t="s">
        <v>80</v>
      </c>
      <c r="G864" s="9" t="s">
        <v>43</v>
      </c>
      <c r="H864" s="9" t="s">
        <v>44</v>
      </c>
      <c r="I864" s="11" t="s">
        <v>90</v>
      </c>
      <c r="J864" s="9" t="s">
        <v>91</v>
      </c>
      <c r="K864" s="9" t="s">
        <v>47</v>
      </c>
      <c r="L864" s="9" t="s">
        <v>713</v>
      </c>
      <c r="M864" s="9" t="s">
        <v>714</v>
      </c>
      <c r="N864" s="9" t="s">
        <v>50</v>
      </c>
      <c r="O864" s="9" t="s">
        <v>51</v>
      </c>
      <c r="P864" s="9" t="s">
        <v>929</v>
      </c>
      <c r="Q864" s="9"/>
      <c r="R864" s="9" t="s">
        <v>61</v>
      </c>
      <c r="S864" s="14" t="s">
        <v>3376</v>
      </c>
      <c r="T864" s="9" t="s">
        <v>3377</v>
      </c>
      <c r="U864" s="9" t="s">
        <v>54</v>
      </c>
      <c r="V864" s="9" t="s">
        <v>55</v>
      </c>
      <c r="W864" s="9" t="s">
        <v>55</v>
      </c>
      <c r="X864" s="12" t="s">
        <v>196</v>
      </c>
      <c r="Y864" s="9" t="s">
        <v>197</v>
      </c>
      <c r="Z864" s="13"/>
    </row>
    <row r="865" spans="1:26" ht="32.25" hidden="1" customHeight="1">
      <c r="A865" s="8">
        <v>2303321</v>
      </c>
      <c r="B865" s="9" t="s">
        <v>3378</v>
      </c>
      <c r="C865" s="10">
        <v>45156</v>
      </c>
      <c r="D865" s="9" t="s">
        <v>79</v>
      </c>
      <c r="E865" s="9" t="s">
        <v>89</v>
      </c>
      <c r="F865" s="9" t="s">
        <v>80</v>
      </c>
      <c r="G865" s="9" t="s">
        <v>43</v>
      </c>
      <c r="H865" s="9" t="s">
        <v>44</v>
      </c>
      <c r="I865" s="11" t="s">
        <v>90</v>
      </c>
      <c r="J865" s="9" t="s">
        <v>91</v>
      </c>
      <c r="K865" s="9" t="s">
        <v>47</v>
      </c>
      <c r="L865" s="9" t="s">
        <v>713</v>
      </c>
      <c r="M865" s="9" t="s">
        <v>714</v>
      </c>
      <c r="N865" s="9" t="s">
        <v>50</v>
      </c>
      <c r="O865" s="9" t="s">
        <v>51</v>
      </c>
      <c r="P865" s="9" t="s">
        <v>498</v>
      </c>
      <c r="Q865" s="9"/>
      <c r="R865" s="9" t="s">
        <v>61</v>
      </c>
      <c r="S865" s="14" t="s">
        <v>3379</v>
      </c>
      <c r="T865" s="9" t="s">
        <v>3380</v>
      </c>
      <c r="U865" s="9" t="s">
        <v>54</v>
      </c>
      <c r="V865" s="9" t="s">
        <v>711</v>
      </c>
      <c r="W865" s="9" t="s">
        <v>115</v>
      </c>
      <c r="X865" s="12" t="s">
        <v>98</v>
      </c>
      <c r="Y865" s="9" t="s">
        <v>99</v>
      </c>
      <c r="Z865" s="13"/>
    </row>
    <row r="866" spans="1:26" ht="32.25" hidden="1" customHeight="1">
      <c r="A866" s="8">
        <v>2314060</v>
      </c>
      <c r="B866" s="9" t="s">
        <v>3381</v>
      </c>
      <c r="C866" s="10">
        <v>45156</v>
      </c>
      <c r="D866" s="9" t="s">
        <v>79</v>
      </c>
      <c r="E866" s="9" t="s">
        <v>68</v>
      </c>
      <c r="F866" s="9" t="s">
        <v>80</v>
      </c>
      <c r="G866" s="9" t="s">
        <v>43</v>
      </c>
      <c r="H866" s="9" t="s">
        <v>44</v>
      </c>
      <c r="I866" s="11" t="s">
        <v>696</v>
      </c>
      <c r="J866" s="9" t="s">
        <v>70</v>
      </c>
      <c r="K866" s="9" t="s">
        <v>47</v>
      </c>
      <c r="L866" s="9" t="s">
        <v>713</v>
      </c>
      <c r="M866" s="9" t="s">
        <v>714</v>
      </c>
      <c r="N866" s="9" t="s">
        <v>84</v>
      </c>
      <c r="O866" s="9" t="s">
        <v>51</v>
      </c>
      <c r="P866" s="9" t="s">
        <v>1841</v>
      </c>
      <c r="Q866" s="9"/>
      <c r="R866" s="9" t="s">
        <v>61</v>
      </c>
      <c r="S866" s="14" t="s">
        <v>3382</v>
      </c>
      <c r="T866" s="9" t="s">
        <v>3383</v>
      </c>
      <c r="U866" s="9" t="s">
        <v>54</v>
      </c>
      <c r="V866" s="9" t="s">
        <v>55</v>
      </c>
      <c r="W866" s="9" t="s">
        <v>55</v>
      </c>
      <c r="X866" s="12" t="s">
        <v>196</v>
      </c>
      <c r="Y866" s="9" t="s">
        <v>197</v>
      </c>
      <c r="Z866" s="13"/>
    </row>
    <row r="867" spans="1:26" ht="32.25" hidden="1" customHeight="1">
      <c r="A867" s="8">
        <v>2306259</v>
      </c>
      <c r="B867" s="9" t="s">
        <v>3384</v>
      </c>
      <c r="C867" s="10">
        <v>45156</v>
      </c>
      <c r="D867" s="9" t="s">
        <v>79</v>
      </c>
      <c r="E867" s="9" t="s">
        <v>89</v>
      </c>
      <c r="F867" s="9" t="s">
        <v>80</v>
      </c>
      <c r="G867" s="9" t="s">
        <v>43</v>
      </c>
      <c r="H867" s="9" t="s">
        <v>44</v>
      </c>
      <c r="I867" s="11" t="s">
        <v>101</v>
      </c>
      <c r="J867" s="9" t="s">
        <v>102</v>
      </c>
      <c r="K867" s="9" t="s">
        <v>47</v>
      </c>
      <c r="L867" s="9" t="s">
        <v>156</v>
      </c>
      <c r="M867" s="9"/>
      <c r="N867" s="9" t="s">
        <v>50</v>
      </c>
      <c r="O867" s="9" t="s">
        <v>51</v>
      </c>
      <c r="P867" s="9" t="s">
        <v>715</v>
      </c>
      <c r="Q867" s="9"/>
      <c r="R867" s="9"/>
      <c r="S867" s="14" t="s">
        <v>3385</v>
      </c>
      <c r="T867" s="9" t="s">
        <v>3386</v>
      </c>
      <c r="U867" s="9" t="s">
        <v>54</v>
      </c>
      <c r="V867" s="9" t="s">
        <v>55</v>
      </c>
      <c r="W867" s="9" t="s">
        <v>55</v>
      </c>
      <c r="X867" s="12"/>
      <c r="Y867" s="9" t="s">
        <v>55</v>
      </c>
      <c r="Z867" s="13"/>
    </row>
    <row r="868" spans="1:26" ht="32.25" hidden="1" customHeight="1">
      <c r="A868" s="8">
        <v>2303929</v>
      </c>
      <c r="B868" s="9" t="s">
        <v>3387</v>
      </c>
      <c r="C868" s="10">
        <v>45149</v>
      </c>
      <c r="D868" s="9" t="s">
        <v>57</v>
      </c>
      <c r="E868" s="9" t="s">
        <v>295</v>
      </c>
      <c r="F868" s="9" t="s">
        <v>42</v>
      </c>
      <c r="G868" s="9" t="s">
        <v>43</v>
      </c>
      <c r="H868" s="9" t="s">
        <v>58</v>
      </c>
      <c r="I868" s="11" t="s">
        <v>406</v>
      </c>
      <c r="J868" s="9" t="s">
        <v>407</v>
      </c>
      <c r="K868" s="9" t="s">
        <v>47</v>
      </c>
      <c r="L868" s="9" t="s">
        <v>2632</v>
      </c>
      <c r="M868" s="9" t="s">
        <v>3293</v>
      </c>
      <c r="N868" s="9" t="s">
        <v>84</v>
      </c>
      <c r="O868" s="9" t="s">
        <v>51</v>
      </c>
      <c r="P868" s="9"/>
      <c r="Q868" s="9"/>
      <c r="R868" s="9" t="s">
        <v>61</v>
      </c>
      <c r="S868" s="14" t="s">
        <v>3388</v>
      </c>
      <c r="T868" s="9" t="s">
        <v>3389</v>
      </c>
      <c r="U868" s="9" t="s">
        <v>54</v>
      </c>
      <c r="V868" s="9" t="s">
        <v>55</v>
      </c>
      <c r="W868" s="9" t="s">
        <v>55</v>
      </c>
      <c r="X868" s="9" t="s">
        <v>319</v>
      </c>
      <c r="Y868" s="9" t="s">
        <v>320</v>
      </c>
      <c r="Z868" s="13"/>
    </row>
    <row r="869" spans="1:26" ht="32.25" hidden="1" customHeight="1">
      <c r="A869" s="8">
        <v>2315427</v>
      </c>
      <c r="B869" s="9" t="s">
        <v>3390</v>
      </c>
      <c r="C869" s="10">
        <v>45152</v>
      </c>
      <c r="D869" s="9" t="s">
        <v>639</v>
      </c>
      <c r="E869" s="9" t="s">
        <v>153</v>
      </c>
      <c r="F869" s="9" t="s">
        <v>80</v>
      </c>
      <c r="G869" s="9" t="s">
        <v>43</v>
      </c>
      <c r="H869" s="9" t="s">
        <v>44</v>
      </c>
      <c r="I869" s="11" t="s">
        <v>1588</v>
      </c>
      <c r="J869" s="9" t="s">
        <v>155</v>
      </c>
      <c r="K869" s="9" t="s">
        <v>92</v>
      </c>
      <c r="L869" s="9" t="s">
        <v>156</v>
      </c>
      <c r="M869" s="9"/>
      <c r="N869" s="9" t="s">
        <v>50</v>
      </c>
      <c r="O869" s="9" t="s">
        <v>187</v>
      </c>
      <c r="P869" s="9" t="s">
        <v>2391</v>
      </c>
      <c r="Q869" s="9"/>
      <c r="R869" s="9" t="s">
        <v>61</v>
      </c>
      <c r="S869" s="14" t="s">
        <v>3391</v>
      </c>
      <c r="T869" s="9" t="s">
        <v>3392</v>
      </c>
      <c r="U869" s="9" t="s">
        <v>54</v>
      </c>
      <c r="V869" s="9" t="s">
        <v>55</v>
      </c>
      <c r="W869" s="9" t="s">
        <v>55</v>
      </c>
      <c r="X869" s="12" t="s">
        <v>319</v>
      </c>
      <c r="Y869" s="9" t="s">
        <v>320</v>
      </c>
      <c r="Z869" s="13"/>
    </row>
    <row r="870" spans="1:26" ht="32.25" hidden="1" customHeight="1">
      <c r="A870" s="8">
        <v>2306388</v>
      </c>
      <c r="B870" s="9" t="s">
        <v>3393</v>
      </c>
      <c r="C870" s="10">
        <v>45156</v>
      </c>
      <c r="D870" s="9" t="s">
        <v>79</v>
      </c>
      <c r="E870" s="9" t="s">
        <v>68</v>
      </c>
      <c r="F870" s="9" t="s">
        <v>80</v>
      </c>
      <c r="G870" s="9" t="s">
        <v>43</v>
      </c>
      <c r="H870" s="9" t="s">
        <v>44</v>
      </c>
      <c r="I870" s="11" t="s">
        <v>90</v>
      </c>
      <c r="J870" s="9" t="s">
        <v>91</v>
      </c>
      <c r="K870" s="9" t="s">
        <v>110</v>
      </c>
      <c r="L870" s="9"/>
      <c r="M870" s="9"/>
      <c r="N870" s="9" t="s">
        <v>50</v>
      </c>
      <c r="O870" s="9" t="s">
        <v>51</v>
      </c>
      <c r="P870" s="9" t="s">
        <v>273</v>
      </c>
      <c r="Q870" s="9"/>
      <c r="R870" s="9" t="s">
        <v>61</v>
      </c>
      <c r="S870" s="14" t="s">
        <v>3394</v>
      </c>
      <c r="T870" s="9" t="s">
        <v>3395</v>
      </c>
      <c r="U870" s="9" t="s">
        <v>54</v>
      </c>
      <c r="V870" s="9" t="s">
        <v>55</v>
      </c>
      <c r="W870" s="9" t="s">
        <v>115</v>
      </c>
      <c r="X870" s="12" t="s">
        <v>196</v>
      </c>
      <c r="Y870" s="9" t="s">
        <v>197</v>
      </c>
      <c r="Z870" s="13"/>
    </row>
    <row r="871" spans="1:26" ht="32.25" hidden="1" customHeight="1">
      <c r="A871" s="8">
        <v>2314596</v>
      </c>
      <c r="B871" s="9" t="s">
        <v>3396</v>
      </c>
      <c r="C871" s="10">
        <v>45156</v>
      </c>
      <c r="D871" s="9" t="s">
        <v>79</v>
      </c>
      <c r="E871" s="9" t="s">
        <v>89</v>
      </c>
      <c r="F871" s="9" t="s">
        <v>80</v>
      </c>
      <c r="G871" s="9" t="s">
        <v>43</v>
      </c>
      <c r="H871" s="9" t="s">
        <v>44</v>
      </c>
      <c r="I871" s="11" t="s">
        <v>90</v>
      </c>
      <c r="J871" s="9" t="s">
        <v>91</v>
      </c>
      <c r="K871" s="9" t="s">
        <v>92</v>
      </c>
      <c r="L871" s="9"/>
      <c r="M871" s="9" t="s">
        <v>103</v>
      </c>
      <c r="N871" s="9" t="s">
        <v>50</v>
      </c>
      <c r="O871" s="9" t="s">
        <v>51</v>
      </c>
      <c r="P871" s="9" t="s">
        <v>95</v>
      </c>
      <c r="Q871" s="9"/>
      <c r="R871" s="9" t="s">
        <v>61</v>
      </c>
      <c r="S871" s="14" t="s">
        <v>3397</v>
      </c>
      <c r="T871" s="9" t="s">
        <v>3398</v>
      </c>
      <c r="U871" s="9" t="s">
        <v>54</v>
      </c>
      <c r="V871" s="9" t="s">
        <v>55</v>
      </c>
      <c r="W871" s="9" t="s">
        <v>55</v>
      </c>
      <c r="X871" s="12" t="s">
        <v>98</v>
      </c>
      <c r="Y871" s="9" t="s">
        <v>99</v>
      </c>
      <c r="Z871" s="13"/>
    </row>
    <row r="872" spans="1:26" ht="32.25" hidden="1" customHeight="1">
      <c r="A872" s="8">
        <v>2303115</v>
      </c>
      <c r="B872" s="9" t="s">
        <v>3399</v>
      </c>
      <c r="C872" s="10">
        <v>45156</v>
      </c>
      <c r="D872" s="9" t="s">
        <v>79</v>
      </c>
      <c r="E872" s="9" t="s">
        <v>143</v>
      </c>
      <c r="F872" s="9" t="s">
        <v>80</v>
      </c>
      <c r="G872" s="9" t="s">
        <v>43</v>
      </c>
      <c r="H872" s="9" t="s">
        <v>44</v>
      </c>
      <c r="I872" s="11" t="s">
        <v>326</v>
      </c>
      <c r="J872" s="9" t="s">
        <v>327</v>
      </c>
      <c r="K872" s="9" t="s">
        <v>47</v>
      </c>
      <c r="L872" s="9" t="s">
        <v>226</v>
      </c>
      <c r="M872" s="9" t="s">
        <v>3400</v>
      </c>
      <c r="N872" s="9" t="s">
        <v>50</v>
      </c>
      <c r="O872" s="9" t="s">
        <v>51</v>
      </c>
      <c r="P872" s="9" t="s">
        <v>1238</v>
      </c>
      <c r="Q872" s="9"/>
      <c r="R872" s="9" t="s">
        <v>61</v>
      </c>
      <c r="S872" s="14" t="s">
        <v>3401</v>
      </c>
      <c r="T872" s="9" t="s">
        <v>3402</v>
      </c>
      <c r="U872" s="9" t="s">
        <v>54</v>
      </c>
      <c r="V872" s="9" t="s">
        <v>370</v>
      </c>
      <c r="W872" s="9" t="s">
        <v>115</v>
      </c>
      <c r="X872" s="12" t="s">
        <v>150</v>
      </c>
      <c r="Y872" s="9" t="s">
        <v>151</v>
      </c>
      <c r="Z872" s="13"/>
    </row>
    <row r="873" spans="1:26" ht="32.25" hidden="1" customHeight="1">
      <c r="A873" s="8">
        <v>2313002</v>
      </c>
      <c r="B873" s="9" t="s">
        <v>3403</v>
      </c>
      <c r="C873" s="10">
        <v>45142</v>
      </c>
      <c r="D873" s="9" t="s">
        <v>67</v>
      </c>
      <c r="E873" s="9" t="s">
        <v>41</v>
      </c>
      <c r="F873" s="9" t="s">
        <v>42</v>
      </c>
      <c r="G873" s="9" t="s">
        <v>43</v>
      </c>
      <c r="H873" s="9" t="s">
        <v>44</v>
      </c>
      <c r="I873" s="11" t="s">
        <v>45</v>
      </c>
      <c r="J873" s="9" t="s">
        <v>46</v>
      </c>
      <c r="K873" s="9" t="s">
        <v>47</v>
      </c>
      <c r="L873" s="9" t="s">
        <v>533</v>
      </c>
      <c r="M873" s="9" t="s">
        <v>534</v>
      </c>
      <c r="N873" s="9" t="s">
        <v>84</v>
      </c>
      <c r="O873" s="9" t="s">
        <v>51</v>
      </c>
      <c r="P873" s="9"/>
      <c r="Q873" s="9"/>
      <c r="R873" s="9" t="s">
        <v>61</v>
      </c>
      <c r="S873" s="9" t="s">
        <v>3404</v>
      </c>
      <c r="T873" s="9" t="s">
        <v>3405</v>
      </c>
      <c r="U873" s="9" t="s">
        <v>54</v>
      </c>
      <c r="V873" s="9" t="s">
        <v>55</v>
      </c>
      <c r="W873" s="9" t="s">
        <v>55</v>
      </c>
      <c r="X873" s="9" t="s">
        <v>196</v>
      </c>
      <c r="Y873" s="9" t="s">
        <v>197</v>
      </c>
      <c r="Z873" s="13"/>
    </row>
    <row r="874" spans="1:26" ht="32.25" hidden="1" customHeight="1">
      <c r="A874" s="8">
        <v>2313981</v>
      </c>
      <c r="B874" s="9" t="s">
        <v>3406</v>
      </c>
      <c r="C874" s="10">
        <v>45156</v>
      </c>
      <c r="D874" s="9" t="s">
        <v>79</v>
      </c>
      <c r="E874" s="9" t="s">
        <v>41</v>
      </c>
      <c r="F874" s="9" t="s">
        <v>80</v>
      </c>
      <c r="G874" s="9" t="s">
        <v>43</v>
      </c>
      <c r="H874" s="9" t="s">
        <v>44</v>
      </c>
      <c r="I874" s="11" t="s">
        <v>527</v>
      </c>
      <c r="J874" s="9" t="s">
        <v>130</v>
      </c>
      <c r="K874" s="9" t="s">
        <v>47</v>
      </c>
      <c r="L874" s="9" t="s">
        <v>156</v>
      </c>
      <c r="M874" s="9"/>
      <c r="N874" s="9" t="s">
        <v>84</v>
      </c>
      <c r="O874" s="9" t="s">
        <v>51</v>
      </c>
      <c r="P874" s="9" t="s">
        <v>529</v>
      </c>
      <c r="Q874" s="9"/>
      <c r="R874" s="9"/>
      <c r="S874" s="14" t="s">
        <v>3407</v>
      </c>
      <c r="T874" s="9" t="s">
        <v>3408</v>
      </c>
      <c r="U874" s="9" t="s">
        <v>54</v>
      </c>
      <c r="V874" s="9"/>
      <c r="W874" s="9" t="s">
        <v>115</v>
      </c>
      <c r="X874" s="12"/>
      <c r="Y874" s="9" t="s">
        <v>55</v>
      </c>
      <c r="Z874" s="13"/>
    </row>
    <row r="875" spans="1:26" ht="32.25" hidden="1" customHeight="1">
      <c r="A875" s="8">
        <v>2313325</v>
      </c>
      <c r="B875" s="9" t="s">
        <v>3409</v>
      </c>
      <c r="C875" s="10">
        <v>45156</v>
      </c>
      <c r="D875" s="9" t="s">
        <v>79</v>
      </c>
      <c r="E875" s="9" t="s">
        <v>143</v>
      </c>
      <c r="F875" s="9" t="s">
        <v>80</v>
      </c>
      <c r="G875" s="9" t="s">
        <v>43</v>
      </c>
      <c r="H875" s="9" t="s">
        <v>44</v>
      </c>
      <c r="I875" s="11" t="s">
        <v>326</v>
      </c>
      <c r="J875" s="9" t="s">
        <v>327</v>
      </c>
      <c r="K875" s="9" t="s">
        <v>47</v>
      </c>
      <c r="L875" s="9" t="s">
        <v>340</v>
      </c>
      <c r="M875" s="9" t="s">
        <v>3410</v>
      </c>
      <c r="N875" s="9" t="s">
        <v>84</v>
      </c>
      <c r="O875" s="9" t="s">
        <v>51</v>
      </c>
      <c r="P875" s="9" t="s">
        <v>1029</v>
      </c>
      <c r="Q875" s="9"/>
      <c r="R875" s="9" t="s">
        <v>61</v>
      </c>
      <c r="S875" s="14" t="s">
        <v>3411</v>
      </c>
      <c r="T875" s="9" t="s">
        <v>3412</v>
      </c>
      <c r="U875" s="9" t="s">
        <v>54</v>
      </c>
      <c r="V875" s="9" t="s">
        <v>55</v>
      </c>
      <c r="W875" s="9" t="s">
        <v>55</v>
      </c>
      <c r="X875" s="12" t="s">
        <v>150</v>
      </c>
      <c r="Y875" s="9" t="s">
        <v>151</v>
      </c>
      <c r="Z875" s="13"/>
    </row>
    <row r="876" spans="1:26" ht="32.25" hidden="1" customHeight="1">
      <c r="A876" s="8">
        <v>2312221</v>
      </c>
      <c r="B876" s="9" t="s">
        <v>3413</v>
      </c>
      <c r="C876" s="10">
        <v>45156</v>
      </c>
      <c r="D876" s="9" t="s">
        <v>79</v>
      </c>
      <c r="E876" s="9" t="s">
        <v>68</v>
      </c>
      <c r="F876" s="9" t="s">
        <v>80</v>
      </c>
      <c r="G876" s="9" t="s">
        <v>43</v>
      </c>
      <c r="H876" s="9" t="s">
        <v>44</v>
      </c>
      <c r="I876" s="11" t="s">
        <v>696</v>
      </c>
      <c r="J876" s="9" t="s">
        <v>70</v>
      </c>
      <c r="K876" s="9" t="s">
        <v>47</v>
      </c>
      <c r="L876" s="9" t="s">
        <v>1542</v>
      </c>
      <c r="M876" s="9" t="s">
        <v>3414</v>
      </c>
      <c r="N876" s="9" t="s">
        <v>50</v>
      </c>
      <c r="O876" s="9" t="s">
        <v>51</v>
      </c>
      <c r="P876" s="9" t="s">
        <v>698</v>
      </c>
      <c r="Q876" s="9"/>
      <c r="R876" s="9" t="s">
        <v>61</v>
      </c>
      <c r="S876" s="14" t="s">
        <v>3415</v>
      </c>
      <c r="T876" s="9" t="s">
        <v>3416</v>
      </c>
      <c r="U876" s="9" t="s">
        <v>54</v>
      </c>
      <c r="V876" s="9" t="s">
        <v>3207</v>
      </c>
      <c r="W876" s="9" t="s">
        <v>115</v>
      </c>
      <c r="X876" s="12" t="s">
        <v>76</v>
      </c>
      <c r="Y876" s="9" t="s">
        <v>77</v>
      </c>
      <c r="Z876" s="13"/>
    </row>
    <row r="877" spans="1:26" ht="32.25" hidden="1" customHeight="1">
      <c r="A877" s="8">
        <v>2310031</v>
      </c>
      <c r="B877" s="9" t="s">
        <v>3417</v>
      </c>
      <c r="C877" s="10">
        <v>45149</v>
      </c>
      <c r="D877" s="9" t="s">
        <v>261</v>
      </c>
      <c r="E877" s="9" t="s">
        <v>143</v>
      </c>
      <c r="F877" s="9" t="s">
        <v>262</v>
      </c>
      <c r="G877" s="9" t="s">
        <v>43</v>
      </c>
      <c r="H877" s="9" t="s">
        <v>44</v>
      </c>
      <c r="I877" s="11" t="s">
        <v>384</v>
      </c>
      <c r="J877" s="9" t="s">
        <v>385</v>
      </c>
      <c r="K877" s="9" t="s">
        <v>47</v>
      </c>
      <c r="L877" s="9" t="s">
        <v>2006</v>
      </c>
      <c r="M877" s="9" t="s">
        <v>2560</v>
      </c>
      <c r="N877" s="9" t="s">
        <v>50</v>
      </c>
      <c r="O877" s="9" t="s">
        <v>51</v>
      </c>
      <c r="P877" s="9"/>
      <c r="Q877" s="9"/>
      <c r="R877" s="9" t="s">
        <v>61</v>
      </c>
      <c r="S877" s="14" t="s">
        <v>3418</v>
      </c>
      <c r="T877" s="9" t="s">
        <v>3419</v>
      </c>
      <c r="U877" s="9" t="s">
        <v>262</v>
      </c>
      <c r="V877" s="9" t="s">
        <v>370</v>
      </c>
      <c r="W877" s="9" t="s">
        <v>115</v>
      </c>
      <c r="X877" s="12" t="s">
        <v>389</v>
      </c>
      <c r="Y877" s="9" t="s">
        <v>390</v>
      </c>
      <c r="Z877" s="13"/>
    </row>
    <row r="878" spans="1:26" ht="32.25" hidden="1" customHeight="1">
      <c r="A878" s="8">
        <v>2306526</v>
      </c>
      <c r="B878" s="9" t="s">
        <v>3420</v>
      </c>
      <c r="C878" s="10">
        <v>45136</v>
      </c>
      <c r="D878" s="9" t="s">
        <v>1072</v>
      </c>
      <c r="E878" s="9" t="s">
        <v>41</v>
      </c>
      <c r="F878" s="9" t="s">
        <v>42</v>
      </c>
      <c r="G878" s="9" t="s">
        <v>43</v>
      </c>
      <c r="H878" s="9" t="s">
        <v>44</v>
      </c>
      <c r="I878" s="11" t="s">
        <v>199</v>
      </c>
      <c r="J878" s="9" t="s">
        <v>200</v>
      </c>
      <c r="K878" s="9" t="s">
        <v>47</v>
      </c>
      <c r="L878" s="9" t="s">
        <v>713</v>
      </c>
      <c r="M878" s="9" t="s">
        <v>3213</v>
      </c>
      <c r="N878" s="9" t="s">
        <v>50</v>
      </c>
      <c r="O878" s="9" t="s">
        <v>51</v>
      </c>
      <c r="P878" s="9"/>
      <c r="Q878" s="9"/>
      <c r="R878" s="9" t="s">
        <v>61</v>
      </c>
      <c r="S878" s="9" t="s">
        <v>3421</v>
      </c>
      <c r="T878" s="9" t="s">
        <v>3422</v>
      </c>
      <c r="U878" s="9" t="s">
        <v>54</v>
      </c>
      <c r="V878" s="9" t="s">
        <v>55</v>
      </c>
      <c r="W878" s="9" t="s">
        <v>55</v>
      </c>
      <c r="X878" s="12" t="s">
        <v>196</v>
      </c>
      <c r="Y878" s="9" t="s">
        <v>197</v>
      </c>
      <c r="Z878" s="13"/>
    </row>
    <row r="879" spans="1:26" ht="32.25" hidden="1" customHeight="1">
      <c r="A879" s="8">
        <v>2302664</v>
      </c>
      <c r="B879" s="9" t="s">
        <v>3423</v>
      </c>
      <c r="C879" s="10">
        <v>45136</v>
      </c>
      <c r="D879" s="9" t="s">
        <v>1072</v>
      </c>
      <c r="E879" s="9" t="s">
        <v>41</v>
      </c>
      <c r="F879" s="9" t="s">
        <v>42</v>
      </c>
      <c r="G879" s="9" t="s">
        <v>43</v>
      </c>
      <c r="H879" s="9" t="s">
        <v>44</v>
      </c>
      <c r="I879" s="11" t="s">
        <v>45</v>
      </c>
      <c r="J879" s="9" t="s">
        <v>46</v>
      </c>
      <c r="K879" s="9" t="s">
        <v>47</v>
      </c>
      <c r="L879" s="9" t="s">
        <v>156</v>
      </c>
      <c r="M879" s="9"/>
      <c r="N879" s="9" t="s">
        <v>50</v>
      </c>
      <c r="O879" s="9" t="s">
        <v>51</v>
      </c>
      <c r="P879" s="9"/>
      <c r="Q879" s="9"/>
      <c r="R879" s="9"/>
      <c r="S879" s="9" t="s">
        <v>3424</v>
      </c>
      <c r="T879" s="9" t="s">
        <v>3425</v>
      </c>
      <c r="U879" s="9" t="s">
        <v>54</v>
      </c>
      <c r="V879" s="9" t="s">
        <v>55</v>
      </c>
      <c r="W879" s="9" t="s">
        <v>55</v>
      </c>
      <c r="X879" s="12"/>
      <c r="Y879" s="9" t="s">
        <v>55</v>
      </c>
      <c r="Z879" s="13"/>
    </row>
    <row r="880" spans="1:26" ht="32.25" hidden="1" customHeight="1">
      <c r="A880" s="8">
        <v>2304483</v>
      </c>
      <c r="B880" s="9" t="s">
        <v>3426</v>
      </c>
      <c r="C880" s="10">
        <v>45136</v>
      </c>
      <c r="D880" s="9" t="s">
        <v>40</v>
      </c>
      <c r="E880" s="9" t="s">
        <v>41</v>
      </c>
      <c r="F880" s="9" t="s">
        <v>42</v>
      </c>
      <c r="G880" s="9" t="s">
        <v>43</v>
      </c>
      <c r="H880" s="9" t="s">
        <v>44</v>
      </c>
      <c r="I880" s="11" t="s">
        <v>45</v>
      </c>
      <c r="J880" s="9" t="s">
        <v>46</v>
      </c>
      <c r="K880" s="9" t="s">
        <v>47</v>
      </c>
      <c r="L880" s="9"/>
      <c r="M880" s="9"/>
      <c r="N880" s="9" t="s">
        <v>50</v>
      </c>
      <c r="O880" s="9" t="s">
        <v>51</v>
      </c>
      <c r="P880" s="9"/>
      <c r="Q880" s="9"/>
      <c r="R880" s="9"/>
      <c r="S880" s="9" t="s">
        <v>3427</v>
      </c>
      <c r="T880" s="9" t="s">
        <v>3428</v>
      </c>
      <c r="U880" s="9" t="s">
        <v>54</v>
      </c>
      <c r="V880" s="9" t="s">
        <v>55</v>
      </c>
      <c r="W880" s="9" t="s">
        <v>55</v>
      </c>
      <c r="X880" s="12"/>
      <c r="Y880" s="9" t="s">
        <v>55</v>
      </c>
      <c r="Z880" s="13"/>
    </row>
    <row r="881" spans="1:26" ht="32.25" hidden="1" customHeight="1">
      <c r="A881" s="8">
        <v>2306828</v>
      </c>
      <c r="B881" s="9" t="s">
        <v>3429</v>
      </c>
      <c r="C881" s="10">
        <v>45136</v>
      </c>
      <c r="D881" s="9" t="s">
        <v>40</v>
      </c>
      <c r="E881" s="9" t="s">
        <v>143</v>
      </c>
      <c r="F881" s="9" t="s">
        <v>42</v>
      </c>
      <c r="G881" s="9" t="s">
        <v>43</v>
      </c>
      <c r="H881" s="9" t="s">
        <v>44</v>
      </c>
      <c r="I881" s="11" t="s">
        <v>219</v>
      </c>
      <c r="J881" s="9" t="s">
        <v>220</v>
      </c>
      <c r="K881" s="9" t="s">
        <v>47</v>
      </c>
      <c r="L881" s="9" t="s">
        <v>156</v>
      </c>
      <c r="M881" s="9"/>
      <c r="N881" s="9" t="s">
        <v>84</v>
      </c>
      <c r="O881" s="9" t="s">
        <v>51</v>
      </c>
      <c r="P881" s="9"/>
      <c r="Q881" s="9"/>
      <c r="R881" s="9"/>
      <c r="S881" s="9" t="s">
        <v>3430</v>
      </c>
      <c r="T881" s="9" t="s">
        <v>3431</v>
      </c>
      <c r="U881" s="9" t="s">
        <v>54</v>
      </c>
      <c r="V881" s="9" t="s">
        <v>55</v>
      </c>
      <c r="W881" s="9" t="s">
        <v>55</v>
      </c>
      <c r="X881" s="12"/>
      <c r="Y881" s="9" t="s">
        <v>55</v>
      </c>
      <c r="Z881" s="13"/>
    </row>
    <row r="882" spans="1:26" ht="32.25" hidden="1" customHeight="1">
      <c r="A882" s="8">
        <v>2309695</v>
      </c>
      <c r="B882" s="9" t="s">
        <v>3432</v>
      </c>
      <c r="C882" s="10">
        <v>45149</v>
      </c>
      <c r="D882" s="9" t="s">
        <v>57</v>
      </c>
      <c r="E882" s="9" t="s">
        <v>41</v>
      </c>
      <c r="F882" s="9" t="s">
        <v>42</v>
      </c>
      <c r="G882" s="9" t="s">
        <v>43</v>
      </c>
      <c r="H882" s="9" t="s">
        <v>58</v>
      </c>
      <c r="I882" s="11" t="s">
        <v>199</v>
      </c>
      <c r="J882" s="9" t="s">
        <v>200</v>
      </c>
      <c r="K882" s="9" t="s">
        <v>47</v>
      </c>
      <c r="L882" s="9" t="s">
        <v>156</v>
      </c>
      <c r="M882" s="9" t="s">
        <v>3433</v>
      </c>
      <c r="N882" s="9" t="s">
        <v>50</v>
      </c>
      <c r="O882" s="9" t="s">
        <v>51</v>
      </c>
      <c r="P882" s="9"/>
      <c r="Q882" s="9"/>
      <c r="R882" s="9"/>
      <c r="S882" s="14" t="s">
        <v>3434</v>
      </c>
      <c r="T882" s="9" t="s">
        <v>3435</v>
      </c>
      <c r="U882" s="9" t="s">
        <v>54</v>
      </c>
      <c r="V882" s="9" t="s">
        <v>55</v>
      </c>
      <c r="W882" s="9" t="s">
        <v>55</v>
      </c>
      <c r="X882" s="12"/>
      <c r="Y882" s="9" t="s">
        <v>55</v>
      </c>
      <c r="Z882" s="13"/>
    </row>
    <row r="883" spans="1:26" ht="32.25" hidden="1" customHeight="1">
      <c r="A883" s="8">
        <v>2315238</v>
      </c>
      <c r="B883" s="9" t="s">
        <v>3436</v>
      </c>
      <c r="C883" s="10">
        <v>45152</v>
      </c>
      <c r="D883" s="9" t="s">
        <v>185</v>
      </c>
      <c r="E883" s="9" t="s">
        <v>41</v>
      </c>
      <c r="F883" s="9" t="s">
        <v>42</v>
      </c>
      <c r="G883" s="9" t="s">
        <v>43</v>
      </c>
      <c r="H883" s="9" t="s">
        <v>44</v>
      </c>
      <c r="I883" s="11" t="s">
        <v>199</v>
      </c>
      <c r="J883" s="9" t="s">
        <v>200</v>
      </c>
      <c r="K883" s="9" t="s">
        <v>416</v>
      </c>
      <c r="L883" s="9" t="s">
        <v>2718</v>
      </c>
      <c r="M883" s="9" t="s">
        <v>2719</v>
      </c>
      <c r="N883" s="9" t="s">
        <v>50</v>
      </c>
      <c r="O883" s="9" t="s">
        <v>187</v>
      </c>
      <c r="P883" s="9"/>
      <c r="Q883" s="9"/>
      <c r="R883" s="9" t="s">
        <v>61</v>
      </c>
      <c r="S883" s="14" t="s">
        <v>3437</v>
      </c>
      <c r="T883" s="9" t="s">
        <v>3438</v>
      </c>
      <c r="U883" s="9" t="s">
        <v>54</v>
      </c>
      <c r="V883" s="9" t="s">
        <v>55</v>
      </c>
      <c r="W883" s="9" t="s">
        <v>55</v>
      </c>
      <c r="X883" s="12" t="s">
        <v>196</v>
      </c>
      <c r="Y883" s="9" t="s">
        <v>197</v>
      </c>
      <c r="Z883" s="13"/>
    </row>
    <row r="884" spans="1:26" ht="32.25" hidden="1" customHeight="1">
      <c r="A884" s="8">
        <v>2308595</v>
      </c>
      <c r="B884" s="9" t="s">
        <v>3439</v>
      </c>
      <c r="C884" s="10">
        <v>45156</v>
      </c>
      <c r="D884" s="9" t="s">
        <v>79</v>
      </c>
      <c r="E884" s="9" t="s">
        <v>68</v>
      </c>
      <c r="F884" s="9" t="s">
        <v>80</v>
      </c>
      <c r="G884" s="9" t="s">
        <v>43</v>
      </c>
      <c r="H884" s="9" t="s">
        <v>44</v>
      </c>
      <c r="I884" s="11" t="s">
        <v>90</v>
      </c>
      <c r="J884" s="9" t="s">
        <v>91</v>
      </c>
      <c r="K884" s="9" t="s">
        <v>110</v>
      </c>
      <c r="L884" s="9"/>
      <c r="M884" s="9"/>
      <c r="N884" s="9" t="s">
        <v>50</v>
      </c>
      <c r="O884" s="9" t="s">
        <v>51</v>
      </c>
      <c r="P884" s="9" t="s">
        <v>273</v>
      </c>
      <c r="Q884" s="9"/>
      <c r="R884" s="9" t="s">
        <v>61</v>
      </c>
      <c r="S884" s="14" t="s">
        <v>3440</v>
      </c>
      <c r="T884" s="9" t="s">
        <v>3441</v>
      </c>
      <c r="U884" s="9" t="s">
        <v>54</v>
      </c>
      <c r="V884" s="9" t="s">
        <v>55</v>
      </c>
      <c r="W884" s="9" t="s">
        <v>55</v>
      </c>
      <c r="X884" s="12" t="s">
        <v>196</v>
      </c>
      <c r="Y884" s="9" t="s">
        <v>197</v>
      </c>
      <c r="Z884" s="13"/>
    </row>
    <row r="885" spans="1:26" ht="32.25" hidden="1" customHeight="1">
      <c r="A885" s="8">
        <v>2304881</v>
      </c>
      <c r="B885" s="9" t="s">
        <v>3442</v>
      </c>
      <c r="C885" s="10">
        <v>45149</v>
      </c>
      <c r="D885" s="9" t="s">
        <v>57</v>
      </c>
      <c r="E885" s="9" t="s">
        <v>41</v>
      </c>
      <c r="F885" s="9" t="s">
        <v>42</v>
      </c>
      <c r="G885" s="9" t="s">
        <v>43</v>
      </c>
      <c r="H885" s="9" t="s">
        <v>58</v>
      </c>
      <c r="I885" s="11" t="s">
        <v>129</v>
      </c>
      <c r="J885" s="9" t="s">
        <v>130</v>
      </c>
      <c r="K885" s="9" t="s">
        <v>47</v>
      </c>
      <c r="L885" s="9" t="s">
        <v>48</v>
      </c>
      <c r="M885" s="9" t="s">
        <v>1943</v>
      </c>
      <c r="N885" s="9" t="s">
        <v>50</v>
      </c>
      <c r="O885" s="9" t="s">
        <v>51</v>
      </c>
      <c r="P885" s="9"/>
      <c r="Q885" s="9"/>
      <c r="R885" s="9"/>
      <c r="S885" s="14" t="s">
        <v>3443</v>
      </c>
      <c r="T885" s="9" t="s">
        <v>3444</v>
      </c>
      <c r="U885" s="9" t="s">
        <v>54</v>
      </c>
      <c r="V885" s="9" t="s">
        <v>55</v>
      </c>
      <c r="W885" s="9" t="s">
        <v>55</v>
      </c>
      <c r="X885" s="12"/>
      <c r="Y885" s="9" t="s">
        <v>55</v>
      </c>
      <c r="Z885" s="13"/>
    </row>
    <row r="886" spans="1:26" ht="32.25" hidden="1" customHeight="1">
      <c r="A886" s="8">
        <v>2300346</v>
      </c>
      <c r="B886" s="9" t="s">
        <v>3445</v>
      </c>
      <c r="C886" s="10">
        <v>45142</v>
      </c>
      <c r="D886" s="9" t="s">
        <v>232</v>
      </c>
      <c r="E886" s="9" t="s">
        <v>143</v>
      </c>
      <c r="F886" s="9" t="s">
        <v>80</v>
      </c>
      <c r="G886" s="9" t="s">
        <v>43</v>
      </c>
      <c r="H886" s="9" t="s">
        <v>44</v>
      </c>
      <c r="I886" s="11" t="s">
        <v>326</v>
      </c>
      <c r="J886" s="9" t="s">
        <v>327</v>
      </c>
      <c r="K886" s="9" t="s">
        <v>271</v>
      </c>
      <c r="L886" s="9"/>
      <c r="M886" s="9" t="s">
        <v>3446</v>
      </c>
      <c r="N886" s="9" t="s">
        <v>50</v>
      </c>
      <c r="O886" s="9" t="s">
        <v>187</v>
      </c>
      <c r="P886" s="9" t="s">
        <v>522</v>
      </c>
      <c r="Q886" s="9"/>
      <c r="R886" s="9" t="s">
        <v>61</v>
      </c>
      <c r="S886" s="9" t="s">
        <v>3447</v>
      </c>
      <c r="T886" s="9" t="s">
        <v>3448</v>
      </c>
      <c r="U886" s="9" t="s">
        <v>54</v>
      </c>
      <c r="V886" s="9" t="s">
        <v>525</v>
      </c>
      <c r="W886" s="9" t="s">
        <v>55</v>
      </c>
      <c r="X886" s="12" t="s">
        <v>150</v>
      </c>
      <c r="Y886" s="9" t="s">
        <v>151</v>
      </c>
      <c r="Z886" s="13" t="s">
        <v>240</v>
      </c>
    </row>
    <row r="887" spans="1:26" ht="32.25" hidden="1" customHeight="1">
      <c r="A887" s="8">
        <v>2312985</v>
      </c>
      <c r="B887" s="9" t="s">
        <v>3449</v>
      </c>
      <c r="C887" s="10">
        <v>45149</v>
      </c>
      <c r="D887" s="9" t="s">
        <v>261</v>
      </c>
      <c r="E887" s="9" t="s">
        <v>143</v>
      </c>
      <c r="F887" s="9" t="s">
        <v>262</v>
      </c>
      <c r="G887" s="9" t="s">
        <v>43</v>
      </c>
      <c r="H887" s="9" t="s">
        <v>44</v>
      </c>
      <c r="I887" s="11" t="s">
        <v>1620</v>
      </c>
      <c r="J887" s="9" t="s">
        <v>1621</v>
      </c>
      <c r="K887" s="9" t="s">
        <v>47</v>
      </c>
      <c r="L887" s="9" t="s">
        <v>167</v>
      </c>
      <c r="M887" s="9" t="s">
        <v>168</v>
      </c>
      <c r="N887" s="9" t="s">
        <v>50</v>
      </c>
      <c r="O887" s="9" t="s">
        <v>51</v>
      </c>
      <c r="P887" s="9"/>
      <c r="Q887" s="9"/>
      <c r="R887" s="9" t="s">
        <v>61</v>
      </c>
      <c r="S887" s="14" t="s">
        <v>3450</v>
      </c>
      <c r="T887" s="9" t="s">
        <v>3451</v>
      </c>
      <c r="U887" s="9" t="s">
        <v>262</v>
      </c>
      <c r="V887" s="9" t="s">
        <v>1916</v>
      </c>
      <c r="W887" s="9" t="s">
        <v>115</v>
      </c>
      <c r="X887" s="12" t="s">
        <v>389</v>
      </c>
      <c r="Y887" s="9" t="s">
        <v>390</v>
      </c>
      <c r="Z887" s="13"/>
    </row>
    <row r="888" spans="1:26" ht="32.25" hidden="1" customHeight="1">
      <c r="A888" s="8">
        <v>2311580</v>
      </c>
      <c r="B888" s="9" t="s">
        <v>3452</v>
      </c>
      <c r="C888" s="10">
        <v>45149</v>
      </c>
      <c r="D888" s="9" t="s">
        <v>57</v>
      </c>
      <c r="E888" s="9" t="s">
        <v>41</v>
      </c>
      <c r="F888" s="9" t="s">
        <v>42</v>
      </c>
      <c r="G888" s="9" t="s">
        <v>43</v>
      </c>
      <c r="H888" s="9" t="s">
        <v>58</v>
      </c>
      <c r="I888" s="11" t="s">
        <v>199</v>
      </c>
      <c r="J888" s="9" t="s">
        <v>200</v>
      </c>
      <c r="K888" s="9" t="s">
        <v>47</v>
      </c>
      <c r="L888" s="9" t="s">
        <v>598</v>
      </c>
      <c r="M888" s="9" t="s">
        <v>1720</v>
      </c>
      <c r="N888" s="9" t="s">
        <v>50</v>
      </c>
      <c r="O888" s="9" t="s">
        <v>51</v>
      </c>
      <c r="P888" s="9"/>
      <c r="Q888" s="9"/>
      <c r="R888" s="9" t="s">
        <v>61</v>
      </c>
      <c r="S888" s="14" t="s">
        <v>3453</v>
      </c>
      <c r="T888" s="9" t="s">
        <v>3454</v>
      </c>
      <c r="U888" s="9" t="s">
        <v>54</v>
      </c>
      <c r="V888" s="9" t="s">
        <v>55</v>
      </c>
      <c r="W888" s="9" t="s">
        <v>55</v>
      </c>
      <c r="X888" s="12" t="s">
        <v>196</v>
      </c>
      <c r="Y888" s="9" t="s">
        <v>197</v>
      </c>
      <c r="Z888" s="13"/>
    </row>
    <row r="889" spans="1:26" ht="32.25" hidden="1" customHeight="1">
      <c r="A889" s="8">
        <v>2308935</v>
      </c>
      <c r="B889" s="9" t="s">
        <v>3455</v>
      </c>
      <c r="C889" s="10">
        <v>45136</v>
      </c>
      <c r="D889" s="9" t="s">
        <v>40</v>
      </c>
      <c r="E889" s="9" t="s">
        <v>41</v>
      </c>
      <c r="F889" s="9" t="s">
        <v>42</v>
      </c>
      <c r="G889" s="9" t="s">
        <v>43</v>
      </c>
      <c r="H889" s="9" t="s">
        <v>44</v>
      </c>
      <c r="I889" s="11" t="s">
        <v>661</v>
      </c>
      <c r="J889" s="9" t="s">
        <v>662</v>
      </c>
      <c r="K889" s="9" t="s">
        <v>47</v>
      </c>
      <c r="L889" s="9" t="s">
        <v>586</v>
      </c>
      <c r="M889" s="9" t="s">
        <v>918</v>
      </c>
      <c r="N889" s="9" t="s">
        <v>50</v>
      </c>
      <c r="O889" s="9" t="s">
        <v>51</v>
      </c>
      <c r="P889" s="9"/>
      <c r="Q889" s="9"/>
      <c r="R889" s="9"/>
      <c r="S889" s="9" t="s">
        <v>3456</v>
      </c>
      <c r="T889" s="9" t="s">
        <v>3457</v>
      </c>
      <c r="U889" s="9" t="s">
        <v>54</v>
      </c>
      <c r="V889" s="9" t="s">
        <v>55</v>
      </c>
      <c r="W889" s="9" t="s">
        <v>55</v>
      </c>
      <c r="X889" s="12"/>
      <c r="Y889" s="9" t="s">
        <v>55</v>
      </c>
      <c r="Z889" s="13"/>
    </row>
    <row r="890" spans="1:26" ht="32.25" hidden="1" customHeight="1">
      <c r="A890" s="8">
        <v>2310476</v>
      </c>
      <c r="B890" s="9" t="s">
        <v>3458</v>
      </c>
      <c r="C890" s="10">
        <v>45149</v>
      </c>
      <c r="D890" s="9" t="s">
        <v>57</v>
      </c>
      <c r="E890" s="9" t="s">
        <v>41</v>
      </c>
      <c r="F890" s="9" t="s">
        <v>42</v>
      </c>
      <c r="G890" s="9" t="s">
        <v>43</v>
      </c>
      <c r="H890" s="9" t="s">
        <v>58</v>
      </c>
      <c r="I890" s="11" t="s">
        <v>129</v>
      </c>
      <c r="J890" s="9" t="s">
        <v>130</v>
      </c>
      <c r="K890" s="9" t="s">
        <v>47</v>
      </c>
      <c r="L890" s="9" t="s">
        <v>48</v>
      </c>
      <c r="M890" s="9" t="s">
        <v>3459</v>
      </c>
      <c r="N890" s="9" t="s">
        <v>50</v>
      </c>
      <c r="O890" s="9" t="s">
        <v>51</v>
      </c>
      <c r="P890" s="9"/>
      <c r="Q890" s="9"/>
      <c r="R890" s="9"/>
      <c r="S890" s="14" t="s">
        <v>3460</v>
      </c>
      <c r="T890" s="9" t="s">
        <v>3461</v>
      </c>
      <c r="U890" s="9" t="s">
        <v>54</v>
      </c>
      <c r="V890" s="9"/>
      <c r="W890" s="9" t="s">
        <v>55</v>
      </c>
      <c r="X890" s="12"/>
      <c r="Y890" s="9" t="s">
        <v>55</v>
      </c>
      <c r="Z890" s="13"/>
    </row>
    <row r="891" spans="1:26" ht="32.25" hidden="1" customHeight="1">
      <c r="A891" s="8">
        <v>2314357</v>
      </c>
      <c r="B891" s="9" t="s">
        <v>3462</v>
      </c>
      <c r="C891" s="10">
        <v>45156</v>
      </c>
      <c r="D891" s="9" t="s">
        <v>79</v>
      </c>
      <c r="E891" s="9" t="s">
        <v>89</v>
      </c>
      <c r="F891" s="9" t="s">
        <v>80</v>
      </c>
      <c r="G891" s="9" t="s">
        <v>43</v>
      </c>
      <c r="H891" s="9" t="s">
        <v>44</v>
      </c>
      <c r="I891" s="11" t="s">
        <v>101</v>
      </c>
      <c r="J891" s="9" t="s">
        <v>102</v>
      </c>
      <c r="K891" s="9" t="s">
        <v>47</v>
      </c>
      <c r="L891" s="9" t="s">
        <v>777</v>
      </c>
      <c r="M891" s="9"/>
      <c r="N891" s="9" t="s">
        <v>50</v>
      </c>
      <c r="O891" s="9" t="s">
        <v>51</v>
      </c>
      <c r="P891" s="9" t="s">
        <v>715</v>
      </c>
      <c r="Q891" s="9"/>
      <c r="R891" s="9"/>
      <c r="S891" s="14" t="s">
        <v>3463</v>
      </c>
      <c r="T891" s="9" t="s">
        <v>3464</v>
      </c>
      <c r="U891" s="9" t="s">
        <v>54</v>
      </c>
      <c r="V891" s="9" t="s">
        <v>55</v>
      </c>
      <c r="W891" s="9" t="s">
        <v>55</v>
      </c>
      <c r="X891" s="12"/>
      <c r="Y891" s="9" t="s">
        <v>55</v>
      </c>
      <c r="Z891" s="13"/>
    </row>
    <row r="892" spans="1:26" ht="32.25" hidden="1" customHeight="1">
      <c r="A892" s="8">
        <v>2302546</v>
      </c>
      <c r="B892" s="9" t="s">
        <v>3465</v>
      </c>
      <c r="C892" s="10">
        <v>45156</v>
      </c>
      <c r="D892" s="9" t="s">
        <v>79</v>
      </c>
      <c r="E892" s="9" t="s">
        <v>89</v>
      </c>
      <c r="F892" s="9" t="s">
        <v>80</v>
      </c>
      <c r="G892" s="9" t="s">
        <v>43</v>
      </c>
      <c r="H892" s="9" t="s">
        <v>44</v>
      </c>
      <c r="I892" s="11" t="s">
        <v>101</v>
      </c>
      <c r="J892" s="9" t="s">
        <v>102</v>
      </c>
      <c r="K892" s="9" t="s">
        <v>47</v>
      </c>
      <c r="L892" s="9" t="s">
        <v>138</v>
      </c>
      <c r="M892" s="9" t="s">
        <v>624</v>
      </c>
      <c r="N892" s="9" t="s">
        <v>50</v>
      </c>
      <c r="O892" s="9" t="s">
        <v>51</v>
      </c>
      <c r="P892" s="9" t="s">
        <v>125</v>
      </c>
      <c r="Q892" s="9"/>
      <c r="R892" s="9" t="s">
        <v>61</v>
      </c>
      <c r="S892" s="14" t="s">
        <v>3466</v>
      </c>
      <c r="T892" s="9" t="s">
        <v>3467</v>
      </c>
      <c r="U892" s="9" t="s">
        <v>54</v>
      </c>
      <c r="V892" s="9" t="s">
        <v>711</v>
      </c>
      <c r="W892" s="9" t="s">
        <v>115</v>
      </c>
      <c r="X892" s="12" t="s">
        <v>98</v>
      </c>
      <c r="Y892" s="9" t="s">
        <v>99</v>
      </c>
      <c r="Z892" s="13"/>
    </row>
    <row r="893" spans="1:26" ht="32.25" hidden="1" customHeight="1">
      <c r="A893" s="8">
        <v>2312120</v>
      </c>
      <c r="B893" s="9" t="s">
        <v>3468</v>
      </c>
      <c r="C893" s="10">
        <v>45156</v>
      </c>
      <c r="D893" s="9" t="s">
        <v>79</v>
      </c>
      <c r="E893" s="9" t="s">
        <v>41</v>
      </c>
      <c r="F893" s="9" t="s">
        <v>80</v>
      </c>
      <c r="G893" s="9" t="s">
        <v>43</v>
      </c>
      <c r="H893" s="9" t="s">
        <v>44</v>
      </c>
      <c r="I893" s="11" t="s">
        <v>478</v>
      </c>
      <c r="J893" s="9" t="s">
        <v>479</v>
      </c>
      <c r="K893" s="9" t="s">
        <v>47</v>
      </c>
      <c r="L893" s="9" t="s">
        <v>480</v>
      </c>
      <c r="M893" s="9" t="s">
        <v>3469</v>
      </c>
      <c r="N893" s="9" t="s">
        <v>50</v>
      </c>
      <c r="O893" s="9" t="s">
        <v>51</v>
      </c>
      <c r="P893" s="9" t="s">
        <v>482</v>
      </c>
      <c r="Q893" s="9"/>
      <c r="R893" s="9" t="s">
        <v>61</v>
      </c>
      <c r="S893" s="14" t="s">
        <v>3470</v>
      </c>
      <c r="T893" s="9" t="s">
        <v>3471</v>
      </c>
      <c r="U893" s="9" t="s">
        <v>54</v>
      </c>
      <c r="V893" s="9" t="s">
        <v>331</v>
      </c>
      <c r="W893" s="9" t="s">
        <v>115</v>
      </c>
      <c r="X893" s="9" t="s">
        <v>64</v>
      </c>
      <c r="Y893" s="9" t="s">
        <v>65</v>
      </c>
      <c r="Z893" s="13"/>
    </row>
    <row r="894" spans="1:26" ht="32.25" hidden="1" customHeight="1">
      <c r="A894" s="8">
        <v>2305817</v>
      </c>
      <c r="B894" s="9" t="s">
        <v>3472</v>
      </c>
      <c r="C894" s="10">
        <v>45156</v>
      </c>
      <c r="D894" s="9" t="s">
        <v>79</v>
      </c>
      <c r="E894" s="9" t="s">
        <v>143</v>
      </c>
      <c r="F894" s="9" t="s">
        <v>80</v>
      </c>
      <c r="G894" s="9" t="s">
        <v>43</v>
      </c>
      <c r="H894" s="9" t="s">
        <v>44</v>
      </c>
      <c r="I894" s="11" t="s">
        <v>326</v>
      </c>
      <c r="J894" s="9" t="s">
        <v>327</v>
      </c>
      <c r="K894" s="9" t="s">
        <v>47</v>
      </c>
      <c r="L894" s="9" t="s">
        <v>799</v>
      </c>
      <c r="M894" s="9" t="s">
        <v>1490</v>
      </c>
      <c r="N894" s="9" t="s">
        <v>84</v>
      </c>
      <c r="O894" s="9" t="s">
        <v>51</v>
      </c>
      <c r="P894" s="9" t="s">
        <v>1238</v>
      </c>
      <c r="Q894" s="9"/>
      <c r="R894" s="9" t="s">
        <v>61</v>
      </c>
      <c r="S894" s="14" t="s">
        <v>3473</v>
      </c>
      <c r="T894" s="9" t="s">
        <v>3474</v>
      </c>
      <c r="U894" s="9" t="s">
        <v>54</v>
      </c>
      <c r="V894" s="9" t="s">
        <v>370</v>
      </c>
      <c r="W894" s="9" t="s">
        <v>55</v>
      </c>
      <c r="X894" s="12" t="s">
        <v>150</v>
      </c>
      <c r="Y894" s="9" t="s">
        <v>151</v>
      </c>
      <c r="Z894" s="13"/>
    </row>
    <row r="895" spans="1:26" ht="32.25" hidden="1" customHeight="1">
      <c r="A895" s="8">
        <v>2300584</v>
      </c>
      <c r="B895" s="9" t="s">
        <v>3475</v>
      </c>
      <c r="C895" s="10">
        <v>45142</v>
      </c>
      <c r="D895" s="9" t="s">
        <v>67</v>
      </c>
      <c r="E895" s="9" t="s">
        <v>68</v>
      </c>
      <c r="F895" s="9" t="s">
        <v>135</v>
      </c>
      <c r="G895" s="9" t="s">
        <v>43</v>
      </c>
      <c r="H895" s="9" t="s">
        <v>44</v>
      </c>
      <c r="I895" s="11" t="s">
        <v>136</v>
      </c>
      <c r="J895" s="9" t="s">
        <v>137</v>
      </c>
      <c r="K895" s="9" t="s">
        <v>47</v>
      </c>
      <c r="L895" s="9" t="s">
        <v>156</v>
      </c>
      <c r="M895" s="9"/>
      <c r="N895" s="9" t="s">
        <v>84</v>
      </c>
      <c r="O895" s="9" t="s">
        <v>51</v>
      </c>
      <c r="P895" s="9"/>
      <c r="Q895" s="9"/>
      <c r="R895" s="9"/>
      <c r="S895" s="9" t="s">
        <v>3476</v>
      </c>
      <c r="T895" s="9" t="s">
        <v>3477</v>
      </c>
      <c r="U895" s="9" t="s">
        <v>54</v>
      </c>
      <c r="V895" s="9" t="s">
        <v>55</v>
      </c>
      <c r="W895" s="9" t="s">
        <v>55</v>
      </c>
      <c r="X895" s="12"/>
      <c r="Y895" s="9" t="s">
        <v>55</v>
      </c>
      <c r="Z895" s="13"/>
    </row>
    <row r="896" spans="1:26" ht="32.25" hidden="1" customHeight="1">
      <c r="A896" s="8">
        <v>2315485</v>
      </c>
      <c r="B896" s="9" t="s">
        <v>3475</v>
      </c>
      <c r="C896" s="10">
        <v>45149</v>
      </c>
      <c r="D896" s="9" t="s">
        <v>57</v>
      </c>
      <c r="E896" s="9" t="s">
        <v>41</v>
      </c>
      <c r="F896" s="9" t="s">
        <v>42</v>
      </c>
      <c r="G896" s="9" t="s">
        <v>43</v>
      </c>
      <c r="H896" s="9" t="s">
        <v>58</v>
      </c>
      <c r="I896" s="11" t="s">
        <v>199</v>
      </c>
      <c r="J896" s="9" t="s">
        <v>200</v>
      </c>
      <c r="K896" s="9" t="s">
        <v>47</v>
      </c>
      <c r="L896" s="9" t="s">
        <v>156</v>
      </c>
      <c r="M896" s="9"/>
      <c r="N896" s="9" t="s">
        <v>84</v>
      </c>
      <c r="O896" s="9" t="s">
        <v>51</v>
      </c>
      <c r="P896" s="9"/>
      <c r="Q896" s="9"/>
      <c r="R896" s="9"/>
      <c r="S896" s="14" t="s">
        <v>3476</v>
      </c>
      <c r="T896" s="9" t="s">
        <v>3477</v>
      </c>
      <c r="U896" s="9" t="s">
        <v>54</v>
      </c>
      <c r="V896" s="9" t="s">
        <v>55</v>
      </c>
      <c r="W896" s="9" t="s">
        <v>55</v>
      </c>
      <c r="X896" s="12"/>
      <c r="Y896" s="9" t="s">
        <v>55</v>
      </c>
      <c r="Z896" s="13"/>
    </row>
    <row r="897" spans="1:26" ht="32.25" hidden="1" customHeight="1">
      <c r="A897" s="8">
        <v>2310337</v>
      </c>
      <c r="B897" s="9" t="s">
        <v>3478</v>
      </c>
      <c r="C897" s="10">
        <v>45156</v>
      </c>
      <c r="D897" s="9" t="s">
        <v>79</v>
      </c>
      <c r="E897" s="9" t="s">
        <v>89</v>
      </c>
      <c r="F897" s="9" t="s">
        <v>80</v>
      </c>
      <c r="G897" s="9" t="s">
        <v>43</v>
      </c>
      <c r="H897" s="9" t="s">
        <v>44</v>
      </c>
      <c r="I897" s="11" t="s">
        <v>365</v>
      </c>
      <c r="J897" s="9" t="s">
        <v>366</v>
      </c>
      <c r="K897" s="9" t="s">
        <v>416</v>
      </c>
      <c r="L897" s="9"/>
      <c r="M897" s="9"/>
      <c r="N897" s="9" t="s">
        <v>84</v>
      </c>
      <c r="O897" s="9" t="s">
        <v>51</v>
      </c>
      <c r="P897" s="9" t="s">
        <v>367</v>
      </c>
      <c r="Q897" s="9"/>
      <c r="R897" s="9" t="s">
        <v>61</v>
      </c>
      <c r="S897" s="14" t="s">
        <v>3479</v>
      </c>
      <c r="T897" s="9" t="s">
        <v>3480</v>
      </c>
      <c r="U897" s="9" t="s">
        <v>54</v>
      </c>
      <c r="V897" s="9" t="s">
        <v>331</v>
      </c>
      <c r="W897" s="9" t="s">
        <v>115</v>
      </c>
      <c r="X897" s="9" t="s">
        <v>64</v>
      </c>
      <c r="Y897" s="9" t="s">
        <v>65</v>
      </c>
      <c r="Z897" s="13"/>
    </row>
    <row r="898" spans="1:26" ht="32.25" hidden="1" customHeight="1">
      <c r="A898" s="8">
        <v>2307081</v>
      </c>
      <c r="B898" s="9" t="s">
        <v>3481</v>
      </c>
      <c r="C898" s="10">
        <v>45142</v>
      </c>
      <c r="D898" s="9" t="s">
        <v>67</v>
      </c>
      <c r="E898" s="9" t="s">
        <v>143</v>
      </c>
      <c r="F898" s="9" t="s">
        <v>42</v>
      </c>
      <c r="G898" s="9" t="s">
        <v>43</v>
      </c>
      <c r="H898" s="9" t="s">
        <v>44</v>
      </c>
      <c r="I898" s="11" t="s">
        <v>219</v>
      </c>
      <c r="J898" s="9" t="s">
        <v>220</v>
      </c>
      <c r="K898" s="9" t="s">
        <v>47</v>
      </c>
      <c r="L898" s="9" t="s">
        <v>480</v>
      </c>
      <c r="M898" s="9" t="s">
        <v>481</v>
      </c>
      <c r="N898" s="9" t="s">
        <v>84</v>
      </c>
      <c r="O898" s="9" t="s">
        <v>51</v>
      </c>
      <c r="P898" s="9"/>
      <c r="Q898" s="9"/>
      <c r="R898" s="9" t="s">
        <v>61</v>
      </c>
      <c r="S898" s="9" t="s">
        <v>3482</v>
      </c>
      <c r="T898" s="9" t="s">
        <v>3483</v>
      </c>
      <c r="U898" s="9" t="s">
        <v>54</v>
      </c>
      <c r="V898" s="9" t="s">
        <v>55</v>
      </c>
      <c r="W898" s="9" t="s">
        <v>55</v>
      </c>
      <c r="X898" s="12" t="s">
        <v>319</v>
      </c>
      <c r="Y898" s="9" t="s">
        <v>320</v>
      </c>
      <c r="Z898" s="13" t="s">
        <v>3484</v>
      </c>
    </row>
    <row r="899" spans="1:26" ht="32.25" hidden="1" customHeight="1">
      <c r="A899" s="8">
        <v>2311025</v>
      </c>
      <c r="B899" s="9" t="s">
        <v>3485</v>
      </c>
      <c r="C899" s="10">
        <v>45156</v>
      </c>
      <c r="D899" s="9" t="s">
        <v>565</v>
      </c>
      <c r="E899" s="9" t="s">
        <v>41</v>
      </c>
      <c r="F899" s="9" t="s">
        <v>42</v>
      </c>
      <c r="G899" s="9" t="s">
        <v>43</v>
      </c>
      <c r="H899" s="9" t="s">
        <v>58</v>
      </c>
      <c r="I899" s="11" t="s">
        <v>661</v>
      </c>
      <c r="J899" s="9" t="s">
        <v>662</v>
      </c>
      <c r="K899" s="9" t="s">
        <v>47</v>
      </c>
      <c r="L899" s="9" t="s">
        <v>480</v>
      </c>
      <c r="M899" s="9" t="s">
        <v>3469</v>
      </c>
      <c r="N899" s="9" t="s">
        <v>84</v>
      </c>
      <c r="O899" s="9" t="s">
        <v>51</v>
      </c>
      <c r="P899" s="9"/>
      <c r="Q899" s="9"/>
      <c r="R899" s="9" t="s">
        <v>61</v>
      </c>
      <c r="S899" s="14" t="s">
        <v>3486</v>
      </c>
      <c r="T899" s="9" t="s">
        <v>3487</v>
      </c>
      <c r="U899" s="9" t="s">
        <v>54</v>
      </c>
      <c r="V899" s="9" t="s">
        <v>55</v>
      </c>
      <c r="W899" s="9" t="s">
        <v>55</v>
      </c>
      <c r="X899" s="9" t="s">
        <v>64</v>
      </c>
      <c r="Y899" s="9" t="s">
        <v>65</v>
      </c>
      <c r="Z899" s="13"/>
    </row>
    <row r="900" spans="1:26" ht="32.25" hidden="1" customHeight="1">
      <c r="A900" s="8">
        <v>2307615</v>
      </c>
      <c r="B900" s="9" t="s">
        <v>3488</v>
      </c>
      <c r="C900" s="10">
        <v>45149</v>
      </c>
      <c r="D900" s="9" t="s">
        <v>57</v>
      </c>
      <c r="E900" s="9" t="s">
        <v>153</v>
      </c>
      <c r="F900" s="9" t="s">
        <v>42</v>
      </c>
      <c r="G900" s="9" t="s">
        <v>43</v>
      </c>
      <c r="H900" s="9" t="s">
        <v>58</v>
      </c>
      <c r="I900" s="11" t="s">
        <v>154</v>
      </c>
      <c r="J900" s="9" t="s">
        <v>155</v>
      </c>
      <c r="K900" s="9" t="s">
        <v>47</v>
      </c>
      <c r="L900" s="9" t="s">
        <v>2602</v>
      </c>
      <c r="M900" s="9" t="s">
        <v>2661</v>
      </c>
      <c r="N900" s="9" t="s">
        <v>84</v>
      </c>
      <c r="O900" s="9" t="s">
        <v>51</v>
      </c>
      <c r="P900" s="9"/>
      <c r="Q900" s="9"/>
      <c r="R900" s="9" t="s">
        <v>61</v>
      </c>
      <c r="S900" s="14" t="s">
        <v>3489</v>
      </c>
      <c r="T900" s="9" t="s">
        <v>3490</v>
      </c>
      <c r="U900" s="9" t="s">
        <v>54</v>
      </c>
      <c r="V900" s="9" t="s">
        <v>55</v>
      </c>
      <c r="W900" s="9" t="s">
        <v>55</v>
      </c>
      <c r="X900" s="12" t="s">
        <v>171</v>
      </c>
      <c r="Y900" s="9" t="s">
        <v>172</v>
      </c>
      <c r="Z900" s="13"/>
    </row>
    <row r="901" spans="1:26" ht="32.25" hidden="1" customHeight="1">
      <c r="A901" s="8">
        <v>2311807</v>
      </c>
      <c r="B901" s="9" t="s">
        <v>3491</v>
      </c>
      <c r="C901" s="10">
        <v>45149</v>
      </c>
      <c r="D901" s="9" t="s">
        <v>57</v>
      </c>
      <c r="E901" s="9" t="s">
        <v>295</v>
      </c>
      <c r="F901" s="9" t="s">
        <v>42</v>
      </c>
      <c r="G901" s="9" t="s">
        <v>43</v>
      </c>
      <c r="H901" s="9" t="s">
        <v>58</v>
      </c>
      <c r="I901" s="11" t="s">
        <v>406</v>
      </c>
      <c r="J901" s="9" t="s">
        <v>407</v>
      </c>
      <c r="K901" s="9" t="s">
        <v>47</v>
      </c>
      <c r="L901" s="9" t="s">
        <v>574</v>
      </c>
      <c r="M901" s="9" t="s">
        <v>617</v>
      </c>
      <c r="N901" s="9" t="s">
        <v>84</v>
      </c>
      <c r="O901" s="9" t="s">
        <v>51</v>
      </c>
      <c r="P901" s="9"/>
      <c r="Q901" s="9"/>
      <c r="R901" s="9" t="s">
        <v>61</v>
      </c>
      <c r="S901" s="14" t="s">
        <v>3492</v>
      </c>
      <c r="T901" s="9" t="s">
        <v>3493</v>
      </c>
      <c r="U901" s="9" t="s">
        <v>54</v>
      </c>
      <c r="V901" s="9" t="s">
        <v>55</v>
      </c>
      <c r="W901" s="9" t="s">
        <v>55</v>
      </c>
      <c r="X901" s="9" t="s">
        <v>319</v>
      </c>
      <c r="Y901" s="9" t="s">
        <v>320</v>
      </c>
      <c r="Z901" s="13"/>
    </row>
    <row r="902" spans="1:26" ht="32.25" hidden="1" customHeight="1">
      <c r="A902" s="8">
        <v>2305148</v>
      </c>
      <c r="B902" s="9" t="s">
        <v>3494</v>
      </c>
      <c r="C902" s="10">
        <v>45142</v>
      </c>
      <c r="D902" s="9" t="s">
        <v>67</v>
      </c>
      <c r="E902" s="9" t="s">
        <v>41</v>
      </c>
      <c r="F902" s="9" t="s">
        <v>42</v>
      </c>
      <c r="G902" s="9" t="s">
        <v>43</v>
      </c>
      <c r="H902" s="9" t="s">
        <v>44</v>
      </c>
      <c r="I902" s="11" t="s">
        <v>661</v>
      </c>
      <c r="J902" s="9" t="s">
        <v>662</v>
      </c>
      <c r="K902" s="9" t="s">
        <v>47</v>
      </c>
      <c r="L902" s="9" t="s">
        <v>156</v>
      </c>
      <c r="M902" s="9"/>
      <c r="N902" s="9" t="s">
        <v>84</v>
      </c>
      <c r="O902" s="9" t="s">
        <v>51</v>
      </c>
      <c r="P902" s="9"/>
      <c r="Q902" s="9"/>
      <c r="R902" s="9"/>
      <c r="S902" s="9" t="s">
        <v>3495</v>
      </c>
      <c r="T902" s="9" t="s">
        <v>3496</v>
      </c>
      <c r="U902" s="9" t="s">
        <v>54</v>
      </c>
      <c r="V902" s="9" t="s">
        <v>55</v>
      </c>
      <c r="W902" s="9" t="s">
        <v>55</v>
      </c>
      <c r="X902" s="12"/>
      <c r="Y902" s="9" t="s">
        <v>55</v>
      </c>
      <c r="Z902" s="13"/>
    </row>
    <row r="903" spans="1:26" ht="32.25" hidden="1" customHeight="1">
      <c r="A903" s="8">
        <v>2303911</v>
      </c>
      <c r="B903" s="9" t="s">
        <v>3497</v>
      </c>
      <c r="C903" s="10">
        <v>45156</v>
      </c>
      <c r="D903" s="9" t="s">
        <v>79</v>
      </c>
      <c r="E903" s="9" t="s">
        <v>143</v>
      </c>
      <c r="F903" s="9" t="s">
        <v>80</v>
      </c>
      <c r="G903" s="9" t="s">
        <v>43</v>
      </c>
      <c r="H903" s="9" t="s">
        <v>44</v>
      </c>
      <c r="I903" s="11" t="s">
        <v>326</v>
      </c>
      <c r="J903" s="9" t="s">
        <v>327</v>
      </c>
      <c r="K903" s="9" t="s">
        <v>47</v>
      </c>
      <c r="L903" s="9" t="s">
        <v>48</v>
      </c>
      <c r="M903" s="9" t="s">
        <v>1366</v>
      </c>
      <c r="N903" s="9" t="s">
        <v>84</v>
      </c>
      <c r="O903" s="9" t="s">
        <v>51</v>
      </c>
      <c r="P903" s="9" t="s">
        <v>1143</v>
      </c>
      <c r="Q903" s="9"/>
      <c r="R903" s="9" t="s">
        <v>61</v>
      </c>
      <c r="S903" s="14" t="s">
        <v>3498</v>
      </c>
      <c r="T903" s="9" t="s">
        <v>3499</v>
      </c>
      <c r="U903" s="9" t="s">
        <v>54</v>
      </c>
      <c r="V903" s="9" t="s">
        <v>370</v>
      </c>
      <c r="W903" s="9" t="s">
        <v>115</v>
      </c>
      <c r="X903" s="12" t="s">
        <v>150</v>
      </c>
      <c r="Y903" s="9" t="s">
        <v>151</v>
      </c>
      <c r="Z903" s="13"/>
    </row>
    <row r="904" spans="1:26" ht="32.25" hidden="1" customHeight="1">
      <c r="A904" s="8">
        <v>2307574</v>
      </c>
      <c r="B904" s="9" t="s">
        <v>3500</v>
      </c>
      <c r="C904" s="10">
        <v>45156</v>
      </c>
      <c r="D904" s="9" t="s">
        <v>79</v>
      </c>
      <c r="E904" s="9" t="s">
        <v>143</v>
      </c>
      <c r="F904" s="9" t="s">
        <v>80</v>
      </c>
      <c r="G904" s="9" t="s">
        <v>43</v>
      </c>
      <c r="H904" s="9" t="s">
        <v>44</v>
      </c>
      <c r="I904" s="11" t="s">
        <v>326</v>
      </c>
      <c r="J904" s="9" t="s">
        <v>327</v>
      </c>
      <c r="K904" s="9" t="s">
        <v>47</v>
      </c>
      <c r="L904" s="9" t="s">
        <v>349</v>
      </c>
      <c r="M904" s="9" t="s">
        <v>1222</v>
      </c>
      <c r="N904" s="9" t="s">
        <v>84</v>
      </c>
      <c r="O904" s="9" t="s">
        <v>51</v>
      </c>
      <c r="P904" s="9" t="s">
        <v>1117</v>
      </c>
      <c r="Q904" s="9"/>
      <c r="R904" s="9" t="s">
        <v>61</v>
      </c>
      <c r="S904" s="14" t="s">
        <v>3501</v>
      </c>
      <c r="T904" s="9" t="s">
        <v>3502</v>
      </c>
      <c r="U904" s="9" t="s">
        <v>54</v>
      </c>
      <c r="V904" s="9" t="s">
        <v>251</v>
      </c>
      <c r="W904" s="9" t="s">
        <v>115</v>
      </c>
      <c r="X904" s="12" t="s">
        <v>389</v>
      </c>
      <c r="Y904" s="9" t="s">
        <v>390</v>
      </c>
      <c r="Z904" s="13" t="s">
        <v>1399</v>
      </c>
    </row>
    <row r="905" spans="1:26" ht="32.25" hidden="1" customHeight="1">
      <c r="A905" s="8">
        <v>2311635</v>
      </c>
      <c r="B905" s="9" t="s">
        <v>3503</v>
      </c>
      <c r="C905" s="10">
        <v>45149</v>
      </c>
      <c r="D905" s="9" t="s">
        <v>261</v>
      </c>
      <c r="E905" s="9" t="s">
        <v>143</v>
      </c>
      <c r="F905" s="9" t="s">
        <v>262</v>
      </c>
      <c r="G905" s="9" t="s">
        <v>43</v>
      </c>
      <c r="H905" s="9" t="s">
        <v>44</v>
      </c>
      <c r="I905" s="11" t="s">
        <v>1620</v>
      </c>
      <c r="J905" s="9" t="s">
        <v>1621</v>
      </c>
      <c r="K905" s="9" t="s">
        <v>47</v>
      </c>
      <c r="L905" s="9" t="s">
        <v>180</v>
      </c>
      <c r="M905" s="9" t="s">
        <v>181</v>
      </c>
      <c r="N905" s="9" t="s">
        <v>84</v>
      </c>
      <c r="O905" s="9" t="s">
        <v>51</v>
      </c>
      <c r="P905" s="9"/>
      <c r="Q905" s="9"/>
      <c r="R905" s="9" t="s">
        <v>61</v>
      </c>
      <c r="S905" s="14" t="s">
        <v>3504</v>
      </c>
      <c r="T905" s="9" t="s">
        <v>3505</v>
      </c>
      <c r="U905" s="9" t="s">
        <v>262</v>
      </c>
      <c r="V905" s="9" t="s">
        <v>55</v>
      </c>
      <c r="W905" s="9" t="s">
        <v>55</v>
      </c>
      <c r="X905" s="12" t="s">
        <v>389</v>
      </c>
      <c r="Y905" s="9" t="s">
        <v>390</v>
      </c>
      <c r="Z905" s="13"/>
    </row>
    <row r="906" spans="1:26" ht="32.25" hidden="1" customHeight="1">
      <c r="A906" s="8">
        <v>2309880</v>
      </c>
      <c r="B906" s="9" t="s">
        <v>3506</v>
      </c>
      <c r="C906" s="10">
        <v>45149</v>
      </c>
      <c r="D906" s="9" t="s">
        <v>261</v>
      </c>
      <c r="E906" s="9" t="s">
        <v>89</v>
      </c>
      <c r="F906" s="9" t="s">
        <v>262</v>
      </c>
      <c r="G906" s="9" t="s">
        <v>43</v>
      </c>
      <c r="H906" s="9" t="s">
        <v>44</v>
      </c>
      <c r="I906" s="11" t="s">
        <v>1561</v>
      </c>
      <c r="J906" s="9" t="s">
        <v>1562</v>
      </c>
      <c r="K906" s="9" t="s">
        <v>47</v>
      </c>
      <c r="L906" s="9" t="s">
        <v>156</v>
      </c>
      <c r="M906" s="9"/>
      <c r="N906" s="9" t="s">
        <v>50</v>
      </c>
      <c r="O906" s="9" t="s">
        <v>51</v>
      </c>
      <c r="P906" s="9"/>
      <c r="Q906" s="9"/>
      <c r="R906" s="9"/>
      <c r="S906" s="14" t="s">
        <v>3507</v>
      </c>
      <c r="T906" s="9" t="s">
        <v>3508</v>
      </c>
      <c r="U906" s="9" t="s">
        <v>262</v>
      </c>
      <c r="V906" s="9" t="s">
        <v>55</v>
      </c>
      <c r="W906" s="9" t="s">
        <v>55</v>
      </c>
      <c r="X906" s="12"/>
      <c r="Y906" s="9" t="s">
        <v>55</v>
      </c>
      <c r="Z906" s="13"/>
    </row>
    <row r="907" spans="1:26" ht="32.25" hidden="1" customHeight="1">
      <c r="A907" s="8">
        <v>2303121</v>
      </c>
      <c r="B907" s="9" t="s">
        <v>3509</v>
      </c>
      <c r="C907" s="10">
        <v>45149</v>
      </c>
      <c r="D907" s="9" t="s">
        <v>57</v>
      </c>
      <c r="E907" s="9" t="s">
        <v>41</v>
      </c>
      <c r="F907" s="9" t="s">
        <v>42</v>
      </c>
      <c r="G907" s="9" t="s">
        <v>43</v>
      </c>
      <c r="H907" s="9" t="s">
        <v>58</v>
      </c>
      <c r="I907" s="11" t="s">
        <v>199</v>
      </c>
      <c r="J907" s="9" t="s">
        <v>200</v>
      </c>
      <c r="K907" s="9" t="s">
        <v>47</v>
      </c>
      <c r="L907" s="9" t="s">
        <v>349</v>
      </c>
      <c r="M907" s="9" t="s">
        <v>3510</v>
      </c>
      <c r="N907" s="9" t="s">
        <v>84</v>
      </c>
      <c r="O907" s="9" t="s">
        <v>51</v>
      </c>
      <c r="P907" s="9"/>
      <c r="Q907" s="9"/>
      <c r="R907" s="9" t="s">
        <v>61</v>
      </c>
      <c r="S907" s="14" t="s">
        <v>3511</v>
      </c>
      <c r="T907" s="9" t="s">
        <v>3512</v>
      </c>
      <c r="U907" s="9" t="s">
        <v>54</v>
      </c>
      <c r="V907" s="9" t="s">
        <v>55</v>
      </c>
      <c r="W907" s="9" t="s">
        <v>55</v>
      </c>
      <c r="X907" s="12" t="s">
        <v>196</v>
      </c>
      <c r="Y907" s="9" t="s">
        <v>197</v>
      </c>
      <c r="Z907" s="13" t="s">
        <v>3513</v>
      </c>
    </row>
    <row r="908" spans="1:26" ht="32.25" hidden="1" customHeight="1">
      <c r="A908" s="8">
        <v>2314455</v>
      </c>
      <c r="B908" s="9" t="s">
        <v>3514</v>
      </c>
      <c r="C908" s="10">
        <v>45156</v>
      </c>
      <c r="D908" s="9" t="s">
        <v>79</v>
      </c>
      <c r="E908" s="9" t="s">
        <v>41</v>
      </c>
      <c r="F908" s="9" t="s">
        <v>80</v>
      </c>
      <c r="G908" s="9" t="s">
        <v>43</v>
      </c>
      <c r="H908" s="9" t="s">
        <v>44</v>
      </c>
      <c r="I908" s="11" t="s">
        <v>478</v>
      </c>
      <c r="J908" s="9" t="s">
        <v>479</v>
      </c>
      <c r="K908" s="9" t="s">
        <v>47</v>
      </c>
      <c r="L908" s="9" t="s">
        <v>221</v>
      </c>
      <c r="M908" s="9" t="s">
        <v>3515</v>
      </c>
      <c r="N908" s="9" t="s">
        <v>50</v>
      </c>
      <c r="O908" s="9" t="s">
        <v>51</v>
      </c>
      <c r="P908" s="9" t="s">
        <v>1414</v>
      </c>
      <c r="Q908" s="9"/>
      <c r="R908" s="9" t="s">
        <v>61</v>
      </c>
      <c r="S908" s="14" t="s">
        <v>3516</v>
      </c>
      <c r="T908" s="9" t="s">
        <v>3517</v>
      </c>
      <c r="U908" s="9" t="s">
        <v>54</v>
      </c>
      <c r="V908" s="9" t="s">
        <v>331</v>
      </c>
      <c r="W908" s="9" t="s">
        <v>115</v>
      </c>
      <c r="X908" s="9" t="s">
        <v>64</v>
      </c>
      <c r="Y908" s="9" t="s">
        <v>65</v>
      </c>
      <c r="Z908" s="13"/>
    </row>
    <row r="909" spans="1:26" ht="32.25" hidden="1" customHeight="1">
      <c r="A909" s="8">
        <v>2313686</v>
      </c>
      <c r="B909" s="9" t="s">
        <v>3518</v>
      </c>
      <c r="C909" s="10">
        <v>45142</v>
      </c>
      <c r="D909" s="9" t="s">
        <v>67</v>
      </c>
      <c r="E909" s="9" t="s">
        <v>143</v>
      </c>
      <c r="F909" s="9" t="s">
        <v>42</v>
      </c>
      <c r="G909" s="9" t="s">
        <v>43</v>
      </c>
      <c r="H909" s="9" t="s">
        <v>44</v>
      </c>
      <c r="I909" s="11" t="s">
        <v>144</v>
      </c>
      <c r="J909" s="9" t="s">
        <v>145</v>
      </c>
      <c r="K909" s="9" t="s">
        <v>47</v>
      </c>
      <c r="L909" s="9" t="s">
        <v>156</v>
      </c>
      <c r="M909" s="9"/>
      <c r="N909" s="9" t="s">
        <v>84</v>
      </c>
      <c r="O909" s="9" t="s">
        <v>51</v>
      </c>
      <c r="P909" s="9" t="s">
        <v>147</v>
      </c>
      <c r="Q909" s="9"/>
      <c r="R909" s="9"/>
      <c r="S909" s="9" t="s">
        <v>3519</v>
      </c>
      <c r="T909" s="9" t="s">
        <v>3520</v>
      </c>
      <c r="U909" s="9" t="s">
        <v>54</v>
      </c>
      <c r="V909" s="9" t="s">
        <v>55</v>
      </c>
      <c r="W909" s="9" t="s">
        <v>55</v>
      </c>
      <c r="X909" s="12"/>
      <c r="Y909" s="9" t="s">
        <v>55</v>
      </c>
      <c r="Z909" s="13"/>
    </row>
    <row r="910" spans="1:26" ht="32.25" hidden="1" customHeight="1">
      <c r="A910" s="8">
        <v>2303372</v>
      </c>
      <c r="B910" s="9" t="s">
        <v>3521</v>
      </c>
      <c r="C910" s="10">
        <v>45149</v>
      </c>
      <c r="D910" s="9" t="s">
        <v>57</v>
      </c>
      <c r="E910" s="9" t="s">
        <v>41</v>
      </c>
      <c r="F910" s="9" t="s">
        <v>42</v>
      </c>
      <c r="G910" s="9" t="s">
        <v>43</v>
      </c>
      <c r="H910" s="9" t="s">
        <v>58</v>
      </c>
      <c r="I910" s="11" t="s">
        <v>129</v>
      </c>
      <c r="J910" s="9" t="s">
        <v>130</v>
      </c>
      <c r="K910" s="9" t="s">
        <v>47</v>
      </c>
      <c r="L910" s="9" t="s">
        <v>1760</v>
      </c>
      <c r="M910" s="9" t="s">
        <v>1761</v>
      </c>
      <c r="N910" s="9" t="s">
        <v>84</v>
      </c>
      <c r="O910" s="9" t="s">
        <v>51</v>
      </c>
      <c r="P910" s="9"/>
      <c r="Q910" s="9"/>
      <c r="R910" s="9"/>
      <c r="S910" s="14" t="s">
        <v>3522</v>
      </c>
      <c r="T910" s="9" t="s">
        <v>3523</v>
      </c>
      <c r="U910" s="9" t="s">
        <v>54</v>
      </c>
      <c r="V910" s="9" t="s">
        <v>55</v>
      </c>
      <c r="W910" s="9" t="s">
        <v>55</v>
      </c>
      <c r="X910" s="12"/>
      <c r="Y910" s="9" t="s">
        <v>55</v>
      </c>
      <c r="Z910" s="13"/>
    </row>
    <row r="911" spans="1:26" ht="32.25" hidden="1" customHeight="1">
      <c r="A911" s="8">
        <v>2310204</v>
      </c>
      <c r="B911" s="9" t="s">
        <v>3524</v>
      </c>
      <c r="C911" s="10">
        <v>45142</v>
      </c>
      <c r="D911" s="9" t="s">
        <v>67</v>
      </c>
      <c r="E911" s="9" t="s">
        <v>41</v>
      </c>
      <c r="F911" s="9" t="s">
        <v>42</v>
      </c>
      <c r="G911" s="9" t="s">
        <v>43</v>
      </c>
      <c r="H911" s="9" t="s">
        <v>44</v>
      </c>
      <c r="I911" s="11" t="s">
        <v>45</v>
      </c>
      <c r="J911" s="9" t="s">
        <v>46</v>
      </c>
      <c r="K911" s="9" t="s">
        <v>47</v>
      </c>
      <c r="L911" s="9" t="s">
        <v>204</v>
      </c>
      <c r="M911" s="9" t="s">
        <v>836</v>
      </c>
      <c r="N911" s="9" t="s">
        <v>84</v>
      </c>
      <c r="O911" s="9" t="s">
        <v>51</v>
      </c>
      <c r="P911" s="9"/>
      <c r="Q911" s="9"/>
      <c r="R911" s="9" t="s">
        <v>61</v>
      </c>
      <c r="S911" s="9" t="s">
        <v>3525</v>
      </c>
      <c r="T911" s="9" t="s">
        <v>3526</v>
      </c>
      <c r="U911" s="9" t="s">
        <v>54</v>
      </c>
      <c r="V911" s="9" t="s">
        <v>55</v>
      </c>
      <c r="W911" s="9" t="s">
        <v>55</v>
      </c>
      <c r="X911" s="9" t="s">
        <v>64</v>
      </c>
      <c r="Y911" s="9" t="s">
        <v>65</v>
      </c>
      <c r="Z911" s="13"/>
    </row>
    <row r="912" spans="1:26" ht="32.25" hidden="1" customHeight="1">
      <c r="A912" s="8">
        <v>2304535</v>
      </c>
      <c r="B912" s="9" t="s">
        <v>3527</v>
      </c>
      <c r="C912" s="10">
        <v>45156</v>
      </c>
      <c r="D912" s="9" t="s">
        <v>79</v>
      </c>
      <c r="E912" s="9" t="s">
        <v>295</v>
      </c>
      <c r="F912" s="9" t="s">
        <v>80</v>
      </c>
      <c r="G912" s="9" t="s">
        <v>43</v>
      </c>
      <c r="H912" s="9" t="s">
        <v>44</v>
      </c>
      <c r="I912" s="11" t="s">
        <v>1972</v>
      </c>
      <c r="J912" s="9" t="s">
        <v>297</v>
      </c>
      <c r="K912" s="9" t="s">
        <v>47</v>
      </c>
      <c r="L912" s="9" t="s">
        <v>827</v>
      </c>
      <c r="M912" s="9" t="s">
        <v>828</v>
      </c>
      <c r="N912" s="9" t="s">
        <v>84</v>
      </c>
      <c r="O912" s="9" t="s">
        <v>51</v>
      </c>
      <c r="P912" s="9" t="s">
        <v>1974</v>
      </c>
      <c r="Q912" s="9"/>
      <c r="R912" s="9" t="s">
        <v>61</v>
      </c>
      <c r="S912" s="14" t="s">
        <v>3528</v>
      </c>
      <c r="T912" s="9" t="s">
        <v>3529</v>
      </c>
      <c r="U912" s="9" t="s">
        <v>54</v>
      </c>
      <c r="V912" s="9" t="s">
        <v>318</v>
      </c>
      <c r="W912" s="9" t="s">
        <v>115</v>
      </c>
      <c r="X912" s="12" t="s">
        <v>319</v>
      </c>
      <c r="Y912" s="9" t="s">
        <v>320</v>
      </c>
      <c r="Z912" s="13"/>
    </row>
    <row r="913" spans="1:26" ht="32.25" hidden="1" customHeight="1">
      <c r="A913" s="8">
        <v>2309909</v>
      </c>
      <c r="B913" s="9" t="s">
        <v>3530</v>
      </c>
      <c r="C913" s="10">
        <v>45156</v>
      </c>
      <c r="D913" s="9" t="s">
        <v>79</v>
      </c>
      <c r="E913" s="9" t="s">
        <v>41</v>
      </c>
      <c r="F913" s="9" t="s">
        <v>80</v>
      </c>
      <c r="G913" s="9" t="s">
        <v>43</v>
      </c>
      <c r="H913" s="9" t="s">
        <v>44</v>
      </c>
      <c r="I913" s="11" t="s">
        <v>81</v>
      </c>
      <c r="J913" s="9" t="s">
        <v>46</v>
      </c>
      <c r="K913" s="9" t="s">
        <v>47</v>
      </c>
      <c r="L913" s="9" t="s">
        <v>156</v>
      </c>
      <c r="M913" s="9"/>
      <c r="N913" s="9" t="s">
        <v>84</v>
      </c>
      <c r="O913" s="9" t="s">
        <v>51</v>
      </c>
      <c r="P913" s="9" t="s">
        <v>1263</v>
      </c>
      <c r="Q913" s="9"/>
      <c r="R913" s="9"/>
      <c r="S913" s="14" t="s">
        <v>3531</v>
      </c>
      <c r="T913" s="9" t="s">
        <v>3532</v>
      </c>
      <c r="U913" s="9" t="s">
        <v>54</v>
      </c>
      <c r="V913" s="9"/>
      <c r="W913" s="9" t="s">
        <v>115</v>
      </c>
      <c r="X913" s="12"/>
      <c r="Y913" s="9" t="s">
        <v>55</v>
      </c>
      <c r="Z913" s="13"/>
    </row>
    <row r="914" spans="1:26" ht="32.25" hidden="1" customHeight="1">
      <c r="A914" s="8">
        <v>2314064</v>
      </c>
      <c r="B914" s="9" t="s">
        <v>3533</v>
      </c>
      <c r="C914" s="10">
        <v>45156</v>
      </c>
      <c r="D914" s="9" t="s">
        <v>79</v>
      </c>
      <c r="E914" s="9" t="s">
        <v>68</v>
      </c>
      <c r="F914" s="9" t="s">
        <v>80</v>
      </c>
      <c r="G914" s="9" t="s">
        <v>43</v>
      </c>
      <c r="H914" s="9" t="s">
        <v>44</v>
      </c>
      <c r="I914" s="11" t="s">
        <v>90</v>
      </c>
      <c r="J914" s="9" t="s">
        <v>91</v>
      </c>
      <c r="K914" s="9" t="s">
        <v>47</v>
      </c>
      <c r="L914" s="9" t="s">
        <v>1040</v>
      </c>
      <c r="M914" s="9" t="s">
        <v>1147</v>
      </c>
      <c r="N914" s="9" t="s">
        <v>50</v>
      </c>
      <c r="O914" s="9" t="s">
        <v>51</v>
      </c>
      <c r="P914" s="9" t="s">
        <v>670</v>
      </c>
      <c r="Q914" s="9"/>
      <c r="R914" s="9"/>
      <c r="S914" s="14" t="s">
        <v>3534</v>
      </c>
      <c r="T914" s="9" t="s">
        <v>3535</v>
      </c>
      <c r="U914" s="9" t="s">
        <v>54</v>
      </c>
      <c r="V914" s="9" t="s">
        <v>55</v>
      </c>
      <c r="W914" s="9" t="s">
        <v>55</v>
      </c>
      <c r="X914" s="12"/>
      <c r="Y914" s="9" t="s">
        <v>55</v>
      </c>
      <c r="Z914" s="13"/>
    </row>
    <row r="915" spans="1:26" ht="32.25" hidden="1" customHeight="1">
      <c r="A915" s="8">
        <v>2312690</v>
      </c>
      <c r="B915" s="9" t="s">
        <v>3536</v>
      </c>
      <c r="C915" s="10">
        <v>45142</v>
      </c>
      <c r="D915" s="9" t="s">
        <v>67</v>
      </c>
      <c r="E915" s="9" t="s">
        <v>143</v>
      </c>
      <c r="F915" s="9" t="s">
        <v>42</v>
      </c>
      <c r="G915" s="9" t="s">
        <v>43</v>
      </c>
      <c r="H915" s="9" t="s">
        <v>44</v>
      </c>
      <c r="I915" s="11" t="s">
        <v>144</v>
      </c>
      <c r="J915" s="9" t="s">
        <v>145</v>
      </c>
      <c r="K915" s="9" t="s">
        <v>47</v>
      </c>
      <c r="L915" s="9" t="s">
        <v>741</v>
      </c>
      <c r="M915" s="9" t="s">
        <v>3537</v>
      </c>
      <c r="N915" s="9" t="s">
        <v>50</v>
      </c>
      <c r="O915" s="9" t="s">
        <v>51</v>
      </c>
      <c r="P915" s="9" t="s">
        <v>147</v>
      </c>
      <c r="Q915" s="9"/>
      <c r="R915" s="9" t="s">
        <v>61</v>
      </c>
      <c r="S915" s="9" t="s">
        <v>3538</v>
      </c>
      <c r="T915" s="9" t="s">
        <v>3539</v>
      </c>
      <c r="U915" s="9" t="s">
        <v>54</v>
      </c>
      <c r="V915" s="9" t="s">
        <v>55</v>
      </c>
      <c r="W915" s="9" t="s">
        <v>55</v>
      </c>
      <c r="X915" s="12" t="s">
        <v>150</v>
      </c>
      <c r="Y915" s="9" t="s">
        <v>151</v>
      </c>
      <c r="Z915" s="13"/>
    </row>
    <row r="916" spans="1:26" ht="32.25" hidden="1" customHeight="1">
      <c r="A916" s="8">
        <v>2305869</v>
      </c>
      <c r="B916" s="9" t="s">
        <v>3540</v>
      </c>
      <c r="C916" s="10">
        <v>45142</v>
      </c>
      <c r="D916" s="9" t="s">
        <v>67</v>
      </c>
      <c r="E916" s="9" t="s">
        <v>295</v>
      </c>
      <c r="F916" s="9" t="s">
        <v>42</v>
      </c>
      <c r="G916" s="9" t="s">
        <v>43</v>
      </c>
      <c r="H916" s="9" t="s">
        <v>44</v>
      </c>
      <c r="I916" s="11" t="s">
        <v>406</v>
      </c>
      <c r="J916" s="9" t="s">
        <v>407</v>
      </c>
      <c r="K916" s="9" t="s">
        <v>47</v>
      </c>
      <c r="L916" s="9" t="s">
        <v>156</v>
      </c>
      <c r="M916" s="9"/>
      <c r="N916" s="9" t="s">
        <v>84</v>
      </c>
      <c r="O916" s="9" t="s">
        <v>51</v>
      </c>
      <c r="P916" s="9"/>
      <c r="Q916" s="9"/>
      <c r="R916" s="9"/>
      <c r="S916" s="9" t="s">
        <v>3541</v>
      </c>
      <c r="T916" s="9" t="s">
        <v>3542</v>
      </c>
      <c r="U916" s="9" t="s">
        <v>54</v>
      </c>
      <c r="V916" s="9" t="s">
        <v>55</v>
      </c>
      <c r="W916" s="9" t="s">
        <v>55</v>
      </c>
      <c r="X916" s="12"/>
      <c r="Y916" s="9" t="s">
        <v>55</v>
      </c>
      <c r="Z916" s="13"/>
    </row>
    <row r="917" spans="1:26" ht="32.25" hidden="1" customHeight="1">
      <c r="A917" s="8">
        <v>2300912</v>
      </c>
      <c r="B917" s="9" t="s">
        <v>3543</v>
      </c>
      <c r="C917" s="10">
        <v>45149</v>
      </c>
      <c r="D917" s="9" t="s">
        <v>57</v>
      </c>
      <c r="E917" s="9" t="s">
        <v>295</v>
      </c>
      <c r="F917" s="9" t="s">
        <v>42</v>
      </c>
      <c r="G917" s="9" t="s">
        <v>43</v>
      </c>
      <c r="H917" s="9" t="s">
        <v>58</v>
      </c>
      <c r="I917" s="11" t="s">
        <v>406</v>
      </c>
      <c r="J917" s="9" t="s">
        <v>407</v>
      </c>
      <c r="K917" s="9" t="s">
        <v>47</v>
      </c>
      <c r="L917" s="9" t="s">
        <v>310</v>
      </c>
      <c r="M917" s="9" t="s">
        <v>311</v>
      </c>
      <c r="N917" s="9" t="s">
        <v>84</v>
      </c>
      <c r="O917" s="9" t="s">
        <v>51</v>
      </c>
      <c r="P917" s="9"/>
      <c r="Q917" s="9"/>
      <c r="R917" s="9" t="s">
        <v>61</v>
      </c>
      <c r="S917" s="14" t="s">
        <v>3544</v>
      </c>
      <c r="T917" s="9" t="s">
        <v>3545</v>
      </c>
      <c r="U917" s="9" t="s">
        <v>54</v>
      </c>
      <c r="V917" s="9" t="s">
        <v>55</v>
      </c>
      <c r="W917" s="9" t="s">
        <v>55</v>
      </c>
      <c r="X917" s="9" t="s">
        <v>319</v>
      </c>
      <c r="Y917" s="9" t="s">
        <v>320</v>
      </c>
      <c r="Z917" s="13"/>
    </row>
    <row r="918" spans="1:26" ht="32.25" hidden="1" customHeight="1">
      <c r="A918" s="8">
        <v>2309341</v>
      </c>
      <c r="B918" s="9" t="s">
        <v>3546</v>
      </c>
      <c r="C918" s="10">
        <v>45142</v>
      </c>
      <c r="D918" s="9" t="s">
        <v>67</v>
      </c>
      <c r="E918" s="9" t="s">
        <v>143</v>
      </c>
      <c r="F918" s="9" t="s">
        <v>42</v>
      </c>
      <c r="G918" s="9" t="s">
        <v>43</v>
      </c>
      <c r="H918" s="9" t="s">
        <v>44</v>
      </c>
      <c r="I918" s="11" t="s">
        <v>334</v>
      </c>
      <c r="J918" s="9" t="s">
        <v>327</v>
      </c>
      <c r="K918" s="9" t="s">
        <v>47</v>
      </c>
      <c r="L918" s="9" t="s">
        <v>598</v>
      </c>
      <c r="M918" s="9" t="s">
        <v>599</v>
      </c>
      <c r="N918" s="9" t="s">
        <v>84</v>
      </c>
      <c r="O918" s="9" t="s">
        <v>51</v>
      </c>
      <c r="P918" s="9" t="s">
        <v>336</v>
      </c>
      <c r="Q918" s="9"/>
      <c r="R918" s="9" t="s">
        <v>61</v>
      </c>
      <c r="S918" s="9" t="s">
        <v>3547</v>
      </c>
      <c r="T918" s="9" t="s">
        <v>3548</v>
      </c>
      <c r="U918" s="9" t="s">
        <v>54</v>
      </c>
      <c r="V918" s="9" t="s">
        <v>55</v>
      </c>
      <c r="W918" s="9" t="s">
        <v>55</v>
      </c>
      <c r="X918" s="12" t="s">
        <v>150</v>
      </c>
      <c r="Y918" s="9" t="s">
        <v>151</v>
      </c>
      <c r="Z918" s="13"/>
    </row>
    <row r="919" spans="1:26" ht="32.25" hidden="1" customHeight="1">
      <c r="A919" s="8">
        <v>2305159</v>
      </c>
      <c r="B919" s="9" t="s">
        <v>3549</v>
      </c>
      <c r="C919" s="10">
        <v>45156</v>
      </c>
      <c r="D919" s="9" t="s">
        <v>79</v>
      </c>
      <c r="E919" s="9" t="s">
        <v>89</v>
      </c>
      <c r="F919" s="9" t="s">
        <v>80</v>
      </c>
      <c r="G919" s="9" t="s">
        <v>43</v>
      </c>
      <c r="H919" s="9" t="s">
        <v>44</v>
      </c>
      <c r="I919" s="11" t="s">
        <v>90</v>
      </c>
      <c r="J919" s="9" t="s">
        <v>91</v>
      </c>
      <c r="K919" s="9" t="s">
        <v>47</v>
      </c>
      <c r="L919" s="9" t="s">
        <v>156</v>
      </c>
      <c r="M919" s="9"/>
      <c r="N919" s="9" t="s">
        <v>50</v>
      </c>
      <c r="O919" s="9" t="s">
        <v>51</v>
      </c>
      <c r="P919" s="9" t="s">
        <v>498</v>
      </c>
      <c r="Q919" s="9"/>
      <c r="R919" s="9"/>
      <c r="S919" s="14" t="s">
        <v>3550</v>
      </c>
      <c r="T919" s="9" t="s">
        <v>3551</v>
      </c>
      <c r="U919" s="9" t="s">
        <v>54</v>
      </c>
      <c r="V919" s="9" t="s">
        <v>55</v>
      </c>
      <c r="W919" s="9" t="s">
        <v>55</v>
      </c>
      <c r="X919" s="12"/>
      <c r="Y919" s="9" t="s">
        <v>55</v>
      </c>
      <c r="Z919" s="13"/>
    </row>
    <row r="920" spans="1:26" ht="32.25" hidden="1" customHeight="1">
      <c r="A920" s="8">
        <v>2314588</v>
      </c>
      <c r="B920" s="9" t="s">
        <v>3552</v>
      </c>
      <c r="C920" s="10">
        <v>45156</v>
      </c>
      <c r="D920" s="9" t="s">
        <v>79</v>
      </c>
      <c r="E920" s="9" t="s">
        <v>89</v>
      </c>
      <c r="F920" s="9" t="s">
        <v>80</v>
      </c>
      <c r="G920" s="9" t="s">
        <v>43</v>
      </c>
      <c r="H920" s="9" t="s">
        <v>44</v>
      </c>
      <c r="I920" s="11" t="s">
        <v>90</v>
      </c>
      <c r="J920" s="9" t="s">
        <v>91</v>
      </c>
      <c r="K920" s="9" t="s">
        <v>47</v>
      </c>
      <c r="L920" s="9" t="s">
        <v>764</v>
      </c>
      <c r="M920" s="9"/>
      <c r="N920" s="9" t="s">
        <v>84</v>
      </c>
      <c r="O920" s="9" t="s">
        <v>51</v>
      </c>
      <c r="P920" s="9" t="s">
        <v>865</v>
      </c>
      <c r="Q920" s="9"/>
      <c r="R920" s="9" t="s">
        <v>61</v>
      </c>
      <c r="S920" s="14" t="s">
        <v>3553</v>
      </c>
      <c r="T920" s="9" t="s">
        <v>3554</v>
      </c>
      <c r="U920" s="9" t="s">
        <v>54</v>
      </c>
      <c r="V920" s="9" t="s">
        <v>370</v>
      </c>
      <c r="W920" s="9" t="s">
        <v>115</v>
      </c>
      <c r="X920" s="12" t="s">
        <v>150</v>
      </c>
      <c r="Y920" s="9" t="s">
        <v>151</v>
      </c>
      <c r="Z920" s="13"/>
    </row>
    <row r="921" spans="1:26" ht="32.25" hidden="1" customHeight="1">
      <c r="A921" s="8">
        <v>2315425</v>
      </c>
      <c r="B921" s="9" t="s">
        <v>3555</v>
      </c>
      <c r="C921" s="10">
        <v>45152</v>
      </c>
      <c r="D921" s="9" t="s">
        <v>185</v>
      </c>
      <c r="E921" s="9" t="s">
        <v>295</v>
      </c>
      <c r="F921" s="9" t="s">
        <v>42</v>
      </c>
      <c r="G921" s="9" t="s">
        <v>43</v>
      </c>
      <c r="H921" s="9" t="s">
        <v>44</v>
      </c>
      <c r="I921" s="11" t="s">
        <v>296</v>
      </c>
      <c r="J921" s="9" t="s">
        <v>297</v>
      </c>
      <c r="K921" s="9" t="s">
        <v>92</v>
      </c>
      <c r="L921" s="9"/>
      <c r="M921" s="9" t="s">
        <v>94</v>
      </c>
      <c r="N921" s="9" t="s">
        <v>50</v>
      </c>
      <c r="O921" s="9" t="s">
        <v>187</v>
      </c>
      <c r="P921" s="9"/>
      <c r="Q921" s="9"/>
      <c r="R921" s="9" t="s">
        <v>61</v>
      </c>
      <c r="S921" s="14" t="s">
        <v>3556</v>
      </c>
      <c r="T921" s="9" t="s">
        <v>3557</v>
      </c>
      <c r="U921" s="9" t="s">
        <v>54</v>
      </c>
      <c r="V921" s="9" t="s">
        <v>55</v>
      </c>
      <c r="W921" s="9" t="s">
        <v>55</v>
      </c>
      <c r="X921" s="9" t="s">
        <v>319</v>
      </c>
      <c r="Y921" s="9" t="s">
        <v>320</v>
      </c>
      <c r="Z921" s="13"/>
    </row>
    <row r="922" spans="1:26" ht="32.25" hidden="1" customHeight="1">
      <c r="A922" s="8">
        <v>2302550</v>
      </c>
      <c r="B922" s="9" t="s">
        <v>3558</v>
      </c>
      <c r="C922" s="10">
        <v>45156</v>
      </c>
      <c r="D922" s="9" t="s">
        <v>79</v>
      </c>
      <c r="E922" s="9" t="s">
        <v>41</v>
      </c>
      <c r="F922" s="9" t="s">
        <v>80</v>
      </c>
      <c r="G922" s="9" t="s">
        <v>43</v>
      </c>
      <c r="H922" s="9" t="s">
        <v>44</v>
      </c>
      <c r="I922" s="11" t="s">
        <v>233</v>
      </c>
      <c r="J922" s="9" t="s">
        <v>200</v>
      </c>
      <c r="K922" s="9" t="s">
        <v>47</v>
      </c>
      <c r="L922" s="9" t="s">
        <v>411</v>
      </c>
      <c r="M922" s="9" t="s">
        <v>412</v>
      </c>
      <c r="N922" s="9" t="s">
        <v>50</v>
      </c>
      <c r="O922" s="9" t="s">
        <v>51</v>
      </c>
      <c r="P922" s="9" t="s">
        <v>453</v>
      </c>
      <c r="Q922" s="9"/>
      <c r="R922" s="9" t="s">
        <v>61</v>
      </c>
      <c r="S922" s="14" t="s">
        <v>3559</v>
      </c>
      <c r="T922" s="9" t="s">
        <v>3560</v>
      </c>
      <c r="U922" s="9" t="s">
        <v>54</v>
      </c>
      <c r="V922" s="9" t="s">
        <v>3561</v>
      </c>
      <c r="W922" s="9" t="s">
        <v>115</v>
      </c>
      <c r="X922" s="12" t="s">
        <v>76</v>
      </c>
      <c r="Y922" s="9" t="s">
        <v>77</v>
      </c>
      <c r="Z922" s="13"/>
    </row>
    <row r="923" spans="1:26" ht="32.25" hidden="1" customHeight="1">
      <c r="A923" s="8">
        <v>2311664</v>
      </c>
      <c r="B923" s="9" t="s">
        <v>3562</v>
      </c>
      <c r="C923" s="10">
        <v>45149</v>
      </c>
      <c r="D923" s="9" t="s">
        <v>57</v>
      </c>
      <c r="E923" s="9" t="s">
        <v>41</v>
      </c>
      <c r="F923" s="9" t="s">
        <v>42</v>
      </c>
      <c r="G923" s="9" t="s">
        <v>43</v>
      </c>
      <c r="H923" s="9" t="s">
        <v>58</v>
      </c>
      <c r="I923" s="11" t="s">
        <v>1073</v>
      </c>
      <c r="J923" s="9" t="s">
        <v>479</v>
      </c>
      <c r="K923" s="9" t="s">
        <v>47</v>
      </c>
      <c r="L923" s="9" t="s">
        <v>48</v>
      </c>
      <c r="M923" s="9" t="s">
        <v>3563</v>
      </c>
      <c r="N923" s="9" t="s">
        <v>84</v>
      </c>
      <c r="O923" s="9" t="s">
        <v>51</v>
      </c>
      <c r="P923" s="9"/>
      <c r="Q923" s="9"/>
      <c r="R923" s="9"/>
      <c r="S923" s="14" t="s">
        <v>3564</v>
      </c>
      <c r="T923" s="9" t="s">
        <v>3565</v>
      </c>
      <c r="U923" s="9" t="s">
        <v>54</v>
      </c>
      <c r="V923" s="9" t="s">
        <v>55</v>
      </c>
      <c r="W923" s="9" t="s">
        <v>55</v>
      </c>
      <c r="X923" s="12"/>
      <c r="Y923" s="9" t="s">
        <v>55</v>
      </c>
      <c r="Z923" s="13"/>
    </row>
    <row r="924" spans="1:26" ht="32.25" hidden="1" customHeight="1">
      <c r="A924" s="8">
        <v>2301086</v>
      </c>
      <c r="B924" s="9" t="s">
        <v>3566</v>
      </c>
      <c r="C924" s="10">
        <v>45142</v>
      </c>
      <c r="D924" s="9" t="s">
        <v>67</v>
      </c>
      <c r="E924" s="9" t="s">
        <v>68</v>
      </c>
      <c r="F924" s="9" t="s">
        <v>42</v>
      </c>
      <c r="G924" s="9" t="s">
        <v>43</v>
      </c>
      <c r="H924" s="9" t="s">
        <v>44</v>
      </c>
      <c r="I924" s="11" t="s">
        <v>69</v>
      </c>
      <c r="J924" s="9" t="s">
        <v>70</v>
      </c>
      <c r="K924" s="9" t="s">
        <v>47</v>
      </c>
      <c r="L924" s="9" t="s">
        <v>156</v>
      </c>
      <c r="M924" s="9"/>
      <c r="N924" s="9" t="s">
        <v>50</v>
      </c>
      <c r="O924" s="9" t="s">
        <v>51</v>
      </c>
      <c r="P924" s="9" t="s">
        <v>73</v>
      </c>
      <c r="Q924" s="9"/>
      <c r="R924" s="9"/>
      <c r="S924" s="9" t="s">
        <v>3567</v>
      </c>
      <c r="T924" s="9" t="s">
        <v>3568</v>
      </c>
      <c r="U924" s="9" t="s">
        <v>54</v>
      </c>
      <c r="V924" s="9" t="s">
        <v>55</v>
      </c>
      <c r="W924" s="9" t="s">
        <v>55</v>
      </c>
      <c r="X924" s="12"/>
      <c r="Y924" s="9" t="s">
        <v>55</v>
      </c>
      <c r="Z924" s="13"/>
    </row>
    <row r="925" spans="1:26" ht="32.25" hidden="1" customHeight="1">
      <c r="A925" s="8">
        <v>2315486</v>
      </c>
      <c r="B925" s="9" t="s">
        <v>3566</v>
      </c>
      <c r="C925" s="10">
        <v>45149</v>
      </c>
      <c r="D925" s="9" t="s">
        <v>57</v>
      </c>
      <c r="E925" s="9" t="s">
        <v>143</v>
      </c>
      <c r="F925" s="9" t="s">
        <v>42</v>
      </c>
      <c r="G925" s="9" t="s">
        <v>43</v>
      </c>
      <c r="H925" s="9" t="s">
        <v>58</v>
      </c>
      <c r="I925" s="11" t="s">
        <v>460</v>
      </c>
      <c r="J925" s="9" t="s">
        <v>400</v>
      </c>
      <c r="K925" s="9" t="s">
        <v>47</v>
      </c>
      <c r="L925" s="9" t="s">
        <v>156</v>
      </c>
      <c r="M925" s="9"/>
      <c r="N925" s="9" t="s">
        <v>50</v>
      </c>
      <c r="O925" s="9" t="s">
        <v>51</v>
      </c>
      <c r="P925" s="9"/>
      <c r="Q925" s="9"/>
      <c r="R925" s="9"/>
      <c r="S925" s="14" t="s">
        <v>3567</v>
      </c>
      <c r="T925" s="9" t="s">
        <v>3568</v>
      </c>
      <c r="U925" s="9" t="s">
        <v>54</v>
      </c>
      <c r="V925" s="9" t="s">
        <v>55</v>
      </c>
      <c r="W925" s="9" t="s">
        <v>55</v>
      </c>
      <c r="X925" s="12"/>
      <c r="Y925" s="9" t="s">
        <v>55</v>
      </c>
      <c r="Z925" s="13"/>
    </row>
    <row r="926" spans="1:26" ht="32.25" hidden="1" customHeight="1">
      <c r="A926" s="8">
        <v>2314958</v>
      </c>
      <c r="B926" s="9" t="s">
        <v>3569</v>
      </c>
      <c r="C926" s="10">
        <v>45156</v>
      </c>
      <c r="D926" s="9" t="s">
        <v>79</v>
      </c>
      <c r="E926" s="9" t="s">
        <v>89</v>
      </c>
      <c r="F926" s="9" t="s">
        <v>80</v>
      </c>
      <c r="G926" s="9" t="s">
        <v>43</v>
      </c>
      <c r="H926" s="9" t="s">
        <v>44</v>
      </c>
      <c r="I926" s="11" t="s">
        <v>101</v>
      </c>
      <c r="J926" s="9" t="s">
        <v>102</v>
      </c>
      <c r="K926" s="9" t="s">
        <v>47</v>
      </c>
      <c r="L926" s="9" t="s">
        <v>777</v>
      </c>
      <c r="M926" s="9" t="s">
        <v>781</v>
      </c>
      <c r="N926" s="9" t="s">
        <v>50</v>
      </c>
      <c r="O926" s="9" t="s">
        <v>51</v>
      </c>
      <c r="P926" s="9" t="s">
        <v>715</v>
      </c>
      <c r="Q926" s="9"/>
      <c r="R926" s="9"/>
      <c r="S926" s="14" t="s">
        <v>3570</v>
      </c>
      <c r="T926" s="9" t="s">
        <v>3571</v>
      </c>
      <c r="U926" s="9" t="s">
        <v>54</v>
      </c>
      <c r="V926" s="9" t="s">
        <v>55</v>
      </c>
      <c r="W926" s="9" t="s">
        <v>55</v>
      </c>
      <c r="X926" s="12"/>
      <c r="Y926" s="9" t="s">
        <v>55</v>
      </c>
      <c r="Z926" s="13"/>
    </row>
    <row r="927" spans="1:26" ht="32.25" hidden="1" customHeight="1">
      <c r="A927" s="8">
        <v>2303161</v>
      </c>
      <c r="B927" s="9" t="s">
        <v>3572</v>
      </c>
      <c r="C927" s="10">
        <v>45156</v>
      </c>
      <c r="D927" s="9" t="s">
        <v>79</v>
      </c>
      <c r="E927" s="9" t="s">
        <v>89</v>
      </c>
      <c r="F927" s="9" t="s">
        <v>80</v>
      </c>
      <c r="G927" s="9" t="s">
        <v>43</v>
      </c>
      <c r="H927" s="9" t="s">
        <v>44</v>
      </c>
      <c r="I927" s="11" t="s">
        <v>90</v>
      </c>
      <c r="J927" s="9" t="s">
        <v>91</v>
      </c>
      <c r="K927" s="9" t="s">
        <v>47</v>
      </c>
      <c r="L927" s="9" t="s">
        <v>846</v>
      </c>
      <c r="M927" s="9" t="s">
        <v>1535</v>
      </c>
      <c r="N927" s="9" t="s">
        <v>50</v>
      </c>
      <c r="O927" s="9" t="s">
        <v>51</v>
      </c>
      <c r="P927" s="9" t="s">
        <v>546</v>
      </c>
      <c r="Q927" s="9"/>
      <c r="R927" s="9" t="s">
        <v>61</v>
      </c>
      <c r="S927" s="14" t="s">
        <v>3573</v>
      </c>
      <c r="T927" s="9" t="s">
        <v>3574</v>
      </c>
      <c r="U927" s="9" t="s">
        <v>54</v>
      </c>
      <c r="V927" s="9" t="s">
        <v>711</v>
      </c>
      <c r="W927" s="9" t="s">
        <v>115</v>
      </c>
      <c r="X927" s="12" t="s">
        <v>98</v>
      </c>
      <c r="Y927" s="9" t="s">
        <v>99</v>
      </c>
      <c r="Z927" s="13"/>
    </row>
    <row r="928" spans="1:26" ht="32.25" hidden="1" customHeight="1">
      <c r="A928" s="8">
        <v>2310330</v>
      </c>
      <c r="B928" s="9" t="s">
        <v>3575</v>
      </c>
      <c r="C928" s="10">
        <v>45149</v>
      </c>
      <c r="D928" s="9" t="s">
        <v>261</v>
      </c>
      <c r="E928" s="9" t="s">
        <v>89</v>
      </c>
      <c r="F928" s="9" t="s">
        <v>262</v>
      </c>
      <c r="G928" s="9" t="s">
        <v>43</v>
      </c>
      <c r="H928" s="9" t="s">
        <v>44</v>
      </c>
      <c r="I928" s="11" t="s">
        <v>2627</v>
      </c>
      <c r="J928" s="9" t="s">
        <v>2628</v>
      </c>
      <c r="K928" s="9" t="s">
        <v>47</v>
      </c>
      <c r="L928" s="9" t="s">
        <v>1040</v>
      </c>
      <c r="M928" s="9" t="s">
        <v>3576</v>
      </c>
      <c r="N928" s="9" t="s">
        <v>50</v>
      </c>
      <c r="O928" s="9" t="s">
        <v>51</v>
      </c>
      <c r="P928" s="9"/>
      <c r="Q928" s="9"/>
      <c r="R928" s="9" t="s">
        <v>61</v>
      </c>
      <c r="S928" s="14" t="s">
        <v>3577</v>
      </c>
      <c r="T928" s="9" t="s">
        <v>3578</v>
      </c>
      <c r="U928" s="9" t="s">
        <v>262</v>
      </c>
      <c r="V928" s="9" t="s">
        <v>251</v>
      </c>
      <c r="W928" s="9" t="s">
        <v>115</v>
      </c>
      <c r="X928" s="12" t="s">
        <v>389</v>
      </c>
      <c r="Y928" s="9" t="s">
        <v>390</v>
      </c>
      <c r="Z928" s="13"/>
    </row>
    <row r="929" spans="1:26" ht="32.25" hidden="1" customHeight="1">
      <c r="A929" s="8">
        <v>2311631</v>
      </c>
      <c r="B929" s="9" t="s">
        <v>3579</v>
      </c>
      <c r="C929" s="10">
        <v>45156</v>
      </c>
      <c r="D929" s="9" t="s">
        <v>79</v>
      </c>
      <c r="E929" s="9" t="s">
        <v>68</v>
      </c>
      <c r="F929" s="9" t="s">
        <v>80</v>
      </c>
      <c r="G929" s="9" t="s">
        <v>43</v>
      </c>
      <c r="H929" s="9" t="s">
        <v>44</v>
      </c>
      <c r="I929" s="11" t="s">
        <v>117</v>
      </c>
      <c r="J929" s="9" t="s">
        <v>118</v>
      </c>
      <c r="K929" s="9" t="s">
        <v>47</v>
      </c>
      <c r="L929" s="9" t="s">
        <v>156</v>
      </c>
      <c r="M929" s="9" t="s">
        <v>1352</v>
      </c>
      <c r="N929" s="9" t="s">
        <v>50</v>
      </c>
      <c r="O929" s="9" t="s">
        <v>51</v>
      </c>
      <c r="P929" s="9" t="s">
        <v>285</v>
      </c>
      <c r="Q929" s="9"/>
      <c r="R929" s="9"/>
      <c r="S929" s="14" t="s">
        <v>3580</v>
      </c>
      <c r="T929" s="9" t="s">
        <v>3581</v>
      </c>
      <c r="U929" s="9" t="s">
        <v>54</v>
      </c>
      <c r="V929" s="9" t="s">
        <v>55</v>
      </c>
      <c r="W929" s="9" t="s">
        <v>55</v>
      </c>
      <c r="X929" s="12"/>
      <c r="Y929" s="9" t="s">
        <v>55</v>
      </c>
      <c r="Z929" s="13"/>
    </row>
    <row r="930" spans="1:26" ht="32.25" hidden="1" customHeight="1">
      <c r="A930" s="8">
        <v>2309386</v>
      </c>
      <c r="B930" s="9" t="s">
        <v>3582</v>
      </c>
      <c r="C930" s="10">
        <v>45156</v>
      </c>
      <c r="D930" s="9" t="s">
        <v>79</v>
      </c>
      <c r="E930" s="9" t="s">
        <v>41</v>
      </c>
      <c r="F930" s="9" t="s">
        <v>80</v>
      </c>
      <c r="G930" s="9" t="s">
        <v>43</v>
      </c>
      <c r="H930" s="9" t="s">
        <v>44</v>
      </c>
      <c r="I930" s="11" t="s">
        <v>233</v>
      </c>
      <c r="J930" s="9" t="s">
        <v>200</v>
      </c>
      <c r="K930" s="9" t="s">
        <v>47</v>
      </c>
      <c r="L930" s="9" t="s">
        <v>156</v>
      </c>
      <c r="M930" s="9"/>
      <c r="N930" s="9" t="s">
        <v>50</v>
      </c>
      <c r="O930" s="9" t="s">
        <v>51</v>
      </c>
      <c r="P930" s="9" t="s">
        <v>443</v>
      </c>
      <c r="Q930" s="9"/>
      <c r="R930" s="9"/>
      <c r="S930" s="14" t="s">
        <v>3583</v>
      </c>
      <c r="T930" s="9" t="s">
        <v>3584</v>
      </c>
      <c r="U930" s="9" t="s">
        <v>54</v>
      </c>
      <c r="V930" s="9"/>
      <c r="W930" s="9" t="s">
        <v>115</v>
      </c>
      <c r="X930" s="12"/>
      <c r="Y930" s="9" t="s">
        <v>55</v>
      </c>
      <c r="Z930" s="13"/>
    </row>
    <row r="931" spans="1:26" ht="32.25" hidden="1" customHeight="1">
      <c r="A931" s="8">
        <v>2314211</v>
      </c>
      <c r="B931" s="9" t="s">
        <v>3585</v>
      </c>
      <c r="C931" s="10">
        <v>45156</v>
      </c>
      <c r="D931" s="9" t="s">
        <v>79</v>
      </c>
      <c r="E931" s="9" t="s">
        <v>68</v>
      </c>
      <c r="F931" s="9" t="s">
        <v>80</v>
      </c>
      <c r="G931" s="9" t="s">
        <v>43</v>
      </c>
      <c r="H931" s="9" t="s">
        <v>44</v>
      </c>
      <c r="I931" s="11" t="s">
        <v>101</v>
      </c>
      <c r="J931" s="9" t="s">
        <v>102</v>
      </c>
      <c r="K931" s="9" t="s">
        <v>416</v>
      </c>
      <c r="L931" s="9"/>
      <c r="M931" s="9" t="s">
        <v>1605</v>
      </c>
      <c r="N931" s="9" t="s">
        <v>50</v>
      </c>
      <c r="O931" s="9" t="s">
        <v>51</v>
      </c>
      <c r="P931" s="9" t="s">
        <v>379</v>
      </c>
      <c r="Q931" s="9"/>
      <c r="R931" s="9"/>
      <c r="S931" s="14" t="s">
        <v>3586</v>
      </c>
      <c r="T931" s="9" t="s">
        <v>3587</v>
      </c>
      <c r="U931" s="9" t="s">
        <v>54</v>
      </c>
      <c r="V931" s="9" t="s">
        <v>55</v>
      </c>
      <c r="W931" s="9" t="s">
        <v>55</v>
      </c>
      <c r="X931" s="12"/>
      <c r="Y931" s="9" t="s">
        <v>55</v>
      </c>
      <c r="Z931" s="13"/>
    </row>
    <row r="932" spans="1:26" ht="32.25" hidden="1" customHeight="1">
      <c r="A932" s="8">
        <v>2303248</v>
      </c>
      <c r="B932" s="9" t="s">
        <v>3588</v>
      </c>
      <c r="C932" s="10">
        <v>45156</v>
      </c>
      <c r="D932" s="9" t="s">
        <v>79</v>
      </c>
      <c r="E932" s="9" t="s">
        <v>68</v>
      </c>
      <c r="F932" s="9" t="s">
        <v>80</v>
      </c>
      <c r="G932" s="9" t="s">
        <v>43</v>
      </c>
      <c r="H932" s="9" t="s">
        <v>44</v>
      </c>
      <c r="I932" s="11" t="s">
        <v>696</v>
      </c>
      <c r="J932" s="9" t="s">
        <v>70</v>
      </c>
      <c r="K932" s="9" t="s">
        <v>47</v>
      </c>
      <c r="L932" s="9" t="s">
        <v>2080</v>
      </c>
      <c r="M932" s="9"/>
      <c r="N932" s="9" t="s">
        <v>50</v>
      </c>
      <c r="O932" s="9" t="s">
        <v>51</v>
      </c>
      <c r="P932" s="9" t="s">
        <v>1841</v>
      </c>
      <c r="Q932" s="9"/>
      <c r="R932" s="9" t="s">
        <v>61</v>
      </c>
      <c r="S932" s="14" t="s">
        <v>3589</v>
      </c>
      <c r="T932" s="9"/>
      <c r="U932" s="9" t="s">
        <v>54</v>
      </c>
      <c r="V932" s="9" t="s">
        <v>1266</v>
      </c>
      <c r="W932" s="9" t="s">
        <v>115</v>
      </c>
      <c r="X932" s="12" t="s">
        <v>76</v>
      </c>
      <c r="Y932" s="9" t="s">
        <v>77</v>
      </c>
      <c r="Z932" s="13"/>
    </row>
    <row r="933" spans="1:26" ht="32.25" hidden="1" customHeight="1">
      <c r="A933" s="8">
        <v>2300435</v>
      </c>
      <c r="B933" s="9" t="s">
        <v>3590</v>
      </c>
      <c r="C933" s="10">
        <v>45156</v>
      </c>
      <c r="D933" s="9" t="s">
        <v>79</v>
      </c>
      <c r="E933" s="9" t="s">
        <v>41</v>
      </c>
      <c r="F933" s="9" t="s">
        <v>80</v>
      </c>
      <c r="G933" s="9" t="s">
        <v>43</v>
      </c>
      <c r="H933" s="9" t="s">
        <v>44</v>
      </c>
      <c r="I933" s="11" t="s">
        <v>81</v>
      </c>
      <c r="J933" s="9" t="s">
        <v>46</v>
      </c>
      <c r="K933" s="9" t="s">
        <v>47</v>
      </c>
      <c r="L933" s="9" t="s">
        <v>822</v>
      </c>
      <c r="M933" s="9" t="s">
        <v>1628</v>
      </c>
      <c r="N933" s="9" t="s">
        <v>50</v>
      </c>
      <c r="O933" s="9" t="s">
        <v>51</v>
      </c>
      <c r="P933" s="9" t="s">
        <v>503</v>
      </c>
      <c r="Q933" s="9"/>
      <c r="R933" s="9" t="s">
        <v>61</v>
      </c>
      <c r="S933" s="14" t="s">
        <v>3591</v>
      </c>
      <c r="T933" s="9" t="s">
        <v>3592</v>
      </c>
      <c r="U933" s="9" t="s">
        <v>54</v>
      </c>
      <c r="V933" s="9" t="s">
        <v>55</v>
      </c>
      <c r="W933" s="9" t="s">
        <v>55</v>
      </c>
      <c r="X933" s="9" t="s">
        <v>64</v>
      </c>
      <c r="Y933" s="9" t="s">
        <v>65</v>
      </c>
      <c r="Z933" s="13"/>
    </row>
    <row r="934" spans="1:26" ht="32.25" hidden="1" customHeight="1">
      <c r="A934" s="8">
        <v>2307583</v>
      </c>
      <c r="B934" s="9" t="s">
        <v>3593</v>
      </c>
      <c r="C934" s="10">
        <v>45156</v>
      </c>
      <c r="D934" s="9" t="s">
        <v>79</v>
      </c>
      <c r="E934" s="9" t="s">
        <v>89</v>
      </c>
      <c r="F934" s="9" t="s">
        <v>80</v>
      </c>
      <c r="G934" s="9" t="s">
        <v>43</v>
      </c>
      <c r="H934" s="9" t="s">
        <v>44</v>
      </c>
      <c r="I934" s="11" t="s">
        <v>90</v>
      </c>
      <c r="J934" s="9" t="s">
        <v>91</v>
      </c>
      <c r="K934" s="9" t="s">
        <v>92</v>
      </c>
      <c r="L934" s="9" t="s">
        <v>103</v>
      </c>
      <c r="M934" s="9" t="s">
        <v>103</v>
      </c>
      <c r="N934" s="9" t="s">
        <v>50</v>
      </c>
      <c r="O934" s="9" t="s">
        <v>51</v>
      </c>
      <c r="P934" s="9" t="s">
        <v>95</v>
      </c>
      <c r="Q934" s="9"/>
      <c r="R934" s="9" t="s">
        <v>61</v>
      </c>
      <c r="S934" s="14" t="s">
        <v>3594</v>
      </c>
      <c r="T934" s="9" t="s">
        <v>3595</v>
      </c>
      <c r="U934" s="9" t="s">
        <v>54</v>
      </c>
      <c r="V934" s="9" t="s">
        <v>55</v>
      </c>
      <c r="W934" s="9" t="s">
        <v>55</v>
      </c>
      <c r="X934" s="12" t="s">
        <v>98</v>
      </c>
      <c r="Y934" s="9" t="s">
        <v>99</v>
      </c>
      <c r="Z934" s="13"/>
    </row>
    <row r="935" spans="1:26" ht="32.25" hidden="1" customHeight="1">
      <c r="A935" s="8">
        <v>2311147</v>
      </c>
      <c r="B935" s="9" t="s">
        <v>3596</v>
      </c>
      <c r="C935" s="10">
        <v>45156</v>
      </c>
      <c r="D935" s="9" t="s">
        <v>79</v>
      </c>
      <c r="E935" s="9" t="s">
        <v>89</v>
      </c>
      <c r="F935" s="9" t="s">
        <v>80</v>
      </c>
      <c r="G935" s="9" t="s">
        <v>43</v>
      </c>
      <c r="H935" s="9" t="s">
        <v>44</v>
      </c>
      <c r="I935" s="11" t="s">
        <v>101</v>
      </c>
      <c r="J935" s="9" t="s">
        <v>102</v>
      </c>
      <c r="K935" s="9" t="s">
        <v>47</v>
      </c>
      <c r="L935" s="9" t="s">
        <v>822</v>
      </c>
      <c r="M935" s="9" t="s">
        <v>1628</v>
      </c>
      <c r="N935" s="9" t="s">
        <v>50</v>
      </c>
      <c r="O935" s="9" t="s">
        <v>51</v>
      </c>
      <c r="P935" s="9" t="s">
        <v>1229</v>
      </c>
      <c r="Q935" s="9"/>
      <c r="R935" s="9" t="s">
        <v>61</v>
      </c>
      <c r="S935" s="14" t="s">
        <v>3597</v>
      </c>
      <c r="T935" s="9" t="s">
        <v>3598</v>
      </c>
      <c r="U935" s="9" t="s">
        <v>54</v>
      </c>
      <c r="V935" s="9" t="s">
        <v>55</v>
      </c>
      <c r="W935" s="9" t="s">
        <v>55</v>
      </c>
      <c r="X935" s="12" t="s">
        <v>98</v>
      </c>
      <c r="Y935" s="9" t="s">
        <v>99</v>
      </c>
      <c r="Z935" s="13"/>
    </row>
    <row r="936" spans="1:26" ht="32.25" hidden="1" customHeight="1">
      <c r="A936" s="8">
        <v>2305398</v>
      </c>
      <c r="B936" s="9" t="s">
        <v>3599</v>
      </c>
      <c r="C936" s="10">
        <v>45156</v>
      </c>
      <c r="D936" s="9" t="s">
        <v>79</v>
      </c>
      <c r="E936" s="9" t="s">
        <v>89</v>
      </c>
      <c r="F936" s="9" t="s">
        <v>80</v>
      </c>
      <c r="G936" s="9" t="s">
        <v>43</v>
      </c>
      <c r="H936" s="9" t="s">
        <v>44</v>
      </c>
      <c r="I936" s="11" t="s">
        <v>101</v>
      </c>
      <c r="J936" s="9" t="s">
        <v>102</v>
      </c>
      <c r="K936" s="9" t="s">
        <v>110</v>
      </c>
      <c r="L936" s="9" t="s">
        <v>111</v>
      </c>
      <c r="M936" s="9" t="s">
        <v>111</v>
      </c>
      <c r="N936" s="9" t="s">
        <v>50</v>
      </c>
      <c r="O936" s="9" t="s">
        <v>51</v>
      </c>
      <c r="P936" s="9" t="s">
        <v>104</v>
      </c>
      <c r="Q936" s="9"/>
      <c r="R936" s="9"/>
      <c r="S936" s="14" t="s">
        <v>3600</v>
      </c>
      <c r="T936" s="9" t="s">
        <v>3601</v>
      </c>
      <c r="U936" s="9" t="s">
        <v>54</v>
      </c>
      <c r="V936" s="9" t="s">
        <v>55</v>
      </c>
      <c r="W936" s="9" t="s">
        <v>55</v>
      </c>
      <c r="X936" s="12"/>
      <c r="Y936" s="9" t="s">
        <v>55</v>
      </c>
      <c r="Z936" s="13"/>
    </row>
    <row r="937" spans="1:26" ht="32.25" hidden="1" customHeight="1">
      <c r="A937" s="8">
        <v>2305538</v>
      </c>
      <c r="B937" s="9" t="s">
        <v>3602</v>
      </c>
      <c r="C937" s="10">
        <v>45149</v>
      </c>
      <c r="D937" s="9" t="s">
        <v>57</v>
      </c>
      <c r="E937" s="9" t="s">
        <v>41</v>
      </c>
      <c r="F937" s="9" t="s">
        <v>42</v>
      </c>
      <c r="G937" s="9" t="s">
        <v>43</v>
      </c>
      <c r="H937" s="9" t="s">
        <v>58</v>
      </c>
      <c r="I937" s="11" t="s">
        <v>45</v>
      </c>
      <c r="J937" s="9" t="s">
        <v>46</v>
      </c>
      <c r="K937" s="9" t="s">
        <v>47</v>
      </c>
      <c r="L937" s="9" t="s">
        <v>822</v>
      </c>
      <c r="M937" s="9" t="s">
        <v>2595</v>
      </c>
      <c r="N937" s="9" t="s">
        <v>50</v>
      </c>
      <c r="O937" s="9" t="s">
        <v>51</v>
      </c>
      <c r="P937" s="9"/>
      <c r="Q937" s="9"/>
      <c r="R937" s="9" t="s">
        <v>61</v>
      </c>
      <c r="S937" s="14" t="s">
        <v>3603</v>
      </c>
      <c r="T937" s="9" t="s">
        <v>3604</v>
      </c>
      <c r="U937" s="9" t="s">
        <v>54</v>
      </c>
      <c r="V937" s="9" t="s">
        <v>55</v>
      </c>
      <c r="W937" s="9" t="s">
        <v>55</v>
      </c>
      <c r="X937" s="9" t="s">
        <v>64</v>
      </c>
      <c r="Y937" s="9" t="s">
        <v>65</v>
      </c>
      <c r="Z937" s="13"/>
    </row>
    <row r="938" spans="1:26" ht="32.25" hidden="1" customHeight="1">
      <c r="A938" s="8">
        <v>2309137</v>
      </c>
      <c r="B938" s="9" t="s">
        <v>3605</v>
      </c>
      <c r="C938" s="10">
        <v>45156</v>
      </c>
      <c r="D938" s="9" t="s">
        <v>79</v>
      </c>
      <c r="E938" s="9" t="s">
        <v>41</v>
      </c>
      <c r="F938" s="9" t="s">
        <v>80</v>
      </c>
      <c r="G938" s="9" t="s">
        <v>43</v>
      </c>
      <c r="H938" s="9" t="s">
        <v>44</v>
      </c>
      <c r="I938" s="11" t="s">
        <v>233</v>
      </c>
      <c r="J938" s="9" t="s">
        <v>200</v>
      </c>
      <c r="K938" s="9" t="s">
        <v>47</v>
      </c>
      <c r="L938" s="9" t="s">
        <v>156</v>
      </c>
      <c r="M938" s="9"/>
      <c r="N938" s="9" t="s">
        <v>84</v>
      </c>
      <c r="O938" s="9" t="s">
        <v>51</v>
      </c>
      <c r="P938" s="9" t="s">
        <v>865</v>
      </c>
      <c r="Q938" s="9"/>
      <c r="R938" s="9"/>
      <c r="S938" s="14" t="s">
        <v>3606</v>
      </c>
      <c r="T938" s="9" t="s">
        <v>3607</v>
      </c>
      <c r="U938" s="9" t="s">
        <v>54</v>
      </c>
      <c r="V938" s="9"/>
      <c r="W938" s="9" t="s">
        <v>115</v>
      </c>
      <c r="X938" s="12"/>
      <c r="Y938" s="9" t="s">
        <v>55</v>
      </c>
      <c r="Z938" s="13"/>
    </row>
    <row r="939" spans="1:26" ht="32.25" hidden="1" customHeight="1">
      <c r="A939" s="8">
        <v>2304602</v>
      </c>
      <c r="B939" s="9" t="s">
        <v>3608</v>
      </c>
      <c r="C939" s="10">
        <v>45149</v>
      </c>
      <c r="D939" s="9" t="s">
        <v>57</v>
      </c>
      <c r="E939" s="9" t="s">
        <v>41</v>
      </c>
      <c r="F939" s="9" t="s">
        <v>42</v>
      </c>
      <c r="G939" s="9" t="s">
        <v>43</v>
      </c>
      <c r="H939" s="9" t="s">
        <v>58</v>
      </c>
      <c r="I939" s="11" t="s">
        <v>129</v>
      </c>
      <c r="J939" s="9" t="s">
        <v>130</v>
      </c>
      <c r="K939" s="9" t="s">
        <v>47</v>
      </c>
      <c r="L939" s="9" t="s">
        <v>156</v>
      </c>
      <c r="M939" s="9"/>
      <c r="N939" s="9" t="s">
        <v>84</v>
      </c>
      <c r="O939" s="9" t="s">
        <v>51</v>
      </c>
      <c r="P939" s="9"/>
      <c r="Q939" s="9"/>
      <c r="R939" s="9"/>
      <c r="S939" s="14" t="s">
        <v>3609</v>
      </c>
      <c r="T939" s="9" t="s">
        <v>3610</v>
      </c>
      <c r="U939" s="9" t="s">
        <v>54</v>
      </c>
      <c r="V939" s="9" t="s">
        <v>55</v>
      </c>
      <c r="W939" s="9" t="s">
        <v>55</v>
      </c>
      <c r="X939" s="12"/>
      <c r="Y939" s="9" t="s">
        <v>55</v>
      </c>
      <c r="Z939" s="13"/>
    </row>
    <row r="940" spans="1:26" ht="32.25" hidden="1" customHeight="1">
      <c r="A940" s="8">
        <v>2309693</v>
      </c>
      <c r="B940" s="9" t="s">
        <v>3611</v>
      </c>
      <c r="C940" s="10">
        <v>45156</v>
      </c>
      <c r="D940" s="9" t="s">
        <v>79</v>
      </c>
      <c r="E940" s="9" t="s">
        <v>143</v>
      </c>
      <c r="F940" s="9" t="s">
        <v>80</v>
      </c>
      <c r="G940" s="9" t="s">
        <v>43</v>
      </c>
      <c r="H940" s="9" t="s">
        <v>44</v>
      </c>
      <c r="I940" s="11" t="s">
        <v>326</v>
      </c>
      <c r="J940" s="9" t="s">
        <v>327</v>
      </c>
      <c r="K940" s="9" t="s">
        <v>110</v>
      </c>
      <c r="L940" s="9"/>
      <c r="M940" s="9"/>
      <c r="N940" s="9" t="s">
        <v>50</v>
      </c>
      <c r="O940" s="9" t="s">
        <v>51</v>
      </c>
      <c r="P940" s="9" t="s">
        <v>1646</v>
      </c>
      <c r="Q940" s="9"/>
      <c r="R940" s="9" t="s">
        <v>61</v>
      </c>
      <c r="S940" s="14" t="s">
        <v>3612</v>
      </c>
      <c r="T940" s="9" t="s">
        <v>3613</v>
      </c>
      <c r="U940" s="9" t="s">
        <v>54</v>
      </c>
      <c r="V940" s="9" t="s">
        <v>55</v>
      </c>
      <c r="W940" s="9" t="s">
        <v>115</v>
      </c>
      <c r="X940" s="12" t="s">
        <v>150</v>
      </c>
      <c r="Y940" s="9" t="s">
        <v>151</v>
      </c>
      <c r="Z940" s="13"/>
    </row>
    <row r="941" spans="1:26" ht="32.25" hidden="1" customHeight="1">
      <c r="A941" s="8">
        <v>2314273</v>
      </c>
      <c r="B941" s="9" t="s">
        <v>3614</v>
      </c>
      <c r="C941" s="10">
        <v>45156</v>
      </c>
      <c r="D941" s="9" t="s">
        <v>79</v>
      </c>
      <c r="E941" s="9" t="s">
        <v>89</v>
      </c>
      <c r="F941" s="9" t="s">
        <v>80</v>
      </c>
      <c r="G941" s="9" t="s">
        <v>43</v>
      </c>
      <c r="H941" s="9" t="s">
        <v>44</v>
      </c>
      <c r="I941" s="11" t="s">
        <v>101</v>
      </c>
      <c r="J941" s="9" t="s">
        <v>102</v>
      </c>
      <c r="K941" s="9" t="s">
        <v>110</v>
      </c>
      <c r="L941" s="9" t="s">
        <v>3615</v>
      </c>
      <c r="M941" s="9" t="s">
        <v>3616</v>
      </c>
      <c r="N941" s="9" t="s">
        <v>50</v>
      </c>
      <c r="O941" s="9" t="s">
        <v>51</v>
      </c>
      <c r="P941" s="9" t="s">
        <v>243</v>
      </c>
      <c r="Q941" s="9"/>
      <c r="R941" s="9" t="s">
        <v>61</v>
      </c>
      <c r="S941" s="14" t="s">
        <v>3617</v>
      </c>
      <c r="T941" s="9" t="s">
        <v>3618</v>
      </c>
      <c r="U941" s="9" t="s">
        <v>54</v>
      </c>
      <c r="V941" s="9" t="s">
        <v>251</v>
      </c>
      <c r="W941" s="9" t="s">
        <v>115</v>
      </c>
      <c r="X941" s="12" t="s">
        <v>171</v>
      </c>
      <c r="Y941" s="9" t="s">
        <v>172</v>
      </c>
      <c r="Z941" s="13"/>
    </row>
    <row r="942" spans="1:26" ht="32.25" hidden="1" customHeight="1">
      <c r="A942" s="8">
        <v>2313165</v>
      </c>
      <c r="B942" s="9" t="s">
        <v>3619</v>
      </c>
      <c r="C942" s="10">
        <v>45156</v>
      </c>
      <c r="D942" s="9" t="s">
        <v>79</v>
      </c>
      <c r="E942" s="9" t="s">
        <v>143</v>
      </c>
      <c r="F942" s="9" t="s">
        <v>80</v>
      </c>
      <c r="G942" s="9" t="s">
        <v>43</v>
      </c>
      <c r="H942" s="9" t="s">
        <v>44</v>
      </c>
      <c r="I942" s="11" t="s">
        <v>399</v>
      </c>
      <c r="J942" s="9" t="s">
        <v>400</v>
      </c>
      <c r="K942" s="9" t="s">
        <v>47</v>
      </c>
      <c r="L942" s="9" t="s">
        <v>451</v>
      </c>
      <c r="M942" s="9" t="s">
        <v>452</v>
      </c>
      <c r="N942" s="9" t="s">
        <v>50</v>
      </c>
      <c r="O942" s="9" t="s">
        <v>51</v>
      </c>
      <c r="P942" s="9" t="s">
        <v>1137</v>
      </c>
      <c r="Q942" s="9"/>
      <c r="R942" s="9"/>
      <c r="S942" s="14" t="s">
        <v>3620</v>
      </c>
      <c r="T942" s="9" t="s">
        <v>3621</v>
      </c>
      <c r="U942" s="9" t="s">
        <v>54</v>
      </c>
      <c r="V942" s="9" t="s">
        <v>55</v>
      </c>
      <c r="W942" s="9" t="s">
        <v>55</v>
      </c>
      <c r="X942" s="12"/>
      <c r="Y942" s="9" t="s">
        <v>55</v>
      </c>
      <c r="Z942" s="13"/>
    </row>
    <row r="943" spans="1:26" ht="32.25" hidden="1" customHeight="1">
      <c r="A943" s="8">
        <v>2310271</v>
      </c>
      <c r="B943" s="9" t="s">
        <v>3622</v>
      </c>
      <c r="C943" s="10">
        <v>45156</v>
      </c>
      <c r="D943" s="9" t="s">
        <v>79</v>
      </c>
      <c r="E943" s="9" t="s">
        <v>68</v>
      </c>
      <c r="F943" s="9" t="s">
        <v>80</v>
      </c>
      <c r="G943" s="9" t="s">
        <v>43</v>
      </c>
      <c r="H943" s="9" t="s">
        <v>44</v>
      </c>
      <c r="I943" s="11" t="s">
        <v>101</v>
      </c>
      <c r="J943" s="9" t="s">
        <v>102</v>
      </c>
      <c r="K943" s="9" t="s">
        <v>110</v>
      </c>
      <c r="L943" s="9" t="s">
        <v>119</v>
      </c>
      <c r="M943" s="9" t="s">
        <v>3623</v>
      </c>
      <c r="N943" s="9" t="s">
        <v>50</v>
      </c>
      <c r="O943" s="9" t="s">
        <v>51</v>
      </c>
      <c r="P943" s="9" t="s">
        <v>379</v>
      </c>
      <c r="Q943" s="9"/>
      <c r="R943" s="9" t="s">
        <v>61</v>
      </c>
      <c r="S943" s="14" t="s">
        <v>3624</v>
      </c>
      <c r="T943" s="9" t="s">
        <v>3625</v>
      </c>
      <c r="U943" s="9" t="s">
        <v>54</v>
      </c>
      <c r="V943" s="9" t="s">
        <v>55</v>
      </c>
      <c r="W943" s="9" t="s">
        <v>55</v>
      </c>
      <c r="X943" s="12" t="s">
        <v>196</v>
      </c>
      <c r="Y943" s="9" t="s">
        <v>197</v>
      </c>
      <c r="Z943" s="13"/>
    </row>
    <row r="944" spans="1:26" ht="32.25" hidden="1" customHeight="1">
      <c r="A944" s="8">
        <v>2300347</v>
      </c>
      <c r="B944" s="9" t="s">
        <v>3626</v>
      </c>
      <c r="C944" s="10">
        <v>45142</v>
      </c>
      <c r="D944" s="9" t="s">
        <v>232</v>
      </c>
      <c r="E944" s="9" t="s">
        <v>68</v>
      </c>
      <c r="F944" s="9" t="s">
        <v>80</v>
      </c>
      <c r="G944" s="9" t="s">
        <v>43</v>
      </c>
      <c r="H944" s="9" t="s">
        <v>44</v>
      </c>
      <c r="I944" s="11" t="s">
        <v>696</v>
      </c>
      <c r="J944" s="9" t="s">
        <v>70</v>
      </c>
      <c r="K944" s="9" t="s">
        <v>271</v>
      </c>
      <c r="L944" s="9"/>
      <c r="M944" s="9" t="s">
        <v>3627</v>
      </c>
      <c r="N944" s="9" t="s">
        <v>50</v>
      </c>
      <c r="O944" s="9" t="s">
        <v>187</v>
      </c>
      <c r="P944" s="9" t="s">
        <v>698</v>
      </c>
      <c r="Q944" s="9"/>
      <c r="R944" s="9" t="s">
        <v>61</v>
      </c>
      <c r="S944" s="9" t="s">
        <v>3628</v>
      </c>
      <c r="T944" s="9" t="s">
        <v>3629</v>
      </c>
      <c r="U944" s="9" t="s">
        <v>54</v>
      </c>
      <c r="V944" s="9" t="s">
        <v>76</v>
      </c>
      <c r="W944" s="9" t="s">
        <v>55</v>
      </c>
      <c r="X944" s="12" t="s">
        <v>76</v>
      </c>
      <c r="Y944" s="9" t="s">
        <v>77</v>
      </c>
      <c r="Z944" s="13" t="s">
        <v>240</v>
      </c>
    </row>
    <row r="945" spans="1:26" ht="32.25" hidden="1" customHeight="1">
      <c r="A945" s="8">
        <v>2302554</v>
      </c>
      <c r="B945" s="9" t="s">
        <v>3630</v>
      </c>
      <c r="C945" s="10">
        <v>45156</v>
      </c>
      <c r="D945" s="9" t="s">
        <v>79</v>
      </c>
      <c r="E945" s="9" t="s">
        <v>89</v>
      </c>
      <c r="F945" s="9" t="s">
        <v>80</v>
      </c>
      <c r="G945" s="9" t="s">
        <v>43</v>
      </c>
      <c r="H945" s="9" t="s">
        <v>44</v>
      </c>
      <c r="I945" s="11" t="s">
        <v>90</v>
      </c>
      <c r="J945" s="9" t="s">
        <v>91</v>
      </c>
      <c r="K945" s="9" t="s">
        <v>47</v>
      </c>
      <c r="L945" s="9" t="s">
        <v>1673</v>
      </c>
      <c r="M945" s="9" t="s">
        <v>624</v>
      </c>
      <c r="N945" s="9" t="s">
        <v>50</v>
      </c>
      <c r="O945" s="9" t="s">
        <v>51</v>
      </c>
      <c r="P945" s="9" t="s">
        <v>546</v>
      </c>
      <c r="Q945" s="9"/>
      <c r="R945" s="9" t="s">
        <v>61</v>
      </c>
      <c r="S945" s="14" t="s">
        <v>3631</v>
      </c>
      <c r="T945" s="9" t="s">
        <v>3632</v>
      </c>
      <c r="U945" s="9" t="s">
        <v>54</v>
      </c>
      <c r="V945" s="9" t="s">
        <v>711</v>
      </c>
      <c r="W945" s="9" t="s">
        <v>115</v>
      </c>
      <c r="X945" s="12" t="s">
        <v>98</v>
      </c>
      <c r="Y945" s="9" t="s">
        <v>99</v>
      </c>
      <c r="Z945" s="13"/>
    </row>
    <row r="946" spans="1:26" ht="32.25" hidden="1" customHeight="1">
      <c r="A946" s="8">
        <v>2300271</v>
      </c>
      <c r="B946" s="9" t="s">
        <v>3633</v>
      </c>
      <c r="C946" s="10">
        <v>45149</v>
      </c>
      <c r="D946" s="9" t="s">
        <v>261</v>
      </c>
      <c r="E946" s="9" t="s">
        <v>68</v>
      </c>
      <c r="F946" s="9" t="s">
        <v>262</v>
      </c>
      <c r="G946" s="9" t="s">
        <v>43</v>
      </c>
      <c r="H946" s="9" t="s">
        <v>44</v>
      </c>
      <c r="I946" s="11" t="s">
        <v>263</v>
      </c>
      <c r="J946" s="9" t="s">
        <v>264</v>
      </c>
      <c r="K946" s="9" t="s">
        <v>47</v>
      </c>
      <c r="L946" s="9" t="s">
        <v>156</v>
      </c>
      <c r="M946" s="9"/>
      <c r="N946" s="9" t="s">
        <v>50</v>
      </c>
      <c r="O946" s="9" t="s">
        <v>51</v>
      </c>
      <c r="P946" s="9"/>
      <c r="Q946" s="9"/>
      <c r="R946" s="9"/>
      <c r="S946" s="14" t="s">
        <v>3634</v>
      </c>
      <c r="T946" s="9" t="s">
        <v>3635</v>
      </c>
      <c r="U946" s="9" t="s">
        <v>262</v>
      </c>
      <c r="V946" s="9" t="s">
        <v>55</v>
      </c>
      <c r="W946" s="9" t="s">
        <v>55</v>
      </c>
      <c r="X946" s="12"/>
      <c r="Y946" s="9" t="s">
        <v>55</v>
      </c>
      <c r="Z946" s="13"/>
    </row>
    <row r="947" spans="1:26" ht="32.25" hidden="1" customHeight="1">
      <c r="A947" s="8">
        <v>2315191</v>
      </c>
      <c r="B947" s="9" t="s">
        <v>3636</v>
      </c>
      <c r="C947" s="10">
        <v>45152</v>
      </c>
      <c r="D947" s="9" t="s">
        <v>185</v>
      </c>
      <c r="E947" s="9" t="s">
        <v>153</v>
      </c>
      <c r="F947" s="9" t="s">
        <v>42</v>
      </c>
      <c r="G947" s="9" t="s">
        <v>43</v>
      </c>
      <c r="H947" s="9" t="s">
        <v>44</v>
      </c>
      <c r="I947" s="11" t="s">
        <v>154</v>
      </c>
      <c r="J947" s="9" t="s">
        <v>155</v>
      </c>
      <c r="K947" s="9" t="s">
        <v>442</v>
      </c>
      <c r="L947" s="9" t="s">
        <v>3637</v>
      </c>
      <c r="M947" s="9" t="s">
        <v>3638</v>
      </c>
      <c r="N947" s="9" t="s">
        <v>84</v>
      </c>
      <c r="O947" s="9" t="s">
        <v>187</v>
      </c>
      <c r="P947" s="9"/>
      <c r="Q947" s="9"/>
      <c r="R947" s="9" t="s">
        <v>61</v>
      </c>
      <c r="S947" s="14" t="s">
        <v>3639</v>
      </c>
      <c r="T947" s="9" t="s">
        <v>3640</v>
      </c>
      <c r="U947" s="9" t="s">
        <v>54</v>
      </c>
      <c r="V947" s="9" t="s">
        <v>55</v>
      </c>
      <c r="W947" s="9" t="s">
        <v>55</v>
      </c>
      <c r="X947" s="12" t="s">
        <v>171</v>
      </c>
      <c r="Y947" s="9" t="s">
        <v>172</v>
      </c>
      <c r="Z947" s="13"/>
    </row>
    <row r="948" spans="1:26" ht="32.25" hidden="1" customHeight="1">
      <c r="A948" s="8">
        <v>2315184</v>
      </c>
      <c r="B948" s="9" t="s">
        <v>3641</v>
      </c>
      <c r="C948" s="10">
        <v>45152</v>
      </c>
      <c r="D948" s="9" t="s">
        <v>639</v>
      </c>
      <c r="E948" s="9" t="s">
        <v>41</v>
      </c>
      <c r="F948" s="9" t="s">
        <v>80</v>
      </c>
      <c r="G948" s="9" t="s">
        <v>43</v>
      </c>
      <c r="H948" s="9" t="s">
        <v>44</v>
      </c>
      <c r="I948" s="11" t="s">
        <v>81</v>
      </c>
      <c r="J948" s="9" t="s">
        <v>46</v>
      </c>
      <c r="K948" s="9" t="s">
        <v>758</v>
      </c>
      <c r="L948" s="9"/>
      <c r="M948" s="9"/>
      <c r="N948" s="9" t="s">
        <v>84</v>
      </c>
      <c r="O948" s="9" t="s">
        <v>187</v>
      </c>
      <c r="P948" s="9" t="s">
        <v>395</v>
      </c>
      <c r="Q948" s="9"/>
      <c r="R948" s="9" t="s">
        <v>61</v>
      </c>
      <c r="S948" s="14" t="s">
        <v>3642</v>
      </c>
      <c r="T948" s="9" t="s">
        <v>3643</v>
      </c>
      <c r="U948" s="9" t="s">
        <v>54</v>
      </c>
      <c r="V948" s="9" t="s">
        <v>55</v>
      </c>
      <c r="W948" s="9" t="s">
        <v>55</v>
      </c>
      <c r="X948" s="9" t="s">
        <v>64</v>
      </c>
      <c r="Y948" s="9" t="s">
        <v>65</v>
      </c>
      <c r="Z948" s="13"/>
    </row>
    <row r="949" spans="1:26" ht="32.25" hidden="1" customHeight="1">
      <c r="A949" s="8">
        <v>2305247</v>
      </c>
      <c r="B949" s="9" t="s">
        <v>3644</v>
      </c>
      <c r="C949" s="10">
        <v>45149</v>
      </c>
      <c r="D949" s="9" t="s">
        <v>57</v>
      </c>
      <c r="E949" s="9" t="s">
        <v>41</v>
      </c>
      <c r="F949" s="9" t="s">
        <v>42</v>
      </c>
      <c r="G949" s="9" t="s">
        <v>43</v>
      </c>
      <c r="H949" s="9" t="s">
        <v>58</v>
      </c>
      <c r="I949" s="11" t="s">
        <v>661</v>
      </c>
      <c r="J949" s="9" t="s">
        <v>662</v>
      </c>
      <c r="K949" s="9" t="s">
        <v>47</v>
      </c>
      <c r="L949" s="9" t="s">
        <v>156</v>
      </c>
      <c r="M949" s="9"/>
      <c r="N949" s="9" t="s">
        <v>50</v>
      </c>
      <c r="O949" s="9" t="s">
        <v>51</v>
      </c>
      <c r="P949" s="9"/>
      <c r="Q949" s="9"/>
      <c r="R949" s="9"/>
      <c r="S949" s="14" t="s">
        <v>3645</v>
      </c>
      <c r="T949" s="9" t="s">
        <v>3646</v>
      </c>
      <c r="U949" s="9" t="s">
        <v>54</v>
      </c>
      <c r="V949" s="9" t="s">
        <v>55</v>
      </c>
      <c r="W949" s="9" t="s">
        <v>55</v>
      </c>
      <c r="X949" s="12"/>
      <c r="Y949" s="9" t="s">
        <v>55</v>
      </c>
      <c r="Z949" s="13"/>
    </row>
    <row r="950" spans="1:26" ht="32.25" hidden="1" customHeight="1">
      <c r="A950" s="8">
        <v>2302249</v>
      </c>
      <c r="B950" s="9" t="s">
        <v>3647</v>
      </c>
      <c r="C950" s="10">
        <v>45149</v>
      </c>
      <c r="D950" s="9" t="s">
        <v>57</v>
      </c>
      <c r="E950" s="9" t="s">
        <v>153</v>
      </c>
      <c r="F950" s="9" t="s">
        <v>42</v>
      </c>
      <c r="G950" s="9" t="s">
        <v>43</v>
      </c>
      <c r="H950" s="9" t="s">
        <v>58</v>
      </c>
      <c r="I950" s="11" t="s">
        <v>154</v>
      </c>
      <c r="J950" s="9" t="s">
        <v>155</v>
      </c>
      <c r="K950" s="9" t="s">
        <v>47</v>
      </c>
      <c r="L950" s="9" t="s">
        <v>156</v>
      </c>
      <c r="M950" s="9"/>
      <c r="N950" s="9" t="s">
        <v>84</v>
      </c>
      <c r="O950" s="9" t="s">
        <v>51</v>
      </c>
      <c r="P950" s="9"/>
      <c r="Q950" s="9"/>
      <c r="R950" s="9"/>
      <c r="S950" s="14" t="s">
        <v>3648</v>
      </c>
      <c r="T950" s="9" t="s">
        <v>3649</v>
      </c>
      <c r="U950" s="9" t="s">
        <v>54</v>
      </c>
      <c r="V950" s="9" t="s">
        <v>55</v>
      </c>
      <c r="W950" s="9" t="s">
        <v>55</v>
      </c>
      <c r="X950" s="12"/>
      <c r="Y950" s="9" t="s">
        <v>55</v>
      </c>
      <c r="Z950" s="13"/>
    </row>
    <row r="951" spans="1:26" ht="32.25" hidden="1" customHeight="1">
      <c r="A951" s="8">
        <v>2302520</v>
      </c>
      <c r="B951" s="9" t="s">
        <v>3650</v>
      </c>
      <c r="C951" s="10">
        <v>45149</v>
      </c>
      <c r="D951" s="9" t="s">
        <v>57</v>
      </c>
      <c r="E951" s="9" t="s">
        <v>295</v>
      </c>
      <c r="F951" s="9" t="s">
        <v>42</v>
      </c>
      <c r="G951" s="9" t="s">
        <v>43</v>
      </c>
      <c r="H951" s="9" t="s">
        <v>58</v>
      </c>
      <c r="I951" s="11" t="s">
        <v>296</v>
      </c>
      <c r="J951" s="9" t="s">
        <v>297</v>
      </c>
      <c r="K951" s="9" t="s">
        <v>47</v>
      </c>
      <c r="L951" s="9" t="s">
        <v>48</v>
      </c>
      <c r="M951" s="9" t="s">
        <v>1519</v>
      </c>
      <c r="N951" s="9" t="s">
        <v>84</v>
      </c>
      <c r="O951" s="9" t="s">
        <v>51</v>
      </c>
      <c r="P951" s="9"/>
      <c r="Q951" s="9"/>
      <c r="R951" s="9"/>
      <c r="S951" s="14" t="s">
        <v>3651</v>
      </c>
      <c r="T951" s="9" t="s">
        <v>3652</v>
      </c>
      <c r="U951" s="9" t="s">
        <v>54</v>
      </c>
      <c r="V951" s="9" t="s">
        <v>55</v>
      </c>
      <c r="W951" s="9" t="s">
        <v>55</v>
      </c>
      <c r="X951" s="12"/>
      <c r="Y951" s="9" t="s">
        <v>55</v>
      </c>
      <c r="Z951" s="13"/>
    </row>
    <row r="952" spans="1:26" ht="32.25" hidden="1" customHeight="1">
      <c r="A952" s="8">
        <v>2310093</v>
      </c>
      <c r="B952" s="9" t="s">
        <v>3653</v>
      </c>
      <c r="C952" s="10">
        <v>45156</v>
      </c>
      <c r="D952" s="9" t="s">
        <v>79</v>
      </c>
      <c r="E952" s="9" t="s">
        <v>68</v>
      </c>
      <c r="F952" s="9" t="s">
        <v>80</v>
      </c>
      <c r="G952" s="9" t="s">
        <v>43</v>
      </c>
      <c r="H952" s="9" t="s">
        <v>44</v>
      </c>
      <c r="I952" s="11" t="s">
        <v>117</v>
      </c>
      <c r="J952" s="9" t="s">
        <v>118</v>
      </c>
      <c r="K952" s="9" t="s">
        <v>47</v>
      </c>
      <c r="L952" s="9" t="s">
        <v>746</v>
      </c>
      <c r="M952" s="9" t="s">
        <v>747</v>
      </c>
      <c r="N952" s="9" t="s">
        <v>84</v>
      </c>
      <c r="O952" s="9" t="s">
        <v>51</v>
      </c>
      <c r="P952" s="9" t="s">
        <v>285</v>
      </c>
      <c r="Q952" s="9"/>
      <c r="R952" s="9"/>
      <c r="S952" s="14" t="s">
        <v>3654</v>
      </c>
      <c r="T952" s="9" t="s">
        <v>3655</v>
      </c>
      <c r="U952" s="9" t="s">
        <v>54</v>
      </c>
      <c r="V952" s="9" t="s">
        <v>55</v>
      </c>
      <c r="W952" s="9" t="s">
        <v>55</v>
      </c>
      <c r="X952" s="12"/>
      <c r="Y952" s="9" t="s">
        <v>55</v>
      </c>
      <c r="Z952" s="13"/>
    </row>
    <row r="953" spans="1:26" ht="32.25" hidden="1" customHeight="1">
      <c r="A953" s="8">
        <v>2309073</v>
      </c>
      <c r="B953" s="9" t="s">
        <v>3656</v>
      </c>
      <c r="C953" s="10">
        <v>45142</v>
      </c>
      <c r="D953" s="9" t="s">
        <v>67</v>
      </c>
      <c r="E953" s="9" t="s">
        <v>89</v>
      </c>
      <c r="F953" s="9" t="s">
        <v>42</v>
      </c>
      <c r="G953" s="9" t="s">
        <v>43</v>
      </c>
      <c r="H953" s="9" t="s">
        <v>44</v>
      </c>
      <c r="I953" s="11" t="s">
        <v>354</v>
      </c>
      <c r="J953" s="9" t="s">
        <v>91</v>
      </c>
      <c r="K953" s="9" t="s">
        <v>47</v>
      </c>
      <c r="L953" s="9" t="s">
        <v>156</v>
      </c>
      <c r="M953" s="9"/>
      <c r="N953" s="9" t="s">
        <v>50</v>
      </c>
      <c r="O953" s="9" t="s">
        <v>51</v>
      </c>
      <c r="P953" s="9" t="s">
        <v>356</v>
      </c>
      <c r="Q953" s="9"/>
      <c r="R953" s="9"/>
      <c r="S953" s="9" t="s">
        <v>3657</v>
      </c>
      <c r="T953" s="9" t="s">
        <v>3658</v>
      </c>
      <c r="U953" s="9" t="s">
        <v>54</v>
      </c>
      <c r="V953" s="9" t="s">
        <v>55</v>
      </c>
      <c r="W953" s="9" t="s">
        <v>55</v>
      </c>
      <c r="X953" s="12"/>
      <c r="Y953" s="9" t="s">
        <v>55</v>
      </c>
      <c r="Z953" s="13"/>
    </row>
    <row r="954" spans="1:26" ht="32.25" hidden="1" customHeight="1">
      <c r="A954" s="8">
        <v>2314362</v>
      </c>
      <c r="B954" s="9" t="s">
        <v>3659</v>
      </c>
      <c r="C954" s="10">
        <v>45142</v>
      </c>
      <c r="D954" s="9" t="s">
        <v>232</v>
      </c>
      <c r="E954" s="9" t="s">
        <v>41</v>
      </c>
      <c r="F954" s="9" t="s">
        <v>80</v>
      </c>
      <c r="G954" s="9" t="s">
        <v>43</v>
      </c>
      <c r="H954" s="9" t="s">
        <v>44</v>
      </c>
      <c r="I954" s="11" t="s">
        <v>81</v>
      </c>
      <c r="J954" s="9" t="s">
        <v>46</v>
      </c>
      <c r="K954" s="9" t="s">
        <v>2826</v>
      </c>
      <c r="L954" s="9"/>
      <c r="M954" s="9" t="s">
        <v>3660</v>
      </c>
      <c r="N954" s="9" t="s">
        <v>50</v>
      </c>
      <c r="O954" s="9" t="s">
        <v>187</v>
      </c>
      <c r="P954" s="9" t="s">
        <v>253</v>
      </c>
      <c r="Q954" s="9"/>
      <c r="R954" s="9" t="s">
        <v>61</v>
      </c>
      <c r="S954" s="9" t="s">
        <v>3661</v>
      </c>
      <c r="T954" s="9" t="s">
        <v>3662</v>
      </c>
      <c r="U954" s="9" t="s">
        <v>54</v>
      </c>
      <c r="V954" s="9" t="s">
        <v>76</v>
      </c>
      <c r="W954" s="9" t="s">
        <v>55</v>
      </c>
      <c r="X954" s="12" t="s">
        <v>76</v>
      </c>
      <c r="Y954" s="9" t="s">
        <v>77</v>
      </c>
      <c r="Z954" s="13" t="s">
        <v>240</v>
      </c>
    </row>
    <row r="955" spans="1:26" ht="32.25" hidden="1" customHeight="1">
      <c r="A955" s="8">
        <v>2305328</v>
      </c>
      <c r="B955" s="9" t="s">
        <v>3663</v>
      </c>
      <c r="C955" s="10">
        <v>45156</v>
      </c>
      <c r="D955" s="9" t="s">
        <v>79</v>
      </c>
      <c r="E955" s="9" t="s">
        <v>143</v>
      </c>
      <c r="F955" s="9" t="s">
        <v>80</v>
      </c>
      <c r="G955" s="9" t="s">
        <v>43</v>
      </c>
      <c r="H955" s="9" t="s">
        <v>44</v>
      </c>
      <c r="I955" s="11" t="s">
        <v>326</v>
      </c>
      <c r="J955" s="9" t="s">
        <v>327</v>
      </c>
      <c r="K955" s="9" t="s">
        <v>47</v>
      </c>
      <c r="L955" s="9" t="s">
        <v>48</v>
      </c>
      <c r="M955" s="9" t="s">
        <v>3053</v>
      </c>
      <c r="N955" s="9" t="s">
        <v>50</v>
      </c>
      <c r="O955" s="9" t="s">
        <v>51</v>
      </c>
      <c r="P955" s="9" t="s">
        <v>1029</v>
      </c>
      <c r="Q955" s="9"/>
      <c r="R955" s="9" t="s">
        <v>61</v>
      </c>
      <c r="S955" s="14" t="s">
        <v>3664</v>
      </c>
      <c r="T955" s="9" t="s">
        <v>3665</v>
      </c>
      <c r="U955" s="9" t="s">
        <v>54</v>
      </c>
      <c r="V955" s="9" t="s">
        <v>370</v>
      </c>
      <c r="W955" s="9" t="s">
        <v>115</v>
      </c>
      <c r="X955" s="12" t="s">
        <v>150</v>
      </c>
      <c r="Y955" s="9" t="s">
        <v>151</v>
      </c>
      <c r="Z955" s="13"/>
    </row>
    <row r="956" spans="1:26" ht="32.25" hidden="1" customHeight="1">
      <c r="A956" s="8">
        <v>2306445</v>
      </c>
      <c r="B956" s="9" t="s">
        <v>3666</v>
      </c>
      <c r="C956" s="10">
        <v>45149</v>
      </c>
      <c r="D956" s="9" t="s">
        <v>57</v>
      </c>
      <c r="E956" s="9" t="s">
        <v>41</v>
      </c>
      <c r="F956" s="9" t="s">
        <v>42</v>
      </c>
      <c r="G956" s="9" t="s">
        <v>43</v>
      </c>
      <c r="H956" s="9" t="s">
        <v>58</v>
      </c>
      <c r="I956" s="11" t="s">
        <v>199</v>
      </c>
      <c r="J956" s="9" t="s">
        <v>200</v>
      </c>
      <c r="K956" s="9" t="s">
        <v>47</v>
      </c>
      <c r="L956" s="9" t="s">
        <v>3667</v>
      </c>
      <c r="M956" s="9" t="s">
        <v>3668</v>
      </c>
      <c r="N956" s="9" t="s">
        <v>84</v>
      </c>
      <c r="O956" s="9" t="s">
        <v>51</v>
      </c>
      <c r="P956" s="9"/>
      <c r="Q956" s="9"/>
      <c r="R956" s="9" t="s">
        <v>61</v>
      </c>
      <c r="S956" s="14" t="s">
        <v>3669</v>
      </c>
      <c r="T956" s="9" t="s">
        <v>3670</v>
      </c>
      <c r="U956" s="9" t="s">
        <v>54</v>
      </c>
      <c r="V956" s="9" t="s">
        <v>55</v>
      </c>
      <c r="W956" s="9" t="s">
        <v>55</v>
      </c>
      <c r="X956" s="12" t="s">
        <v>196</v>
      </c>
      <c r="Y956" s="9" t="s">
        <v>197</v>
      </c>
      <c r="Z956" s="13"/>
    </row>
    <row r="957" spans="1:26" ht="32.25" hidden="1" customHeight="1">
      <c r="A957" s="8">
        <v>2307913</v>
      </c>
      <c r="B957" s="9" t="s">
        <v>3671</v>
      </c>
      <c r="C957" s="10">
        <v>45149</v>
      </c>
      <c r="D957" s="9" t="s">
        <v>57</v>
      </c>
      <c r="E957" s="9" t="s">
        <v>41</v>
      </c>
      <c r="F957" s="9" t="s">
        <v>42</v>
      </c>
      <c r="G957" s="9" t="s">
        <v>43</v>
      </c>
      <c r="H957" s="9" t="s">
        <v>58</v>
      </c>
      <c r="I957" s="11" t="s">
        <v>45</v>
      </c>
      <c r="J957" s="9" t="s">
        <v>46</v>
      </c>
      <c r="K957" s="9" t="s">
        <v>47</v>
      </c>
      <c r="L957" s="9" t="s">
        <v>3667</v>
      </c>
      <c r="M957" s="9" t="s">
        <v>3672</v>
      </c>
      <c r="N957" s="9" t="s">
        <v>50</v>
      </c>
      <c r="O957" s="9" t="s">
        <v>51</v>
      </c>
      <c r="P957" s="9"/>
      <c r="Q957" s="9"/>
      <c r="R957" s="9" t="s">
        <v>61</v>
      </c>
      <c r="S957" s="14" t="s">
        <v>3673</v>
      </c>
      <c r="T957" s="9" t="s">
        <v>3674</v>
      </c>
      <c r="U957" s="9" t="s">
        <v>54</v>
      </c>
      <c r="V957" s="9" t="s">
        <v>55</v>
      </c>
      <c r="W957" s="9" t="s">
        <v>55</v>
      </c>
      <c r="X957" s="9" t="s">
        <v>64</v>
      </c>
      <c r="Y957" s="9" t="s">
        <v>65</v>
      </c>
      <c r="Z957" s="13"/>
    </row>
    <row r="958" spans="1:26" ht="32.25" hidden="1" customHeight="1">
      <c r="A958" s="8">
        <v>2315584</v>
      </c>
      <c r="B958" s="9" t="s">
        <v>3675</v>
      </c>
      <c r="C958" s="10">
        <v>45156</v>
      </c>
      <c r="D958" s="9" t="s">
        <v>565</v>
      </c>
      <c r="E958" s="9" t="s">
        <v>295</v>
      </c>
      <c r="F958" s="9" t="s">
        <v>42</v>
      </c>
      <c r="G958" s="9" t="s">
        <v>43</v>
      </c>
      <c r="H958" s="9" t="s">
        <v>58</v>
      </c>
      <c r="I958" s="11" t="s">
        <v>406</v>
      </c>
      <c r="J958" s="9" t="s">
        <v>407</v>
      </c>
      <c r="K958" s="9" t="s">
        <v>47</v>
      </c>
      <c r="L958" s="9" t="s">
        <v>156</v>
      </c>
      <c r="M958" s="9"/>
      <c r="N958" s="9" t="s">
        <v>84</v>
      </c>
      <c r="O958" s="9" t="s">
        <v>51</v>
      </c>
      <c r="P958" s="9"/>
      <c r="Q958" s="9"/>
      <c r="R958" s="9"/>
      <c r="S958" s="14" t="s">
        <v>3676</v>
      </c>
      <c r="T958" s="9" t="s">
        <v>3677</v>
      </c>
      <c r="U958" s="9" t="s">
        <v>54</v>
      </c>
      <c r="V958" s="9" t="s">
        <v>55</v>
      </c>
      <c r="W958" s="9" t="s">
        <v>55</v>
      </c>
      <c r="X958" s="12"/>
      <c r="Y958" s="9" t="s">
        <v>55</v>
      </c>
      <c r="Z958" s="13"/>
    </row>
    <row r="959" spans="1:26" ht="32.25" hidden="1" customHeight="1">
      <c r="A959" s="8">
        <v>2307849</v>
      </c>
      <c r="B959" s="9" t="s">
        <v>3678</v>
      </c>
      <c r="C959" s="10">
        <v>45156</v>
      </c>
      <c r="D959" s="9" t="s">
        <v>79</v>
      </c>
      <c r="E959" s="9" t="s">
        <v>41</v>
      </c>
      <c r="F959" s="9" t="s">
        <v>80</v>
      </c>
      <c r="G959" s="9" t="s">
        <v>43</v>
      </c>
      <c r="H959" s="9" t="s">
        <v>44</v>
      </c>
      <c r="I959" s="11" t="s">
        <v>478</v>
      </c>
      <c r="J959" s="9" t="s">
        <v>479</v>
      </c>
      <c r="K959" s="9" t="s">
        <v>47</v>
      </c>
      <c r="L959" s="9" t="s">
        <v>305</v>
      </c>
      <c r="M959" s="9" t="s">
        <v>3679</v>
      </c>
      <c r="N959" s="9" t="s">
        <v>50</v>
      </c>
      <c r="O959" s="9" t="s">
        <v>51</v>
      </c>
      <c r="P959" s="9" t="s">
        <v>1414</v>
      </c>
      <c r="Q959" s="9"/>
      <c r="R959" s="9" t="s">
        <v>61</v>
      </c>
      <c r="S959" s="14" t="s">
        <v>3680</v>
      </c>
      <c r="T959" s="9" t="s">
        <v>3681</v>
      </c>
      <c r="U959" s="9" t="s">
        <v>54</v>
      </c>
      <c r="V959" s="9" t="s">
        <v>370</v>
      </c>
      <c r="W959" s="9" t="s">
        <v>55</v>
      </c>
      <c r="X959" s="12" t="s">
        <v>150</v>
      </c>
      <c r="Y959" s="9" t="s">
        <v>151</v>
      </c>
      <c r="Z959" s="13"/>
    </row>
    <row r="960" spans="1:26" ht="32.25" hidden="1" customHeight="1">
      <c r="A960" s="8">
        <v>2311602</v>
      </c>
      <c r="B960" s="9" t="s">
        <v>3682</v>
      </c>
      <c r="C960" s="10">
        <v>45156</v>
      </c>
      <c r="D960" s="9" t="s">
        <v>79</v>
      </c>
      <c r="E960" s="9" t="s">
        <v>89</v>
      </c>
      <c r="F960" s="9" t="s">
        <v>80</v>
      </c>
      <c r="G960" s="9" t="s">
        <v>43</v>
      </c>
      <c r="H960" s="9" t="s">
        <v>44</v>
      </c>
      <c r="I960" s="11" t="s">
        <v>90</v>
      </c>
      <c r="J960" s="9" t="s">
        <v>91</v>
      </c>
      <c r="K960" s="9" t="s">
        <v>47</v>
      </c>
      <c r="L960" s="9" t="s">
        <v>799</v>
      </c>
      <c r="M960" s="9" t="s">
        <v>1490</v>
      </c>
      <c r="N960" s="9" t="s">
        <v>50</v>
      </c>
      <c r="O960" s="9" t="s">
        <v>51</v>
      </c>
      <c r="P960" s="9" t="s">
        <v>95</v>
      </c>
      <c r="Q960" s="9"/>
      <c r="R960" s="9" t="s">
        <v>61</v>
      </c>
      <c r="S960" s="14" t="s">
        <v>3683</v>
      </c>
      <c r="T960" s="9" t="s">
        <v>3684</v>
      </c>
      <c r="U960" s="9" t="s">
        <v>54</v>
      </c>
      <c r="V960" s="9" t="s">
        <v>55</v>
      </c>
      <c r="W960" s="9" t="s">
        <v>115</v>
      </c>
      <c r="X960" s="12" t="s">
        <v>98</v>
      </c>
      <c r="Y960" s="9" t="s">
        <v>99</v>
      </c>
      <c r="Z960" s="13"/>
    </row>
    <row r="961" spans="1:26" ht="32.25" hidden="1" customHeight="1">
      <c r="A961" s="8">
        <v>2300338</v>
      </c>
      <c r="B961" s="9" t="s">
        <v>3685</v>
      </c>
      <c r="C961" s="10">
        <v>45142</v>
      </c>
      <c r="D961" s="9" t="s">
        <v>232</v>
      </c>
      <c r="E961" s="9" t="s">
        <v>143</v>
      </c>
      <c r="F961" s="9" t="s">
        <v>80</v>
      </c>
      <c r="G961" s="9" t="s">
        <v>43</v>
      </c>
      <c r="H961" s="9" t="s">
        <v>44</v>
      </c>
      <c r="I961" s="11" t="s">
        <v>326</v>
      </c>
      <c r="J961" s="9" t="s">
        <v>327</v>
      </c>
      <c r="K961" s="9" t="s">
        <v>2826</v>
      </c>
      <c r="L961" s="9"/>
      <c r="M961" s="9" t="s">
        <v>3686</v>
      </c>
      <c r="N961" s="9" t="s">
        <v>50</v>
      </c>
      <c r="O961" s="9" t="s">
        <v>187</v>
      </c>
      <c r="P961" s="9" t="s">
        <v>522</v>
      </c>
      <c r="Q961" s="9"/>
      <c r="R961" s="9" t="s">
        <v>61</v>
      </c>
      <c r="S961" s="9" t="s">
        <v>3687</v>
      </c>
      <c r="T961" s="9" t="s">
        <v>3688</v>
      </c>
      <c r="U961" s="9" t="s">
        <v>54</v>
      </c>
      <c r="V961" s="9" t="s">
        <v>2177</v>
      </c>
      <c r="W961" s="9" t="s">
        <v>55</v>
      </c>
      <c r="X961" s="12" t="s">
        <v>171</v>
      </c>
      <c r="Y961" s="9" t="s">
        <v>172</v>
      </c>
      <c r="Z961" s="13" t="s">
        <v>240</v>
      </c>
    </row>
    <row r="962" spans="1:26" ht="32.25" hidden="1" customHeight="1">
      <c r="A962" s="8">
        <v>2306333</v>
      </c>
      <c r="B962" s="9" t="s">
        <v>3689</v>
      </c>
      <c r="C962" s="10">
        <v>45156</v>
      </c>
      <c r="D962" s="9" t="s">
        <v>79</v>
      </c>
      <c r="E962" s="9" t="s">
        <v>68</v>
      </c>
      <c r="F962" s="9" t="s">
        <v>80</v>
      </c>
      <c r="G962" s="9" t="s">
        <v>43</v>
      </c>
      <c r="H962" s="9" t="s">
        <v>44</v>
      </c>
      <c r="I962" s="11" t="s">
        <v>101</v>
      </c>
      <c r="J962" s="9" t="s">
        <v>102</v>
      </c>
      <c r="K962" s="9" t="s">
        <v>416</v>
      </c>
      <c r="L962" s="9"/>
      <c r="M962" s="9"/>
      <c r="N962" s="9" t="s">
        <v>84</v>
      </c>
      <c r="O962" s="9" t="s">
        <v>51</v>
      </c>
      <c r="P962" s="9" t="s">
        <v>379</v>
      </c>
      <c r="Q962" s="9"/>
      <c r="R962" s="9"/>
      <c r="S962" s="14" t="s">
        <v>3690</v>
      </c>
      <c r="T962" s="9" t="s">
        <v>3691</v>
      </c>
      <c r="U962" s="9" t="s">
        <v>54</v>
      </c>
      <c r="V962" s="9" t="s">
        <v>55</v>
      </c>
      <c r="W962" s="9" t="s">
        <v>115</v>
      </c>
      <c r="X962" s="12"/>
      <c r="Y962" s="9" t="s">
        <v>55</v>
      </c>
      <c r="Z962" s="13"/>
    </row>
    <row r="963" spans="1:26" ht="32.25" hidden="1" customHeight="1">
      <c r="A963" s="8">
        <v>2304166</v>
      </c>
      <c r="B963" s="9" t="s">
        <v>3692</v>
      </c>
      <c r="C963" s="10">
        <v>45136</v>
      </c>
      <c r="D963" s="9" t="s">
        <v>40</v>
      </c>
      <c r="E963" s="9" t="s">
        <v>41</v>
      </c>
      <c r="F963" s="9" t="s">
        <v>42</v>
      </c>
      <c r="G963" s="9" t="s">
        <v>43</v>
      </c>
      <c r="H963" s="9" t="s">
        <v>44</v>
      </c>
      <c r="I963" s="11" t="s">
        <v>45</v>
      </c>
      <c r="J963" s="9" t="s">
        <v>46</v>
      </c>
      <c r="K963" s="9" t="s">
        <v>47</v>
      </c>
      <c r="L963" s="9" t="s">
        <v>3693</v>
      </c>
      <c r="M963" s="9" t="s">
        <v>3694</v>
      </c>
      <c r="N963" s="9" t="s">
        <v>50</v>
      </c>
      <c r="O963" s="9" t="s">
        <v>51</v>
      </c>
      <c r="P963" s="9"/>
      <c r="Q963" s="9"/>
      <c r="R963" s="9" t="s">
        <v>61</v>
      </c>
      <c r="S963" s="9" t="s">
        <v>3695</v>
      </c>
      <c r="T963" s="9" t="s">
        <v>3696</v>
      </c>
      <c r="U963" s="9" t="s">
        <v>54</v>
      </c>
      <c r="V963" s="9" t="s">
        <v>55</v>
      </c>
      <c r="W963" s="9" t="s">
        <v>55</v>
      </c>
      <c r="X963" s="9" t="s">
        <v>64</v>
      </c>
      <c r="Y963" s="9" t="s">
        <v>65</v>
      </c>
      <c r="Z963" s="13"/>
    </row>
    <row r="964" spans="1:26" ht="32.25" hidden="1" customHeight="1">
      <c r="A964" s="8">
        <v>2311191</v>
      </c>
      <c r="B964" s="9" t="s">
        <v>3697</v>
      </c>
      <c r="C964" s="10">
        <v>45142</v>
      </c>
      <c r="D964" s="9" t="s">
        <v>67</v>
      </c>
      <c r="E964" s="9" t="s">
        <v>143</v>
      </c>
      <c r="F964" s="9" t="s">
        <v>42</v>
      </c>
      <c r="G964" s="9" t="s">
        <v>43</v>
      </c>
      <c r="H964" s="9" t="s">
        <v>44</v>
      </c>
      <c r="I964" s="11" t="s">
        <v>219</v>
      </c>
      <c r="J964" s="9" t="s">
        <v>220</v>
      </c>
      <c r="K964" s="9" t="s">
        <v>47</v>
      </c>
      <c r="L964" s="9" t="s">
        <v>437</v>
      </c>
      <c r="M964" s="9" t="s">
        <v>1882</v>
      </c>
      <c r="N964" s="9" t="s">
        <v>84</v>
      </c>
      <c r="O964" s="9" t="s">
        <v>51</v>
      </c>
      <c r="P964" s="9"/>
      <c r="Q964" s="9"/>
      <c r="R964" s="9" t="s">
        <v>61</v>
      </c>
      <c r="S964" s="9" t="s">
        <v>3698</v>
      </c>
      <c r="T964" s="9" t="s">
        <v>3699</v>
      </c>
      <c r="U964" s="9" t="s">
        <v>54</v>
      </c>
      <c r="V964" s="9" t="s">
        <v>55</v>
      </c>
      <c r="W964" s="9" t="s">
        <v>55</v>
      </c>
      <c r="X964" s="12" t="s">
        <v>171</v>
      </c>
      <c r="Y964" s="9" t="s">
        <v>172</v>
      </c>
      <c r="Z964" s="13"/>
    </row>
    <row r="965" spans="1:26" ht="32.25" hidden="1" customHeight="1">
      <c r="A965" s="8">
        <v>2303290</v>
      </c>
      <c r="B965" s="9" t="s">
        <v>3700</v>
      </c>
      <c r="C965" s="10">
        <v>45149</v>
      </c>
      <c r="D965" s="9" t="s">
        <v>57</v>
      </c>
      <c r="E965" s="9" t="s">
        <v>41</v>
      </c>
      <c r="F965" s="9" t="s">
        <v>42</v>
      </c>
      <c r="G965" s="9" t="s">
        <v>43</v>
      </c>
      <c r="H965" s="9" t="s">
        <v>58</v>
      </c>
      <c r="I965" s="11" t="s">
        <v>199</v>
      </c>
      <c r="J965" s="9" t="s">
        <v>200</v>
      </c>
      <c r="K965" s="9" t="s">
        <v>47</v>
      </c>
      <c r="L965" s="9" t="s">
        <v>746</v>
      </c>
      <c r="M965" s="9" t="s">
        <v>747</v>
      </c>
      <c r="N965" s="9" t="s">
        <v>84</v>
      </c>
      <c r="O965" s="9" t="s">
        <v>51</v>
      </c>
      <c r="P965" s="9"/>
      <c r="Q965" s="9"/>
      <c r="R965" s="9"/>
      <c r="S965" s="14" t="s">
        <v>3701</v>
      </c>
      <c r="T965" s="9" t="s">
        <v>3702</v>
      </c>
      <c r="U965" s="9" t="s">
        <v>54</v>
      </c>
      <c r="V965" s="9" t="s">
        <v>55</v>
      </c>
      <c r="W965" s="9" t="s">
        <v>55</v>
      </c>
      <c r="X965" s="12"/>
      <c r="Y965" s="9" t="s">
        <v>55</v>
      </c>
      <c r="Z965" s="13"/>
    </row>
    <row r="966" spans="1:26" ht="32.25" hidden="1" customHeight="1">
      <c r="A966" s="8">
        <v>2305284</v>
      </c>
      <c r="B966" s="9" t="s">
        <v>3703</v>
      </c>
      <c r="C966" s="10">
        <v>45156</v>
      </c>
      <c r="D966" s="9" t="s">
        <v>79</v>
      </c>
      <c r="E966" s="9" t="s">
        <v>143</v>
      </c>
      <c r="F966" s="9" t="s">
        <v>80</v>
      </c>
      <c r="G966" s="9" t="s">
        <v>43</v>
      </c>
      <c r="H966" s="9" t="s">
        <v>44</v>
      </c>
      <c r="I966" s="11" t="s">
        <v>399</v>
      </c>
      <c r="J966" s="9" t="s">
        <v>400</v>
      </c>
      <c r="K966" s="9" t="s">
        <v>47</v>
      </c>
      <c r="L966" s="9" t="s">
        <v>156</v>
      </c>
      <c r="M966" s="9"/>
      <c r="N966" s="9" t="s">
        <v>84</v>
      </c>
      <c r="O966" s="9" t="s">
        <v>51</v>
      </c>
      <c r="P966" s="9" t="s">
        <v>1617</v>
      </c>
      <c r="Q966" s="9"/>
      <c r="R966" s="9" t="s">
        <v>61</v>
      </c>
      <c r="S966" s="14" t="s">
        <v>3704</v>
      </c>
      <c r="T966" s="9" t="s">
        <v>3705</v>
      </c>
      <c r="U966" s="9" t="s">
        <v>54</v>
      </c>
      <c r="V966" s="9" t="s">
        <v>55</v>
      </c>
      <c r="W966" s="9" t="s">
        <v>55</v>
      </c>
      <c r="X966" s="12"/>
      <c r="Y966" s="9" t="s">
        <v>55</v>
      </c>
      <c r="Z966" s="13" t="s">
        <v>1220</v>
      </c>
    </row>
    <row r="967" spans="1:26" ht="32.25" hidden="1" customHeight="1">
      <c r="A967" s="8">
        <v>2312189</v>
      </c>
      <c r="B967" s="9" t="s">
        <v>3706</v>
      </c>
      <c r="C967" s="10">
        <v>45142</v>
      </c>
      <c r="D967" s="9" t="s">
        <v>67</v>
      </c>
      <c r="E967" s="9" t="s">
        <v>41</v>
      </c>
      <c r="F967" s="9" t="s">
        <v>42</v>
      </c>
      <c r="G967" s="9" t="s">
        <v>43</v>
      </c>
      <c r="H967" s="9" t="s">
        <v>44</v>
      </c>
      <c r="I967" s="11" t="s">
        <v>45</v>
      </c>
      <c r="J967" s="9" t="s">
        <v>46</v>
      </c>
      <c r="K967" s="9" t="s">
        <v>47</v>
      </c>
      <c r="L967" s="9" t="s">
        <v>156</v>
      </c>
      <c r="M967" s="9" t="s">
        <v>3707</v>
      </c>
      <c r="N967" s="9" t="s">
        <v>50</v>
      </c>
      <c r="O967" s="9" t="s">
        <v>51</v>
      </c>
      <c r="P967" s="9"/>
      <c r="Q967" s="9"/>
      <c r="R967" s="9"/>
      <c r="S967" s="9" t="s">
        <v>3708</v>
      </c>
      <c r="T967" s="9" t="s">
        <v>3709</v>
      </c>
      <c r="U967" s="9" t="s">
        <v>54</v>
      </c>
      <c r="V967" s="9" t="s">
        <v>55</v>
      </c>
      <c r="W967" s="9" t="s">
        <v>55</v>
      </c>
      <c r="X967" s="12"/>
      <c r="Y967" s="9" t="s">
        <v>55</v>
      </c>
      <c r="Z967" s="13"/>
    </row>
    <row r="968" spans="1:26" ht="32.25" hidden="1" customHeight="1">
      <c r="A968" s="8">
        <v>2308809</v>
      </c>
      <c r="B968" s="9" t="s">
        <v>3710</v>
      </c>
      <c r="C968" s="10">
        <v>45156</v>
      </c>
      <c r="D968" s="9" t="s">
        <v>565</v>
      </c>
      <c r="E968" s="9" t="s">
        <v>41</v>
      </c>
      <c r="F968" s="9" t="s">
        <v>42</v>
      </c>
      <c r="G968" s="9" t="s">
        <v>43</v>
      </c>
      <c r="H968" s="9" t="s">
        <v>58</v>
      </c>
      <c r="I968" s="11" t="s">
        <v>129</v>
      </c>
      <c r="J968" s="9" t="s">
        <v>130</v>
      </c>
      <c r="K968" s="9" t="s">
        <v>47</v>
      </c>
      <c r="L968" s="9" t="s">
        <v>437</v>
      </c>
      <c r="M968" s="9" t="s">
        <v>1707</v>
      </c>
      <c r="N968" s="9" t="s">
        <v>50</v>
      </c>
      <c r="O968" s="9" t="s">
        <v>51</v>
      </c>
      <c r="P968" s="9"/>
      <c r="Q968" s="9"/>
      <c r="R968" s="9" t="s">
        <v>61</v>
      </c>
      <c r="S968" s="14" t="s">
        <v>3711</v>
      </c>
      <c r="T968" s="9" t="s">
        <v>3712</v>
      </c>
      <c r="U968" s="9" t="s">
        <v>54</v>
      </c>
      <c r="V968" s="9" t="s">
        <v>55</v>
      </c>
      <c r="W968" s="9" t="s">
        <v>55</v>
      </c>
      <c r="X968" s="9" t="s">
        <v>196</v>
      </c>
      <c r="Y968" s="9" t="s">
        <v>197</v>
      </c>
      <c r="Z968" s="13" t="s">
        <v>230</v>
      </c>
    </row>
    <row r="969" spans="1:26" ht="32.25" hidden="1" customHeight="1">
      <c r="A969" s="8">
        <v>2310109</v>
      </c>
      <c r="B969" s="9" t="s">
        <v>3713</v>
      </c>
      <c r="C969" s="10">
        <v>45136</v>
      </c>
      <c r="D969" s="9" t="s">
        <v>40</v>
      </c>
      <c r="E969" s="9" t="s">
        <v>41</v>
      </c>
      <c r="F969" s="9" t="s">
        <v>42</v>
      </c>
      <c r="G969" s="9" t="s">
        <v>43</v>
      </c>
      <c r="H969" s="9" t="s">
        <v>44</v>
      </c>
      <c r="I969" s="11" t="s">
        <v>45</v>
      </c>
      <c r="J969" s="9" t="s">
        <v>46</v>
      </c>
      <c r="K969" s="9" t="s">
        <v>47</v>
      </c>
      <c r="L969" s="9" t="s">
        <v>1542</v>
      </c>
      <c r="M969" s="9" t="s">
        <v>1543</v>
      </c>
      <c r="N969" s="9" t="s">
        <v>50</v>
      </c>
      <c r="O969" s="9" t="s">
        <v>51</v>
      </c>
      <c r="P969" s="9"/>
      <c r="Q969" s="9"/>
      <c r="R969" s="9"/>
      <c r="S969" s="9" t="s">
        <v>3714</v>
      </c>
      <c r="T969" s="9" t="s">
        <v>3715</v>
      </c>
      <c r="U969" s="9" t="s">
        <v>54</v>
      </c>
      <c r="V969" s="9" t="s">
        <v>55</v>
      </c>
      <c r="W969" s="9" t="s">
        <v>55</v>
      </c>
      <c r="X969" s="9"/>
      <c r="Y969" s="9" t="s">
        <v>55</v>
      </c>
      <c r="Z969" s="13"/>
    </row>
    <row r="970" spans="1:26" ht="32.25" hidden="1" customHeight="1">
      <c r="A970" s="8">
        <v>2305025</v>
      </c>
      <c r="B970" s="9" t="s">
        <v>3716</v>
      </c>
      <c r="C970" s="10">
        <v>45156</v>
      </c>
      <c r="D970" s="9" t="s">
        <v>79</v>
      </c>
      <c r="E970" s="9" t="s">
        <v>89</v>
      </c>
      <c r="F970" s="9" t="s">
        <v>80</v>
      </c>
      <c r="G970" s="9" t="s">
        <v>43</v>
      </c>
      <c r="H970" s="9" t="s">
        <v>44</v>
      </c>
      <c r="I970" s="11" t="s">
        <v>90</v>
      </c>
      <c r="J970" s="9" t="s">
        <v>91</v>
      </c>
      <c r="K970" s="9" t="s">
        <v>47</v>
      </c>
      <c r="L970" s="9" t="s">
        <v>156</v>
      </c>
      <c r="M970" s="9"/>
      <c r="N970" s="9" t="s">
        <v>50</v>
      </c>
      <c r="O970" s="9" t="s">
        <v>51</v>
      </c>
      <c r="P970" s="9" t="s">
        <v>546</v>
      </c>
      <c r="Q970" s="9"/>
      <c r="R970" s="9"/>
      <c r="S970" s="14" t="s">
        <v>3717</v>
      </c>
      <c r="T970" s="9" t="s">
        <v>3718</v>
      </c>
      <c r="U970" s="9" t="s">
        <v>54</v>
      </c>
      <c r="V970" s="9" t="s">
        <v>55</v>
      </c>
      <c r="W970" s="9" t="s">
        <v>55</v>
      </c>
      <c r="X970" s="12"/>
      <c r="Y970" s="9" t="s">
        <v>55</v>
      </c>
      <c r="Z970" s="13"/>
    </row>
    <row r="971" spans="1:26" ht="32.25" hidden="1" customHeight="1">
      <c r="A971" s="8">
        <v>2302322</v>
      </c>
      <c r="B971" s="9" t="s">
        <v>3719</v>
      </c>
      <c r="C971" s="10">
        <v>45149</v>
      </c>
      <c r="D971" s="9" t="s">
        <v>57</v>
      </c>
      <c r="E971" s="9" t="s">
        <v>41</v>
      </c>
      <c r="F971" s="9" t="s">
        <v>42</v>
      </c>
      <c r="G971" s="9" t="s">
        <v>43</v>
      </c>
      <c r="H971" s="9" t="s">
        <v>58</v>
      </c>
      <c r="I971" s="11" t="s">
        <v>661</v>
      </c>
      <c r="J971" s="9" t="s">
        <v>662</v>
      </c>
      <c r="K971" s="9" t="s">
        <v>47</v>
      </c>
      <c r="L971" s="9" t="s">
        <v>156</v>
      </c>
      <c r="M971" s="9"/>
      <c r="N971" s="9" t="s">
        <v>50</v>
      </c>
      <c r="O971" s="9" t="s">
        <v>51</v>
      </c>
      <c r="P971" s="9"/>
      <c r="Q971" s="9"/>
      <c r="R971" s="9"/>
      <c r="S971" s="14" t="s">
        <v>3720</v>
      </c>
      <c r="T971" s="9" t="s">
        <v>3721</v>
      </c>
      <c r="U971" s="9" t="s">
        <v>54</v>
      </c>
      <c r="V971" s="9" t="s">
        <v>55</v>
      </c>
      <c r="W971" s="9" t="s">
        <v>55</v>
      </c>
      <c r="X971" s="12"/>
      <c r="Y971" s="9" t="s">
        <v>55</v>
      </c>
      <c r="Z971" s="13"/>
    </row>
    <row r="972" spans="1:26" ht="32.25" hidden="1" customHeight="1">
      <c r="A972" s="8">
        <v>2311093</v>
      </c>
      <c r="B972" s="9" t="s">
        <v>3722</v>
      </c>
      <c r="C972" s="10">
        <v>45156</v>
      </c>
      <c r="D972" s="9" t="s">
        <v>565</v>
      </c>
      <c r="E972" s="9" t="s">
        <v>41</v>
      </c>
      <c r="F972" s="9" t="s">
        <v>42</v>
      </c>
      <c r="G972" s="9" t="s">
        <v>43</v>
      </c>
      <c r="H972" s="9" t="s">
        <v>58</v>
      </c>
      <c r="I972" s="11" t="s">
        <v>45</v>
      </c>
      <c r="J972" s="9" t="s">
        <v>46</v>
      </c>
      <c r="K972" s="9" t="s">
        <v>47</v>
      </c>
      <c r="L972" s="9" t="s">
        <v>1315</v>
      </c>
      <c r="M972" s="9" t="s">
        <v>1316</v>
      </c>
      <c r="N972" s="9" t="s">
        <v>84</v>
      </c>
      <c r="O972" s="9" t="s">
        <v>51</v>
      </c>
      <c r="P972" s="9"/>
      <c r="Q972" s="9"/>
      <c r="R972" s="9" t="s">
        <v>61</v>
      </c>
      <c r="S972" s="14" t="s">
        <v>3723</v>
      </c>
      <c r="T972" s="9" t="s">
        <v>3724</v>
      </c>
      <c r="U972" s="9" t="s">
        <v>54</v>
      </c>
      <c r="V972" s="9" t="s">
        <v>55</v>
      </c>
      <c r="W972" s="9" t="s">
        <v>55</v>
      </c>
      <c r="X972" s="9" t="s">
        <v>196</v>
      </c>
      <c r="Y972" s="9" t="s">
        <v>197</v>
      </c>
      <c r="Z972" s="13"/>
    </row>
    <row r="973" spans="1:26" ht="32.25" hidden="1" customHeight="1">
      <c r="A973" s="8">
        <v>2314533</v>
      </c>
      <c r="B973" s="9" t="s">
        <v>3725</v>
      </c>
      <c r="C973" s="10">
        <v>45156</v>
      </c>
      <c r="D973" s="9" t="s">
        <v>79</v>
      </c>
      <c r="E973" s="9" t="s">
        <v>41</v>
      </c>
      <c r="F973" s="9" t="s">
        <v>80</v>
      </c>
      <c r="G973" s="9" t="s">
        <v>43</v>
      </c>
      <c r="H973" s="9" t="s">
        <v>44</v>
      </c>
      <c r="I973" s="11" t="s">
        <v>478</v>
      </c>
      <c r="J973" s="9" t="s">
        <v>479</v>
      </c>
      <c r="K973" s="9" t="s">
        <v>47</v>
      </c>
      <c r="L973" s="9" t="s">
        <v>741</v>
      </c>
      <c r="M973" s="9" t="s">
        <v>3726</v>
      </c>
      <c r="N973" s="9" t="s">
        <v>84</v>
      </c>
      <c r="O973" s="9" t="s">
        <v>51</v>
      </c>
      <c r="P973" s="9" t="s">
        <v>482</v>
      </c>
      <c r="Q973" s="9"/>
      <c r="R973" s="9" t="s">
        <v>61</v>
      </c>
      <c r="S973" s="14" t="s">
        <v>3727</v>
      </c>
      <c r="T973" s="9" t="s">
        <v>3728</v>
      </c>
      <c r="U973" s="9" t="s">
        <v>54</v>
      </c>
      <c r="V973" s="9" t="s">
        <v>55</v>
      </c>
      <c r="W973" s="9" t="s">
        <v>115</v>
      </c>
      <c r="X973" s="12" t="s">
        <v>150</v>
      </c>
      <c r="Y973" s="9" t="s">
        <v>151</v>
      </c>
      <c r="Z973" s="13"/>
    </row>
    <row r="974" spans="1:26" ht="32.25" hidden="1" customHeight="1">
      <c r="A974" s="8">
        <v>2300096</v>
      </c>
      <c r="B974" s="9" t="s">
        <v>3729</v>
      </c>
      <c r="C974" s="10">
        <v>45149</v>
      </c>
      <c r="D974" s="9" t="s">
        <v>261</v>
      </c>
      <c r="E974" s="9" t="s">
        <v>68</v>
      </c>
      <c r="F974" s="9" t="s">
        <v>262</v>
      </c>
      <c r="G974" s="9" t="s">
        <v>43</v>
      </c>
      <c r="H974" s="9" t="s">
        <v>44</v>
      </c>
      <c r="I974" s="11" t="s">
        <v>1085</v>
      </c>
      <c r="J974" s="9" t="s">
        <v>1086</v>
      </c>
      <c r="K974" s="9" t="s">
        <v>47</v>
      </c>
      <c r="L974" s="9" t="s">
        <v>167</v>
      </c>
      <c r="M974" s="9" t="s">
        <v>3730</v>
      </c>
      <c r="N974" s="9" t="s">
        <v>50</v>
      </c>
      <c r="O974" s="9" t="s">
        <v>51</v>
      </c>
      <c r="P974" s="9"/>
      <c r="Q974" s="9"/>
      <c r="R974" s="9" t="s">
        <v>61</v>
      </c>
      <c r="S974" s="14" t="s">
        <v>3731</v>
      </c>
      <c r="T974" s="9" t="s">
        <v>3732</v>
      </c>
      <c r="U974" s="9" t="s">
        <v>262</v>
      </c>
      <c r="V974" s="9" t="s">
        <v>55</v>
      </c>
      <c r="W974" s="9" t="s">
        <v>115</v>
      </c>
      <c r="X974" s="12" t="s">
        <v>76</v>
      </c>
      <c r="Y974" s="9" t="s">
        <v>77</v>
      </c>
      <c r="Z974" s="13" t="s">
        <v>3733</v>
      </c>
    </row>
    <row r="975" spans="1:26" ht="32.25" hidden="1" customHeight="1">
      <c r="A975" s="8">
        <v>2308787</v>
      </c>
      <c r="B975" s="9" t="s">
        <v>3734</v>
      </c>
      <c r="C975" s="10">
        <v>45156</v>
      </c>
      <c r="D975" s="9" t="s">
        <v>79</v>
      </c>
      <c r="E975" s="9" t="s">
        <v>143</v>
      </c>
      <c r="F975" s="9" t="s">
        <v>80</v>
      </c>
      <c r="G975" s="9" t="s">
        <v>43</v>
      </c>
      <c r="H975" s="9" t="s">
        <v>44</v>
      </c>
      <c r="I975" s="11" t="s">
        <v>326</v>
      </c>
      <c r="J975" s="9" t="s">
        <v>327</v>
      </c>
      <c r="K975" s="9" t="s">
        <v>110</v>
      </c>
      <c r="L975" s="9" t="s">
        <v>3735</v>
      </c>
      <c r="M975" s="9" t="s">
        <v>880</v>
      </c>
      <c r="N975" s="9" t="s">
        <v>84</v>
      </c>
      <c r="O975" s="9" t="s">
        <v>51</v>
      </c>
      <c r="P975" s="9" t="s">
        <v>1646</v>
      </c>
      <c r="Q975" s="9"/>
      <c r="R975" s="9" t="s">
        <v>61</v>
      </c>
      <c r="S975" s="14" t="s">
        <v>3736</v>
      </c>
      <c r="T975" s="9" t="s">
        <v>3737</v>
      </c>
      <c r="U975" s="9" t="s">
        <v>54</v>
      </c>
      <c r="V975" s="9" t="s">
        <v>55</v>
      </c>
      <c r="W975" s="9" t="s">
        <v>115</v>
      </c>
      <c r="X975" s="12" t="s">
        <v>150</v>
      </c>
      <c r="Y975" s="9" t="s">
        <v>151</v>
      </c>
      <c r="Z975" s="13"/>
    </row>
    <row r="976" spans="1:26" ht="32.25" hidden="1" customHeight="1">
      <c r="A976" s="8">
        <v>2312906</v>
      </c>
      <c r="B976" s="9" t="s">
        <v>3738</v>
      </c>
      <c r="C976" s="10">
        <v>45149</v>
      </c>
      <c r="D976" s="9" t="s">
        <v>261</v>
      </c>
      <c r="E976" s="9" t="s">
        <v>89</v>
      </c>
      <c r="F976" s="9" t="s">
        <v>262</v>
      </c>
      <c r="G976" s="9" t="s">
        <v>43</v>
      </c>
      <c r="H976" s="9" t="s">
        <v>44</v>
      </c>
      <c r="I976" s="11" t="s">
        <v>685</v>
      </c>
      <c r="J976" s="9" t="s">
        <v>686</v>
      </c>
      <c r="K976" s="9" t="s">
        <v>110</v>
      </c>
      <c r="L976" s="9" t="s">
        <v>119</v>
      </c>
      <c r="M976" s="9" t="s">
        <v>3739</v>
      </c>
      <c r="N976" s="9" t="s">
        <v>50</v>
      </c>
      <c r="O976" s="9" t="s">
        <v>51</v>
      </c>
      <c r="P976" s="9"/>
      <c r="Q976" s="9"/>
      <c r="R976" s="9" t="s">
        <v>61</v>
      </c>
      <c r="S976" s="14" t="s">
        <v>3740</v>
      </c>
      <c r="T976" s="9" t="s">
        <v>3741</v>
      </c>
      <c r="U976" s="9" t="s">
        <v>262</v>
      </c>
      <c r="V976" s="9" t="s">
        <v>711</v>
      </c>
      <c r="W976" s="9" t="s">
        <v>115</v>
      </c>
      <c r="X976" s="12" t="s">
        <v>98</v>
      </c>
      <c r="Y976" s="9" t="s">
        <v>99</v>
      </c>
      <c r="Z976" s="13" t="s">
        <v>1493</v>
      </c>
    </row>
    <row r="977" spans="1:26" ht="32.25" hidden="1" customHeight="1">
      <c r="A977" s="8">
        <v>2306616</v>
      </c>
      <c r="B977" s="9" t="s">
        <v>3742</v>
      </c>
      <c r="C977" s="10">
        <v>45156</v>
      </c>
      <c r="D977" s="9" t="s">
        <v>79</v>
      </c>
      <c r="E977" s="9" t="s">
        <v>89</v>
      </c>
      <c r="F977" s="9" t="s">
        <v>80</v>
      </c>
      <c r="G977" s="9" t="s">
        <v>43</v>
      </c>
      <c r="H977" s="9" t="s">
        <v>44</v>
      </c>
      <c r="I977" s="11" t="s">
        <v>90</v>
      </c>
      <c r="J977" s="9" t="s">
        <v>91</v>
      </c>
      <c r="K977" s="9" t="s">
        <v>47</v>
      </c>
      <c r="L977" s="9" t="s">
        <v>204</v>
      </c>
      <c r="M977" s="9" t="s">
        <v>2166</v>
      </c>
      <c r="N977" s="9" t="s">
        <v>50</v>
      </c>
      <c r="O977" s="9" t="s">
        <v>51</v>
      </c>
      <c r="P977" s="9" t="s">
        <v>95</v>
      </c>
      <c r="Q977" s="9"/>
      <c r="R977" s="9" t="s">
        <v>61</v>
      </c>
      <c r="S977" s="14" t="s">
        <v>3743</v>
      </c>
      <c r="T977" s="9" t="s">
        <v>3744</v>
      </c>
      <c r="U977" s="9" t="s">
        <v>54</v>
      </c>
      <c r="V977" s="9" t="s">
        <v>55</v>
      </c>
      <c r="W977" s="9" t="s">
        <v>55</v>
      </c>
      <c r="X977" s="12" t="s">
        <v>98</v>
      </c>
      <c r="Y977" s="9" t="s">
        <v>99</v>
      </c>
      <c r="Z977" s="13"/>
    </row>
    <row r="978" spans="1:26" ht="32.25" hidden="1" customHeight="1">
      <c r="A978" s="8">
        <v>2315037</v>
      </c>
      <c r="B978" s="9" t="s">
        <v>3745</v>
      </c>
      <c r="C978" s="10">
        <v>45156</v>
      </c>
      <c r="D978" s="9" t="s">
        <v>79</v>
      </c>
      <c r="E978" s="9" t="s">
        <v>89</v>
      </c>
      <c r="F978" s="9" t="s">
        <v>80</v>
      </c>
      <c r="G978" s="9" t="s">
        <v>43</v>
      </c>
      <c r="H978" s="9" t="s">
        <v>44</v>
      </c>
      <c r="I978" s="11" t="s">
        <v>90</v>
      </c>
      <c r="J978" s="9" t="s">
        <v>91</v>
      </c>
      <c r="K978" s="9" t="s">
        <v>818</v>
      </c>
      <c r="L978" s="9"/>
      <c r="M978" s="9"/>
      <c r="N978" s="9" t="s">
        <v>50</v>
      </c>
      <c r="O978" s="9" t="s">
        <v>51</v>
      </c>
      <c r="P978" s="9" t="s">
        <v>498</v>
      </c>
      <c r="Q978" s="9"/>
      <c r="R978" s="9" t="s">
        <v>61</v>
      </c>
      <c r="S978" s="14" t="s">
        <v>3746</v>
      </c>
      <c r="T978" s="9" t="s">
        <v>3747</v>
      </c>
      <c r="U978" s="9" t="s">
        <v>54</v>
      </c>
      <c r="V978" s="9" t="s">
        <v>55</v>
      </c>
      <c r="W978" s="9" t="s">
        <v>55</v>
      </c>
      <c r="X978" s="12" t="s">
        <v>98</v>
      </c>
      <c r="Y978" s="9" t="s">
        <v>99</v>
      </c>
      <c r="Z978" s="13"/>
    </row>
    <row r="979" spans="1:26" ht="32.25" hidden="1" customHeight="1">
      <c r="A979" s="8">
        <v>2313571</v>
      </c>
      <c r="B979" s="9" t="s">
        <v>3748</v>
      </c>
      <c r="C979" s="10">
        <v>45149</v>
      </c>
      <c r="D979" s="9" t="s">
        <v>57</v>
      </c>
      <c r="E979" s="9" t="s">
        <v>295</v>
      </c>
      <c r="F979" s="9" t="s">
        <v>42</v>
      </c>
      <c r="G979" s="9" t="s">
        <v>43</v>
      </c>
      <c r="H979" s="9" t="s">
        <v>58</v>
      </c>
      <c r="I979" s="11" t="s">
        <v>296</v>
      </c>
      <c r="J979" s="9" t="s">
        <v>297</v>
      </c>
      <c r="K979" s="9" t="s">
        <v>47</v>
      </c>
      <c r="L979" s="9" t="s">
        <v>48</v>
      </c>
      <c r="M979" s="9" t="s">
        <v>3749</v>
      </c>
      <c r="N979" s="9" t="s">
        <v>84</v>
      </c>
      <c r="O979" s="9" t="s">
        <v>51</v>
      </c>
      <c r="P979" s="9"/>
      <c r="Q979" s="9"/>
      <c r="R979" s="9" t="s">
        <v>61</v>
      </c>
      <c r="S979" s="14" t="s">
        <v>3750</v>
      </c>
      <c r="T979" s="9" t="s">
        <v>3751</v>
      </c>
      <c r="U979" s="9" t="s">
        <v>54</v>
      </c>
      <c r="V979" s="9" t="s">
        <v>55</v>
      </c>
      <c r="W979" s="9" t="s">
        <v>55</v>
      </c>
      <c r="X979" s="9" t="s">
        <v>319</v>
      </c>
      <c r="Y979" s="9" t="s">
        <v>320</v>
      </c>
      <c r="Z979" s="13"/>
    </row>
    <row r="980" spans="1:26" ht="32.25" hidden="1" customHeight="1">
      <c r="A980" s="8">
        <v>2305562</v>
      </c>
      <c r="B980" s="9" t="s">
        <v>3752</v>
      </c>
      <c r="C980" s="10">
        <v>45136</v>
      </c>
      <c r="D980" s="9" t="s">
        <v>40</v>
      </c>
      <c r="E980" s="9" t="s">
        <v>41</v>
      </c>
      <c r="F980" s="9" t="s">
        <v>42</v>
      </c>
      <c r="G980" s="9" t="s">
        <v>43</v>
      </c>
      <c r="H980" s="9" t="s">
        <v>44</v>
      </c>
      <c r="I980" s="11" t="s">
        <v>45</v>
      </c>
      <c r="J980" s="9" t="s">
        <v>46</v>
      </c>
      <c r="K980" s="9" t="s">
        <v>47</v>
      </c>
      <c r="L980" s="9" t="s">
        <v>1227</v>
      </c>
      <c r="M980" s="9" t="s">
        <v>3753</v>
      </c>
      <c r="N980" s="9" t="s">
        <v>50</v>
      </c>
      <c r="O980" s="9" t="s">
        <v>51</v>
      </c>
      <c r="P980" s="9"/>
      <c r="Q980" s="9"/>
      <c r="R980" s="9" t="s">
        <v>61</v>
      </c>
      <c r="S980" s="9" t="s">
        <v>3754</v>
      </c>
      <c r="T980" s="9" t="s">
        <v>3755</v>
      </c>
      <c r="U980" s="9" t="s">
        <v>54</v>
      </c>
      <c r="V980" s="9" t="s">
        <v>55</v>
      </c>
      <c r="W980" s="9" t="s">
        <v>55</v>
      </c>
      <c r="X980" s="9" t="s">
        <v>64</v>
      </c>
      <c r="Y980" s="9" t="s">
        <v>65</v>
      </c>
      <c r="Z980" s="13"/>
    </row>
    <row r="981" spans="1:26" ht="32.25" hidden="1" customHeight="1">
      <c r="A981" s="8">
        <v>2313547</v>
      </c>
      <c r="B981" s="9" t="s">
        <v>3756</v>
      </c>
      <c r="C981" s="10">
        <v>45142</v>
      </c>
      <c r="D981" s="9" t="s">
        <v>67</v>
      </c>
      <c r="E981" s="9" t="s">
        <v>41</v>
      </c>
      <c r="F981" s="9" t="s">
        <v>42</v>
      </c>
      <c r="G981" s="9" t="s">
        <v>43</v>
      </c>
      <c r="H981" s="9" t="s">
        <v>44</v>
      </c>
      <c r="I981" s="11" t="s">
        <v>45</v>
      </c>
      <c r="J981" s="9" t="s">
        <v>46</v>
      </c>
      <c r="K981" s="9" t="s">
        <v>47</v>
      </c>
      <c r="L981" s="9" t="s">
        <v>156</v>
      </c>
      <c r="M981" s="9"/>
      <c r="N981" s="9" t="s">
        <v>84</v>
      </c>
      <c r="O981" s="9" t="s">
        <v>51</v>
      </c>
      <c r="P981" s="9"/>
      <c r="Q981" s="9"/>
      <c r="R981" s="9"/>
      <c r="S981" s="9" t="s">
        <v>3757</v>
      </c>
      <c r="T981" s="9" t="s">
        <v>3758</v>
      </c>
      <c r="U981" s="9" t="s">
        <v>54</v>
      </c>
      <c r="V981" s="9" t="s">
        <v>55</v>
      </c>
      <c r="W981" s="9" t="s">
        <v>55</v>
      </c>
      <c r="X981" s="12"/>
      <c r="Y981" s="9" t="s">
        <v>55</v>
      </c>
      <c r="Z981" s="13"/>
    </row>
    <row r="982" spans="1:26" ht="32.25" hidden="1" customHeight="1">
      <c r="A982" s="8">
        <v>2307259</v>
      </c>
      <c r="B982" s="9" t="s">
        <v>3759</v>
      </c>
      <c r="C982" s="10">
        <v>45149</v>
      </c>
      <c r="D982" s="9" t="s">
        <v>57</v>
      </c>
      <c r="E982" s="9" t="s">
        <v>41</v>
      </c>
      <c r="F982" s="9" t="s">
        <v>42</v>
      </c>
      <c r="G982" s="9" t="s">
        <v>43</v>
      </c>
      <c r="H982" s="9" t="s">
        <v>58</v>
      </c>
      <c r="I982" s="11" t="s">
        <v>199</v>
      </c>
      <c r="J982" s="9" t="s">
        <v>200</v>
      </c>
      <c r="K982" s="9" t="s">
        <v>47</v>
      </c>
      <c r="L982" s="9" t="s">
        <v>162</v>
      </c>
      <c r="M982" s="9" t="s">
        <v>3760</v>
      </c>
      <c r="N982" s="9" t="s">
        <v>84</v>
      </c>
      <c r="O982" s="9" t="s">
        <v>51</v>
      </c>
      <c r="P982" s="9"/>
      <c r="Q982" s="9"/>
      <c r="R982" s="9"/>
      <c r="S982" s="14" t="s">
        <v>3761</v>
      </c>
      <c r="T982" s="9" t="s">
        <v>3762</v>
      </c>
      <c r="U982" s="9" t="s">
        <v>54</v>
      </c>
      <c r="V982" s="9" t="s">
        <v>55</v>
      </c>
      <c r="W982" s="9" t="s">
        <v>55</v>
      </c>
      <c r="X982" s="12"/>
      <c r="Y982" s="9" t="s">
        <v>55</v>
      </c>
      <c r="Z982" s="13"/>
    </row>
    <row r="983" spans="1:26" ht="32.25" hidden="1" customHeight="1">
      <c r="A983" s="8">
        <v>2305622</v>
      </c>
      <c r="B983" s="9" t="s">
        <v>3763</v>
      </c>
      <c r="C983" s="10">
        <v>45142</v>
      </c>
      <c r="D983" s="9" t="s">
        <v>67</v>
      </c>
      <c r="E983" s="9" t="s">
        <v>68</v>
      </c>
      <c r="F983" s="9" t="s">
        <v>135</v>
      </c>
      <c r="G983" s="9" t="s">
        <v>43</v>
      </c>
      <c r="H983" s="9" t="s">
        <v>44</v>
      </c>
      <c r="I983" s="11" t="s">
        <v>3024</v>
      </c>
      <c r="J983" s="9" t="s">
        <v>3025</v>
      </c>
      <c r="K983" s="9" t="s">
        <v>47</v>
      </c>
      <c r="L983" s="9" t="s">
        <v>59</v>
      </c>
      <c r="M983" s="9" t="s">
        <v>60</v>
      </c>
      <c r="N983" s="9" t="s">
        <v>84</v>
      </c>
      <c r="O983" s="9" t="s">
        <v>51</v>
      </c>
      <c r="P983" s="9"/>
      <c r="Q983" s="9"/>
      <c r="R983" s="9" t="s">
        <v>61</v>
      </c>
      <c r="S983" s="9" t="s">
        <v>3764</v>
      </c>
      <c r="T983" s="9" t="s">
        <v>3765</v>
      </c>
      <c r="U983" s="9" t="s">
        <v>54</v>
      </c>
      <c r="V983" s="9" t="s">
        <v>55</v>
      </c>
      <c r="W983" s="9" t="s">
        <v>55</v>
      </c>
      <c r="X983" s="12" t="s">
        <v>76</v>
      </c>
      <c r="Y983" s="9" t="s">
        <v>77</v>
      </c>
      <c r="Z983" s="13"/>
    </row>
    <row r="984" spans="1:26" ht="32.25" hidden="1" customHeight="1">
      <c r="A984" s="8">
        <v>2308992</v>
      </c>
      <c r="B984" s="9" t="s">
        <v>3766</v>
      </c>
      <c r="C984" s="10">
        <v>45156</v>
      </c>
      <c r="D984" s="9" t="s">
        <v>79</v>
      </c>
      <c r="E984" s="9" t="s">
        <v>41</v>
      </c>
      <c r="F984" s="9" t="s">
        <v>80</v>
      </c>
      <c r="G984" s="9" t="s">
        <v>43</v>
      </c>
      <c r="H984" s="9" t="s">
        <v>44</v>
      </c>
      <c r="I984" s="11" t="s">
        <v>233</v>
      </c>
      <c r="J984" s="9" t="s">
        <v>200</v>
      </c>
      <c r="K984" s="9" t="s">
        <v>47</v>
      </c>
      <c r="L984" s="9" t="s">
        <v>340</v>
      </c>
      <c r="M984" s="9" t="s">
        <v>2384</v>
      </c>
      <c r="N984" s="9" t="s">
        <v>84</v>
      </c>
      <c r="O984" s="9" t="s">
        <v>51</v>
      </c>
      <c r="P984" s="9" t="s">
        <v>443</v>
      </c>
      <c r="Q984" s="9"/>
      <c r="R984" s="9" t="s">
        <v>61</v>
      </c>
      <c r="S984" s="14" t="s">
        <v>3767</v>
      </c>
      <c r="T984" s="9" t="s">
        <v>3768</v>
      </c>
      <c r="U984" s="9" t="s">
        <v>54</v>
      </c>
      <c r="V984" s="9" t="s">
        <v>251</v>
      </c>
      <c r="W984" s="9" t="s">
        <v>115</v>
      </c>
      <c r="X984" s="12" t="s">
        <v>171</v>
      </c>
      <c r="Y984" s="9" t="s">
        <v>172</v>
      </c>
      <c r="Z984" s="13"/>
    </row>
    <row r="985" spans="1:26" ht="32.25" hidden="1" customHeight="1">
      <c r="A985" s="8">
        <v>2304563</v>
      </c>
      <c r="B985" s="9" t="s">
        <v>3769</v>
      </c>
      <c r="C985" s="10">
        <v>45149</v>
      </c>
      <c r="D985" s="9" t="s">
        <v>57</v>
      </c>
      <c r="E985" s="9" t="s">
        <v>41</v>
      </c>
      <c r="F985" s="9" t="s">
        <v>42</v>
      </c>
      <c r="G985" s="9" t="s">
        <v>43</v>
      </c>
      <c r="H985" s="9" t="s">
        <v>58</v>
      </c>
      <c r="I985" s="11" t="s">
        <v>129</v>
      </c>
      <c r="J985" s="9" t="s">
        <v>130</v>
      </c>
      <c r="K985" s="9" t="s">
        <v>47</v>
      </c>
      <c r="L985" s="9" t="s">
        <v>156</v>
      </c>
      <c r="M985" s="9"/>
      <c r="N985" s="9" t="s">
        <v>84</v>
      </c>
      <c r="O985" s="9" t="s">
        <v>51</v>
      </c>
      <c r="P985" s="9"/>
      <c r="Q985" s="9"/>
      <c r="R985" s="9"/>
      <c r="S985" s="14" t="s">
        <v>3770</v>
      </c>
      <c r="T985" s="9" t="s">
        <v>3771</v>
      </c>
      <c r="U985" s="9" t="s">
        <v>54</v>
      </c>
      <c r="V985" s="9" t="s">
        <v>55</v>
      </c>
      <c r="W985" s="9" t="s">
        <v>55</v>
      </c>
      <c r="X985" s="12"/>
      <c r="Y985" s="9" t="s">
        <v>55</v>
      </c>
      <c r="Z985" s="13"/>
    </row>
    <row r="986" spans="1:26" ht="32.25" hidden="1" customHeight="1">
      <c r="A986" s="8">
        <v>2306270</v>
      </c>
      <c r="B986" s="9" t="s">
        <v>3772</v>
      </c>
      <c r="C986" s="10">
        <v>45156</v>
      </c>
      <c r="D986" s="9" t="s">
        <v>79</v>
      </c>
      <c r="E986" s="9" t="s">
        <v>89</v>
      </c>
      <c r="F986" s="9" t="s">
        <v>80</v>
      </c>
      <c r="G986" s="9" t="s">
        <v>43</v>
      </c>
      <c r="H986" s="9" t="s">
        <v>44</v>
      </c>
      <c r="I986" s="11" t="s">
        <v>101</v>
      </c>
      <c r="J986" s="9" t="s">
        <v>102</v>
      </c>
      <c r="K986" s="9" t="s">
        <v>47</v>
      </c>
      <c r="L986" s="9" t="s">
        <v>48</v>
      </c>
      <c r="M986" s="9" t="s">
        <v>3773</v>
      </c>
      <c r="N986" s="9" t="s">
        <v>84</v>
      </c>
      <c r="O986" s="9" t="s">
        <v>51</v>
      </c>
      <c r="P986" s="9" t="s">
        <v>1229</v>
      </c>
      <c r="Q986" s="9"/>
      <c r="R986" s="9" t="s">
        <v>61</v>
      </c>
      <c r="S986" s="14" t="s">
        <v>3774</v>
      </c>
      <c r="T986" s="9" t="s">
        <v>3775</v>
      </c>
      <c r="U986" s="9" t="s">
        <v>54</v>
      </c>
      <c r="V986" s="9" t="s">
        <v>711</v>
      </c>
      <c r="W986" s="9" t="s">
        <v>115</v>
      </c>
      <c r="X986" s="12" t="s">
        <v>98</v>
      </c>
      <c r="Y986" s="9" t="s">
        <v>99</v>
      </c>
      <c r="Z986" s="13"/>
    </row>
    <row r="987" spans="1:26" ht="32.25" hidden="1" customHeight="1">
      <c r="A987" s="8">
        <v>2308969</v>
      </c>
      <c r="B987" s="9" t="s">
        <v>3776</v>
      </c>
      <c r="C987" s="10">
        <v>45149</v>
      </c>
      <c r="D987" s="9" t="s">
        <v>57</v>
      </c>
      <c r="E987" s="9" t="s">
        <v>41</v>
      </c>
      <c r="F987" s="9" t="s">
        <v>42</v>
      </c>
      <c r="G987" s="9" t="s">
        <v>43</v>
      </c>
      <c r="H987" s="9" t="s">
        <v>58</v>
      </c>
      <c r="I987" s="11" t="s">
        <v>199</v>
      </c>
      <c r="J987" s="9" t="s">
        <v>200</v>
      </c>
      <c r="K987" s="9" t="s">
        <v>47</v>
      </c>
      <c r="L987" s="9" t="s">
        <v>156</v>
      </c>
      <c r="M987" s="9"/>
      <c r="N987" s="9" t="s">
        <v>50</v>
      </c>
      <c r="O987" s="9" t="s">
        <v>51</v>
      </c>
      <c r="P987" s="9"/>
      <c r="Q987" s="9"/>
      <c r="R987" s="9"/>
      <c r="S987" s="14" t="s">
        <v>3777</v>
      </c>
      <c r="T987" s="9" t="s">
        <v>3778</v>
      </c>
      <c r="U987" s="9" t="s">
        <v>54</v>
      </c>
      <c r="V987" s="9" t="s">
        <v>55</v>
      </c>
      <c r="W987" s="9" t="s">
        <v>55</v>
      </c>
      <c r="X987" s="12"/>
      <c r="Y987" s="9" t="s">
        <v>55</v>
      </c>
      <c r="Z987" s="13"/>
    </row>
    <row r="988" spans="1:26" ht="32.25" hidden="1" customHeight="1">
      <c r="A988" s="8">
        <v>2310322</v>
      </c>
      <c r="B988" s="9" t="s">
        <v>3779</v>
      </c>
      <c r="C988" s="10">
        <v>45142</v>
      </c>
      <c r="D988" s="9" t="s">
        <v>67</v>
      </c>
      <c r="E988" s="9" t="s">
        <v>41</v>
      </c>
      <c r="F988" s="9" t="s">
        <v>42</v>
      </c>
      <c r="G988" s="9" t="s">
        <v>43</v>
      </c>
      <c r="H988" s="9" t="s">
        <v>44</v>
      </c>
      <c r="I988" s="11" t="s">
        <v>661</v>
      </c>
      <c r="J988" s="9" t="s">
        <v>662</v>
      </c>
      <c r="K988" s="9" t="s">
        <v>47</v>
      </c>
      <c r="L988" s="9" t="s">
        <v>290</v>
      </c>
      <c r="M988" s="9" t="s">
        <v>3780</v>
      </c>
      <c r="N988" s="9" t="s">
        <v>50</v>
      </c>
      <c r="O988" s="9" t="s">
        <v>51</v>
      </c>
      <c r="P988" s="9"/>
      <c r="Q988" s="9"/>
      <c r="R988" s="9" t="s">
        <v>61</v>
      </c>
      <c r="S988" s="9" t="s">
        <v>3781</v>
      </c>
      <c r="T988" s="9" t="s">
        <v>3782</v>
      </c>
      <c r="U988" s="9" t="s">
        <v>54</v>
      </c>
      <c r="V988" s="9" t="s">
        <v>55</v>
      </c>
      <c r="W988" s="9" t="s">
        <v>55</v>
      </c>
      <c r="X988" s="9" t="s">
        <v>64</v>
      </c>
      <c r="Y988" s="9" t="s">
        <v>65</v>
      </c>
      <c r="Z988" s="13"/>
    </row>
    <row r="989" spans="1:26" ht="32.25" hidden="1" customHeight="1">
      <c r="A989" s="8">
        <v>2305511</v>
      </c>
      <c r="B989" s="9" t="s">
        <v>3783</v>
      </c>
      <c r="C989" s="10">
        <v>45156</v>
      </c>
      <c r="D989" s="9" t="s">
        <v>79</v>
      </c>
      <c r="E989" s="9" t="s">
        <v>295</v>
      </c>
      <c r="F989" s="9" t="s">
        <v>80</v>
      </c>
      <c r="G989" s="9" t="s">
        <v>43</v>
      </c>
      <c r="H989" s="9" t="s">
        <v>44</v>
      </c>
      <c r="I989" s="11" t="s">
        <v>1600</v>
      </c>
      <c r="J989" s="9" t="s">
        <v>407</v>
      </c>
      <c r="K989" s="9" t="s">
        <v>47</v>
      </c>
      <c r="L989" s="9"/>
      <c r="M989" s="9"/>
      <c r="N989" s="9" t="s">
        <v>84</v>
      </c>
      <c r="O989" s="9" t="s">
        <v>51</v>
      </c>
      <c r="P989" s="9" t="s">
        <v>1601</v>
      </c>
      <c r="Q989" s="9"/>
      <c r="R989" s="9"/>
      <c r="S989" s="14" t="s">
        <v>3784</v>
      </c>
      <c r="T989" s="9" t="s">
        <v>3785</v>
      </c>
      <c r="U989" s="9" t="s">
        <v>54</v>
      </c>
      <c r="V989" s="9"/>
      <c r="W989" s="9" t="s">
        <v>115</v>
      </c>
      <c r="X989" s="12"/>
      <c r="Y989" s="9" t="s">
        <v>55</v>
      </c>
      <c r="Z989" s="13"/>
    </row>
    <row r="990" spans="1:26" ht="32.25" hidden="1" customHeight="1">
      <c r="A990" s="8">
        <v>2310245</v>
      </c>
      <c r="B990" s="9" t="s">
        <v>3786</v>
      </c>
      <c r="C990" s="10">
        <v>45156</v>
      </c>
      <c r="D990" s="9" t="s">
        <v>565</v>
      </c>
      <c r="E990" s="9" t="s">
        <v>41</v>
      </c>
      <c r="F990" s="9" t="s">
        <v>42</v>
      </c>
      <c r="G990" s="9" t="s">
        <v>43</v>
      </c>
      <c r="H990" s="9" t="s">
        <v>58</v>
      </c>
      <c r="I990" s="11" t="s">
        <v>129</v>
      </c>
      <c r="J990" s="9" t="s">
        <v>130</v>
      </c>
      <c r="K990" s="9" t="s">
        <v>47</v>
      </c>
      <c r="L990" s="9" t="s">
        <v>340</v>
      </c>
      <c r="M990" s="9" t="s">
        <v>3155</v>
      </c>
      <c r="N990" s="9" t="s">
        <v>50</v>
      </c>
      <c r="O990" s="9" t="s">
        <v>51</v>
      </c>
      <c r="P990" s="9"/>
      <c r="Q990" s="9"/>
      <c r="R990" s="9" t="s">
        <v>61</v>
      </c>
      <c r="S990" s="14" t="s">
        <v>3787</v>
      </c>
      <c r="T990" s="9" t="s">
        <v>3788</v>
      </c>
      <c r="U990" s="9" t="s">
        <v>54</v>
      </c>
      <c r="V990" s="9" t="s">
        <v>55</v>
      </c>
      <c r="W990" s="9" t="s">
        <v>55</v>
      </c>
      <c r="X990" s="9" t="s">
        <v>196</v>
      </c>
      <c r="Y990" s="9" t="s">
        <v>197</v>
      </c>
      <c r="Z990" s="13" t="s">
        <v>230</v>
      </c>
    </row>
    <row r="991" spans="1:26" ht="32.25" hidden="1" customHeight="1">
      <c r="A991" s="8">
        <v>2301221</v>
      </c>
      <c r="B991" s="9" t="s">
        <v>3789</v>
      </c>
      <c r="C991" s="10">
        <v>45156</v>
      </c>
      <c r="D991" s="9" t="s">
        <v>565</v>
      </c>
      <c r="E991" s="9" t="s">
        <v>295</v>
      </c>
      <c r="F991" s="9" t="s">
        <v>42</v>
      </c>
      <c r="G991" s="9" t="s">
        <v>43</v>
      </c>
      <c r="H991" s="9" t="s">
        <v>58</v>
      </c>
      <c r="I991" s="11" t="s">
        <v>406</v>
      </c>
      <c r="J991" s="9" t="s">
        <v>407</v>
      </c>
      <c r="K991" s="9" t="s">
        <v>47</v>
      </c>
      <c r="L991" s="9" t="s">
        <v>156</v>
      </c>
      <c r="M991" s="9"/>
      <c r="N991" s="9" t="s">
        <v>84</v>
      </c>
      <c r="O991" s="9" t="s">
        <v>51</v>
      </c>
      <c r="P991" s="9"/>
      <c r="Q991" s="9"/>
      <c r="R991" s="9"/>
      <c r="S991" s="14" t="s">
        <v>3790</v>
      </c>
      <c r="T991" s="9" t="s">
        <v>3791</v>
      </c>
      <c r="U991" s="9" t="s">
        <v>54</v>
      </c>
      <c r="V991" s="9" t="s">
        <v>55</v>
      </c>
      <c r="W991" s="9" t="s">
        <v>55</v>
      </c>
      <c r="X991" s="12"/>
      <c r="Y991" s="9" t="s">
        <v>55</v>
      </c>
      <c r="Z991" s="13"/>
    </row>
    <row r="992" spans="1:26" ht="32.25" hidden="1" customHeight="1">
      <c r="A992" s="8">
        <v>2303218</v>
      </c>
      <c r="B992" s="9" t="s">
        <v>3792</v>
      </c>
      <c r="C992" s="10">
        <v>45142</v>
      </c>
      <c r="D992" s="9" t="s">
        <v>67</v>
      </c>
      <c r="E992" s="9" t="s">
        <v>295</v>
      </c>
      <c r="F992" s="9" t="s">
        <v>42</v>
      </c>
      <c r="G992" s="9" t="s">
        <v>43</v>
      </c>
      <c r="H992" s="9" t="s">
        <v>44</v>
      </c>
      <c r="I992" s="11" t="s">
        <v>406</v>
      </c>
      <c r="J992" s="9" t="s">
        <v>407</v>
      </c>
      <c r="K992" s="9" t="s">
        <v>47</v>
      </c>
      <c r="L992" s="9" t="s">
        <v>517</v>
      </c>
      <c r="M992" s="9" t="s">
        <v>3793</v>
      </c>
      <c r="N992" s="9" t="s">
        <v>84</v>
      </c>
      <c r="O992" s="9" t="s">
        <v>51</v>
      </c>
      <c r="P992" s="9"/>
      <c r="Q992" s="9"/>
      <c r="R992" s="9" t="s">
        <v>61</v>
      </c>
      <c r="S992" s="9" t="s">
        <v>3794</v>
      </c>
      <c r="T992" s="9" t="s">
        <v>3795</v>
      </c>
      <c r="U992" s="9" t="s">
        <v>54</v>
      </c>
      <c r="V992" s="9" t="s">
        <v>55</v>
      </c>
      <c r="W992" s="9" t="s">
        <v>55</v>
      </c>
      <c r="X992" s="9" t="s">
        <v>319</v>
      </c>
      <c r="Y992" s="9" t="s">
        <v>320</v>
      </c>
      <c r="Z992" s="13"/>
    </row>
    <row r="993" spans="1:26" ht="32.25" hidden="1" customHeight="1">
      <c r="A993" s="8">
        <v>2315461</v>
      </c>
      <c r="B993" s="9" t="s">
        <v>3796</v>
      </c>
      <c r="C993" s="10">
        <v>45152</v>
      </c>
      <c r="D993" s="9" t="s">
        <v>639</v>
      </c>
      <c r="E993" s="9" t="s">
        <v>68</v>
      </c>
      <c r="F993" s="9" t="s">
        <v>80</v>
      </c>
      <c r="G993" s="9" t="s">
        <v>43</v>
      </c>
      <c r="H993" s="9" t="s">
        <v>44</v>
      </c>
      <c r="I993" s="11" t="s">
        <v>696</v>
      </c>
      <c r="J993" s="9" t="s">
        <v>70</v>
      </c>
      <c r="K993" s="9" t="s">
        <v>473</v>
      </c>
      <c r="L993" s="9"/>
      <c r="M993" s="9" t="s">
        <v>3797</v>
      </c>
      <c r="N993" s="9" t="s">
        <v>50</v>
      </c>
      <c r="O993" s="9" t="s">
        <v>187</v>
      </c>
      <c r="P993" s="9" t="s">
        <v>698</v>
      </c>
      <c r="Q993" s="9"/>
      <c r="R993" s="9" t="s">
        <v>61</v>
      </c>
      <c r="S993" s="14" t="s">
        <v>3798</v>
      </c>
      <c r="T993" s="9" t="s">
        <v>3799</v>
      </c>
      <c r="U993" s="9" t="s">
        <v>54</v>
      </c>
      <c r="V993" s="9" t="s">
        <v>3207</v>
      </c>
      <c r="W993" s="9" t="s">
        <v>115</v>
      </c>
      <c r="X993" s="12" t="s">
        <v>76</v>
      </c>
      <c r="Y993" s="9" t="s">
        <v>77</v>
      </c>
      <c r="Z993" s="13"/>
    </row>
    <row r="994" spans="1:26" ht="32.25" hidden="1" customHeight="1">
      <c r="A994" s="8">
        <v>2304036</v>
      </c>
      <c r="B994" s="9" t="s">
        <v>3800</v>
      </c>
      <c r="C994" s="10">
        <v>45149</v>
      </c>
      <c r="D994" s="9" t="s">
        <v>57</v>
      </c>
      <c r="E994" s="9" t="s">
        <v>89</v>
      </c>
      <c r="F994" s="9" t="s">
        <v>42</v>
      </c>
      <c r="G994" s="9" t="s">
        <v>43</v>
      </c>
      <c r="H994" s="9" t="s">
        <v>58</v>
      </c>
      <c r="I994" s="11" t="s">
        <v>354</v>
      </c>
      <c r="J994" s="9" t="s">
        <v>91</v>
      </c>
      <c r="K994" s="9" t="s">
        <v>47</v>
      </c>
      <c r="L994" s="9" t="s">
        <v>2632</v>
      </c>
      <c r="M994" s="9" t="s">
        <v>3293</v>
      </c>
      <c r="N994" s="9" t="s">
        <v>84</v>
      </c>
      <c r="O994" s="9" t="s">
        <v>51</v>
      </c>
      <c r="P994" s="9" t="s">
        <v>356</v>
      </c>
      <c r="Q994" s="9"/>
      <c r="R994" s="9" t="s">
        <v>61</v>
      </c>
      <c r="S994" s="14" t="s">
        <v>3801</v>
      </c>
      <c r="T994" s="9" t="s">
        <v>3802</v>
      </c>
      <c r="U994" s="9" t="s">
        <v>54</v>
      </c>
      <c r="V994" s="9" t="s">
        <v>55</v>
      </c>
      <c r="W994" s="9" t="s">
        <v>55</v>
      </c>
      <c r="X994" s="12" t="s">
        <v>98</v>
      </c>
      <c r="Y994" s="9" t="s">
        <v>99</v>
      </c>
      <c r="Z994" s="13"/>
    </row>
    <row r="995" spans="1:26" ht="32.25" hidden="1" customHeight="1">
      <c r="A995" s="8">
        <v>2301633</v>
      </c>
      <c r="B995" s="9" t="s">
        <v>3803</v>
      </c>
      <c r="C995" s="10">
        <v>45142</v>
      </c>
      <c r="D995" s="9" t="s">
        <v>67</v>
      </c>
      <c r="E995" s="9" t="s">
        <v>41</v>
      </c>
      <c r="F995" s="9" t="s">
        <v>42</v>
      </c>
      <c r="G995" s="9" t="s">
        <v>43</v>
      </c>
      <c r="H995" s="9" t="s">
        <v>44</v>
      </c>
      <c r="I995" s="11" t="s">
        <v>45</v>
      </c>
      <c r="J995" s="9" t="s">
        <v>46</v>
      </c>
      <c r="K995" s="9" t="s">
        <v>47</v>
      </c>
      <c r="L995" s="9" t="s">
        <v>822</v>
      </c>
      <c r="M995" s="9" t="s">
        <v>823</v>
      </c>
      <c r="N995" s="9" t="s">
        <v>50</v>
      </c>
      <c r="O995" s="9" t="s">
        <v>51</v>
      </c>
      <c r="P995" s="9"/>
      <c r="Q995" s="9"/>
      <c r="R995" s="9" t="s">
        <v>61</v>
      </c>
      <c r="S995" s="9" t="s">
        <v>3804</v>
      </c>
      <c r="T995" s="9" t="s">
        <v>3805</v>
      </c>
      <c r="U995" s="9" t="s">
        <v>54</v>
      </c>
      <c r="V995" s="9" t="s">
        <v>55</v>
      </c>
      <c r="W995" s="9" t="s">
        <v>55</v>
      </c>
      <c r="X995" s="9" t="s">
        <v>64</v>
      </c>
      <c r="Y995" s="9" t="s">
        <v>65</v>
      </c>
      <c r="Z995" s="13"/>
    </row>
    <row r="996" spans="1:26" ht="32.25" hidden="1" customHeight="1">
      <c r="A996" s="8">
        <v>2314829</v>
      </c>
      <c r="B996" s="9" t="s">
        <v>3806</v>
      </c>
      <c r="C996" s="10">
        <v>45156</v>
      </c>
      <c r="D996" s="9" t="s">
        <v>79</v>
      </c>
      <c r="E996" s="9" t="s">
        <v>89</v>
      </c>
      <c r="F996" s="9" t="s">
        <v>80</v>
      </c>
      <c r="G996" s="9" t="s">
        <v>43</v>
      </c>
      <c r="H996" s="9" t="s">
        <v>44</v>
      </c>
      <c r="I996" s="11" t="s">
        <v>101</v>
      </c>
      <c r="J996" s="9" t="s">
        <v>102</v>
      </c>
      <c r="K996" s="9" t="s">
        <v>110</v>
      </c>
      <c r="L996" s="9"/>
      <c r="M996" s="9"/>
      <c r="N996" s="9" t="s">
        <v>50</v>
      </c>
      <c r="O996" s="9" t="s">
        <v>51</v>
      </c>
      <c r="P996" s="9" t="s">
        <v>447</v>
      </c>
      <c r="Q996" s="9"/>
      <c r="R996" s="9" t="s">
        <v>61</v>
      </c>
      <c r="S996" s="14" t="s">
        <v>3807</v>
      </c>
      <c r="T996" s="9" t="s">
        <v>3808</v>
      </c>
      <c r="U996" s="9" t="s">
        <v>54</v>
      </c>
      <c r="V996" s="9" t="s">
        <v>55</v>
      </c>
      <c r="W996" s="9" t="s">
        <v>55</v>
      </c>
      <c r="X996" s="12" t="s">
        <v>98</v>
      </c>
      <c r="Y996" s="9" t="s">
        <v>99</v>
      </c>
      <c r="Z996" s="13"/>
    </row>
    <row r="997" spans="1:26" ht="32.25" hidden="1" customHeight="1">
      <c r="A997" s="8">
        <v>2308148</v>
      </c>
      <c r="B997" s="9" t="s">
        <v>3809</v>
      </c>
      <c r="C997" s="10">
        <v>45142</v>
      </c>
      <c r="D997" s="9" t="s">
        <v>67</v>
      </c>
      <c r="E997" s="9" t="s">
        <v>41</v>
      </c>
      <c r="F997" s="9" t="s">
        <v>42</v>
      </c>
      <c r="G997" s="9" t="s">
        <v>43</v>
      </c>
      <c r="H997" s="9" t="s">
        <v>44</v>
      </c>
      <c r="I997" s="11" t="s">
        <v>45</v>
      </c>
      <c r="J997" s="9" t="s">
        <v>46</v>
      </c>
      <c r="K997" s="9" t="s">
        <v>47</v>
      </c>
      <c r="L997" s="9" t="s">
        <v>713</v>
      </c>
      <c r="M997" s="9" t="s">
        <v>714</v>
      </c>
      <c r="N997" s="9" t="s">
        <v>50</v>
      </c>
      <c r="O997" s="9" t="s">
        <v>51</v>
      </c>
      <c r="P997" s="9"/>
      <c r="Q997" s="9"/>
      <c r="R997" s="9" t="s">
        <v>61</v>
      </c>
      <c r="S997" s="9" t="s">
        <v>3810</v>
      </c>
      <c r="T997" s="9" t="s">
        <v>3811</v>
      </c>
      <c r="U997" s="9" t="s">
        <v>54</v>
      </c>
      <c r="V997" s="9" t="s">
        <v>55</v>
      </c>
      <c r="W997" s="9" t="s">
        <v>55</v>
      </c>
      <c r="X997" s="9" t="s">
        <v>196</v>
      </c>
      <c r="Y997" s="9" t="s">
        <v>197</v>
      </c>
      <c r="Z997" s="13" t="s">
        <v>3812</v>
      </c>
    </row>
    <row r="998" spans="1:26" ht="32.25" hidden="1" customHeight="1">
      <c r="A998" s="8">
        <v>2302691</v>
      </c>
      <c r="B998" s="9" t="s">
        <v>3813</v>
      </c>
      <c r="C998" s="10">
        <v>45156</v>
      </c>
      <c r="D998" s="9" t="s">
        <v>79</v>
      </c>
      <c r="E998" s="9" t="s">
        <v>41</v>
      </c>
      <c r="F998" s="9" t="s">
        <v>80</v>
      </c>
      <c r="G998" s="9" t="s">
        <v>43</v>
      </c>
      <c r="H998" s="9" t="s">
        <v>44</v>
      </c>
      <c r="I998" s="11" t="s">
        <v>81</v>
      </c>
      <c r="J998" s="9" t="s">
        <v>46</v>
      </c>
      <c r="K998" s="9" t="s">
        <v>47</v>
      </c>
      <c r="L998" s="9" t="s">
        <v>517</v>
      </c>
      <c r="M998" s="9" t="s">
        <v>1413</v>
      </c>
      <c r="N998" s="9" t="s">
        <v>50</v>
      </c>
      <c r="O998" s="9" t="s">
        <v>51</v>
      </c>
      <c r="P998" s="9" t="s">
        <v>85</v>
      </c>
      <c r="Q998" s="9"/>
      <c r="R998" s="9"/>
      <c r="S998" s="14" t="s">
        <v>3814</v>
      </c>
      <c r="T998" s="9" t="s">
        <v>3815</v>
      </c>
      <c r="U998" s="9" t="s">
        <v>54</v>
      </c>
      <c r="V998" s="9" t="s">
        <v>331</v>
      </c>
      <c r="W998" s="9" t="s">
        <v>115</v>
      </c>
      <c r="X998" s="12"/>
      <c r="Y998" s="9" t="s">
        <v>55</v>
      </c>
      <c r="Z998" s="13"/>
    </row>
    <row r="999" spans="1:26" ht="32.25" hidden="1" customHeight="1">
      <c r="A999" s="8">
        <v>2309701</v>
      </c>
      <c r="B999" s="9" t="s">
        <v>3816</v>
      </c>
      <c r="C999" s="10">
        <v>45149</v>
      </c>
      <c r="D999" s="9" t="s">
        <v>57</v>
      </c>
      <c r="E999" s="9" t="s">
        <v>41</v>
      </c>
      <c r="F999" s="9" t="s">
        <v>42</v>
      </c>
      <c r="G999" s="9" t="s">
        <v>43</v>
      </c>
      <c r="H999" s="9" t="s">
        <v>58</v>
      </c>
      <c r="I999" s="11" t="s">
        <v>1073</v>
      </c>
      <c r="J999" s="9" t="s">
        <v>479</v>
      </c>
      <c r="K999" s="9" t="s">
        <v>47</v>
      </c>
      <c r="L999" s="9" t="s">
        <v>156</v>
      </c>
      <c r="M999" s="9"/>
      <c r="N999" s="9" t="s">
        <v>84</v>
      </c>
      <c r="O999" s="9" t="s">
        <v>51</v>
      </c>
      <c r="P999" s="9"/>
      <c r="Q999" s="9"/>
      <c r="R999" s="9"/>
      <c r="S999" s="14" t="s">
        <v>3817</v>
      </c>
      <c r="T999" s="9" t="s">
        <v>3818</v>
      </c>
      <c r="U999" s="9" t="s">
        <v>54</v>
      </c>
      <c r="V999" s="9" t="s">
        <v>55</v>
      </c>
      <c r="W999" s="9" t="s">
        <v>55</v>
      </c>
      <c r="X999" s="12"/>
      <c r="Y999" s="9" t="s">
        <v>55</v>
      </c>
      <c r="Z999" s="13"/>
    </row>
    <row r="1000" spans="1:26" ht="32.25" hidden="1" customHeight="1">
      <c r="A1000" s="8">
        <v>2312018</v>
      </c>
      <c r="B1000" s="9" t="s">
        <v>3819</v>
      </c>
      <c r="C1000" s="10">
        <v>45156</v>
      </c>
      <c r="D1000" s="9" t="s">
        <v>79</v>
      </c>
      <c r="E1000" s="9" t="s">
        <v>89</v>
      </c>
      <c r="F1000" s="9" t="s">
        <v>80</v>
      </c>
      <c r="G1000" s="9" t="s">
        <v>43</v>
      </c>
      <c r="H1000" s="9" t="s">
        <v>44</v>
      </c>
      <c r="I1000" s="11" t="s">
        <v>101</v>
      </c>
      <c r="J1000" s="9" t="s">
        <v>102</v>
      </c>
      <c r="K1000" s="9" t="s">
        <v>47</v>
      </c>
      <c r="L1000" s="9" t="s">
        <v>713</v>
      </c>
      <c r="M1000" s="9" t="s">
        <v>714</v>
      </c>
      <c r="N1000" s="9" t="s">
        <v>50</v>
      </c>
      <c r="O1000" s="9" t="s">
        <v>51</v>
      </c>
      <c r="P1000" s="9" t="s">
        <v>715</v>
      </c>
      <c r="Q1000" s="9"/>
      <c r="R1000" s="9" t="s">
        <v>61</v>
      </c>
      <c r="S1000" s="14" t="s">
        <v>3820</v>
      </c>
      <c r="T1000" s="9" t="s">
        <v>3821</v>
      </c>
      <c r="U1000" s="9" t="s">
        <v>54</v>
      </c>
      <c r="V1000" s="9" t="s">
        <v>55</v>
      </c>
      <c r="W1000" s="9" t="s">
        <v>55</v>
      </c>
      <c r="X1000" s="12" t="s">
        <v>98</v>
      </c>
      <c r="Y1000" s="9" t="s">
        <v>99</v>
      </c>
      <c r="Z1000" s="13"/>
    </row>
    <row r="1001" spans="1:26" ht="32.25" hidden="1" customHeight="1">
      <c r="A1001" s="8">
        <v>2314695</v>
      </c>
      <c r="B1001" s="9" t="s">
        <v>3822</v>
      </c>
      <c r="C1001" s="10">
        <v>45156</v>
      </c>
      <c r="D1001" s="9" t="s">
        <v>79</v>
      </c>
      <c r="E1001" s="9" t="s">
        <v>41</v>
      </c>
      <c r="F1001" s="9" t="s">
        <v>80</v>
      </c>
      <c r="G1001" s="9" t="s">
        <v>43</v>
      </c>
      <c r="H1001" s="9" t="s">
        <v>44</v>
      </c>
      <c r="I1001" s="11" t="s">
        <v>478</v>
      </c>
      <c r="J1001" s="9" t="s">
        <v>479</v>
      </c>
      <c r="K1001" s="9" t="s">
        <v>47</v>
      </c>
      <c r="L1001" s="9" t="s">
        <v>777</v>
      </c>
      <c r="M1001" s="9" t="s">
        <v>3823</v>
      </c>
      <c r="N1001" s="9" t="s">
        <v>50</v>
      </c>
      <c r="O1001" s="9" t="s">
        <v>51</v>
      </c>
      <c r="P1001" s="9" t="s">
        <v>1414</v>
      </c>
      <c r="Q1001" s="9"/>
      <c r="R1001" s="9"/>
      <c r="S1001" s="14" t="s">
        <v>3824</v>
      </c>
      <c r="T1001" s="9" t="s">
        <v>3825</v>
      </c>
      <c r="U1001" s="9" t="s">
        <v>54</v>
      </c>
      <c r="V1001" s="9" t="s">
        <v>55</v>
      </c>
      <c r="W1001" s="9" t="s">
        <v>55</v>
      </c>
      <c r="X1001" s="12"/>
      <c r="Y1001" s="9" t="s">
        <v>55</v>
      </c>
      <c r="Z1001" s="13"/>
    </row>
    <row r="1002" spans="1:26" ht="32.25" hidden="1" customHeight="1">
      <c r="A1002" s="8">
        <v>2313352</v>
      </c>
      <c r="B1002" s="9" t="s">
        <v>3826</v>
      </c>
      <c r="C1002" s="10">
        <v>45136</v>
      </c>
      <c r="D1002" s="9" t="s">
        <v>40</v>
      </c>
      <c r="E1002" s="9" t="s">
        <v>41</v>
      </c>
      <c r="F1002" s="9" t="s">
        <v>42</v>
      </c>
      <c r="G1002" s="9" t="s">
        <v>43</v>
      </c>
      <c r="H1002" s="9" t="s">
        <v>44</v>
      </c>
      <c r="I1002" s="11" t="s">
        <v>45</v>
      </c>
      <c r="J1002" s="9" t="s">
        <v>46</v>
      </c>
      <c r="K1002" s="9" t="s">
        <v>47</v>
      </c>
      <c r="L1002" s="9" t="s">
        <v>948</v>
      </c>
      <c r="M1002" s="9" t="s">
        <v>3827</v>
      </c>
      <c r="N1002" s="9" t="s">
        <v>50</v>
      </c>
      <c r="O1002" s="9" t="s">
        <v>51</v>
      </c>
      <c r="P1002" s="9"/>
      <c r="Q1002" s="9"/>
      <c r="R1002" s="9" t="s">
        <v>61</v>
      </c>
      <c r="S1002" s="9" t="s">
        <v>3828</v>
      </c>
      <c r="T1002" s="9" t="s">
        <v>3829</v>
      </c>
      <c r="U1002" s="9" t="s">
        <v>54</v>
      </c>
      <c r="V1002" s="9" t="s">
        <v>55</v>
      </c>
      <c r="W1002" s="9" t="s">
        <v>55</v>
      </c>
      <c r="X1002" s="9" t="s">
        <v>64</v>
      </c>
      <c r="Y1002" s="9" t="s">
        <v>65</v>
      </c>
      <c r="Z1002" s="13"/>
    </row>
    <row r="1003" spans="1:26" ht="32.25" hidden="1" customHeight="1">
      <c r="A1003" s="8">
        <v>2304916</v>
      </c>
      <c r="B1003" s="9" t="s">
        <v>3830</v>
      </c>
      <c r="C1003" s="10">
        <v>45149</v>
      </c>
      <c r="D1003" s="9" t="s">
        <v>57</v>
      </c>
      <c r="E1003" s="9" t="s">
        <v>41</v>
      </c>
      <c r="F1003" s="9" t="s">
        <v>42</v>
      </c>
      <c r="G1003" s="9" t="s">
        <v>43</v>
      </c>
      <c r="H1003" s="9" t="s">
        <v>58</v>
      </c>
      <c r="I1003" s="11" t="s">
        <v>199</v>
      </c>
      <c r="J1003" s="9" t="s">
        <v>200</v>
      </c>
      <c r="K1003" s="9" t="s">
        <v>47</v>
      </c>
      <c r="L1003" s="9" t="s">
        <v>156</v>
      </c>
      <c r="M1003" s="9"/>
      <c r="N1003" s="9" t="s">
        <v>84</v>
      </c>
      <c r="O1003" s="9" t="s">
        <v>51</v>
      </c>
      <c r="P1003" s="9"/>
      <c r="Q1003" s="9"/>
      <c r="R1003" s="9"/>
      <c r="S1003" s="14" t="s">
        <v>3831</v>
      </c>
      <c r="T1003" s="9" t="s">
        <v>3832</v>
      </c>
      <c r="U1003" s="9" t="s">
        <v>54</v>
      </c>
      <c r="V1003" s="9" t="s">
        <v>55</v>
      </c>
      <c r="W1003" s="9" t="s">
        <v>55</v>
      </c>
      <c r="X1003" s="12"/>
      <c r="Y1003" s="9" t="s">
        <v>55</v>
      </c>
      <c r="Z1003" s="13"/>
    </row>
    <row r="1004" spans="1:26" ht="32.25" hidden="1" customHeight="1">
      <c r="A1004" s="8">
        <v>2313622</v>
      </c>
      <c r="B1004" s="9" t="s">
        <v>3833</v>
      </c>
      <c r="C1004" s="10">
        <v>45142</v>
      </c>
      <c r="D1004" s="9" t="s">
        <v>67</v>
      </c>
      <c r="E1004" s="9" t="s">
        <v>89</v>
      </c>
      <c r="F1004" s="9" t="s">
        <v>42</v>
      </c>
      <c r="G1004" s="9" t="s">
        <v>43</v>
      </c>
      <c r="H1004" s="9" t="s">
        <v>44</v>
      </c>
      <c r="I1004" s="11" t="s">
        <v>360</v>
      </c>
      <c r="J1004" s="9" t="s">
        <v>102</v>
      </c>
      <c r="K1004" s="9" t="s">
        <v>47</v>
      </c>
      <c r="L1004" s="9" t="s">
        <v>156</v>
      </c>
      <c r="M1004" s="9" t="s">
        <v>3834</v>
      </c>
      <c r="N1004" s="9" t="s">
        <v>50</v>
      </c>
      <c r="O1004" s="9" t="s">
        <v>51</v>
      </c>
      <c r="P1004" s="9" t="s">
        <v>361</v>
      </c>
      <c r="Q1004" s="9"/>
      <c r="R1004" s="9" t="s">
        <v>61</v>
      </c>
      <c r="S1004" s="9" t="s">
        <v>3835</v>
      </c>
      <c r="T1004" s="9" t="s">
        <v>3836</v>
      </c>
      <c r="U1004" s="9" t="s">
        <v>54</v>
      </c>
      <c r="V1004" s="9" t="s">
        <v>55</v>
      </c>
      <c r="W1004" s="9" t="s">
        <v>55</v>
      </c>
      <c r="X1004" s="12" t="s">
        <v>98</v>
      </c>
      <c r="Y1004" s="9" t="s">
        <v>99</v>
      </c>
      <c r="Z1004" s="13" t="s">
        <v>1220</v>
      </c>
    </row>
    <row r="1005" spans="1:26" ht="32.25" hidden="1" customHeight="1">
      <c r="A1005" s="8">
        <v>2304984</v>
      </c>
      <c r="B1005" s="9" t="s">
        <v>3837</v>
      </c>
      <c r="C1005" s="10">
        <v>45149</v>
      </c>
      <c r="D1005" s="9" t="s">
        <v>57</v>
      </c>
      <c r="E1005" s="9" t="s">
        <v>41</v>
      </c>
      <c r="F1005" s="9" t="s">
        <v>42</v>
      </c>
      <c r="G1005" s="9" t="s">
        <v>43</v>
      </c>
      <c r="H1005" s="9" t="s">
        <v>58</v>
      </c>
      <c r="I1005" s="11" t="s">
        <v>661</v>
      </c>
      <c r="J1005" s="9" t="s">
        <v>662</v>
      </c>
      <c r="K1005" s="9" t="s">
        <v>47</v>
      </c>
      <c r="L1005" s="9" t="s">
        <v>221</v>
      </c>
      <c r="M1005" s="9" t="s">
        <v>1451</v>
      </c>
      <c r="N1005" s="9" t="s">
        <v>84</v>
      </c>
      <c r="O1005" s="9" t="s">
        <v>51</v>
      </c>
      <c r="P1005" s="9"/>
      <c r="Q1005" s="9"/>
      <c r="R1005" s="9" t="s">
        <v>61</v>
      </c>
      <c r="S1005" s="14" t="s">
        <v>3838</v>
      </c>
      <c r="T1005" s="9" t="s">
        <v>3839</v>
      </c>
      <c r="U1005" s="9" t="s">
        <v>54</v>
      </c>
      <c r="V1005" s="9" t="s">
        <v>55</v>
      </c>
      <c r="W1005" s="9" t="s">
        <v>55</v>
      </c>
      <c r="X1005" s="9" t="s">
        <v>64</v>
      </c>
      <c r="Y1005" s="9" t="s">
        <v>65</v>
      </c>
      <c r="Z1005" s="13"/>
    </row>
    <row r="1006" spans="1:26" ht="32.25" hidden="1" customHeight="1">
      <c r="A1006" s="8">
        <v>2303148</v>
      </c>
      <c r="B1006" s="9" t="s">
        <v>3840</v>
      </c>
      <c r="C1006" s="10">
        <v>45156</v>
      </c>
      <c r="D1006" s="9" t="s">
        <v>79</v>
      </c>
      <c r="E1006" s="9" t="s">
        <v>143</v>
      </c>
      <c r="F1006" s="9" t="s">
        <v>80</v>
      </c>
      <c r="G1006" s="9" t="s">
        <v>43</v>
      </c>
      <c r="H1006" s="9" t="s">
        <v>44</v>
      </c>
      <c r="I1006" s="11" t="s">
        <v>725</v>
      </c>
      <c r="J1006" s="9" t="s">
        <v>145</v>
      </c>
      <c r="K1006" s="9" t="s">
        <v>47</v>
      </c>
      <c r="L1006" s="9" t="s">
        <v>451</v>
      </c>
      <c r="M1006" s="9" t="s">
        <v>3841</v>
      </c>
      <c r="N1006" s="9" t="s">
        <v>84</v>
      </c>
      <c r="O1006" s="9" t="s">
        <v>51</v>
      </c>
      <c r="P1006" s="9" t="s">
        <v>727</v>
      </c>
      <c r="Q1006" s="9"/>
      <c r="R1006" s="9" t="s">
        <v>61</v>
      </c>
      <c r="S1006" s="14" t="s">
        <v>3842</v>
      </c>
      <c r="T1006" s="9" t="s">
        <v>3843</v>
      </c>
      <c r="U1006" s="9" t="s">
        <v>54</v>
      </c>
      <c r="V1006" s="9" t="s">
        <v>251</v>
      </c>
      <c r="W1006" s="9" t="s">
        <v>115</v>
      </c>
      <c r="X1006" s="12" t="s">
        <v>171</v>
      </c>
      <c r="Y1006" s="9" t="s">
        <v>172</v>
      </c>
      <c r="Z1006" s="13"/>
    </row>
    <row r="1007" spans="1:26" ht="32.25" hidden="1" customHeight="1">
      <c r="A1007" s="8">
        <v>2312199</v>
      </c>
      <c r="B1007" s="9" t="s">
        <v>3844</v>
      </c>
      <c r="C1007" s="10">
        <v>45142</v>
      </c>
      <c r="D1007" s="9" t="s">
        <v>67</v>
      </c>
      <c r="E1007" s="9" t="s">
        <v>143</v>
      </c>
      <c r="F1007" s="9" t="s">
        <v>42</v>
      </c>
      <c r="G1007" s="9" t="s">
        <v>43</v>
      </c>
      <c r="H1007" s="9" t="s">
        <v>44</v>
      </c>
      <c r="I1007" s="11" t="s">
        <v>334</v>
      </c>
      <c r="J1007" s="9" t="s">
        <v>327</v>
      </c>
      <c r="K1007" s="9" t="s">
        <v>47</v>
      </c>
      <c r="L1007" s="9" t="s">
        <v>598</v>
      </c>
      <c r="M1007" s="9" t="s">
        <v>599</v>
      </c>
      <c r="N1007" s="9" t="s">
        <v>50</v>
      </c>
      <c r="O1007" s="9" t="s">
        <v>51</v>
      </c>
      <c r="P1007" s="9" t="s">
        <v>336</v>
      </c>
      <c r="Q1007" s="9"/>
      <c r="R1007" s="9" t="s">
        <v>61</v>
      </c>
      <c r="S1007" s="9" t="s">
        <v>3845</v>
      </c>
      <c r="T1007" s="9" t="s">
        <v>3846</v>
      </c>
      <c r="U1007" s="9" t="s">
        <v>54</v>
      </c>
      <c r="V1007" s="9" t="s">
        <v>55</v>
      </c>
      <c r="W1007" s="9" t="s">
        <v>55</v>
      </c>
      <c r="X1007" s="12" t="s">
        <v>150</v>
      </c>
      <c r="Y1007" s="9" t="s">
        <v>151</v>
      </c>
      <c r="Z1007" s="13"/>
    </row>
    <row r="1008" spans="1:26" ht="32.25" hidden="1" customHeight="1">
      <c r="A1008" s="8">
        <v>2312716</v>
      </c>
      <c r="B1008" s="9" t="s">
        <v>3847</v>
      </c>
      <c r="C1008" s="10">
        <v>45156</v>
      </c>
      <c r="D1008" s="9" t="s">
        <v>79</v>
      </c>
      <c r="E1008" s="9" t="s">
        <v>41</v>
      </c>
      <c r="F1008" s="9" t="s">
        <v>80</v>
      </c>
      <c r="G1008" s="9" t="s">
        <v>43</v>
      </c>
      <c r="H1008" s="9" t="s">
        <v>44</v>
      </c>
      <c r="I1008" s="11" t="s">
        <v>233</v>
      </c>
      <c r="J1008" s="9" t="s">
        <v>200</v>
      </c>
      <c r="K1008" s="9" t="s">
        <v>47</v>
      </c>
      <c r="L1008" s="9" t="s">
        <v>1378</v>
      </c>
      <c r="M1008" s="9" t="s">
        <v>1379</v>
      </c>
      <c r="N1008" s="9" t="s">
        <v>50</v>
      </c>
      <c r="O1008" s="9" t="s">
        <v>51</v>
      </c>
      <c r="P1008" s="9" t="s">
        <v>443</v>
      </c>
      <c r="Q1008" s="9"/>
      <c r="R1008" s="9"/>
      <c r="S1008" s="14" t="s">
        <v>3848</v>
      </c>
      <c r="T1008" s="9" t="s">
        <v>3849</v>
      </c>
      <c r="U1008" s="9" t="s">
        <v>54</v>
      </c>
      <c r="V1008" s="9" t="s">
        <v>55</v>
      </c>
      <c r="W1008" s="9" t="s">
        <v>55</v>
      </c>
      <c r="X1008" s="12"/>
      <c r="Y1008" s="9" t="s">
        <v>55</v>
      </c>
      <c r="Z1008" s="13"/>
    </row>
    <row r="1009" spans="1:26" ht="32.25" hidden="1" customHeight="1">
      <c r="A1009" s="8">
        <v>2300783</v>
      </c>
      <c r="B1009" s="9" t="s">
        <v>3850</v>
      </c>
      <c r="C1009" s="10">
        <v>45142</v>
      </c>
      <c r="D1009" s="9" t="s">
        <v>67</v>
      </c>
      <c r="E1009" s="9" t="s">
        <v>68</v>
      </c>
      <c r="F1009" s="9" t="s">
        <v>135</v>
      </c>
      <c r="G1009" s="9" t="s">
        <v>43</v>
      </c>
      <c r="H1009" s="9" t="s">
        <v>44</v>
      </c>
      <c r="I1009" s="11" t="s">
        <v>136</v>
      </c>
      <c r="J1009" s="9" t="s">
        <v>137</v>
      </c>
      <c r="K1009" s="9" t="s">
        <v>416</v>
      </c>
      <c r="L1009" s="9"/>
      <c r="M1009" s="9" t="s">
        <v>814</v>
      </c>
      <c r="N1009" s="9" t="s">
        <v>50</v>
      </c>
      <c r="O1009" s="9" t="s">
        <v>51</v>
      </c>
      <c r="P1009" s="9"/>
      <c r="Q1009" s="9"/>
      <c r="R1009" s="9" t="s">
        <v>61</v>
      </c>
      <c r="S1009" s="9" t="s">
        <v>3851</v>
      </c>
      <c r="T1009" s="9" t="s">
        <v>3852</v>
      </c>
      <c r="U1009" s="9" t="s">
        <v>54</v>
      </c>
      <c r="V1009" s="9" t="s">
        <v>55</v>
      </c>
      <c r="W1009" s="9" t="s">
        <v>55</v>
      </c>
      <c r="X1009" s="12" t="s">
        <v>76</v>
      </c>
      <c r="Y1009" s="9" t="s">
        <v>77</v>
      </c>
      <c r="Z1009" s="13" t="s">
        <v>3853</v>
      </c>
    </row>
    <row r="1010" spans="1:26" ht="32.25" hidden="1" customHeight="1">
      <c r="A1010" s="8">
        <v>2312413</v>
      </c>
      <c r="B1010" s="9" t="s">
        <v>3854</v>
      </c>
      <c r="C1010" s="10">
        <v>45149</v>
      </c>
      <c r="D1010" s="9" t="s">
        <v>261</v>
      </c>
      <c r="E1010" s="9" t="s">
        <v>89</v>
      </c>
      <c r="F1010" s="9" t="s">
        <v>262</v>
      </c>
      <c r="G1010" s="9" t="s">
        <v>43</v>
      </c>
      <c r="H1010" s="9" t="s">
        <v>44</v>
      </c>
      <c r="I1010" s="11" t="s">
        <v>685</v>
      </c>
      <c r="J1010" s="9" t="s">
        <v>686</v>
      </c>
      <c r="K1010" s="9" t="s">
        <v>47</v>
      </c>
      <c r="L1010" s="9" t="s">
        <v>162</v>
      </c>
      <c r="M1010" s="9" t="s">
        <v>3855</v>
      </c>
      <c r="N1010" s="9" t="s">
        <v>84</v>
      </c>
      <c r="O1010" s="9" t="s">
        <v>51</v>
      </c>
      <c r="P1010" s="9"/>
      <c r="Q1010" s="9"/>
      <c r="R1010" s="9"/>
      <c r="S1010" s="14" t="s">
        <v>3856</v>
      </c>
      <c r="T1010" s="9" t="s">
        <v>3857</v>
      </c>
      <c r="U1010" s="9" t="s">
        <v>262</v>
      </c>
      <c r="V1010" s="9" t="s">
        <v>55</v>
      </c>
      <c r="W1010" s="9" t="s">
        <v>55</v>
      </c>
      <c r="X1010" s="12"/>
      <c r="Y1010" s="9" t="s">
        <v>55</v>
      </c>
      <c r="Z1010" s="13"/>
    </row>
    <row r="1011" spans="1:26" ht="32.25" hidden="1" customHeight="1">
      <c r="A1011" s="8">
        <v>2305960</v>
      </c>
      <c r="B1011" s="9" t="s">
        <v>3858</v>
      </c>
      <c r="C1011" s="10">
        <v>45156</v>
      </c>
      <c r="D1011" s="9" t="s">
        <v>79</v>
      </c>
      <c r="E1011" s="9" t="s">
        <v>143</v>
      </c>
      <c r="F1011" s="9" t="s">
        <v>80</v>
      </c>
      <c r="G1011" s="9" t="s">
        <v>43</v>
      </c>
      <c r="H1011" s="9" t="s">
        <v>44</v>
      </c>
      <c r="I1011" s="11" t="s">
        <v>326</v>
      </c>
      <c r="J1011" s="9" t="s">
        <v>327</v>
      </c>
      <c r="K1011" s="9" t="s">
        <v>47</v>
      </c>
      <c r="L1011" s="9" t="s">
        <v>1686</v>
      </c>
      <c r="M1011" s="9" t="s">
        <v>3859</v>
      </c>
      <c r="N1011" s="9" t="s">
        <v>84</v>
      </c>
      <c r="O1011" s="9" t="s">
        <v>51</v>
      </c>
      <c r="P1011" s="9" t="s">
        <v>953</v>
      </c>
      <c r="Q1011" s="9"/>
      <c r="R1011" s="9" t="s">
        <v>61</v>
      </c>
      <c r="S1011" s="14" t="s">
        <v>3860</v>
      </c>
      <c r="T1011" s="9" t="s">
        <v>3861</v>
      </c>
      <c r="U1011" s="9" t="s">
        <v>54</v>
      </c>
      <c r="V1011" s="9" t="s">
        <v>55</v>
      </c>
      <c r="W1011" s="9" t="s">
        <v>55</v>
      </c>
      <c r="X1011" s="12" t="s">
        <v>150</v>
      </c>
      <c r="Y1011" s="9" t="s">
        <v>151</v>
      </c>
      <c r="Z1011" s="13"/>
    </row>
    <row r="1012" spans="1:26" ht="32.25" hidden="1" customHeight="1">
      <c r="A1012" s="8">
        <v>2310172</v>
      </c>
      <c r="B1012" s="9" t="s">
        <v>3862</v>
      </c>
      <c r="C1012" s="10">
        <v>45156</v>
      </c>
      <c r="D1012" s="9" t="s">
        <v>79</v>
      </c>
      <c r="E1012" s="9" t="s">
        <v>143</v>
      </c>
      <c r="F1012" s="9" t="s">
        <v>80</v>
      </c>
      <c r="G1012" s="9" t="s">
        <v>43</v>
      </c>
      <c r="H1012" s="9" t="s">
        <v>44</v>
      </c>
      <c r="I1012" s="11" t="s">
        <v>326</v>
      </c>
      <c r="J1012" s="9" t="s">
        <v>327</v>
      </c>
      <c r="K1012" s="9" t="s">
        <v>110</v>
      </c>
      <c r="L1012" s="9" t="s">
        <v>111</v>
      </c>
      <c r="M1012" s="9" t="s">
        <v>3863</v>
      </c>
      <c r="N1012" s="9" t="s">
        <v>50</v>
      </c>
      <c r="O1012" s="9" t="s">
        <v>51</v>
      </c>
      <c r="P1012" s="9" t="s">
        <v>1238</v>
      </c>
      <c r="Q1012" s="9"/>
      <c r="R1012" s="9" t="s">
        <v>61</v>
      </c>
      <c r="S1012" s="14" t="s">
        <v>3864</v>
      </c>
      <c r="T1012" s="9" t="s">
        <v>3865</v>
      </c>
      <c r="U1012" s="9" t="s">
        <v>54</v>
      </c>
      <c r="V1012" s="9" t="s">
        <v>55</v>
      </c>
      <c r="W1012" s="9" t="s">
        <v>115</v>
      </c>
      <c r="X1012" s="12" t="s">
        <v>150</v>
      </c>
      <c r="Y1012" s="9" t="s">
        <v>151</v>
      </c>
      <c r="Z1012" s="13"/>
    </row>
    <row r="1013" spans="1:26" ht="32.25" hidden="1" customHeight="1">
      <c r="A1013" s="8">
        <v>2304525</v>
      </c>
      <c r="B1013" s="9" t="s">
        <v>3866</v>
      </c>
      <c r="C1013" s="10">
        <v>45156</v>
      </c>
      <c r="D1013" s="9" t="s">
        <v>79</v>
      </c>
      <c r="E1013" s="9" t="s">
        <v>143</v>
      </c>
      <c r="F1013" s="9" t="s">
        <v>80</v>
      </c>
      <c r="G1013" s="9" t="s">
        <v>43</v>
      </c>
      <c r="H1013" s="9" t="s">
        <v>44</v>
      </c>
      <c r="I1013" s="11" t="s">
        <v>326</v>
      </c>
      <c r="J1013" s="9" t="s">
        <v>327</v>
      </c>
      <c r="K1013" s="9" t="s">
        <v>47</v>
      </c>
      <c r="L1013" s="9" t="s">
        <v>746</v>
      </c>
      <c r="M1013" s="9" t="s">
        <v>747</v>
      </c>
      <c r="N1013" s="9" t="s">
        <v>84</v>
      </c>
      <c r="O1013" s="9" t="s">
        <v>51</v>
      </c>
      <c r="P1013" s="9" t="s">
        <v>1117</v>
      </c>
      <c r="Q1013" s="9"/>
      <c r="R1013" s="9" t="s">
        <v>61</v>
      </c>
      <c r="S1013" s="14" t="s">
        <v>3867</v>
      </c>
      <c r="T1013" s="9" t="s">
        <v>3868</v>
      </c>
      <c r="U1013" s="9" t="s">
        <v>54</v>
      </c>
      <c r="V1013" s="9" t="s">
        <v>370</v>
      </c>
      <c r="W1013" s="9" t="s">
        <v>115</v>
      </c>
      <c r="X1013" s="12" t="s">
        <v>389</v>
      </c>
      <c r="Y1013" s="9" t="s">
        <v>390</v>
      </c>
      <c r="Z1013" s="13" t="s">
        <v>1399</v>
      </c>
    </row>
    <row r="1014" spans="1:26" ht="32.25" hidden="1" customHeight="1">
      <c r="A1014" s="8">
        <v>2302100</v>
      </c>
      <c r="B1014" s="9" t="s">
        <v>3869</v>
      </c>
      <c r="C1014" s="10">
        <v>45149</v>
      </c>
      <c r="D1014" s="9" t="s">
        <v>57</v>
      </c>
      <c r="E1014" s="9" t="s">
        <v>41</v>
      </c>
      <c r="F1014" s="9" t="s">
        <v>42</v>
      </c>
      <c r="G1014" s="9" t="s">
        <v>43</v>
      </c>
      <c r="H1014" s="9" t="s">
        <v>58</v>
      </c>
      <c r="I1014" s="11" t="s">
        <v>129</v>
      </c>
      <c r="J1014" s="9" t="s">
        <v>130</v>
      </c>
      <c r="K1014" s="9" t="s">
        <v>47</v>
      </c>
      <c r="L1014" s="9" t="s">
        <v>48</v>
      </c>
      <c r="M1014" s="9" t="s">
        <v>3870</v>
      </c>
      <c r="N1014" s="9" t="s">
        <v>50</v>
      </c>
      <c r="O1014" s="9" t="s">
        <v>51</v>
      </c>
      <c r="P1014" s="9"/>
      <c r="Q1014" s="9"/>
      <c r="R1014" s="9"/>
      <c r="S1014" s="14" t="s">
        <v>3871</v>
      </c>
      <c r="T1014" s="9" t="s">
        <v>3872</v>
      </c>
      <c r="U1014" s="9" t="s">
        <v>54</v>
      </c>
      <c r="V1014" s="9" t="s">
        <v>55</v>
      </c>
      <c r="W1014" s="9" t="s">
        <v>55</v>
      </c>
      <c r="X1014" s="12"/>
      <c r="Y1014" s="9" t="s">
        <v>55</v>
      </c>
      <c r="Z1014" s="13"/>
    </row>
    <row r="1015" spans="1:26" ht="32.25" hidden="1" customHeight="1">
      <c r="A1015" s="8">
        <v>2308295</v>
      </c>
      <c r="B1015" s="9" t="s">
        <v>3873</v>
      </c>
      <c r="C1015" s="10">
        <v>45156</v>
      </c>
      <c r="D1015" s="9" t="s">
        <v>79</v>
      </c>
      <c r="E1015" s="9" t="s">
        <v>143</v>
      </c>
      <c r="F1015" s="9" t="s">
        <v>80</v>
      </c>
      <c r="G1015" s="9" t="s">
        <v>43</v>
      </c>
      <c r="H1015" s="9" t="s">
        <v>44</v>
      </c>
      <c r="I1015" s="11" t="s">
        <v>326</v>
      </c>
      <c r="J1015" s="9" t="s">
        <v>327</v>
      </c>
      <c r="K1015" s="9" t="s">
        <v>47</v>
      </c>
      <c r="L1015" s="9" t="s">
        <v>349</v>
      </c>
      <c r="M1015" s="9" t="s">
        <v>3874</v>
      </c>
      <c r="N1015" s="9" t="s">
        <v>50</v>
      </c>
      <c r="O1015" s="9" t="s">
        <v>51</v>
      </c>
      <c r="P1015" s="9" t="s">
        <v>953</v>
      </c>
      <c r="Q1015" s="9"/>
      <c r="R1015" s="9" t="s">
        <v>61</v>
      </c>
      <c r="S1015" s="14" t="s">
        <v>3875</v>
      </c>
      <c r="T1015" s="9" t="s">
        <v>3876</v>
      </c>
      <c r="U1015" s="9" t="s">
        <v>54</v>
      </c>
      <c r="V1015" s="9" t="s">
        <v>55</v>
      </c>
      <c r="W1015" s="9" t="s">
        <v>55</v>
      </c>
      <c r="X1015" s="12" t="s">
        <v>150</v>
      </c>
      <c r="Y1015" s="9" t="s">
        <v>151</v>
      </c>
      <c r="Z1015" s="13"/>
    </row>
    <row r="1016" spans="1:26" ht="32.25" hidden="1" customHeight="1">
      <c r="A1016" s="8">
        <v>2311255</v>
      </c>
      <c r="B1016" s="9" t="s">
        <v>3877</v>
      </c>
      <c r="C1016" s="10">
        <v>45149</v>
      </c>
      <c r="D1016" s="9" t="s">
        <v>261</v>
      </c>
      <c r="E1016" s="9" t="s">
        <v>41</v>
      </c>
      <c r="F1016" s="9" t="s">
        <v>262</v>
      </c>
      <c r="G1016" s="9" t="s">
        <v>43</v>
      </c>
      <c r="H1016" s="9" t="s">
        <v>44</v>
      </c>
      <c r="I1016" s="11" t="s">
        <v>1553</v>
      </c>
      <c r="J1016" s="9" t="s">
        <v>1554</v>
      </c>
      <c r="K1016" s="9" t="s">
        <v>47</v>
      </c>
      <c r="L1016" s="9" t="s">
        <v>156</v>
      </c>
      <c r="M1016" s="9"/>
      <c r="N1016" s="9" t="s">
        <v>50</v>
      </c>
      <c r="O1016" s="9" t="s">
        <v>51</v>
      </c>
      <c r="P1016" s="9"/>
      <c r="Q1016" s="9"/>
      <c r="R1016" s="9"/>
      <c r="S1016" s="14" t="s">
        <v>3878</v>
      </c>
      <c r="T1016" s="9" t="s">
        <v>3879</v>
      </c>
      <c r="U1016" s="9" t="s">
        <v>262</v>
      </c>
      <c r="V1016" s="9" t="s">
        <v>55</v>
      </c>
      <c r="W1016" s="9" t="s">
        <v>55</v>
      </c>
      <c r="X1016" s="12"/>
      <c r="Y1016" s="9" t="s">
        <v>55</v>
      </c>
      <c r="Z1016" s="13"/>
    </row>
    <row r="1017" spans="1:26" ht="32.25" hidden="1" customHeight="1">
      <c r="A1017" s="8">
        <v>2314832</v>
      </c>
      <c r="B1017" s="9" t="s">
        <v>3880</v>
      </c>
      <c r="C1017" s="10">
        <v>45156</v>
      </c>
      <c r="D1017" s="9" t="s">
        <v>79</v>
      </c>
      <c r="E1017" s="9" t="s">
        <v>68</v>
      </c>
      <c r="F1017" s="9" t="s">
        <v>80</v>
      </c>
      <c r="G1017" s="9" t="s">
        <v>43</v>
      </c>
      <c r="H1017" s="9" t="s">
        <v>44</v>
      </c>
      <c r="I1017" s="11" t="s">
        <v>696</v>
      </c>
      <c r="J1017" s="9" t="s">
        <v>70</v>
      </c>
      <c r="K1017" s="9" t="s">
        <v>92</v>
      </c>
      <c r="L1017" s="9" t="s">
        <v>3881</v>
      </c>
      <c r="M1017" s="9" t="s">
        <v>3882</v>
      </c>
      <c r="N1017" s="9" t="s">
        <v>50</v>
      </c>
      <c r="O1017" s="9" t="s">
        <v>51</v>
      </c>
      <c r="P1017" s="9" t="s">
        <v>1841</v>
      </c>
      <c r="Q1017" s="9"/>
      <c r="R1017" s="9" t="s">
        <v>61</v>
      </c>
      <c r="S1017" s="14" t="s">
        <v>3883</v>
      </c>
      <c r="T1017" s="9" t="s">
        <v>3884</v>
      </c>
      <c r="U1017" s="9" t="s">
        <v>54</v>
      </c>
      <c r="V1017" s="9" t="s">
        <v>55</v>
      </c>
      <c r="W1017" s="9" t="s">
        <v>55</v>
      </c>
      <c r="X1017" s="12" t="s">
        <v>196</v>
      </c>
      <c r="Y1017" s="9" t="s">
        <v>197</v>
      </c>
      <c r="Z1017" s="13"/>
    </row>
    <row r="1018" spans="1:26" ht="32.25" hidden="1" customHeight="1">
      <c r="A1018" s="8">
        <v>2315371</v>
      </c>
      <c r="B1018" s="9" t="s">
        <v>3885</v>
      </c>
      <c r="C1018" s="10">
        <v>45152</v>
      </c>
      <c r="D1018" s="9" t="s">
        <v>185</v>
      </c>
      <c r="E1018" s="9" t="s">
        <v>295</v>
      </c>
      <c r="F1018" s="9" t="s">
        <v>42</v>
      </c>
      <c r="G1018" s="9" t="s">
        <v>43</v>
      </c>
      <c r="H1018" s="9" t="s">
        <v>44</v>
      </c>
      <c r="I1018" s="11" t="s">
        <v>296</v>
      </c>
      <c r="J1018" s="9" t="s">
        <v>297</v>
      </c>
      <c r="K1018" s="9" t="s">
        <v>1462</v>
      </c>
      <c r="L1018" s="9" t="s">
        <v>3886</v>
      </c>
      <c r="M1018" s="9" t="s">
        <v>3887</v>
      </c>
      <c r="N1018" s="9" t="s">
        <v>84</v>
      </c>
      <c r="O1018" s="9" t="s">
        <v>187</v>
      </c>
      <c r="P1018" s="9"/>
      <c r="Q1018" s="9"/>
      <c r="R1018" s="9" t="s">
        <v>61</v>
      </c>
      <c r="S1018" s="14" t="s">
        <v>641</v>
      </c>
      <c r="T1018" s="9"/>
      <c r="U1018" s="9" t="s">
        <v>54</v>
      </c>
      <c r="V1018" s="9" t="s">
        <v>55</v>
      </c>
      <c r="W1018" s="9" t="s">
        <v>55</v>
      </c>
      <c r="X1018" s="9" t="s">
        <v>319</v>
      </c>
      <c r="Y1018" s="9" t="s">
        <v>320</v>
      </c>
      <c r="Z1018" s="13"/>
    </row>
    <row r="1019" spans="1:26" ht="32.25" hidden="1" customHeight="1">
      <c r="A1019" s="8">
        <v>2300314</v>
      </c>
      <c r="B1019" s="9" t="s">
        <v>3888</v>
      </c>
      <c r="C1019" s="10">
        <v>45142</v>
      </c>
      <c r="D1019" s="9" t="s">
        <v>1850</v>
      </c>
      <c r="E1019" s="9" t="s">
        <v>68</v>
      </c>
      <c r="F1019" s="9" t="s">
        <v>42</v>
      </c>
      <c r="G1019" s="9" t="s">
        <v>43</v>
      </c>
      <c r="H1019" s="9" t="s">
        <v>44</v>
      </c>
      <c r="I1019" s="11" t="s">
        <v>69</v>
      </c>
      <c r="J1019" s="9" t="s">
        <v>70</v>
      </c>
      <c r="K1019" s="9" t="s">
        <v>758</v>
      </c>
      <c r="L1019" s="9"/>
      <c r="M1019" s="9" t="s">
        <v>759</v>
      </c>
      <c r="N1019" s="9" t="s">
        <v>50</v>
      </c>
      <c r="O1019" s="9" t="s">
        <v>187</v>
      </c>
      <c r="P1019" s="9" t="s">
        <v>73</v>
      </c>
      <c r="Q1019" s="9"/>
      <c r="R1019" s="9" t="s">
        <v>61</v>
      </c>
      <c r="S1019" s="9" t="s">
        <v>3889</v>
      </c>
      <c r="T1019" s="9" t="s">
        <v>3890</v>
      </c>
      <c r="U1019" s="9" t="s">
        <v>54</v>
      </c>
      <c r="V1019" s="9" t="s">
        <v>276</v>
      </c>
      <c r="W1019" s="9" t="s">
        <v>55</v>
      </c>
      <c r="X1019" s="12" t="s">
        <v>76</v>
      </c>
      <c r="Y1019" s="9" t="s">
        <v>77</v>
      </c>
      <c r="Z1019" s="13" t="s">
        <v>3891</v>
      </c>
    </row>
    <row r="1020" spans="1:26" ht="32.25" hidden="1" customHeight="1">
      <c r="A1020" s="8">
        <v>2304060</v>
      </c>
      <c r="B1020" s="9" t="s">
        <v>3892</v>
      </c>
      <c r="C1020" s="10">
        <v>45142</v>
      </c>
      <c r="D1020" s="9" t="s">
        <v>67</v>
      </c>
      <c r="E1020" s="9" t="s">
        <v>68</v>
      </c>
      <c r="F1020" s="9" t="s">
        <v>135</v>
      </c>
      <c r="G1020" s="9" t="s">
        <v>43</v>
      </c>
      <c r="H1020" s="9" t="s">
        <v>44</v>
      </c>
      <c r="I1020" s="11" t="s">
        <v>136</v>
      </c>
      <c r="J1020" s="9" t="s">
        <v>137</v>
      </c>
      <c r="K1020" s="9" t="s">
        <v>47</v>
      </c>
      <c r="L1020" s="9" t="s">
        <v>156</v>
      </c>
      <c r="M1020" s="9"/>
      <c r="N1020" s="9" t="s">
        <v>50</v>
      </c>
      <c r="O1020" s="9" t="s">
        <v>51</v>
      </c>
      <c r="P1020" s="9"/>
      <c r="Q1020" s="9"/>
      <c r="R1020" s="9"/>
      <c r="S1020" s="9" t="s">
        <v>3893</v>
      </c>
      <c r="T1020" s="9" t="s">
        <v>3894</v>
      </c>
      <c r="U1020" s="9" t="s">
        <v>54</v>
      </c>
      <c r="V1020" s="9" t="s">
        <v>55</v>
      </c>
      <c r="W1020" s="9" t="s">
        <v>55</v>
      </c>
      <c r="X1020" s="12"/>
      <c r="Y1020" s="9" t="s">
        <v>55</v>
      </c>
      <c r="Z1020" s="13"/>
    </row>
    <row r="1021" spans="1:26" ht="32.25" hidden="1" customHeight="1">
      <c r="A1021" s="8">
        <v>2309576</v>
      </c>
      <c r="B1021" s="9" t="s">
        <v>3895</v>
      </c>
      <c r="C1021" s="10">
        <v>45156</v>
      </c>
      <c r="D1021" s="9" t="s">
        <v>79</v>
      </c>
      <c r="E1021" s="9" t="s">
        <v>68</v>
      </c>
      <c r="F1021" s="9" t="s">
        <v>80</v>
      </c>
      <c r="G1021" s="9" t="s">
        <v>43</v>
      </c>
      <c r="H1021" s="9" t="s">
        <v>44</v>
      </c>
      <c r="I1021" s="11" t="s">
        <v>101</v>
      </c>
      <c r="J1021" s="9" t="s">
        <v>102</v>
      </c>
      <c r="K1021" s="9" t="s">
        <v>110</v>
      </c>
      <c r="L1021" s="9"/>
      <c r="M1021" s="9"/>
      <c r="N1021" s="9" t="s">
        <v>50</v>
      </c>
      <c r="O1021" s="9" t="s">
        <v>51</v>
      </c>
      <c r="P1021" s="9" t="s">
        <v>379</v>
      </c>
      <c r="Q1021" s="9"/>
      <c r="R1021" s="9" t="s">
        <v>61</v>
      </c>
      <c r="S1021" s="14" t="s">
        <v>3896</v>
      </c>
      <c r="T1021" s="9" t="s">
        <v>3897</v>
      </c>
      <c r="U1021" s="9" t="s">
        <v>54</v>
      </c>
      <c r="V1021" s="9" t="s">
        <v>55</v>
      </c>
      <c r="W1021" s="9" t="s">
        <v>115</v>
      </c>
      <c r="X1021" s="12" t="s">
        <v>196</v>
      </c>
      <c r="Y1021" s="9" t="s">
        <v>197</v>
      </c>
      <c r="Z1021" s="13"/>
    </row>
    <row r="1022" spans="1:26" ht="32.25" hidden="1" customHeight="1">
      <c r="A1022" s="8">
        <v>2308924</v>
      </c>
      <c r="B1022" s="9" t="s">
        <v>3898</v>
      </c>
      <c r="C1022" s="10">
        <v>45149</v>
      </c>
      <c r="D1022" s="9" t="s">
        <v>261</v>
      </c>
      <c r="E1022" s="9" t="s">
        <v>68</v>
      </c>
      <c r="F1022" s="9" t="s">
        <v>262</v>
      </c>
      <c r="G1022" s="9" t="s">
        <v>43</v>
      </c>
      <c r="H1022" s="9" t="s">
        <v>44</v>
      </c>
      <c r="I1022" s="11" t="s">
        <v>263</v>
      </c>
      <c r="J1022" s="9" t="s">
        <v>264</v>
      </c>
      <c r="K1022" s="9" t="s">
        <v>416</v>
      </c>
      <c r="L1022" s="9"/>
      <c r="M1022" s="9" t="s">
        <v>3899</v>
      </c>
      <c r="N1022" s="9" t="s">
        <v>50</v>
      </c>
      <c r="O1022" s="9" t="s">
        <v>51</v>
      </c>
      <c r="P1022" s="9"/>
      <c r="Q1022" s="9"/>
      <c r="R1022" s="9"/>
      <c r="S1022" s="14" t="s">
        <v>3900</v>
      </c>
      <c r="T1022" s="9" t="s">
        <v>3901</v>
      </c>
      <c r="U1022" s="9" t="s">
        <v>262</v>
      </c>
      <c r="V1022" s="9" t="s">
        <v>55</v>
      </c>
      <c r="W1022" s="9" t="s">
        <v>115</v>
      </c>
      <c r="X1022" s="12"/>
      <c r="Y1022" s="9" t="s">
        <v>55</v>
      </c>
      <c r="Z1022" s="13"/>
    </row>
    <row r="1023" spans="1:26" ht="32.25" hidden="1" customHeight="1">
      <c r="A1023" s="8">
        <v>2315547</v>
      </c>
      <c r="B1023" s="9" t="s">
        <v>3902</v>
      </c>
      <c r="C1023" s="10">
        <v>45155</v>
      </c>
      <c r="D1023" s="9" t="s">
        <v>392</v>
      </c>
      <c r="E1023" s="9" t="s">
        <v>295</v>
      </c>
      <c r="F1023" s="9" t="s">
        <v>80</v>
      </c>
      <c r="G1023" s="9" t="s">
        <v>43</v>
      </c>
      <c r="H1023" s="9" t="s">
        <v>44</v>
      </c>
      <c r="I1023" s="11" t="s">
        <v>1600</v>
      </c>
      <c r="J1023" s="9" t="s">
        <v>407</v>
      </c>
      <c r="K1023" s="9" t="s">
        <v>92</v>
      </c>
      <c r="L1023" s="9"/>
      <c r="M1023" s="9" t="s">
        <v>3903</v>
      </c>
      <c r="N1023" s="9" t="s">
        <v>84</v>
      </c>
      <c r="O1023" s="9" t="s">
        <v>187</v>
      </c>
      <c r="P1023" s="9" t="s">
        <v>2906</v>
      </c>
      <c r="Q1023" s="9"/>
      <c r="R1023" s="9" t="s">
        <v>61</v>
      </c>
      <c r="S1023" s="14" t="s">
        <v>3904</v>
      </c>
      <c r="T1023" s="9" t="s">
        <v>3905</v>
      </c>
      <c r="U1023" s="9" t="s">
        <v>54</v>
      </c>
      <c r="V1023" s="9" t="s">
        <v>55</v>
      </c>
      <c r="W1023" s="9" t="s">
        <v>55</v>
      </c>
      <c r="X1023" s="12" t="s">
        <v>319</v>
      </c>
      <c r="Y1023" s="9" t="s">
        <v>320</v>
      </c>
      <c r="Z1023" s="13"/>
    </row>
    <row r="1024" spans="1:26" ht="32.25" hidden="1" customHeight="1">
      <c r="A1024" s="8">
        <v>2315372</v>
      </c>
      <c r="B1024" s="9" t="s">
        <v>3906</v>
      </c>
      <c r="C1024" s="10">
        <v>45152</v>
      </c>
      <c r="D1024" s="9" t="s">
        <v>185</v>
      </c>
      <c r="E1024" s="9" t="s">
        <v>295</v>
      </c>
      <c r="F1024" s="9" t="s">
        <v>42</v>
      </c>
      <c r="G1024" s="9" t="s">
        <v>43</v>
      </c>
      <c r="H1024" s="9" t="s">
        <v>44</v>
      </c>
      <c r="I1024" s="11" t="s">
        <v>406</v>
      </c>
      <c r="J1024" s="9" t="s">
        <v>407</v>
      </c>
      <c r="K1024" s="9" t="s">
        <v>1462</v>
      </c>
      <c r="L1024" s="9"/>
      <c r="M1024" s="9" t="s">
        <v>3907</v>
      </c>
      <c r="N1024" s="9" t="s">
        <v>84</v>
      </c>
      <c r="O1024" s="9" t="s">
        <v>187</v>
      </c>
      <c r="P1024" s="9"/>
      <c r="Q1024" s="9"/>
      <c r="R1024" s="9" t="s">
        <v>61</v>
      </c>
      <c r="S1024" s="14" t="s">
        <v>3908</v>
      </c>
      <c r="T1024" s="9" t="s">
        <v>3909</v>
      </c>
      <c r="U1024" s="9" t="s">
        <v>54</v>
      </c>
      <c r="V1024" s="9" t="s">
        <v>55</v>
      </c>
      <c r="W1024" s="9" t="s">
        <v>55</v>
      </c>
      <c r="X1024" s="9" t="s">
        <v>319</v>
      </c>
      <c r="Y1024" s="9" t="s">
        <v>320</v>
      </c>
      <c r="Z1024" s="13"/>
    </row>
    <row r="1025" spans="1:26" ht="32.25" hidden="1" customHeight="1">
      <c r="A1025" s="8">
        <v>2309194</v>
      </c>
      <c r="B1025" s="9" t="s">
        <v>3910</v>
      </c>
      <c r="C1025" s="10">
        <v>45149</v>
      </c>
      <c r="D1025" s="9" t="s">
        <v>57</v>
      </c>
      <c r="E1025" s="9" t="s">
        <v>41</v>
      </c>
      <c r="F1025" s="9" t="s">
        <v>42</v>
      </c>
      <c r="G1025" s="9" t="s">
        <v>43</v>
      </c>
      <c r="H1025" s="9" t="s">
        <v>58</v>
      </c>
      <c r="I1025" s="11" t="s">
        <v>199</v>
      </c>
      <c r="J1025" s="9" t="s">
        <v>200</v>
      </c>
      <c r="K1025" s="9" t="s">
        <v>47</v>
      </c>
      <c r="L1025" s="9" t="s">
        <v>3911</v>
      </c>
      <c r="M1025" s="9" t="s">
        <v>3912</v>
      </c>
      <c r="N1025" s="9" t="s">
        <v>50</v>
      </c>
      <c r="O1025" s="9" t="s">
        <v>51</v>
      </c>
      <c r="P1025" s="9"/>
      <c r="Q1025" s="9"/>
      <c r="R1025" s="9"/>
      <c r="S1025" s="14" t="s">
        <v>3913</v>
      </c>
      <c r="T1025" s="9" t="s">
        <v>3914</v>
      </c>
      <c r="U1025" s="9" t="s">
        <v>54</v>
      </c>
      <c r="V1025" s="9" t="s">
        <v>55</v>
      </c>
      <c r="W1025" s="9" t="s">
        <v>55</v>
      </c>
      <c r="X1025" s="12"/>
      <c r="Y1025" s="9" t="s">
        <v>55</v>
      </c>
      <c r="Z1025" s="13"/>
    </row>
    <row r="1026" spans="1:26" ht="32.25" hidden="1" customHeight="1">
      <c r="A1026" s="8">
        <v>2302005</v>
      </c>
      <c r="B1026" s="9" t="s">
        <v>3915</v>
      </c>
      <c r="C1026" s="10">
        <v>45156</v>
      </c>
      <c r="D1026" s="9" t="s">
        <v>79</v>
      </c>
      <c r="E1026" s="9" t="s">
        <v>89</v>
      </c>
      <c r="F1026" s="9" t="s">
        <v>80</v>
      </c>
      <c r="G1026" s="9" t="s">
        <v>43</v>
      </c>
      <c r="H1026" s="9" t="s">
        <v>44</v>
      </c>
      <c r="I1026" s="11" t="s">
        <v>90</v>
      </c>
      <c r="J1026" s="9" t="s">
        <v>91</v>
      </c>
      <c r="K1026" s="9" t="s">
        <v>416</v>
      </c>
      <c r="L1026" s="9"/>
      <c r="M1026" s="9"/>
      <c r="N1026" s="9" t="s">
        <v>50</v>
      </c>
      <c r="O1026" s="9" t="s">
        <v>51</v>
      </c>
      <c r="P1026" s="9" t="s">
        <v>546</v>
      </c>
      <c r="Q1026" s="9"/>
      <c r="R1026" s="9" t="s">
        <v>61</v>
      </c>
      <c r="S1026" s="14" t="s">
        <v>3916</v>
      </c>
      <c r="T1026" s="9" t="s">
        <v>3917</v>
      </c>
      <c r="U1026" s="9" t="s">
        <v>54</v>
      </c>
      <c r="V1026" s="9" t="s">
        <v>711</v>
      </c>
      <c r="W1026" s="9" t="s">
        <v>115</v>
      </c>
      <c r="X1026" s="12" t="s">
        <v>98</v>
      </c>
      <c r="Y1026" s="9" t="s">
        <v>99</v>
      </c>
      <c r="Z1026" s="13"/>
    </row>
    <row r="1027" spans="1:26" ht="32.25" hidden="1" customHeight="1">
      <c r="A1027" s="8">
        <v>2313861</v>
      </c>
      <c r="B1027" s="9" t="s">
        <v>3918</v>
      </c>
      <c r="C1027" s="10">
        <v>45142</v>
      </c>
      <c r="D1027" s="9" t="s">
        <v>67</v>
      </c>
      <c r="E1027" s="9" t="s">
        <v>89</v>
      </c>
      <c r="F1027" s="9" t="s">
        <v>42</v>
      </c>
      <c r="G1027" s="9" t="s">
        <v>43</v>
      </c>
      <c r="H1027" s="9" t="s">
        <v>44</v>
      </c>
      <c r="I1027" s="11" t="s">
        <v>354</v>
      </c>
      <c r="J1027" s="9" t="s">
        <v>91</v>
      </c>
      <c r="K1027" s="9" t="s">
        <v>47</v>
      </c>
      <c r="L1027" s="9" t="s">
        <v>156</v>
      </c>
      <c r="M1027" s="9"/>
      <c r="N1027" s="9" t="s">
        <v>50</v>
      </c>
      <c r="O1027" s="9" t="s">
        <v>51</v>
      </c>
      <c r="P1027" s="9" t="s">
        <v>356</v>
      </c>
      <c r="Q1027" s="9"/>
      <c r="R1027" s="9"/>
      <c r="S1027" s="9" t="s">
        <v>3919</v>
      </c>
      <c r="T1027" s="9" t="s">
        <v>3920</v>
      </c>
      <c r="U1027" s="9" t="s">
        <v>54</v>
      </c>
      <c r="V1027" s="9" t="s">
        <v>55</v>
      </c>
      <c r="W1027" s="9" t="s">
        <v>55</v>
      </c>
      <c r="X1027" s="12"/>
      <c r="Y1027" s="9" t="s">
        <v>55</v>
      </c>
      <c r="Z1027" s="13"/>
    </row>
    <row r="1028" spans="1:26" ht="32.25" hidden="1" customHeight="1">
      <c r="A1028" s="8">
        <v>2314944</v>
      </c>
      <c r="B1028" s="9" t="s">
        <v>3921</v>
      </c>
      <c r="C1028" s="10">
        <v>45156</v>
      </c>
      <c r="D1028" s="9" t="s">
        <v>79</v>
      </c>
      <c r="E1028" s="9" t="s">
        <v>41</v>
      </c>
      <c r="F1028" s="9" t="s">
        <v>80</v>
      </c>
      <c r="G1028" s="9" t="s">
        <v>43</v>
      </c>
      <c r="H1028" s="9" t="s">
        <v>44</v>
      </c>
      <c r="I1028" s="11" t="s">
        <v>233</v>
      </c>
      <c r="J1028" s="9" t="s">
        <v>200</v>
      </c>
      <c r="K1028" s="9" t="s">
        <v>47</v>
      </c>
      <c r="L1028" s="9" t="s">
        <v>48</v>
      </c>
      <c r="M1028" s="9" t="s">
        <v>3922</v>
      </c>
      <c r="N1028" s="9" t="s">
        <v>50</v>
      </c>
      <c r="O1028" s="9" t="s">
        <v>51</v>
      </c>
      <c r="P1028" s="9" t="s">
        <v>453</v>
      </c>
      <c r="Q1028" s="9"/>
      <c r="R1028" s="9"/>
      <c r="S1028" s="14" t="s">
        <v>3923</v>
      </c>
      <c r="T1028" s="9" t="s">
        <v>3924</v>
      </c>
      <c r="U1028" s="9" t="s">
        <v>54</v>
      </c>
      <c r="V1028" s="9" t="s">
        <v>55</v>
      </c>
      <c r="W1028" s="9" t="s">
        <v>55</v>
      </c>
      <c r="X1028" s="12"/>
      <c r="Y1028" s="9" t="s">
        <v>55</v>
      </c>
      <c r="Z1028" s="13"/>
    </row>
    <row r="1029" spans="1:26" ht="32.25" hidden="1" customHeight="1">
      <c r="A1029" s="8">
        <v>2300173</v>
      </c>
      <c r="B1029" s="9" t="s">
        <v>3925</v>
      </c>
      <c r="C1029" s="10">
        <v>45149</v>
      </c>
      <c r="D1029" s="9" t="s">
        <v>261</v>
      </c>
      <c r="E1029" s="9" t="s">
        <v>68</v>
      </c>
      <c r="F1029" s="9" t="s">
        <v>262</v>
      </c>
      <c r="G1029" s="9" t="s">
        <v>43</v>
      </c>
      <c r="H1029" s="9" t="s">
        <v>44</v>
      </c>
      <c r="I1029" s="11" t="s">
        <v>263</v>
      </c>
      <c r="J1029" s="9" t="s">
        <v>264</v>
      </c>
      <c r="K1029" s="9" t="s">
        <v>47</v>
      </c>
      <c r="L1029" s="9" t="s">
        <v>1087</v>
      </c>
      <c r="M1029" s="9" t="s">
        <v>1088</v>
      </c>
      <c r="N1029" s="9" t="s">
        <v>50</v>
      </c>
      <c r="O1029" s="9" t="s">
        <v>51</v>
      </c>
      <c r="P1029" s="9"/>
      <c r="Q1029" s="9"/>
      <c r="R1029" s="9" t="s">
        <v>61</v>
      </c>
      <c r="S1029" s="14" t="s">
        <v>3926</v>
      </c>
      <c r="T1029" s="9" t="s">
        <v>3927</v>
      </c>
      <c r="U1029" s="9" t="s">
        <v>262</v>
      </c>
      <c r="V1029" s="9" t="s">
        <v>55</v>
      </c>
      <c r="W1029" s="9" t="s">
        <v>115</v>
      </c>
      <c r="X1029" s="12" t="s">
        <v>389</v>
      </c>
      <c r="Y1029" s="9" t="s">
        <v>390</v>
      </c>
      <c r="Z1029" s="13"/>
    </row>
    <row r="1030" spans="1:26" ht="32.25" hidden="1" customHeight="1">
      <c r="A1030" s="8">
        <v>2305490</v>
      </c>
      <c r="B1030" s="9" t="s">
        <v>3928</v>
      </c>
      <c r="C1030" s="10">
        <v>45149</v>
      </c>
      <c r="D1030" s="9" t="s">
        <v>57</v>
      </c>
      <c r="E1030" s="9" t="s">
        <v>41</v>
      </c>
      <c r="F1030" s="9" t="s">
        <v>42</v>
      </c>
      <c r="G1030" s="9" t="s">
        <v>43</v>
      </c>
      <c r="H1030" s="9" t="s">
        <v>58</v>
      </c>
      <c r="I1030" s="11" t="s">
        <v>129</v>
      </c>
      <c r="J1030" s="9" t="s">
        <v>130</v>
      </c>
      <c r="K1030" s="9" t="s">
        <v>47</v>
      </c>
      <c r="L1030" s="9" t="s">
        <v>156</v>
      </c>
      <c r="M1030" s="9" t="s">
        <v>737</v>
      </c>
      <c r="N1030" s="9" t="s">
        <v>84</v>
      </c>
      <c r="O1030" s="9" t="s">
        <v>51</v>
      </c>
      <c r="P1030" s="9"/>
      <c r="Q1030" s="9"/>
      <c r="R1030" s="9"/>
      <c r="S1030" s="14" t="s">
        <v>3929</v>
      </c>
      <c r="T1030" s="9" t="s">
        <v>3930</v>
      </c>
      <c r="U1030" s="9" t="s">
        <v>54</v>
      </c>
      <c r="V1030" s="9" t="s">
        <v>55</v>
      </c>
      <c r="W1030" s="9" t="s">
        <v>55</v>
      </c>
      <c r="X1030" s="12"/>
      <c r="Y1030" s="9" t="s">
        <v>55</v>
      </c>
      <c r="Z1030" s="13"/>
    </row>
    <row r="1031" spans="1:26" ht="32.25" hidden="1" customHeight="1">
      <c r="A1031" s="8">
        <v>2311452</v>
      </c>
      <c r="B1031" s="9" t="s">
        <v>3931</v>
      </c>
      <c r="C1031" s="10">
        <v>45149</v>
      </c>
      <c r="D1031" s="9" t="s">
        <v>57</v>
      </c>
      <c r="E1031" s="9" t="s">
        <v>41</v>
      </c>
      <c r="F1031" s="9" t="s">
        <v>42</v>
      </c>
      <c r="G1031" s="9" t="s">
        <v>43</v>
      </c>
      <c r="H1031" s="9" t="s">
        <v>58</v>
      </c>
      <c r="I1031" s="11" t="s">
        <v>45</v>
      </c>
      <c r="J1031" s="9" t="s">
        <v>46</v>
      </c>
      <c r="K1031" s="9" t="s">
        <v>47</v>
      </c>
      <c r="L1031" s="9" t="s">
        <v>48</v>
      </c>
      <c r="M1031" s="9" t="s">
        <v>1447</v>
      </c>
      <c r="N1031" s="9" t="s">
        <v>50</v>
      </c>
      <c r="O1031" s="9" t="s">
        <v>51</v>
      </c>
      <c r="P1031" s="9"/>
      <c r="Q1031" s="9"/>
      <c r="R1031" s="9"/>
      <c r="S1031" s="14" t="s">
        <v>3932</v>
      </c>
      <c r="T1031" s="9" t="s">
        <v>3933</v>
      </c>
      <c r="U1031" s="9" t="s">
        <v>54</v>
      </c>
      <c r="V1031" s="9" t="s">
        <v>55</v>
      </c>
      <c r="W1031" s="9" t="s">
        <v>55</v>
      </c>
      <c r="X1031" s="12"/>
      <c r="Y1031" s="9" t="s">
        <v>55</v>
      </c>
      <c r="Z1031" s="13"/>
    </row>
    <row r="1032" spans="1:26" ht="32.25" hidden="1" customHeight="1">
      <c r="A1032" s="8">
        <v>2314336</v>
      </c>
      <c r="B1032" s="9" t="s">
        <v>3934</v>
      </c>
      <c r="C1032" s="10">
        <v>45156</v>
      </c>
      <c r="D1032" s="9" t="s">
        <v>79</v>
      </c>
      <c r="E1032" s="9" t="s">
        <v>41</v>
      </c>
      <c r="F1032" s="9" t="s">
        <v>80</v>
      </c>
      <c r="G1032" s="9" t="s">
        <v>43</v>
      </c>
      <c r="H1032" s="9" t="s">
        <v>44</v>
      </c>
      <c r="I1032" s="11" t="s">
        <v>478</v>
      </c>
      <c r="J1032" s="9" t="s">
        <v>479</v>
      </c>
      <c r="K1032" s="9" t="s">
        <v>47</v>
      </c>
      <c r="L1032" s="9" t="s">
        <v>1087</v>
      </c>
      <c r="M1032" s="9" t="s">
        <v>1981</v>
      </c>
      <c r="N1032" s="9" t="s">
        <v>50</v>
      </c>
      <c r="O1032" s="9" t="s">
        <v>51</v>
      </c>
      <c r="P1032" s="9" t="s">
        <v>482</v>
      </c>
      <c r="Q1032" s="9"/>
      <c r="R1032" s="9" t="s">
        <v>61</v>
      </c>
      <c r="S1032" s="14" t="s">
        <v>3935</v>
      </c>
      <c r="T1032" s="9" t="s">
        <v>3936</v>
      </c>
      <c r="U1032" s="9" t="s">
        <v>54</v>
      </c>
      <c r="V1032" s="9" t="s">
        <v>55</v>
      </c>
      <c r="W1032" s="9" t="s">
        <v>55</v>
      </c>
      <c r="X1032" s="12" t="s">
        <v>150</v>
      </c>
      <c r="Y1032" s="9" t="s">
        <v>151</v>
      </c>
      <c r="Z1032" s="13"/>
    </row>
    <row r="1033" spans="1:26" ht="32.25" hidden="1" customHeight="1">
      <c r="A1033" s="8">
        <v>2309548</v>
      </c>
      <c r="B1033" s="9" t="s">
        <v>3937</v>
      </c>
      <c r="C1033" s="10">
        <v>45136</v>
      </c>
      <c r="D1033" s="9" t="s">
        <v>40</v>
      </c>
      <c r="E1033" s="9" t="s">
        <v>41</v>
      </c>
      <c r="F1033" s="9" t="s">
        <v>42</v>
      </c>
      <c r="G1033" s="9" t="s">
        <v>43</v>
      </c>
      <c r="H1033" s="9" t="s">
        <v>44</v>
      </c>
      <c r="I1033" s="11" t="s">
        <v>45</v>
      </c>
      <c r="J1033" s="9" t="s">
        <v>46</v>
      </c>
      <c r="K1033" s="9" t="s">
        <v>47</v>
      </c>
      <c r="L1033" s="9" t="s">
        <v>138</v>
      </c>
      <c r="M1033" s="9" t="s">
        <v>3938</v>
      </c>
      <c r="N1033" s="9" t="s">
        <v>50</v>
      </c>
      <c r="O1033" s="9" t="s">
        <v>51</v>
      </c>
      <c r="P1033" s="9"/>
      <c r="Q1033" s="9"/>
      <c r="R1033" s="9" t="s">
        <v>61</v>
      </c>
      <c r="S1033" s="9" t="s">
        <v>3939</v>
      </c>
      <c r="T1033" s="9" t="s">
        <v>3940</v>
      </c>
      <c r="U1033" s="9" t="s">
        <v>54</v>
      </c>
      <c r="V1033" s="9" t="s">
        <v>55</v>
      </c>
      <c r="W1033" s="9" t="s">
        <v>55</v>
      </c>
      <c r="X1033" s="9" t="s">
        <v>196</v>
      </c>
      <c r="Y1033" s="9" t="s">
        <v>197</v>
      </c>
      <c r="Z1033" s="13"/>
    </row>
    <row r="1034" spans="1:26" ht="32.25" hidden="1" customHeight="1">
      <c r="A1034" s="8">
        <v>2309770</v>
      </c>
      <c r="B1034" s="9" t="s">
        <v>3941</v>
      </c>
      <c r="C1034" s="10">
        <v>45136</v>
      </c>
      <c r="D1034" s="9" t="s">
        <v>301</v>
      </c>
      <c r="E1034" s="9" t="s">
        <v>41</v>
      </c>
      <c r="F1034" s="9" t="s">
        <v>42</v>
      </c>
      <c r="G1034" s="9" t="s">
        <v>43</v>
      </c>
      <c r="H1034" s="9" t="s">
        <v>44</v>
      </c>
      <c r="I1034" s="11" t="s">
        <v>45</v>
      </c>
      <c r="J1034" s="9" t="s">
        <v>46</v>
      </c>
      <c r="K1034" s="9" t="s">
        <v>47</v>
      </c>
      <c r="L1034" s="9" t="s">
        <v>1040</v>
      </c>
      <c r="M1034" s="9" t="s">
        <v>3942</v>
      </c>
      <c r="N1034" s="9" t="s">
        <v>50</v>
      </c>
      <c r="O1034" s="9" t="s">
        <v>51</v>
      </c>
      <c r="P1034" s="9"/>
      <c r="Q1034" s="9"/>
      <c r="R1034" s="9" t="s">
        <v>61</v>
      </c>
      <c r="S1034" s="9" t="s">
        <v>3943</v>
      </c>
      <c r="T1034" s="9" t="s">
        <v>3944</v>
      </c>
      <c r="U1034" s="9" t="s">
        <v>54</v>
      </c>
      <c r="V1034" s="9" t="s">
        <v>55</v>
      </c>
      <c r="W1034" s="9" t="s">
        <v>55</v>
      </c>
      <c r="X1034" s="9" t="s">
        <v>196</v>
      </c>
      <c r="Y1034" s="9" t="s">
        <v>197</v>
      </c>
      <c r="Z1034" s="13"/>
    </row>
    <row r="1035" spans="1:26" ht="32.25" hidden="1" customHeight="1">
      <c r="A1035" s="8">
        <v>2310049</v>
      </c>
      <c r="B1035" s="9" t="s">
        <v>3945</v>
      </c>
      <c r="C1035" s="10">
        <v>45156</v>
      </c>
      <c r="D1035" s="9" t="s">
        <v>79</v>
      </c>
      <c r="E1035" s="9" t="s">
        <v>295</v>
      </c>
      <c r="F1035" s="9" t="s">
        <v>80</v>
      </c>
      <c r="G1035" s="9" t="s">
        <v>43</v>
      </c>
      <c r="H1035" s="9" t="s">
        <v>44</v>
      </c>
      <c r="I1035" s="11" t="s">
        <v>1600</v>
      </c>
      <c r="J1035" s="9" t="s">
        <v>407</v>
      </c>
      <c r="K1035" s="9" t="s">
        <v>47</v>
      </c>
      <c r="L1035" s="9"/>
      <c r="M1035" s="9"/>
      <c r="N1035" s="9" t="s">
        <v>84</v>
      </c>
      <c r="O1035" s="9" t="s">
        <v>51</v>
      </c>
      <c r="P1035" s="9" t="s">
        <v>3946</v>
      </c>
      <c r="Q1035" s="9"/>
      <c r="R1035" s="9"/>
      <c r="S1035" s="14" t="s">
        <v>3947</v>
      </c>
      <c r="T1035" s="9" t="s">
        <v>3948</v>
      </c>
      <c r="U1035" s="9" t="s">
        <v>54</v>
      </c>
      <c r="V1035" s="9"/>
      <c r="W1035" s="9" t="s">
        <v>115</v>
      </c>
      <c r="X1035" s="12"/>
      <c r="Y1035" s="9" t="s">
        <v>55</v>
      </c>
      <c r="Z1035" s="13"/>
    </row>
    <row r="1036" spans="1:26" ht="32.25" hidden="1" customHeight="1">
      <c r="A1036" s="8">
        <v>2300478</v>
      </c>
      <c r="B1036" s="9" t="s">
        <v>3949</v>
      </c>
      <c r="C1036" s="10">
        <v>45156</v>
      </c>
      <c r="D1036" s="9" t="s">
        <v>79</v>
      </c>
      <c r="E1036" s="9" t="s">
        <v>89</v>
      </c>
      <c r="F1036" s="9" t="s">
        <v>80</v>
      </c>
      <c r="G1036" s="9" t="s">
        <v>43</v>
      </c>
      <c r="H1036" s="9" t="s">
        <v>44</v>
      </c>
      <c r="I1036" s="11" t="s">
        <v>90</v>
      </c>
      <c r="J1036" s="9" t="s">
        <v>91</v>
      </c>
      <c r="K1036" s="9" t="s">
        <v>47</v>
      </c>
      <c r="L1036" s="9" t="s">
        <v>156</v>
      </c>
      <c r="M1036" s="9"/>
      <c r="N1036" s="9" t="s">
        <v>84</v>
      </c>
      <c r="O1036" s="9" t="s">
        <v>51</v>
      </c>
      <c r="P1036" s="9" t="s">
        <v>865</v>
      </c>
      <c r="Q1036" s="9"/>
      <c r="R1036" s="9"/>
      <c r="S1036" s="14" t="s">
        <v>3950</v>
      </c>
      <c r="T1036" s="9" t="s">
        <v>3951</v>
      </c>
      <c r="U1036" s="9" t="s">
        <v>54</v>
      </c>
      <c r="V1036" s="9" t="s">
        <v>55</v>
      </c>
      <c r="W1036" s="9" t="s">
        <v>55</v>
      </c>
      <c r="X1036" s="12"/>
      <c r="Y1036" s="9" t="s">
        <v>55</v>
      </c>
      <c r="Z1036" s="13"/>
    </row>
    <row r="1037" spans="1:26" ht="32.25" hidden="1" customHeight="1">
      <c r="A1037" s="8">
        <v>2302552</v>
      </c>
      <c r="B1037" s="9" t="s">
        <v>3952</v>
      </c>
      <c r="C1037" s="10">
        <v>45149</v>
      </c>
      <c r="D1037" s="9" t="s">
        <v>57</v>
      </c>
      <c r="E1037" s="9" t="s">
        <v>153</v>
      </c>
      <c r="F1037" s="9" t="s">
        <v>42</v>
      </c>
      <c r="G1037" s="9" t="s">
        <v>43</v>
      </c>
      <c r="H1037" s="9" t="s">
        <v>58</v>
      </c>
      <c r="I1037" s="11" t="s">
        <v>154</v>
      </c>
      <c r="J1037" s="9" t="s">
        <v>155</v>
      </c>
      <c r="K1037" s="9" t="s">
        <v>47</v>
      </c>
      <c r="L1037" s="9" t="s">
        <v>48</v>
      </c>
      <c r="M1037" s="9" t="s">
        <v>1366</v>
      </c>
      <c r="N1037" s="9" t="s">
        <v>84</v>
      </c>
      <c r="O1037" s="9" t="s">
        <v>51</v>
      </c>
      <c r="P1037" s="9"/>
      <c r="Q1037" s="9"/>
      <c r="R1037" s="9"/>
      <c r="S1037" s="14" t="s">
        <v>3953</v>
      </c>
      <c r="T1037" s="9" t="s">
        <v>3954</v>
      </c>
      <c r="U1037" s="9" t="s">
        <v>54</v>
      </c>
      <c r="V1037" s="9" t="s">
        <v>55</v>
      </c>
      <c r="W1037" s="9" t="s">
        <v>55</v>
      </c>
      <c r="X1037" s="12"/>
      <c r="Y1037" s="9" t="s">
        <v>55</v>
      </c>
      <c r="Z1037" s="13"/>
    </row>
    <row r="1038" spans="1:26" ht="32.25" hidden="1" customHeight="1">
      <c r="A1038" s="8">
        <v>2314450</v>
      </c>
      <c r="B1038" s="9" t="s">
        <v>3955</v>
      </c>
      <c r="C1038" s="10">
        <v>45142</v>
      </c>
      <c r="D1038" s="9" t="s">
        <v>232</v>
      </c>
      <c r="E1038" s="9" t="s">
        <v>41</v>
      </c>
      <c r="F1038" s="9" t="s">
        <v>80</v>
      </c>
      <c r="G1038" s="9" t="s">
        <v>43</v>
      </c>
      <c r="H1038" s="9" t="s">
        <v>44</v>
      </c>
      <c r="I1038" s="11" t="s">
        <v>81</v>
      </c>
      <c r="J1038" s="9" t="s">
        <v>46</v>
      </c>
      <c r="K1038" s="9" t="s">
        <v>3956</v>
      </c>
      <c r="L1038" s="9"/>
      <c r="M1038" s="9"/>
      <c r="N1038" s="9" t="s">
        <v>50</v>
      </c>
      <c r="O1038" s="9" t="s">
        <v>187</v>
      </c>
      <c r="P1038" s="9" t="s">
        <v>851</v>
      </c>
      <c r="Q1038" s="9"/>
      <c r="R1038" s="9" t="s">
        <v>61</v>
      </c>
      <c r="S1038" s="9" t="s">
        <v>3957</v>
      </c>
      <c r="T1038" s="9" t="s">
        <v>3958</v>
      </c>
      <c r="U1038" s="9" t="s">
        <v>54</v>
      </c>
      <c r="V1038" s="9" t="s">
        <v>55</v>
      </c>
      <c r="W1038" s="9" t="s">
        <v>55</v>
      </c>
      <c r="X1038" s="9" t="s">
        <v>64</v>
      </c>
      <c r="Y1038" s="9" t="s">
        <v>65</v>
      </c>
      <c r="Z1038" s="13"/>
    </row>
    <row r="1039" spans="1:26" ht="32.25" hidden="1" customHeight="1">
      <c r="A1039" s="8">
        <v>2301521</v>
      </c>
      <c r="B1039" s="9" t="s">
        <v>3959</v>
      </c>
      <c r="C1039" s="10">
        <v>45142</v>
      </c>
      <c r="D1039" s="9" t="s">
        <v>67</v>
      </c>
      <c r="E1039" s="9" t="s">
        <v>68</v>
      </c>
      <c r="F1039" s="9" t="s">
        <v>135</v>
      </c>
      <c r="G1039" s="9" t="s">
        <v>43</v>
      </c>
      <c r="H1039" s="9" t="s">
        <v>44</v>
      </c>
      <c r="I1039" s="11" t="s">
        <v>136</v>
      </c>
      <c r="J1039" s="9" t="s">
        <v>137</v>
      </c>
      <c r="K1039" s="9" t="s">
        <v>416</v>
      </c>
      <c r="L1039" s="9" t="s">
        <v>2718</v>
      </c>
      <c r="M1039" s="9" t="s">
        <v>1605</v>
      </c>
      <c r="N1039" s="9" t="s">
        <v>50</v>
      </c>
      <c r="O1039" s="9" t="s">
        <v>51</v>
      </c>
      <c r="P1039" s="9"/>
      <c r="Q1039" s="9"/>
      <c r="R1039" s="9" t="s">
        <v>61</v>
      </c>
      <c r="S1039" s="9" t="s">
        <v>3960</v>
      </c>
      <c r="T1039" s="9" t="s">
        <v>3961</v>
      </c>
      <c r="U1039" s="9" t="s">
        <v>54</v>
      </c>
      <c r="V1039" s="9" t="s">
        <v>55</v>
      </c>
      <c r="W1039" s="9" t="s">
        <v>55</v>
      </c>
      <c r="X1039" s="12" t="s">
        <v>76</v>
      </c>
      <c r="Y1039" s="9" t="s">
        <v>77</v>
      </c>
      <c r="Z1039" s="13"/>
    </row>
    <row r="1040" spans="1:26" ht="32.25" hidden="1" customHeight="1">
      <c r="A1040" s="8">
        <v>2300102</v>
      </c>
      <c r="B1040" s="9" t="s">
        <v>3962</v>
      </c>
      <c r="C1040" s="10">
        <v>45149</v>
      </c>
      <c r="D1040" s="9" t="s">
        <v>261</v>
      </c>
      <c r="E1040" s="9" t="s">
        <v>68</v>
      </c>
      <c r="F1040" s="9" t="s">
        <v>262</v>
      </c>
      <c r="G1040" s="9" t="s">
        <v>43</v>
      </c>
      <c r="H1040" s="9" t="s">
        <v>44</v>
      </c>
      <c r="I1040" s="11" t="s">
        <v>648</v>
      </c>
      <c r="J1040" s="9" t="s">
        <v>649</v>
      </c>
      <c r="K1040" s="9" t="s">
        <v>47</v>
      </c>
      <c r="L1040" s="9" t="s">
        <v>799</v>
      </c>
      <c r="M1040" s="9" t="s">
        <v>3963</v>
      </c>
      <c r="N1040" s="9" t="s">
        <v>50</v>
      </c>
      <c r="O1040" s="9" t="s">
        <v>51</v>
      </c>
      <c r="P1040" s="9"/>
      <c r="Q1040" s="9"/>
      <c r="R1040" s="9" t="s">
        <v>61</v>
      </c>
      <c r="S1040" s="14" t="s">
        <v>3964</v>
      </c>
      <c r="T1040" s="9" t="s">
        <v>3965</v>
      </c>
      <c r="U1040" s="9" t="s">
        <v>262</v>
      </c>
      <c r="V1040" s="9" t="s">
        <v>2369</v>
      </c>
      <c r="W1040" s="9" t="s">
        <v>115</v>
      </c>
      <c r="X1040" s="12" t="s">
        <v>76</v>
      </c>
      <c r="Y1040" s="9" t="s">
        <v>77</v>
      </c>
      <c r="Z1040" s="13" t="s">
        <v>3966</v>
      </c>
    </row>
    <row r="1041" spans="1:26" ht="32.25" hidden="1" customHeight="1">
      <c r="A1041" s="8">
        <v>2306721</v>
      </c>
      <c r="B1041" s="9" t="s">
        <v>3967</v>
      </c>
      <c r="C1041" s="10">
        <v>45149</v>
      </c>
      <c r="D1041" s="9" t="s">
        <v>57</v>
      </c>
      <c r="E1041" s="9" t="s">
        <v>41</v>
      </c>
      <c r="F1041" s="9" t="s">
        <v>42</v>
      </c>
      <c r="G1041" s="9" t="s">
        <v>43</v>
      </c>
      <c r="H1041" s="9" t="s">
        <v>58</v>
      </c>
      <c r="I1041" s="11" t="s">
        <v>199</v>
      </c>
      <c r="J1041" s="9" t="s">
        <v>200</v>
      </c>
      <c r="K1041" s="9" t="s">
        <v>47</v>
      </c>
      <c r="L1041" s="9" t="s">
        <v>2006</v>
      </c>
      <c r="M1041" s="9" t="s">
        <v>2560</v>
      </c>
      <c r="N1041" s="9" t="s">
        <v>50</v>
      </c>
      <c r="O1041" s="9" t="s">
        <v>51</v>
      </c>
      <c r="P1041" s="9"/>
      <c r="Q1041" s="9"/>
      <c r="R1041" s="9" t="s">
        <v>61</v>
      </c>
      <c r="S1041" s="14" t="s">
        <v>3968</v>
      </c>
      <c r="T1041" s="9" t="s">
        <v>3969</v>
      </c>
      <c r="U1041" s="9" t="s">
        <v>54</v>
      </c>
      <c r="V1041" s="9" t="s">
        <v>55</v>
      </c>
      <c r="W1041" s="9" t="s">
        <v>55</v>
      </c>
      <c r="X1041" s="12" t="s">
        <v>196</v>
      </c>
      <c r="Y1041" s="9" t="s">
        <v>197</v>
      </c>
      <c r="Z1041" s="13" t="s">
        <v>3970</v>
      </c>
    </row>
    <row r="1042" spans="1:26" ht="32.25" hidden="1" customHeight="1">
      <c r="A1042" s="8">
        <v>2309154</v>
      </c>
      <c r="B1042" s="9" t="s">
        <v>3971</v>
      </c>
      <c r="C1042" s="10">
        <v>45156</v>
      </c>
      <c r="D1042" s="9" t="s">
        <v>79</v>
      </c>
      <c r="E1042" s="9" t="s">
        <v>89</v>
      </c>
      <c r="F1042" s="9" t="s">
        <v>80</v>
      </c>
      <c r="G1042" s="9" t="s">
        <v>43</v>
      </c>
      <c r="H1042" s="9" t="s">
        <v>44</v>
      </c>
      <c r="I1042" s="11" t="s">
        <v>90</v>
      </c>
      <c r="J1042" s="9" t="s">
        <v>91</v>
      </c>
      <c r="K1042" s="9" t="s">
        <v>47</v>
      </c>
      <c r="L1042" s="9" t="s">
        <v>1040</v>
      </c>
      <c r="M1042" s="9" t="s">
        <v>1041</v>
      </c>
      <c r="N1042" s="9" t="s">
        <v>50</v>
      </c>
      <c r="O1042" s="9" t="s">
        <v>51</v>
      </c>
      <c r="P1042" s="9" t="s">
        <v>498</v>
      </c>
      <c r="Q1042" s="9"/>
      <c r="R1042" s="9" t="s">
        <v>61</v>
      </c>
      <c r="S1042" s="14" t="s">
        <v>3972</v>
      </c>
      <c r="T1042" s="9" t="s">
        <v>3973</v>
      </c>
      <c r="U1042" s="9" t="s">
        <v>54</v>
      </c>
      <c r="V1042" s="9" t="s">
        <v>711</v>
      </c>
      <c r="W1042" s="9" t="s">
        <v>115</v>
      </c>
      <c r="X1042" s="12" t="s">
        <v>98</v>
      </c>
      <c r="Y1042" s="9" t="s">
        <v>99</v>
      </c>
      <c r="Z1042" s="13"/>
    </row>
    <row r="1043" spans="1:26" ht="32.25" hidden="1" customHeight="1">
      <c r="A1043" s="8">
        <v>2307146</v>
      </c>
      <c r="B1043" s="9" t="s">
        <v>3974</v>
      </c>
      <c r="C1043" s="10">
        <v>45156</v>
      </c>
      <c r="D1043" s="9" t="s">
        <v>79</v>
      </c>
      <c r="E1043" s="9" t="s">
        <v>41</v>
      </c>
      <c r="F1043" s="9" t="s">
        <v>80</v>
      </c>
      <c r="G1043" s="9" t="s">
        <v>43</v>
      </c>
      <c r="H1043" s="9" t="s">
        <v>44</v>
      </c>
      <c r="I1043" s="11" t="s">
        <v>81</v>
      </c>
      <c r="J1043" s="9" t="s">
        <v>46</v>
      </c>
      <c r="K1043" s="9" t="s">
        <v>47</v>
      </c>
      <c r="L1043" s="9" t="s">
        <v>156</v>
      </c>
      <c r="M1043" s="9"/>
      <c r="N1043" s="9" t="s">
        <v>50</v>
      </c>
      <c r="O1043" s="9" t="s">
        <v>51</v>
      </c>
      <c r="P1043" s="9" t="s">
        <v>85</v>
      </c>
      <c r="Q1043" s="9"/>
      <c r="R1043" s="9"/>
      <c r="S1043" s="14" t="s">
        <v>3975</v>
      </c>
      <c r="T1043" s="9" t="s">
        <v>3976</v>
      </c>
      <c r="U1043" s="9" t="s">
        <v>54</v>
      </c>
      <c r="V1043" s="9" t="s">
        <v>55</v>
      </c>
      <c r="W1043" s="9" t="s">
        <v>55</v>
      </c>
      <c r="X1043" s="12"/>
      <c r="Y1043" s="9" t="s">
        <v>55</v>
      </c>
      <c r="Z1043" s="13"/>
    </row>
    <row r="1044" spans="1:26" ht="32.25" hidden="1" customHeight="1">
      <c r="A1044" s="8">
        <v>2314341</v>
      </c>
      <c r="B1044" s="9" t="s">
        <v>3977</v>
      </c>
      <c r="C1044" s="10">
        <v>45156</v>
      </c>
      <c r="D1044" s="9" t="s">
        <v>79</v>
      </c>
      <c r="E1044" s="9" t="s">
        <v>68</v>
      </c>
      <c r="F1044" s="9" t="s">
        <v>80</v>
      </c>
      <c r="G1044" s="9" t="s">
        <v>43</v>
      </c>
      <c r="H1044" s="9" t="s">
        <v>44</v>
      </c>
      <c r="I1044" s="11" t="s">
        <v>117</v>
      </c>
      <c r="J1044" s="9" t="s">
        <v>118</v>
      </c>
      <c r="K1044" s="9" t="s">
        <v>47</v>
      </c>
      <c r="L1044" s="9" t="s">
        <v>48</v>
      </c>
      <c r="M1044" s="9" t="s">
        <v>3563</v>
      </c>
      <c r="N1044" s="9" t="s">
        <v>84</v>
      </c>
      <c r="O1044" s="9" t="s">
        <v>51</v>
      </c>
      <c r="P1044" s="9" t="s">
        <v>285</v>
      </c>
      <c r="Q1044" s="9"/>
      <c r="R1044" s="9"/>
      <c r="S1044" s="14" t="s">
        <v>3978</v>
      </c>
      <c r="T1044" s="9" t="s">
        <v>3979</v>
      </c>
      <c r="U1044" s="9" t="s">
        <v>54</v>
      </c>
      <c r="V1044" s="9" t="s">
        <v>55</v>
      </c>
      <c r="W1044" s="9" t="s">
        <v>55</v>
      </c>
      <c r="X1044" s="12"/>
      <c r="Y1044" s="9" t="s">
        <v>55</v>
      </c>
      <c r="Z1044" s="13"/>
    </row>
    <row r="1045" spans="1:26" ht="32.25" hidden="1" customHeight="1">
      <c r="A1045" s="8">
        <v>2306871</v>
      </c>
      <c r="B1045" s="9" t="s">
        <v>3980</v>
      </c>
      <c r="C1045" s="10">
        <v>45136</v>
      </c>
      <c r="D1045" s="9" t="s">
        <v>1072</v>
      </c>
      <c r="E1045" s="9" t="s">
        <v>143</v>
      </c>
      <c r="F1045" s="9" t="s">
        <v>42</v>
      </c>
      <c r="G1045" s="9" t="s">
        <v>43</v>
      </c>
      <c r="H1045" s="9" t="s">
        <v>44</v>
      </c>
      <c r="I1045" s="11" t="s">
        <v>144</v>
      </c>
      <c r="J1045" s="9" t="s">
        <v>145</v>
      </c>
      <c r="K1045" s="9" t="s">
        <v>47</v>
      </c>
      <c r="L1045" s="9" t="s">
        <v>48</v>
      </c>
      <c r="M1045" s="9" t="s">
        <v>1283</v>
      </c>
      <c r="N1045" s="9" t="s">
        <v>84</v>
      </c>
      <c r="O1045" s="9" t="s">
        <v>51</v>
      </c>
      <c r="P1045" s="9" t="s">
        <v>147</v>
      </c>
      <c r="Q1045" s="9"/>
      <c r="R1045" s="9"/>
      <c r="S1045" s="9" t="s">
        <v>3981</v>
      </c>
      <c r="T1045" s="9" t="s">
        <v>3982</v>
      </c>
      <c r="U1045" s="9" t="s">
        <v>54</v>
      </c>
      <c r="V1045" s="9" t="s">
        <v>55</v>
      </c>
      <c r="W1045" s="9" t="s">
        <v>55</v>
      </c>
      <c r="X1045" s="12"/>
      <c r="Y1045" s="9" t="s">
        <v>55</v>
      </c>
      <c r="Z1045" s="13"/>
    </row>
    <row r="1046" spans="1:26" ht="32.25" hidden="1" customHeight="1">
      <c r="A1046" s="8">
        <v>2311929</v>
      </c>
      <c r="B1046" s="9" t="s">
        <v>3983</v>
      </c>
      <c r="C1046" s="10">
        <v>45149</v>
      </c>
      <c r="D1046" s="9" t="s">
        <v>261</v>
      </c>
      <c r="E1046" s="9" t="s">
        <v>41</v>
      </c>
      <c r="F1046" s="9" t="s">
        <v>262</v>
      </c>
      <c r="G1046" s="9" t="s">
        <v>43</v>
      </c>
      <c r="H1046" s="9" t="s">
        <v>44</v>
      </c>
      <c r="I1046" s="11" t="s">
        <v>2449</v>
      </c>
      <c r="J1046" s="9" t="s">
        <v>2450</v>
      </c>
      <c r="K1046" s="9" t="s">
        <v>47</v>
      </c>
      <c r="L1046" s="9" t="s">
        <v>1087</v>
      </c>
      <c r="M1046" s="9" t="s">
        <v>3984</v>
      </c>
      <c r="N1046" s="9" t="s">
        <v>50</v>
      </c>
      <c r="O1046" s="9" t="s">
        <v>51</v>
      </c>
      <c r="P1046" s="9"/>
      <c r="Q1046" s="9"/>
      <c r="R1046" s="9"/>
      <c r="S1046" s="14" t="s">
        <v>3985</v>
      </c>
      <c r="T1046" s="9" t="s">
        <v>3986</v>
      </c>
      <c r="U1046" s="9" t="s">
        <v>262</v>
      </c>
      <c r="V1046" s="9" t="s">
        <v>55</v>
      </c>
      <c r="W1046" s="9" t="s">
        <v>55</v>
      </c>
      <c r="X1046" s="12"/>
      <c r="Y1046" s="9" t="s">
        <v>55</v>
      </c>
      <c r="Z1046" s="13"/>
    </row>
    <row r="1047" spans="1:26" ht="32.25" hidden="1" customHeight="1">
      <c r="A1047" s="8">
        <v>2304413</v>
      </c>
      <c r="B1047" s="9" t="s">
        <v>3987</v>
      </c>
      <c r="C1047" s="10">
        <v>45156</v>
      </c>
      <c r="D1047" s="9" t="s">
        <v>565</v>
      </c>
      <c r="E1047" s="9" t="s">
        <v>41</v>
      </c>
      <c r="F1047" s="9" t="s">
        <v>42</v>
      </c>
      <c r="G1047" s="9" t="s">
        <v>43</v>
      </c>
      <c r="H1047" s="9" t="s">
        <v>58</v>
      </c>
      <c r="I1047" s="11" t="s">
        <v>1073</v>
      </c>
      <c r="J1047" s="9" t="s">
        <v>479</v>
      </c>
      <c r="K1047" s="9" t="s">
        <v>47</v>
      </c>
      <c r="L1047" s="9" t="s">
        <v>156</v>
      </c>
      <c r="M1047" s="9"/>
      <c r="N1047" s="9" t="s">
        <v>84</v>
      </c>
      <c r="O1047" s="9" t="s">
        <v>51</v>
      </c>
      <c r="P1047" s="9"/>
      <c r="Q1047" s="9"/>
      <c r="R1047" s="9"/>
      <c r="S1047" s="14" t="s">
        <v>3988</v>
      </c>
      <c r="T1047" s="9" t="s">
        <v>3989</v>
      </c>
      <c r="U1047" s="9" t="s">
        <v>54</v>
      </c>
      <c r="V1047" s="9" t="s">
        <v>55</v>
      </c>
      <c r="W1047" s="9" t="s">
        <v>55</v>
      </c>
      <c r="X1047" s="12"/>
      <c r="Y1047" s="9" t="s">
        <v>55</v>
      </c>
      <c r="Z1047" s="13"/>
    </row>
    <row r="1048" spans="1:26" ht="32.25" hidden="1" customHeight="1">
      <c r="A1048" s="8">
        <v>2300901</v>
      </c>
      <c r="B1048" s="9" t="s">
        <v>3990</v>
      </c>
      <c r="C1048" s="10">
        <v>45142</v>
      </c>
      <c r="D1048" s="9" t="s">
        <v>67</v>
      </c>
      <c r="E1048" s="9" t="s">
        <v>68</v>
      </c>
      <c r="F1048" s="9" t="s">
        <v>42</v>
      </c>
      <c r="G1048" s="9" t="s">
        <v>43</v>
      </c>
      <c r="H1048" s="9" t="s">
        <v>44</v>
      </c>
      <c r="I1048" s="11" t="s">
        <v>69</v>
      </c>
      <c r="J1048" s="9" t="s">
        <v>70</v>
      </c>
      <c r="K1048" s="9" t="s">
        <v>47</v>
      </c>
      <c r="L1048" s="9" t="s">
        <v>3991</v>
      </c>
      <c r="M1048" s="9" t="s">
        <v>3992</v>
      </c>
      <c r="N1048" s="9" t="s">
        <v>50</v>
      </c>
      <c r="O1048" s="9" t="s">
        <v>51</v>
      </c>
      <c r="P1048" s="9" t="s">
        <v>73</v>
      </c>
      <c r="Q1048" s="9"/>
      <c r="R1048" s="9" t="s">
        <v>61</v>
      </c>
      <c r="S1048" s="9" t="s">
        <v>3993</v>
      </c>
      <c r="T1048" s="9" t="s">
        <v>3994</v>
      </c>
      <c r="U1048" s="9" t="s">
        <v>54</v>
      </c>
      <c r="V1048" s="9" t="s">
        <v>55</v>
      </c>
      <c r="W1048" s="9" t="s">
        <v>55</v>
      </c>
      <c r="X1048" s="12" t="s">
        <v>76</v>
      </c>
      <c r="Y1048" s="9" t="s">
        <v>77</v>
      </c>
      <c r="Z1048" s="13"/>
    </row>
    <row r="1049" spans="1:26" ht="32.25" hidden="1" customHeight="1">
      <c r="A1049" s="8">
        <v>2301936</v>
      </c>
      <c r="B1049" s="9" t="s">
        <v>3995</v>
      </c>
      <c r="C1049" s="10">
        <v>45156</v>
      </c>
      <c r="D1049" s="9" t="s">
        <v>79</v>
      </c>
      <c r="E1049" s="9" t="s">
        <v>41</v>
      </c>
      <c r="F1049" s="9" t="s">
        <v>80</v>
      </c>
      <c r="G1049" s="9" t="s">
        <v>43</v>
      </c>
      <c r="H1049" s="9" t="s">
        <v>44</v>
      </c>
      <c r="I1049" s="11" t="s">
        <v>81</v>
      </c>
      <c r="J1049" s="9" t="s">
        <v>46</v>
      </c>
      <c r="K1049" s="9" t="s">
        <v>47</v>
      </c>
      <c r="L1049" s="9" t="s">
        <v>156</v>
      </c>
      <c r="M1049" s="9"/>
      <c r="N1049" s="9" t="s">
        <v>84</v>
      </c>
      <c r="O1049" s="9" t="s">
        <v>51</v>
      </c>
      <c r="P1049" s="9" t="s">
        <v>1263</v>
      </c>
      <c r="Q1049" s="9"/>
      <c r="R1049" s="9"/>
      <c r="S1049" s="14" t="s">
        <v>3996</v>
      </c>
      <c r="T1049" s="9" t="s">
        <v>3997</v>
      </c>
      <c r="U1049" s="9" t="s">
        <v>54</v>
      </c>
      <c r="V1049" s="9"/>
      <c r="W1049" s="9" t="s">
        <v>115</v>
      </c>
      <c r="X1049" s="12"/>
      <c r="Y1049" s="9" t="s">
        <v>55</v>
      </c>
      <c r="Z1049" s="13"/>
    </row>
    <row r="1050" spans="1:26" ht="32.25" hidden="1" customHeight="1">
      <c r="A1050" s="8">
        <v>2301040</v>
      </c>
      <c r="B1050" s="9" t="s">
        <v>3998</v>
      </c>
      <c r="C1050" s="10">
        <v>45149</v>
      </c>
      <c r="D1050" s="9" t="s">
        <v>57</v>
      </c>
      <c r="E1050" s="9" t="s">
        <v>153</v>
      </c>
      <c r="F1050" s="9" t="s">
        <v>42</v>
      </c>
      <c r="G1050" s="9" t="s">
        <v>43</v>
      </c>
      <c r="H1050" s="9" t="s">
        <v>58</v>
      </c>
      <c r="I1050" s="11" t="s">
        <v>154</v>
      </c>
      <c r="J1050" s="9" t="s">
        <v>155</v>
      </c>
      <c r="K1050" s="9" t="s">
        <v>47</v>
      </c>
      <c r="L1050" s="9" t="s">
        <v>156</v>
      </c>
      <c r="M1050" s="9" t="s">
        <v>1352</v>
      </c>
      <c r="N1050" s="9" t="s">
        <v>84</v>
      </c>
      <c r="O1050" s="9" t="s">
        <v>51</v>
      </c>
      <c r="P1050" s="9"/>
      <c r="Q1050" s="9"/>
      <c r="R1050" s="9"/>
      <c r="S1050" s="14" t="s">
        <v>3999</v>
      </c>
      <c r="T1050" s="9" t="s">
        <v>4000</v>
      </c>
      <c r="U1050" s="9" t="s">
        <v>54</v>
      </c>
      <c r="V1050" s="9" t="s">
        <v>55</v>
      </c>
      <c r="W1050" s="9" t="s">
        <v>55</v>
      </c>
      <c r="X1050" s="12"/>
      <c r="Y1050" s="9" t="s">
        <v>55</v>
      </c>
      <c r="Z1050" s="13"/>
    </row>
    <row r="1051" spans="1:26" ht="32.25" hidden="1" customHeight="1">
      <c r="A1051" s="8">
        <v>2301945</v>
      </c>
      <c r="B1051" s="9" t="s">
        <v>4001</v>
      </c>
      <c r="C1051" s="10">
        <v>45142</v>
      </c>
      <c r="D1051" s="9" t="s">
        <v>67</v>
      </c>
      <c r="E1051" s="9" t="s">
        <v>41</v>
      </c>
      <c r="F1051" s="9" t="s">
        <v>42</v>
      </c>
      <c r="G1051" s="9" t="s">
        <v>43</v>
      </c>
      <c r="H1051" s="9" t="s">
        <v>44</v>
      </c>
      <c r="I1051" s="11" t="s">
        <v>45</v>
      </c>
      <c r="J1051" s="9" t="s">
        <v>46</v>
      </c>
      <c r="K1051" s="9" t="s">
        <v>47</v>
      </c>
      <c r="L1051" s="9" t="s">
        <v>713</v>
      </c>
      <c r="M1051" s="9" t="s">
        <v>714</v>
      </c>
      <c r="N1051" s="9" t="s">
        <v>50</v>
      </c>
      <c r="O1051" s="9" t="s">
        <v>51</v>
      </c>
      <c r="P1051" s="9"/>
      <c r="Q1051" s="9"/>
      <c r="R1051" s="9"/>
      <c r="S1051" s="9" t="s">
        <v>4002</v>
      </c>
      <c r="T1051" s="9" t="s">
        <v>4003</v>
      </c>
      <c r="U1051" s="9" t="s">
        <v>54</v>
      </c>
      <c r="V1051" s="9" t="s">
        <v>55</v>
      </c>
      <c r="W1051" s="9" t="s">
        <v>55</v>
      </c>
      <c r="X1051" s="12" t="s">
        <v>64</v>
      </c>
      <c r="Y1051" s="9" t="s">
        <v>65</v>
      </c>
      <c r="Z1051" s="13" t="s">
        <v>4004</v>
      </c>
    </row>
    <row r="1052" spans="1:26" ht="32.25" hidden="1" customHeight="1">
      <c r="A1052" s="8">
        <v>2304985</v>
      </c>
      <c r="B1052" s="9" t="s">
        <v>4005</v>
      </c>
      <c r="C1052" s="10">
        <v>45142</v>
      </c>
      <c r="D1052" s="9" t="s">
        <v>67</v>
      </c>
      <c r="E1052" s="9" t="s">
        <v>143</v>
      </c>
      <c r="F1052" s="9" t="s">
        <v>42</v>
      </c>
      <c r="G1052" s="9" t="s">
        <v>43</v>
      </c>
      <c r="H1052" s="9" t="s">
        <v>44</v>
      </c>
      <c r="I1052" s="11" t="s">
        <v>219</v>
      </c>
      <c r="J1052" s="9" t="s">
        <v>220</v>
      </c>
      <c r="K1052" s="9" t="s">
        <v>47</v>
      </c>
      <c r="L1052" s="9" t="s">
        <v>4006</v>
      </c>
      <c r="M1052" s="9" t="s">
        <v>4007</v>
      </c>
      <c r="N1052" s="9" t="s">
        <v>84</v>
      </c>
      <c r="O1052" s="9" t="s">
        <v>51</v>
      </c>
      <c r="P1052" s="9"/>
      <c r="Q1052" s="9"/>
      <c r="R1052" s="9" t="s">
        <v>61</v>
      </c>
      <c r="S1052" s="9" t="s">
        <v>4008</v>
      </c>
      <c r="T1052" s="9" t="s">
        <v>4009</v>
      </c>
      <c r="U1052" s="9" t="s">
        <v>54</v>
      </c>
      <c r="V1052" s="9" t="s">
        <v>55</v>
      </c>
      <c r="W1052" s="9" t="s">
        <v>55</v>
      </c>
      <c r="X1052" s="12" t="s">
        <v>171</v>
      </c>
      <c r="Y1052" s="9" t="s">
        <v>172</v>
      </c>
      <c r="Z1052" s="13"/>
    </row>
    <row r="1053" spans="1:26" ht="32.25" hidden="1" customHeight="1">
      <c r="A1053" s="8">
        <v>2311274</v>
      </c>
      <c r="B1053" s="9" t="s">
        <v>4010</v>
      </c>
      <c r="C1053" s="10">
        <v>45156</v>
      </c>
      <c r="D1053" s="9" t="s">
        <v>79</v>
      </c>
      <c r="E1053" s="9" t="s">
        <v>143</v>
      </c>
      <c r="F1053" s="9" t="s">
        <v>80</v>
      </c>
      <c r="G1053" s="9" t="s">
        <v>43</v>
      </c>
      <c r="H1053" s="9" t="s">
        <v>44</v>
      </c>
      <c r="I1053" s="11" t="s">
        <v>326</v>
      </c>
      <c r="J1053" s="9" t="s">
        <v>327</v>
      </c>
      <c r="K1053" s="9" t="s">
        <v>47</v>
      </c>
      <c r="L1053" s="9" t="s">
        <v>48</v>
      </c>
      <c r="M1053" s="9" t="s">
        <v>1973</v>
      </c>
      <c r="N1053" s="9" t="s">
        <v>50</v>
      </c>
      <c r="O1053" s="9" t="s">
        <v>51</v>
      </c>
      <c r="P1053" s="9" t="s">
        <v>654</v>
      </c>
      <c r="Q1053" s="9"/>
      <c r="R1053" s="9" t="s">
        <v>61</v>
      </c>
      <c r="S1053" s="14" t="s">
        <v>4011</v>
      </c>
      <c r="T1053" s="9" t="s">
        <v>4012</v>
      </c>
      <c r="U1053" s="9" t="s">
        <v>54</v>
      </c>
      <c r="V1053" s="9" t="s">
        <v>370</v>
      </c>
      <c r="W1053" s="9" t="s">
        <v>115</v>
      </c>
      <c r="X1053" s="12" t="s">
        <v>150</v>
      </c>
      <c r="Y1053" s="9" t="s">
        <v>151</v>
      </c>
      <c r="Z1053" s="13"/>
    </row>
    <row r="1054" spans="1:26" ht="32.25" hidden="1" customHeight="1">
      <c r="A1054" s="8">
        <v>2301913</v>
      </c>
      <c r="B1054" s="9" t="s">
        <v>4013</v>
      </c>
      <c r="C1054" s="10">
        <v>45156</v>
      </c>
      <c r="D1054" s="9" t="s">
        <v>79</v>
      </c>
      <c r="E1054" s="9" t="s">
        <v>143</v>
      </c>
      <c r="F1054" s="9" t="s">
        <v>80</v>
      </c>
      <c r="G1054" s="9" t="s">
        <v>43</v>
      </c>
      <c r="H1054" s="9" t="s">
        <v>44</v>
      </c>
      <c r="I1054" s="11" t="s">
        <v>725</v>
      </c>
      <c r="J1054" s="9" t="s">
        <v>145</v>
      </c>
      <c r="K1054" s="9" t="s">
        <v>47</v>
      </c>
      <c r="L1054" s="9" t="s">
        <v>1040</v>
      </c>
      <c r="M1054" s="9" t="s">
        <v>1147</v>
      </c>
      <c r="N1054" s="9" t="s">
        <v>50</v>
      </c>
      <c r="O1054" s="9" t="s">
        <v>51</v>
      </c>
      <c r="P1054" s="9" t="s">
        <v>2924</v>
      </c>
      <c r="Q1054" s="9"/>
      <c r="R1054" s="9"/>
      <c r="S1054" s="14" t="s">
        <v>4014</v>
      </c>
      <c r="T1054" s="9" t="s">
        <v>4015</v>
      </c>
      <c r="U1054" s="9" t="s">
        <v>54</v>
      </c>
      <c r="V1054" s="9" t="s">
        <v>251</v>
      </c>
      <c r="W1054" s="9" t="s">
        <v>115</v>
      </c>
      <c r="X1054" s="12"/>
      <c r="Y1054" s="9" t="s">
        <v>55</v>
      </c>
      <c r="Z1054" s="13"/>
    </row>
    <row r="1055" spans="1:26" ht="32.25" hidden="1" customHeight="1">
      <c r="A1055" s="8">
        <v>2306255</v>
      </c>
      <c r="B1055" s="9" t="s">
        <v>4016</v>
      </c>
      <c r="C1055" s="10">
        <v>45149</v>
      </c>
      <c r="D1055" s="9" t="s">
        <v>57</v>
      </c>
      <c r="E1055" s="9" t="s">
        <v>295</v>
      </c>
      <c r="F1055" s="9" t="s">
        <v>42</v>
      </c>
      <c r="G1055" s="9" t="s">
        <v>43</v>
      </c>
      <c r="H1055" s="9" t="s">
        <v>58</v>
      </c>
      <c r="I1055" s="11" t="s">
        <v>296</v>
      </c>
      <c r="J1055" s="9" t="s">
        <v>297</v>
      </c>
      <c r="K1055" s="9" t="s">
        <v>47</v>
      </c>
      <c r="L1055" s="9" t="s">
        <v>156</v>
      </c>
      <c r="M1055" s="9"/>
      <c r="N1055" s="9" t="s">
        <v>50</v>
      </c>
      <c r="O1055" s="9" t="s">
        <v>51</v>
      </c>
      <c r="P1055" s="9"/>
      <c r="Q1055" s="9"/>
      <c r="R1055" s="9"/>
      <c r="S1055" s="14" t="s">
        <v>4017</v>
      </c>
      <c r="T1055" s="9" t="s">
        <v>4018</v>
      </c>
      <c r="U1055" s="9" t="s">
        <v>54</v>
      </c>
      <c r="V1055" s="9" t="s">
        <v>55</v>
      </c>
      <c r="W1055" s="9" t="s">
        <v>55</v>
      </c>
      <c r="X1055" s="12"/>
      <c r="Y1055" s="9" t="s">
        <v>55</v>
      </c>
      <c r="Z1055" s="13"/>
    </row>
    <row r="1056" spans="1:26" ht="32.25" hidden="1" customHeight="1">
      <c r="A1056" s="8">
        <v>2300350</v>
      </c>
      <c r="B1056" s="9" t="s">
        <v>4019</v>
      </c>
      <c r="C1056" s="10">
        <v>45156</v>
      </c>
      <c r="D1056" s="9" t="s">
        <v>79</v>
      </c>
      <c r="E1056" s="9" t="s">
        <v>153</v>
      </c>
      <c r="F1056" s="9" t="s">
        <v>80</v>
      </c>
      <c r="G1056" s="9" t="s">
        <v>43</v>
      </c>
      <c r="H1056" s="9" t="s">
        <v>44</v>
      </c>
      <c r="I1056" s="11" t="s">
        <v>1588</v>
      </c>
      <c r="J1056" s="9" t="s">
        <v>155</v>
      </c>
      <c r="K1056" s="9" t="s">
        <v>47</v>
      </c>
      <c r="L1056" s="9" t="s">
        <v>156</v>
      </c>
      <c r="M1056" s="9"/>
      <c r="N1056" s="9" t="s">
        <v>84</v>
      </c>
      <c r="O1056" s="9" t="s">
        <v>51</v>
      </c>
      <c r="P1056" s="9" t="s">
        <v>2085</v>
      </c>
      <c r="Q1056" s="9"/>
      <c r="R1056" s="9"/>
      <c r="S1056" s="14" t="s">
        <v>4020</v>
      </c>
      <c r="T1056" s="9" t="s">
        <v>4021</v>
      </c>
      <c r="U1056" s="9" t="s">
        <v>54</v>
      </c>
      <c r="V1056" s="9" t="s">
        <v>55</v>
      </c>
      <c r="W1056" s="9" t="s">
        <v>55</v>
      </c>
      <c r="X1056" s="12"/>
      <c r="Y1056" s="9" t="s">
        <v>55</v>
      </c>
      <c r="Z1056" s="13"/>
    </row>
    <row r="1057" spans="1:26" ht="32.25" hidden="1" customHeight="1">
      <c r="A1057" s="8">
        <v>2303354</v>
      </c>
      <c r="B1057" s="9" t="s">
        <v>4022</v>
      </c>
      <c r="C1057" s="10">
        <v>45156</v>
      </c>
      <c r="D1057" s="9" t="s">
        <v>79</v>
      </c>
      <c r="E1057" s="9" t="s">
        <v>89</v>
      </c>
      <c r="F1057" s="9" t="s">
        <v>80</v>
      </c>
      <c r="G1057" s="9" t="s">
        <v>43</v>
      </c>
      <c r="H1057" s="9" t="s">
        <v>44</v>
      </c>
      <c r="I1057" s="11" t="s">
        <v>4023</v>
      </c>
      <c r="J1057" s="9" t="s">
        <v>4024</v>
      </c>
      <c r="K1057" s="9" t="s">
        <v>47</v>
      </c>
      <c r="L1057" s="9" t="s">
        <v>437</v>
      </c>
      <c r="M1057" s="9" t="s">
        <v>4025</v>
      </c>
      <c r="N1057" s="9" t="s">
        <v>84</v>
      </c>
      <c r="O1057" s="9" t="s">
        <v>51</v>
      </c>
      <c r="P1057" s="9" t="s">
        <v>4026</v>
      </c>
      <c r="Q1057" s="9"/>
      <c r="R1057" s="9"/>
      <c r="S1057" s="14" t="s">
        <v>4027</v>
      </c>
      <c r="T1057" s="9" t="s">
        <v>4028</v>
      </c>
      <c r="U1057" s="9" t="s">
        <v>54</v>
      </c>
      <c r="V1057" s="9" t="s">
        <v>711</v>
      </c>
      <c r="W1057" s="9" t="s">
        <v>115</v>
      </c>
      <c r="X1057" s="12"/>
      <c r="Y1057" s="9" t="s">
        <v>55</v>
      </c>
      <c r="Z1057" s="13"/>
    </row>
    <row r="1058" spans="1:26" ht="32.25" hidden="1" customHeight="1">
      <c r="A1058" s="8">
        <v>2303172</v>
      </c>
      <c r="B1058" s="9" t="s">
        <v>4029</v>
      </c>
      <c r="C1058" s="10">
        <v>45142</v>
      </c>
      <c r="D1058" s="9" t="s">
        <v>67</v>
      </c>
      <c r="E1058" s="9" t="s">
        <v>89</v>
      </c>
      <c r="F1058" s="9" t="s">
        <v>42</v>
      </c>
      <c r="G1058" s="9" t="s">
        <v>43</v>
      </c>
      <c r="H1058" s="9" t="s">
        <v>44</v>
      </c>
      <c r="I1058" s="11" t="s">
        <v>354</v>
      </c>
      <c r="J1058" s="9" t="s">
        <v>91</v>
      </c>
      <c r="K1058" s="9" t="s">
        <v>47</v>
      </c>
      <c r="L1058" s="9" t="s">
        <v>437</v>
      </c>
      <c r="M1058" s="9" t="s">
        <v>4025</v>
      </c>
      <c r="N1058" s="9" t="s">
        <v>50</v>
      </c>
      <c r="O1058" s="9" t="s">
        <v>51</v>
      </c>
      <c r="P1058" s="9" t="s">
        <v>356</v>
      </c>
      <c r="Q1058" s="9"/>
      <c r="R1058" s="9" t="s">
        <v>61</v>
      </c>
      <c r="S1058" s="9" t="s">
        <v>4030</v>
      </c>
      <c r="T1058" s="9" t="s">
        <v>4031</v>
      </c>
      <c r="U1058" s="9" t="s">
        <v>54</v>
      </c>
      <c r="V1058" s="9" t="s">
        <v>55</v>
      </c>
      <c r="W1058" s="9" t="s">
        <v>55</v>
      </c>
      <c r="X1058" s="12" t="s">
        <v>98</v>
      </c>
      <c r="Y1058" s="9" t="s">
        <v>99</v>
      </c>
      <c r="Z1058" s="13" t="s">
        <v>4032</v>
      </c>
    </row>
    <row r="1059" spans="1:26" ht="32.25" hidden="1" customHeight="1">
      <c r="A1059" s="8">
        <v>2311434</v>
      </c>
      <c r="B1059" s="9" t="s">
        <v>4033</v>
      </c>
      <c r="C1059" s="10">
        <v>45156</v>
      </c>
      <c r="D1059" s="9" t="s">
        <v>79</v>
      </c>
      <c r="E1059" s="9" t="s">
        <v>68</v>
      </c>
      <c r="F1059" s="9" t="s">
        <v>80</v>
      </c>
      <c r="G1059" s="9" t="s">
        <v>43</v>
      </c>
      <c r="H1059" s="9" t="s">
        <v>44</v>
      </c>
      <c r="I1059" s="11" t="s">
        <v>101</v>
      </c>
      <c r="J1059" s="9" t="s">
        <v>102</v>
      </c>
      <c r="K1059" s="9" t="s">
        <v>47</v>
      </c>
      <c r="L1059" s="9"/>
      <c r="M1059" s="9"/>
      <c r="N1059" s="9" t="s">
        <v>84</v>
      </c>
      <c r="O1059" s="9" t="s">
        <v>51</v>
      </c>
      <c r="P1059" s="9" t="s">
        <v>379</v>
      </c>
      <c r="Q1059" s="9"/>
      <c r="R1059" s="9" t="s">
        <v>61</v>
      </c>
      <c r="S1059" s="14" t="s">
        <v>4034</v>
      </c>
      <c r="T1059" s="9" t="s">
        <v>4035</v>
      </c>
      <c r="U1059" s="9" t="s">
        <v>54</v>
      </c>
      <c r="V1059" s="9" t="s">
        <v>55</v>
      </c>
      <c r="W1059" s="9" t="s">
        <v>55</v>
      </c>
      <c r="X1059" s="12" t="s">
        <v>196</v>
      </c>
      <c r="Y1059" s="9" t="s">
        <v>197</v>
      </c>
      <c r="Z1059" s="13"/>
    </row>
    <row r="1060" spans="1:26" ht="32.25" hidden="1" customHeight="1">
      <c r="A1060" s="8">
        <v>2315390</v>
      </c>
      <c r="B1060" s="9" t="s">
        <v>4036</v>
      </c>
      <c r="C1060" s="10">
        <v>45152</v>
      </c>
      <c r="D1060" s="9" t="s">
        <v>185</v>
      </c>
      <c r="E1060" s="9" t="s">
        <v>41</v>
      </c>
      <c r="F1060" s="9" t="s">
        <v>42</v>
      </c>
      <c r="G1060" s="9" t="s">
        <v>43</v>
      </c>
      <c r="H1060" s="9" t="s">
        <v>44</v>
      </c>
      <c r="I1060" s="11" t="s">
        <v>199</v>
      </c>
      <c r="J1060" s="9" t="s">
        <v>200</v>
      </c>
      <c r="K1060" s="9" t="s">
        <v>1158</v>
      </c>
      <c r="L1060" s="9"/>
      <c r="M1060" s="9" t="s">
        <v>1580</v>
      </c>
      <c r="N1060" s="9" t="s">
        <v>50</v>
      </c>
      <c r="O1060" s="9" t="s">
        <v>187</v>
      </c>
      <c r="P1060" s="9"/>
      <c r="Q1060" s="9"/>
      <c r="R1060" s="9" t="s">
        <v>61</v>
      </c>
      <c r="S1060" s="14" t="s">
        <v>641</v>
      </c>
      <c r="T1060" s="9" t="s">
        <v>4037</v>
      </c>
      <c r="U1060" s="9" t="s">
        <v>54</v>
      </c>
      <c r="V1060" s="9" t="s">
        <v>55</v>
      </c>
      <c r="W1060" s="9" t="s">
        <v>55</v>
      </c>
      <c r="X1060" s="12" t="s">
        <v>196</v>
      </c>
      <c r="Y1060" s="9" t="s">
        <v>197</v>
      </c>
      <c r="Z1060" s="13" t="s">
        <v>4038</v>
      </c>
    </row>
    <row r="1061" spans="1:26" ht="32.25" hidden="1" customHeight="1">
      <c r="A1061" s="8">
        <v>2311361</v>
      </c>
      <c r="B1061" s="9" t="s">
        <v>4039</v>
      </c>
      <c r="C1061" s="10">
        <v>45156</v>
      </c>
      <c r="D1061" s="9" t="s">
        <v>79</v>
      </c>
      <c r="E1061" s="9" t="s">
        <v>89</v>
      </c>
      <c r="F1061" s="9" t="s">
        <v>80</v>
      </c>
      <c r="G1061" s="9" t="s">
        <v>43</v>
      </c>
      <c r="H1061" s="9" t="s">
        <v>44</v>
      </c>
      <c r="I1061" s="11" t="s">
        <v>90</v>
      </c>
      <c r="J1061" s="9" t="s">
        <v>91</v>
      </c>
      <c r="K1061" s="9" t="s">
        <v>110</v>
      </c>
      <c r="L1061" s="9" t="s">
        <v>4040</v>
      </c>
      <c r="M1061" s="9" t="s">
        <v>4041</v>
      </c>
      <c r="N1061" s="9" t="s">
        <v>50</v>
      </c>
      <c r="O1061" s="9" t="s">
        <v>51</v>
      </c>
      <c r="P1061" s="9" t="s">
        <v>498</v>
      </c>
      <c r="Q1061" s="9"/>
      <c r="R1061" s="9" t="s">
        <v>61</v>
      </c>
      <c r="S1061" s="14" t="s">
        <v>4042</v>
      </c>
      <c r="T1061" s="9" t="s">
        <v>4043</v>
      </c>
      <c r="U1061" s="9" t="s">
        <v>54</v>
      </c>
      <c r="V1061" s="9" t="s">
        <v>55</v>
      </c>
      <c r="W1061" s="9" t="s">
        <v>55</v>
      </c>
      <c r="X1061" s="12" t="s">
        <v>98</v>
      </c>
      <c r="Y1061" s="9" t="s">
        <v>99</v>
      </c>
      <c r="Z1061" s="13"/>
    </row>
    <row r="1062" spans="1:26" ht="32.25" hidden="1" customHeight="1">
      <c r="A1062" s="8">
        <v>2306763</v>
      </c>
      <c r="B1062" s="9" t="s">
        <v>4044</v>
      </c>
      <c r="C1062" s="10">
        <v>45142</v>
      </c>
      <c r="D1062" s="9" t="s">
        <v>67</v>
      </c>
      <c r="E1062" s="9" t="s">
        <v>89</v>
      </c>
      <c r="F1062" s="9" t="s">
        <v>42</v>
      </c>
      <c r="G1062" s="9" t="s">
        <v>43</v>
      </c>
      <c r="H1062" s="9" t="s">
        <v>44</v>
      </c>
      <c r="I1062" s="11" t="s">
        <v>360</v>
      </c>
      <c r="J1062" s="9" t="s">
        <v>102</v>
      </c>
      <c r="K1062" s="9" t="s">
        <v>47</v>
      </c>
      <c r="L1062" s="9" t="s">
        <v>451</v>
      </c>
      <c r="M1062" s="9" t="s">
        <v>452</v>
      </c>
      <c r="N1062" s="9" t="s">
        <v>50</v>
      </c>
      <c r="O1062" s="9" t="s">
        <v>51</v>
      </c>
      <c r="P1062" s="9" t="s">
        <v>361</v>
      </c>
      <c r="Q1062" s="9"/>
      <c r="R1062" s="9"/>
      <c r="S1062" s="9" t="s">
        <v>4045</v>
      </c>
      <c r="T1062" s="9" t="s">
        <v>4046</v>
      </c>
      <c r="U1062" s="9" t="s">
        <v>54</v>
      </c>
      <c r="V1062" s="9" t="s">
        <v>55</v>
      </c>
      <c r="W1062" s="9" t="s">
        <v>55</v>
      </c>
      <c r="X1062" s="12"/>
      <c r="Y1062" s="9" t="s">
        <v>55</v>
      </c>
      <c r="Z1062" s="13"/>
    </row>
    <row r="1063" spans="1:26" ht="32.25" hidden="1" customHeight="1">
      <c r="A1063" s="8">
        <v>2315487</v>
      </c>
      <c r="B1063" s="9" t="s">
        <v>4044</v>
      </c>
      <c r="C1063" s="10">
        <v>45149</v>
      </c>
      <c r="D1063" s="9" t="s">
        <v>57</v>
      </c>
      <c r="E1063" s="9" t="s">
        <v>143</v>
      </c>
      <c r="F1063" s="9" t="s">
        <v>42</v>
      </c>
      <c r="G1063" s="9" t="s">
        <v>43</v>
      </c>
      <c r="H1063" s="9" t="s">
        <v>58</v>
      </c>
      <c r="I1063" s="11" t="s">
        <v>460</v>
      </c>
      <c r="J1063" s="9" t="s">
        <v>400</v>
      </c>
      <c r="K1063" s="9" t="s">
        <v>47</v>
      </c>
      <c r="L1063" s="9" t="s">
        <v>451</v>
      </c>
      <c r="M1063" s="9" t="s">
        <v>452</v>
      </c>
      <c r="N1063" s="9" t="s">
        <v>50</v>
      </c>
      <c r="O1063" s="9" t="s">
        <v>51</v>
      </c>
      <c r="P1063" s="9"/>
      <c r="Q1063" s="9"/>
      <c r="R1063" s="9"/>
      <c r="S1063" s="14" t="s">
        <v>4045</v>
      </c>
      <c r="T1063" s="9" t="s">
        <v>4046</v>
      </c>
      <c r="U1063" s="9" t="s">
        <v>54</v>
      </c>
      <c r="V1063" s="9" t="s">
        <v>55</v>
      </c>
      <c r="W1063" s="9" t="s">
        <v>55</v>
      </c>
      <c r="X1063" s="12"/>
      <c r="Y1063" s="9" t="s">
        <v>55</v>
      </c>
      <c r="Z1063" s="13"/>
    </row>
    <row r="1064" spans="1:26" ht="32.25" hidden="1" customHeight="1">
      <c r="A1064" s="8">
        <v>2307709</v>
      </c>
      <c r="B1064" s="9" t="s">
        <v>4047</v>
      </c>
      <c r="C1064" s="10">
        <v>45142</v>
      </c>
      <c r="D1064" s="9" t="s">
        <v>67</v>
      </c>
      <c r="E1064" s="9" t="s">
        <v>68</v>
      </c>
      <c r="F1064" s="9" t="s">
        <v>135</v>
      </c>
      <c r="G1064" s="9" t="s">
        <v>43</v>
      </c>
      <c r="H1064" s="9" t="s">
        <v>44</v>
      </c>
      <c r="I1064" s="11" t="s">
        <v>136</v>
      </c>
      <c r="J1064" s="9" t="s">
        <v>137</v>
      </c>
      <c r="K1064" s="9" t="s">
        <v>47</v>
      </c>
      <c r="L1064" s="9" t="s">
        <v>3005</v>
      </c>
      <c r="M1064" s="9" t="s">
        <v>3006</v>
      </c>
      <c r="N1064" s="9" t="s">
        <v>50</v>
      </c>
      <c r="O1064" s="9" t="s">
        <v>51</v>
      </c>
      <c r="P1064" s="9"/>
      <c r="Q1064" s="9"/>
      <c r="R1064" s="9"/>
      <c r="S1064" s="9" t="s">
        <v>4048</v>
      </c>
      <c r="T1064" s="9" t="s">
        <v>4049</v>
      </c>
      <c r="U1064" s="9" t="s">
        <v>54</v>
      </c>
      <c r="V1064" s="9" t="s">
        <v>55</v>
      </c>
      <c r="W1064" s="9" t="s">
        <v>55</v>
      </c>
      <c r="X1064" s="12"/>
      <c r="Y1064" s="9" t="s">
        <v>55</v>
      </c>
      <c r="Z1064" s="13"/>
    </row>
    <row r="1065" spans="1:26" ht="32.25" hidden="1" customHeight="1">
      <c r="A1065" s="8">
        <v>2310835</v>
      </c>
      <c r="B1065" s="9" t="s">
        <v>4050</v>
      </c>
      <c r="C1065" s="10">
        <v>45156</v>
      </c>
      <c r="D1065" s="9" t="s">
        <v>79</v>
      </c>
      <c r="E1065" s="9" t="s">
        <v>41</v>
      </c>
      <c r="F1065" s="9" t="s">
        <v>80</v>
      </c>
      <c r="G1065" s="9" t="s">
        <v>43</v>
      </c>
      <c r="H1065" s="9" t="s">
        <v>44</v>
      </c>
      <c r="I1065" s="11" t="s">
        <v>233</v>
      </c>
      <c r="J1065" s="9" t="s">
        <v>200</v>
      </c>
      <c r="K1065" s="9" t="s">
        <v>47</v>
      </c>
      <c r="L1065" s="9" t="s">
        <v>226</v>
      </c>
      <c r="M1065" s="9" t="s">
        <v>227</v>
      </c>
      <c r="N1065" s="9" t="s">
        <v>50</v>
      </c>
      <c r="O1065" s="9" t="s">
        <v>51</v>
      </c>
      <c r="P1065" s="9" t="s">
        <v>443</v>
      </c>
      <c r="Q1065" s="9"/>
      <c r="R1065" s="9" t="s">
        <v>61</v>
      </c>
      <c r="S1065" s="14" t="s">
        <v>4051</v>
      </c>
      <c r="T1065" s="9" t="s">
        <v>4052</v>
      </c>
      <c r="U1065" s="9" t="s">
        <v>54</v>
      </c>
      <c r="V1065" s="9" t="s">
        <v>370</v>
      </c>
      <c r="W1065" s="9" t="s">
        <v>115</v>
      </c>
      <c r="X1065" s="12" t="s">
        <v>150</v>
      </c>
      <c r="Y1065" s="9" t="s">
        <v>151</v>
      </c>
      <c r="Z1065" s="13"/>
    </row>
    <row r="1066" spans="1:26" ht="32.25" hidden="1" customHeight="1">
      <c r="A1066" s="8">
        <v>2311803</v>
      </c>
      <c r="B1066" s="9" t="s">
        <v>4053</v>
      </c>
      <c r="C1066" s="10">
        <v>45149</v>
      </c>
      <c r="D1066" s="9" t="s">
        <v>261</v>
      </c>
      <c r="E1066" s="9" t="s">
        <v>143</v>
      </c>
      <c r="F1066" s="9" t="s">
        <v>262</v>
      </c>
      <c r="G1066" s="9" t="s">
        <v>43</v>
      </c>
      <c r="H1066" s="9" t="s">
        <v>44</v>
      </c>
      <c r="I1066" s="11" t="s">
        <v>1291</v>
      </c>
      <c r="J1066" s="9" t="s">
        <v>1292</v>
      </c>
      <c r="K1066" s="9" t="s">
        <v>47</v>
      </c>
      <c r="L1066" s="9" t="s">
        <v>156</v>
      </c>
      <c r="M1066" s="9"/>
      <c r="N1066" s="9" t="s">
        <v>50</v>
      </c>
      <c r="O1066" s="9" t="s">
        <v>51</v>
      </c>
      <c r="P1066" s="9"/>
      <c r="Q1066" s="9"/>
      <c r="R1066" s="9"/>
      <c r="S1066" s="14" t="s">
        <v>4054</v>
      </c>
      <c r="T1066" s="9" t="s">
        <v>4055</v>
      </c>
      <c r="U1066" s="9" t="s">
        <v>262</v>
      </c>
      <c r="V1066" s="9"/>
      <c r="W1066" s="9" t="s">
        <v>115</v>
      </c>
      <c r="X1066" s="12"/>
      <c r="Y1066" s="9" t="s">
        <v>55</v>
      </c>
      <c r="Z1066" s="13"/>
    </row>
    <row r="1067" spans="1:26" ht="32.25" hidden="1" customHeight="1">
      <c r="A1067" s="8">
        <v>2313460</v>
      </c>
      <c r="B1067" s="9" t="s">
        <v>4056</v>
      </c>
      <c r="C1067" s="10">
        <v>45136</v>
      </c>
      <c r="D1067" s="9" t="s">
        <v>1072</v>
      </c>
      <c r="E1067" s="9" t="s">
        <v>295</v>
      </c>
      <c r="F1067" s="9" t="s">
        <v>42</v>
      </c>
      <c r="G1067" s="9" t="s">
        <v>43</v>
      </c>
      <c r="H1067" s="9" t="s">
        <v>44</v>
      </c>
      <c r="I1067" s="11" t="s">
        <v>296</v>
      </c>
      <c r="J1067" s="9" t="s">
        <v>297</v>
      </c>
      <c r="K1067" s="9" t="s">
        <v>47</v>
      </c>
      <c r="L1067" s="9" t="s">
        <v>3005</v>
      </c>
      <c r="M1067" s="9" t="s">
        <v>3006</v>
      </c>
      <c r="N1067" s="9" t="s">
        <v>84</v>
      </c>
      <c r="O1067" s="9" t="s">
        <v>51</v>
      </c>
      <c r="P1067" s="9"/>
      <c r="Q1067" s="9"/>
      <c r="R1067" s="9" t="s">
        <v>61</v>
      </c>
      <c r="S1067" s="9" t="s">
        <v>4057</v>
      </c>
      <c r="T1067" s="9" t="s">
        <v>4058</v>
      </c>
      <c r="U1067" s="9" t="s">
        <v>54</v>
      </c>
      <c r="V1067" s="9" t="s">
        <v>55</v>
      </c>
      <c r="W1067" s="9" t="s">
        <v>55</v>
      </c>
      <c r="X1067" s="9" t="s">
        <v>319</v>
      </c>
      <c r="Y1067" s="9" t="s">
        <v>320</v>
      </c>
      <c r="Z1067" s="13"/>
    </row>
    <row r="1068" spans="1:26" ht="32.25" hidden="1" customHeight="1">
      <c r="A1068" s="8">
        <v>2302255</v>
      </c>
      <c r="B1068" s="9" t="s">
        <v>4059</v>
      </c>
      <c r="C1068" s="10">
        <v>45149</v>
      </c>
      <c r="D1068" s="9" t="s">
        <v>57</v>
      </c>
      <c r="E1068" s="9" t="s">
        <v>41</v>
      </c>
      <c r="F1068" s="9" t="s">
        <v>42</v>
      </c>
      <c r="G1068" s="9" t="s">
        <v>43</v>
      </c>
      <c r="H1068" s="9" t="s">
        <v>58</v>
      </c>
      <c r="I1068" s="11" t="s">
        <v>199</v>
      </c>
      <c r="J1068" s="9" t="s">
        <v>200</v>
      </c>
      <c r="K1068" s="9" t="s">
        <v>47</v>
      </c>
      <c r="L1068" s="9" t="s">
        <v>156</v>
      </c>
      <c r="M1068" s="9"/>
      <c r="N1068" s="9" t="s">
        <v>50</v>
      </c>
      <c r="O1068" s="9" t="s">
        <v>51</v>
      </c>
      <c r="P1068" s="9"/>
      <c r="Q1068" s="9"/>
      <c r="R1068" s="9"/>
      <c r="S1068" s="14" t="s">
        <v>4060</v>
      </c>
      <c r="T1068" s="9" t="s">
        <v>4061</v>
      </c>
      <c r="U1068" s="9" t="s">
        <v>54</v>
      </c>
      <c r="V1068" s="9" t="s">
        <v>55</v>
      </c>
      <c r="W1068" s="9" t="s">
        <v>55</v>
      </c>
      <c r="X1068" s="12"/>
      <c r="Y1068" s="9" t="s">
        <v>55</v>
      </c>
      <c r="Z1068" s="13"/>
    </row>
    <row r="1069" spans="1:26" ht="32.25" hidden="1" customHeight="1">
      <c r="A1069" s="8">
        <v>2312807</v>
      </c>
      <c r="B1069" s="9" t="s">
        <v>4062</v>
      </c>
      <c r="C1069" s="10">
        <v>45156</v>
      </c>
      <c r="D1069" s="9" t="s">
        <v>79</v>
      </c>
      <c r="E1069" s="9" t="s">
        <v>89</v>
      </c>
      <c r="F1069" s="9" t="s">
        <v>80</v>
      </c>
      <c r="G1069" s="9" t="s">
        <v>43</v>
      </c>
      <c r="H1069" s="9" t="s">
        <v>44</v>
      </c>
      <c r="I1069" s="11" t="s">
        <v>101</v>
      </c>
      <c r="J1069" s="9" t="s">
        <v>102</v>
      </c>
      <c r="K1069" s="9" t="s">
        <v>47</v>
      </c>
      <c r="L1069" s="9" t="s">
        <v>2859</v>
      </c>
      <c r="M1069" s="9" t="s">
        <v>4063</v>
      </c>
      <c r="N1069" s="9" t="s">
        <v>50</v>
      </c>
      <c r="O1069" s="9" t="s">
        <v>51</v>
      </c>
      <c r="P1069" s="9" t="s">
        <v>715</v>
      </c>
      <c r="Q1069" s="9"/>
      <c r="R1069" s="9"/>
      <c r="S1069" s="14" t="s">
        <v>4064</v>
      </c>
      <c r="T1069" s="9" t="s">
        <v>4065</v>
      </c>
      <c r="U1069" s="9" t="s">
        <v>54</v>
      </c>
      <c r="V1069" s="9" t="s">
        <v>55</v>
      </c>
      <c r="W1069" s="9" t="s">
        <v>55</v>
      </c>
      <c r="X1069" s="12"/>
      <c r="Y1069" s="9" t="s">
        <v>55</v>
      </c>
      <c r="Z1069" s="13"/>
    </row>
    <row r="1070" spans="1:26" ht="32.25" hidden="1" customHeight="1">
      <c r="A1070" s="8">
        <v>2309280</v>
      </c>
      <c r="B1070" s="9" t="s">
        <v>4066</v>
      </c>
      <c r="C1070" s="10">
        <v>45156</v>
      </c>
      <c r="D1070" s="9" t="s">
        <v>79</v>
      </c>
      <c r="E1070" s="9" t="s">
        <v>41</v>
      </c>
      <c r="F1070" s="9" t="s">
        <v>80</v>
      </c>
      <c r="G1070" s="9" t="s">
        <v>43</v>
      </c>
      <c r="H1070" s="9" t="s">
        <v>44</v>
      </c>
      <c r="I1070" s="11" t="s">
        <v>81</v>
      </c>
      <c r="J1070" s="9" t="s">
        <v>46</v>
      </c>
      <c r="K1070" s="9" t="s">
        <v>47</v>
      </c>
      <c r="L1070" s="9" t="s">
        <v>48</v>
      </c>
      <c r="M1070" s="9" t="s">
        <v>1028</v>
      </c>
      <c r="N1070" s="9" t="s">
        <v>50</v>
      </c>
      <c r="O1070" s="9" t="s">
        <v>51</v>
      </c>
      <c r="P1070" s="9" t="s">
        <v>582</v>
      </c>
      <c r="Q1070" s="9"/>
      <c r="R1070" s="9" t="s">
        <v>61</v>
      </c>
      <c r="S1070" s="14" t="s">
        <v>4067</v>
      </c>
      <c r="T1070" s="9" t="s">
        <v>4068</v>
      </c>
      <c r="U1070" s="9" t="s">
        <v>54</v>
      </c>
      <c r="V1070" s="9" t="s">
        <v>55</v>
      </c>
      <c r="W1070" s="9" t="s">
        <v>55</v>
      </c>
      <c r="X1070" s="9" t="s">
        <v>64</v>
      </c>
      <c r="Y1070" s="9" t="s">
        <v>65</v>
      </c>
      <c r="Z1070" s="13"/>
    </row>
    <row r="1071" spans="1:26" ht="32.25" hidden="1" customHeight="1">
      <c r="A1071" s="8">
        <v>2314266</v>
      </c>
      <c r="B1071" s="9" t="s">
        <v>4069</v>
      </c>
      <c r="C1071" s="10">
        <v>45156</v>
      </c>
      <c r="D1071" s="9" t="s">
        <v>79</v>
      </c>
      <c r="E1071" s="9" t="s">
        <v>89</v>
      </c>
      <c r="F1071" s="9" t="s">
        <v>80</v>
      </c>
      <c r="G1071" s="9" t="s">
        <v>43</v>
      </c>
      <c r="H1071" s="9" t="s">
        <v>44</v>
      </c>
      <c r="I1071" s="11" t="s">
        <v>101</v>
      </c>
      <c r="J1071" s="9" t="s">
        <v>102</v>
      </c>
      <c r="K1071" s="9" t="s">
        <v>47</v>
      </c>
      <c r="L1071" s="9" t="s">
        <v>777</v>
      </c>
      <c r="M1071" s="9"/>
      <c r="N1071" s="9" t="s">
        <v>50</v>
      </c>
      <c r="O1071" s="9" t="s">
        <v>51</v>
      </c>
      <c r="P1071" s="9" t="s">
        <v>715</v>
      </c>
      <c r="Q1071" s="9"/>
      <c r="R1071" s="9"/>
      <c r="S1071" s="14" t="s">
        <v>4070</v>
      </c>
      <c r="T1071" s="9" t="s">
        <v>4071</v>
      </c>
      <c r="U1071" s="9" t="s">
        <v>54</v>
      </c>
      <c r="V1071" s="9" t="s">
        <v>55</v>
      </c>
      <c r="W1071" s="9" t="s">
        <v>55</v>
      </c>
      <c r="X1071" s="12"/>
      <c r="Y1071" s="9" t="s">
        <v>55</v>
      </c>
      <c r="Z1071" s="13"/>
    </row>
    <row r="1072" spans="1:26" ht="32.25" hidden="1" customHeight="1">
      <c r="A1072" s="8">
        <v>2301839</v>
      </c>
      <c r="B1072" s="9" t="s">
        <v>4072</v>
      </c>
      <c r="C1072" s="10">
        <v>45149</v>
      </c>
      <c r="D1072" s="9" t="s">
        <v>57</v>
      </c>
      <c r="E1072" s="9" t="s">
        <v>295</v>
      </c>
      <c r="F1072" s="9" t="s">
        <v>42</v>
      </c>
      <c r="G1072" s="9" t="s">
        <v>43</v>
      </c>
      <c r="H1072" s="9" t="s">
        <v>58</v>
      </c>
      <c r="I1072" s="11" t="s">
        <v>296</v>
      </c>
      <c r="J1072" s="9" t="s">
        <v>297</v>
      </c>
      <c r="K1072" s="9" t="s">
        <v>47</v>
      </c>
      <c r="L1072" s="9" t="s">
        <v>156</v>
      </c>
      <c r="M1072" s="9"/>
      <c r="N1072" s="9" t="s">
        <v>84</v>
      </c>
      <c r="O1072" s="9" t="s">
        <v>51</v>
      </c>
      <c r="P1072" s="9"/>
      <c r="Q1072" s="9"/>
      <c r="R1072" s="9"/>
      <c r="S1072" s="14" t="s">
        <v>4073</v>
      </c>
      <c r="T1072" s="9" t="s">
        <v>4074</v>
      </c>
      <c r="U1072" s="9" t="s">
        <v>54</v>
      </c>
      <c r="V1072" s="9" t="s">
        <v>55</v>
      </c>
      <c r="W1072" s="9" t="s">
        <v>55</v>
      </c>
      <c r="X1072" s="12"/>
      <c r="Y1072" s="9" t="s">
        <v>55</v>
      </c>
      <c r="Z1072" s="13"/>
    </row>
    <row r="1073" spans="1:26" ht="32.25" hidden="1" customHeight="1">
      <c r="A1073" s="8">
        <v>2309967</v>
      </c>
      <c r="B1073" s="9" t="s">
        <v>4075</v>
      </c>
      <c r="C1073" s="10">
        <v>45149</v>
      </c>
      <c r="D1073" s="9" t="s">
        <v>57</v>
      </c>
      <c r="E1073" s="9" t="s">
        <v>295</v>
      </c>
      <c r="F1073" s="9" t="s">
        <v>42</v>
      </c>
      <c r="G1073" s="9" t="s">
        <v>43</v>
      </c>
      <c r="H1073" s="9" t="s">
        <v>58</v>
      </c>
      <c r="I1073" s="11" t="s">
        <v>406</v>
      </c>
      <c r="J1073" s="9" t="s">
        <v>407</v>
      </c>
      <c r="K1073" s="9" t="s">
        <v>47</v>
      </c>
      <c r="L1073" s="9" t="s">
        <v>48</v>
      </c>
      <c r="M1073" s="9" t="s">
        <v>4076</v>
      </c>
      <c r="N1073" s="9" t="s">
        <v>84</v>
      </c>
      <c r="O1073" s="9" t="s">
        <v>51</v>
      </c>
      <c r="P1073" s="9"/>
      <c r="Q1073" s="9"/>
      <c r="R1073" s="9" t="s">
        <v>61</v>
      </c>
      <c r="S1073" s="14" t="s">
        <v>4077</v>
      </c>
      <c r="T1073" s="9" t="s">
        <v>4078</v>
      </c>
      <c r="U1073" s="9" t="s">
        <v>54</v>
      </c>
      <c r="V1073" s="9" t="s">
        <v>55</v>
      </c>
      <c r="W1073" s="9" t="s">
        <v>55</v>
      </c>
      <c r="X1073" s="9" t="s">
        <v>319</v>
      </c>
      <c r="Y1073" s="9" t="s">
        <v>320</v>
      </c>
      <c r="Z1073" s="13"/>
    </row>
    <row r="1074" spans="1:26" ht="32.25" hidden="1" customHeight="1">
      <c r="A1074" s="8">
        <v>2307240</v>
      </c>
      <c r="B1074" s="9" t="s">
        <v>4079</v>
      </c>
      <c r="C1074" s="10">
        <v>45156</v>
      </c>
      <c r="D1074" s="9" t="s">
        <v>79</v>
      </c>
      <c r="E1074" s="9" t="s">
        <v>89</v>
      </c>
      <c r="F1074" s="9" t="s">
        <v>80</v>
      </c>
      <c r="G1074" s="9" t="s">
        <v>43</v>
      </c>
      <c r="H1074" s="9" t="s">
        <v>44</v>
      </c>
      <c r="I1074" s="11" t="s">
        <v>101</v>
      </c>
      <c r="J1074" s="9" t="s">
        <v>102</v>
      </c>
      <c r="K1074" s="9" t="s">
        <v>47</v>
      </c>
      <c r="L1074" s="9" t="s">
        <v>1040</v>
      </c>
      <c r="M1074" s="9" t="s">
        <v>1041</v>
      </c>
      <c r="N1074" s="9" t="s">
        <v>50</v>
      </c>
      <c r="O1074" s="9" t="s">
        <v>51</v>
      </c>
      <c r="P1074" s="9" t="s">
        <v>447</v>
      </c>
      <c r="Q1074" s="9"/>
      <c r="R1074" s="9"/>
      <c r="S1074" s="14" t="s">
        <v>4080</v>
      </c>
      <c r="T1074" s="9" t="s">
        <v>4081</v>
      </c>
      <c r="U1074" s="9" t="s">
        <v>54</v>
      </c>
      <c r="V1074" s="9" t="s">
        <v>55</v>
      </c>
      <c r="W1074" s="9" t="s">
        <v>55</v>
      </c>
      <c r="X1074" s="12"/>
      <c r="Y1074" s="9" t="s">
        <v>55</v>
      </c>
      <c r="Z1074" s="13"/>
    </row>
    <row r="1075" spans="1:26" ht="32.25" hidden="1" customHeight="1">
      <c r="A1075" s="8">
        <v>2300315</v>
      </c>
      <c r="B1075" s="9" t="s">
        <v>4082</v>
      </c>
      <c r="C1075" s="10">
        <v>45142</v>
      </c>
      <c r="D1075" s="9" t="s">
        <v>1850</v>
      </c>
      <c r="E1075" s="9" t="s">
        <v>89</v>
      </c>
      <c r="F1075" s="9" t="s">
        <v>42</v>
      </c>
      <c r="G1075" s="9" t="s">
        <v>43</v>
      </c>
      <c r="H1075" s="9" t="s">
        <v>44</v>
      </c>
      <c r="I1075" s="11" t="s">
        <v>360</v>
      </c>
      <c r="J1075" s="9" t="s">
        <v>102</v>
      </c>
      <c r="K1075" s="9" t="s">
        <v>2807</v>
      </c>
      <c r="L1075" s="9"/>
      <c r="M1075" s="9" t="s">
        <v>4083</v>
      </c>
      <c r="N1075" s="9" t="s">
        <v>50</v>
      </c>
      <c r="O1075" s="9" t="s">
        <v>187</v>
      </c>
      <c r="P1075" s="9" t="s">
        <v>361</v>
      </c>
      <c r="Q1075" s="9"/>
      <c r="R1075" s="9" t="s">
        <v>61</v>
      </c>
      <c r="S1075" s="9" t="s">
        <v>4084</v>
      </c>
      <c r="T1075" s="9" t="s">
        <v>4085</v>
      </c>
      <c r="U1075" s="9" t="s">
        <v>54</v>
      </c>
      <c r="V1075" s="9" t="s">
        <v>525</v>
      </c>
      <c r="W1075" s="9" t="s">
        <v>55</v>
      </c>
      <c r="X1075" s="12" t="s">
        <v>98</v>
      </c>
      <c r="Y1075" s="9" t="s">
        <v>99</v>
      </c>
      <c r="Z1075" s="13"/>
    </row>
    <row r="1076" spans="1:26" ht="32.25" hidden="1" customHeight="1">
      <c r="A1076" s="8">
        <v>2302177</v>
      </c>
      <c r="B1076" s="9" t="s">
        <v>4086</v>
      </c>
      <c r="C1076" s="10">
        <v>45156</v>
      </c>
      <c r="D1076" s="9" t="s">
        <v>79</v>
      </c>
      <c r="E1076" s="9" t="s">
        <v>143</v>
      </c>
      <c r="F1076" s="9" t="s">
        <v>80</v>
      </c>
      <c r="G1076" s="9" t="s">
        <v>43</v>
      </c>
      <c r="H1076" s="9" t="s">
        <v>44</v>
      </c>
      <c r="I1076" s="11" t="s">
        <v>326</v>
      </c>
      <c r="J1076" s="9" t="s">
        <v>327</v>
      </c>
      <c r="K1076" s="9" t="s">
        <v>47</v>
      </c>
      <c r="L1076" s="9" t="s">
        <v>1087</v>
      </c>
      <c r="M1076" s="9" t="s">
        <v>1088</v>
      </c>
      <c r="N1076" s="9" t="s">
        <v>84</v>
      </c>
      <c r="O1076" s="9" t="s">
        <v>51</v>
      </c>
      <c r="P1076" s="9" t="s">
        <v>1029</v>
      </c>
      <c r="Q1076" s="9"/>
      <c r="R1076" s="9" t="s">
        <v>61</v>
      </c>
      <c r="S1076" s="14" t="s">
        <v>4087</v>
      </c>
      <c r="T1076" s="9" t="s">
        <v>4088</v>
      </c>
      <c r="U1076" s="9" t="s">
        <v>54</v>
      </c>
      <c r="V1076" s="9" t="s">
        <v>370</v>
      </c>
      <c r="W1076" s="9" t="s">
        <v>115</v>
      </c>
      <c r="X1076" s="12" t="s">
        <v>150</v>
      </c>
      <c r="Y1076" s="9" t="s">
        <v>151</v>
      </c>
      <c r="Z1076" s="13"/>
    </row>
    <row r="1077" spans="1:26" ht="32.25" hidden="1" customHeight="1">
      <c r="A1077" s="8">
        <v>2302510</v>
      </c>
      <c r="B1077" s="9" t="s">
        <v>4089</v>
      </c>
      <c r="C1077" s="10">
        <v>45142</v>
      </c>
      <c r="D1077" s="9" t="s">
        <v>67</v>
      </c>
      <c r="E1077" s="9" t="s">
        <v>89</v>
      </c>
      <c r="F1077" s="9" t="s">
        <v>42</v>
      </c>
      <c r="G1077" s="9" t="s">
        <v>43</v>
      </c>
      <c r="H1077" s="9" t="s">
        <v>44</v>
      </c>
      <c r="I1077" s="11" t="s">
        <v>354</v>
      </c>
      <c r="J1077" s="9" t="s">
        <v>91</v>
      </c>
      <c r="K1077" s="9" t="s">
        <v>47</v>
      </c>
      <c r="L1077" s="9" t="s">
        <v>48</v>
      </c>
      <c r="M1077" s="9" t="s">
        <v>1366</v>
      </c>
      <c r="N1077" s="9" t="s">
        <v>50</v>
      </c>
      <c r="O1077" s="9" t="s">
        <v>51</v>
      </c>
      <c r="P1077" s="9" t="s">
        <v>356</v>
      </c>
      <c r="Q1077" s="9"/>
      <c r="R1077" s="9"/>
      <c r="S1077" s="9" t="s">
        <v>4090</v>
      </c>
      <c r="T1077" s="9" t="s">
        <v>4091</v>
      </c>
      <c r="U1077" s="9" t="s">
        <v>54</v>
      </c>
      <c r="V1077" s="9" t="s">
        <v>55</v>
      </c>
      <c r="W1077" s="9" t="s">
        <v>55</v>
      </c>
      <c r="X1077" s="12"/>
      <c r="Y1077" s="9" t="s">
        <v>55</v>
      </c>
      <c r="Z1077" s="13"/>
    </row>
    <row r="1078" spans="1:26" ht="32.25" hidden="1" customHeight="1">
      <c r="A1078" s="8">
        <v>2313452</v>
      </c>
      <c r="B1078" s="9" t="s">
        <v>4092</v>
      </c>
      <c r="C1078" s="10">
        <v>45156</v>
      </c>
      <c r="D1078" s="9" t="s">
        <v>79</v>
      </c>
      <c r="E1078" s="9" t="s">
        <v>68</v>
      </c>
      <c r="F1078" s="9" t="s">
        <v>80</v>
      </c>
      <c r="G1078" s="9" t="s">
        <v>43</v>
      </c>
      <c r="H1078" s="9" t="s">
        <v>44</v>
      </c>
      <c r="I1078" s="11" t="s">
        <v>101</v>
      </c>
      <c r="J1078" s="9" t="s">
        <v>102</v>
      </c>
      <c r="K1078" s="9" t="s">
        <v>416</v>
      </c>
      <c r="L1078" s="9" t="s">
        <v>914</v>
      </c>
      <c r="M1078" s="9" t="s">
        <v>914</v>
      </c>
      <c r="N1078" s="9" t="s">
        <v>84</v>
      </c>
      <c r="O1078" s="9" t="s">
        <v>51</v>
      </c>
      <c r="P1078" s="9" t="s">
        <v>379</v>
      </c>
      <c r="Q1078" s="9"/>
      <c r="R1078" s="9"/>
      <c r="S1078" s="14" t="s">
        <v>4093</v>
      </c>
      <c r="T1078" s="9" t="s">
        <v>4094</v>
      </c>
      <c r="U1078" s="9" t="s">
        <v>54</v>
      </c>
      <c r="V1078" s="9" t="s">
        <v>55</v>
      </c>
      <c r="W1078" s="9" t="s">
        <v>55</v>
      </c>
      <c r="X1078" s="12"/>
      <c r="Y1078" s="9" t="s">
        <v>55</v>
      </c>
      <c r="Z1078" s="13"/>
    </row>
    <row r="1079" spans="1:26" ht="32.25" hidden="1" customHeight="1">
      <c r="A1079" s="8">
        <v>2313714</v>
      </c>
      <c r="B1079" s="9" t="s">
        <v>4095</v>
      </c>
      <c r="C1079" s="10">
        <v>45136</v>
      </c>
      <c r="D1079" s="9" t="s">
        <v>40</v>
      </c>
      <c r="E1079" s="9" t="s">
        <v>41</v>
      </c>
      <c r="F1079" s="9" t="s">
        <v>42</v>
      </c>
      <c r="G1079" s="9" t="s">
        <v>43</v>
      </c>
      <c r="H1079" s="9" t="s">
        <v>44</v>
      </c>
      <c r="I1079" s="11" t="s">
        <v>199</v>
      </c>
      <c r="J1079" s="9" t="s">
        <v>200</v>
      </c>
      <c r="K1079" s="9" t="s">
        <v>47</v>
      </c>
      <c r="L1079" s="9" t="s">
        <v>706</v>
      </c>
      <c r="M1079" s="9" t="s">
        <v>1262</v>
      </c>
      <c r="N1079" s="9" t="s">
        <v>84</v>
      </c>
      <c r="O1079" s="9" t="s">
        <v>51</v>
      </c>
      <c r="P1079" s="9"/>
      <c r="Q1079" s="9"/>
      <c r="R1079" s="9" t="s">
        <v>61</v>
      </c>
      <c r="S1079" s="9" t="s">
        <v>4096</v>
      </c>
      <c r="T1079" s="9" t="s">
        <v>4097</v>
      </c>
      <c r="U1079" s="9" t="s">
        <v>54</v>
      </c>
      <c r="V1079" s="9" t="s">
        <v>55</v>
      </c>
      <c r="W1079" s="9" t="s">
        <v>55</v>
      </c>
      <c r="X1079" s="12" t="s">
        <v>196</v>
      </c>
      <c r="Y1079" s="9" t="s">
        <v>197</v>
      </c>
      <c r="Z1079" s="13"/>
    </row>
    <row r="1080" spans="1:26" ht="32.25" hidden="1" customHeight="1">
      <c r="A1080" s="8">
        <v>2313348</v>
      </c>
      <c r="B1080" s="9" t="s">
        <v>4098</v>
      </c>
      <c r="C1080" s="10">
        <v>45149</v>
      </c>
      <c r="D1080" s="9" t="s">
        <v>57</v>
      </c>
      <c r="E1080" s="9" t="s">
        <v>153</v>
      </c>
      <c r="F1080" s="9" t="s">
        <v>42</v>
      </c>
      <c r="G1080" s="9" t="s">
        <v>43</v>
      </c>
      <c r="H1080" s="9" t="s">
        <v>58</v>
      </c>
      <c r="I1080" s="11" t="s">
        <v>154</v>
      </c>
      <c r="J1080" s="9" t="s">
        <v>155</v>
      </c>
      <c r="K1080" s="9" t="s">
        <v>47</v>
      </c>
      <c r="L1080" s="9" t="s">
        <v>48</v>
      </c>
      <c r="M1080" s="9"/>
      <c r="N1080" s="9" t="s">
        <v>50</v>
      </c>
      <c r="O1080" s="9" t="s">
        <v>51</v>
      </c>
      <c r="P1080" s="9"/>
      <c r="Q1080" s="9"/>
      <c r="R1080" s="9"/>
      <c r="S1080" s="14" t="s">
        <v>4099</v>
      </c>
      <c r="T1080" s="9" t="s">
        <v>4100</v>
      </c>
      <c r="U1080" s="9" t="s">
        <v>54</v>
      </c>
      <c r="V1080" s="9" t="s">
        <v>55</v>
      </c>
      <c r="W1080" s="9" t="s">
        <v>55</v>
      </c>
      <c r="X1080" s="12"/>
      <c r="Y1080" s="9" t="s">
        <v>55</v>
      </c>
      <c r="Z1080" s="13"/>
    </row>
    <row r="1081" spans="1:26" ht="32.25" hidden="1" customHeight="1">
      <c r="A1081" s="8">
        <v>2305814</v>
      </c>
      <c r="B1081" s="9" t="s">
        <v>4101</v>
      </c>
      <c r="C1081" s="10">
        <v>45156</v>
      </c>
      <c r="D1081" s="9" t="s">
        <v>79</v>
      </c>
      <c r="E1081" s="9" t="s">
        <v>143</v>
      </c>
      <c r="F1081" s="9" t="s">
        <v>80</v>
      </c>
      <c r="G1081" s="9" t="s">
        <v>43</v>
      </c>
      <c r="H1081" s="9" t="s">
        <v>44</v>
      </c>
      <c r="I1081" s="11" t="s">
        <v>326</v>
      </c>
      <c r="J1081" s="9" t="s">
        <v>327</v>
      </c>
      <c r="K1081" s="9" t="s">
        <v>47</v>
      </c>
      <c r="L1081" s="9" t="s">
        <v>340</v>
      </c>
      <c r="M1081" s="9" t="s">
        <v>1297</v>
      </c>
      <c r="N1081" s="9" t="s">
        <v>50</v>
      </c>
      <c r="O1081" s="9" t="s">
        <v>51</v>
      </c>
      <c r="P1081" s="9" t="s">
        <v>1238</v>
      </c>
      <c r="Q1081" s="9"/>
      <c r="R1081" s="9" t="s">
        <v>61</v>
      </c>
      <c r="S1081" s="14" t="s">
        <v>4102</v>
      </c>
      <c r="T1081" s="9" t="s">
        <v>4103</v>
      </c>
      <c r="U1081" s="9" t="s">
        <v>54</v>
      </c>
      <c r="V1081" s="9" t="s">
        <v>370</v>
      </c>
      <c r="W1081" s="9" t="s">
        <v>115</v>
      </c>
      <c r="X1081" s="12" t="s">
        <v>150</v>
      </c>
      <c r="Y1081" s="9" t="s">
        <v>151</v>
      </c>
      <c r="Z1081" s="13"/>
    </row>
    <row r="1082" spans="1:26" ht="32.25" hidden="1" customHeight="1">
      <c r="A1082" s="8">
        <v>2309356</v>
      </c>
      <c r="B1082" s="9" t="s">
        <v>4104</v>
      </c>
      <c r="C1082" s="10">
        <v>45149</v>
      </c>
      <c r="D1082" s="9" t="s">
        <v>57</v>
      </c>
      <c r="E1082" s="9" t="s">
        <v>153</v>
      </c>
      <c r="F1082" s="9" t="s">
        <v>42</v>
      </c>
      <c r="G1082" s="9" t="s">
        <v>43</v>
      </c>
      <c r="H1082" s="9" t="s">
        <v>58</v>
      </c>
      <c r="I1082" s="11" t="s">
        <v>154</v>
      </c>
      <c r="J1082" s="9" t="s">
        <v>155</v>
      </c>
      <c r="K1082" s="9" t="s">
        <v>47</v>
      </c>
      <c r="L1082" s="9" t="s">
        <v>48</v>
      </c>
      <c r="M1082" s="9" t="s">
        <v>1447</v>
      </c>
      <c r="N1082" s="9" t="s">
        <v>84</v>
      </c>
      <c r="O1082" s="9" t="s">
        <v>51</v>
      </c>
      <c r="P1082" s="9"/>
      <c r="Q1082" s="9"/>
      <c r="R1082" s="9"/>
      <c r="S1082" s="14" t="s">
        <v>4105</v>
      </c>
      <c r="T1082" s="9" t="s">
        <v>4106</v>
      </c>
      <c r="U1082" s="9" t="s">
        <v>54</v>
      </c>
      <c r="V1082" s="9" t="s">
        <v>55</v>
      </c>
      <c r="W1082" s="9" t="s">
        <v>55</v>
      </c>
      <c r="X1082" s="12"/>
      <c r="Y1082" s="9" t="s">
        <v>55</v>
      </c>
      <c r="Z1082" s="13"/>
    </row>
    <row r="1083" spans="1:26" ht="32.25" hidden="1" customHeight="1">
      <c r="A1083" s="8">
        <v>2308974</v>
      </c>
      <c r="B1083" s="9" t="s">
        <v>4107</v>
      </c>
      <c r="C1083" s="10">
        <v>45149</v>
      </c>
      <c r="D1083" s="9" t="s">
        <v>57</v>
      </c>
      <c r="E1083" s="9" t="s">
        <v>41</v>
      </c>
      <c r="F1083" s="9" t="s">
        <v>42</v>
      </c>
      <c r="G1083" s="9" t="s">
        <v>43</v>
      </c>
      <c r="H1083" s="9" t="s">
        <v>58</v>
      </c>
      <c r="I1083" s="11" t="s">
        <v>129</v>
      </c>
      <c r="J1083" s="9" t="s">
        <v>130</v>
      </c>
      <c r="K1083" s="9" t="s">
        <v>47</v>
      </c>
      <c r="L1083" s="9" t="s">
        <v>156</v>
      </c>
      <c r="M1083" s="9"/>
      <c r="N1083" s="9" t="s">
        <v>84</v>
      </c>
      <c r="O1083" s="9" t="s">
        <v>51</v>
      </c>
      <c r="P1083" s="9"/>
      <c r="Q1083" s="9"/>
      <c r="R1083" s="9"/>
      <c r="S1083" s="14" t="s">
        <v>4108</v>
      </c>
      <c r="T1083" s="9" t="s">
        <v>4109</v>
      </c>
      <c r="U1083" s="9" t="s">
        <v>54</v>
      </c>
      <c r="V1083" s="9" t="s">
        <v>55</v>
      </c>
      <c r="W1083" s="9" t="s">
        <v>55</v>
      </c>
      <c r="X1083" s="12"/>
      <c r="Y1083" s="9" t="s">
        <v>55</v>
      </c>
      <c r="Z1083" s="13"/>
    </row>
    <row r="1084" spans="1:26" ht="32.25" hidden="1" customHeight="1">
      <c r="A1084" s="8">
        <v>2308283</v>
      </c>
      <c r="B1084" s="9" t="s">
        <v>4110</v>
      </c>
      <c r="C1084" s="10">
        <v>45142</v>
      </c>
      <c r="D1084" s="9" t="s">
        <v>67</v>
      </c>
      <c r="E1084" s="9" t="s">
        <v>68</v>
      </c>
      <c r="F1084" s="9" t="s">
        <v>135</v>
      </c>
      <c r="G1084" s="9" t="s">
        <v>43</v>
      </c>
      <c r="H1084" s="9" t="s">
        <v>44</v>
      </c>
      <c r="I1084" s="11" t="s">
        <v>136</v>
      </c>
      <c r="J1084" s="9" t="s">
        <v>137</v>
      </c>
      <c r="K1084" s="9" t="s">
        <v>47</v>
      </c>
      <c r="L1084" s="9" t="s">
        <v>451</v>
      </c>
      <c r="M1084" s="9" t="s">
        <v>4111</v>
      </c>
      <c r="N1084" s="9" t="s">
        <v>84</v>
      </c>
      <c r="O1084" s="9" t="s">
        <v>51</v>
      </c>
      <c r="P1084" s="9"/>
      <c r="Q1084" s="9"/>
      <c r="R1084" s="9" t="s">
        <v>61</v>
      </c>
      <c r="S1084" s="9" t="s">
        <v>4112</v>
      </c>
      <c r="T1084" s="9" t="s">
        <v>4113</v>
      </c>
      <c r="U1084" s="9" t="s">
        <v>54</v>
      </c>
      <c r="V1084" s="9" t="s">
        <v>55</v>
      </c>
      <c r="W1084" s="9" t="s">
        <v>55</v>
      </c>
      <c r="X1084" s="12" t="s">
        <v>76</v>
      </c>
      <c r="Y1084" s="9" t="s">
        <v>77</v>
      </c>
      <c r="Z1084" s="13"/>
    </row>
    <row r="1085" spans="1:26" ht="32.25" hidden="1" customHeight="1">
      <c r="A1085" s="8">
        <v>2311866</v>
      </c>
      <c r="B1085" s="9" t="s">
        <v>4114</v>
      </c>
      <c r="C1085" s="10">
        <v>45156</v>
      </c>
      <c r="D1085" s="9" t="s">
        <v>79</v>
      </c>
      <c r="E1085" s="9" t="s">
        <v>41</v>
      </c>
      <c r="F1085" s="9" t="s">
        <v>80</v>
      </c>
      <c r="G1085" s="9" t="s">
        <v>43</v>
      </c>
      <c r="H1085" s="9" t="s">
        <v>44</v>
      </c>
      <c r="I1085" s="11" t="s">
        <v>478</v>
      </c>
      <c r="J1085" s="9" t="s">
        <v>479</v>
      </c>
      <c r="K1085" s="9" t="s">
        <v>47</v>
      </c>
      <c r="L1085" s="9" t="s">
        <v>340</v>
      </c>
      <c r="M1085" s="9" t="s">
        <v>4115</v>
      </c>
      <c r="N1085" s="9" t="s">
        <v>84</v>
      </c>
      <c r="O1085" s="9" t="s">
        <v>51</v>
      </c>
      <c r="P1085" s="9" t="s">
        <v>1414</v>
      </c>
      <c r="Q1085" s="9"/>
      <c r="R1085" s="9" t="s">
        <v>61</v>
      </c>
      <c r="S1085" s="14" t="s">
        <v>4116</v>
      </c>
      <c r="T1085" s="9" t="s">
        <v>4117</v>
      </c>
      <c r="U1085" s="9" t="s">
        <v>54</v>
      </c>
      <c r="V1085" s="9" t="s">
        <v>897</v>
      </c>
      <c r="W1085" s="9" t="s">
        <v>115</v>
      </c>
      <c r="X1085" s="12" t="s">
        <v>389</v>
      </c>
      <c r="Y1085" s="9" t="s">
        <v>390</v>
      </c>
      <c r="Z1085" s="13" t="s">
        <v>240</v>
      </c>
    </row>
    <row r="1086" spans="1:26" ht="32.25" hidden="1" customHeight="1">
      <c r="A1086" s="8">
        <v>2309369</v>
      </c>
      <c r="B1086" s="9" t="s">
        <v>4118</v>
      </c>
      <c r="C1086" s="10">
        <v>45149</v>
      </c>
      <c r="D1086" s="9" t="s">
        <v>57</v>
      </c>
      <c r="E1086" s="9" t="s">
        <v>41</v>
      </c>
      <c r="F1086" s="9" t="s">
        <v>42</v>
      </c>
      <c r="G1086" s="9" t="s">
        <v>43</v>
      </c>
      <c r="H1086" s="9" t="s">
        <v>58</v>
      </c>
      <c r="I1086" s="11" t="s">
        <v>1073</v>
      </c>
      <c r="J1086" s="9" t="s">
        <v>479</v>
      </c>
      <c r="K1086" s="9" t="s">
        <v>47</v>
      </c>
      <c r="L1086" s="9" t="s">
        <v>221</v>
      </c>
      <c r="M1086" s="9" t="s">
        <v>1451</v>
      </c>
      <c r="N1086" s="9" t="s">
        <v>50</v>
      </c>
      <c r="O1086" s="9" t="s">
        <v>51</v>
      </c>
      <c r="P1086" s="9"/>
      <c r="Q1086" s="9"/>
      <c r="R1086" s="9" t="s">
        <v>61</v>
      </c>
      <c r="S1086" s="14" t="s">
        <v>4119</v>
      </c>
      <c r="T1086" s="9" t="s">
        <v>4120</v>
      </c>
      <c r="U1086" s="9" t="s">
        <v>54</v>
      </c>
      <c r="V1086" s="9" t="s">
        <v>55</v>
      </c>
      <c r="W1086" s="9" t="s">
        <v>55</v>
      </c>
      <c r="X1086" s="9" t="s">
        <v>196</v>
      </c>
      <c r="Y1086" s="9" t="s">
        <v>197</v>
      </c>
      <c r="Z1086" s="13"/>
    </row>
    <row r="1087" spans="1:26" ht="32.25" hidden="1" customHeight="1">
      <c r="A1087" s="8">
        <v>2311466</v>
      </c>
      <c r="B1087" s="9" t="s">
        <v>4121</v>
      </c>
      <c r="C1087" s="10">
        <v>45156</v>
      </c>
      <c r="D1087" s="9" t="s">
        <v>79</v>
      </c>
      <c r="E1087" s="9" t="s">
        <v>89</v>
      </c>
      <c r="F1087" s="9" t="s">
        <v>80</v>
      </c>
      <c r="G1087" s="9" t="s">
        <v>43</v>
      </c>
      <c r="H1087" s="9" t="s">
        <v>44</v>
      </c>
      <c r="I1087" s="11" t="s">
        <v>101</v>
      </c>
      <c r="J1087" s="9" t="s">
        <v>102</v>
      </c>
      <c r="K1087" s="9" t="s">
        <v>47</v>
      </c>
      <c r="L1087" s="9" t="s">
        <v>48</v>
      </c>
      <c r="M1087" s="9" t="s">
        <v>1447</v>
      </c>
      <c r="N1087" s="9" t="s">
        <v>50</v>
      </c>
      <c r="O1087" s="9" t="s">
        <v>51</v>
      </c>
      <c r="P1087" s="9" t="s">
        <v>125</v>
      </c>
      <c r="Q1087" s="9"/>
      <c r="R1087" s="9"/>
      <c r="S1087" s="14" t="s">
        <v>4122</v>
      </c>
      <c r="T1087" s="9" t="s">
        <v>4123</v>
      </c>
      <c r="U1087" s="9" t="s">
        <v>54</v>
      </c>
      <c r="V1087" s="9" t="s">
        <v>55</v>
      </c>
      <c r="W1087" s="9" t="s">
        <v>55</v>
      </c>
      <c r="X1087" s="12"/>
      <c r="Y1087" s="9" t="s">
        <v>55</v>
      </c>
      <c r="Z1087" s="13"/>
    </row>
    <row r="1088" spans="1:26" ht="32.25" hidden="1" customHeight="1">
      <c r="A1088" s="8">
        <v>2312920</v>
      </c>
      <c r="B1088" s="9" t="s">
        <v>4124</v>
      </c>
      <c r="C1088" s="10">
        <v>45156</v>
      </c>
      <c r="D1088" s="9" t="s">
        <v>79</v>
      </c>
      <c r="E1088" s="9" t="s">
        <v>89</v>
      </c>
      <c r="F1088" s="9" t="s">
        <v>80</v>
      </c>
      <c r="G1088" s="9" t="s">
        <v>43</v>
      </c>
      <c r="H1088" s="9" t="s">
        <v>44</v>
      </c>
      <c r="I1088" s="11" t="s">
        <v>90</v>
      </c>
      <c r="J1088" s="9" t="s">
        <v>91</v>
      </c>
      <c r="K1088" s="9" t="s">
        <v>47</v>
      </c>
      <c r="L1088" s="9" t="s">
        <v>48</v>
      </c>
      <c r="M1088" s="9" t="s">
        <v>4125</v>
      </c>
      <c r="N1088" s="9" t="s">
        <v>84</v>
      </c>
      <c r="O1088" s="9" t="s">
        <v>51</v>
      </c>
      <c r="P1088" s="9" t="s">
        <v>865</v>
      </c>
      <c r="Q1088" s="9"/>
      <c r="R1088" s="9" t="s">
        <v>61</v>
      </c>
      <c r="S1088" s="14" t="s">
        <v>4126</v>
      </c>
      <c r="T1088" s="9" t="s">
        <v>4127</v>
      </c>
      <c r="U1088" s="9" t="s">
        <v>54</v>
      </c>
      <c r="V1088" s="9" t="s">
        <v>55</v>
      </c>
      <c r="W1088" s="9" t="s">
        <v>55</v>
      </c>
      <c r="X1088" s="12" t="s">
        <v>98</v>
      </c>
      <c r="Y1088" s="9" t="s">
        <v>99</v>
      </c>
      <c r="Z1088" s="13"/>
    </row>
    <row r="1089" spans="1:26" ht="32.25" hidden="1" customHeight="1">
      <c r="A1089" s="8">
        <v>2306880</v>
      </c>
      <c r="B1089" s="9" t="s">
        <v>4128</v>
      </c>
      <c r="C1089" s="10">
        <v>45156</v>
      </c>
      <c r="D1089" s="9" t="s">
        <v>79</v>
      </c>
      <c r="E1089" s="9" t="s">
        <v>41</v>
      </c>
      <c r="F1089" s="9" t="s">
        <v>80</v>
      </c>
      <c r="G1089" s="9" t="s">
        <v>43</v>
      </c>
      <c r="H1089" s="9" t="s">
        <v>44</v>
      </c>
      <c r="I1089" s="11" t="s">
        <v>81</v>
      </c>
      <c r="J1089" s="9" t="s">
        <v>46</v>
      </c>
      <c r="K1089" s="9" t="s">
        <v>47</v>
      </c>
      <c r="L1089" s="9" t="s">
        <v>290</v>
      </c>
      <c r="M1089" s="9" t="s">
        <v>1787</v>
      </c>
      <c r="N1089" s="9" t="s">
        <v>50</v>
      </c>
      <c r="O1089" s="9" t="s">
        <v>51</v>
      </c>
      <c r="P1089" s="9" t="s">
        <v>503</v>
      </c>
      <c r="Q1089" s="9"/>
      <c r="R1089" s="9" t="s">
        <v>61</v>
      </c>
      <c r="S1089" s="14" t="s">
        <v>4129</v>
      </c>
      <c r="T1089" s="9" t="s">
        <v>4130</v>
      </c>
      <c r="U1089" s="9" t="s">
        <v>54</v>
      </c>
      <c r="V1089" s="9" t="s">
        <v>318</v>
      </c>
      <c r="W1089" s="9" t="s">
        <v>115</v>
      </c>
      <c r="X1089" s="12" t="s">
        <v>319</v>
      </c>
      <c r="Y1089" s="9" t="s">
        <v>320</v>
      </c>
      <c r="Z1089" s="13"/>
    </row>
    <row r="1090" spans="1:26" ht="32.25" hidden="1" customHeight="1">
      <c r="A1090" s="8">
        <v>2302398</v>
      </c>
      <c r="B1090" s="9" t="s">
        <v>4131</v>
      </c>
      <c r="C1090" s="10">
        <v>45149</v>
      </c>
      <c r="D1090" s="9" t="s">
        <v>57</v>
      </c>
      <c r="E1090" s="9" t="s">
        <v>41</v>
      </c>
      <c r="F1090" s="9" t="s">
        <v>42</v>
      </c>
      <c r="G1090" s="9" t="s">
        <v>43</v>
      </c>
      <c r="H1090" s="9" t="s">
        <v>58</v>
      </c>
      <c r="I1090" s="11" t="s">
        <v>199</v>
      </c>
      <c r="J1090" s="9" t="s">
        <v>200</v>
      </c>
      <c r="K1090" s="9" t="s">
        <v>47</v>
      </c>
      <c r="L1090" s="9" t="s">
        <v>437</v>
      </c>
      <c r="M1090" s="9" t="s">
        <v>1006</v>
      </c>
      <c r="N1090" s="9" t="s">
        <v>50</v>
      </c>
      <c r="O1090" s="9" t="s">
        <v>51</v>
      </c>
      <c r="P1090" s="9"/>
      <c r="Q1090" s="9"/>
      <c r="R1090" s="9"/>
      <c r="S1090" s="14" t="s">
        <v>4132</v>
      </c>
      <c r="T1090" s="9" t="s">
        <v>4133</v>
      </c>
      <c r="U1090" s="9" t="s">
        <v>54</v>
      </c>
      <c r="V1090" s="9" t="s">
        <v>55</v>
      </c>
      <c r="W1090" s="9" t="s">
        <v>55</v>
      </c>
      <c r="X1090" s="12"/>
      <c r="Y1090" s="9" t="s">
        <v>55</v>
      </c>
      <c r="Z1090" s="13"/>
    </row>
    <row r="1091" spans="1:26" ht="32.25" hidden="1" customHeight="1">
      <c r="A1091" s="8">
        <v>2309032</v>
      </c>
      <c r="B1091" s="9" t="s">
        <v>4134</v>
      </c>
      <c r="C1091" s="10">
        <v>45142</v>
      </c>
      <c r="D1091" s="9" t="s">
        <v>67</v>
      </c>
      <c r="E1091" s="9" t="s">
        <v>41</v>
      </c>
      <c r="F1091" s="9" t="s">
        <v>42</v>
      </c>
      <c r="G1091" s="9" t="s">
        <v>43</v>
      </c>
      <c r="H1091" s="9" t="s">
        <v>44</v>
      </c>
      <c r="I1091" s="11" t="s">
        <v>45</v>
      </c>
      <c r="J1091" s="9" t="s">
        <v>46</v>
      </c>
      <c r="K1091" s="9" t="s">
        <v>47</v>
      </c>
      <c r="L1091" s="9" t="s">
        <v>48</v>
      </c>
      <c r="M1091" s="9" t="s">
        <v>4135</v>
      </c>
      <c r="N1091" s="9" t="s">
        <v>84</v>
      </c>
      <c r="O1091" s="9" t="s">
        <v>51</v>
      </c>
      <c r="P1091" s="9"/>
      <c r="Q1091" s="9"/>
      <c r="R1091" s="9" t="s">
        <v>61</v>
      </c>
      <c r="S1091" s="9" t="s">
        <v>4136</v>
      </c>
      <c r="T1091" s="9" t="s">
        <v>4137</v>
      </c>
      <c r="U1091" s="9" t="s">
        <v>54</v>
      </c>
      <c r="V1091" s="9" t="s">
        <v>55</v>
      </c>
      <c r="W1091" s="9" t="s">
        <v>55</v>
      </c>
      <c r="X1091" s="9" t="s">
        <v>196</v>
      </c>
      <c r="Y1091" s="9" t="s">
        <v>197</v>
      </c>
      <c r="Z1091" s="13"/>
    </row>
    <row r="1092" spans="1:26" ht="32.25" hidden="1" customHeight="1">
      <c r="A1092" s="8">
        <v>2314405</v>
      </c>
      <c r="B1092" s="9" t="s">
        <v>4138</v>
      </c>
      <c r="C1092" s="10">
        <v>45156</v>
      </c>
      <c r="D1092" s="9" t="s">
        <v>79</v>
      </c>
      <c r="E1092" s="9" t="s">
        <v>68</v>
      </c>
      <c r="F1092" s="9" t="s">
        <v>80</v>
      </c>
      <c r="G1092" s="9" t="s">
        <v>43</v>
      </c>
      <c r="H1092" s="9" t="s">
        <v>44</v>
      </c>
      <c r="I1092" s="11" t="s">
        <v>90</v>
      </c>
      <c r="J1092" s="9" t="s">
        <v>91</v>
      </c>
      <c r="K1092" s="9" t="s">
        <v>47</v>
      </c>
      <c r="L1092" s="9" t="s">
        <v>1686</v>
      </c>
      <c r="M1092" s="9" t="s">
        <v>4139</v>
      </c>
      <c r="N1092" s="9" t="s">
        <v>50</v>
      </c>
      <c r="O1092" s="9" t="s">
        <v>51</v>
      </c>
      <c r="P1092" s="9" t="s">
        <v>670</v>
      </c>
      <c r="Q1092" s="9"/>
      <c r="R1092" s="9" t="s">
        <v>61</v>
      </c>
      <c r="S1092" s="14" t="s">
        <v>4140</v>
      </c>
      <c r="T1092" s="9" t="s">
        <v>4141</v>
      </c>
      <c r="U1092" s="9" t="s">
        <v>54</v>
      </c>
      <c r="V1092" s="9" t="s">
        <v>55</v>
      </c>
      <c r="W1092" s="9" t="s">
        <v>55</v>
      </c>
      <c r="X1092" s="12" t="s">
        <v>196</v>
      </c>
      <c r="Y1092" s="9" t="s">
        <v>197</v>
      </c>
      <c r="Z1092" s="13"/>
    </row>
    <row r="1093" spans="1:26" ht="32.25" hidden="1" customHeight="1">
      <c r="A1093" s="8">
        <v>2302976</v>
      </c>
      <c r="B1093" s="9" t="s">
        <v>4142</v>
      </c>
      <c r="C1093" s="10">
        <v>45149</v>
      </c>
      <c r="D1093" s="9" t="s">
        <v>57</v>
      </c>
      <c r="E1093" s="9" t="s">
        <v>295</v>
      </c>
      <c r="F1093" s="9" t="s">
        <v>42</v>
      </c>
      <c r="G1093" s="9" t="s">
        <v>43</v>
      </c>
      <c r="H1093" s="9" t="s">
        <v>58</v>
      </c>
      <c r="I1093" s="11" t="s">
        <v>406</v>
      </c>
      <c r="J1093" s="9" t="s">
        <v>407</v>
      </c>
      <c r="K1093" s="9" t="s">
        <v>47</v>
      </c>
      <c r="L1093" s="9" t="s">
        <v>48</v>
      </c>
      <c r="M1093" s="9" t="s">
        <v>146</v>
      </c>
      <c r="N1093" s="9" t="s">
        <v>84</v>
      </c>
      <c r="O1093" s="9" t="s">
        <v>51</v>
      </c>
      <c r="P1093" s="9"/>
      <c r="Q1093" s="9"/>
      <c r="R1093" s="9" t="s">
        <v>61</v>
      </c>
      <c r="S1093" s="14" t="s">
        <v>4143</v>
      </c>
      <c r="T1093" s="9" t="s">
        <v>4144</v>
      </c>
      <c r="U1093" s="9" t="s">
        <v>54</v>
      </c>
      <c r="V1093" s="9" t="s">
        <v>55</v>
      </c>
      <c r="W1093" s="9" t="s">
        <v>55</v>
      </c>
      <c r="X1093" s="9" t="s">
        <v>319</v>
      </c>
      <c r="Y1093" s="9" t="s">
        <v>320</v>
      </c>
      <c r="Z1093" s="13"/>
    </row>
    <row r="1094" spans="1:26" ht="32.25" hidden="1" customHeight="1">
      <c r="A1094" s="8">
        <v>2305946</v>
      </c>
      <c r="B1094" s="9" t="s">
        <v>4145</v>
      </c>
      <c r="C1094" s="10">
        <v>45136</v>
      </c>
      <c r="D1094" s="9" t="s">
        <v>40</v>
      </c>
      <c r="E1094" s="9" t="s">
        <v>143</v>
      </c>
      <c r="F1094" s="9" t="s">
        <v>42</v>
      </c>
      <c r="G1094" s="9" t="s">
        <v>43</v>
      </c>
      <c r="H1094" s="9" t="s">
        <v>44</v>
      </c>
      <c r="I1094" s="11" t="s">
        <v>334</v>
      </c>
      <c r="J1094" s="9" t="s">
        <v>327</v>
      </c>
      <c r="K1094" s="9" t="s">
        <v>47</v>
      </c>
      <c r="L1094" s="9" t="s">
        <v>1087</v>
      </c>
      <c r="M1094" s="9" t="s">
        <v>1981</v>
      </c>
      <c r="N1094" s="9" t="s">
        <v>84</v>
      </c>
      <c r="O1094" s="9" t="s">
        <v>51</v>
      </c>
      <c r="P1094" s="9" t="s">
        <v>336</v>
      </c>
      <c r="Q1094" s="9"/>
      <c r="R1094" s="9" t="s">
        <v>61</v>
      </c>
      <c r="S1094" s="9" t="s">
        <v>4146</v>
      </c>
      <c r="T1094" s="9" t="s">
        <v>4147</v>
      </c>
      <c r="U1094" s="9" t="s">
        <v>54</v>
      </c>
      <c r="V1094" s="9" t="s">
        <v>55</v>
      </c>
      <c r="W1094" s="9" t="s">
        <v>55</v>
      </c>
      <c r="X1094" s="9" t="s">
        <v>150</v>
      </c>
      <c r="Y1094" s="9" t="s">
        <v>151</v>
      </c>
      <c r="Z1094" s="13" t="s">
        <v>4148</v>
      </c>
    </row>
    <row r="1095" spans="1:26" ht="32.25" hidden="1" customHeight="1">
      <c r="A1095" s="8">
        <v>2308172</v>
      </c>
      <c r="B1095" s="9" t="s">
        <v>4149</v>
      </c>
      <c r="C1095" s="10">
        <v>45142</v>
      </c>
      <c r="D1095" s="9" t="s">
        <v>67</v>
      </c>
      <c r="E1095" s="9" t="s">
        <v>295</v>
      </c>
      <c r="F1095" s="9" t="s">
        <v>42</v>
      </c>
      <c r="G1095" s="9" t="s">
        <v>43</v>
      </c>
      <c r="H1095" s="9" t="s">
        <v>44</v>
      </c>
      <c r="I1095" s="11" t="s">
        <v>406</v>
      </c>
      <c r="J1095" s="9" t="s">
        <v>407</v>
      </c>
      <c r="K1095" s="9" t="s">
        <v>47</v>
      </c>
      <c r="L1095" s="9" t="s">
        <v>48</v>
      </c>
      <c r="M1095" s="9" t="s">
        <v>469</v>
      </c>
      <c r="N1095" s="9" t="s">
        <v>84</v>
      </c>
      <c r="O1095" s="9" t="s">
        <v>51</v>
      </c>
      <c r="P1095" s="9"/>
      <c r="Q1095" s="9"/>
      <c r="R1095" s="9"/>
      <c r="S1095" s="9" t="s">
        <v>4150</v>
      </c>
      <c r="T1095" s="9" t="s">
        <v>4151</v>
      </c>
      <c r="U1095" s="9" t="s">
        <v>54</v>
      </c>
      <c r="V1095" s="9" t="s">
        <v>55</v>
      </c>
      <c r="W1095" s="9" t="s">
        <v>55</v>
      </c>
      <c r="X1095" s="12"/>
      <c r="Y1095" s="9" t="s">
        <v>55</v>
      </c>
      <c r="Z1095" s="13"/>
    </row>
    <row r="1096" spans="1:26" ht="32.25" hidden="1" customHeight="1">
      <c r="A1096" s="8">
        <v>2312898</v>
      </c>
      <c r="B1096" s="9" t="s">
        <v>4152</v>
      </c>
      <c r="C1096" s="10">
        <v>45156</v>
      </c>
      <c r="D1096" s="9" t="s">
        <v>79</v>
      </c>
      <c r="E1096" s="9" t="s">
        <v>89</v>
      </c>
      <c r="F1096" s="9" t="s">
        <v>80</v>
      </c>
      <c r="G1096" s="9" t="s">
        <v>43</v>
      </c>
      <c r="H1096" s="9" t="s">
        <v>44</v>
      </c>
      <c r="I1096" s="11" t="s">
        <v>101</v>
      </c>
      <c r="J1096" s="9" t="s">
        <v>102</v>
      </c>
      <c r="K1096" s="9" t="s">
        <v>47</v>
      </c>
      <c r="L1096" s="9" t="s">
        <v>777</v>
      </c>
      <c r="M1096" s="9" t="s">
        <v>781</v>
      </c>
      <c r="N1096" s="9" t="s">
        <v>50</v>
      </c>
      <c r="O1096" s="9" t="s">
        <v>51</v>
      </c>
      <c r="P1096" s="9" t="s">
        <v>715</v>
      </c>
      <c r="Q1096" s="9"/>
      <c r="R1096" s="9"/>
      <c r="S1096" s="14" t="s">
        <v>4153</v>
      </c>
      <c r="T1096" s="9" t="s">
        <v>4154</v>
      </c>
      <c r="U1096" s="9" t="s">
        <v>54</v>
      </c>
      <c r="V1096" s="9" t="s">
        <v>55</v>
      </c>
      <c r="W1096" s="9" t="s">
        <v>55</v>
      </c>
      <c r="X1096" s="12"/>
      <c r="Y1096" s="9" t="s">
        <v>55</v>
      </c>
      <c r="Z1096" s="13"/>
    </row>
    <row r="1097" spans="1:26" ht="32.25" hidden="1" customHeight="1">
      <c r="A1097" s="8">
        <v>2302306</v>
      </c>
      <c r="B1097" s="9" t="s">
        <v>4155</v>
      </c>
      <c r="C1097" s="10">
        <v>45156</v>
      </c>
      <c r="D1097" s="9" t="s">
        <v>79</v>
      </c>
      <c r="E1097" s="9" t="s">
        <v>89</v>
      </c>
      <c r="F1097" s="9" t="s">
        <v>80</v>
      </c>
      <c r="G1097" s="9" t="s">
        <v>43</v>
      </c>
      <c r="H1097" s="9" t="s">
        <v>44</v>
      </c>
      <c r="I1097" s="11" t="s">
        <v>365</v>
      </c>
      <c r="J1097" s="9" t="s">
        <v>366</v>
      </c>
      <c r="K1097" s="9" t="s">
        <v>47</v>
      </c>
      <c r="L1097" s="9" t="s">
        <v>863</v>
      </c>
      <c r="M1097" s="9" t="s">
        <v>1396</v>
      </c>
      <c r="N1097" s="9" t="s">
        <v>50</v>
      </c>
      <c r="O1097" s="9" t="s">
        <v>51</v>
      </c>
      <c r="P1097" s="9" t="s">
        <v>367</v>
      </c>
      <c r="Q1097" s="9"/>
      <c r="R1097" s="9" t="s">
        <v>61</v>
      </c>
      <c r="S1097" s="14" t="s">
        <v>4156</v>
      </c>
      <c r="T1097" s="9" t="s">
        <v>4157</v>
      </c>
      <c r="U1097" s="9" t="s">
        <v>54</v>
      </c>
      <c r="V1097" s="9" t="s">
        <v>251</v>
      </c>
      <c r="W1097" s="9" t="s">
        <v>115</v>
      </c>
      <c r="X1097" s="12" t="s">
        <v>171</v>
      </c>
      <c r="Y1097" s="9" t="s">
        <v>172</v>
      </c>
      <c r="Z1097" s="13"/>
    </row>
    <row r="1098" spans="1:26" ht="32.25" hidden="1" customHeight="1">
      <c r="A1098" s="8">
        <v>2301971</v>
      </c>
      <c r="B1098" s="9" t="s">
        <v>4158</v>
      </c>
      <c r="C1098" s="10">
        <v>45156</v>
      </c>
      <c r="D1098" s="9" t="s">
        <v>79</v>
      </c>
      <c r="E1098" s="9" t="s">
        <v>41</v>
      </c>
      <c r="F1098" s="9" t="s">
        <v>80</v>
      </c>
      <c r="G1098" s="9" t="s">
        <v>43</v>
      </c>
      <c r="H1098" s="9" t="s">
        <v>44</v>
      </c>
      <c r="I1098" s="11" t="s">
        <v>81</v>
      </c>
      <c r="J1098" s="9" t="s">
        <v>46</v>
      </c>
      <c r="K1098" s="9" t="s">
        <v>47</v>
      </c>
      <c r="L1098" s="9" t="s">
        <v>156</v>
      </c>
      <c r="M1098" s="9"/>
      <c r="N1098" s="9" t="s">
        <v>50</v>
      </c>
      <c r="O1098" s="9" t="s">
        <v>51</v>
      </c>
      <c r="P1098" s="9" t="s">
        <v>582</v>
      </c>
      <c r="Q1098" s="9"/>
      <c r="R1098" s="9"/>
      <c r="S1098" s="14" t="s">
        <v>4159</v>
      </c>
      <c r="T1098" s="9" t="s">
        <v>4160</v>
      </c>
      <c r="U1098" s="9" t="s">
        <v>54</v>
      </c>
      <c r="V1098" s="9"/>
      <c r="W1098" s="9" t="s">
        <v>115</v>
      </c>
      <c r="X1098" s="12"/>
      <c r="Y1098" s="9" t="s">
        <v>55</v>
      </c>
      <c r="Z1098" s="13"/>
    </row>
    <row r="1099" spans="1:26" ht="32.25" hidden="1" customHeight="1">
      <c r="A1099" s="8">
        <v>2301540</v>
      </c>
      <c r="B1099" s="9" t="s">
        <v>4161</v>
      </c>
      <c r="C1099" s="10">
        <v>45142</v>
      </c>
      <c r="D1099" s="9" t="s">
        <v>67</v>
      </c>
      <c r="E1099" s="9" t="s">
        <v>89</v>
      </c>
      <c r="F1099" s="9" t="s">
        <v>42</v>
      </c>
      <c r="G1099" s="9" t="s">
        <v>43</v>
      </c>
      <c r="H1099" s="9" t="s">
        <v>44</v>
      </c>
      <c r="I1099" s="11" t="s">
        <v>354</v>
      </c>
      <c r="J1099" s="9" t="s">
        <v>91</v>
      </c>
      <c r="K1099" s="9" t="s">
        <v>47</v>
      </c>
      <c r="L1099" s="9" t="s">
        <v>174</v>
      </c>
      <c r="M1099" s="9" t="s">
        <v>2336</v>
      </c>
      <c r="N1099" s="9" t="s">
        <v>84</v>
      </c>
      <c r="O1099" s="9" t="s">
        <v>51</v>
      </c>
      <c r="P1099" s="9" t="s">
        <v>356</v>
      </c>
      <c r="Q1099" s="9"/>
      <c r="R1099" s="9" t="s">
        <v>61</v>
      </c>
      <c r="S1099" s="9" t="s">
        <v>4162</v>
      </c>
      <c r="T1099" s="9" t="s">
        <v>4163</v>
      </c>
      <c r="U1099" s="9" t="s">
        <v>54</v>
      </c>
      <c r="V1099" s="9" t="s">
        <v>55</v>
      </c>
      <c r="W1099" s="9" t="s">
        <v>55</v>
      </c>
      <c r="X1099" s="12" t="s">
        <v>98</v>
      </c>
      <c r="Y1099" s="9" t="s">
        <v>99</v>
      </c>
      <c r="Z1099" s="13"/>
    </row>
    <row r="1100" spans="1:26" ht="32.25" hidden="1" customHeight="1">
      <c r="A1100" s="8">
        <v>2304083</v>
      </c>
      <c r="B1100" s="9" t="s">
        <v>4164</v>
      </c>
      <c r="C1100" s="10">
        <v>45149</v>
      </c>
      <c r="D1100" s="9" t="s">
        <v>57</v>
      </c>
      <c r="E1100" s="9" t="s">
        <v>41</v>
      </c>
      <c r="F1100" s="9" t="s">
        <v>42</v>
      </c>
      <c r="G1100" s="9" t="s">
        <v>43</v>
      </c>
      <c r="H1100" s="9" t="s">
        <v>58</v>
      </c>
      <c r="I1100" s="11" t="s">
        <v>199</v>
      </c>
      <c r="J1100" s="9" t="s">
        <v>200</v>
      </c>
      <c r="K1100" s="9" t="s">
        <v>47</v>
      </c>
      <c r="L1100" s="9" t="s">
        <v>290</v>
      </c>
      <c r="M1100" s="9" t="s">
        <v>1787</v>
      </c>
      <c r="N1100" s="9" t="s">
        <v>84</v>
      </c>
      <c r="O1100" s="9" t="s">
        <v>51</v>
      </c>
      <c r="P1100" s="9"/>
      <c r="Q1100" s="9"/>
      <c r="R1100" s="9" t="s">
        <v>61</v>
      </c>
      <c r="S1100" s="14" t="s">
        <v>4165</v>
      </c>
      <c r="T1100" s="9" t="s">
        <v>4166</v>
      </c>
      <c r="U1100" s="9" t="s">
        <v>54</v>
      </c>
      <c r="V1100" s="9" t="s">
        <v>55</v>
      </c>
      <c r="W1100" s="9" t="s">
        <v>55</v>
      </c>
      <c r="X1100" s="12" t="s">
        <v>196</v>
      </c>
      <c r="Y1100" s="9" t="s">
        <v>197</v>
      </c>
      <c r="Z1100" s="13"/>
    </row>
    <row r="1101" spans="1:26" ht="32.25" hidden="1" customHeight="1">
      <c r="A1101" s="8">
        <v>2301613</v>
      </c>
      <c r="B1101" s="9" t="s">
        <v>4167</v>
      </c>
      <c r="C1101" s="10">
        <v>45156</v>
      </c>
      <c r="D1101" s="9" t="s">
        <v>79</v>
      </c>
      <c r="E1101" s="9" t="s">
        <v>89</v>
      </c>
      <c r="F1101" s="9" t="s">
        <v>80</v>
      </c>
      <c r="G1101" s="9" t="s">
        <v>43</v>
      </c>
      <c r="H1101" s="9" t="s">
        <v>44</v>
      </c>
      <c r="I1101" s="11" t="s">
        <v>101</v>
      </c>
      <c r="J1101" s="9" t="s">
        <v>102</v>
      </c>
      <c r="K1101" s="9" t="s">
        <v>47</v>
      </c>
      <c r="L1101" s="9" t="s">
        <v>226</v>
      </c>
      <c r="M1101" s="9" t="s">
        <v>4168</v>
      </c>
      <c r="N1101" s="9" t="s">
        <v>50</v>
      </c>
      <c r="O1101" s="9" t="s">
        <v>51</v>
      </c>
      <c r="P1101" s="9" t="s">
        <v>1229</v>
      </c>
      <c r="Q1101" s="9"/>
      <c r="R1101" s="9"/>
      <c r="S1101" s="14" t="s">
        <v>4169</v>
      </c>
      <c r="T1101" s="9" t="s">
        <v>4170</v>
      </c>
      <c r="U1101" s="9" t="s">
        <v>54</v>
      </c>
      <c r="V1101" s="9" t="s">
        <v>55</v>
      </c>
      <c r="W1101" s="9" t="s">
        <v>55</v>
      </c>
      <c r="X1101" s="12"/>
      <c r="Y1101" s="9" t="s">
        <v>55</v>
      </c>
      <c r="Z1101" s="13"/>
    </row>
    <row r="1102" spans="1:26" ht="32.25" hidden="1" customHeight="1">
      <c r="A1102" s="8">
        <v>2311308</v>
      </c>
      <c r="B1102" s="9" t="s">
        <v>4171</v>
      </c>
      <c r="C1102" s="10">
        <v>45149</v>
      </c>
      <c r="D1102" s="9" t="s">
        <v>57</v>
      </c>
      <c r="E1102" s="9" t="s">
        <v>295</v>
      </c>
      <c r="F1102" s="9" t="s">
        <v>42</v>
      </c>
      <c r="G1102" s="9" t="s">
        <v>43</v>
      </c>
      <c r="H1102" s="9" t="s">
        <v>58</v>
      </c>
      <c r="I1102" s="11" t="s">
        <v>406</v>
      </c>
      <c r="J1102" s="9" t="s">
        <v>407</v>
      </c>
      <c r="K1102" s="9" t="s">
        <v>47</v>
      </c>
      <c r="L1102" s="9" t="s">
        <v>586</v>
      </c>
      <c r="M1102" s="9" t="s">
        <v>918</v>
      </c>
      <c r="N1102" s="9" t="s">
        <v>50</v>
      </c>
      <c r="O1102" s="9" t="s">
        <v>51</v>
      </c>
      <c r="P1102" s="9"/>
      <c r="Q1102" s="9"/>
      <c r="R1102" s="9" t="s">
        <v>61</v>
      </c>
      <c r="S1102" s="14" t="s">
        <v>4172</v>
      </c>
      <c r="T1102" s="9" t="s">
        <v>4173</v>
      </c>
      <c r="U1102" s="9" t="s">
        <v>54</v>
      </c>
      <c r="V1102" s="9" t="s">
        <v>55</v>
      </c>
      <c r="W1102" s="9" t="s">
        <v>55</v>
      </c>
      <c r="X1102" s="9" t="s">
        <v>319</v>
      </c>
      <c r="Y1102" s="9" t="s">
        <v>320</v>
      </c>
      <c r="Z1102" s="13"/>
    </row>
    <row r="1103" spans="1:26" ht="32.25" hidden="1" customHeight="1">
      <c r="A1103" s="8">
        <v>2300259</v>
      </c>
      <c r="B1103" s="9" t="s">
        <v>4174</v>
      </c>
      <c r="C1103" s="10">
        <v>45149</v>
      </c>
      <c r="D1103" s="9" t="s">
        <v>261</v>
      </c>
      <c r="E1103" s="9" t="s">
        <v>89</v>
      </c>
      <c r="F1103" s="9" t="s">
        <v>262</v>
      </c>
      <c r="G1103" s="9" t="s">
        <v>43</v>
      </c>
      <c r="H1103" s="9" t="s">
        <v>44</v>
      </c>
      <c r="I1103" s="11" t="s">
        <v>685</v>
      </c>
      <c r="J1103" s="9" t="s">
        <v>686</v>
      </c>
      <c r="K1103" s="9" t="s">
        <v>47</v>
      </c>
      <c r="L1103" s="9" t="s">
        <v>156</v>
      </c>
      <c r="M1103" s="9"/>
      <c r="N1103" s="9" t="s">
        <v>50</v>
      </c>
      <c r="O1103" s="9" t="s">
        <v>51</v>
      </c>
      <c r="P1103" s="9"/>
      <c r="Q1103" s="9"/>
      <c r="R1103" s="9"/>
      <c r="S1103" s="14" t="s">
        <v>4175</v>
      </c>
      <c r="T1103" s="9" t="s">
        <v>4176</v>
      </c>
      <c r="U1103" s="9" t="s">
        <v>262</v>
      </c>
      <c r="V1103" s="9" t="s">
        <v>55</v>
      </c>
      <c r="W1103" s="9" t="s">
        <v>55</v>
      </c>
      <c r="X1103" s="12"/>
      <c r="Y1103" s="9" t="s">
        <v>55</v>
      </c>
      <c r="Z1103" s="13"/>
    </row>
    <row r="1104" spans="1:26" ht="32.25" hidden="1" customHeight="1">
      <c r="A1104" s="8">
        <v>2312928</v>
      </c>
      <c r="B1104" s="9" t="s">
        <v>4177</v>
      </c>
      <c r="C1104" s="10">
        <v>45156</v>
      </c>
      <c r="D1104" s="9" t="s">
        <v>79</v>
      </c>
      <c r="E1104" s="9" t="s">
        <v>89</v>
      </c>
      <c r="F1104" s="9" t="s">
        <v>80</v>
      </c>
      <c r="G1104" s="9" t="s">
        <v>43</v>
      </c>
      <c r="H1104" s="9" t="s">
        <v>44</v>
      </c>
      <c r="I1104" s="11" t="s">
        <v>117</v>
      </c>
      <c r="J1104" s="9" t="s">
        <v>118</v>
      </c>
      <c r="K1104" s="9" t="s">
        <v>47</v>
      </c>
      <c r="L1104" s="9" t="s">
        <v>2632</v>
      </c>
      <c r="M1104" s="9" t="s">
        <v>3293</v>
      </c>
      <c r="N1104" s="9" t="s">
        <v>50</v>
      </c>
      <c r="O1104" s="9" t="s">
        <v>51</v>
      </c>
      <c r="P1104" s="9" t="s">
        <v>121</v>
      </c>
      <c r="Q1104" s="9"/>
      <c r="R1104" s="9" t="s">
        <v>61</v>
      </c>
      <c r="S1104" s="14" t="s">
        <v>4178</v>
      </c>
      <c r="T1104" s="9" t="s">
        <v>4179</v>
      </c>
      <c r="U1104" s="9" t="s">
        <v>54</v>
      </c>
      <c r="V1104" s="9" t="s">
        <v>55</v>
      </c>
      <c r="W1104" s="9" t="s">
        <v>55</v>
      </c>
      <c r="X1104" s="12" t="s">
        <v>98</v>
      </c>
      <c r="Y1104" s="9" t="s">
        <v>99</v>
      </c>
      <c r="Z1104" s="13"/>
    </row>
    <row r="1105" spans="1:26" ht="32.25" hidden="1" customHeight="1">
      <c r="A1105" s="8">
        <v>2300190</v>
      </c>
      <c r="B1105" s="9" t="s">
        <v>4180</v>
      </c>
      <c r="C1105" s="10">
        <v>45149</v>
      </c>
      <c r="D1105" s="9" t="s">
        <v>261</v>
      </c>
      <c r="E1105" s="9" t="s">
        <v>68</v>
      </c>
      <c r="F1105" s="9" t="s">
        <v>262</v>
      </c>
      <c r="G1105" s="9" t="s">
        <v>43</v>
      </c>
      <c r="H1105" s="9" t="s">
        <v>44</v>
      </c>
      <c r="I1105" s="11" t="s">
        <v>4181</v>
      </c>
      <c r="J1105" s="9" t="s">
        <v>4182</v>
      </c>
      <c r="K1105" s="9" t="s">
        <v>47</v>
      </c>
      <c r="L1105" s="9" t="s">
        <v>591</v>
      </c>
      <c r="M1105" s="9" t="s">
        <v>592</v>
      </c>
      <c r="N1105" s="9" t="s">
        <v>50</v>
      </c>
      <c r="O1105" s="9" t="s">
        <v>51</v>
      </c>
      <c r="P1105" s="9"/>
      <c r="Q1105" s="9"/>
      <c r="R1105" s="9" t="s">
        <v>61</v>
      </c>
      <c r="S1105" s="14" t="s">
        <v>4183</v>
      </c>
      <c r="T1105" s="9" t="s">
        <v>4184</v>
      </c>
      <c r="U1105" s="9" t="s">
        <v>262</v>
      </c>
      <c r="V1105" s="9" t="s">
        <v>55</v>
      </c>
      <c r="W1105" s="9" t="s">
        <v>55</v>
      </c>
      <c r="X1105" s="12" t="s">
        <v>389</v>
      </c>
      <c r="Y1105" s="9" t="s">
        <v>390</v>
      </c>
      <c r="Z1105" s="13"/>
    </row>
    <row r="1106" spans="1:26" ht="32.25" hidden="1" customHeight="1">
      <c r="A1106" s="8">
        <v>2301060</v>
      </c>
      <c r="B1106" s="9" t="s">
        <v>4185</v>
      </c>
      <c r="C1106" s="10">
        <v>45136</v>
      </c>
      <c r="D1106" s="9" t="s">
        <v>1072</v>
      </c>
      <c r="E1106" s="9" t="s">
        <v>41</v>
      </c>
      <c r="F1106" s="9" t="s">
        <v>42</v>
      </c>
      <c r="G1106" s="9" t="s">
        <v>43</v>
      </c>
      <c r="H1106" s="9" t="s">
        <v>44</v>
      </c>
      <c r="I1106" s="11" t="s">
        <v>199</v>
      </c>
      <c r="J1106" s="9" t="s">
        <v>200</v>
      </c>
      <c r="K1106" s="9" t="s">
        <v>47</v>
      </c>
      <c r="L1106" s="9" t="s">
        <v>777</v>
      </c>
      <c r="M1106" s="9"/>
      <c r="N1106" s="9" t="s">
        <v>84</v>
      </c>
      <c r="O1106" s="9" t="s">
        <v>51</v>
      </c>
      <c r="P1106" s="9"/>
      <c r="Q1106" s="9"/>
      <c r="R1106" s="9" t="s">
        <v>61</v>
      </c>
      <c r="S1106" s="9" t="s">
        <v>4186</v>
      </c>
      <c r="T1106" s="9" t="s">
        <v>4187</v>
      </c>
      <c r="U1106" s="9" t="s">
        <v>54</v>
      </c>
      <c r="V1106" s="9" t="s">
        <v>55</v>
      </c>
      <c r="W1106" s="9" t="s">
        <v>55</v>
      </c>
      <c r="X1106" s="12" t="s">
        <v>196</v>
      </c>
      <c r="Y1106" s="9" t="s">
        <v>197</v>
      </c>
      <c r="Z1106" s="13"/>
    </row>
    <row r="1107" spans="1:26" ht="32.25" hidden="1" customHeight="1">
      <c r="A1107" s="8">
        <v>2306634</v>
      </c>
      <c r="B1107" s="9" t="s">
        <v>4188</v>
      </c>
      <c r="C1107" s="10">
        <v>45149</v>
      </c>
      <c r="D1107" s="9" t="s">
        <v>57</v>
      </c>
      <c r="E1107" s="9" t="s">
        <v>295</v>
      </c>
      <c r="F1107" s="9" t="s">
        <v>42</v>
      </c>
      <c r="G1107" s="9" t="s">
        <v>43</v>
      </c>
      <c r="H1107" s="9" t="s">
        <v>58</v>
      </c>
      <c r="I1107" s="11" t="s">
        <v>296</v>
      </c>
      <c r="J1107" s="9" t="s">
        <v>297</v>
      </c>
      <c r="K1107" s="9" t="s">
        <v>47</v>
      </c>
      <c r="L1107" s="9" t="s">
        <v>863</v>
      </c>
      <c r="M1107" s="9" t="s">
        <v>1258</v>
      </c>
      <c r="N1107" s="9" t="s">
        <v>50</v>
      </c>
      <c r="O1107" s="9" t="s">
        <v>51</v>
      </c>
      <c r="P1107" s="9"/>
      <c r="Q1107" s="9"/>
      <c r="R1107" s="9"/>
      <c r="S1107" s="14" t="s">
        <v>4189</v>
      </c>
      <c r="T1107" s="9" t="s">
        <v>4190</v>
      </c>
      <c r="U1107" s="9" t="s">
        <v>54</v>
      </c>
      <c r="V1107" s="9" t="s">
        <v>55</v>
      </c>
      <c r="W1107" s="9" t="s">
        <v>55</v>
      </c>
      <c r="X1107" s="12"/>
      <c r="Y1107" s="9" t="s">
        <v>55</v>
      </c>
      <c r="Z1107" s="13"/>
    </row>
    <row r="1108" spans="1:26" ht="32.25" hidden="1" customHeight="1">
      <c r="A1108" s="8">
        <v>2308540</v>
      </c>
      <c r="B1108" s="9" t="s">
        <v>4191</v>
      </c>
      <c r="C1108" s="10">
        <v>45142</v>
      </c>
      <c r="D1108" s="9" t="s">
        <v>67</v>
      </c>
      <c r="E1108" s="9" t="s">
        <v>68</v>
      </c>
      <c r="F1108" s="9" t="s">
        <v>135</v>
      </c>
      <c r="G1108" s="9" t="s">
        <v>43</v>
      </c>
      <c r="H1108" s="9" t="s">
        <v>44</v>
      </c>
      <c r="I1108" s="11" t="s">
        <v>136</v>
      </c>
      <c r="J1108" s="9" t="s">
        <v>137</v>
      </c>
      <c r="K1108" s="9" t="s">
        <v>47</v>
      </c>
      <c r="L1108" s="9" t="s">
        <v>48</v>
      </c>
      <c r="M1108" s="9" t="s">
        <v>1943</v>
      </c>
      <c r="N1108" s="9" t="s">
        <v>84</v>
      </c>
      <c r="O1108" s="9" t="s">
        <v>51</v>
      </c>
      <c r="P1108" s="9"/>
      <c r="Q1108" s="9"/>
      <c r="R1108" s="9" t="s">
        <v>61</v>
      </c>
      <c r="S1108" s="9" t="s">
        <v>4192</v>
      </c>
      <c r="T1108" s="9" t="s">
        <v>4193</v>
      </c>
      <c r="U1108" s="9" t="s">
        <v>54</v>
      </c>
      <c r="V1108" s="9" t="s">
        <v>55</v>
      </c>
      <c r="W1108" s="9" t="s">
        <v>55</v>
      </c>
      <c r="X1108" s="12" t="s">
        <v>76</v>
      </c>
      <c r="Y1108" s="9" t="s">
        <v>77</v>
      </c>
      <c r="Z1108" s="13"/>
    </row>
    <row r="1109" spans="1:26" ht="32.25" hidden="1" customHeight="1">
      <c r="A1109" s="8">
        <v>2305715</v>
      </c>
      <c r="B1109" s="9" t="s">
        <v>4194</v>
      </c>
      <c r="C1109" s="10">
        <v>45142</v>
      </c>
      <c r="D1109" s="9" t="s">
        <v>67</v>
      </c>
      <c r="E1109" s="9" t="s">
        <v>68</v>
      </c>
      <c r="F1109" s="9" t="s">
        <v>135</v>
      </c>
      <c r="G1109" s="9" t="s">
        <v>43</v>
      </c>
      <c r="H1109" s="9" t="s">
        <v>44</v>
      </c>
      <c r="I1109" s="11" t="s">
        <v>136</v>
      </c>
      <c r="J1109" s="9" t="s">
        <v>137</v>
      </c>
      <c r="K1109" s="9" t="s">
        <v>47</v>
      </c>
      <c r="L1109" s="9" t="s">
        <v>411</v>
      </c>
      <c r="M1109" s="9" t="s">
        <v>412</v>
      </c>
      <c r="N1109" s="9" t="s">
        <v>84</v>
      </c>
      <c r="O1109" s="9" t="s">
        <v>51</v>
      </c>
      <c r="P1109" s="9"/>
      <c r="Q1109" s="9"/>
      <c r="R1109" s="9" t="s">
        <v>61</v>
      </c>
      <c r="S1109" s="9" t="s">
        <v>4195</v>
      </c>
      <c r="T1109" s="9" t="s">
        <v>4196</v>
      </c>
      <c r="U1109" s="9" t="s">
        <v>54</v>
      </c>
      <c r="V1109" s="9" t="s">
        <v>55</v>
      </c>
      <c r="W1109" s="9" t="s">
        <v>55</v>
      </c>
      <c r="X1109" s="12" t="s">
        <v>76</v>
      </c>
      <c r="Y1109" s="9" t="s">
        <v>77</v>
      </c>
      <c r="Z1109" s="13"/>
    </row>
    <row r="1110" spans="1:26" ht="32.25" hidden="1" customHeight="1">
      <c r="A1110" s="8">
        <v>2302713</v>
      </c>
      <c r="B1110" s="9" t="s">
        <v>4197</v>
      </c>
      <c r="C1110" s="10">
        <v>45156</v>
      </c>
      <c r="D1110" s="9" t="s">
        <v>79</v>
      </c>
      <c r="E1110" s="9" t="s">
        <v>89</v>
      </c>
      <c r="F1110" s="9" t="s">
        <v>80</v>
      </c>
      <c r="G1110" s="9" t="s">
        <v>43</v>
      </c>
      <c r="H1110" s="9" t="s">
        <v>44</v>
      </c>
      <c r="I1110" s="11" t="s">
        <v>101</v>
      </c>
      <c r="J1110" s="9" t="s">
        <v>102</v>
      </c>
      <c r="K1110" s="9" t="s">
        <v>47</v>
      </c>
      <c r="L1110" s="9" t="s">
        <v>204</v>
      </c>
      <c r="M1110" s="9" t="s">
        <v>836</v>
      </c>
      <c r="N1110" s="9" t="s">
        <v>84</v>
      </c>
      <c r="O1110" s="9" t="s">
        <v>51</v>
      </c>
      <c r="P1110" s="9" t="s">
        <v>104</v>
      </c>
      <c r="Q1110" s="9"/>
      <c r="R1110" s="9" t="s">
        <v>61</v>
      </c>
      <c r="S1110" s="14" t="s">
        <v>4198</v>
      </c>
      <c r="T1110" s="9" t="s">
        <v>4199</v>
      </c>
      <c r="U1110" s="9" t="s">
        <v>54</v>
      </c>
      <c r="V1110" s="9" t="s">
        <v>3561</v>
      </c>
      <c r="W1110" s="9" t="s">
        <v>115</v>
      </c>
      <c r="X1110" s="12" t="s">
        <v>76</v>
      </c>
      <c r="Y1110" s="9" t="s">
        <v>77</v>
      </c>
      <c r="Z1110" s="13"/>
    </row>
    <row r="1111" spans="1:26" ht="32.25" hidden="1" customHeight="1">
      <c r="A1111" s="8">
        <v>2312850</v>
      </c>
      <c r="B1111" s="9" t="s">
        <v>4200</v>
      </c>
      <c r="C1111" s="10">
        <v>45156</v>
      </c>
      <c r="D1111" s="9" t="s">
        <v>79</v>
      </c>
      <c r="E1111" s="9" t="s">
        <v>68</v>
      </c>
      <c r="F1111" s="9" t="s">
        <v>80</v>
      </c>
      <c r="G1111" s="9" t="s">
        <v>43</v>
      </c>
      <c r="H1111" s="9" t="s">
        <v>44</v>
      </c>
      <c r="I1111" s="11" t="s">
        <v>101</v>
      </c>
      <c r="J1111" s="9" t="s">
        <v>102</v>
      </c>
      <c r="K1111" s="9" t="s">
        <v>47</v>
      </c>
      <c r="L1111" s="9" t="s">
        <v>1227</v>
      </c>
      <c r="M1111" s="9" t="s">
        <v>1820</v>
      </c>
      <c r="N1111" s="9" t="s">
        <v>50</v>
      </c>
      <c r="O1111" s="9" t="s">
        <v>51</v>
      </c>
      <c r="P1111" s="9" t="s">
        <v>379</v>
      </c>
      <c r="Q1111" s="9"/>
      <c r="R1111" s="9"/>
      <c r="S1111" s="14" t="s">
        <v>4201</v>
      </c>
      <c r="T1111" s="9" t="s">
        <v>4202</v>
      </c>
      <c r="U1111" s="9" t="s">
        <v>54</v>
      </c>
      <c r="V1111" s="9" t="s">
        <v>55</v>
      </c>
      <c r="W1111" s="9" t="s">
        <v>55</v>
      </c>
      <c r="X1111" s="12"/>
      <c r="Y1111" s="9" t="s">
        <v>55</v>
      </c>
      <c r="Z1111" s="13"/>
    </row>
    <row r="1112" spans="1:26" ht="32.25" hidden="1" customHeight="1">
      <c r="A1112" s="8">
        <v>2312926</v>
      </c>
      <c r="B1112" s="9" t="s">
        <v>4203</v>
      </c>
      <c r="C1112" s="10">
        <v>45156</v>
      </c>
      <c r="D1112" s="9" t="s">
        <v>79</v>
      </c>
      <c r="E1112" s="9" t="s">
        <v>41</v>
      </c>
      <c r="F1112" s="9" t="s">
        <v>80</v>
      </c>
      <c r="G1112" s="9" t="s">
        <v>43</v>
      </c>
      <c r="H1112" s="9" t="s">
        <v>44</v>
      </c>
      <c r="I1112" s="11" t="s">
        <v>233</v>
      </c>
      <c r="J1112" s="9" t="s">
        <v>200</v>
      </c>
      <c r="K1112" s="9" t="s">
        <v>47</v>
      </c>
      <c r="L1112" s="9" t="s">
        <v>156</v>
      </c>
      <c r="M1112" s="9"/>
      <c r="N1112" s="9" t="s">
        <v>50</v>
      </c>
      <c r="O1112" s="9" t="s">
        <v>51</v>
      </c>
      <c r="P1112" s="9" t="s">
        <v>443</v>
      </c>
      <c r="Q1112" s="9"/>
      <c r="R1112" s="9"/>
      <c r="S1112" s="14" t="s">
        <v>4204</v>
      </c>
      <c r="T1112" s="9" t="s">
        <v>4205</v>
      </c>
      <c r="U1112" s="9" t="s">
        <v>54</v>
      </c>
      <c r="V1112" s="9" t="s">
        <v>55</v>
      </c>
      <c r="W1112" s="9" t="s">
        <v>55</v>
      </c>
      <c r="X1112" s="12"/>
      <c r="Y1112" s="9" t="s">
        <v>55</v>
      </c>
      <c r="Z1112" s="13"/>
    </row>
    <row r="1113" spans="1:26" ht="32.25" hidden="1" customHeight="1">
      <c r="A1113" s="8">
        <v>2312809</v>
      </c>
      <c r="B1113" s="9" t="s">
        <v>4206</v>
      </c>
      <c r="C1113" s="10">
        <v>45149</v>
      </c>
      <c r="D1113" s="9" t="s">
        <v>261</v>
      </c>
      <c r="E1113" s="9" t="s">
        <v>143</v>
      </c>
      <c r="F1113" s="9" t="s">
        <v>262</v>
      </c>
      <c r="G1113" s="9" t="s">
        <v>43</v>
      </c>
      <c r="H1113" s="9" t="s">
        <v>44</v>
      </c>
      <c r="I1113" s="11" t="s">
        <v>435</v>
      </c>
      <c r="J1113" s="9" t="s">
        <v>436</v>
      </c>
      <c r="K1113" s="9" t="s">
        <v>47</v>
      </c>
      <c r="L1113" s="9" t="s">
        <v>799</v>
      </c>
      <c r="M1113" s="9" t="s">
        <v>1490</v>
      </c>
      <c r="N1113" s="9" t="s">
        <v>84</v>
      </c>
      <c r="O1113" s="9" t="s">
        <v>51</v>
      </c>
      <c r="P1113" s="9"/>
      <c r="Q1113" s="9"/>
      <c r="R1113" s="9"/>
      <c r="S1113" s="14" t="s">
        <v>4207</v>
      </c>
      <c r="T1113" s="9" t="s">
        <v>4208</v>
      </c>
      <c r="U1113" s="9" t="s">
        <v>262</v>
      </c>
      <c r="V1113" s="9" t="s">
        <v>55</v>
      </c>
      <c r="W1113" s="9" t="s">
        <v>115</v>
      </c>
      <c r="X1113" s="12"/>
      <c r="Y1113" s="9" t="s">
        <v>55</v>
      </c>
      <c r="Z1113" s="13"/>
    </row>
    <row r="1114" spans="1:26" ht="32.25" hidden="1" customHeight="1">
      <c r="A1114" s="8">
        <v>2303726</v>
      </c>
      <c r="B1114" s="9" t="s">
        <v>4209</v>
      </c>
      <c r="C1114" s="10">
        <v>45149</v>
      </c>
      <c r="D1114" s="9" t="s">
        <v>57</v>
      </c>
      <c r="E1114" s="9" t="s">
        <v>41</v>
      </c>
      <c r="F1114" s="9" t="s">
        <v>42</v>
      </c>
      <c r="G1114" s="9" t="s">
        <v>43</v>
      </c>
      <c r="H1114" s="9" t="s">
        <v>58</v>
      </c>
      <c r="I1114" s="11" t="s">
        <v>199</v>
      </c>
      <c r="J1114" s="9" t="s">
        <v>200</v>
      </c>
      <c r="K1114" s="9" t="s">
        <v>47</v>
      </c>
      <c r="L1114" s="9" t="s">
        <v>156</v>
      </c>
      <c r="M1114" s="9"/>
      <c r="N1114" s="9" t="s">
        <v>84</v>
      </c>
      <c r="O1114" s="9" t="s">
        <v>51</v>
      </c>
      <c r="P1114" s="9"/>
      <c r="Q1114" s="9"/>
      <c r="R1114" s="9"/>
      <c r="S1114" s="14" t="s">
        <v>4210</v>
      </c>
      <c r="T1114" s="9" t="s">
        <v>4211</v>
      </c>
      <c r="U1114" s="9" t="s">
        <v>54</v>
      </c>
      <c r="V1114" s="9" t="s">
        <v>55</v>
      </c>
      <c r="W1114" s="9" t="s">
        <v>55</v>
      </c>
      <c r="X1114" s="12"/>
      <c r="Y1114" s="9" t="s">
        <v>55</v>
      </c>
      <c r="Z1114" s="13"/>
    </row>
    <row r="1115" spans="1:26" ht="32.25" hidden="1" customHeight="1">
      <c r="A1115" s="8">
        <v>2304635</v>
      </c>
      <c r="B1115" s="9" t="s">
        <v>4212</v>
      </c>
      <c r="C1115" s="10">
        <v>45149</v>
      </c>
      <c r="D1115" s="9" t="s">
        <v>57</v>
      </c>
      <c r="E1115" s="9" t="s">
        <v>153</v>
      </c>
      <c r="F1115" s="9" t="s">
        <v>42</v>
      </c>
      <c r="G1115" s="9" t="s">
        <v>43</v>
      </c>
      <c r="H1115" s="9" t="s">
        <v>58</v>
      </c>
      <c r="I1115" s="11" t="s">
        <v>154</v>
      </c>
      <c r="J1115" s="9" t="s">
        <v>155</v>
      </c>
      <c r="K1115" s="9" t="s">
        <v>47</v>
      </c>
      <c r="L1115" s="9" t="s">
        <v>156</v>
      </c>
      <c r="M1115" s="9"/>
      <c r="N1115" s="9" t="s">
        <v>84</v>
      </c>
      <c r="O1115" s="9" t="s">
        <v>51</v>
      </c>
      <c r="P1115" s="9"/>
      <c r="Q1115" s="9"/>
      <c r="R1115" s="9"/>
      <c r="S1115" s="14" t="s">
        <v>4213</v>
      </c>
      <c r="T1115" s="9" t="s">
        <v>4214</v>
      </c>
      <c r="U1115" s="9" t="s">
        <v>54</v>
      </c>
      <c r="V1115" s="9" t="s">
        <v>55</v>
      </c>
      <c r="W1115" s="9" t="s">
        <v>55</v>
      </c>
      <c r="X1115" s="12"/>
      <c r="Y1115" s="9" t="s">
        <v>55</v>
      </c>
      <c r="Z1115" s="13"/>
    </row>
    <row r="1116" spans="1:26" ht="32.25" hidden="1" customHeight="1">
      <c r="A1116" s="8">
        <v>2314018</v>
      </c>
      <c r="B1116" s="9" t="s">
        <v>4215</v>
      </c>
      <c r="C1116" s="10">
        <v>45149</v>
      </c>
      <c r="D1116" s="9" t="s">
        <v>57</v>
      </c>
      <c r="E1116" s="9" t="s">
        <v>153</v>
      </c>
      <c r="F1116" s="9" t="s">
        <v>42</v>
      </c>
      <c r="G1116" s="9" t="s">
        <v>43</v>
      </c>
      <c r="H1116" s="9" t="s">
        <v>58</v>
      </c>
      <c r="I1116" s="11" t="s">
        <v>154</v>
      </c>
      <c r="J1116" s="9" t="s">
        <v>155</v>
      </c>
      <c r="K1116" s="9" t="s">
        <v>47</v>
      </c>
      <c r="L1116" s="9" t="s">
        <v>156</v>
      </c>
      <c r="M1116" s="9"/>
      <c r="N1116" s="9" t="s">
        <v>84</v>
      </c>
      <c r="O1116" s="9" t="s">
        <v>51</v>
      </c>
      <c r="P1116" s="9"/>
      <c r="Q1116" s="9"/>
      <c r="R1116" s="9"/>
      <c r="S1116" s="14" t="s">
        <v>4216</v>
      </c>
      <c r="T1116" s="9" t="s">
        <v>4217</v>
      </c>
      <c r="U1116" s="9" t="s">
        <v>54</v>
      </c>
      <c r="V1116" s="9" t="s">
        <v>55</v>
      </c>
      <c r="W1116" s="9" t="s">
        <v>55</v>
      </c>
      <c r="X1116" s="12"/>
      <c r="Y1116" s="9" t="s">
        <v>55</v>
      </c>
      <c r="Z1116" s="13"/>
    </row>
    <row r="1117" spans="1:26" ht="32.25" hidden="1" customHeight="1">
      <c r="A1117" s="8">
        <v>2312098</v>
      </c>
      <c r="B1117" s="9" t="s">
        <v>4218</v>
      </c>
      <c r="C1117" s="10">
        <v>45149</v>
      </c>
      <c r="D1117" s="9" t="s">
        <v>261</v>
      </c>
      <c r="E1117" s="9" t="s">
        <v>89</v>
      </c>
      <c r="F1117" s="9" t="s">
        <v>262</v>
      </c>
      <c r="G1117" s="9" t="s">
        <v>43</v>
      </c>
      <c r="H1117" s="9" t="s">
        <v>44</v>
      </c>
      <c r="I1117" s="11" t="s">
        <v>685</v>
      </c>
      <c r="J1117" s="9" t="s">
        <v>686</v>
      </c>
      <c r="K1117" s="9" t="s">
        <v>47</v>
      </c>
      <c r="L1117" s="9" t="s">
        <v>174</v>
      </c>
      <c r="M1117" s="9" t="s">
        <v>175</v>
      </c>
      <c r="N1117" s="9" t="s">
        <v>50</v>
      </c>
      <c r="O1117" s="9" t="s">
        <v>51</v>
      </c>
      <c r="P1117" s="9"/>
      <c r="Q1117" s="9"/>
      <c r="R1117" s="9"/>
      <c r="S1117" s="14" t="s">
        <v>4219</v>
      </c>
      <c r="T1117" s="9" t="s">
        <v>4220</v>
      </c>
      <c r="U1117" s="9" t="s">
        <v>262</v>
      </c>
      <c r="V1117" s="9" t="s">
        <v>55</v>
      </c>
      <c r="W1117" s="9" t="s">
        <v>55</v>
      </c>
      <c r="X1117" s="12"/>
      <c r="Y1117" s="9" t="s">
        <v>55</v>
      </c>
      <c r="Z1117" s="13"/>
    </row>
    <row r="1118" spans="1:26" ht="32.25" hidden="1" customHeight="1">
      <c r="A1118" s="8">
        <v>2311697</v>
      </c>
      <c r="B1118" s="9" t="s">
        <v>4221</v>
      </c>
      <c r="C1118" s="10">
        <v>45149</v>
      </c>
      <c r="D1118" s="9" t="s">
        <v>57</v>
      </c>
      <c r="E1118" s="9" t="s">
        <v>41</v>
      </c>
      <c r="F1118" s="9" t="s">
        <v>42</v>
      </c>
      <c r="G1118" s="9" t="s">
        <v>43</v>
      </c>
      <c r="H1118" s="9" t="s">
        <v>58</v>
      </c>
      <c r="I1118" s="11" t="s">
        <v>45</v>
      </c>
      <c r="J1118" s="9" t="s">
        <v>46</v>
      </c>
      <c r="K1118" s="9" t="s">
        <v>47</v>
      </c>
      <c r="L1118" s="9" t="s">
        <v>948</v>
      </c>
      <c r="M1118" s="9" t="s">
        <v>949</v>
      </c>
      <c r="N1118" s="9" t="s">
        <v>84</v>
      </c>
      <c r="O1118" s="9" t="s">
        <v>51</v>
      </c>
      <c r="P1118" s="9"/>
      <c r="Q1118" s="9"/>
      <c r="R1118" s="9" t="s">
        <v>61</v>
      </c>
      <c r="S1118" s="14" t="s">
        <v>4222</v>
      </c>
      <c r="T1118" s="9" t="s">
        <v>4223</v>
      </c>
      <c r="U1118" s="9" t="s">
        <v>54</v>
      </c>
      <c r="V1118" s="9" t="s">
        <v>55</v>
      </c>
      <c r="W1118" s="9" t="s">
        <v>55</v>
      </c>
      <c r="X1118" s="9" t="s">
        <v>64</v>
      </c>
      <c r="Y1118" s="9" t="s">
        <v>65</v>
      </c>
      <c r="Z1118" s="13"/>
    </row>
    <row r="1119" spans="1:26" ht="32.25" hidden="1" customHeight="1">
      <c r="A1119" s="8">
        <v>2307189</v>
      </c>
      <c r="B1119" s="9" t="s">
        <v>4224</v>
      </c>
      <c r="C1119" s="10">
        <v>45149</v>
      </c>
      <c r="D1119" s="9" t="s">
        <v>57</v>
      </c>
      <c r="E1119" s="9" t="s">
        <v>41</v>
      </c>
      <c r="F1119" s="9" t="s">
        <v>42</v>
      </c>
      <c r="G1119" s="9" t="s">
        <v>43</v>
      </c>
      <c r="H1119" s="9" t="s">
        <v>58</v>
      </c>
      <c r="I1119" s="11" t="s">
        <v>1073</v>
      </c>
      <c r="J1119" s="9" t="s">
        <v>479</v>
      </c>
      <c r="K1119" s="9" t="s">
        <v>47</v>
      </c>
      <c r="L1119" s="9" t="s">
        <v>204</v>
      </c>
      <c r="M1119" s="9" t="s">
        <v>4225</v>
      </c>
      <c r="N1119" s="9" t="s">
        <v>50</v>
      </c>
      <c r="O1119" s="9" t="s">
        <v>51</v>
      </c>
      <c r="P1119" s="9"/>
      <c r="Q1119" s="9"/>
      <c r="R1119" s="9" t="s">
        <v>61</v>
      </c>
      <c r="S1119" s="14" t="s">
        <v>4226</v>
      </c>
      <c r="T1119" s="9" t="s">
        <v>4227</v>
      </c>
      <c r="U1119" s="9" t="s">
        <v>54</v>
      </c>
      <c r="V1119" s="9" t="s">
        <v>55</v>
      </c>
      <c r="W1119" s="9" t="s">
        <v>55</v>
      </c>
      <c r="X1119" s="9" t="s">
        <v>196</v>
      </c>
      <c r="Y1119" s="9" t="s">
        <v>197</v>
      </c>
      <c r="Z1119" s="13"/>
    </row>
    <row r="1120" spans="1:26" ht="32.25" hidden="1" customHeight="1">
      <c r="A1120" s="8">
        <v>2309641</v>
      </c>
      <c r="B1120" s="9" t="s">
        <v>4228</v>
      </c>
      <c r="C1120" s="10">
        <v>45156</v>
      </c>
      <c r="D1120" s="9" t="s">
        <v>565</v>
      </c>
      <c r="E1120" s="9" t="s">
        <v>295</v>
      </c>
      <c r="F1120" s="9" t="s">
        <v>42</v>
      </c>
      <c r="G1120" s="9" t="s">
        <v>43</v>
      </c>
      <c r="H1120" s="9" t="s">
        <v>58</v>
      </c>
      <c r="I1120" s="11" t="s">
        <v>406</v>
      </c>
      <c r="J1120" s="9" t="s">
        <v>407</v>
      </c>
      <c r="K1120" s="9" t="s">
        <v>47</v>
      </c>
      <c r="L1120" s="9" t="s">
        <v>156</v>
      </c>
      <c r="M1120" s="9"/>
      <c r="N1120" s="9" t="s">
        <v>84</v>
      </c>
      <c r="O1120" s="9" t="s">
        <v>51</v>
      </c>
      <c r="P1120" s="9"/>
      <c r="Q1120" s="9"/>
      <c r="R1120" s="9"/>
      <c r="S1120" s="14" t="s">
        <v>4229</v>
      </c>
      <c r="T1120" s="9" t="s">
        <v>4230</v>
      </c>
      <c r="U1120" s="9" t="s">
        <v>54</v>
      </c>
      <c r="V1120" s="9" t="s">
        <v>55</v>
      </c>
      <c r="W1120" s="9" t="s">
        <v>55</v>
      </c>
      <c r="X1120" s="12"/>
      <c r="Y1120" s="9" t="s">
        <v>55</v>
      </c>
      <c r="Z1120" s="13"/>
    </row>
    <row r="1121" spans="1:26" ht="32.25" hidden="1" customHeight="1">
      <c r="A1121" s="8">
        <v>2300729</v>
      </c>
      <c r="B1121" s="9" t="s">
        <v>4231</v>
      </c>
      <c r="C1121" s="10">
        <v>45142</v>
      </c>
      <c r="D1121" s="9" t="s">
        <v>67</v>
      </c>
      <c r="E1121" s="9" t="s">
        <v>68</v>
      </c>
      <c r="F1121" s="9" t="s">
        <v>135</v>
      </c>
      <c r="G1121" s="9" t="s">
        <v>43</v>
      </c>
      <c r="H1121" s="9" t="s">
        <v>44</v>
      </c>
      <c r="I1121" s="11" t="s">
        <v>136</v>
      </c>
      <c r="J1121" s="9" t="s">
        <v>137</v>
      </c>
      <c r="K1121" s="9" t="s">
        <v>110</v>
      </c>
      <c r="L1121" s="9" t="s">
        <v>4232</v>
      </c>
      <c r="M1121" s="9" t="s">
        <v>4233</v>
      </c>
      <c r="N1121" s="9" t="s">
        <v>50</v>
      </c>
      <c r="O1121" s="9" t="s">
        <v>51</v>
      </c>
      <c r="P1121" s="9"/>
      <c r="Q1121" s="9"/>
      <c r="R1121" s="9" t="s">
        <v>61</v>
      </c>
      <c r="S1121" s="9" t="s">
        <v>4234</v>
      </c>
      <c r="T1121" s="9" t="s">
        <v>4235</v>
      </c>
      <c r="U1121" s="9" t="s">
        <v>54</v>
      </c>
      <c r="V1121" s="9" t="s">
        <v>55</v>
      </c>
      <c r="W1121" s="9" t="s">
        <v>55</v>
      </c>
      <c r="X1121" s="12" t="s">
        <v>76</v>
      </c>
      <c r="Y1121" s="9" t="s">
        <v>77</v>
      </c>
      <c r="Z1121" s="13"/>
    </row>
    <row r="1122" spans="1:26" ht="32.25" hidden="1" customHeight="1">
      <c r="A1122" s="8">
        <v>2310017</v>
      </c>
      <c r="B1122" s="9" t="s">
        <v>4236</v>
      </c>
      <c r="C1122" s="10">
        <v>45156</v>
      </c>
      <c r="D1122" s="9" t="s">
        <v>79</v>
      </c>
      <c r="E1122" s="9" t="s">
        <v>89</v>
      </c>
      <c r="F1122" s="9" t="s">
        <v>80</v>
      </c>
      <c r="G1122" s="9" t="s">
        <v>43</v>
      </c>
      <c r="H1122" s="9" t="s">
        <v>44</v>
      </c>
      <c r="I1122" s="11" t="s">
        <v>101</v>
      </c>
      <c r="J1122" s="9" t="s">
        <v>102</v>
      </c>
      <c r="K1122" s="9" t="s">
        <v>47</v>
      </c>
      <c r="L1122" s="9" t="s">
        <v>846</v>
      </c>
      <c r="M1122" s="9" t="s">
        <v>1081</v>
      </c>
      <c r="N1122" s="9" t="s">
        <v>84</v>
      </c>
      <c r="O1122" s="9" t="s">
        <v>51</v>
      </c>
      <c r="P1122" s="9" t="s">
        <v>2188</v>
      </c>
      <c r="Q1122" s="9"/>
      <c r="R1122" s="9" t="s">
        <v>61</v>
      </c>
      <c r="S1122" s="14" t="s">
        <v>4237</v>
      </c>
      <c r="T1122" s="9" t="s">
        <v>4238</v>
      </c>
      <c r="U1122" s="9" t="s">
        <v>54</v>
      </c>
      <c r="V1122" s="9" t="s">
        <v>711</v>
      </c>
      <c r="W1122" s="9" t="s">
        <v>115</v>
      </c>
      <c r="X1122" s="12" t="s">
        <v>98</v>
      </c>
      <c r="Y1122" s="9" t="s">
        <v>99</v>
      </c>
      <c r="Z1122" s="13"/>
    </row>
    <row r="1123" spans="1:26" ht="32.25" hidden="1" customHeight="1">
      <c r="A1123" s="8">
        <v>2303807</v>
      </c>
      <c r="B1123" s="9" t="s">
        <v>4239</v>
      </c>
      <c r="C1123" s="10">
        <v>45149</v>
      </c>
      <c r="D1123" s="9" t="s">
        <v>57</v>
      </c>
      <c r="E1123" s="9" t="s">
        <v>41</v>
      </c>
      <c r="F1123" s="9" t="s">
        <v>42</v>
      </c>
      <c r="G1123" s="9" t="s">
        <v>43</v>
      </c>
      <c r="H1123" s="9" t="s">
        <v>58</v>
      </c>
      <c r="I1123" s="11" t="s">
        <v>199</v>
      </c>
      <c r="J1123" s="9" t="s">
        <v>200</v>
      </c>
      <c r="K1123" s="9" t="s">
        <v>47</v>
      </c>
      <c r="L1123" s="9" t="s">
        <v>156</v>
      </c>
      <c r="M1123" s="9"/>
      <c r="N1123" s="9" t="s">
        <v>50</v>
      </c>
      <c r="O1123" s="9" t="s">
        <v>51</v>
      </c>
      <c r="P1123" s="9"/>
      <c r="Q1123" s="9"/>
      <c r="R1123" s="9"/>
      <c r="S1123" s="14" t="s">
        <v>4240</v>
      </c>
      <c r="T1123" s="9" t="s">
        <v>4241</v>
      </c>
      <c r="U1123" s="9" t="s">
        <v>54</v>
      </c>
      <c r="V1123" s="9" t="s">
        <v>55</v>
      </c>
      <c r="W1123" s="9" t="s">
        <v>55</v>
      </c>
      <c r="X1123" s="12"/>
      <c r="Y1123" s="9" t="s">
        <v>55</v>
      </c>
      <c r="Z1123" s="13"/>
    </row>
    <row r="1124" spans="1:26" ht="32.25" hidden="1" customHeight="1">
      <c r="A1124" s="8">
        <v>2312881</v>
      </c>
      <c r="B1124" s="9" t="s">
        <v>4242</v>
      </c>
      <c r="C1124" s="10">
        <v>45142</v>
      </c>
      <c r="D1124" s="9" t="s">
        <v>232</v>
      </c>
      <c r="E1124" s="9" t="s">
        <v>143</v>
      </c>
      <c r="F1124" s="9" t="s">
        <v>80</v>
      </c>
      <c r="G1124" s="9" t="s">
        <v>43</v>
      </c>
      <c r="H1124" s="9" t="s">
        <v>44</v>
      </c>
      <c r="I1124" s="11" t="s">
        <v>399</v>
      </c>
      <c r="J1124" s="9" t="s">
        <v>400</v>
      </c>
      <c r="K1124" s="9" t="s">
        <v>4243</v>
      </c>
      <c r="L1124" s="9"/>
      <c r="M1124" s="9"/>
      <c r="N1124" s="9" t="s">
        <v>84</v>
      </c>
      <c r="O1124" s="9" t="s">
        <v>187</v>
      </c>
      <c r="P1124" s="9" t="s">
        <v>402</v>
      </c>
      <c r="Q1124" s="9"/>
      <c r="R1124" s="9" t="s">
        <v>61</v>
      </c>
      <c r="S1124" s="9" t="s">
        <v>4244</v>
      </c>
      <c r="T1124" s="9" t="s">
        <v>4245</v>
      </c>
      <c r="U1124" s="9" t="s">
        <v>54</v>
      </c>
      <c r="V1124" s="9" t="s">
        <v>525</v>
      </c>
      <c r="W1124" s="9" t="s">
        <v>55</v>
      </c>
      <c r="X1124" s="12" t="s">
        <v>150</v>
      </c>
      <c r="Y1124" s="9" t="s">
        <v>151</v>
      </c>
      <c r="Z1124" s="13" t="s">
        <v>240</v>
      </c>
    </row>
    <row r="1125" spans="1:26" ht="32.25" hidden="1" customHeight="1">
      <c r="A1125" s="8">
        <v>2311479</v>
      </c>
      <c r="B1125" s="9" t="s">
        <v>4246</v>
      </c>
      <c r="C1125" s="10">
        <v>45149</v>
      </c>
      <c r="D1125" s="9" t="s">
        <v>261</v>
      </c>
      <c r="E1125" s="9" t="s">
        <v>41</v>
      </c>
      <c r="F1125" s="9" t="s">
        <v>262</v>
      </c>
      <c r="G1125" s="9" t="s">
        <v>43</v>
      </c>
      <c r="H1125" s="9" t="s">
        <v>44</v>
      </c>
      <c r="I1125" s="11" t="s">
        <v>1553</v>
      </c>
      <c r="J1125" s="9" t="s">
        <v>1554</v>
      </c>
      <c r="K1125" s="9" t="s">
        <v>47</v>
      </c>
      <c r="L1125" s="9" t="s">
        <v>863</v>
      </c>
      <c r="M1125" s="9" t="s">
        <v>1258</v>
      </c>
      <c r="N1125" s="9" t="s">
        <v>84</v>
      </c>
      <c r="O1125" s="9" t="s">
        <v>51</v>
      </c>
      <c r="P1125" s="9"/>
      <c r="Q1125" s="9"/>
      <c r="R1125" s="9" t="s">
        <v>61</v>
      </c>
      <c r="S1125" s="14" t="s">
        <v>4247</v>
      </c>
      <c r="T1125" s="9" t="s">
        <v>4248</v>
      </c>
      <c r="U1125" s="9" t="s">
        <v>262</v>
      </c>
      <c r="V1125" s="9" t="s">
        <v>55</v>
      </c>
      <c r="W1125" s="9" t="s">
        <v>115</v>
      </c>
      <c r="X1125" s="12" t="s">
        <v>389</v>
      </c>
      <c r="Y1125" s="9" t="s">
        <v>390</v>
      </c>
      <c r="Z1125" s="13"/>
    </row>
    <row r="1126" spans="1:26" ht="32.25" hidden="1" customHeight="1">
      <c r="A1126" s="8">
        <v>2302076</v>
      </c>
      <c r="B1126" s="9" t="s">
        <v>4249</v>
      </c>
      <c r="C1126" s="10">
        <v>45156</v>
      </c>
      <c r="D1126" s="9" t="s">
        <v>79</v>
      </c>
      <c r="E1126" s="9" t="s">
        <v>143</v>
      </c>
      <c r="F1126" s="9" t="s">
        <v>80</v>
      </c>
      <c r="G1126" s="9" t="s">
        <v>43</v>
      </c>
      <c r="H1126" s="9" t="s">
        <v>44</v>
      </c>
      <c r="I1126" s="11" t="s">
        <v>326</v>
      </c>
      <c r="J1126" s="9" t="s">
        <v>327</v>
      </c>
      <c r="K1126" s="9" t="s">
        <v>47</v>
      </c>
      <c r="L1126" s="9" t="s">
        <v>340</v>
      </c>
      <c r="M1126" s="9" t="s">
        <v>4250</v>
      </c>
      <c r="N1126" s="9" t="s">
        <v>84</v>
      </c>
      <c r="O1126" s="9" t="s">
        <v>51</v>
      </c>
      <c r="P1126" s="9" t="s">
        <v>654</v>
      </c>
      <c r="Q1126" s="9"/>
      <c r="R1126" s="9" t="s">
        <v>61</v>
      </c>
      <c r="S1126" s="14" t="s">
        <v>4251</v>
      </c>
      <c r="T1126" s="9" t="s">
        <v>4252</v>
      </c>
      <c r="U1126" s="9" t="s">
        <v>54</v>
      </c>
      <c r="V1126" s="9" t="s">
        <v>370</v>
      </c>
      <c r="W1126" s="9" t="s">
        <v>115</v>
      </c>
      <c r="X1126" s="12" t="s">
        <v>150</v>
      </c>
      <c r="Y1126" s="9" t="s">
        <v>151</v>
      </c>
      <c r="Z1126" s="13"/>
    </row>
    <row r="1127" spans="1:26" ht="32.25" hidden="1" customHeight="1">
      <c r="A1127" s="8">
        <v>2308345</v>
      </c>
      <c r="B1127" s="9" t="s">
        <v>4253</v>
      </c>
      <c r="C1127" s="10">
        <v>45142</v>
      </c>
      <c r="D1127" s="9" t="s">
        <v>67</v>
      </c>
      <c r="E1127" s="9" t="s">
        <v>143</v>
      </c>
      <c r="F1127" s="9" t="s">
        <v>42</v>
      </c>
      <c r="G1127" s="9" t="s">
        <v>43</v>
      </c>
      <c r="H1127" s="9" t="s">
        <v>44</v>
      </c>
      <c r="I1127" s="11" t="s">
        <v>219</v>
      </c>
      <c r="J1127" s="9" t="s">
        <v>220</v>
      </c>
      <c r="K1127" s="9" t="s">
        <v>47</v>
      </c>
      <c r="L1127" s="9" t="s">
        <v>162</v>
      </c>
      <c r="M1127" s="9" t="s">
        <v>345</v>
      </c>
      <c r="N1127" s="9" t="s">
        <v>50</v>
      </c>
      <c r="O1127" s="9" t="s">
        <v>51</v>
      </c>
      <c r="P1127" s="9"/>
      <c r="Q1127" s="9"/>
      <c r="R1127" s="9" t="s">
        <v>61</v>
      </c>
      <c r="S1127" s="9" t="s">
        <v>4254</v>
      </c>
      <c r="T1127" s="9" t="s">
        <v>4255</v>
      </c>
      <c r="U1127" s="9" t="s">
        <v>54</v>
      </c>
      <c r="V1127" s="9" t="s">
        <v>55</v>
      </c>
      <c r="W1127" s="9" t="s">
        <v>55</v>
      </c>
      <c r="X1127" s="12" t="s">
        <v>171</v>
      </c>
      <c r="Y1127" s="9" t="s">
        <v>172</v>
      </c>
      <c r="Z1127" s="13"/>
    </row>
    <row r="1128" spans="1:26" ht="32.25" hidden="1" customHeight="1">
      <c r="A1128" s="8">
        <v>2300562</v>
      </c>
      <c r="B1128" s="9" t="s">
        <v>4256</v>
      </c>
      <c r="C1128" s="10">
        <v>45156</v>
      </c>
      <c r="D1128" s="9" t="s">
        <v>79</v>
      </c>
      <c r="E1128" s="9" t="s">
        <v>89</v>
      </c>
      <c r="F1128" s="9" t="s">
        <v>80</v>
      </c>
      <c r="G1128" s="9" t="s">
        <v>43</v>
      </c>
      <c r="H1128" s="9" t="s">
        <v>44</v>
      </c>
      <c r="I1128" s="11" t="s">
        <v>90</v>
      </c>
      <c r="J1128" s="9" t="s">
        <v>91</v>
      </c>
      <c r="K1128" s="9" t="s">
        <v>47</v>
      </c>
      <c r="L1128" s="9" t="s">
        <v>156</v>
      </c>
      <c r="M1128" s="9"/>
      <c r="N1128" s="9" t="s">
        <v>50</v>
      </c>
      <c r="O1128" s="9" t="s">
        <v>51</v>
      </c>
      <c r="P1128" s="9" t="s">
        <v>865</v>
      </c>
      <c r="Q1128" s="9"/>
      <c r="R1128" s="9"/>
      <c r="S1128" s="14" t="s">
        <v>4257</v>
      </c>
      <c r="T1128" s="9" t="s">
        <v>4258</v>
      </c>
      <c r="U1128" s="9" t="s">
        <v>54</v>
      </c>
      <c r="V1128" s="9" t="s">
        <v>55</v>
      </c>
      <c r="W1128" s="9" t="s">
        <v>55</v>
      </c>
      <c r="X1128" s="12"/>
      <c r="Y1128" s="9" t="s">
        <v>55</v>
      </c>
      <c r="Z1128" s="13"/>
    </row>
    <row r="1129" spans="1:26" ht="32.25" hidden="1" customHeight="1">
      <c r="A1129" s="8">
        <v>2314805</v>
      </c>
      <c r="B1129" s="9" t="s">
        <v>4259</v>
      </c>
      <c r="C1129" s="10">
        <v>45156</v>
      </c>
      <c r="D1129" s="9" t="s">
        <v>79</v>
      </c>
      <c r="E1129" s="9" t="s">
        <v>68</v>
      </c>
      <c r="F1129" s="9" t="s">
        <v>80</v>
      </c>
      <c r="G1129" s="9" t="s">
        <v>43</v>
      </c>
      <c r="H1129" s="9" t="s">
        <v>44</v>
      </c>
      <c r="I1129" s="11" t="s">
        <v>117</v>
      </c>
      <c r="J1129" s="9" t="s">
        <v>118</v>
      </c>
      <c r="K1129" s="9" t="s">
        <v>47</v>
      </c>
      <c r="L1129" s="9" t="s">
        <v>863</v>
      </c>
      <c r="M1129" s="9" t="s">
        <v>1258</v>
      </c>
      <c r="N1129" s="9" t="s">
        <v>50</v>
      </c>
      <c r="O1129" s="9" t="s">
        <v>51</v>
      </c>
      <c r="P1129" s="9" t="s">
        <v>285</v>
      </c>
      <c r="Q1129" s="9"/>
      <c r="R1129" s="9" t="s">
        <v>61</v>
      </c>
      <c r="S1129" s="14" t="s">
        <v>4260</v>
      </c>
      <c r="T1129" s="9" t="s">
        <v>4261</v>
      </c>
      <c r="U1129" s="9" t="s">
        <v>54</v>
      </c>
      <c r="V1129" s="9" t="s">
        <v>318</v>
      </c>
      <c r="W1129" s="9" t="s">
        <v>115</v>
      </c>
      <c r="X1129" s="12" t="s">
        <v>319</v>
      </c>
      <c r="Y1129" s="9" t="s">
        <v>320</v>
      </c>
      <c r="Z1129" s="13"/>
    </row>
    <row r="1130" spans="1:26" ht="32.25" hidden="1" customHeight="1">
      <c r="A1130" s="8">
        <v>2309278</v>
      </c>
      <c r="B1130" s="9" t="s">
        <v>4262</v>
      </c>
      <c r="C1130" s="10">
        <v>45149</v>
      </c>
      <c r="D1130" s="9" t="s">
        <v>57</v>
      </c>
      <c r="E1130" s="9" t="s">
        <v>295</v>
      </c>
      <c r="F1130" s="9" t="s">
        <v>42</v>
      </c>
      <c r="G1130" s="9" t="s">
        <v>43</v>
      </c>
      <c r="H1130" s="9" t="s">
        <v>58</v>
      </c>
      <c r="I1130" s="11" t="s">
        <v>406</v>
      </c>
      <c r="J1130" s="9" t="s">
        <v>407</v>
      </c>
      <c r="K1130" s="9" t="s">
        <v>47</v>
      </c>
      <c r="L1130" s="9" t="s">
        <v>586</v>
      </c>
      <c r="M1130" s="9" t="s">
        <v>587</v>
      </c>
      <c r="N1130" s="9" t="s">
        <v>50</v>
      </c>
      <c r="O1130" s="9" t="s">
        <v>51</v>
      </c>
      <c r="P1130" s="9"/>
      <c r="Q1130" s="9"/>
      <c r="R1130" s="9" t="s">
        <v>61</v>
      </c>
      <c r="S1130" s="14" t="s">
        <v>4263</v>
      </c>
      <c r="T1130" s="9" t="s">
        <v>4264</v>
      </c>
      <c r="U1130" s="9" t="s">
        <v>54</v>
      </c>
      <c r="V1130" s="9" t="s">
        <v>55</v>
      </c>
      <c r="W1130" s="9" t="s">
        <v>55</v>
      </c>
      <c r="X1130" s="9" t="s">
        <v>319</v>
      </c>
      <c r="Y1130" s="9" t="s">
        <v>320</v>
      </c>
      <c r="Z1130" s="13"/>
    </row>
    <row r="1131" spans="1:26" ht="32.25" hidden="1" customHeight="1">
      <c r="A1131" s="8">
        <v>2310912</v>
      </c>
      <c r="B1131" s="9" t="s">
        <v>4265</v>
      </c>
      <c r="C1131" s="10">
        <v>45136</v>
      </c>
      <c r="D1131" s="9" t="s">
        <v>40</v>
      </c>
      <c r="E1131" s="9" t="s">
        <v>143</v>
      </c>
      <c r="F1131" s="9" t="s">
        <v>42</v>
      </c>
      <c r="G1131" s="9" t="s">
        <v>43</v>
      </c>
      <c r="H1131" s="9" t="s">
        <v>44</v>
      </c>
      <c r="I1131" s="11" t="s">
        <v>144</v>
      </c>
      <c r="J1131" s="9" t="s">
        <v>145</v>
      </c>
      <c r="K1131" s="9" t="s">
        <v>47</v>
      </c>
      <c r="L1131" s="9" t="s">
        <v>746</v>
      </c>
      <c r="M1131" s="9" t="s">
        <v>747</v>
      </c>
      <c r="N1131" s="9" t="s">
        <v>84</v>
      </c>
      <c r="O1131" s="9" t="s">
        <v>51</v>
      </c>
      <c r="P1131" s="9" t="s">
        <v>147</v>
      </c>
      <c r="Q1131" s="9"/>
      <c r="R1131" s="9" t="s">
        <v>61</v>
      </c>
      <c r="S1131" s="9" t="s">
        <v>4266</v>
      </c>
      <c r="T1131" s="9" t="s">
        <v>4267</v>
      </c>
      <c r="U1131" s="9" t="s">
        <v>54</v>
      </c>
      <c r="V1131" s="9" t="s">
        <v>55</v>
      </c>
      <c r="W1131" s="9" t="s">
        <v>55</v>
      </c>
      <c r="X1131" s="12" t="s">
        <v>150</v>
      </c>
      <c r="Y1131" s="9" t="s">
        <v>151</v>
      </c>
      <c r="Z1131" s="13"/>
    </row>
    <row r="1132" spans="1:26" ht="32.25" hidden="1" customHeight="1">
      <c r="A1132" s="8">
        <v>2306456</v>
      </c>
      <c r="B1132" s="9" t="s">
        <v>4268</v>
      </c>
      <c r="C1132" s="10">
        <v>45156</v>
      </c>
      <c r="D1132" s="9" t="s">
        <v>79</v>
      </c>
      <c r="E1132" s="9" t="s">
        <v>89</v>
      </c>
      <c r="F1132" s="9" t="s">
        <v>80</v>
      </c>
      <c r="G1132" s="9" t="s">
        <v>43</v>
      </c>
      <c r="H1132" s="9" t="s">
        <v>44</v>
      </c>
      <c r="I1132" s="11" t="s">
        <v>101</v>
      </c>
      <c r="J1132" s="9" t="s">
        <v>102</v>
      </c>
      <c r="K1132" s="9" t="s">
        <v>47</v>
      </c>
      <c r="L1132" s="9" t="s">
        <v>591</v>
      </c>
      <c r="M1132" s="9" t="s">
        <v>4269</v>
      </c>
      <c r="N1132" s="9" t="s">
        <v>84</v>
      </c>
      <c r="O1132" s="9" t="s">
        <v>51</v>
      </c>
      <c r="P1132" s="9" t="s">
        <v>212</v>
      </c>
      <c r="Q1132" s="9"/>
      <c r="R1132" s="9"/>
      <c r="S1132" s="14" t="s">
        <v>4270</v>
      </c>
      <c r="T1132" s="9" t="s">
        <v>4271</v>
      </c>
      <c r="U1132" s="9" t="s">
        <v>54</v>
      </c>
      <c r="V1132" s="9" t="s">
        <v>55</v>
      </c>
      <c r="W1132" s="9" t="s">
        <v>55</v>
      </c>
      <c r="X1132" s="12"/>
      <c r="Y1132" s="9" t="s">
        <v>55</v>
      </c>
      <c r="Z1132" s="13"/>
    </row>
    <row r="1133" spans="1:26" ht="32.25" hidden="1" customHeight="1">
      <c r="A1133" s="8">
        <v>2309498</v>
      </c>
      <c r="B1133" s="9" t="s">
        <v>4272</v>
      </c>
      <c r="C1133" s="10">
        <v>45156</v>
      </c>
      <c r="D1133" s="9" t="s">
        <v>79</v>
      </c>
      <c r="E1133" s="9" t="s">
        <v>89</v>
      </c>
      <c r="F1133" s="9" t="s">
        <v>80</v>
      </c>
      <c r="G1133" s="9" t="s">
        <v>43</v>
      </c>
      <c r="H1133" s="9" t="s">
        <v>44</v>
      </c>
      <c r="I1133" s="11" t="s">
        <v>101</v>
      </c>
      <c r="J1133" s="9" t="s">
        <v>102</v>
      </c>
      <c r="K1133" s="9" t="s">
        <v>47</v>
      </c>
      <c r="L1133" s="9" t="s">
        <v>1040</v>
      </c>
      <c r="M1133" s="9" t="s">
        <v>1041</v>
      </c>
      <c r="N1133" s="9" t="s">
        <v>50</v>
      </c>
      <c r="O1133" s="9" t="s">
        <v>51</v>
      </c>
      <c r="P1133" s="9" t="s">
        <v>447</v>
      </c>
      <c r="Q1133" s="9"/>
      <c r="R1133" s="9"/>
      <c r="S1133" s="14" t="s">
        <v>4273</v>
      </c>
      <c r="T1133" s="9" t="s">
        <v>4274</v>
      </c>
      <c r="U1133" s="9" t="s">
        <v>54</v>
      </c>
      <c r="V1133" s="9" t="s">
        <v>55</v>
      </c>
      <c r="W1133" s="9" t="s">
        <v>55</v>
      </c>
      <c r="X1133" s="12"/>
      <c r="Y1133" s="9" t="s">
        <v>55</v>
      </c>
      <c r="Z1133" s="13"/>
    </row>
    <row r="1134" spans="1:26" ht="32.25" hidden="1" customHeight="1">
      <c r="A1134" s="8">
        <v>2303068</v>
      </c>
      <c r="B1134" s="9" t="s">
        <v>4275</v>
      </c>
      <c r="C1134" s="10">
        <v>45142</v>
      </c>
      <c r="D1134" s="9" t="s">
        <v>67</v>
      </c>
      <c r="E1134" s="9" t="s">
        <v>41</v>
      </c>
      <c r="F1134" s="9" t="s">
        <v>42</v>
      </c>
      <c r="G1134" s="9" t="s">
        <v>43</v>
      </c>
      <c r="H1134" s="9" t="s">
        <v>44</v>
      </c>
      <c r="I1134" s="11" t="s">
        <v>45</v>
      </c>
      <c r="J1134" s="9" t="s">
        <v>46</v>
      </c>
      <c r="K1134" s="9" t="s">
        <v>47</v>
      </c>
      <c r="L1134" s="9" t="s">
        <v>156</v>
      </c>
      <c r="M1134" s="9"/>
      <c r="N1134" s="9" t="s">
        <v>50</v>
      </c>
      <c r="O1134" s="9" t="s">
        <v>51</v>
      </c>
      <c r="P1134" s="9"/>
      <c r="Q1134" s="9"/>
      <c r="R1134" s="9"/>
      <c r="S1134" s="9" t="s">
        <v>4276</v>
      </c>
      <c r="T1134" s="9" t="s">
        <v>4277</v>
      </c>
      <c r="U1134" s="9" t="s">
        <v>54</v>
      </c>
      <c r="V1134" s="9" t="s">
        <v>55</v>
      </c>
      <c r="W1134" s="9" t="s">
        <v>55</v>
      </c>
      <c r="X1134" s="12"/>
      <c r="Y1134" s="9" t="s">
        <v>55</v>
      </c>
      <c r="Z1134" s="13"/>
    </row>
    <row r="1135" spans="1:26" ht="32.25" hidden="1" customHeight="1">
      <c r="A1135" s="8">
        <v>2303178</v>
      </c>
      <c r="B1135" s="9" t="s">
        <v>4278</v>
      </c>
      <c r="C1135" s="10">
        <v>45149</v>
      </c>
      <c r="D1135" s="9" t="s">
        <v>57</v>
      </c>
      <c r="E1135" s="9" t="s">
        <v>295</v>
      </c>
      <c r="F1135" s="9" t="s">
        <v>42</v>
      </c>
      <c r="G1135" s="9" t="s">
        <v>43</v>
      </c>
      <c r="H1135" s="9" t="s">
        <v>58</v>
      </c>
      <c r="I1135" s="11" t="s">
        <v>296</v>
      </c>
      <c r="J1135" s="9" t="s">
        <v>297</v>
      </c>
      <c r="K1135" s="9" t="s">
        <v>47</v>
      </c>
      <c r="L1135" s="9" t="s">
        <v>156</v>
      </c>
      <c r="M1135" s="9"/>
      <c r="N1135" s="9" t="s">
        <v>50</v>
      </c>
      <c r="O1135" s="9" t="s">
        <v>51</v>
      </c>
      <c r="P1135" s="9"/>
      <c r="Q1135" s="9"/>
      <c r="R1135" s="9"/>
      <c r="S1135" s="14" t="s">
        <v>4279</v>
      </c>
      <c r="T1135" s="9" t="s">
        <v>4280</v>
      </c>
      <c r="U1135" s="9" t="s">
        <v>54</v>
      </c>
      <c r="V1135" s="9" t="s">
        <v>55</v>
      </c>
      <c r="W1135" s="9" t="s">
        <v>55</v>
      </c>
      <c r="X1135" s="12"/>
      <c r="Y1135" s="9" t="s">
        <v>55</v>
      </c>
      <c r="Z1135" s="13"/>
    </row>
    <row r="1136" spans="1:26" ht="32.25" hidden="1" customHeight="1">
      <c r="A1136" s="8">
        <v>2306199</v>
      </c>
      <c r="B1136" s="9" t="s">
        <v>4281</v>
      </c>
      <c r="C1136" s="10">
        <v>45156</v>
      </c>
      <c r="D1136" s="9" t="s">
        <v>79</v>
      </c>
      <c r="E1136" s="9" t="s">
        <v>143</v>
      </c>
      <c r="F1136" s="9" t="s">
        <v>80</v>
      </c>
      <c r="G1136" s="9" t="s">
        <v>43</v>
      </c>
      <c r="H1136" s="9" t="s">
        <v>44</v>
      </c>
      <c r="I1136" s="11" t="s">
        <v>725</v>
      </c>
      <c r="J1136" s="9" t="s">
        <v>145</v>
      </c>
      <c r="K1136" s="9" t="s">
        <v>47</v>
      </c>
      <c r="L1136" s="9" t="s">
        <v>2729</v>
      </c>
      <c r="M1136" s="9" t="s">
        <v>4282</v>
      </c>
      <c r="N1136" s="9" t="s">
        <v>50</v>
      </c>
      <c r="O1136" s="9" t="s">
        <v>51</v>
      </c>
      <c r="P1136" s="9" t="s">
        <v>727</v>
      </c>
      <c r="Q1136" s="9"/>
      <c r="R1136" s="9" t="s">
        <v>61</v>
      </c>
      <c r="S1136" s="14" t="s">
        <v>4283</v>
      </c>
      <c r="T1136" s="9" t="s">
        <v>4284</v>
      </c>
      <c r="U1136" s="9" t="s">
        <v>54</v>
      </c>
      <c r="V1136" s="9"/>
      <c r="W1136" s="9" t="s">
        <v>115</v>
      </c>
      <c r="X1136" s="12" t="s">
        <v>150</v>
      </c>
      <c r="Y1136" s="9" t="s">
        <v>151</v>
      </c>
      <c r="Z1136" s="13"/>
    </row>
    <row r="1137" spans="1:26" ht="32.25" hidden="1" customHeight="1">
      <c r="A1137" s="8">
        <v>2311182</v>
      </c>
      <c r="B1137" s="9" t="s">
        <v>4285</v>
      </c>
      <c r="C1137" s="10">
        <v>45142</v>
      </c>
      <c r="D1137" s="9" t="s">
        <v>67</v>
      </c>
      <c r="E1137" s="9" t="s">
        <v>68</v>
      </c>
      <c r="F1137" s="9" t="s">
        <v>135</v>
      </c>
      <c r="G1137" s="9" t="s">
        <v>43</v>
      </c>
      <c r="H1137" s="9" t="s">
        <v>44</v>
      </c>
      <c r="I1137" s="11" t="s">
        <v>136</v>
      </c>
      <c r="J1137" s="9" t="s">
        <v>137</v>
      </c>
      <c r="K1137" s="9" t="s">
        <v>47</v>
      </c>
      <c r="L1137" s="9" t="s">
        <v>553</v>
      </c>
      <c r="M1137" s="9" t="s">
        <v>960</v>
      </c>
      <c r="N1137" s="9" t="s">
        <v>50</v>
      </c>
      <c r="O1137" s="9" t="s">
        <v>51</v>
      </c>
      <c r="P1137" s="9"/>
      <c r="Q1137" s="9"/>
      <c r="R1137" s="9" t="s">
        <v>61</v>
      </c>
      <c r="S1137" s="9" t="s">
        <v>4286</v>
      </c>
      <c r="T1137" s="9" t="s">
        <v>4287</v>
      </c>
      <c r="U1137" s="9" t="s">
        <v>54</v>
      </c>
      <c r="V1137" s="9" t="s">
        <v>55</v>
      </c>
      <c r="W1137" s="9" t="s">
        <v>55</v>
      </c>
      <c r="X1137" s="12" t="s">
        <v>76</v>
      </c>
      <c r="Y1137" s="9" t="s">
        <v>77</v>
      </c>
      <c r="Z1137" s="13"/>
    </row>
    <row r="1138" spans="1:26" ht="32.25" hidden="1" customHeight="1">
      <c r="A1138" s="8">
        <v>2314655</v>
      </c>
      <c r="B1138" s="9" t="s">
        <v>4288</v>
      </c>
      <c r="C1138" s="10">
        <v>45156</v>
      </c>
      <c r="D1138" s="9" t="s">
        <v>79</v>
      </c>
      <c r="E1138" s="9" t="s">
        <v>89</v>
      </c>
      <c r="F1138" s="9" t="s">
        <v>80</v>
      </c>
      <c r="G1138" s="9" t="s">
        <v>43</v>
      </c>
      <c r="H1138" s="9" t="s">
        <v>44</v>
      </c>
      <c r="I1138" s="11" t="s">
        <v>101</v>
      </c>
      <c r="J1138" s="9" t="s">
        <v>102</v>
      </c>
      <c r="K1138" s="9" t="s">
        <v>47</v>
      </c>
      <c r="L1138" s="9" t="s">
        <v>349</v>
      </c>
      <c r="M1138" s="9" t="s">
        <v>785</v>
      </c>
      <c r="N1138" s="9" t="s">
        <v>50</v>
      </c>
      <c r="O1138" s="9" t="s">
        <v>51</v>
      </c>
      <c r="P1138" s="9" t="s">
        <v>104</v>
      </c>
      <c r="Q1138" s="9"/>
      <c r="R1138" s="9"/>
      <c r="S1138" s="14" t="s">
        <v>4289</v>
      </c>
      <c r="T1138" s="9" t="s">
        <v>4290</v>
      </c>
      <c r="U1138" s="9" t="s">
        <v>54</v>
      </c>
      <c r="V1138" s="9" t="s">
        <v>55</v>
      </c>
      <c r="W1138" s="9" t="s">
        <v>55</v>
      </c>
      <c r="X1138" s="12"/>
      <c r="Y1138" s="9" t="s">
        <v>55</v>
      </c>
      <c r="Z1138" s="13"/>
    </row>
    <row r="1139" spans="1:26" ht="32.25" hidden="1" customHeight="1">
      <c r="A1139" s="8">
        <v>2310339</v>
      </c>
      <c r="B1139" s="9" t="s">
        <v>4291</v>
      </c>
      <c r="C1139" s="10">
        <v>45156</v>
      </c>
      <c r="D1139" s="9" t="s">
        <v>79</v>
      </c>
      <c r="E1139" s="9" t="s">
        <v>89</v>
      </c>
      <c r="F1139" s="9" t="s">
        <v>80</v>
      </c>
      <c r="G1139" s="9" t="s">
        <v>43</v>
      </c>
      <c r="H1139" s="9" t="s">
        <v>44</v>
      </c>
      <c r="I1139" s="11" t="s">
        <v>90</v>
      </c>
      <c r="J1139" s="9" t="s">
        <v>91</v>
      </c>
      <c r="K1139" s="9" t="s">
        <v>47</v>
      </c>
      <c r="L1139" s="9" t="s">
        <v>156</v>
      </c>
      <c r="M1139" s="9"/>
      <c r="N1139" s="9" t="s">
        <v>84</v>
      </c>
      <c r="O1139" s="9" t="s">
        <v>51</v>
      </c>
      <c r="P1139" s="9" t="s">
        <v>546</v>
      </c>
      <c r="Q1139" s="9"/>
      <c r="R1139" s="9"/>
      <c r="S1139" s="14" t="s">
        <v>4292</v>
      </c>
      <c r="T1139" s="9" t="s">
        <v>4293</v>
      </c>
      <c r="U1139" s="9" t="s">
        <v>54</v>
      </c>
      <c r="V1139" s="9"/>
      <c r="W1139" s="9" t="s">
        <v>115</v>
      </c>
      <c r="X1139" s="12"/>
      <c r="Y1139" s="9" t="s">
        <v>55</v>
      </c>
      <c r="Z1139" s="13"/>
    </row>
    <row r="1140" spans="1:26" ht="32.25" hidden="1" customHeight="1">
      <c r="A1140" s="8">
        <v>2300590</v>
      </c>
      <c r="B1140" s="9" t="s">
        <v>4294</v>
      </c>
      <c r="C1140" s="10">
        <v>45149</v>
      </c>
      <c r="D1140" s="9" t="s">
        <v>57</v>
      </c>
      <c r="E1140" s="9" t="s">
        <v>41</v>
      </c>
      <c r="F1140" s="9" t="s">
        <v>42</v>
      </c>
      <c r="G1140" s="9" t="s">
        <v>43</v>
      </c>
      <c r="H1140" s="9" t="s">
        <v>58</v>
      </c>
      <c r="I1140" s="11" t="s">
        <v>199</v>
      </c>
      <c r="J1140" s="9" t="s">
        <v>200</v>
      </c>
      <c r="K1140" s="9" t="s">
        <v>47</v>
      </c>
      <c r="L1140" s="9" t="s">
        <v>156</v>
      </c>
      <c r="M1140" s="9"/>
      <c r="N1140" s="9" t="s">
        <v>84</v>
      </c>
      <c r="O1140" s="9" t="s">
        <v>51</v>
      </c>
      <c r="P1140" s="9"/>
      <c r="Q1140" s="9"/>
      <c r="R1140" s="9"/>
      <c r="S1140" s="14" t="s">
        <v>4295</v>
      </c>
      <c r="T1140" s="9" t="s">
        <v>4296</v>
      </c>
      <c r="U1140" s="9" t="s">
        <v>54</v>
      </c>
      <c r="V1140" s="9" t="s">
        <v>55</v>
      </c>
      <c r="W1140" s="9" t="s">
        <v>55</v>
      </c>
      <c r="X1140" s="12"/>
      <c r="Y1140" s="9" t="s">
        <v>55</v>
      </c>
      <c r="Z1140" s="13"/>
    </row>
    <row r="1141" spans="1:26" ht="32.25" hidden="1" customHeight="1">
      <c r="A1141" s="8">
        <v>2301539</v>
      </c>
      <c r="B1141" s="9" t="s">
        <v>4297</v>
      </c>
      <c r="C1141" s="10">
        <v>45156</v>
      </c>
      <c r="D1141" s="9" t="s">
        <v>79</v>
      </c>
      <c r="E1141" s="9" t="s">
        <v>89</v>
      </c>
      <c r="F1141" s="9" t="s">
        <v>80</v>
      </c>
      <c r="G1141" s="9" t="s">
        <v>43</v>
      </c>
      <c r="H1141" s="9" t="s">
        <v>44</v>
      </c>
      <c r="I1141" s="11" t="s">
        <v>101</v>
      </c>
      <c r="J1141" s="9" t="s">
        <v>102</v>
      </c>
      <c r="K1141" s="9" t="s">
        <v>47</v>
      </c>
      <c r="L1141" s="9" t="s">
        <v>174</v>
      </c>
      <c r="M1141" s="9" t="s">
        <v>1768</v>
      </c>
      <c r="N1141" s="9" t="s">
        <v>50</v>
      </c>
      <c r="O1141" s="9" t="s">
        <v>51</v>
      </c>
      <c r="P1141" s="9" t="s">
        <v>447</v>
      </c>
      <c r="Q1141" s="9"/>
      <c r="R1141" s="9"/>
      <c r="S1141" s="14" t="s">
        <v>4298</v>
      </c>
      <c r="T1141" s="9" t="s">
        <v>4299</v>
      </c>
      <c r="U1141" s="9" t="s">
        <v>54</v>
      </c>
      <c r="V1141" s="9" t="s">
        <v>55</v>
      </c>
      <c r="W1141" s="9" t="s">
        <v>115</v>
      </c>
      <c r="X1141" s="12"/>
      <c r="Y1141" s="9" t="s">
        <v>55</v>
      </c>
      <c r="Z1141" s="13"/>
    </row>
    <row r="1142" spans="1:26" ht="32.25" hidden="1" customHeight="1">
      <c r="A1142" s="8">
        <v>2304283</v>
      </c>
      <c r="B1142" s="9" t="s">
        <v>4300</v>
      </c>
      <c r="C1142" s="10">
        <v>45142</v>
      </c>
      <c r="D1142" s="9" t="s">
        <v>67</v>
      </c>
      <c r="E1142" s="9" t="s">
        <v>153</v>
      </c>
      <c r="F1142" s="9" t="s">
        <v>42</v>
      </c>
      <c r="G1142" s="9" t="s">
        <v>43</v>
      </c>
      <c r="H1142" s="9" t="s">
        <v>44</v>
      </c>
      <c r="I1142" s="11" t="s">
        <v>154</v>
      </c>
      <c r="J1142" s="9" t="s">
        <v>155</v>
      </c>
      <c r="K1142" s="9" t="s">
        <v>47</v>
      </c>
      <c r="L1142" s="9" t="s">
        <v>156</v>
      </c>
      <c r="M1142" s="9"/>
      <c r="N1142" s="9" t="s">
        <v>84</v>
      </c>
      <c r="O1142" s="9" t="s">
        <v>51</v>
      </c>
      <c r="P1142" s="9"/>
      <c r="Q1142" s="9"/>
      <c r="R1142" s="9"/>
      <c r="S1142" s="9" t="s">
        <v>4301</v>
      </c>
      <c r="T1142" s="9" t="s">
        <v>4302</v>
      </c>
      <c r="U1142" s="9" t="s">
        <v>54</v>
      </c>
      <c r="V1142" s="9" t="s">
        <v>55</v>
      </c>
      <c r="W1142" s="9" t="s">
        <v>55</v>
      </c>
      <c r="X1142" s="12"/>
      <c r="Y1142" s="9" t="s">
        <v>55</v>
      </c>
      <c r="Z1142" s="13"/>
    </row>
    <row r="1143" spans="1:26" ht="32.25" hidden="1" customHeight="1">
      <c r="A1143" s="8">
        <v>2301259</v>
      </c>
      <c r="B1143" s="9" t="s">
        <v>4303</v>
      </c>
      <c r="C1143" s="10">
        <v>45156</v>
      </c>
      <c r="D1143" s="9" t="s">
        <v>79</v>
      </c>
      <c r="E1143" s="9" t="s">
        <v>68</v>
      </c>
      <c r="F1143" s="9" t="s">
        <v>80</v>
      </c>
      <c r="G1143" s="9" t="s">
        <v>43</v>
      </c>
      <c r="H1143" s="9" t="s">
        <v>44</v>
      </c>
      <c r="I1143" s="11" t="s">
        <v>90</v>
      </c>
      <c r="J1143" s="9" t="s">
        <v>91</v>
      </c>
      <c r="K1143" s="9" t="s">
        <v>47</v>
      </c>
      <c r="L1143" s="9" t="s">
        <v>48</v>
      </c>
      <c r="M1143" s="9" t="s">
        <v>4304</v>
      </c>
      <c r="N1143" s="9" t="s">
        <v>50</v>
      </c>
      <c r="O1143" s="9" t="s">
        <v>51</v>
      </c>
      <c r="P1143" s="9" t="s">
        <v>273</v>
      </c>
      <c r="Q1143" s="9"/>
      <c r="R1143" s="9"/>
      <c r="S1143" s="14" t="s">
        <v>4305</v>
      </c>
      <c r="T1143" s="9" t="s">
        <v>4306</v>
      </c>
      <c r="U1143" s="9" t="s">
        <v>54</v>
      </c>
      <c r="V1143" s="9" t="s">
        <v>55</v>
      </c>
      <c r="W1143" s="9" t="s">
        <v>55</v>
      </c>
      <c r="X1143" s="12"/>
      <c r="Y1143" s="9" t="s">
        <v>55</v>
      </c>
      <c r="Z1143" s="13"/>
    </row>
    <row r="1144" spans="1:26" ht="32.25" hidden="1" customHeight="1">
      <c r="A1144" s="8">
        <v>2310312</v>
      </c>
      <c r="B1144" s="9" t="s">
        <v>4307</v>
      </c>
      <c r="C1144" s="10">
        <v>45156</v>
      </c>
      <c r="D1144" s="9" t="s">
        <v>79</v>
      </c>
      <c r="E1144" s="9" t="s">
        <v>41</v>
      </c>
      <c r="F1144" s="9" t="s">
        <v>80</v>
      </c>
      <c r="G1144" s="9" t="s">
        <v>43</v>
      </c>
      <c r="H1144" s="9" t="s">
        <v>44</v>
      </c>
      <c r="I1144" s="11" t="s">
        <v>233</v>
      </c>
      <c r="J1144" s="9" t="s">
        <v>200</v>
      </c>
      <c r="K1144" s="9" t="s">
        <v>47</v>
      </c>
      <c r="L1144" s="9" t="s">
        <v>156</v>
      </c>
      <c r="M1144" s="9"/>
      <c r="N1144" s="9" t="s">
        <v>50</v>
      </c>
      <c r="O1144" s="9" t="s">
        <v>51</v>
      </c>
      <c r="P1144" s="9" t="s">
        <v>443</v>
      </c>
      <c r="Q1144" s="9"/>
      <c r="R1144" s="9"/>
      <c r="S1144" s="14" t="s">
        <v>4308</v>
      </c>
      <c r="T1144" s="9" t="s">
        <v>4309</v>
      </c>
      <c r="U1144" s="9" t="s">
        <v>54</v>
      </c>
      <c r="V1144" s="9" t="s">
        <v>55</v>
      </c>
      <c r="W1144" s="9" t="s">
        <v>55</v>
      </c>
      <c r="X1144" s="12"/>
      <c r="Y1144" s="9" t="s">
        <v>55</v>
      </c>
      <c r="Z1144" s="13"/>
    </row>
    <row r="1145" spans="1:26" ht="32.25" hidden="1" customHeight="1">
      <c r="A1145" s="8">
        <v>2310280</v>
      </c>
      <c r="B1145" s="9" t="s">
        <v>4310</v>
      </c>
      <c r="C1145" s="10">
        <v>45156</v>
      </c>
      <c r="D1145" s="9" t="s">
        <v>79</v>
      </c>
      <c r="E1145" s="9" t="s">
        <v>143</v>
      </c>
      <c r="F1145" s="9" t="s">
        <v>80</v>
      </c>
      <c r="G1145" s="9" t="s">
        <v>43</v>
      </c>
      <c r="H1145" s="9" t="s">
        <v>44</v>
      </c>
      <c r="I1145" s="11" t="s">
        <v>326</v>
      </c>
      <c r="J1145" s="9" t="s">
        <v>327</v>
      </c>
      <c r="K1145" s="9" t="s">
        <v>47</v>
      </c>
      <c r="L1145" s="9" t="s">
        <v>340</v>
      </c>
      <c r="M1145" s="9" t="s">
        <v>1297</v>
      </c>
      <c r="N1145" s="9" t="s">
        <v>84</v>
      </c>
      <c r="O1145" s="9" t="s">
        <v>51</v>
      </c>
      <c r="P1145" s="9" t="s">
        <v>953</v>
      </c>
      <c r="Q1145" s="9"/>
      <c r="R1145" s="9" t="s">
        <v>61</v>
      </c>
      <c r="S1145" s="14" t="s">
        <v>4311</v>
      </c>
      <c r="T1145" s="9" t="s">
        <v>4312</v>
      </c>
      <c r="U1145" s="9" t="s">
        <v>54</v>
      </c>
      <c r="V1145" s="9" t="s">
        <v>55</v>
      </c>
      <c r="W1145" s="9" t="s">
        <v>55</v>
      </c>
      <c r="X1145" s="12" t="s">
        <v>150</v>
      </c>
      <c r="Y1145" s="9" t="s">
        <v>151</v>
      </c>
      <c r="Z1145" s="13"/>
    </row>
    <row r="1146" spans="1:26" ht="32.25" hidden="1" customHeight="1">
      <c r="A1146" s="8">
        <v>2312848</v>
      </c>
      <c r="B1146" s="9" t="s">
        <v>4313</v>
      </c>
      <c r="C1146" s="10">
        <v>45156</v>
      </c>
      <c r="D1146" s="9" t="s">
        <v>79</v>
      </c>
      <c r="E1146" s="9" t="s">
        <v>41</v>
      </c>
      <c r="F1146" s="9" t="s">
        <v>80</v>
      </c>
      <c r="G1146" s="9" t="s">
        <v>43</v>
      </c>
      <c r="H1146" s="9" t="s">
        <v>44</v>
      </c>
      <c r="I1146" s="11" t="s">
        <v>478</v>
      </c>
      <c r="J1146" s="9" t="s">
        <v>479</v>
      </c>
      <c r="K1146" s="9" t="s">
        <v>47</v>
      </c>
      <c r="L1146" s="9" t="s">
        <v>1839</v>
      </c>
      <c r="M1146" s="9" t="s">
        <v>4314</v>
      </c>
      <c r="N1146" s="9" t="s">
        <v>50</v>
      </c>
      <c r="O1146" s="9" t="s">
        <v>51</v>
      </c>
      <c r="P1146" s="9" t="s">
        <v>482</v>
      </c>
      <c r="Q1146" s="9"/>
      <c r="R1146" s="9"/>
      <c r="S1146" s="14" t="s">
        <v>4315</v>
      </c>
      <c r="T1146" s="9" t="s">
        <v>4316</v>
      </c>
      <c r="U1146" s="9" t="s">
        <v>54</v>
      </c>
      <c r="V1146" s="9"/>
      <c r="W1146" s="9" t="s">
        <v>115</v>
      </c>
      <c r="X1146" s="12"/>
      <c r="Y1146" s="9" t="s">
        <v>55</v>
      </c>
      <c r="Z1146" s="13"/>
    </row>
    <row r="1147" spans="1:26" ht="32.25" hidden="1" customHeight="1">
      <c r="A1147" s="8">
        <v>2303488</v>
      </c>
      <c r="B1147" s="9" t="s">
        <v>4317</v>
      </c>
      <c r="C1147" s="10">
        <v>45142</v>
      </c>
      <c r="D1147" s="9" t="s">
        <v>67</v>
      </c>
      <c r="E1147" s="9" t="s">
        <v>41</v>
      </c>
      <c r="F1147" s="9" t="s">
        <v>42</v>
      </c>
      <c r="G1147" s="9" t="s">
        <v>43</v>
      </c>
      <c r="H1147" s="9" t="s">
        <v>44</v>
      </c>
      <c r="I1147" s="11" t="s">
        <v>661</v>
      </c>
      <c r="J1147" s="9" t="s">
        <v>662</v>
      </c>
      <c r="K1147" s="9" t="s">
        <v>47</v>
      </c>
      <c r="L1147" s="9" t="s">
        <v>156</v>
      </c>
      <c r="M1147" s="9"/>
      <c r="N1147" s="9" t="s">
        <v>50</v>
      </c>
      <c r="O1147" s="9" t="s">
        <v>51</v>
      </c>
      <c r="P1147" s="9"/>
      <c r="Q1147" s="9"/>
      <c r="R1147" s="9"/>
      <c r="S1147" s="9" t="s">
        <v>4318</v>
      </c>
      <c r="T1147" s="9" t="s">
        <v>4319</v>
      </c>
      <c r="U1147" s="9" t="s">
        <v>54</v>
      </c>
      <c r="V1147" s="9" t="s">
        <v>55</v>
      </c>
      <c r="W1147" s="9" t="s">
        <v>55</v>
      </c>
      <c r="X1147" s="12"/>
      <c r="Y1147" s="9" t="s">
        <v>55</v>
      </c>
      <c r="Z1147" s="13"/>
    </row>
    <row r="1148" spans="1:26" ht="32.25" hidden="1" customHeight="1">
      <c r="A1148" s="8">
        <v>2311513</v>
      </c>
      <c r="B1148" s="9" t="s">
        <v>4320</v>
      </c>
      <c r="C1148" s="10">
        <v>45156</v>
      </c>
      <c r="D1148" s="9" t="s">
        <v>79</v>
      </c>
      <c r="E1148" s="9" t="s">
        <v>153</v>
      </c>
      <c r="F1148" s="9" t="s">
        <v>80</v>
      </c>
      <c r="G1148" s="9" t="s">
        <v>43</v>
      </c>
      <c r="H1148" s="9" t="s">
        <v>44</v>
      </c>
      <c r="I1148" s="11" t="s">
        <v>1588</v>
      </c>
      <c r="J1148" s="9" t="s">
        <v>155</v>
      </c>
      <c r="K1148" s="9" t="s">
        <v>47</v>
      </c>
      <c r="L1148" s="9" t="s">
        <v>174</v>
      </c>
      <c r="M1148" s="9" t="s">
        <v>4321</v>
      </c>
      <c r="N1148" s="9" t="s">
        <v>84</v>
      </c>
      <c r="O1148" s="9" t="s">
        <v>51</v>
      </c>
      <c r="P1148" s="9" t="s">
        <v>2085</v>
      </c>
      <c r="Q1148" s="9"/>
      <c r="R1148" s="9" t="s">
        <v>61</v>
      </c>
      <c r="S1148" s="14" t="s">
        <v>4322</v>
      </c>
      <c r="T1148" s="9" t="s">
        <v>4323</v>
      </c>
      <c r="U1148" s="9" t="s">
        <v>54</v>
      </c>
      <c r="V1148" s="9" t="s">
        <v>55</v>
      </c>
      <c r="W1148" s="9" t="s">
        <v>55</v>
      </c>
      <c r="X1148" s="12" t="s">
        <v>319</v>
      </c>
      <c r="Y1148" s="9" t="s">
        <v>320</v>
      </c>
      <c r="Z1148" s="13"/>
    </row>
    <row r="1149" spans="1:26" ht="32.25" hidden="1" customHeight="1">
      <c r="A1149" s="8">
        <v>2315241</v>
      </c>
      <c r="B1149" s="9" t="s">
        <v>4324</v>
      </c>
      <c r="C1149" s="10">
        <v>45152</v>
      </c>
      <c r="D1149" s="9" t="s">
        <v>185</v>
      </c>
      <c r="E1149" s="9" t="s">
        <v>295</v>
      </c>
      <c r="F1149" s="9" t="s">
        <v>42</v>
      </c>
      <c r="G1149" s="9" t="s">
        <v>43</v>
      </c>
      <c r="H1149" s="9" t="s">
        <v>44</v>
      </c>
      <c r="I1149" s="11" t="s">
        <v>406</v>
      </c>
      <c r="J1149" s="9" t="s">
        <v>407</v>
      </c>
      <c r="K1149" s="9" t="s">
        <v>1158</v>
      </c>
      <c r="L1149" s="9"/>
      <c r="M1149" s="9" t="s">
        <v>2892</v>
      </c>
      <c r="N1149" s="9" t="s">
        <v>50</v>
      </c>
      <c r="O1149" s="9" t="s">
        <v>187</v>
      </c>
      <c r="P1149" s="9"/>
      <c r="Q1149" s="9"/>
      <c r="R1149" s="9" t="s">
        <v>61</v>
      </c>
      <c r="S1149" s="14" t="s">
        <v>4325</v>
      </c>
      <c r="T1149" s="9" t="s">
        <v>4326</v>
      </c>
      <c r="U1149" s="9" t="s">
        <v>54</v>
      </c>
      <c r="V1149" s="9" t="s">
        <v>55</v>
      </c>
      <c r="W1149" s="9" t="s">
        <v>55</v>
      </c>
      <c r="X1149" s="9" t="s">
        <v>319</v>
      </c>
      <c r="Y1149" s="9" t="s">
        <v>320</v>
      </c>
      <c r="Z1149" s="13"/>
    </row>
    <row r="1150" spans="1:26" ht="32.25" hidden="1" customHeight="1">
      <c r="A1150" s="8">
        <v>2304307</v>
      </c>
      <c r="B1150" s="9" t="s">
        <v>4327</v>
      </c>
      <c r="C1150" s="10">
        <v>45156</v>
      </c>
      <c r="D1150" s="9" t="s">
        <v>79</v>
      </c>
      <c r="E1150" s="9" t="s">
        <v>68</v>
      </c>
      <c r="F1150" s="9" t="s">
        <v>80</v>
      </c>
      <c r="G1150" s="9" t="s">
        <v>43</v>
      </c>
      <c r="H1150" s="9" t="s">
        <v>44</v>
      </c>
      <c r="I1150" s="11" t="s">
        <v>90</v>
      </c>
      <c r="J1150" s="9" t="s">
        <v>91</v>
      </c>
      <c r="K1150" s="9" t="s">
        <v>416</v>
      </c>
      <c r="L1150" s="9"/>
      <c r="M1150" s="9"/>
      <c r="N1150" s="9" t="s">
        <v>50</v>
      </c>
      <c r="O1150" s="9" t="s">
        <v>51</v>
      </c>
      <c r="P1150" s="9" t="s">
        <v>670</v>
      </c>
      <c r="Q1150" s="9"/>
      <c r="R1150" s="9" t="s">
        <v>61</v>
      </c>
      <c r="S1150" s="14" t="s">
        <v>4328</v>
      </c>
      <c r="T1150" s="9" t="s">
        <v>4329</v>
      </c>
      <c r="U1150" s="9" t="s">
        <v>54</v>
      </c>
      <c r="V1150" s="9" t="s">
        <v>701</v>
      </c>
      <c r="W1150" s="9" t="s">
        <v>115</v>
      </c>
      <c r="X1150" s="12" t="s">
        <v>196</v>
      </c>
      <c r="Y1150" s="9" t="s">
        <v>197</v>
      </c>
      <c r="Z1150" s="13"/>
    </row>
    <row r="1151" spans="1:26" ht="32.25" hidden="1" customHeight="1">
      <c r="A1151" s="8">
        <v>2305964</v>
      </c>
      <c r="B1151" s="9" t="s">
        <v>4330</v>
      </c>
      <c r="C1151" s="10">
        <v>45149</v>
      </c>
      <c r="D1151" s="9" t="s">
        <v>57</v>
      </c>
      <c r="E1151" s="9" t="s">
        <v>41</v>
      </c>
      <c r="F1151" s="9" t="s">
        <v>42</v>
      </c>
      <c r="G1151" s="9" t="s">
        <v>43</v>
      </c>
      <c r="H1151" s="9" t="s">
        <v>58</v>
      </c>
      <c r="I1151" s="11" t="s">
        <v>45</v>
      </c>
      <c r="J1151" s="9" t="s">
        <v>46</v>
      </c>
      <c r="K1151" s="9" t="s">
        <v>47</v>
      </c>
      <c r="L1151" s="9" t="s">
        <v>156</v>
      </c>
      <c r="M1151" s="9"/>
      <c r="N1151" s="9" t="s">
        <v>84</v>
      </c>
      <c r="O1151" s="9" t="s">
        <v>51</v>
      </c>
      <c r="P1151" s="9"/>
      <c r="Q1151" s="9"/>
      <c r="R1151" s="9"/>
      <c r="S1151" s="14" t="s">
        <v>4331</v>
      </c>
      <c r="T1151" s="9" t="s">
        <v>4332</v>
      </c>
      <c r="U1151" s="9" t="s">
        <v>54</v>
      </c>
      <c r="V1151" s="9" t="s">
        <v>55</v>
      </c>
      <c r="W1151" s="9" t="s">
        <v>55</v>
      </c>
      <c r="X1151" s="12"/>
      <c r="Y1151" s="9" t="s">
        <v>55</v>
      </c>
      <c r="Z1151" s="13"/>
    </row>
    <row r="1152" spans="1:26" ht="32.25" hidden="1" customHeight="1">
      <c r="A1152" s="8">
        <v>2303780</v>
      </c>
      <c r="B1152" s="9" t="s">
        <v>4333</v>
      </c>
      <c r="C1152" s="10">
        <v>45149</v>
      </c>
      <c r="D1152" s="9" t="s">
        <v>57</v>
      </c>
      <c r="E1152" s="9" t="s">
        <v>41</v>
      </c>
      <c r="F1152" s="9" t="s">
        <v>42</v>
      </c>
      <c r="G1152" s="9" t="s">
        <v>43</v>
      </c>
      <c r="H1152" s="9" t="s">
        <v>58</v>
      </c>
      <c r="I1152" s="11" t="s">
        <v>129</v>
      </c>
      <c r="J1152" s="9" t="s">
        <v>130</v>
      </c>
      <c r="K1152" s="9" t="s">
        <v>47</v>
      </c>
      <c r="L1152" s="9" t="s">
        <v>2729</v>
      </c>
      <c r="M1152" s="9" t="s">
        <v>4282</v>
      </c>
      <c r="N1152" s="9" t="s">
        <v>84</v>
      </c>
      <c r="O1152" s="9" t="s">
        <v>51</v>
      </c>
      <c r="P1152" s="9"/>
      <c r="Q1152" s="9"/>
      <c r="R1152" s="9"/>
      <c r="S1152" s="14" t="s">
        <v>4334</v>
      </c>
      <c r="T1152" s="9" t="s">
        <v>4335</v>
      </c>
      <c r="U1152" s="9" t="s">
        <v>54</v>
      </c>
      <c r="V1152" s="9" t="s">
        <v>55</v>
      </c>
      <c r="W1152" s="9" t="s">
        <v>55</v>
      </c>
      <c r="X1152" s="12"/>
      <c r="Y1152" s="9" t="s">
        <v>55</v>
      </c>
      <c r="Z1152" s="13"/>
    </row>
    <row r="1153" spans="1:26" ht="32.25" hidden="1" customHeight="1">
      <c r="A1153" s="8">
        <v>2310763</v>
      </c>
      <c r="B1153" s="9" t="s">
        <v>4336</v>
      </c>
      <c r="C1153" s="10">
        <v>45156</v>
      </c>
      <c r="D1153" s="9" t="s">
        <v>79</v>
      </c>
      <c r="E1153" s="9" t="s">
        <v>68</v>
      </c>
      <c r="F1153" s="9" t="s">
        <v>80</v>
      </c>
      <c r="G1153" s="9" t="s">
        <v>43</v>
      </c>
      <c r="H1153" s="9" t="s">
        <v>44</v>
      </c>
      <c r="I1153" s="11" t="s">
        <v>117</v>
      </c>
      <c r="J1153" s="9" t="s">
        <v>118</v>
      </c>
      <c r="K1153" s="9" t="s">
        <v>47</v>
      </c>
      <c r="L1153" s="9" t="s">
        <v>156</v>
      </c>
      <c r="M1153" s="9"/>
      <c r="N1153" s="9" t="s">
        <v>84</v>
      </c>
      <c r="O1153" s="9" t="s">
        <v>51</v>
      </c>
      <c r="P1153" s="9" t="s">
        <v>2945</v>
      </c>
      <c r="Q1153" s="9"/>
      <c r="R1153" s="9"/>
      <c r="S1153" s="14" t="s">
        <v>4337</v>
      </c>
      <c r="T1153" s="9" t="s">
        <v>4338</v>
      </c>
      <c r="U1153" s="9" t="s">
        <v>54</v>
      </c>
      <c r="V1153" s="9" t="s">
        <v>55</v>
      </c>
      <c r="W1153" s="9" t="s">
        <v>55</v>
      </c>
      <c r="X1153" s="12"/>
      <c r="Y1153" s="9" t="s">
        <v>55</v>
      </c>
      <c r="Z1153" s="13"/>
    </row>
    <row r="1154" spans="1:26" ht="32.25" hidden="1" customHeight="1">
      <c r="A1154" s="8">
        <v>2313304</v>
      </c>
      <c r="B1154" s="9" t="s">
        <v>4339</v>
      </c>
      <c r="C1154" s="10">
        <v>45142</v>
      </c>
      <c r="D1154" s="9" t="s">
        <v>67</v>
      </c>
      <c r="E1154" s="9" t="s">
        <v>89</v>
      </c>
      <c r="F1154" s="9" t="s">
        <v>42</v>
      </c>
      <c r="G1154" s="9" t="s">
        <v>43</v>
      </c>
      <c r="H1154" s="9" t="s">
        <v>44</v>
      </c>
      <c r="I1154" s="11" t="s">
        <v>360</v>
      </c>
      <c r="J1154" s="9" t="s">
        <v>102</v>
      </c>
      <c r="K1154" s="9" t="s">
        <v>47</v>
      </c>
      <c r="L1154" s="9" t="s">
        <v>822</v>
      </c>
      <c r="M1154" s="9" t="s">
        <v>1628</v>
      </c>
      <c r="N1154" s="9" t="s">
        <v>50</v>
      </c>
      <c r="O1154" s="9" t="s">
        <v>51</v>
      </c>
      <c r="P1154" s="9" t="s">
        <v>361</v>
      </c>
      <c r="Q1154" s="9"/>
      <c r="R1154" s="9" t="s">
        <v>61</v>
      </c>
      <c r="S1154" s="9" t="s">
        <v>4340</v>
      </c>
      <c r="T1154" s="9" t="s">
        <v>4341</v>
      </c>
      <c r="U1154" s="9" t="s">
        <v>54</v>
      </c>
      <c r="V1154" s="9" t="s">
        <v>55</v>
      </c>
      <c r="W1154" s="9" t="s">
        <v>55</v>
      </c>
      <c r="X1154" s="12" t="s">
        <v>98</v>
      </c>
      <c r="Y1154" s="9" t="s">
        <v>99</v>
      </c>
      <c r="Z1154" s="13"/>
    </row>
    <row r="1155" spans="1:26" ht="32.25" hidden="1" customHeight="1">
      <c r="A1155" s="8">
        <v>2307938</v>
      </c>
      <c r="B1155" s="9" t="s">
        <v>4342</v>
      </c>
      <c r="C1155" s="10">
        <v>45149</v>
      </c>
      <c r="D1155" s="9" t="s">
        <v>57</v>
      </c>
      <c r="E1155" s="9" t="s">
        <v>41</v>
      </c>
      <c r="F1155" s="9" t="s">
        <v>42</v>
      </c>
      <c r="G1155" s="9" t="s">
        <v>43</v>
      </c>
      <c r="H1155" s="9" t="s">
        <v>58</v>
      </c>
      <c r="I1155" s="11" t="s">
        <v>129</v>
      </c>
      <c r="J1155" s="9" t="s">
        <v>130</v>
      </c>
      <c r="K1155" s="9" t="s">
        <v>47</v>
      </c>
      <c r="L1155" s="9" t="s">
        <v>858</v>
      </c>
      <c r="M1155" s="9" t="s">
        <v>859</v>
      </c>
      <c r="N1155" s="9" t="s">
        <v>50</v>
      </c>
      <c r="O1155" s="9" t="s">
        <v>51</v>
      </c>
      <c r="P1155" s="9"/>
      <c r="Q1155" s="9"/>
      <c r="R1155" s="9" t="s">
        <v>61</v>
      </c>
      <c r="S1155" s="14" t="s">
        <v>4343</v>
      </c>
      <c r="T1155" s="9" t="s">
        <v>4344</v>
      </c>
      <c r="U1155" s="9" t="s">
        <v>54</v>
      </c>
      <c r="V1155" s="9" t="s">
        <v>55</v>
      </c>
      <c r="W1155" s="9" t="s">
        <v>55</v>
      </c>
      <c r="X1155" s="9" t="s">
        <v>98</v>
      </c>
      <c r="Y1155" s="9" t="s">
        <v>99</v>
      </c>
      <c r="Z1155" s="13" t="s">
        <v>230</v>
      </c>
    </row>
    <row r="1156" spans="1:26" ht="32.25" hidden="1" customHeight="1">
      <c r="A1156" s="8">
        <v>2312363</v>
      </c>
      <c r="B1156" s="9" t="s">
        <v>4345</v>
      </c>
      <c r="C1156" s="10">
        <v>45149</v>
      </c>
      <c r="D1156" s="9" t="s">
        <v>57</v>
      </c>
      <c r="E1156" s="9" t="s">
        <v>295</v>
      </c>
      <c r="F1156" s="9" t="s">
        <v>42</v>
      </c>
      <c r="G1156" s="9" t="s">
        <v>43</v>
      </c>
      <c r="H1156" s="9" t="s">
        <v>58</v>
      </c>
      <c r="I1156" s="11" t="s">
        <v>406</v>
      </c>
      <c r="J1156" s="9" t="s">
        <v>407</v>
      </c>
      <c r="K1156" s="9" t="s">
        <v>47</v>
      </c>
      <c r="L1156" s="9" t="s">
        <v>162</v>
      </c>
      <c r="M1156" s="9" t="s">
        <v>345</v>
      </c>
      <c r="N1156" s="9" t="s">
        <v>84</v>
      </c>
      <c r="O1156" s="9" t="s">
        <v>51</v>
      </c>
      <c r="P1156" s="9"/>
      <c r="Q1156" s="9"/>
      <c r="R1156" s="9" t="s">
        <v>61</v>
      </c>
      <c r="S1156" s="14" t="s">
        <v>4346</v>
      </c>
      <c r="T1156" s="9" t="s">
        <v>4347</v>
      </c>
      <c r="U1156" s="9" t="s">
        <v>54</v>
      </c>
      <c r="V1156" s="9" t="s">
        <v>55</v>
      </c>
      <c r="W1156" s="9" t="s">
        <v>55</v>
      </c>
      <c r="X1156" s="9" t="s">
        <v>319</v>
      </c>
      <c r="Y1156" s="9" t="s">
        <v>320</v>
      </c>
      <c r="Z1156" s="13"/>
    </row>
    <row r="1157" spans="1:26" ht="32.25" hidden="1" customHeight="1">
      <c r="A1157" s="8">
        <v>2307044</v>
      </c>
      <c r="B1157" s="9" t="s">
        <v>4348</v>
      </c>
      <c r="C1157" s="10">
        <v>45142</v>
      </c>
      <c r="D1157" s="9" t="s">
        <v>67</v>
      </c>
      <c r="E1157" s="9" t="s">
        <v>89</v>
      </c>
      <c r="F1157" s="9" t="s">
        <v>42</v>
      </c>
      <c r="G1157" s="9" t="s">
        <v>43</v>
      </c>
      <c r="H1157" s="9" t="s">
        <v>44</v>
      </c>
      <c r="I1157" s="11" t="s">
        <v>360</v>
      </c>
      <c r="J1157" s="9" t="s">
        <v>102</v>
      </c>
      <c r="K1157" s="9" t="s">
        <v>47</v>
      </c>
      <c r="L1157" s="9" t="s">
        <v>48</v>
      </c>
      <c r="M1157" s="9" t="s">
        <v>4349</v>
      </c>
      <c r="N1157" s="9" t="s">
        <v>50</v>
      </c>
      <c r="O1157" s="9" t="s">
        <v>51</v>
      </c>
      <c r="P1157" s="9" t="s">
        <v>361</v>
      </c>
      <c r="Q1157" s="9"/>
      <c r="R1157" s="9" t="s">
        <v>61</v>
      </c>
      <c r="S1157" s="9" t="s">
        <v>4350</v>
      </c>
      <c r="T1157" s="9" t="s">
        <v>4351</v>
      </c>
      <c r="U1157" s="9" t="s">
        <v>54</v>
      </c>
      <c r="V1157" s="9" t="s">
        <v>55</v>
      </c>
      <c r="W1157" s="9" t="s">
        <v>55</v>
      </c>
      <c r="X1157" s="12" t="s">
        <v>98</v>
      </c>
      <c r="Y1157" s="9" t="s">
        <v>99</v>
      </c>
      <c r="Z1157" s="13"/>
    </row>
    <row r="1158" spans="1:26" ht="32.25" hidden="1" customHeight="1">
      <c r="A1158" s="8">
        <v>2312019</v>
      </c>
      <c r="B1158" s="9" t="s">
        <v>4352</v>
      </c>
      <c r="C1158" s="10">
        <v>45149</v>
      </c>
      <c r="D1158" s="9" t="s">
        <v>261</v>
      </c>
      <c r="E1158" s="9" t="s">
        <v>89</v>
      </c>
      <c r="F1158" s="9" t="s">
        <v>262</v>
      </c>
      <c r="G1158" s="9" t="s">
        <v>43</v>
      </c>
      <c r="H1158" s="9" t="s">
        <v>44</v>
      </c>
      <c r="I1158" s="11" t="s">
        <v>435</v>
      </c>
      <c r="J1158" s="9" t="s">
        <v>436</v>
      </c>
      <c r="K1158" s="9" t="s">
        <v>47</v>
      </c>
      <c r="L1158" s="9" t="s">
        <v>174</v>
      </c>
      <c r="M1158" s="9" t="s">
        <v>2681</v>
      </c>
      <c r="N1158" s="9" t="s">
        <v>50</v>
      </c>
      <c r="O1158" s="9" t="s">
        <v>51</v>
      </c>
      <c r="P1158" s="9"/>
      <c r="Q1158" s="9"/>
      <c r="R1158" s="9" t="s">
        <v>61</v>
      </c>
      <c r="S1158" s="14" t="s">
        <v>4353</v>
      </c>
      <c r="T1158" s="9" t="s">
        <v>4354</v>
      </c>
      <c r="U1158" s="9" t="s">
        <v>262</v>
      </c>
      <c r="V1158" s="9" t="s">
        <v>251</v>
      </c>
      <c r="W1158" s="9" t="s">
        <v>115</v>
      </c>
      <c r="X1158" s="12" t="s">
        <v>389</v>
      </c>
      <c r="Y1158" s="9" t="s">
        <v>390</v>
      </c>
      <c r="Z1158" s="13"/>
    </row>
    <row r="1159" spans="1:26" ht="32.25" hidden="1" customHeight="1">
      <c r="A1159" s="8">
        <v>2304950</v>
      </c>
      <c r="B1159" s="9" t="s">
        <v>4355</v>
      </c>
      <c r="C1159" s="10">
        <v>45149</v>
      </c>
      <c r="D1159" s="9" t="s">
        <v>57</v>
      </c>
      <c r="E1159" s="9" t="s">
        <v>41</v>
      </c>
      <c r="F1159" s="9" t="s">
        <v>42</v>
      </c>
      <c r="G1159" s="9" t="s">
        <v>43</v>
      </c>
      <c r="H1159" s="9" t="s">
        <v>58</v>
      </c>
      <c r="I1159" s="11" t="s">
        <v>199</v>
      </c>
      <c r="J1159" s="9" t="s">
        <v>200</v>
      </c>
      <c r="K1159" s="9" t="s">
        <v>47</v>
      </c>
      <c r="L1159" s="9" t="s">
        <v>349</v>
      </c>
      <c r="M1159" s="9" t="s">
        <v>785</v>
      </c>
      <c r="N1159" s="9" t="s">
        <v>84</v>
      </c>
      <c r="O1159" s="9" t="s">
        <v>51</v>
      </c>
      <c r="P1159" s="9"/>
      <c r="Q1159" s="9"/>
      <c r="R1159" s="9" t="s">
        <v>61</v>
      </c>
      <c r="S1159" s="14" t="s">
        <v>4356</v>
      </c>
      <c r="T1159" s="9" t="s">
        <v>4357</v>
      </c>
      <c r="U1159" s="9" t="s">
        <v>54</v>
      </c>
      <c r="V1159" s="9" t="s">
        <v>55</v>
      </c>
      <c r="W1159" s="9" t="s">
        <v>55</v>
      </c>
      <c r="X1159" s="12" t="s">
        <v>196</v>
      </c>
      <c r="Y1159" s="9" t="s">
        <v>197</v>
      </c>
      <c r="Z1159" s="13" t="s">
        <v>4358</v>
      </c>
    </row>
    <row r="1160" spans="1:26" ht="32.25" hidden="1" customHeight="1">
      <c r="A1160" s="8">
        <v>2312217</v>
      </c>
      <c r="B1160" s="9" t="s">
        <v>4359</v>
      </c>
      <c r="C1160" s="10">
        <v>45156</v>
      </c>
      <c r="D1160" s="9" t="s">
        <v>79</v>
      </c>
      <c r="E1160" s="9" t="s">
        <v>89</v>
      </c>
      <c r="F1160" s="9" t="s">
        <v>80</v>
      </c>
      <c r="G1160" s="9" t="s">
        <v>43</v>
      </c>
      <c r="H1160" s="9" t="s">
        <v>44</v>
      </c>
      <c r="I1160" s="11" t="s">
        <v>108</v>
      </c>
      <c r="J1160" s="9" t="s">
        <v>109</v>
      </c>
      <c r="K1160" s="9" t="s">
        <v>47</v>
      </c>
      <c r="L1160" s="9" t="s">
        <v>799</v>
      </c>
      <c r="M1160" s="9" t="s">
        <v>1490</v>
      </c>
      <c r="N1160" s="9" t="s">
        <v>50</v>
      </c>
      <c r="O1160" s="9" t="s">
        <v>51</v>
      </c>
      <c r="P1160" s="9" t="s">
        <v>112</v>
      </c>
      <c r="Q1160" s="9"/>
      <c r="R1160" s="9"/>
      <c r="S1160" s="14" t="s">
        <v>4360</v>
      </c>
      <c r="T1160" s="9" t="s">
        <v>4361</v>
      </c>
      <c r="U1160" s="9" t="s">
        <v>54</v>
      </c>
      <c r="V1160" s="9" t="s">
        <v>55</v>
      </c>
      <c r="W1160" s="9" t="s">
        <v>115</v>
      </c>
      <c r="X1160" s="12"/>
      <c r="Y1160" s="9" t="s">
        <v>55</v>
      </c>
      <c r="Z1160" s="13"/>
    </row>
    <row r="1161" spans="1:26" ht="32.25" hidden="1" customHeight="1">
      <c r="A1161" s="8">
        <v>2301059</v>
      </c>
      <c r="B1161" s="9" t="s">
        <v>4362</v>
      </c>
      <c r="C1161" s="10">
        <v>45149</v>
      </c>
      <c r="D1161" s="9" t="s">
        <v>57</v>
      </c>
      <c r="E1161" s="9" t="s">
        <v>41</v>
      </c>
      <c r="F1161" s="9" t="s">
        <v>42</v>
      </c>
      <c r="G1161" s="9" t="s">
        <v>43</v>
      </c>
      <c r="H1161" s="9" t="s">
        <v>58</v>
      </c>
      <c r="I1161" s="11" t="s">
        <v>199</v>
      </c>
      <c r="J1161" s="9" t="s">
        <v>200</v>
      </c>
      <c r="K1161" s="9" t="s">
        <v>47</v>
      </c>
      <c r="L1161" s="9" t="s">
        <v>48</v>
      </c>
      <c r="M1161" s="9" t="s">
        <v>674</v>
      </c>
      <c r="N1161" s="9" t="s">
        <v>50</v>
      </c>
      <c r="O1161" s="9" t="s">
        <v>51</v>
      </c>
      <c r="P1161" s="9"/>
      <c r="Q1161" s="9"/>
      <c r="R1161" s="9" t="s">
        <v>61</v>
      </c>
      <c r="S1161" s="14" t="s">
        <v>4363</v>
      </c>
      <c r="T1161" s="9" t="s">
        <v>4364</v>
      </c>
      <c r="U1161" s="9" t="s">
        <v>54</v>
      </c>
      <c r="V1161" s="9" t="s">
        <v>55</v>
      </c>
      <c r="W1161" s="9" t="s">
        <v>55</v>
      </c>
      <c r="X1161" s="12" t="s">
        <v>196</v>
      </c>
      <c r="Y1161" s="9" t="s">
        <v>197</v>
      </c>
      <c r="Z1161" s="13"/>
    </row>
    <row r="1162" spans="1:26" ht="32.25" hidden="1" customHeight="1">
      <c r="A1162" s="8">
        <v>2307634</v>
      </c>
      <c r="B1162" s="9" t="s">
        <v>4365</v>
      </c>
      <c r="C1162" s="10">
        <v>45156</v>
      </c>
      <c r="D1162" s="9" t="s">
        <v>79</v>
      </c>
      <c r="E1162" s="9" t="s">
        <v>89</v>
      </c>
      <c r="F1162" s="9" t="s">
        <v>80</v>
      </c>
      <c r="G1162" s="9" t="s">
        <v>43</v>
      </c>
      <c r="H1162" s="9" t="s">
        <v>44</v>
      </c>
      <c r="I1162" s="11" t="s">
        <v>101</v>
      </c>
      <c r="J1162" s="9" t="s">
        <v>102</v>
      </c>
      <c r="K1162" s="9" t="s">
        <v>47</v>
      </c>
      <c r="L1162" s="9" t="s">
        <v>156</v>
      </c>
      <c r="M1162" s="9"/>
      <c r="N1162" s="9" t="s">
        <v>84</v>
      </c>
      <c r="O1162" s="9" t="s">
        <v>51</v>
      </c>
      <c r="P1162" s="9" t="s">
        <v>212</v>
      </c>
      <c r="Q1162" s="9"/>
      <c r="R1162" s="9"/>
      <c r="S1162" s="14" t="s">
        <v>4366</v>
      </c>
      <c r="T1162" s="9" t="s">
        <v>4367</v>
      </c>
      <c r="U1162" s="9" t="s">
        <v>54</v>
      </c>
      <c r="V1162" s="9" t="s">
        <v>55</v>
      </c>
      <c r="W1162" s="9" t="s">
        <v>55</v>
      </c>
      <c r="X1162" s="12"/>
      <c r="Y1162" s="9" t="s">
        <v>55</v>
      </c>
      <c r="Z1162" s="13"/>
    </row>
    <row r="1163" spans="1:26" ht="32.25" hidden="1" customHeight="1">
      <c r="A1163" s="8">
        <v>2310120</v>
      </c>
      <c r="B1163" s="9" t="s">
        <v>4368</v>
      </c>
      <c r="C1163" s="10">
        <v>45149</v>
      </c>
      <c r="D1163" s="9" t="s">
        <v>57</v>
      </c>
      <c r="E1163" s="9" t="s">
        <v>41</v>
      </c>
      <c r="F1163" s="9" t="s">
        <v>42</v>
      </c>
      <c r="G1163" s="9" t="s">
        <v>43</v>
      </c>
      <c r="H1163" s="9" t="s">
        <v>58</v>
      </c>
      <c r="I1163" s="11" t="s">
        <v>129</v>
      </c>
      <c r="J1163" s="9" t="s">
        <v>130</v>
      </c>
      <c r="K1163" s="9" t="s">
        <v>47</v>
      </c>
      <c r="L1163" s="9" t="s">
        <v>156</v>
      </c>
      <c r="M1163" s="9"/>
      <c r="N1163" s="9" t="s">
        <v>50</v>
      </c>
      <c r="O1163" s="9" t="s">
        <v>51</v>
      </c>
      <c r="P1163" s="9"/>
      <c r="Q1163" s="9"/>
      <c r="R1163" s="9"/>
      <c r="S1163" s="14" t="s">
        <v>4369</v>
      </c>
      <c r="T1163" s="9" t="s">
        <v>4370</v>
      </c>
      <c r="U1163" s="9" t="s">
        <v>54</v>
      </c>
      <c r="V1163" s="9" t="s">
        <v>55</v>
      </c>
      <c r="W1163" s="9" t="s">
        <v>55</v>
      </c>
      <c r="X1163" s="12"/>
      <c r="Y1163" s="9" t="s">
        <v>55</v>
      </c>
      <c r="Z1163" s="13"/>
    </row>
    <row r="1164" spans="1:26" ht="32.25" hidden="1" customHeight="1">
      <c r="A1164" s="8">
        <v>2303117</v>
      </c>
      <c r="B1164" s="9" t="s">
        <v>4371</v>
      </c>
      <c r="C1164" s="10">
        <v>45142</v>
      </c>
      <c r="D1164" s="9" t="s">
        <v>67</v>
      </c>
      <c r="E1164" s="9" t="s">
        <v>68</v>
      </c>
      <c r="F1164" s="9" t="s">
        <v>42</v>
      </c>
      <c r="G1164" s="9" t="s">
        <v>43</v>
      </c>
      <c r="H1164" s="9" t="s">
        <v>44</v>
      </c>
      <c r="I1164" s="11" t="s">
        <v>69</v>
      </c>
      <c r="J1164" s="9" t="s">
        <v>70</v>
      </c>
      <c r="K1164" s="9" t="s">
        <v>47</v>
      </c>
      <c r="L1164" s="9" t="s">
        <v>713</v>
      </c>
      <c r="M1164" s="9" t="s">
        <v>714</v>
      </c>
      <c r="N1164" s="9" t="s">
        <v>50</v>
      </c>
      <c r="O1164" s="9" t="s">
        <v>51</v>
      </c>
      <c r="P1164" s="9" t="s">
        <v>73</v>
      </c>
      <c r="Q1164" s="9"/>
      <c r="R1164" s="9" t="s">
        <v>61</v>
      </c>
      <c r="S1164" s="9" t="s">
        <v>4372</v>
      </c>
      <c r="T1164" s="9" t="s">
        <v>4373</v>
      </c>
      <c r="U1164" s="9" t="s">
        <v>54</v>
      </c>
      <c r="V1164" s="9" t="s">
        <v>55</v>
      </c>
      <c r="W1164" s="9" t="s">
        <v>55</v>
      </c>
      <c r="X1164" s="12" t="s">
        <v>76</v>
      </c>
      <c r="Y1164" s="9" t="s">
        <v>77</v>
      </c>
      <c r="Z1164" s="13"/>
    </row>
    <row r="1165" spans="1:26" ht="32.25" hidden="1" customHeight="1">
      <c r="A1165" s="8">
        <v>2301795</v>
      </c>
      <c r="B1165" s="9" t="s">
        <v>4374</v>
      </c>
      <c r="C1165" s="10">
        <v>45149</v>
      </c>
      <c r="D1165" s="9" t="s">
        <v>57</v>
      </c>
      <c r="E1165" s="9" t="s">
        <v>153</v>
      </c>
      <c r="F1165" s="9" t="s">
        <v>42</v>
      </c>
      <c r="G1165" s="9" t="s">
        <v>43</v>
      </c>
      <c r="H1165" s="9" t="s">
        <v>58</v>
      </c>
      <c r="I1165" s="11" t="s">
        <v>154</v>
      </c>
      <c r="J1165" s="9" t="s">
        <v>155</v>
      </c>
      <c r="K1165" s="9" t="s">
        <v>47</v>
      </c>
      <c r="L1165" s="9" t="s">
        <v>48</v>
      </c>
      <c r="M1165" s="9" t="s">
        <v>3922</v>
      </c>
      <c r="N1165" s="9" t="s">
        <v>84</v>
      </c>
      <c r="O1165" s="9" t="s">
        <v>51</v>
      </c>
      <c r="P1165" s="9"/>
      <c r="Q1165" s="9"/>
      <c r="R1165" s="9"/>
      <c r="S1165" s="14" t="s">
        <v>4375</v>
      </c>
      <c r="T1165" s="9" t="s">
        <v>4376</v>
      </c>
      <c r="U1165" s="9" t="s">
        <v>54</v>
      </c>
      <c r="V1165" s="9" t="s">
        <v>55</v>
      </c>
      <c r="W1165" s="9" t="s">
        <v>55</v>
      </c>
      <c r="X1165" s="12"/>
      <c r="Y1165" s="9" t="s">
        <v>55</v>
      </c>
      <c r="Z1165" s="13"/>
    </row>
    <row r="1166" spans="1:26" ht="32.25" hidden="1" customHeight="1">
      <c r="A1166" s="8">
        <v>2312978</v>
      </c>
      <c r="B1166" s="9" t="s">
        <v>4377</v>
      </c>
      <c r="C1166" s="10">
        <v>45149</v>
      </c>
      <c r="D1166" s="9" t="s">
        <v>261</v>
      </c>
      <c r="E1166" s="9" t="s">
        <v>89</v>
      </c>
      <c r="F1166" s="9" t="s">
        <v>262</v>
      </c>
      <c r="G1166" s="9" t="s">
        <v>43</v>
      </c>
      <c r="H1166" s="9" t="s">
        <v>44</v>
      </c>
      <c r="I1166" s="11" t="s">
        <v>1488</v>
      </c>
      <c r="J1166" s="9" t="s">
        <v>1489</v>
      </c>
      <c r="K1166" s="9" t="s">
        <v>47</v>
      </c>
      <c r="L1166" s="9" t="s">
        <v>156</v>
      </c>
      <c r="M1166" s="9"/>
      <c r="N1166" s="9" t="s">
        <v>50</v>
      </c>
      <c r="O1166" s="9" t="s">
        <v>51</v>
      </c>
      <c r="P1166" s="9"/>
      <c r="Q1166" s="9"/>
      <c r="R1166" s="9" t="s">
        <v>61</v>
      </c>
      <c r="S1166" s="14" t="s">
        <v>4378</v>
      </c>
      <c r="T1166" s="9" t="s">
        <v>4379</v>
      </c>
      <c r="U1166" s="9" t="s">
        <v>262</v>
      </c>
      <c r="V1166" s="9" t="s">
        <v>251</v>
      </c>
      <c r="W1166" s="9" t="s">
        <v>115</v>
      </c>
      <c r="X1166" s="12"/>
      <c r="Y1166" s="9" t="s">
        <v>55</v>
      </c>
      <c r="Z1166" s="13" t="s">
        <v>1220</v>
      </c>
    </row>
    <row r="1167" spans="1:26" ht="32.25" hidden="1" customHeight="1">
      <c r="A1167" s="8">
        <v>2303351</v>
      </c>
      <c r="B1167" s="9" t="s">
        <v>4380</v>
      </c>
      <c r="C1167" s="10">
        <v>45142</v>
      </c>
      <c r="D1167" s="9" t="s">
        <v>67</v>
      </c>
      <c r="E1167" s="9" t="s">
        <v>143</v>
      </c>
      <c r="F1167" s="9" t="s">
        <v>42</v>
      </c>
      <c r="G1167" s="9" t="s">
        <v>43</v>
      </c>
      <c r="H1167" s="9" t="s">
        <v>44</v>
      </c>
      <c r="I1167" s="11" t="s">
        <v>144</v>
      </c>
      <c r="J1167" s="9" t="s">
        <v>145</v>
      </c>
      <c r="K1167" s="9" t="s">
        <v>47</v>
      </c>
      <c r="L1167" s="9" t="s">
        <v>162</v>
      </c>
      <c r="M1167" s="9" t="s">
        <v>4381</v>
      </c>
      <c r="N1167" s="9" t="s">
        <v>50</v>
      </c>
      <c r="O1167" s="9" t="s">
        <v>51</v>
      </c>
      <c r="P1167" s="9" t="s">
        <v>147</v>
      </c>
      <c r="Q1167" s="9"/>
      <c r="R1167" s="9" t="s">
        <v>61</v>
      </c>
      <c r="S1167" s="9" t="s">
        <v>4382</v>
      </c>
      <c r="T1167" s="9" t="s">
        <v>4383</v>
      </c>
      <c r="U1167" s="9" t="s">
        <v>54</v>
      </c>
      <c r="V1167" s="9" t="s">
        <v>55</v>
      </c>
      <c r="W1167" s="9" t="s">
        <v>55</v>
      </c>
      <c r="X1167" s="12" t="s">
        <v>150</v>
      </c>
      <c r="Y1167" s="9" t="s">
        <v>151</v>
      </c>
      <c r="Z1167" s="13"/>
    </row>
    <row r="1168" spans="1:26" ht="32.25" hidden="1" customHeight="1">
      <c r="A1168" s="8">
        <v>2304677</v>
      </c>
      <c r="B1168" s="9" t="s">
        <v>4384</v>
      </c>
      <c r="C1168" s="10">
        <v>45156</v>
      </c>
      <c r="D1168" s="9" t="s">
        <v>565</v>
      </c>
      <c r="E1168" s="9" t="s">
        <v>41</v>
      </c>
      <c r="F1168" s="9" t="s">
        <v>42</v>
      </c>
      <c r="G1168" s="9" t="s">
        <v>43</v>
      </c>
      <c r="H1168" s="9" t="s">
        <v>58</v>
      </c>
      <c r="I1168" s="11" t="s">
        <v>1073</v>
      </c>
      <c r="J1168" s="9" t="s">
        <v>479</v>
      </c>
      <c r="K1168" s="9" t="s">
        <v>47</v>
      </c>
      <c r="L1168" s="9" t="s">
        <v>3667</v>
      </c>
      <c r="M1168" s="9" t="s">
        <v>4385</v>
      </c>
      <c r="N1168" s="9" t="s">
        <v>50</v>
      </c>
      <c r="O1168" s="9" t="s">
        <v>51</v>
      </c>
      <c r="P1168" s="9"/>
      <c r="Q1168" s="9"/>
      <c r="R1168" s="9" t="s">
        <v>61</v>
      </c>
      <c r="S1168" s="14" t="s">
        <v>4386</v>
      </c>
      <c r="T1168" s="9" t="s">
        <v>4387</v>
      </c>
      <c r="U1168" s="9" t="s">
        <v>54</v>
      </c>
      <c r="V1168" s="9" t="s">
        <v>55</v>
      </c>
      <c r="W1168" s="9" t="s">
        <v>55</v>
      </c>
      <c r="X1168" s="9" t="s">
        <v>196</v>
      </c>
      <c r="Y1168" s="9" t="s">
        <v>197</v>
      </c>
      <c r="Z1168" s="13"/>
    </row>
    <row r="1169" spans="1:26" ht="32.25" hidden="1" customHeight="1">
      <c r="A1169" s="8">
        <v>2309259</v>
      </c>
      <c r="B1169" s="9" t="s">
        <v>4388</v>
      </c>
      <c r="C1169" s="10">
        <v>45149</v>
      </c>
      <c r="D1169" s="9" t="s">
        <v>57</v>
      </c>
      <c r="E1169" s="9" t="s">
        <v>41</v>
      </c>
      <c r="F1169" s="9" t="s">
        <v>42</v>
      </c>
      <c r="G1169" s="9" t="s">
        <v>43</v>
      </c>
      <c r="H1169" s="9" t="s">
        <v>58</v>
      </c>
      <c r="I1169" s="11" t="s">
        <v>129</v>
      </c>
      <c r="J1169" s="9" t="s">
        <v>130</v>
      </c>
      <c r="K1169" s="9" t="s">
        <v>47</v>
      </c>
      <c r="L1169" s="9" t="s">
        <v>156</v>
      </c>
      <c r="M1169" s="9"/>
      <c r="N1169" s="9" t="s">
        <v>84</v>
      </c>
      <c r="O1169" s="9" t="s">
        <v>51</v>
      </c>
      <c r="P1169" s="9"/>
      <c r="Q1169" s="9"/>
      <c r="R1169" s="9"/>
      <c r="S1169" s="14" t="s">
        <v>4389</v>
      </c>
      <c r="T1169" s="9" t="s">
        <v>4390</v>
      </c>
      <c r="U1169" s="9" t="s">
        <v>54</v>
      </c>
      <c r="V1169" s="9" t="s">
        <v>55</v>
      </c>
      <c r="W1169" s="9" t="s">
        <v>55</v>
      </c>
      <c r="X1169" s="12"/>
      <c r="Y1169" s="9" t="s">
        <v>55</v>
      </c>
      <c r="Z1169" s="13"/>
    </row>
    <row r="1170" spans="1:26" ht="32.25" hidden="1" customHeight="1">
      <c r="A1170" s="8">
        <v>2300420</v>
      </c>
      <c r="B1170" s="9" t="s">
        <v>4391</v>
      </c>
      <c r="C1170" s="10">
        <v>45149</v>
      </c>
      <c r="D1170" s="9" t="s">
        <v>57</v>
      </c>
      <c r="E1170" s="9" t="s">
        <v>143</v>
      </c>
      <c r="F1170" s="9" t="s">
        <v>42</v>
      </c>
      <c r="G1170" s="9" t="s">
        <v>43</v>
      </c>
      <c r="H1170" s="9" t="s">
        <v>58</v>
      </c>
      <c r="I1170" s="11" t="s">
        <v>334</v>
      </c>
      <c r="J1170" s="9" t="s">
        <v>327</v>
      </c>
      <c r="K1170" s="9" t="s">
        <v>47</v>
      </c>
      <c r="L1170" s="9" t="s">
        <v>48</v>
      </c>
      <c r="M1170" s="9" t="s">
        <v>4392</v>
      </c>
      <c r="N1170" s="9" t="s">
        <v>50</v>
      </c>
      <c r="O1170" s="9" t="s">
        <v>51</v>
      </c>
      <c r="P1170" s="9" t="s">
        <v>336</v>
      </c>
      <c r="Q1170" s="9"/>
      <c r="R1170" s="9"/>
      <c r="S1170" s="14" t="s">
        <v>4393</v>
      </c>
      <c r="T1170" s="9" t="s">
        <v>4394</v>
      </c>
      <c r="U1170" s="9" t="s">
        <v>54</v>
      </c>
      <c r="V1170" s="9" t="s">
        <v>55</v>
      </c>
      <c r="W1170" s="9" t="s">
        <v>55</v>
      </c>
      <c r="X1170" s="12"/>
      <c r="Y1170" s="9" t="s">
        <v>55</v>
      </c>
      <c r="Z1170" s="13"/>
    </row>
    <row r="1171" spans="1:26" ht="32.25" hidden="1" customHeight="1">
      <c r="A1171" s="8">
        <v>2303547</v>
      </c>
      <c r="B1171" s="9" t="s">
        <v>4395</v>
      </c>
      <c r="C1171" s="10">
        <v>45142</v>
      </c>
      <c r="D1171" s="9" t="s">
        <v>67</v>
      </c>
      <c r="E1171" s="9" t="s">
        <v>68</v>
      </c>
      <c r="F1171" s="9" t="s">
        <v>135</v>
      </c>
      <c r="G1171" s="9" t="s">
        <v>43</v>
      </c>
      <c r="H1171" s="9" t="s">
        <v>44</v>
      </c>
      <c r="I1171" s="11" t="s">
        <v>136</v>
      </c>
      <c r="J1171" s="9" t="s">
        <v>137</v>
      </c>
      <c r="K1171" s="9" t="s">
        <v>47</v>
      </c>
      <c r="L1171" s="9" t="s">
        <v>138</v>
      </c>
      <c r="M1171" s="9" t="s">
        <v>4396</v>
      </c>
      <c r="N1171" s="9" t="s">
        <v>50</v>
      </c>
      <c r="O1171" s="9" t="s">
        <v>51</v>
      </c>
      <c r="P1171" s="9"/>
      <c r="Q1171" s="9"/>
      <c r="R1171" s="9" t="s">
        <v>61</v>
      </c>
      <c r="S1171" s="9" t="s">
        <v>4397</v>
      </c>
      <c r="T1171" s="9" t="s">
        <v>4398</v>
      </c>
      <c r="U1171" s="9" t="s">
        <v>54</v>
      </c>
      <c r="V1171" s="9" t="s">
        <v>55</v>
      </c>
      <c r="W1171" s="9" t="s">
        <v>55</v>
      </c>
      <c r="X1171" s="12" t="s">
        <v>76</v>
      </c>
      <c r="Y1171" s="9" t="s">
        <v>77</v>
      </c>
      <c r="Z1171" s="13"/>
    </row>
    <row r="1172" spans="1:26" ht="32.25" hidden="1" customHeight="1">
      <c r="A1172" s="8">
        <v>2305296</v>
      </c>
      <c r="B1172" s="9" t="s">
        <v>4399</v>
      </c>
      <c r="C1172" s="10">
        <v>45149</v>
      </c>
      <c r="D1172" s="9" t="s">
        <v>57</v>
      </c>
      <c r="E1172" s="9" t="s">
        <v>41</v>
      </c>
      <c r="F1172" s="9" t="s">
        <v>42</v>
      </c>
      <c r="G1172" s="9" t="s">
        <v>43</v>
      </c>
      <c r="H1172" s="9" t="s">
        <v>58</v>
      </c>
      <c r="I1172" s="11" t="s">
        <v>661</v>
      </c>
      <c r="J1172" s="9" t="s">
        <v>662</v>
      </c>
      <c r="K1172" s="9" t="s">
        <v>47</v>
      </c>
      <c r="L1172" s="9" t="s">
        <v>586</v>
      </c>
      <c r="M1172" s="9" t="s">
        <v>918</v>
      </c>
      <c r="N1172" s="9" t="s">
        <v>84</v>
      </c>
      <c r="O1172" s="9" t="s">
        <v>51</v>
      </c>
      <c r="P1172" s="9"/>
      <c r="Q1172" s="9"/>
      <c r="R1172" s="9" t="s">
        <v>61</v>
      </c>
      <c r="S1172" s="14" t="s">
        <v>4400</v>
      </c>
      <c r="T1172" s="9" t="s">
        <v>4401</v>
      </c>
      <c r="U1172" s="9" t="s">
        <v>54</v>
      </c>
      <c r="V1172" s="9" t="s">
        <v>55</v>
      </c>
      <c r="W1172" s="9" t="s">
        <v>55</v>
      </c>
      <c r="X1172" s="9" t="s">
        <v>64</v>
      </c>
      <c r="Y1172" s="9" t="s">
        <v>65</v>
      </c>
      <c r="Z1172" s="13"/>
    </row>
    <row r="1173" spans="1:26" ht="32.25" hidden="1" customHeight="1">
      <c r="A1173" s="8">
        <v>2303799</v>
      </c>
      <c r="B1173" s="9" t="s">
        <v>4402</v>
      </c>
      <c r="C1173" s="10">
        <v>45149</v>
      </c>
      <c r="D1173" s="9" t="s">
        <v>57</v>
      </c>
      <c r="E1173" s="9" t="s">
        <v>41</v>
      </c>
      <c r="F1173" s="9" t="s">
        <v>42</v>
      </c>
      <c r="G1173" s="9" t="s">
        <v>43</v>
      </c>
      <c r="H1173" s="9" t="s">
        <v>58</v>
      </c>
      <c r="I1173" s="11" t="s">
        <v>129</v>
      </c>
      <c r="J1173" s="9" t="s">
        <v>130</v>
      </c>
      <c r="K1173" s="9" t="s">
        <v>47</v>
      </c>
      <c r="L1173" s="9" t="s">
        <v>226</v>
      </c>
      <c r="M1173" s="9" t="s">
        <v>1374</v>
      </c>
      <c r="N1173" s="9" t="s">
        <v>84</v>
      </c>
      <c r="O1173" s="9" t="s">
        <v>51</v>
      </c>
      <c r="P1173" s="9"/>
      <c r="Q1173" s="9"/>
      <c r="R1173" s="9" t="s">
        <v>61</v>
      </c>
      <c r="S1173" s="14" t="s">
        <v>4403</v>
      </c>
      <c r="T1173" s="9" t="s">
        <v>4404</v>
      </c>
      <c r="U1173" s="9" t="s">
        <v>54</v>
      </c>
      <c r="V1173" s="9" t="s">
        <v>55</v>
      </c>
      <c r="W1173" s="9" t="s">
        <v>55</v>
      </c>
      <c r="X1173" s="9" t="s">
        <v>196</v>
      </c>
      <c r="Y1173" s="9" t="s">
        <v>197</v>
      </c>
      <c r="Z1173" s="13" t="s">
        <v>230</v>
      </c>
    </row>
    <row r="1174" spans="1:26" ht="32.25" hidden="1" customHeight="1">
      <c r="A1174" s="8">
        <v>2301766</v>
      </c>
      <c r="B1174" s="9" t="s">
        <v>4405</v>
      </c>
      <c r="C1174" s="10">
        <v>45149</v>
      </c>
      <c r="D1174" s="9" t="s">
        <v>57</v>
      </c>
      <c r="E1174" s="9" t="s">
        <v>41</v>
      </c>
      <c r="F1174" s="9" t="s">
        <v>42</v>
      </c>
      <c r="G1174" s="9" t="s">
        <v>43</v>
      </c>
      <c r="H1174" s="9" t="s">
        <v>58</v>
      </c>
      <c r="I1174" s="11" t="s">
        <v>45</v>
      </c>
      <c r="J1174" s="9" t="s">
        <v>46</v>
      </c>
      <c r="K1174" s="9" t="s">
        <v>47</v>
      </c>
      <c r="L1174" s="9" t="s">
        <v>799</v>
      </c>
      <c r="M1174" s="9" t="s">
        <v>1691</v>
      </c>
      <c r="N1174" s="9" t="s">
        <v>50</v>
      </c>
      <c r="O1174" s="9" t="s">
        <v>51</v>
      </c>
      <c r="P1174" s="9"/>
      <c r="Q1174" s="9"/>
      <c r="R1174" s="9" t="s">
        <v>61</v>
      </c>
      <c r="S1174" s="14" t="s">
        <v>4406</v>
      </c>
      <c r="T1174" s="9" t="s">
        <v>4407</v>
      </c>
      <c r="U1174" s="9" t="s">
        <v>54</v>
      </c>
      <c r="V1174" s="9" t="s">
        <v>55</v>
      </c>
      <c r="W1174" s="9" t="s">
        <v>55</v>
      </c>
      <c r="X1174" s="9" t="s">
        <v>64</v>
      </c>
      <c r="Y1174" s="9" t="s">
        <v>65</v>
      </c>
      <c r="Z1174" s="13"/>
    </row>
    <row r="1175" spans="1:26" ht="32.25" hidden="1" customHeight="1">
      <c r="A1175" s="8">
        <v>2305356</v>
      </c>
      <c r="B1175" s="9" t="s">
        <v>4408</v>
      </c>
      <c r="C1175" s="10">
        <v>45156</v>
      </c>
      <c r="D1175" s="9" t="s">
        <v>79</v>
      </c>
      <c r="E1175" s="9" t="s">
        <v>143</v>
      </c>
      <c r="F1175" s="9" t="s">
        <v>80</v>
      </c>
      <c r="G1175" s="9" t="s">
        <v>43</v>
      </c>
      <c r="H1175" s="9" t="s">
        <v>44</v>
      </c>
      <c r="I1175" s="11" t="s">
        <v>399</v>
      </c>
      <c r="J1175" s="9" t="s">
        <v>400</v>
      </c>
      <c r="K1175" s="9" t="s">
        <v>47</v>
      </c>
      <c r="L1175" s="9" t="s">
        <v>2006</v>
      </c>
      <c r="M1175" s="9" t="s">
        <v>2346</v>
      </c>
      <c r="N1175" s="9" t="s">
        <v>50</v>
      </c>
      <c r="O1175" s="9" t="s">
        <v>51</v>
      </c>
      <c r="P1175" s="9" t="s">
        <v>1617</v>
      </c>
      <c r="Q1175" s="9"/>
      <c r="R1175" s="9" t="s">
        <v>61</v>
      </c>
      <c r="S1175" s="14" t="s">
        <v>4409</v>
      </c>
      <c r="T1175" s="9" t="s">
        <v>4410</v>
      </c>
      <c r="U1175" s="9" t="s">
        <v>54</v>
      </c>
      <c r="V1175" s="9" t="s">
        <v>251</v>
      </c>
      <c r="W1175" s="9" t="s">
        <v>115</v>
      </c>
      <c r="X1175" s="12" t="s">
        <v>171</v>
      </c>
      <c r="Y1175" s="9" t="s">
        <v>172</v>
      </c>
      <c r="Z1175" s="13"/>
    </row>
    <row r="1176" spans="1:26" ht="32.25" hidden="1" customHeight="1">
      <c r="A1176" s="8">
        <v>2301876</v>
      </c>
      <c r="B1176" s="9" t="s">
        <v>4411</v>
      </c>
      <c r="C1176" s="10">
        <v>45149</v>
      </c>
      <c r="D1176" s="9" t="s">
        <v>57</v>
      </c>
      <c r="E1176" s="9" t="s">
        <v>41</v>
      </c>
      <c r="F1176" s="9" t="s">
        <v>42</v>
      </c>
      <c r="G1176" s="9" t="s">
        <v>43</v>
      </c>
      <c r="H1176" s="9" t="s">
        <v>58</v>
      </c>
      <c r="I1176" s="11" t="s">
        <v>661</v>
      </c>
      <c r="J1176" s="9" t="s">
        <v>662</v>
      </c>
      <c r="K1176" s="9" t="s">
        <v>47</v>
      </c>
      <c r="L1176" s="9" t="s">
        <v>156</v>
      </c>
      <c r="M1176" s="9" t="s">
        <v>157</v>
      </c>
      <c r="N1176" s="9" t="s">
        <v>84</v>
      </c>
      <c r="O1176" s="9" t="s">
        <v>51</v>
      </c>
      <c r="P1176" s="9"/>
      <c r="Q1176" s="9"/>
      <c r="R1176" s="9"/>
      <c r="S1176" s="14" t="s">
        <v>4412</v>
      </c>
      <c r="T1176" s="9" t="s">
        <v>4413</v>
      </c>
      <c r="U1176" s="9" t="s">
        <v>54</v>
      </c>
      <c r="V1176" s="9" t="s">
        <v>55</v>
      </c>
      <c r="W1176" s="9" t="s">
        <v>55</v>
      </c>
      <c r="X1176" s="12"/>
      <c r="Y1176" s="9" t="s">
        <v>55</v>
      </c>
      <c r="Z1176" s="13"/>
    </row>
    <row r="1177" spans="1:26" ht="32.25" hidden="1" customHeight="1">
      <c r="A1177" s="8">
        <v>2301885</v>
      </c>
      <c r="B1177" s="9" t="s">
        <v>4414</v>
      </c>
      <c r="C1177" s="10">
        <v>45142</v>
      </c>
      <c r="D1177" s="9" t="s">
        <v>67</v>
      </c>
      <c r="E1177" s="9" t="s">
        <v>68</v>
      </c>
      <c r="F1177" s="9" t="s">
        <v>135</v>
      </c>
      <c r="G1177" s="9" t="s">
        <v>43</v>
      </c>
      <c r="H1177" s="9" t="s">
        <v>44</v>
      </c>
      <c r="I1177" s="11" t="s">
        <v>136</v>
      </c>
      <c r="J1177" s="9" t="s">
        <v>137</v>
      </c>
      <c r="K1177" s="9" t="s">
        <v>47</v>
      </c>
      <c r="L1177" s="9" t="s">
        <v>180</v>
      </c>
      <c r="M1177" s="9" t="s">
        <v>181</v>
      </c>
      <c r="N1177" s="9" t="s">
        <v>84</v>
      </c>
      <c r="O1177" s="9" t="s">
        <v>51</v>
      </c>
      <c r="P1177" s="9"/>
      <c r="Q1177" s="9"/>
      <c r="R1177" s="9" t="s">
        <v>61</v>
      </c>
      <c r="S1177" s="9" t="s">
        <v>4415</v>
      </c>
      <c r="T1177" s="9" t="s">
        <v>4416</v>
      </c>
      <c r="U1177" s="9" t="s">
        <v>54</v>
      </c>
      <c r="V1177" s="9" t="s">
        <v>55</v>
      </c>
      <c r="W1177" s="9" t="s">
        <v>55</v>
      </c>
      <c r="X1177" s="12" t="s">
        <v>76</v>
      </c>
      <c r="Y1177" s="9" t="s">
        <v>77</v>
      </c>
      <c r="Z1177" s="13"/>
    </row>
    <row r="1178" spans="1:26" ht="32.25" hidden="1" customHeight="1">
      <c r="A1178" s="8">
        <v>2314066</v>
      </c>
      <c r="B1178" s="9" t="s">
        <v>4417</v>
      </c>
      <c r="C1178" s="10">
        <v>45142</v>
      </c>
      <c r="D1178" s="9" t="s">
        <v>67</v>
      </c>
      <c r="E1178" s="9" t="s">
        <v>41</v>
      </c>
      <c r="F1178" s="9" t="s">
        <v>42</v>
      </c>
      <c r="G1178" s="9" t="s">
        <v>43</v>
      </c>
      <c r="H1178" s="9" t="s">
        <v>44</v>
      </c>
      <c r="I1178" s="11" t="s">
        <v>661</v>
      </c>
      <c r="J1178" s="9" t="s">
        <v>662</v>
      </c>
      <c r="K1178" s="9" t="s">
        <v>47</v>
      </c>
      <c r="L1178" s="9" t="s">
        <v>1760</v>
      </c>
      <c r="M1178" s="9" t="s">
        <v>1761</v>
      </c>
      <c r="N1178" s="9" t="s">
        <v>50</v>
      </c>
      <c r="O1178" s="9" t="s">
        <v>51</v>
      </c>
      <c r="P1178" s="9"/>
      <c r="Q1178" s="9"/>
      <c r="R1178" s="9" t="s">
        <v>61</v>
      </c>
      <c r="S1178" s="9" t="s">
        <v>4418</v>
      </c>
      <c r="T1178" s="9" t="s">
        <v>4419</v>
      </c>
      <c r="U1178" s="9" t="s">
        <v>54</v>
      </c>
      <c r="V1178" s="9" t="s">
        <v>55</v>
      </c>
      <c r="W1178" s="9" t="s">
        <v>55</v>
      </c>
      <c r="X1178" s="9" t="s">
        <v>64</v>
      </c>
      <c r="Y1178" s="9" t="s">
        <v>65</v>
      </c>
      <c r="Z1178" s="13"/>
    </row>
    <row r="1179" spans="1:26" ht="32.25" hidden="1" customHeight="1">
      <c r="A1179" s="8">
        <v>2313950</v>
      </c>
      <c r="B1179" s="9" t="s">
        <v>4420</v>
      </c>
      <c r="C1179" s="10">
        <v>45136</v>
      </c>
      <c r="D1179" s="9" t="s">
        <v>40</v>
      </c>
      <c r="E1179" s="9" t="s">
        <v>41</v>
      </c>
      <c r="F1179" s="9" t="s">
        <v>42</v>
      </c>
      <c r="G1179" s="9" t="s">
        <v>43</v>
      </c>
      <c r="H1179" s="9" t="s">
        <v>44</v>
      </c>
      <c r="I1179" s="11" t="s">
        <v>661</v>
      </c>
      <c r="J1179" s="9" t="s">
        <v>662</v>
      </c>
      <c r="K1179" s="9" t="s">
        <v>47</v>
      </c>
      <c r="L1179" s="9" t="s">
        <v>517</v>
      </c>
      <c r="M1179" s="9" t="s">
        <v>545</v>
      </c>
      <c r="N1179" s="9" t="s">
        <v>50</v>
      </c>
      <c r="O1179" s="9" t="s">
        <v>51</v>
      </c>
      <c r="P1179" s="9"/>
      <c r="Q1179" s="9"/>
      <c r="R1179" s="9" t="s">
        <v>61</v>
      </c>
      <c r="S1179" s="9" t="s">
        <v>4421</v>
      </c>
      <c r="T1179" s="9" t="s">
        <v>4422</v>
      </c>
      <c r="U1179" s="9" t="s">
        <v>54</v>
      </c>
      <c r="V1179" s="9" t="s">
        <v>55</v>
      </c>
      <c r="W1179" s="9" t="s">
        <v>55</v>
      </c>
      <c r="X1179" s="9" t="s">
        <v>64</v>
      </c>
      <c r="Y1179" s="9" t="s">
        <v>65</v>
      </c>
      <c r="Z1179" s="13"/>
    </row>
    <row r="1180" spans="1:26" ht="32.25" hidden="1" customHeight="1">
      <c r="A1180" s="8">
        <v>2306910</v>
      </c>
      <c r="B1180" s="9" t="s">
        <v>4423</v>
      </c>
      <c r="C1180" s="10">
        <v>45156</v>
      </c>
      <c r="D1180" s="9" t="s">
        <v>79</v>
      </c>
      <c r="E1180" s="9" t="s">
        <v>68</v>
      </c>
      <c r="F1180" s="9" t="s">
        <v>80</v>
      </c>
      <c r="G1180" s="9" t="s">
        <v>43</v>
      </c>
      <c r="H1180" s="9" t="s">
        <v>44</v>
      </c>
      <c r="I1180" s="11" t="s">
        <v>90</v>
      </c>
      <c r="J1180" s="9" t="s">
        <v>91</v>
      </c>
      <c r="K1180" s="9" t="s">
        <v>47</v>
      </c>
      <c r="L1180" s="9" t="s">
        <v>156</v>
      </c>
      <c r="M1180" s="9"/>
      <c r="N1180" s="9" t="s">
        <v>50</v>
      </c>
      <c r="O1180" s="9" t="s">
        <v>51</v>
      </c>
      <c r="P1180" s="9" t="s">
        <v>273</v>
      </c>
      <c r="Q1180" s="9"/>
      <c r="R1180" s="9"/>
      <c r="S1180" s="14" t="s">
        <v>4424</v>
      </c>
      <c r="T1180" s="9" t="s">
        <v>4425</v>
      </c>
      <c r="U1180" s="9" t="s">
        <v>54</v>
      </c>
      <c r="V1180" s="9" t="s">
        <v>55</v>
      </c>
      <c r="W1180" s="9" t="s">
        <v>55</v>
      </c>
      <c r="X1180" s="12"/>
      <c r="Y1180" s="9" t="s">
        <v>55</v>
      </c>
      <c r="Z1180" s="13"/>
    </row>
    <row r="1181" spans="1:26" ht="32.25" hidden="1" customHeight="1">
      <c r="A1181" s="8">
        <v>2306182</v>
      </c>
      <c r="B1181" s="9" t="s">
        <v>4426</v>
      </c>
      <c r="C1181" s="10">
        <v>45136</v>
      </c>
      <c r="D1181" s="9" t="s">
        <v>40</v>
      </c>
      <c r="E1181" s="9" t="s">
        <v>41</v>
      </c>
      <c r="F1181" s="9" t="s">
        <v>42</v>
      </c>
      <c r="G1181" s="9" t="s">
        <v>43</v>
      </c>
      <c r="H1181" s="9" t="s">
        <v>44</v>
      </c>
      <c r="I1181" s="11" t="s">
        <v>199</v>
      </c>
      <c r="J1181" s="9" t="s">
        <v>200</v>
      </c>
      <c r="K1181" s="9" t="s">
        <v>47</v>
      </c>
      <c r="L1181" s="9" t="s">
        <v>598</v>
      </c>
      <c r="M1181" s="9" t="s">
        <v>599</v>
      </c>
      <c r="N1181" s="9" t="s">
        <v>50</v>
      </c>
      <c r="O1181" s="9" t="s">
        <v>51</v>
      </c>
      <c r="P1181" s="9"/>
      <c r="Q1181" s="9"/>
      <c r="R1181" s="9" t="s">
        <v>61</v>
      </c>
      <c r="S1181" s="9" t="s">
        <v>4427</v>
      </c>
      <c r="T1181" s="9" t="s">
        <v>4428</v>
      </c>
      <c r="U1181" s="9" t="s">
        <v>54</v>
      </c>
      <c r="V1181" s="9" t="s">
        <v>55</v>
      </c>
      <c r="W1181" s="9" t="s">
        <v>55</v>
      </c>
      <c r="X1181" s="12" t="s">
        <v>196</v>
      </c>
      <c r="Y1181" s="9" t="s">
        <v>197</v>
      </c>
      <c r="Z1181" s="13"/>
    </row>
    <row r="1182" spans="1:26" ht="32.25" hidden="1" customHeight="1">
      <c r="A1182" s="8">
        <v>2312258</v>
      </c>
      <c r="B1182" s="9" t="s">
        <v>4429</v>
      </c>
      <c r="C1182" s="10">
        <v>45156</v>
      </c>
      <c r="D1182" s="9" t="s">
        <v>565</v>
      </c>
      <c r="E1182" s="9" t="s">
        <v>41</v>
      </c>
      <c r="F1182" s="9" t="s">
        <v>42</v>
      </c>
      <c r="G1182" s="9" t="s">
        <v>43</v>
      </c>
      <c r="H1182" s="9" t="s">
        <v>58</v>
      </c>
      <c r="I1182" s="11" t="s">
        <v>129</v>
      </c>
      <c r="J1182" s="9" t="s">
        <v>130</v>
      </c>
      <c r="K1182" s="9" t="s">
        <v>47</v>
      </c>
      <c r="L1182" s="9" t="s">
        <v>48</v>
      </c>
      <c r="M1182" s="9" t="s">
        <v>4430</v>
      </c>
      <c r="N1182" s="9" t="s">
        <v>84</v>
      </c>
      <c r="O1182" s="9" t="s">
        <v>51</v>
      </c>
      <c r="P1182" s="9"/>
      <c r="Q1182" s="9"/>
      <c r="R1182" s="9"/>
      <c r="S1182" s="14" t="s">
        <v>4431</v>
      </c>
      <c r="T1182" s="9" t="s">
        <v>4432</v>
      </c>
      <c r="U1182" s="9" t="s">
        <v>54</v>
      </c>
      <c r="V1182" s="9" t="s">
        <v>55</v>
      </c>
      <c r="W1182" s="9" t="s">
        <v>55</v>
      </c>
      <c r="X1182" s="12"/>
      <c r="Y1182" s="9" t="s">
        <v>55</v>
      </c>
      <c r="Z1182" s="13"/>
    </row>
    <row r="1183" spans="1:26" ht="32.25" hidden="1" customHeight="1">
      <c r="A1183" s="8">
        <v>2301241</v>
      </c>
      <c r="B1183" s="9" t="s">
        <v>4433</v>
      </c>
      <c r="C1183" s="10">
        <v>45149</v>
      </c>
      <c r="D1183" s="9" t="s">
        <v>57</v>
      </c>
      <c r="E1183" s="9" t="s">
        <v>41</v>
      </c>
      <c r="F1183" s="9" t="s">
        <v>42</v>
      </c>
      <c r="G1183" s="9" t="s">
        <v>43</v>
      </c>
      <c r="H1183" s="9" t="s">
        <v>58</v>
      </c>
      <c r="I1183" s="11" t="s">
        <v>129</v>
      </c>
      <c r="J1183" s="9" t="s">
        <v>130</v>
      </c>
      <c r="K1183" s="9" t="s">
        <v>47</v>
      </c>
      <c r="L1183" s="9" t="s">
        <v>2006</v>
      </c>
      <c r="M1183" s="9" t="s">
        <v>2346</v>
      </c>
      <c r="N1183" s="9" t="s">
        <v>84</v>
      </c>
      <c r="O1183" s="9" t="s">
        <v>51</v>
      </c>
      <c r="P1183" s="9"/>
      <c r="Q1183" s="9"/>
      <c r="R1183" s="9"/>
      <c r="S1183" s="14" t="s">
        <v>4434</v>
      </c>
      <c r="T1183" s="9" t="s">
        <v>4435</v>
      </c>
      <c r="U1183" s="9" t="s">
        <v>54</v>
      </c>
      <c r="V1183" s="9" t="s">
        <v>55</v>
      </c>
      <c r="W1183" s="9" t="s">
        <v>55</v>
      </c>
      <c r="X1183" s="12"/>
      <c r="Y1183" s="9" t="s">
        <v>55</v>
      </c>
      <c r="Z1183" s="13"/>
    </row>
    <row r="1184" spans="1:26" ht="32.25" hidden="1" customHeight="1">
      <c r="A1184" s="8">
        <v>2314799</v>
      </c>
      <c r="B1184" s="9" t="s">
        <v>4436</v>
      </c>
      <c r="C1184" s="10">
        <v>45156</v>
      </c>
      <c r="D1184" s="9" t="s">
        <v>79</v>
      </c>
      <c r="E1184" s="9" t="s">
        <v>41</v>
      </c>
      <c r="F1184" s="9" t="s">
        <v>80</v>
      </c>
      <c r="G1184" s="9" t="s">
        <v>43</v>
      </c>
      <c r="H1184" s="9" t="s">
        <v>44</v>
      </c>
      <c r="I1184" s="11" t="s">
        <v>81</v>
      </c>
      <c r="J1184" s="9" t="s">
        <v>46</v>
      </c>
      <c r="K1184" s="9" t="s">
        <v>47</v>
      </c>
      <c r="L1184" s="9" t="s">
        <v>156</v>
      </c>
      <c r="M1184" s="9"/>
      <c r="N1184" s="9" t="s">
        <v>50</v>
      </c>
      <c r="O1184" s="9" t="s">
        <v>51</v>
      </c>
      <c r="P1184" s="9" t="s">
        <v>503</v>
      </c>
      <c r="Q1184" s="9"/>
      <c r="R1184" s="9"/>
      <c r="S1184" s="14" t="s">
        <v>4437</v>
      </c>
      <c r="T1184" s="9" t="s">
        <v>4438</v>
      </c>
      <c r="U1184" s="9" t="s">
        <v>54</v>
      </c>
      <c r="V1184" s="9" t="s">
        <v>55</v>
      </c>
      <c r="W1184" s="9" t="s">
        <v>55</v>
      </c>
      <c r="X1184" s="12"/>
      <c r="Y1184" s="9" t="s">
        <v>55</v>
      </c>
      <c r="Z1184" s="13"/>
    </row>
    <row r="1185" spans="1:26" ht="32.25" hidden="1" customHeight="1">
      <c r="A1185" s="8">
        <v>2303917</v>
      </c>
      <c r="B1185" s="9" t="s">
        <v>4439</v>
      </c>
      <c r="C1185" s="10">
        <v>45136</v>
      </c>
      <c r="D1185" s="9" t="s">
        <v>40</v>
      </c>
      <c r="E1185" s="9" t="s">
        <v>41</v>
      </c>
      <c r="F1185" s="9" t="s">
        <v>42</v>
      </c>
      <c r="G1185" s="9" t="s">
        <v>43</v>
      </c>
      <c r="H1185" s="9" t="s">
        <v>44</v>
      </c>
      <c r="I1185" s="11" t="s">
        <v>199</v>
      </c>
      <c r="J1185" s="9" t="s">
        <v>200</v>
      </c>
      <c r="K1185" s="9" t="s">
        <v>47</v>
      </c>
      <c r="L1185" s="9" t="s">
        <v>162</v>
      </c>
      <c r="M1185" s="9" t="s">
        <v>345</v>
      </c>
      <c r="N1185" s="9" t="s">
        <v>84</v>
      </c>
      <c r="O1185" s="9" t="s">
        <v>51</v>
      </c>
      <c r="P1185" s="9"/>
      <c r="Q1185" s="9"/>
      <c r="R1185" s="9" t="s">
        <v>61</v>
      </c>
      <c r="S1185" s="9" t="s">
        <v>4440</v>
      </c>
      <c r="T1185" s="9" t="s">
        <v>4441</v>
      </c>
      <c r="U1185" s="9" t="s">
        <v>54</v>
      </c>
      <c r="V1185" s="9" t="s">
        <v>55</v>
      </c>
      <c r="W1185" s="9" t="s">
        <v>55</v>
      </c>
      <c r="X1185" s="12" t="s">
        <v>196</v>
      </c>
      <c r="Y1185" s="9" t="s">
        <v>197</v>
      </c>
      <c r="Z1185" s="13"/>
    </row>
    <row r="1186" spans="1:26" ht="32.25" hidden="1" customHeight="1">
      <c r="A1186" s="8">
        <v>2303608</v>
      </c>
      <c r="B1186" s="9" t="s">
        <v>4442</v>
      </c>
      <c r="C1186" s="10">
        <v>45149</v>
      </c>
      <c r="D1186" s="9" t="s">
        <v>57</v>
      </c>
      <c r="E1186" s="9" t="s">
        <v>295</v>
      </c>
      <c r="F1186" s="9" t="s">
        <v>42</v>
      </c>
      <c r="G1186" s="9" t="s">
        <v>43</v>
      </c>
      <c r="H1186" s="9" t="s">
        <v>58</v>
      </c>
      <c r="I1186" s="11" t="s">
        <v>296</v>
      </c>
      <c r="J1186" s="9" t="s">
        <v>297</v>
      </c>
      <c r="K1186" s="9" t="s">
        <v>47</v>
      </c>
      <c r="L1186" s="9" t="s">
        <v>437</v>
      </c>
      <c r="M1186" s="9" t="s">
        <v>1006</v>
      </c>
      <c r="N1186" s="9" t="s">
        <v>84</v>
      </c>
      <c r="O1186" s="9" t="s">
        <v>51</v>
      </c>
      <c r="P1186" s="9"/>
      <c r="Q1186" s="9"/>
      <c r="R1186" s="9" t="s">
        <v>61</v>
      </c>
      <c r="S1186" s="14" t="s">
        <v>4443</v>
      </c>
      <c r="T1186" s="9" t="s">
        <v>4444</v>
      </c>
      <c r="U1186" s="9" t="s">
        <v>54</v>
      </c>
      <c r="V1186" s="9" t="s">
        <v>55</v>
      </c>
      <c r="W1186" s="9" t="s">
        <v>55</v>
      </c>
      <c r="X1186" s="9" t="s">
        <v>319</v>
      </c>
      <c r="Y1186" s="9" t="s">
        <v>320</v>
      </c>
      <c r="Z1186" s="13"/>
    </row>
    <row r="1187" spans="1:26" ht="32.25" hidden="1" customHeight="1">
      <c r="A1187" s="8">
        <v>2308545</v>
      </c>
      <c r="B1187" s="9" t="s">
        <v>4445</v>
      </c>
      <c r="C1187" s="10">
        <v>45149</v>
      </c>
      <c r="D1187" s="9" t="s">
        <v>57</v>
      </c>
      <c r="E1187" s="9" t="s">
        <v>41</v>
      </c>
      <c r="F1187" s="9" t="s">
        <v>42</v>
      </c>
      <c r="G1187" s="9" t="s">
        <v>43</v>
      </c>
      <c r="H1187" s="9" t="s">
        <v>58</v>
      </c>
      <c r="I1187" s="11" t="s">
        <v>199</v>
      </c>
      <c r="J1187" s="9" t="s">
        <v>200</v>
      </c>
      <c r="K1187" s="9" t="s">
        <v>47</v>
      </c>
      <c r="L1187" s="9" t="s">
        <v>706</v>
      </c>
      <c r="M1187" s="9" t="s">
        <v>1262</v>
      </c>
      <c r="N1187" s="9" t="s">
        <v>84</v>
      </c>
      <c r="O1187" s="9" t="s">
        <v>51</v>
      </c>
      <c r="P1187" s="9"/>
      <c r="Q1187" s="9"/>
      <c r="R1187" s="9" t="s">
        <v>61</v>
      </c>
      <c r="S1187" s="14" t="s">
        <v>4446</v>
      </c>
      <c r="T1187" s="9" t="s">
        <v>4447</v>
      </c>
      <c r="U1187" s="9" t="s">
        <v>54</v>
      </c>
      <c r="V1187" s="9" t="s">
        <v>55</v>
      </c>
      <c r="W1187" s="9" t="s">
        <v>55</v>
      </c>
      <c r="X1187" s="12" t="s">
        <v>196</v>
      </c>
      <c r="Y1187" s="9" t="s">
        <v>197</v>
      </c>
      <c r="Z1187" s="13"/>
    </row>
    <row r="1188" spans="1:26" ht="32.25" hidden="1" customHeight="1">
      <c r="A1188" s="8">
        <v>2308719</v>
      </c>
      <c r="B1188" s="9" t="s">
        <v>4448</v>
      </c>
      <c r="C1188" s="10">
        <v>45142</v>
      </c>
      <c r="D1188" s="9" t="s">
        <v>67</v>
      </c>
      <c r="E1188" s="9" t="s">
        <v>41</v>
      </c>
      <c r="F1188" s="9" t="s">
        <v>42</v>
      </c>
      <c r="G1188" s="9" t="s">
        <v>43</v>
      </c>
      <c r="H1188" s="9" t="s">
        <v>44</v>
      </c>
      <c r="I1188" s="11" t="s">
        <v>45</v>
      </c>
      <c r="J1188" s="9" t="s">
        <v>46</v>
      </c>
      <c r="K1188" s="9" t="s">
        <v>47</v>
      </c>
      <c r="L1188" s="9" t="s">
        <v>310</v>
      </c>
      <c r="M1188" s="9" t="s">
        <v>311</v>
      </c>
      <c r="N1188" s="9" t="s">
        <v>84</v>
      </c>
      <c r="O1188" s="9" t="s">
        <v>51</v>
      </c>
      <c r="P1188" s="9"/>
      <c r="Q1188" s="9"/>
      <c r="R1188" s="9"/>
      <c r="S1188" s="9" t="s">
        <v>4449</v>
      </c>
      <c r="T1188" s="9" t="s">
        <v>4450</v>
      </c>
      <c r="U1188" s="9" t="s">
        <v>54</v>
      </c>
      <c r="V1188" s="9" t="s">
        <v>55</v>
      </c>
      <c r="W1188" s="9" t="s">
        <v>55</v>
      </c>
      <c r="X1188" s="12"/>
      <c r="Y1188" s="9" t="s">
        <v>55</v>
      </c>
      <c r="Z1188" s="13"/>
    </row>
    <row r="1189" spans="1:26" ht="32.25" hidden="1" customHeight="1">
      <c r="A1189" s="8">
        <v>2307228</v>
      </c>
      <c r="B1189" s="9" t="s">
        <v>4451</v>
      </c>
      <c r="C1189" s="10">
        <v>45136</v>
      </c>
      <c r="D1189" s="9" t="s">
        <v>40</v>
      </c>
      <c r="E1189" s="9" t="s">
        <v>143</v>
      </c>
      <c r="F1189" s="9" t="s">
        <v>42</v>
      </c>
      <c r="G1189" s="9" t="s">
        <v>43</v>
      </c>
      <c r="H1189" s="9" t="s">
        <v>44</v>
      </c>
      <c r="I1189" s="11" t="s">
        <v>460</v>
      </c>
      <c r="J1189" s="9" t="s">
        <v>400</v>
      </c>
      <c r="K1189" s="9" t="s">
        <v>47</v>
      </c>
      <c r="L1189" s="9" t="s">
        <v>948</v>
      </c>
      <c r="M1189" s="9" t="s">
        <v>4452</v>
      </c>
      <c r="N1189" s="9" t="s">
        <v>50</v>
      </c>
      <c r="O1189" s="9" t="s">
        <v>51</v>
      </c>
      <c r="P1189" s="9"/>
      <c r="Q1189" s="9"/>
      <c r="R1189" s="9" t="s">
        <v>61</v>
      </c>
      <c r="S1189" s="9" t="s">
        <v>4453</v>
      </c>
      <c r="T1189" s="9" t="s">
        <v>4454</v>
      </c>
      <c r="U1189" s="9" t="s">
        <v>54</v>
      </c>
      <c r="V1189" s="9" t="s">
        <v>55</v>
      </c>
      <c r="W1189" s="9" t="s">
        <v>55</v>
      </c>
      <c r="X1189" s="12" t="s">
        <v>150</v>
      </c>
      <c r="Y1189" s="9" t="s">
        <v>151</v>
      </c>
      <c r="Z1189" s="13"/>
    </row>
    <row r="1190" spans="1:26" ht="32.25" hidden="1" customHeight="1">
      <c r="A1190" s="8">
        <v>2312753</v>
      </c>
      <c r="B1190" s="9" t="s">
        <v>4455</v>
      </c>
      <c r="C1190" s="10">
        <v>45156</v>
      </c>
      <c r="D1190" s="9" t="s">
        <v>79</v>
      </c>
      <c r="E1190" s="9" t="s">
        <v>89</v>
      </c>
      <c r="F1190" s="9" t="s">
        <v>80</v>
      </c>
      <c r="G1190" s="9" t="s">
        <v>43</v>
      </c>
      <c r="H1190" s="9" t="s">
        <v>44</v>
      </c>
      <c r="I1190" s="11" t="s">
        <v>117</v>
      </c>
      <c r="J1190" s="9" t="s">
        <v>118</v>
      </c>
      <c r="K1190" s="9" t="s">
        <v>47</v>
      </c>
      <c r="L1190" s="9" t="s">
        <v>156</v>
      </c>
      <c r="M1190" s="9"/>
      <c r="N1190" s="9" t="s">
        <v>50</v>
      </c>
      <c r="O1190" s="9" t="s">
        <v>51</v>
      </c>
      <c r="P1190" s="9" t="s">
        <v>121</v>
      </c>
      <c r="Q1190" s="9"/>
      <c r="R1190" s="9" t="s">
        <v>61</v>
      </c>
      <c r="S1190" s="14" t="s">
        <v>4456</v>
      </c>
      <c r="T1190" s="9" t="s">
        <v>4457</v>
      </c>
      <c r="U1190" s="9" t="s">
        <v>54</v>
      </c>
      <c r="V1190" s="9" t="s">
        <v>55</v>
      </c>
      <c r="W1190" s="9" t="s">
        <v>55</v>
      </c>
      <c r="X1190" s="12"/>
      <c r="Y1190" s="9" t="s">
        <v>55</v>
      </c>
      <c r="Z1190" s="13" t="s">
        <v>1220</v>
      </c>
    </row>
    <row r="1191" spans="1:26" ht="32.25" hidden="1" customHeight="1">
      <c r="A1191" s="8">
        <v>2313224</v>
      </c>
      <c r="B1191" s="9" t="s">
        <v>4458</v>
      </c>
      <c r="C1191" s="10">
        <v>45149</v>
      </c>
      <c r="D1191" s="9" t="s">
        <v>57</v>
      </c>
      <c r="E1191" s="9" t="s">
        <v>295</v>
      </c>
      <c r="F1191" s="9" t="s">
        <v>42</v>
      </c>
      <c r="G1191" s="9" t="s">
        <v>43</v>
      </c>
      <c r="H1191" s="9" t="s">
        <v>58</v>
      </c>
      <c r="I1191" s="11" t="s">
        <v>296</v>
      </c>
      <c r="J1191" s="9" t="s">
        <v>297</v>
      </c>
      <c r="K1191" s="9" t="s">
        <v>47</v>
      </c>
      <c r="L1191" s="9" t="s">
        <v>156</v>
      </c>
      <c r="M1191" s="9"/>
      <c r="N1191" s="9" t="s">
        <v>84</v>
      </c>
      <c r="O1191" s="9" t="s">
        <v>51</v>
      </c>
      <c r="P1191" s="9"/>
      <c r="Q1191" s="9"/>
      <c r="R1191" s="9"/>
      <c r="S1191" s="14" t="s">
        <v>4459</v>
      </c>
      <c r="T1191" s="9" t="s">
        <v>4460</v>
      </c>
      <c r="U1191" s="9" t="s">
        <v>54</v>
      </c>
      <c r="V1191" s="9" t="s">
        <v>55</v>
      </c>
      <c r="W1191" s="9" t="s">
        <v>55</v>
      </c>
      <c r="X1191" s="12"/>
      <c r="Y1191" s="9" t="s">
        <v>55</v>
      </c>
      <c r="Z1191" s="13"/>
    </row>
    <row r="1192" spans="1:26" ht="32.25" hidden="1" customHeight="1">
      <c r="A1192" s="8">
        <v>2302771</v>
      </c>
      <c r="B1192" s="9" t="s">
        <v>4461</v>
      </c>
      <c r="C1192" s="10">
        <v>45136</v>
      </c>
      <c r="D1192" s="9" t="s">
        <v>301</v>
      </c>
      <c r="E1192" s="9" t="s">
        <v>295</v>
      </c>
      <c r="F1192" s="9" t="s">
        <v>42</v>
      </c>
      <c r="G1192" s="9" t="s">
        <v>43</v>
      </c>
      <c r="H1192" s="9" t="s">
        <v>44</v>
      </c>
      <c r="I1192" s="11" t="s">
        <v>296</v>
      </c>
      <c r="J1192" s="9" t="s">
        <v>297</v>
      </c>
      <c r="K1192" s="9" t="s">
        <v>47</v>
      </c>
      <c r="L1192" s="9" t="s">
        <v>48</v>
      </c>
      <c r="M1192" s="9" t="s">
        <v>242</v>
      </c>
      <c r="N1192" s="9" t="s">
        <v>50</v>
      </c>
      <c r="O1192" s="9" t="s">
        <v>51</v>
      </c>
      <c r="P1192" s="9"/>
      <c r="Q1192" s="9"/>
      <c r="R1192" s="9" t="s">
        <v>61</v>
      </c>
      <c r="S1192" s="9" t="s">
        <v>4462</v>
      </c>
      <c r="T1192" s="9" t="s">
        <v>4463</v>
      </c>
      <c r="U1192" s="9" t="s">
        <v>54</v>
      </c>
      <c r="V1192" s="9" t="s">
        <v>55</v>
      </c>
      <c r="W1192" s="9" t="s">
        <v>55</v>
      </c>
      <c r="X1192" s="9" t="s">
        <v>319</v>
      </c>
      <c r="Y1192" s="9" t="s">
        <v>320</v>
      </c>
      <c r="Z1192" s="13"/>
    </row>
    <row r="1193" spans="1:26" ht="32.25" hidden="1" customHeight="1">
      <c r="A1193" s="8">
        <v>2310077</v>
      </c>
      <c r="B1193" s="9" t="s">
        <v>4464</v>
      </c>
      <c r="C1193" s="10">
        <v>45156</v>
      </c>
      <c r="D1193" s="9" t="s">
        <v>79</v>
      </c>
      <c r="E1193" s="9" t="s">
        <v>41</v>
      </c>
      <c r="F1193" s="9" t="s">
        <v>80</v>
      </c>
      <c r="G1193" s="9" t="s">
        <v>43</v>
      </c>
      <c r="H1193" s="9" t="s">
        <v>44</v>
      </c>
      <c r="I1193" s="11" t="s">
        <v>81</v>
      </c>
      <c r="J1193" s="9" t="s">
        <v>46</v>
      </c>
      <c r="K1193" s="9" t="s">
        <v>47</v>
      </c>
      <c r="L1193" s="9" t="s">
        <v>1378</v>
      </c>
      <c r="M1193" s="9" t="s">
        <v>4465</v>
      </c>
      <c r="N1193" s="9" t="s">
        <v>50</v>
      </c>
      <c r="O1193" s="9" t="s">
        <v>51</v>
      </c>
      <c r="P1193" s="9" t="s">
        <v>582</v>
      </c>
      <c r="Q1193" s="9"/>
      <c r="R1193" s="9" t="s">
        <v>61</v>
      </c>
      <c r="S1193" s="14" t="s">
        <v>4466</v>
      </c>
      <c r="T1193" s="9" t="s">
        <v>4467</v>
      </c>
      <c r="U1193" s="9" t="s">
        <v>54</v>
      </c>
      <c r="V1193" s="9" t="s">
        <v>55</v>
      </c>
      <c r="W1193" s="9" t="s">
        <v>55</v>
      </c>
      <c r="X1193" s="9" t="s">
        <v>64</v>
      </c>
      <c r="Y1193" s="9" t="s">
        <v>65</v>
      </c>
      <c r="Z1193" s="13"/>
    </row>
    <row r="1194" spans="1:26" ht="32.25" hidden="1" customHeight="1">
      <c r="A1194" s="8">
        <v>2302196</v>
      </c>
      <c r="B1194" s="9" t="s">
        <v>4468</v>
      </c>
      <c r="C1194" s="10">
        <v>45136</v>
      </c>
      <c r="D1194" s="9" t="s">
        <v>40</v>
      </c>
      <c r="E1194" s="9" t="s">
        <v>41</v>
      </c>
      <c r="F1194" s="9" t="s">
        <v>42</v>
      </c>
      <c r="G1194" s="9" t="s">
        <v>43</v>
      </c>
      <c r="H1194" s="9" t="s">
        <v>44</v>
      </c>
      <c r="I1194" s="11" t="s">
        <v>129</v>
      </c>
      <c r="J1194" s="9" t="s">
        <v>130</v>
      </c>
      <c r="K1194" s="9" t="s">
        <v>47</v>
      </c>
      <c r="L1194" s="9" t="s">
        <v>156</v>
      </c>
      <c r="M1194" s="9"/>
      <c r="N1194" s="9" t="s">
        <v>50</v>
      </c>
      <c r="O1194" s="9" t="s">
        <v>51</v>
      </c>
      <c r="P1194" s="9"/>
      <c r="Q1194" s="9"/>
      <c r="R1194" s="9"/>
      <c r="S1194" s="9" t="s">
        <v>4469</v>
      </c>
      <c r="T1194" s="9" t="s">
        <v>4470</v>
      </c>
      <c r="U1194" s="9" t="s">
        <v>54</v>
      </c>
      <c r="V1194" s="9" t="s">
        <v>55</v>
      </c>
      <c r="W1194" s="9" t="s">
        <v>55</v>
      </c>
      <c r="X1194" s="12"/>
      <c r="Y1194" s="9" t="s">
        <v>55</v>
      </c>
      <c r="Z1194" s="13"/>
    </row>
    <row r="1195" spans="1:26" ht="32.25" hidden="1" customHeight="1">
      <c r="A1195" s="8">
        <v>2302158</v>
      </c>
      <c r="B1195" s="9" t="s">
        <v>4471</v>
      </c>
      <c r="C1195" s="10">
        <v>45149</v>
      </c>
      <c r="D1195" s="9" t="s">
        <v>57</v>
      </c>
      <c r="E1195" s="9" t="s">
        <v>153</v>
      </c>
      <c r="F1195" s="9" t="s">
        <v>42</v>
      </c>
      <c r="G1195" s="9" t="s">
        <v>43</v>
      </c>
      <c r="H1195" s="9" t="s">
        <v>58</v>
      </c>
      <c r="I1195" s="11" t="s">
        <v>154</v>
      </c>
      <c r="J1195" s="9" t="s">
        <v>155</v>
      </c>
      <c r="K1195" s="9" t="s">
        <v>47</v>
      </c>
      <c r="L1195" s="9" t="s">
        <v>156</v>
      </c>
      <c r="M1195" s="9"/>
      <c r="N1195" s="9" t="s">
        <v>84</v>
      </c>
      <c r="O1195" s="9" t="s">
        <v>51</v>
      </c>
      <c r="P1195" s="9"/>
      <c r="Q1195" s="9"/>
      <c r="R1195" s="9"/>
      <c r="S1195" s="14" t="s">
        <v>4472</v>
      </c>
      <c r="T1195" s="9" t="s">
        <v>4473</v>
      </c>
      <c r="U1195" s="9" t="s">
        <v>54</v>
      </c>
      <c r="V1195" s="9" t="s">
        <v>55</v>
      </c>
      <c r="W1195" s="9" t="s">
        <v>55</v>
      </c>
      <c r="X1195" s="12"/>
      <c r="Y1195" s="9" t="s">
        <v>55</v>
      </c>
      <c r="Z1195" s="13"/>
    </row>
    <row r="1196" spans="1:26" ht="32.25" hidden="1" customHeight="1">
      <c r="A1196" s="8">
        <v>2302750</v>
      </c>
      <c r="B1196" s="9" t="s">
        <v>4474</v>
      </c>
      <c r="C1196" s="10">
        <v>45142</v>
      </c>
      <c r="D1196" s="9" t="s">
        <v>67</v>
      </c>
      <c r="E1196" s="9" t="s">
        <v>143</v>
      </c>
      <c r="F1196" s="9" t="s">
        <v>42</v>
      </c>
      <c r="G1196" s="9" t="s">
        <v>43</v>
      </c>
      <c r="H1196" s="9" t="s">
        <v>44</v>
      </c>
      <c r="I1196" s="11" t="s">
        <v>460</v>
      </c>
      <c r="J1196" s="9" t="s">
        <v>400</v>
      </c>
      <c r="K1196" s="9" t="s">
        <v>47</v>
      </c>
      <c r="L1196" s="9" t="s">
        <v>156</v>
      </c>
      <c r="M1196" s="9"/>
      <c r="N1196" s="9" t="s">
        <v>50</v>
      </c>
      <c r="O1196" s="9" t="s">
        <v>51</v>
      </c>
      <c r="P1196" s="9"/>
      <c r="Q1196" s="9"/>
      <c r="R1196" s="9"/>
      <c r="S1196" s="9" t="s">
        <v>4475</v>
      </c>
      <c r="T1196" s="9" t="s">
        <v>4476</v>
      </c>
      <c r="U1196" s="9" t="s">
        <v>54</v>
      </c>
      <c r="V1196" s="9" t="s">
        <v>55</v>
      </c>
      <c r="W1196" s="9" t="s">
        <v>55</v>
      </c>
      <c r="X1196" s="12"/>
      <c r="Y1196" s="9" t="s">
        <v>55</v>
      </c>
      <c r="Z1196" s="13"/>
    </row>
    <row r="1197" spans="1:26" ht="32.25" hidden="1" customHeight="1">
      <c r="A1197" s="8">
        <v>2315354</v>
      </c>
      <c r="B1197" s="9" t="s">
        <v>4477</v>
      </c>
      <c r="C1197" s="10">
        <v>45149</v>
      </c>
      <c r="D1197" s="9" t="s">
        <v>57</v>
      </c>
      <c r="E1197" s="9" t="s">
        <v>41</v>
      </c>
      <c r="F1197" s="9" t="s">
        <v>42</v>
      </c>
      <c r="G1197" s="9" t="s">
        <v>43</v>
      </c>
      <c r="H1197" s="9" t="s">
        <v>58</v>
      </c>
      <c r="I1197" s="11" t="s">
        <v>129</v>
      </c>
      <c r="J1197" s="9" t="s">
        <v>130</v>
      </c>
      <c r="K1197" s="9" t="s">
        <v>47</v>
      </c>
      <c r="L1197" s="9" t="s">
        <v>574</v>
      </c>
      <c r="M1197" s="9" t="s">
        <v>617</v>
      </c>
      <c r="N1197" s="9" t="s">
        <v>50</v>
      </c>
      <c r="O1197" s="9" t="s">
        <v>51</v>
      </c>
      <c r="P1197" s="9"/>
      <c r="Q1197" s="9"/>
      <c r="R1197" s="9" t="s">
        <v>61</v>
      </c>
      <c r="S1197" s="14" t="s">
        <v>4478</v>
      </c>
      <c r="T1197" s="9" t="s">
        <v>4479</v>
      </c>
      <c r="U1197" s="9" t="s">
        <v>54</v>
      </c>
      <c r="V1197" s="9" t="s">
        <v>55</v>
      </c>
      <c r="W1197" s="9" t="s">
        <v>55</v>
      </c>
      <c r="X1197" s="9" t="s">
        <v>196</v>
      </c>
      <c r="Y1197" s="9" t="s">
        <v>197</v>
      </c>
      <c r="Z1197" s="13" t="s">
        <v>230</v>
      </c>
    </row>
    <row r="1198" spans="1:26" ht="32.25" hidden="1" customHeight="1">
      <c r="A1198" s="8">
        <v>2301335</v>
      </c>
      <c r="B1198" s="9" t="s">
        <v>4480</v>
      </c>
      <c r="C1198" s="10">
        <v>45142</v>
      </c>
      <c r="D1198" s="9" t="s">
        <v>67</v>
      </c>
      <c r="E1198" s="9" t="s">
        <v>68</v>
      </c>
      <c r="F1198" s="9" t="s">
        <v>135</v>
      </c>
      <c r="G1198" s="9" t="s">
        <v>43</v>
      </c>
      <c r="H1198" s="9" t="s">
        <v>44</v>
      </c>
      <c r="I1198" s="11" t="s">
        <v>136</v>
      </c>
      <c r="J1198" s="9" t="s">
        <v>137</v>
      </c>
      <c r="K1198" s="9" t="s">
        <v>47</v>
      </c>
      <c r="L1198" s="9" t="s">
        <v>226</v>
      </c>
      <c r="M1198" s="9" t="s">
        <v>4481</v>
      </c>
      <c r="N1198" s="9" t="s">
        <v>50</v>
      </c>
      <c r="O1198" s="9" t="s">
        <v>51</v>
      </c>
      <c r="P1198" s="9"/>
      <c r="Q1198" s="9"/>
      <c r="R1198" s="9" t="s">
        <v>61</v>
      </c>
      <c r="S1198" s="9" t="s">
        <v>4482</v>
      </c>
      <c r="T1198" s="9" t="s">
        <v>4483</v>
      </c>
      <c r="U1198" s="9" t="s">
        <v>54</v>
      </c>
      <c r="V1198" s="9" t="s">
        <v>55</v>
      </c>
      <c r="W1198" s="9" t="s">
        <v>55</v>
      </c>
      <c r="X1198" s="12" t="s">
        <v>76</v>
      </c>
      <c r="Y1198" s="9" t="s">
        <v>77</v>
      </c>
      <c r="Z1198" s="13"/>
    </row>
    <row r="1199" spans="1:26" ht="32.25" hidden="1" customHeight="1">
      <c r="A1199" s="8">
        <v>2300946</v>
      </c>
      <c r="B1199" s="9" t="s">
        <v>4484</v>
      </c>
      <c r="C1199" s="10">
        <v>45156</v>
      </c>
      <c r="D1199" s="9" t="s">
        <v>79</v>
      </c>
      <c r="E1199" s="9" t="s">
        <v>295</v>
      </c>
      <c r="F1199" s="9" t="s">
        <v>80</v>
      </c>
      <c r="G1199" s="9" t="s">
        <v>43</v>
      </c>
      <c r="H1199" s="9" t="s">
        <v>44</v>
      </c>
      <c r="I1199" s="11" t="s">
        <v>1972</v>
      </c>
      <c r="J1199" s="9" t="s">
        <v>297</v>
      </c>
      <c r="K1199" s="9" t="s">
        <v>47</v>
      </c>
      <c r="L1199" s="9" t="s">
        <v>48</v>
      </c>
      <c r="M1199" s="9" t="s">
        <v>4485</v>
      </c>
      <c r="N1199" s="9" t="s">
        <v>84</v>
      </c>
      <c r="O1199" s="9" t="s">
        <v>51</v>
      </c>
      <c r="P1199" s="9" t="s">
        <v>1974</v>
      </c>
      <c r="Q1199" s="9"/>
      <c r="R1199" s="9" t="s">
        <v>61</v>
      </c>
      <c r="S1199" s="14" t="s">
        <v>4486</v>
      </c>
      <c r="T1199" s="9" t="s">
        <v>4487</v>
      </c>
      <c r="U1199" s="9" t="s">
        <v>54</v>
      </c>
      <c r="V1199" s="9" t="s">
        <v>55</v>
      </c>
      <c r="W1199" s="9" t="s">
        <v>115</v>
      </c>
      <c r="X1199" s="12" t="s">
        <v>319</v>
      </c>
      <c r="Y1199" s="9" t="s">
        <v>320</v>
      </c>
      <c r="Z1199" s="13"/>
    </row>
    <row r="1200" spans="1:26" ht="32.25" hidden="1" customHeight="1">
      <c r="A1200" s="8">
        <v>2300484</v>
      </c>
      <c r="B1200" s="9" t="s">
        <v>4488</v>
      </c>
      <c r="C1200" s="10">
        <v>45156</v>
      </c>
      <c r="D1200" s="9" t="s">
        <v>79</v>
      </c>
      <c r="E1200" s="9" t="s">
        <v>41</v>
      </c>
      <c r="F1200" s="9" t="s">
        <v>80</v>
      </c>
      <c r="G1200" s="9" t="s">
        <v>43</v>
      </c>
      <c r="H1200" s="9" t="s">
        <v>44</v>
      </c>
      <c r="I1200" s="11" t="s">
        <v>233</v>
      </c>
      <c r="J1200" s="9" t="s">
        <v>200</v>
      </c>
      <c r="K1200" s="9" t="s">
        <v>47</v>
      </c>
      <c r="L1200" s="9" t="s">
        <v>156</v>
      </c>
      <c r="M1200" s="9"/>
      <c r="N1200" s="9" t="s">
        <v>50</v>
      </c>
      <c r="O1200" s="9" t="s">
        <v>51</v>
      </c>
      <c r="P1200" s="9" t="s">
        <v>865</v>
      </c>
      <c r="Q1200" s="9"/>
      <c r="R1200" s="9"/>
      <c r="S1200" s="14" t="s">
        <v>4489</v>
      </c>
      <c r="T1200" s="9" t="s">
        <v>4490</v>
      </c>
      <c r="U1200" s="9" t="s">
        <v>54</v>
      </c>
      <c r="V1200" s="9" t="s">
        <v>55</v>
      </c>
      <c r="W1200" s="9" t="s">
        <v>55</v>
      </c>
      <c r="X1200" s="12"/>
      <c r="Y1200" s="9" t="s">
        <v>55</v>
      </c>
      <c r="Z1200" s="13"/>
    </row>
    <row r="1201" spans="1:26" ht="32.25" hidden="1" customHeight="1">
      <c r="A1201" s="8">
        <v>2306543</v>
      </c>
      <c r="B1201" s="9" t="s">
        <v>4491</v>
      </c>
      <c r="C1201" s="10">
        <v>45156</v>
      </c>
      <c r="D1201" s="9" t="s">
        <v>79</v>
      </c>
      <c r="E1201" s="9" t="s">
        <v>41</v>
      </c>
      <c r="F1201" s="9" t="s">
        <v>80</v>
      </c>
      <c r="G1201" s="9" t="s">
        <v>43</v>
      </c>
      <c r="H1201" s="9" t="s">
        <v>44</v>
      </c>
      <c r="I1201" s="11" t="s">
        <v>527</v>
      </c>
      <c r="J1201" s="9" t="s">
        <v>130</v>
      </c>
      <c r="K1201" s="9" t="s">
        <v>47</v>
      </c>
      <c r="L1201" s="9" t="s">
        <v>156</v>
      </c>
      <c r="M1201" s="9"/>
      <c r="N1201" s="9" t="s">
        <v>50</v>
      </c>
      <c r="O1201" s="9" t="s">
        <v>51</v>
      </c>
      <c r="P1201" s="9" t="s">
        <v>529</v>
      </c>
      <c r="Q1201" s="9"/>
      <c r="R1201" s="9"/>
      <c r="S1201" s="14" t="s">
        <v>4492</v>
      </c>
      <c r="T1201" s="9" t="s">
        <v>4493</v>
      </c>
      <c r="U1201" s="9" t="s">
        <v>54</v>
      </c>
      <c r="V1201" s="9"/>
      <c r="W1201" s="9" t="s">
        <v>115</v>
      </c>
      <c r="X1201" s="12"/>
      <c r="Y1201" s="9" t="s">
        <v>55</v>
      </c>
      <c r="Z1201" s="13"/>
    </row>
    <row r="1202" spans="1:26" ht="32.25" hidden="1" customHeight="1">
      <c r="A1202" s="8">
        <v>2303137</v>
      </c>
      <c r="B1202" s="9" t="s">
        <v>4494</v>
      </c>
      <c r="C1202" s="10">
        <v>45149</v>
      </c>
      <c r="D1202" s="9" t="s">
        <v>57</v>
      </c>
      <c r="E1202" s="9" t="s">
        <v>295</v>
      </c>
      <c r="F1202" s="9" t="s">
        <v>42</v>
      </c>
      <c r="G1202" s="9" t="s">
        <v>43</v>
      </c>
      <c r="H1202" s="9" t="s">
        <v>58</v>
      </c>
      <c r="I1202" s="11" t="s">
        <v>406</v>
      </c>
      <c r="J1202" s="9" t="s">
        <v>407</v>
      </c>
      <c r="K1202" s="9" t="s">
        <v>47</v>
      </c>
      <c r="L1202" s="9" t="s">
        <v>1378</v>
      </c>
      <c r="M1202" s="9" t="s">
        <v>4495</v>
      </c>
      <c r="N1202" s="9" t="s">
        <v>50</v>
      </c>
      <c r="O1202" s="9" t="s">
        <v>51</v>
      </c>
      <c r="P1202" s="9"/>
      <c r="Q1202" s="9"/>
      <c r="R1202" s="9" t="s">
        <v>61</v>
      </c>
      <c r="S1202" s="14" t="s">
        <v>4496</v>
      </c>
      <c r="T1202" s="9" t="s">
        <v>4497</v>
      </c>
      <c r="U1202" s="9" t="s">
        <v>54</v>
      </c>
      <c r="V1202" s="9" t="s">
        <v>55</v>
      </c>
      <c r="W1202" s="9" t="s">
        <v>55</v>
      </c>
      <c r="X1202" s="9" t="s">
        <v>319</v>
      </c>
      <c r="Y1202" s="9" t="s">
        <v>320</v>
      </c>
      <c r="Z1202" s="13"/>
    </row>
    <row r="1203" spans="1:26" ht="32.25" hidden="1" customHeight="1">
      <c r="A1203" s="8">
        <v>2312651</v>
      </c>
      <c r="B1203" s="9" t="s">
        <v>4498</v>
      </c>
      <c r="C1203" s="10">
        <v>45142</v>
      </c>
      <c r="D1203" s="9" t="s">
        <v>67</v>
      </c>
      <c r="E1203" s="9" t="s">
        <v>68</v>
      </c>
      <c r="F1203" s="9" t="s">
        <v>135</v>
      </c>
      <c r="G1203" s="9" t="s">
        <v>43</v>
      </c>
      <c r="H1203" s="9" t="s">
        <v>44</v>
      </c>
      <c r="I1203" s="11" t="s">
        <v>3024</v>
      </c>
      <c r="J1203" s="9" t="s">
        <v>3025</v>
      </c>
      <c r="K1203" s="9" t="s">
        <v>47</v>
      </c>
      <c r="L1203" s="9" t="s">
        <v>48</v>
      </c>
      <c r="M1203" s="9" t="s">
        <v>3749</v>
      </c>
      <c r="N1203" s="9" t="s">
        <v>50</v>
      </c>
      <c r="O1203" s="9" t="s">
        <v>51</v>
      </c>
      <c r="P1203" s="9"/>
      <c r="Q1203" s="9"/>
      <c r="R1203" s="9" t="s">
        <v>61</v>
      </c>
      <c r="S1203" s="9" t="s">
        <v>4499</v>
      </c>
      <c r="T1203" s="9" t="s">
        <v>4500</v>
      </c>
      <c r="U1203" s="9" t="s">
        <v>54</v>
      </c>
      <c r="V1203" s="9" t="s">
        <v>55</v>
      </c>
      <c r="W1203" s="9" t="s">
        <v>55</v>
      </c>
      <c r="X1203" s="12" t="s">
        <v>76</v>
      </c>
      <c r="Y1203" s="9" t="s">
        <v>77</v>
      </c>
      <c r="Z1203" s="13"/>
    </row>
    <row r="1204" spans="1:26" ht="32.25" hidden="1" customHeight="1">
      <c r="A1204" s="8">
        <v>2301094</v>
      </c>
      <c r="B1204" s="9" t="s">
        <v>4501</v>
      </c>
      <c r="C1204" s="10">
        <v>45149</v>
      </c>
      <c r="D1204" s="9" t="s">
        <v>57</v>
      </c>
      <c r="E1204" s="9" t="s">
        <v>41</v>
      </c>
      <c r="F1204" s="9" t="s">
        <v>42</v>
      </c>
      <c r="G1204" s="9" t="s">
        <v>43</v>
      </c>
      <c r="H1204" s="9" t="s">
        <v>58</v>
      </c>
      <c r="I1204" s="11" t="s">
        <v>199</v>
      </c>
      <c r="J1204" s="9" t="s">
        <v>200</v>
      </c>
      <c r="K1204" s="9" t="s">
        <v>47</v>
      </c>
      <c r="L1204" s="9" t="s">
        <v>156</v>
      </c>
      <c r="M1204" s="9"/>
      <c r="N1204" s="9" t="s">
        <v>50</v>
      </c>
      <c r="O1204" s="9" t="s">
        <v>51</v>
      </c>
      <c r="P1204" s="9"/>
      <c r="Q1204" s="9"/>
      <c r="R1204" s="9"/>
      <c r="S1204" s="14" t="s">
        <v>4502</v>
      </c>
      <c r="T1204" s="9" t="s">
        <v>4503</v>
      </c>
      <c r="U1204" s="9" t="s">
        <v>54</v>
      </c>
      <c r="V1204" s="9" t="s">
        <v>55</v>
      </c>
      <c r="W1204" s="9" t="s">
        <v>55</v>
      </c>
      <c r="X1204" s="12"/>
      <c r="Y1204" s="9" t="s">
        <v>55</v>
      </c>
      <c r="Z1204" s="13"/>
    </row>
    <row r="1205" spans="1:26" ht="32.25" hidden="1" customHeight="1">
      <c r="A1205" s="8">
        <v>2311802</v>
      </c>
      <c r="B1205" s="9" t="s">
        <v>4504</v>
      </c>
      <c r="C1205" s="10">
        <v>45156</v>
      </c>
      <c r="D1205" s="9" t="s">
        <v>79</v>
      </c>
      <c r="E1205" s="9" t="s">
        <v>89</v>
      </c>
      <c r="F1205" s="9" t="s">
        <v>80</v>
      </c>
      <c r="G1205" s="9" t="s">
        <v>43</v>
      </c>
      <c r="H1205" s="9" t="s">
        <v>44</v>
      </c>
      <c r="I1205" s="11" t="s">
        <v>90</v>
      </c>
      <c r="J1205" s="9" t="s">
        <v>91</v>
      </c>
      <c r="K1205" s="9" t="s">
        <v>47</v>
      </c>
      <c r="L1205" s="9" t="s">
        <v>799</v>
      </c>
      <c r="M1205" s="9" t="s">
        <v>1151</v>
      </c>
      <c r="N1205" s="9" t="s">
        <v>50</v>
      </c>
      <c r="O1205" s="9" t="s">
        <v>51</v>
      </c>
      <c r="P1205" s="9" t="s">
        <v>498</v>
      </c>
      <c r="Q1205" s="9"/>
      <c r="R1205" s="9" t="s">
        <v>61</v>
      </c>
      <c r="S1205" s="14" t="s">
        <v>4505</v>
      </c>
      <c r="T1205" s="9" t="s">
        <v>4506</v>
      </c>
      <c r="U1205" s="9" t="s">
        <v>54</v>
      </c>
      <c r="V1205" s="9" t="s">
        <v>55</v>
      </c>
      <c r="W1205" s="9" t="s">
        <v>115</v>
      </c>
      <c r="X1205" s="12" t="s">
        <v>98</v>
      </c>
      <c r="Y1205" s="9" t="s">
        <v>99</v>
      </c>
      <c r="Z1205" s="13"/>
    </row>
    <row r="1206" spans="1:26" ht="32.25" hidden="1" customHeight="1">
      <c r="A1206" s="8">
        <v>2315262</v>
      </c>
      <c r="B1206" s="9" t="s">
        <v>4507</v>
      </c>
      <c r="C1206" s="10">
        <v>45149</v>
      </c>
      <c r="D1206" s="9" t="s">
        <v>57</v>
      </c>
      <c r="E1206" s="9" t="s">
        <v>41</v>
      </c>
      <c r="F1206" s="9" t="s">
        <v>42</v>
      </c>
      <c r="G1206" s="9" t="s">
        <v>43</v>
      </c>
      <c r="H1206" s="9" t="s">
        <v>58</v>
      </c>
      <c r="I1206" s="11" t="s">
        <v>1073</v>
      </c>
      <c r="J1206" s="9" t="s">
        <v>479</v>
      </c>
      <c r="K1206" s="9" t="s">
        <v>47</v>
      </c>
      <c r="L1206" s="9" t="s">
        <v>156</v>
      </c>
      <c r="M1206" s="9"/>
      <c r="N1206" s="9" t="s">
        <v>84</v>
      </c>
      <c r="O1206" s="9" t="s">
        <v>51</v>
      </c>
      <c r="P1206" s="9"/>
      <c r="Q1206" s="9"/>
      <c r="R1206" s="9"/>
      <c r="S1206" s="14" t="s">
        <v>4508</v>
      </c>
      <c r="T1206" s="9" t="s">
        <v>4509</v>
      </c>
      <c r="U1206" s="9" t="s">
        <v>54</v>
      </c>
      <c r="V1206" s="9" t="s">
        <v>55</v>
      </c>
      <c r="W1206" s="9" t="s">
        <v>55</v>
      </c>
      <c r="X1206" s="12"/>
      <c r="Y1206" s="9" t="s">
        <v>55</v>
      </c>
      <c r="Z1206" s="13"/>
    </row>
    <row r="1207" spans="1:26" ht="32.25" hidden="1" customHeight="1">
      <c r="A1207" s="8">
        <v>2311690</v>
      </c>
      <c r="B1207" s="9" t="s">
        <v>4510</v>
      </c>
      <c r="C1207" s="10">
        <v>45136</v>
      </c>
      <c r="D1207" s="9" t="s">
        <v>1072</v>
      </c>
      <c r="E1207" s="9" t="s">
        <v>41</v>
      </c>
      <c r="F1207" s="9" t="s">
        <v>42</v>
      </c>
      <c r="G1207" s="9" t="s">
        <v>43</v>
      </c>
      <c r="H1207" s="9" t="s">
        <v>44</v>
      </c>
      <c r="I1207" s="11" t="s">
        <v>45</v>
      </c>
      <c r="J1207" s="9" t="s">
        <v>46</v>
      </c>
      <c r="K1207" s="9" t="s">
        <v>47</v>
      </c>
      <c r="L1207" s="9" t="s">
        <v>349</v>
      </c>
      <c r="M1207" s="9" t="s">
        <v>785</v>
      </c>
      <c r="N1207" s="9" t="s">
        <v>50</v>
      </c>
      <c r="O1207" s="9" t="s">
        <v>51</v>
      </c>
      <c r="P1207" s="9"/>
      <c r="Q1207" s="9"/>
      <c r="R1207" s="9" t="s">
        <v>61</v>
      </c>
      <c r="S1207" s="9" t="s">
        <v>4511</v>
      </c>
      <c r="T1207" s="9" t="s">
        <v>4512</v>
      </c>
      <c r="U1207" s="9" t="s">
        <v>54</v>
      </c>
      <c r="V1207" s="9" t="s">
        <v>55</v>
      </c>
      <c r="W1207" s="9" t="s">
        <v>55</v>
      </c>
      <c r="X1207" s="9" t="s">
        <v>64</v>
      </c>
      <c r="Y1207" s="9" t="s">
        <v>65</v>
      </c>
      <c r="Z1207" s="13"/>
    </row>
    <row r="1208" spans="1:26" ht="32.25" hidden="1" customHeight="1">
      <c r="A1208" s="8">
        <v>2309897</v>
      </c>
      <c r="B1208" s="9" t="s">
        <v>4513</v>
      </c>
      <c r="C1208" s="10">
        <v>45149</v>
      </c>
      <c r="D1208" s="9" t="s">
        <v>261</v>
      </c>
      <c r="E1208" s="9" t="s">
        <v>89</v>
      </c>
      <c r="F1208" s="9" t="s">
        <v>262</v>
      </c>
      <c r="G1208" s="9" t="s">
        <v>43</v>
      </c>
      <c r="H1208" s="9" t="s">
        <v>44</v>
      </c>
      <c r="I1208" s="11" t="s">
        <v>4514</v>
      </c>
      <c r="J1208" s="9" t="s">
        <v>4515</v>
      </c>
      <c r="K1208" s="9" t="s">
        <v>47</v>
      </c>
      <c r="L1208" s="9" t="s">
        <v>156</v>
      </c>
      <c r="M1208" s="9"/>
      <c r="N1208" s="9" t="s">
        <v>84</v>
      </c>
      <c r="O1208" s="9" t="s">
        <v>51</v>
      </c>
      <c r="P1208" s="9"/>
      <c r="Q1208" s="9"/>
      <c r="R1208" s="9"/>
      <c r="S1208" s="14" t="s">
        <v>4516</v>
      </c>
      <c r="T1208" s="9" t="s">
        <v>4517</v>
      </c>
      <c r="U1208" s="9" t="s">
        <v>262</v>
      </c>
      <c r="V1208" s="9" t="s">
        <v>55</v>
      </c>
      <c r="W1208" s="9" t="s">
        <v>55</v>
      </c>
      <c r="X1208" s="12"/>
      <c r="Y1208" s="9" t="s">
        <v>55</v>
      </c>
      <c r="Z1208" s="13"/>
    </row>
    <row r="1209" spans="1:26" ht="32.25" hidden="1" customHeight="1">
      <c r="A1209" s="8">
        <v>2312837</v>
      </c>
      <c r="B1209" s="9" t="s">
        <v>4518</v>
      </c>
      <c r="C1209" s="10">
        <v>45142</v>
      </c>
      <c r="D1209" s="9" t="s">
        <v>232</v>
      </c>
      <c r="E1209" s="9" t="s">
        <v>89</v>
      </c>
      <c r="F1209" s="9" t="s">
        <v>80</v>
      </c>
      <c r="G1209" s="9" t="s">
        <v>43</v>
      </c>
      <c r="H1209" s="9" t="s">
        <v>44</v>
      </c>
      <c r="I1209" s="11" t="s">
        <v>108</v>
      </c>
      <c r="J1209" s="9" t="s">
        <v>109</v>
      </c>
      <c r="K1209" s="9" t="s">
        <v>4519</v>
      </c>
      <c r="L1209" s="9" t="s">
        <v>517</v>
      </c>
      <c r="M1209" s="9" t="s">
        <v>1413</v>
      </c>
      <c r="N1209" s="9" t="s">
        <v>50</v>
      </c>
      <c r="O1209" s="9" t="s">
        <v>187</v>
      </c>
      <c r="P1209" s="9" t="s">
        <v>112</v>
      </c>
      <c r="Q1209" s="9"/>
      <c r="R1209" s="9" t="s">
        <v>61</v>
      </c>
      <c r="S1209" s="9" t="s">
        <v>641</v>
      </c>
      <c r="T1209" s="9" t="s">
        <v>4520</v>
      </c>
      <c r="U1209" s="9" t="s">
        <v>54</v>
      </c>
      <c r="V1209" s="9" t="s">
        <v>55</v>
      </c>
      <c r="W1209" s="9" t="s">
        <v>55</v>
      </c>
      <c r="X1209" s="12" t="s">
        <v>98</v>
      </c>
      <c r="Y1209" s="9" t="s">
        <v>99</v>
      </c>
      <c r="Z1209" s="13"/>
    </row>
    <row r="1210" spans="1:26" ht="32.25" hidden="1" customHeight="1">
      <c r="A1210" s="8">
        <v>2311394</v>
      </c>
      <c r="B1210" s="9" t="s">
        <v>4521</v>
      </c>
      <c r="C1210" s="10">
        <v>45149</v>
      </c>
      <c r="D1210" s="9" t="s">
        <v>261</v>
      </c>
      <c r="E1210" s="9" t="s">
        <v>143</v>
      </c>
      <c r="F1210" s="9" t="s">
        <v>262</v>
      </c>
      <c r="G1210" s="9" t="s">
        <v>43</v>
      </c>
      <c r="H1210" s="9" t="s">
        <v>44</v>
      </c>
      <c r="I1210" s="11" t="s">
        <v>1291</v>
      </c>
      <c r="J1210" s="9" t="s">
        <v>1292</v>
      </c>
      <c r="K1210" s="9" t="s">
        <v>47</v>
      </c>
      <c r="L1210" s="9" t="s">
        <v>310</v>
      </c>
      <c r="M1210" s="9" t="s">
        <v>4522</v>
      </c>
      <c r="N1210" s="9" t="s">
        <v>84</v>
      </c>
      <c r="O1210" s="9" t="s">
        <v>51</v>
      </c>
      <c r="P1210" s="9"/>
      <c r="Q1210" s="9"/>
      <c r="R1210" s="9" t="s">
        <v>61</v>
      </c>
      <c r="S1210" s="14" t="s">
        <v>4523</v>
      </c>
      <c r="T1210" s="9" t="s">
        <v>4524</v>
      </c>
      <c r="U1210" s="9" t="s">
        <v>262</v>
      </c>
      <c r="V1210" s="9" t="s">
        <v>370</v>
      </c>
      <c r="W1210" s="9" t="s">
        <v>115</v>
      </c>
      <c r="X1210" s="12" t="s">
        <v>389</v>
      </c>
      <c r="Y1210" s="9" t="s">
        <v>390</v>
      </c>
      <c r="Z1210" s="13"/>
    </row>
    <row r="1211" spans="1:26" ht="32.25" hidden="1" customHeight="1">
      <c r="A1211" s="8">
        <v>2300311</v>
      </c>
      <c r="B1211" s="9" t="s">
        <v>4525</v>
      </c>
      <c r="C1211" s="10">
        <v>45142</v>
      </c>
      <c r="D1211" s="9" t="s">
        <v>1850</v>
      </c>
      <c r="E1211" s="9" t="s">
        <v>89</v>
      </c>
      <c r="F1211" s="9" t="s">
        <v>42</v>
      </c>
      <c r="G1211" s="9" t="s">
        <v>43</v>
      </c>
      <c r="H1211" s="9" t="s">
        <v>44</v>
      </c>
      <c r="I1211" s="11" t="s">
        <v>360</v>
      </c>
      <c r="J1211" s="9" t="s">
        <v>102</v>
      </c>
      <c r="K1211" s="9" t="s">
        <v>2036</v>
      </c>
      <c r="L1211" s="9"/>
      <c r="M1211" s="9" t="s">
        <v>4526</v>
      </c>
      <c r="N1211" s="9" t="s">
        <v>50</v>
      </c>
      <c r="O1211" s="9" t="s">
        <v>187</v>
      </c>
      <c r="P1211" s="9" t="s">
        <v>361</v>
      </c>
      <c r="Q1211" s="9"/>
      <c r="R1211" s="9" t="s">
        <v>61</v>
      </c>
      <c r="S1211" s="9" t="s">
        <v>4527</v>
      </c>
      <c r="T1211" s="9" t="s">
        <v>4528</v>
      </c>
      <c r="U1211" s="9" t="s">
        <v>54</v>
      </c>
      <c r="V1211" s="9" t="s">
        <v>2177</v>
      </c>
      <c r="W1211" s="9" t="s">
        <v>55</v>
      </c>
      <c r="X1211" s="12" t="s">
        <v>171</v>
      </c>
      <c r="Y1211" s="9" t="s">
        <v>172</v>
      </c>
      <c r="Z1211" s="13" t="s">
        <v>240</v>
      </c>
    </row>
    <row r="1212" spans="1:26" ht="32.25" hidden="1" customHeight="1">
      <c r="A1212" s="8">
        <v>2301001</v>
      </c>
      <c r="B1212" s="9" t="s">
        <v>4529</v>
      </c>
      <c r="C1212" s="10">
        <v>45136</v>
      </c>
      <c r="D1212" s="9" t="s">
        <v>40</v>
      </c>
      <c r="E1212" s="9" t="s">
        <v>41</v>
      </c>
      <c r="F1212" s="9" t="s">
        <v>42</v>
      </c>
      <c r="G1212" s="9" t="s">
        <v>43</v>
      </c>
      <c r="H1212" s="9" t="s">
        <v>44</v>
      </c>
      <c r="I1212" s="11" t="s">
        <v>45</v>
      </c>
      <c r="J1212" s="9" t="s">
        <v>46</v>
      </c>
      <c r="K1212" s="9" t="s">
        <v>47</v>
      </c>
      <c r="L1212" s="9" t="s">
        <v>290</v>
      </c>
      <c r="M1212" s="9" t="s">
        <v>1787</v>
      </c>
      <c r="N1212" s="9" t="s">
        <v>50</v>
      </c>
      <c r="O1212" s="9" t="s">
        <v>51</v>
      </c>
      <c r="P1212" s="9"/>
      <c r="Q1212" s="9"/>
      <c r="R1212" s="9" t="s">
        <v>61</v>
      </c>
      <c r="S1212" s="9" t="s">
        <v>4530</v>
      </c>
      <c r="T1212" s="9" t="s">
        <v>4531</v>
      </c>
      <c r="U1212" s="9" t="s">
        <v>54</v>
      </c>
      <c r="V1212" s="9" t="s">
        <v>55</v>
      </c>
      <c r="W1212" s="9" t="s">
        <v>55</v>
      </c>
      <c r="X1212" s="9" t="s">
        <v>64</v>
      </c>
      <c r="Y1212" s="9" t="s">
        <v>65</v>
      </c>
      <c r="Z1212" s="13"/>
    </row>
    <row r="1213" spans="1:26" ht="32.25" hidden="1" customHeight="1">
      <c r="A1213" s="8">
        <v>2306146</v>
      </c>
      <c r="B1213" s="9" t="s">
        <v>4532</v>
      </c>
      <c r="C1213" s="10">
        <v>45149</v>
      </c>
      <c r="D1213" s="9" t="s">
        <v>57</v>
      </c>
      <c r="E1213" s="9" t="s">
        <v>41</v>
      </c>
      <c r="F1213" s="9" t="s">
        <v>42</v>
      </c>
      <c r="G1213" s="9" t="s">
        <v>43</v>
      </c>
      <c r="H1213" s="9" t="s">
        <v>58</v>
      </c>
      <c r="I1213" s="11" t="s">
        <v>45</v>
      </c>
      <c r="J1213" s="9" t="s">
        <v>46</v>
      </c>
      <c r="K1213" s="9" t="s">
        <v>47</v>
      </c>
      <c r="L1213" s="9" t="s">
        <v>156</v>
      </c>
      <c r="M1213" s="9"/>
      <c r="N1213" s="9" t="s">
        <v>50</v>
      </c>
      <c r="O1213" s="9" t="s">
        <v>51</v>
      </c>
      <c r="P1213" s="9"/>
      <c r="Q1213" s="9"/>
      <c r="R1213" s="9"/>
      <c r="S1213" s="14" t="s">
        <v>4533</v>
      </c>
      <c r="T1213" s="9" t="s">
        <v>4534</v>
      </c>
      <c r="U1213" s="9" t="s">
        <v>54</v>
      </c>
      <c r="V1213" s="9" t="s">
        <v>55</v>
      </c>
      <c r="W1213" s="9" t="s">
        <v>55</v>
      </c>
      <c r="X1213" s="12"/>
      <c r="Y1213" s="9" t="s">
        <v>55</v>
      </c>
      <c r="Z1213" s="13"/>
    </row>
    <row r="1214" spans="1:26" ht="32.25" hidden="1" customHeight="1">
      <c r="A1214" s="8">
        <v>2304929</v>
      </c>
      <c r="B1214" s="9" t="s">
        <v>4535</v>
      </c>
      <c r="C1214" s="10">
        <v>45142</v>
      </c>
      <c r="D1214" s="9" t="s">
        <v>67</v>
      </c>
      <c r="E1214" s="9" t="s">
        <v>68</v>
      </c>
      <c r="F1214" s="9" t="s">
        <v>135</v>
      </c>
      <c r="G1214" s="9" t="s">
        <v>43</v>
      </c>
      <c r="H1214" s="9" t="s">
        <v>44</v>
      </c>
      <c r="I1214" s="11" t="s">
        <v>136</v>
      </c>
      <c r="J1214" s="9" t="s">
        <v>137</v>
      </c>
      <c r="K1214" s="9" t="s">
        <v>47</v>
      </c>
      <c r="L1214" s="9" t="s">
        <v>138</v>
      </c>
      <c r="M1214" s="9" t="s">
        <v>1929</v>
      </c>
      <c r="N1214" s="9" t="s">
        <v>50</v>
      </c>
      <c r="O1214" s="9" t="s">
        <v>51</v>
      </c>
      <c r="P1214" s="9"/>
      <c r="Q1214" s="9"/>
      <c r="R1214" s="9" t="s">
        <v>61</v>
      </c>
      <c r="S1214" s="9" t="s">
        <v>4536</v>
      </c>
      <c r="T1214" s="9" t="s">
        <v>4537</v>
      </c>
      <c r="U1214" s="9" t="s">
        <v>54</v>
      </c>
      <c r="V1214" s="9" t="s">
        <v>55</v>
      </c>
      <c r="W1214" s="9" t="s">
        <v>55</v>
      </c>
      <c r="X1214" s="12" t="s">
        <v>76</v>
      </c>
      <c r="Y1214" s="9" t="s">
        <v>77</v>
      </c>
      <c r="Z1214" s="13"/>
    </row>
    <row r="1215" spans="1:26" ht="32.25" hidden="1" customHeight="1">
      <c r="A1215" s="8">
        <v>2314305</v>
      </c>
      <c r="B1215" s="9" t="s">
        <v>4538</v>
      </c>
      <c r="C1215" s="10">
        <v>45156</v>
      </c>
      <c r="D1215" s="9" t="s">
        <v>79</v>
      </c>
      <c r="E1215" s="9" t="s">
        <v>41</v>
      </c>
      <c r="F1215" s="9" t="s">
        <v>80</v>
      </c>
      <c r="G1215" s="9" t="s">
        <v>43</v>
      </c>
      <c r="H1215" s="9" t="s">
        <v>44</v>
      </c>
      <c r="I1215" s="11" t="s">
        <v>233</v>
      </c>
      <c r="J1215" s="9" t="s">
        <v>200</v>
      </c>
      <c r="K1215" s="9" t="s">
        <v>47</v>
      </c>
      <c r="L1215" s="9" t="s">
        <v>48</v>
      </c>
      <c r="M1215" s="9"/>
      <c r="N1215" s="9" t="s">
        <v>50</v>
      </c>
      <c r="O1215" s="9" t="s">
        <v>51</v>
      </c>
      <c r="P1215" s="9" t="s">
        <v>443</v>
      </c>
      <c r="Q1215" s="9"/>
      <c r="R1215" s="9"/>
      <c r="S1215" s="14" t="s">
        <v>4539</v>
      </c>
      <c r="T1215" s="9" t="s">
        <v>4540</v>
      </c>
      <c r="U1215" s="9" t="s">
        <v>54</v>
      </c>
      <c r="V1215" s="9"/>
      <c r="W1215" s="9" t="s">
        <v>115</v>
      </c>
      <c r="X1215" s="12"/>
      <c r="Y1215" s="9" t="s">
        <v>55</v>
      </c>
      <c r="Z1215" s="13"/>
    </row>
    <row r="1216" spans="1:26" ht="32.25" hidden="1" customHeight="1">
      <c r="A1216" s="8">
        <v>2300761</v>
      </c>
      <c r="B1216" s="9" t="s">
        <v>4541</v>
      </c>
      <c r="C1216" s="10">
        <v>45142</v>
      </c>
      <c r="D1216" s="9" t="s">
        <v>67</v>
      </c>
      <c r="E1216" s="9" t="s">
        <v>143</v>
      </c>
      <c r="F1216" s="9" t="s">
        <v>42</v>
      </c>
      <c r="G1216" s="9" t="s">
        <v>43</v>
      </c>
      <c r="H1216" s="9" t="s">
        <v>44</v>
      </c>
      <c r="I1216" s="11" t="s">
        <v>334</v>
      </c>
      <c r="J1216" s="9" t="s">
        <v>327</v>
      </c>
      <c r="K1216" s="9" t="s">
        <v>47</v>
      </c>
      <c r="L1216" s="9" t="s">
        <v>156</v>
      </c>
      <c r="M1216" s="9"/>
      <c r="N1216" s="9" t="s">
        <v>84</v>
      </c>
      <c r="O1216" s="9" t="s">
        <v>51</v>
      </c>
      <c r="P1216" s="9" t="s">
        <v>336</v>
      </c>
      <c r="Q1216" s="9"/>
      <c r="R1216" s="9"/>
      <c r="S1216" s="9" t="s">
        <v>4542</v>
      </c>
      <c r="T1216" s="9" t="s">
        <v>4543</v>
      </c>
      <c r="U1216" s="9" t="s">
        <v>54</v>
      </c>
      <c r="V1216" s="9" t="s">
        <v>55</v>
      </c>
      <c r="W1216" s="9" t="s">
        <v>115</v>
      </c>
      <c r="X1216" s="12"/>
      <c r="Y1216" s="9" t="s">
        <v>55</v>
      </c>
      <c r="Z1216" s="13"/>
    </row>
    <row r="1217" spans="1:26" ht="32.25" hidden="1" customHeight="1">
      <c r="A1217" s="8">
        <v>2314645</v>
      </c>
      <c r="B1217" s="9" t="s">
        <v>4544</v>
      </c>
      <c r="C1217" s="10">
        <v>45149</v>
      </c>
      <c r="D1217" s="9" t="s">
        <v>57</v>
      </c>
      <c r="E1217" s="9" t="s">
        <v>41</v>
      </c>
      <c r="F1217" s="9" t="s">
        <v>42</v>
      </c>
      <c r="G1217" s="9" t="s">
        <v>43</v>
      </c>
      <c r="H1217" s="9" t="s">
        <v>58</v>
      </c>
      <c r="I1217" s="11" t="s">
        <v>1073</v>
      </c>
      <c r="J1217" s="9" t="s">
        <v>479</v>
      </c>
      <c r="K1217" s="9" t="s">
        <v>47</v>
      </c>
      <c r="L1217" s="9" t="s">
        <v>741</v>
      </c>
      <c r="M1217" s="9" t="s">
        <v>4545</v>
      </c>
      <c r="N1217" s="9" t="s">
        <v>50</v>
      </c>
      <c r="O1217" s="9" t="s">
        <v>51</v>
      </c>
      <c r="P1217" s="9"/>
      <c r="Q1217" s="9"/>
      <c r="R1217" s="9" t="s">
        <v>61</v>
      </c>
      <c r="S1217" s="14" t="s">
        <v>4546</v>
      </c>
      <c r="T1217" s="9" t="s">
        <v>4547</v>
      </c>
      <c r="U1217" s="9" t="s">
        <v>54</v>
      </c>
      <c r="V1217" s="9" t="s">
        <v>55</v>
      </c>
      <c r="W1217" s="9" t="s">
        <v>55</v>
      </c>
      <c r="X1217" s="9" t="s">
        <v>196</v>
      </c>
      <c r="Y1217" s="9" t="s">
        <v>197</v>
      </c>
      <c r="Z1217" s="13"/>
    </row>
    <row r="1218" spans="1:26" ht="32.25" hidden="1" customHeight="1">
      <c r="A1218" s="8">
        <v>2301339</v>
      </c>
      <c r="B1218" s="9" t="s">
        <v>4548</v>
      </c>
      <c r="C1218" s="10">
        <v>45136</v>
      </c>
      <c r="D1218" s="9" t="s">
        <v>40</v>
      </c>
      <c r="E1218" s="9" t="s">
        <v>143</v>
      </c>
      <c r="F1218" s="9" t="s">
        <v>42</v>
      </c>
      <c r="G1218" s="9" t="s">
        <v>43</v>
      </c>
      <c r="H1218" s="9" t="s">
        <v>44</v>
      </c>
      <c r="I1218" s="11" t="s">
        <v>460</v>
      </c>
      <c r="J1218" s="9" t="s">
        <v>400</v>
      </c>
      <c r="K1218" s="9" t="s">
        <v>47</v>
      </c>
      <c r="L1218" s="9" t="s">
        <v>706</v>
      </c>
      <c r="M1218" s="9" t="s">
        <v>1262</v>
      </c>
      <c r="N1218" s="9" t="s">
        <v>50</v>
      </c>
      <c r="O1218" s="9" t="s">
        <v>51</v>
      </c>
      <c r="P1218" s="9"/>
      <c r="Q1218" s="9"/>
      <c r="R1218" s="9" t="s">
        <v>61</v>
      </c>
      <c r="S1218" s="9" t="s">
        <v>4549</v>
      </c>
      <c r="T1218" s="9" t="s">
        <v>4550</v>
      </c>
      <c r="U1218" s="9" t="s">
        <v>54</v>
      </c>
      <c r="V1218" s="9" t="s">
        <v>55</v>
      </c>
      <c r="W1218" s="9" t="s">
        <v>55</v>
      </c>
      <c r="X1218" s="12" t="s">
        <v>150</v>
      </c>
      <c r="Y1218" s="9" t="s">
        <v>151</v>
      </c>
      <c r="Z1218" s="13"/>
    </row>
    <row r="1219" spans="1:26" ht="32.25" hidden="1" customHeight="1">
      <c r="A1219" s="8">
        <v>2313098</v>
      </c>
      <c r="B1219" s="9" t="s">
        <v>4551</v>
      </c>
      <c r="C1219" s="10">
        <v>45156</v>
      </c>
      <c r="D1219" s="9" t="s">
        <v>79</v>
      </c>
      <c r="E1219" s="9" t="s">
        <v>143</v>
      </c>
      <c r="F1219" s="9" t="s">
        <v>80</v>
      </c>
      <c r="G1219" s="9" t="s">
        <v>43</v>
      </c>
      <c r="H1219" s="9" t="s">
        <v>44</v>
      </c>
      <c r="I1219" s="11" t="s">
        <v>326</v>
      </c>
      <c r="J1219" s="9" t="s">
        <v>327</v>
      </c>
      <c r="K1219" s="9" t="s">
        <v>47</v>
      </c>
      <c r="L1219" s="9" t="s">
        <v>598</v>
      </c>
      <c r="M1219" s="9" t="s">
        <v>599</v>
      </c>
      <c r="N1219" s="9" t="s">
        <v>84</v>
      </c>
      <c r="O1219" s="9" t="s">
        <v>51</v>
      </c>
      <c r="P1219" s="9" t="s">
        <v>654</v>
      </c>
      <c r="Q1219" s="9"/>
      <c r="R1219" s="9" t="s">
        <v>61</v>
      </c>
      <c r="S1219" s="14" t="s">
        <v>4552</v>
      </c>
      <c r="T1219" s="9" t="s">
        <v>4553</v>
      </c>
      <c r="U1219" s="9" t="s">
        <v>54</v>
      </c>
      <c r="V1219" s="9" t="s">
        <v>370</v>
      </c>
      <c r="W1219" s="9" t="s">
        <v>115</v>
      </c>
      <c r="X1219" s="12" t="s">
        <v>150</v>
      </c>
      <c r="Y1219" s="9" t="s">
        <v>151</v>
      </c>
      <c r="Z1219" s="13"/>
    </row>
    <row r="1220" spans="1:26" ht="32.25" hidden="1" customHeight="1">
      <c r="A1220" s="8">
        <v>2312298</v>
      </c>
      <c r="B1220" s="9" t="s">
        <v>4554</v>
      </c>
      <c r="C1220" s="10">
        <v>45156</v>
      </c>
      <c r="D1220" s="9" t="s">
        <v>79</v>
      </c>
      <c r="E1220" s="9" t="s">
        <v>68</v>
      </c>
      <c r="F1220" s="9" t="s">
        <v>80</v>
      </c>
      <c r="G1220" s="9" t="s">
        <v>43</v>
      </c>
      <c r="H1220" s="9" t="s">
        <v>44</v>
      </c>
      <c r="I1220" s="11" t="s">
        <v>117</v>
      </c>
      <c r="J1220" s="9" t="s">
        <v>118</v>
      </c>
      <c r="K1220" s="9" t="s">
        <v>47</v>
      </c>
      <c r="L1220" s="9" t="s">
        <v>48</v>
      </c>
      <c r="M1220" s="9" t="s">
        <v>1418</v>
      </c>
      <c r="N1220" s="9" t="s">
        <v>50</v>
      </c>
      <c r="O1220" s="9" t="s">
        <v>51</v>
      </c>
      <c r="P1220" s="9" t="s">
        <v>285</v>
      </c>
      <c r="Q1220" s="9"/>
      <c r="R1220" s="9"/>
      <c r="S1220" s="14" t="s">
        <v>4555</v>
      </c>
      <c r="T1220" s="9" t="s">
        <v>4556</v>
      </c>
      <c r="U1220" s="9" t="s">
        <v>54</v>
      </c>
      <c r="V1220" s="9" t="s">
        <v>55</v>
      </c>
      <c r="W1220" s="9" t="s">
        <v>55</v>
      </c>
      <c r="X1220" s="12"/>
      <c r="Y1220" s="9" t="s">
        <v>55</v>
      </c>
      <c r="Z1220" s="13"/>
    </row>
    <row r="1221" spans="1:26" ht="32.25" hidden="1" customHeight="1">
      <c r="A1221" s="8">
        <v>2300896</v>
      </c>
      <c r="B1221" s="9" t="s">
        <v>4557</v>
      </c>
      <c r="C1221" s="10">
        <v>45142</v>
      </c>
      <c r="D1221" s="9" t="s">
        <v>67</v>
      </c>
      <c r="E1221" s="9" t="s">
        <v>143</v>
      </c>
      <c r="F1221" s="9" t="s">
        <v>42</v>
      </c>
      <c r="G1221" s="9" t="s">
        <v>43</v>
      </c>
      <c r="H1221" s="9" t="s">
        <v>44</v>
      </c>
      <c r="I1221" s="11" t="s">
        <v>460</v>
      </c>
      <c r="J1221" s="9" t="s">
        <v>400</v>
      </c>
      <c r="K1221" s="9" t="s">
        <v>47</v>
      </c>
      <c r="L1221" s="9" t="s">
        <v>48</v>
      </c>
      <c r="M1221" s="9" t="s">
        <v>1872</v>
      </c>
      <c r="N1221" s="9" t="s">
        <v>50</v>
      </c>
      <c r="O1221" s="9" t="s">
        <v>51</v>
      </c>
      <c r="P1221" s="9"/>
      <c r="Q1221" s="9"/>
      <c r="R1221" s="9" t="s">
        <v>61</v>
      </c>
      <c r="S1221" s="9" t="s">
        <v>4558</v>
      </c>
      <c r="T1221" s="9" t="s">
        <v>4559</v>
      </c>
      <c r="U1221" s="9" t="s">
        <v>54</v>
      </c>
      <c r="V1221" s="9" t="s">
        <v>55</v>
      </c>
      <c r="W1221" s="9" t="s">
        <v>55</v>
      </c>
      <c r="X1221" s="12" t="s">
        <v>150</v>
      </c>
      <c r="Y1221" s="9" t="s">
        <v>151</v>
      </c>
      <c r="Z1221" s="13" t="s">
        <v>4560</v>
      </c>
    </row>
    <row r="1222" spans="1:26" ht="32.25" hidden="1" customHeight="1">
      <c r="A1222" s="8">
        <v>2308804</v>
      </c>
      <c r="B1222" s="9" t="s">
        <v>4561</v>
      </c>
      <c r="C1222" s="10">
        <v>45142</v>
      </c>
      <c r="D1222" s="9" t="s">
        <v>67</v>
      </c>
      <c r="E1222" s="9" t="s">
        <v>89</v>
      </c>
      <c r="F1222" s="9" t="s">
        <v>42</v>
      </c>
      <c r="G1222" s="9" t="s">
        <v>43</v>
      </c>
      <c r="H1222" s="9" t="s">
        <v>44</v>
      </c>
      <c r="I1222" s="11" t="s">
        <v>360</v>
      </c>
      <c r="J1222" s="9" t="s">
        <v>102</v>
      </c>
      <c r="K1222" s="9" t="s">
        <v>47</v>
      </c>
      <c r="L1222" s="9" t="s">
        <v>156</v>
      </c>
      <c r="M1222" s="9"/>
      <c r="N1222" s="9" t="s">
        <v>50</v>
      </c>
      <c r="O1222" s="9" t="s">
        <v>51</v>
      </c>
      <c r="P1222" s="9" t="s">
        <v>361</v>
      </c>
      <c r="Q1222" s="9"/>
      <c r="R1222" s="9"/>
      <c r="S1222" s="9" t="s">
        <v>4562</v>
      </c>
      <c r="T1222" s="9" t="s">
        <v>4563</v>
      </c>
      <c r="U1222" s="9" t="s">
        <v>54</v>
      </c>
      <c r="V1222" s="9" t="s">
        <v>55</v>
      </c>
      <c r="W1222" s="9" t="s">
        <v>55</v>
      </c>
      <c r="X1222" s="12"/>
      <c r="Y1222" s="9" t="s">
        <v>55</v>
      </c>
      <c r="Z1222" s="13"/>
    </row>
    <row r="1223" spans="1:26" ht="32.25" hidden="1" customHeight="1">
      <c r="A1223" s="8">
        <v>2312647</v>
      </c>
      <c r="B1223" s="9" t="s">
        <v>4564</v>
      </c>
      <c r="C1223" s="10">
        <v>45149</v>
      </c>
      <c r="D1223" s="9" t="s">
        <v>261</v>
      </c>
      <c r="E1223" s="9" t="s">
        <v>89</v>
      </c>
      <c r="F1223" s="9" t="s">
        <v>262</v>
      </c>
      <c r="G1223" s="9" t="s">
        <v>43</v>
      </c>
      <c r="H1223" s="9" t="s">
        <v>44</v>
      </c>
      <c r="I1223" s="11" t="s">
        <v>685</v>
      </c>
      <c r="J1223" s="9" t="s">
        <v>686</v>
      </c>
      <c r="K1223" s="9" t="s">
        <v>47</v>
      </c>
      <c r="L1223" s="9" t="s">
        <v>156</v>
      </c>
      <c r="M1223" s="9"/>
      <c r="N1223" s="9" t="s">
        <v>50</v>
      </c>
      <c r="O1223" s="9" t="s">
        <v>51</v>
      </c>
      <c r="P1223" s="9"/>
      <c r="Q1223" s="9"/>
      <c r="R1223" s="9"/>
      <c r="S1223" s="14" t="s">
        <v>4565</v>
      </c>
      <c r="T1223" s="9" t="s">
        <v>4566</v>
      </c>
      <c r="U1223" s="9" t="s">
        <v>262</v>
      </c>
      <c r="V1223" s="9" t="s">
        <v>55</v>
      </c>
      <c r="W1223" s="9" t="s">
        <v>55</v>
      </c>
      <c r="X1223" s="12"/>
      <c r="Y1223" s="9" t="s">
        <v>55</v>
      </c>
      <c r="Z1223" s="13"/>
    </row>
    <row r="1224" spans="1:26" ht="32.25" hidden="1" customHeight="1">
      <c r="A1224" s="8">
        <v>2308298</v>
      </c>
      <c r="B1224" s="9" t="s">
        <v>4567</v>
      </c>
      <c r="C1224" s="10">
        <v>45149</v>
      </c>
      <c r="D1224" s="9" t="s">
        <v>57</v>
      </c>
      <c r="E1224" s="9" t="s">
        <v>41</v>
      </c>
      <c r="F1224" s="9" t="s">
        <v>42</v>
      </c>
      <c r="G1224" s="9" t="s">
        <v>43</v>
      </c>
      <c r="H1224" s="9" t="s">
        <v>58</v>
      </c>
      <c r="I1224" s="11" t="s">
        <v>1073</v>
      </c>
      <c r="J1224" s="9" t="s">
        <v>479</v>
      </c>
      <c r="K1224" s="9" t="s">
        <v>47</v>
      </c>
      <c r="L1224" s="9" t="s">
        <v>156</v>
      </c>
      <c r="M1224" s="9"/>
      <c r="N1224" s="9" t="s">
        <v>50</v>
      </c>
      <c r="O1224" s="9" t="s">
        <v>51</v>
      </c>
      <c r="P1224" s="9"/>
      <c r="Q1224" s="9"/>
      <c r="R1224" s="9"/>
      <c r="S1224" s="14" t="s">
        <v>4568</v>
      </c>
      <c r="T1224" s="9" t="s">
        <v>4569</v>
      </c>
      <c r="U1224" s="9" t="s">
        <v>54</v>
      </c>
      <c r="V1224" s="9" t="s">
        <v>55</v>
      </c>
      <c r="W1224" s="9" t="s">
        <v>55</v>
      </c>
      <c r="X1224" s="12"/>
      <c r="Y1224" s="9" t="s">
        <v>55</v>
      </c>
      <c r="Z1224" s="13"/>
    </row>
    <row r="1225" spans="1:26" ht="32.25" hidden="1" customHeight="1">
      <c r="A1225" s="8">
        <v>2304890</v>
      </c>
      <c r="B1225" s="9" t="s">
        <v>4570</v>
      </c>
      <c r="C1225" s="10">
        <v>45149</v>
      </c>
      <c r="D1225" s="9" t="s">
        <v>57</v>
      </c>
      <c r="E1225" s="9" t="s">
        <v>41</v>
      </c>
      <c r="F1225" s="9" t="s">
        <v>42</v>
      </c>
      <c r="G1225" s="9" t="s">
        <v>43</v>
      </c>
      <c r="H1225" s="9" t="s">
        <v>58</v>
      </c>
      <c r="I1225" s="11" t="s">
        <v>129</v>
      </c>
      <c r="J1225" s="9" t="s">
        <v>130</v>
      </c>
      <c r="K1225" s="9" t="s">
        <v>47</v>
      </c>
      <c r="L1225" s="9" t="s">
        <v>156</v>
      </c>
      <c r="M1225" s="9"/>
      <c r="N1225" s="9" t="s">
        <v>50</v>
      </c>
      <c r="O1225" s="9" t="s">
        <v>51</v>
      </c>
      <c r="P1225" s="9"/>
      <c r="Q1225" s="9"/>
      <c r="R1225" s="9"/>
      <c r="S1225" s="14" t="s">
        <v>4571</v>
      </c>
      <c r="T1225" s="9" t="s">
        <v>4572</v>
      </c>
      <c r="U1225" s="9" t="s">
        <v>54</v>
      </c>
      <c r="V1225" s="9" t="s">
        <v>55</v>
      </c>
      <c r="W1225" s="9" t="s">
        <v>55</v>
      </c>
      <c r="X1225" s="12"/>
      <c r="Y1225" s="9" t="s">
        <v>55</v>
      </c>
      <c r="Z1225" s="13"/>
    </row>
    <row r="1226" spans="1:26" ht="32.25" hidden="1" customHeight="1">
      <c r="A1226" s="8">
        <v>2301077</v>
      </c>
      <c r="B1226" s="9" t="s">
        <v>4573</v>
      </c>
      <c r="C1226" s="10">
        <v>45142</v>
      </c>
      <c r="D1226" s="9" t="s">
        <v>67</v>
      </c>
      <c r="E1226" s="9" t="s">
        <v>143</v>
      </c>
      <c r="F1226" s="9" t="s">
        <v>42</v>
      </c>
      <c r="G1226" s="9" t="s">
        <v>43</v>
      </c>
      <c r="H1226" s="9" t="s">
        <v>44</v>
      </c>
      <c r="I1226" s="11" t="s">
        <v>144</v>
      </c>
      <c r="J1226" s="9" t="s">
        <v>145</v>
      </c>
      <c r="K1226" s="9" t="s">
        <v>47</v>
      </c>
      <c r="L1226" s="9" t="s">
        <v>3693</v>
      </c>
      <c r="M1226" s="9" t="s">
        <v>3694</v>
      </c>
      <c r="N1226" s="9" t="s">
        <v>50</v>
      </c>
      <c r="O1226" s="9" t="s">
        <v>51</v>
      </c>
      <c r="P1226" s="9" t="s">
        <v>147</v>
      </c>
      <c r="Q1226" s="9"/>
      <c r="R1226" s="9" t="s">
        <v>61</v>
      </c>
      <c r="S1226" s="9" t="s">
        <v>4574</v>
      </c>
      <c r="T1226" s="9" t="s">
        <v>4575</v>
      </c>
      <c r="U1226" s="9" t="s">
        <v>54</v>
      </c>
      <c r="V1226" s="9" t="s">
        <v>55</v>
      </c>
      <c r="W1226" s="9" t="s">
        <v>55</v>
      </c>
      <c r="X1226" s="12" t="s">
        <v>150</v>
      </c>
      <c r="Y1226" s="9" t="s">
        <v>151</v>
      </c>
      <c r="Z1226" s="13"/>
    </row>
    <row r="1227" spans="1:26" ht="32.25" hidden="1" customHeight="1">
      <c r="A1227" s="8">
        <v>2312415</v>
      </c>
      <c r="B1227" s="9" t="s">
        <v>4576</v>
      </c>
      <c r="C1227" s="10">
        <v>45149</v>
      </c>
      <c r="D1227" s="9" t="s">
        <v>261</v>
      </c>
      <c r="E1227" s="9" t="s">
        <v>89</v>
      </c>
      <c r="F1227" s="9" t="s">
        <v>262</v>
      </c>
      <c r="G1227" s="9" t="s">
        <v>43</v>
      </c>
      <c r="H1227" s="9" t="s">
        <v>44</v>
      </c>
      <c r="I1227" s="11" t="s">
        <v>685</v>
      </c>
      <c r="J1227" s="9" t="s">
        <v>686</v>
      </c>
      <c r="K1227" s="9" t="s">
        <v>47</v>
      </c>
      <c r="L1227" s="9" t="s">
        <v>156</v>
      </c>
      <c r="M1227" s="9"/>
      <c r="N1227" s="9" t="s">
        <v>50</v>
      </c>
      <c r="O1227" s="9" t="s">
        <v>51</v>
      </c>
      <c r="P1227" s="9"/>
      <c r="Q1227" s="9"/>
      <c r="R1227" s="9"/>
      <c r="S1227" s="14" t="s">
        <v>4577</v>
      </c>
      <c r="T1227" s="9" t="s">
        <v>4578</v>
      </c>
      <c r="U1227" s="9" t="s">
        <v>262</v>
      </c>
      <c r="V1227" s="9" t="s">
        <v>55</v>
      </c>
      <c r="W1227" s="9" t="s">
        <v>55</v>
      </c>
      <c r="X1227" s="12"/>
      <c r="Y1227" s="9" t="s">
        <v>55</v>
      </c>
      <c r="Z1227" s="13"/>
    </row>
    <row r="1228" spans="1:26" ht="32.25" hidden="1" customHeight="1">
      <c r="A1228" s="8">
        <v>2313469</v>
      </c>
      <c r="B1228" s="9" t="s">
        <v>4579</v>
      </c>
      <c r="C1228" s="10">
        <v>45156</v>
      </c>
      <c r="D1228" s="9" t="s">
        <v>79</v>
      </c>
      <c r="E1228" s="9" t="s">
        <v>41</v>
      </c>
      <c r="F1228" s="9" t="s">
        <v>80</v>
      </c>
      <c r="G1228" s="9" t="s">
        <v>43</v>
      </c>
      <c r="H1228" s="9" t="s">
        <v>44</v>
      </c>
      <c r="I1228" s="11" t="s">
        <v>81</v>
      </c>
      <c r="J1228" s="9" t="s">
        <v>46</v>
      </c>
      <c r="K1228" s="9" t="s">
        <v>47</v>
      </c>
      <c r="L1228" s="9" t="s">
        <v>822</v>
      </c>
      <c r="M1228" s="9" t="s">
        <v>2395</v>
      </c>
      <c r="N1228" s="9" t="s">
        <v>84</v>
      </c>
      <c r="O1228" s="9" t="s">
        <v>51</v>
      </c>
      <c r="P1228" s="9" t="s">
        <v>582</v>
      </c>
      <c r="Q1228" s="9"/>
      <c r="R1228" s="9" t="s">
        <v>61</v>
      </c>
      <c r="S1228" s="14" t="s">
        <v>4580</v>
      </c>
      <c r="T1228" s="9" t="s">
        <v>4581</v>
      </c>
      <c r="U1228" s="9" t="s">
        <v>54</v>
      </c>
      <c r="V1228" s="9" t="s">
        <v>55</v>
      </c>
      <c r="W1228" s="9" t="s">
        <v>55</v>
      </c>
      <c r="X1228" s="9" t="s">
        <v>64</v>
      </c>
      <c r="Y1228" s="9" t="s">
        <v>65</v>
      </c>
      <c r="Z1228" s="13"/>
    </row>
    <row r="1229" spans="1:26" ht="32.25" hidden="1" customHeight="1">
      <c r="A1229" s="8">
        <v>2308277</v>
      </c>
      <c r="B1229" s="9" t="s">
        <v>4582</v>
      </c>
      <c r="C1229" s="10">
        <v>45149</v>
      </c>
      <c r="D1229" s="9" t="s">
        <v>57</v>
      </c>
      <c r="E1229" s="9" t="s">
        <v>41</v>
      </c>
      <c r="F1229" s="9" t="s">
        <v>42</v>
      </c>
      <c r="G1229" s="9" t="s">
        <v>43</v>
      </c>
      <c r="H1229" s="9" t="s">
        <v>58</v>
      </c>
      <c r="I1229" s="11" t="s">
        <v>661</v>
      </c>
      <c r="J1229" s="9" t="s">
        <v>662</v>
      </c>
      <c r="K1229" s="9" t="s">
        <v>47</v>
      </c>
      <c r="L1229" s="9" t="s">
        <v>156</v>
      </c>
      <c r="M1229" s="9"/>
      <c r="N1229" s="9" t="s">
        <v>50</v>
      </c>
      <c r="O1229" s="9" t="s">
        <v>51</v>
      </c>
      <c r="P1229" s="9"/>
      <c r="Q1229" s="9"/>
      <c r="R1229" s="9"/>
      <c r="S1229" s="14" t="s">
        <v>4583</v>
      </c>
      <c r="T1229" s="9" t="s">
        <v>4584</v>
      </c>
      <c r="U1229" s="9" t="s">
        <v>54</v>
      </c>
      <c r="V1229" s="9" t="s">
        <v>55</v>
      </c>
      <c r="W1229" s="9" t="s">
        <v>55</v>
      </c>
      <c r="X1229" s="12"/>
      <c r="Y1229" s="9" t="s">
        <v>55</v>
      </c>
      <c r="Z1229" s="13"/>
    </row>
    <row r="1230" spans="1:26" ht="32.25" hidden="1" customHeight="1">
      <c r="A1230" s="8">
        <v>2311021</v>
      </c>
      <c r="B1230" s="9" t="s">
        <v>4585</v>
      </c>
      <c r="C1230" s="10">
        <v>45149</v>
      </c>
      <c r="D1230" s="9" t="s">
        <v>57</v>
      </c>
      <c r="E1230" s="9" t="s">
        <v>41</v>
      </c>
      <c r="F1230" s="9" t="s">
        <v>42</v>
      </c>
      <c r="G1230" s="9" t="s">
        <v>43</v>
      </c>
      <c r="H1230" s="9" t="s">
        <v>58</v>
      </c>
      <c r="I1230" s="11" t="s">
        <v>661</v>
      </c>
      <c r="J1230" s="9" t="s">
        <v>662</v>
      </c>
      <c r="K1230" s="9" t="s">
        <v>47</v>
      </c>
      <c r="L1230" s="9" t="s">
        <v>777</v>
      </c>
      <c r="M1230" s="9" t="s">
        <v>781</v>
      </c>
      <c r="N1230" s="9" t="s">
        <v>50</v>
      </c>
      <c r="O1230" s="9" t="s">
        <v>51</v>
      </c>
      <c r="P1230" s="9"/>
      <c r="Q1230" s="9"/>
      <c r="R1230" s="9" t="s">
        <v>61</v>
      </c>
      <c r="S1230" s="14" t="s">
        <v>4586</v>
      </c>
      <c r="T1230" s="9" t="s">
        <v>4587</v>
      </c>
      <c r="U1230" s="9" t="s">
        <v>54</v>
      </c>
      <c r="V1230" s="9" t="s">
        <v>55</v>
      </c>
      <c r="W1230" s="9" t="s">
        <v>55</v>
      </c>
      <c r="X1230" s="9" t="s">
        <v>64</v>
      </c>
      <c r="Y1230" s="9" t="s">
        <v>65</v>
      </c>
      <c r="Z1230" s="13"/>
    </row>
    <row r="1231" spans="1:26" ht="32.25" hidden="1" customHeight="1">
      <c r="A1231" s="8">
        <v>2309101</v>
      </c>
      <c r="B1231" s="9" t="s">
        <v>4588</v>
      </c>
      <c r="C1231" s="10">
        <v>45156</v>
      </c>
      <c r="D1231" s="9" t="s">
        <v>79</v>
      </c>
      <c r="E1231" s="9" t="s">
        <v>89</v>
      </c>
      <c r="F1231" s="9" t="s">
        <v>80</v>
      </c>
      <c r="G1231" s="9" t="s">
        <v>43</v>
      </c>
      <c r="H1231" s="9" t="s">
        <v>44</v>
      </c>
      <c r="I1231" s="11" t="s">
        <v>101</v>
      </c>
      <c r="J1231" s="9" t="s">
        <v>102</v>
      </c>
      <c r="K1231" s="9" t="s">
        <v>47</v>
      </c>
      <c r="L1231" s="9" t="s">
        <v>574</v>
      </c>
      <c r="M1231" s="9" t="s">
        <v>617</v>
      </c>
      <c r="N1231" s="9" t="s">
        <v>50</v>
      </c>
      <c r="O1231" s="9" t="s">
        <v>51</v>
      </c>
      <c r="P1231" s="9" t="s">
        <v>104</v>
      </c>
      <c r="Q1231" s="9"/>
      <c r="R1231" s="9" t="s">
        <v>61</v>
      </c>
      <c r="S1231" s="14" t="s">
        <v>4589</v>
      </c>
      <c r="T1231" s="9" t="s">
        <v>4590</v>
      </c>
      <c r="U1231" s="9" t="s">
        <v>54</v>
      </c>
      <c r="V1231" s="9" t="s">
        <v>55</v>
      </c>
      <c r="W1231" s="9" t="s">
        <v>115</v>
      </c>
      <c r="X1231" s="12" t="s">
        <v>98</v>
      </c>
      <c r="Y1231" s="9" t="s">
        <v>99</v>
      </c>
      <c r="Z1231" s="13"/>
    </row>
    <row r="1232" spans="1:26" ht="32.25" hidden="1" customHeight="1">
      <c r="A1232" s="8">
        <v>2314706</v>
      </c>
      <c r="B1232" s="9" t="s">
        <v>4591</v>
      </c>
      <c r="C1232" s="10">
        <v>45156</v>
      </c>
      <c r="D1232" s="9" t="s">
        <v>79</v>
      </c>
      <c r="E1232" s="9" t="s">
        <v>143</v>
      </c>
      <c r="F1232" s="9" t="s">
        <v>80</v>
      </c>
      <c r="G1232" s="9" t="s">
        <v>43</v>
      </c>
      <c r="H1232" s="9" t="s">
        <v>44</v>
      </c>
      <c r="I1232" s="11" t="s">
        <v>326</v>
      </c>
      <c r="J1232" s="9" t="s">
        <v>327</v>
      </c>
      <c r="K1232" s="9" t="s">
        <v>47</v>
      </c>
      <c r="L1232" s="9" t="s">
        <v>156</v>
      </c>
      <c r="M1232" s="9" t="s">
        <v>157</v>
      </c>
      <c r="N1232" s="9" t="s">
        <v>50</v>
      </c>
      <c r="O1232" s="9" t="s">
        <v>51</v>
      </c>
      <c r="P1232" s="9" t="s">
        <v>953</v>
      </c>
      <c r="Q1232" s="9"/>
      <c r="R1232" s="9"/>
      <c r="S1232" s="14" t="s">
        <v>4592</v>
      </c>
      <c r="T1232" s="9" t="s">
        <v>4593</v>
      </c>
      <c r="U1232" s="9" t="s">
        <v>54</v>
      </c>
      <c r="V1232" s="9" t="s">
        <v>55</v>
      </c>
      <c r="W1232" s="9" t="s">
        <v>55</v>
      </c>
      <c r="X1232" s="12"/>
      <c r="Y1232" s="9" t="s">
        <v>55</v>
      </c>
      <c r="Z1232" s="13"/>
    </row>
    <row r="1233" spans="1:26" ht="32.25" hidden="1" customHeight="1">
      <c r="A1233" s="8">
        <v>2306047</v>
      </c>
      <c r="B1233" s="9" t="s">
        <v>4594</v>
      </c>
      <c r="C1233" s="10">
        <v>45142</v>
      </c>
      <c r="D1233" s="9" t="s">
        <v>67</v>
      </c>
      <c r="E1233" s="9" t="s">
        <v>89</v>
      </c>
      <c r="F1233" s="9" t="s">
        <v>42</v>
      </c>
      <c r="G1233" s="9" t="s">
        <v>43</v>
      </c>
      <c r="H1233" s="9" t="s">
        <v>44</v>
      </c>
      <c r="I1233" s="11" t="s">
        <v>354</v>
      </c>
      <c r="J1233" s="9" t="s">
        <v>91</v>
      </c>
      <c r="K1233" s="9" t="s">
        <v>496</v>
      </c>
      <c r="L1233" s="9" t="s">
        <v>497</v>
      </c>
      <c r="M1233" s="9" t="s">
        <v>4595</v>
      </c>
      <c r="N1233" s="9" t="s">
        <v>50</v>
      </c>
      <c r="O1233" s="9" t="s">
        <v>51</v>
      </c>
      <c r="P1233" s="9" t="s">
        <v>356</v>
      </c>
      <c r="Q1233" s="9"/>
      <c r="R1233" s="9" t="s">
        <v>61</v>
      </c>
      <c r="S1233" s="9" t="s">
        <v>4596</v>
      </c>
      <c r="T1233" s="9" t="s">
        <v>4597</v>
      </c>
      <c r="U1233" s="9" t="s">
        <v>54</v>
      </c>
      <c r="V1233" s="9" t="s">
        <v>55</v>
      </c>
      <c r="W1233" s="9" t="s">
        <v>55</v>
      </c>
      <c r="X1233" s="12" t="s">
        <v>98</v>
      </c>
      <c r="Y1233" s="9" t="s">
        <v>99</v>
      </c>
      <c r="Z1233" s="13" t="s">
        <v>4598</v>
      </c>
    </row>
    <row r="1234" spans="1:26" ht="32.25" hidden="1" customHeight="1">
      <c r="A1234" s="8">
        <v>2302400</v>
      </c>
      <c r="B1234" s="9" t="s">
        <v>4599</v>
      </c>
      <c r="C1234" s="10">
        <v>45149</v>
      </c>
      <c r="D1234" s="9" t="s">
        <v>57</v>
      </c>
      <c r="E1234" s="9" t="s">
        <v>153</v>
      </c>
      <c r="F1234" s="9" t="s">
        <v>42</v>
      </c>
      <c r="G1234" s="9" t="s">
        <v>43</v>
      </c>
      <c r="H1234" s="9" t="s">
        <v>58</v>
      </c>
      <c r="I1234" s="11" t="s">
        <v>154</v>
      </c>
      <c r="J1234" s="9" t="s">
        <v>155</v>
      </c>
      <c r="K1234" s="9" t="s">
        <v>47</v>
      </c>
      <c r="L1234" s="9" t="s">
        <v>48</v>
      </c>
      <c r="M1234" s="9" t="s">
        <v>1028</v>
      </c>
      <c r="N1234" s="9" t="s">
        <v>84</v>
      </c>
      <c r="O1234" s="9" t="s">
        <v>51</v>
      </c>
      <c r="P1234" s="9"/>
      <c r="Q1234" s="9"/>
      <c r="R1234" s="9" t="s">
        <v>61</v>
      </c>
      <c r="S1234" s="14" t="s">
        <v>4600</v>
      </c>
      <c r="T1234" s="9" t="s">
        <v>4601</v>
      </c>
      <c r="U1234" s="9" t="s">
        <v>54</v>
      </c>
      <c r="V1234" s="9" t="s">
        <v>55</v>
      </c>
      <c r="W1234" s="9" t="s">
        <v>55</v>
      </c>
      <c r="X1234" s="12" t="s">
        <v>171</v>
      </c>
      <c r="Y1234" s="9" t="s">
        <v>172</v>
      </c>
      <c r="Z1234" s="13"/>
    </row>
    <row r="1235" spans="1:26" ht="32.25" hidden="1" customHeight="1">
      <c r="A1235" s="8">
        <v>2313996</v>
      </c>
      <c r="B1235" s="9" t="s">
        <v>4602</v>
      </c>
      <c r="C1235" s="10">
        <v>45156</v>
      </c>
      <c r="D1235" s="9" t="s">
        <v>79</v>
      </c>
      <c r="E1235" s="9" t="s">
        <v>68</v>
      </c>
      <c r="F1235" s="9" t="s">
        <v>80</v>
      </c>
      <c r="G1235" s="9" t="s">
        <v>43</v>
      </c>
      <c r="H1235" s="9" t="s">
        <v>44</v>
      </c>
      <c r="I1235" s="11" t="s">
        <v>117</v>
      </c>
      <c r="J1235" s="9" t="s">
        <v>118</v>
      </c>
      <c r="K1235" s="9" t="s">
        <v>47</v>
      </c>
      <c r="L1235" s="9" t="s">
        <v>48</v>
      </c>
      <c r="M1235" s="9" t="s">
        <v>49</v>
      </c>
      <c r="N1235" s="9" t="s">
        <v>84</v>
      </c>
      <c r="O1235" s="9" t="s">
        <v>51</v>
      </c>
      <c r="P1235" s="9" t="s">
        <v>285</v>
      </c>
      <c r="Q1235" s="9"/>
      <c r="R1235" s="9"/>
      <c r="S1235" s="14" t="s">
        <v>4603</v>
      </c>
      <c r="T1235" s="9" t="s">
        <v>4604</v>
      </c>
      <c r="U1235" s="9" t="s">
        <v>54</v>
      </c>
      <c r="V1235" s="9" t="s">
        <v>55</v>
      </c>
      <c r="W1235" s="9" t="s">
        <v>55</v>
      </c>
      <c r="X1235" s="12"/>
      <c r="Y1235" s="9" t="s">
        <v>55</v>
      </c>
      <c r="Z1235" s="13"/>
    </row>
    <row r="1236" spans="1:26" ht="32.25" hidden="1" customHeight="1">
      <c r="A1236" s="8">
        <v>2309334</v>
      </c>
      <c r="B1236" s="9" t="s">
        <v>4605</v>
      </c>
      <c r="C1236" s="10">
        <v>45142</v>
      </c>
      <c r="D1236" s="9" t="s">
        <v>67</v>
      </c>
      <c r="E1236" s="9" t="s">
        <v>68</v>
      </c>
      <c r="F1236" s="9" t="s">
        <v>135</v>
      </c>
      <c r="G1236" s="9" t="s">
        <v>43</v>
      </c>
      <c r="H1236" s="9" t="s">
        <v>44</v>
      </c>
      <c r="I1236" s="11" t="s">
        <v>3024</v>
      </c>
      <c r="J1236" s="9" t="s">
        <v>3025</v>
      </c>
      <c r="K1236" s="9" t="s">
        <v>47</v>
      </c>
      <c r="L1236" s="9" t="s">
        <v>451</v>
      </c>
      <c r="M1236" s="9" t="s">
        <v>4606</v>
      </c>
      <c r="N1236" s="9" t="s">
        <v>84</v>
      </c>
      <c r="O1236" s="9" t="s">
        <v>51</v>
      </c>
      <c r="P1236" s="9"/>
      <c r="Q1236" s="9"/>
      <c r="R1236" s="9" t="s">
        <v>61</v>
      </c>
      <c r="S1236" s="9" t="s">
        <v>4607</v>
      </c>
      <c r="T1236" s="9" t="s">
        <v>4608</v>
      </c>
      <c r="U1236" s="9" t="s">
        <v>54</v>
      </c>
      <c r="V1236" s="9" t="s">
        <v>55</v>
      </c>
      <c r="W1236" s="9" t="s">
        <v>55</v>
      </c>
      <c r="X1236" s="12" t="s">
        <v>76</v>
      </c>
      <c r="Y1236" s="9" t="s">
        <v>77</v>
      </c>
      <c r="Z1236" s="13"/>
    </row>
    <row r="1237" spans="1:26" ht="32.25" hidden="1" customHeight="1">
      <c r="A1237" s="8">
        <v>2305136</v>
      </c>
      <c r="B1237" s="9" t="s">
        <v>4609</v>
      </c>
      <c r="C1237" s="10">
        <v>45156</v>
      </c>
      <c r="D1237" s="9" t="s">
        <v>79</v>
      </c>
      <c r="E1237" s="9" t="s">
        <v>89</v>
      </c>
      <c r="F1237" s="9" t="s">
        <v>80</v>
      </c>
      <c r="G1237" s="9" t="s">
        <v>43</v>
      </c>
      <c r="H1237" s="9" t="s">
        <v>44</v>
      </c>
      <c r="I1237" s="11" t="s">
        <v>90</v>
      </c>
      <c r="J1237" s="9" t="s">
        <v>91</v>
      </c>
      <c r="K1237" s="9" t="s">
        <v>47</v>
      </c>
      <c r="L1237" s="9" t="s">
        <v>48</v>
      </c>
      <c r="M1237" s="9" t="s">
        <v>4610</v>
      </c>
      <c r="N1237" s="9" t="s">
        <v>84</v>
      </c>
      <c r="O1237" s="9" t="s">
        <v>51</v>
      </c>
      <c r="P1237" s="9" t="s">
        <v>865</v>
      </c>
      <c r="Q1237" s="9"/>
      <c r="R1237" s="9"/>
      <c r="S1237" s="14" t="s">
        <v>4611</v>
      </c>
      <c r="T1237" s="9" t="s">
        <v>4612</v>
      </c>
      <c r="U1237" s="9" t="s">
        <v>54</v>
      </c>
      <c r="V1237" s="9"/>
      <c r="W1237" s="9" t="s">
        <v>115</v>
      </c>
      <c r="X1237" s="12"/>
      <c r="Y1237" s="9" t="s">
        <v>55</v>
      </c>
      <c r="Z1237" s="13"/>
    </row>
    <row r="1238" spans="1:26" ht="32.25" hidden="1" customHeight="1">
      <c r="A1238" s="8">
        <v>2308622</v>
      </c>
      <c r="B1238" s="9" t="s">
        <v>4613</v>
      </c>
      <c r="C1238" s="10">
        <v>45156</v>
      </c>
      <c r="D1238" s="9" t="s">
        <v>79</v>
      </c>
      <c r="E1238" s="9" t="s">
        <v>143</v>
      </c>
      <c r="F1238" s="9" t="s">
        <v>80</v>
      </c>
      <c r="G1238" s="9" t="s">
        <v>43</v>
      </c>
      <c r="H1238" s="9" t="s">
        <v>44</v>
      </c>
      <c r="I1238" s="11" t="s">
        <v>326</v>
      </c>
      <c r="J1238" s="9" t="s">
        <v>327</v>
      </c>
      <c r="K1238" s="9" t="s">
        <v>47</v>
      </c>
      <c r="L1238" s="9" t="s">
        <v>799</v>
      </c>
      <c r="M1238" s="9" t="s">
        <v>1151</v>
      </c>
      <c r="N1238" s="9" t="s">
        <v>50</v>
      </c>
      <c r="O1238" s="9" t="s">
        <v>51</v>
      </c>
      <c r="P1238" s="9" t="s">
        <v>1646</v>
      </c>
      <c r="Q1238" s="9"/>
      <c r="R1238" s="9"/>
      <c r="S1238" s="14" t="s">
        <v>4614</v>
      </c>
      <c r="T1238" s="9" t="s">
        <v>4615</v>
      </c>
      <c r="U1238" s="9" t="s">
        <v>54</v>
      </c>
      <c r="V1238" s="9" t="s">
        <v>55</v>
      </c>
      <c r="W1238" s="9" t="s">
        <v>115</v>
      </c>
      <c r="X1238" s="12"/>
      <c r="Y1238" s="9" t="s">
        <v>55</v>
      </c>
      <c r="Z1238" s="13"/>
    </row>
    <row r="1239" spans="1:26" ht="32.25" hidden="1" customHeight="1">
      <c r="A1239" s="8">
        <v>2309361</v>
      </c>
      <c r="B1239" s="9" t="s">
        <v>4616</v>
      </c>
      <c r="C1239" s="10">
        <v>45149</v>
      </c>
      <c r="D1239" s="9" t="s">
        <v>57</v>
      </c>
      <c r="E1239" s="9" t="s">
        <v>41</v>
      </c>
      <c r="F1239" s="9" t="s">
        <v>42</v>
      </c>
      <c r="G1239" s="9" t="s">
        <v>43</v>
      </c>
      <c r="H1239" s="9" t="s">
        <v>58</v>
      </c>
      <c r="I1239" s="11" t="s">
        <v>199</v>
      </c>
      <c r="J1239" s="9" t="s">
        <v>200</v>
      </c>
      <c r="K1239" s="9" t="s">
        <v>47</v>
      </c>
      <c r="L1239" s="9" t="s">
        <v>156</v>
      </c>
      <c r="M1239" s="9"/>
      <c r="N1239" s="9" t="s">
        <v>84</v>
      </c>
      <c r="O1239" s="9" t="s">
        <v>51</v>
      </c>
      <c r="P1239" s="9"/>
      <c r="Q1239" s="9"/>
      <c r="R1239" s="9"/>
      <c r="S1239" s="14" t="s">
        <v>4617</v>
      </c>
      <c r="T1239" s="9" t="s">
        <v>4618</v>
      </c>
      <c r="U1239" s="9" t="s">
        <v>54</v>
      </c>
      <c r="V1239" s="9" t="s">
        <v>55</v>
      </c>
      <c r="W1239" s="9" t="s">
        <v>55</v>
      </c>
      <c r="X1239" s="12"/>
      <c r="Y1239" s="9" t="s">
        <v>55</v>
      </c>
      <c r="Z1239" s="13"/>
    </row>
    <row r="1240" spans="1:26" ht="32.25" hidden="1" customHeight="1">
      <c r="A1240" s="8">
        <v>2312351</v>
      </c>
      <c r="B1240" s="9" t="s">
        <v>4619</v>
      </c>
      <c r="C1240" s="10">
        <v>45136</v>
      </c>
      <c r="D1240" s="9" t="s">
        <v>301</v>
      </c>
      <c r="E1240" s="9" t="s">
        <v>89</v>
      </c>
      <c r="F1240" s="9" t="s">
        <v>42</v>
      </c>
      <c r="G1240" s="9" t="s">
        <v>43</v>
      </c>
      <c r="H1240" s="9" t="s">
        <v>44</v>
      </c>
      <c r="I1240" s="11" t="s">
        <v>354</v>
      </c>
      <c r="J1240" s="9" t="s">
        <v>91</v>
      </c>
      <c r="K1240" s="9" t="s">
        <v>47</v>
      </c>
      <c r="L1240" s="9" t="s">
        <v>156</v>
      </c>
      <c r="M1240" s="9" t="s">
        <v>4620</v>
      </c>
      <c r="N1240" s="9" t="s">
        <v>50</v>
      </c>
      <c r="O1240" s="9" t="s">
        <v>51</v>
      </c>
      <c r="P1240" s="9" t="s">
        <v>356</v>
      </c>
      <c r="Q1240" s="9"/>
      <c r="R1240" s="9"/>
      <c r="S1240" s="9" t="s">
        <v>4621</v>
      </c>
      <c r="T1240" s="9" t="s">
        <v>4622</v>
      </c>
      <c r="U1240" s="9" t="s">
        <v>54</v>
      </c>
      <c r="V1240" s="9" t="s">
        <v>55</v>
      </c>
      <c r="W1240" s="9" t="s">
        <v>55</v>
      </c>
      <c r="X1240" s="12"/>
      <c r="Y1240" s="9" t="s">
        <v>55</v>
      </c>
      <c r="Z1240" s="13"/>
    </row>
    <row r="1241" spans="1:26" ht="32.25" hidden="1" customHeight="1">
      <c r="A1241" s="8">
        <v>2313566</v>
      </c>
      <c r="B1241" s="9" t="s">
        <v>4623</v>
      </c>
      <c r="C1241" s="10">
        <v>45149</v>
      </c>
      <c r="D1241" s="9" t="s">
        <v>57</v>
      </c>
      <c r="E1241" s="9" t="s">
        <v>295</v>
      </c>
      <c r="F1241" s="9" t="s">
        <v>42</v>
      </c>
      <c r="G1241" s="9" t="s">
        <v>43</v>
      </c>
      <c r="H1241" s="9" t="s">
        <v>58</v>
      </c>
      <c r="I1241" s="11" t="s">
        <v>296</v>
      </c>
      <c r="J1241" s="9" t="s">
        <v>297</v>
      </c>
      <c r="K1241" s="9" t="s">
        <v>47</v>
      </c>
      <c r="L1241" s="9" t="s">
        <v>586</v>
      </c>
      <c r="M1241" s="9" t="s">
        <v>918</v>
      </c>
      <c r="N1241" s="9" t="s">
        <v>50</v>
      </c>
      <c r="O1241" s="9" t="s">
        <v>51</v>
      </c>
      <c r="P1241" s="9"/>
      <c r="Q1241" s="9"/>
      <c r="R1241" s="9" t="s">
        <v>61</v>
      </c>
      <c r="S1241" s="14" t="s">
        <v>4624</v>
      </c>
      <c r="T1241" s="9" t="s">
        <v>4625</v>
      </c>
      <c r="U1241" s="9" t="s">
        <v>54</v>
      </c>
      <c r="V1241" s="9" t="s">
        <v>55</v>
      </c>
      <c r="W1241" s="9" t="s">
        <v>55</v>
      </c>
      <c r="X1241" s="9" t="s">
        <v>319</v>
      </c>
      <c r="Y1241" s="9" t="s">
        <v>320</v>
      </c>
      <c r="Z1241" s="13"/>
    </row>
    <row r="1242" spans="1:26" ht="32.25" hidden="1" customHeight="1">
      <c r="A1242" s="8">
        <v>2309078</v>
      </c>
      <c r="B1242" s="9" t="s">
        <v>4626</v>
      </c>
      <c r="C1242" s="10">
        <v>45156</v>
      </c>
      <c r="D1242" s="9" t="s">
        <v>79</v>
      </c>
      <c r="E1242" s="9" t="s">
        <v>89</v>
      </c>
      <c r="F1242" s="9" t="s">
        <v>80</v>
      </c>
      <c r="G1242" s="9" t="s">
        <v>43</v>
      </c>
      <c r="H1242" s="9" t="s">
        <v>44</v>
      </c>
      <c r="I1242" s="11" t="s">
        <v>90</v>
      </c>
      <c r="J1242" s="9" t="s">
        <v>91</v>
      </c>
      <c r="K1242" s="9" t="s">
        <v>47</v>
      </c>
      <c r="L1242" s="9" t="s">
        <v>156</v>
      </c>
      <c r="M1242" s="9"/>
      <c r="N1242" s="9" t="s">
        <v>84</v>
      </c>
      <c r="O1242" s="9" t="s">
        <v>51</v>
      </c>
      <c r="P1242" s="9" t="s">
        <v>498</v>
      </c>
      <c r="Q1242" s="9"/>
      <c r="R1242" s="9"/>
      <c r="S1242" s="14" t="s">
        <v>4627</v>
      </c>
      <c r="T1242" s="9" t="s">
        <v>4628</v>
      </c>
      <c r="U1242" s="9" t="s">
        <v>54</v>
      </c>
      <c r="V1242" s="9"/>
      <c r="W1242" s="9" t="s">
        <v>115</v>
      </c>
      <c r="X1242" s="12"/>
      <c r="Y1242" s="9" t="s">
        <v>55</v>
      </c>
      <c r="Z1242" s="13"/>
    </row>
    <row r="1243" spans="1:26" ht="32.25" hidden="1" customHeight="1">
      <c r="A1243" s="8">
        <v>2302994</v>
      </c>
      <c r="B1243" s="9" t="s">
        <v>4629</v>
      </c>
      <c r="C1243" s="10">
        <v>45156</v>
      </c>
      <c r="D1243" s="9" t="s">
        <v>79</v>
      </c>
      <c r="E1243" s="9" t="s">
        <v>143</v>
      </c>
      <c r="F1243" s="9" t="s">
        <v>80</v>
      </c>
      <c r="G1243" s="9" t="s">
        <v>43</v>
      </c>
      <c r="H1243" s="9" t="s">
        <v>44</v>
      </c>
      <c r="I1243" s="11" t="s">
        <v>725</v>
      </c>
      <c r="J1243" s="9" t="s">
        <v>145</v>
      </c>
      <c r="K1243" s="9" t="s">
        <v>47</v>
      </c>
      <c r="L1243" s="9" t="s">
        <v>863</v>
      </c>
      <c r="M1243" s="9" t="s">
        <v>1396</v>
      </c>
      <c r="N1243" s="9" t="s">
        <v>50</v>
      </c>
      <c r="O1243" s="9" t="s">
        <v>51</v>
      </c>
      <c r="P1243" s="9" t="s">
        <v>2924</v>
      </c>
      <c r="Q1243" s="9"/>
      <c r="R1243" s="9" t="s">
        <v>61</v>
      </c>
      <c r="S1243" s="14" t="s">
        <v>4630</v>
      </c>
      <c r="T1243" s="9" t="s">
        <v>4631</v>
      </c>
      <c r="U1243" s="9" t="s">
        <v>54</v>
      </c>
      <c r="V1243" s="9" t="s">
        <v>251</v>
      </c>
      <c r="W1243" s="9" t="s">
        <v>115</v>
      </c>
      <c r="X1243" s="12" t="s">
        <v>171</v>
      </c>
      <c r="Y1243" s="9" t="s">
        <v>172</v>
      </c>
      <c r="Z1243" s="13"/>
    </row>
    <row r="1244" spans="1:26" ht="32.25" hidden="1" customHeight="1">
      <c r="A1244" s="8">
        <v>2309903</v>
      </c>
      <c r="B1244" s="9" t="s">
        <v>4632</v>
      </c>
      <c r="C1244" s="10">
        <v>45142</v>
      </c>
      <c r="D1244" s="9" t="s">
        <v>67</v>
      </c>
      <c r="E1244" s="9" t="s">
        <v>68</v>
      </c>
      <c r="F1244" s="9" t="s">
        <v>135</v>
      </c>
      <c r="G1244" s="9" t="s">
        <v>43</v>
      </c>
      <c r="H1244" s="9" t="s">
        <v>44</v>
      </c>
      <c r="I1244" s="11" t="s">
        <v>136</v>
      </c>
      <c r="J1244" s="9" t="s">
        <v>137</v>
      </c>
      <c r="K1244" s="9" t="s">
        <v>47</v>
      </c>
      <c r="L1244" s="9" t="s">
        <v>4006</v>
      </c>
      <c r="M1244" s="9" t="s">
        <v>4633</v>
      </c>
      <c r="N1244" s="9" t="s">
        <v>50</v>
      </c>
      <c r="O1244" s="9" t="s">
        <v>51</v>
      </c>
      <c r="P1244" s="9"/>
      <c r="Q1244" s="9"/>
      <c r="R1244" s="9" t="s">
        <v>61</v>
      </c>
      <c r="S1244" s="9" t="s">
        <v>4634</v>
      </c>
      <c r="T1244" s="9" t="s">
        <v>4635</v>
      </c>
      <c r="U1244" s="9" t="s">
        <v>54</v>
      </c>
      <c r="V1244" s="9" t="s">
        <v>55</v>
      </c>
      <c r="W1244" s="9" t="s">
        <v>55</v>
      </c>
      <c r="X1244" s="12" t="s">
        <v>76</v>
      </c>
      <c r="Y1244" s="9" t="s">
        <v>77</v>
      </c>
      <c r="Z1244" s="13"/>
    </row>
    <row r="1245" spans="1:26" ht="32.25" hidden="1" customHeight="1">
      <c r="A1245" s="8">
        <v>2312329</v>
      </c>
      <c r="B1245" s="9" t="s">
        <v>4636</v>
      </c>
      <c r="C1245" s="10">
        <v>45149</v>
      </c>
      <c r="D1245" s="9" t="s">
        <v>261</v>
      </c>
      <c r="E1245" s="9" t="s">
        <v>41</v>
      </c>
      <c r="F1245" s="9" t="s">
        <v>262</v>
      </c>
      <c r="G1245" s="9" t="s">
        <v>43</v>
      </c>
      <c r="H1245" s="9" t="s">
        <v>44</v>
      </c>
      <c r="I1245" s="11" t="s">
        <v>1553</v>
      </c>
      <c r="J1245" s="9" t="s">
        <v>1554</v>
      </c>
      <c r="K1245" s="9" t="s">
        <v>47</v>
      </c>
      <c r="L1245" s="9" t="s">
        <v>156</v>
      </c>
      <c r="M1245" s="9"/>
      <c r="N1245" s="9" t="s">
        <v>50</v>
      </c>
      <c r="O1245" s="9" t="s">
        <v>51</v>
      </c>
      <c r="P1245" s="9"/>
      <c r="Q1245" s="9"/>
      <c r="R1245" s="9"/>
      <c r="S1245" s="14" t="s">
        <v>4637</v>
      </c>
      <c r="T1245" s="9" t="s">
        <v>4638</v>
      </c>
      <c r="U1245" s="9" t="s">
        <v>262</v>
      </c>
      <c r="V1245" s="9" t="s">
        <v>55</v>
      </c>
      <c r="W1245" s="9" t="s">
        <v>55</v>
      </c>
      <c r="X1245" s="12"/>
      <c r="Y1245" s="9" t="s">
        <v>55</v>
      </c>
      <c r="Z1245" s="13"/>
    </row>
    <row r="1246" spans="1:26" ht="32.25" hidden="1" customHeight="1">
      <c r="A1246" s="8">
        <v>2308583</v>
      </c>
      <c r="B1246" s="9" t="s">
        <v>4639</v>
      </c>
      <c r="C1246" s="10">
        <v>45156</v>
      </c>
      <c r="D1246" s="9" t="s">
        <v>79</v>
      </c>
      <c r="E1246" s="9" t="s">
        <v>143</v>
      </c>
      <c r="F1246" s="9" t="s">
        <v>80</v>
      </c>
      <c r="G1246" s="9" t="s">
        <v>43</v>
      </c>
      <c r="H1246" s="9" t="s">
        <v>44</v>
      </c>
      <c r="I1246" s="11" t="s">
        <v>326</v>
      </c>
      <c r="J1246" s="9" t="s">
        <v>327</v>
      </c>
      <c r="K1246" s="9" t="s">
        <v>47</v>
      </c>
      <c r="L1246" s="9" t="s">
        <v>156</v>
      </c>
      <c r="M1246" s="9"/>
      <c r="N1246" s="9" t="s">
        <v>84</v>
      </c>
      <c r="O1246" s="9" t="s">
        <v>51</v>
      </c>
      <c r="P1246" s="9" t="s">
        <v>1029</v>
      </c>
      <c r="Q1246" s="9"/>
      <c r="R1246" s="9"/>
      <c r="S1246" s="14" t="s">
        <v>4640</v>
      </c>
      <c r="T1246" s="9" t="s">
        <v>4641</v>
      </c>
      <c r="U1246" s="9" t="s">
        <v>54</v>
      </c>
      <c r="V1246" s="9"/>
      <c r="W1246" s="9" t="s">
        <v>115</v>
      </c>
      <c r="X1246" s="12"/>
      <c r="Y1246" s="9" t="s">
        <v>55</v>
      </c>
      <c r="Z1246" s="13"/>
    </row>
    <row r="1247" spans="1:26" ht="32.25" hidden="1" customHeight="1">
      <c r="A1247" s="8">
        <v>2302752</v>
      </c>
      <c r="B1247" s="9" t="s">
        <v>4642</v>
      </c>
      <c r="C1247" s="10">
        <v>45149</v>
      </c>
      <c r="D1247" s="9" t="s">
        <v>57</v>
      </c>
      <c r="E1247" s="9" t="s">
        <v>153</v>
      </c>
      <c r="F1247" s="9" t="s">
        <v>42</v>
      </c>
      <c r="G1247" s="9" t="s">
        <v>43</v>
      </c>
      <c r="H1247" s="9" t="s">
        <v>58</v>
      </c>
      <c r="I1247" s="11" t="s">
        <v>154</v>
      </c>
      <c r="J1247" s="9" t="s">
        <v>155</v>
      </c>
      <c r="K1247" s="9" t="s">
        <v>47</v>
      </c>
      <c r="L1247" s="9" t="s">
        <v>48</v>
      </c>
      <c r="M1247" s="9" t="s">
        <v>1366</v>
      </c>
      <c r="N1247" s="9" t="s">
        <v>84</v>
      </c>
      <c r="O1247" s="9" t="s">
        <v>51</v>
      </c>
      <c r="P1247" s="9"/>
      <c r="Q1247" s="9"/>
      <c r="R1247" s="9" t="s">
        <v>61</v>
      </c>
      <c r="S1247" s="14" t="s">
        <v>4643</v>
      </c>
      <c r="T1247" s="9" t="s">
        <v>4644</v>
      </c>
      <c r="U1247" s="9" t="s">
        <v>54</v>
      </c>
      <c r="V1247" s="9" t="s">
        <v>55</v>
      </c>
      <c r="W1247" s="9" t="s">
        <v>55</v>
      </c>
      <c r="X1247" s="12" t="s">
        <v>171</v>
      </c>
      <c r="Y1247" s="9" t="s">
        <v>172</v>
      </c>
      <c r="Z1247" s="13" t="s">
        <v>1369</v>
      </c>
    </row>
    <row r="1248" spans="1:26" ht="32.25" hidden="1" customHeight="1">
      <c r="A1248" s="8">
        <v>2305881</v>
      </c>
      <c r="B1248" s="9" t="s">
        <v>4645</v>
      </c>
      <c r="C1248" s="10">
        <v>45149</v>
      </c>
      <c r="D1248" s="9" t="s">
        <v>57</v>
      </c>
      <c r="E1248" s="9" t="s">
        <v>41</v>
      </c>
      <c r="F1248" s="9" t="s">
        <v>42</v>
      </c>
      <c r="G1248" s="9" t="s">
        <v>43</v>
      </c>
      <c r="H1248" s="9" t="s">
        <v>58</v>
      </c>
      <c r="I1248" s="11" t="s">
        <v>45</v>
      </c>
      <c r="J1248" s="9" t="s">
        <v>46</v>
      </c>
      <c r="K1248" s="9" t="s">
        <v>47</v>
      </c>
      <c r="L1248" s="9" t="s">
        <v>827</v>
      </c>
      <c r="M1248" s="9" t="s">
        <v>828</v>
      </c>
      <c r="N1248" s="9" t="s">
        <v>50</v>
      </c>
      <c r="O1248" s="9" t="s">
        <v>51</v>
      </c>
      <c r="P1248" s="9"/>
      <c r="Q1248" s="9"/>
      <c r="R1248" s="9"/>
      <c r="S1248" s="14" t="s">
        <v>4646</v>
      </c>
      <c r="T1248" s="9" t="s">
        <v>4647</v>
      </c>
      <c r="U1248" s="9" t="s">
        <v>54</v>
      </c>
      <c r="V1248" s="9" t="s">
        <v>55</v>
      </c>
      <c r="W1248" s="9" t="s">
        <v>55</v>
      </c>
      <c r="X1248" s="12"/>
      <c r="Y1248" s="9" t="s">
        <v>55</v>
      </c>
      <c r="Z1248" s="13"/>
    </row>
    <row r="1249" spans="1:26" ht="32.25" hidden="1" customHeight="1">
      <c r="A1249" s="8">
        <v>2301014</v>
      </c>
      <c r="B1249" s="9" t="s">
        <v>4648</v>
      </c>
      <c r="C1249" s="10">
        <v>45156</v>
      </c>
      <c r="D1249" s="9" t="s">
        <v>79</v>
      </c>
      <c r="E1249" s="9" t="s">
        <v>143</v>
      </c>
      <c r="F1249" s="9" t="s">
        <v>80</v>
      </c>
      <c r="G1249" s="9" t="s">
        <v>43</v>
      </c>
      <c r="H1249" s="9" t="s">
        <v>44</v>
      </c>
      <c r="I1249" s="11" t="s">
        <v>326</v>
      </c>
      <c r="J1249" s="9" t="s">
        <v>327</v>
      </c>
      <c r="K1249" s="9" t="s">
        <v>442</v>
      </c>
      <c r="L1249" s="9" t="s">
        <v>4649</v>
      </c>
      <c r="M1249" s="9" t="s">
        <v>4650</v>
      </c>
      <c r="N1249" s="9" t="s">
        <v>84</v>
      </c>
      <c r="O1249" s="9" t="s">
        <v>51</v>
      </c>
      <c r="P1249" s="9" t="s">
        <v>1646</v>
      </c>
      <c r="Q1249" s="9"/>
      <c r="R1249" s="9" t="s">
        <v>61</v>
      </c>
      <c r="S1249" s="14" t="s">
        <v>4651</v>
      </c>
      <c r="T1249" s="9" t="s">
        <v>4652</v>
      </c>
      <c r="U1249" s="9" t="s">
        <v>54</v>
      </c>
      <c r="V1249" s="9" t="s">
        <v>55</v>
      </c>
      <c r="W1249" s="9" t="s">
        <v>55</v>
      </c>
      <c r="X1249" s="12" t="s">
        <v>150</v>
      </c>
      <c r="Y1249" s="9" t="s">
        <v>151</v>
      </c>
      <c r="Z1249" s="13"/>
    </row>
    <row r="1250" spans="1:26" ht="32.25" hidden="1" customHeight="1">
      <c r="A1250" s="8">
        <v>2308736</v>
      </c>
      <c r="B1250" s="9" t="s">
        <v>4653</v>
      </c>
      <c r="C1250" s="10">
        <v>45142</v>
      </c>
      <c r="D1250" s="9" t="s">
        <v>67</v>
      </c>
      <c r="E1250" s="9" t="s">
        <v>89</v>
      </c>
      <c r="F1250" s="9" t="s">
        <v>42</v>
      </c>
      <c r="G1250" s="9" t="s">
        <v>43</v>
      </c>
      <c r="H1250" s="9" t="s">
        <v>44</v>
      </c>
      <c r="I1250" s="11" t="s">
        <v>360</v>
      </c>
      <c r="J1250" s="9" t="s">
        <v>102</v>
      </c>
      <c r="K1250" s="9" t="s">
        <v>92</v>
      </c>
      <c r="L1250" s="9" t="s">
        <v>2971</v>
      </c>
      <c r="M1250" s="9" t="s">
        <v>4654</v>
      </c>
      <c r="N1250" s="9" t="s">
        <v>50</v>
      </c>
      <c r="O1250" s="9" t="s">
        <v>51</v>
      </c>
      <c r="P1250" s="9" t="s">
        <v>361</v>
      </c>
      <c r="Q1250" s="9"/>
      <c r="R1250" s="9" t="s">
        <v>61</v>
      </c>
      <c r="S1250" s="9" t="s">
        <v>1403</v>
      </c>
      <c r="T1250" s="9" t="s">
        <v>1404</v>
      </c>
      <c r="U1250" s="9" t="s">
        <v>54</v>
      </c>
      <c r="V1250" s="9" t="s">
        <v>55</v>
      </c>
      <c r="W1250" s="9" t="s">
        <v>55</v>
      </c>
      <c r="X1250" s="12" t="s">
        <v>98</v>
      </c>
      <c r="Y1250" s="9" t="s">
        <v>99</v>
      </c>
      <c r="Z1250" s="13"/>
    </row>
    <row r="1251" spans="1:26" ht="32.25" hidden="1" customHeight="1">
      <c r="A1251" s="8">
        <v>2314337</v>
      </c>
      <c r="B1251" s="9" t="s">
        <v>4655</v>
      </c>
      <c r="C1251" s="10">
        <v>45156</v>
      </c>
      <c r="D1251" s="9" t="s">
        <v>79</v>
      </c>
      <c r="E1251" s="9" t="s">
        <v>89</v>
      </c>
      <c r="F1251" s="9" t="s">
        <v>80</v>
      </c>
      <c r="G1251" s="9" t="s">
        <v>43</v>
      </c>
      <c r="H1251" s="9" t="s">
        <v>44</v>
      </c>
      <c r="I1251" s="11" t="s">
        <v>90</v>
      </c>
      <c r="J1251" s="9" t="s">
        <v>91</v>
      </c>
      <c r="K1251" s="9" t="s">
        <v>92</v>
      </c>
      <c r="L1251" s="9"/>
      <c r="M1251" s="9" t="s">
        <v>1242</v>
      </c>
      <c r="N1251" s="9" t="s">
        <v>50</v>
      </c>
      <c r="O1251" s="9" t="s">
        <v>51</v>
      </c>
      <c r="P1251" s="9" t="s">
        <v>498</v>
      </c>
      <c r="Q1251" s="9"/>
      <c r="R1251" s="9" t="s">
        <v>61</v>
      </c>
      <c r="S1251" s="14" t="s">
        <v>4656</v>
      </c>
      <c r="T1251" s="9" t="s">
        <v>4657</v>
      </c>
      <c r="U1251" s="9" t="s">
        <v>54</v>
      </c>
      <c r="V1251" s="9" t="s">
        <v>55</v>
      </c>
      <c r="W1251" s="9" t="s">
        <v>55</v>
      </c>
      <c r="X1251" s="12" t="s">
        <v>98</v>
      </c>
      <c r="Y1251" s="9" t="s">
        <v>99</v>
      </c>
      <c r="Z1251" s="13"/>
    </row>
    <row r="1252" spans="1:26" ht="32.25" hidden="1" customHeight="1">
      <c r="A1252" s="8">
        <v>2314481</v>
      </c>
      <c r="B1252" s="9" t="s">
        <v>4658</v>
      </c>
      <c r="C1252" s="10">
        <v>45156</v>
      </c>
      <c r="D1252" s="9" t="s">
        <v>79</v>
      </c>
      <c r="E1252" s="9" t="s">
        <v>89</v>
      </c>
      <c r="F1252" s="9" t="s">
        <v>80</v>
      </c>
      <c r="G1252" s="9" t="s">
        <v>43</v>
      </c>
      <c r="H1252" s="9" t="s">
        <v>44</v>
      </c>
      <c r="I1252" s="11" t="s">
        <v>101</v>
      </c>
      <c r="J1252" s="9" t="s">
        <v>102</v>
      </c>
      <c r="K1252" s="9" t="s">
        <v>442</v>
      </c>
      <c r="L1252" s="9"/>
      <c r="M1252" s="9"/>
      <c r="N1252" s="9" t="s">
        <v>84</v>
      </c>
      <c r="O1252" s="9" t="s">
        <v>51</v>
      </c>
      <c r="P1252" s="9" t="s">
        <v>212</v>
      </c>
      <c r="Q1252" s="9"/>
      <c r="R1252" s="9" t="s">
        <v>61</v>
      </c>
      <c r="S1252" s="14" t="s">
        <v>4659</v>
      </c>
      <c r="T1252" s="9" t="s">
        <v>4660</v>
      </c>
      <c r="U1252" s="9" t="s">
        <v>54</v>
      </c>
      <c r="V1252" s="9" t="s">
        <v>55</v>
      </c>
      <c r="W1252" s="9" t="s">
        <v>55</v>
      </c>
      <c r="X1252" s="12" t="s">
        <v>98</v>
      </c>
      <c r="Y1252" s="9" t="s">
        <v>99</v>
      </c>
      <c r="Z1252" s="13"/>
    </row>
    <row r="1253" spans="1:26" ht="32.25" hidden="1" customHeight="1">
      <c r="A1253" s="8">
        <v>2308116</v>
      </c>
      <c r="B1253" s="9" t="s">
        <v>4661</v>
      </c>
      <c r="C1253" s="10">
        <v>45149</v>
      </c>
      <c r="D1253" s="9" t="s">
        <v>57</v>
      </c>
      <c r="E1253" s="9" t="s">
        <v>41</v>
      </c>
      <c r="F1253" s="9" t="s">
        <v>42</v>
      </c>
      <c r="G1253" s="9" t="s">
        <v>43</v>
      </c>
      <c r="H1253" s="9" t="s">
        <v>58</v>
      </c>
      <c r="I1253" s="11" t="s">
        <v>45</v>
      </c>
      <c r="J1253" s="9" t="s">
        <v>46</v>
      </c>
      <c r="K1253" s="9" t="s">
        <v>47</v>
      </c>
      <c r="L1253" s="9" t="s">
        <v>799</v>
      </c>
      <c r="M1253" s="9" t="s">
        <v>1691</v>
      </c>
      <c r="N1253" s="9" t="s">
        <v>50</v>
      </c>
      <c r="O1253" s="9" t="s">
        <v>51</v>
      </c>
      <c r="P1253" s="9"/>
      <c r="Q1253" s="9"/>
      <c r="R1253" s="9" t="s">
        <v>61</v>
      </c>
      <c r="S1253" s="14" t="s">
        <v>4662</v>
      </c>
      <c r="T1253" s="9" t="s">
        <v>4663</v>
      </c>
      <c r="U1253" s="9" t="s">
        <v>54</v>
      </c>
      <c r="V1253" s="9" t="s">
        <v>55</v>
      </c>
      <c r="W1253" s="9" t="s">
        <v>55</v>
      </c>
      <c r="X1253" s="9" t="s">
        <v>64</v>
      </c>
      <c r="Y1253" s="9" t="s">
        <v>65</v>
      </c>
      <c r="Z1253" s="13"/>
    </row>
    <row r="1254" spans="1:26" ht="32.25" hidden="1" customHeight="1">
      <c r="A1254" s="8">
        <v>2308473</v>
      </c>
      <c r="B1254" s="9" t="s">
        <v>4664</v>
      </c>
      <c r="C1254" s="10">
        <v>45149</v>
      </c>
      <c r="D1254" s="9" t="s">
        <v>57</v>
      </c>
      <c r="E1254" s="9" t="s">
        <v>41</v>
      </c>
      <c r="F1254" s="9" t="s">
        <v>42</v>
      </c>
      <c r="G1254" s="9" t="s">
        <v>43</v>
      </c>
      <c r="H1254" s="9" t="s">
        <v>58</v>
      </c>
      <c r="I1254" s="11" t="s">
        <v>199</v>
      </c>
      <c r="J1254" s="9" t="s">
        <v>200</v>
      </c>
      <c r="K1254" s="9" t="s">
        <v>47</v>
      </c>
      <c r="L1254" s="9" t="s">
        <v>430</v>
      </c>
      <c r="M1254" s="9" t="s">
        <v>4665</v>
      </c>
      <c r="N1254" s="9" t="s">
        <v>50</v>
      </c>
      <c r="O1254" s="9" t="s">
        <v>51</v>
      </c>
      <c r="P1254" s="9"/>
      <c r="Q1254" s="9"/>
      <c r="R1254" s="9"/>
      <c r="S1254" s="14" t="s">
        <v>4666</v>
      </c>
      <c r="T1254" s="9" t="s">
        <v>4667</v>
      </c>
      <c r="U1254" s="9" t="s">
        <v>54</v>
      </c>
      <c r="V1254" s="9" t="s">
        <v>55</v>
      </c>
      <c r="W1254" s="9" t="s">
        <v>55</v>
      </c>
      <c r="X1254" s="12"/>
      <c r="Y1254" s="9" t="s">
        <v>55</v>
      </c>
      <c r="Z1254" s="13"/>
    </row>
    <row r="1255" spans="1:26" ht="32.25" hidden="1" customHeight="1">
      <c r="A1255" s="8">
        <v>2315156</v>
      </c>
      <c r="B1255" s="9" t="s">
        <v>4668</v>
      </c>
      <c r="C1255" s="10">
        <v>45152</v>
      </c>
      <c r="D1255" s="9" t="s">
        <v>639</v>
      </c>
      <c r="E1255" s="9" t="s">
        <v>143</v>
      </c>
      <c r="F1255" s="9" t="s">
        <v>80</v>
      </c>
      <c r="G1255" s="9" t="s">
        <v>43</v>
      </c>
      <c r="H1255" s="9" t="s">
        <v>44</v>
      </c>
      <c r="I1255" s="11" t="s">
        <v>326</v>
      </c>
      <c r="J1255" s="9" t="s">
        <v>327</v>
      </c>
      <c r="K1255" s="9" t="s">
        <v>2795</v>
      </c>
      <c r="L1255" s="9"/>
      <c r="M1255" s="9" t="s">
        <v>4669</v>
      </c>
      <c r="N1255" s="9" t="s">
        <v>50</v>
      </c>
      <c r="O1255" s="9" t="s">
        <v>187</v>
      </c>
      <c r="P1255" s="9" t="s">
        <v>522</v>
      </c>
      <c r="Q1255" s="9"/>
      <c r="R1255" s="9" t="s">
        <v>61</v>
      </c>
      <c r="S1255" s="14" t="s">
        <v>641</v>
      </c>
      <c r="T1255" s="9"/>
      <c r="U1255" s="9" t="s">
        <v>54</v>
      </c>
      <c r="V1255" s="9" t="s">
        <v>55</v>
      </c>
      <c r="W1255" s="9" t="s">
        <v>55</v>
      </c>
      <c r="X1255" s="12" t="s">
        <v>150</v>
      </c>
      <c r="Y1255" s="9" t="s">
        <v>151</v>
      </c>
      <c r="Z1255" s="13"/>
    </row>
    <row r="1256" spans="1:26" ht="32.25" hidden="1" customHeight="1">
      <c r="A1256" s="8">
        <v>2305760</v>
      </c>
      <c r="B1256" s="9" t="s">
        <v>4670</v>
      </c>
      <c r="C1256" s="10">
        <v>45149</v>
      </c>
      <c r="D1256" s="9" t="s">
        <v>57</v>
      </c>
      <c r="E1256" s="9" t="s">
        <v>41</v>
      </c>
      <c r="F1256" s="9" t="s">
        <v>42</v>
      </c>
      <c r="G1256" s="9" t="s">
        <v>43</v>
      </c>
      <c r="H1256" s="9" t="s">
        <v>58</v>
      </c>
      <c r="I1256" s="11" t="s">
        <v>129</v>
      </c>
      <c r="J1256" s="9" t="s">
        <v>130</v>
      </c>
      <c r="K1256" s="9" t="s">
        <v>47</v>
      </c>
      <c r="L1256" s="9" t="s">
        <v>1686</v>
      </c>
      <c r="M1256" s="9" t="s">
        <v>1750</v>
      </c>
      <c r="N1256" s="9" t="s">
        <v>50</v>
      </c>
      <c r="O1256" s="9" t="s">
        <v>51</v>
      </c>
      <c r="P1256" s="9"/>
      <c r="Q1256" s="9"/>
      <c r="R1256" s="9" t="s">
        <v>61</v>
      </c>
      <c r="S1256" s="14" t="s">
        <v>4671</v>
      </c>
      <c r="T1256" s="9" t="s">
        <v>4672</v>
      </c>
      <c r="U1256" s="9" t="s">
        <v>54</v>
      </c>
      <c r="V1256" s="9" t="s">
        <v>55</v>
      </c>
      <c r="W1256" s="9" t="s">
        <v>55</v>
      </c>
      <c r="X1256" s="9" t="s">
        <v>98</v>
      </c>
      <c r="Y1256" s="9" t="s">
        <v>99</v>
      </c>
      <c r="Z1256" s="13" t="s">
        <v>230</v>
      </c>
    </row>
    <row r="1257" spans="1:26" ht="32.25" hidden="1" customHeight="1">
      <c r="A1257" s="8">
        <v>2315548</v>
      </c>
      <c r="B1257" s="9" t="s">
        <v>4673</v>
      </c>
      <c r="C1257" s="10">
        <v>45155</v>
      </c>
      <c r="D1257" s="9" t="s">
        <v>191</v>
      </c>
      <c r="E1257" s="9" t="s">
        <v>41</v>
      </c>
      <c r="F1257" s="9" t="s">
        <v>42</v>
      </c>
      <c r="G1257" s="9" t="s">
        <v>43</v>
      </c>
      <c r="H1257" s="9" t="s">
        <v>44</v>
      </c>
      <c r="I1257" s="11" t="s">
        <v>1073</v>
      </c>
      <c r="J1257" s="9" t="s">
        <v>479</v>
      </c>
      <c r="K1257" s="9" t="s">
        <v>4674</v>
      </c>
      <c r="L1257" s="9" t="s">
        <v>2729</v>
      </c>
      <c r="M1257" s="9" t="s">
        <v>2730</v>
      </c>
      <c r="N1257" s="9" t="s">
        <v>50</v>
      </c>
      <c r="O1257" s="9" t="s">
        <v>187</v>
      </c>
      <c r="P1257" s="9"/>
      <c r="Q1257" s="9"/>
      <c r="R1257" s="9" t="s">
        <v>61</v>
      </c>
      <c r="S1257" s="14" t="s">
        <v>4675</v>
      </c>
      <c r="T1257" s="9"/>
      <c r="U1257" s="9" t="s">
        <v>54</v>
      </c>
      <c r="V1257" s="9" t="s">
        <v>55</v>
      </c>
      <c r="W1257" s="9" t="s">
        <v>55</v>
      </c>
      <c r="X1257" s="9" t="s">
        <v>196</v>
      </c>
      <c r="Y1257" s="9" t="s">
        <v>197</v>
      </c>
      <c r="Z1257" s="13" t="s">
        <v>4676</v>
      </c>
    </row>
    <row r="1258" spans="1:26" ht="32.25" hidden="1" customHeight="1">
      <c r="A1258" s="8">
        <v>2309506</v>
      </c>
      <c r="B1258" s="9" t="s">
        <v>4677</v>
      </c>
      <c r="C1258" s="10">
        <v>45149</v>
      </c>
      <c r="D1258" s="9" t="s">
        <v>57</v>
      </c>
      <c r="E1258" s="9" t="s">
        <v>153</v>
      </c>
      <c r="F1258" s="9" t="s">
        <v>42</v>
      </c>
      <c r="G1258" s="9" t="s">
        <v>43</v>
      </c>
      <c r="H1258" s="9" t="s">
        <v>58</v>
      </c>
      <c r="I1258" s="11" t="s">
        <v>154</v>
      </c>
      <c r="J1258" s="9" t="s">
        <v>155</v>
      </c>
      <c r="K1258" s="9" t="s">
        <v>47</v>
      </c>
      <c r="L1258" s="9" t="s">
        <v>349</v>
      </c>
      <c r="M1258" s="9" t="s">
        <v>785</v>
      </c>
      <c r="N1258" s="9" t="s">
        <v>84</v>
      </c>
      <c r="O1258" s="9" t="s">
        <v>51</v>
      </c>
      <c r="P1258" s="9"/>
      <c r="Q1258" s="9"/>
      <c r="R1258" s="9" t="s">
        <v>61</v>
      </c>
      <c r="S1258" s="14" t="s">
        <v>4678</v>
      </c>
      <c r="T1258" s="9" t="s">
        <v>4679</v>
      </c>
      <c r="U1258" s="9" t="s">
        <v>54</v>
      </c>
      <c r="V1258" s="9" t="s">
        <v>55</v>
      </c>
      <c r="W1258" s="9" t="s">
        <v>55</v>
      </c>
      <c r="X1258" s="12" t="s">
        <v>171</v>
      </c>
      <c r="Y1258" s="9" t="s">
        <v>172</v>
      </c>
      <c r="Z1258" s="13"/>
    </row>
    <row r="1259" spans="1:26" ht="32.25" hidden="1" customHeight="1">
      <c r="A1259" s="8">
        <v>2304963</v>
      </c>
      <c r="B1259" s="9" t="s">
        <v>4680</v>
      </c>
      <c r="C1259" s="10">
        <v>45149</v>
      </c>
      <c r="D1259" s="9" t="s">
        <v>57</v>
      </c>
      <c r="E1259" s="9" t="s">
        <v>295</v>
      </c>
      <c r="F1259" s="9" t="s">
        <v>42</v>
      </c>
      <c r="G1259" s="9" t="s">
        <v>43</v>
      </c>
      <c r="H1259" s="9" t="s">
        <v>58</v>
      </c>
      <c r="I1259" s="11" t="s">
        <v>406</v>
      </c>
      <c r="J1259" s="9" t="s">
        <v>407</v>
      </c>
      <c r="K1259" s="9" t="s">
        <v>47</v>
      </c>
      <c r="L1259" s="9" t="s">
        <v>48</v>
      </c>
      <c r="M1259" s="9"/>
      <c r="N1259" s="9" t="s">
        <v>50</v>
      </c>
      <c r="O1259" s="9" t="s">
        <v>51</v>
      </c>
      <c r="P1259" s="9"/>
      <c r="Q1259" s="9"/>
      <c r="R1259" s="9" t="s">
        <v>61</v>
      </c>
      <c r="S1259" s="14" t="s">
        <v>4681</v>
      </c>
      <c r="T1259" s="9" t="s">
        <v>4682</v>
      </c>
      <c r="U1259" s="9" t="s">
        <v>54</v>
      </c>
      <c r="V1259" s="9" t="s">
        <v>55</v>
      </c>
      <c r="W1259" s="9" t="s">
        <v>55</v>
      </c>
      <c r="X1259" s="9" t="s">
        <v>319</v>
      </c>
      <c r="Y1259" s="9" t="s">
        <v>320</v>
      </c>
      <c r="Z1259" s="13"/>
    </row>
    <row r="1260" spans="1:26" ht="32.25" hidden="1" customHeight="1">
      <c r="A1260" s="8">
        <v>2314520</v>
      </c>
      <c r="B1260" s="9" t="s">
        <v>4683</v>
      </c>
      <c r="C1260" s="10">
        <v>45156</v>
      </c>
      <c r="D1260" s="9" t="s">
        <v>79</v>
      </c>
      <c r="E1260" s="9" t="s">
        <v>143</v>
      </c>
      <c r="F1260" s="9" t="s">
        <v>80</v>
      </c>
      <c r="G1260" s="9" t="s">
        <v>43</v>
      </c>
      <c r="H1260" s="9" t="s">
        <v>44</v>
      </c>
      <c r="I1260" s="11" t="s">
        <v>326</v>
      </c>
      <c r="J1260" s="9" t="s">
        <v>327</v>
      </c>
      <c r="K1260" s="9" t="s">
        <v>47</v>
      </c>
      <c r="L1260" s="9" t="s">
        <v>174</v>
      </c>
      <c r="M1260" s="9" t="s">
        <v>1190</v>
      </c>
      <c r="N1260" s="9" t="s">
        <v>84</v>
      </c>
      <c r="O1260" s="9" t="s">
        <v>51</v>
      </c>
      <c r="P1260" s="9" t="s">
        <v>953</v>
      </c>
      <c r="Q1260" s="9"/>
      <c r="R1260" s="9"/>
      <c r="S1260" s="14" t="s">
        <v>4684</v>
      </c>
      <c r="T1260" s="9" t="s">
        <v>4685</v>
      </c>
      <c r="U1260" s="9" t="s">
        <v>54</v>
      </c>
      <c r="V1260" s="9" t="s">
        <v>55</v>
      </c>
      <c r="W1260" s="9" t="s">
        <v>55</v>
      </c>
      <c r="X1260" s="12"/>
      <c r="Y1260" s="9" t="s">
        <v>55</v>
      </c>
      <c r="Z1260" s="13"/>
    </row>
    <row r="1261" spans="1:26" ht="32.25" hidden="1" customHeight="1">
      <c r="A1261" s="8">
        <v>2315412</v>
      </c>
      <c r="B1261" s="9" t="s">
        <v>4686</v>
      </c>
      <c r="C1261" s="10">
        <v>45152</v>
      </c>
      <c r="D1261" s="9" t="s">
        <v>185</v>
      </c>
      <c r="E1261" s="9" t="s">
        <v>153</v>
      </c>
      <c r="F1261" s="9" t="s">
        <v>42</v>
      </c>
      <c r="G1261" s="9" t="s">
        <v>43</v>
      </c>
      <c r="H1261" s="9" t="s">
        <v>44</v>
      </c>
      <c r="I1261" s="11" t="s">
        <v>154</v>
      </c>
      <c r="J1261" s="9" t="s">
        <v>155</v>
      </c>
      <c r="K1261" s="9" t="s">
        <v>92</v>
      </c>
      <c r="L1261" s="9" t="s">
        <v>4687</v>
      </c>
      <c r="M1261" s="9" t="s">
        <v>4688</v>
      </c>
      <c r="N1261" s="9" t="s">
        <v>50</v>
      </c>
      <c r="O1261" s="9" t="s">
        <v>187</v>
      </c>
      <c r="P1261" s="9"/>
      <c r="Q1261" s="9"/>
      <c r="R1261" s="9" t="s">
        <v>61</v>
      </c>
      <c r="S1261" s="14" t="s">
        <v>4689</v>
      </c>
      <c r="T1261" s="9" t="s">
        <v>4690</v>
      </c>
      <c r="U1261" s="9" t="s">
        <v>54</v>
      </c>
      <c r="V1261" s="9" t="s">
        <v>55</v>
      </c>
      <c r="W1261" s="9" t="s">
        <v>55</v>
      </c>
      <c r="X1261" s="12" t="s">
        <v>171</v>
      </c>
      <c r="Y1261" s="9" t="s">
        <v>172</v>
      </c>
      <c r="Z1261" s="13"/>
    </row>
    <row r="1262" spans="1:26" ht="32.25" hidden="1" customHeight="1">
      <c r="A1262" s="8">
        <v>2308639</v>
      </c>
      <c r="B1262" s="9" t="s">
        <v>4691</v>
      </c>
      <c r="C1262" s="10">
        <v>45142</v>
      </c>
      <c r="D1262" s="9" t="s">
        <v>67</v>
      </c>
      <c r="E1262" s="9" t="s">
        <v>89</v>
      </c>
      <c r="F1262" s="9" t="s">
        <v>42</v>
      </c>
      <c r="G1262" s="9" t="s">
        <v>43</v>
      </c>
      <c r="H1262" s="9" t="s">
        <v>44</v>
      </c>
      <c r="I1262" s="11" t="s">
        <v>360</v>
      </c>
      <c r="J1262" s="9" t="s">
        <v>102</v>
      </c>
      <c r="K1262" s="9" t="s">
        <v>92</v>
      </c>
      <c r="L1262" s="9"/>
      <c r="M1262" s="9" t="s">
        <v>4692</v>
      </c>
      <c r="N1262" s="9" t="s">
        <v>50</v>
      </c>
      <c r="O1262" s="9" t="s">
        <v>51</v>
      </c>
      <c r="P1262" s="9" t="s">
        <v>361</v>
      </c>
      <c r="Q1262" s="9"/>
      <c r="R1262" s="9" t="s">
        <v>61</v>
      </c>
      <c r="S1262" s="9" t="s">
        <v>1403</v>
      </c>
      <c r="T1262" s="9" t="s">
        <v>1404</v>
      </c>
      <c r="U1262" s="9" t="s">
        <v>54</v>
      </c>
      <c r="V1262" s="9" t="s">
        <v>55</v>
      </c>
      <c r="W1262" s="9" t="s">
        <v>55</v>
      </c>
      <c r="X1262" s="12" t="s">
        <v>98</v>
      </c>
      <c r="Y1262" s="9" t="s">
        <v>99</v>
      </c>
      <c r="Z1262" s="13"/>
    </row>
    <row r="1263" spans="1:26" ht="32.25" hidden="1" customHeight="1">
      <c r="A1263" s="8">
        <v>2315058</v>
      </c>
      <c r="B1263" s="9" t="s">
        <v>4693</v>
      </c>
      <c r="C1263" s="10">
        <v>45156</v>
      </c>
      <c r="D1263" s="9" t="s">
        <v>79</v>
      </c>
      <c r="E1263" s="9" t="s">
        <v>89</v>
      </c>
      <c r="F1263" s="9" t="s">
        <v>80</v>
      </c>
      <c r="G1263" s="9" t="s">
        <v>43</v>
      </c>
      <c r="H1263" s="9" t="s">
        <v>44</v>
      </c>
      <c r="I1263" s="11" t="s">
        <v>365</v>
      </c>
      <c r="J1263" s="9" t="s">
        <v>366</v>
      </c>
      <c r="K1263" s="9" t="s">
        <v>47</v>
      </c>
      <c r="L1263" s="9" t="s">
        <v>226</v>
      </c>
      <c r="M1263" s="9" t="s">
        <v>1374</v>
      </c>
      <c r="N1263" s="9" t="s">
        <v>84</v>
      </c>
      <c r="O1263" s="9" t="s">
        <v>51</v>
      </c>
      <c r="P1263" s="9" t="s">
        <v>367</v>
      </c>
      <c r="Q1263" s="9"/>
      <c r="R1263" s="9" t="s">
        <v>61</v>
      </c>
      <c r="S1263" s="14" t="s">
        <v>4694</v>
      </c>
      <c r="T1263" s="9" t="s">
        <v>4695</v>
      </c>
      <c r="U1263" s="9" t="s">
        <v>54</v>
      </c>
      <c r="V1263" s="9" t="s">
        <v>55</v>
      </c>
      <c r="W1263" s="9" t="s">
        <v>55</v>
      </c>
      <c r="X1263" s="12" t="s">
        <v>98</v>
      </c>
      <c r="Y1263" s="9" t="s">
        <v>99</v>
      </c>
      <c r="Z1263" s="13"/>
    </row>
    <row r="1264" spans="1:26" ht="32.25" hidden="1" customHeight="1">
      <c r="A1264" s="8">
        <v>2300851</v>
      </c>
      <c r="B1264" s="9" t="s">
        <v>4696</v>
      </c>
      <c r="C1264" s="10">
        <v>45142</v>
      </c>
      <c r="D1264" s="9" t="s">
        <v>67</v>
      </c>
      <c r="E1264" s="9" t="s">
        <v>68</v>
      </c>
      <c r="F1264" s="9" t="s">
        <v>135</v>
      </c>
      <c r="G1264" s="9" t="s">
        <v>43</v>
      </c>
      <c r="H1264" s="9" t="s">
        <v>44</v>
      </c>
      <c r="I1264" s="11" t="s">
        <v>136</v>
      </c>
      <c r="J1264" s="9" t="s">
        <v>137</v>
      </c>
      <c r="K1264" s="9" t="s">
        <v>47</v>
      </c>
      <c r="L1264" s="9" t="s">
        <v>1315</v>
      </c>
      <c r="M1264" s="9" t="s">
        <v>4697</v>
      </c>
      <c r="N1264" s="9" t="s">
        <v>50</v>
      </c>
      <c r="O1264" s="9" t="s">
        <v>51</v>
      </c>
      <c r="P1264" s="9"/>
      <c r="Q1264" s="9"/>
      <c r="R1264" s="9" t="s">
        <v>61</v>
      </c>
      <c r="S1264" s="9" t="s">
        <v>4698</v>
      </c>
      <c r="T1264" s="9" t="s">
        <v>4699</v>
      </c>
      <c r="U1264" s="9" t="s">
        <v>54</v>
      </c>
      <c r="V1264" s="9" t="s">
        <v>55</v>
      </c>
      <c r="W1264" s="9" t="s">
        <v>55</v>
      </c>
      <c r="X1264" s="12" t="s">
        <v>76</v>
      </c>
      <c r="Y1264" s="9" t="s">
        <v>77</v>
      </c>
      <c r="Z1264" s="13"/>
    </row>
    <row r="1265" spans="1:26" ht="32.25" hidden="1" customHeight="1">
      <c r="A1265" s="8">
        <v>2310566</v>
      </c>
      <c r="B1265" s="9" t="s">
        <v>4700</v>
      </c>
      <c r="C1265" s="10">
        <v>45142</v>
      </c>
      <c r="D1265" s="9" t="s">
        <v>67</v>
      </c>
      <c r="E1265" s="9" t="s">
        <v>89</v>
      </c>
      <c r="F1265" s="9" t="s">
        <v>42</v>
      </c>
      <c r="G1265" s="9" t="s">
        <v>43</v>
      </c>
      <c r="H1265" s="9" t="s">
        <v>44</v>
      </c>
      <c r="I1265" s="11" t="s">
        <v>354</v>
      </c>
      <c r="J1265" s="9" t="s">
        <v>91</v>
      </c>
      <c r="K1265" s="9" t="s">
        <v>47</v>
      </c>
      <c r="L1265" s="9" t="s">
        <v>156</v>
      </c>
      <c r="M1265" s="9"/>
      <c r="N1265" s="9" t="s">
        <v>84</v>
      </c>
      <c r="O1265" s="9" t="s">
        <v>51</v>
      </c>
      <c r="P1265" s="9" t="s">
        <v>356</v>
      </c>
      <c r="Q1265" s="9"/>
      <c r="R1265" s="9"/>
      <c r="S1265" s="9" t="s">
        <v>4701</v>
      </c>
      <c r="T1265" s="9" t="s">
        <v>4702</v>
      </c>
      <c r="U1265" s="9" t="s">
        <v>54</v>
      </c>
      <c r="V1265" s="9" t="s">
        <v>55</v>
      </c>
      <c r="W1265" s="9" t="s">
        <v>55</v>
      </c>
      <c r="X1265" s="12"/>
      <c r="Y1265" s="9" t="s">
        <v>55</v>
      </c>
      <c r="Z1265" s="13"/>
    </row>
    <row r="1266" spans="1:26" ht="32.25" hidden="1" customHeight="1">
      <c r="A1266" s="8">
        <v>2308168</v>
      </c>
      <c r="B1266" s="9" t="s">
        <v>4703</v>
      </c>
      <c r="C1266" s="10">
        <v>45149</v>
      </c>
      <c r="D1266" s="9" t="s">
        <v>57</v>
      </c>
      <c r="E1266" s="9" t="s">
        <v>295</v>
      </c>
      <c r="F1266" s="9" t="s">
        <v>42</v>
      </c>
      <c r="G1266" s="9" t="s">
        <v>43</v>
      </c>
      <c r="H1266" s="9" t="s">
        <v>58</v>
      </c>
      <c r="I1266" s="11" t="s">
        <v>296</v>
      </c>
      <c r="J1266" s="9" t="s">
        <v>297</v>
      </c>
      <c r="K1266" s="9" t="s">
        <v>47</v>
      </c>
      <c r="L1266" s="9" t="s">
        <v>174</v>
      </c>
      <c r="M1266" s="9" t="s">
        <v>644</v>
      </c>
      <c r="N1266" s="9" t="s">
        <v>84</v>
      </c>
      <c r="O1266" s="9" t="s">
        <v>51</v>
      </c>
      <c r="P1266" s="9"/>
      <c r="Q1266" s="9"/>
      <c r="R1266" s="9" t="s">
        <v>61</v>
      </c>
      <c r="S1266" s="14" t="s">
        <v>4704</v>
      </c>
      <c r="T1266" s="9" t="s">
        <v>4705</v>
      </c>
      <c r="U1266" s="9" t="s">
        <v>54</v>
      </c>
      <c r="V1266" s="9" t="s">
        <v>55</v>
      </c>
      <c r="W1266" s="9" t="s">
        <v>55</v>
      </c>
      <c r="X1266" s="9" t="s">
        <v>319</v>
      </c>
      <c r="Y1266" s="9" t="s">
        <v>320</v>
      </c>
      <c r="Z1266" s="13"/>
    </row>
    <row r="1267" spans="1:26" ht="32.25" hidden="1" customHeight="1">
      <c r="A1267" s="8">
        <v>2309796</v>
      </c>
      <c r="B1267" s="9" t="s">
        <v>4706</v>
      </c>
      <c r="C1267" s="10">
        <v>45149</v>
      </c>
      <c r="D1267" s="9" t="s">
        <v>57</v>
      </c>
      <c r="E1267" s="9" t="s">
        <v>295</v>
      </c>
      <c r="F1267" s="9" t="s">
        <v>42</v>
      </c>
      <c r="G1267" s="9" t="s">
        <v>43</v>
      </c>
      <c r="H1267" s="9" t="s">
        <v>58</v>
      </c>
      <c r="I1267" s="11" t="s">
        <v>296</v>
      </c>
      <c r="J1267" s="9" t="s">
        <v>297</v>
      </c>
      <c r="K1267" s="9" t="s">
        <v>47</v>
      </c>
      <c r="L1267" s="9" t="s">
        <v>948</v>
      </c>
      <c r="M1267" s="9" t="s">
        <v>949</v>
      </c>
      <c r="N1267" s="9" t="s">
        <v>84</v>
      </c>
      <c r="O1267" s="9" t="s">
        <v>51</v>
      </c>
      <c r="P1267" s="9"/>
      <c r="Q1267" s="9"/>
      <c r="R1267" s="9" t="s">
        <v>61</v>
      </c>
      <c r="S1267" s="14" t="s">
        <v>4707</v>
      </c>
      <c r="T1267" s="9" t="s">
        <v>4708</v>
      </c>
      <c r="U1267" s="9" t="s">
        <v>54</v>
      </c>
      <c r="V1267" s="9" t="s">
        <v>55</v>
      </c>
      <c r="W1267" s="9" t="s">
        <v>55</v>
      </c>
      <c r="X1267" s="9" t="s">
        <v>319</v>
      </c>
      <c r="Y1267" s="9" t="s">
        <v>320</v>
      </c>
      <c r="Z1267" s="13"/>
    </row>
    <row r="1268" spans="1:26" ht="32.25" hidden="1" customHeight="1">
      <c r="A1268" s="8">
        <v>2300428</v>
      </c>
      <c r="B1268" s="9" t="s">
        <v>4709</v>
      </c>
      <c r="C1268" s="10">
        <v>45136</v>
      </c>
      <c r="D1268" s="9" t="s">
        <v>40</v>
      </c>
      <c r="E1268" s="9" t="s">
        <v>41</v>
      </c>
      <c r="F1268" s="9" t="s">
        <v>42</v>
      </c>
      <c r="G1268" s="9" t="s">
        <v>43</v>
      </c>
      <c r="H1268" s="9" t="s">
        <v>44</v>
      </c>
      <c r="I1268" s="11" t="s">
        <v>199</v>
      </c>
      <c r="J1268" s="9" t="s">
        <v>200</v>
      </c>
      <c r="K1268" s="9" t="s">
        <v>47</v>
      </c>
      <c r="L1268" s="9" t="s">
        <v>2632</v>
      </c>
      <c r="M1268" s="9" t="s">
        <v>3293</v>
      </c>
      <c r="N1268" s="9" t="s">
        <v>84</v>
      </c>
      <c r="O1268" s="9" t="s">
        <v>51</v>
      </c>
      <c r="P1268" s="9"/>
      <c r="Q1268" s="9"/>
      <c r="R1268" s="9" t="s">
        <v>61</v>
      </c>
      <c r="S1268" s="9" t="s">
        <v>4710</v>
      </c>
      <c r="T1268" s="9" t="s">
        <v>4711</v>
      </c>
      <c r="U1268" s="9" t="s">
        <v>54</v>
      </c>
      <c r="V1268" s="9" t="s">
        <v>55</v>
      </c>
      <c r="W1268" s="9" t="s">
        <v>55</v>
      </c>
      <c r="X1268" s="12" t="s">
        <v>196</v>
      </c>
      <c r="Y1268" s="9" t="s">
        <v>197</v>
      </c>
      <c r="Z1268" s="13"/>
    </row>
    <row r="1269" spans="1:26" ht="32.25" hidden="1" customHeight="1">
      <c r="A1269" s="8">
        <v>2306440</v>
      </c>
      <c r="B1269" s="9" t="s">
        <v>4712</v>
      </c>
      <c r="C1269" s="10">
        <v>45149</v>
      </c>
      <c r="D1269" s="9" t="s">
        <v>57</v>
      </c>
      <c r="E1269" s="9" t="s">
        <v>41</v>
      </c>
      <c r="F1269" s="9" t="s">
        <v>42</v>
      </c>
      <c r="G1269" s="9" t="s">
        <v>43</v>
      </c>
      <c r="H1269" s="9" t="s">
        <v>58</v>
      </c>
      <c r="I1269" s="11" t="s">
        <v>45</v>
      </c>
      <c r="J1269" s="9" t="s">
        <v>46</v>
      </c>
      <c r="K1269" s="9" t="s">
        <v>47</v>
      </c>
      <c r="L1269" s="9" t="s">
        <v>553</v>
      </c>
      <c r="M1269" s="9" t="s">
        <v>1406</v>
      </c>
      <c r="N1269" s="9" t="s">
        <v>84</v>
      </c>
      <c r="O1269" s="9" t="s">
        <v>51</v>
      </c>
      <c r="P1269" s="9"/>
      <c r="Q1269" s="9"/>
      <c r="R1269" s="9"/>
      <c r="S1269" s="14" t="s">
        <v>4713</v>
      </c>
      <c r="T1269" s="9" t="s">
        <v>4714</v>
      </c>
      <c r="U1269" s="9" t="s">
        <v>54</v>
      </c>
      <c r="V1269" s="9" t="s">
        <v>55</v>
      </c>
      <c r="W1269" s="9" t="s">
        <v>55</v>
      </c>
      <c r="X1269" s="12"/>
      <c r="Y1269" s="9" t="s">
        <v>55</v>
      </c>
      <c r="Z1269" s="13"/>
    </row>
    <row r="1270" spans="1:26" ht="32.25" hidden="1" customHeight="1">
      <c r="A1270" s="8">
        <v>2314000</v>
      </c>
      <c r="B1270" s="9" t="s">
        <v>4715</v>
      </c>
      <c r="C1270" s="10">
        <v>45136</v>
      </c>
      <c r="D1270" s="9" t="s">
        <v>40</v>
      </c>
      <c r="E1270" s="9" t="s">
        <v>41</v>
      </c>
      <c r="F1270" s="9" t="s">
        <v>42</v>
      </c>
      <c r="G1270" s="9" t="s">
        <v>43</v>
      </c>
      <c r="H1270" s="9" t="s">
        <v>44</v>
      </c>
      <c r="I1270" s="11" t="s">
        <v>45</v>
      </c>
      <c r="J1270" s="9" t="s">
        <v>46</v>
      </c>
      <c r="K1270" s="9" t="s">
        <v>47</v>
      </c>
      <c r="L1270" s="9" t="s">
        <v>586</v>
      </c>
      <c r="M1270" s="9" t="s">
        <v>918</v>
      </c>
      <c r="N1270" s="9" t="s">
        <v>50</v>
      </c>
      <c r="O1270" s="9" t="s">
        <v>51</v>
      </c>
      <c r="P1270" s="9"/>
      <c r="Q1270" s="9"/>
      <c r="R1270" s="9" t="s">
        <v>61</v>
      </c>
      <c r="S1270" s="9" t="s">
        <v>4716</v>
      </c>
      <c r="T1270" s="9" t="s">
        <v>4717</v>
      </c>
      <c r="U1270" s="9" t="s">
        <v>54</v>
      </c>
      <c r="V1270" s="9" t="s">
        <v>55</v>
      </c>
      <c r="W1270" s="9" t="s">
        <v>55</v>
      </c>
      <c r="X1270" s="9" t="s">
        <v>64</v>
      </c>
      <c r="Y1270" s="9" t="s">
        <v>65</v>
      </c>
      <c r="Z1270" s="13"/>
    </row>
    <row r="1271" spans="1:26" ht="32.25" hidden="1" customHeight="1">
      <c r="A1271" s="8">
        <v>2314864</v>
      </c>
      <c r="B1271" s="9" t="s">
        <v>4718</v>
      </c>
      <c r="C1271" s="10">
        <v>45156</v>
      </c>
      <c r="D1271" s="9" t="s">
        <v>79</v>
      </c>
      <c r="E1271" s="9" t="s">
        <v>41</v>
      </c>
      <c r="F1271" s="9" t="s">
        <v>80</v>
      </c>
      <c r="G1271" s="9" t="s">
        <v>43</v>
      </c>
      <c r="H1271" s="9" t="s">
        <v>44</v>
      </c>
      <c r="I1271" s="11" t="s">
        <v>233</v>
      </c>
      <c r="J1271" s="9" t="s">
        <v>200</v>
      </c>
      <c r="K1271" s="9" t="s">
        <v>47</v>
      </c>
      <c r="L1271" s="9" t="s">
        <v>4719</v>
      </c>
      <c r="M1271" s="9" t="s">
        <v>4720</v>
      </c>
      <c r="N1271" s="9" t="s">
        <v>84</v>
      </c>
      <c r="O1271" s="9" t="s">
        <v>51</v>
      </c>
      <c r="P1271" s="9" t="s">
        <v>443</v>
      </c>
      <c r="Q1271" s="9"/>
      <c r="R1271" s="9" t="s">
        <v>61</v>
      </c>
      <c r="S1271" s="14" t="s">
        <v>4721</v>
      </c>
      <c r="T1271" s="9" t="s">
        <v>4722</v>
      </c>
      <c r="U1271" s="9" t="s">
        <v>54</v>
      </c>
      <c r="V1271" s="9" t="s">
        <v>331</v>
      </c>
      <c r="W1271" s="9" t="s">
        <v>115</v>
      </c>
      <c r="X1271" s="9" t="s">
        <v>64</v>
      </c>
      <c r="Y1271" s="9" t="s">
        <v>65</v>
      </c>
      <c r="Z1271" s="13"/>
    </row>
    <row r="1272" spans="1:26" ht="32.25" hidden="1" customHeight="1">
      <c r="A1272" s="8">
        <v>2313106</v>
      </c>
      <c r="B1272" s="9" t="s">
        <v>4723</v>
      </c>
      <c r="C1272" s="10">
        <v>45149</v>
      </c>
      <c r="D1272" s="9" t="s">
        <v>57</v>
      </c>
      <c r="E1272" s="9" t="s">
        <v>295</v>
      </c>
      <c r="F1272" s="9" t="s">
        <v>42</v>
      </c>
      <c r="G1272" s="9" t="s">
        <v>43</v>
      </c>
      <c r="H1272" s="9" t="s">
        <v>58</v>
      </c>
      <c r="I1272" s="11" t="s">
        <v>296</v>
      </c>
      <c r="J1272" s="9" t="s">
        <v>297</v>
      </c>
      <c r="K1272" s="9" t="s">
        <v>47</v>
      </c>
      <c r="L1272" s="9" t="s">
        <v>48</v>
      </c>
      <c r="M1272" s="9" t="s">
        <v>3749</v>
      </c>
      <c r="N1272" s="9" t="s">
        <v>84</v>
      </c>
      <c r="O1272" s="9" t="s">
        <v>51</v>
      </c>
      <c r="P1272" s="9"/>
      <c r="Q1272" s="9"/>
      <c r="R1272" s="9" t="s">
        <v>61</v>
      </c>
      <c r="S1272" s="14" t="s">
        <v>4724</v>
      </c>
      <c r="T1272" s="9" t="s">
        <v>4725</v>
      </c>
      <c r="U1272" s="9" t="s">
        <v>54</v>
      </c>
      <c r="V1272" s="9" t="s">
        <v>55</v>
      </c>
      <c r="W1272" s="9" t="s">
        <v>55</v>
      </c>
      <c r="X1272" s="9" t="s">
        <v>319</v>
      </c>
      <c r="Y1272" s="9" t="s">
        <v>320</v>
      </c>
      <c r="Z1272" s="13"/>
    </row>
    <row r="1273" spans="1:26" ht="32.25" hidden="1" customHeight="1">
      <c r="A1273" s="8">
        <v>2300648</v>
      </c>
      <c r="B1273" s="9" t="s">
        <v>4726</v>
      </c>
      <c r="C1273" s="10">
        <v>45149</v>
      </c>
      <c r="D1273" s="9" t="s">
        <v>57</v>
      </c>
      <c r="E1273" s="9" t="s">
        <v>295</v>
      </c>
      <c r="F1273" s="9" t="s">
        <v>42</v>
      </c>
      <c r="G1273" s="9" t="s">
        <v>43</v>
      </c>
      <c r="H1273" s="9" t="s">
        <v>58</v>
      </c>
      <c r="I1273" s="11" t="s">
        <v>296</v>
      </c>
      <c r="J1273" s="9" t="s">
        <v>297</v>
      </c>
      <c r="K1273" s="9" t="s">
        <v>47</v>
      </c>
      <c r="L1273" s="9" t="s">
        <v>827</v>
      </c>
      <c r="M1273" s="9" t="s">
        <v>828</v>
      </c>
      <c r="N1273" s="9" t="s">
        <v>84</v>
      </c>
      <c r="O1273" s="9" t="s">
        <v>51</v>
      </c>
      <c r="P1273" s="9"/>
      <c r="Q1273" s="9"/>
      <c r="R1273" s="9"/>
      <c r="S1273" s="14" t="s">
        <v>4727</v>
      </c>
      <c r="T1273" s="9" t="s">
        <v>4728</v>
      </c>
      <c r="U1273" s="9" t="s">
        <v>54</v>
      </c>
      <c r="V1273" s="9" t="s">
        <v>55</v>
      </c>
      <c r="W1273" s="9" t="s">
        <v>55</v>
      </c>
      <c r="X1273" s="12"/>
      <c r="Y1273" s="9" t="s">
        <v>55</v>
      </c>
      <c r="Z1273" s="13"/>
    </row>
    <row r="1274" spans="1:26" ht="32.25" hidden="1" customHeight="1">
      <c r="A1274" s="8">
        <v>2300925</v>
      </c>
      <c r="B1274" s="9" t="s">
        <v>4729</v>
      </c>
      <c r="C1274" s="10">
        <v>45156</v>
      </c>
      <c r="D1274" s="9" t="s">
        <v>79</v>
      </c>
      <c r="E1274" s="9" t="s">
        <v>89</v>
      </c>
      <c r="F1274" s="9" t="s">
        <v>80</v>
      </c>
      <c r="G1274" s="9" t="s">
        <v>43</v>
      </c>
      <c r="H1274" s="9" t="s">
        <v>44</v>
      </c>
      <c r="I1274" s="11" t="s">
        <v>365</v>
      </c>
      <c r="J1274" s="9" t="s">
        <v>366</v>
      </c>
      <c r="K1274" s="9" t="s">
        <v>110</v>
      </c>
      <c r="L1274" s="9" t="s">
        <v>119</v>
      </c>
      <c r="M1274" s="9" t="s">
        <v>111</v>
      </c>
      <c r="N1274" s="9" t="s">
        <v>50</v>
      </c>
      <c r="O1274" s="9" t="s">
        <v>51</v>
      </c>
      <c r="P1274" s="9" t="s">
        <v>367</v>
      </c>
      <c r="Q1274" s="9"/>
      <c r="R1274" s="9" t="s">
        <v>61</v>
      </c>
      <c r="S1274" s="14" t="s">
        <v>4730</v>
      </c>
      <c r="T1274" s="9" t="s">
        <v>4731</v>
      </c>
      <c r="U1274" s="9" t="s">
        <v>54</v>
      </c>
      <c r="V1274" s="9" t="s">
        <v>55</v>
      </c>
      <c r="W1274" s="9" t="s">
        <v>55</v>
      </c>
      <c r="X1274" s="12" t="s">
        <v>98</v>
      </c>
      <c r="Y1274" s="9" t="s">
        <v>99</v>
      </c>
      <c r="Z1274" s="13"/>
    </row>
    <row r="1275" spans="1:26" ht="32.25" hidden="1" customHeight="1">
      <c r="A1275" s="8">
        <v>2314371</v>
      </c>
      <c r="B1275" s="9" t="s">
        <v>4732</v>
      </c>
      <c r="C1275" s="10">
        <v>45156</v>
      </c>
      <c r="D1275" s="9" t="s">
        <v>79</v>
      </c>
      <c r="E1275" s="9" t="s">
        <v>89</v>
      </c>
      <c r="F1275" s="9" t="s">
        <v>80</v>
      </c>
      <c r="G1275" s="9" t="s">
        <v>43</v>
      </c>
      <c r="H1275" s="9" t="s">
        <v>44</v>
      </c>
      <c r="I1275" s="11" t="s">
        <v>101</v>
      </c>
      <c r="J1275" s="9" t="s">
        <v>102</v>
      </c>
      <c r="K1275" s="9" t="s">
        <v>47</v>
      </c>
      <c r="L1275" s="9" t="s">
        <v>777</v>
      </c>
      <c r="M1275" s="9"/>
      <c r="N1275" s="9" t="s">
        <v>50</v>
      </c>
      <c r="O1275" s="9" t="s">
        <v>51</v>
      </c>
      <c r="P1275" s="9" t="s">
        <v>715</v>
      </c>
      <c r="Q1275" s="9"/>
      <c r="R1275" s="9"/>
      <c r="S1275" s="14" t="s">
        <v>4733</v>
      </c>
      <c r="T1275" s="9" t="s">
        <v>4734</v>
      </c>
      <c r="U1275" s="9" t="s">
        <v>54</v>
      </c>
      <c r="V1275" s="9" t="s">
        <v>55</v>
      </c>
      <c r="W1275" s="9" t="s">
        <v>55</v>
      </c>
      <c r="X1275" s="12"/>
      <c r="Y1275" s="9" t="s">
        <v>55</v>
      </c>
      <c r="Z1275" s="13"/>
    </row>
    <row r="1276" spans="1:26" ht="32.25" hidden="1" customHeight="1">
      <c r="A1276" s="8">
        <v>2305468</v>
      </c>
      <c r="B1276" s="9" t="s">
        <v>4735</v>
      </c>
      <c r="C1276" s="10">
        <v>45149</v>
      </c>
      <c r="D1276" s="9" t="s">
        <v>57</v>
      </c>
      <c r="E1276" s="9" t="s">
        <v>153</v>
      </c>
      <c r="F1276" s="9" t="s">
        <v>42</v>
      </c>
      <c r="G1276" s="9" t="s">
        <v>43</v>
      </c>
      <c r="H1276" s="9" t="s">
        <v>58</v>
      </c>
      <c r="I1276" s="11" t="s">
        <v>154</v>
      </c>
      <c r="J1276" s="9" t="s">
        <v>155</v>
      </c>
      <c r="K1276" s="9" t="s">
        <v>47</v>
      </c>
      <c r="L1276" s="9" t="s">
        <v>1310</v>
      </c>
      <c r="M1276" s="9" t="s">
        <v>1311</v>
      </c>
      <c r="N1276" s="9" t="s">
        <v>84</v>
      </c>
      <c r="O1276" s="9" t="s">
        <v>51</v>
      </c>
      <c r="P1276" s="9"/>
      <c r="Q1276" s="9"/>
      <c r="R1276" s="9" t="s">
        <v>61</v>
      </c>
      <c r="S1276" s="14" t="s">
        <v>4736</v>
      </c>
      <c r="T1276" s="9" t="s">
        <v>4737</v>
      </c>
      <c r="U1276" s="9" t="s">
        <v>54</v>
      </c>
      <c r="V1276" s="9" t="s">
        <v>55</v>
      </c>
      <c r="W1276" s="9" t="s">
        <v>55</v>
      </c>
      <c r="X1276" s="12" t="s">
        <v>171</v>
      </c>
      <c r="Y1276" s="9" t="s">
        <v>172</v>
      </c>
      <c r="Z1276" s="13"/>
    </row>
    <row r="1277" spans="1:26" ht="32.25" hidden="1" customHeight="1">
      <c r="A1277" s="8">
        <v>2302779</v>
      </c>
      <c r="B1277" s="9" t="s">
        <v>4738</v>
      </c>
      <c r="C1277" s="10">
        <v>45142</v>
      </c>
      <c r="D1277" s="9" t="s">
        <v>67</v>
      </c>
      <c r="E1277" s="9" t="s">
        <v>89</v>
      </c>
      <c r="F1277" s="9" t="s">
        <v>42</v>
      </c>
      <c r="G1277" s="9" t="s">
        <v>43</v>
      </c>
      <c r="H1277" s="9" t="s">
        <v>44</v>
      </c>
      <c r="I1277" s="11" t="s">
        <v>360</v>
      </c>
      <c r="J1277" s="9" t="s">
        <v>102</v>
      </c>
      <c r="K1277" s="9" t="s">
        <v>47</v>
      </c>
      <c r="L1277" s="9" t="s">
        <v>305</v>
      </c>
      <c r="M1277" s="9" t="s">
        <v>1531</v>
      </c>
      <c r="N1277" s="9" t="s">
        <v>84</v>
      </c>
      <c r="O1277" s="9" t="s">
        <v>51</v>
      </c>
      <c r="P1277" s="9" t="s">
        <v>361</v>
      </c>
      <c r="Q1277" s="9"/>
      <c r="R1277" s="9" t="s">
        <v>61</v>
      </c>
      <c r="S1277" s="9" t="s">
        <v>4739</v>
      </c>
      <c r="T1277" s="9" t="s">
        <v>4740</v>
      </c>
      <c r="U1277" s="9" t="s">
        <v>54</v>
      </c>
      <c r="V1277" s="9" t="s">
        <v>55</v>
      </c>
      <c r="W1277" s="9" t="s">
        <v>55</v>
      </c>
      <c r="X1277" s="12" t="s">
        <v>98</v>
      </c>
      <c r="Y1277" s="9" t="s">
        <v>99</v>
      </c>
      <c r="Z1277" s="13"/>
    </row>
    <row r="1278" spans="1:26" ht="32.25" hidden="1" customHeight="1">
      <c r="A1278" s="8">
        <v>2312548</v>
      </c>
      <c r="B1278" s="9" t="s">
        <v>4741</v>
      </c>
      <c r="C1278" s="10">
        <v>45156</v>
      </c>
      <c r="D1278" s="9" t="s">
        <v>79</v>
      </c>
      <c r="E1278" s="9" t="s">
        <v>41</v>
      </c>
      <c r="F1278" s="9" t="s">
        <v>80</v>
      </c>
      <c r="G1278" s="9" t="s">
        <v>43</v>
      </c>
      <c r="H1278" s="9" t="s">
        <v>44</v>
      </c>
      <c r="I1278" s="11" t="s">
        <v>233</v>
      </c>
      <c r="J1278" s="9" t="s">
        <v>200</v>
      </c>
      <c r="K1278" s="9" t="s">
        <v>47</v>
      </c>
      <c r="L1278" s="9" t="s">
        <v>156</v>
      </c>
      <c r="M1278" s="9"/>
      <c r="N1278" s="9" t="s">
        <v>84</v>
      </c>
      <c r="O1278" s="9" t="s">
        <v>51</v>
      </c>
      <c r="P1278" s="9" t="s">
        <v>453</v>
      </c>
      <c r="Q1278" s="9"/>
      <c r="R1278" s="9"/>
      <c r="S1278" s="14" t="s">
        <v>4742</v>
      </c>
      <c r="T1278" s="9" t="s">
        <v>4743</v>
      </c>
      <c r="U1278" s="9" t="s">
        <v>54</v>
      </c>
      <c r="V1278" s="9"/>
      <c r="W1278" s="9" t="s">
        <v>115</v>
      </c>
      <c r="X1278" s="12"/>
      <c r="Y1278" s="9" t="s">
        <v>55</v>
      </c>
      <c r="Z1278" s="13"/>
    </row>
    <row r="1279" spans="1:26" ht="32.25" hidden="1" customHeight="1">
      <c r="A1279" s="8">
        <v>2306908</v>
      </c>
      <c r="B1279" s="9" t="s">
        <v>4744</v>
      </c>
      <c r="C1279" s="10">
        <v>45149</v>
      </c>
      <c r="D1279" s="9" t="s">
        <v>57</v>
      </c>
      <c r="E1279" s="9" t="s">
        <v>41</v>
      </c>
      <c r="F1279" s="9" t="s">
        <v>42</v>
      </c>
      <c r="G1279" s="9" t="s">
        <v>43</v>
      </c>
      <c r="H1279" s="9" t="s">
        <v>58</v>
      </c>
      <c r="I1279" s="11" t="s">
        <v>129</v>
      </c>
      <c r="J1279" s="9" t="s">
        <v>130</v>
      </c>
      <c r="K1279" s="9" t="s">
        <v>47</v>
      </c>
      <c r="L1279" s="9" t="s">
        <v>2637</v>
      </c>
      <c r="M1279" s="9" t="s">
        <v>2638</v>
      </c>
      <c r="N1279" s="9" t="s">
        <v>84</v>
      </c>
      <c r="O1279" s="9" t="s">
        <v>51</v>
      </c>
      <c r="P1279" s="9"/>
      <c r="Q1279" s="9"/>
      <c r="R1279" s="9" t="s">
        <v>61</v>
      </c>
      <c r="S1279" s="14" t="s">
        <v>4745</v>
      </c>
      <c r="T1279" s="9" t="s">
        <v>4746</v>
      </c>
      <c r="U1279" s="9" t="s">
        <v>54</v>
      </c>
      <c r="V1279" s="9" t="s">
        <v>55</v>
      </c>
      <c r="W1279" s="9" t="s">
        <v>55</v>
      </c>
      <c r="X1279" s="9" t="s">
        <v>196</v>
      </c>
      <c r="Y1279" s="9" t="s">
        <v>197</v>
      </c>
      <c r="Z1279" s="13" t="s">
        <v>230</v>
      </c>
    </row>
    <row r="1280" spans="1:26" ht="32.25" hidden="1" customHeight="1">
      <c r="A1280" s="8">
        <v>2302518</v>
      </c>
      <c r="B1280" s="9" t="s">
        <v>4747</v>
      </c>
      <c r="C1280" s="10">
        <v>45156</v>
      </c>
      <c r="D1280" s="9" t="s">
        <v>79</v>
      </c>
      <c r="E1280" s="9" t="s">
        <v>143</v>
      </c>
      <c r="F1280" s="9" t="s">
        <v>80</v>
      </c>
      <c r="G1280" s="9" t="s">
        <v>43</v>
      </c>
      <c r="H1280" s="9" t="s">
        <v>44</v>
      </c>
      <c r="I1280" s="11" t="s">
        <v>326</v>
      </c>
      <c r="J1280" s="9" t="s">
        <v>327</v>
      </c>
      <c r="K1280" s="9" t="s">
        <v>47</v>
      </c>
      <c r="L1280" s="9" t="s">
        <v>156</v>
      </c>
      <c r="M1280" s="9"/>
      <c r="N1280" s="9" t="s">
        <v>84</v>
      </c>
      <c r="O1280" s="9" t="s">
        <v>51</v>
      </c>
      <c r="P1280" s="9" t="s">
        <v>1029</v>
      </c>
      <c r="Q1280" s="9"/>
      <c r="R1280" s="9"/>
      <c r="S1280" s="14" t="s">
        <v>4748</v>
      </c>
      <c r="T1280" s="9" t="s">
        <v>4749</v>
      </c>
      <c r="U1280" s="9" t="s">
        <v>54</v>
      </c>
      <c r="V1280" s="9"/>
      <c r="W1280" s="9" t="s">
        <v>115</v>
      </c>
      <c r="X1280" s="12"/>
      <c r="Y1280" s="9" t="s">
        <v>55</v>
      </c>
      <c r="Z1280" s="13"/>
    </row>
    <row r="1281" spans="1:26" ht="32.25" hidden="1" customHeight="1">
      <c r="A1281" s="8">
        <v>2308113</v>
      </c>
      <c r="B1281" s="9" t="s">
        <v>4750</v>
      </c>
      <c r="C1281" s="10">
        <v>45142</v>
      </c>
      <c r="D1281" s="9" t="s">
        <v>67</v>
      </c>
      <c r="E1281" s="9" t="s">
        <v>41</v>
      </c>
      <c r="F1281" s="9" t="s">
        <v>42</v>
      </c>
      <c r="G1281" s="9" t="s">
        <v>43</v>
      </c>
      <c r="H1281" s="9" t="s">
        <v>44</v>
      </c>
      <c r="I1281" s="11" t="s">
        <v>45</v>
      </c>
      <c r="J1281" s="9" t="s">
        <v>46</v>
      </c>
      <c r="K1281" s="9" t="s">
        <v>47</v>
      </c>
      <c r="L1281" s="9" t="s">
        <v>1040</v>
      </c>
      <c r="M1281" s="9" t="s">
        <v>1041</v>
      </c>
      <c r="N1281" s="9" t="s">
        <v>50</v>
      </c>
      <c r="O1281" s="9" t="s">
        <v>51</v>
      </c>
      <c r="P1281" s="9"/>
      <c r="Q1281" s="9"/>
      <c r="R1281" s="9" t="s">
        <v>61</v>
      </c>
      <c r="S1281" s="9" t="s">
        <v>4751</v>
      </c>
      <c r="T1281" s="9" t="s">
        <v>4752</v>
      </c>
      <c r="U1281" s="9" t="s">
        <v>54</v>
      </c>
      <c r="V1281" s="9" t="s">
        <v>55</v>
      </c>
      <c r="W1281" s="9" t="s">
        <v>55</v>
      </c>
      <c r="X1281" s="9" t="s">
        <v>196</v>
      </c>
      <c r="Y1281" s="9" t="s">
        <v>197</v>
      </c>
      <c r="Z1281" s="13"/>
    </row>
    <row r="1282" spans="1:26" ht="32.25" hidden="1" customHeight="1">
      <c r="A1282" s="8">
        <v>2314752</v>
      </c>
      <c r="B1282" s="9" t="s">
        <v>4753</v>
      </c>
      <c r="C1282" s="10">
        <v>45156</v>
      </c>
      <c r="D1282" s="9" t="s">
        <v>79</v>
      </c>
      <c r="E1282" s="9" t="s">
        <v>143</v>
      </c>
      <c r="F1282" s="9" t="s">
        <v>80</v>
      </c>
      <c r="G1282" s="9" t="s">
        <v>43</v>
      </c>
      <c r="H1282" s="9" t="s">
        <v>44</v>
      </c>
      <c r="I1282" s="11" t="s">
        <v>326</v>
      </c>
      <c r="J1282" s="9" t="s">
        <v>327</v>
      </c>
      <c r="K1282" s="9" t="s">
        <v>47</v>
      </c>
      <c r="L1282" s="9" t="s">
        <v>204</v>
      </c>
      <c r="M1282" s="9" t="s">
        <v>4754</v>
      </c>
      <c r="N1282" s="9" t="s">
        <v>50</v>
      </c>
      <c r="O1282" s="9" t="s">
        <v>51</v>
      </c>
      <c r="P1282" s="9" t="s">
        <v>953</v>
      </c>
      <c r="Q1282" s="9"/>
      <c r="R1282" s="9" t="s">
        <v>61</v>
      </c>
      <c r="S1282" s="14" t="s">
        <v>4755</v>
      </c>
      <c r="T1282" s="9" t="s">
        <v>4756</v>
      </c>
      <c r="U1282" s="9" t="s">
        <v>54</v>
      </c>
      <c r="V1282" s="9" t="s">
        <v>55</v>
      </c>
      <c r="W1282" s="9" t="s">
        <v>55</v>
      </c>
      <c r="X1282" s="12" t="s">
        <v>150</v>
      </c>
      <c r="Y1282" s="9" t="s">
        <v>151</v>
      </c>
      <c r="Z1282" s="13"/>
    </row>
    <row r="1283" spans="1:26" ht="32.25" hidden="1" customHeight="1">
      <c r="A1283" s="8">
        <v>2315516</v>
      </c>
      <c r="B1283" s="9" t="s">
        <v>4757</v>
      </c>
      <c r="C1283" s="10">
        <v>45152</v>
      </c>
      <c r="D1283" s="9" t="s">
        <v>185</v>
      </c>
      <c r="E1283" s="9" t="s">
        <v>41</v>
      </c>
      <c r="F1283" s="9" t="s">
        <v>42</v>
      </c>
      <c r="G1283" s="9" t="s">
        <v>43</v>
      </c>
      <c r="H1283" s="9" t="s">
        <v>44</v>
      </c>
      <c r="I1283" s="11" t="s">
        <v>1073</v>
      </c>
      <c r="J1283" s="9" t="s">
        <v>479</v>
      </c>
      <c r="K1283" s="9" t="s">
        <v>4674</v>
      </c>
      <c r="L1283" s="9"/>
      <c r="M1283" s="9" t="s">
        <v>4758</v>
      </c>
      <c r="N1283" s="9" t="s">
        <v>50</v>
      </c>
      <c r="O1283" s="9" t="s">
        <v>187</v>
      </c>
      <c r="P1283" s="9"/>
      <c r="Q1283" s="9"/>
      <c r="R1283" s="9" t="s">
        <v>61</v>
      </c>
      <c r="S1283" s="14" t="s">
        <v>4759</v>
      </c>
      <c r="T1283" s="9" t="s">
        <v>4760</v>
      </c>
      <c r="U1283" s="9" t="s">
        <v>54</v>
      </c>
      <c r="V1283" s="9" t="s">
        <v>55</v>
      </c>
      <c r="W1283" s="9" t="s">
        <v>55</v>
      </c>
      <c r="X1283" s="9" t="s">
        <v>196</v>
      </c>
      <c r="Y1283" s="9" t="s">
        <v>197</v>
      </c>
      <c r="Z1283" s="13" t="s">
        <v>4761</v>
      </c>
    </row>
    <row r="1284" spans="1:26" ht="32.25" hidden="1" customHeight="1">
      <c r="A1284" s="8">
        <v>2311616</v>
      </c>
      <c r="B1284" s="9" t="s">
        <v>4762</v>
      </c>
      <c r="C1284" s="10">
        <v>45149</v>
      </c>
      <c r="D1284" s="9" t="s">
        <v>57</v>
      </c>
      <c r="E1284" s="9" t="s">
        <v>41</v>
      </c>
      <c r="F1284" s="9" t="s">
        <v>42</v>
      </c>
      <c r="G1284" s="9" t="s">
        <v>43</v>
      </c>
      <c r="H1284" s="9" t="s">
        <v>58</v>
      </c>
      <c r="I1284" s="11" t="s">
        <v>199</v>
      </c>
      <c r="J1284" s="9" t="s">
        <v>200</v>
      </c>
      <c r="K1284" s="9" t="s">
        <v>47</v>
      </c>
      <c r="L1284" s="9" t="s">
        <v>4763</v>
      </c>
      <c r="M1284" s="9" t="s">
        <v>4764</v>
      </c>
      <c r="N1284" s="9" t="s">
        <v>84</v>
      </c>
      <c r="O1284" s="9" t="s">
        <v>51</v>
      </c>
      <c r="P1284" s="9"/>
      <c r="Q1284" s="9"/>
      <c r="R1284" s="9" t="s">
        <v>61</v>
      </c>
      <c r="S1284" s="14" t="s">
        <v>4765</v>
      </c>
      <c r="T1284" s="9" t="s">
        <v>4766</v>
      </c>
      <c r="U1284" s="9" t="s">
        <v>54</v>
      </c>
      <c r="V1284" s="9" t="s">
        <v>55</v>
      </c>
      <c r="W1284" s="9" t="s">
        <v>55</v>
      </c>
      <c r="X1284" s="12" t="s">
        <v>196</v>
      </c>
      <c r="Y1284" s="9" t="s">
        <v>197</v>
      </c>
      <c r="Z1284" s="13"/>
    </row>
    <row r="1285" spans="1:26" ht="32.25" hidden="1" customHeight="1">
      <c r="A1285" s="8">
        <v>2314996</v>
      </c>
      <c r="B1285" s="9" t="s">
        <v>4767</v>
      </c>
      <c r="C1285" s="10">
        <v>45156</v>
      </c>
      <c r="D1285" s="9" t="s">
        <v>79</v>
      </c>
      <c r="E1285" s="9" t="s">
        <v>68</v>
      </c>
      <c r="F1285" s="9" t="s">
        <v>80</v>
      </c>
      <c r="G1285" s="9" t="s">
        <v>43</v>
      </c>
      <c r="H1285" s="9" t="s">
        <v>44</v>
      </c>
      <c r="I1285" s="11" t="s">
        <v>117</v>
      </c>
      <c r="J1285" s="9" t="s">
        <v>118</v>
      </c>
      <c r="K1285" s="9" t="s">
        <v>47</v>
      </c>
      <c r="L1285" s="9" t="s">
        <v>349</v>
      </c>
      <c r="M1285" s="9" t="s">
        <v>785</v>
      </c>
      <c r="N1285" s="9" t="s">
        <v>50</v>
      </c>
      <c r="O1285" s="9" t="s">
        <v>51</v>
      </c>
      <c r="P1285" s="9" t="s">
        <v>2945</v>
      </c>
      <c r="Q1285" s="9"/>
      <c r="R1285" s="9" t="s">
        <v>61</v>
      </c>
      <c r="S1285" s="14" t="s">
        <v>4768</v>
      </c>
      <c r="T1285" s="9" t="s">
        <v>4769</v>
      </c>
      <c r="U1285" s="9" t="s">
        <v>54</v>
      </c>
      <c r="V1285" s="9" t="s">
        <v>55</v>
      </c>
      <c r="W1285" s="9" t="s">
        <v>55</v>
      </c>
      <c r="X1285" s="12" t="s">
        <v>196</v>
      </c>
      <c r="Y1285" s="9" t="s">
        <v>197</v>
      </c>
      <c r="Z1285" s="13"/>
    </row>
    <row r="1286" spans="1:26" ht="32.25" hidden="1" customHeight="1">
      <c r="A1286" s="8">
        <v>2302082</v>
      </c>
      <c r="B1286" s="9" t="s">
        <v>4770</v>
      </c>
      <c r="C1286" s="10">
        <v>45142</v>
      </c>
      <c r="D1286" s="9" t="s">
        <v>67</v>
      </c>
      <c r="E1286" s="9" t="s">
        <v>68</v>
      </c>
      <c r="F1286" s="9" t="s">
        <v>135</v>
      </c>
      <c r="G1286" s="9" t="s">
        <v>43</v>
      </c>
      <c r="H1286" s="9" t="s">
        <v>44</v>
      </c>
      <c r="I1286" s="11" t="s">
        <v>136</v>
      </c>
      <c r="J1286" s="9" t="s">
        <v>137</v>
      </c>
      <c r="K1286" s="9" t="s">
        <v>47</v>
      </c>
      <c r="L1286" s="9" t="s">
        <v>174</v>
      </c>
      <c r="M1286" s="9" t="s">
        <v>1190</v>
      </c>
      <c r="N1286" s="9" t="s">
        <v>50</v>
      </c>
      <c r="O1286" s="9" t="s">
        <v>51</v>
      </c>
      <c r="P1286" s="9"/>
      <c r="Q1286" s="9"/>
      <c r="R1286" s="9" t="s">
        <v>61</v>
      </c>
      <c r="S1286" s="9" t="s">
        <v>4771</v>
      </c>
      <c r="T1286" s="9" t="s">
        <v>4772</v>
      </c>
      <c r="U1286" s="9" t="s">
        <v>54</v>
      </c>
      <c r="V1286" s="9" t="s">
        <v>55</v>
      </c>
      <c r="W1286" s="9" t="s">
        <v>55</v>
      </c>
      <c r="X1286" s="12" t="s">
        <v>76</v>
      </c>
      <c r="Y1286" s="9" t="s">
        <v>77</v>
      </c>
      <c r="Z1286" s="13"/>
    </row>
    <row r="1287" spans="1:26" ht="32.25" hidden="1" customHeight="1">
      <c r="A1287" s="8">
        <v>2311280</v>
      </c>
      <c r="B1287" s="9" t="s">
        <v>4773</v>
      </c>
      <c r="C1287" s="10">
        <v>45156</v>
      </c>
      <c r="D1287" s="9" t="s">
        <v>79</v>
      </c>
      <c r="E1287" s="9" t="s">
        <v>143</v>
      </c>
      <c r="F1287" s="9" t="s">
        <v>80</v>
      </c>
      <c r="G1287" s="9" t="s">
        <v>43</v>
      </c>
      <c r="H1287" s="9" t="s">
        <v>44</v>
      </c>
      <c r="I1287" s="11" t="s">
        <v>326</v>
      </c>
      <c r="J1287" s="9" t="s">
        <v>327</v>
      </c>
      <c r="K1287" s="9" t="s">
        <v>47</v>
      </c>
      <c r="L1287" s="9" t="s">
        <v>1333</v>
      </c>
      <c r="M1287" s="9" t="s">
        <v>1334</v>
      </c>
      <c r="N1287" s="9" t="s">
        <v>50</v>
      </c>
      <c r="O1287" s="9" t="s">
        <v>51</v>
      </c>
      <c r="P1287" s="9" t="s">
        <v>1646</v>
      </c>
      <c r="Q1287" s="9"/>
      <c r="R1287" s="9" t="s">
        <v>61</v>
      </c>
      <c r="S1287" s="14" t="s">
        <v>4774</v>
      </c>
      <c r="T1287" s="9" t="s">
        <v>4775</v>
      </c>
      <c r="U1287" s="9" t="s">
        <v>54</v>
      </c>
      <c r="V1287" s="9" t="s">
        <v>55</v>
      </c>
      <c r="W1287" s="9" t="s">
        <v>55</v>
      </c>
      <c r="X1287" s="12" t="s">
        <v>150</v>
      </c>
      <c r="Y1287" s="9" t="s">
        <v>151</v>
      </c>
      <c r="Z1287" s="13"/>
    </row>
    <row r="1288" spans="1:26" ht="32.25" hidden="1" customHeight="1">
      <c r="A1288" s="8">
        <v>2306814</v>
      </c>
      <c r="B1288" s="9" t="s">
        <v>4776</v>
      </c>
      <c r="C1288" s="10">
        <v>45136</v>
      </c>
      <c r="D1288" s="9" t="s">
        <v>301</v>
      </c>
      <c r="E1288" s="9" t="s">
        <v>295</v>
      </c>
      <c r="F1288" s="9" t="s">
        <v>42</v>
      </c>
      <c r="G1288" s="9" t="s">
        <v>43</v>
      </c>
      <c r="H1288" s="9" t="s">
        <v>44</v>
      </c>
      <c r="I1288" s="11" t="s">
        <v>296</v>
      </c>
      <c r="J1288" s="9" t="s">
        <v>297</v>
      </c>
      <c r="K1288" s="9" t="s">
        <v>47</v>
      </c>
      <c r="L1288" s="9" t="s">
        <v>156</v>
      </c>
      <c r="M1288" s="9"/>
      <c r="N1288" s="9" t="s">
        <v>84</v>
      </c>
      <c r="O1288" s="9" t="s">
        <v>51</v>
      </c>
      <c r="P1288" s="9"/>
      <c r="Q1288" s="9"/>
      <c r="R1288" s="9"/>
      <c r="S1288" s="9" t="s">
        <v>4777</v>
      </c>
      <c r="T1288" s="9" t="s">
        <v>4778</v>
      </c>
      <c r="U1288" s="9" t="s">
        <v>54</v>
      </c>
      <c r="V1288" s="9" t="s">
        <v>55</v>
      </c>
      <c r="W1288" s="9" t="s">
        <v>55</v>
      </c>
      <c r="X1288" s="12"/>
      <c r="Y1288" s="9" t="s">
        <v>55</v>
      </c>
      <c r="Z1288" s="13"/>
    </row>
    <row r="1289" spans="1:26" ht="32.25" hidden="1" customHeight="1">
      <c r="A1289" s="8">
        <v>2300305</v>
      </c>
      <c r="B1289" s="9" t="s">
        <v>4779</v>
      </c>
      <c r="C1289" s="10">
        <v>45142</v>
      </c>
      <c r="D1289" s="9" t="s">
        <v>383</v>
      </c>
      <c r="E1289" s="9" t="s">
        <v>41</v>
      </c>
      <c r="F1289" s="9" t="s">
        <v>262</v>
      </c>
      <c r="G1289" s="9" t="s">
        <v>43</v>
      </c>
      <c r="H1289" s="9" t="s">
        <v>44</v>
      </c>
      <c r="I1289" s="11" t="s">
        <v>2449</v>
      </c>
      <c r="J1289" s="9" t="s">
        <v>2450</v>
      </c>
      <c r="K1289" s="9" t="s">
        <v>234</v>
      </c>
      <c r="L1289" s="9"/>
      <c r="M1289" s="9" t="s">
        <v>4780</v>
      </c>
      <c r="N1289" s="9" t="s">
        <v>50</v>
      </c>
      <c r="O1289" s="9" t="s">
        <v>187</v>
      </c>
      <c r="P1289" s="9"/>
      <c r="Q1289" s="9"/>
      <c r="R1289" s="9" t="s">
        <v>61</v>
      </c>
      <c r="S1289" s="9" t="s">
        <v>4781</v>
      </c>
      <c r="T1289" s="9" t="s">
        <v>4782</v>
      </c>
      <c r="U1289" s="9" t="s">
        <v>262</v>
      </c>
      <c r="V1289" s="9" t="s">
        <v>239</v>
      </c>
      <c r="W1289" s="9" t="s">
        <v>55</v>
      </c>
      <c r="X1289" s="12" t="s">
        <v>389</v>
      </c>
      <c r="Y1289" s="9" t="s">
        <v>390</v>
      </c>
      <c r="Z1289" s="13"/>
    </row>
    <row r="1290" spans="1:26" ht="32.25" hidden="1" customHeight="1">
      <c r="A1290" s="8">
        <v>2315507</v>
      </c>
      <c r="B1290" s="9" t="s">
        <v>4783</v>
      </c>
      <c r="C1290" s="10">
        <v>45152</v>
      </c>
      <c r="D1290" s="9" t="s">
        <v>185</v>
      </c>
      <c r="E1290" s="9" t="s">
        <v>68</v>
      </c>
      <c r="F1290" s="9" t="s">
        <v>135</v>
      </c>
      <c r="G1290" s="9" t="s">
        <v>43</v>
      </c>
      <c r="H1290" s="9" t="s">
        <v>44</v>
      </c>
      <c r="I1290" s="11" t="s">
        <v>3024</v>
      </c>
      <c r="J1290" s="9" t="s">
        <v>3025</v>
      </c>
      <c r="K1290" s="9" t="s">
        <v>3203</v>
      </c>
      <c r="L1290" s="9"/>
      <c r="M1290" s="9"/>
      <c r="N1290" s="9" t="s">
        <v>50</v>
      </c>
      <c r="O1290" s="9" t="s">
        <v>187</v>
      </c>
      <c r="P1290" s="9"/>
      <c r="Q1290" s="9"/>
      <c r="R1290" s="9" t="s">
        <v>61</v>
      </c>
      <c r="S1290" s="14" t="s">
        <v>4784</v>
      </c>
      <c r="T1290" s="9" t="s">
        <v>4785</v>
      </c>
      <c r="U1290" s="9" t="s">
        <v>54</v>
      </c>
      <c r="V1290" s="9" t="s">
        <v>55</v>
      </c>
      <c r="W1290" s="9" t="s">
        <v>55</v>
      </c>
      <c r="X1290" s="12" t="s">
        <v>76</v>
      </c>
      <c r="Y1290" s="9" t="s">
        <v>77</v>
      </c>
      <c r="Z1290" s="13"/>
    </row>
    <row r="1291" spans="1:26" ht="32.25" hidden="1" customHeight="1">
      <c r="A1291" s="8">
        <v>2311303</v>
      </c>
      <c r="B1291" s="9" t="s">
        <v>4786</v>
      </c>
      <c r="C1291" s="10">
        <v>45156</v>
      </c>
      <c r="D1291" s="9" t="s">
        <v>79</v>
      </c>
      <c r="E1291" s="9" t="s">
        <v>68</v>
      </c>
      <c r="F1291" s="9" t="s">
        <v>80</v>
      </c>
      <c r="G1291" s="9" t="s">
        <v>43</v>
      </c>
      <c r="H1291" s="9" t="s">
        <v>44</v>
      </c>
      <c r="I1291" s="11" t="s">
        <v>117</v>
      </c>
      <c r="J1291" s="9" t="s">
        <v>118</v>
      </c>
      <c r="K1291" s="9" t="s">
        <v>47</v>
      </c>
      <c r="L1291" s="9" t="s">
        <v>156</v>
      </c>
      <c r="M1291" s="9"/>
      <c r="N1291" s="9" t="s">
        <v>84</v>
      </c>
      <c r="O1291" s="9" t="s">
        <v>51</v>
      </c>
      <c r="P1291" s="9" t="s">
        <v>285</v>
      </c>
      <c r="Q1291" s="9"/>
      <c r="R1291" s="9"/>
      <c r="S1291" s="14" t="s">
        <v>4787</v>
      </c>
      <c r="T1291" s="9" t="s">
        <v>4788</v>
      </c>
      <c r="U1291" s="9" t="s">
        <v>54</v>
      </c>
      <c r="V1291" s="9" t="s">
        <v>55</v>
      </c>
      <c r="W1291" s="9" t="s">
        <v>55</v>
      </c>
      <c r="X1291" s="12"/>
      <c r="Y1291" s="9" t="s">
        <v>55</v>
      </c>
      <c r="Z1291" s="13"/>
    </row>
    <row r="1292" spans="1:26" ht="32.25" hidden="1" customHeight="1">
      <c r="A1292" s="8">
        <v>2311618</v>
      </c>
      <c r="B1292" s="9" t="s">
        <v>4789</v>
      </c>
      <c r="C1292" s="10">
        <v>45156</v>
      </c>
      <c r="D1292" s="9" t="s">
        <v>79</v>
      </c>
      <c r="E1292" s="9" t="s">
        <v>41</v>
      </c>
      <c r="F1292" s="9" t="s">
        <v>80</v>
      </c>
      <c r="G1292" s="9" t="s">
        <v>43</v>
      </c>
      <c r="H1292" s="9" t="s">
        <v>44</v>
      </c>
      <c r="I1292" s="11" t="s">
        <v>527</v>
      </c>
      <c r="J1292" s="9" t="s">
        <v>130</v>
      </c>
      <c r="K1292" s="9" t="s">
        <v>47</v>
      </c>
      <c r="L1292" s="9" t="s">
        <v>4790</v>
      </c>
      <c r="M1292" s="9" t="s">
        <v>4791</v>
      </c>
      <c r="N1292" s="9" t="s">
        <v>50</v>
      </c>
      <c r="O1292" s="9" t="s">
        <v>51</v>
      </c>
      <c r="P1292" s="9" t="s">
        <v>529</v>
      </c>
      <c r="Q1292" s="9"/>
      <c r="R1292" s="9" t="s">
        <v>61</v>
      </c>
      <c r="S1292" s="14" t="s">
        <v>4792</v>
      </c>
      <c r="T1292" s="9" t="s">
        <v>4793</v>
      </c>
      <c r="U1292" s="9" t="s">
        <v>54</v>
      </c>
      <c r="V1292" s="9" t="s">
        <v>331</v>
      </c>
      <c r="W1292" s="9" t="s">
        <v>115</v>
      </c>
      <c r="X1292" s="9" t="s">
        <v>64</v>
      </c>
      <c r="Y1292" s="9" t="s">
        <v>65</v>
      </c>
      <c r="Z1292" s="13"/>
    </row>
    <row r="1293" spans="1:26" ht="32.25" hidden="1" customHeight="1">
      <c r="A1293" s="8">
        <v>2301160</v>
      </c>
      <c r="B1293" s="9" t="s">
        <v>4794</v>
      </c>
      <c r="C1293" s="10">
        <v>45156</v>
      </c>
      <c r="D1293" s="9" t="s">
        <v>79</v>
      </c>
      <c r="E1293" s="9" t="s">
        <v>68</v>
      </c>
      <c r="F1293" s="9" t="s">
        <v>80</v>
      </c>
      <c r="G1293" s="9" t="s">
        <v>43</v>
      </c>
      <c r="H1293" s="9" t="s">
        <v>44</v>
      </c>
      <c r="I1293" s="11" t="s">
        <v>90</v>
      </c>
      <c r="J1293" s="9" t="s">
        <v>91</v>
      </c>
      <c r="K1293" s="9" t="s">
        <v>47</v>
      </c>
      <c r="L1293" s="9" t="s">
        <v>48</v>
      </c>
      <c r="M1293" s="9" t="s">
        <v>242</v>
      </c>
      <c r="N1293" s="9" t="s">
        <v>50</v>
      </c>
      <c r="O1293" s="9" t="s">
        <v>51</v>
      </c>
      <c r="P1293" s="9" t="s">
        <v>273</v>
      </c>
      <c r="Q1293" s="9"/>
      <c r="R1293" s="9" t="s">
        <v>61</v>
      </c>
      <c r="S1293" s="14" t="s">
        <v>4795</v>
      </c>
      <c r="T1293" s="9" t="s">
        <v>4796</v>
      </c>
      <c r="U1293" s="9" t="s">
        <v>54</v>
      </c>
      <c r="V1293" s="9" t="s">
        <v>55</v>
      </c>
      <c r="W1293" s="9" t="s">
        <v>55</v>
      </c>
      <c r="X1293" s="12" t="s">
        <v>196</v>
      </c>
      <c r="Y1293" s="9" t="s">
        <v>197</v>
      </c>
      <c r="Z1293" s="13"/>
    </row>
    <row r="1294" spans="1:26" ht="32.25" hidden="1" customHeight="1">
      <c r="A1294" s="8">
        <v>2308216</v>
      </c>
      <c r="B1294" s="9" t="s">
        <v>4797</v>
      </c>
      <c r="C1294" s="10">
        <v>45142</v>
      </c>
      <c r="D1294" s="9" t="s">
        <v>67</v>
      </c>
      <c r="E1294" s="9" t="s">
        <v>41</v>
      </c>
      <c r="F1294" s="9" t="s">
        <v>42</v>
      </c>
      <c r="G1294" s="9" t="s">
        <v>43</v>
      </c>
      <c r="H1294" s="9" t="s">
        <v>44</v>
      </c>
      <c r="I1294" s="11" t="s">
        <v>45</v>
      </c>
      <c r="J1294" s="9" t="s">
        <v>46</v>
      </c>
      <c r="K1294" s="9" t="s">
        <v>47</v>
      </c>
      <c r="L1294" s="9" t="s">
        <v>746</v>
      </c>
      <c r="M1294" s="9" t="s">
        <v>747</v>
      </c>
      <c r="N1294" s="9" t="s">
        <v>84</v>
      </c>
      <c r="O1294" s="9" t="s">
        <v>51</v>
      </c>
      <c r="P1294" s="9"/>
      <c r="Q1294" s="9"/>
      <c r="R1294" s="9" t="s">
        <v>61</v>
      </c>
      <c r="S1294" s="9" t="s">
        <v>4798</v>
      </c>
      <c r="T1294" s="9" t="s">
        <v>4799</v>
      </c>
      <c r="U1294" s="9" t="s">
        <v>54</v>
      </c>
      <c r="V1294" s="9" t="s">
        <v>55</v>
      </c>
      <c r="W1294" s="9" t="s">
        <v>55</v>
      </c>
      <c r="X1294" s="9" t="s">
        <v>64</v>
      </c>
      <c r="Y1294" s="9" t="s">
        <v>65</v>
      </c>
      <c r="Z1294" s="13"/>
    </row>
    <row r="1295" spans="1:26" ht="32.25" hidden="1" customHeight="1">
      <c r="A1295" s="8">
        <v>2306815</v>
      </c>
      <c r="B1295" s="9" t="s">
        <v>4800</v>
      </c>
      <c r="C1295" s="10">
        <v>45149</v>
      </c>
      <c r="D1295" s="9" t="s">
        <v>57</v>
      </c>
      <c r="E1295" s="9" t="s">
        <v>153</v>
      </c>
      <c r="F1295" s="9" t="s">
        <v>42</v>
      </c>
      <c r="G1295" s="9" t="s">
        <v>43</v>
      </c>
      <c r="H1295" s="9" t="s">
        <v>58</v>
      </c>
      <c r="I1295" s="11" t="s">
        <v>154</v>
      </c>
      <c r="J1295" s="9" t="s">
        <v>155</v>
      </c>
      <c r="K1295" s="9" t="s">
        <v>47</v>
      </c>
      <c r="L1295" s="9" t="s">
        <v>48</v>
      </c>
      <c r="M1295" s="9" t="s">
        <v>3276</v>
      </c>
      <c r="N1295" s="9" t="s">
        <v>84</v>
      </c>
      <c r="O1295" s="9" t="s">
        <v>51</v>
      </c>
      <c r="P1295" s="9"/>
      <c r="Q1295" s="9"/>
      <c r="R1295" s="9"/>
      <c r="S1295" s="14" t="s">
        <v>4801</v>
      </c>
      <c r="T1295" s="9" t="s">
        <v>4802</v>
      </c>
      <c r="U1295" s="9" t="s">
        <v>54</v>
      </c>
      <c r="V1295" s="9" t="s">
        <v>55</v>
      </c>
      <c r="W1295" s="9" t="s">
        <v>55</v>
      </c>
      <c r="X1295" s="12"/>
      <c r="Y1295" s="9" t="s">
        <v>55</v>
      </c>
      <c r="Z1295" s="13"/>
    </row>
    <row r="1296" spans="1:26" ht="32.25" hidden="1" customHeight="1">
      <c r="A1296" s="8">
        <v>2302050</v>
      </c>
      <c r="B1296" s="9" t="s">
        <v>4803</v>
      </c>
      <c r="C1296" s="10">
        <v>45156</v>
      </c>
      <c r="D1296" s="9" t="s">
        <v>79</v>
      </c>
      <c r="E1296" s="9" t="s">
        <v>41</v>
      </c>
      <c r="F1296" s="9" t="s">
        <v>80</v>
      </c>
      <c r="G1296" s="9" t="s">
        <v>43</v>
      </c>
      <c r="H1296" s="9" t="s">
        <v>44</v>
      </c>
      <c r="I1296" s="11" t="s">
        <v>81</v>
      </c>
      <c r="J1296" s="9" t="s">
        <v>46</v>
      </c>
      <c r="K1296" s="9" t="s">
        <v>47</v>
      </c>
      <c r="L1296" s="9" t="s">
        <v>48</v>
      </c>
      <c r="M1296" s="9" t="s">
        <v>4804</v>
      </c>
      <c r="N1296" s="9" t="s">
        <v>50</v>
      </c>
      <c r="O1296" s="9" t="s">
        <v>51</v>
      </c>
      <c r="P1296" s="9" t="s">
        <v>503</v>
      </c>
      <c r="Q1296" s="9"/>
      <c r="R1296" s="9"/>
      <c r="S1296" s="14" t="s">
        <v>4805</v>
      </c>
      <c r="T1296" s="9" t="s">
        <v>4806</v>
      </c>
      <c r="U1296" s="9" t="s">
        <v>54</v>
      </c>
      <c r="V1296" s="9"/>
      <c r="W1296" s="9" t="s">
        <v>115</v>
      </c>
      <c r="X1296" s="12"/>
      <c r="Y1296" s="9" t="s">
        <v>55</v>
      </c>
      <c r="Z1296" s="13"/>
    </row>
    <row r="1297" spans="1:26" ht="32.25" hidden="1" customHeight="1">
      <c r="A1297" s="8">
        <v>2311810</v>
      </c>
      <c r="B1297" s="9" t="s">
        <v>4807</v>
      </c>
      <c r="C1297" s="10">
        <v>45142</v>
      </c>
      <c r="D1297" s="9" t="s">
        <v>67</v>
      </c>
      <c r="E1297" s="9" t="s">
        <v>41</v>
      </c>
      <c r="F1297" s="9" t="s">
        <v>42</v>
      </c>
      <c r="G1297" s="9" t="s">
        <v>43</v>
      </c>
      <c r="H1297" s="9" t="s">
        <v>44</v>
      </c>
      <c r="I1297" s="11" t="s">
        <v>129</v>
      </c>
      <c r="J1297" s="9" t="s">
        <v>130</v>
      </c>
      <c r="K1297" s="9" t="s">
        <v>47</v>
      </c>
      <c r="L1297" s="9" t="s">
        <v>1040</v>
      </c>
      <c r="M1297" s="9" t="s">
        <v>1794</v>
      </c>
      <c r="N1297" s="9" t="s">
        <v>50</v>
      </c>
      <c r="O1297" s="9" t="s">
        <v>51</v>
      </c>
      <c r="P1297" s="9"/>
      <c r="Q1297" s="9"/>
      <c r="R1297" s="9" t="s">
        <v>61</v>
      </c>
      <c r="S1297" s="9" t="s">
        <v>4808</v>
      </c>
      <c r="T1297" s="9" t="s">
        <v>4809</v>
      </c>
      <c r="U1297" s="9" t="s">
        <v>54</v>
      </c>
      <c r="V1297" s="9" t="s">
        <v>55</v>
      </c>
      <c r="W1297" s="9" t="s">
        <v>55</v>
      </c>
      <c r="X1297" s="9" t="s">
        <v>196</v>
      </c>
      <c r="Y1297" s="9" t="s">
        <v>197</v>
      </c>
      <c r="Z1297" s="13" t="s">
        <v>230</v>
      </c>
    </row>
    <row r="1298" spans="1:26" ht="32.25" hidden="1" customHeight="1">
      <c r="A1298" s="8">
        <v>2314376</v>
      </c>
      <c r="B1298" s="9" t="s">
        <v>4810</v>
      </c>
      <c r="C1298" s="10">
        <v>45156</v>
      </c>
      <c r="D1298" s="9" t="s">
        <v>79</v>
      </c>
      <c r="E1298" s="9" t="s">
        <v>41</v>
      </c>
      <c r="F1298" s="9" t="s">
        <v>80</v>
      </c>
      <c r="G1298" s="9" t="s">
        <v>43</v>
      </c>
      <c r="H1298" s="9" t="s">
        <v>44</v>
      </c>
      <c r="I1298" s="11" t="s">
        <v>233</v>
      </c>
      <c r="J1298" s="9" t="s">
        <v>200</v>
      </c>
      <c r="K1298" s="9" t="s">
        <v>47</v>
      </c>
      <c r="L1298" s="9" t="s">
        <v>706</v>
      </c>
      <c r="M1298" s="9" t="s">
        <v>1262</v>
      </c>
      <c r="N1298" s="9" t="s">
        <v>50</v>
      </c>
      <c r="O1298" s="9" t="s">
        <v>51</v>
      </c>
      <c r="P1298" s="9" t="s">
        <v>453</v>
      </c>
      <c r="Q1298" s="9"/>
      <c r="R1298" s="9" t="s">
        <v>61</v>
      </c>
      <c r="S1298" s="14" t="s">
        <v>4811</v>
      </c>
      <c r="T1298" s="9" t="s">
        <v>4812</v>
      </c>
      <c r="U1298" s="9" t="s">
        <v>54</v>
      </c>
      <c r="V1298" s="9" t="s">
        <v>370</v>
      </c>
      <c r="W1298" s="9" t="s">
        <v>115</v>
      </c>
      <c r="X1298" s="12" t="s">
        <v>150</v>
      </c>
      <c r="Y1298" s="9" t="s">
        <v>151</v>
      </c>
      <c r="Z1298" s="13"/>
    </row>
    <row r="1299" spans="1:26" ht="32.25" hidden="1" customHeight="1">
      <c r="A1299" s="8">
        <v>2309957</v>
      </c>
      <c r="B1299" s="9" t="s">
        <v>4813</v>
      </c>
      <c r="C1299" s="10">
        <v>45156</v>
      </c>
      <c r="D1299" s="9" t="s">
        <v>79</v>
      </c>
      <c r="E1299" s="9" t="s">
        <v>68</v>
      </c>
      <c r="F1299" s="9" t="s">
        <v>80</v>
      </c>
      <c r="G1299" s="9" t="s">
        <v>43</v>
      </c>
      <c r="H1299" s="9" t="s">
        <v>44</v>
      </c>
      <c r="I1299" s="11" t="s">
        <v>696</v>
      </c>
      <c r="J1299" s="9" t="s">
        <v>70</v>
      </c>
      <c r="K1299" s="9" t="s">
        <v>416</v>
      </c>
      <c r="L1299" s="9"/>
      <c r="M1299" s="9" t="s">
        <v>4814</v>
      </c>
      <c r="N1299" s="9" t="s">
        <v>50</v>
      </c>
      <c r="O1299" s="9" t="s">
        <v>51</v>
      </c>
      <c r="P1299" s="9" t="s">
        <v>698</v>
      </c>
      <c r="Q1299" s="9"/>
      <c r="R1299" s="9" t="s">
        <v>61</v>
      </c>
      <c r="S1299" s="14" t="s">
        <v>4815</v>
      </c>
      <c r="T1299" s="9" t="s">
        <v>4816</v>
      </c>
      <c r="U1299" s="9" t="s">
        <v>54</v>
      </c>
      <c r="V1299" s="9" t="s">
        <v>55</v>
      </c>
      <c r="W1299" s="9" t="s">
        <v>115</v>
      </c>
      <c r="X1299" s="12" t="s">
        <v>76</v>
      </c>
      <c r="Y1299" s="9" t="s">
        <v>77</v>
      </c>
      <c r="Z1299" s="13"/>
    </row>
    <row r="1300" spans="1:26" ht="32.25" hidden="1" customHeight="1">
      <c r="A1300" s="8">
        <v>2302312</v>
      </c>
      <c r="B1300" s="9" t="s">
        <v>4817</v>
      </c>
      <c r="C1300" s="10">
        <v>45142</v>
      </c>
      <c r="D1300" s="9" t="s">
        <v>67</v>
      </c>
      <c r="E1300" s="9" t="s">
        <v>68</v>
      </c>
      <c r="F1300" s="9" t="s">
        <v>135</v>
      </c>
      <c r="G1300" s="9" t="s">
        <v>43</v>
      </c>
      <c r="H1300" s="9" t="s">
        <v>44</v>
      </c>
      <c r="I1300" s="11" t="s">
        <v>136</v>
      </c>
      <c r="J1300" s="9" t="s">
        <v>137</v>
      </c>
      <c r="K1300" s="9" t="s">
        <v>47</v>
      </c>
      <c r="L1300" s="9" t="s">
        <v>174</v>
      </c>
      <c r="M1300" s="9" t="s">
        <v>1190</v>
      </c>
      <c r="N1300" s="9" t="s">
        <v>50</v>
      </c>
      <c r="O1300" s="9" t="s">
        <v>51</v>
      </c>
      <c r="P1300" s="9"/>
      <c r="Q1300" s="9"/>
      <c r="R1300" s="9" t="s">
        <v>61</v>
      </c>
      <c r="S1300" s="9" t="s">
        <v>4818</v>
      </c>
      <c r="T1300" s="9" t="s">
        <v>4819</v>
      </c>
      <c r="U1300" s="9" t="s">
        <v>54</v>
      </c>
      <c r="V1300" s="9" t="s">
        <v>55</v>
      </c>
      <c r="W1300" s="9" t="s">
        <v>55</v>
      </c>
      <c r="X1300" s="12" t="s">
        <v>76</v>
      </c>
      <c r="Y1300" s="9" t="s">
        <v>77</v>
      </c>
      <c r="Z1300" s="13"/>
    </row>
    <row r="1301" spans="1:26" ht="32.25" hidden="1" customHeight="1">
      <c r="A1301" s="8">
        <v>2312783</v>
      </c>
      <c r="B1301" s="9" t="s">
        <v>4820</v>
      </c>
      <c r="C1301" s="10">
        <v>45149</v>
      </c>
      <c r="D1301" s="9" t="s">
        <v>261</v>
      </c>
      <c r="E1301" s="9" t="s">
        <v>143</v>
      </c>
      <c r="F1301" s="9" t="s">
        <v>262</v>
      </c>
      <c r="G1301" s="9" t="s">
        <v>43</v>
      </c>
      <c r="H1301" s="9" t="s">
        <v>44</v>
      </c>
      <c r="I1301" s="11" t="s">
        <v>1291</v>
      </c>
      <c r="J1301" s="9" t="s">
        <v>1292</v>
      </c>
      <c r="K1301" s="9" t="s">
        <v>47</v>
      </c>
      <c r="L1301" s="9" t="s">
        <v>156</v>
      </c>
      <c r="M1301" s="9"/>
      <c r="N1301" s="9" t="s">
        <v>84</v>
      </c>
      <c r="O1301" s="9" t="s">
        <v>51</v>
      </c>
      <c r="P1301" s="9"/>
      <c r="Q1301" s="9"/>
      <c r="R1301" s="9"/>
      <c r="S1301" s="14" t="s">
        <v>4821</v>
      </c>
      <c r="T1301" s="9" t="s">
        <v>4822</v>
      </c>
      <c r="U1301" s="9" t="s">
        <v>262</v>
      </c>
      <c r="V1301" s="9" t="s">
        <v>55</v>
      </c>
      <c r="W1301" s="9" t="s">
        <v>55</v>
      </c>
      <c r="X1301" s="12"/>
      <c r="Y1301" s="9" t="s">
        <v>55</v>
      </c>
      <c r="Z1301" s="13"/>
    </row>
    <row r="1302" spans="1:26" ht="32.25" hidden="1" customHeight="1">
      <c r="A1302" s="8">
        <v>2310373</v>
      </c>
      <c r="B1302" s="9" t="s">
        <v>4823</v>
      </c>
      <c r="C1302" s="10">
        <v>45156</v>
      </c>
      <c r="D1302" s="9" t="s">
        <v>79</v>
      </c>
      <c r="E1302" s="9" t="s">
        <v>143</v>
      </c>
      <c r="F1302" s="9" t="s">
        <v>80</v>
      </c>
      <c r="G1302" s="9" t="s">
        <v>43</v>
      </c>
      <c r="H1302" s="9" t="s">
        <v>44</v>
      </c>
      <c r="I1302" s="11" t="s">
        <v>326</v>
      </c>
      <c r="J1302" s="9" t="s">
        <v>327</v>
      </c>
      <c r="K1302" s="9" t="s">
        <v>47</v>
      </c>
      <c r="L1302" s="9" t="s">
        <v>822</v>
      </c>
      <c r="M1302" s="9" t="s">
        <v>4824</v>
      </c>
      <c r="N1302" s="9" t="s">
        <v>50</v>
      </c>
      <c r="O1302" s="9" t="s">
        <v>51</v>
      </c>
      <c r="P1302" s="9" t="s">
        <v>1029</v>
      </c>
      <c r="Q1302" s="9"/>
      <c r="R1302" s="9" t="s">
        <v>61</v>
      </c>
      <c r="S1302" s="14" t="s">
        <v>4825</v>
      </c>
      <c r="T1302" s="9" t="s">
        <v>4826</v>
      </c>
      <c r="U1302" s="9" t="s">
        <v>54</v>
      </c>
      <c r="V1302" s="9" t="s">
        <v>55</v>
      </c>
      <c r="W1302" s="9" t="s">
        <v>55</v>
      </c>
      <c r="X1302" s="12" t="s">
        <v>150</v>
      </c>
      <c r="Y1302" s="9" t="s">
        <v>151</v>
      </c>
      <c r="Z1302" s="13"/>
    </row>
    <row r="1303" spans="1:26" ht="32.25" hidden="1" customHeight="1">
      <c r="A1303" s="8">
        <v>2310882</v>
      </c>
      <c r="B1303" s="9" t="s">
        <v>4827</v>
      </c>
      <c r="C1303" s="10">
        <v>45156</v>
      </c>
      <c r="D1303" s="9" t="s">
        <v>79</v>
      </c>
      <c r="E1303" s="9" t="s">
        <v>295</v>
      </c>
      <c r="F1303" s="9" t="s">
        <v>80</v>
      </c>
      <c r="G1303" s="9" t="s">
        <v>43</v>
      </c>
      <c r="H1303" s="9" t="s">
        <v>44</v>
      </c>
      <c r="I1303" s="11" t="s">
        <v>1600</v>
      </c>
      <c r="J1303" s="9" t="s">
        <v>407</v>
      </c>
      <c r="K1303" s="9" t="s">
        <v>47</v>
      </c>
      <c r="L1303" s="9" t="s">
        <v>221</v>
      </c>
      <c r="M1303" s="9" t="s">
        <v>4828</v>
      </c>
      <c r="N1303" s="9" t="s">
        <v>84</v>
      </c>
      <c r="O1303" s="9" t="s">
        <v>51</v>
      </c>
      <c r="P1303" s="9" t="s">
        <v>2906</v>
      </c>
      <c r="Q1303" s="9"/>
      <c r="R1303" s="9" t="s">
        <v>61</v>
      </c>
      <c r="S1303" s="14" t="s">
        <v>4829</v>
      </c>
      <c r="T1303" s="9" t="s">
        <v>4830</v>
      </c>
      <c r="U1303" s="9" t="s">
        <v>54</v>
      </c>
      <c r="V1303" s="9" t="s">
        <v>318</v>
      </c>
      <c r="W1303" s="9" t="s">
        <v>115</v>
      </c>
      <c r="X1303" s="12" t="s">
        <v>319</v>
      </c>
      <c r="Y1303" s="9" t="s">
        <v>320</v>
      </c>
      <c r="Z1303" s="13"/>
    </row>
    <row r="1304" spans="1:26" ht="32.25" hidden="1" customHeight="1">
      <c r="A1304" s="8">
        <v>2305746</v>
      </c>
      <c r="B1304" s="9" t="s">
        <v>4831</v>
      </c>
      <c r="C1304" s="10">
        <v>45149</v>
      </c>
      <c r="D1304" s="9" t="s">
        <v>57</v>
      </c>
      <c r="E1304" s="9" t="s">
        <v>153</v>
      </c>
      <c r="F1304" s="9" t="s">
        <v>42</v>
      </c>
      <c r="G1304" s="9" t="s">
        <v>43</v>
      </c>
      <c r="H1304" s="9" t="s">
        <v>58</v>
      </c>
      <c r="I1304" s="11" t="s">
        <v>154</v>
      </c>
      <c r="J1304" s="9" t="s">
        <v>155</v>
      </c>
      <c r="K1304" s="9" t="s">
        <v>47</v>
      </c>
      <c r="L1304" s="9" t="s">
        <v>48</v>
      </c>
      <c r="M1304" s="9" t="s">
        <v>4485</v>
      </c>
      <c r="N1304" s="9" t="s">
        <v>84</v>
      </c>
      <c r="O1304" s="9" t="s">
        <v>51</v>
      </c>
      <c r="P1304" s="9"/>
      <c r="Q1304" s="9"/>
      <c r="R1304" s="9" t="s">
        <v>61</v>
      </c>
      <c r="S1304" s="14" t="s">
        <v>4832</v>
      </c>
      <c r="T1304" s="9" t="s">
        <v>4833</v>
      </c>
      <c r="U1304" s="9" t="s">
        <v>54</v>
      </c>
      <c r="V1304" s="9" t="s">
        <v>55</v>
      </c>
      <c r="W1304" s="9" t="s">
        <v>55</v>
      </c>
      <c r="X1304" s="12" t="s">
        <v>171</v>
      </c>
      <c r="Y1304" s="9" t="s">
        <v>172</v>
      </c>
      <c r="Z1304" s="13"/>
    </row>
    <row r="1305" spans="1:26" ht="32.25" hidden="1" customHeight="1">
      <c r="A1305" s="8">
        <v>2304163</v>
      </c>
      <c r="B1305" s="9" t="s">
        <v>4834</v>
      </c>
      <c r="C1305" s="10">
        <v>45149</v>
      </c>
      <c r="D1305" s="9" t="s">
        <v>57</v>
      </c>
      <c r="E1305" s="9" t="s">
        <v>41</v>
      </c>
      <c r="F1305" s="9" t="s">
        <v>42</v>
      </c>
      <c r="G1305" s="9" t="s">
        <v>43</v>
      </c>
      <c r="H1305" s="9" t="s">
        <v>58</v>
      </c>
      <c r="I1305" s="11" t="s">
        <v>45</v>
      </c>
      <c r="J1305" s="9" t="s">
        <v>46</v>
      </c>
      <c r="K1305" s="9" t="s">
        <v>47</v>
      </c>
      <c r="L1305" s="9" t="s">
        <v>156</v>
      </c>
      <c r="M1305" s="9" t="s">
        <v>832</v>
      </c>
      <c r="N1305" s="9" t="s">
        <v>50</v>
      </c>
      <c r="O1305" s="9" t="s">
        <v>51</v>
      </c>
      <c r="P1305" s="9"/>
      <c r="Q1305" s="9"/>
      <c r="R1305" s="9"/>
      <c r="S1305" s="14" t="s">
        <v>4835</v>
      </c>
      <c r="T1305" s="9" t="s">
        <v>4836</v>
      </c>
      <c r="U1305" s="9" t="s">
        <v>54</v>
      </c>
      <c r="V1305" s="9" t="s">
        <v>55</v>
      </c>
      <c r="W1305" s="9" t="s">
        <v>55</v>
      </c>
      <c r="X1305" s="12"/>
      <c r="Y1305" s="9" t="s">
        <v>55</v>
      </c>
      <c r="Z1305" s="13"/>
    </row>
    <row r="1306" spans="1:26" ht="32.25" hidden="1" customHeight="1">
      <c r="A1306" s="8">
        <v>2306655</v>
      </c>
      <c r="B1306" s="9" t="s">
        <v>4837</v>
      </c>
      <c r="C1306" s="10">
        <v>45142</v>
      </c>
      <c r="D1306" s="9" t="s">
        <v>67</v>
      </c>
      <c r="E1306" s="9" t="s">
        <v>89</v>
      </c>
      <c r="F1306" s="9" t="s">
        <v>42</v>
      </c>
      <c r="G1306" s="9" t="s">
        <v>43</v>
      </c>
      <c r="H1306" s="9" t="s">
        <v>44</v>
      </c>
      <c r="I1306" s="11" t="s">
        <v>360</v>
      </c>
      <c r="J1306" s="9" t="s">
        <v>102</v>
      </c>
      <c r="K1306" s="9" t="s">
        <v>47</v>
      </c>
      <c r="L1306" s="9" t="s">
        <v>846</v>
      </c>
      <c r="M1306" s="9" t="s">
        <v>1535</v>
      </c>
      <c r="N1306" s="9" t="s">
        <v>50</v>
      </c>
      <c r="O1306" s="9" t="s">
        <v>51</v>
      </c>
      <c r="P1306" s="9" t="s">
        <v>361</v>
      </c>
      <c r="Q1306" s="9"/>
      <c r="R1306" s="9" t="s">
        <v>61</v>
      </c>
      <c r="S1306" s="9" t="s">
        <v>4838</v>
      </c>
      <c r="T1306" s="9" t="s">
        <v>4839</v>
      </c>
      <c r="U1306" s="9" t="s">
        <v>54</v>
      </c>
      <c r="V1306" s="9" t="s">
        <v>55</v>
      </c>
      <c r="W1306" s="9" t="s">
        <v>55</v>
      </c>
      <c r="X1306" s="12" t="s">
        <v>98</v>
      </c>
      <c r="Y1306" s="9" t="s">
        <v>99</v>
      </c>
      <c r="Z1306" s="13"/>
    </row>
    <row r="1307" spans="1:26" ht="32.25" hidden="1" customHeight="1">
      <c r="A1307" s="8">
        <v>2305877</v>
      </c>
      <c r="B1307" s="9" t="s">
        <v>4840</v>
      </c>
      <c r="C1307" s="10">
        <v>45156</v>
      </c>
      <c r="D1307" s="9" t="s">
        <v>565</v>
      </c>
      <c r="E1307" s="9" t="s">
        <v>41</v>
      </c>
      <c r="F1307" s="9" t="s">
        <v>42</v>
      </c>
      <c r="G1307" s="9" t="s">
        <v>43</v>
      </c>
      <c r="H1307" s="9" t="s">
        <v>58</v>
      </c>
      <c r="I1307" s="11" t="s">
        <v>45</v>
      </c>
      <c r="J1307" s="9" t="s">
        <v>46</v>
      </c>
      <c r="K1307" s="9" t="s">
        <v>47</v>
      </c>
      <c r="L1307" s="9" t="s">
        <v>156</v>
      </c>
      <c r="M1307" s="9" t="s">
        <v>4841</v>
      </c>
      <c r="N1307" s="9" t="s">
        <v>84</v>
      </c>
      <c r="O1307" s="9" t="s">
        <v>51</v>
      </c>
      <c r="P1307" s="9"/>
      <c r="Q1307" s="9"/>
      <c r="R1307" s="9"/>
      <c r="S1307" s="14" t="s">
        <v>4842</v>
      </c>
      <c r="T1307" s="9" t="s">
        <v>4843</v>
      </c>
      <c r="U1307" s="9" t="s">
        <v>54</v>
      </c>
      <c r="V1307" s="9" t="s">
        <v>55</v>
      </c>
      <c r="W1307" s="9" t="s">
        <v>55</v>
      </c>
      <c r="X1307" s="12"/>
      <c r="Y1307" s="9" t="s">
        <v>55</v>
      </c>
      <c r="Z1307" s="13"/>
    </row>
    <row r="1308" spans="1:26" ht="32.25" hidden="1" customHeight="1">
      <c r="A1308" s="8">
        <v>2302254</v>
      </c>
      <c r="B1308" s="9" t="s">
        <v>4844</v>
      </c>
      <c r="C1308" s="10">
        <v>45149</v>
      </c>
      <c r="D1308" s="9" t="s">
        <v>57</v>
      </c>
      <c r="E1308" s="9" t="s">
        <v>153</v>
      </c>
      <c r="F1308" s="9" t="s">
        <v>42</v>
      </c>
      <c r="G1308" s="9" t="s">
        <v>43</v>
      </c>
      <c r="H1308" s="9" t="s">
        <v>58</v>
      </c>
      <c r="I1308" s="11" t="s">
        <v>154</v>
      </c>
      <c r="J1308" s="9" t="s">
        <v>155</v>
      </c>
      <c r="K1308" s="9" t="s">
        <v>47</v>
      </c>
      <c r="L1308" s="9" t="s">
        <v>156</v>
      </c>
      <c r="M1308" s="9"/>
      <c r="N1308" s="9" t="s">
        <v>84</v>
      </c>
      <c r="O1308" s="9" t="s">
        <v>51</v>
      </c>
      <c r="P1308" s="9"/>
      <c r="Q1308" s="9"/>
      <c r="R1308" s="9"/>
      <c r="S1308" s="14" t="s">
        <v>4845</v>
      </c>
      <c r="T1308" s="9" t="s">
        <v>4846</v>
      </c>
      <c r="U1308" s="9" t="s">
        <v>54</v>
      </c>
      <c r="V1308" s="9" t="s">
        <v>55</v>
      </c>
      <c r="W1308" s="9" t="s">
        <v>55</v>
      </c>
      <c r="X1308" s="12"/>
      <c r="Y1308" s="9" t="s">
        <v>55</v>
      </c>
      <c r="Z1308" s="13"/>
    </row>
    <row r="1309" spans="1:26" ht="32.25" hidden="1" customHeight="1">
      <c r="A1309" s="8">
        <v>2302334</v>
      </c>
      <c r="B1309" s="9" t="s">
        <v>4847</v>
      </c>
      <c r="C1309" s="10">
        <v>45149</v>
      </c>
      <c r="D1309" s="9" t="s">
        <v>57</v>
      </c>
      <c r="E1309" s="9" t="s">
        <v>295</v>
      </c>
      <c r="F1309" s="9" t="s">
        <v>42</v>
      </c>
      <c r="G1309" s="9" t="s">
        <v>43</v>
      </c>
      <c r="H1309" s="9" t="s">
        <v>58</v>
      </c>
      <c r="I1309" s="11" t="s">
        <v>406</v>
      </c>
      <c r="J1309" s="9" t="s">
        <v>407</v>
      </c>
      <c r="K1309" s="9" t="s">
        <v>47</v>
      </c>
      <c r="L1309" s="9" t="s">
        <v>48</v>
      </c>
      <c r="M1309" s="9" t="s">
        <v>4848</v>
      </c>
      <c r="N1309" s="9" t="s">
        <v>84</v>
      </c>
      <c r="O1309" s="9" t="s">
        <v>51</v>
      </c>
      <c r="P1309" s="9"/>
      <c r="Q1309" s="9"/>
      <c r="R1309" s="9"/>
      <c r="S1309" s="14" t="s">
        <v>4849</v>
      </c>
      <c r="T1309" s="9" t="s">
        <v>4850</v>
      </c>
      <c r="U1309" s="9" t="s">
        <v>54</v>
      </c>
      <c r="V1309" s="9" t="s">
        <v>55</v>
      </c>
      <c r="W1309" s="9" t="s">
        <v>55</v>
      </c>
      <c r="X1309" s="12"/>
      <c r="Y1309" s="9" t="s">
        <v>55</v>
      </c>
      <c r="Z1309" s="13"/>
    </row>
    <row r="1310" spans="1:26" ht="32.25" hidden="1" customHeight="1">
      <c r="A1310" s="8">
        <v>2303513</v>
      </c>
      <c r="B1310" s="9" t="s">
        <v>4851</v>
      </c>
      <c r="C1310" s="10">
        <v>45156</v>
      </c>
      <c r="D1310" s="9" t="s">
        <v>79</v>
      </c>
      <c r="E1310" s="9" t="s">
        <v>89</v>
      </c>
      <c r="F1310" s="9" t="s">
        <v>80</v>
      </c>
      <c r="G1310" s="9" t="s">
        <v>43</v>
      </c>
      <c r="H1310" s="9" t="s">
        <v>44</v>
      </c>
      <c r="I1310" s="11" t="s">
        <v>101</v>
      </c>
      <c r="J1310" s="9" t="s">
        <v>102</v>
      </c>
      <c r="K1310" s="9" t="s">
        <v>47</v>
      </c>
      <c r="L1310" s="9" t="s">
        <v>340</v>
      </c>
      <c r="M1310" s="9" t="s">
        <v>341</v>
      </c>
      <c r="N1310" s="9" t="s">
        <v>50</v>
      </c>
      <c r="O1310" s="9" t="s">
        <v>51</v>
      </c>
      <c r="P1310" s="9" t="s">
        <v>1907</v>
      </c>
      <c r="Q1310" s="9"/>
      <c r="R1310" s="9" t="s">
        <v>61</v>
      </c>
      <c r="S1310" s="14" t="s">
        <v>4852</v>
      </c>
      <c r="T1310" s="9" t="s">
        <v>4853</v>
      </c>
      <c r="U1310" s="9" t="s">
        <v>54</v>
      </c>
      <c r="V1310" s="9" t="s">
        <v>711</v>
      </c>
      <c r="W1310" s="9" t="s">
        <v>115</v>
      </c>
      <c r="X1310" s="12" t="s">
        <v>98</v>
      </c>
      <c r="Y1310" s="9" t="s">
        <v>99</v>
      </c>
      <c r="Z1310" s="13"/>
    </row>
    <row r="1311" spans="1:26" ht="32.25" hidden="1" customHeight="1">
      <c r="A1311" s="8">
        <v>2302449</v>
      </c>
      <c r="B1311" s="9" t="s">
        <v>4854</v>
      </c>
      <c r="C1311" s="10">
        <v>45142</v>
      </c>
      <c r="D1311" s="9" t="s">
        <v>67</v>
      </c>
      <c r="E1311" s="9" t="s">
        <v>68</v>
      </c>
      <c r="F1311" s="9" t="s">
        <v>135</v>
      </c>
      <c r="G1311" s="9" t="s">
        <v>43</v>
      </c>
      <c r="H1311" s="9" t="s">
        <v>44</v>
      </c>
      <c r="I1311" s="11" t="s">
        <v>136</v>
      </c>
      <c r="J1311" s="9" t="s">
        <v>137</v>
      </c>
      <c r="K1311" s="9" t="s">
        <v>47</v>
      </c>
      <c r="L1311" s="9" t="s">
        <v>156</v>
      </c>
      <c r="M1311" s="9"/>
      <c r="N1311" s="9" t="s">
        <v>84</v>
      </c>
      <c r="O1311" s="9" t="s">
        <v>51</v>
      </c>
      <c r="P1311" s="9"/>
      <c r="Q1311" s="9"/>
      <c r="R1311" s="9"/>
      <c r="S1311" s="9" t="s">
        <v>4855</v>
      </c>
      <c r="T1311" s="9" t="s">
        <v>4856</v>
      </c>
      <c r="U1311" s="9" t="s">
        <v>54</v>
      </c>
      <c r="V1311" s="9" t="s">
        <v>55</v>
      </c>
      <c r="W1311" s="9" t="s">
        <v>55</v>
      </c>
      <c r="X1311" s="12"/>
      <c r="Y1311" s="9" t="s">
        <v>55</v>
      </c>
      <c r="Z1311" s="13"/>
    </row>
    <row r="1312" spans="1:26" ht="32.25" hidden="1" customHeight="1">
      <c r="A1312" s="8">
        <v>2304156</v>
      </c>
      <c r="B1312" s="9" t="s">
        <v>4857</v>
      </c>
      <c r="C1312" s="10">
        <v>45149</v>
      </c>
      <c r="D1312" s="9" t="s">
        <v>57</v>
      </c>
      <c r="E1312" s="9" t="s">
        <v>41</v>
      </c>
      <c r="F1312" s="9" t="s">
        <v>42</v>
      </c>
      <c r="G1312" s="9" t="s">
        <v>43</v>
      </c>
      <c r="H1312" s="9" t="s">
        <v>58</v>
      </c>
      <c r="I1312" s="11" t="s">
        <v>129</v>
      </c>
      <c r="J1312" s="9" t="s">
        <v>130</v>
      </c>
      <c r="K1312" s="9" t="s">
        <v>47</v>
      </c>
      <c r="L1312" s="9" t="s">
        <v>156</v>
      </c>
      <c r="M1312" s="9"/>
      <c r="N1312" s="9" t="s">
        <v>84</v>
      </c>
      <c r="O1312" s="9" t="s">
        <v>51</v>
      </c>
      <c r="P1312" s="9"/>
      <c r="Q1312" s="9"/>
      <c r="R1312" s="9"/>
      <c r="S1312" s="14" t="s">
        <v>4858</v>
      </c>
      <c r="T1312" s="9" t="s">
        <v>4859</v>
      </c>
      <c r="U1312" s="9" t="s">
        <v>54</v>
      </c>
      <c r="V1312" s="9" t="s">
        <v>55</v>
      </c>
      <c r="W1312" s="9" t="s">
        <v>55</v>
      </c>
      <c r="X1312" s="12"/>
      <c r="Y1312" s="9" t="s">
        <v>55</v>
      </c>
      <c r="Z1312" s="13"/>
    </row>
    <row r="1313" spans="1:26" ht="32.25" hidden="1" customHeight="1">
      <c r="A1313" s="8">
        <v>2306909</v>
      </c>
      <c r="B1313" s="9" t="s">
        <v>4860</v>
      </c>
      <c r="C1313" s="10">
        <v>45156</v>
      </c>
      <c r="D1313" s="9" t="s">
        <v>79</v>
      </c>
      <c r="E1313" s="9" t="s">
        <v>41</v>
      </c>
      <c r="F1313" s="9" t="s">
        <v>80</v>
      </c>
      <c r="G1313" s="9" t="s">
        <v>43</v>
      </c>
      <c r="H1313" s="9" t="s">
        <v>44</v>
      </c>
      <c r="I1313" s="11" t="s">
        <v>81</v>
      </c>
      <c r="J1313" s="9" t="s">
        <v>46</v>
      </c>
      <c r="K1313" s="9" t="s">
        <v>47</v>
      </c>
      <c r="L1313" s="9" t="s">
        <v>3693</v>
      </c>
      <c r="M1313" s="9" t="s">
        <v>3694</v>
      </c>
      <c r="N1313" s="9" t="s">
        <v>84</v>
      </c>
      <c r="O1313" s="9" t="s">
        <v>51</v>
      </c>
      <c r="P1313" s="9" t="s">
        <v>1263</v>
      </c>
      <c r="Q1313" s="9"/>
      <c r="R1313" s="9" t="s">
        <v>61</v>
      </c>
      <c r="S1313" s="14" t="s">
        <v>4861</v>
      </c>
      <c r="T1313" s="9" t="s">
        <v>4862</v>
      </c>
      <c r="U1313" s="9" t="s">
        <v>54</v>
      </c>
      <c r="V1313" s="9" t="s">
        <v>55</v>
      </c>
      <c r="W1313" s="9" t="s">
        <v>55</v>
      </c>
      <c r="X1313" s="9" t="s">
        <v>64</v>
      </c>
      <c r="Y1313" s="9" t="s">
        <v>65</v>
      </c>
      <c r="Z1313" s="13"/>
    </row>
    <row r="1314" spans="1:26" ht="32.25" hidden="1" customHeight="1">
      <c r="A1314" s="8">
        <v>2311878</v>
      </c>
      <c r="B1314" s="9" t="s">
        <v>4863</v>
      </c>
      <c r="C1314" s="10">
        <v>45156</v>
      </c>
      <c r="D1314" s="9" t="s">
        <v>79</v>
      </c>
      <c r="E1314" s="9" t="s">
        <v>41</v>
      </c>
      <c r="F1314" s="9" t="s">
        <v>80</v>
      </c>
      <c r="G1314" s="9" t="s">
        <v>43</v>
      </c>
      <c r="H1314" s="9" t="s">
        <v>44</v>
      </c>
      <c r="I1314" s="11" t="s">
        <v>478</v>
      </c>
      <c r="J1314" s="9" t="s">
        <v>479</v>
      </c>
      <c r="K1314" s="9" t="s">
        <v>47</v>
      </c>
      <c r="L1314" s="9" t="s">
        <v>156</v>
      </c>
      <c r="M1314" s="9"/>
      <c r="N1314" s="9" t="s">
        <v>84</v>
      </c>
      <c r="O1314" s="9" t="s">
        <v>51</v>
      </c>
      <c r="P1314" s="9" t="s">
        <v>1414</v>
      </c>
      <c r="Q1314" s="9"/>
      <c r="R1314" s="9"/>
      <c r="S1314" s="14" t="s">
        <v>4864</v>
      </c>
      <c r="T1314" s="9" t="s">
        <v>4865</v>
      </c>
      <c r="U1314" s="9" t="s">
        <v>54</v>
      </c>
      <c r="V1314" s="9"/>
      <c r="W1314" s="9" t="s">
        <v>115</v>
      </c>
      <c r="X1314" s="12"/>
      <c r="Y1314" s="9" t="s">
        <v>55</v>
      </c>
      <c r="Z1314" s="13"/>
    </row>
    <row r="1315" spans="1:26" ht="32.25" hidden="1" customHeight="1">
      <c r="A1315" s="8">
        <v>2306680</v>
      </c>
      <c r="B1315" s="9" t="s">
        <v>4866</v>
      </c>
      <c r="C1315" s="10">
        <v>45149</v>
      </c>
      <c r="D1315" s="9" t="s">
        <v>57</v>
      </c>
      <c r="E1315" s="9" t="s">
        <v>41</v>
      </c>
      <c r="F1315" s="9" t="s">
        <v>42</v>
      </c>
      <c r="G1315" s="9" t="s">
        <v>43</v>
      </c>
      <c r="H1315" s="9" t="s">
        <v>58</v>
      </c>
      <c r="I1315" s="11" t="s">
        <v>129</v>
      </c>
      <c r="J1315" s="9" t="s">
        <v>130</v>
      </c>
      <c r="K1315" s="9" t="s">
        <v>47</v>
      </c>
      <c r="L1315" s="9" t="s">
        <v>221</v>
      </c>
      <c r="M1315" s="9" t="s">
        <v>4867</v>
      </c>
      <c r="N1315" s="9" t="s">
        <v>84</v>
      </c>
      <c r="O1315" s="9" t="s">
        <v>51</v>
      </c>
      <c r="P1315" s="9"/>
      <c r="Q1315" s="9"/>
      <c r="R1315" s="9" t="s">
        <v>61</v>
      </c>
      <c r="S1315" s="14" t="s">
        <v>4868</v>
      </c>
      <c r="T1315" s="9" t="s">
        <v>4869</v>
      </c>
      <c r="U1315" s="9" t="s">
        <v>54</v>
      </c>
      <c r="V1315" s="9" t="s">
        <v>55</v>
      </c>
      <c r="W1315" s="9" t="s">
        <v>55</v>
      </c>
      <c r="X1315" s="9" t="s">
        <v>196</v>
      </c>
      <c r="Y1315" s="9" t="s">
        <v>197</v>
      </c>
      <c r="Z1315" s="13" t="s">
        <v>230</v>
      </c>
    </row>
    <row r="1316" spans="1:26" ht="32.25" hidden="1" customHeight="1">
      <c r="A1316" s="8">
        <v>2301816</v>
      </c>
      <c r="B1316" s="9" t="s">
        <v>4870</v>
      </c>
      <c r="C1316" s="10">
        <v>45156</v>
      </c>
      <c r="D1316" s="9" t="s">
        <v>79</v>
      </c>
      <c r="E1316" s="9" t="s">
        <v>89</v>
      </c>
      <c r="F1316" s="9" t="s">
        <v>80</v>
      </c>
      <c r="G1316" s="9" t="s">
        <v>43</v>
      </c>
      <c r="H1316" s="9" t="s">
        <v>44</v>
      </c>
      <c r="I1316" s="11" t="s">
        <v>90</v>
      </c>
      <c r="J1316" s="9" t="s">
        <v>91</v>
      </c>
      <c r="K1316" s="9" t="s">
        <v>47</v>
      </c>
      <c r="L1316" s="9" t="s">
        <v>1831</v>
      </c>
      <c r="M1316" s="9" t="s">
        <v>4871</v>
      </c>
      <c r="N1316" s="9" t="s">
        <v>50</v>
      </c>
      <c r="O1316" s="9" t="s">
        <v>51</v>
      </c>
      <c r="P1316" s="9" t="s">
        <v>95</v>
      </c>
      <c r="Q1316" s="9"/>
      <c r="R1316" s="9" t="s">
        <v>61</v>
      </c>
      <c r="S1316" s="14" t="s">
        <v>4872</v>
      </c>
      <c r="T1316" s="9" t="s">
        <v>4873</v>
      </c>
      <c r="U1316" s="9" t="s">
        <v>54</v>
      </c>
      <c r="V1316" s="9" t="s">
        <v>711</v>
      </c>
      <c r="W1316" s="9" t="s">
        <v>55</v>
      </c>
      <c r="X1316" s="12" t="s">
        <v>98</v>
      </c>
      <c r="Y1316" s="9" t="s">
        <v>99</v>
      </c>
      <c r="Z1316" s="13"/>
    </row>
    <row r="1317" spans="1:26" ht="32.25" hidden="1" customHeight="1">
      <c r="A1317" s="8">
        <v>2301900</v>
      </c>
      <c r="B1317" s="9" t="s">
        <v>4874</v>
      </c>
      <c r="C1317" s="10">
        <v>45156</v>
      </c>
      <c r="D1317" s="9" t="s">
        <v>79</v>
      </c>
      <c r="E1317" s="9" t="s">
        <v>143</v>
      </c>
      <c r="F1317" s="9" t="s">
        <v>80</v>
      </c>
      <c r="G1317" s="9" t="s">
        <v>43</v>
      </c>
      <c r="H1317" s="9" t="s">
        <v>44</v>
      </c>
      <c r="I1317" s="11" t="s">
        <v>725</v>
      </c>
      <c r="J1317" s="9" t="s">
        <v>145</v>
      </c>
      <c r="K1317" s="9" t="s">
        <v>47</v>
      </c>
      <c r="L1317" s="9" t="s">
        <v>162</v>
      </c>
      <c r="M1317" s="9" t="s">
        <v>2229</v>
      </c>
      <c r="N1317" s="9" t="s">
        <v>84</v>
      </c>
      <c r="O1317" s="9" t="s">
        <v>51</v>
      </c>
      <c r="P1317" s="9" t="s">
        <v>727</v>
      </c>
      <c r="Q1317" s="9"/>
      <c r="R1317" s="9" t="s">
        <v>61</v>
      </c>
      <c r="S1317" s="14" t="s">
        <v>4875</v>
      </c>
      <c r="T1317" s="9" t="s">
        <v>4876</v>
      </c>
      <c r="U1317" s="9" t="s">
        <v>54</v>
      </c>
      <c r="V1317" s="9" t="s">
        <v>251</v>
      </c>
      <c r="W1317" s="9" t="s">
        <v>115</v>
      </c>
      <c r="X1317" s="12" t="s">
        <v>171</v>
      </c>
      <c r="Y1317" s="9" t="s">
        <v>172</v>
      </c>
      <c r="Z1317" s="13"/>
    </row>
    <row r="1318" spans="1:26" ht="32.25" hidden="1" customHeight="1">
      <c r="A1318" s="8">
        <v>2309720</v>
      </c>
      <c r="B1318" s="9" t="s">
        <v>4877</v>
      </c>
      <c r="C1318" s="10">
        <v>45136</v>
      </c>
      <c r="D1318" s="9" t="s">
        <v>301</v>
      </c>
      <c r="E1318" s="9" t="s">
        <v>41</v>
      </c>
      <c r="F1318" s="9" t="s">
        <v>42</v>
      </c>
      <c r="G1318" s="9" t="s">
        <v>43</v>
      </c>
      <c r="H1318" s="9" t="s">
        <v>44</v>
      </c>
      <c r="I1318" s="11" t="s">
        <v>661</v>
      </c>
      <c r="J1318" s="9" t="s">
        <v>662</v>
      </c>
      <c r="K1318" s="9" t="s">
        <v>47</v>
      </c>
      <c r="L1318" s="9" t="s">
        <v>162</v>
      </c>
      <c r="M1318" s="9" t="s">
        <v>163</v>
      </c>
      <c r="N1318" s="9" t="s">
        <v>50</v>
      </c>
      <c r="O1318" s="9" t="s">
        <v>51</v>
      </c>
      <c r="P1318" s="9"/>
      <c r="Q1318" s="9"/>
      <c r="R1318" s="9" t="s">
        <v>61</v>
      </c>
      <c r="S1318" s="9" t="s">
        <v>4878</v>
      </c>
      <c r="T1318" s="9" t="s">
        <v>4879</v>
      </c>
      <c r="U1318" s="9" t="s">
        <v>54</v>
      </c>
      <c r="V1318" s="9" t="s">
        <v>55</v>
      </c>
      <c r="W1318" s="9" t="s">
        <v>55</v>
      </c>
      <c r="X1318" s="9" t="s">
        <v>64</v>
      </c>
      <c r="Y1318" s="9" t="s">
        <v>65</v>
      </c>
      <c r="Z1318" s="13"/>
    </row>
    <row r="1319" spans="1:26" ht="32.25" hidden="1" customHeight="1">
      <c r="A1319" s="8">
        <v>2302558</v>
      </c>
      <c r="B1319" s="9" t="s">
        <v>4880</v>
      </c>
      <c r="C1319" s="10">
        <v>45156</v>
      </c>
      <c r="D1319" s="9" t="s">
        <v>79</v>
      </c>
      <c r="E1319" s="9" t="s">
        <v>143</v>
      </c>
      <c r="F1319" s="9" t="s">
        <v>80</v>
      </c>
      <c r="G1319" s="9" t="s">
        <v>43</v>
      </c>
      <c r="H1319" s="9" t="s">
        <v>44</v>
      </c>
      <c r="I1319" s="11" t="s">
        <v>725</v>
      </c>
      <c r="J1319" s="9" t="s">
        <v>145</v>
      </c>
      <c r="K1319" s="9" t="s">
        <v>47</v>
      </c>
      <c r="L1319" s="9" t="s">
        <v>349</v>
      </c>
      <c r="M1319" s="9" t="s">
        <v>1480</v>
      </c>
      <c r="N1319" s="9" t="s">
        <v>84</v>
      </c>
      <c r="O1319" s="9" t="s">
        <v>51</v>
      </c>
      <c r="P1319" s="9" t="s">
        <v>2924</v>
      </c>
      <c r="Q1319" s="9"/>
      <c r="R1319" s="9" t="s">
        <v>61</v>
      </c>
      <c r="S1319" s="14" t="s">
        <v>4881</v>
      </c>
      <c r="T1319" s="9" t="s">
        <v>4882</v>
      </c>
      <c r="U1319" s="9" t="s">
        <v>54</v>
      </c>
      <c r="V1319" s="9" t="s">
        <v>251</v>
      </c>
      <c r="W1319" s="9" t="s">
        <v>115</v>
      </c>
      <c r="X1319" s="12" t="s">
        <v>171</v>
      </c>
      <c r="Y1319" s="9" t="s">
        <v>172</v>
      </c>
      <c r="Z1319" s="13"/>
    </row>
    <row r="1320" spans="1:26" ht="32.25" hidden="1" customHeight="1">
      <c r="A1320" s="8">
        <v>2303320</v>
      </c>
      <c r="B1320" s="9" t="s">
        <v>4883</v>
      </c>
      <c r="C1320" s="10">
        <v>45149</v>
      </c>
      <c r="D1320" s="9" t="s">
        <v>57</v>
      </c>
      <c r="E1320" s="9" t="s">
        <v>41</v>
      </c>
      <c r="F1320" s="9" t="s">
        <v>42</v>
      </c>
      <c r="G1320" s="9" t="s">
        <v>43</v>
      </c>
      <c r="H1320" s="9" t="s">
        <v>58</v>
      </c>
      <c r="I1320" s="11" t="s">
        <v>1073</v>
      </c>
      <c r="J1320" s="9" t="s">
        <v>479</v>
      </c>
      <c r="K1320" s="9" t="s">
        <v>47</v>
      </c>
      <c r="L1320" s="9" t="s">
        <v>156</v>
      </c>
      <c r="M1320" s="9"/>
      <c r="N1320" s="9" t="s">
        <v>50</v>
      </c>
      <c r="O1320" s="9" t="s">
        <v>51</v>
      </c>
      <c r="P1320" s="9"/>
      <c r="Q1320" s="9"/>
      <c r="R1320" s="9"/>
      <c r="S1320" s="14" t="s">
        <v>4884</v>
      </c>
      <c r="T1320" s="9" t="s">
        <v>4885</v>
      </c>
      <c r="U1320" s="9" t="s">
        <v>54</v>
      </c>
      <c r="V1320" s="9" t="s">
        <v>55</v>
      </c>
      <c r="W1320" s="9" t="s">
        <v>55</v>
      </c>
      <c r="X1320" s="12"/>
      <c r="Y1320" s="9" t="s">
        <v>55</v>
      </c>
      <c r="Z1320" s="13"/>
    </row>
    <row r="1321" spans="1:26" ht="32.25" hidden="1" customHeight="1">
      <c r="A1321" s="8">
        <v>2304612</v>
      </c>
      <c r="B1321" s="9" t="s">
        <v>4886</v>
      </c>
      <c r="C1321" s="10">
        <v>45149</v>
      </c>
      <c r="D1321" s="9" t="s">
        <v>57</v>
      </c>
      <c r="E1321" s="9" t="s">
        <v>41</v>
      </c>
      <c r="F1321" s="9" t="s">
        <v>42</v>
      </c>
      <c r="G1321" s="9" t="s">
        <v>43</v>
      </c>
      <c r="H1321" s="9" t="s">
        <v>58</v>
      </c>
      <c r="I1321" s="11" t="s">
        <v>129</v>
      </c>
      <c r="J1321" s="9" t="s">
        <v>130</v>
      </c>
      <c r="K1321" s="9" t="s">
        <v>47</v>
      </c>
      <c r="L1321" s="9" t="s">
        <v>48</v>
      </c>
      <c r="M1321" s="9" t="s">
        <v>2159</v>
      </c>
      <c r="N1321" s="9" t="s">
        <v>50</v>
      </c>
      <c r="O1321" s="9" t="s">
        <v>51</v>
      </c>
      <c r="P1321" s="9"/>
      <c r="Q1321" s="9"/>
      <c r="R1321" s="9"/>
      <c r="S1321" s="14" t="s">
        <v>4887</v>
      </c>
      <c r="T1321" s="9" t="s">
        <v>4888</v>
      </c>
      <c r="U1321" s="9" t="s">
        <v>54</v>
      </c>
      <c r="V1321" s="9" t="s">
        <v>55</v>
      </c>
      <c r="W1321" s="9" t="s">
        <v>55</v>
      </c>
      <c r="X1321" s="12"/>
      <c r="Y1321" s="9" t="s">
        <v>55</v>
      </c>
      <c r="Z1321" s="13"/>
    </row>
    <row r="1322" spans="1:26" ht="32.25" hidden="1" customHeight="1">
      <c r="A1322" s="8">
        <v>2308457</v>
      </c>
      <c r="B1322" s="9" t="s">
        <v>4889</v>
      </c>
      <c r="C1322" s="10">
        <v>45142</v>
      </c>
      <c r="D1322" s="9" t="s">
        <v>67</v>
      </c>
      <c r="E1322" s="9" t="s">
        <v>41</v>
      </c>
      <c r="F1322" s="9" t="s">
        <v>42</v>
      </c>
      <c r="G1322" s="9" t="s">
        <v>43</v>
      </c>
      <c r="H1322" s="9" t="s">
        <v>44</v>
      </c>
      <c r="I1322" s="11" t="s">
        <v>45</v>
      </c>
      <c r="J1322" s="9" t="s">
        <v>46</v>
      </c>
      <c r="K1322" s="9" t="s">
        <v>47</v>
      </c>
      <c r="L1322" s="9" t="s">
        <v>3693</v>
      </c>
      <c r="M1322" s="9" t="s">
        <v>3694</v>
      </c>
      <c r="N1322" s="9" t="s">
        <v>84</v>
      </c>
      <c r="O1322" s="9" t="s">
        <v>51</v>
      </c>
      <c r="P1322" s="9"/>
      <c r="Q1322" s="9"/>
      <c r="R1322" s="9" t="s">
        <v>61</v>
      </c>
      <c r="S1322" s="9" t="s">
        <v>4890</v>
      </c>
      <c r="T1322" s="9" t="s">
        <v>4891</v>
      </c>
      <c r="U1322" s="9" t="s">
        <v>54</v>
      </c>
      <c r="V1322" s="9" t="s">
        <v>55</v>
      </c>
      <c r="W1322" s="9" t="s">
        <v>55</v>
      </c>
      <c r="X1322" s="9" t="s">
        <v>64</v>
      </c>
      <c r="Y1322" s="9" t="s">
        <v>65</v>
      </c>
      <c r="Z1322" s="13"/>
    </row>
    <row r="1323" spans="1:26" ht="32.25" hidden="1" customHeight="1">
      <c r="A1323" s="8">
        <v>2301354</v>
      </c>
      <c r="B1323" s="9" t="s">
        <v>4892</v>
      </c>
      <c r="C1323" s="10">
        <v>45156</v>
      </c>
      <c r="D1323" s="9" t="s">
        <v>79</v>
      </c>
      <c r="E1323" s="9" t="s">
        <v>68</v>
      </c>
      <c r="F1323" s="9" t="s">
        <v>80</v>
      </c>
      <c r="G1323" s="9" t="s">
        <v>43</v>
      </c>
      <c r="H1323" s="9" t="s">
        <v>44</v>
      </c>
      <c r="I1323" s="11" t="s">
        <v>90</v>
      </c>
      <c r="J1323" s="9" t="s">
        <v>91</v>
      </c>
      <c r="K1323" s="9" t="s">
        <v>47</v>
      </c>
      <c r="L1323" s="9" t="s">
        <v>1839</v>
      </c>
      <c r="M1323" s="9" t="s">
        <v>4893</v>
      </c>
      <c r="N1323" s="9" t="s">
        <v>50</v>
      </c>
      <c r="O1323" s="9" t="s">
        <v>51</v>
      </c>
      <c r="P1323" s="9" t="s">
        <v>273</v>
      </c>
      <c r="Q1323" s="9"/>
      <c r="R1323" s="9" t="s">
        <v>61</v>
      </c>
      <c r="S1323" s="14" t="s">
        <v>4894</v>
      </c>
      <c r="T1323" s="9" t="s">
        <v>4895</v>
      </c>
      <c r="U1323" s="9" t="s">
        <v>54</v>
      </c>
      <c r="V1323" s="9" t="s">
        <v>55</v>
      </c>
      <c r="W1323" s="9" t="s">
        <v>55</v>
      </c>
      <c r="X1323" s="12" t="s">
        <v>196</v>
      </c>
      <c r="Y1323" s="9" t="s">
        <v>197</v>
      </c>
      <c r="Z1323" s="13"/>
    </row>
    <row r="1324" spans="1:26" ht="32.25" hidden="1" customHeight="1">
      <c r="A1324" s="8">
        <v>2300558</v>
      </c>
      <c r="B1324" s="9" t="s">
        <v>4896</v>
      </c>
      <c r="C1324" s="10">
        <v>45149</v>
      </c>
      <c r="D1324" s="9" t="s">
        <v>57</v>
      </c>
      <c r="E1324" s="9" t="s">
        <v>41</v>
      </c>
      <c r="F1324" s="9" t="s">
        <v>42</v>
      </c>
      <c r="G1324" s="9" t="s">
        <v>43</v>
      </c>
      <c r="H1324" s="9" t="s">
        <v>58</v>
      </c>
      <c r="I1324" s="11" t="s">
        <v>45</v>
      </c>
      <c r="J1324" s="9" t="s">
        <v>46</v>
      </c>
      <c r="K1324" s="9" t="s">
        <v>47</v>
      </c>
      <c r="L1324" s="9" t="s">
        <v>437</v>
      </c>
      <c r="M1324" s="9" t="s">
        <v>1707</v>
      </c>
      <c r="N1324" s="9" t="s">
        <v>50</v>
      </c>
      <c r="O1324" s="9" t="s">
        <v>51</v>
      </c>
      <c r="P1324" s="9"/>
      <c r="Q1324" s="9"/>
      <c r="R1324" s="9"/>
      <c r="S1324" s="14" t="s">
        <v>4897</v>
      </c>
      <c r="T1324" s="9" t="s">
        <v>4898</v>
      </c>
      <c r="U1324" s="9" t="s">
        <v>54</v>
      </c>
      <c r="V1324" s="9" t="s">
        <v>55</v>
      </c>
      <c r="W1324" s="9" t="s">
        <v>55</v>
      </c>
      <c r="X1324" s="12"/>
      <c r="Y1324" s="9" t="s">
        <v>55</v>
      </c>
      <c r="Z1324" s="13"/>
    </row>
    <row r="1325" spans="1:26" ht="32.25" hidden="1" customHeight="1">
      <c r="A1325" s="8">
        <v>2308559</v>
      </c>
      <c r="B1325" s="9" t="s">
        <v>4899</v>
      </c>
      <c r="C1325" s="10">
        <v>45142</v>
      </c>
      <c r="D1325" s="9" t="s">
        <v>67</v>
      </c>
      <c r="E1325" s="9" t="s">
        <v>143</v>
      </c>
      <c r="F1325" s="9" t="s">
        <v>42</v>
      </c>
      <c r="G1325" s="9" t="s">
        <v>43</v>
      </c>
      <c r="H1325" s="9" t="s">
        <v>44</v>
      </c>
      <c r="I1325" s="11" t="s">
        <v>144</v>
      </c>
      <c r="J1325" s="9" t="s">
        <v>145</v>
      </c>
      <c r="K1325" s="9" t="s">
        <v>47</v>
      </c>
      <c r="L1325" s="9" t="s">
        <v>1839</v>
      </c>
      <c r="M1325" s="9" t="s">
        <v>4893</v>
      </c>
      <c r="N1325" s="9" t="s">
        <v>50</v>
      </c>
      <c r="O1325" s="9" t="s">
        <v>51</v>
      </c>
      <c r="P1325" s="9" t="s">
        <v>147</v>
      </c>
      <c r="Q1325" s="9"/>
      <c r="R1325" s="9" t="s">
        <v>61</v>
      </c>
      <c r="S1325" s="9" t="s">
        <v>4900</v>
      </c>
      <c r="T1325" s="9" t="s">
        <v>4901</v>
      </c>
      <c r="U1325" s="9" t="s">
        <v>54</v>
      </c>
      <c r="V1325" s="9" t="s">
        <v>55</v>
      </c>
      <c r="W1325" s="9" t="s">
        <v>55</v>
      </c>
      <c r="X1325" s="12" t="s">
        <v>150</v>
      </c>
      <c r="Y1325" s="9" t="s">
        <v>151</v>
      </c>
      <c r="Z1325" s="13"/>
    </row>
    <row r="1326" spans="1:26" ht="32.25" hidden="1" customHeight="1">
      <c r="A1326" s="8">
        <v>2306477</v>
      </c>
      <c r="B1326" s="9" t="s">
        <v>4902</v>
      </c>
      <c r="C1326" s="10">
        <v>45149</v>
      </c>
      <c r="D1326" s="9" t="s">
        <v>57</v>
      </c>
      <c r="E1326" s="9" t="s">
        <v>295</v>
      </c>
      <c r="F1326" s="9" t="s">
        <v>42</v>
      </c>
      <c r="G1326" s="9" t="s">
        <v>43</v>
      </c>
      <c r="H1326" s="9" t="s">
        <v>58</v>
      </c>
      <c r="I1326" s="11" t="s">
        <v>296</v>
      </c>
      <c r="J1326" s="9" t="s">
        <v>297</v>
      </c>
      <c r="K1326" s="9" t="s">
        <v>47</v>
      </c>
      <c r="L1326" s="9" t="s">
        <v>156</v>
      </c>
      <c r="M1326" s="9"/>
      <c r="N1326" s="9" t="s">
        <v>50</v>
      </c>
      <c r="O1326" s="9" t="s">
        <v>51</v>
      </c>
      <c r="P1326" s="9"/>
      <c r="Q1326" s="9"/>
      <c r="R1326" s="9"/>
      <c r="S1326" s="14" t="s">
        <v>4903</v>
      </c>
      <c r="T1326" s="9" t="s">
        <v>4904</v>
      </c>
      <c r="U1326" s="9" t="s">
        <v>54</v>
      </c>
      <c r="V1326" s="9" t="s">
        <v>55</v>
      </c>
      <c r="W1326" s="9" t="s">
        <v>55</v>
      </c>
      <c r="X1326" s="12"/>
      <c r="Y1326" s="9" t="s">
        <v>55</v>
      </c>
      <c r="Z1326" s="13"/>
    </row>
    <row r="1327" spans="1:26" ht="32.25" hidden="1" customHeight="1">
      <c r="A1327" s="8">
        <v>2303817</v>
      </c>
      <c r="B1327" s="9" t="s">
        <v>4905</v>
      </c>
      <c r="C1327" s="10">
        <v>45149</v>
      </c>
      <c r="D1327" s="9" t="s">
        <v>57</v>
      </c>
      <c r="E1327" s="9" t="s">
        <v>41</v>
      </c>
      <c r="F1327" s="9" t="s">
        <v>42</v>
      </c>
      <c r="G1327" s="9" t="s">
        <v>43</v>
      </c>
      <c r="H1327" s="9" t="s">
        <v>58</v>
      </c>
      <c r="I1327" s="11" t="s">
        <v>199</v>
      </c>
      <c r="J1327" s="9" t="s">
        <v>200</v>
      </c>
      <c r="K1327" s="9" t="s">
        <v>47</v>
      </c>
      <c r="L1327" s="9" t="s">
        <v>156</v>
      </c>
      <c r="M1327" s="9"/>
      <c r="N1327" s="9" t="s">
        <v>50</v>
      </c>
      <c r="O1327" s="9" t="s">
        <v>51</v>
      </c>
      <c r="P1327" s="9"/>
      <c r="Q1327" s="9"/>
      <c r="R1327" s="9"/>
      <c r="S1327" s="14" t="s">
        <v>4906</v>
      </c>
      <c r="T1327" s="9" t="s">
        <v>4907</v>
      </c>
      <c r="U1327" s="9" t="s">
        <v>54</v>
      </c>
      <c r="V1327" s="9" t="s">
        <v>55</v>
      </c>
      <c r="W1327" s="9" t="s">
        <v>55</v>
      </c>
      <c r="X1327" s="12"/>
      <c r="Y1327" s="9" t="s">
        <v>55</v>
      </c>
      <c r="Z1327" s="13"/>
    </row>
    <row r="1328" spans="1:26" ht="32.25" hidden="1" customHeight="1">
      <c r="A1328" s="8">
        <v>2303770</v>
      </c>
      <c r="B1328" s="9" t="s">
        <v>4908</v>
      </c>
      <c r="C1328" s="10">
        <v>45136</v>
      </c>
      <c r="D1328" s="9" t="s">
        <v>40</v>
      </c>
      <c r="E1328" s="9" t="s">
        <v>41</v>
      </c>
      <c r="F1328" s="9" t="s">
        <v>42</v>
      </c>
      <c r="G1328" s="9" t="s">
        <v>43</v>
      </c>
      <c r="H1328" s="9" t="s">
        <v>44</v>
      </c>
      <c r="I1328" s="11" t="s">
        <v>45</v>
      </c>
      <c r="J1328" s="9" t="s">
        <v>46</v>
      </c>
      <c r="K1328" s="9" t="s">
        <v>47</v>
      </c>
      <c r="L1328" s="9" t="s">
        <v>156</v>
      </c>
      <c r="M1328" s="9"/>
      <c r="N1328" s="9" t="s">
        <v>84</v>
      </c>
      <c r="O1328" s="9" t="s">
        <v>51</v>
      </c>
      <c r="P1328" s="9"/>
      <c r="Q1328" s="9"/>
      <c r="R1328" s="9"/>
      <c r="S1328" s="9" t="s">
        <v>4909</v>
      </c>
      <c r="T1328" s="9" t="s">
        <v>4910</v>
      </c>
      <c r="U1328" s="9" t="s">
        <v>54</v>
      </c>
      <c r="V1328" s="9" t="s">
        <v>55</v>
      </c>
      <c r="W1328" s="9" t="s">
        <v>55</v>
      </c>
      <c r="X1328" s="9"/>
      <c r="Y1328" s="9" t="s">
        <v>55</v>
      </c>
      <c r="Z1328" s="13"/>
    </row>
    <row r="1329" spans="1:26" ht="32.25" hidden="1" customHeight="1">
      <c r="A1329" s="8">
        <v>2302143</v>
      </c>
      <c r="B1329" s="9" t="s">
        <v>4911</v>
      </c>
      <c r="C1329" s="10">
        <v>45142</v>
      </c>
      <c r="D1329" s="9" t="s">
        <v>67</v>
      </c>
      <c r="E1329" s="9" t="s">
        <v>295</v>
      </c>
      <c r="F1329" s="9" t="s">
        <v>42</v>
      </c>
      <c r="G1329" s="9" t="s">
        <v>43</v>
      </c>
      <c r="H1329" s="9" t="s">
        <v>44</v>
      </c>
      <c r="I1329" s="11" t="s">
        <v>296</v>
      </c>
      <c r="J1329" s="9" t="s">
        <v>297</v>
      </c>
      <c r="K1329" s="9" t="s">
        <v>47</v>
      </c>
      <c r="L1329" s="9" t="s">
        <v>221</v>
      </c>
      <c r="M1329" s="9" t="s">
        <v>1451</v>
      </c>
      <c r="N1329" s="9" t="s">
        <v>84</v>
      </c>
      <c r="O1329" s="9" t="s">
        <v>51</v>
      </c>
      <c r="P1329" s="9"/>
      <c r="Q1329" s="9"/>
      <c r="R1329" s="9" t="s">
        <v>61</v>
      </c>
      <c r="S1329" s="9" t="s">
        <v>4912</v>
      </c>
      <c r="T1329" s="9" t="s">
        <v>4913</v>
      </c>
      <c r="U1329" s="9" t="s">
        <v>54</v>
      </c>
      <c r="V1329" s="9" t="s">
        <v>55</v>
      </c>
      <c r="W1329" s="9" t="s">
        <v>55</v>
      </c>
      <c r="X1329" s="9" t="s">
        <v>319</v>
      </c>
      <c r="Y1329" s="9" t="s">
        <v>320</v>
      </c>
      <c r="Z1329" s="13"/>
    </row>
    <row r="1330" spans="1:26" ht="32.25" hidden="1" customHeight="1">
      <c r="A1330" s="8">
        <v>2302700</v>
      </c>
      <c r="B1330" s="9" t="s">
        <v>4914</v>
      </c>
      <c r="C1330" s="10">
        <v>45156</v>
      </c>
      <c r="D1330" s="9" t="s">
        <v>79</v>
      </c>
      <c r="E1330" s="9" t="s">
        <v>41</v>
      </c>
      <c r="F1330" s="9" t="s">
        <v>80</v>
      </c>
      <c r="G1330" s="9" t="s">
        <v>43</v>
      </c>
      <c r="H1330" s="9" t="s">
        <v>44</v>
      </c>
      <c r="I1330" s="11" t="s">
        <v>233</v>
      </c>
      <c r="J1330" s="9" t="s">
        <v>200</v>
      </c>
      <c r="K1330" s="9" t="s">
        <v>47</v>
      </c>
      <c r="L1330" s="9" t="s">
        <v>569</v>
      </c>
      <c r="M1330" s="9" t="s">
        <v>975</v>
      </c>
      <c r="N1330" s="9" t="s">
        <v>50</v>
      </c>
      <c r="O1330" s="9" t="s">
        <v>51</v>
      </c>
      <c r="P1330" s="9" t="s">
        <v>443</v>
      </c>
      <c r="Q1330" s="9"/>
      <c r="R1330" s="9"/>
      <c r="S1330" s="14" t="s">
        <v>4915</v>
      </c>
      <c r="T1330" s="9" t="s">
        <v>4916</v>
      </c>
      <c r="U1330" s="9" t="s">
        <v>54</v>
      </c>
      <c r="V1330" s="9"/>
      <c r="W1330" s="9" t="s">
        <v>115</v>
      </c>
      <c r="X1330" s="12"/>
      <c r="Y1330" s="9" t="s">
        <v>55</v>
      </c>
      <c r="Z1330" s="13"/>
    </row>
    <row r="1331" spans="1:26" ht="32.25" hidden="1" customHeight="1">
      <c r="A1331" s="8">
        <v>2306858</v>
      </c>
      <c r="B1331" s="9" t="s">
        <v>4917</v>
      </c>
      <c r="C1331" s="10">
        <v>45149</v>
      </c>
      <c r="D1331" s="9" t="s">
        <v>57</v>
      </c>
      <c r="E1331" s="9" t="s">
        <v>41</v>
      </c>
      <c r="F1331" s="9" t="s">
        <v>42</v>
      </c>
      <c r="G1331" s="9" t="s">
        <v>43</v>
      </c>
      <c r="H1331" s="9" t="s">
        <v>58</v>
      </c>
      <c r="I1331" s="11" t="s">
        <v>129</v>
      </c>
      <c r="J1331" s="9" t="s">
        <v>130</v>
      </c>
      <c r="K1331" s="9" t="s">
        <v>47</v>
      </c>
      <c r="L1331" s="9" t="s">
        <v>48</v>
      </c>
      <c r="M1331" s="9" t="s">
        <v>1116</v>
      </c>
      <c r="N1331" s="9" t="s">
        <v>84</v>
      </c>
      <c r="O1331" s="9" t="s">
        <v>51</v>
      </c>
      <c r="P1331" s="9"/>
      <c r="Q1331" s="9"/>
      <c r="R1331" s="9"/>
      <c r="S1331" s="14" t="s">
        <v>4918</v>
      </c>
      <c r="T1331" s="9" t="s">
        <v>4919</v>
      </c>
      <c r="U1331" s="9" t="s">
        <v>54</v>
      </c>
      <c r="V1331" s="9" t="s">
        <v>55</v>
      </c>
      <c r="W1331" s="9" t="s">
        <v>55</v>
      </c>
      <c r="X1331" s="12"/>
      <c r="Y1331" s="9" t="s">
        <v>55</v>
      </c>
      <c r="Z1331" s="13"/>
    </row>
    <row r="1332" spans="1:26" ht="32.25" hidden="1" customHeight="1">
      <c r="A1332" s="8">
        <v>2302930</v>
      </c>
      <c r="B1332" s="9" t="s">
        <v>4920</v>
      </c>
      <c r="C1332" s="10">
        <v>45149</v>
      </c>
      <c r="D1332" s="9" t="s">
        <v>57</v>
      </c>
      <c r="E1332" s="9" t="s">
        <v>295</v>
      </c>
      <c r="F1332" s="9" t="s">
        <v>42</v>
      </c>
      <c r="G1332" s="9" t="s">
        <v>43</v>
      </c>
      <c r="H1332" s="9" t="s">
        <v>58</v>
      </c>
      <c r="I1332" s="11" t="s">
        <v>296</v>
      </c>
      <c r="J1332" s="9" t="s">
        <v>297</v>
      </c>
      <c r="K1332" s="9" t="s">
        <v>47</v>
      </c>
      <c r="L1332" s="9" t="s">
        <v>3693</v>
      </c>
      <c r="M1332" s="9" t="s">
        <v>3694</v>
      </c>
      <c r="N1332" s="9" t="s">
        <v>84</v>
      </c>
      <c r="O1332" s="9" t="s">
        <v>51</v>
      </c>
      <c r="P1332" s="9"/>
      <c r="Q1332" s="9"/>
      <c r="R1332" s="9" t="s">
        <v>61</v>
      </c>
      <c r="S1332" s="14" t="s">
        <v>4921</v>
      </c>
      <c r="T1332" s="9" t="s">
        <v>4922</v>
      </c>
      <c r="U1332" s="9" t="s">
        <v>54</v>
      </c>
      <c r="V1332" s="9" t="s">
        <v>55</v>
      </c>
      <c r="W1332" s="9" t="s">
        <v>55</v>
      </c>
      <c r="X1332" s="9" t="s">
        <v>319</v>
      </c>
      <c r="Y1332" s="9" t="s">
        <v>320</v>
      </c>
      <c r="Z1332" s="13"/>
    </row>
    <row r="1333" spans="1:26" ht="32.25" hidden="1" customHeight="1">
      <c r="A1333" s="8">
        <v>2302524</v>
      </c>
      <c r="B1333" s="9" t="s">
        <v>4923</v>
      </c>
      <c r="C1333" s="10">
        <v>45142</v>
      </c>
      <c r="D1333" s="9" t="s">
        <v>67</v>
      </c>
      <c r="E1333" s="9" t="s">
        <v>143</v>
      </c>
      <c r="F1333" s="9" t="s">
        <v>42</v>
      </c>
      <c r="G1333" s="9" t="s">
        <v>43</v>
      </c>
      <c r="H1333" s="9" t="s">
        <v>44</v>
      </c>
      <c r="I1333" s="11" t="s">
        <v>596</v>
      </c>
      <c r="J1333" s="9" t="s">
        <v>597</v>
      </c>
      <c r="K1333" s="9" t="s">
        <v>47</v>
      </c>
      <c r="L1333" s="9" t="s">
        <v>174</v>
      </c>
      <c r="M1333" s="9" t="s">
        <v>1768</v>
      </c>
      <c r="N1333" s="9" t="s">
        <v>84</v>
      </c>
      <c r="O1333" s="9" t="s">
        <v>51</v>
      </c>
      <c r="P1333" s="9"/>
      <c r="Q1333" s="9"/>
      <c r="R1333" s="9" t="s">
        <v>61</v>
      </c>
      <c r="S1333" s="9" t="s">
        <v>4924</v>
      </c>
      <c r="T1333" s="9" t="s">
        <v>4925</v>
      </c>
      <c r="U1333" s="9" t="s">
        <v>54</v>
      </c>
      <c r="V1333" s="9" t="s">
        <v>55</v>
      </c>
      <c r="W1333" s="9" t="s">
        <v>55</v>
      </c>
      <c r="X1333" s="12" t="s">
        <v>171</v>
      </c>
      <c r="Y1333" s="9" t="s">
        <v>172</v>
      </c>
      <c r="Z1333" s="13"/>
    </row>
    <row r="1334" spans="1:26" ht="32.25" hidden="1" customHeight="1">
      <c r="A1334" s="8">
        <v>2306217</v>
      </c>
      <c r="B1334" s="9" t="s">
        <v>4926</v>
      </c>
      <c r="C1334" s="10">
        <v>45142</v>
      </c>
      <c r="D1334" s="9" t="s">
        <v>67</v>
      </c>
      <c r="E1334" s="9" t="s">
        <v>89</v>
      </c>
      <c r="F1334" s="9" t="s">
        <v>42</v>
      </c>
      <c r="G1334" s="9" t="s">
        <v>43</v>
      </c>
      <c r="H1334" s="9" t="s">
        <v>44</v>
      </c>
      <c r="I1334" s="11" t="s">
        <v>354</v>
      </c>
      <c r="J1334" s="9" t="s">
        <v>91</v>
      </c>
      <c r="K1334" s="9" t="s">
        <v>47</v>
      </c>
      <c r="L1334" s="9" t="s">
        <v>156</v>
      </c>
      <c r="M1334" s="9"/>
      <c r="N1334" s="9" t="s">
        <v>50</v>
      </c>
      <c r="O1334" s="9" t="s">
        <v>51</v>
      </c>
      <c r="P1334" s="9" t="s">
        <v>356</v>
      </c>
      <c r="Q1334" s="9"/>
      <c r="R1334" s="9"/>
      <c r="S1334" s="9" t="s">
        <v>4927</v>
      </c>
      <c r="T1334" s="9" t="s">
        <v>4928</v>
      </c>
      <c r="U1334" s="9" t="s">
        <v>54</v>
      </c>
      <c r="V1334" s="9" t="s">
        <v>55</v>
      </c>
      <c r="W1334" s="9" t="s">
        <v>55</v>
      </c>
      <c r="X1334" s="12"/>
      <c r="Y1334" s="9" t="s">
        <v>55</v>
      </c>
      <c r="Z1334" s="13"/>
    </row>
    <row r="1335" spans="1:26" ht="32.25" hidden="1" customHeight="1">
      <c r="A1335" s="8">
        <v>2301516</v>
      </c>
      <c r="B1335" s="9" t="s">
        <v>4929</v>
      </c>
      <c r="C1335" s="10">
        <v>45149</v>
      </c>
      <c r="D1335" s="9" t="s">
        <v>57</v>
      </c>
      <c r="E1335" s="9" t="s">
        <v>41</v>
      </c>
      <c r="F1335" s="9" t="s">
        <v>42</v>
      </c>
      <c r="G1335" s="9" t="s">
        <v>43</v>
      </c>
      <c r="H1335" s="9" t="s">
        <v>58</v>
      </c>
      <c r="I1335" s="11" t="s">
        <v>199</v>
      </c>
      <c r="J1335" s="9" t="s">
        <v>200</v>
      </c>
      <c r="K1335" s="9" t="s">
        <v>47</v>
      </c>
      <c r="L1335" s="9" t="s">
        <v>156</v>
      </c>
      <c r="M1335" s="9"/>
      <c r="N1335" s="9" t="s">
        <v>50</v>
      </c>
      <c r="O1335" s="9" t="s">
        <v>51</v>
      </c>
      <c r="P1335" s="9"/>
      <c r="Q1335" s="9"/>
      <c r="R1335" s="9"/>
      <c r="S1335" s="14" t="s">
        <v>4930</v>
      </c>
      <c r="T1335" s="9" t="s">
        <v>4931</v>
      </c>
      <c r="U1335" s="9" t="s">
        <v>54</v>
      </c>
      <c r="V1335" s="9" t="s">
        <v>55</v>
      </c>
      <c r="W1335" s="9" t="s">
        <v>55</v>
      </c>
      <c r="X1335" s="12"/>
      <c r="Y1335" s="9" t="s">
        <v>55</v>
      </c>
      <c r="Z1335" s="13"/>
    </row>
    <row r="1336" spans="1:26" ht="32.25" hidden="1" customHeight="1">
      <c r="A1336" s="8">
        <v>2311544</v>
      </c>
      <c r="B1336" s="9" t="s">
        <v>4932</v>
      </c>
      <c r="C1336" s="10">
        <v>45142</v>
      </c>
      <c r="D1336" s="9" t="s">
        <v>67</v>
      </c>
      <c r="E1336" s="9" t="s">
        <v>143</v>
      </c>
      <c r="F1336" s="9" t="s">
        <v>42</v>
      </c>
      <c r="G1336" s="9" t="s">
        <v>43</v>
      </c>
      <c r="H1336" s="9" t="s">
        <v>44</v>
      </c>
      <c r="I1336" s="11" t="s">
        <v>144</v>
      </c>
      <c r="J1336" s="9" t="s">
        <v>145</v>
      </c>
      <c r="K1336" s="9" t="s">
        <v>47</v>
      </c>
      <c r="L1336" s="9" t="s">
        <v>340</v>
      </c>
      <c r="M1336" s="9" t="s">
        <v>3410</v>
      </c>
      <c r="N1336" s="9" t="s">
        <v>50</v>
      </c>
      <c r="O1336" s="9" t="s">
        <v>51</v>
      </c>
      <c r="P1336" s="9" t="s">
        <v>147</v>
      </c>
      <c r="Q1336" s="9"/>
      <c r="R1336" s="9" t="s">
        <v>61</v>
      </c>
      <c r="S1336" s="9" t="s">
        <v>4933</v>
      </c>
      <c r="T1336" s="9" t="s">
        <v>4934</v>
      </c>
      <c r="U1336" s="9" t="s">
        <v>54</v>
      </c>
      <c r="V1336" s="9" t="s">
        <v>55</v>
      </c>
      <c r="W1336" s="9" t="s">
        <v>55</v>
      </c>
      <c r="X1336" s="12" t="s">
        <v>150</v>
      </c>
      <c r="Y1336" s="9" t="s">
        <v>151</v>
      </c>
      <c r="Z1336" s="13"/>
    </row>
    <row r="1337" spans="1:26" ht="32.25" hidden="1" customHeight="1">
      <c r="A1337" s="8">
        <v>2311656</v>
      </c>
      <c r="B1337" s="9" t="s">
        <v>4935</v>
      </c>
      <c r="C1337" s="10">
        <v>45156</v>
      </c>
      <c r="D1337" s="9" t="s">
        <v>79</v>
      </c>
      <c r="E1337" s="9" t="s">
        <v>68</v>
      </c>
      <c r="F1337" s="9" t="s">
        <v>80</v>
      </c>
      <c r="G1337" s="9" t="s">
        <v>43</v>
      </c>
      <c r="H1337" s="9" t="s">
        <v>44</v>
      </c>
      <c r="I1337" s="11" t="s">
        <v>117</v>
      </c>
      <c r="J1337" s="9" t="s">
        <v>118</v>
      </c>
      <c r="K1337" s="9" t="s">
        <v>47</v>
      </c>
      <c r="L1337" s="9" t="s">
        <v>156</v>
      </c>
      <c r="M1337" s="9"/>
      <c r="N1337" s="9" t="s">
        <v>84</v>
      </c>
      <c r="O1337" s="9" t="s">
        <v>51</v>
      </c>
      <c r="P1337" s="9" t="s">
        <v>2945</v>
      </c>
      <c r="Q1337" s="9"/>
      <c r="R1337" s="9"/>
      <c r="S1337" s="14" t="s">
        <v>4936</v>
      </c>
      <c r="T1337" s="9" t="s">
        <v>4937</v>
      </c>
      <c r="U1337" s="9" t="s">
        <v>54</v>
      </c>
      <c r="V1337" s="9" t="s">
        <v>55</v>
      </c>
      <c r="W1337" s="9" t="s">
        <v>55</v>
      </c>
      <c r="X1337" s="12"/>
      <c r="Y1337" s="9" t="s">
        <v>55</v>
      </c>
      <c r="Z1337" s="13"/>
    </row>
    <row r="1338" spans="1:26" ht="32.25" hidden="1" customHeight="1">
      <c r="A1338" s="8">
        <v>2301098</v>
      </c>
      <c r="B1338" s="9" t="s">
        <v>4938</v>
      </c>
      <c r="C1338" s="10">
        <v>45156</v>
      </c>
      <c r="D1338" s="9" t="s">
        <v>79</v>
      </c>
      <c r="E1338" s="9" t="s">
        <v>89</v>
      </c>
      <c r="F1338" s="9" t="s">
        <v>80</v>
      </c>
      <c r="G1338" s="9" t="s">
        <v>43</v>
      </c>
      <c r="H1338" s="9" t="s">
        <v>44</v>
      </c>
      <c r="I1338" s="11" t="s">
        <v>101</v>
      </c>
      <c r="J1338" s="9" t="s">
        <v>102</v>
      </c>
      <c r="K1338" s="9" t="s">
        <v>47</v>
      </c>
      <c r="L1338" s="9" t="s">
        <v>1542</v>
      </c>
      <c r="M1338" s="9" t="s">
        <v>1543</v>
      </c>
      <c r="N1338" s="9" t="s">
        <v>50</v>
      </c>
      <c r="O1338" s="9" t="s">
        <v>51</v>
      </c>
      <c r="P1338" s="9" t="s">
        <v>715</v>
      </c>
      <c r="Q1338" s="9"/>
      <c r="R1338" s="9" t="s">
        <v>61</v>
      </c>
      <c r="S1338" s="14" t="s">
        <v>4939</v>
      </c>
      <c r="T1338" s="9" t="s">
        <v>4940</v>
      </c>
      <c r="U1338" s="9" t="s">
        <v>54</v>
      </c>
      <c r="V1338" s="9" t="s">
        <v>55</v>
      </c>
      <c r="W1338" s="9" t="s">
        <v>55</v>
      </c>
      <c r="X1338" s="12" t="s">
        <v>98</v>
      </c>
      <c r="Y1338" s="9" t="s">
        <v>99</v>
      </c>
      <c r="Z1338" s="13"/>
    </row>
    <row r="1339" spans="1:26" ht="32.25" hidden="1" customHeight="1">
      <c r="A1339" s="8">
        <v>2314262</v>
      </c>
      <c r="B1339" s="9" t="s">
        <v>4941</v>
      </c>
      <c r="C1339" s="10">
        <v>45156</v>
      </c>
      <c r="D1339" s="9" t="s">
        <v>79</v>
      </c>
      <c r="E1339" s="9" t="s">
        <v>41</v>
      </c>
      <c r="F1339" s="9" t="s">
        <v>80</v>
      </c>
      <c r="G1339" s="9" t="s">
        <v>43</v>
      </c>
      <c r="H1339" s="9" t="s">
        <v>44</v>
      </c>
      <c r="I1339" s="11" t="s">
        <v>233</v>
      </c>
      <c r="J1339" s="9" t="s">
        <v>200</v>
      </c>
      <c r="K1339" s="9" t="s">
        <v>47</v>
      </c>
      <c r="L1339" s="9" t="s">
        <v>156</v>
      </c>
      <c r="M1339" s="9"/>
      <c r="N1339" s="9" t="s">
        <v>50</v>
      </c>
      <c r="O1339" s="9" t="s">
        <v>51</v>
      </c>
      <c r="P1339" s="9" t="s">
        <v>443</v>
      </c>
      <c r="Q1339" s="9"/>
      <c r="R1339" s="9"/>
      <c r="S1339" s="14" t="s">
        <v>4942</v>
      </c>
      <c r="T1339" s="9" t="s">
        <v>4943</v>
      </c>
      <c r="U1339" s="9" t="s">
        <v>54</v>
      </c>
      <c r="V1339" s="9" t="s">
        <v>55</v>
      </c>
      <c r="W1339" s="9" t="s">
        <v>55</v>
      </c>
      <c r="X1339" s="12"/>
      <c r="Y1339" s="9" t="s">
        <v>55</v>
      </c>
      <c r="Z1339" s="13"/>
    </row>
    <row r="1340" spans="1:26" ht="32.25" hidden="1" customHeight="1">
      <c r="A1340" s="8">
        <v>2305456</v>
      </c>
      <c r="B1340" s="9" t="s">
        <v>4944</v>
      </c>
      <c r="C1340" s="10">
        <v>45156</v>
      </c>
      <c r="D1340" s="9" t="s">
        <v>79</v>
      </c>
      <c r="E1340" s="9" t="s">
        <v>143</v>
      </c>
      <c r="F1340" s="9" t="s">
        <v>80</v>
      </c>
      <c r="G1340" s="9" t="s">
        <v>43</v>
      </c>
      <c r="H1340" s="9" t="s">
        <v>44</v>
      </c>
      <c r="I1340" s="11" t="s">
        <v>725</v>
      </c>
      <c r="J1340" s="9" t="s">
        <v>145</v>
      </c>
      <c r="K1340" s="9" t="s">
        <v>47</v>
      </c>
      <c r="L1340" s="9" t="s">
        <v>156</v>
      </c>
      <c r="M1340" s="9"/>
      <c r="N1340" s="9" t="s">
        <v>50</v>
      </c>
      <c r="O1340" s="9" t="s">
        <v>51</v>
      </c>
      <c r="P1340" s="9" t="s">
        <v>727</v>
      </c>
      <c r="Q1340" s="9"/>
      <c r="R1340" s="9"/>
      <c r="S1340" s="14" t="s">
        <v>4945</v>
      </c>
      <c r="T1340" s="9" t="s">
        <v>4946</v>
      </c>
      <c r="U1340" s="9" t="s">
        <v>54</v>
      </c>
      <c r="V1340" s="9"/>
      <c r="W1340" s="9" t="s">
        <v>115</v>
      </c>
      <c r="X1340" s="12"/>
      <c r="Y1340" s="9" t="s">
        <v>55</v>
      </c>
      <c r="Z1340" s="13"/>
    </row>
    <row r="1341" spans="1:26" ht="32.25" hidden="1" customHeight="1">
      <c r="A1341" s="8">
        <v>2301947</v>
      </c>
      <c r="B1341" s="9" t="s">
        <v>4947</v>
      </c>
      <c r="C1341" s="10">
        <v>45142</v>
      </c>
      <c r="D1341" s="9" t="s">
        <v>67</v>
      </c>
      <c r="E1341" s="9" t="s">
        <v>41</v>
      </c>
      <c r="F1341" s="9" t="s">
        <v>42</v>
      </c>
      <c r="G1341" s="9" t="s">
        <v>43</v>
      </c>
      <c r="H1341" s="9" t="s">
        <v>44</v>
      </c>
      <c r="I1341" s="11" t="s">
        <v>45</v>
      </c>
      <c r="J1341" s="9" t="s">
        <v>46</v>
      </c>
      <c r="K1341" s="9" t="s">
        <v>47</v>
      </c>
      <c r="L1341" s="9" t="s">
        <v>827</v>
      </c>
      <c r="M1341" s="9" t="s">
        <v>828</v>
      </c>
      <c r="N1341" s="9" t="s">
        <v>50</v>
      </c>
      <c r="O1341" s="9" t="s">
        <v>51</v>
      </c>
      <c r="P1341" s="9"/>
      <c r="Q1341" s="9"/>
      <c r="R1341" s="9" t="s">
        <v>61</v>
      </c>
      <c r="S1341" s="9" t="s">
        <v>4948</v>
      </c>
      <c r="T1341" s="9" t="s">
        <v>4949</v>
      </c>
      <c r="U1341" s="9" t="s">
        <v>54</v>
      </c>
      <c r="V1341" s="9" t="s">
        <v>55</v>
      </c>
      <c r="W1341" s="9" t="s">
        <v>55</v>
      </c>
      <c r="X1341" s="9" t="s">
        <v>64</v>
      </c>
      <c r="Y1341" s="9" t="s">
        <v>65</v>
      </c>
      <c r="Z1341" s="13"/>
    </row>
    <row r="1342" spans="1:26" ht="32.25" hidden="1" customHeight="1">
      <c r="A1342" s="8">
        <v>2304159</v>
      </c>
      <c r="B1342" s="9" t="s">
        <v>4950</v>
      </c>
      <c r="C1342" s="10">
        <v>45136</v>
      </c>
      <c r="D1342" s="9" t="s">
        <v>301</v>
      </c>
      <c r="E1342" s="9" t="s">
        <v>68</v>
      </c>
      <c r="F1342" s="9" t="s">
        <v>135</v>
      </c>
      <c r="G1342" s="9" t="s">
        <v>43</v>
      </c>
      <c r="H1342" s="9" t="s">
        <v>44</v>
      </c>
      <c r="I1342" s="11" t="s">
        <v>136</v>
      </c>
      <c r="J1342" s="9" t="s">
        <v>137</v>
      </c>
      <c r="K1342" s="9" t="s">
        <v>47</v>
      </c>
      <c r="L1342" s="9" t="s">
        <v>156</v>
      </c>
      <c r="M1342" s="9"/>
      <c r="N1342" s="9" t="s">
        <v>84</v>
      </c>
      <c r="O1342" s="9" t="s">
        <v>51</v>
      </c>
      <c r="P1342" s="9"/>
      <c r="Q1342" s="9"/>
      <c r="R1342" s="9"/>
      <c r="S1342" s="9" t="s">
        <v>4951</v>
      </c>
      <c r="T1342" s="9" t="s">
        <v>4952</v>
      </c>
      <c r="U1342" s="9" t="s">
        <v>54</v>
      </c>
      <c r="V1342" s="9" t="s">
        <v>55</v>
      </c>
      <c r="W1342" s="9" t="s">
        <v>55</v>
      </c>
      <c r="X1342" s="12"/>
      <c r="Y1342" s="9" t="s">
        <v>55</v>
      </c>
      <c r="Z1342" s="13"/>
    </row>
    <row r="1343" spans="1:26" ht="32.25" hidden="1" customHeight="1">
      <c r="A1343" s="8">
        <v>2307918</v>
      </c>
      <c r="B1343" s="9" t="s">
        <v>4953</v>
      </c>
      <c r="C1343" s="10">
        <v>45142</v>
      </c>
      <c r="D1343" s="9" t="s">
        <v>67</v>
      </c>
      <c r="E1343" s="9" t="s">
        <v>41</v>
      </c>
      <c r="F1343" s="9" t="s">
        <v>42</v>
      </c>
      <c r="G1343" s="9" t="s">
        <v>43</v>
      </c>
      <c r="H1343" s="9" t="s">
        <v>44</v>
      </c>
      <c r="I1343" s="11" t="s">
        <v>129</v>
      </c>
      <c r="J1343" s="9" t="s">
        <v>130</v>
      </c>
      <c r="K1343" s="9" t="s">
        <v>47</v>
      </c>
      <c r="L1343" s="9" t="s">
        <v>2729</v>
      </c>
      <c r="M1343" s="9" t="s">
        <v>4954</v>
      </c>
      <c r="N1343" s="9" t="s">
        <v>84</v>
      </c>
      <c r="O1343" s="9" t="s">
        <v>51</v>
      </c>
      <c r="P1343" s="9"/>
      <c r="Q1343" s="9"/>
      <c r="R1343" s="9" t="s">
        <v>61</v>
      </c>
      <c r="S1343" s="9" t="s">
        <v>4955</v>
      </c>
      <c r="T1343" s="9" t="s">
        <v>4956</v>
      </c>
      <c r="U1343" s="9" t="s">
        <v>54</v>
      </c>
      <c r="V1343" s="9" t="s">
        <v>55</v>
      </c>
      <c r="W1343" s="9" t="s">
        <v>55</v>
      </c>
      <c r="X1343" s="9" t="s">
        <v>196</v>
      </c>
      <c r="Y1343" s="9" t="s">
        <v>197</v>
      </c>
      <c r="Z1343" s="13" t="s">
        <v>230</v>
      </c>
    </row>
    <row r="1344" spans="1:26" ht="32.25" hidden="1" customHeight="1">
      <c r="A1344" s="8">
        <v>2308256</v>
      </c>
      <c r="B1344" s="9" t="s">
        <v>4957</v>
      </c>
      <c r="C1344" s="10">
        <v>45142</v>
      </c>
      <c r="D1344" s="9" t="s">
        <v>67</v>
      </c>
      <c r="E1344" s="9" t="s">
        <v>143</v>
      </c>
      <c r="F1344" s="9" t="s">
        <v>42</v>
      </c>
      <c r="G1344" s="9" t="s">
        <v>43</v>
      </c>
      <c r="H1344" s="9" t="s">
        <v>44</v>
      </c>
      <c r="I1344" s="11" t="s">
        <v>219</v>
      </c>
      <c r="J1344" s="9" t="s">
        <v>220</v>
      </c>
      <c r="K1344" s="9" t="s">
        <v>47</v>
      </c>
      <c r="L1344" s="9" t="s">
        <v>1686</v>
      </c>
      <c r="M1344" s="9" t="s">
        <v>4958</v>
      </c>
      <c r="N1344" s="9" t="s">
        <v>50</v>
      </c>
      <c r="O1344" s="9" t="s">
        <v>51</v>
      </c>
      <c r="P1344" s="9"/>
      <c r="Q1344" s="9"/>
      <c r="R1344" s="9" t="s">
        <v>61</v>
      </c>
      <c r="S1344" s="9" t="s">
        <v>4959</v>
      </c>
      <c r="T1344" s="9" t="s">
        <v>4960</v>
      </c>
      <c r="U1344" s="9" t="s">
        <v>54</v>
      </c>
      <c r="V1344" s="9" t="s">
        <v>55</v>
      </c>
      <c r="W1344" s="9" t="s">
        <v>55</v>
      </c>
      <c r="X1344" s="12" t="s">
        <v>171</v>
      </c>
      <c r="Y1344" s="9" t="s">
        <v>172</v>
      </c>
      <c r="Z1344" s="13"/>
    </row>
    <row r="1345" spans="1:26" ht="32.25" hidden="1" customHeight="1">
      <c r="A1345" s="8">
        <v>2313958</v>
      </c>
      <c r="B1345" s="9" t="s">
        <v>4961</v>
      </c>
      <c r="C1345" s="10">
        <v>45149</v>
      </c>
      <c r="D1345" s="9" t="s">
        <v>57</v>
      </c>
      <c r="E1345" s="9" t="s">
        <v>295</v>
      </c>
      <c r="F1345" s="9" t="s">
        <v>42</v>
      </c>
      <c r="G1345" s="9" t="s">
        <v>43</v>
      </c>
      <c r="H1345" s="9" t="s">
        <v>58</v>
      </c>
      <c r="I1345" s="11" t="s">
        <v>406</v>
      </c>
      <c r="J1345" s="9" t="s">
        <v>407</v>
      </c>
      <c r="K1345" s="9" t="s">
        <v>47</v>
      </c>
      <c r="L1345" s="9" t="s">
        <v>48</v>
      </c>
      <c r="M1345" s="9" t="s">
        <v>4962</v>
      </c>
      <c r="N1345" s="9" t="s">
        <v>84</v>
      </c>
      <c r="O1345" s="9" t="s">
        <v>51</v>
      </c>
      <c r="P1345" s="9"/>
      <c r="Q1345" s="9"/>
      <c r="R1345" s="9" t="s">
        <v>61</v>
      </c>
      <c r="S1345" s="14" t="s">
        <v>4963</v>
      </c>
      <c r="T1345" s="9" t="s">
        <v>4964</v>
      </c>
      <c r="U1345" s="9" t="s">
        <v>54</v>
      </c>
      <c r="V1345" s="9" t="s">
        <v>55</v>
      </c>
      <c r="W1345" s="9" t="s">
        <v>55</v>
      </c>
      <c r="X1345" s="9" t="s">
        <v>319</v>
      </c>
      <c r="Y1345" s="9" t="s">
        <v>320</v>
      </c>
      <c r="Z1345" s="13"/>
    </row>
    <row r="1346" spans="1:26" ht="32.25" hidden="1" customHeight="1">
      <c r="A1346" s="8">
        <v>2304473</v>
      </c>
      <c r="B1346" s="9" t="s">
        <v>4965</v>
      </c>
      <c r="C1346" s="10">
        <v>45142</v>
      </c>
      <c r="D1346" s="9" t="s">
        <v>67</v>
      </c>
      <c r="E1346" s="9" t="s">
        <v>68</v>
      </c>
      <c r="F1346" s="9" t="s">
        <v>135</v>
      </c>
      <c r="G1346" s="9" t="s">
        <v>43</v>
      </c>
      <c r="H1346" s="9" t="s">
        <v>44</v>
      </c>
      <c r="I1346" s="11" t="s">
        <v>136</v>
      </c>
      <c r="J1346" s="9" t="s">
        <v>137</v>
      </c>
      <c r="K1346" s="9" t="s">
        <v>47</v>
      </c>
      <c r="L1346" s="9" t="s">
        <v>156</v>
      </c>
      <c r="M1346" s="9"/>
      <c r="N1346" s="9" t="s">
        <v>84</v>
      </c>
      <c r="O1346" s="9" t="s">
        <v>51</v>
      </c>
      <c r="P1346" s="9"/>
      <c r="Q1346" s="9"/>
      <c r="R1346" s="9"/>
      <c r="S1346" s="9" t="s">
        <v>4966</v>
      </c>
      <c r="T1346" s="9" t="s">
        <v>4967</v>
      </c>
      <c r="U1346" s="9" t="s">
        <v>54</v>
      </c>
      <c r="V1346" s="9" t="s">
        <v>55</v>
      </c>
      <c r="W1346" s="9" t="s">
        <v>55</v>
      </c>
      <c r="X1346" s="12"/>
      <c r="Y1346" s="9" t="s">
        <v>55</v>
      </c>
      <c r="Z1346" s="13"/>
    </row>
    <row r="1347" spans="1:26" ht="32.25" hidden="1" customHeight="1">
      <c r="A1347" s="8">
        <v>2315611</v>
      </c>
      <c r="B1347" s="9" t="s">
        <v>4968</v>
      </c>
      <c r="C1347" s="10">
        <v>45155</v>
      </c>
      <c r="D1347" s="9" t="s">
        <v>4969</v>
      </c>
      <c r="E1347" s="9" t="s">
        <v>143</v>
      </c>
      <c r="F1347" s="9" t="s">
        <v>42</v>
      </c>
      <c r="G1347" s="9" t="s">
        <v>43</v>
      </c>
      <c r="H1347" s="9" t="s">
        <v>44</v>
      </c>
      <c r="I1347" s="11" t="s">
        <v>460</v>
      </c>
      <c r="J1347" s="9" t="s">
        <v>400</v>
      </c>
      <c r="K1347" s="9" t="s">
        <v>4970</v>
      </c>
      <c r="L1347" s="9"/>
      <c r="M1347" s="9" t="s">
        <v>4971</v>
      </c>
      <c r="N1347" s="9" t="s">
        <v>50</v>
      </c>
      <c r="O1347" s="9" t="s">
        <v>187</v>
      </c>
      <c r="P1347" s="9"/>
      <c r="Q1347" s="9"/>
      <c r="R1347" s="9" t="s">
        <v>61</v>
      </c>
      <c r="S1347" s="14" t="s">
        <v>641</v>
      </c>
      <c r="T1347" s="9" t="s">
        <v>4972</v>
      </c>
      <c r="U1347" s="9" t="s">
        <v>54</v>
      </c>
      <c r="V1347" s="9" t="s">
        <v>55</v>
      </c>
      <c r="W1347" s="9" t="s">
        <v>55</v>
      </c>
      <c r="X1347" s="12" t="s">
        <v>150</v>
      </c>
      <c r="Y1347" s="9" t="s">
        <v>151</v>
      </c>
      <c r="Z1347" s="13"/>
    </row>
    <row r="1348" spans="1:26" ht="32.25" hidden="1" customHeight="1">
      <c r="A1348" s="8">
        <v>2303856</v>
      </c>
      <c r="B1348" s="9" t="s">
        <v>4973</v>
      </c>
      <c r="C1348" s="10">
        <v>45156</v>
      </c>
      <c r="D1348" s="9" t="s">
        <v>79</v>
      </c>
      <c r="E1348" s="9" t="s">
        <v>89</v>
      </c>
      <c r="F1348" s="9" t="s">
        <v>80</v>
      </c>
      <c r="G1348" s="9" t="s">
        <v>43</v>
      </c>
      <c r="H1348" s="9" t="s">
        <v>44</v>
      </c>
      <c r="I1348" s="11" t="s">
        <v>101</v>
      </c>
      <c r="J1348" s="9" t="s">
        <v>102</v>
      </c>
      <c r="K1348" s="9" t="s">
        <v>47</v>
      </c>
      <c r="L1348" s="9" t="s">
        <v>48</v>
      </c>
      <c r="M1348" s="9" t="s">
        <v>1116</v>
      </c>
      <c r="N1348" s="9" t="s">
        <v>50</v>
      </c>
      <c r="O1348" s="9" t="s">
        <v>51</v>
      </c>
      <c r="P1348" s="9" t="s">
        <v>212</v>
      </c>
      <c r="Q1348" s="9"/>
      <c r="R1348" s="9"/>
      <c r="S1348" s="14" t="s">
        <v>4974</v>
      </c>
      <c r="T1348" s="9" t="s">
        <v>4975</v>
      </c>
      <c r="U1348" s="9" t="s">
        <v>54</v>
      </c>
      <c r="V1348" s="9" t="s">
        <v>55</v>
      </c>
      <c r="W1348" s="9" t="s">
        <v>55</v>
      </c>
      <c r="X1348" s="12"/>
      <c r="Y1348" s="9" t="s">
        <v>55</v>
      </c>
      <c r="Z1348" s="13"/>
    </row>
    <row r="1349" spans="1:26" ht="32.25" hidden="1" customHeight="1">
      <c r="A1349" s="8">
        <v>2303768</v>
      </c>
      <c r="B1349" s="9" t="s">
        <v>4976</v>
      </c>
      <c r="C1349" s="10">
        <v>45156</v>
      </c>
      <c r="D1349" s="9" t="s">
        <v>79</v>
      </c>
      <c r="E1349" s="9" t="s">
        <v>89</v>
      </c>
      <c r="F1349" s="9" t="s">
        <v>80</v>
      </c>
      <c r="G1349" s="9" t="s">
        <v>43</v>
      </c>
      <c r="H1349" s="9" t="s">
        <v>44</v>
      </c>
      <c r="I1349" s="11" t="s">
        <v>101</v>
      </c>
      <c r="J1349" s="9" t="s">
        <v>102</v>
      </c>
      <c r="K1349" s="9" t="s">
        <v>47</v>
      </c>
      <c r="L1349" s="9" t="s">
        <v>48</v>
      </c>
      <c r="M1349" s="9" t="s">
        <v>4977</v>
      </c>
      <c r="N1349" s="9" t="s">
        <v>84</v>
      </c>
      <c r="O1349" s="9" t="s">
        <v>51</v>
      </c>
      <c r="P1349" s="9" t="s">
        <v>212</v>
      </c>
      <c r="Q1349" s="9"/>
      <c r="R1349" s="9"/>
      <c r="S1349" s="14" t="s">
        <v>4978</v>
      </c>
      <c r="T1349" s="9" t="s">
        <v>4979</v>
      </c>
      <c r="U1349" s="9" t="s">
        <v>54</v>
      </c>
      <c r="V1349" s="9" t="s">
        <v>55</v>
      </c>
      <c r="W1349" s="9" t="s">
        <v>55</v>
      </c>
      <c r="X1349" s="12"/>
      <c r="Y1349" s="9" t="s">
        <v>55</v>
      </c>
      <c r="Z1349" s="13"/>
    </row>
    <row r="1350" spans="1:26" ht="32.25" hidden="1" customHeight="1">
      <c r="A1350" s="8">
        <v>2309607</v>
      </c>
      <c r="B1350" s="9" t="s">
        <v>4980</v>
      </c>
      <c r="C1350" s="10">
        <v>45136</v>
      </c>
      <c r="D1350" s="9" t="s">
        <v>40</v>
      </c>
      <c r="E1350" s="9" t="s">
        <v>41</v>
      </c>
      <c r="F1350" s="9" t="s">
        <v>42</v>
      </c>
      <c r="G1350" s="9" t="s">
        <v>43</v>
      </c>
      <c r="H1350" s="9" t="s">
        <v>44</v>
      </c>
      <c r="I1350" s="11" t="s">
        <v>199</v>
      </c>
      <c r="J1350" s="9" t="s">
        <v>200</v>
      </c>
      <c r="K1350" s="9" t="s">
        <v>47</v>
      </c>
      <c r="L1350" s="9" t="s">
        <v>174</v>
      </c>
      <c r="M1350" s="9" t="s">
        <v>644</v>
      </c>
      <c r="N1350" s="9" t="s">
        <v>50</v>
      </c>
      <c r="O1350" s="9" t="s">
        <v>51</v>
      </c>
      <c r="P1350" s="9"/>
      <c r="Q1350" s="9"/>
      <c r="R1350" s="9" t="s">
        <v>61</v>
      </c>
      <c r="S1350" s="9" t="s">
        <v>4981</v>
      </c>
      <c r="T1350" s="9" t="s">
        <v>4982</v>
      </c>
      <c r="U1350" s="9" t="s">
        <v>54</v>
      </c>
      <c r="V1350" s="9" t="s">
        <v>55</v>
      </c>
      <c r="W1350" s="9" t="s">
        <v>55</v>
      </c>
      <c r="X1350" s="12" t="s">
        <v>196</v>
      </c>
      <c r="Y1350" s="9" t="s">
        <v>197</v>
      </c>
      <c r="Z1350" s="13"/>
    </row>
    <row r="1351" spans="1:26" ht="32.25" hidden="1" customHeight="1">
      <c r="A1351" s="8">
        <v>2312772</v>
      </c>
      <c r="B1351" s="9" t="s">
        <v>4983</v>
      </c>
      <c r="C1351" s="10">
        <v>45136</v>
      </c>
      <c r="D1351" s="9" t="s">
        <v>40</v>
      </c>
      <c r="E1351" s="9" t="s">
        <v>41</v>
      </c>
      <c r="F1351" s="9" t="s">
        <v>42</v>
      </c>
      <c r="G1351" s="9" t="s">
        <v>43</v>
      </c>
      <c r="H1351" s="9" t="s">
        <v>44</v>
      </c>
      <c r="I1351" s="11" t="s">
        <v>661</v>
      </c>
      <c r="J1351" s="9" t="s">
        <v>662</v>
      </c>
      <c r="K1351" s="9" t="s">
        <v>47</v>
      </c>
      <c r="L1351" s="9" t="s">
        <v>156</v>
      </c>
      <c r="M1351" s="9"/>
      <c r="N1351" s="9" t="s">
        <v>84</v>
      </c>
      <c r="O1351" s="9" t="s">
        <v>51</v>
      </c>
      <c r="P1351" s="9"/>
      <c r="Q1351" s="9"/>
      <c r="R1351" s="9"/>
      <c r="S1351" s="9" t="s">
        <v>4984</v>
      </c>
      <c r="T1351" s="9" t="s">
        <v>4985</v>
      </c>
      <c r="U1351" s="9" t="s">
        <v>54</v>
      </c>
      <c r="V1351" s="9" t="s">
        <v>55</v>
      </c>
      <c r="W1351" s="9" t="s">
        <v>55</v>
      </c>
      <c r="X1351" s="9"/>
      <c r="Y1351" s="9" t="s">
        <v>55</v>
      </c>
      <c r="Z1351" s="13"/>
    </row>
    <row r="1352" spans="1:26" ht="32.25" hidden="1" customHeight="1">
      <c r="A1352" s="8">
        <v>2302360</v>
      </c>
      <c r="B1352" s="9" t="s">
        <v>4986</v>
      </c>
      <c r="C1352" s="10">
        <v>45142</v>
      </c>
      <c r="D1352" s="9" t="s">
        <v>67</v>
      </c>
      <c r="E1352" s="9" t="s">
        <v>41</v>
      </c>
      <c r="F1352" s="9" t="s">
        <v>42</v>
      </c>
      <c r="G1352" s="9" t="s">
        <v>43</v>
      </c>
      <c r="H1352" s="9" t="s">
        <v>44</v>
      </c>
      <c r="I1352" s="11" t="s">
        <v>661</v>
      </c>
      <c r="J1352" s="9" t="s">
        <v>662</v>
      </c>
      <c r="K1352" s="9" t="s">
        <v>47</v>
      </c>
      <c r="L1352" s="9" t="s">
        <v>156</v>
      </c>
      <c r="M1352" s="9"/>
      <c r="N1352" s="9" t="s">
        <v>50</v>
      </c>
      <c r="O1352" s="9" t="s">
        <v>51</v>
      </c>
      <c r="P1352" s="9"/>
      <c r="Q1352" s="9"/>
      <c r="R1352" s="9"/>
      <c r="S1352" s="9" t="s">
        <v>4987</v>
      </c>
      <c r="T1352" s="9" t="s">
        <v>4988</v>
      </c>
      <c r="U1352" s="9" t="s">
        <v>54</v>
      </c>
      <c r="V1352" s="9" t="s">
        <v>55</v>
      </c>
      <c r="W1352" s="9" t="s">
        <v>55</v>
      </c>
      <c r="X1352" s="12"/>
      <c r="Y1352" s="9" t="s">
        <v>55</v>
      </c>
      <c r="Z1352" s="13"/>
    </row>
    <row r="1353" spans="1:26" ht="32.25" hidden="1" customHeight="1">
      <c r="A1353" s="8">
        <v>2302212</v>
      </c>
      <c r="B1353" s="9" t="s">
        <v>4989</v>
      </c>
      <c r="C1353" s="10">
        <v>45156</v>
      </c>
      <c r="D1353" s="9" t="s">
        <v>79</v>
      </c>
      <c r="E1353" s="9" t="s">
        <v>41</v>
      </c>
      <c r="F1353" s="9" t="s">
        <v>80</v>
      </c>
      <c r="G1353" s="9" t="s">
        <v>43</v>
      </c>
      <c r="H1353" s="9" t="s">
        <v>44</v>
      </c>
      <c r="I1353" s="11" t="s">
        <v>233</v>
      </c>
      <c r="J1353" s="9" t="s">
        <v>200</v>
      </c>
      <c r="K1353" s="9" t="s">
        <v>47</v>
      </c>
      <c r="L1353" s="9" t="s">
        <v>553</v>
      </c>
      <c r="M1353" s="9" t="s">
        <v>960</v>
      </c>
      <c r="N1353" s="9" t="s">
        <v>84</v>
      </c>
      <c r="O1353" s="9" t="s">
        <v>51</v>
      </c>
      <c r="P1353" s="9" t="s">
        <v>865</v>
      </c>
      <c r="Q1353" s="9"/>
      <c r="R1353" s="9" t="s">
        <v>61</v>
      </c>
      <c r="S1353" s="14" t="s">
        <v>4990</v>
      </c>
      <c r="T1353" s="9" t="s">
        <v>4991</v>
      </c>
      <c r="U1353" s="9" t="s">
        <v>54</v>
      </c>
      <c r="V1353" s="9" t="s">
        <v>3561</v>
      </c>
      <c r="W1353" s="9" t="s">
        <v>115</v>
      </c>
      <c r="X1353" s="12" t="s">
        <v>76</v>
      </c>
      <c r="Y1353" s="9" t="s">
        <v>77</v>
      </c>
      <c r="Z1353" s="13"/>
    </row>
    <row r="1354" spans="1:26" ht="32.25" hidden="1" customHeight="1">
      <c r="A1354" s="8">
        <v>2303118</v>
      </c>
      <c r="B1354" s="9" t="s">
        <v>4992</v>
      </c>
      <c r="C1354" s="10">
        <v>45149</v>
      </c>
      <c r="D1354" s="9" t="s">
        <v>57</v>
      </c>
      <c r="E1354" s="9" t="s">
        <v>153</v>
      </c>
      <c r="F1354" s="9" t="s">
        <v>42</v>
      </c>
      <c r="G1354" s="9" t="s">
        <v>43</v>
      </c>
      <c r="H1354" s="9" t="s">
        <v>58</v>
      </c>
      <c r="I1354" s="11" t="s">
        <v>154</v>
      </c>
      <c r="J1354" s="9" t="s">
        <v>155</v>
      </c>
      <c r="K1354" s="9" t="s">
        <v>47</v>
      </c>
      <c r="L1354" s="9" t="s">
        <v>846</v>
      </c>
      <c r="M1354" s="9" t="s">
        <v>1535</v>
      </c>
      <c r="N1354" s="9" t="s">
        <v>84</v>
      </c>
      <c r="O1354" s="9" t="s">
        <v>51</v>
      </c>
      <c r="P1354" s="9"/>
      <c r="Q1354" s="9"/>
      <c r="R1354" s="9" t="s">
        <v>61</v>
      </c>
      <c r="S1354" s="14" t="s">
        <v>4993</v>
      </c>
      <c r="T1354" s="9" t="s">
        <v>4994</v>
      </c>
      <c r="U1354" s="9" t="s">
        <v>54</v>
      </c>
      <c r="V1354" s="9" t="s">
        <v>55</v>
      </c>
      <c r="W1354" s="9" t="s">
        <v>55</v>
      </c>
      <c r="X1354" s="12" t="s">
        <v>171</v>
      </c>
      <c r="Y1354" s="9" t="s">
        <v>172</v>
      </c>
      <c r="Z1354" s="13"/>
    </row>
    <row r="1355" spans="1:26" ht="32.25" hidden="1" customHeight="1">
      <c r="A1355" s="8">
        <v>2315228</v>
      </c>
      <c r="B1355" s="9" t="s">
        <v>4995</v>
      </c>
      <c r="C1355" s="10">
        <v>45152</v>
      </c>
      <c r="D1355" s="9" t="s">
        <v>185</v>
      </c>
      <c r="E1355" s="9" t="s">
        <v>41</v>
      </c>
      <c r="F1355" s="9" t="s">
        <v>42</v>
      </c>
      <c r="G1355" s="9" t="s">
        <v>43</v>
      </c>
      <c r="H1355" s="9" t="s">
        <v>44</v>
      </c>
      <c r="I1355" s="11" t="s">
        <v>45</v>
      </c>
      <c r="J1355" s="9" t="s">
        <v>46</v>
      </c>
      <c r="K1355" s="9" t="s">
        <v>110</v>
      </c>
      <c r="L1355" s="9" t="s">
        <v>119</v>
      </c>
      <c r="M1355" s="9" t="s">
        <v>111</v>
      </c>
      <c r="N1355" s="9" t="s">
        <v>50</v>
      </c>
      <c r="O1355" s="9" t="s">
        <v>187</v>
      </c>
      <c r="P1355" s="9"/>
      <c r="Q1355" s="9"/>
      <c r="R1355" s="9" t="s">
        <v>61</v>
      </c>
      <c r="S1355" s="14" t="s">
        <v>4996</v>
      </c>
      <c r="T1355" s="9" t="s">
        <v>4997</v>
      </c>
      <c r="U1355" s="9" t="s">
        <v>54</v>
      </c>
      <c r="V1355" s="9" t="s">
        <v>55</v>
      </c>
      <c r="W1355" s="9" t="s">
        <v>55</v>
      </c>
      <c r="X1355" s="9" t="s">
        <v>64</v>
      </c>
      <c r="Y1355" s="9" t="s">
        <v>65</v>
      </c>
      <c r="Z1355" s="13"/>
    </row>
    <row r="1356" spans="1:26" ht="32.25" customHeight="1">
      <c r="A1356" s="8">
        <v>2315580</v>
      </c>
      <c r="B1356" s="9" t="s">
        <v>4998</v>
      </c>
      <c r="C1356" s="10">
        <v>45153</v>
      </c>
      <c r="D1356" s="9" t="s">
        <v>247</v>
      </c>
      <c r="E1356" s="9" t="s">
        <v>248</v>
      </c>
      <c r="F1356" s="9" t="s">
        <v>13288</v>
      </c>
      <c r="G1356" s="9" t="s">
        <v>43</v>
      </c>
      <c r="H1356" s="9" t="s">
        <v>44</v>
      </c>
      <c r="I1356" s="11"/>
      <c r="J1356" s="9" t="s">
        <v>249</v>
      </c>
      <c r="K1356" s="9" t="s">
        <v>250</v>
      </c>
      <c r="L1356" s="9"/>
      <c r="M1356" s="9"/>
      <c r="N1356" s="9" t="s">
        <v>84</v>
      </c>
      <c r="O1356" s="9" t="s">
        <v>187</v>
      </c>
      <c r="P1356" s="9"/>
      <c r="Q1356" s="9"/>
      <c r="R1356" s="9" t="s">
        <v>61</v>
      </c>
      <c r="S1356" s="14"/>
      <c r="T1356" s="9"/>
      <c r="U1356" s="9" t="s">
        <v>55</v>
      </c>
      <c r="V1356" s="9" t="s">
        <v>251</v>
      </c>
      <c r="W1356" s="9" t="s">
        <v>55</v>
      </c>
      <c r="X1356" s="12" t="s">
        <v>171</v>
      </c>
      <c r="Y1356" s="9" t="s">
        <v>172</v>
      </c>
      <c r="Z1356" s="13"/>
    </row>
    <row r="1357" spans="1:26" ht="32.25" hidden="1" customHeight="1">
      <c r="A1357" s="8">
        <v>2305188</v>
      </c>
      <c r="B1357" s="9" t="s">
        <v>4999</v>
      </c>
      <c r="C1357" s="10">
        <v>45149</v>
      </c>
      <c r="D1357" s="9" t="s">
        <v>57</v>
      </c>
      <c r="E1357" s="9" t="s">
        <v>41</v>
      </c>
      <c r="F1357" s="9" t="s">
        <v>42</v>
      </c>
      <c r="G1357" s="9" t="s">
        <v>43</v>
      </c>
      <c r="H1357" s="9" t="s">
        <v>58</v>
      </c>
      <c r="I1357" s="11" t="s">
        <v>661</v>
      </c>
      <c r="J1357" s="9" t="s">
        <v>662</v>
      </c>
      <c r="K1357" s="9" t="s">
        <v>47</v>
      </c>
      <c r="L1357" s="9" t="s">
        <v>156</v>
      </c>
      <c r="M1357" s="9"/>
      <c r="N1357" s="9" t="s">
        <v>84</v>
      </c>
      <c r="O1357" s="9" t="s">
        <v>51</v>
      </c>
      <c r="P1357" s="9"/>
      <c r="Q1357" s="9"/>
      <c r="R1357" s="9"/>
      <c r="S1357" s="14" t="s">
        <v>5000</v>
      </c>
      <c r="T1357" s="9" t="s">
        <v>5001</v>
      </c>
      <c r="U1357" s="9" t="s">
        <v>54</v>
      </c>
      <c r="V1357" s="9" t="s">
        <v>55</v>
      </c>
      <c r="W1357" s="9" t="s">
        <v>55</v>
      </c>
      <c r="X1357" s="12"/>
      <c r="Y1357" s="9" t="s">
        <v>55</v>
      </c>
      <c r="Z1357" s="13"/>
    </row>
    <row r="1358" spans="1:26" ht="32.25" hidden="1" customHeight="1">
      <c r="A1358" s="8">
        <v>2312815</v>
      </c>
      <c r="B1358" s="9" t="s">
        <v>5002</v>
      </c>
      <c r="C1358" s="10">
        <v>45149</v>
      </c>
      <c r="D1358" s="9" t="s">
        <v>57</v>
      </c>
      <c r="E1358" s="9" t="s">
        <v>295</v>
      </c>
      <c r="F1358" s="9" t="s">
        <v>42</v>
      </c>
      <c r="G1358" s="9" t="s">
        <v>43</v>
      </c>
      <c r="H1358" s="9" t="s">
        <v>58</v>
      </c>
      <c r="I1358" s="11" t="s">
        <v>296</v>
      </c>
      <c r="J1358" s="9" t="s">
        <v>297</v>
      </c>
      <c r="K1358" s="9" t="s">
        <v>47</v>
      </c>
      <c r="L1358" s="9" t="s">
        <v>48</v>
      </c>
      <c r="M1358" s="9"/>
      <c r="N1358" s="9" t="s">
        <v>84</v>
      </c>
      <c r="O1358" s="9" t="s">
        <v>51</v>
      </c>
      <c r="P1358" s="9"/>
      <c r="Q1358" s="9"/>
      <c r="R1358" s="9" t="s">
        <v>61</v>
      </c>
      <c r="S1358" s="14" t="s">
        <v>5003</v>
      </c>
      <c r="T1358" s="9" t="s">
        <v>5004</v>
      </c>
      <c r="U1358" s="9" t="s">
        <v>54</v>
      </c>
      <c r="V1358" s="9" t="s">
        <v>55</v>
      </c>
      <c r="W1358" s="9" t="s">
        <v>55</v>
      </c>
      <c r="X1358" s="9" t="s">
        <v>319</v>
      </c>
      <c r="Y1358" s="9" t="s">
        <v>320</v>
      </c>
      <c r="Z1358" s="13"/>
    </row>
    <row r="1359" spans="1:26" ht="32.25" hidden="1" customHeight="1">
      <c r="A1359" s="8">
        <v>2313932</v>
      </c>
      <c r="B1359" s="9" t="s">
        <v>5005</v>
      </c>
      <c r="C1359" s="10">
        <v>45142</v>
      </c>
      <c r="D1359" s="9" t="s">
        <v>67</v>
      </c>
      <c r="E1359" s="9" t="s">
        <v>41</v>
      </c>
      <c r="F1359" s="9" t="s">
        <v>42</v>
      </c>
      <c r="G1359" s="9" t="s">
        <v>43</v>
      </c>
      <c r="H1359" s="9" t="s">
        <v>44</v>
      </c>
      <c r="I1359" s="11" t="s">
        <v>45</v>
      </c>
      <c r="J1359" s="9" t="s">
        <v>46</v>
      </c>
      <c r="K1359" s="9" t="s">
        <v>47</v>
      </c>
      <c r="L1359" s="9" t="s">
        <v>221</v>
      </c>
      <c r="M1359" s="9" t="s">
        <v>5006</v>
      </c>
      <c r="N1359" s="9" t="s">
        <v>84</v>
      </c>
      <c r="O1359" s="9" t="s">
        <v>51</v>
      </c>
      <c r="P1359" s="9"/>
      <c r="Q1359" s="9"/>
      <c r="R1359" s="9" t="s">
        <v>61</v>
      </c>
      <c r="S1359" s="9" t="s">
        <v>5007</v>
      </c>
      <c r="T1359" s="9" t="s">
        <v>5008</v>
      </c>
      <c r="U1359" s="9" t="s">
        <v>54</v>
      </c>
      <c r="V1359" s="9" t="s">
        <v>55</v>
      </c>
      <c r="W1359" s="9" t="s">
        <v>55</v>
      </c>
      <c r="X1359" s="9" t="s">
        <v>196</v>
      </c>
      <c r="Y1359" s="9" t="s">
        <v>197</v>
      </c>
      <c r="Z1359" s="13"/>
    </row>
    <row r="1360" spans="1:26" ht="32.25" hidden="1" customHeight="1">
      <c r="A1360" s="8">
        <v>2309569</v>
      </c>
      <c r="B1360" s="9" t="s">
        <v>5009</v>
      </c>
      <c r="C1360" s="10">
        <v>45156</v>
      </c>
      <c r="D1360" s="9" t="s">
        <v>79</v>
      </c>
      <c r="E1360" s="9" t="s">
        <v>143</v>
      </c>
      <c r="F1360" s="9" t="s">
        <v>80</v>
      </c>
      <c r="G1360" s="9" t="s">
        <v>43</v>
      </c>
      <c r="H1360" s="9" t="s">
        <v>44</v>
      </c>
      <c r="I1360" s="11" t="s">
        <v>326</v>
      </c>
      <c r="J1360" s="9" t="s">
        <v>327</v>
      </c>
      <c r="K1360" s="9" t="s">
        <v>47</v>
      </c>
      <c r="L1360" s="9" t="s">
        <v>305</v>
      </c>
      <c r="M1360" s="9" t="s">
        <v>5010</v>
      </c>
      <c r="N1360" s="9" t="s">
        <v>84</v>
      </c>
      <c r="O1360" s="9" t="s">
        <v>51</v>
      </c>
      <c r="P1360" s="9" t="s">
        <v>1117</v>
      </c>
      <c r="Q1360" s="9"/>
      <c r="R1360" s="9" t="s">
        <v>61</v>
      </c>
      <c r="S1360" s="14" t="s">
        <v>5011</v>
      </c>
      <c r="T1360" s="9" t="s">
        <v>5012</v>
      </c>
      <c r="U1360" s="9" t="s">
        <v>54</v>
      </c>
      <c r="V1360" s="9" t="s">
        <v>251</v>
      </c>
      <c r="W1360" s="9" t="s">
        <v>115</v>
      </c>
      <c r="X1360" s="12" t="s">
        <v>389</v>
      </c>
      <c r="Y1360" s="9" t="s">
        <v>390</v>
      </c>
      <c r="Z1360" s="13" t="s">
        <v>1399</v>
      </c>
    </row>
    <row r="1361" spans="1:26" ht="32.25" hidden="1" customHeight="1">
      <c r="A1361" s="8">
        <v>2311663</v>
      </c>
      <c r="B1361" s="9" t="s">
        <v>5013</v>
      </c>
      <c r="C1361" s="10">
        <v>45149</v>
      </c>
      <c r="D1361" s="9" t="s">
        <v>261</v>
      </c>
      <c r="E1361" s="9" t="s">
        <v>143</v>
      </c>
      <c r="F1361" s="9" t="s">
        <v>262</v>
      </c>
      <c r="G1361" s="9" t="s">
        <v>43</v>
      </c>
      <c r="H1361" s="9" t="s">
        <v>44</v>
      </c>
      <c r="I1361" s="11" t="s">
        <v>1136</v>
      </c>
      <c r="J1361" s="9" t="s">
        <v>1137</v>
      </c>
      <c r="K1361" s="9" t="s">
        <v>47</v>
      </c>
      <c r="L1361" s="9" t="s">
        <v>706</v>
      </c>
      <c r="M1361" s="9" t="s">
        <v>5014</v>
      </c>
      <c r="N1361" s="9" t="s">
        <v>84</v>
      </c>
      <c r="O1361" s="9" t="s">
        <v>51</v>
      </c>
      <c r="P1361" s="9"/>
      <c r="Q1361" s="9"/>
      <c r="R1361" s="9" t="s">
        <v>61</v>
      </c>
      <c r="S1361" s="14" t="s">
        <v>5015</v>
      </c>
      <c r="T1361" s="9" t="s">
        <v>5016</v>
      </c>
      <c r="U1361" s="9" t="s">
        <v>262</v>
      </c>
      <c r="V1361" s="9" t="s">
        <v>251</v>
      </c>
      <c r="W1361" s="9" t="s">
        <v>115</v>
      </c>
      <c r="X1361" s="12" t="s">
        <v>389</v>
      </c>
      <c r="Y1361" s="9" t="s">
        <v>390</v>
      </c>
      <c r="Z1361" s="13"/>
    </row>
    <row r="1362" spans="1:26" ht="32.25" hidden="1" customHeight="1">
      <c r="A1362" s="8">
        <v>2310267</v>
      </c>
      <c r="B1362" s="9" t="s">
        <v>5017</v>
      </c>
      <c r="C1362" s="10">
        <v>45149</v>
      </c>
      <c r="D1362" s="9" t="s">
        <v>261</v>
      </c>
      <c r="E1362" s="9" t="s">
        <v>41</v>
      </c>
      <c r="F1362" s="9" t="s">
        <v>262</v>
      </c>
      <c r="G1362" s="9" t="s">
        <v>43</v>
      </c>
      <c r="H1362" s="9" t="s">
        <v>44</v>
      </c>
      <c r="I1362" s="11" t="s">
        <v>1553</v>
      </c>
      <c r="J1362" s="9" t="s">
        <v>1554</v>
      </c>
      <c r="K1362" s="9" t="s">
        <v>47</v>
      </c>
      <c r="L1362" s="9" t="s">
        <v>1310</v>
      </c>
      <c r="M1362" s="9" t="s">
        <v>1311</v>
      </c>
      <c r="N1362" s="9" t="s">
        <v>50</v>
      </c>
      <c r="O1362" s="9" t="s">
        <v>51</v>
      </c>
      <c r="P1362" s="9"/>
      <c r="Q1362" s="9"/>
      <c r="R1362" s="9" t="s">
        <v>61</v>
      </c>
      <c r="S1362" s="14" t="s">
        <v>5018</v>
      </c>
      <c r="T1362" s="9" t="s">
        <v>5019</v>
      </c>
      <c r="U1362" s="9" t="s">
        <v>262</v>
      </c>
      <c r="V1362" s="9" t="s">
        <v>55</v>
      </c>
      <c r="W1362" s="9" t="s">
        <v>55</v>
      </c>
      <c r="X1362" s="12" t="s">
        <v>389</v>
      </c>
      <c r="Y1362" s="9" t="s">
        <v>390</v>
      </c>
      <c r="Z1362" s="13"/>
    </row>
    <row r="1363" spans="1:26" ht="32.25" hidden="1" customHeight="1">
      <c r="A1363" s="8">
        <v>2310327</v>
      </c>
      <c r="B1363" s="9" t="s">
        <v>5020</v>
      </c>
      <c r="C1363" s="10">
        <v>45142</v>
      </c>
      <c r="D1363" s="9" t="s">
        <v>67</v>
      </c>
      <c r="E1363" s="9" t="s">
        <v>143</v>
      </c>
      <c r="F1363" s="9" t="s">
        <v>42</v>
      </c>
      <c r="G1363" s="9" t="s">
        <v>43</v>
      </c>
      <c r="H1363" s="9" t="s">
        <v>44</v>
      </c>
      <c r="I1363" s="11" t="s">
        <v>460</v>
      </c>
      <c r="J1363" s="9" t="s">
        <v>400</v>
      </c>
      <c r="K1363" s="9" t="s">
        <v>47</v>
      </c>
      <c r="L1363" s="9" t="s">
        <v>586</v>
      </c>
      <c r="M1363" s="9" t="s">
        <v>918</v>
      </c>
      <c r="N1363" s="9" t="s">
        <v>84</v>
      </c>
      <c r="O1363" s="9" t="s">
        <v>51</v>
      </c>
      <c r="P1363" s="9"/>
      <c r="Q1363" s="9"/>
      <c r="R1363" s="9" t="s">
        <v>61</v>
      </c>
      <c r="S1363" s="9" t="s">
        <v>5021</v>
      </c>
      <c r="T1363" s="9" t="s">
        <v>5022</v>
      </c>
      <c r="U1363" s="9" t="s">
        <v>54</v>
      </c>
      <c r="V1363" s="9" t="s">
        <v>55</v>
      </c>
      <c r="W1363" s="9" t="s">
        <v>55</v>
      </c>
      <c r="X1363" s="12" t="s">
        <v>150</v>
      </c>
      <c r="Y1363" s="9" t="s">
        <v>151</v>
      </c>
      <c r="Z1363" s="13"/>
    </row>
    <row r="1364" spans="1:26" ht="32.25" hidden="1" customHeight="1">
      <c r="A1364" s="8">
        <v>2310477</v>
      </c>
      <c r="B1364" s="9" t="s">
        <v>5023</v>
      </c>
      <c r="C1364" s="10">
        <v>45149</v>
      </c>
      <c r="D1364" s="9" t="s">
        <v>57</v>
      </c>
      <c r="E1364" s="9" t="s">
        <v>153</v>
      </c>
      <c r="F1364" s="9" t="s">
        <v>42</v>
      </c>
      <c r="G1364" s="9" t="s">
        <v>43</v>
      </c>
      <c r="H1364" s="9" t="s">
        <v>58</v>
      </c>
      <c r="I1364" s="11" t="s">
        <v>154</v>
      </c>
      <c r="J1364" s="9" t="s">
        <v>155</v>
      </c>
      <c r="K1364" s="9" t="s">
        <v>47</v>
      </c>
      <c r="L1364" s="9" t="s">
        <v>156</v>
      </c>
      <c r="M1364" s="9"/>
      <c r="N1364" s="9" t="s">
        <v>84</v>
      </c>
      <c r="O1364" s="9" t="s">
        <v>51</v>
      </c>
      <c r="P1364" s="9"/>
      <c r="Q1364" s="9"/>
      <c r="R1364" s="9"/>
      <c r="S1364" s="14" t="s">
        <v>5024</v>
      </c>
      <c r="T1364" s="9" t="s">
        <v>5025</v>
      </c>
      <c r="U1364" s="9" t="s">
        <v>54</v>
      </c>
      <c r="V1364" s="9" t="s">
        <v>55</v>
      </c>
      <c r="W1364" s="9" t="s">
        <v>55</v>
      </c>
      <c r="X1364" s="12"/>
      <c r="Y1364" s="9" t="s">
        <v>55</v>
      </c>
      <c r="Z1364" s="13"/>
    </row>
    <row r="1365" spans="1:26" ht="32.25" hidden="1" customHeight="1">
      <c r="A1365" s="8">
        <v>2307308</v>
      </c>
      <c r="B1365" s="9" t="s">
        <v>5026</v>
      </c>
      <c r="C1365" s="10">
        <v>45149</v>
      </c>
      <c r="D1365" s="9" t="s">
        <v>57</v>
      </c>
      <c r="E1365" s="9" t="s">
        <v>295</v>
      </c>
      <c r="F1365" s="9" t="s">
        <v>42</v>
      </c>
      <c r="G1365" s="9" t="s">
        <v>43</v>
      </c>
      <c r="H1365" s="9" t="s">
        <v>58</v>
      </c>
      <c r="I1365" s="11" t="s">
        <v>406</v>
      </c>
      <c r="J1365" s="9" t="s">
        <v>407</v>
      </c>
      <c r="K1365" s="9" t="s">
        <v>47</v>
      </c>
      <c r="L1365" s="9" t="s">
        <v>863</v>
      </c>
      <c r="M1365" s="9" t="s">
        <v>5027</v>
      </c>
      <c r="N1365" s="9" t="s">
        <v>50</v>
      </c>
      <c r="O1365" s="9" t="s">
        <v>51</v>
      </c>
      <c r="P1365" s="9"/>
      <c r="Q1365" s="9"/>
      <c r="R1365" s="9" t="s">
        <v>61</v>
      </c>
      <c r="S1365" s="14" t="s">
        <v>5028</v>
      </c>
      <c r="T1365" s="9" t="s">
        <v>5029</v>
      </c>
      <c r="U1365" s="9" t="s">
        <v>54</v>
      </c>
      <c r="V1365" s="9" t="s">
        <v>55</v>
      </c>
      <c r="W1365" s="9" t="s">
        <v>55</v>
      </c>
      <c r="X1365" s="9" t="s">
        <v>319</v>
      </c>
      <c r="Y1365" s="9" t="s">
        <v>320</v>
      </c>
      <c r="Z1365" s="13"/>
    </row>
    <row r="1366" spans="1:26" ht="32.25" hidden="1" customHeight="1">
      <c r="A1366" s="8">
        <v>2303784</v>
      </c>
      <c r="B1366" s="9" t="s">
        <v>5030</v>
      </c>
      <c r="C1366" s="10">
        <v>45136</v>
      </c>
      <c r="D1366" s="9" t="s">
        <v>40</v>
      </c>
      <c r="E1366" s="9" t="s">
        <v>41</v>
      </c>
      <c r="F1366" s="9" t="s">
        <v>42</v>
      </c>
      <c r="G1366" s="9" t="s">
        <v>43</v>
      </c>
      <c r="H1366" s="9" t="s">
        <v>44</v>
      </c>
      <c r="I1366" s="11" t="s">
        <v>661</v>
      </c>
      <c r="J1366" s="9" t="s">
        <v>662</v>
      </c>
      <c r="K1366" s="9" t="s">
        <v>47</v>
      </c>
      <c r="L1366" s="9" t="s">
        <v>1992</v>
      </c>
      <c r="M1366" s="9" t="s">
        <v>1993</v>
      </c>
      <c r="N1366" s="9" t="s">
        <v>50</v>
      </c>
      <c r="O1366" s="9" t="s">
        <v>51</v>
      </c>
      <c r="P1366" s="9"/>
      <c r="Q1366" s="9"/>
      <c r="R1366" s="9" t="s">
        <v>61</v>
      </c>
      <c r="S1366" s="9" t="s">
        <v>5031</v>
      </c>
      <c r="T1366" s="9" t="s">
        <v>5032</v>
      </c>
      <c r="U1366" s="9" t="s">
        <v>54</v>
      </c>
      <c r="V1366" s="9" t="s">
        <v>55</v>
      </c>
      <c r="W1366" s="9" t="s">
        <v>55</v>
      </c>
      <c r="X1366" s="9" t="s">
        <v>64</v>
      </c>
      <c r="Y1366" s="9" t="s">
        <v>65</v>
      </c>
      <c r="Z1366" s="13"/>
    </row>
    <row r="1367" spans="1:26" ht="32.25" hidden="1" customHeight="1">
      <c r="A1367" s="8">
        <v>2304456</v>
      </c>
      <c r="B1367" s="9" t="s">
        <v>5033</v>
      </c>
      <c r="C1367" s="10">
        <v>45142</v>
      </c>
      <c r="D1367" s="9" t="s">
        <v>67</v>
      </c>
      <c r="E1367" s="9" t="s">
        <v>41</v>
      </c>
      <c r="F1367" s="9" t="s">
        <v>42</v>
      </c>
      <c r="G1367" s="9" t="s">
        <v>43</v>
      </c>
      <c r="H1367" s="9" t="s">
        <v>44</v>
      </c>
      <c r="I1367" s="11" t="s">
        <v>661</v>
      </c>
      <c r="J1367" s="9" t="s">
        <v>662</v>
      </c>
      <c r="K1367" s="9" t="s">
        <v>47</v>
      </c>
      <c r="L1367" s="9" t="s">
        <v>2632</v>
      </c>
      <c r="M1367" s="9" t="s">
        <v>5034</v>
      </c>
      <c r="N1367" s="9" t="s">
        <v>84</v>
      </c>
      <c r="O1367" s="9" t="s">
        <v>51</v>
      </c>
      <c r="P1367" s="9"/>
      <c r="Q1367" s="9"/>
      <c r="R1367" s="9" t="s">
        <v>61</v>
      </c>
      <c r="S1367" s="9" t="s">
        <v>5035</v>
      </c>
      <c r="T1367" s="9" t="s">
        <v>5036</v>
      </c>
      <c r="U1367" s="9" t="s">
        <v>54</v>
      </c>
      <c r="V1367" s="9" t="s">
        <v>55</v>
      </c>
      <c r="W1367" s="9" t="s">
        <v>55</v>
      </c>
      <c r="X1367" s="9" t="s">
        <v>64</v>
      </c>
      <c r="Y1367" s="9" t="s">
        <v>65</v>
      </c>
      <c r="Z1367" s="13"/>
    </row>
    <row r="1368" spans="1:26" ht="32.25" hidden="1" customHeight="1">
      <c r="A1368" s="8">
        <v>2305080</v>
      </c>
      <c r="B1368" s="9" t="s">
        <v>5037</v>
      </c>
      <c r="C1368" s="10">
        <v>45156</v>
      </c>
      <c r="D1368" s="9" t="s">
        <v>79</v>
      </c>
      <c r="E1368" s="9" t="s">
        <v>89</v>
      </c>
      <c r="F1368" s="9" t="s">
        <v>80</v>
      </c>
      <c r="G1368" s="9" t="s">
        <v>43</v>
      </c>
      <c r="H1368" s="9" t="s">
        <v>44</v>
      </c>
      <c r="I1368" s="11" t="s">
        <v>101</v>
      </c>
      <c r="J1368" s="9" t="s">
        <v>102</v>
      </c>
      <c r="K1368" s="9" t="s">
        <v>47</v>
      </c>
      <c r="L1368" s="9" t="s">
        <v>221</v>
      </c>
      <c r="M1368" s="9" t="s">
        <v>5038</v>
      </c>
      <c r="N1368" s="9" t="s">
        <v>50</v>
      </c>
      <c r="O1368" s="9" t="s">
        <v>51</v>
      </c>
      <c r="P1368" s="9" t="s">
        <v>104</v>
      </c>
      <c r="Q1368" s="9"/>
      <c r="R1368" s="9" t="s">
        <v>61</v>
      </c>
      <c r="S1368" s="14" t="s">
        <v>5039</v>
      </c>
      <c r="T1368" s="9" t="s">
        <v>5040</v>
      </c>
      <c r="U1368" s="9" t="s">
        <v>54</v>
      </c>
      <c r="V1368" s="9" t="s">
        <v>318</v>
      </c>
      <c r="W1368" s="9" t="s">
        <v>55</v>
      </c>
      <c r="X1368" s="12" t="s">
        <v>319</v>
      </c>
      <c r="Y1368" s="9" t="s">
        <v>320</v>
      </c>
      <c r="Z1368" s="13" t="s">
        <v>240</v>
      </c>
    </row>
    <row r="1369" spans="1:26" ht="32.25" hidden="1" customHeight="1">
      <c r="A1369" s="8">
        <v>2302237</v>
      </c>
      <c r="B1369" s="9" t="s">
        <v>5041</v>
      </c>
      <c r="C1369" s="10">
        <v>45149</v>
      </c>
      <c r="D1369" s="9" t="s">
        <v>261</v>
      </c>
      <c r="E1369" s="9" t="s">
        <v>89</v>
      </c>
      <c r="F1369" s="9" t="s">
        <v>262</v>
      </c>
      <c r="G1369" s="9" t="s">
        <v>43</v>
      </c>
      <c r="H1369" s="9" t="s">
        <v>44</v>
      </c>
      <c r="I1369" s="11" t="s">
        <v>1101</v>
      </c>
      <c r="J1369" s="9" t="s">
        <v>1102</v>
      </c>
      <c r="K1369" s="9" t="s">
        <v>47</v>
      </c>
      <c r="L1369" s="9" t="s">
        <v>340</v>
      </c>
      <c r="M1369" s="9" t="s">
        <v>341</v>
      </c>
      <c r="N1369" s="9" t="s">
        <v>84</v>
      </c>
      <c r="O1369" s="9" t="s">
        <v>51</v>
      </c>
      <c r="P1369" s="9"/>
      <c r="Q1369" s="9"/>
      <c r="R1369" s="9" t="s">
        <v>61</v>
      </c>
      <c r="S1369" s="14" t="s">
        <v>5042</v>
      </c>
      <c r="T1369" s="9" t="s">
        <v>5043</v>
      </c>
      <c r="U1369" s="9" t="s">
        <v>262</v>
      </c>
      <c r="V1369" s="9" t="s">
        <v>711</v>
      </c>
      <c r="W1369" s="9" t="s">
        <v>115</v>
      </c>
      <c r="X1369" s="12" t="s">
        <v>389</v>
      </c>
      <c r="Y1369" s="9" t="s">
        <v>390</v>
      </c>
      <c r="Z1369" s="13"/>
    </row>
    <row r="1370" spans="1:26" ht="32.25" hidden="1" customHeight="1">
      <c r="A1370" s="8">
        <v>2313429</v>
      </c>
      <c r="B1370" s="9" t="s">
        <v>5044</v>
      </c>
      <c r="C1370" s="10">
        <v>45136</v>
      </c>
      <c r="D1370" s="9" t="s">
        <v>40</v>
      </c>
      <c r="E1370" s="9" t="s">
        <v>41</v>
      </c>
      <c r="F1370" s="9" t="s">
        <v>42</v>
      </c>
      <c r="G1370" s="9" t="s">
        <v>43</v>
      </c>
      <c r="H1370" s="9" t="s">
        <v>44</v>
      </c>
      <c r="I1370" s="11" t="s">
        <v>45</v>
      </c>
      <c r="J1370" s="9" t="s">
        <v>46</v>
      </c>
      <c r="K1370" s="9" t="s">
        <v>47</v>
      </c>
      <c r="L1370" s="9" t="s">
        <v>156</v>
      </c>
      <c r="M1370" s="9"/>
      <c r="N1370" s="9" t="s">
        <v>50</v>
      </c>
      <c r="O1370" s="9" t="s">
        <v>51</v>
      </c>
      <c r="P1370" s="9"/>
      <c r="Q1370" s="9"/>
      <c r="R1370" s="9"/>
      <c r="S1370" s="9" t="s">
        <v>5045</v>
      </c>
      <c r="T1370" s="9" t="s">
        <v>5046</v>
      </c>
      <c r="U1370" s="9" t="s">
        <v>54</v>
      </c>
      <c r="V1370" s="9" t="s">
        <v>55</v>
      </c>
      <c r="W1370" s="9" t="s">
        <v>55</v>
      </c>
      <c r="X1370" s="9"/>
      <c r="Y1370" s="9" t="s">
        <v>55</v>
      </c>
      <c r="Z1370" s="13"/>
    </row>
    <row r="1371" spans="1:26" ht="32.25" hidden="1" customHeight="1">
      <c r="A1371" s="8">
        <v>2300532</v>
      </c>
      <c r="B1371" s="9" t="s">
        <v>5047</v>
      </c>
      <c r="C1371" s="10">
        <v>45142</v>
      </c>
      <c r="D1371" s="9" t="s">
        <v>67</v>
      </c>
      <c r="E1371" s="9" t="s">
        <v>143</v>
      </c>
      <c r="F1371" s="9" t="s">
        <v>42</v>
      </c>
      <c r="G1371" s="9" t="s">
        <v>43</v>
      </c>
      <c r="H1371" s="9" t="s">
        <v>44</v>
      </c>
      <c r="I1371" s="11" t="s">
        <v>334</v>
      </c>
      <c r="J1371" s="9" t="s">
        <v>327</v>
      </c>
      <c r="K1371" s="9" t="s">
        <v>47</v>
      </c>
      <c r="L1371" s="9" t="s">
        <v>517</v>
      </c>
      <c r="M1371" s="9" t="s">
        <v>1413</v>
      </c>
      <c r="N1371" s="9" t="s">
        <v>84</v>
      </c>
      <c r="O1371" s="9" t="s">
        <v>51</v>
      </c>
      <c r="P1371" s="9" t="s">
        <v>336</v>
      </c>
      <c r="Q1371" s="9"/>
      <c r="R1371" s="9" t="s">
        <v>61</v>
      </c>
      <c r="S1371" s="9" t="s">
        <v>5048</v>
      </c>
      <c r="T1371" s="9" t="s">
        <v>5049</v>
      </c>
      <c r="U1371" s="9" t="s">
        <v>54</v>
      </c>
      <c r="V1371" s="9" t="s">
        <v>55</v>
      </c>
      <c r="W1371" s="9" t="s">
        <v>55</v>
      </c>
      <c r="X1371" s="12" t="s">
        <v>150</v>
      </c>
      <c r="Y1371" s="9" t="s">
        <v>151</v>
      </c>
      <c r="Z1371" s="13"/>
    </row>
    <row r="1372" spans="1:26" ht="32.25" hidden="1" customHeight="1">
      <c r="A1372" s="8">
        <v>2309678</v>
      </c>
      <c r="B1372" s="9" t="s">
        <v>5050</v>
      </c>
      <c r="C1372" s="10">
        <v>45149</v>
      </c>
      <c r="D1372" s="9" t="s">
        <v>57</v>
      </c>
      <c r="E1372" s="9" t="s">
        <v>41</v>
      </c>
      <c r="F1372" s="9" t="s">
        <v>42</v>
      </c>
      <c r="G1372" s="9" t="s">
        <v>43</v>
      </c>
      <c r="H1372" s="9" t="s">
        <v>58</v>
      </c>
      <c r="I1372" s="11" t="s">
        <v>45</v>
      </c>
      <c r="J1372" s="9" t="s">
        <v>46</v>
      </c>
      <c r="K1372" s="9" t="s">
        <v>47</v>
      </c>
      <c r="L1372" s="9" t="s">
        <v>569</v>
      </c>
      <c r="M1372" s="9" t="s">
        <v>975</v>
      </c>
      <c r="N1372" s="9" t="s">
        <v>84</v>
      </c>
      <c r="O1372" s="9" t="s">
        <v>51</v>
      </c>
      <c r="P1372" s="9"/>
      <c r="Q1372" s="9"/>
      <c r="R1372" s="9" t="s">
        <v>61</v>
      </c>
      <c r="S1372" s="14" t="s">
        <v>5051</v>
      </c>
      <c r="T1372" s="9" t="s">
        <v>5052</v>
      </c>
      <c r="U1372" s="9" t="s">
        <v>54</v>
      </c>
      <c r="V1372" s="9" t="s">
        <v>55</v>
      </c>
      <c r="W1372" s="9" t="s">
        <v>55</v>
      </c>
      <c r="X1372" s="9" t="s">
        <v>64</v>
      </c>
      <c r="Y1372" s="9" t="s">
        <v>65</v>
      </c>
      <c r="Z1372" s="13"/>
    </row>
    <row r="1373" spans="1:26" ht="32.25" hidden="1" customHeight="1">
      <c r="A1373" s="8">
        <v>2313922</v>
      </c>
      <c r="B1373" s="9" t="s">
        <v>5053</v>
      </c>
      <c r="C1373" s="10">
        <v>45149</v>
      </c>
      <c r="D1373" s="9" t="s">
        <v>57</v>
      </c>
      <c r="E1373" s="9" t="s">
        <v>41</v>
      </c>
      <c r="F1373" s="9" t="s">
        <v>42</v>
      </c>
      <c r="G1373" s="9" t="s">
        <v>43</v>
      </c>
      <c r="H1373" s="9" t="s">
        <v>58</v>
      </c>
      <c r="I1373" s="11" t="s">
        <v>45</v>
      </c>
      <c r="J1373" s="9" t="s">
        <v>46</v>
      </c>
      <c r="K1373" s="9" t="s">
        <v>47</v>
      </c>
      <c r="L1373" s="9" t="s">
        <v>1056</v>
      </c>
      <c r="M1373" s="9" t="s">
        <v>1057</v>
      </c>
      <c r="N1373" s="9" t="s">
        <v>50</v>
      </c>
      <c r="O1373" s="9" t="s">
        <v>51</v>
      </c>
      <c r="P1373" s="9"/>
      <c r="Q1373" s="9"/>
      <c r="R1373" s="9"/>
      <c r="S1373" s="14" t="s">
        <v>5054</v>
      </c>
      <c r="T1373" s="9" t="s">
        <v>5055</v>
      </c>
      <c r="U1373" s="9" t="s">
        <v>54</v>
      </c>
      <c r="V1373" s="9" t="s">
        <v>55</v>
      </c>
      <c r="W1373" s="9" t="s">
        <v>55</v>
      </c>
      <c r="X1373" s="12"/>
      <c r="Y1373" s="9" t="s">
        <v>55</v>
      </c>
      <c r="Z1373" s="13"/>
    </row>
    <row r="1374" spans="1:26" ht="32.25" hidden="1" customHeight="1">
      <c r="A1374" s="8">
        <v>2311826</v>
      </c>
      <c r="B1374" s="9" t="s">
        <v>5056</v>
      </c>
      <c r="C1374" s="10">
        <v>45149</v>
      </c>
      <c r="D1374" s="9" t="s">
        <v>57</v>
      </c>
      <c r="E1374" s="9" t="s">
        <v>41</v>
      </c>
      <c r="F1374" s="9" t="s">
        <v>42</v>
      </c>
      <c r="G1374" s="9" t="s">
        <v>43</v>
      </c>
      <c r="H1374" s="9" t="s">
        <v>58</v>
      </c>
      <c r="I1374" s="11" t="s">
        <v>45</v>
      </c>
      <c r="J1374" s="9" t="s">
        <v>46</v>
      </c>
      <c r="K1374" s="9" t="s">
        <v>47</v>
      </c>
      <c r="L1374" s="9" t="s">
        <v>156</v>
      </c>
      <c r="M1374" s="9"/>
      <c r="N1374" s="9" t="s">
        <v>50</v>
      </c>
      <c r="O1374" s="9" t="s">
        <v>51</v>
      </c>
      <c r="P1374" s="9"/>
      <c r="Q1374" s="9"/>
      <c r="R1374" s="9"/>
      <c r="S1374" s="14" t="s">
        <v>5057</v>
      </c>
      <c r="T1374" s="9" t="s">
        <v>5058</v>
      </c>
      <c r="U1374" s="9" t="s">
        <v>54</v>
      </c>
      <c r="V1374" s="9" t="s">
        <v>55</v>
      </c>
      <c r="W1374" s="9" t="s">
        <v>55</v>
      </c>
      <c r="X1374" s="12"/>
      <c r="Y1374" s="9" t="s">
        <v>55</v>
      </c>
      <c r="Z1374" s="13"/>
    </row>
    <row r="1375" spans="1:26" ht="32.25" hidden="1" customHeight="1">
      <c r="A1375" s="8">
        <v>2304861</v>
      </c>
      <c r="B1375" s="9" t="s">
        <v>5059</v>
      </c>
      <c r="C1375" s="10">
        <v>45142</v>
      </c>
      <c r="D1375" s="9" t="s">
        <v>67</v>
      </c>
      <c r="E1375" s="9" t="s">
        <v>153</v>
      </c>
      <c r="F1375" s="9" t="s">
        <v>42</v>
      </c>
      <c r="G1375" s="9" t="s">
        <v>43</v>
      </c>
      <c r="H1375" s="9" t="s">
        <v>44</v>
      </c>
      <c r="I1375" s="11" t="s">
        <v>154</v>
      </c>
      <c r="J1375" s="9" t="s">
        <v>155</v>
      </c>
      <c r="K1375" s="9" t="s">
        <v>47</v>
      </c>
      <c r="L1375" s="9" t="s">
        <v>746</v>
      </c>
      <c r="M1375" s="9" t="s">
        <v>747</v>
      </c>
      <c r="N1375" s="9" t="s">
        <v>84</v>
      </c>
      <c r="O1375" s="9" t="s">
        <v>51</v>
      </c>
      <c r="P1375" s="9"/>
      <c r="Q1375" s="9"/>
      <c r="R1375" s="9" t="s">
        <v>61</v>
      </c>
      <c r="S1375" s="9" t="s">
        <v>5060</v>
      </c>
      <c r="T1375" s="9" t="s">
        <v>5061</v>
      </c>
      <c r="U1375" s="9" t="s">
        <v>54</v>
      </c>
      <c r="V1375" s="9" t="s">
        <v>55</v>
      </c>
      <c r="W1375" s="9" t="s">
        <v>55</v>
      </c>
      <c r="X1375" s="12" t="s">
        <v>171</v>
      </c>
      <c r="Y1375" s="9" t="s">
        <v>172</v>
      </c>
      <c r="Z1375" s="13"/>
    </row>
    <row r="1376" spans="1:26" ht="32.25" hidden="1" customHeight="1">
      <c r="A1376" s="8">
        <v>2306927</v>
      </c>
      <c r="B1376" s="9" t="s">
        <v>5062</v>
      </c>
      <c r="C1376" s="10">
        <v>45149</v>
      </c>
      <c r="D1376" s="9" t="s">
        <v>57</v>
      </c>
      <c r="E1376" s="9" t="s">
        <v>295</v>
      </c>
      <c r="F1376" s="9" t="s">
        <v>42</v>
      </c>
      <c r="G1376" s="9" t="s">
        <v>43</v>
      </c>
      <c r="H1376" s="9" t="s">
        <v>58</v>
      </c>
      <c r="I1376" s="11" t="s">
        <v>296</v>
      </c>
      <c r="J1376" s="9" t="s">
        <v>297</v>
      </c>
      <c r="K1376" s="9" t="s">
        <v>47</v>
      </c>
      <c r="L1376" s="9" t="s">
        <v>580</v>
      </c>
      <c r="M1376" s="9" t="s">
        <v>5063</v>
      </c>
      <c r="N1376" s="9" t="s">
        <v>84</v>
      </c>
      <c r="O1376" s="9" t="s">
        <v>51</v>
      </c>
      <c r="P1376" s="9"/>
      <c r="Q1376" s="9"/>
      <c r="R1376" s="9" t="s">
        <v>61</v>
      </c>
      <c r="S1376" s="14" t="s">
        <v>5064</v>
      </c>
      <c r="T1376" s="9" t="s">
        <v>5065</v>
      </c>
      <c r="U1376" s="9" t="s">
        <v>54</v>
      </c>
      <c r="V1376" s="9" t="s">
        <v>55</v>
      </c>
      <c r="W1376" s="9" t="s">
        <v>55</v>
      </c>
      <c r="X1376" s="9" t="s">
        <v>319</v>
      </c>
      <c r="Y1376" s="9" t="s">
        <v>320</v>
      </c>
      <c r="Z1376" s="13"/>
    </row>
    <row r="1377" spans="1:26" ht="32.25" hidden="1" customHeight="1">
      <c r="A1377" s="8">
        <v>2312229</v>
      </c>
      <c r="B1377" s="9" t="s">
        <v>5066</v>
      </c>
      <c r="C1377" s="10">
        <v>45156</v>
      </c>
      <c r="D1377" s="9" t="s">
        <v>79</v>
      </c>
      <c r="E1377" s="9" t="s">
        <v>68</v>
      </c>
      <c r="F1377" s="9" t="s">
        <v>80</v>
      </c>
      <c r="G1377" s="9" t="s">
        <v>43</v>
      </c>
      <c r="H1377" s="9" t="s">
        <v>44</v>
      </c>
      <c r="I1377" s="11" t="s">
        <v>117</v>
      </c>
      <c r="J1377" s="9" t="s">
        <v>118</v>
      </c>
      <c r="K1377" s="9" t="s">
        <v>47</v>
      </c>
      <c r="L1377" s="9" t="s">
        <v>48</v>
      </c>
      <c r="M1377" s="9" t="s">
        <v>242</v>
      </c>
      <c r="N1377" s="9" t="s">
        <v>84</v>
      </c>
      <c r="O1377" s="9" t="s">
        <v>51</v>
      </c>
      <c r="P1377" s="9" t="s">
        <v>285</v>
      </c>
      <c r="Q1377" s="9"/>
      <c r="R1377" s="9"/>
      <c r="S1377" s="14" t="s">
        <v>5067</v>
      </c>
      <c r="T1377" s="9" t="s">
        <v>5068</v>
      </c>
      <c r="U1377" s="9" t="s">
        <v>54</v>
      </c>
      <c r="V1377" s="9" t="s">
        <v>55</v>
      </c>
      <c r="W1377" s="9" t="s">
        <v>55</v>
      </c>
      <c r="X1377" s="12"/>
      <c r="Y1377" s="9" t="s">
        <v>55</v>
      </c>
      <c r="Z1377" s="13"/>
    </row>
    <row r="1378" spans="1:26" ht="32.25" hidden="1" customHeight="1">
      <c r="A1378" s="8">
        <v>2303763</v>
      </c>
      <c r="B1378" s="9" t="s">
        <v>5069</v>
      </c>
      <c r="C1378" s="10">
        <v>45142</v>
      </c>
      <c r="D1378" s="9" t="s">
        <v>67</v>
      </c>
      <c r="E1378" s="9" t="s">
        <v>143</v>
      </c>
      <c r="F1378" s="9" t="s">
        <v>42</v>
      </c>
      <c r="G1378" s="9" t="s">
        <v>43</v>
      </c>
      <c r="H1378" s="9" t="s">
        <v>44</v>
      </c>
      <c r="I1378" s="11" t="s">
        <v>334</v>
      </c>
      <c r="J1378" s="9" t="s">
        <v>327</v>
      </c>
      <c r="K1378" s="9" t="s">
        <v>47</v>
      </c>
      <c r="L1378" s="9" t="s">
        <v>156</v>
      </c>
      <c r="M1378" s="9"/>
      <c r="N1378" s="9" t="s">
        <v>84</v>
      </c>
      <c r="O1378" s="9" t="s">
        <v>51</v>
      </c>
      <c r="P1378" s="9" t="s">
        <v>336</v>
      </c>
      <c r="Q1378" s="9"/>
      <c r="R1378" s="9"/>
      <c r="S1378" s="9" t="s">
        <v>5070</v>
      </c>
      <c r="T1378" s="9" t="s">
        <v>5071</v>
      </c>
      <c r="U1378" s="9" t="s">
        <v>54</v>
      </c>
      <c r="V1378" s="9" t="s">
        <v>55</v>
      </c>
      <c r="W1378" s="9" t="s">
        <v>55</v>
      </c>
      <c r="X1378" s="12"/>
      <c r="Y1378" s="9" t="s">
        <v>55</v>
      </c>
      <c r="Z1378" s="13"/>
    </row>
    <row r="1379" spans="1:26" ht="32.25" hidden="1" customHeight="1">
      <c r="A1379" s="8">
        <v>2311266</v>
      </c>
      <c r="B1379" s="9" t="s">
        <v>5072</v>
      </c>
      <c r="C1379" s="10">
        <v>45156</v>
      </c>
      <c r="D1379" s="9" t="s">
        <v>79</v>
      </c>
      <c r="E1379" s="9" t="s">
        <v>89</v>
      </c>
      <c r="F1379" s="9" t="s">
        <v>80</v>
      </c>
      <c r="G1379" s="9" t="s">
        <v>43</v>
      </c>
      <c r="H1379" s="9" t="s">
        <v>44</v>
      </c>
      <c r="I1379" s="11" t="s">
        <v>101</v>
      </c>
      <c r="J1379" s="9" t="s">
        <v>102</v>
      </c>
      <c r="K1379" s="9" t="s">
        <v>47</v>
      </c>
      <c r="L1379" s="9" t="s">
        <v>1542</v>
      </c>
      <c r="M1379" s="9" t="s">
        <v>1810</v>
      </c>
      <c r="N1379" s="9" t="s">
        <v>50</v>
      </c>
      <c r="O1379" s="9" t="s">
        <v>51</v>
      </c>
      <c r="P1379" s="9" t="s">
        <v>104</v>
      </c>
      <c r="Q1379" s="9"/>
      <c r="R1379" s="9"/>
      <c r="S1379" s="14" t="s">
        <v>5073</v>
      </c>
      <c r="T1379" s="9" t="s">
        <v>5074</v>
      </c>
      <c r="U1379" s="9" t="s">
        <v>54</v>
      </c>
      <c r="V1379" s="9" t="s">
        <v>55</v>
      </c>
      <c r="W1379" s="9" t="s">
        <v>55</v>
      </c>
      <c r="X1379" s="12"/>
      <c r="Y1379" s="9" t="s">
        <v>55</v>
      </c>
      <c r="Z1379" s="13"/>
    </row>
    <row r="1380" spans="1:26" ht="32.25" hidden="1" customHeight="1">
      <c r="A1380" s="8">
        <v>2305144</v>
      </c>
      <c r="B1380" s="9" t="s">
        <v>5075</v>
      </c>
      <c r="C1380" s="10">
        <v>45149</v>
      </c>
      <c r="D1380" s="9" t="s">
        <v>57</v>
      </c>
      <c r="E1380" s="9" t="s">
        <v>153</v>
      </c>
      <c r="F1380" s="9" t="s">
        <v>42</v>
      </c>
      <c r="G1380" s="9" t="s">
        <v>43</v>
      </c>
      <c r="H1380" s="9" t="s">
        <v>58</v>
      </c>
      <c r="I1380" s="11" t="s">
        <v>154</v>
      </c>
      <c r="J1380" s="9" t="s">
        <v>155</v>
      </c>
      <c r="K1380" s="9" t="s">
        <v>47</v>
      </c>
      <c r="L1380" s="9" t="s">
        <v>777</v>
      </c>
      <c r="M1380" s="9"/>
      <c r="N1380" s="9" t="s">
        <v>84</v>
      </c>
      <c r="O1380" s="9" t="s">
        <v>51</v>
      </c>
      <c r="P1380" s="9"/>
      <c r="Q1380" s="9"/>
      <c r="R1380" s="9" t="s">
        <v>61</v>
      </c>
      <c r="S1380" s="14" t="s">
        <v>5076</v>
      </c>
      <c r="T1380" s="9" t="s">
        <v>5077</v>
      </c>
      <c r="U1380" s="9" t="s">
        <v>54</v>
      </c>
      <c r="V1380" s="9" t="s">
        <v>55</v>
      </c>
      <c r="W1380" s="9" t="s">
        <v>55</v>
      </c>
      <c r="X1380" s="12" t="s">
        <v>171</v>
      </c>
      <c r="Y1380" s="9" t="s">
        <v>172</v>
      </c>
      <c r="Z1380" s="13"/>
    </row>
    <row r="1381" spans="1:26" ht="32.25" hidden="1" customHeight="1">
      <c r="A1381" s="8">
        <v>2314459</v>
      </c>
      <c r="B1381" s="9" t="s">
        <v>5078</v>
      </c>
      <c r="C1381" s="10">
        <v>45156</v>
      </c>
      <c r="D1381" s="9" t="s">
        <v>79</v>
      </c>
      <c r="E1381" s="9" t="s">
        <v>68</v>
      </c>
      <c r="F1381" s="9" t="s">
        <v>80</v>
      </c>
      <c r="G1381" s="9" t="s">
        <v>43</v>
      </c>
      <c r="H1381" s="9" t="s">
        <v>44</v>
      </c>
      <c r="I1381" s="11" t="s">
        <v>90</v>
      </c>
      <c r="J1381" s="9" t="s">
        <v>91</v>
      </c>
      <c r="K1381" s="9" t="s">
        <v>47</v>
      </c>
      <c r="L1381" s="9" t="s">
        <v>71</v>
      </c>
      <c r="M1381" s="9" t="s">
        <v>5079</v>
      </c>
      <c r="N1381" s="9" t="s">
        <v>50</v>
      </c>
      <c r="O1381" s="9" t="s">
        <v>51</v>
      </c>
      <c r="P1381" s="9" t="s">
        <v>273</v>
      </c>
      <c r="Q1381" s="9"/>
      <c r="R1381" s="9" t="s">
        <v>61</v>
      </c>
      <c r="S1381" s="14" t="s">
        <v>5080</v>
      </c>
      <c r="T1381" s="9" t="s">
        <v>5081</v>
      </c>
      <c r="U1381" s="9" t="s">
        <v>54</v>
      </c>
      <c r="V1381" s="9" t="s">
        <v>55</v>
      </c>
      <c r="W1381" s="9" t="s">
        <v>55</v>
      </c>
      <c r="X1381" s="12" t="s">
        <v>196</v>
      </c>
      <c r="Y1381" s="9" t="s">
        <v>197</v>
      </c>
      <c r="Z1381" s="13"/>
    </row>
    <row r="1382" spans="1:26" ht="32.25" hidden="1" customHeight="1">
      <c r="A1382" s="8">
        <v>2302195</v>
      </c>
      <c r="B1382" s="9" t="s">
        <v>5082</v>
      </c>
      <c r="C1382" s="10">
        <v>45142</v>
      </c>
      <c r="D1382" s="9" t="s">
        <v>67</v>
      </c>
      <c r="E1382" s="9" t="s">
        <v>41</v>
      </c>
      <c r="F1382" s="9" t="s">
        <v>42</v>
      </c>
      <c r="G1382" s="9" t="s">
        <v>43</v>
      </c>
      <c r="H1382" s="9" t="s">
        <v>44</v>
      </c>
      <c r="I1382" s="11" t="s">
        <v>45</v>
      </c>
      <c r="J1382" s="9" t="s">
        <v>46</v>
      </c>
      <c r="K1382" s="9" t="s">
        <v>47</v>
      </c>
      <c r="L1382" s="9" t="s">
        <v>48</v>
      </c>
      <c r="M1382" s="9" t="s">
        <v>49</v>
      </c>
      <c r="N1382" s="9" t="s">
        <v>50</v>
      </c>
      <c r="O1382" s="9" t="s">
        <v>51</v>
      </c>
      <c r="P1382" s="9"/>
      <c r="Q1382" s="9"/>
      <c r="R1382" s="9"/>
      <c r="S1382" s="9" t="s">
        <v>5083</v>
      </c>
      <c r="T1382" s="9" t="s">
        <v>5084</v>
      </c>
      <c r="U1382" s="9" t="s">
        <v>54</v>
      </c>
      <c r="V1382" s="9" t="s">
        <v>55</v>
      </c>
      <c r="W1382" s="9" t="s">
        <v>55</v>
      </c>
      <c r="X1382" s="12"/>
      <c r="Y1382" s="9" t="s">
        <v>55</v>
      </c>
      <c r="Z1382" s="13"/>
    </row>
    <row r="1383" spans="1:26" ht="32.25" hidden="1" customHeight="1">
      <c r="A1383" s="8">
        <v>2305212</v>
      </c>
      <c r="B1383" s="9" t="s">
        <v>5085</v>
      </c>
      <c r="C1383" s="10">
        <v>45149</v>
      </c>
      <c r="D1383" s="9" t="s">
        <v>57</v>
      </c>
      <c r="E1383" s="9" t="s">
        <v>41</v>
      </c>
      <c r="F1383" s="9" t="s">
        <v>42</v>
      </c>
      <c r="G1383" s="9" t="s">
        <v>43</v>
      </c>
      <c r="H1383" s="9" t="s">
        <v>58</v>
      </c>
      <c r="I1383" s="11" t="s">
        <v>45</v>
      </c>
      <c r="J1383" s="9" t="s">
        <v>46</v>
      </c>
      <c r="K1383" s="9" t="s">
        <v>47</v>
      </c>
      <c r="L1383" s="9" t="s">
        <v>156</v>
      </c>
      <c r="M1383" s="9"/>
      <c r="N1383" s="9" t="s">
        <v>84</v>
      </c>
      <c r="O1383" s="9" t="s">
        <v>51</v>
      </c>
      <c r="P1383" s="9"/>
      <c r="Q1383" s="9"/>
      <c r="R1383" s="9"/>
      <c r="S1383" s="14" t="s">
        <v>5086</v>
      </c>
      <c r="T1383" s="9" t="s">
        <v>5087</v>
      </c>
      <c r="U1383" s="9" t="s">
        <v>54</v>
      </c>
      <c r="V1383" s="9" t="s">
        <v>55</v>
      </c>
      <c r="W1383" s="9" t="s">
        <v>55</v>
      </c>
      <c r="X1383" s="12"/>
      <c r="Y1383" s="9" t="s">
        <v>55</v>
      </c>
      <c r="Z1383" s="13"/>
    </row>
    <row r="1384" spans="1:26" ht="32.25" hidden="1" customHeight="1">
      <c r="A1384" s="8">
        <v>2314035</v>
      </c>
      <c r="B1384" s="9" t="s">
        <v>5088</v>
      </c>
      <c r="C1384" s="10">
        <v>45156</v>
      </c>
      <c r="D1384" s="9" t="s">
        <v>79</v>
      </c>
      <c r="E1384" s="9" t="s">
        <v>89</v>
      </c>
      <c r="F1384" s="9" t="s">
        <v>80</v>
      </c>
      <c r="G1384" s="9" t="s">
        <v>43</v>
      </c>
      <c r="H1384" s="9" t="s">
        <v>44</v>
      </c>
      <c r="I1384" s="11" t="s">
        <v>90</v>
      </c>
      <c r="J1384" s="9" t="s">
        <v>91</v>
      </c>
      <c r="K1384" s="9" t="s">
        <v>92</v>
      </c>
      <c r="L1384" s="9"/>
      <c r="M1384" s="9"/>
      <c r="N1384" s="9" t="s">
        <v>50</v>
      </c>
      <c r="O1384" s="9" t="s">
        <v>51</v>
      </c>
      <c r="P1384" s="9" t="s">
        <v>95</v>
      </c>
      <c r="Q1384" s="9"/>
      <c r="R1384" s="9" t="s">
        <v>61</v>
      </c>
      <c r="S1384" s="14" t="s">
        <v>5089</v>
      </c>
      <c r="T1384" s="9" t="s">
        <v>5090</v>
      </c>
      <c r="U1384" s="9" t="s">
        <v>54</v>
      </c>
      <c r="V1384" s="9" t="s">
        <v>55</v>
      </c>
      <c r="W1384" s="9" t="s">
        <v>55</v>
      </c>
      <c r="X1384" s="12" t="s">
        <v>98</v>
      </c>
      <c r="Y1384" s="9" t="s">
        <v>99</v>
      </c>
      <c r="Z1384" s="13"/>
    </row>
    <row r="1385" spans="1:26" ht="32.25" hidden="1" customHeight="1">
      <c r="A1385" s="8">
        <v>2309697</v>
      </c>
      <c r="B1385" s="9" t="s">
        <v>5091</v>
      </c>
      <c r="C1385" s="10">
        <v>45156</v>
      </c>
      <c r="D1385" s="9" t="s">
        <v>79</v>
      </c>
      <c r="E1385" s="9" t="s">
        <v>89</v>
      </c>
      <c r="F1385" s="9" t="s">
        <v>80</v>
      </c>
      <c r="G1385" s="9" t="s">
        <v>43</v>
      </c>
      <c r="H1385" s="9" t="s">
        <v>44</v>
      </c>
      <c r="I1385" s="11" t="s">
        <v>90</v>
      </c>
      <c r="J1385" s="9" t="s">
        <v>91</v>
      </c>
      <c r="K1385" s="9" t="s">
        <v>110</v>
      </c>
      <c r="L1385" s="9"/>
      <c r="M1385" s="9"/>
      <c r="N1385" s="9" t="s">
        <v>50</v>
      </c>
      <c r="O1385" s="9" t="s">
        <v>51</v>
      </c>
      <c r="P1385" s="9" t="s">
        <v>498</v>
      </c>
      <c r="Q1385" s="9"/>
      <c r="R1385" s="9" t="s">
        <v>61</v>
      </c>
      <c r="S1385" s="14" t="s">
        <v>5092</v>
      </c>
      <c r="T1385" s="9" t="s">
        <v>5093</v>
      </c>
      <c r="U1385" s="9" t="s">
        <v>54</v>
      </c>
      <c r="V1385" s="9" t="s">
        <v>55</v>
      </c>
      <c r="W1385" s="9" t="s">
        <v>55</v>
      </c>
      <c r="X1385" s="12" t="s">
        <v>98</v>
      </c>
      <c r="Y1385" s="9" t="s">
        <v>99</v>
      </c>
      <c r="Z1385" s="13"/>
    </row>
    <row r="1386" spans="1:26" ht="32.25" hidden="1" customHeight="1">
      <c r="A1386" s="8">
        <v>2312181</v>
      </c>
      <c r="B1386" s="9" t="s">
        <v>5094</v>
      </c>
      <c r="C1386" s="10">
        <v>45149</v>
      </c>
      <c r="D1386" s="9" t="s">
        <v>261</v>
      </c>
      <c r="E1386" s="9" t="s">
        <v>68</v>
      </c>
      <c r="F1386" s="9" t="s">
        <v>262</v>
      </c>
      <c r="G1386" s="9" t="s">
        <v>43</v>
      </c>
      <c r="H1386" s="9" t="s">
        <v>44</v>
      </c>
      <c r="I1386" s="11" t="s">
        <v>1343</v>
      </c>
      <c r="J1386" s="9" t="s">
        <v>1344</v>
      </c>
      <c r="K1386" s="9" t="s">
        <v>47</v>
      </c>
      <c r="L1386" s="9" t="s">
        <v>156</v>
      </c>
      <c r="M1386" s="9"/>
      <c r="N1386" s="9" t="s">
        <v>50</v>
      </c>
      <c r="O1386" s="9" t="s">
        <v>51</v>
      </c>
      <c r="P1386" s="9"/>
      <c r="Q1386" s="9"/>
      <c r="R1386" s="9"/>
      <c r="S1386" s="14" t="s">
        <v>5095</v>
      </c>
      <c r="T1386" s="9" t="s">
        <v>5096</v>
      </c>
      <c r="U1386" s="9" t="s">
        <v>262</v>
      </c>
      <c r="V1386" s="9"/>
      <c r="W1386" s="9" t="s">
        <v>115</v>
      </c>
      <c r="X1386" s="12"/>
      <c r="Y1386" s="9" t="s">
        <v>55</v>
      </c>
      <c r="Z1386" s="13"/>
    </row>
    <row r="1387" spans="1:26" ht="32.25" hidden="1" customHeight="1">
      <c r="A1387" s="8">
        <v>2314852</v>
      </c>
      <c r="B1387" s="9" t="s">
        <v>5097</v>
      </c>
      <c r="C1387" s="10">
        <v>45156</v>
      </c>
      <c r="D1387" s="9" t="s">
        <v>79</v>
      </c>
      <c r="E1387" s="9" t="s">
        <v>89</v>
      </c>
      <c r="F1387" s="9" t="s">
        <v>80</v>
      </c>
      <c r="G1387" s="9" t="s">
        <v>43</v>
      </c>
      <c r="H1387" s="9" t="s">
        <v>44</v>
      </c>
      <c r="I1387" s="11" t="s">
        <v>101</v>
      </c>
      <c r="J1387" s="9" t="s">
        <v>102</v>
      </c>
      <c r="K1387" s="9" t="s">
        <v>47</v>
      </c>
      <c r="L1387" s="9" t="s">
        <v>226</v>
      </c>
      <c r="M1387" s="9" t="s">
        <v>227</v>
      </c>
      <c r="N1387" s="9" t="s">
        <v>50</v>
      </c>
      <c r="O1387" s="9" t="s">
        <v>51</v>
      </c>
      <c r="P1387" s="9" t="s">
        <v>104</v>
      </c>
      <c r="Q1387" s="9"/>
      <c r="R1387" s="9"/>
      <c r="S1387" s="14" t="s">
        <v>5098</v>
      </c>
      <c r="T1387" s="9" t="s">
        <v>5099</v>
      </c>
      <c r="U1387" s="9" t="s">
        <v>54</v>
      </c>
      <c r="V1387" s="9" t="s">
        <v>55</v>
      </c>
      <c r="W1387" s="9" t="s">
        <v>55</v>
      </c>
      <c r="X1387" s="12"/>
      <c r="Y1387" s="9" t="s">
        <v>55</v>
      </c>
      <c r="Z1387" s="13"/>
    </row>
    <row r="1388" spans="1:26" ht="32.25" hidden="1" customHeight="1">
      <c r="A1388" s="8">
        <v>2309198</v>
      </c>
      <c r="B1388" s="9" t="s">
        <v>5100</v>
      </c>
      <c r="C1388" s="10">
        <v>45156</v>
      </c>
      <c r="D1388" s="9" t="s">
        <v>79</v>
      </c>
      <c r="E1388" s="9" t="s">
        <v>153</v>
      </c>
      <c r="F1388" s="9" t="s">
        <v>80</v>
      </c>
      <c r="G1388" s="9" t="s">
        <v>43</v>
      </c>
      <c r="H1388" s="9" t="s">
        <v>44</v>
      </c>
      <c r="I1388" s="11" t="s">
        <v>1588</v>
      </c>
      <c r="J1388" s="9" t="s">
        <v>155</v>
      </c>
      <c r="K1388" s="9" t="s">
        <v>47</v>
      </c>
      <c r="L1388" s="9" t="s">
        <v>138</v>
      </c>
      <c r="M1388" s="9" t="s">
        <v>5101</v>
      </c>
      <c r="N1388" s="9" t="s">
        <v>84</v>
      </c>
      <c r="O1388" s="9" t="s">
        <v>51</v>
      </c>
      <c r="P1388" s="9" t="s">
        <v>1589</v>
      </c>
      <c r="Q1388" s="9"/>
      <c r="R1388" s="9" t="s">
        <v>61</v>
      </c>
      <c r="S1388" s="14" t="s">
        <v>5102</v>
      </c>
      <c r="T1388" s="9" t="s">
        <v>5103</v>
      </c>
      <c r="U1388" s="9" t="s">
        <v>54</v>
      </c>
      <c r="V1388" s="9" t="s">
        <v>55</v>
      </c>
      <c r="W1388" s="9" t="s">
        <v>55</v>
      </c>
      <c r="X1388" s="12" t="s">
        <v>319</v>
      </c>
      <c r="Y1388" s="9" t="s">
        <v>320</v>
      </c>
      <c r="Z1388" s="13"/>
    </row>
    <row r="1389" spans="1:26" ht="32.25" hidden="1" customHeight="1">
      <c r="A1389" s="8">
        <v>2302037</v>
      </c>
      <c r="B1389" s="9" t="s">
        <v>5104</v>
      </c>
      <c r="C1389" s="10">
        <v>45142</v>
      </c>
      <c r="D1389" s="9" t="s">
        <v>67</v>
      </c>
      <c r="E1389" s="9" t="s">
        <v>68</v>
      </c>
      <c r="F1389" s="9" t="s">
        <v>135</v>
      </c>
      <c r="G1389" s="9" t="s">
        <v>43</v>
      </c>
      <c r="H1389" s="9" t="s">
        <v>44</v>
      </c>
      <c r="I1389" s="11" t="s">
        <v>136</v>
      </c>
      <c r="J1389" s="9" t="s">
        <v>137</v>
      </c>
      <c r="K1389" s="9" t="s">
        <v>47</v>
      </c>
      <c r="L1389" s="9" t="s">
        <v>138</v>
      </c>
      <c r="M1389" s="9" t="s">
        <v>2607</v>
      </c>
      <c r="N1389" s="9" t="s">
        <v>84</v>
      </c>
      <c r="O1389" s="9" t="s">
        <v>51</v>
      </c>
      <c r="P1389" s="9"/>
      <c r="Q1389" s="9"/>
      <c r="R1389" s="9" t="s">
        <v>61</v>
      </c>
      <c r="S1389" s="9" t="s">
        <v>5105</v>
      </c>
      <c r="T1389" s="9" t="s">
        <v>5106</v>
      </c>
      <c r="U1389" s="9" t="s">
        <v>54</v>
      </c>
      <c r="V1389" s="9" t="s">
        <v>55</v>
      </c>
      <c r="W1389" s="9" t="s">
        <v>55</v>
      </c>
      <c r="X1389" s="12" t="s">
        <v>76</v>
      </c>
      <c r="Y1389" s="9" t="s">
        <v>77</v>
      </c>
      <c r="Z1389" s="13" t="s">
        <v>5107</v>
      </c>
    </row>
    <row r="1390" spans="1:26" ht="32.25" hidden="1" customHeight="1">
      <c r="A1390" s="8">
        <v>2315381</v>
      </c>
      <c r="B1390" s="9" t="s">
        <v>5108</v>
      </c>
      <c r="C1390" s="10">
        <v>45152</v>
      </c>
      <c r="D1390" s="9" t="s">
        <v>185</v>
      </c>
      <c r="E1390" s="9" t="s">
        <v>153</v>
      </c>
      <c r="F1390" s="9" t="s">
        <v>42</v>
      </c>
      <c r="G1390" s="9" t="s">
        <v>43</v>
      </c>
      <c r="H1390" s="9" t="s">
        <v>44</v>
      </c>
      <c r="I1390" s="11" t="s">
        <v>154</v>
      </c>
      <c r="J1390" s="9" t="s">
        <v>155</v>
      </c>
      <c r="K1390" s="9" t="s">
        <v>1158</v>
      </c>
      <c r="L1390" s="9" t="s">
        <v>5109</v>
      </c>
      <c r="M1390" s="9" t="s">
        <v>5110</v>
      </c>
      <c r="N1390" s="9" t="s">
        <v>84</v>
      </c>
      <c r="O1390" s="9" t="s">
        <v>187</v>
      </c>
      <c r="P1390" s="9"/>
      <c r="Q1390" s="9"/>
      <c r="R1390" s="9" t="s">
        <v>61</v>
      </c>
      <c r="S1390" s="14" t="s">
        <v>5111</v>
      </c>
      <c r="T1390" s="9" t="s">
        <v>5112</v>
      </c>
      <c r="U1390" s="9" t="s">
        <v>54</v>
      </c>
      <c r="V1390" s="9" t="s">
        <v>55</v>
      </c>
      <c r="W1390" s="9" t="s">
        <v>55</v>
      </c>
      <c r="X1390" s="12" t="s">
        <v>171</v>
      </c>
      <c r="Y1390" s="9" t="s">
        <v>172</v>
      </c>
      <c r="Z1390" s="13"/>
    </row>
    <row r="1391" spans="1:26" ht="32.25" hidden="1" customHeight="1">
      <c r="A1391" s="8">
        <v>2303355</v>
      </c>
      <c r="B1391" s="9" t="s">
        <v>5113</v>
      </c>
      <c r="C1391" s="10">
        <v>45149</v>
      </c>
      <c r="D1391" s="9" t="s">
        <v>57</v>
      </c>
      <c r="E1391" s="9" t="s">
        <v>41</v>
      </c>
      <c r="F1391" s="9" t="s">
        <v>42</v>
      </c>
      <c r="G1391" s="9" t="s">
        <v>43</v>
      </c>
      <c r="H1391" s="9" t="s">
        <v>58</v>
      </c>
      <c r="I1391" s="11" t="s">
        <v>45</v>
      </c>
      <c r="J1391" s="9" t="s">
        <v>46</v>
      </c>
      <c r="K1391" s="9" t="s">
        <v>47</v>
      </c>
      <c r="L1391" s="9" t="s">
        <v>156</v>
      </c>
      <c r="M1391" s="9"/>
      <c r="N1391" s="9" t="s">
        <v>50</v>
      </c>
      <c r="O1391" s="9" t="s">
        <v>51</v>
      </c>
      <c r="P1391" s="9"/>
      <c r="Q1391" s="9"/>
      <c r="R1391" s="9"/>
      <c r="S1391" s="14" t="s">
        <v>5114</v>
      </c>
      <c r="T1391" s="9" t="s">
        <v>5115</v>
      </c>
      <c r="U1391" s="9" t="s">
        <v>54</v>
      </c>
      <c r="V1391" s="9" t="s">
        <v>55</v>
      </c>
      <c r="W1391" s="9" t="s">
        <v>55</v>
      </c>
      <c r="X1391" s="12"/>
      <c r="Y1391" s="9" t="s">
        <v>55</v>
      </c>
      <c r="Z1391" s="13"/>
    </row>
    <row r="1392" spans="1:26" ht="32.25" hidden="1" customHeight="1">
      <c r="A1392" s="8">
        <v>2309370</v>
      </c>
      <c r="B1392" s="9" t="s">
        <v>5116</v>
      </c>
      <c r="C1392" s="10">
        <v>45149</v>
      </c>
      <c r="D1392" s="9" t="s">
        <v>57</v>
      </c>
      <c r="E1392" s="9" t="s">
        <v>153</v>
      </c>
      <c r="F1392" s="9" t="s">
        <v>42</v>
      </c>
      <c r="G1392" s="9" t="s">
        <v>43</v>
      </c>
      <c r="H1392" s="9" t="s">
        <v>58</v>
      </c>
      <c r="I1392" s="11" t="s">
        <v>154</v>
      </c>
      <c r="J1392" s="9" t="s">
        <v>155</v>
      </c>
      <c r="K1392" s="9" t="s">
        <v>47</v>
      </c>
      <c r="L1392" s="9" t="s">
        <v>349</v>
      </c>
      <c r="M1392" s="9" t="s">
        <v>785</v>
      </c>
      <c r="N1392" s="9" t="s">
        <v>84</v>
      </c>
      <c r="O1392" s="9" t="s">
        <v>51</v>
      </c>
      <c r="P1392" s="9"/>
      <c r="Q1392" s="9"/>
      <c r="R1392" s="9" t="s">
        <v>61</v>
      </c>
      <c r="S1392" s="14" t="s">
        <v>5117</v>
      </c>
      <c r="T1392" s="9" t="s">
        <v>5118</v>
      </c>
      <c r="U1392" s="9" t="s">
        <v>54</v>
      </c>
      <c r="V1392" s="9" t="s">
        <v>55</v>
      </c>
      <c r="W1392" s="9" t="s">
        <v>55</v>
      </c>
      <c r="X1392" s="12" t="s">
        <v>171</v>
      </c>
      <c r="Y1392" s="9" t="s">
        <v>172</v>
      </c>
      <c r="Z1392" s="13"/>
    </row>
    <row r="1393" spans="1:26" ht="32.25" hidden="1" customHeight="1">
      <c r="A1393" s="8">
        <v>2304914</v>
      </c>
      <c r="B1393" s="9" t="s">
        <v>5119</v>
      </c>
      <c r="C1393" s="10">
        <v>45142</v>
      </c>
      <c r="D1393" s="9" t="s">
        <v>67</v>
      </c>
      <c r="E1393" s="9" t="s">
        <v>89</v>
      </c>
      <c r="F1393" s="9" t="s">
        <v>42</v>
      </c>
      <c r="G1393" s="9" t="s">
        <v>43</v>
      </c>
      <c r="H1393" s="9" t="s">
        <v>44</v>
      </c>
      <c r="I1393" s="11" t="s">
        <v>360</v>
      </c>
      <c r="J1393" s="9" t="s">
        <v>102</v>
      </c>
      <c r="K1393" s="9" t="s">
        <v>47</v>
      </c>
      <c r="L1393" s="9" t="s">
        <v>2006</v>
      </c>
      <c r="M1393" s="9" t="s">
        <v>5120</v>
      </c>
      <c r="N1393" s="9" t="s">
        <v>50</v>
      </c>
      <c r="O1393" s="9" t="s">
        <v>51</v>
      </c>
      <c r="P1393" s="9" t="s">
        <v>361</v>
      </c>
      <c r="Q1393" s="9"/>
      <c r="R1393" s="9" t="s">
        <v>61</v>
      </c>
      <c r="S1393" s="9" t="s">
        <v>5121</v>
      </c>
      <c r="T1393" s="9" t="s">
        <v>5122</v>
      </c>
      <c r="U1393" s="9" t="s">
        <v>54</v>
      </c>
      <c r="V1393" s="9" t="s">
        <v>55</v>
      </c>
      <c r="W1393" s="9" t="s">
        <v>55</v>
      </c>
      <c r="X1393" s="12" t="s">
        <v>98</v>
      </c>
      <c r="Y1393" s="9" t="s">
        <v>99</v>
      </c>
      <c r="Z1393" s="13"/>
    </row>
    <row r="1394" spans="1:26" ht="32.25" hidden="1" customHeight="1">
      <c r="A1394" s="8">
        <v>2304172</v>
      </c>
      <c r="B1394" s="9" t="s">
        <v>5123</v>
      </c>
      <c r="C1394" s="10">
        <v>45142</v>
      </c>
      <c r="D1394" s="9" t="s">
        <v>67</v>
      </c>
      <c r="E1394" s="9" t="s">
        <v>41</v>
      </c>
      <c r="F1394" s="9" t="s">
        <v>42</v>
      </c>
      <c r="G1394" s="9" t="s">
        <v>43</v>
      </c>
      <c r="H1394" s="9" t="s">
        <v>44</v>
      </c>
      <c r="I1394" s="11" t="s">
        <v>199</v>
      </c>
      <c r="J1394" s="9" t="s">
        <v>200</v>
      </c>
      <c r="K1394" s="9" t="s">
        <v>47</v>
      </c>
      <c r="L1394" s="9" t="s">
        <v>156</v>
      </c>
      <c r="M1394" s="9" t="s">
        <v>5124</v>
      </c>
      <c r="N1394" s="9" t="s">
        <v>50</v>
      </c>
      <c r="O1394" s="9" t="s">
        <v>51</v>
      </c>
      <c r="P1394" s="9"/>
      <c r="Q1394" s="9"/>
      <c r="R1394" s="9"/>
      <c r="S1394" s="9" t="s">
        <v>5125</v>
      </c>
      <c r="T1394" s="9" t="s">
        <v>5126</v>
      </c>
      <c r="U1394" s="9" t="s">
        <v>54</v>
      </c>
      <c r="V1394" s="9" t="s">
        <v>55</v>
      </c>
      <c r="W1394" s="9" t="s">
        <v>55</v>
      </c>
      <c r="X1394" s="12"/>
      <c r="Y1394" s="9" t="s">
        <v>55</v>
      </c>
      <c r="Z1394" s="13"/>
    </row>
    <row r="1395" spans="1:26" ht="32.25" hidden="1" customHeight="1">
      <c r="A1395" s="8">
        <v>2311888</v>
      </c>
      <c r="B1395" s="9" t="s">
        <v>5127</v>
      </c>
      <c r="C1395" s="10">
        <v>45156</v>
      </c>
      <c r="D1395" s="9" t="s">
        <v>79</v>
      </c>
      <c r="E1395" s="9" t="s">
        <v>143</v>
      </c>
      <c r="F1395" s="9" t="s">
        <v>80</v>
      </c>
      <c r="G1395" s="9" t="s">
        <v>43</v>
      </c>
      <c r="H1395" s="9" t="s">
        <v>44</v>
      </c>
      <c r="I1395" s="11" t="s">
        <v>725</v>
      </c>
      <c r="J1395" s="9" t="s">
        <v>145</v>
      </c>
      <c r="K1395" s="9" t="s">
        <v>47</v>
      </c>
      <c r="L1395" s="9" t="s">
        <v>1542</v>
      </c>
      <c r="M1395" s="9" t="s">
        <v>1543</v>
      </c>
      <c r="N1395" s="9" t="s">
        <v>50</v>
      </c>
      <c r="O1395" s="9" t="s">
        <v>51</v>
      </c>
      <c r="P1395" s="9" t="s">
        <v>727</v>
      </c>
      <c r="Q1395" s="9"/>
      <c r="R1395" s="9" t="s">
        <v>61</v>
      </c>
      <c r="S1395" s="14" t="s">
        <v>5128</v>
      </c>
      <c r="T1395" s="9" t="s">
        <v>5129</v>
      </c>
      <c r="U1395" s="9" t="s">
        <v>54</v>
      </c>
      <c r="V1395" s="9" t="s">
        <v>251</v>
      </c>
      <c r="W1395" s="9" t="s">
        <v>115</v>
      </c>
      <c r="X1395" s="12" t="s">
        <v>171</v>
      </c>
      <c r="Y1395" s="9" t="s">
        <v>172</v>
      </c>
      <c r="Z1395" s="13"/>
    </row>
    <row r="1396" spans="1:26" ht="32.25" hidden="1" customHeight="1">
      <c r="A1396" s="8">
        <v>2312917</v>
      </c>
      <c r="B1396" s="9" t="s">
        <v>5130</v>
      </c>
      <c r="C1396" s="10">
        <v>45156</v>
      </c>
      <c r="D1396" s="9" t="s">
        <v>79</v>
      </c>
      <c r="E1396" s="9" t="s">
        <v>41</v>
      </c>
      <c r="F1396" s="9" t="s">
        <v>80</v>
      </c>
      <c r="G1396" s="9" t="s">
        <v>43</v>
      </c>
      <c r="H1396" s="9" t="s">
        <v>44</v>
      </c>
      <c r="I1396" s="11" t="s">
        <v>81</v>
      </c>
      <c r="J1396" s="9" t="s">
        <v>46</v>
      </c>
      <c r="K1396" s="9" t="s">
        <v>47</v>
      </c>
      <c r="L1396" s="9" t="s">
        <v>156</v>
      </c>
      <c r="M1396" s="9"/>
      <c r="N1396" s="9" t="s">
        <v>84</v>
      </c>
      <c r="O1396" s="9" t="s">
        <v>51</v>
      </c>
      <c r="P1396" s="9" t="s">
        <v>1263</v>
      </c>
      <c r="Q1396" s="9"/>
      <c r="R1396" s="9"/>
      <c r="S1396" s="14" t="s">
        <v>5131</v>
      </c>
      <c r="T1396" s="9" t="s">
        <v>5132</v>
      </c>
      <c r="U1396" s="9" t="s">
        <v>54</v>
      </c>
      <c r="V1396" s="9" t="s">
        <v>55</v>
      </c>
      <c r="W1396" s="9" t="s">
        <v>55</v>
      </c>
      <c r="X1396" s="12"/>
      <c r="Y1396" s="9" t="s">
        <v>55</v>
      </c>
      <c r="Z1396" s="13"/>
    </row>
    <row r="1397" spans="1:26" ht="32.25" hidden="1" customHeight="1">
      <c r="A1397" s="8">
        <v>2313723</v>
      </c>
      <c r="B1397" s="9" t="s">
        <v>5133</v>
      </c>
      <c r="C1397" s="10">
        <v>45156</v>
      </c>
      <c r="D1397" s="9" t="s">
        <v>79</v>
      </c>
      <c r="E1397" s="9" t="s">
        <v>68</v>
      </c>
      <c r="F1397" s="9" t="s">
        <v>80</v>
      </c>
      <c r="G1397" s="9" t="s">
        <v>43</v>
      </c>
      <c r="H1397" s="9" t="s">
        <v>44</v>
      </c>
      <c r="I1397" s="11" t="s">
        <v>117</v>
      </c>
      <c r="J1397" s="9" t="s">
        <v>118</v>
      </c>
      <c r="K1397" s="9" t="s">
        <v>47</v>
      </c>
      <c r="L1397" s="9" t="s">
        <v>156</v>
      </c>
      <c r="M1397" s="9"/>
      <c r="N1397" s="9" t="s">
        <v>84</v>
      </c>
      <c r="O1397" s="9" t="s">
        <v>51</v>
      </c>
      <c r="P1397" s="9" t="s">
        <v>285</v>
      </c>
      <c r="Q1397" s="9"/>
      <c r="R1397" s="9"/>
      <c r="S1397" s="14" t="s">
        <v>5134</v>
      </c>
      <c r="T1397" s="9" t="s">
        <v>5135</v>
      </c>
      <c r="U1397" s="9" t="s">
        <v>54</v>
      </c>
      <c r="V1397" s="9" t="s">
        <v>55</v>
      </c>
      <c r="W1397" s="9" t="s">
        <v>55</v>
      </c>
      <c r="X1397" s="12"/>
      <c r="Y1397" s="9" t="s">
        <v>55</v>
      </c>
      <c r="Z1397" s="13"/>
    </row>
    <row r="1398" spans="1:26" ht="32.25" hidden="1" customHeight="1">
      <c r="A1398" s="8">
        <v>2309496</v>
      </c>
      <c r="B1398" s="9" t="s">
        <v>5136</v>
      </c>
      <c r="C1398" s="10">
        <v>45156</v>
      </c>
      <c r="D1398" s="9" t="s">
        <v>79</v>
      </c>
      <c r="E1398" s="9" t="s">
        <v>41</v>
      </c>
      <c r="F1398" s="9" t="s">
        <v>80</v>
      </c>
      <c r="G1398" s="9" t="s">
        <v>43</v>
      </c>
      <c r="H1398" s="9" t="s">
        <v>44</v>
      </c>
      <c r="I1398" s="11" t="s">
        <v>233</v>
      </c>
      <c r="J1398" s="9" t="s">
        <v>200</v>
      </c>
      <c r="K1398" s="9" t="s">
        <v>47</v>
      </c>
      <c r="L1398" s="9" t="s">
        <v>156</v>
      </c>
      <c r="M1398" s="9"/>
      <c r="N1398" s="9" t="s">
        <v>84</v>
      </c>
      <c r="O1398" s="9" t="s">
        <v>51</v>
      </c>
      <c r="P1398" s="9" t="s">
        <v>236</v>
      </c>
      <c r="Q1398" s="9"/>
      <c r="R1398" s="9"/>
      <c r="S1398" s="14" t="s">
        <v>5137</v>
      </c>
      <c r="T1398" s="9" t="s">
        <v>5138</v>
      </c>
      <c r="U1398" s="9" t="s">
        <v>54</v>
      </c>
      <c r="V1398" s="9"/>
      <c r="W1398" s="9" t="s">
        <v>115</v>
      </c>
      <c r="X1398" s="12"/>
      <c r="Y1398" s="9" t="s">
        <v>55</v>
      </c>
      <c r="Z1398" s="13"/>
    </row>
    <row r="1399" spans="1:26" ht="32.25" hidden="1" customHeight="1">
      <c r="A1399" s="8">
        <v>2307782</v>
      </c>
      <c r="B1399" s="9" t="s">
        <v>5139</v>
      </c>
      <c r="C1399" s="10">
        <v>45149</v>
      </c>
      <c r="D1399" s="9" t="s">
        <v>57</v>
      </c>
      <c r="E1399" s="9" t="s">
        <v>41</v>
      </c>
      <c r="F1399" s="9" t="s">
        <v>42</v>
      </c>
      <c r="G1399" s="9" t="s">
        <v>43</v>
      </c>
      <c r="H1399" s="9" t="s">
        <v>58</v>
      </c>
      <c r="I1399" s="11" t="s">
        <v>45</v>
      </c>
      <c r="J1399" s="9" t="s">
        <v>46</v>
      </c>
      <c r="K1399" s="9" t="s">
        <v>47</v>
      </c>
      <c r="L1399" s="9" t="s">
        <v>156</v>
      </c>
      <c r="M1399" s="9"/>
      <c r="N1399" s="9" t="s">
        <v>50</v>
      </c>
      <c r="O1399" s="9" t="s">
        <v>51</v>
      </c>
      <c r="P1399" s="9"/>
      <c r="Q1399" s="9"/>
      <c r="R1399" s="9"/>
      <c r="S1399" s="14" t="s">
        <v>5140</v>
      </c>
      <c r="T1399" s="9" t="s">
        <v>5141</v>
      </c>
      <c r="U1399" s="9" t="s">
        <v>54</v>
      </c>
      <c r="V1399" s="9" t="s">
        <v>55</v>
      </c>
      <c r="W1399" s="9" t="s">
        <v>55</v>
      </c>
      <c r="X1399" s="12"/>
      <c r="Y1399" s="9" t="s">
        <v>55</v>
      </c>
      <c r="Z1399" s="13"/>
    </row>
    <row r="1400" spans="1:26" ht="32.25" hidden="1" customHeight="1">
      <c r="A1400" s="8">
        <v>2306552</v>
      </c>
      <c r="B1400" s="9" t="s">
        <v>5142</v>
      </c>
      <c r="C1400" s="10">
        <v>45136</v>
      </c>
      <c r="D1400" s="9" t="s">
        <v>1072</v>
      </c>
      <c r="E1400" s="9" t="s">
        <v>41</v>
      </c>
      <c r="F1400" s="9" t="s">
        <v>42</v>
      </c>
      <c r="G1400" s="9" t="s">
        <v>43</v>
      </c>
      <c r="H1400" s="9" t="s">
        <v>44</v>
      </c>
      <c r="I1400" s="11" t="s">
        <v>45</v>
      </c>
      <c r="J1400" s="9" t="s">
        <v>46</v>
      </c>
      <c r="K1400" s="9" t="s">
        <v>47</v>
      </c>
      <c r="L1400" s="9" t="s">
        <v>480</v>
      </c>
      <c r="M1400" s="9" t="s">
        <v>5143</v>
      </c>
      <c r="N1400" s="9" t="s">
        <v>50</v>
      </c>
      <c r="O1400" s="9" t="s">
        <v>51</v>
      </c>
      <c r="P1400" s="9"/>
      <c r="Q1400" s="9"/>
      <c r="R1400" s="9" t="s">
        <v>61</v>
      </c>
      <c r="S1400" s="9" t="s">
        <v>5144</v>
      </c>
      <c r="T1400" s="9" t="s">
        <v>5145</v>
      </c>
      <c r="U1400" s="9" t="s">
        <v>54</v>
      </c>
      <c r="V1400" s="9" t="s">
        <v>55</v>
      </c>
      <c r="W1400" s="9" t="s">
        <v>55</v>
      </c>
      <c r="X1400" s="9" t="s">
        <v>64</v>
      </c>
      <c r="Y1400" s="9" t="s">
        <v>65</v>
      </c>
      <c r="Z1400" s="13"/>
    </row>
    <row r="1401" spans="1:26" ht="32.25" hidden="1" customHeight="1">
      <c r="A1401" s="8">
        <v>2315004</v>
      </c>
      <c r="B1401" s="9" t="s">
        <v>5146</v>
      </c>
      <c r="C1401" s="10">
        <v>45156</v>
      </c>
      <c r="D1401" s="9" t="s">
        <v>79</v>
      </c>
      <c r="E1401" s="9" t="s">
        <v>89</v>
      </c>
      <c r="F1401" s="9" t="s">
        <v>80</v>
      </c>
      <c r="G1401" s="9" t="s">
        <v>43</v>
      </c>
      <c r="H1401" s="9" t="s">
        <v>44</v>
      </c>
      <c r="I1401" s="11" t="s">
        <v>101</v>
      </c>
      <c r="J1401" s="9" t="s">
        <v>102</v>
      </c>
      <c r="K1401" s="9" t="s">
        <v>47</v>
      </c>
      <c r="L1401" s="9" t="s">
        <v>846</v>
      </c>
      <c r="M1401" s="9" t="s">
        <v>1535</v>
      </c>
      <c r="N1401" s="9" t="s">
        <v>50</v>
      </c>
      <c r="O1401" s="9" t="s">
        <v>51</v>
      </c>
      <c r="P1401" s="9" t="s">
        <v>715</v>
      </c>
      <c r="Q1401" s="9"/>
      <c r="R1401" s="9"/>
      <c r="S1401" s="14" t="s">
        <v>5147</v>
      </c>
      <c r="T1401" s="9" t="s">
        <v>5148</v>
      </c>
      <c r="U1401" s="9" t="s">
        <v>54</v>
      </c>
      <c r="V1401" s="9" t="s">
        <v>55</v>
      </c>
      <c r="W1401" s="9" t="s">
        <v>55</v>
      </c>
      <c r="X1401" s="12"/>
      <c r="Y1401" s="9" t="s">
        <v>55</v>
      </c>
      <c r="Z1401" s="13"/>
    </row>
    <row r="1402" spans="1:26" ht="32.25" hidden="1" customHeight="1">
      <c r="A1402" s="8">
        <v>2308730</v>
      </c>
      <c r="B1402" s="9" t="s">
        <v>5149</v>
      </c>
      <c r="C1402" s="10">
        <v>45156</v>
      </c>
      <c r="D1402" s="9" t="s">
        <v>79</v>
      </c>
      <c r="E1402" s="9" t="s">
        <v>143</v>
      </c>
      <c r="F1402" s="9" t="s">
        <v>80</v>
      </c>
      <c r="G1402" s="9" t="s">
        <v>43</v>
      </c>
      <c r="H1402" s="9" t="s">
        <v>44</v>
      </c>
      <c r="I1402" s="11" t="s">
        <v>326</v>
      </c>
      <c r="J1402" s="9" t="s">
        <v>327</v>
      </c>
      <c r="K1402" s="9" t="s">
        <v>47</v>
      </c>
      <c r="L1402" s="9" t="s">
        <v>863</v>
      </c>
      <c r="M1402" s="9" t="s">
        <v>1396</v>
      </c>
      <c r="N1402" s="9" t="s">
        <v>50</v>
      </c>
      <c r="O1402" s="9" t="s">
        <v>51</v>
      </c>
      <c r="P1402" s="9" t="s">
        <v>1238</v>
      </c>
      <c r="Q1402" s="9"/>
      <c r="R1402" s="9" t="s">
        <v>61</v>
      </c>
      <c r="S1402" s="14" t="s">
        <v>5150</v>
      </c>
      <c r="T1402" s="9" t="s">
        <v>5151</v>
      </c>
      <c r="U1402" s="9" t="s">
        <v>54</v>
      </c>
      <c r="V1402" s="9" t="s">
        <v>370</v>
      </c>
      <c r="W1402" s="9" t="s">
        <v>115</v>
      </c>
      <c r="X1402" s="12" t="s">
        <v>150</v>
      </c>
      <c r="Y1402" s="9" t="s">
        <v>151</v>
      </c>
      <c r="Z1402" s="13"/>
    </row>
    <row r="1403" spans="1:26" ht="32.25" hidden="1" customHeight="1">
      <c r="A1403" s="8">
        <v>2304891</v>
      </c>
      <c r="B1403" s="9" t="s">
        <v>5152</v>
      </c>
      <c r="C1403" s="10">
        <v>45136</v>
      </c>
      <c r="D1403" s="9" t="s">
        <v>40</v>
      </c>
      <c r="E1403" s="9" t="s">
        <v>295</v>
      </c>
      <c r="F1403" s="9" t="s">
        <v>42</v>
      </c>
      <c r="G1403" s="9" t="s">
        <v>43</v>
      </c>
      <c r="H1403" s="9" t="s">
        <v>44</v>
      </c>
      <c r="I1403" s="11" t="s">
        <v>406</v>
      </c>
      <c r="J1403" s="9" t="s">
        <v>407</v>
      </c>
      <c r="K1403" s="9" t="s">
        <v>47</v>
      </c>
      <c r="L1403" s="9" t="s">
        <v>2399</v>
      </c>
      <c r="M1403" s="9"/>
      <c r="N1403" s="9" t="s">
        <v>50</v>
      </c>
      <c r="O1403" s="9" t="s">
        <v>51</v>
      </c>
      <c r="P1403" s="9"/>
      <c r="Q1403" s="9"/>
      <c r="R1403" s="9" t="s">
        <v>61</v>
      </c>
      <c r="S1403" s="9" t="s">
        <v>5153</v>
      </c>
      <c r="T1403" s="9" t="s">
        <v>5154</v>
      </c>
      <c r="U1403" s="9" t="s">
        <v>54</v>
      </c>
      <c r="V1403" s="9" t="s">
        <v>55</v>
      </c>
      <c r="W1403" s="9" t="s">
        <v>55</v>
      </c>
      <c r="X1403" s="9" t="s">
        <v>319</v>
      </c>
      <c r="Y1403" s="9" t="s">
        <v>320</v>
      </c>
      <c r="Z1403" s="13"/>
    </row>
    <row r="1404" spans="1:26" ht="32.25" hidden="1" customHeight="1">
      <c r="A1404" s="8">
        <v>2308667</v>
      </c>
      <c r="B1404" s="9" t="s">
        <v>5155</v>
      </c>
      <c r="C1404" s="10">
        <v>45156</v>
      </c>
      <c r="D1404" s="9" t="s">
        <v>79</v>
      </c>
      <c r="E1404" s="9" t="s">
        <v>89</v>
      </c>
      <c r="F1404" s="9" t="s">
        <v>80</v>
      </c>
      <c r="G1404" s="9" t="s">
        <v>43</v>
      </c>
      <c r="H1404" s="9" t="s">
        <v>44</v>
      </c>
      <c r="I1404" s="11" t="s">
        <v>101</v>
      </c>
      <c r="J1404" s="9" t="s">
        <v>102</v>
      </c>
      <c r="K1404" s="9" t="s">
        <v>47</v>
      </c>
      <c r="L1404" s="9" t="s">
        <v>226</v>
      </c>
      <c r="M1404" s="9" t="s">
        <v>635</v>
      </c>
      <c r="N1404" s="9" t="s">
        <v>84</v>
      </c>
      <c r="O1404" s="9" t="s">
        <v>51</v>
      </c>
      <c r="P1404" s="9" t="s">
        <v>125</v>
      </c>
      <c r="Q1404" s="9"/>
      <c r="R1404" s="9"/>
      <c r="S1404" s="14" t="s">
        <v>5156</v>
      </c>
      <c r="T1404" s="9" t="s">
        <v>5157</v>
      </c>
      <c r="U1404" s="9" t="s">
        <v>54</v>
      </c>
      <c r="V1404" s="9" t="s">
        <v>711</v>
      </c>
      <c r="W1404" s="9" t="s">
        <v>115</v>
      </c>
      <c r="X1404" s="12"/>
      <c r="Y1404" s="9" t="s">
        <v>55</v>
      </c>
      <c r="Z1404" s="13"/>
    </row>
    <row r="1405" spans="1:26" ht="32.25" hidden="1" customHeight="1">
      <c r="A1405" s="8">
        <v>2315114</v>
      </c>
      <c r="B1405" s="9" t="s">
        <v>5158</v>
      </c>
      <c r="C1405" s="10">
        <v>45152</v>
      </c>
      <c r="D1405" s="9" t="s">
        <v>639</v>
      </c>
      <c r="E1405" s="9" t="s">
        <v>153</v>
      </c>
      <c r="F1405" s="9" t="s">
        <v>80</v>
      </c>
      <c r="G1405" s="9" t="s">
        <v>43</v>
      </c>
      <c r="H1405" s="9" t="s">
        <v>44</v>
      </c>
      <c r="I1405" s="11" t="s">
        <v>1588</v>
      </c>
      <c r="J1405" s="9" t="s">
        <v>155</v>
      </c>
      <c r="K1405" s="9" t="s">
        <v>192</v>
      </c>
      <c r="L1405" s="9" t="s">
        <v>5159</v>
      </c>
      <c r="M1405" s="9" t="s">
        <v>5160</v>
      </c>
      <c r="N1405" s="9" t="s">
        <v>50</v>
      </c>
      <c r="O1405" s="9" t="s">
        <v>187</v>
      </c>
      <c r="P1405" s="9" t="s">
        <v>1589</v>
      </c>
      <c r="Q1405" s="9"/>
      <c r="R1405" s="9" t="s">
        <v>61</v>
      </c>
      <c r="S1405" s="14" t="s">
        <v>641</v>
      </c>
      <c r="T1405" s="9" t="s">
        <v>5161</v>
      </c>
      <c r="U1405" s="9" t="s">
        <v>54</v>
      </c>
      <c r="V1405" s="9" t="s">
        <v>55</v>
      </c>
      <c r="W1405" s="9" t="s">
        <v>55</v>
      </c>
      <c r="X1405" s="12" t="s">
        <v>319</v>
      </c>
      <c r="Y1405" s="9" t="s">
        <v>320</v>
      </c>
      <c r="Z1405" s="13"/>
    </row>
    <row r="1406" spans="1:26" ht="32.25" hidden="1" customHeight="1">
      <c r="A1406" s="8">
        <v>2308306</v>
      </c>
      <c r="B1406" s="9" t="s">
        <v>5162</v>
      </c>
      <c r="C1406" s="10">
        <v>45142</v>
      </c>
      <c r="D1406" s="9" t="s">
        <v>67</v>
      </c>
      <c r="E1406" s="9" t="s">
        <v>68</v>
      </c>
      <c r="F1406" s="9" t="s">
        <v>135</v>
      </c>
      <c r="G1406" s="9" t="s">
        <v>43</v>
      </c>
      <c r="H1406" s="9" t="s">
        <v>44</v>
      </c>
      <c r="I1406" s="11" t="s">
        <v>136</v>
      </c>
      <c r="J1406" s="9" t="s">
        <v>137</v>
      </c>
      <c r="K1406" s="9" t="s">
        <v>110</v>
      </c>
      <c r="L1406" s="9" t="s">
        <v>5163</v>
      </c>
      <c r="M1406" s="9" t="s">
        <v>5164</v>
      </c>
      <c r="N1406" s="9" t="s">
        <v>50</v>
      </c>
      <c r="O1406" s="9" t="s">
        <v>51</v>
      </c>
      <c r="P1406" s="9"/>
      <c r="Q1406" s="9"/>
      <c r="R1406" s="9" t="s">
        <v>61</v>
      </c>
      <c r="S1406" s="9" t="s">
        <v>5165</v>
      </c>
      <c r="T1406" s="9" t="s">
        <v>5166</v>
      </c>
      <c r="U1406" s="9" t="s">
        <v>54</v>
      </c>
      <c r="V1406" s="9" t="s">
        <v>55</v>
      </c>
      <c r="W1406" s="9" t="s">
        <v>55</v>
      </c>
      <c r="X1406" s="12" t="s">
        <v>76</v>
      </c>
      <c r="Y1406" s="9" t="s">
        <v>77</v>
      </c>
      <c r="Z1406" s="13"/>
    </row>
    <row r="1407" spans="1:26" ht="32.25" hidden="1" customHeight="1">
      <c r="A1407" s="8">
        <v>2304976</v>
      </c>
      <c r="B1407" s="9" t="s">
        <v>5167</v>
      </c>
      <c r="C1407" s="10">
        <v>45136</v>
      </c>
      <c r="D1407" s="9" t="s">
        <v>40</v>
      </c>
      <c r="E1407" s="9" t="s">
        <v>41</v>
      </c>
      <c r="F1407" s="9" t="s">
        <v>42</v>
      </c>
      <c r="G1407" s="9" t="s">
        <v>43</v>
      </c>
      <c r="H1407" s="9" t="s">
        <v>44</v>
      </c>
      <c r="I1407" s="11" t="s">
        <v>661</v>
      </c>
      <c r="J1407" s="9" t="s">
        <v>662</v>
      </c>
      <c r="K1407" s="9" t="s">
        <v>47</v>
      </c>
      <c r="L1407" s="9" t="s">
        <v>598</v>
      </c>
      <c r="M1407" s="9" t="s">
        <v>599</v>
      </c>
      <c r="N1407" s="9" t="s">
        <v>50</v>
      </c>
      <c r="O1407" s="9" t="s">
        <v>51</v>
      </c>
      <c r="P1407" s="9"/>
      <c r="Q1407" s="9"/>
      <c r="R1407" s="9" t="s">
        <v>61</v>
      </c>
      <c r="S1407" s="9" t="s">
        <v>5168</v>
      </c>
      <c r="T1407" s="9" t="s">
        <v>5169</v>
      </c>
      <c r="U1407" s="9" t="s">
        <v>54</v>
      </c>
      <c r="V1407" s="9" t="s">
        <v>55</v>
      </c>
      <c r="W1407" s="9" t="s">
        <v>55</v>
      </c>
      <c r="X1407" s="9" t="s">
        <v>64</v>
      </c>
      <c r="Y1407" s="9" t="s">
        <v>65</v>
      </c>
      <c r="Z1407" s="13"/>
    </row>
    <row r="1408" spans="1:26" ht="32.25" hidden="1" customHeight="1">
      <c r="A1408" s="8">
        <v>2307880</v>
      </c>
      <c r="B1408" s="9" t="s">
        <v>5170</v>
      </c>
      <c r="C1408" s="10">
        <v>45156</v>
      </c>
      <c r="D1408" s="9" t="s">
        <v>79</v>
      </c>
      <c r="E1408" s="9" t="s">
        <v>41</v>
      </c>
      <c r="F1408" s="9" t="s">
        <v>80</v>
      </c>
      <c r="G1408" s="9" t="s">
        <v>43</v>
      </c>
      <c r="H1408" s="9" t="s">
        <v>44</v>
      </c>
      <c r="I1408" s="11" t="s">
        <v>233</v>
      </c>
      <c r="J1408" s="9" t="s">
        <v>200</v>
      </c>
      <c r="K1408" s="9" t="s">
        <v>47</v>
      </c>
      <c r="L1408" s="9" t="s">
        <v>221</v>
      </c>
      <c r="M1408" s="9" t="s">
        <v>1451</v>
      </c>
      <c r="N1408" s="9" t="s">
        <v>84</v>
      </c>
      <c r="O1408" s="9" t="s">
        <v>51</v>
      </c>
      <c r="P1408" s="9" t="s">
        <v>865</v>
      </c>
      <c r="Q1408" s="9"/>
      <c r="R1408" s="9"/>
      <c r="S1408" s="14" t="s">
        <v>5171</v>
      </c>
      <c r="T1408" s="9" t="s">
        <v>5172</v>
      </c>
      <c r="U1408" s="9" t="s">
        <v>54</v>
      </c>
      <c r="V1408" s="9" t="s">
        <v>55</v>
      </c>
      <c r="W1408" s="9" t="s">
        <v>55</v>
      </c>
      <c r="X1408" s="12"/>
      <c r="Y1408" s="9" t="s">
        <v>55</v>
      </c>
      <c r="Z1408" s="13"/>
    </row>
    <row r="1409" spans="1:26" ht="32.25" hidden="1" customHeight="1">
      <c r="A1409" s="8">
        <v>2302606</v>
      </c>
      <c r="B1409" s="9" t="s">
        <v>5173</v>
      </c>
      <c r="C1409" s="10">
        <v>45156</v>
      </c>
      <c r="D1409" s="9" t="s">
        <v>79</v>
      </c>
      <c r="E1409" s="9" t="s">
        <v>295</v>
      </c>
      <c r="F1409" s="9" t="s">
        <v>80</v>
      </c>
      <c r="G1409" s="9" t="s">
        <v>43</v>
      </c>
      <c r="H1409" s="9" t="s">
        <v>44</v>
      </c>
      <c r="I1409" s="11" t="s">
        <v>1600</v>
      </c>
      <c r="J1409" s="9" t="s">
        <v>407</v>
      </c>
      <c r="K1409" s="9" t="s">
        <v>47</v>
      </c>
      <c r="L1409" s="9" t="s">
        <v>437</v>
      </c>
      <c r="M1409" s="9" t="s">
        <v>1707</v>
      </c>
      <c r="N1409" s="9" t="s">
        <v>50</v>
      </c>
      <c r="O1409" s="9" t="s">
        <v>51</v>
      </c>
      <c r="P1409" s="9" t="s">
        <v>2906</v>
      </c>
      <c r="Q1409" s="9"/>
      <c r="R1409" s="9" t="s">
        <v>61</v>
      </c>
      <c r="S1409" s="14" t="s">
        <v>5174</v>
      </c>
      <c r="T1409" s="9" t="s">
        <v>5175</v>
      </c>
      <c r="U1409" s="9" t="s">
        <v>54</v>
      </c>
      <c r="V1409" s="9" t="s">
        <v>318</v>
      </c>
      <c r="W1409" s="9" t="s">
        <v>115</v>
      </c>
      <c r="X1409" s="12" t="s">
        <v>319</v>
      </c>
      <c r="Y1409" s="9" t="s">
        <v>320</v>
      </c>
      <c r="Z1409" s="13"/>
    </row>
    <row r="1410" spans="1:26" ht="32.25" hidden="1" customHeight="1">
      <c r="A1410" s="8">
        <v>2304194</v>
      </c>
      <c r="B1410" s="9" t="s">
        <v>5176</v>
      </c>
      <c r="C1410" s="10">
        <v>45149</v>
      </c>
      <c r="D1410" s="9" t="s">
        <v>57</v>
      </c>
      <c r="E1410" s="9" t="s">
        <v>295</v>
      </c>
      <c r="F1410" s="9" t="s">
        <v>42</v>
      </c>
      <c r="G1410" s="9" t="s">
        <v>43</v>
      </c>
      <c r="H1410" s="9" t="s">
        <v>58</v>
      </c>
      <c r="I1410" s="11" t="s">
        <v>406</v>
      </c>
      <c r="J1410" s="9" t="s">
        <v>407</v>
      </c>
      <c r="K1410" s="9" t="s">
        <v>47</v>
      </c>
      <c r="L1410" s="9" t="s">
        <v>451</v>
      </c>
      <c r="M1410" s="9" t="s">
        <v>452</v>
      </c>
      <c r="N1410" s="9" t="s">
        <v>84</v>
      </c>
      <c r="O1410" s="9" t="s">
        <v>51</v>
      </c>
      <c r="P1410" s="9"/>
      <c r="Q1410" s="9"/>
      <c r="R1410" s="9" t="s">
        <v>61</v>
      </c>
      <c r="S1410" s="14" t="s">
        <v>5177</v>
      </c>
      <c r="T1410" s="9" t="s">
        <v>5178</v>
      </c>
      <c r="U1410" s="9" t="s">
        <v>54</v>
      </c>
      <c r="V1410" s="9" t="s">
        <v>55</v>
      </c>
      <c r="W1410" s="9" t="s">
        <v>55</v>
      </c>
      <c r="X1410" s="9" t="s">
        <v>319</v>
      </c>
      <c r="Y1410" s="9" t="s">
        <v>320</v>
      </c>
      <c r="Z1410" s="13"/>
    </row>
    <row r="1411" spans="1:26" ht="32.25" hidden="1" customHeight="1">
      <c r="A1411" s="8">
        <v>2305401</v>
      </c>
      <c r="B1411" s="9" t="s">
        <v>5179</v>
      </c>
      <c r="C1411" s="10">
        <v>45142</v>
      </c>
      <c r="D1411" s="9" t="s">
        <v>67</v>
      </c>
      <c r="E1411" s="9" t="s">
        <v>143</v>
      </c>
      <c r="F1411" s="9" t="s">
        <v>42</v>
      </c>
      <c r="G1411" s="9" t="s">
        <v>43</v>
      </c>
      <c r="H1411" s="9" t="s">
        <v>44</v>
      </c>
      <c r="I1411" s="11" t="s">
        <v>144</v>
      </c>
      <c r="J1411" s="9" t="s">
        <v>145</v>
      </c>
      <c r="K1411" s="9" t="s">
        <v>47</v>
      </c>
      <c r="L1411" s="9" t="s">
        <v>48</v>
      </c>
      <c r="M1411" s="9" t="s">
        <v>4485</v>
      </c>
      <c r="N1411" s="9" t="s">
        <v>84</v>
      </c>
      <c r="O1411" s="9" t="s">
        <v>51</v>
      </c>
      <c r="P1411" s="9" t="s">
        <v>147</v>
      </c>
      <c r="Q1411" s="9"/>
      <c r="R1411" s="9" t="s">
        <v>61</v>
      </c>
      <c r="S1411" s="9" t="s">
        <v>5180</v>
      </c>
      <c r="T1411" s="9" t="s">
        <v>5181</v>
      </c>
      <c r="U1411" s="9" t="s">
        <v>54</v>
      </c>
      <c r="V1411" s="9" t="s">
        <v>55</v>
      </c>
      <c r="W1411" s="9" t="s">
        <v>55</v>
      </c>
      <c r="X1411" s="12" t="s">
        <v>150</v>
      </c>
      <c r="Y1411" s="9" t="s">
        <v>151</v>
      </c>
      <c r="Z1411" s="13"/>
    </row>
    <row r="1412" spans="1:26" ht="32.25" hidden="1" customHeight="1">
      <c r="A1412" s="8">
        <v>2304856</v>
      </c>
      <c r="B1412" s="9" t="s">
        <v>5182</v>
      </c>
      <c r="C1412" s="10">
        <v>45156</v>
      </c>
      <c r="D1412" s="9" t="s">
        <v>79</v>
      </c>
      <c r="E1412" s="9" t="s">
        <v>89</v>
      </c>
      <c r="F1412" s="9" t="s">
        <v>80</v>
      </c>
      <c r="G1412" s="9" t="s">
        <v>43</v>
      </c>
      <c r="H1412" s="9" t="s">
        <v>44</v>
      </c>
      <c r="I1412" s="11" t="s">
        <v>90</v>
      </c>
      <c r="J1412" s="9" t="s">
        <v>91</v>
      </c>
      <c r="K1412" s="9" t="s">
        <v>47</v>
      </c>
      <c r="L1412" s="9" t="s">
        <v>156</v>
      </c>
      <c r="M1412" s="9"/>
      <c r="N1412" s="9" t="s">
        <v>50</v>
      </c>
      <c r="O1412" s="9" t="s">
        <v>51</v>
      </c>
      <c r="P1412" s="9" t="s">
        <v>546</v>
      </c>
      <c r="Q1412" s="9"/>
      <c r="R1412" s="9"/>
      <c r="S1412" s="14" t="s">
        <v>5183</v>
      </c>
      <c r="T1412" s="9" t="s">
        <v>5184</v>
      </c>
      <c r="U1412" s="9" t="s">
        <v>54</v>
      </c>
      <c r="V1412" s="9"/>
      <c r="W1412" s="9" t="s">
        <v>115</v>
      </c>
      <c r="X1412" s="12"/>
      <c r="Y1412" s="9" t="s">
        <v>55</v>
      </c>
      <c r="Z1412" s="13"/>
    </row>
    <row r="1413" spans="1:26" ht="32.25" hidden="1" customHeight="1">
      <c r="A1413" s="8">
        <v>2309195</v>
      </c>
      <c r="B1413" s="9" t="s">
        <v>5185</v>
      </c>
      <c r="C1413" s="10">
        <v>45149</v>
      </c>
      <c r="D1413" s="9" t="s">
        <v>57</v>
      </c>
      <c r="E1413" s="9" t="s">
        <v>41</v>
      </c>
      <c r="F1413" s="9" t="s">
        <v>42</v>
      </c>
      <c r="G1413" s="9" t="s">
        <v>43</v>
      </c>
      <c r="H1413" s="9" t="s">
        <v>58</v>
      </c>
      <c r="I1413" s="11" t="s">
        <v>45</v>
      </c>
      <c r="J1413" s="9" t="s">
        <v>46</v>
      </c>
      <c r="K1413" s="9" t="s">
        <v>47</v>
      </c>
      <c r="L1413" s="9" t="s">
        <v>156</v>
      </c>
      <c r="M1413" s="9"/>
      <c r="N1413" s="9" t="s">
        <v>50</v>
      </c>
      <c r="O1413" s="9" t="s">
        <v>51</v>
      </c>
      <c r="P1413" s="9"/>
      <c r="Q1413" s="9"/>
      <c r="R1413" s="9"/>
      <c r="S1413" s="14" t="s">
        <v>5186</v>
      </c>
      <c r="T1413" s="9" t="s">
        <v>5187</v>
      </c>
      <c r="U1413" s="9" t="s">
        <v>54</v>
      </c>
      <c r="V1413" s="9" t="s">
        <v>55</v>
      </c>
      <c r="W1413" s="9" t="s">
        <v>55</v>
      </c>
      <c r="X1413" s="12"/>
      <c r="Y1413" s="9" t="s">
        <v>55</v>
      </c>
      <c r="Z1413" s="13"/>
    </row>
    <row r="1414" spans="1:26" ht="32.25" hidden="1" customHeight="1">
      <c r="A1414" s="8">
        <v>2310966</v>
      </c>
      <c r="B1414" s="9" t="s">
        <v>5188</v>
      </c>
      <c r="C1414" s="10">
        <v>45156</v>
      </c>
      <c r="D1414" s="9" t="s">
        <v>79</v>
      </c>
      <c r="E1414" s="9" t="s">
        <v>68</v>
      </c>
      <c r="F1414" s="9" t="s">
        <v>80</v>
      </c>
      <c r="G1414" s="9" t="s">
        <v>43</v>
      </c>
      <c r="H1414" s="9" t="s">
        <v>44</v>
      </c>
      <c r="I1414" s="11" t="s">
        <v>117</v>
      </c>
      <c r="J1414" s="9" t="s">
        <v>118</v>
      </c>
      <c r="K1414" s="9" t="s">
        <v>47</v>
      </c>
      <c r="L1414" s="9" t="s">
        <v>48</v>
      </c>
      <c r="M1414" s="9" t="s">
        <v>5189</v>
      </c>
      <c r="N1414" s="9" t="s">
        <v>84</v>
      </c>
      <c r="O1414" s="9" t="s">
        <v>51</v>
      </c>
      <c r="P1414" s="9" t="s">
        <v>285</v>
      </c>
      <c r="Q1414" s="9"/>
      <c r="R1414" s="9"/>
      <c r="S1414" s="14" t="s">
        <v>5190</v>
      </c>
      <c r="T1414" s="9" t="s">
        <v>5191</v>
      </c>
      <c r="U1414" s="9" t="s">
        <v>54</v>
      </c>
      <c r="V1414" s="9" t="s">
        <v>55</v>
      </c>
      <c r="W1414" s="9" t="s">
        <v>55</v>
      </c>
      <c r="X1414" s="12"/>
      <c r="Y1414" s="9" t="s">
        <v>55</v>
      </c>
      <c r="Z1414" s="13"/>
    </row>
    <row r="1415" spans="1:26" ht="32.25" hidden="1" customHeight="1">
      <c r="A1415" s="8">
        <v>2314275</v>
      </c>
      <c r="B1415" s="9" t="s">
        <v>5192</v>
      </c>
      <c r="C1415" s="10">
        <v>45156</v>
      </c>
      <c r="D1415" s="9" t="s">
        <v>79</v>
      </c>
      <c r="E1415" s="9" t="s">
        <v>143</v>
      </c>
      <c r="F1415" s="9" t="s">
        <v>80</v>
      </c>
      <c r="G1415" s="9" t="s">
        <v>43</v>
      </c>
      <c r="H1415" s="9" t="s">
        <v>44</v>
      </c>
      <c r="I1415" s="11" t="s">
        <v>326</v>
      </c>
      <c r="J1415" s="9" t="s">
        <v>327</v>
      </c>
      <c r="K1415" s="9" t="s">
        <v>47</v>
      </c>
      <c r="L1415" s="9" t="s">
        <v>480</v>
      </c>
      <c r="M1415" s="9" t="s">
        <v>481</v>
      </c>
      <c r="N1415" s="9" t="s">
        <v>50</v>
      </c>
      <c r="O1415" s="9" t="s">
        <v>51</v>
      </c>
      <c r="P1415" s="9" t="s">
        <v>953</v>
      </c>
      <c r="Q1415" s="9"/>
      <c r="R1415" s="9" t="s">
        <v>61</v>
      </c>
      <c r="S1415" s="14" t="s">
        <v>5193</v>
      </c>
      <c r="T1415" s="9" t="s">
        <v>5194</v>
      </c>
      <c r="U1415" s="9" t="s">
        <v>54</v>
      </c>
      <c r="V1415" s="9" t="s">
        <v>55</v>
      </c>
      <c r="W1415" s="9" t="s">
        <v>55</v>
      </c>
      <c r="X1415" s="12" t="s">
        <v>150</v>
      </c>
      <c r="Y1415" s="9" t="s">
        <v>151</v>
      </c>
      <c r="Z1415" s="13"/>
    </row>
    <row r="1416" spans="1:26" ht="32.25" hidden="1" customHeight="1">
      <c r="A1416" s="8">
        <v>2312044</v>
      </c>
      <c r="B1416" s="9" t="s">
        <v>5195</v>
      </c>
      <c r="C1416" s="10">
        <v>45156</v>
      </c>
      <c r="D1416" s="9" t="s">
        <v>79</v>
      </c>
      <c r="E1416" s="9" t="s">
        <v>89</v>
      </c>
      <c r="F1416" s="9" t="s">
        <v>80</v>
      </c>
      <c r="G1416" s="9" t="s">
        <v>43</v>
      </c>
      <c r="H1416" s="9" t="s">
        <v>44</v>
      </c>
      <c r="I1416" s="11" t="s">
        <v>90</v>
      </c>
      <c r="J1416" s="9" t="s">
        <v>91</v>
      </c>
      <c r="K1416" s="9" t="s">
        <v>47</v>
      </c>
      <c r="L1416" s="9" t="s">
        <v>48</v>
      </c>
      <c r="M1416" s="9" t="s">
        <v>1973</v>
      </c>
      <c r="N1416" s="9" t="s">
        <v>84</v>
      </c>
      <c r="O1416" s="9" t="s">
        <v>51</v>
      </c>
      <c r="P1416" s="9" t="s">
        <v>865</v>
      </c>
      <c r="Q1416" s="9"/>
      <c r="R1416" s="9" t="s">
        <v>61</v>
      </c>
      <c r="S1416" s="14" t="s">
        <v>5196</v>
      </c>
      <c r="T1416" s="9" t="s">
        <v>5197</v>
      </c>
      <c r="U1416" s="9" t="s">
        <v>54</v>
      </c>
      <c r="V1416" s="9" t="s">
        <v>55</v>
      </c>
      <c r="W1416" s="9" t="s">
        <v>55</v>
      </c>
      <c r="X1416" s="12" t="s">
        <v>98</v>
      </c>
      <c r="Y1416" s="9" t="s">
        <v>99</v>
      </c>
      <c r="Z1416" s="13"/>
    </row>
    <row r="1417" spans="1:26" ht="32.25" hidden="1" customHeight="1">
      <c r="A1417" s="8">
        <v>2303672</v>
      </c>
      <c r="B1417" s="9" t="s">
        <v>5198</v>
      </c>
      <c r="C1417" s="10">
        <v>45149</v>
      </c>
      <c r="D1417" s="9" t="s">
        <v>57</v>
      </c>
      <c r="E1417" s="9" t="s">
        <v>41</v>
      </c>
      <c r="F1417" s="9" t="s">
        <v>42</v>
      </c>
      <c r="G1417" s="9" t="s">
        <v>43</v>
      </c>
      <c r="H1417" s="9" t="s">
        <v>58</v>
      </c>
      <c r="I1417" s="11" t="s">
        <v>199</v>
      </c>
      <c r="J1417" s="9" t="s">
        <v>200</v>
      </c>
      <c r="K1417" s="9" t="s">
        <v>47</v>
      </c>
      <c r="L1417" s="9" t="s">
        <v>156</v>
      </c>
      <c r="M1417" s="9"/>
      <c r="N1417" s="9" t="s">
        <v>50</v>
      </c>
      <c r="O1417" s="9" t="s">
        <v>51</v>
      </c>
      <c r="P1417" s="9"/>
      <c r="Q1417" s="9"/>
      <c r="R1417" s="9"/>
      <c r="S1417" s="14" t="s">
        <v>5199</v>
      </c>
      <c r="T1417" s="9" t="s">
        <v>5200</v>
      </c>
      <c r="U1417" s="9" t="s">
        <v>54</v>
      </c>
      <c r="V1417" s="9" t="s">
        <v>55</v>
      </c>
      <c r="W1417" s="9" t="s">
        <v>55</v>
      </c>
      <c r="X1417" s="12"/>
      <c r="Y1417" s="9" t="s">
        <v>55</v>
      </c>
      <c r="Z1417" s="13"/>
    </row>
    <row r="1418" spans="1:26" ht="32.25" hidden="1" customHeight="1">
      <c r="A1418" s="8">
        <v>2315136</v>
      </c>
      <c r="B1418" s="9" t="s">
        <v>5201</v>
      </c>
      <c r="C1418" s="10">
        <v>45149</v>
      </c>
      <c r="D1418" s="9" t="s">
        <v>57</v>
      </c>
      <c r="E1418" s="9" t="s">
        <v>41</v>
      </c>
      <c r="F1418" s="9" t="s">
        <v>42</v>
      </c>
      <c r="G1418" s="9" t="s">
        <v>43</v>
      </c>
      <c r="H1418" s="9" t="s">
        <v>58</v>
      </c>
      <c r="I1418" s="11" t="s">
        <v>129</v>
      </c>
      <c r="J1418" s="9" t="s">
        <v>130</v>
      </c>
      <c r="K1418" s="9" t="s">
        <v>496</v>
      </c>
      <c r="L1418" s="9"/>
      <c r="M1418" s="9" t="s">
        <v>5202</v>
      </c>
      <c r="N1418" s="9" t="s">
        <v>50</v>
      </c>
      <c r="O1418" s="9" t="s">
        <v>51</v>
      </c>
      <c r="P1418" s="9"/>
      <c r="Q1418" s="9"/>
      <c r="R1418" s="9"/>
      <c r="S1418" s="14" t="s">
        <v>5203</v>
      </c>
      <c r="T1418" s="9" t="s">
        <v>5204</v>
      </c>
      <c r="U1418" s="9" t="s">
        <v>54</v>
      </c>
      <c r="V1418" s="9" t="s">
        <v>55</v>
      </c>
      <c r="W1418" s="9" t="s">
        <v>55</v>
      </c>
      <c r="X1418" s="12"/>
      <c r="Y1418" s="9" t="s">
        <v>55</v>
      </c>
      <c r="Z1418" s="13"/>
    </row>
    <row r="1419" spans="1:26" ht="32.25" hidden="1" customHeight="1">
      <c r="A1419" s="8">
        <v>2310066</v>
      </c>
      <c r="B1419" s="9" t="s">
        <v>5205</v>
      </c>
      <c r="C1419" s="10">
        <v>45156</v>
      </c>
      <c r="D1419" s="9" t="s">
        <v>79</v>
      </c>
      <c r="E1419" s="9" t="s">
        <v>68</v>
      </c>
      <c r="F1419" s="9" t="s">
        <v>80</v>
      </c>
      <c r="G1419" s="9" t="s">
        <v>43</v>
      </c>
      <c r="H1419" s="9" t="s">
        <v>44</v>
      </c>
      <c r="I1419" s="11" t="s">
        <v>90</v>
      </c>
      <c r="J1419" s="9" t="s">
        <v>91</v>
      </c>
      <c r="K1419" s="9" t="s">
        <v>47</v>
      </c>
      <c r="L1419" s="9" t="s">
        <v>138</v>
      </c>
      <c r="M1419" s="9" t="s">
        <v>2607</v>
      </c>
      <c r="N1419" s="9" t="s">
        <v>50</v>
      </c>
      <c r="O1419" s="9" t="s">
        <v>51</v>
      </c>
      <c r="P1419" s="9" t="s">
        <v>273</v>
      </c>
      <c r="Q1419" s="9"/>
      <c r="R1419" s="9" t="s">
        <v>61</v>
      </c>
      <c r="S1419" s="14" t="s">
        <v>5206</v>
      </c>
      <c r="T1419" s="9" t="s">
        <v>5207</v>
      </c>
      <c r="U1419" s="9" t="s">
        <v>54</v>
      </c>
      <c r="V1419" s="9" t="s">
        <v>55</v>
      </c>
      <c r="W1419" s="9" t="s">
        <v>55</v>
      </c>
      <c r="X1419" s="12" t="s">
        <v>196</v>
      </c>
      <c r="Y1419" s="9" t="s">
        <v>197</v>
      </c>
      <c r="Z1419" s="13"/>
    </row>
    <row r="1420" spans="1:26" ht="32.25" hidden="1" customHeight="1">
      <c r="A1420" s="8">
        <v>2313090</v>
      </c>
      <c r="B1420" s="9" t="s">
        <v>5208</v>
      </c>
      <c r="C1420" s="10">
        <v>45149</v>
      </c>
      <c r="D1420" s="9" t="s">
        <v>57</v>
      </c>
      <c r="E1420" s="9" t="s">
        <v>153</v>
      </c>
      <c r="F1420" s="9" t="s">
        <v>42</v>
      </c>
      <c r="G1420" s="9" t="s">
        <v>43</v>
      </c>
      <c r="H1420" s="9" t="s">
        <v>58</v>
      </c>
      <c r="I1420" s="11" t="s">
        <v>154</v>
      </c>
      <c r="J1420" s="9" t="s">
        <v>155</v>
      </c>
      <c r="K1420" s="9" t="s">
        <v>47</v>
      </c>
      <c r="L1420" s="9" t="s">
        <v>517</v>
      </c>
      <c r="M1420" s="9" t="s">
        <v>5209</v>
      </c>
      <c r="N1420" s="9" t="s">
        <v>84</v>
      </c>
      <c r="O1420" s="9" t="s">
        <v>51</v>
      </c>
      <c r="P1420" s="9"/>
      <c r="Q1420" s="9"/>
      <c r="R1420" s="9" t="s">
        <v>61</v>
      </c>
      <c r="S1420" s="14" t="s">
        <v>5210</v>
      </c>
      <c r="T1420" s="9" t="s">
        <v>5211</v>
      </c>
      <c r="U1420" s="9" t="s">
        <v>54</v>
      </c>
      <c r="V1420" s="9" t="s">
        <v>55</v>
      </c>
      <c r="W1420" s="9" t="s">
        <v>55</v>
      </c>
      <c r="X1420" s="12" t="s">
        <v>171</v>
      </c>
      <c r="Y1420" s="9" t="s">
        <v>172</v>
      </c>
      <c r="Z1420" s="13"/>
    </row>
    <row r="1421" spans="1:26" ht="32.25" hidden="1" customHeight="1">
      <c r="A1421" s="8">
        <v>2307192</v>
      </c>
      <c r="B1421" s="9" t="s">
        <v>5212</v>
      </c>
      <c r="C1421" s="10">
        <v>45156</v>
      </c>
      <c r="D1421" s="9" t="s">
        <v>79</v>
      </c>
      <c r="E1421" s="9" t="s">
        <v>41</v>
      </c>
      <c r="F1421" s="9" t="s">
        <v>80</v>
      </c>
      <c r="G1421" s="9" t="s">
        <v>43</v>
      </c>
      <c r="H1421" s="9" t="s">
        <v>44</v>
      </c>
      <c r="I1421" s="11" t="s">
        <v>81</v>
      </c>
      <c r="J1421" s="9" t="s">
        <v>46</v>
      </c>
      <c r="K1421" s="9" t="s">
        <v>47</v>
      </c>
      <c r="L1421" s="9" t="s">
        <v>746</v>
      </c>
      <c r="M1421" s="9" t="s">
        <v>747</v>
      </c>
      <c r="N1421" s="9" t="s">
        <v>84</v>
      </c>
      <c r="O1421" s="9" t="s">
        <v>51</v>
      </c>
      <c r="P1421" s="9" t="s">
        <v>582</v>
      </c>
      <c r="Q1421" s="9"/>
      <c r="R1421" s="9" t="s">
        <v>61</v>
      </c>
      <c r="S1421" s="14" t="s">
        <v>5213</v>
      </c>
      <c r="T1421" s="9" t="s">
        <v>5214</v>
      </c>
      <c r="U1421" s="9" t="s">
        <v>54</v>
      </c>
      <c r="V1421" s="9" t="s">
        <v>331</v>
      </c>
      <c r="W1421" s="9" t="s">
        <v>55</v>
      </c>
      <c r="X1421" s="9" t="s">
        <v>64</v>
      </c>
      <c r="Y1421" s="9" t="s">
        <v>65</v>
      </c>
      <c r="Z1421" s="13"/>
    </row>
    <row r="1422" spans="1:26" ht="32.25" hidden="1" customHeight="1">
      <c r="A1422" s="8">
        <v>2310588</v>
      </c>
      <c r="B1422" s="9" t="s">
        <v>5215</v>
      </c>
      <c r="C1422" s="10">
        <v>45136</v>
      </c>
      <c r="D1422" s="9" t="s">
        <v>40</v>
      </c>
      <c r="E1422" s="9" t="s">
        <v>143</v>
      </c>
      <c r="F1422" s="9" t="s">
        <v>42</v>
      </c>
      <c r="G1422" s="9" t="s">
        <v>43</v>
      </c>
      <c r="H1422" s="9" t="s">
        <v>44</v>
      </c>
      <c r="I1422" s="11" t="s">
        <v>219</v>
      </c>
      <c r="J1422" s="9" t="s">
        <v>220</v>
      </c>
      <c r="K1422" s="9" t="s">
        <v>47</v>
      </c>
      <c r="L1422" s="9" t="s">
        <v>156</v>
      </c>
      <c r="M1422" s="9"/>
      <c r="N1422" s="9" t="s">
        <v>50</v>
      </c>
      <c r="O1422" s="9" t="s">
        <v>51</v>
      </c>
      <c r="P1422" s="9"/>
      <c r="Q1422" s="9"/>
      <c r="R1422" s="9"/>
      <c r="S1422" s="9" t="s">
        <v>5216</v>
      </c>
      <c r="T1422" s="9" t="s">
        <v>5217</v>
      </c>
      <c r="U1422" s="9" t="s">
        <v>54</v>
      </c>
      <c r="V1422" s="9" t="s">
        <v>55</v>
      </c>
      <c r="W1422" s="9" t="s">
        <v>55</v>
      </c>
      <c r="X1422" s="12"/>
      <c r="Y1422" s="9" t="s">
        <v>55</v>
      </c>
      <c r="Z1422" s="13"/>
    </row>
    <row r="1423" spans="1:26" ht="32.25" hidden="1" customHeight="1">
      <c r="A1423" s="8">
        <v>2312976</v>
      </c>
      <c r="B1423" s="9" t="s">
        <v>5218</v>
      </c>
      <c r="C1423" s="10">
        <v>45136</v>
      </c>
      <c r="D1423" s="9" t="s">
        <v>40</v>
      </c>
      <c r="E1423" s="9" t="s">
        <v>143</v>
      </c>
      <c r="F1423" s="9" t="s">
        <v>42</v>
      </c>
      <c r="G1423" s="9" t="s">
        <v>43</v>
      </c>
      <c r="H1423" s="9" t="s">
        <v>44</v>
      </c>
      <c r="I1423" s="11" t="s">
        <v>334</v>
      </c>
      <c r="J1423" s="9" t="s">
        <v>327</v>
      </c>
      <c r="K1423" s="9" t="s">
        <v>47</v>
      </c>
      <c r="L1423" s="9" t="s">
        <v>858</v>
      </c>
      <c r="M1423" s="9" t="s">
        <v>1103</v>
      </c>
      <c r="N1423" s="9" t="s">
        <v>50</v>
      </c>
      <c r="O1423" s="9" t="s">
        <v>51</v>
      </c>
      <c r="P1423" s="9" t="s">
        <v>336</v>
      </c>
      <c r="Q1423" s="9"/>
      <c r="R1423" s="9" t="s">
        <v>61</v>
      </c>
      <c r="S1423" s="9" t="s">
        <v>5219</v>
      </c>
      <c r="T1423" s="9" t="s">
        <v>5220</v>
      </c>
      <c r="U1423" s="9" t="s">
        <v>54</v>
      </c>
      <c r="V1423" s="9" t="s">
        <v>55</v>
      </c>
      <c r="W1423" s="9" t="s">
        <v>55</v>
      </c>
      <c r="X1423" s="12" t="s">
        <v>150</v>
      </c>
      <c r="Y1423" s="9" t="s">
        <v>151</v>
      </c>
      <c r="Z1423" s="13"/>
    </row>
    <row r="1424" spans="1:26" ht="32.25" hidden="1" customHeight="1">
      <c r="A1424" s="8">
        <v>2304892</v>
      </c>
      <c r="B1424" s="9" t="s">
        <v>5221</v>
      </c>
      <c r="C1424" s="10">
        <v>45156</v>
      </c>
      <c r="D1424" s="9" t="s">
        <v>79</v>
      </c>
      <c r="E1424" s="9" t="s">
        <v>41</v>
      </c>
      <c r="F1424" s="9" t="s">
        <v>80</v>
      </c>
      <c r="G1424" s="9" t="s">
        <v>43</v>
      </c>
      <c r="H1424" s="9" t="s">
        <v>44</v>
      </c>
      <c r="I1424" s="11" t="s">
        <v>478</v>
      </c>
      <c r="J1424" s="9" t="s">
        <v>479</v>
      </c>
      <c r="K1424" s="9" t="s">
        <v>47</v>
      </c>
      <c r="L1424" s="9" t="s">
        <v>948</v>
      </c>
      <c r="M1424" s="9" t="s">
        <v>949</v>
      </c>
      <c r="N1424" s="9" t="s">
        <v>84</v>
      </c>
      <c r="O1424" s="9" t="s">
        <v>51</v>
      </c>
      <c r="P1424" s="9" t="s">
        <v>1414</v>
      </c>
      <c r="Q1424" s="9"/>
      <c r="R1424" s="9" t="s">
        <v>61</v>
      </c>
      <c r="S1424" s="14" t="s">
        <v>5222</v>
      </c>
      <c r="T1424" s="9" t="s">
        <v>5223</v>
      </c>
      <c r="U1424" s="9" t="s">
        <v>54</v>
      </c>
      <c r="V1424" s="9" t="s">
        <v>55</v>
      </c>
      <c r="W1424" s="9" t="s">
        <v>55</v>
      </c>
      <c r="X1424" s="12" t="s">
        <v>150</v>
      </c>
      <c r="Y1424" s="9" t="s">
        <v>151</v>
      </c>
      <c r="Z1424" s="13"/>
    </row>
    <row r="1425" spans="1:26" ht="32.25" hidden="1" customHeight="1">
      <c r="A1425" s="8">
        <v>2301255</v>
      </c>
      <c r="B1425" s="9" t="s">
        <v>5224</v>
      </c>
      <c r="C1425" s="10">
        <v>45149</v>
      </c>
      <c r="D1425" s="9" t="s">
        <v>57</v>
      </c>
      <c r="E1425" s="9" t="s">
        <v>295</v>
      </c>
      <c r="F1425" s="9" t="s">
        <v>42</v>
      </c>
      <c r="G1425" s="9" t="s">
        <v>43</v>
      </c>
      <c r="H1425" s="9" t="s">
        <v>58</v>
      </c>
      <c r="I1425" s="11" t="s">
        <v>296</v>
      </c>
      <c r="J1425" s="9" t="s">
        <v>297</v>
      </c>
      <c r="K1425" s="9" t="s">
        <v>47</v>
      </c>
      <c r="L1425" s="9" t="s">
        <v>221</v>
      </c>
      <c r="M1425" s="9" t="s">
        <v>1142</v>
      </c>
      <c r="N1425" s="9" t="s">
        <v>50</v>
      </c>
      <c r="O1425" s="9" t="s">
        <v>51</v>
      </c>
      <c r="P1425" s="9"/>
      <c r="Q1425" s="9"/>
      <c r="R1425" s="9" t="s">
        <v>61</v>
      </c>
      <c r="S1425" s="14" t="s">
        <v>5225</v>
      </c>
      <c r="T1425" s="9" t="s">
        <v>5226</v>
      </c>
      <c r="U1425" s="9" t="s">
        <v>54</v>
      </c>
      <c r="V1425" s="9" t="s">
        <v>55</v>
      </c>
      <c r="W1425" s="9" t="s">
        <v>55</v>
      </c>
      <c r="X1425" s="9" t="s">
        <v>319</v>
      </c>
      <c r="Y1425" s="9" t="s">
        <v>320</v>
      </c>
      <c r="Z1425" s="13"/>
    </row>
    <row r="1426" spans="1:26" ht="32.25" hidden="1" customHeight="1">
      <c r="A1426" s="8">
        <v>2310014</v>
      </c>
      <c r="B1426" s="9" t="s">
        <v>5227</v>
      </c>
      <c r="C1426" s="10">
        <v>45149</v>
      </c>
      <c r="D1426" s="9" t="s">
        <v>261</v>
      </c>
      <c r="E1426" s="9" t="s">
        <v>89</v>
      </c>
      <c r="F1426" s="9" t="s">
        <v>262</v>
      </c>
      <c r="G1426" s="9" t="s">
        <v>43</v>
      </c>
      <c r="H1426" s="9" t="s">
        <v>44</v>
      </c>
      <c r="I1426" s="11" t="s">
        <v>685</v>
      </c>
      <c r="J1426" s="9" t="s">
        <v>686</v>
      </c>
      <c r="K1426" s="9" t="s">
        <v>47</v>
      </c>
      <c r="L1426" s="9" t="s">
        <v>48</v>
      </c>
      <c r="M1426" s="9" t="s">
        <v>1447</v>
      </c>
      <c r="N1426" s="9" t="s">
        <v>50</v>
      </c>
      <c r="O1426" s="9" t="s">
        <v>51</v>
      </c>
      <c r="P1426" s="9"/>
      <c r="Q1426" s="9"/>
      <c r="R1426" s="9"/>
      <c r="S1426" s="14" t="s">
        <v>5228</v>
      </c>
      <c r="T1426" s="9" t="s">
        <v>5229</v>
      </c>
      <c r="U1426" s="9" t="s">
        <v>262</v>
      </c>
      <c r="V1426" s="9" t="s">
        <v>55</v>
      </c>
      <c r="W1426" s="9" t="s">
        <v>55</v>
      </c>
      <c r="X1426" s="12"/>
      <c r="Y1426" s="9" t="s">
        <v>55</v>
      </c>
      <c r="Z1426" s="13"/>
    </row>
    <row r="1427" spans="1:26" ht="32.25" hidden="1" customHeight="1">
      <c r="A1427" s="8">
        <v>2307733</v>
      </c>
      <c r="B1427" s="9" t="s">
        <v>5230</v>
      </c>
      <c r="C1427" s="10">
        <v>45149</v>
      </c>
      <c r="D1427" s="9" t="s">
        <v>57</v>
      </c>
      <c r="E1427" s="9" t="s">
        <v>295</v>
      </c>
      <c r="F1427" s="9" t="s">
        <v>42</v>
      </c>
      <c r="G1427" s="9" t="s">
        <v>43</v>
      </c>
      <c r="H1427" s="9" t="s">
        <v>58</v>
      </c>
      <c r="I1427" s="11" t="s">
        <v>406</v>
      </c>
      <c r="J1427" s="9" t="s">
        <v>407</v>
      </c>
      <c r="K1427" s="9" t="s">
        <v>47</v>
      </c>
      <c r="L1427" s="9" t="s">
        <v>713</v>
      </c>
      <c r="M1427" s="9" t="s">
        <v>714</v>
      </c>
      <c r="N1427" s="9" t="s">
        <v>84</v>
      </c>
      <c r="O1427" s="9" t="s">
        <v>51</v>
      </c>
      <c r="P1427" s="9"/>
      <c r="Q1427" s="9"/>
      <c r="R1427" s="9"/>
      <c r="S1427" s="14" t="s">
        <v>5231</v>
      </c>
      <c r="T1427" s="9" t="s">
        <v>5232</v>
      </c>
      <c r="U1427" s="9" t="s">
        <v>54</v>
      </c>
      <c r="V1427" s="9" t="s">
        <v>55</v>
      </c>
      <c r="W1427" s="9" t="s">
        <v>55</v>
      </c>
      <c r="X1427" s="12"/>
      <c r="Y1427" s="9" t="s">
        <v>55</v>
      </c>
      <c r="Z1427" s="13"/>
    </row>
    <row r="1428" spans="1:26" ht="32.25" hidden="1" customHeight="1">
      <c r="A1428" s="8">
        <v>2302646</v>
      </c>
      <c r="B1428" s="9" t="s">
        <v>5233</v>
      </c>
      <c r="C1428" s="10">
        <v>45156</v>
      </c>
      <c r="D1428" s="9" t="s">
        <v>79</v>
      </c>
      <c r="E1428" s="9" t="s">
        <v>89</v>
      </c>
      <c r="F1428" s="9" t="s">
        <v>80</v>
      </c>
      <c r="G1428" s="9" t="s">
        <v>43</v>
      </c>
      <c r="H1428" s="9" t="s">
        <v>44</v>
      </c>
      <c r="I1428" s="11" t="s">
        <v>101</v>
      </c>
      <c r="J1428" s="9" t="s">
        <v>102</v>
      </c>
      <c r="K1428" s="9" t="s">
        <v>47</v>
      </c>
      <c r="L1428" s="9" t="s">
        <v>204</v>
      </c>
      <c r="M1428" s="9" t="s">
        <v>2166</v>
      </c>
      <c r="N1428" s="9" t="s">
        <v>84</v>
      </c>
      <c r="O1428" s="9" t="s">
        <v>51</v>
      </c>
      <c r="P1428" s="9" t="s">
        <v>1402</v>
      </c>
      <c r="Q1428" s="9"/>
      <c r="R1428" s="9" t="s">
        <v>61</v>
      </c>
      <c r="S1428" s="14" t="s">
        <v>5234</v>
      </c>
      <c r="T1428" s="9" t="s">
        <v>5235</v>
      </c>
      <c r="U1428" s="9" t="s">
        <v>54</v>
      </c>
      <c r="V1428" s="9" t="s">
        <v>318</v>
      </c>
      <c r="W1428" s="9" t="s">
        <v>115</v>
      </c>
      <c r="X1428" s="12" t="s">
        <v>319</v>
      </c>
      <c r="Y1428" s="9" t="s">
        <v>320</v>
      </c>
      <c r="Z1428" s="13"/>
    </row>
    <row r="1429" spans="1:26" ht="32.25" hidden="1" customHeight="1">
      <c r="A1429" s="8">
        <v>2311981</v>
      </c>
      <c r="B1429" s="9" t="s">
        <v>5236</v>
      </c>
      <c r="C1429" s="10">
        <v>45156</v>
      </c>
      <c r="D1429" s="9" t="s">
        <v>79</v>
      </c>
      <c r="E1429" s="9" t="s">
        <v>41</v>
      </c>
      <c r="F1429" s="9" t="s">
        <v>80</v>
      </c>
      <c r="G1429" s="9" t="s">
        <v>43</v>
      </c>
      <c r="H1429" s="9" t="s">
        <v>44</v>
      </c>
      <c r="I1429" s="11" t="s">
        <v>81</v>
      </c>
      <c r="J1429" s="9" t="s">
        <v>46</v>
      </c>
      <c r="K1429" s="9" t="s">
        <v>47</v>
      </c>
      <c r="L1429" s="9" t="s">
        <v>1040</v>
      </c>
      <c r="M1429" s="9" t="s">
        <v>1041</v>
      </c>
      <c r="N1429" s="9" t="s">
        <v>50</v>
      </c>
      <c r="O1429" s="9" t="s">
        <v>51</v>
      </c>
      <c r="P1429" s="9" t="s">
        <v>85</v>
      </c>
      <c r="Q1429" s="9"/>
      <c r="R1429" s="9" t="s">
        <v>61</v>
      </c>
      <c r="S1429" s="14" t="s">
        <v>5237</v>
      </c>
      <c r="T1429" s="9" t="s">
        <v>5238</v>
      </c>
      <c r="U1429" s="9" t="s">
        <v>54</v>
      </c>
      <c r="V1429" s="9" t="s">
        <v>55</v>
      </c>
      <c r="W1429" s="9" t="s">
        <v>55</v>
      </c>
      <c r="X1429" s="9" t="s">
        <v>64</v>
      </c>
      <c r="Y1429" s="9" t="s">
        <v>65</v>
      </c>
      <c r="Z1429" s="13"/>
    </row>
    <row r="1430" spans="1:26" ht="32.25" hidden="1" customHeight="1">
      <c r="A1430" s="8">
        <v>2301533</v>
      </c>
      <c r="B1430" s="9" t="s">
        <v>5239</v>
      </c>
      <c r="C1430" s="10">
        <v>45142</v>
      </c>
      <c r="D1430" s="9" t="s">
        <v>67</v>
      </c>
      <c r="E1430" s="9" t="s">
        <v>143</v>
      </c>
      <c r="F1430" s="9" t="s">
        <v>42</v>
      </c>
      <c r="G1430" s="9" t="s">
        <v>43</v>
      </c>
      <c r="H1430" s="9" t="s">
        <v>44</v>
      </c>
      <c r="I1430" s="11" t="s">
        <v>219</v>
      </c>
      <c r="J1430" s="9" t="s">
        <v>220</v>
      </c>
      <c r="K1430" s="9" t="s">
        <v>47</v>
      </c>
      <c r="L1430" s="9" t="s">
        <v>48</v>
      </c>
      <c r="M1430" s="9" t="s">
        <v>1366</v>
      </c>
      <c r="N1430" s="9" t="s">
        <v>84</v>
      </c>
      <c r="O1430" s="9" t="s">
        <v>51</v>
      </c>
      <c r="P1430" s="9"/>
      <c r="Q1430" s="9"/>
      <c r="R1430" s="9" t="s">
        <v>61</v>
      </c>
      <c r="S1430" s="9" t="s">
        <v>5240</v>
      </c>
      <c r="T1430" s="9" t="s">
        <v>5241</v>
      </c>
      <c r="U1430" s="9" t="s">
        <v>54</v>
      </c>
      <c r="V1430" s="9" t="s">
        <v>55</v>
      </c>
      <c r="W1430" s="9" t="s">
        <v>55</v>
      </c>
      <c r="X1430" s="12" t="s">
        <v>171</v>
      </c>
      <c r="Y1430" s="9" t="s">
        <v>172</v>
      </c>
      <c r="Z1430" s="13"/>
    </row>
    <row r="1431" spans="1:26" ht="32.25" hidden="1" customHeight="1">
      <c r="A1431" s="8">
        <v>2311660</v>
      </c>
      <c r="B1431" s="9" t="s">
        <v>5242</v>
      </c>
      <c r="C1431" s="10">
        <v>45156</v>
      </c>
      <c r="D1431" s="9" t="s">
        <v>79</v>
      </c>
      <c r="E1431" s="9" t="s">
        <v>143</v>
      </c>
      <c r="F1431" s="9" t="s">
        <v>80</v>
      </c>
      <c r="G1431" s="9" t="s">
        <v>43</v>
      </c>
      <c r="H1431" s="9" t="s">
        <v>44</v>
      </c>
      <c r="I1431" s="11" t="s">
        <v>399</v>
      </c>
      <c r="J1431" s="9" t="s">
        <v>400</v>
      </c>
      <c r="K1431" s="9" t="s">
        <v>47</v>
      </c>
      <c r="L1431" s="9" t="s">
        <v>156</v>
      </c>
      <c r="M1431" s="9" t="s">
        <v>335</v>
      </c>
      <c r="N1431" s="9" t="s">
        <v>50</v>
      </c>
      <c r="O1431" s="9" t="s">
        <v>51</v>
      </c>
      <c r="P1431" s="9" t="s">
        <v>1137</v>
      </c>
      <c r="Q1431" s="9"/>
      <c r="R1431" s="9"/>
      <c r="S1431" s="14" t="s">
        <v>5243</v>
      </c>
      <c r="T1431" s="9" t="s">
        <v>5244</v>
      </c>
      <c r="U1431" s="9" t="s">
        <v>54</v>
      </c>
      <c r="V1431" s="9"/>
      <c r="W1431" s="9" t="s">
        <v>115</v>
      </c>
      <c r="X1431" s="12"/>
      <c r="Y1431" s="9" t="s">
        <v>55</v>
      </c>
      <c r="Z1431" s="13"/>
    </row>
    <row r="1432" spans="1:26" ht="32.25" hidden="1" customHeight="1">
      <c r="A1432" s="8">
        <v>2310896</v>
      </c>
      <c r="B1432" s="9" t="s">
        <v>5245</v>
      </c>
      <c r="C1432" s="10">
        <v>45149</v>
      </c>
      <c r="D1432" s="9" t="s">
        <v>261</v>
      </c>
      <c r="E1432" s="9" t="s">
        <v>89</v>
      </c>
      <c r="F1432" s="9" t="s">
        <v>262</v>
      </c>
      <c r="G1432" s="9" t="s">
        <v>43</v>
      </c>
      <c r="H1432" s="9" t="s">
        <v>44</v>
      </c>
      <c r="I1432" s="11" t="s">
        <v>2627</v>
      </c>
      <c r="J1432" s="9" t="s">
        <v>2628</v>
      </c>
      <c r="K1432" s="9" t="s">
        <v>47</v>
      </c>
      <c r="L1432" s="9" t="s">
        <v>1542</v>
      </c>
      <c r="M1432" s="9" t="s">
        <v>5246</v>
      </c>
      <c r="N1432" s="9" t="s">
        <v>84</v>
      </c>
      <c r="O1432" s="9" t="s">
        <v>51</v>
      </c>
      <c r="P1432" s="9"/>
      <c r="Q1432" s="9"/>
      <c r="R1432" s="9" t="s">
        <v>61</v>
      </c>
      <c r="S1432" s="14" t="s">
        <v>5247</v>
      </c>
      <c r="T1432" s="9" t="s">
        <v>5248</v>
      </c>
      <c r="U1432" s="9" t="s">
        <v>262</v>
      </c>
      <c r="V1432" s="9" t="s">
        <v>897</v>
      </c>
      <c r="W1432" s="9" t="s">
        <v>115</v>
      </c>
      <c r="X1432" s="12" t="s">
        <v>389</v>
      </c>
      <c r="Y1432" s="9" t="s">
        <v>390</v>
      </c>
      <c r="Z1432" s="13"/>
    </row>
    <row r="1433" spans="1:26" ht="32.25" hidden="1" customHeight="1">
      <c r="A1433" s="8">
        <v>2311931</v>
      </c>
      <c r="B1433" s="9" t="s">
        <v>5249</v>
      </c>
      <c r="C1433" s="10">
        <v>45149</v>
      </c>
      <c r="D1433" s="9" t="s">
        <v>261</v>
      </c>
      <c r="E1433" s="9" t="s">
        <v>89</v>
      </c>
      <c r="F1433" s="9" t="s">
        <v>262</v>
      </c>
      <c r="G1433" s="9" t="s">
        <v>43</v>
      </c>
      <c r="H1433" s="9" t="s">
        <v>44</v>
      </c>
      <c r="I1433" s="11" t="s">
        <v>685</v>
      </c>
      <c r="J1433" s="9" t="s">
        <v>686</v>
      </c>
      <c r="K1433" s="9" t="s">
        <v>47</v>
      </c>
      <c r="L1433" s="9" t="s">
        <v>48</v>
      </c>
      <c r="M1433" s="9" t="s">
        <v>5250</v>
      </c>
      <c r="N1433" s="9" t="s">
        <v>50</v>
      </c>
      <c r="O1433" s="9" t="s">
        <v>51</v>
      </c>
      <c r="P1433" s="9"/>
      <c r="Q1433" s="9"/>
      <c r="R1433" s="9"/>
      <c r="S1433" s="14" t="s">
        <v>5251</v>
      </c>
      <c r="T1433" s="9" t="s">
        <v>5252</v>
      </c>
      <c r="U1433" s="9" t="s">
        <v>262</v>
      </c>
      <c r="V1433" s="9" t="s">
        <v>55</v>
      </c>
      <c r="W1433" s="9" t="s">
        <v>55</v>
      </c>
      <c r="X1433" s="12"/>
      <c r="Y1433" s="9" t="s">
        <v>55</v>
      </c>
      <c r="Z1433" s="13"/>
    </row>
    <row r="1434" spans="1:26" ht="32.25" hidden="1" customHeight="1">
      <c r="A1434" s="8">
        <v>2300108</v>
      </c>
      <c r="B1434" s="9" t="s">
        <v>5253</v>
      </c>
      <c r="C1434" s="10">
        <v>45149</v>
      </c>
      <c r="D1434" s="9" t="s">
        <v>261</v>
      </c>
      <c r="E1434" s="9" t="s">
        <v>68</v>
      </c>
      <c r="F1434" s="9" t="s">
        <v>262</v>
      </c>
      <c r="G1434" s="9" t="s">
        <v>43</v>
      </c>
      <c r="H1434" s="9" t="s">
        <v>44</v>
      </c>
      <c r="I1434" s="11" t="s">
        <v>1671</v>
      </c>
      <c r="J1434" s="9" t="s">
        <v>1672</v>
      </c>
      <c r="K1434" s="9" t="s">
        <v>47</v>
      </c>
      <c r="L1434" s="9" t="s">
        <v>863</v>
      </c>
      <c r="M1434" s="9" t="s">
        <v>5254</v>
      </c>
      <c r="N1434" s="9" t="s">
        <v>50</v>
      </c>
      <c r="O1434" s="9" t="s">
        <v>51</v>
      </c>
      <c r="P1434" s="9"/>
      <c r="Q1434" s="9"/>
      <c r="R1434" s="9" t="s">
        <v>61</v>
      </c>
      <c r="S1434" s="14" t="s">
        <v>5255</v>
      </c>
      <c r="T1434" s="9" t="s">
        <v>5256</v>
      </c>
      <c r="U1434" s="9" t="s">
        <v>262</v>
      </c>
      <c r="V1434" s="9" t="s">
        <v>55</v>
      </c>
      <c r="W1434" s="9" t="s">
        <v>115</v>
      </c>
      <c r="X1434" s="12" t="s">
        <v>389</v>
      </c>
      <c r="Y1434" s="9" t="s">
        <v>390</v>
      </c>
      <c r="Z1434" s="13"/>
    </row>
    <row r="1435" spans="1:26" ht="32.25" hidden="1" customHeight="1">
      <c r="A1435" s="8">
        <v>2302337</v>
      </c>
      <c r="B1435" s="9" t="s">
        <v>5257</v>
      </c>
      <c r="C1435" s="10">
        <v>45156</v>
      </c>
      <c r="D1435" s="9" t="s">
        <v>79</v>
      </c>
      <c r="E1435" s="9" t="s">
        <v>41</v>
      </c>
      <c r="F1435" s="9" t="s">
        <v>80</v>
      </c>
      <c r="G1435" s="9" t="s">
        <v>43</v>
      </c>
      <c r="H1435" s="9" t="s">
        <v>44</v>
      </c>
      <c r="I1435" s="11" t="s">
        <v>527</v>
      </c>
      <c r="J1435" s="9" t="s">
        <v>130</v>
      </c>
      <c r="K1435" s="9" t="s">
        <v>47</v>
      </c>
      <c r="L1435" s="9" t="s">
        <v>156</v>
      </c>
      <c r="M1435" s="9"/>
      <c r="N1435" s="9" t="s">
        <v>50</v>
      </c>
      <c r="O1435" s="9" t="s">
        <v>51</v>
      </c>
      <c r="P1435" s="9" t="s">
        <v>529</v>
      </c>
      <c r="Q1435" s="9"/>
      <c r="R1435" s="9"/>
      <c r="S1435" s="14" t="s">
        <v>5258</v>
      </c>
      <c r="T1435" s="9" t="s">
        <v>5259</v>
      </c>
      <c r="U1435" s="9" t="s">
        <v>54</v>
      </c>
      <c r="V1435" s="9"/>
      <c r="W1435" s="9" t="s">
        <v>115</v>
      </c>
      <c r="X1435" s="12"/>
      <c r="Y1435" s="9" t="s">
        <v>55</v>
      </c>
      <c r="Z1435" s="13"/>
    </row>
    <row r="1436" spans="1:26" ht="32.25" hidden="1" customHeight="1">
      <c r="A1436" s="8">
        <v>2304061</v>
      </c>
      <c r="B1436" s="9" t="s">
        <v>5260</v>
      </c>
      <c r="C1436" s="10">
        <v>45142</v>
      </c>
      <c r="D1436" s="9" t="s">
        <v>67</v>
      </c>
      <c r="E1436" s="9" t="s">
        <v>143</v>
      </c>
      <c r="F1436" s="9" t="s">
        <v>42</v>
      </c>
      <c r="G1436" s="9" t="s">
        <v>43</v>
      </c>
      <c r="H1436" s="9" t="s">
        <v>44</v>
      </c>
      <c r="I1436" s="11" t="s">
        <v>219</v>
      </c>
      <c r="J1436" s="9" t="s">
        <v>220</v>
      </c>
      <c r="K1436" s="9" t="s">
        <v>47</v>
      </c>
      <c r="L1436" s="9" t="s">
        <v>574</v>
      </c>
      <c r="M1436" s="9" t="s">
        <v>617</v>
      </c>
      <c r="N1436" s="9" t="s">
        <v>84</v>
      </c>
      <c r="O1436" s="9" t="s">
        <v>51</v>
      </c>
      <c r="P1436" s="9"/>
      <c r="Q1436" s="9"/>
      <c r="R1436" s="9" t="s">
        <v>61</v>
      </c>
      <c r="S1436" s="9" t="s">
        <v>5261</v>
      </c>
      <c r="T1436" s="9" t="s">
        <v>5262</v>
      </c>
      <c r="U1436" s="9" t="s">
        <v>54</v>
      </c>
      <c r="V1436" s="9" t="s">
        <v>55</v>
      </c>
      <c r="W1436" s="9" t="s">
        <v>55</v>
      </c>
      <c r="X1436" s="12" t="s">
        <v>171</v>
      </c>
      <c r="Y1436" s="9" t="s">
        <v>172</v>
      </c>
      <c r="Z1436" s="13"/>
    </row>
    <row r="1437" spans="1:26" ht="32.25" hidden="1" customHeight="1">
      <c r="A1437" s="8">
        <v>2306108</v>
      </c>
      <c r="B1437" s="9" t="s">
        <v>5263</v>
      </c>
      <c r="C1437" s="10">
        <v>45149</v>
      </c>
      <c r="D1437" s="9" t="s">
        <v>57</v>
      </c>
      <c r="E1437" s="9" t="s">
        <v>41</v>
      </c>
      <c r="F1437" s="9" t="s">
        <v>42</v>
      </c>
      <c r="G1437" s="9" t="s">
        <v>43</v>
      </c>
      <c r="H1437" s="9" t="s">
        <v>58</v>
      </c>
      <c r="I1437" s="11" t="s">
        <v>45</v>
      </c>
      <c r="J1437" s="9" t="s">
        <v>46</v>
      </c>
      <c r="K1437" s="9" t="s">
        <v>47</v>
      </c>
      <c r="L1437" s="9" t="s">
        <v>156</v>
      </c>
      <c r="M1437" s="9"/>
      <c r="N1437" s="9" t="s">
        <v>50</v>
      </c>
      <c r="O1437" s="9" t="s">
        <v>51</v>
      </c>
      <c r="P1437" s="9"/>
      <c r="Q1437" s="9"/>
      <c r="R1437" s="9"/>
      <c r="S1437" s="14" t="s">
        <v>5264</v>
      </c>
      <c r="T1437" s="9" t="s">
        <v>5265</v>
      </c>
      <c r="U1437" s="9" t="s">
        <v>54</v>
      </c>
      <c r="V1437" s="9" t="s">
        <v>55</v>
      </c>
      <c r="W1437" s="9" t="s">
        <v>55</v>
      </c>
      <c r="X1437" s="12"/>
      <c r="Y1437" s="9" t="s">
        <v>55</v>
      </c>
      <c r="Z1437" s="13"/>
    </row>
    <row r="1438" spans="1:26" ht="32.25" hidden="1" customHeight="1">
      <c r="A1438" s="8">
        <v>2315415</v>
      </c>
      <c r="B1438" s="9" t="s">
        <v>5266</v>
      </c>
      <c r="C1438" s="10">
        <v>45152</v>
      </c>
      <c r="D1438" s="9" t="s">
        <v>185</v>
      </c>
      <c r="E1438" s="9" t="s">
        <v>41</v>
      </c>
      <c r="F1438" s="9" t="s">
        <v>42</v>
      </c>
      <c r="G1438" s="9" t="s">
        <v>43</v>
      </c>
      <c r="H1438" s="9" t="s">
        <v>44</v>
      </c>
      <c r="I1438" s="11" t="s">
        <v>45</v>
      </c>
      <c r="J1438" s="9" t="s">
        <v>46</v>
      </c>
      <c r="K1438" s="9" t="s">
        <v>92</v>
      </c>
      <c r="L1438" s="9"/>
      <c r="M1438" s="9" t="s">
        <v>103</v>
      </c>
      <c r="N1438" s="9" t="s">
        <v>50</v>
      </c>
      <c r="O1438" s="9" t="s">
        <v>187</v>
      </c>
      <c r="P1438" s="9"/>
      <c r="Q1438" s="9"/>
      <c r="R1438" s="9" t="s">
        <v>61</v>
      </c>
      <c r="S1438" s="14" t="s">
        <v>5267</v>
      </c>
      <c r="T1438" s="9" t="s">
        <v>5268</v>
      </c>
      <c r="U1438" s="9" t="s">
        <v>54</v>
      </c>
      <c r="V1438" s="9" t="s">
        <v>55</v>
      </c>
      <c r="W1438" s="9" t="s">
        <v>55</v>
      </c>
      <c r="X1438" s="9" t="s">
        <v>64</v>
      </c>
      <c r="Y1438" s="9" t="s">
        <v>65</v>
      </c>
      <c r="Z1438" s="13"/>
    </row>
    <row r="1439" spans="1:26" ht="32.25" hidden="1" customHeight="1">
      <c r="A1439" s="8">
        <v>2303425</v>
      </c>
      <c r="B1439" s="9" t="s">
        <v>5269</v>
      </c>
      <c r="C1439" s="10">
        <v>45156</v>
      </c>
      <c r="D1439" s="9" t="s">
        <v>565</v>
      </c>
      <c r="E1439" s="9" t="s">
        <v>41</v>
      </c>
      <c r="F1439" s="9" t="s">
        <v>42</v>
      </c>
      <c r="G1439" s="9" t="s">
        <v>43</v>
      </c>
      <c r="H1439" s="9" t="s">
        <v>58</v>
      </c>
      <c r="I1439" s="11" t="s">
        <v>661</v>
      </c>
      <c r="J1439" s="9" t="s">
        <v>662</v>
      </c>
      <c r="K1439" s="9" t="s">
        <v>47</v>
      </c>
      <c r="L1439" s="9" t="s">
        <v>706</v>
      </c>
      <c r="M1439" s="9" t="s">
        <v>5270</v>
      </c>
      <c r="N1439" s="9" t="s">
        <v>84</v>
      </c>
      <c r="O1439" s="9" t="s">
        <v>51</v>
      </c>
      <c r="P1439" s="9"/>
      <c r="Q1439" s="9"/>
      <c r="R1439" s="9" t="s">
        <v>61</v>
      </c>
      <c r="S1439" s="14" t="s">
        <v>5271</v>
      </c>
      <c r="T1439" s="9" t="s">
        <v>5272</v>
      </c>
      <c r="U1439" s="9" t="s">
        <v>54</v>
      </c>
      <c r="V1439" s="9" t="s">
        <v>55</v>
      </c>
      <c r="W1439" s="9" t="s">
        <v>55</v>
      </c>
      <c r="X1439" s="9" t="s">
        <v>64</v>
      </c>
      <c r="Y1439" s="9" t="s">
        <v>65</v>
      </c>
      <c r="Z1439" s="13"/>
    </row>
    <row r="1440" spans="1:26" ht="32.25" hidden="1" customHeight="1">
      <c r="A1440" s="8">
        <v>2308521</v>
      </c>
      <c r="B1440" s="9" t="s">
        <v>5273</v>
      </c>
      <c r="C1440" s="10">
        <v>45149</v>
      </c>
      <c r="D1440" s="9" t="s">
        <v>261</v>
      </c>
      <c r="E1440" s="9" t="s">
        <v>143</v>
      </c>
      <c r="F1440" s="9" t="s">
        <v>262</v>
      </c>
      <c r="G1440" s="9" t="s">
        <v>43</v>
      </c>
      <c r="H1440" s="9" t="s">
        <v>44</v>
      </c>
      <c r="I1440" s="11" t="s">
        <v>384</v>
      </c>
      <c r="J1440" s="9" t="s">
        <v>385</v>
      </c>
      <c r="K1440" s="9" t="s">
        <v>47</v>
      </c>
      <c r="L1440" s="9" t="s">
        <v>221</v>
      </c>
      <c r="M1440" s="9" t="s">
        <v>5274</v>
      </c>
      <c r="N1440" s="9" t="s">
        <v>50</v>
      </c>
      <c r="O1440" s="9" t="s">
        <v>51</v>
      </c>
      <c r="P1440" s="9"/>
      <c r="Q1440" s="9"/>
      <c r="R1440" s="9" t="s">
        <v>61</v>
      </c>
      <c r="S1440" s="14" t="s">
        <v>5275</v>
      </c>
      <c r="T1440" s="9" t="s">
        <v>5276</v>
      </c>
      <c r="U1440" s="9" t="s">
        <v>262</v>
      </c>
      <c r="V1440" s="9" t="s">
        <v>370</v>
      </c>
      <c r="W1440" s="9" t="s">
        <v>115</v>
      </c>
      <c r="X1440" s="12" t="s">
        <v>389</v>
      </c>
      <c r="Y1440" s="9" t="s">
        <v>390</v>
      </c>
      <c r="Z1440" s="13"/>
    </row>
    <row r="1441" spans="1:26" ht="32.25" hidden="1" customHeight="1">
      <c r="A1441" s="8">
        <v>2311605</v>
      </c>
      <c r="B1441" s="9" t="s">
        <v>5277</v>
      </c>
      <c r="C1441" s="10">
        <v>45156</v>
      </c>
      <c r="D1441" s="9" t="s">
        <v>79</v>
      </c>
      <c r="E1441" s="9" t="s">
        <v>41</v>
      </c>
      <c r="F1441" s="9" t="s">
        <v>80</v>
      </c>
      <c r="G1441" s="9" t="s">
        <v>43</v>
      </c>
      <c r="H1441" s="9" t="s">
        <v>44</v>
      </c>
      <c r="I1441" s="11" t="s">
        <v>233</v>
      </c>
      <c r="J1441" s="9" t="s">
        <v>200</v>
      </c>
      <c r="K1441" s="9" t="s">
        <v>47</v>
      </c>
      <c r="L1441" s="9" t="s">
        <v>858</v>
      </c>
      <c r="M1441" s="9" t="s">
        <v>1103</v>
      </c>
      <c r="N1441" s="9" t="s">
        <v>50</v>
      </c>
      <c r="O1441" s="9" t="s">
        <v>51</v>
      </c>
      <c r="P1441" s="9" t="s">
        <v>443</v>
      </c>
      <c r="Q1441" s="9"/>
      <c r="R1441" s="9" t="s">
        <v>61</v>
      </c>
      <c r="S1441" s="14" t="s">
        <v>5278</v>
      </c>
      <c r="T1441" s="9" t="s">
        <v>5279</v>
      </c>
      <c r="U1441" s="9" t="s">
        <v>54</v>
      </c>
      <c r="V1441" s="9" t="s">
        <v>1916</v>
      </c>
      <c r="W1441" s="9" t="s">
        <v>115</v>
      </c>
      <c r="X1441" s="12" t="s">
        <v>64</v>
      </c>
      <c r="Y1441" s="9" t="s">
        <v>65</v>
      </c>
      <c r="Z1441" s="13"/>
    </row>
    <row r="1442" spans="1:26" ht="32.25" hidden="1" customHeight="1">
      <c r="A1442" s="8">
        <v>2308986</v>
      </c>
      <c r="B1442" s="9" t="s">
        <v>5280</v>
      </c>
      <c r="C1442" s="10">
        <v>45142</v>
      </c>
      <c r="D1442" s="9" t="s">
        <v>67</v>
      </c>
      <c r="E1442" s="9" t="s">
        <v>41</v>
      </c>
      <c r="F1442" s="9" t="s">
        <v>42</v>
      </c>
      <c r="G1442" s="9" t="s">
        <v>43</v>
      </c>
      <c r="H1442" s="9" t="s">
        <v>44</v>
      </c>
      <c r="I1442" s="11" t="s">
        <v>45</v>
      </c>
      <c r="J1442" s="9" t="s">
        <v>46</v>
      </c>
      <c r="K1442" s="9" t="s">
        <v>47</v>
      </c>
      <c r="L1442" s="9" t="s">
        <v>822</v>
      </c>
      <c r="M1442" s="9" t="s">
        <v>1628</v>
      </c>
      <c r="N1442" s="9" t="s">
        <v>84</v>
      </c>
      <c r="O1442" s="9" t="s">
        <v>51</v>
      </c>
      <c r="P1442" s="9"/>
      <c r="Q1442" s="9"/>
      <c r="R1442" s="9" t="s">
        <v>61</v>
      </c>
      <c r="S1442" s="9" t="s">
        <v>5281</v>
      </c>
      <c r="T1442" s="9" t="s">
        <v>5282</v>
      </c>
      <c r="U1442" s="9" t="s">
        <v>54</v>
      </c>
      <c r="V1442" s="9" t="s">
        <v>55</v>
      </c>
      <c r="W1442" s="9" t="s">
        <v>55</v>
      </c>
      <c r="X1442" s="9" t="s">
        <v>64</v>
      </c>
      <c r="Y1442" s="9" t="s">
        <v>65</v>
      </c>
      <c r="Z1442" s="13"/>
    </row>
    <row r="1443" spans="1:26" ht="32.25" hidden="1" customHeight="1">
      <c r="A1443" s="8">
        <v>2313588</v>
      </c>
      <c r="B1443" s="9" t="s">
        <v>5283</v>
      </c>
      <c r="C1443" s="10">
        <v>45136</v>
      </c>
      <c r="D1443" s="9" t="s">
        <v>40</v>
      </c>
      <c r="E1443" s="9" t="s">
        <v>41</v>
      </c>
      <c r="F1443" s="9" t="s">
        <v>42</v>
      </c>
      <c r="G1443" s="9" t="s">
        <v>43</v>
      </c>
      <c r="H1443" s="9" t="s">
        <v>44</v>
      </c>
      <c r="I1443" s="11" t="s">
        <v>661</v>
      </c>
      <c r="J1443" s="9" t="s">
        <v>662</v>
      </c>
      <c r="K1443" s="9" t="s">
        <v>47</v>
      </c>
      <c r="L1443" s="9" t="s">
        <v>591</v>
      </c>
      <c r="M1443" s="9" t="s">
        <v>592</v>
      </c>
      <c r="N1443" s="9" t="s">
        <v>84</v>
      </c>
      <c r="O1443" s="9" t="s">
        <v>51</v>
      </c>
      <c r="P1443" s="9"/>
      <c r="Q1443" s="9"/>
      <c r="R1443" s="9" t="s">
        <v>61</v>
      </c>
      <c r="S1443" s="9" t="s">
        <v>5284</v>
      </c>
      <c r="T1443" s="9" t="s">
        <v>5285</v>
      </c>
      <c r="U1443" s="9" t="s">
        <v>54</v>
      </c>
      <c r="V1443" s="9" t="s">
        <v>55</v>
      </c>
      <c r="W1443" s="9" t="s">
        <v>55</v>
      </c>
      <c r="X1443" s="9" t="s">
        <v>64</v>
      </c>
      <c r="Y1443" s="9" t="s">
        <v>65</v>
      </c>
      <c r="Z1443" s="13"/>
    </row>
    <row r="1444" spans="1:26" ht="32.25" hidden="1" customHeight="1">
      <c r="A1444" s="8">
        <v>2304511</v>
      </c>
      <c r="B1444" s="9" t="s">
        <v>5286</v>
      </c>
      <c r="C1444" s="10">
        <v>45149</v>
      </c>
      <c r="D1444" s="9" t="s">
        <v>57</v>
      </c>
      <c r="E1444" s="9" t="s">
        <v>41</v>
      </c>
      <c r="F1444" s="9" t="s">
        <v>42</v>
      </c>
      <c r="G1444" s="9" t="s">
        <v>43</v>
      </c>
      <c r="H1444" s="9" t="s">
        <v>58</v>
      </c>
      <c r="I1444" s="11" t="s">
        <v>129</v>
      </c>
      <c r="J1444" s="9" t="s">
        <v>130</v>
      </c>
      <c r="K1444" s="9" t="s">
        <v>47</v>
      </c>
      <c r="L1444" s="9" t="s">
        <v>156</v>
      </c>
      <c r="M1444" s="9"/>
      <c r="N1444" s="9" t="s">
        <v>84</v>
      </c>
      <c r="O1444" s="9" t="s">
        <v>51</v>
      </c>
      <c r="P1444" s="9"/>
      <c r="Q1444" s="9"/>
      <c r="R1444" s="9"/>
      <c r="S1444" s="14" t="s">
        <v>5287</v>
      </c>
      <c r="T1444" s="9" t="s">
        <v>5288</v>
      </c>
      <c r="U1444" s="9" t="s">
        <v>54</v>
      </c>
      <c r="V1444" s="9" t="s">
        <v>55</v>
      </c>
      <c r="W1444" s="9" t="s">
        <v>55</v>
      </c>
      <c r="X1444" s="12"/>
      <c r="Y1444" s="9" t="s">
        <v>55</v>
      </c>
      <c r="Z1444" s="13"/>
    </row>
    <row r="1445" spans="1:26" ht="32.25" hidden="1" customHeight="1">
      <c r="A1445" s="8">
        <v>2314589</v>
      </c>
      <c r="B1445" s="9" t="s">
        <v>5289</v>
      </c>
      <c r="C1445" s="10">
        <v>45156</v>
      </c>
      <c r="D1445" s="9" t="s">
        <v>79</v>
      </c>
      <c r="E1445" s="9" t="s">
        <v>89</v>
      </c>
      <c r="F1445" s="9" t="s">
        <v>80</v>
      </c>
      <c r="G1445" s="9" t="s">
        <v>43</v>
      </c>
      <c r="H1445" s="9" t="s">
        <v>44</v>
      </c>
      <c r="I1445" s="11" t="s">
        <v>90</v>
      </c>
      <c r="J1445" s="9" t="s">
        <v>91</v>
      </c>
      <c r="K1445" s="9" t="s">
        <v>92</v>
      </c>
      <c r="L1445" s="9"/>
      <c r="M1445" s="9" t="s">
        <v>103</v>
      </c>
      <c r="N1445" s="9" t="s">
        <v>50</v>
      </c>
      <c r="O1445" s="9" t="s">
        <v>51</v>
      </c>
      <c r="P1445" s="9" t="s">
        <v>498</v>
      </c>
      <c r="Q1445" s="9"/>
      <c r="R1445" s="9" t="s">
        <v>61</v>
      </c>
      <c r="S1445" s="14" t="s">
        <v>5290</v>
      </c>
      <c r="T1445" s="9" t="s">
        <v>5291</v>
      </c>
      <c r="U1445" s="9" t="s">
        <v>54</v>
      </c>
      <c r="V1445" s="9" t="s">
        <v>55</v>
      </c>
      <c r="W1445" s="9" t="s">
        <v>55</v>
      </c>
      <c r="X1445" s="12" t="s">
        <v>98</v>
      </c>
      <c r="Y1445" s="9" t="s">
        <v>99</v>
      </c>
      <c r="Z1445" s="13"/>
    </row>
    <row r="1446" spans="1:26" ht="32.25" hidden="1" customHeight="1">
      <c r="A1446" s="8">
        <v>2312225</v>
      </c>
      <c r="B1446" s="9" t="s">
        <v>5292</v>
      </c>
      <c r="C1446" s="10">
        <v>45149</v>
      </c>
      <c r="D1446" s="9" t="s">
        <v>57</v>
      </c>
      <c r="E1446" s="9" t="s">
        <v>41</v>
      </c>
      <c r="F1446" s="9" t="s">
        <v>42</v>
      </c>
      <c r="G1446" s="9" t="s">
        <v>43</v>
      </c>
      <c r="H1446" s="9" t="s">
        <v>58</v>
      </c>
      <c r="I1446" s="11" t="s">
        <v>129</v>
      </c>
      <c r="J1446" s="9" t="s">
        <v>130</v>
      </c>
      <c r="K1446" s="9" t="s">
        <v>47</v>
      </c>
      <c r="L1446" s="9" t="s">
        <v>156</v>
      </c>
      <c r="M1446" s="9"/>
      <c r="N1446" s="9" t="s">
        <v>84</v>
      </c>
      <c r="O1446" s="9" t="s">
        <v>51</v>
      </c>
      <c r="P1446" s="9"/>
      <c r="Q1446" s="9"/>
      <c r="R1446" s="9"/>
      <c r="S1446" s="14" t="s">
        <v>5293</v>
      </c>
      <c r="T1446" s="9" t="s">
        <v>5294</v>
      </c>
      <c r="U1446" s="9" t="s">
        <v>54</v>
      </c>
      <c r="V1446" s="9" t="s">
        <v>55</v>
      </c>
      <c r="W1446" s="9" t="s">
        <v>55</v>
      </c>
      <c r="X1446" s="12"/>
      <c r="Y1446" s="9" t="s">
        <v>55</v>
      </c>
      <c r="Z1446" s="13"/>
    </row>
    <row r="1447" spans="1:26" ht="32.25" hidden="1" customHeight="1">
      <c r="A1447" s="8">
        <v>2311468</v>
      </c>
      <c r="B1447" s="9" t="s">
        <v>5295</v>
      </c>
      <c r="C1447" s="10">
        <v>45136</v>
      </c>
      <c r="D1447" s="9" t="s">
        <v>40</v>
      </c>
      <c r="E1447" s="9" t="s">
        <v>153</v>
      </c>
      <c r="F1447" s="9" t="s">
        <v>42</v>
      </c>
      <c r="G1447" s="9" t="s">
        <v>43</v>
      </c>
      <c r="H1447" s="9" t="s">
        <v>44</v>
      </c>
      <c r="I1447" s="11" t="s">
        <v>154</v>
      </c>
      <c r="J1447" s="9" t="s">
        <v>155</v>
      </c>
      <c r="K1447" s="9" t="s">
        <v>47</v>
      </c>
      <c r="L1447" s="9" t="s">
        <v>138</v>
      </c>
      <c r="M1447" s="9" t="s">
        <v>3938</v>
      </c>
      <c r="N1447" s="9" t="s">
        <v>84</v>
      </c>
      <c r="O1447" s="9" t="s">
        <v>51</v>
      </c>
      <c r="P1447" s="9"/>
      <c r="Q1447" s="9"/>
      <c r="R1447" s="9" t="s">
        <v>61</v>
      </c>
      <c r="S1447" s="9" t="s">
        <v>5296</v>
      </c>
      <c r="T1447" s="9" t="s">
        <v>5297</v>
      </c>
      <c r="U1447" s="9" t="s">
        <v>54</v>
      </c>
      <c r="V1447" s="9" t="s">
        <v>55</v>
      </c>
      <c r="W1447" s="9" t="s">
        <v>55</v>
      </c>
      <c r="X1447" s="12" t="s">
        <v>171</v>
      </c>
      <c r="Y1447" s="9" t="s">
        <v>172</v>
      </c>
      <c r="Z1447" s="13"/>
    </row>
    <row r="1448" spans="1:26" ht="32.25" hidden="1" customHeight="1">
      <c r="A1448" s="8">
        <v>2305719</v>
      </c>
      <c r="B1448" s="9" t="s">
        <v>5298</v>
      </c>
      <c r="C1448" s="10">
        <v>45149</v>
      </c>
      <c r="D1448" s="9" t="s">
        <v>57</v>
      </c>
      <c r="E1448" s="9" t="s">
        <v>41</v>
      </c>
      <c r="F1448" s="9" t="s">
        <v>42</v>
      </c>
      <c r="G1448" s="9" t="s">
        <v>43</v>
      </c>
      <c r="H1448" s="9" t="s">
        <v>58</v>
      </c>
      <c r="I1448" s="11" t="s">
        <v>129</v>
      </c>
      <c r="J1448" s="9" t="s">
        <v>130</v>
      </c>
      <c r="K1448" s="9" t="s">
        <v>47</v>
      </c>
      <c r="L1448" s="9" t="s">
        <v>48</v>
      </c>
      <c r="M1448" s="9" t="s">
        <v>5299</v>
      </c>
      <c r="N1448" s="9" t="s">
        <v>50</v>
      </c>
      <c r="O1448" s="9" t="s">
        <v>51</v>
      </c>
      <c r="P1448" s="9"/>
      <c r="Q1448" s="9"/>
      <c r="R1448" s="9"/>
      <c r="S1448" s="14" t="s">
        <v>5300</v>
      </c>
      <c r="T1448" s="9" t="s">
        <v>5301</v>
      </c>
      <c r="U1448" s="9" t="s">
        <v>54</v>
      </c>
      <c r="V1448" s="9" t="s">
        <v>55</v>
      </c>
      <c r="W1448" s="9" t="s">
        <v>55</v>
      </c>
      <c r="X1448" s="12"/>
      <c r="Y1448" s="9" t="s">
        <v>55</v>
      </c>
      <c r="Z1448" s="13"/>
    </row>
    <row r="1449" spans="1:26" ht="32.25" hidden="1" customHeight="1">
      <c r="A1449" s="8">
        <v>2311590</v>
      </c>
      <c r="B1449" s="9" t="s">
        <v>5302</v>
      </c>
      <c r="C1449" s="10">
        <v>45149</v>
      </c>
      <c r="D1449" s="9" t="s">
        <v>261</v>
      </c>
      <c r="E1449" s="9" t="s">
        <v>143</v>
      </c>
      <c r="F1449" s="9" t="s">
        <v>262</v>
      </c>
      <c r="G1449" s="9" t="s">
        <v>43</v>
      </c>
      <c r="H1449" s="9" t="s">
        <v>44</v>
      </c>
      <c r="I1449" s="11" t="s">
        <v>435</v>
      </c>
      <c r="J1449" s="9" t="s">
        <v>436</v>
      </c>
      <c r="K1449" s="9" t="s">
        <v>47</v>
      </c>
      <c r="L1449" s="9" t="s">
        <v>3667</v>
      </c>
      <c r="M1449" s="9" t="s">
        <v>5303</v>
      </c>
      <c r="N1449" s="9" t="s">
        <v>50</v>
      </c>
      <c r="O1449" s="9" t="s">
        <v>51</v>
      </c>
      <c r="P1449" s="9"/>
      <c r="Q1449" s="9"/>
      <c r="R1449" s="9" t="s">
        <v>61</v>
      </c>
      <c r="S1449" s="14" t="s">
        <v>5304</v>
      </c>
      <c r="T1449" s="9" t="s">
        <v>5305</v>
      </c>
      <c r="U1449" s="9" t="s">
        <v>262</v>
      </c>
      <c r="V1449" s="9" t="s">
        <v>370</v>
      </c>
      <c r="W1449" s="9" t="s">
        <v>115</v>
      </c>
      <c r="X1449" s="12" t="s">
        <v>389</v>
      </c>
      <c r="Y1449" s="9" t="s">
        <v>390</v>
      </c>
      <c r="Z1449" s="13"/>
    </row>
    <row r="1450" spans="1:26" ht="32.25" hidden="1" customHeight="1">
      <c r="A1450" s="8">
        <v>2302417</v>
      </c>
      <c r="B1450" s="9" t="s">
        <v>5306</v>
      </c>
      <c r="C1450" s="10">
        <v>45149</v>
      </c>
      <c r="D1450" s="9" t="s">
        <v>57</v>
      </c>
      <c r="E1450" s="9" t="s">
        <v>153</v>
      </c>
      <c r="F1450" s="9" t="s">
        <v>42</v>
      </c>
      <c r="G1450" s="9" t="s">
        <v>43</v>
      </c>
      <c r="H1450" s="9" t="s">
        <v>58</v>
      </c>
      <c r="I1450" s="11" t="s">
        <v>154</v>
      </c>
      <c r="J1450" s="9" t="s">
        <v>155</v>
      </c>
      <c r="K1450" s="9" t="s">
        <v>47</v>
      </c>
      <c r="L1450" s="9" t="s">
        <v>1686</v>
      </c>
      <c r="M1450" s="9" t="s">
        <v>4139</v>
      </c>
      <c r="N1450" s="9" t="s">
        <v>84</v>
      </c>
      <c r="O1450" s="9" t="s">
        <v>51</v>
      </c>
      <c r="P1450" s="9"/>
      <c r="Q1450" s="9"/>
      <c r="R1450" s="9" t="s">
        <v>61</v>
      </c>
      <c r="S1450" s="14" t="s">
        <v>5307</v>
      </c>
      <c r="T1450" s="9" t="s">
        <v>5308</v>
      </c>
      <c r="U1450" s="9" t="s">
        <v>54</v>
      </c>
      <c r="V1450" s="9" t="s">
        <v>55</v>
      </c>
      <c r="W1450" s="9" t="s">
        <v>55</v>
      </c>
      <c r="X1450" s="12" t="s">
        <v>171</v>
      </c>
      <c r="Y1450" s="9" t="s">
        <v>172</v>
      </c>
      <c r="Z1450" s="13"/>
    </row>
    <row r="1451" spans="1:26" ht="32.25" hidden="1" customHeight="1">
      <c r="A1451" s="8">
        <v>2302951</v>
      </c>
      <c r="B1451" s="9" t="s">
        <v>5309</v>
      </c>
      <c r="C1451" s="10">
        <v>45149</v>
      </c>
      <c r="D1451" s="9" t="s">
        <v>57</v>
      </c>
      <c r="E1451" s="9" t="s">
        <v>295</v>
      </c>
      <c r="F1451" s="9" t="s">
        <v>42</v>
      </c>
      <c r="G1451" s="9" t="s">
        <v>43</v>
      </c>
      <c r="H1451" s="9" t="s">
        <v>58</v>
      </c>
      <c r="I1451" s="11" t="s">
        <v>296</v>
      </c>
      <c r="J1451" s="9" t="s">
        <v>297</v>
      </c>
      <c r="K1451" s="9" t="s">
        <v>47</v>
      </c>
      <c r="L1451" s="9" t="s">
        <v>204</v>
      </c>
      <c r="M1451" s="9" t="s">
        <v>2166</v>
      </c>
      <c r="N1451" s="9" t="s">
        <v>84</v>
      </c>
      <c r="O1451" s="9" t="s">
        <v>51</v>
      </c>
      <c r="P1451" s="9"/>
      <c r="Q1451" s="9"/>
      <c r="R1451" s="9"/>
      <c r="S1451" s="14" t="s">
        <v>5310</v>
      </c>
      <c r="T1451" s="9" t="s">
        <v>5311</v>
      </c>
      <c r="U1451" s="9" t="s">
        <v>54</v>
      </c>
      <c r="V1451" s="9" t="s">
        <v>55</v>
      </c>
      <c r="W1451" s="9" t="s">
        <v>55</v>
      </c>
      <c r="X1451" s="12"/>
      <c r="Y1451" s="9" t="s">
        <v>55</v>
      </c>
      <c r="Z1451" s="13"/>
    </row>
    <row r="1452" spans="1:26" ht="32.25" hidden="1" customHeight="1">
      <c r="A1452" s="8">
        <v>2313944</v>
      </c>
      <c r="B1452" s="9" t="s">
        <v>5312</v>
      </c>
      <c r="C1452" s="10">
        <v>45142</v>
      </c>
      <c r="D1452" s="9" t="s">
        <v>232</v>
      </c>
      <c r="E1452" s="9" t="s">
        <v>295</v>
      </c>
      <c r="F1452" s="9" t="s">
        <v>80</v>
      </c>
      <c r="G1452" s="9" t="s">
        <v>43</v>
      </c>
      <c r="H1452" s="9" t="s">
        <v>44</v>
      </c>
      <c r="I1452" s="11" t="s">
        <v>1972</v>
      </c>
      <c r="J1452" s="9" t="s">
        <v>297</v>
      </c>
      <c r="K1452" s="9" t="s">
        <v>3956</v>
      </c>
      <c r="L1452" s="9"/>
      <c r="M1452" s="9" t="s">
        <v>5313</v>
      </c>
      <c r="N1452" s="9" t="s">
        <v>50</v>
      </c>
      <c r="O1452" s="9" t="s">
        <v>187</v>
      </c>
      <c r="P1452" s="9" t="s">
        <v>1974</v>
      </c>
      <c r="Q1452" s="9"/>
      <c r="R1452" s="9" t="s">
        <v>61</v>
      </c>
      <c r="S1452" s="9" t="s">
        <v>5314</v>
      </c>
      <c r="T1452" s="9" t="s">
        <v>5315</v>
      </c>
      <c r="U1452" s="9" t="s">
        <v>54</v>
      </c>
      <c r="V1452" s="9" t="s">
        <v>55</v>
      </c>
      <c r="W1452" s="9" t="s">
        <v>55</v>
      </c>
      <c r="X1452" s="9" t="s">
        <v>319</v>
      </c>
      <c r="Y1452" s="9" t="s">
        <v>320</v>
      </c>
      <c r="Z1452" s="13"/>
    </row>
    <row r="1453" spans="1:26" ht="32.25" hidden="1" customHeight="1">
      <c r="A1453" s="8">
        <v>2315192</v>
      </c>
      <c r="B1453" s="9" t="s">
        <v>5316</v>
      </c>
      <c r="C1453" s="10">
        <v>45152</v>
      </c>
      <c r="D1453" s="9" t="s">
        <v>639</v>
      </c>
      <c r="E1453" s="9" t="s">
        <v>41</v>
      </c>
      <c r="F1453" s="9" t="s">
        <v>80</v>
      </c>
      <c r="G1453" s="9" t="s">
        <v>43</v>
      </c>
      <c r="H1453" s="9" t="s">
        <v>44</v>
      </c>
      <c r="I1453" s="11" t="s">
        <v>81</v>
      </c>
      <c r="J1453" s="9" t="s">
        <v>46</v>
      </c>
      <c r="K1453" s="9" t="s">
        <v>250</v>
      </c>
      <c r="L1453" s="9"/>
      <c r="M1453" s="9"/>
      <c r="N1453" s="9" t="s">
        <v>50</v>
      </c>
      <c r="O1453" s="9" t="s">
        <v>187</v>
      </c>
      <c r="P1453" s="9" t="s">
        <v>395</v>
      </c>
      <c r="Q1453" s="9"/>
      <c r="R1453" s="9" t="s">
        <v>61</v>
      </c>
      <c r="S1453" s="14" t="s">
        <v>5317</v>
      </c>
      <c r="T1453" s="9" t="s">
        <v>5318</v>
      </c>
      <c r="U1453" s="9" t="s">
        <v>54</v>
      </c>
      <c r="V1453" s="9" t="s">
        <v>239</v>
      </c>
      <c r="W1453" s="9" t="s">
        <v>55</v>
      </c>
      <c r="X1453" s="12" t="s">
        <v>64</v>
      </c>
      <c r="Y1453" s="9" t="s">
        <v>65</v>
      </c>
      <c r="Z1453" s="13" t="s">
        <v>240</v>
      </c>
    </row>
    <row r="1454" spans="1:26" ht="32.25" hidden="1" customHeight="1">
      <c r="A1454" s="8">
        <v>2306824</v>
      </c>
      <c r="B1454" s="9" t="s">
        <v>5319</v>
      </c>
      <c r="C1454" s="10">
        <v>45149</v>
      </c>
      <c r="D1454" s="9" t="s">
        <v>57</v>
      </c>
      <c r="E1454" s="9" t="s">
        <v>295</v>
      </c>
      <c r="F1454" s="9" t="s">
        <v>42</v>
      </c>
      <c r="G1454" s="9" t="s">
        <v>43</v>
      </c>
      <c r="H1454" s="9" t="s">
        <v>58</v>
      </c>
      <c r="I1454" s="11" t="s">
        <v>296</v>
      </c>
      <c r="J1454" s="9" t="s">
        <v>297</v>
      </c>
      <c r="K1454" s="9" t="s">
        <v>47</v>
      </c>
      <c r="L1454" s="9" t="s">
        <v>437</v>
      </c>
      <c r="M1454" s="9" t="s">
        <v>1707</v>
      </c>
      <c r="N1454" s="9" t="s">
        <v>84</v>
      </c>
      <c r="O1454" s="9" t="s">
        <v>51</v>
      </c>
      <c r="P1454" s="9"/>
      <c r="Q1454" s="9"/>
      <c r="R1454" s="9" t="s">
        <v>61</v>
      </c>
      <c r="S1454" s="14" t="s">
        <v>5320</v>
      </c>
      <c r="T1454" s="9" t="s">
        <v>5321</v>
      </c>
      <c r="U1454" s="9" t="s">
        <v>54</v>
      </c>
      <c r="V1454" s="9" t="s">
        <v>55</v>
      </c>
      <c r="W1454" s="9" t="s">
        <v>55</v>
      </c>
      <c r="X1454" s="9" t="s">
        <v>319</v>
      </c>
      <c r="Y1454" s="9" t="s">
        <v>320</v>
      </c>
      <c r="Z1454" s="13"/>
    </row>
    <row r="1455" spans="1:26" ht="32.25" hidden="1" customHeight="1">
      <c r="A1455" s="8">
        <v>2314639</v>
      </c>
      <c r="B1455" s="9" t="s">
        <v>5322</v>
      </c>
      <c r="C1455" s="10">
        <v>45156</v>
      </c>
      <c r="D1455" s="9" t="s">
        <v>79</v>
      </c>
      <c r="E1455" s="9" t="s">
        <v>41</v>
      </c>
      <c r="F1455" s="9" t="s">
        <v>80</v>
      </c>
      <c r="G1455" s="9" t="s">
        <v>43</v>
      </c>
      <c r="H1455" s="9" t="s">
        <v>44</v>
      </c>
      <c r="I1455" s="11" t="s">
        <v>478</v>
      </c>
      <c r="J1455" s="9" t="s">
        <v>479</v>
      </c>
      <c r="K1455" s="9" t="s">
        <v>47</v>
      </c>
      <c r="L1455" s="9" t="s">
        <v>437</v>
      </c>
      <c r="M1455" s="9" t="s">
        <v>1707</v>
      </c>
      <c r="N1455" s="9" t="s">
        <v>50</v>
      </c>
      <c r="O1455" s="9" t="s">
        <v>51</v>
      </c>
      <c r="P1455" s="9" t="s">
        <v>482</v>
      </c>
      <c r="Q1455" s="9"/>
      <c r="R1455" s="9" t="s">
        <v>61</v>
      </c>
      <c r="S1455" s="14" t="s">
        <v>5323</v>
      </c>
      <c r="T1455" s="9" t="s">
        <v>5324</v>
      </c>
      <c r="U1455" s="9" t="s">
        <v>54</v>
      </c>
      <c r="V1455" s="9" t="s">
        <v>55</v>
      </c>
      <c r="W1455" s="9" t="s">
        <v>55</v>
      </c>
      <c r="X1455" s="12" t="s">
        <v>150</v>
      </c>
      <c r="Y1455" s="9" t="s">
        <v>151</v>
      </c>
      <c r="Z1455" s="13"/>
    </row>
    <row r="1456" spans="1:26" ht="32.25" hidden="1" customHeight="1">
      <c r="A1456" s="8">
        <v>2303959</v>
      </c>
      <c r="B1456" s="9" t="s">
        <v>5325</v>
      </c>
      <c r="C1456" s="10">
        <v>45156</v>
      </c>
      <c r="D1456" s="9" t="s">
        <v>79</v>
      </c>
      <c r="E1456" s="9" t="s">
        <v>68</v>
      </c>
      <c r="F1456" s="9" t="s">
        <v>80</v>
      </c>
      <c r="G1456" s="9" t="s">
        <v>43</v>
      </c>
      <c r="H1456" s="9" t="s">
        <v>44</v>
      </c>
      <c r="I1456" s="11" t="s">
        <v>90</v>
      </c>
      <c r="J1456" s="9" t="s">
        <v>91</v>
      </c>
      <c r="K1456" s="9" t="s">
        <v>47</v>
      </c>
      <c r="L1456" s="9" t="s">
        <v>156</v>
      </c>
      <c r="M1456" s="9"/>
      <c r="N1456" s="9" t="s">
        <v>50</v>
      </c>
      <c r="O1456" s="9" t="s">
        <v>51</v>
      </c>
      <c r="P1456" s="9" t="s">
        <v>929</v>
      </c>
      <c r="Q1456" s="9"/>
      <c r="R1456" s="9"/>
      <c r="S1456" s="14" t="s">
        <v>5326</v>
      </c>
      <c r="T1456" s="9" t="s">
        <v>5327</v>
      </c>
      <c r="U1456" s="9" t="s">
        <v>54</v>
      </c>
      <c r="V1456" s="9" t="s">
        <v>55</v>
      </c>
      <c r="W1456" s="9" t="s">
        <v>55</v>
      </c>
      <c r="X1456" s="12"/>
      <c r="Y1456" s="9" t="s">
        <v>55</v>
      </c>
      <c r="Z1456" s="13"/>
    </row>
    <row r="1457" spans="1:26" ht="32.25" hidden="1" customHeight="1">
      <c r="A1457" s="8">
        <v>2306853</v>
      </c>
      <c r="B1457" s="9" t="s">
        <v>5328</v>
      </c>
      <c r="C1457" s="10">
        <v>45156</v>
      </c>
      <c r="D1457" s="9" t="s">
        <v>79</v>
      </c>
      <c r="E1457" s="9" t="s">
        <v>89</v>
      </c>
      <c r="F1457" s="9" t="s">
        <v>80</v>
      </c>
      <c r="G1457" s="9" t="s">
        <v>43</v>
      </c>
      <c r="H1457" s="9" t="s">
        <v>44</v>
      </c>
      <c r="I1457" s="11" t="s">
        <v>90</v>
      </c>
      <c r="J1457" s="9" t="s">
        <v>91</v>
      </c>
      <c r="K1457" s="9" t="s">
        <v>47</v>
      </c>
      <c r="L1457" s="9" t="s">
        <v>349</v>
      </c>
      <c r="M1457" s="9" t="s">
        <v>785</v>
      </c>
      <c r="N1457" s="9" t="s">
        <v>50</v>
      </c>
      <c r="O1457" s="9" t="s">
        <v>51</v>
      </c>
      <c r="P1457" s="9" t="s">
        <v>546</v>
      </c>
      <c r="Q1457" s="9"/>
      <c r="R1457" s="9" t="s">
        <v>61</v>
      </c>
      <c r="S1457" s="14" t="s">
        <v>5329</v>
      </c>
      <c r="T1457" s="9" t="s">
        <v>5330</v>
      </c>
      <c r="U1457" s="9" t="s">
        <v>54</v>
      </c>
      <c r="V1457" s="9" t="s">
        <v>711</v>
      </c>
      <c r="W1457" s="9" t="s">
        <v>115</v>
      </c>
      <c r="X1457" s="12" t="s">
        <v>98</v>
      </c>
      <c r="Y1457" s="9" t="s">
        <v>99</v>
      </c>
      <c r="Z1457" s="13"/>
    </row>
    <row r="1458" spans="1:26" ht="32.25" hidden="1" customHeight="1">
      <c r="A1458" s="8">
        <v>2309832</v>
      </c>
      <c r="B1458" s="9" t="s">
        <v>5331</v>
      </c>
      <c r="C1458" s="10">
        <v>45136</v>
      </c>
      <c r="D1458" s="9" t="s">
        <v>301</v>
      </c>
      <c r="E1458" s="9" t="s">
        <v>41</v>
      </c>
      <c r="F1458" s="9" t="s">
        <v>42</v>
      </c>
      <c r="G1458" s="9" t="s">
        <v>43</v>
      </c>
      <c r="H1458" s="9" t="s">
        <v>44</v>
      </c>
      <c r="I1458" s="11" t="s">
        <v>45</v>
      </c>
      <c r="J1458" s="9" t="s">
        <v>46</v>
      </c>
      <c r="K1458" s="9" t="s">
        <v>47</v>
      </c>
      <c r="L1458" s="9" t="s">
        <v>741</v>
      </c>
      <c r="M1458" s="9" t="s">
        <v>2112</v>
      </c>
      <c r="N1458" s="9" t="s">
        <v>50</v>
      </c>
      <c r="O1458" s="9" t="s">
        <v>51</v>
      </c>
      <c r="P1458" s="9"/>
      <c r="Q1458" s="9"/>
      <c r="R1458" s="9" t="s">
        <v>61</v>
      </c>
      <c r="S1458" s="9" t="s">
        <v>5332</v>
      </c>
      <c r="T1458" s="9" t="s">
        <v>5333</v>
      </c>
      <c r="U1458" s="9" t="s">
        <v>54</v>
      </c>
      <c r="V1458" s="9" t="s">
        <v>55</v>
      </c>
      <c r="W1458" s="9" t="s">
        <v>55</v>
      </c>
      <c r="X1458" s="9" t="s">
        <v>64</v>
      </c>
      <c r="Y1458" s="9" t="s">
        <v>65</v>
      </c>
      <c r="Z1458" s="13"/>
    </row>
    <row r="1459" spans="1:26" ht="32.25" hidden="1" customHeight="1">
      <c r="A1459" s="8">
        <v>2303271</v>
      </c>
      <c r="B1459" s="9" t="s">
        <v>5334</v>
      </c>
      <c r="C1459" s="10">
        <v>45156</v>
      </c>
      <c r="D1459" s="9" t="s">
        <v>79</v>
      </c>
      <c r="E1459" s="9" t="s">
        <v>143</v>
      </c>
      <c r="F1459" s="9" t="s">
        <v>80</v>
      </c>
      <c r="G1459" s="9" t="s">
        <v>43</v>
      </c>
      <c r="H1459" s="9" t="s">
        <v>44</v>
      </c>
      <c r="I1459" s="11" t="s">
        <v>725</v>
      </c>
      <c r="J1459" s="9" t="s">
        <v>145</v>
      </c>
      <c r="K1459" s="9" t="s">
        <v>47</v>
      </c>
      <c r="L1459" s="9" t="s">
        <v>156</v>
      </c>
      <c r="M1459" s="9"/>
      <c r="N1459" s="9" t="s">
        <v>50</v>
      </c>
      <c r="O1459" s="9" t="s">
        <v>51</v>
      </c>
      <c r="P1459" s="9" t="s">
        <v>2924</v>
      </c>
      <c r="Q1459" s="9"/>
      <c r="R1459" s="9"/>
      <c r="S1459" s="14" t="s">
        <v>5335</v>
      </c>
      <c r="T1459" s="9" t="s">
        <v>5336</v>
      </c>
      <c r="U1459" s="9" t="s">
        <v>54</v>
      </c>
      <c r="V1459" s="9"/>
      <c r="W1459" s="9" t="s">
        <v>115</v>
      </c>
      <c r="X1459" s="12"/>
      <c r="Y1459" s="9" t="s">
        <v>55</v>
      </c>
      <c r="Z1459" s="13"/>
    </row>
    <row r="1460" spans="1:26" ht="32.25" hidden="1" customHeight="1">
      <c r="A1460" s="8">
        <v>2304446</v>
      </c>
      <c r="B1460" s="9" t="s">
        <v>5337</v>
      </c>
      <c r="C1460" s="10">
        <v>45156</v>
      </c>
      <c r="D1460" s="9" t="s">
        <v>79</v>
      </c>
      <c r="E1460" s="9" t="s">
        <v>41</v>
      </c>
      <c r="F1460" s="9" t="s">
        <v>80</v>
      </c>
      <c r="G1460" s="9" t="s">
        <v>43</v>
      </c>
      <c r="H1460" s="9" t="s">
        <v>44</v>
      </c>
      <c r="I1460" s="11" t="s">
        <v>233</v>
      </c>
      <c r="J1460" s="9" t="s">
        <v>200</v>
      </c>
      <c r="K1460" s="9" t="s">
        <v>47</v>
      </c>
      <c r="L1460" s="9" t="s">
        <v>48</v>
      </c>
      <c r="M1460" s="9" t="s">
        <v>5338</v>
      </c>
      <c r="N1460" s="9" t="s">
        <v>84</v>
      </c>
      <c r="O1460" s="9" t="s">
        <v>51</v>
      </c>
      <c r="P1460" s="9" t="s">
        <v>443</v>
      </c>
      <c r="Q1460" s="9"/>
      <c r="R1460" s="9" t="s">
        <v>61</v>
      </c>
      <c r="S1460" s="14" t="s">
        <v>5339</v>
      </c>
      <c r="T1460" s="9" t="s">
        <v>5340</v>
      </c>
      <c r="U1460" s="9" t="s">
        <v>54</v>
      </c>
      <c r="V1460" s="9" t="s">
        <v>331</v>
      </c>
      <c r="W1460" s="9" t="s">
        <v>115</v>
      </c>
      <c r="X1460" s="9" t="s">
        <v>64</v>
      </c>
      <c r="Y1460" s="9" t="s">
        <v>65</v>
      </c>
      <c r="Z1460" s="13"/>
    </row>
    <row r="1461" spans="1:26" ht="32.25" hidden="1" customHeight="1">
      <c r="A1461" s="8">
        <v>2306371</v>
      </c>
      <c r="B1461" s="9" t="s">
        <v>5341</v>
      </c>
      <c r="C1461" s="10">
        <v>45156</v>
      </c>
      <c r="D1461" s="9" t="s">
        <v>79</v>
      </c>
      <c r="E1461" s="9" t="s">
        <v>295</v>
      </c>
      <c r="F1461" s="9" t="s">
        <v>80</v>
      </c>
      <c r="G1461" s="9" t="s">
        <v>43</v>
      </c>
      <c r="H1461" s="9" t="s">
        <v>44</v>
      </c>
      <c r="I1461" s="11" t="s">
        <v>1972</v>
      </c>
      <c r="J1461" s="9" t="s">
        <v>297</v>
      </c>
      <c r="K1461" s="9" t="s">
        <v>47</v>
      </c>
      <c r="L1461" s="9" t="s">
        <v>3667</v>
      </c>
      <c r="M1461" s="9" t="s">
        <v>3668</v>
      </c>
      <c r="N1461" s="9" t="s">
        <v>50</v>
      </c>
      <c r="O1461" s="9" t="s">
        <v>51</v>
      </c>
      <c r="P1461" s="9" t="s">
        <v>1974</v>
      </c>
      <c r="Q1461" s="9"/>
      <c r="R1461" s="9"/>
      <c r="S1461" s="14" t="s">
        <v>5342</v>
      </c>
      <c r="T1461" s="9" t="s">
        <v>5343</v>
      </c>
      <c r="U1461" s="9" t="s">
        <v>54</v>
      </c>
      <c r="V1461" s="9" t="s">
        <v>318</v>
      </c>
      <c r="W1461" s="9" t="s">
        <v>115</v>
      </c>
      <c r="X1461" s="12"/>
      <c r="Y1461" s="9" t="s">
        <v>55</v>
      </c>
      <c r="Z1461" s="13"/>
    </row>
    <row r="1462" spans="1:26" ht="32.25" hidden="1" customHeight="1">
      <c r="A1462" s="8">
        <v>2301964</v>
      </c>
      <c r="B1462" s="9" t="s">
        <v>5344</v>
      </c>
      <c r="C1462" s="10">
        <v>45156</v>
      </c>
      <c r="D1462" s="9" t="s">
        <v>79</v>
      </c>
      <c r="E1462" s="9" t="s">
        <v>153</v>
      </c>
      <c r="F1462" s="9" t="s">
        <v>80</v>
      </c>
      <c r="G1462" s="9" t="s">
        <v>43</v>
      </c>
      <c r="H1462" s="9" t="s">
        <v>44</v>
      </c>
      <c r="I1462" s="11" t="s">
        <v>1588</v>
      </c>
      <c r="J1462" s="9" t="s">
        <v>155</v>
      </c>
      <c r="K1462" s="9" t="s">
        <v>47</v>
      </c>
      <c r="L1462" s="9" t="s">
        <v>156</v>
      </c>
      <c r="M1462" s="9"/>
      <c r="N1462" s="9" t="s">
        <v>50</v>
      </c>
      <c r="O1462" s="9" t="s">
        <v>51</v>
      </c>
      <c r="P1462" s="9" t="s">
        <v>2391</v>
      </c>
      <c r="Q1462" s="9"/>
      <c r="R1462" s="9"/>
      <c r="S1462" s="14" t="s">
        <v>5345</v>
      </c>
      <c r="T1462" s="9" t="s">
        <v>5346</v>
      </c>
      <c r="U1462" s="9" t="s">
        <v>54</v>
      </c>
      <c r="V1462" s="9"/>
      <c r="W1462" s="9" t="s">
        <v>115</v>
      </c>
      <c r="X1462" s="12"/>
      <c r="Y1462" s="9" t="s">
        <v>55</v>
      </c>
      <c r="Z1462" s="13"/>
    </row>
    <row r="1463" spans="1:26" ht="32.25" hidden="1" customHeight="1">
      <c r="A1463" s="8">
        <v>2307047</v>
      </c>
      <c r="B1463" s="9" t="s">
        <v>5347</v>
      </c>
      <c r="C1463" s="10">
        <v>45156</v>
      </c>
      <c r="D1463" s="9" t="s">
        <v>79</v>
      </c>
      <c r="E1463" s="9" t="s">
        <v>143</v>
      </c>
      <c r="F1463" s="9" t="s">
        <v>80</v>
      </c>
      <c r="G1463" s="9" t="s">
        <v>43</v>
      </c>
      <c r="H1463" s="9" t="s">
        <v>44</v>
      </c>
      <c r="I1463" s="11" t="s">
        <v>326</v>
      </c>
      <c r="J1463" s="9" t="s">
        <v>327</v>
      </c>
      <c r="K1463" s="9" t="s">
        <v>47</v>
      </c>
      <c r="L1463" s="9" t="s">
        <v>138</v>
      </c>
      <c r="M1463" s="9" t="s">
        <v>5101</v>
      </c>
      <c r="N1463" s="9" t="s">
        <v>50</v>
      </c>
      <c r="O1463" s="9" t="s">
        <v>51</v>
      </c>
      <c r="P1463" s="9" t="s">
        <v>1143</v>
      </c>
      <c r="Q1463" s="9"/>
      <c r="R1463" s="9" t="s">
        <v>61</v>
      </c>
      <c r="S1463" s="14" t="s">
        <v>5348</v>
      </c>
      <c r="T1463" s="9" t="s">
        <v>5349</v>
      </c>
      <c r="U1463" s="9" t="s">
        <v>54</v>
      </c>
      <c r="V1463" s="9" t="s">
        <v>370</v>
      </c>
      <c r="W1463" s="9" t="s">
        <v>55</v>
      </c>
      <c r="X1463" s="12" t="s">
        <v>150</v>
      </c>
      <c r="Y1463" s="9" t="s">
        <v>151</v>
      </c>
      <c r="Z1463" s="13"/>
    </row>
    <row r="1464" spans="1:26" ht="32.25" hidden="1" customHeight="1">
      <c r="A1464" s="8">
        <v>2308625</v>
      </c>
      <c r="B1464" s="9" t="s">
        <v>5350</v>
      </c>
      <c r="C1464" s="10">
        <v>45156</v>
      </c>
      <c r="D1464" s="9" t="s">
        <v>79</v>
      </c>
      <c r="E1464" s="9" t="s">
        <v>89</v>
      </c>
      <c r="F1464" s="9" t="s">
        <v>80</v>
      </c>
      <c r="G1464" s="9" t="s">
        <v>43</v>
      </c>
      <c r="H1464" s="9" t="s">
        <v>44</v>
      </c>
      <c r="I1464" s="11" t="s">
        <v>90</v>
      </c>
      <c r="J1464" s="9" t="s">
        <v>91</v>
      </c>
      <c r="K1464" s="9" t="s">
        <v>47</v>
      </c>
      <c r="L1464" s="9" t="s">
        <v>204</v>
      </c>
      <c r="M1464" s="9" t="s">
        <v>2928</v>
      </c>
      <c r="N1464" s="9" t="s">
        <v>50</v>
      </c>
      <c r="O1464" s="9" t="s">
        <v>51</v>
      </c>
      <c r="P1464" s="9" t="s">
        <v>176</v>
      </c>
      <c r="Q1464" s="9"/>
      <c r="R1464" s="9" t="s">
        <v>61</v>
      </c>
      <c r="S1464" s="14" t="s">
        <v>5351</v>
      </c>
      <c r="T1464" s="9" t="s">
        <v>5352</v>
      </c>
      <c r="U1464" s="9" t="s">
        <v>54</v>
      </c>
      <c r="V1464" s="9" t="s">
        <v>251</v>
      </c>
      <c r="W1464" s="9" t="s">
        <v>115</v>
      </c>
      <c r="X1464" s="12" t="s">
        <v>171</v>
      </c>
      <c r="Y1464" s="9" t="s">
        <v>172</v>
      </c>
      <c r="Z1464" s="13"/>
    </row>
    <row r="1465" spans="1:26" ht="32.25" hidden="1" customHeight="1">
      <c r="A1465" s="8">
        <v>2300164</v>
      </c>
      <c r="B1465" s="9" t="s">
        <v>5353</v>
      </c>
      <c r="C1465" s="10">
        <v>45149</v>
      </c>
      <c r="D1465" s="9" t="s">
        <v>261</v>
      </c>
      <c r="E1465" s="9" t="s">
        <v>68</v>
      </c>
      <c r="F1465" s="9" t="s">
        <v>262</v>
      </c>
      <c r="G1465" s="9" t="s">
        <v>43</v>
      </c>
      <c r="H1465" s="9" t="s">
        <v>44</v>
      </c>
      <c r="I1465" s="11" t="s">
        <v>648</v>
      </c>
      <c r="J1465" s="9" t="s">
        <v>649</v>
      </c>
      <c r="K1465" s="9" t="s">
        <v>416</v>
      </c>
      <c r="L1465" s="9" t="s">
        <v>2718</v>
      </c>
      <c r="M1465" s="9" t="s">
        <v>814</v>
      </c>
      <c r="N1465" s="9" t="s">
        <v>50</v>
      </c>
      <c r="O1465" s="9" t="s">
        <v>51</v>
      </c>
      <c r="P1465" s="9"/>
      <c r="Q1465" s="9"/>
      <c r="R1465" s="9" t="s">
        <v>61</v>
      </c>
      <c r="S1465" s="14" t="s">
        <v>5354</v>
      </c>
      <c r="T1465" s="9" t="s">
        <v>5355</v>
      </c>
      <c r="U1465" s="9" t="s">
        <v>262</v>
      </c>
      <c r="V1465" s="9" t="s">
        <v>55</v>
      </c>
      <c r="W1465" s="9" t="s">
        <v>115</v>
      </c>
      <c r="X1465" s="12" t="s">
        <v>389</v>
      </c>
      <c r="Y1465" s="9" t="s">
        <v>390</v>
      </c>
      <c r="Z1465" s="13"/>
    </row>
    <row r="1466" spans="1:26" ht="32.25" hidden="1" customHeight="1">
      <c r="A1466" s="8">
        <v>2305780</v>
      </c>
      <c r="B1466" s="9" t="s">
        <v>5356</v>
      </c>
      <c r="C1466" s="10">
        <v>45149</v>
      </c>
      <c r="D1466" s="9" t="s">
        <v>57</v>
      </c>
      <c r="E1466" s="9" t="s">
        <v>153</v>
      </c>
      <c r="F1466" s="9" t="s">
        <v>42</v>
      </c>
      <c r="G1466" s="9" t="s">
        <v>43</v>
      </c>
      <c r="H1466" s="9" t="s">
        <v>58</v>
      </c>
      <c r="I1466" s="11" t="s">
        <v>154</v>
      </c>
      <c r="J1466" s="9" t="s">
        <v>155</v>
      </c>
      <c r="K1466" s="9" t="s">
        <v>47</v>
      </c>
      <c r="L1466" s="9" t="s">
        <v>156</v>
      </c>
      <c r="M1466" s="9"/>
      <c r="N1466" s="9" t="s">
        <v>84</v>
      </c>
      <c r="O1466" s="9" t="s">
        <v>51</v>
      </c>
      <c r="P1466" s="9"/>
      <c r="Q1466" s="9"/>
      <c r="R1466" s="9"/>
      <c r="S1466" s="14" t="s">
        <v>5357</v>
      </c>
      <c r="T1466" s="9" t="s">
        <v>5358</v>
      </c>
      <c r="U1466" s="9" t="s">
        <v>54</v>
      </c>
      <c r="V1466" s="9" t="s">
        <v>55</v>
      </c>
      <c r="W1466" s="9" t="s">
        <v>55</v>
      </c>
      <c r="X1466" s="12"/>
      <c r="Y1466" s="9" t="s">
        <v>55</v>
      </c>
      <c r="Z1466" s="13"/>
    </row>
    <row r="1467" spans="1:26" ht="32.25" hidden="1" customHeight="1">
      <c r="A1467" s="8">
        <v>2302384</v>
      </c>
      <c r="B1467" s="9" t="s">
        <v>5359</v>
      </c>
      <c r="C1467" s="10">
        <v>45142</v>
      </c>
      <c r="D1467" s="9" t="s">
        <v>67</v>
      </c>
      <c r="E1467" s="9" t="s">
        <v>143</v>
      </c>
      <c r="F1467" s="9" t="s">
        <v>42</v>
      </c>
      <c r="G1467" s="9" t="s">
        <v>43</v>
      </c>
      <c r="H1467" s="9" t="s">
        <v>44</v>
      </c>
      <c r="I1467" s="11" t="s">
        <v>144</v>
      </c>
      <c r="J1467" s="9" t="s">
        <v>145</v>
      </c>
      <c r="K1467" s="9" t="s">
        <v>47</v>
      </c>
      <c r="L1467" s="9" t="s">
        <v>305</v>
      </c>
      <c r="M1467" s="9" t="s">
        <v>5360</v>
      </c>
      <c r="N1467" s="9" t="s">
        <v>50</v>
      </c>
      <c r="O1467" s="9" t="s">
        <v>51</v>
      </c>
      <c r="P1467" s="9" t="s">
        <v>147</v>
      </c>
      <c r="Q1467" s="9"/>
      <c r="R1467" s="9" t="s">
        <v>61</v>
      </c>
      <c r="S1467" s="9" t="s">
        <v>5361</v>
      </c>
      <c r="T1467" s="9" t="s">
        <v>5362</v>
      </c>
      <c r="U1467" s="9" t="s">
        <v>54</v>
      </c>
      <c r="V1467" s="9" t="s">
        <v>55</v>
      </c>
      <c r="W1467" s="9" t="s">
        <v>55</v>
      </c>
      <c r="X1467" s="12" t="s">
        <v>150</v>
      </c>
      <c r="Y1467" s="9" t="s">
        <v>151</v>
      </c>
      <c r="Z1467" s="13"/>
    </row>
    <row r="1468" spans="1:26" ht="32.25" hidden="1" customHeight="1">
      <c r="A1468" s="8">
        <v>2301927</v>
      </c>
      <c r="B1468" s="9" t="s">
        <v>5363</v>
      </c>
      <c r="C1468" s="10">
        <v>45156</v>
      </c>
      <c r="D1468" s="9" t="s">
        <v>79</v>
      </c>
      <c r="E1468" s="9" t="s">
        <v>153</v>
      </c>
      <c r="F1468" s="9" t="s">
        <v>80</v>
      </c>
      <c r="G1468" s="9" t="s">
        <v>43</v>
      </c>
      <c r="H1468" s="9" t="s">
        <v>44</v>
      </c>
      <c r="I1468" s="11" t="s">
        <v>1588</v>
      </c>
      <c r="J1468" s="9" t="s">
        <v>155</v>
      </c>
      <c r="K1468" s="9" t="s">
        <v>47</v>
      </c>
      <c r="L1468" s="9" t="s">
        <v>156</v>
      </c>
      <c r="M1468" s="9"/>
      <c r="N1468" s="9" t="s">
        <v>84</v>
      </c>
      <c r="O1468" s="9" t="s">
        <v>51</v>
      </c>
      <c r="P1468" s="9" t="s">
        <v>2085</v>
      </c>
      <c r="Q1468" s="9"/>
      <c r="R1468" s="9"/>
      <c r="S1468" s="14" t="s">
        <v>5364</v>
      </c>
      <c r="T1468" s="9" t="s">
        <v>5365</v>
      </c>
      <c r="U1468" s="9" t="s">
        <v>54</v>
      </c>
      <c r="V1468" s="9"/>
      <c r="W1468" s="9" t="s">
        <v>115</v>
      </c>
      <c r="X1468" s="12"/>
      <c r="Y1468" s="9" t="s">
        <v>55</v>
      </c>
      <c r="Z1468" s="13"/>
    </row>
    <row r="1469" spans="1:26" ht="32.25" hidden="1" customHeight="1">
      <c r="A1469" s="8">
        <v>2306898</v>
      </c>
      <c r="B1469" s="9" t="s">
        <v>5366</v>
      </c>
      <c r="C1469" s="10">
        <v>45149</v>
      </c>
      <c r="D1469" s="9" t="s">
        <v>57</v>
      </c>
      <c r="E1469" s="9" t="s">
        <v>41</v>
      </c>
      <c r="F1469" s="9" t="s">
        <v>42</v>
      </c>
      <c r="G1469" s="9" t="s">
        <v>43</v>
      </c>
      <c r="H1469" s="9" t="s">
        <v>58</v>
      </c>
      <c r="I1469" s="11" t="s">
        <v>661</v>
      </c>
      <c r="J1469" s="9" t="s">
        <v>662</v>
      </c>
      <c r="K1469" s="9" t="s">
        <v>47</v>
      </c>
      <c r="L1469" s="9" t="s">
        <v>156</v>
      </c>
      <c r="M1469" s="9"/>
      <c r="N1469" s="9" t="s">
        <v>50</v>
      </c>
      <c r="O1469" s="9" t="s">
        <v>51</v>
      </c>
      <c r="P1469" s="9"/>
      <c r="Q1469" s="9"/>
      <c r="R1469" s="9"/>
      <c r="S1469" s="14" t="s">
        <v>5367</v>
      </c>
      <c r="T1469" s="9" t="s">
        <v>5368</v>
      </c>
      <c r="U1469" s="9" t="s">
        <v>54</v>
      </c>
      <c r="V1469" s="9" t="s">
        <v>55</v>
      </c>
      <c r="W1469" s="9" t="s">
        <v>55</v>
      </c>
      <c r="X1469" s="12"/>
      <c r="Y1469" s="9" t="s">
        <v>55</v>
      </c>
      <c r="Z1469" s="13"/>
    </row>
    <row r="1470" spans="1:26" ht="32.25" hidden="1" customHeight="1">
      <c r="A1470" s="8">
        <v>2310199</v>
      </c>
      <c r="B1470" s="9" t="s">
        <v>5369</v>
      </c>
      <c r="C1470" s="10">
        <v>45149</v>
      </c>
      <c r="D1470" s="9" t="s">
        <v>57</v>
      </c>
      <c r="E1470" s="9" t="s">
        <v>41</v>
      </c>
      <c r="F1470" s="9" t="s">
        <v>42</v>
      </c>
      <c r="G1470" s="9" t="s">
        <v>43</v>
      </c>
      <c r="H1470" s="9" t="s">
        <v>58</v>
      </c>
      <c r="I1470" s="11" t="s">
        <v>661</v>
      </c>
      <c r="J1470" s="9" t="s">
        <v>662</v>
      </c>
      <c r="K1470" s="9" t="s">
        <v>47</v>
      </c>
      <c r="L1470" s="9" t="s">
        <v>822</v>
      </c>
      <c r="M1470" s="9" t="s">
        <v>2595</v>
      </c>
      <c r="N1470" s="9" t="s">
        <v>50</v>
      </c>
      <c r="O1470" s="9" t="s">
        <v>51</v>
      </c>
      <c r="P1470" s="9"/>
      <c r="Q1470" s="9"/>
      <c r="R1470" s="9" t="s">
        <v>61</v>
      </c>
      <c r="S1470" s="14" t="s">
        <v>5370</v>
      </c>
      <c r="T1470" s="9" t="s">
        <v>5371</v>
      </c>
      <c r="U1470" s="9" t="s">
        <v>54</v>
      </c>
      <c r="V1470" s="9" t="s">
        <v>55</v>
      </c>
      <c r="W1470" s="9" t="s">
        <v>55</v>
      </c>
      <c r="X1470" s="9" t="s">
        <v>64</v>
      </c>
      <c r="Y1470" s="9" t="s">
        <v>65</v>
      </c>
      <c r="Z1470" s="13"/>
    </row>
    <row r="1471" spans="1:26" ht="32.25" hidden="1" customHeight="1">
      <c r="A1471" s="8">
        <v>2314360</v>
      </c>
      <c r="B1471" s="9" t="s">
        <v>5372</v>
      </c>
      <c r="C1471" s="10">
        <v>45156</v>
      </c>
      <c r="D1471" s="9" t="s">
        <v>79</v>
      </c>
      <c r="E1471" s="9" t="s">
        <v>41</v>
      </c>
      <c r="F1471" s="9" t="s">
        <v>80</v>
      </c>
      <c r="G1471" s="9" t="s">
        <v>43</v>
      </c>
      <c r="H1471" s="9" t="s">
        <v>44</v>
      </c>
      <c r="I1471" s="11" t="s">
        <v>81</v>
      </c>
      <c r="J1471" s="9" t="s">
        <v>46</v>
      </c>
      <c r="K1471" s="9" t="s">
        <v>47</v>
      </c>
      <c r="L1471" s="9" t="s">
        <v>156</v>
      </c>
      <c r="M1471" s="9"/>
      <c r="N1471" s="9" t="s">
        <v>50</v>
      </c>
      <c r="O1471" s="9" t="s">
        <v>51</v>
      </c>
      <c r="P1471" s="9" t="s">
        <v>1263</v>
      </c>
      <c r="Q1471" s="9"/>
      <c r="R1471" s="9"/>
      <c r="S1471" s="14" t="s">
        <v>5373</v>
      </c>
      <c r="T1471" s="9" t="s">
        <v>5374</v>
      </c>
      <c r="U1471" s="9" t="s">
        <v>54</v>
      </c>
      <c r="V1471" s="9" t="s">
        <v>55</v>
      </c>
      <c r="W1471" s="9" t="s">
        <v>55</v>
      </c>
      <c r="X1471" s="12"/>
      <c r="Y1471" s="9" t="s">
        <v>55</v>
      </c>
      <c r="Z1471" s="13"/>
    </row>
    <row r="1472" spans="1:26" ht="32.25" hidden="1" customHeight="1">
      <c r="A1472" s="8">
        <v>2309105</v>
      </c>
      <c r="B1472" s="9" t="s">
        <v>5375</v>
      </c>
      <c r="C1472" s="10">
        <v>45149</v>
      </c>
      <c r="D1472" s="9" t="s">
        <v>57</v>
      </c>
      <c r="E1472" s="9" t="s">
        <v>41</v>
      </c>
      <c r="F1472" s="9" t="s">
        <v>42</v>
      </c>
      <c r="G1472" s="9" t="s">
        <v>43</v>
      </c>
      <c r="H1472" s="9" t="s">
        <v>58</v>
      </c>
      <c r="I1472" s="11" t="s">
        <v>45</v>
      </c>
      <c r="J1472" s="9" t="s">
        <v>46</v>
      </c>
      <c r="K1472" s="9" t="s">
        <v>47</v>
      </c>
      <c r="L1472" s="9" t="s">
        <v>598</v>
      </c>
      <c r="M1472" s="9" t="s">
        <v>599</v>
      </c>
      <c r="N1472" s="9" t="s">
        <v>84</v>
      </c>
      <c r="O1472" s="9" t="s">
        <v>51</v>
      </c>
      <c r="P1472" s="9"/>
      <c r="Q1472" s="9"/>
      <c r="R1472" s="9" t="s">
        <v>61</v>
      </c>
      <c r="S1472" s="14" t="s">
        <v>5376</v>
      </c>
      <c r="T1472" s="9" t="s">
        <v>5377</v>
      </c>
      <c r="U1472" s="9" t="s">
        <v>54</v>
      </c>
      <c r="V1472" s="9" t="s">
        <v>55</v>
      </c>
      <c r="W1472" s="9" t="s">
        <v>55</v>
      </c>
      <c r="X1472" s="9" t="s">
        <v>64</v>
      </c>
      <c r="Y1472" s="9" t="s">
        <v>65</v>
      </c>
      <c r="Z1472" s="13"/>
    </row>
    <row r="1473" spans="1:26" ht="32.25" hidden="1" customHeight="1">
      <c r="A1473" s="8">
        <v>2300337</v>
      </c>
      <c r="B1473" s="9" t="s">
        <v>5378</v>
      </c>
      <c r="C1473" s="10">
        <v>45142</v>
      </c>
      <c r="D1473" s="9" t="s">
        <v>232</v>
      </c>
      <c r="E1473" s="9" t="s">
        <v>143</v>
      </c>
      <c r="F1473" s="9" t="s">
        <v>80</v>
      </c>
      <c r="G1473" s="9" t="s">
        <v>43</v>
      </c>
      <c r="H1473" s="9" t="s">
        <v>44</v>
      </c>
      <c r="I1473" s="11" t="s">
        <v>326</v>
      </c>
      <c r="J1473" s="9" t="s">
        <v>327</v>
      </c>
      <c r="K1473" s="9" t="s">
        <v>5379</v>
      </c>
      <c r="L1473" s="9"/>
      <c r="M1473" s="9" t="s">
        <v>5380</v>
      </c>
      <c r="N1473" s="9" t="s">
        <v>50</v>
      </c>
      <c r="O1473" s="9" t="s">
        <v>187</v>
      </c>
      <c r="P1473" s="9" t="s">
        <v>522</v>
      </c>
      <c r="Q1473" s="9"/>
      <c r="R1473" s="9" t="s">
        <v>61</v>
      </c>
      <c r="S1473" s="9" t="s">
        <v>5381</v>
      </c>
      <c r="T1473" s="9" t="s">
        <v>5382</v>
      </c>
      <c r="U1473" s="9" t="s">
        <v>54</v>
      </c>
      <c r="V1473" s="9" t="s">
        <v>76</v>
      </c>
      <c r="W1473" s="9" t="s">
        <v>55</v>
      </c>
      <c r="X1473" s="12" t="s">
        <v>76</v>
      </c>
      <c r="Y1473" s="9" t="s">
        <v>77</v>
      </c>
      <c r="Z1473" s="13" t="s">
        <v>240</v>
      </c>
    </row>
    <row r="1474" spans="1:26" ht="32.25" hidden="1" customHeight="1">
      <c r="A1474" s="8">
        <v>2303776</v>
      </c>
      <c r="B1474" s="9" t="s">
        <v>5383</v>
      </c>
      <c r="C1474" s="10">
        <v>45136</v>
      </c>
      <c r="D1474" s="9" t="s">
        <v>1072</v>
      </c>
      <c r="E1474" s="9" t="s">
        <v>68</v>
      </c>
      <c r="F1474" s="9" t="s">
        <v>42</v>
      </c>
      <c r="G1474" s="9" t="s">
        <v>43</v>
      </c>
      <c r="H1474" s="9" t="s">
        <v>44</v>
      </c>
      <c r="I1474" s="11" t="s">
        <v>69</v>
      </c>
      <c r="J1474" s="9" t="s">
        <v>70</v>
      </c>
      <c r="K1474" s="9" t="s">
        <v>47</v>
      </c>
      <c r="L1474" s="9" t="s">
        <v>48</v>
      </c>
      <c r="M1474" s="9" t="s">
        <v>1447</v>
      </c>
      <c r="N1474" s="9" t="s">
        <v>50</v>
      </c>
      <c r="O1474" s="9" t="s">
        <v>51</v>
      </c>
      <c r="P1474" s="9" t="s">
        <v>73</v>
      </c>
      <c r="Q1474" s="9"/>
      <c r="R1474" s="9"/>
      <c r="S1474" s="9" t="s">
        <v>5384</v>
      </c>
      <c r="T1474" s="9" t="s">
        <v>5385</v>
      </c>
      <c r="U1474" s="9" t="s">
        <v>54</v>
      </c>
      <c r="V1474" s="9" t="s">
        <v>55</v>
      </c>
      <c r="W1474" s="9" t="s">
        <v>55</v>
      </c>
      <c r="X1474" s="12"/>
      <c r="Y1474" s="9" t="s">
        <v>55</v>
      </c>
      <c r="Z1474" s="13"/>
    </row>
    <row r="1475" spans="1:26" ht="32.25" hidden="1" customHeight="1">
      <c r="A1475" s="8">
        <v>2302730</v>
      </c>
      <c r="B1475" s="9" t="s">
        <v>5386</v>
      </c>
      <c r="C1475" s="10">
        <v>45156</v>
      </c>
      <c r="D1475" s="9" t="s">
        <v>79</v>
      </c>
      <c r="E1475" s="9" t="s">
        <v>41</v>
      </c>
      <c r="F1475" s="9" t="s">
        <v>80</v>
      </c>
      <c r="G1475" s="9" t="s">
        <v>43</v>
      </c>
      <c r="H1475" s="9" t="s">
        <v>44</v>
      </c>
      <c r="I1475" s="11" t="s">
        <v>478</v>
      </c>
      <c r="J1475" s="9" t="s">
        <v>479</v>
      </c>
      <c r="K1475" s="9" t="s">
        <v>47</v>
      </c>
      <c r="L1475" s="9" t="s">
        <v>156</v>
      </c>
      <c r="M1475" s="9"/>
      <c r="N1475" s="9" t="s">
        <v>50</v>
      </c>
      <c r="O1475" s="9" t="s">
        <v>51</v>
      </c>
      <c r="P1475" s="9" t="s">
        <v>1414</v>
      </c>
      <c r="Q1475" s="9"/>
      <c r="R1475" s="9"/>
      <c r="S1475" s="14" t="s">
        <v>5387</v>
      </c>
      <c r="T1475" s="9" t="s">
        <v>5388</v>
      </c>
      <c r="U1475" s="9" t="s">
        <v>54</v>
      </c>
      <c r="V1475" s="9"/>
      <c r="W1475" s="9" t="s">
        <v>115</v>
      </c>
      <c r="X1475" s="12"/>
      <c r="Y1475" s="9" t="s">
        <v>55</v>
      </c>
      <c r="Z1475" s="13"/>
    </row>
    <row r="1476" spans="1:26" ht="32.25" hidden="1" customHeight="1">
      <c r="A1476" s="8">
        <v>2311633</v>
      </c>
      <c r="B1476" s="9" t="s">
        <v>5389</v>
      </c>
      <c r="C1476" s="10">
        <v>45142</v>
      </c>
      <c r="D1476" s="9" t="s">
        <v>67</v>
      </c>
      <c r="E1476" s="9" t="s">
        <v>41</v>
      </c>
      <c r="F1476" s="9" t="s">
        <v>42</v>
      </c>
      <c r="G1476" s="9" t="s">
        <v>43</v>
      </c>
      <c r="H1476" s="9" t="s">
        <v>44</v>
      </c>
      <c r="I1476" s="11" t="s">
        <v>661</v>
      </c>
      <c r="J1476" s="9" t="s">
        <v>662</v>
      </c>
      <c r="K1476" s="9" t="s">
        <v>47</v>
      </c>
      <c r="L1476" s="9" t="s">
        <v>586</v>
      </c>
      <c r="M1476" s="9" t="s">
        <v>918</v>
      </c>
      <c r="N1476" s="9" t="s">
        <v>84</v>
      </c>
      <c r="O1476" s="9" t="s">
        <v>51</v>
      </c>
      <c r="P1476" s="9"/>
      <c r="Q1476" s="9"/>
      <c r="R1476" s="9" t="s">
        <v>61</v>
      </c>
      <c r="S1476" s="9" t="s">
        <v>5390</v>
      </c>
      <c r="T1476" s="9" t="s">
        <v>5391</v>
      </c>
      <c r="U1476" s="9" t="s">
        <v>54</v>
      </c>
      <c r="V1476" s="9" t="s">
        <v>55</v>
      </c>
      <c r="W1476" s="9" t="s">
        <v>55</v>
      </c>
      <c r="X1476" s="9" t="s">
        <v>64</v>
      </c>
      <c r="Y1476" s="9" t="s">
        <v>65</v>
      </c>
      <c r="Z1476" s="13"/>
    </row>
    <row r="1477" spans="1:26" ht="32.25" hidden="1" customHeight="1">
      <c r="A1477" s="8">
        <v>2306186</v>
      </c>
      <c r="B1477" s="9" t="s">
        <v>5392</v>
      </c>
      <c r="C1477" s="10">
        <v>45156</v>
      </c>
      <c r="D1477" s="9" t="s">
        <v>79</v>
      </c>
      <c r="E1477" s="9" t="s">
        <v>89</v>
      </c>
      <c r="F1477" s="9" t="s">
        <v>80</v>
      </c>
      <c r="G1477" s="9" t="s">
        <v>43</v>
      </c>
      <c r="H1477" s="9" t="s">
        <v>44</v>
      </c>
      <c r="I1477" s="11" t="s">
        <v>117</v>
      </c>
      <c r="J1477" s="9" t="s">
        <v>118</v>
      </c>
      <c r="K1477" s="9" t="s">
        <v>47</v>
      </c>
      <c r="L1477" s="9" t="s">
        <v>4719</v>
      </c>
      <c r="M1477" s="9" t="s">
        <v>4720</v>
      </c>
      <c r="N1477" s="9" t="s">
        <v>84</v>
      </c>
      <c r="O1477" s="9" t="s">
        <v>51</v>
      </c>
      <c r="P1477" s="9" t="s">
        <v>121</v>
      </c>
      <c r="Q1477" s="9"/>
      <c r="R1477" s="9" t="s">
        <v>61</v>
      </c>
      <c r="S1477" s="14" t="s">
        <v>5393</v>
      </c>
      <c r="T1477" s="9" t="s">
        <v>5394</v>
      </c>
      <c r="U1477" s="9" t="s">
        <v>54</v>
      </c>
      <c r="V1477" s="9" t="s">
        <v>55</v>
      </c>
      <c r="W1477" s="9" t="s">
        <v>55</v>
      </c>
      <c r="X1477" s="12" t="s">
        <v>98</v>
      </c>
      <c r="Y1477" s="9" t="s">
        <v>99</v>
      </c>
      <c r="Z1477" s="13" t="s">
        <v>5395</v>
      </c>
    </row>
    <row r="1478" spans="1:26" ht="32.25" hidden="1" customHeight="1">
      <c r="A1478" s="8">
        <v>2304860</v>
      </c>
      <c r="B1478" s="9" t="s">
        <v>5396</v>
      </c>
      <c r="C1478" s="10">
        <v>45142</v>
      </c>
      <c r="D1478" s="9" t="s">
        <v>67</v>
      </c>
      <c r="E1478" s="9" t="s">
        <v>143</v>
      </c>
      <c r="F1478" s="9" t="s">
        <v>42</v>
      </c>
      <c r="G1478" s="9" t="s">
        <v>43</v>
      </c>
      <c r="H1478" s="9" t="s">
        <v>44</v>
      </c>
      <c r="I1478" s="11" t="s">
        <v>219</v>
      </c>
      <c r="J1478" s="9" t="s">
        <v>220</v>
      </c>
      <c r="K1478" s="9" t="s">
        <v>47</v>
      </c>
      <c r="L1478" s="9" t="s">
        <v>741</v>
      </c>
      <c r="M1478" s="9" t="s">
        <v>5397</v>
      </c>
      <c r="N1478" s="9" t="s">
        <v>84</v>
      </c>
      <c r="O1478" s="9" t="s">
        <v>51</v>
      </c>
      <c r="P1478" s="9"/>
      <c r="Q1478" s="9"/>
      <c r="R1478" s="9" t="s">
        <v>61</v>
      </c>
      <c r="S1478" s="9" t="s">
        <v>5398</v>
      </c>
      <c r="T1478" s="9" t="s">
        <v>5399</v>
      </c>
      <c r="U1478" s="9" t="s">
        <v>54</v>
      </c>
      <c r="V1478" s="9" t="s">
        <v>55</v>
      </c>
      <c r="W1478" s="9" t="s">
        <v>55</v>
      </c>
      <c r="X1478" s="12" t="s">
        <v>171</v>
      </c>
      <c r="Y1478" s="9" t="s">
        <v>172</v>
      </c>
      <c r="Z1478" s="13"/>
    </row>
    <row r="1479" spans="1:26" ht="32.25" hidden="1" customHeight="1">
      <c r="A1479" s="8">
        <v>2312359</v>
      </c>
      <c r="B1479" s="9" t="s">
        <v>5400</v>
      </c>
      <c r="C1479" s="10">
        <v>45156</v>
      </c>
      <c r="D1479" s="9" t="s">
        <v>79</v>
      </c>
      <c r="E1479" s="9" t="s">
        <v>143</v>
      </c>
      <c r="F1479" s="9" t="s">
        <v>80</v>
      </c>
      <c r="G1479" s="9" t="s">
        <v>43</v>
      </c>
      <c r="H1479" s="9" t="s">
        <v>44</v>
      </c>
      <c r="I1479" s="11" t="s">
        <v>399</v>
      </c>
      <c r="J1479" s="9" t="s">
        <v>400</v>
      </c>
      <c r="K1479" s="9" t="s">
        <v>47</v>
      </c>
      <c r="L1479" s="9" t="s">
        <v>156</v>
      </c>
      <c r="M1479" s="9"/>
      <c r="N1479" s="9" t="s">
        <v>50</v>
      </c>
      <c r="O1479" s="9" t="s">
        <v>51</v>
      </c>
      <c r="P1479" s="9" t="s">
        <v>1617</v>
      </c>
      <c r="Q1479" s="9"/>
      <c r="R1479" s="9"/>
      <c r="S1479" s="14" t="s">
        <v>5401</v>
      </c>
      <c r="T1479" s="9" t="s">
        <v>5402</v>
      </c>
      <c r="U1479" s="9" t="s">
        <v>54</v>
      </c>
      <c r="V1479" s="9"/>
      <c r="W1479" s="9" t="s">
        <v>115</v>
      </c>
      <c r="X1479" s="12"/>
      <c r="Y1479" s="9" t="s">
        <v>55</v>
      </c>
      <c r="Z1479" s="13"/>
    </row>
    <row r="1480" spans="1:26" ht="32.25" hidden="1" customHeight="1">
      <c r="A1480" s="8">
        <v>2304225</v>
      </c>
      <c r="B1480" s="9" t="s">
        <v>5403</v>
      </c>
      <c r="C1480" s="10">
        <v>45156</v>
      </c>
      <c r="D1480" s="9" t="s">
        <v>79</v>
      </c>
      <c r="E1480" s="9" t="s">
        <v>89</v>
      </c>
      <c r="F1480" s="9" t="s">
        <v>80</v>
      </c>
      <c r="G1480" s="9" t="s">
        <v>43</v>
      </c>
      <c r="H1480" s="9" t="s">
        <v>44</v>
      </c>
      <c r="I1480" s="11" t="s">
        <v>90</v>
      </c>
      <c r="J1480" s="9" t="s">
        <v>91</v>
      </c>
      <c r="K1480" s="9" t="s">
        <v>47</v>
      </c>
      <c r="L1480" s="9" t="s">
        <v>827</v>
      </c>
      <c r="M1480" s="9" t="s">
        <v>5404</v>
      </c>
      <c r="N1480" s="9" t="s">
        <v>84</v>
      </c>
      <c r="O1480" s="9" t="s">
        <v>51</v>
      </c>
      <c r="P1480" s="9" t="s">
        <v>546</v>
      </c>
      <c r="Q1480" s="9"/>
      <c r="R1480" s="9" t="s">
        <v>61</v>
      </c>
      <c r="S1480" s="14" t="s">
        <v>5405</v>
      </c>
      <c r="T1480" s="9" t="s">
        <v>5406</v>
      </c>
      <c r="U1480" s="9" t="s">
        <v>54</v>
      </c>
      <c r="V1480" s="9" t="s">
        <v>711</v>
      </c>
      <c r="W1480" s="9" t="s">
        <v>115</v>
      </c>
      <c r="X1480" s="12" t="s">
        <v>98</v>
      </c>
      <c r="Y1480" s="9" t="s">
        <v>99</v>
      </c>
      <c r="Z1480" s="13"/>
    </row>
    <row r="1481" spans="1:26" ht="32.25" hidden="1" customHeight="1">
      <c r="A1481" s="8">
        <v>2315093</v>
      </c>
      <c r="B1481" s="9" t="s">
        <v>5407</v>
      </c>
      <c r="C1481" s="10">
        <v>45156</v>
      </c>
      <c r="D1481" s="9" t="s">
        <v>79</v>
      </c>
      <c r="E1481" s="9" t="s">
        <v>41</v>
      </c>
      <c r="F1481" s="9" t="s">
        <v>80</v>
      </c>
      <c r="G1481" s="9" t="s">
        <v>43</v>
      </c>
      <c r="H1481" s="9" t="s">
        <v>44</v>
      </c>
      <c r="I1481" s="11" t="s">
        <v>81</v>
      </c>
      <c r="J1481" s="9" t="s">
        <v>46</v>
      </c>
      <c r="K1481" s="9" t="s">
        <v>47</v>
      </c>
      <c r="L1481" s="9" t="s">
        <v>156</v>
      </c>
      <c r="M1481" s="9" t="s">
        <v>1352</v>
      </c>
      <c r="N1481" s="9" t="s">
        <v>50</v>
      </c>
      <c r="O1481" s="9" t="s">
        <v>51</v>
      </c>
      <c r="P1481" s="9" t="s">
        <v>85</v>
      </c>
      <c r="Q1481" s="9"/>
      <c r="R1481" s="9"/>
      <c r="S1481" s="14" t="s">
        <v>5408</v>
      </c>
      <c r="T1481" s="9" t="s">
        <v>5409</v>
      </c>
      <c r="U1481" s="9" t="s">
        <v>54</v>
      </c>
      <c r="V1481" s="9" t="s">
        <v>55</v>
      </c>
      <c r="W1481" s="9" t="s">
        <v>55</v>
      </c>
      <c r="X1481" s="12"/>
      <c r="Y1481" s="9" t="s">
        <v>55</v>
      </c>
      <c r="Z1481" s="13"/>
    </row>
    <row r="1482" spans="1:26" ht="32.25" hidden="1" customHeight="1">
      <c r="A1482" s="8">
        <v>2308385</v>
      </c>
      <c r="B1482" s="9" t="s">
        <v>5410</v>
      </c>
      <c r="C1482" s="10">
        <v>45156</v>
      </c>
      <c r="D1482" s="9" t="s">
        <v>79</v>
      </c>
      <c r="E1482" s="9" t="s">
        <v>295</v>
      </c>
      <c r="F1482" s="9" t="s">
        <v>80</v>
      </c>
      <c r="G1482" s="9" t="s">
        <v>43</v>
      </c>
      <c r="H1482" s="9" t="s">
        <v>44</v>
      </c>
      <c r="I1482" s="11" t="s">
        <v>1600</v>
      </c>
      <c r="J1482" s="9" t="s">
        <v>407</v>
      </c>
      <c r="K1482" s="9" t="s">
        <v>47</v>
      </c>
      <c r="L1482" s="9" t="s">
        <v>156</v>
      </c>
      <c r="M1482" s="9"/>
      <c r="N1482" s="9" t="s">
        <v>84</v>
      </c>
      <c r="O1482" s="9" t="s">
        <v>51</v>
      </c>
      <c r="P1482" s="9" t="s">
        <v>3946</v>
      </c>
      <c r="Q1482" s="9"/>
      <c r="R1482" s="9"/>
      <c r="S1482" s="14" t="s">
        <v>5411</v>
      </c>
      <c r="T1482" s="9" t="s">
        <v>5412</v>
      </c>
      <c r="U1482" s="9" t="s">
        <v>54</v>
      </c>
      <c r="V1482" s="9"/>
      <c r="W1482" s="9" t="s">
        <v>55</v>
      </c>
      <c r="X1482" s="12"/>
      <c r="Y1482" s="9" t="s">
        <v>55</v>
      </c>
      <c r="Z1482" s="13"/>
    </row>
    <row r="1483" spans="1:26" ht="32.25" hidden="1" customHeight="1">
      <c r="A1483" s="8">
        <v>2314295</v>
      </c>
      <c r="B1483" s="9" t="s">
        <v>5413</v>
      </c>
      <c r="C1483" s="10">
        <v>45156</v>
      </c>
      <c r="D1483" s="9" t="s">
        <v>79</v>
      </c>
      <c r="E1483" s="9" t="s">
        <v>41</v>
      </c>
      <c r="F1483" s="9" t="s">
        <v>80</v>
      </c>
      <c r="G1483" s="9" t="s">
        <v>43</v>
      </c>
      <c r="H1483" s="9" t="s">
        <v>44</v>
      </c>
      <c r="I1483" s="11" t="s">
        <v>81</v>
      </c>
      <c r="J1483" s="9" t="s">
        <v>46</v>
      </c>
      <c r="K1483" s="9" t="s">
        <v>47</v>
      </c>
      <c r="L1483" s="9" t="s">
        <v>598</v>
      </c>
      <c r="M1483" s="9" t="s">
        <v>1720</v>
      </c>
      <c r="N1483" s="9" t="s">
        <v>50</v>
      </c>
      <c r="O1483" s="9" t="s">
        <v>51</v>
      </c>
      <c r="P1483" s="9" t="s">
        <v>582</v>
      </c>
      <c r="Q1483" s="9"/>
      <c r="R1483" s="9" t="s">
        <v>61</v>
      </c>
      <c r="S1483" s="14" t="s">
        <v>5414</v>
      </c>
      <c r="T1483" s="9" t="s">
        <v>5415</v>
      </c>
      <c r="U1483" s="9" t="s">
        <v>54</v>
      </c>
      <c r="V1483" s="9" t="s">
        <v>251</v>
      </c>
      <c r="W1483" s="9" t="s">
        <v>115</v>
      </c>
      <c r="X1483" s="12" t="s">
        <v>171</v>
      </c>
      <c r="Y1483" s="9" t="s">
        <v>172</v>
      </c>
      <c r="Z1483" s="13"/>
    </row>
    <row r="1484" spans="1:26" ht="32.25" hidden="1" customHeight="1">
      <c r="A1484" s="8">
        <v>2312157</v>
      </c>
      <c r="B1484" s="9" t="s">
        <v>5416</v>
      </c>
      <c r="C1484" s="10">
        <v>45149</v>
      </c>
      <c r="D1484" s="9" t="s">
        <v>261</v>
      </c>
      <c r="E1484" s="9" t="s">
        <v>68</v>
      </c>
      <c r="F1484" s="9" t="s">
        <v>262</v>
      </c>
      <c r="G1484" s="9" t="s">
        <v>43</v>
      </c>
      <c r="H1484" s="9" t="s">
        <v>44</v>
      </c>
      <c r="I1484" s="11" t="s">
        <v>756</v>
      </c>
      <c r="J1484" s="9" t="s">
        <v>757</v>
      </c>
      <c r="K1484" s="9" t="s">
        <v>47</v>
      </c>
      <c r="L1484" s="9" t="s">
        <v>1378</v>
      </c>
      <c r="M1484" s="9" t="s">
        <v>1664</v>
      </c>
      <c r="N1484" s="9" t="s">
        <v>50</v>
      </c>
      <c r="O1484" s="9" t="s">
        <v>51</v>
      </c>
      <c r="P1484" s="9"/>
      <c r="Q1484" s="9"/>
      <c r="R1484" s="9" t="s">
        <v>61</v>
      </c>
      <c r="S1484" s="14" t="s">
        <v>5417</v>
      </c>
      <c r="T1484" s="9" t="s">
        <v>5418</v>
      </c>
      <c r="U1484" s="9" t="s">
        <v>262</v>
      </c>
      <c r="V1484" s="9" t="s">
        <v>3207</v>
      </c>
      <c r="W1484" s="9" t="s">
        <v>115</v>
      </c>
      <c r="X1484" s="12" t="s">
        <v>76</v>
      </c>
      <c r="Y1484" s="9" t="s">
        <v>77</v>
      </c>
      <c r="Z1484" s="13"/>
    </row>
    <row r="1485" spans="1:26" ht="32.25" hidden="1" customHeight="1">
      <c r="A1485" s="8">
        <v>2305411</v>
      </c>
      <c r="B1485" s="9" t="s">
        <v>5419</v>
      </c>
      <c r="C1485" s="10">
        <v>45142</v>
      </c>
      <c r="D1485" s="9" t="s">
        <v>67</v>
      </c>
      <c r="E1485" s="9" t="s">
        <v>143</v>
      </c>
      <c r="F1485" s="9" t="s">
        <v>42</v>
      </c>
      <c r="G1485" s="9" t="s">
        <v>43</v>
      </c>
      <c r="H1485" s="9" t="s">
        <v>44</v>
      </c>
      <c r="I1485" s="11" t="s">
        <v>219</v>
      </c>
      <c r="J1485" s="9" t="s">
        <v>220</v>
      </c>
      <c r="K1485" s="9" t="s">
        <v>47</v>
      </c>
      <c r="L1485" s="9" t="s">
        <v>156</v>
      </c>
      <c r="M1485" s="9"/>
      <c r="N1485" s="9" t="s">
        <v>84</v>
      </c>
      <c r="O1485" s="9" t="s">
        <v>51</v>
      </c>
      <c r="P1485" s="9"/>
      <c r="Q1485" s="9"/>
      <c r="R1485" s="9"/>
      <c r="S1485" s="9" t="s">
        <v>5420</v>
      </c>
      <c r="T1485" s="9" t="s">
        <v>5421</v>
      </c>
      <c r="U1485" s="9" t="s">
        <v>54</v>
      </c>
      <c r="V1485" s="9" t="s">
        <v>55</v>
      </c>
      <c r="W1485" s="9" t="s">
        <v>55</v>
      </c>
      <c r="X1485" s="12"/>
      <c r="Y1485" s="9" t="s">
        <v>55</v>
      </c>
      <c r="Z1485" s="13"/>
    </row>
    <row r="1486" spans="1:26" ht="32.25" hidden="1" customHeight="1">
      <c r="A1486" s="8">
        <v>2315488</v>
      </c>
      <c r="B1486" s="9" t="s">
        <v>5419</v>
      </c>
      <c r="C1486" s="10">
        <v>45149</v>
      </c>
      <c r="D1486" s="9" t="s">
        <v>57</v>
      </c>
      <c r="E1486" s="9" t="s">
        <v>41</v>
      </c>
      <c r="F1486" s="9" t="s">
        <v>42</v>
      </c>
      <c r="G1486" s="9" t="s">
        <v>43</v>
      </c>
      <c r="H1486" s="9" t="s">
        <v>58</v>
      </c>
      <c r="I1486" s="11" t="s">
        <v>661</v>
      </c>
      <c r="J1486" s="9" t="s">
        <v>662</v>
      </c>
      <c r="K1486" s="9" t="s">
        <v>47</v>
      </c>
      <c r="L1486" s="9" t="s">
        <v>156</v>
      </c>
      <c r="M1486" s="9"/>
      <c r="N1486" s="9" t="s">
        <v>84</v>
      </c>
      <c r="O1486" s="9" t="s">
        <v>51</v>
      </c>
      <c r="P1486" s="9"/>
      <c r="Q1486" s="9"/>
      <c r="R1486" s="9"/>
      <c r="S1486" s="14" t="s">
        <v>5420</v>
      </c>
      <c r="T1486" s="9" t="s">
        <v>5421</v>
      </c>
      <c r="U1486" s="9" t="s">
        <v>54</v>
      </c>
      <c r="V1486" s="9" t="s">
        <v>55</v>
      </c>
      <c r="W1486" s="9" t="s">
        <v>55</v>
      </c>
      <c r="X1486" s="12"/>
      <c r="Y1486" s="9" t="s">
        <v>55</v>
      </c>
      <c r="Z1486" s="13"/>
    </row>
    <row r="1487" spans="1:26" ht="32.25" hidden="1" customHeight="1">
      <c r="A1487" s="8">
        <v>2310673</v>
      </c>
      <c r="B1487" s="9" t="s">
        <v>5422</v>
      </c>
      <c r="C1487" s="10">
        <v>45149</v>
      </c>
      <c r="D1487" s="9" t="s">
        <v>57</v>
      </c>
      <c r="E1487" s="9" t="s">
        <v>41</v>
      </c>
      <c r="F1487" s="9" t="s">
        <v>42</v>
      </c>
      <c r="G1487" s="9" t="s">
        <v>43</v>
      </c>
      <c r="H1487" s="9" t="s">
        <v>58</v>
      </c>
      <c r="I1487" s="11" t="s">
        <v>199</v>
      </c>
      <c r="J1487" s="9" t="s">
        <v>200</v>
      </c>
      <c r="K1487" s="9" t="s">
        <v>47</v>
      </c>
      <c r="L1487" s="9" t="s">
        <v>221</v>
      </c>
      <c r="M1487" s="9" t="s">
        <v>1451</v>
      </c>
      <c r="N1487" s="9" t="s">
        <v>50</v>
      </c>
      <c r="O1487" s="9" t="s">
        <v>51</v>
      </c>
      <c r="P1487" s="9"/>
      <c r="Q1487" s="9"/>
      <c r="R1487" s="9" t="s">
        <v>61</v>
      </c>
      <c r="S1487" s="14" t="s">
        <v>5423</v>
      </c>
      <c r="T1487" s="9" t="s">
        <v>5424</v>
      </c>
      <c r="U1487" s="9" t="s">
        <v>54</v>
      </c>
      <c r="V1487" s="9" t="s">
        <v>55</v>
      </c>
      <c r="W1487" s="9" t="s">
        <v>55</v>
      </c>
      <c r="X1487" s="12" t="s">
        <v>196</v>
      </c>
      <c r="Y1487" s="9" t="s">
        <v>197</v>
      </c>
      <c r="Z1487" s="13"/>
    </row>
    <row r="1488" spans="1:26" ht="32.25" hidden="1" customHeight="1">
      <c r="A1488" s="8">
        <v>2304876</v>
      </c>
      <c r="B1488" s="9" t="s">
        <v>5425</v>
      </c>
      <c r="C1488" s="10">
        <v>45156</v>
      </c>
      <c r="D1488" s="9" t="s">
        <v>79</v>
      </c>
      <c r="E1488" s="9" t="s">
        <v>89</v>
      </c>
      <c r="F1488" s="9" t="s">
        <v>80</v>
      </c>
      <c r="G1488" s="9" t="s">
        <v>43</v>
      </c>
      <c r="H1488" s="9" t="s">
        <v>44</v>
      </c>
      <c r="I1488" s="11" t="s">
        <v>90</v>
      </c>
      <c r="J1488" s="9" t="s">
        <v>91</v>
      </c>
      <c r="K1488" s="9" t="s">
        <v>47</v>
      </c>
      <c r="L1488" s="9" t="s">
        <v>580</v>
      </c>
      <c r="M1488" s="9" t="s">
        <v>5426</v>
      </c>
      <c r="N1488" s="9" t="s">
        <v>50</v>
      </c>
      <c r="O1488" s="9" t="s">
        <v>51</v>
      </c>
      <c r="P1488" s="9" t="s">
        <v>546</v>
      </c>
      <c r="Q1488" s="9"/>
      <c r="R1488" s="9" t="s">
        <v>61</v>
      </c>
      <c r="S1488" s="14" t="s">
        <v>5427</v>
      </c>
      <c r="T1488" s="9" t="s">
        <v>5428</v>
      </c>
      <c r="U1488" s="9" t="s">
        <v>54</v>
      </c>
      <c r="V1488" s="9" t="s">
        <v>55</v>
      </c>
      <c r="W1488" s="9" t="s">
        <v>55</v>
      </c>
      <c r="X1488" s="12" t="s">
        <v>98</v>
      </c>
      <c r="Y1488" s="9" t="s">
        <v>99</v>
      </c>
      <c r="Z1488" s="13"/>
    </row>
    <row r="1489" spans="1:26" ht="32.25" hidden="1" customHeight="1">
      <c r="A1489" s="8">
        <v>2305396</v>
      </c>
      <c r="B1489" s="9" t="s">
        <v>5429</v>
      </c>
      <c r="C1489" s="10">
        <v>45156</v>
      </c>
      <c r="D1489" s="9" t="s">
        <v>79</v>
      </c>
      <c r="E1489" s="9" t="s">
        <v>68</v>
      </c>
      <c r="F1489" s="9" t="s">
        <v>80</v>
      </c>
      <c r="G1489" s="9" t="s">
        <v>43</v>
      </c>
      <c r="H1489" s="9" t="s">
        <v>44</v>
      </c>
      <c r="I1489" s="11" t="s">
        <v>90</v>
      </c>
      <c r="J1489" s="9" t="s">
        <v>91</v>
      </c>
      <c r="K1489" s="9" t="s">
        <v>47</v>
      </c>
      <c r="L1489" s="9" t="s">
        <v>156</v>
      </c>
      <c r="M1489" s="9"/>
      <c r="N1489" s="9" t="s">
        <v>50</v>
      </c>
      <c r="O1489" s="9" t="s">
        <v>51</v>
      </c>
      <c r="P1489" s="9" t="s">
        <v>273</v>
      </c>
      <c r="Q1489" s="9"/>
      <c r="R1489" s="9"/>
      <c r="S1489" s="14" t="s">
        <v>5430</v>
      </c>
      <c r="T1489" s="9" t="s">
        <v>5431</v>
      </c>
      <c r="U1489" s="9" t="s">
        <v>54</v>
      </c>
      <c r="V1489" s="9"/>
      <c r="W1489" s="9" t="s">
        <v>115</v>
      </c>
      <c r="X1489" s="12"/>
      <c r="Y1489" s="9" t="s">
        <v>55</v>
      </c>
      <c r="Z1489" s="13"/>
    </row>
    <row r="1490" spans="1:26" ht="32.25" hidden="1" customHeight="1">
      <c r="A1490" s="8">
        <v>2303381</v>
      </c>
      <c r="B1490" s="9" t="s">
        <v>5432</v>
      </c>
      <c r="C1490" s="10">
        <v>45149</v>
      </c>
      <c r="D1490" s="9" t="s">
        <v>57</v>
      </c>
      <c r="E1490" s="9" t="s">
        <v>153</v>
      </c>
      <c r="F1490" s="9" t="s">
        <v>42</v>
      </c>
      <c r="G1490" s="9" t="s">
        <v>43</v>
      </c>
      <c r="H1490" s="9" t="s">
        <v>58</v>
      </c>
      <c r="I1490" s="11" t="s">
        <v>154</v>
      </c>
      <c r="J1490" s="9" t="s">
        <v>155</v>
      </c>
      <c r="K1490" s="9" t="s">
        <v>47</v>
      </c>
      <c r="L1490" s="9" t="s">
        <v>156</v>
      </c>
      <c r="M1490" s="9"/>
      <c r="N1490" s="9" t="s">
        <v>84</v>
      </c>
      <c r="O1490" s="9" t="s">
        <v>51</v>
      </c>
      <c r="P1490" s="9"/>
      <c r="Q1490" s="9"/>
      <c r="R1490" s="9"/>
      <c r="S1490" s="14" t="s">
        <v>5433</v>
      </c>
      <c r="T1490" s="9" t="s">
        <v>5434</v>
      </c>
      <c r="U1490" s="9" t="s">
        <v>54</v>
      </c>
      <c r="V1490" s="9" t="s">
        <v>55</v>
      </c>
      <c r="W1490" s="9" t="s">
        <v>55</v>
      </c>
      <c r="X1490" s="12"/>
      <c r="Y1490" s="9" t="s">
        <v>55</v>
      </c>
      <c r="Z1490" s="13"/>
    </row>
    <row r="1491" spans="1:26" ht="32.25" hidden="1" customHeight="1">
      <c r="A1491" s="8">
        <v>2303179</v>
      </c>
      <c r="B1491" s="9" t="s">
        <v>5435</v>
      </c>
      <c r="C1491" s="10">
        <v>45149</v>
      </c>
      <c r="D1491" s="9" t="s">
        <v>57</v>
      </c>
      <c r="E1491" s="9" t="s">
        <v>295</v>
      </c>
      <c r="F1491" s="9" t="s">
        <v>42</v>
      </c>
      <c r="G1491" s="9" t="s">
        <v>43</v>
      </c>
      <c r="H1491" s="9" t="s">
        <v>58</v>
      </c>
      <c r="I1491" s="11" t="s">
        <v>406</v>
      </c>
      <c r="J1491" s="9" t="s">
        <v>407</v>
      </c>
      <c r="K1491" s="9" t="s">
        <v>47</v>
      </c>
      <c r="L1491" s="9" t="s">
        <v>741</v>
      </c>
      <c r="M1491" s="9" t="s">
        <v>2112</v>
      </c>
      <c r="N1491" s="9" t="s">
        <v>50</v>
      </c>
      <c r="O1491" s="9" t="s">
        <v>51</v>
      </c>
      <c r="P1491" s="9"/>
      <c r="Q1491" s="9"/>
      <c r="R1491" s="9" t="s">
        <v>61</v>
      </c>
      <c r="S1491" s="14" t="s">
        <v>5436</v>
      </c>
      <c r="T1491" s="9" t="s">
        <v>5437</v>
      </c>
      <c r="U1491" s="9" t="s">
        <v>54</v>
      </c>
      <c r="V1491" s="9" t="s">
        <v>55</v>
      </c>
      <c r="W1491" s="9" t="s">
        <v>55</v>
      </c>
      <c r="X1491" s="9" t="s">
        <v>319</v>
      </c>
      <c r="Y1491" s="9" t="s">
        <v>320</v>
      </c>
      <c r="Z1491" s="13"/>
    </row>
    <row r="1492" spans="1:26" ht="32.25" hidden="1" customHeight="1">
      <c r="A1492" s="8">
        <v>2314605</v>
      </c>
      <c r="B1492" s="9" t="s">
        <v>5438</v>
      </c>
      <c r="C1492" s="10">
        <v>45156</v>
      </c>
      <c r="D1492" s="9" t="s">
        <v>79</v>
      </c>
      <c r="E1492" s="9" t="s">
        <v>68</v>
      </c>
      <c r="F1492" s="9" t="s">
        <v>80</v>
      </c>
      <c r="G1492" s="9" t="s">
        <v>43</v>
      </c>
      <c r="H1492" s="9" t="s">
        <v>44</v>
      </c>
      <c r="I1492" s="11" t="s">
        <v>696</v>
      </c>
      <c r="J1492" s="9" t="s">
        <v>70</v>
      </c>
      <c r="K1492" s="9" t="s">
        <v>92</v>
      </c>
      <c r="L1492" s="9"/>
      <c r="M1492" s="9"/>
      <c r="N1492" s="9" t="s">
        <v>50</v>
      </c>
      <c r="O1492" s="9" t="s">
        <v>51</v>
      </c>
      <c r="P1492" s="9" t="s">
        <v>1841</v>
      </c>
      <c r="Q1492" s="9"/>
      <c r="R1492" s="9" t="s">
        <v>61</v>
      </c>
      <c r="S1492" s="14" t="s">
        <v>1403</v>
      </c>
      <c r="T1492" s="9" t="s">
        <v>1404</v>
      </c>
      <c r="U1492" s="9" t="s">
        <v>54</v>
      </c>
      <c r="V1492" s="9" t="s">
        <v>55</v>
      </c>
      <c r="W1492" s="9" t="s">
        <v>55</v>
      </c>
      <c r="X1492" s="12" t="s">
        <v>196</v>
      </c>
      <c r="Y1492" s="9" t="s">
        <v>197</v>
      </c>
      <c r="Z1492" s="13"/>
    </row>
    <row r="1493" spans="1:26" ht="32.25" hidden="1" customHeight="1">
      <c r="A1493" s="8">
        <v>2315027</v>
      </c>
      <c r="B1493" s="9" t="s">
        <v>5439</v>
      </c>
      <c r="C1493" s="10">
        <v>45156</v>
      </c>
      <c r="D1493" s="9" t="s">
        <v>79</v>
      </c>
      <c r="E1493" s="9" t="s">
        <v>89</v>
      </c>
      <c r="F1493" s="9" t="s">
        <v>80</v>
      </c>
      <c r="G1493" s="9" t="s">
        <v>43</v>
      </c>
      <c r="H1493" s="9" t="s">
        <v>44</v>
      </c>
      <c r="I1493" s="11" t="s">
        <v>101</v>
      </c>
      <c r="J1493" s="9" t="s">
        <v>102</v>
      </c>
      <c r="K1493" s="9" t="s">
        <v>92</v>
      </c>
      <c r="L1493" s="9" t="s">
        <v>5440</v>
      </c>
      <c r="M1493" s="9" t="s">
        <v>103</v>
      </c>
      <c r="N1493" s="9" t="s">
        <v>50</v>
      </c>
      <c r="O1493" s="9" t="s">
        <v>51</v>
      </c>
      <c r="P1493" s="9" t="s">
        <v>1402</v>
      </c>
      <c r="Q1493" s="9"/>
      <c r="R1493" s="9"/>
      <c r="S1493" s="14" t="s">
        <v>5441</v>
      </c>
      <c r="T1493" s="9" t="s">
        <v>5442</v>
      </c>
      <c r="U1493" s="9" t="s">
        <v>54</v>
      </c>
      <c r="V1493" s="9" t="s">
        <v>55</v>
      </c>
      <c r="W1493" s="9" t="s">
        <v>115</v>
      </c>
      <c r="X1493" s="12"/>
      <c r="Y1493" s="9" t="s">
        <v>55</v>
      </c>
      <c r="Z1493" s="13"/>
    </row>
    <row r="1494" spans="1:26" ht="32.25" hidden="1" customHeight="1">
      <c r="A1494" s="8">
        <v>2314777</v>
      </c>
      <c r="B1494" s="9" t="s">
        <v>5443</v>
      </c>
      <c r="C1494" s="10">
        <v>45156</v>
      </c>
      <c r="D1494" s="9" t="s">
        <v>79</v>
      </c>
      <c r="E1494" s="9" t="s">
        <v>41</v>
      </c>
      <c r="F1494" s="9" t="s">
        <v>80</v>
      </c>
      <c r="G1494" s="9" t="s">
        <v>43</v>
      </c>
      <c r="H1494" s="9" t="s">
        <v>44</v>
      </c>
      <c r="I1494" s="11" t="s">
        <v>81</v>
      </c>
      <c r="J1494" s="9" t="s">
        <v>46</v>
      </c>
      <c r="K1494" s="9" t="s">
        <v>92</v>
      </c>
      <c r="L1494" s="9"/>
      <c r="M1494" s="9" t="s">
        <v>103</v>
      </c>
      <c r="N1494" s="9" t="s">
        <v>84</v>
      </c>
      <c r="O1494" s="9" t="s">
        <v>51</v>
      </c>
      <c r="P1494" s="9" t="s">
        <v>582</v>
      </c>
      <c r="Q1494" s="9"/>
      <c r="R1494" s="9" t="s">
        <v>61</v>
      </c>
      <c r="S1494" s="14" t="s">
        <v>5444</v>
      </c>
      <c r="T1494" s="9" t="s">
        <v>5445</v>
      </c>
      <c r="U1494" s="9" t="s">
        <v>54</v>
      </c>
      <c r="V1494" s="9" t="s">
        <v>55</v>
      </c>
      <c r="W1494" s="9" t="s">
        <v>55</v>
      </c>
      <c r="X1494" s="9" t="s">
        <v>64</v>
      </c>
      <c r="Y1494" s="9" t="s">
        <v>65</v>
      </c>
      <c r="Z1494" s="13"/>
    </row>
    <row r="1495" spans="1:26" ht="32.25" hidden="1" customHeight="1">
      <c r="A1495" s="8">
        <v>2310495</v>
      </c>
      <c r="B1495" s="9" t="s">
        <v>5446</v>
      </c>
      <c r="C1495" s="10">
        <v>45142</v>
      </c>
      <c r="D1495" s="9" t="s">
        <v>67</v>
      </c>
      <c r="E1495" s="9" t="s">
        <v>41</v>
      </c>
      <c r="F1495" s="9" t="s">
        <v>42</v>
      </c>
      <c r="G1495" s="9" t="s">
        <v>43</v>
      </c>
      <c r="H1495" s="9" t="s">
        <v>44</v>
      </c>
      <c r="I1495" s="11" t="s">
        <v>661</v>
      </c>
      <c r="J1495" s="9" t="s">
        <v>662</v>
      </c>
      <c r="K1495" s="9" t="s">
        <v>47</v>
      </c>
      <c r="L1495" s="9" t="s">
        <v>822</v>
      </c>
      <c r="M1495" s="9" t="s">
        <v>2104</v>
      </c>
      <c r="N1495" s="9" t="s">
        <v>50</v>
      </c>
      <c r="O1495" s="9" t="s">
        <v>51</v>
      </c>
      <c r="P1495" s="9"/>
      <c r="Q1495" s="9"/>
      <c r="R1495" s="9" t="s">
        <v>61</v>
      </c>
      <c r="S1495" s="9" t="s">
        <v>5447</v>
      </c>
      <c r="T1495" s="9" t="s">
        <v>5448</v>
      </c>
      <c r="U1495" s="9" t="s">
        <v>54</v>
      </c>
      <c r="V1495" s="9" t="s">
        <v>55</v>
      </c>
      <c r="W1495" s="9" t="s">
        <v>55</v>
      </c>
      <c r="X1495" s="9" t="s">
        <v>64</v>
      </c>
      <c r="Y1495" s="9" t="s">
        <v>65</v>
      </c>
      <c r="Z1495" s="13"/>
    </row>
    <row r="1496" spans="1:26" ht="32.25" hidden="1" customHeight="1">
      <c r="A1496" s="8">
        <v>2304428</v>
      </c>
      <c r="B1496" s="9" t="s">
        <v>5449</v>
      </c>
      <c r="C1496" s="10">
        <v>45136</v>
      </c>
      <c r="D1496" s="9" t="s">
        <v>40</v>
      </c>
      <c r="E1496" s="9" t="s">
        <v>41</v>
      </c>
      <c r="F1496" s="9" t="s">
        <v>42</v>
      </c>
      <c r="G1496" s="9" t="s">
        <v>43</v>
      </c>
      <c r="H1496" s="9" t="s">
        <v>44</v>
      </c>
      <c r="I1496" s="11" t="s">
        <v>45</v>
      </c>
      <c r="J1496" s="9" t="s">
        <v>46</v>
      </c>
      <c r="K1496" s="9" t="s">
        <v>47</v>
      </c>
      <c r="L1496" s="9" t="s">
        <v>3693</v>
      </c>
      <c r="M1496" s="9" t="s">
        <v>3694</v>
      </c>
      <c r="N1496" s="9" t="s">
        <v>50</v>
      </c>
      <c r="O1496" s="9" t="s">
        <v>51</v>
      </c>
      <c r="P1496" s="9"/>
      <c r="Q1496" s="9"/>
      <c r="R1496" s="9" t="s">
        <v>61</v>
      </c>
      <c r="S1496" s="9" t="s">
        <v>5450</v>
      </c>
      <c r="T1496" s="9" t="s">
        <v>5451</v>
      </c>
      <c r="U1496" s="9" t="s">
        <v>54</v>
      </c>
      <c r="V1496" s="9" t="s">
        <v>55</v>
      </c>
      <c r="W1496" s="9" t="s">
        <v>55</v>
      </c>
      <c r="X1496" s="9" t="s">
        <v>64</v>
      </c>
      <c r="Y1496" s="9" t="s">
        <v>65</v>
      </c>
      <c r="Z1496" s="13"/>
    </row>
    <row r="1497" spans="1:26" ht="32.25" hidden="1" customHeight="1">
      <c r="A1497" s="8">
        <v>2301183</v>
      </c>
      <c r="B1497" s="9" t="s">
        <v>5452</v>
      </c>
      <c r="C1497" s="10">
        <v>45149</v>
      </c>
      <c r="D1497" s="9" t="s">
        <v>57</v>
      </c>
      <c r="E1497" s="9" t="s">
        <v>295</v>
      </c>
      <c r="F1497" s="9" t="s">
        <v>42</v>
      </c>
      <c r="G1497" s="9" t="s">
        <v>43</v>
      </c>
      <c r="H1497" s="9" t="s">
        <v>58</v>
      </c>
      <c r="I1497" s="11" t="s">
        <v>406</v>
      </c>
      <c r="J1497" s="9" t="s">
        <v>407</v>
      </c>
      <c r="K1497" s="9" t="s">
        <v>47</v>
      </c>
      <c r="L1497" s="9" t="s">
        <v>156</v>
      </c>
      <c r="M1497" s="9"/>
      <c r="N1497" s="9" t="s">
        <v>50</v>
      </c>
      <c r="O1497" s="9" t="s">
        <v>51</v>
      </c>
      <c r="P1497" s="9"/>
      <c r="Q1497" s="9"/>
      <c r="R1497" s="9"/>
      <c r="S1497" s="14" t="s">
        <v>5453</v>
      </c>
      <c r="T1497" s="9" t="s">
        <v>5454</v>
      </c>
      <c r="U1497" s="9" t="s">
        <v>54</v>
      </c>
      <c r="V1497" s="9" t="s">
        <v>55</v>
      </c>
      <c r="W1497" s="9" t="s">
        <v>55</v>
      </c>
      <c r="X1497" s="12"/>
      <c r="Y1497" s="9" t="s">
        <v>55</v>
      </c>
      <c r="Z1497" s="13"/>
    </row>
    <row r="1498" spans="1:26" ht="32.25" hidden="1" customHeight="1">
      <c r="A1498" s="8">
        <v>2312039</v>
      </c>
      <c r="B1498" s="9" t="s">
        <v>5455</v>
      </c>
      <c r="C1498" s="10">
        <v>45142</v>
      </c>
      <c r="D1498" s="9" t="s">
        <v>67</v>
      </c>
      <c r="E1498" s="9" t="s">
        <v>89</v>
      </c>
      <c r="F1498" s="9" t="s">
        <v>42</v>
      </c>
      <c r="G1498" s="9" t="s">
        <v>43</v>
      </c>
      <c r="H1498" s="9" t="s">
        <v>44</v>
      </c>
      <c r="I1498" s="11" t="s">
        <v>354</v>
      </c>
      <c r="J1498" s="9" t="s">
        <v>91</v>
      </c>
      <c r="K1498" s="9" t="s">
        <v>47</v>
      </c>
      <c r="L1498" s="9" t="s">
        <v>48</v>
      </c>
      <c r="M1498" s="9"/>
      <c r="N1498" s="9" t="s">
        <v>50</v>
      </c>
      <c r="O1498" s="9" t="s">
        <v>51</v>
      </c>
      <c r="P1498" s="9" t="s">
        <v>356</v>
      </c>
      <c r="Q1498" s="9"/>
      <c r="R1498" s="9" t="s">
        <v>61</v>
      </c>
      <c r="S1498" s="9" t="s">
        <v>5456</v>
      </c>
      <c r="T1498" s="9" t="s">
        <v>5457</v>
      </c>
      <c r="U1498" s="9" t="s">
        <v>54</v>
      </c>
      <c r="V1498" s="9" t="s">
        <v>55</v>
      </c>
      <c r="W1498" s="9" t="s">
        <v>55</v>
      </c>
      <c r="X1498" s="12" t="s">
        <v>98</v>
      </c>
      <c r="Y1498" s="9" t="s">
        <v>99</v>
      </c>
      <c r="Z1498" s="13"/>
    </row>
    <row r="1499" spans="1:26" ht="32.25" hidden="1" customHeight="1">
      <c r="A1499" s="8">
        <v>2307815</v>
      </c>
      <c r="B1499" s="9" t="s">
        <v>5458</v>
      </c>
      <c r="C1499" s="10">
        <v>45156</v>
      </c>
      <c r="D1499" s="9" t="s">
        <v>79</v>
      </c>
      <c r="E1499" s="9" t="s">
        <v>68</v>
      </c>
      <c r="F1499" s="9" t="s">
        <v>80</v>
      </c>
      <c r="G1499" s="9" t="s">
        <v>43</v>
      </c>
      <c r="H1499" s="9" t="s">
        <v>44</v>
      </c>
      <c r="I1499" s="11" t="s">
        <v>696</v>
      </c>
      <c r="J1499" s="9" t="s">
        <v>70</v>
      </c>
      <c r="K1499" s="9" t="s">
        <v>47</v>
      </c>
      <c r="L1499" s="9" t="s">
        <v>156</v>
      </c>
      <c r="M1499" s="9"/>
      <c r="N1499" s="9" t="s">
        <v>50</v>
      </c>
      <c r="O1499" s="9" t="s">
        <v>51</v>
      </c>
      <c r="P1499" s="9" t="s">
        <v>1841</v>
      </c>
      <c r="Q1499" s="9"/>
      <c r="R1499" s="9"/>
      <c r="S1499" s="14" t="s">
        <v>5459</v>
      </c>
      <c r="T1499" s="9" t="s">
        <v>5460</v>
      </c>
      <c r="U1499" s="9" t="s">
        <v>54</v>
      </c>
      <c r="V1499" s="9"/>
      <c r="W1499" s="9" t="s">
        <v>115</v>
      </c>
      <c r="X1499" s="12"/>
      <c r="Y1499" s="9" t="s">
        <v>55</v>
      </c>
      <c r="Z1499" s="13"/>
    </row>
    <row r="1500" spans="1:26" ht="32.25" hidden="1" customHeight="1">
      <c r="A1500" s="8">
        <v>2306622</v>
      </c>
      <c r="B1500" s="9" t="s">
        <v>5461</v>
      </c>
      <c r="C1500" s="10">
        <v>45149</v>
      </c>
      <c r="D1500" s="9" t="s">
        <v>57</v>
      </c>
      <c r="E1500" s="9" t="s">
        <v>295</v>
      </c>
      <c r="F1500" s="9" t="s">
        <v>42</v>
      </c>
      <c r="G1500" s="9" t="s">
        <v>43</v>
      </c>
      <c r="H1500" s="9" t="s">
        <v>58</v>
      </c>
      <c r="I1500" s="11" t="s">
        <v>296</v>
      </c>
      <c r="J1500" s="9" t="s">
        <v>297</v>
      </c>
      <c r="K1500" s="9" t="s">
        <v>47</v>
      </c>
      <c r="L1500" s="9" t="s">
        <v>48</v>
      </c>
      <c r="M1500" s="9" t="s">
        <v>1824</v>
      </c>
      <c r="N1500" s="9" t="s">
        <v>84</v>
      </c>
      <c r="O1500" s="9" t="s">
        <v>51</v>
      </c>
      <c r="P1500" s="9"/>
      <c r="Q1500" s="9"/>
      <c r="R1500" s="9" t="s">
        <v>61</v>
      </c>
      <c r="S1500" s="14" t="s">
        <v>5462</v>
      </c>
      <c r="T1500" s="9" t="s">
        <v>5463</v>
      </c>
      <c r="U1500" s="9" t="s">
        <v>54</v>
      </c>
      <c r="V1500" s="9" t="s">
        <v>55</v>
      </c>
      <c r="W1500" s="9" t="s">
        <v>55</v>
      </c>
      <c r="X1500" s="9" t="s">
        <v>319</v>
      </c>
      <c r="Y1500" s="9" t="s">
        <v>320</v>
      </c>
      <c r="Z1500" s="13"/>
    </row>
    <row r="1501" spans="1:26" ht="32.25" hidden="1" customHeight="1">
      <c r="A1501" s="8">
        <v>2302352</v>
      </c>
      <c r="B1501" s="9" t="s">
        <v>5464</v>
      </c>
      <c r="C1501" s="10">
        <v>45142</v>
      </c>
      <c r="D1501" s="9" t="s">
        <v>67</v>
      </c>
      <c r="E1501" s="9" t="s">
        <v>68</v>
      </c>
      <c r="F1501" s="9" t="s">
        <v>135</v>
      </c>
      <c r="G1501" s="9" t="s">
        <v>43</v>
      </c>
      <c r="H1501" s="9" t="s">
        <v>44</v>
      </c>
      <c r="I1501" s="11" t="s">
        <v>136</v>
      </c>
      <c r="J1501" s="9" t="s">
        <v>137</v>
      </c>
      <c r="K1501" s="9" t="s">
        <v>47</v>
      </c>
      <c r="L1501" s="9" t="s">
        <v>411</v>
      </c>
      <c r="M1501" s="9" t="s">
        <v>5465</v>
      </c>
      <c r="N1501" s="9" t="s">
        <v>84</v>
      </c>
      <c r="O1501" s="9" t="s">
        <v>51</v>
      </c>
      <c r="P1501" s="9"/>
      <c r="Q1501" s="9"/>
      <c r="R1501" s="9" t="s">
        <v>61</v>
      </c>
      <c r="S1501" s="9" t="s">
        <v>5466</v>
      </c>
      <c r="T1501" s="9" t="s">
        <v>5467</v>
      </c>
      <c r="U1501" s="9" t="s">
        <v>54</v>
      </c>
      <c r="V1501" s="9" t="s">
        <v>55</v>
      </c>
      <c r="W1501" s="9" t="s">
        <v>55</v>
      </c>
      <c r="X1501" s="12" t="s">
        <v>76</v>
      </c>
      <c r="Y1501" s="9" t="s">
        <v>77</v>
      </c>
      <c r="Z1501" s="13"/>
    </row>
    <row r="1502" spans="1:26" ht="32.25" hidden="1" customHeight="1">
      <c r="A1502" s="8">
        <v>2302161</v>
      </c>
      <c r="B1502" s="9" t="s">
        <v>5468</v>
      </c>
      <c r="C1502" s="10">
        <v>45142</v>
      </c>
      <c r="D1502" s="9" t="s">
        <v>67</v>
      </c>
      <c r="E1502" s="9" t="s">
        <v>143</v>
      </c>
      <c r="F1502" s="9" t="s">
        <v>42</v>
      </c>
      <c r="G1502" s="9" t="s">
        <v>43</v>
      </c>
      <c r="H1502" s="9" t="s">
        <v>44</v>
      </c>
      <c r="I1502" s="11" t="s">
        <v>334</v>
      </c>
      <c r="J1502" s="9" t="s">
        <v>327</v>
      </c>
      <c r="K1502" s="9" t="s">
        <v>47</v>
      </c>
      <c r="L1502" s="9" t="s">
        <v>340</v>
      </c>
      <c r="M1502" s="9" t="s">
        <v>1297</v>
      </c>
      <c r="N1502" s="9" t="s">
        <v>84</v>
      </c>
      <c r="O1502" s="9" t="s">
        <v>51</v>
      </c>
      <c r="P1502" s="9" t="s">
        <v>336</v>
      </c>
      <c r="Q1502" s="9"/>
      <c r="R1502" s="9" t="s">
        <v>61</v>
      </c>
      <c r="S1502" s="9" t="s">
        <v>5469</v>
      </c>
      <c r="T1502" s="9" t="s">
        <v>5470</v>
      </c>
      <c r="U1502" s="9" t="s">
        <v>54</v>
      </c>
      <c r="V1502" s="9" t="s">
        <v>55</v>
      </c>
      <c r="W1502" s="9" t="s">
        <v>55</v>
      </c>
      <c r="X1502" s="12" t="s">
        <v>150</v>
      </c>
      <c r="Y1502" s="9" t="s">
        <v>151</v>
      </c>
      <c r="Z1502" s="13"/>
    </row>
    <row r="1503" spans="1:26" ht="32.25" hidden="1" customHeight="1">
      <c r="A1503" s="8">
        <v>2311132</v>
      </c>
      <c r="B1503" s="9" t="s">
        <v>5471</v>
      </c>
      <c r="C1503" s="10">
        <v>45149</v>
      </c>
      <c r="D1503" s="9" t="s">
        <v>261</v>
      </c>
      <c r="E1503" s="9" t="s">
        <v>41</v>
      </c>
      <c r="F1503" s="9" t="s">
        <v>262</v>
      </c>
      <c r="G1503" s="9" t="s">
        <v>43</v>
      </c>
      <c r="H1503" s="9" t="s">
        <v>44</v>
      </c>
      <c r="I1503" s="11" t="s">
        <v>1553</v>
      </c>
      <c r="J1503" s="9" t="s">
        <v>1554</v>
      </c>
      <c r="K1503" s="9" t="s">
        <v>47</v>
      </c>
      <c r="L1503" s="9" t="s">
        <v>48</v>
      </c>
      <c r="M1503" s="9" t="s">
        <v>5472</v>
      </c>
      <c r="N1503" s="9" t="s">
        <v>84</v>
      </c>
      <c r="O1503" s="9" t="s">
        <v>51</v>
      </c>
      <c r="P1503" s="9"/>
      <c r="Q1503" s="9"/>
      <c r="R1503" s="9"/>
      <c r="S1503" s="14" t="s">
        <v>5473</v>
      </c>
      <c r="T1503" s="9" t="s">
        <v>5474</v>
      </c>
      <c r="U1503" s="9" t="s">
        <v>262</v>
      </c>
      <c r="V1503" s="9" t="s">
        <v>55</v>
      </c>
      <c r="W1503" s="9" t="s">
        <v>115</v>
      </c>
      <c r="X1503" s="12"/>
      <c r="Y1503" s="9" t="s">
        <v>55</v>
      </c>
      <c r="Z1503" s="13"/>
    </row>
    <row r="1504" spans="1:26" ht="32.25" hidden="1" customHeight="1">
      <c r="A1504" s="8">
        <v>2309191</v>
      </c>
      <c r="B1504" s="9" t="s">
        <v>5475</v>
      </c>
      <c r="C1504" s="10">
        <v>45149</v>
      </c>
      <c r="D1504" s="9" t="s">
        <v>57</v>
      </c>
      <c r="E1504" s="9" t="s">
        <v>41</v>
      </c>
      <c r="F1504" s="9" t="s">
        <v>42</v>
      </c>
      <c r="G1504" s="9" t="s">
        <v>43</v>
      </c>
      <c r="H1504" s="9" t="s">
        <v>58</v>
      </c>
      <c r="I1504" s="11" t="s">
        <v>199</v>
      </c>
      <c r="J1504" s="9" t="s">
        <v>200</v>
      </c>
      <c r="K1504" s="9" t="s">
        <v>47</v>
      </c>
      <c r="L1504" s="9" t="s">
        <v>156</v>
      </c>
      <c r="M1504" s="9"/>
      <c r="N1504" s="9" t="s">
        <v>50</v>
      </c>
      <c r="O1504" s="9" t="s">
        <v>51</v>
      </c>
      <c r="P1504" s="9"/>
      <c r="Q1504" s="9"/>
      <c r="R1504" s="9"/>
      <c r="S1504" s="14" t="s">
        <v>5476</v>
      </c>
      <c r="T1504" s="9" t="s">
        <v>5477</v>
      </c>
      <c r="U1504" s="9" t="s">
        <v>54</v>
      </c>
      <c r="V1504" s="9" t="s">
        <v>55</v>
      </c>
      <c r="W1504" s="9" t="s">
        <v>55</v>
      </c>
      <c r="X1504" s="12"/>
      <c r="Y1504" s="9" t="s">
        <v>55</v>
      </c>
      <c r="Z1504" s="13"/>
    </row>
    <row r="1505" spans="1:26" ht="32.25" hidden="1" customHeight="1">
      <c r="A1505" s="8">
        <v>2311506</v>
      </c>
      <c r="B1505" s="9" t="s">
        <v>5478</v>
      </c>
      <c r="C1505" s="10">
        <v>45149</v>
      </c>
      <c r="D1505" s="9" t="s">
        <v>57</v>
      </c>
      <c r="E1505" s="9" t="s">
        <v>41</v>
      </c>
      <c r="F1505" s="9" t="s">
        <v>42</v>
      </c>
      <c r="G1505" s="9" t="s">
        <v>43</v>
      </c>
      <c r="H1505" s="9" t="s">
        <v>58</v>
      </c>
      <c r="I1505" s="11" t="s">
        <v>1073</v>
      </c>
      <c r="J1505" s="9" t="s">
        <v>479</v>
      </c>
      <c r="K1505" s="9" t="s">
        <v>47</v>
      </c>
      <c r="L1505" s="9" t="s">
        <v>1040</v>
      </c>
      <c r="M1505" s="9" t="s">
        <v>1041</v>
      </c>
      <c r="N1505" s="9" t="s">
        <v>50</v>
      </c>
      <c r="O1505" s="9" t="s">
        <v>51</v>
      </c>
      <c r="P1505" s="9"/>
      <c r="Q1505" s="9"/>
      <c r="R1505" s="9" t="s">
        <v>61</v>
      </c>
      <c r="S1505" s="14" t="s">
        <v>5479</v>
      </c>
      <c r="T1505" s="9" t="s">
        <v>5480</v>
      </c>
      <c r="U1505" s="9" t="s">
        <v>54</v>
      </c>
      <c r="V1505" s="9" t="s">
        <v>55</v>
      </c>
      <c r="W1505" s="9" t="s">
        <v>55</v>
      </c>
      <c r="X1505" s="9" t="s">
        <v>196</v>
      </c>
      <c r="Y1505" s="9" t="s">
        <v>197</v>
      </c>
      <c r="Z1505" s="13"/>
    </row>
    <row r="1506" spans="1:26" ht="32.25" hidden="1" customHeight="1">
      <c r="A1506" s="8">
        <v>2315065</v>
      </c>
      <c r="B1506" s="9" t="s">
        <v>5481</v>
      </c>
      <c r="C1506" s="10">
        <v>45156</v>
      </c>
      <c r="D1506" s="9" t="s">
        <v>79</v>
      </c>
      <c r="E1506" s="9" t="s">
        <v>41</v>
      </c>
      <c r="F1506" s="9" t="s">
        <v>80</v>
      </c>
      <c r="G1506" s="9" t="s">
        <v>43</v>
      </c>
      <c r="H1506" s="9" t="s">
        <v>44</v>
      </c>
      <c r="I1506" s="11" t="s">
        <v>81</v>
      </c>
      <c r="J1506" s="9" t="s">
        <v>46</v>
      </c>
      <c r="K1506" s="9" t="s">
        <v>47</v>
      </c>
      <c r="L1506" s="9" t="s">
        <v>863</v>
      </c>
      <c r="M1506" s="9" t="s">
        <v>1396</v>
      </c>
      <c r="N1506" s="9" t="s">
        <v>50</v>
      </c>
      <c r="O1506" s="9" t="s">
        <v>51</v>
      </c>
      <c r="P1506" s="9" t="s">
        <v>503</v>
      </c>
      <c r="Q1506" s="9"/>
      <c r="R1506" s="9" t="s">
        <v>61</v>
      </c>
      <c r="S1506" s="14" t="s">
        <v>5482</v>
      </c>
      <c r="T1506" s="9" t="s">
        <v>5483</v>
      </c>
      <c r="U1506" s="9" t="s">
        <v>54</v>
      </c>
      <c r="V1506" s="9" t="s">
        <v>318</v>
      </c>
      <c r="W1506" s="9" t="s">
        <v>115</v>
      </c>
      <c r="X1506" s="12" t="s">
        <v>64</v>
      </c>
      <c r="Y1506" s="9" t="s">
        <v>65</v>
      </c>
      <c r="Z1506" s="13" t="s">
        <v>288</v>
      </c>
    </row>
    <row r="1507" spans="1:26" ht="32.25" hidden="1" customHeight="1">
      <c r="A1507" s="8">
        <v>2310567</v>
      </c>
      <c r="B1507" s="9" t="s">
        <v>5484</v>
      </c>
      <c r="C1507" s="10">
        <v>45149</v>
      </c>
      <c r="D1507" s="9" t="s">
        <v>57</v>
      </c>
      <c r="E1507" s="9" t="s">
        <v>295</v>
      </c>
      <c r="F1507" s="9" t="s">
        <v>42</v>
      </c>
      <c r="G1507" s="9" t="s">
        <v>43</v>
      </c>
      <c r="H1507" s="9" t="s">
        <v>58</v>
      </c>
      <c r="I1507" s="11" t="s">
        <v>296</v>
      </c>
      <c r="J1507" s="9" t="s">
        <v>297</v>
      </c>
      <c r="K1507" s="9" t="s">
        <v>47</v>
      </c>
      <c r="L1507" s="9" t="s">
        <v>1378</v>
      </c>
      <c r="M1507" s="9" t="s">
        <v>1563</v>
      </c>
      <c r="N1507" s="9" t="s">
        <v>84</v>
      </c>
      <c r="O1507" s="9" t="s">
        <v>51</v>
      </c>
      <c r="P1507" s="9"/>
      <c r="Q1507" s="9"/>
      <c r="R1507" s="9" t="s">
        <v>61</v>
      </c>
      <c r="S1507" s="14" t="s">
        <v>5485</v>
      </c>
      <c r="T1507" s="9" t="s">
        <v>5486</v>
      </c>
      <c r="U1507" s="9" t="s">
        <v>54</v>
      </c>
      <c r="V1507" s="9" t="s">
        <v>55</v>
      </c>
      <c r="W1507" s="9" t="s">
        <v>55</v>
      </c>
      <c r="X1507" s="9" t="s">
        <v>319</v>
      </c>
      <c r="Y1507" s="9" t="s">
        <v>320</v>
      </c>
      <c r="Z1507" s="13"/>
    </row>
    <row r="1508" spans="1:26" ht="32.25" hidden="1" customHeight="1">
      <c r="A1508" s="8">
        <v>2313975</v>
      </c>
      <c r="B1508" s="9" t="s">
        <v>5487</v>
      </c>
      <c r="C1508" s="10">
        <v>45156</v>
      </c>
      <c r="D1508" s="9" t="s">
        <v>79</v>
      </c>
      <c r="E1508" s="9" t="s">
        <v>89</v>
      </c>
      <c r="F1508" s="9" t="s">
        <v>80</v>
      </c>
      <c r="G1508" s="9" t="s">
        <v>43</v>
      </c>
      <c r="H1508" s="9" t="s">
        <v>44</v>
      </c>
      <c r="I1508" s="11" t="s">
        <v>90</v>
      </c>
      <c r="J1508" s="9" t="s">
        <v>91</v>
      </c>
      <c r="K1508" s="9" t="s">
        <v>47</v>
      </c>
      <c r="L1508" s="9" t="s">
        <v>4719</v>
      </c>
      <c r="M1508" s="9" t="s">
        <v>4720</v>
      </c>
      <c r="N1508" s="9" t="s">
        <v>50</v>
      </c>
      <c r="O1508" s="9" t="s">
        <v>51</v>
      </c>
      <c r="P1508" s="9" t="s">
        <v>546</v>
      </c>
      <c r="Q1508" s="9"/>
      <c r="R1508" s="9" t="s">
        <v>61</v>
      </c>
      <c r="S1508" s="14" t="s">
        <v>5488</v>
      </c>
      <c r="T1508" s="9" t="s">
        <v>5489</v>
      </c>
      <c r="U1508" s="9" t="s">
        <v>54</v>
      </c>
      <c r="V1508" s="9" t="s">
        <v>55</v>
      </c>
      <c r="W1508" s="9" t="s">
        <v>55</v>
      </c>
      <c r="X1508" s="12" t="s">
        <v>98</v>
      </c>
      <c r="Y1508" s="9" t="s">
        <v>99</v>
      </c>
      <c r="Z1508" s="13"/>
    </row>
    <row r="1509" spans="1:26" ht="32.25" hidden="1" customHeight="1">
      <c r="A1509" s="8">
        <v>2309882</v>
      </c>
      <c r="B1509" s="9" t="s">
        <v>5490</v>
      </c>
      <c r="C1509" s="10">
        <v>45149</v>
      </c>
      <c r="D1509" s="9" t="s">
        <v>57</v>
      </c>
      <c r="E1509" s="9" t="s">
        <v>41</v>
      </c>
      <c r="F1509" s="9" t="s">
        <v>42</v>
      </c>
      <c r="G1509" s="9" t="s">
        <v>43</v>
      </c>
      <c r="H1509" s="9" t="s">
        <v>58</v>
      </c>
      <c r="I1509" s="11" t="s">
        <v>199</v>
      </c>
      <c r="J1509" s="9" t="s">
        <v>200</v>
      </c>
      <c r="K1509" s="9" t="s">
        <v>47</v>
      </c>
      <c r="L1509" s="9" t="s">
        <v>156</v>
      </c>
      <c r="M1509" s="9"/>
      <c r="N1509" s="9" t="s">
        <v>50</v>
      </c>
      <c r="O1509" s="9" t="s">
        <v>51</v>
      </c>
      <c r="P1509" s="9"/>
      <c r="Q1509" s="9"/>
      <c r="R1509" s="9"/>
      <c r="S1509" s="14" t="s">
        <v>5491</v>
      </c>
      <c r="T1509" s="9" t="s">
        <v>5492</v>
      </c>
      <c r="U1509" s="9" t="s">
        <v>54</v>
      </c>
      <c r="V1509" s="9" t="s">
        <v>55</v>
      </c>
      <c r="W1509" s="9" t="s">
        <v>55</v>
      </c>
      <c r="X1509" s="12"/>
      <c r="Y1509" s="9" t="s">
        <v>55</v>
      </c>
      <c r="Z1509" s="13"/>
    </row>
    <row r="1510" spans="1:26" ht="32.25" hidden="1" customHeight="1">
      <c r="A1510" s="8">
        <v>2300166</v>
      </c>
      <c r="B1510" s="9" t="s">
        <v>5493</v>
      </c>
      <c r="C1510" s="10">
        <v>45149</v>
      </c>
      <c r="D1510" s="9" t="s">
        <v>261</v>
      </c>
      <c r="E1510" s="9" t="s">
        <v>68</v>
      </c>
      <c r="F1510" s="9" t="s">
        <v>262</v>
      </c>
      <c r="G1510" s="9" t="s">
        <v>43</v>
      </c>
      <c r="H1510" s="9" t="s">
        <v>44</v>
      </c>
      <c r="I1510" s="11" t="s">
        <v>756</v>
      </c>
      <c r="J1510" s="9" t="s">
        <v>757</v>
      </c>
      <c r="K1510" s="9" t="s">
        <v>47</v>
      </c>
      <c r="L1510" s="9" t="s">
        <v>741</v>
      </c>
      <c r="M1510" s="9" t="s">
        <v>742</v>
      </c>
      <c r="N1510" s="9" t="s">
        <v>50</v>
      </c>
      <c r="O1510" s="9" t="s">
        <v>51</v>
      </c>
      <c r="P1510" s="9"/>
      <c r="Q1510" s="9"/>
      <c r="R1510" s="9" t="s">
        <v>61</v>
      </c>
      <c r="S1510" s="14" t="s">
        <v>5494</v>
      </c>
      <c r="T1510" s="9" t="s">
        <v>5495</v>
      </c>
      <c r="U1510" s="9" t="s">
        <v>262</v>
      </c>
      <c r="V1510" s="9" t="s">
        <v>55</v>
      </c>
      <c r="W1510" s="9" t="s">
        <v>55</v>
      </c>
      <c r="X1510" s="12" t="s">
        <v>389</v>
      </c>
      <c r="Y1510" s="9" t="s">
        <v>390</v>
      </c>
      <c r="Z1510" s="13"/>
    </row>
    <row r="1511" spans="1:26" ht="32.25" hidden="1" customHeight="1">
      <c r="A1511" s="8">
        <v>2305725</v>
      </c>
      <c r="B1511" s="9" t="s">
        <v>5496</v>
      </c>
      <c r="C1511" s="10">
        <v>45156</v>
      </c>
      <c r="D1511" s="9" t="s">
        <v>79</v>
      </c>
      <c r="E1511" s="9" t="s">
        <v>68</v>
      </c>
      <c r="F1511" s="9" t="s">
        <v>80</v>
      </c>
      <c r="G1511" s="9" t="s">
        <v>43</v>
      </c>
      <c r="H1511" s="9" t="s">
        <v>44</v>
      </c>
      <c r="I1511" s="11" t="s">
        <v>90</v>
      </c>
      <c r="J1511" s="9" t="s">
        <v>91</v>
      </c>
      <c r="K1511" s="9" t="s">
        <v>47</v>
      </c>
      <c r="L1511" s="9" t="s">
        <v>799</v>
      </c>
      <c r="M1511" s="9" t="s">
        <v>1490</v>
      </c>
      <c r="N1511" s="9" t="s">
        <v>50</v>
      </c>
      <c r="O1511" s="9" t="s">
        <v>51</v>
      </c>
      <c r="P1511" s="9" t="s">
        <v>929</v>
      </c>
      <c r="Q1511" s="9"/>
      <c r="R1511" s="9" t="s">
        <v>61</v>
      </c>
      <c r="S1511" s="14" t="s">
        <v>5497</v>
      </c>
      <c r="T1511" s="9" t="s">
        <v>5498</v>
      </c>
      <c r="U1511" s="9" t="s">
        <v>54</v>
      </c>
      <c r="V1511" s="9" t="s">
        <v>55</v>
      </c>
      <c r="W1511" s="9" t="s">
        <v>115</v>
      </c>
      <c r="X1511" s="12" t="s">
        <v>196</v>
      </c>
      <c r="Y1511" s="9" t="s">
        <v>197</v>
      </c>
      <c r="Z1511" s="13"/>
    </row>
    <row r="1512" spans="1:26" ht="32.25" hidden="1" customHeight="1">
      <c r="A1512" s="8">
        <v>2304938</v>
      </c>
      <c r="B1512" s="9" t="s">
        <v>5499</v>
      </c>
      <c r="C1512" s="10">
        <v>45156</v>
      </c>
      <c r="D1512" s="9" t="s">
        <v>79</v>
      </c>
      <c r="E1512" s="9" t="s">
        <v>89</v>
      </c>
      <c r="F1512" s="9" t="s">
        <v>80</v>
      </c>
      <c r="G1512" s="9" t="s">
        <v>43</v>
      </c>
      <c r="H1512" s="9" t="s">
        <v>44</v>
      </c>
      <c r="I1512" s="11" t="s">
        <v>90</v>
      </c>
      <c r="J1512" s="9" t="s">
        <v>91</v>
      </c>
      <c r="K1512" s="9" t="s">
        <v>47</v>
      </c>
      <c r="L1512" s="9" t="s">
        <v>156</v>
      </c>
      <c r="M1512" s="9"/>
      <c r="N1512" s="9" t="s">
        <v>50</v>
      </c>
      <c r="O1512" s="9" t="s">
        <v>51</v>
      </c>
      <c r="P1512" s="9" t="s">
        <v>546</v>
      </c>
      <c r="Q1512" s="9"/>
      <c r="R1512" s="9"/>
      <c r="S1512" s="14" t="s">
        <v>5500</v>
      </c>
      <c r="T1512" s="9" t="s">
        <v>5501</v>
      </c>
      <c r="U1512" s="9" t="s">
        <v>54</v>
      </c>
      <c r="V1512" s="9" t="s">
        <v>55</v>
      </c>
      <c r="W1512" s="9" t="s">
        <v>55</v>
      </c>
      <c r="X1512" s="12"/>
      <c r="Y1512" s="9" t="s">
        <v>55</v>
      </c>
      <c r="Z1512" s="13"/>
    </row>
    <row r="1513" spans="1:26" ht="32.25" hidden="1" customHeight="1">
      <c r="A1513" s="8">
        <v>2302381</v>
      </c>
      <c r="B1513" s="9" t="s">
        <v>5502</v>
      </c>
      <c r="C1513" s="10">
        <v>45149</v>
      </c>
      <c r="D1513" s="9" t="s">
        <v>57</v>
      </c>
      <c r="E1513" s="9" t="s">
        <v>41</v>
      </c>
      <c r="F1513" s="9" t="s">
        <v>42</v>
      </c>
      <c r="G1513" s="9" t="s">
        <v>43</v>
      </c>
      <c r="H1513" s="9" t="s">
        <v>58</v>
      </c>
      <c r="I1513" s="11" t="s">
        <v>45</v>
      </c>
      <c r="J1513" s="9" t="s">
        <v>46</v>
      </c>
      <c r="K1513" s="9" t="s">
        <v>47</v>
      </c>
      <c r="L1513" s="9" t="s">
        <v>156</v>
      </c>
      <c r="M1513" s="9"/>
      <c r="N1513" s="9" t="s">
        <v>50</v>
      </c>
      <c r="O1513" s="9" t="s">
        <v>51</v>
      </c>
      <c r="P1513" s="9"/>
      <c r="Q1513" s="9"/>
      <c r="R1513" s="9"/>
      <c r="S1513" s="14" t="s">
        <v>5503</v>
      </c>
      <c r="T1513" s="9" t="s">
        <v>5504</v>
      </c>
      <c r="U1513" s="9" t="s">
        <v>54</v>
      </c>
      <c r="V1513" s="9" t="s">
        <v>55</v>
      </c>
      <c r="W1513" s="9" t="s">
        <v>55</v>
      </c>
      <c r="X1513" s="12"/>
      <c r="Y1513" s="9" t="s">
        <v>55</v>
      </c>
      <c r="Z1513" s="13"/>
    </row>
    <row r="1514" spans="1:26" ht="32.25" hidden="1" customHeight="1">
      <c r="A1514" s="8">
        <v>2303871</v>
      </c>
      <c r="B1514" s="9" t="s">
        <v>5505</v>
      </c>
      <c r="C1514" s="10">
        <v>45156</v>
      </c>
      <c r="D1514" s="9" t="s">
        <v>79</v>
      </c>
      <c r="E1514" s="9" t="s">
        <v>143</v>
      </c>
      <c r="F1514" s="9" t="s">
        <v>80</v>
      </c>
      <c r="G1514" s="9" t="s">
        <v>43</v>
      </c>
      <c r="H1514" s="9" t="s">
        <v>44</v>
      </c>
      <c r="I1514" s="11" t="s">
        <v>725</v>
      </c>
      <c r="J1514" s="9" t="s">
        <v>145</v>
      </c>
      <c r="K1514" s="9" t="s">
        <v>47</v>
      </c>
      <c r="L1514" s="9" t="s">
        <v>48</v>
      </c>
      <c r="M1514" s="9" t="s">
        <v>146</v>
      </c>
      <c r="N1514" s="9" t="s">
        <v>50</v>
      </c>
      <c r="O1514" s="9" t="s">
        <v>51</v>
      </c>
      <c r="P1514" s="9" t="s">
        <v>727</v>
      </c>
      <c r="Q1514" s="9"/>
      <c r="R1514" s="9" t="s">
        <v>61</v>
      </c>
      <c r="S1514" s="14" t="s">
        <v>5506</v>
      </c>
      <c r="T1514" s="9" t="s">
        <v>5507</v>
      </c>
      <c r="U1514" s="9" t="s">
        <v>54</v>
      </c>
      <c r="V1514" s="9" t="s">
        <v>251</v>
      </c>
      <c r="W1514" s="9" t="s">
        <v>115</v>
      </c>
      <c r="X1514" s="12" t="s">
        <v>171</v>
      </c>
      <c r="Y1514" s="9" t="s">
        <v>172</v>
      </c>
      <c r="Z1514" s="13"/>
    </row>
    <row r="1515" spans="1:26" ht="32.25" hidden="1" customHeight="1">
      <c r="A1515" s="8">
        <v>2311199</v>
      </c>
      <c r="B1515" s="9" t="s">
        <v>5508</v>
      </c>
      <c r="C1515" s="10">
        <v>45142</v>
      </c>
      <c r="D1515" s="9" t="s">
        <v>67</v>
      </c>
      <c r="E1515" s="9" t="s">
        <v>41</v>
      </c>
      <c r="F1515" s="9" t="s">
        <v>42</v>
      </c>
      <c r="G1515" s="9" t="s">
        <v>43</v>
      </c>
      <c r="H1515" s="9" t="s">
        <v>44</v>
      </c>
      <c r="I1515" s="11" t="s">
        <v>45</v>
      </c>
      <c r="J1515" s="9" t="s">
        <v>46</v>
      </c>
      <c r="K1515" s="9" t="s">
        <v>47</v>
      </c>
      <c r="L1515" s="9" t="s">
        <v>156</v>
      </c>
      <c r="M1515" s="9"/>
      <c r="N1515" s="9" t="s">
        <v>50</v>
      </c>
      <c r="O1515" s="9" t="s">
        <v>51</v>
      </c>
      <c r="P1515" s="9"/>
      <c r="Q1515" s="9"/>
      <c r="R1515" s="9"/>
      <c r="S1515" s="9" t="s">
        <v>5509</v>
      </c>
      <c r="T1515" s="9" t="s">
        <v>5510</v>
      </c>
      <c r="U1515" s="9" t="s">
        <v>54</v>
      </c>
      <c r="V1515" s="9" t="s">
        <v>55</v>
      </c>
      <c r="W1515" s="9" t="s">
        <v>55</v>
      </c>
      <c r="X1515" s="12"/>
      <c r="Y1515" s="9" t="s">
        <v>55</v>
      </c>
      <c r="Z1515" s="13"/>
    </row>
    <row r="1516" spans="1:26" ht="32.25" hidden="1" customHeight="1">
      <c r="A1516" s="8">
        <v>2306374</v>
      </c>
      <c r="B1516" s="9" t="s">
        <v>5511</v>
      </c>
      <c r="C1516" s="10">
        <v>45149</v>
      </c>
      <c r="D1516" s="9" t="s">
        <v>261</v>
      </c>
      <c r="E1516" s="9" t="s">
        <v>89</v>
      </c>
      <c r="F1516" s="9" t="s">
        <v>262</v>
      </c>
      <c r="G1516" s="9" t="s">
        <v>43</v>
      </c>
      <c r="H1516" s="9" t="s">
        <v>44</v>
      </c>
      <c r="I1516" s="11" t="s">
        <v>685</v>
      </c>
      <c r="J1516" s="9" t="s">
        <v>686</v>
      </c>
      <c r="K1516" s="9" t="s">
        <v>47</v>
      </c>
      <c r="L1516" s="9" t="s">
        <v>226</v>
      </c>
      <c r="M1516" s="9" t="s">
        <v>227</v>
      </c>
      <c r="N1516" s="9" t="s">
        <v>50</v>
      </c>
      <c r="O1516" s="9" t="s">
        <v>51</v>
      </c>
      <c r="P1516" s="9"/>
      <c r="Q1516" s="9"/>
      <c r="R1516" s="9"/>
      <c r="S1516" s="14" t="s">
        <v>5512</v>
      </c>
      <c r="T1516" s="9" t="s">
        <v>5513</v>
      </c>
      <c r="U1516" s="9" t="s">
        <v>262</v>
      </c>
      <c r="V1516" s="9" t="s">
        <v>55</v>
      </c>
      <c r="W1516" s="9" t="s">
        <v>55</v>
      </c>
      <c r="X1516" s="12"/>
      <c r="Y1516" s="9" t="s">
        <v>55</v>
      </c>
      <c r="Z1516" s="13"/>
    </row>
    <row r="1517" spans="1:26" ht="32.25" hidden="1" customHeight="1">
      <c r="A1517" s="8">
        <v>2311561</v>
      </c>
      <c r="B1517" s="9" t="s">
        <v>5514</v>
      </c>
      <c r="C1517" s="10">
        <v>45156</v>
      </c>
      <c r="D1517" s="9" t="s">
        <v>79</v>
      </c>
      <c r="E1517" s="9" t="s">
        <v>143</v>
      </c>
      <c r="F1517" s="9" t="s">
        <v>80</v>
      </c>
      <c r="G1517" s="9" t="s">
        <v>43</v>
      </c>
      <c r="H1517" s="9" t="s">
        <v>44</v>
      </c>
      <c r="I1517" s="11" t="s">
        <v>725</v>
      </c>
      <c r="J1517" s="9" t="s">
        <v>145</v>
      </c>
      <c r="K1517" s="9" t="s">
        <v>47</v>
      </c>
      <c r="L1517" s="9" t="s">
        <v>598</v>
      </c>
      <c r="M1517" s="9" t="s">
        <v>1720</v>
      </c>
      <c r="N1517" s="9" t="s">
        <v>84</v>
      </c>
      <c r="O1517" s="9" t="s">
        <v>51</v>
      </c>
      <c r="P1517" s="9" t="s">
        <v>727</v>
      </c>
      <c r="Q1517" s="9"/>
      <c r="R1517" s="9"/>
      <c r="S1517" s="14" t="s">
        <v>5515</v>
      </c>
      <c r="T1517" s="9" t="s">
        <v>5516</v>
      </c>
      <c r="U1517" s="9" t="s">
        <v>54</v>
      </c>
      <c r="V1517" s="9" t="s">
        <v>251</v>
      </c>
      <c r="W1517" s="9" t="s">
        <v>115</v>
      </c>
      <c r="X1517" s="12"/>
      <c r="Y1517" s="9" t="s">
        <v>55</v>
      </c>
      <c r="Z1517" s="13"/>
    </row>
    <row r="1518" spans="1:26" ht="32.25" hidden="1" customHeight="1">
      <c r="A1518" s="8">
        <v>2301436</v>
      </c>
      <c r="B1518" s="9" t="s">
        <v>5517</v>
      </c>
      <c r="C1518" s="10">
        <v>45149</v>
      </c>
      <c r="D1518" s="9" t="s">
        <v>57</v>
      </c>
      <c r="E1518" s="9" t="s">
        <v>41</v>
      </c>
      <c r="F1518" s="9" t="s">
        <v>42</v>
      </c>
      <c r="G1518" s="9" t="s">
        <v>43</v>
      </c>
      <c r="H1518" s="9" t="s">
        <v>58</v>
      </c>
      <c r="I1518" s="11" t="s">
        <v>129</v>
      </c>
      <c r="J1518" s="9" t="s">
        <v>130</v>
      </c>
      <c r="K1518" s="9" t="s">
        <v>47</v>
      </c>
      <c r="L1518" s="9" t="s">
        <v>174</v>
      </c>
      <c r="M1518" s="9" t="s">
        <v>1190</v>
      </c>
      <c r="N1518" s="9" t="s">
        <v>84</v>
      </c>
      <c r="O1518" s="9" t="s">
        <v>51</v>
      </c>
      <c r="P1518" s="9"/>
      <c r="Q1518" s="9"/>
      <c r="R1518" s="9" t="s">
        <v>61</v>
      </c>
      <c r="S1518" s="14" t="s">
        <v>5518</v>
      </c>
      <c r="T1518" s="9" t="s">
        <v>5519</v>
      </c>
      <c r="U1518" s="9" t="s">
        <v>54</v>
      </c>
      <c r="V1518" s="9" t="s">
        <v>55</v>
      </c>
      <c r="W1518" s="9" t="s">
        <v>55</v>
      </c>
      <c r="X1518" s="9" t="s">
        <v>319</v>
      </c>
      <c r="Y1518" s="9" t="s">
        <v>320</v>
      </c>
      <c r="Z1518" s="13" t="s">
        <v>230</v>
      </c>
    </row>
    <row r="1519" spans="1:26" ht="32.25" hidden="1" customHeight="1">
      <c r="A1519" s="8">
        <v>2307824</v>
      </c>
      <c r="B1519" s="9" t="s">
        <v>5520</v>
      </c>
      <c r="C1519" s="10">
        <v>45142</v>
      </c>
      <c r="D1519" s="9" t="s">
        <v>67</v>
      </c>
      <c r="E1519" s="9" t="s">
        <v>89</v>
      </c>
      <c r="F1519" s="9" t="s">
        <v>42</v>
      </c>
      <c r="G1519" s="9" t="s">
        <v>43</v>
      </c>
      <c r="H1519" s="9" t="s">
        <v>44</v>
      </c>
      <c r="I1519" s="11" t="s">
        <v>354</v>
      </c>
      <c r="J1519" s="9" t="s">
        <v>91</v>
      </c>
      <c r="K1519" s="9" t="s">
        <v>47</v>
      </c>
      <c r="L1519" s="9" t="s">
        <v>48</v>
      </c>
      <c r="M1519" s="9" t="s">
        <v>3053</v>
      </c>
      <c r="N1519" s="9" t="s">
        <v>50</v>
      </c>
      <c r="O1519" s="9" t="s">
        <v>51</v>
      </c>
      <c r="P1519" s="9" t="s">
        <v>356</v>
      </c>
      <c r="Q1519" s="9"/>
      <c r="R1519" s="9"/>
      <c r="S1519" s="9" t="s">
        <v>5521</v>
      </c>
      <c r="T1519" s="9" t="s">
        <v>5522</v>
      </c>
      <c r="U1519" s="9" t="s">
        <v>54</v>
      </c>
      <c r="V1519" s="9" t="s">
        <v>55</v>
      </c>
      <c r="W1519" s="9" t="s">
        <v>55</v>
      </c>
      <c r="X1519" s="12"/>
      <c r="Y1519" s="9" t="s">
        <v>55</v>
      </c>
      <c r="Z1519" s="13"/>
    </row>
    <row r="1520" spans="1:26" ht="32.25" hidden="1" customHeight="1">
      <c r="A1520" s="8">
        <v>2305574</v>
      </c>
      <c r="B1520" s="9" t="s">
        <v>5523</v>
      </c>
      <c r="C1520" s="10">
        <v>45149</v>
      </c>
      <c r="D1520" s="9" t="s">
        <v>261</v>
      </c>
      <c r="E1520" s="9" t="s">
        <v>143</v>
      </c>
      <c r="F1520" s="9" t="s">
        <v>262</v>
      </c>
      <c r="G1520" s="9" t="s">
        <v>43</v>
      </c>
      <c r="H1520" s="9" t="s">
        <v>44</v>
      </c>
      <c r="I1520" s="11" t="s">
        <v>1136</v>
      </c>
      <c r="J1520" s="9" t="s">
        <v>1137</v>
      </c>
      <c r="K1520" s="9" t="s">
        <v>47</v>
      </c>
      <c r="L1520" s="9" t="s">
        <v>156</v>
      </c>
      <c r="M1520" s="9"/>
      <c r="N1520" s="9" t="s">
        <v>50</v>
      </c>
      <c r="O1520" s="9" t="s">
        <v>51</v>
      </c>
      <c r="P1520" s="9"/>
      <c r="Q1520" s="9"/>
      <c r="R1520" s="9"/>
      <c r="S1520" s="14" t="s">
        <v>5524</v>
      </c>
      <c r="T1520" s="9" t="s">
        <v>5525</v>
      </c>
      <c r="U1520" s="9" t="s">
        <v>262</v>
      </c>
      <c r="V1520" s="9"/>
      <c r="W1520" s="9" t="s">
        <v>115</v>
      </c>
      <c r="X1520" s="12"/>
      <c r="Y1520" s="9" t="s">
        <v>55</v>
      </c>
      <c r="Z1520" s="13"/>
    </row>
    <row r="1521" spans="1:26" ht="32.25" hidden="1" customHeight="1">
      <c r="A1521" s="8">
        <v>2303197</v>
      </c>
      <c r="B1521" s="9" t="s">
        <v>5526</v>
      </c>
      <c r="C1521" s="10">
        <v>45149</v>
      </c>
      <c r="D1521" s="9" t="s">
        <v>57</v>
      </c>
      <c r="E1521" s="9" t="s">
        <v>41</v>
      </c>
      <c r="F1521" s="9" t="s">
        <v>42</v>
      </c>
      <c r="G1521" s="9" t="s">
        <v>43</v>
      </c>
      <c r="H1521" s="9" t="s">
        <v>58</v>
      </c>
      <c r="I1521" s="11" t="s">
        <v>661</v>
      </c>
      <c r="J1521" s="9" t="s">
        <v>662</v>
      </c>
      <c r="K1521" s="9" t="s">
        <v>47</v>
      </c>
      <c r="L1521" s="9" t="s">
        <v>156</v>
      </c>
      <c r="M1521" s="9"/>
      <c r="N1521" s="9" t="s">
        <v>50</v>
      </c>
      <c r="O1521" s="9" t="s">
        <v>51</v>
      </c>
      <c r="P1521" s="9"/>
      <c r="Q1521" s="9"/>
      <c r="R1521" s="9"/>
      <c r="S1521" s="14" t="s">
        <v>5527</v>
      </c>
      <c r="T1521" s="9" t="s">
        <v>5528</v>
      </c>
      <c r="U1521" s="9" t="s">
        <v>54</v>
      </c>
      <c r="V1521" s="9" t="s">
        <v>55</v>
      </c>
      <c r="W1521" s="9" t="s">
        <v>55</v>
      </c>
      <c r="X1521" s="12"/>
      <c r="Y1521" s="9" t="s">
        <v>55</v>
      </c>
      <c r="Z1521" s="13"/>
    </row>
    <row r="1522" spans="1:26" ht="32.25" hidden="1" customHeight="1">
      <c r="A1522" s="8">
        <v>2301743</v>
      </c>
      <c r="B1522" s="9" t="s">
        <v>5529</v>
      </c>
      <c r="C1522" s="10">
        <v>45156</v>
      </c>
      <c r="D1522" s="9" t="s">
        <v>79</v>
      </c>
      <c r="E1522" s="9" t="s">
        <v>89</v>
      </c>
      <c r="F1522" s="9" t="s">
        <v>80</v>
      </c>
      <c r="G1522" s="9" t="s">
        <v>43</v>
      </c>
      <c r="H1522" s="9" t="s">
        <v>44</v>
      </c>
      <c r="I1522" s="11" t="s">
        <v>101</v>
      </c>
      <c r="J1522" s="9" t="s">
        <v>102</v>
      </c>
      <c r="K1522" s="9" t="s">
        <v>47</v>
      </c>
      <c r="L1522" s="9" t="s">
        <v>1040</v>
      </c>
      <c r="M1522" s="9" t="s">
        <v>1041</v>
      </c>
      <c r="N1522" s="9" t="s">
        <v>50</v>
      </c>
      <c r="O1522" s="9" t="s">
        <v>51</v>
      </c>
      <c r="P1522" s="9" t="s">
        <v>447</v>
      </c>
      <c r="Q1522" s="9"/>
      <c r="R1522" s="9"/>
      <c r="S1522" s="14" t="s">
        <v>5530</v>
      </c>
      <c r="T1522" s="9" t="s">
        <v>5531</v>
      </c>
      <c r="U1522" s="9" t="s">
        <v>54</v>
      </c>
      <c r="V1522" s="9" t="s">
        <v>55</v>
      </c>
      <c r="W1522" s="9" t="s">
        <v>55</v>
      </c>
      <c r="X1522" s="12"/>
      <c r="Y1522" s="9" t="s">
        <v>55</v>
      </c>
      <c r="Z1522" s="13"/>
    </row>
    <row r="1523" spans="1:26" ht="32.25" hidden="1" customHeight="1">
      <c r="A1523" s="8">
        <v>2311737</v>
      </c>
      <c r="B1523" s="9" t="s">
        <v>5532</v>
      </c>
      <c r="C1523" s="10">
        <v>45149</v>
      </c>
      <c r="D1523" s="9" t="s">
        <v>261</v>
      </c>
      <c r="E1523" s="9" t="s">
        <v>89</v>
      </c>
      <c r="F1523" s="9" t="s">
        <v>262</v>
      </c>
      <c r="G1523" s="9" t="s">
        <v>43</v>
      </c>
      <c r="H1523" s="9" t="s">
        <v>44</v>
      </c>
      <c r="I1523" s="11" t="s">
        <v>685</v>
      </c>
      <c r="J1523" s="9" t="s">
        <v>686</v>
      </c>
      <c r="K1523" s="9" t="s">
        <v>47</v>
      </c>
      <c r="L1523" s="9" t="s">
        <v>156</v>
      </c>
      <c r="M1523" s="9"/>
      <c r="N1523" s="9" t="s">
        <v>50</v>
      </c>
      <c r="O1523" s="9" t="s">
        <v>51</v>
      </c>
      <c r="P1523" s="9"/>
      <c r="Q1523" s="9"/>
      <c r="R1523" s="9"/>
      <c r="S1523" s="14" t="s">
        <v>5533</v>
      </c>
      <c r="T1523" s="9" t="s">
        <v>5534</v>
      </c>
      <c r="U1523" s="9" t="s">
        <v>262</v>
      </c>
      <c r="V1523" s="9" t="s">
        <v>55</v>
      </c>
      <c r="W1523" s="9" t="s">
        <v>55</v>
      </c>
      <c r="X1523" s="12"/>
      <c r="Y1523" s="9" t="s">
        <v>55</v>
      </c>
      <c r="Z1523" s="13"/>
    </row>
    <row r="1524" spans="1:26" ht="32.25" hidden="1" customHeight="1">
      <c r="A1524" s="8">
        <v>2311060</v>
      </c>
      <c r="B1524" s="9" t="s">
        <v>5535</v>
      </c>
      <c r="C1524" s="10">
        <v>45156</v>
      </c>
      <c r="D1524" s="9" t="s">
        <v>79</v>
      </c>
      <c r="E1524" s="9" t="s">
        <v>41</v>
      </c>
      <c r="F1524" s="9" t="s">
        <v>80</v>
      </c>
      <c r="G1524" s="9" t="s">
        <v>43</v>
      </c>
      <c r="H1524" s="9" t="s">
        <v>44</v>
      </c>
      <c r="I1524" s="11" t="s">
        <v>478</v>
      </c>
      <c r="J1524" s="9" t="s">
        <v>479</v>
      </c>
      <c r="K1524" s="9" t="s">
        <v>110</v>
      </c>
      <c r="L1524" s="9" t="s">
        <v>119</v>
      </c>
      <c r="M1524" s="9" t="s">
        <v>5536</v>
      </c>
      <c r="N1524" s="9" t="s">
        <v>50</v>
      </c>
      <c r="O1524" s="9" t="s">
        <v>51</v>
      </c>
      <c r="P1524" s="9" t="s">
        <v>482</v>
      </c>
      <c r="Q1524" s="9"/>
      <c r="R1524" s="9" t="s">
        <v>61</v>
      </c>
      <c r="S1524" s="14" t="s">
        <v>5537</v>
      </c>
      <c r="T1524" s="9" t="s">
        <v>5538</v>
      </c>
      <c r="U1524" s="9" t="s">
        <v>54</v>
      </c>
      <c r="V1524" s="9" t="s">
        <v>55</v>
      </c>
      <c r="W1524" s="9" t="s">
        <v>115</v>
      </c>
      <c r="X1524" s="12" t="s">
        <v>150</v>
      </c>
      <c r="Y1524" s="9" t="s">
        <v>151</v>
      </c>
      <c r="Z1524" s="13"/>
    </row>
    <row r="1525" spans="1:26" ht="32.25" hidden="1" customHeight="1">
      <c r="A1525" s="8">
        <v>2309563</v>
      </c>
      <c r="B1525" s="9" t="s">
        <v>5539</v>
      </c>
      <c r="C1525" s="10">
        <v>45149</v>
      </c>
      <c r="D1525" s="9" t="s">
        <v>57</v>
      </c>
      <c r="E1525" s="9" t="s">
        <v>153</v>
      </c>
      <c r="F1525" s="9" t="s">
        <v>42</v>
      </c>
      <c r="G1525" s="9" t="s">
        <v>43</v>
      </c>
      <c r="H1525" s="9" t="s">
        <v>58</v>
      </c>
      <c r="I1525" s="11" t="s">
        <v>154</v>
      </c>
      <c r="J1525" s="9" t="s">
        <v>155</v>
      </c>
      <c r="K1525" s="9" t="s">
        <v>47</v>
      </c>
      <c r="L1525" s="9" t="s">
        <v>822</v>
      </c>
      <c r="M1525" s="9" t="s">
        <v>2104</v>
      </c>
      <c r="N1525" s="9" t="s">
        <v>84</v>
      </c>
      <c r="O1525" s="9" t="s">
        <v>51</v>
      </c>
      <c r="P1525" s="9"/>
      <c r="Q1525" s="9"/>
      <c r="R1525" s="9" t="s">
        <v>61</v>
      </c>
      <c r="S1525" s="14" t="s">
        <v>5540</v>
      </c>
      <c r="T1525" s="9" t="s">
        <v>5541</v>
      </c>
      <c r="U1525" s="9" t="s">
        <v>54</v>
      </c>
      <c r="V1525" s="9" t="s">
        <v>55</v>
      </c>
      <c r="W1525" s="9" t="s">
        <v>55</v>
      </c>
      <c r="X1525" s="12" t="s">
        <v>171</v>
      </c>
      <c r="Y1525" s="9" t="s">
        <v>172</v>
      </c>
      <c r="Z1525" s="13"/>
    </row>
    <row r="1526" spans="1:26" ht="32.25" hidden="1" customHeight="1">
      <c r="A1526" s="8">
        <v>2310992</v>
      </c>
      <c r="B1526" s="9" t="s">
        <v>5542</v>
      </c>
      <c r="C1526" s="10">
        <v>45156</v>
      </c>
      <c r="D1526" s="9" t="s">
        <v>79</v>
      </c>
      <c r="E1526" s="9" t="s">
        <v>143</v>
      </c>
      <c r="F1526" s="9" t="s">
        <v>80</v>
      </c>
      <c r="G1526" s="9" t="s">
        <v>43</v>
      </c>
      <c r="H1526" s="9" t="s">
        <v>44</v>
      </c>
      <c r="I1526" s="11" t="s">
        <v>326</v>
      </c>
      <c r="J1526" s="9" t="s">
        <v>327</v>
      </c>
      <c r="K1526" s="9" t="s">
        <v>47</v>
      </c>
      <c r="L1526" s="9" t="s">
        <v>48</v>
      </c>
      <c r="M1526" s="9" t="s">
        <v>3276</v>
      </c>
      <c r="N1526" s="9" t="s">
        <v>84</v>
      </c>
      <c r="O1526" s="9" t="s">
        <v>51</v>
      </c>
      <c r="P1526" s="9" t="s">
        <v>1143</v>
      </c>
      <c r="Q1526" s="9"/>
      <c r="R1526" s="9"/>
      <c r="S1526" s="14" t="s">
        <v>5543</v>
      </c>
      <c r="T1526" s="9"/>
      <c r="U1526" s="9" t="s">
        <v>54</v>
      </c>
      <c r="V1526" s="9"/>
      <c r="W1526" s="9" t="s">
        <v>115</v>
      </c>
      <c r="X1526" s="12"/>
      <c r="Y1526" s="9" t="s">
        <v>55</v>
      </c>
      <c r="Z1526" s="13"/>
    </row>
    <row r="1527" spans="1:26" ht="32.25" hidden="1" customHeight="1">
      <c r="A1527" s="8">
        <v>2302271</v>
      </c>
      <c r="B1527" s="9" t="s">
        <v>5544</v>
      </c>
      <c r="C1527" s="10">
        <v>45149</v>
      </c>
      <c r="D1527" s="9" t="s">
        <v>57</v>
      </c>
      <c r="E1527" s="9" t="s">
        <v>295</v>
      </c>
      <c r="F1527" s="9" t="s">
        <v>42</v>
      </c>
      <c r="G1527" s="9" t="s">
        <v>43</v>
      </c>
      <c r="H1527" s="9" t="s">
        <v>58</v>
      </c>
      <c r="I1527" s="11" t="s">
        <v>296</v>
      </c>
      <c r="J1527" s="9" t="s">
        <v>297</v>
      </c>
      <c r="K1527" s="9" t="s">
        <v>47</v>
      </c>
      <c r="L1527" s="9" t="s">
        <v>48</v>
      </c>
      <c r="M1527" s="9" t="s">
        <v>242</v>
      </c>
      <c r="N1527" s="9" t="s">
        <v>84</v>
      </c>
      <c r="O1527" s="9" t="s">
        <v>51</v>
      </c>
      <c r="P1527" s="9"/>
      <c r="Q1527" s="9"/>
      <c r="R1527" s="9"/>
      <c r="S1527" s="14" t="s">
        <v>5545</v>
      </c>
      <c r="T1527" s="9" t="s">
        <v>5546</v>
      </c>
      <c r="U1527" s="9" t="s">
        <v>54</v>
      </c>
      <c r="V1527" s="9" t="s">
        <v>55</v>
      </c>
      <c r="W1527" s="9" t="s">
        <v>55</v>
      </c>
      <c r="X1527" s="12"/>
      <c r="Y1527" s="9" t="s">
        <v>55</v>
      </c>
      <c r="Z1527" s="13"/>
    </row>
    <row r="1528" spans="1:26" ht="32.25" hidden="1" customHeight="1">
      <c r="A1528" s="8">
        <v>2310340</v>
      </c>
      <c r="B1528" s="9" t="s">
        <v>5547</v>
      </c>
      <c r="C1528" s="10">
        <v>45156</v>
      </c>
      <c r="D1528" s="9" t="s">
        <v>79</v>
      </c>
      <c r="E1528" s="9" t="s">
        <v>89</v>
      </c>
      <c r="F1528" s="9" t="s">
        <v>80</v>
      </c>
      <c r="G1528" s="9" t="s">
        <v>43</v>
      </c>
      <c r="H1528" s="9" t="s">
        <v>44</v>
      </c>
      <c r="I1528" s="11" t="s">
        <v>90</v>
      </c>
      <c r="J1528" s="9" t="s">
        <v>91</v>
      </c>
      <c r="K1528" s="9" t="s">
        <v>47</v>
      </c>
      <c r="L1528" s="9" t="s">
        <v>713</v>
      </c>
      <c r="M1528" s="9" t="s">
        <v>2920</v>
      </c>
      <c r="N1528" s="9" t="s">
        <v>84</v>
      </c>
      <c r="O1528" s="9" t="s">
        <v>51</v>
      </c>
      <c r="P1528" s="9" t="s">
        <v>546</v>
      </c>
      <c r="Q1528" s="9"/>
      <c r="R1528" s="9" t="s">
        <v>61</v>
      </c>
      <c r="S1528" s="14" t="s">
        <v>5548</v>
      </c>
      <c r="T1528" s="9" t="s">
        <v>5549</v>
      </c>
      <c r="U1528" s="9" t="s">
        <v>54</v>
      </c>
      <c r="V1528" s="9" t="s">
        <v>711</v>
      </c>
      <c r="W1528" s="9" t="s">
        <v>115</v>
      </c>
      <c r="X1528" s="12" t="s">
        <v>98</v>
      </c>
      <c r="Y1528" s="9" t="s">
        <v>99</v>
      </c>
      <c r="Z1528" s="13"/>
    </row>
    <row r="1529" spans="1:26" ht="32.25" hidden="1" customHeight="1">
      <c r="A1529" s="8">
        <v>2302058</v>
      </c>
      <c r="B1529" s="9" t="s">
        <v>5550</v>
      </c>
      <c r="C1529" s="10">
        <v>45149</v>
      </c>
      <c r="D1529" s="9" t="s">
        <v>57</v>
      </c>
      <c r="E1529" s="9" t="s">
        <v>41</v>
      </c>
      <c r="F1529" s="9" t="s">
        <v>42</v>
      </c>
      <c r="G1529" s="9" t="s">
        <v>43</v>
      </c>
      <c r="H1529" s="9" t="s">
        <v>58</v>
      </c>
      <c r="I1529" s="11" t="s">
        <v>199</v>
      </c>
      <c r="J1529" s="9" t="s">
        <v>200</v>
      </c>
      <c r="K1529" s="9" t="s">
        <v>47</v>
      </c>
      <c r="L1529" s="9" t="s">
        <v>48</v>
      </c>
      <c r="M1529" s="9" t="s">
        <v>1943</v>
      </c>
      <c r="N1529" s="9" t="s">
        <v>84</v>
      </c>
      <c r="O1529" s="9" t="s">
        <v>51</v>
      </c>
      <c r="P1529" s="9"/>
      <c r="Q1529" s="9"/>
      <c r="R1529" s="9"/>
      <c r="S1529" s="14" t="s">
        <v>5551</v>
      </c>
      <c r="T1529" s="9" t="s">
        <v>5552</v>
      </c>
      <c r="U1529" s="9" t="s">
        <v>54</v>
      </c>
      <c r="V1529" s="9" t="s">
        <v>55</v>
      </c>
      <c r="W1529" s="9" t="s">
        <v>55</v>
      </c>
      <c r="X1529" s="12"/>
      <c r="Y1529" s="9" t="s">
        <v>55</v>
      </c>
      <c r="Z1529" s="13"/>
    </row>
    <row r="1530" spans="1:26" ht="32.25" hidden="1" customHeight="1">
      <c r="A1530" s="8">
        <v>2306393</v>
      </c>
      <c r="B1530" s="9" t="s">
        <v>5553</v>
      </c>
      <c r="C1530" s="10">
        <v>45149</v>
      </c>
      <c r="D1530" s="9" t="s">
        <v>57</v>
      </c>
      <c r="E1530" s="9" t="s">
        <v>41</v>
      </c>
      <c r="F1530" s="9" t="s">
        <v>42</v>
      </c>
      <c r="G1530" s="9" t="s">
        <v>43</v>
      </c>
      <c r="H1530" s="9" t="s">
        <v>58</v>
      </c>
      <c r="I1530" s="11" t="s">
        <v>129</v>
      </c>
      <c r="J1530" s="9" t="s">
        <v>130</v>
      </c>
      <c r="K1530" s="9" t="s">
        <v>47</v>
      </c>
      <c r="L1530" s="9" t="s">
        <v>1992</v>
      </c>
      <c r="M1530" s="9" t="s">
        <v>1993</v>
      </c>
      <c r="N1530" s="9" t="s">
        <v>50</v>
      </c>
      <c r="O1530" s="9" t="s">
        <v>51</v>
      </c>
      <c r="P1530" s="9"/>
      <c r="Q1530" s="9"/>
      <c r="R1530" s="9" t="s">
        <v>61</v>
      </c>
      <c r="S1530" s="14" t="s">
        <v>5554</v>
      </c>
      <c r="T1530" s="9" t="s">
        <v>5555</v>
      </c>
      <c r="U1530" s="9" t="s">
        <v>54</v>
      </c>
      <c r="V1530" s="9" t="s">
        <v>55</v>
      </c>
      <c r="W1530" s="9" t="s">
        <v>55</v>
      </c>
      <c r="X1530" s="9" t="s">
        <v>196</v>
      </c>
      <c r="Y1530" s="9" t="s">
        <v>197</v>
      </c>
      <c r="Z1530" s="13" t="s">
        <v>230</v>
      </c>
    </row>
    <row r="1531" spans="1:26" ht="32.25" hidden="1" customHeight="1">
      <c r="A1531" s="8">
        <v>2303476</v>
      </c>
      <c r="B1531" s="9" t="s">
        <v>5556</v>
      </c>
      <c r="C1531" s="10">
        <v>45149</v>
      </c>
      <c r="D1531" s="9" t="s">
        <v>57</v>
      </c>
      <c r="E1531" s="9" t="s">
        <v>41</v>
      </c>
      <c r="F1531" s="9" t="s">
        <v>42</v>
      </c>
      <c r="G1531" s="9" t="s">
        <v>43</v>
      </c>
      <c r="H1531" s="9" t="s">
        <v>58</v>
      </c>
      <c r="I1531" s="11" t="s">
        <v>129</v>
      </c>
      <c r="J1531" s="9" t="s">
        <v>130</v>
      </c>
      <c r="K1531" s="9" t="s">
        <v>47</v>
      </c>
      <c r="L1531" s="9" t="s">
        <v>156</v>
      </c>
      <c r="M1531" s="9" t="s">
        <v>737</v>
      </c>
      <c r="N1531" s="9" t="s">
        <v>84</v>
      </c>
      <c r="O1531" s="9" t="s">
        <v>51</v>
      </c>
      <c r="P1531" s="9"/>
      <c r="Q1531" s="9"/>
      <c r="R1531" s="9"/>
      <c r="S1531" s="14" t="s">
        <v>5557</v>
      </c>
      <c r="T1531" s="9" t="s">
        <v>5558</v>
      </c>
      <c r="U1531" s="9" t="s">
        <v>54</v>
      </c>
      <c r="V1531" s="9" t="s">
        <v>55</v>
      </c>
      <c r="W1531" s="9" t="s">
        <v>55</v>
      </c>
      <c r="X1531" s="12"/>
      <c r="Y1531" s="9" t="s">
        <v>55</v>
      </c>
      <c r="Z1531" s="13"/>
    </row>
    <row r="1532" spans="1:26" ht="32.25" hidden="1" customHeight="1">
      <c r="A1532" s="8">
        <v>2306685</v>
      </c>
      <c r="B1532" s="9" t="s">
        <v>5559</v>
      </c>
      <c r="C1532" s="10">
        <v>45156</v>
      </c>
      <c r="D1532" s="9" t="s">
        <v>79</v>
      </c>
      <c r="E1532" s="9" t="s">
        <v>143</v>
      </c>
      <c r="F1532" s="9" t="s">
        <v>80</v>
      </c>
      <c r="G1532" s="9" t="s">
        <v>43</v>
      </c>
      <c r="H1532" s="9" t="s">
        <v>44</v>
      </c>
      <c r="I1532" s="11" t="s">
        <v>725</v>
      </c>
      <c r="J1532" s="9" t="s">
        <v>145</v>
      </c>
      <c r="K1532" s="9" t="s">
        <v>47</v>
      </c>
      <c r="L1532" s="9" t="s">
        <v>226</v>
      </c>
      <c r="M1532" s="9" t="s">
        <v>4168</v>
      </c>
      <c r="N1532" s="9" t="s">
        <v>50</v>
      </c>
      <c r="O1532" s="9" t="s">
        <v>51</v>
      </c>
      <c r="P1532" s="9" t="s">
        <v>727</v>
      </c>
      <c r="Q1532" s="9"/>
      <c r="R1532" s="9" t="s">
        <v>61</v>
      </c>
      <c r="S1532" s="14" t="s">
        <v>5560</v>
      </c>
      <c r="T1532" s="9" t="s">
        <v>5561</v>
      </c>
      <c r="U1532" s="9" t="s">
        <v>54</v>
      </c>
      <c r="V1532" s="9" t="s">
        <v>251</v>
      </c>
      <c r="W1532" s="9" t="s">
        <v>115</v>
      </c>
      <c r="X1532" s="12" t="s">
        <v>171</v>
      </c>
      <c r="Y1532" s="9" t="s">
        <v>172</v>
      </c>
      <c r="Z1532" s="13"/>
    </row>
    <row r="1533" spans="1:26" ht="32.25" hidden="1" customHeight="1">
      <c r="A1533" s="8">
        <v>2300861</v>
      </c>
      <c r="B1533" s="9" t="s">
        <v>5562</v>
      </c>
      <c r="C1533" s="10">
        <v>45142</v>
      </c>
      <c r="D1533" s="9" t="s">
        <v>67</v>
      </c>
      <c r="E1533" s="9" t="s">
        <v>68</v>
      </c>
      <c r="F1533" s="9" t="s">
        <v>42</v>
      </c>
      <c r="G1533" s="9" t="s">
        <v>43</v>
      </c>
      <c r="H1533" s="9" t="s">
        <v>44</v>
      </c>
      <c r="I1533" s="11" t="s">
        <v>69</v>
      </c>
      <c r="J1533" s="9" t="s">
        <v>70</v>
      </c>
      <c r="K1533" s="9" t="s">
        <v>47</v>
      </c>
      <c r="L1533" s="9" t="s">
        <v>48</v>
      </c>
      <c r="M1533" s="9" t="s">
        <v>242</v>
      </c>
      <c r="N1533" s="9" t="s">
        <v>50</v>
      </c>
      <c r="O1533" s="9" t="s">
        <v>51</v>
      </c>
      <c r="P1533" s="9" t="s">
        <v>73</v>
      </c>
      <c r="Q1533" s="9"/>
      <c r="R1533" s="9"/>
      <c r="S1533" s="9" t="s">
        <v>5563</v>
      </c>
      <c r="T1533" s="9" t="s">
        <v>5564</v>
      </c>
      <c r="U1533" s="9" t="s">
        <v>54</v>
      </c>
      <c r="V1533" s="9" t="s">
        <v>55</v>
      </c>
      <c r="W1533" s="9" t="s">
        <v>55</v>
      </c>
      <c r="X1533" s="12"/>
      <c r="Y1533" s="9" t="s">
        <v>55</v>
      </c>
      <c r="Z1533" s="13"/>
    </row>
    <row r="1534" spans="1:26" ht="32.25" hidden="1" customHeight="1">
      <c r="A1534" s="8">
        <v>2312218</v>
      </c>
      <c r="B1534" s="9" t="s">
        <v>5565</v>
      </c>
      <c r="C1534" s="10">
        <v>45156</v>
      </c>
      <c r="D1534" s="9" t="s">
        <v>79</v>
      </c>
      <c r="E1534" s="9" t="s">
        <v>143</v>
      </c>
      <c r="F1534" s="9" t="s">
        <v>80</v>
      </c>
      <c r="G1534" s="9" t="s">
        <v>43</v>
      </c>
      <c r="H1534" s="9" t="s">
        <v>44</v>
      </c>
      <c r="I1534" s="11" t="s">
        <v>326</v>
      </c>
      <c r="J1534" s="9" t="s">
        <v>327</v>
      </c>
      <c r="K1534" s="9" t="s">
        <v>47</v>
      </c>
      <c r="L1534" s="9" t="s">
        <v>799</v>
      </c>
      <c r="M1534" s="9" t="s">
        <v>1490</v>
      </c>
      <c r="N1534" s="9" t="s">
        <v>84</v>
      </c>
      <c r="O1534" s="9" t="s">
        <v>51</v>
      </c>
      <c r="P1534" s="9" t="s">
        <v>1646</v>
      </c>
      <c r="Q1534" s="9"/>
      <c r="R1534" s="9" t="s">
        <v>61</v>
      </c>
      <c r="S1534" s="14" t="s">
        <v>5566</v>
      </c>
      <c r="T1534" s="9" t="s">
        <v>5567</v>
      </c>
      <c r="U1534" s="9" t="s">
        <v>54</v>
      </c>
      <c r="V1534" s="9" t="s">
        <v>55</v>
      </c>
      <c r="W1534" s="9" t="s">
        <v>115</v>
      </c>
      <c r="X1534" s="12" t="s">
        <v>150</v>
      </c>
      <c r="Y1534" s="9" t="s">
        <v>151</v>
      </c>
      <c r="Z1534" s="13"/>
    </row>
    <row r="1535" spans="1:26" ht="32.25" hidden="1" customHeight="1">
      <c r="A1535" s="8">
        <v>2314330</v>
      </c>
      <c r="B1535" s="9" t="s">
        <v>5568</v>
      </c>
      <c r="C1535" s="10">
        <v>45156</v>
      </c>
      <c r="D1535" s="9" t="s">
        <v>79</v>
      </c>
      <c r="E1535" s="9" t="s">
        <v>295</v>
      </c>
      <c r="F1535" s="9" t="s">
        <v>80</v>
      </c>
      <c r="G1535" s="9" t="s">
        <v>43</v>
      </c>
      <c r="H1535" s="9" t="s">
        <v>44</v>
      </c>
      <c r="I1535" s="11" t="s">
        <v>1972</v>
      </c>
      <c r="J1535" s="9" t="s">
        <v>297</v>
      </c>
      <c r="K1535" s="9" t="s">
        <v>47</v>
      </c>
      <c r="L1535" s="9" t="s">
        <v>156</v>
      </c>
      <c r="M1535" s="9"/>
      <c r="N1535" s="9" t="s">
        <v>50</v>
      </c>
      <c r="O1535" s="9" t="s">
        <v>51</v>
      </c>
      <c r="P1535" s="9" t="s">
        <v>5569</v>
      </c>
      <c r="Q1535" s="9"/>
      <c r="R1535" s="9"/>
      <c r="S1535" s="14" t="s">
        <v>5570</v>
      </c>
      <c r="T1535" s="9" t="s">
        <v>5571</v>
      </c>
      <c r="U1535" s="9" t="s">
        <v>54</v>
      </c>
      <c r="V1535" s="9" t="s">
        <v>55</v>
      </c>
      <c r="W1535" s="9" t="s">
        <v>55</v>
      </c>
      <c r="X1535" s="12"/>
      <c r="Y1535" s="9" t="s">
        <v>55</v>
      </c>
      <c r="Z1535" s="13"/>
    </row>
    <row r="1536" spans="1:26" ht="32.25" hidden="1" customHeight="1">
      <c r="A1536" s="8">
        <v>2308882</v>
      </c>
      <c r="B1536" s="9" t="s">
        <v>5572</v>
      </c>
      <c r="C1536" s="10">
        <v>45142</v>
      </c>
      <c r="D1536" s="9" t="s">
        <v>67</v>
      </c>
      <c r="E1536" s="9" t="s">
        <v>89</v>
      </c>
      <c r="F1536" s="9" t="s">
        <v>42</v>
      </c>
      <c r="G1536" s="9" t="s">
        <v>43</v>
      </c>
      <c r="H1536" s="9" t="s">
        <v>44</v>
      </c>
      <c r="I1536" s="11" t="s">
        <v>360</v>
      </c>
      <c r="J1536" s="9" t="s">
        <v>102</v>
      </c>
      <c r="K1536" s="9" t="s">
        <v>47</v>
      </c>
      <c r="L1536" s="9" t="s">
        <v>156</v>
      </c>
      <c r="M1536" s="9"/>
      <c r="N1536" s="9" t="s">
        <v>84</v>
      </c>
      <c r="O1536" s="9" t="s">
        <v>51</v>
      </c>
      <c r="P1536" s="9" t="s">
        <v>361</v>
      </c>
      <c r="Q1536" s="9"/>
      <c r="R1536" s="9"/>
      <c r="S1536" s="9" t="s">
        <v>5573</v>
      </c>
      <c r="T1536" s="9" t="s">
        <v>5574</v>
      </c>
      <c r="U1536" s="9" t="s">
        <v>54</v>
      </c>
      <c r="V1536" s="9" t="s">
        <v>55</v>
      </c>
      <c r="W1536" s="9" t="s">
        <v>55</v>
      </c>
      <c r="X1536" s="12"/>
      <c r="Y1536" s="9" t="s">
        <v>55</v>
      </c>
      <c r="Z1536" s="13"/>
    </row>
    <row r="1537" spans="1:26" ht="32.25" hidden="1" customHeight="1">
      <c r="A1537" s="8">
        <v>2315380</v>
      </c>
      <c r="B1537" s="9" t="s">
        <v>5575</v>
      </c>
      <c r="C1537" s="10">
        <v>45152</v>
      </c>
      <c r="D1537" s="9" t="s">
        <v>185</v>
      </c>
      <c r="E1537" s="9" t="s">
        <v>41</v>
      </c>
      <c r="F1537" s="9" t="s">
        <v>42</v>
      </c>
      <c r="G1537" s="9" t="s">
        <v>43</v>
      </c>
      <c r="H1537" s="9" t="s">
        <v>44</v>
      </c>
      <c r="I1537" s="11" t="s">
        <v>45</v>
      </c>
      <c r="J1537" s="9" t="s">
        <v>46</v>
      </c>
      <c r="K1537" s="9" t="s">
        <v>1158</v>
      </c>
      <c r="L1537" s="9"/>
      <c r="M1537" s="9" t="s">
        <v>2892</v>
      </c>
      <c r="N1537" s="9" t="s">
        <v>50</v>
      </c>
      <c r="O1537" s="9" t="s">
        <v>187</v>
      </c>
      <c r="P1537" s="9"/>
      <c r="Q1537" s="9"/>
      <c r="R1537" s="9" t="s">
        <v>61</v>
      </c>
      <c r="S1537" s="14" t="s">
        <v>5576</v>
      </c>
      <c r="T1537" s="9" t="s">
        <v>5577</v>
      </c>
      <c r="U1537" s="9" t="s">
        <v>54</v>
      </c>
      <c r="V1537" s="9" t="s">
        <v>55</v>
      </c>
      <c r="W1537" s="9" t="s">
        <v>55</v>
      </c>
      <c r="X1537" s="9" t="s">
        <v>196</v>
      </c>
      <c r="Y1537" s="9" t="s">
        <v>197</v>
      </c>
      <c r="Z1537" s="13"/>
    </row>
    <row r="1538" spans="1:26" ht="32.25" hidden="1" customHeight="1">
      <c r="A1538" s="8">
        <v>2305427</v>
      </c>
      <c r="B1538" s="9" t="s">
        <v>5578</v>
      </c>
      <c r="C1538" s="10">
        <v>45142</v>
      </c>
      <c r="D1538" s="9" t="s">
        <v>67</v>
      </c>
      <c r="E1538" s="9" t="s">
        <v>143</v>
      </c>
      <c r="F1538" s="9" t="s">
        <v>42</v>
      </c>
      <c r="G1538" s="9" t="s">
        <v>43</v>
      </c>
      <c r="H1538" s="9" t="s">
        <v>44</v>
      </c>
      <c r="I1538" s="11" t="s">
        <v>460</v>
      </c>
      <c r="J1538" s="9" t="s">
        <v>400</v>
      </c>
      <c r="K1538" s="9" t="s">
        <v>47</v>
      </c>
      <c r="L1538" s="9" t="s">
        <v>156</v>
      </c>
      <c r="M1538" s="9"/>
      <c r="N1538" s="9" t="s">
        <v>50</v>
      </c>
      <c r="O1538" s="9" t="s">
        <v>51</v>
      </c>
      <c r="P1538" s="9"/>
      <c r="Q1538" s="9"/>
      <c r="R1538" s="9"/>
      <c r="S1538" s="9" t="s">
        <v>5579</v>
      </c>
      <c r="T1538" s="9" t="s">
        <v>5580</v>
      </c>
      <c r="U1538" s="9" t="s">
        <v>54</v>
      </c>
      <c r="V1538" s="9" t="s">
        <v>55</v>
      </c>
      <c r="W1538" s="9" t="s">
        <v>55</v>
      </c>
      <c r="X1538" s="12"/>
      <c r="Y1538" s="9" t="s">
        <v>55</v>
      </c>
      <c r="Z1538" s="13"/>
    </row>
    <row r="1539" spans="1:26" ht="32.25" hidden="1" customHeight="1">
      <c r="A1539" s="8">
        <v>2309397</v>
      </c>
      <c r="B1539" s="9" t="s">
        <v>5581</v>
      </c>
      <c r="C1539" s="10">
        <v>45149</v>
      </c>
      <c r="D1539" s="9" t="s">
        <v>261</v>
      </c>
      <c r="E1539" s="9" t="s">
        <v>89</v>
      </c>
      <c r="F1539" s="9" t="s">
        <v>262</v>
      </c>
      <c r="G1539" s="9" t="s">
        <v>43</v>
      </c>
      <c r="H1539" s="9" t="s">
        <v>44</v>
      </c>
      <c r="I1539" s="11" t="s">
        <v>1488</v>
      </c>
      <c r="J1539" s="9" t="s">
        <v>1489</v>
      </c>
      <c r="K1539" s="9" t="s">
        <v>47</v>
      </c>
      <c r="L1539" s="9" t="s">
        <v>713</v>
      </c>
      <c r="M1539" s="9" t="s">
        <v>714</v>
      </c>
      <c r="N1539" s="9" t="s">
        <v>50</v>
      </c>
      <c r="O1539" s="9" t="s">
        <v>51</v>
      </c>
      <c r="P1539" s="9"/>
      <c r="Q1539" s="9"/>
      <c r="R1539" s="9" t="s">
        <v>61</v>
      </c>
      <c r="S1539" s="14" t="s">
        <v>5582</v>
      </c>
      <c r="T1539" s="9" t="s">
        <v>5583</v>
      </c>
      <c r="U1539" s="9" t="s">
        <v>262</v>
      </c>
      <c r="V1539" s="9" t="s">
        <v>55</v>
      </c>
      <c r="W1539" s="9" t="s">
        <v>55</v>
      </c>
      <c r="X1539" s="12" t="s">
        <v>389</v>
      </c>
      <c r="Y1539" s="9" t="s">
        <v>390</v>
      </c>
      <c r="Z1539" s="13" t="s">
        <v>5584</v>
      </c>
    </row>
    <row r="1540" spans="1:26" ht="32.25" hidden="1" customHeight="1">
      <c r="A1540" s="8">
        <v>2312973</v>
      </c>
      <c r="B1540" s="9" t="s">
        <v>5585</v>
      </c>
      <c r="C1540" s="10">
        <v>45149</v>
      </c>
      <c r="D1540" s="9" t="s">
        <v>261</v>
      </c>
      <c r="E1540" s="9" t="s">
        <v>143</v>
      </c>
      <c r="F1540" s="9" t="s">
        <v>262</v>
      </c>
      <c r="G1540" s="9" t="s">
        <v>43</v>
      </c>
      <c r="H1540" s="9" t="s">
        <v>44</v>
      </c>
      <c r="I1540" s="11" t="s">
        <v>1620</v>
      </c>
      <c r="J1540" s="9" t="s">
        <v>1621</v>
      </c>
      <c r="K1540" s="9" t="s">
        <v>47</v>
      </c>
      <c r="L1540" s="9" t="s">
        <v>1056</v>
      </c>
      <c r="M1540" s="9" t="s">
        <v>3286</v>
      </c>
      <c r="N1540" s="9" t="s">
        <v>50</v>
      </c>
      <c r="O1540" s="9" t="s">
        <v>51</v>
      </c>
      <c r="P1540" s="9"/>
      <c r="Q1540" s="9"/>
      <c r="R1540" s="9" t="s">
        <v>61</v>
      </c>
      <c r="S1540" s="14" t="s">
        <v>5586</v>
      </c>
      <c r="T1540" s="9" t="s">
        <v>5587</v>
      </c>
      <c r="U1540" s="9" t="s">
        <v>262</v>
      </c>
      <c r="V1540" s="9" t="s">
        <v>370</v>
      </c>
      <c r="W1540" s="9" t="s">
        <v>115</v>
      </c>
      <c r="X1540" s="12" t="s">
        <v>389</v>
      </c>
      <c r="Y1540" s="9" t="s">
        <v>390</v>
      </c>
      <c r="Z1540" s="13"/>
    </row>
    <row r="1541" spans="1:26" ht="32.25" hidden="1" customHeight="1">
      <c r="A1541" s="8">
        <v>2304766</v>
      </c>
      <c r="B1541" s="9" t="s">
        <v>5588</v>
      </c>
      <c r="C1541" s="10">
        <v>45142</v>
      </c>
      <c r="D1541" s="9" t="s">
        <v>67</v>
      </c>
      <c r="E1541" s="9" t="s">
        <v>143</v>
      </c>
      <c r="F1541" s="9" t="s">
        <v>42</v>
      </c>
      <c r="G1541" s="9" t="s">
        <v>43</v>
      </c>
      <c r="H1541" s="9" t="s">
        <v>44</v>
      </c>
      <c r="I1541" s="11" t="s">
        <v>144</v>
      </c>
      <c r="J1541" s="9" t="s">
        <v>145</v>
      </c>
      <c r="K1541" s="9" t="s">
        <v>47</v>
      </c>
      <c r="L1541" s="9" t="s">
        <v>156</v>
      </c>
      <c r="M1541" s="9"/>
      <c r="N1541" s="9" t="s">
        <v>50</v>
      </c>
      <c r="O1541" s="9" t="s">
        <v>51</v>
      </c>
      <c r="P1541" s="9" t="s">
        <v>147</v>
      </c>
      <c r="Q1541" s="9"/>
      <c r="R1541" s="9"/>
      <c r="S1541" s="9" t="s">
        <v>5589</v>
      </c>
      <c r="T1541" s="9" t="s">
        <v>5590</v>
      </c>
      <c r="U1541" s="9" t="s">
        <v>54</v>
      </c>
      <c r="V1541" s="9" t="s">
        <v>55</v>
      </c>
      <c r="W1541" s="9" t="s">
        <v>55</v>
      </c>
      <c r="X1541" s="12"/>
      <c r="Y1541" s="9" t="s">
        <v>55</v>
      </c>
      <c r="Z1541" s="13"/>
    </row>
    <row r="1542" spans="1:26" ht="32.25" hidden="1" customHeight="1">
      <c r="A1542" s="8">
        <v>2311599</v>
      </c>
      <c r="B1542" s="9" t="s">
        <v>5591</v>
      </c>
      <c r="C1542" s="10">
        <v>45149</v>
      </c>
      <c r="D1542" s="9" t="s">
        <v>261</v>
      </c>
      <c r="E1542" s="9" t="s">
        <v>143</v>
      </c>
      <c r="F1542" s="9" t="s">
        <v>262</v>
      </c>
      <c r="G1542" s="9" t="s">
        <v>43</v>
      </c>
      <c r="H1542" s="9" t="s">
        <v>44</v>
      </c>
      <c r="I1542" s="11" t="s">
        <v>1136</v>
      </c>
      <c r="J1542" s="9" t="s">
        <v>1137</v>
      </c>
      <c r="K1542" s="9" t="s">
        <v>47</v>
      </c>
      <c r="L1542" s="9" t="s">
        <v>48</v>
      </c>
      <c r="M1542" s="9"/>
      <c r="N1542" s="9" t="s">
        <v>84</v>
      </c>
      <c r="O1542" s="9" t="s">
        <v>51</v>
      </c>
      <c r="P1542" s="9"/>
      <c r="Q1542" s="9"/>
      <c r="R1542" s="9" t="s">
        <v>61</v>
      </c>
      <c r="S1542" s="14" t="s">
        <v>5592</v>
      </c>
      <c r="T1542" s="9" t="s">
        <v>5593</v>
      </c>
      <c r="U1542" s="9" t="s">
        <v>262</v>
      </c>
      <c r="V1542" s="9" t="s">
        <v>370</v>
      </c>
      <c r="W1542" s="9" t="s">
        <v>115</v>
      </c>
      <c r="X1542" s="12" t="s">
        <v>389</v>
      </c>
      <c r="Y1542" s="9" t="s">
        <v>390</v>
      </c>
      <c r="Z1542" s="13"/>
    </row>
    <row r="1543" spans="1:26" ht="32.25" hidden="1" customHeight="1">
      <c r="A1543" s="8">
        <v>2307197</v>
      </c>
      <c r="B1543" s="9" t="s">
        <v>5594</v>
      </c>
      <c r="C1543" s="10">
        <v>45149</v>
      </c>
      <c r="D1543" s="9" t="s">
        <v>57</v>
      </c>
      <c r="E1543" s="9" t="s">
        <v>153</v>
      </c>
      <c r="F1543" s="9" t="s">
        <v>42</v>
      </c>
      <c r="G1543" s="9" t="s">
        <v>43</v>
      </c>
      <c r="H1543" s="9" t="s">
        <v>58</v>
      </c>
      <c r="I1543" s="11" t="s">
        <v>154</v>
      </c>
      <c r="J1543" s="9" t="s">
        <v>155</v>
      </c>
      <c r="K1543" s="9" t="s">
        <v>47</v>
      </c>
      <c r="L1543" s="9" t="s">
        <v>226</v>
      </c>
      <c r="M1543" s="9" t="s">
        <v>1374</v>
      </c>
      <c r="N1543" s="9" t="s">
        <v>84</v>
      </c>
      <c r="O1543" s="9" t="s">
        <v>51</v>
      </c>
      <c r="P1543" s="9"/>
      <c r="Q1543" s="9"/>
      <c r="R1543" s="9"/>
      <c r="S1543" s="14" t="s">
        <v>5595</v>
      </c>
      <c r="T1543" s="9" t="s">
        <v>5596</v>
      </c>
      <c r="U1543" s="9" t="s">
        <v>54</v>
      </c>
      <c r="V1543" s="9" t="s">
        <v>55</v>
      </c>
      <c r="W1543" s="9" t="s">
        <v>55</v>
      </c>
      <c r="X1543" s="12"/>
      <c r="Y1543" s="9" t="s">
        <v>55</v>
      </c>
      <c r="Z1543" s="13"/>
    </row>
    <row r="1544" spans="1:26" ht="32.25" hidden="1" customHeight="1">
      <c r="A1544" s="8">
        <v>2308154</v>
      </c>
      <c r="B1544" s="9" t="s">
        <v>5597</v>
      </c>
      <c r="C1544" s="10">
        <v>45142</v>
      </c>
      <c r="D1544" s="9" t="s">
        <v>67</v>
      </c>
      <c r="E1544" s="9" t="s">
        <v>41</v>
      </c>
      <c r="F1544" s="9" t="s">
        <v>42</v>
      </c>
      <c r="G1544" s="9" t="s">
        <v>43</v>
      </c>
      <c r="H1544" s="9" t="s">
        <v>44</v>
      </c>
      <c r="I1544" s="11" t="s">
        <v>661</v>
      </c>
      <c r="J1544" s="9" t="s">
        <v>662</v>
      </c>
      <c r="K1544" s="9" t="s">
        <v>47</v>
      </c>
      <c r="L1544" s="9" t="s">
        <v>799</v>
      </c>
      <c r="M1544" s="9" t="s">
        <v>800</v>
      </c>
      <c r="N1544" s="9" t="s">
        <v>50</v>
      </c>
      <c r="O1544" s="9" t="s">
        <v>51</v>
      </c>
      <c r="P1544" s="9"/>
      <c r="Q1544" s="9"/>
      <c r="R1544" s="9" t="s">
        <v>61</v>
      </c>
      <c r="S1544" s="9" t="s">
        <v>5598</v>
      </c>
      <c r="T1544" s="9" t="s">
        <v>5599</v>
      </c>
      <c r="U1544" s="9" t="s">
        <v>54</v>
      </c>
      <c r="V1544" s="9" t="s">
        <v>55</v>
      </c>
      <c r="W1544" s="9" t="s">
        <v>55</v>
      </c>
      <c r="X1544" s="9" t="s">
        <v>64</v>
      </c>
      <c r="Y1544" s="9" t="s">
        <v>65</v>
      </c>
      <c r="Z1544" s="13"/>
    </row>
    <row r="1545" spans="1:26" ht="32.25" hidden="1" customHeight="1">
      <c r="A1545" s="8">
        <v>2300687</v>
      </c>
      <c r="B1545" s="9" t="s">
        <v>5600</v>
      </c>
      <c r="C1545" s="10">
        <v>45149</v>
      </c>
      <c r="D1545" s="9" t="s">
        <v>57</v>
      </c>
      <c r="E1545" s="9" t="s">
        <v>143</v>
      </c>
      <c r="F1545" s="9" t="s">
        <v>42</v>
      </c>
      <c r="G1545" s="9" t="s">
        <v>43</v>
      </c>
      <c r="H1545" s="9" t="s">
        <v>58</v>
      </c>
      <c r="I1545" s="11" t="s">
        <v>460</v>
      </c>
      <c r="J1545" s="9" t="s">
        <v>400</v>
      </c>
      <c r="K1545" s="9" t="s">
        <v>47</v>
      </c>
      <c r="L1545" s="9" t="s">
        <v>156</v>
      </c>
      <c r="M1545" s="9"/>
      <c r="N1545" s="9" t="s">
        <v>50</v>
      </c>
      <c r="O1545" s="9" t="s">
        <v>51</v>
      </c>
      <c r="P1545" s="9"/>
      <c r="Q1545" s="9"/>
      <c r="R1545" s="9"/>
      <c r="S1545" s="14" t="s">
        <v>5601</v>
      </c>
      <c r="T1545" s="9" t="s">
        <v>5602</v>
      </c>
      <c r="U1545" s="9" t="s">
        <v>54</v>
      </c>
      <c r="V1545" s="9" t="s">
        <v>55</v>
      </c>
      <c r="W1545" s="9" t="s">
        <v>55</v>
      </c>
      <c r="X1545" s="12"/>
      <c r="Y1545" s="9" t="s">
        <v>55</v>
      </c>
      <c r="Z1545" s="13"/>
    </row>
    <row r="1546" spans="1:26" ht="32.25" hidden="1" customHeight="1">
      <c r="A1546" s="8">
        <v>2312980</v>
      </c>
      <c r="B1546" s="9" t="s">
        <v>5603</v>
      </c>
      <c r="C1546" s="10">
        <v>45149</v>
      </c>
      <c r="D1546" s="9" t="s">
        <v>261</v>
      </c>
      <c r="E1546" s="9" t="s">
        <v>143</v>
      </c>
      <c r="F1546" s="9" t="s">
        <v>262</v>
      </c>
      <c r="G1546" s="9" t="s">
        <v>43</v>
      </c>
      <c r="H1546" s="9" t="s">
        <v>44</v>
      </c>
      <c r="I1546" s="11" t="s">
        <v>1136</v>
      </c>
      <c r="J1546" s="9" t="s">
        <v>1137</v>
      </c>
      <c r="K1546" s="9" t="s">
        <v>47</v>
      </c>
      <c r="L1546" s="9" t="s">
        <v>2859</v>
      </c>
      <c r="M1546" s="9" t="s">
        <v>5604</v>
      </c>
      <c r="N1546" s="9" t="s">
        <v>50</v>
      </c>
      <c r="O1546" s="9" t="s">
        <v>51</v>
      </c>
      <c r="P1546" s="9"/>
      <c r="Q1546" s="9"/>
      <c r="R1546" s="9"/>
      <c r="S1546" s="14" t="s">
        <v>5605</v>
      </c>
      <c r="T1546" s="9" t="s">
        <v>5606</v>
      </c>
      <c r="U1546" s="9" t="s">
        <v>262</v>
      </c>
      <c r="V1546" s="9" t="s">
        <v>55</v>
      </c>
      <c r="W1546" s="9" t="s">
        <v>55</v>
      </c>
      <c r="X1546" s="12"/>
      <c r="Y1546" s="9" t="s">
        <v>55</v>
      </c>
      <c r="Z1546" s="13"/>
    </row>
    <row r="1547" spans="1:26" ht="32.25" hidden="1" customHeight="1">
      <c r="A1547" s="8">
        <v>2315175</v>
      </c>
      <c r="B1547" s="9" t="s">
        <v>5607</v>
      </c>
      <c r="C1547" s="10">
        <v>45152</v>
      </c>
      <c r="D1547" s="9" t="s">
        <v>755</v>
      </c>
      <c r="E1547" s="9" t="s">
        <v>295</v>
      </c>
      <c r="F1547" s="9" t="s">
        <v>262</v>
      </c>
      <c r="G1547" s="9" t="s">
        <v>43</v>
      </c>
      <c r="H1547" s="9" t="s">
        <v>44</v>
      </c>
      <c r="I1547" s="11" t="s">
        <v>893</v>
      </c>
      <c r="J1547" s="9" t="s">
        <v>894</v>
      </c>
      <c r="K1547" s="9" t="s">
        <v>393</v>
      </c>
      <c r="L1547" s="9"/>
      <c r="M1547" s="9"/>
      <c r="N1547" s="9" t="s">
        <v>50</v>
      </c>
      <c r="O1547" s="9" t="s">
        <v>187</v>
      </c>
      <c r="P1547" s="9"/>
      <c r="Q1547" s="9"/>
      <c r="R1547" s="9" t="s">
        <v>61</v>
      </c>
      <c r="S1547" s="14" t="s">
        <v>5608</v>
      </c>
      <c r="T1547" s="9" t="s">
        <v>5609</v>
      </c>
      <c r="U1547" s="9" t="s">
        <v>262</v>
      </c>
      <c r="V1547" s="9" t="s">
        <v>55</v>
      </c>
      <c r="W1547" s="9" t="s">
        <v>55</v>
      </c>
      <c r="X1547" s="12" t="s">
        <v>389</v>
      </c>
      <c r="Y1547" s="9" t="s">
        <v>390</v>
      </c>
      <c r="Z1547" s="13"/>
    </row>
    <row r="1548" spans="1:26" ht="32.25" hidden="1" customHeight="1">
      <c r="A1548" s="8">
        <v>2313068</v>
      </c>
      <c r="B1548" s="9" t="s">
        <v>5610</v>
      </c>
      <c r="C1548" s="10">
        <v>45142</v>
      </c>
      <c r="D1548" s="9" t="s">
        <v>67</v>
      </c>
      <c r="E1548" s="9" t="s">
        <v>41</v>
      </c>
      <c r="F1548" s="9" t="s">
        <v>42</v>
      </c>
      <c r="G1548" s="9" t="s">
        <v>43</v>
      </c>
      <c r="H1548" s="9" t="s">
        <v>44</v>
      </c>
      <c r="I1548" s="11" t="s">
        <v>45</v>
      </c>
      <c r="J1548" s="9" t="s">
        <v>46</v>
      </c>
      <c r="K1548" s="9" t="s">
        <v>47</v>
      </c>
      <c r="L1548" s="9" t="s">
        <v>553</v>
      </c>
      <c r="M1548" s="9" t="s">
        <v>960</v>
      </c>
      <c r="N1548" s="9" t="s">
        <v>50</v>
      </c>
      <c r="O1548" s="9" t="s">
        <v>51</v>
      </c>
      <c r="P1548" s="9"/>
      <c r="Q1548" s="9"/>
      <c r="R1548" s="9" t="s">
        <v>61</v>
      </c>
      <c r="S1548" s="9" t="s">
        <v>5611</v>
      </c>
      <c r="T1548" s="9" t="s">
        <v>5612</v>
      </c>
      <c r="U1548" s="9" t="s">
        <v>54</v>
      </c>
      <c r="V1548" s="9" t="s">
        <v>55</v>
      </c>
      <c r="W1548" s="9" t="s">
        <v>55</v>
      </c>
      <c r="X1548" s="9" t="s">
        <v>64</v>
      </c>
      <c r="Y1548" s="9" t="s">
        <v>65</v>
      </c>
      <c r="Z1548" s="13"/>
    </row>
    <row r="1549" spans="1:26" ht="32.25" hidden="1" customHeight="1">
      <c r="A1549" s="8">
        <v>2302947</v>
      </c>
      <c r="B1549" s="9" t="s">
        <v>5613</v>
      </c>
      <c r="C1549" s="10">
        <v>45149</v>
      </c>
      <c r="D1549" s="9" t="s">
        <v>57</v>
      </c>
      <c r="E1549" s="9" t="s">
        <v>295</v>
      </c>
      <c r="F1549" s="9" t="s">
        <v>42</v>
      </c>
      <c r="G1549" s="9" t="s">
        <v>43</v>
      </c>
      <c r="H1549" s="9" t="s">
        <v>58</v>
      </c>
      <c r="I1549" s="11" t="s">
        <v>296</v>
      </c>
      <c r="J1549" s="9" t="s">
        <v>297</v>
      </c>
      <c r="K1549" s="9" t="s">
        <v>47</v>
      </c>
      <c r="L1549" s="9" t="s">
        <v>48</v>
      </c>
      <c r="M1549" s="9" t="s">
        <v>5614</v>
      </c>
      <c r="N1549" s="9" t="s">
        <v>50</v>
      </c>
      <c r="O1549" s="9" t="s">
        <v>51</v>
      </c>
      <c r="P1549" s="9"/>
      <c r="Q1549" s="9"/>
      <c r="R1549" s="9" t="s">
        <v>61</v>
      </c>
      <c r="S1549" s="14" t="s">
        <v>5615</v>
      </c>
      <c r="T1549" s="9" t="s">
        <v>5616</v>
      </c>
      <c r="U1549" s="9" t="s">
        <v>54</v>
      </c>
      <c r="V1549" s="9" t="s">
        <v>55</v>
      </c>
      <c r="W1549" s="9" t="s">
        <v>55</v>
      </c>
      <c r="X1549" s="9" t="s">
        <v>319</v>
      </c>
      <c r="Y1549" s="9" t="s">
        <v>320</v>
      </c>
      <c r="Z1549" s="13"/>
    </row>
    <row r="1550" spans="1:26" ht="32.25" hidden="1" customHeight="1">
      <c r="A1550" s="8">
        <v>2300152</v>
      </c>
      <c r="B1550" s="9" t="s">
        <v>5617</v>
      </c>
      <c r="C1550" s="10">
        <v>45149</v>
      </c>
      <c r="D1550" s="9" t="s">
        <v>261</v>
      </c>
      <c r="E1550" s="9" t="s">
        <v>68</v>
      </c>
      <c r="F1550" s="9" t="s">
        <v>262</v>
      </c>
      <c r="G1550" s="9" t="s">
        <v>43</v>
      </c>
      <c r="H1550" s="9" t="s">
        <v>44</v>
      </c>
      <c r="I1550" s="11" t="s">
        <v>1085</v>
      </c>
      <c r="J1550" s="9" t="s">
        <v>1086</v>
      </c>
      <c r="K1550" s="9" t="s">
        <v>47</v>
      </c>
      <c r="L1550" s="9" t="s">
        <v>1378</v>
      </c>
      <c r="M1550" s="9" t="s">
        <v>5618</v>
      </c>
      <c r="N1550" s="9" t="s">
        <v>50</v>
      </c>
      <c r="O1550" s="9" t="s">
        <v>51</v>
      </c>
      <c r="P1550" s="9"/>
      <c r="Q1550" s="9"/>
      <c r="R1550" s="9" t="s">
        <v>61</v>
      </c>
      <c r="S1550" s="14" t="s">
        <v>5619</v>
      </c>
      <c r="T1550" s="9" t="s">
        <v>5620</v>
      </c>
      <c r="U1550" s="9" t="s">
        <v>262</v>
      </c>
      <c r="V1550" s="9" t="s">
        <v>55</v>
      </c>
      <c r="W1550" s="9" t="s">
        <v>115</v>
      </c>
      <c r="X1550" s="12" t="s">
        <v>389</v>
      </c>
      <c r="Y1550" s="9" t="s">
        <v>390</v>
      </c>
      <c r="Z1550" s="13"/>
    </row>
    <row r="1551" spans="1:26" ht="32.25" hidden="1" customHeight="1">
      <c r="A1551" s="8">
        <v>2314461</v>
      </c>
      <c r="B1551" s="9" t="s">
        <v>5621</v>
      </c>
      <c r="C1551" s="10">
        <v>45156</v>
      </c>
      <c r="D1551" s="9" t="s">
        <v>79</v>
      </c>
      <c r="E1551" s="9" t="s">
        <v>68</v>
      </c>
      <c r="F1551" s="9" t="s">
        <v>80</v>
      </c>
      <c r="G1551" s="9" t="s">
        <v>43</v>
      </c>
      <c r="H1551" s="9" t="s">
        <v>44</v>
      </c>
      <c r="I1551" s="11" t="s">
        <v>90</v>
      </c>
      <c r="J1551" s="9" t="s">
        <v>91</v>
      </c>
      <c r="K1551" s="9" t="s">
        <v>47</v>
      </c>
      <c r="L1551" s="9" t="s">
        <v>71</v>
      </c>
      <c r="M1551" s="9" t="s">
        <v>5622</v>
      </c>
      <c r="N1551" s="9" t="s">
        <v>50</v>
      </c>
      <c r="O1551" s="9" t="s">
        <v>51</v>
      </c>
      <c r="P1551" s="9" t="s">
        <v>273</v>
      </c>
      <c r="Q1551" s="9"/>
      <c r="R1551" s="9" t="s">
        <v>61</v>
      </c>
      <c r="S1551" s="14" t="s">
        <v>5623</v>
      </c>
      <c r="T1551" s="9" t="s">
        <v>5624</v>
      </c>
      <c r="U1551" s="9" t="s">
        <v>54</v>
      </c>
      <c r="V1551" s="9" t="s">
        <v>55</v>
      </c>
      <c r="W1551" s="9" t="s">
        <v>55</v>
      </c>
      <c r="X1551" s="12" t="s">
        <v>196</v>
      </c>
      <c r="Y1551" s="9" t="s">
        <v>197</v>
      </c>
      <c r="Z1551" s="13"/>
    </row>
    <row r="1552" spans="1:26" ht="32.25" hidden="1" customHeight="1">
      <c r="A1552" s="8">
        <v>2306190</v>
      </c>
      <c r="B1552" s="9" t="s">
        <v>5625</v>
      </c>
      <c r="C1552" s="10">
        <v>45142</v>
      </c>
      <c r="D1552" s="9" t="s">
        <v>67</v>
      </c>
      <c r="E1552" s="9" t="s">
        <v>68</v>
      </c>
      <c r="F1552" s="9" t="s">
        <v>135</v>
      </c>
      <c r="G1552" s="9" t="s">
        <v>43</v>
      </c>
      <c r="H1552" s="9" t="s">
        <v>44</v>
      </c>
      <c r="I1552" s="11" t="s">
        <v>136</v>
      </c>
      <c r="J1552" s="9" t="s">
        <v>137</v>
      </c>
      <c r="K1552" s="9" t="s">
        <v>92</v>
      </c>
      <c r="L1552" s="9"/>
      <c r="M1552" s="9" t="s">
        <v>5626</v>
      </c>
      <c r="N1552" s="9" t="s">
        <v>50</v>
      </c>
      <c r="O1552" s="9" t="s">
        <v>51</v>
      </c>
      <c r="P1552" s="9"/>
      <c r="Q1552" s="9"/>
      <c r="R1552" s="9" t="s">
        <v>61</v>
      </c>
      <c r="S1552" s="9" t="s">
        <v>1403</v>
      </c>
      <c r="T1552" s="9" t="s">
        <v>1404</v>
      </c>
      <c r="U1552" s="9" t="s">
        <v>54</v>
      </c>
      <c r="V1552" s="9" t="s">
        <v>55</v>
      </c>
      <c r="W1552" s="9" t="s">
        <v>55</v>
      </c>
      <c r="X1552" s="12" t="s">
        <v>76</v>
      </c>
      <c r="Y1552" s="9" t="s">
        <v>77</v>
      </c>
      <c r="Z1552" s="13"/>
    </row>
    <row r="1553" spans="1:26" ht="32.25" hidden="1" customHeight="1">
      <c r="A1553" s="8">
        <v>2311378</v>
      </c>
      <c r="B1553" s="9" t="s">
        <v>5627</v>
      </c>
      <c r="C1553" s="10">
        <v>45156</v>
      </c>
      <c r="D1553" s="9" t="s">
        <v>79</v>
      </c>
      <c r="E1553" s="9" t="s">
        <v>143</v>
      </c>
      <c r="F1553" s="9" t="s">
        <v>80</v>
      </c>
      <c r="G1553" s="9" t="s">
        <v>43</v>
      </c>
      <c r="H1553" s="9" t="s">
        <v>44</v>
      </c>
      <c r="I1553" s="11" t="s">
        <v>725</v>
      </c>
      <c r="J1553" s="9" t="s">
        <v>145</v>
      </c>
      <c r="K1553" s="9" t="s">
        <v>47</v>
      </c>
      <c r="L1553" s="9" t="s">
        <v>156</v>
      </c>
      <c r="M1553" s="9"/>
      <c r="N1553" s="9" t="s">
        <v>50</v>
      </c>
      <c r="O1553" s="9" t="s">
        <v>51</v>
      </c>
      <c r="P1553" s="9" t="s">
        <v>2924</v>
      </c>
      <c r="Q1553" s="9"/>
      <c r="R1553" s="9"/>
      <c r="S1553" s="14" t="s">
        <v>5628</v>
      </c>
      <c r="T1553" s="9" t="s">
        <v>5629</v>
      </c>
      <c r="U1553" s="9" t="s">
        <v>54</v>
      </c>
      <c r="V1553" s="9"/>
      <c r="W1553" s="9" t="s">
        <v>115</v>
      </c>
      <c r="X1553" s="12"/>
      <c r="Y1553" s="9" t="s">
        <v>55</v>
      </c>
      <c r="Z1553" s="13"/>
    </row>
    <row r="1554" spans="1:26" ht="32.25" hidden="1" customHeight="1">
      <c r="A1554" s="8">
        <v>2308538</v>
      </c>
      <c r="B1554" s="9" t="s">
        <v>5630</v>
      </c>
      <c r="C1554" s="10">
        <v>45156</v>
      </c>
      <c r="D1554" s="9" t="s">
        <v>79</v>
      </c>
      <c r="E1554" s="9" t="s">
        <v>89</v>
      </c>
      <c r="F1554" s="9" t="s">
        <v>80</v>
      </c>
      <c r="G1554" s="9" t="s">
        <v>43</v>
      </c>
      <c r="H1554" s="9" t="s">
        <v>44</v>
      </c>
      <c r="I1554" s="11" t="s">
        <v>4023</v>
      </c>
      <c r="J1554" s="9" t="s">
        <v>4024</v>
      </c>
      <c r="K1554" s="9" t="s">
        <v>496</v>
      </c>
      <c r="L1554" s="9"/>
      <c r="M1554" s="9"/>
      <c r="N1554" s="9" t="s">
        <v>84</v>
      </c>
      <c r="O1554" s="9" t="s">
        <v>51</v>
      </c>
      <c r="P1554" s="9" t="s">
        <v>4026</v>
      </c>
      <c r="Q1554" s="9"/>
      <c r="R1554" s="9" t="s">
        <v>61</v>
      </c>
      <c r="S1554" s="14" t="s">
        <v>5631</v>
      </c>
      <c r="T1554" s="9" t="s">
        <v>5632</v>
      </c>
      <c r="U1554" s="9" t="s">
        <v>54</v>
      </c>
      <c r="V1554" s="9" t="s">
        <v>711</v>
      </c>
      <c r="W1554" s="9" t="s">
        <v>115</v>
      </c>
      <c r="X1554" s="12" t="s">
        <v>98</v>
      </c>
      <c r="Y1554" s="9" t="s">
        <v>99</v>
      </c>
      <c r="Z1554" s="13"/>
    </row>
    <row r="1555" spans="1:26" ht="32.25" hidden="1" customHeight="1">
      <c r="A1555" s="8">
        <v>2315606</v>
      </c>
      <c r="B1555" s="9" t="s">
        <v>5633</v>
      </c>
      <c r="C1555" s="10">
        <v>45155</v>
      </c>
      <c r="D1555" s="9" t="s">
        <v>2825</v>
      </c>
      <c r="E1555" s="9" t="s">
        <v>143</v>
      </c>
      <c r="F1555" s="9" t="s">
        <v>80</v>
      </c>
      <c r="G1555" s="9" t="s">
        <v>43</v>
      </c>
      <c r="H1555" s="9" t="s">
        <v>44</v>
      </c>
      <c r="I1555" s="11" t="s">
        <v>326</v>
      </c>
      <c r="J1555" s="9" t="s">
        <v>327</v>
      </c>
      <c r="K1555" s="9" t="s">
        <v>5634</v>
      </c>
      <c r="L1555" s="9"/>
      <c r="M1555" s="9" t="s">
        <v>5635</v>
      </c>
      <c r="N1555" s="9" t="s">
        <v>84</v>
      </c>
      <c r="O1555" s="9" t="s">
        <v>187</v>
      </c>
      <c r="P1555" s="9" t="s">
        <v>328</v>
      </c>
      <c r="Q1555" s="9"/>
      <c r="R1555" s="9" t="s">
        <v>61</v>
      </c>
      <c r="S1555" s="14" t="s">
        <v>641</v>
      </c>
      <c r="T1555" s="9" t="s">
        <v>5636</v>
      </c>
      <c r="U1555" s="9" t="s">
        <v>54</v>
      </c>
      <c r="V1555" s="9" t="s">
        <v>55</v>
      </c>
      <c r="W1555" s="9" t="s">
        <v>55</v>
      </c>
      <c r="X1555" s="12" t="s">
        <v>150</v>
      </c>
      <c r="Y1555" s="9" t="s">
        <v>151</v>
      </c>
      <c r="Z1555" s="13"/>
    </row>
    <row r="1556" spans="1:26" ht="32.25" hidden="1" customHeight="1">
      <c r="A1556" s="8">
        <v>2314513</v>
      </c>
      <c r="B1556" s="9" t="s">
        <v>5637</v>
      </c>
      <c r="C1556" s="10">
        <v>45156</v>
      </c>
      <c r="D1556" s="9" t="s">
        <v>79</v>
      </c>
      <c r="E1556" s="9" t="s">
        <v>89</v>
      </c>
      <c r="F1556" s="9" t="s">
        <v>80</v>
      </c>
      <c r="G1556" s="9" t="s">
        <v>43</v>
      </c>
      <c r="H1556" s="9" t="s">
        <v>44</v>
      </c>
      <c r="I1556" s="11" t="s">
        <v>90</v>
      </c>
      <c r="J1556" s="9" t="s">
        <v>91</v>
      </c>
      <c r="K1556" s="9" t="s">
        <v>92</v>
      </c>
      <c r="L1556" s="9"/>
      <c r="M1556" s="9" t="s">
        <v>103</v>
      </c>
      <c r="N1556" s="9" t="s">
        <v>50</v>
      </c>
      <c r="O1556" s="9" t="s">
        <v>51</v>
      </c>
      <c r="P1556" s="9" t="s">
        <v>95</v>
      </c>
      <c r="Q1556" s="9"/>
      <c r="R1556" s="9" t="s">
        <v>61</v>
      </c>
      <c r="S1556" s="14" t="s">
        <v>5638</v>
      </c>
      <c r="T1556" s="9" t="s">
        <v>5639</v>
      </c>
      <c r="U1556" s="9" t="s">
        <v>54</v>
      </c>
      <c r="V1556" s="9" t="s">
        <v>55</v>
      </c>
      <c r="W1556" s="9" t="s">
        <v>55</v>
      </c>
      <c r="X1556" s="12" t="s">
        <v>98</v>
      </c>
      <c r="Y1556" s="9" t="s">
        <v>99</v>
      </c>
      <c r="Z1556" s="13"/>
    </row>
    <row r="1557" spans="1:26" ht="32.25" hidden="1" customHeight="1">
      <c r="A1557" s="8">
        <v>2307431</v>
      </c>
      <c r="B1557" s="9" t="s">
        <v>5640</v>
      </c>
      <c r="C1557" s="10">
        <v>45156</v>
      </c>
      <c r="D1557" s="9" t="s">
        <v>79</v>
      </c>
      <c r="E1557" s="9" t="s">
        <v>89</v>
      </c>
      <c r="F1557" s="9" t="s">
        <v>80</v>
      </c>
      <c r="G1557" s="9" t="s">
        <v>43</v>
      </c>
      <c r="H1557" s="9" t="s">
        <v>44</v>
      </c>
      <c r="I1557" s="11" t="s">
        <v>101</v>
      </c>
      <c r="J1557" s="9" t="s">
        <v>102</v>
      </c>
      <c r="K1557" s="9" t="s">
        <v>47</v>
      </c>
      <c r="L1557" s="9" t="s">
        <v>741</v>
      </c>
      <c r="M1557" s="9" t="s">
        <v>5641</v>
      </c>
      <c r="N1557" s="9" t="s">
        <v>84</v>
      </c>
      <c r="O1557" s="9" t="s">
        <v>51</v>
      </c>
      <c r="P1557" s="9" t="s">
        <v>1907</v>
      </c>
      <c r="Q1557" s="9"/>
      <c r="R1557" s="9" t="s">
        <v>61</v>
      </c>
      <c r="S1557" s="14" t="s">
        <v>5642</v>
      </c>
      <c r="T1557" s="9" t="s">
        <v>5643</v>
      </c>
      <c r="U1557" s="9" t="s">
        <v>54</v>
      </c>
      <c r="V1557" s="9" t="s">
        <v>711</v>
      </c>
      <c r="W1557" s="9" t="s">
        <v>115</v>
      </c>
      <c r="X1557" s="12" t="s">
        <v>98</v>
      </c>
      <c r="Y1557" s="9" t="s">
        <v>99</v>
      </c>
      <c r="Z1557" s="13"/>
    </row>
    <row r="1558" spans="1:26" ht="32.25" hidden="1" customHeight="1">
      <c r="A1558" s="8">
        <v>2302959</v>
      </c>
      <c r="B1558" s="9" t="s">
        <v>5644</v>
      </c>
      <c r="C1558" s="10">
        <v>45149</v>
      </c>
      <c r="D1558" s="9" t="s">
        <v>57</v>
      </c>
      <c r="E1558" s="9" t="s">
        <v>41</v>
      </c>
      <c r="F1558" s="9" t="s">
        <v>42</v>
      </c>
      <c r="G1558" s="9" t="s">
        <v>43</v>
      </c>
      <c r="H1558" s="9" t="s">
        <v>58</v>
      </c>
      <c r="I1558" s="11" t="s">
        <v>45</v>
      </c>
      <c r="J1558" s="9" t="s">
        <v>46</v>
      </c>
      <c r="K1558" s="9" t="s">
        <v>47</v>
      </c>
      <c r="L1558" s="9" t="s">
        <v>156</v>
      </c>
      <c r="M1558" s="9"/>
      <c r="N1558" s="9" t="s">
        <v>50</v>
      </c>
      <c r="O1558" s="9" t="s">
        <v>51</v>
      </c>
      <c r="P1558" s="9"/>
      <c r="Q1558" s="9"/>
      <c r="R1558" s="9"/>
      <c r="S1558" s="14" t="s">
        <v>5645</v>
      </c>
      <c r="T1558" s="9" t="s">
        <v>5646</v>
      </c>
      <c r="U1558" s="9" t="s">
        <v>54</v>
      </c>
      <c r="V1558" s="9" t="s">
        <v>55</v>
      </c>
      <c r="W1558" s="9" t="s">
        <v>55</v>
      </c>
      <c r="X1558" s="12"/>
      <c r="Y1558" s="9" t="s">
        <v>55</v>
      </c>
      <c r="Z1558" s="13"/>
    </row>
    <row r="1559" spans="1:26" ht="32.25" hidden="1" customHeight="1">
      <c r="A1559" s="8">
        <v>2309550</v>
      </c>
      <c r="B1559" s="9" t="s">
        <v>5647</v>
      </c>
      <c r="C1559" s="10">
        <v>45156</v>
      </c>
      <c r="D1559" s="9" t="s">
        <v>79</v>
      </c>
      <c r="E1559" s="9" t="s">
        <v>89</v>
      </c>
      <c r="F1559" s="9" t="s">
        <v>80</v>
      </c>
      <c r="G1559" s="9" t="s">
        <v>43</v>
      </c>
      <c r="H1559" s="9" t="s">
        <v>44</v>
      </c>
      <c r="I1559" s="11" t="s">
        <v>117</v>
      </c>
      <c r="J1559" s="9" t="s">
        <v>118</v>
      </c>
      <c r="K1559" s="9" t="s">
        <v>110</v>
      </c>
      <c r="L1559" s="9" t="s">
        <v>3223</v>
      </c>
      <c r="M1559" s="9" t="s">
        <v>5648</v>
      </c>
      <c r="N1559" s="9" t="s">
        <v>84</v>
      </c>
      <c r="O1559" s="9" t="s">
        <v>51</v>
      </c>
      <c r="P1559" s="9" t="s">
        <v>121</v>
      </c>
      <c r="Q1559" s="9"/>
      <c r="R1559" s="9" t="s">
        <v>61</v>
      </c>
      <c r="S1559" s="14" t="s">
        <v>5649</v>
      </c>
      <c r="T1559" s="9" t="s">
        <v>5650</v>
      </c>
      <c r="U1559" s="9" t="s">
        <v>54</v>
      </c>
      <c r="V1559" s="9" t="s">
        <v>55</v>
      </c>
      <c r="W1559" s="9" t="s">
        <v>115</v>
      </c>
      <c r="X1559" s="12" t="s">
        <v>98</v>
      </c>
      <c r="Y1559" s="9" t="s">
        <v>99</v>
      </c>
      <c r="Z1559" s="13"/>
    </row>
    <row r="1560" spans="1:26" ht="32.25" hidden="1" customHeight="1">
      <c r="A1560" s="8">
        <v>2312689</v>
      </c>
      <c r="B1560" s="9" t="s">
        <v>5651</v>
      </c>
      <c r="C1560" s="10">
        <v>45142</v>
      </c>
      <c r="D1560" s="9" t="s">
        <v>383</v>
      </c>
      <c r="E1560" s="9" t="s">
        <v>143</v>
      </c>
      <c r="F1560" s="9" t="s">
        <v>262</v>
      </c>
      <c r="G1560" s="9" t="s">
        <v>43</v>
      </c>
      <c r="H1560" s="9" t="s">
        <v>44</v>
      </c>
      <c r="I1560" s="11" t="s">
        <v>435</v>
      </c>
      <c r="J1560" s="9" t="s">
        <v>436</v>
      </c>
      <c r="K1560" s="9" t="s">
        <v>3203</v>
      </c>
      <c r="L1560" s="9"/>
      <c r="M1560" s="9" t="s">
        <v>3204</v>
      </c>
      <c r="N1560" s="9" t="s">
        <v>50</v>
      </c>
      <c r="O1560" s="9" t="s">
        <v>187</v>
      </c>
      <c r="P1560" s="9"/>
      <c r="Q1560" s="9"/>
      <c r="R1560" s="9" t="s">
        <v>61</v>
      </c>
      <c r="S1560" s="9" t="s">
        <v>5652</v>
      </c>
      <c r="T1560" s="9" t="s">
        <v>5653</v>
      </c>
      <c r="U1560" s="9" t="s">
        <v>262</v>
      </c>
      <c r="V1560" s="9" t="s">
        <v>701</v>
      </c>
      <c r="W1560" s="9" t="s">
        <v>115</v>
      </c>
      <c r="X1560" s="12" t="s">
        <v>196</v>
      </c>
      <c r="Y1560" s="9" t="s">
        <v>197</v>
      </c>
      <c r="Z1560" s="13" t="s">
        <v>1026</v>
      </c>
    </row>
    <row r="1561" spans="1:26" ht="32.25" hidden="1" customHeight="1">
      <c r="A1561" s="8">
        <v>2311221</v>
      </c>
      <c r="B1561" s="9" t="s">
        <v>5654</v>
      </c>
      <c r="C1561" s="10">
        <v>45156</v>
      </c>
      <c r="D1561" s="9" t="s">
        <v>79</v>
      </c>
      <c r="E1561" s="9" t="s">
        <v>143</v>
      </c>
      <c r="F1561" s="9" t="s">
        <v>80</v>
      </c>
      <c r="G1561" s="9" t="s">
        <v>43</v>
      </c>
      <c r="H1561" s="9" t="s">
        <v>44</v>
      </c>
      <c r="I1561" s="11" t="s">
        <v>326</v>
      </c>
      <c r="J1561" s="9" t="s">
        <v>327</v>
      </c>
      <c r="K1561" s="9" t="s">
        <v>47</v>
      </c>
      <c r="L1561" s="9" t="s">
        <v>340</v>
      </c>
      <c r="M1561" s="9" t="s">
        <v>1473</v>
      </c>
      <c r="N1561" s="9" t="s">
        <v>84</v>
      </c>
      <c r="O1561" s="9" t="s">
        <v>51</v>
      </c>
      <c r="P1561" s="9" t="s">
        <v>1238</v>
      </c>
      <c r="Q1561" s="9"/>
      <c r="R1561" s="9" t="s">
        <v>61</v>
      </c>
      <c r="S1561" s="14" t="s">
        <v>5655</v>
      </c>
      <c r="T1561" s="9" t="s">
        <v>5656</v>
      </c>
      <c r="U1561" s="9" t="s">
        <v>54</v>
      </c>
      <c r="V1561" s="9" t="s">
        <v>370</v>
      </c>
      <c r="W1561" s="9" t="s">
        <v>115</v>
      </c>
      <c r="X1561" s="12" t="s">
        <v>150</v>
      </c>
      <c r="Y1561" s="9" t="s">
        <v>151</v>
      </c>
      <c r="Z1561" s="13"/>
    </row>
    <row r="1562" spans="1:26" ht="32.25" hidden="1" customHeight="1">
      <c r="A1562" s="8">
        <v>2311699</v>
      </c>
      <c r="B1562" s="9" t="s">
        <v>5657</v>
      </c>
      <c r="C1562" s="10">
        <v>45156</v>
      </c>
      <c r="D1562" s="9" t="s">
        <v>79</v>
      </c>
      <c r="E1562" s="9" t="s">
        <v>68</v>
      </c>
      <c r="F1562" s="9" t="s">
        <v>80</v>
      </c>
      <c r="G1562" s="9" t="s">
        <v>43</v>
      </c>
      <c r="H1562" s="9" t="s">
        <v>44</v>
      </c>
      <c r="I1562" s="11" t="s">
        <v>90</v>
      </c>
      <c r="J1562" s="9" t="s">
        <v>91</v>
      </c>
      <c r="K1562" s="9" t="s">
        <v>47</v>
      </c>
      <c r="L1562" s="9" t="s">
        <v>156</v>
      </c>
      <c r="M1562" s="9"/>
      <c r="N1562" s="9" t="s">
        <v>50</v>
      </c>
      <c r="O1562" s="9" t="s">
        <v>51</v>
      </c>
      <c r="P1562" s="9" t="s">
        <v>273</v>
      </c>
      <c r="Q1562" s="9"/>
      <c r="R1562" s="9"/>
      <c r="S1562" s="14" t="s">
        <v>5658</v>
      </c>
      <c r="T1562" s="9" t="s">
        <v>5659</v>
      </c>
      <c r="U1562" s="9" t="s">
        <v>54</v>
      </c>
      <c r="V1562" s="9" t="s">
        <v>55</v>
      </c>
      <c r="W1562" s="9" t="s">
        <v>55</v>
      </c>
      <c r="X1562" s="12"/>
      <c r="Y1562" s="9" t="s">
        <v>55</v>
      </c>
      <c r="Z1562" s="13"/>
    </row>
    <row r="1563" spans="1:26" ht="32.25" hidden="1" customHeight="1">
      <c r="A1563" s="8">
        <v>2307406</v>
      </c>
      <c r="B1563" s="9" t="s">
        <v>5660</v>
      </c>
      <c r="C1563" s="10">
        <v>45142</v>
      </c>
      <c r="D1563" s="9" t="s">
        <v>67</v>
      </c>
      <c r="E1563" s="9" t="s">
        <v>41</v>
      </c>
      <c r="F1563" s="9" t="s">
        <v>42</v>
      </c>
      <c r="G1563" s="9" t="s">
        <v>43</v>
      </c>
      <c r="H1563" s="9" t="s">
        <v>44</v>
      </c>
      <c r="I1563" s="11" t="s">
        <v>199</v>
      </c>
      <c r="J1563" s="9" t="s">
        <v>200</v>
      </c>
      <c r="K1563" s="9" t="s">
        <v>47</v>
      </c>
      <c r="L1563" s="9" t="s">
        <v>48</v>
      </c>
      <c r="M1563" s="9" t="s">
        <v>242</v>
      </c>
      <c r="N1563" s="9" t="s">
        <v>50</v>
      </c>
      <c r="O1563" s="9" t="s">
        <v>51</v>
      </c>
      <c r="P1563" s="9"/>
      <c r="Q1563" s="9"/>
      <c r="R1563" s="9" t="s">
        <v>61</v>
      </c>
      <c r="S1563" s="9" t="s">
        <v>5661</v>
      </c>
      <c r="T1563" s="9" t="s">
        <v>5662</v>
      </c>
      <c r="U1563" s="9" t="s">
        <v>54</v>
      </c>
      <c r="V1563" s="9" t="s">
        <v>55</v>
      </c>
      <c r="W1563" s="9" t="s">
        <v>55</v>
      </c>
      <c r="X1563" s="9" t="s">
        <v>64</v>
      </c>
      <c r="Y1563" s="9" t="s">
        <v>65</v>
      </c>
      <c r="Z1563" s="13" t="s">
        <v>6243</v>
      </c>
    </row>
    <row r="1564" spans="1:26" ht="32.25" hidden="1" customHeight="1">
      <c r="A1564" s="8">
        <v>2308428</v>
      </c>
      <c r="B1564" s="9" t="s">
        <v>5663</v>
      </c>
      <c r="C1564" s="10">
        <v>45149</v>
      </c>
      <c r="D1564" s="9" t="s">
        <v>57</v>
      </c>
      <c r="E1564" s="9" t="s">
        <v>153</v>
      </c>
      <c r="F1564" s="9" t="s">
        <v>42</v>
      </c>
      <c r="G1564" s="9" t="s">
        <v>43</v>
      </c>
      <c r="H1564" s="9" t="s">
        <v>58</v>
      </c>
      <c r="I1564" s="11" t="s">
        <v>154</v>
      </c>
      <c r="J1564" s="9" t="s">
        <v>155</v>
      </c>
      <c r="K1564" s="9" t="s">
        <v>47</v>
      </c>
      <c r="L1564" s="9" t="s">
        <v>156</v>
      </c>
      <c r="M1564" s="9"/>
      <c r="N1564" s="9" t="s">
        <v>84</v>
      </c>
      <c r="O1564" s="9" t="s">
        <v>51</v>
      </c>
      <c r="P1564" s="9"/>
      <c r="Q1564" s="9"/>
      <c r="R1564" s="9"/>
      <c r="S1564" s="14" t="s">
        <v>5664</v>
      </c>
      <c r="T1564" s="9" t="s">
        <v>5665</v>
      </c>
      <c r="U1564" s="9" t="s">
        <v>54</v>
      </c>
      <c r="V1564" s="9" t="s">
        <v>55</v>
      </c>
      <c r="W1564" s="9" t="s">
        <v>55</v>
      </c>
      <c r="X1564" s="12"/>
      <c r="Y1564" s="9" t="s">
        <v>55</v>
      </c>
      <c r="Z1564" s="13"/>
    </row>
    <row r="1565" spans="1:26" ht="32.25" hidden="1" customHeight="1">
      <c r="A1565" s="8">
        <v>2304903</v>
      </c>
      <c r="B1565" s="9" t="s">
        <v>5666</v>
      </c>
      <c r="C1565" s="10">
        <v>45149</v>
      </c>
      <c r="D1565" s="9" t="s">
        <v>57</v>
      </c>
      <c r="E1565" s="9" t="s">
        <v>153</v>
      </c>
      <c r="F1565" s="9" t="s">
        <v>42</v>
      </c>
      <c r="G1565" s="9" t="s">
        <v>43</v>
      </c>
      <c r="H1565" s="9" t="s">
        <v>58</v>
      </c>
      <c r="I1565" s="11" t="s">
        <v>154</v>
      </c>
      <c r="J1565" s="9" t="s">
        <v>155</v>
      </c>
      <c r="K1565" s="9" t="s">
        <v>47</v>
      </c>
      <c r="L1565" s="9" t="s">
        <v>48</v>
      </c>
      <c r="M1565" s="9" t="s">
        <v>1872</v>
      </c>
      <c r="N1565" s="9" t="s">
        <v>84</v>
      </c>
      <c r="O1565" s="9" t="s">
        <v>51</v>
      </c>
      <c r="P1565" s="9"/>
      <c r="Q1565" s="9"/>
      <c r="R1565" s="9"/>
      <c r="S1565" s="14" t="s">
        <v>5667</v>
      </c>
      <c r="T1565" s="9" t="s">
        <v>5668</v>
      </c>
      <c r="U1565" s="9" t="s">
        <v>54</v>
      </c>
      <c r="V1565" s="9" t="s">
        <v>55</v>
      </c>
      <c r="W1565" s="9" t="s">
        <v>55</v>
      </c>
      <c r="X1565" s="12"/>
      <c r="Y1565" s="9" t="s">
        <v>55</v>
      </c>
      <c r="Z1565" s="13"/>
    </row>
    <row r="1566" spans="1:26" ht="32.25" hidden="1" customHeight="1">
      <c r="A1566" s="8">
        <v>2309538</v>
      </c>
      <c r="B1566" s="9" t="s">
        <v>5669</v>
      </c>
      <c r="C1566" s="10">
        <v>45136</v>
      </c>
      <c r="D1566" s="9" t="s">
        <v>40</v>
      </c>
      <c r="E1566" s="9" t="s">
        <v>41</v>
      </c>
      <c r="F1566" s="9" t="s">
        <v>42</v>
      </c>
      <c r="G1566" s="9" t="s">
        <v>43</v>
      </c>
      <c r="H1566" s="9" t="s">
        <v>44</v>
      </c>
      <c r="I1566" s="11" t="s">
        <v>661</v>
      </c>
      <c r="J1566" s="9" t="s">
        <v>662</v>
      </c>
      <c r="K1566" s="9" t="s">
        <v>47</v>
      </c>
      <c r="L1566" s="9" t="s">
        <v>425</v>
      </c>
      <c r="M1566" s="9" t="s">
        <v>2244</v>
      </c>
      <c r="N1566" s="9" t="s">
        <v>50</v>
      </c>
      <c r="O1566" s="9" t="s">
        <v>51</v>
      </c>
      <c r="P1566" s="9"/>
      <c r="Q1566" s="9"/>
      <c r="R1566" s="9" t="s">
        <v>61</v>
      </c>
      <c r="S1566" s="9" t="s">
        <v>5670</v>
      </c>
      <c r="T1566" s="9" t="s">
        <v>5671</v>
      </c>
      <c r="U1566" s="9" t="s">
        <v>54</v>
      </c>
      <c r="V1566" s="9" t="s">
        <v>55</v>
      </c>
      <c r="W1566" s="9" t="s">
        <v>55</v>
      </c>
      <c r="X1566" s="9" t="s">
        <v>64</v>
      </c>
      <c r="Y1566" s="9" t="s">
        <v>65</v>
      </c>
      <c r="Z1566" s="13"/>
    </row>
    <row r="1567" spans="1:26" ht="32.25" customHeight="1">
      <c r="A1567" s="8">
        <v>2315583</v>
      </c>
      <c r="B1567" s="9" t="s">
        <v>5672</v>
      </c>
      <c r="C1567" s="10">
        <v>45153</v>
      </c>
      <c r="D1567" s="9" t="s">
        <v>247</v>
      </c>
      <c r="E1567" s="9" t="s">
        <v>248</v>
      </c>
      <c r="F1567" s="9" t="s">
        <v>13288</v>
      </c>
      <c r="G1567" s="9" t="s">
        <v>43</v>
      </c>
      <c r="H1567" s="9" t="s">
        <v>44</v>
      </c>
      <c r="I1567" s="11"/>
      <c r="J1567" s="9" t="s">
        <v>249</v>
      </c>
      <c r="K1567" s="9" t="s">
        <v>2826</v>
      </c>
      <c r="L1567" s="9"/>
      <c r="M1567" s="9"/>
      <c r="N1567" s="9" t="s">
        <v>50</v>
      </c>
      <c r="O1567" s="9" t="s">
        <v>187</v>
      </c>
      <c r="P1567" s="9"/>
      <c r="Q1567" s="9"/>
      <c r="R1567" s="9" t="s">
        <v>61</v>
      </c>
      <c r="S1567" s="14"/>
      <c r="T1567" s="9"/>
      <c r="U1567" s="9" t="s">
        <v>55</v>
      </c>
      <c r="V1567" s="9" t="s">
        <v>55</v>
      </c>
      <c r="W1567" s="9" t="s">
        <v>55</v>
      </c>
      <c r="X1567" s="12" t="s">
        <v>171</v>
      </c>
      <c r="Y1567" s="9" t="s">
        <v>172</v>
      </c>
      <c r="Z1567" s="13"/>
    </row>
    <row r="1568" spans="1:26" ht="32.25" hidden="1" customHeight="1">
      <c r="A1568" s="8">
        <v>2314160</v>
      </c>
      <c r="B1568" s="9" t="s">
        <v>5673</v>
      </c>
      <c r="C1568" s="10">
        <v>45156</v>
      </c>
      <c r="D1568" s="9" t="s">
        <v>565</v>
      </c>
      <c r="E1568" s="9" t="s">
        <v>41</v>
      </c>
      <c r="F1568" s="9" t="s">
        <v>42</v>
      </c>
      <c r="G1568" s="9" t="s">
        <v>43</v>
      </c>
      <c r="H1568" s="9" t="s">
        <v>58</v>
      </c>
      <c r="I1568" s="11" t="s">
        <v>45</v>
      </c>
      <c r="J1568" s="9" t="s">
        <v>46</v>
      </c>
      <c r="K1568" s="9" t="s">
        <v>47</v>
      </c>
      <c r="L1568" s="9" t="s">
        <v>156</v>
      </c>
      <c r="M1568" s="9"/>
      <c r="N1568" s="9" t="s">
        <v>50</v>
      </c>
      <c r="O1568" s="9" t="s">
        <v>51</v>
      </c>
      <c r="P1568" s="9"/>
      <c r="Q1568" s="9"/>
      <c r="R1568" s="9"/>
      <c r="S1568" s="14" t="s">
        <v>5674</v>
      </c>
      <c r="T1568" s="9" t="s">
        <v>5675</v>
      </c>
      <c r="U1568" s="9" t="s">
        <v>54</v>
      </c>
      <c r="V1568" s="9" t="s">
        <v>55</v>
      </c>
      <c r="W1568" s="9" t="s">
        <v>55</v>
      </c>
      <c r="X1568" s="12"/>
      <c r="Y1568" s="9" t="s">
        <v>55</v>
      </c>
      <c r="Z1568" s="13"/>
    </row>
    <row r="1569" spans="1:26" ht="32.25" hidden="1" customHeight="1">
      <c r="A1569" s="8">
        <v>2308046</v>
      </c>
      <c r="B1569" s="9" t="s">
        <v>5676</v>
      </c>
      <c r="C1569" s="10">
        <v>45149</v>
      </c>
      <c r="D1569" s="9" t="s">
        <v>57</v>
      </c>
      <c r="E1569" s="9" t="s">
        <v>295</v>
      </c>
      <c r="F1569" s="9" t="s">
        <v>42</v>
      </c>
      <c r="G1569" s="9" t="s">
        <v>43</v>
      </c>
      <c r="H1569" s="9" t="s">
        <v>58</v>
      </c>
      <c r="I1569" s="11" t="s">
        <v>406</v>
      </c>
      <c r="J1569" s="9" t="s">
        <v>407</v>
      </c>
      <c r="K1569" s="9" t="s">
        <v>47</v>
      </c>
      <c r="L1569" s="9" t="s">
        <v>221</v>
      </c>
      <c r="M1569" s="9" t="s">
        <v>1142</v>
      </c>
      <c r="N1569" s="9" t="s">
        <v>84</v>
      </c>
      <c r="O1569" s="9" t="s">
        <v>51</v>
      </c>
      <c r="P1569" s="9"/>
      <c r="Q1569" s="9"/>
      <c r="R1569" s="9" t="s">
        <v>61</v>
      </c>
      <c r="S1569" s="14" t="s">
        <v>5677</v>
      </c>
      <c r="T1569" s="9" t="s">
        <v>5678</v>
      </c>
      <c r="U1569" s="9" t="s">
        <v>54</v>
      </c>
      <c r="V1569" s="9" t="s">
        <v>55</v>
      </c>
      <c r="W1569" s="9" t="s">
        <v>55</v>
      </c>
      <c r="X1569" s="12" t="s">
        <v>319</v>
      </c>
      <c r="Y1569" s="9" t="s">
        <v>320</v>
      </c>
      <c r="Z1569" s="13" t="s">
        <v>5679</v>
      </c>
    </row>
    <row r="1570" spans="1:26" ht="32.25" hidden="1" customHeight="1">
      <c r="A1570" s="8">
        <v>2314766</v>
      </c>
      <c r="B1570" s="9" t="s">
        <v>5680</v>
      </c>
      <c r="C1570" s="10">
        <v>45156</v>
      </c>
      <c r="D1570" s="9" t="s">
        <v>79</v>
      </c>
      <c r="E1570" s="9" t="s">
        <v>89</v>
      </c>
      <c r="F1570" s="9" t="s">
        <v>80</v>
      </c>
      <c r="G1570" s="9" t="s">
        <v>43</v>
      </c>
      <c r="H1570" s="9" t="s">
        <v>44</v>
      </c>
      <c r="I1570" s="11" t="s">
        <v>90</v>
      </c>
      <c r="J1570" s="9" t="s">
        <v>91</v>
      </c>
      <c r="K1570" s="9" t="s">
        <v>92</v>
      </c>
      <c r="L1570" s="9" t="s">
        <v>5681</v>
      </c>
      <c r="M1570" s="9" t="s">
        <v>1242</v>
      </c>
      <c r="N1570" s="9" t="s">
        <v>50</v>
      </c>
      <c r="O1570" s="9" t="s">
        <v>51</v>
      </c>
      <c r="P1570" s="9" t="s">
        <v>865</v>
      </c>
      <c r="Q1570" s="9"/>
      <c r="R1570" s="9" t="s">
        <v>61</v>
      </c>
      <c r="S1570" s="14" t="s">
        <v>5682</v>
      </c>
      <c r="T1570" s="9" t="s">
        <v>5683</v>
      </c>
      <c r="U1570" s="9" t="s">
        <v>54</v>
      </c>
      <c r="V1570" s="9" t="s">
        <v>55</v>
      </c>
      <c r="W1570" s="9" t="s">
        <v>55</v>
      </c>
      <c r="X1570" s="12" t="s">
        <v>98</v>
      </c>
      <c r="Y1570" s="9" t="s">
        <v>99</v>
      </c>
      <c r="Z1570" s="13"/>
    </row>
    <row r="1571" spans="1:26" ht="32.25" hidden="1" customHeight="1">
      <c r="A1571" s="8">
        <v>2315442</v>
      </c>
      <c r="B1571" s="9" t="s">
        <v>5684</v>
      </c>
      <c r="C1571" s="10">
        <v>45152</v>
      </c>
      <c r="D1571" s="9" t="s">
        <v>755</v>
      </c>
      <c r="E1571" s="9" t="s">
        <v>41</v>
      </c>
      <c r="F1571" s="9" t="s">
        <v>262</v>
      </c>
      <c r="G1571" s="9" t="s">
        <v>43</v>
      </c>
      <c r="H1571" s="9" t="s">
        <v>44</v>
      </c>
      <c r="I1571" s="11" t="s">
        <v>1553</v>
      </c>
      <c r="J1571" s="9" t="s">
        <v>1554</v>
      </c>
      <c r="K1571" s="9" t="s">
        <v>393</v>
      </c>
      <c r="L1571" s="9"/>
      <c r="M1571" s="9"/>
      <c r="N1571" s="9" t="s">
        <v>50</v>
      </c>
      <c r="O1571" s="9" t="s">
        <v>187</v>
      </c>
      <c r="P1571" s="9"/>
      <c r="Q1571" s="9"/>
      <c r="R1571" s="9" t="s">
        <v>61</v>
      </c>
      <c r="S1571" s="14" t="s">
        <v>5685</v>
      </c>
      <c r="T1571" s="9" t="s">
        <v>5686</v>
      </c>
      <c r="U1571" s="9" t="s">
        <v>262</v>
      </c>
      <c r="V1571" s="9" t="s">
        <v>331</v>
      </c>
      <c r="W1571" s="9" t="s">
        <v>115</v>
      </c>
      <c r="X1571" s="12" t="s">
        <v>389</v>
      </c>
      <c r="Y1571" s="9" t="s">
        <v>390</v>
      </c>
      <c r="Z1571" s="13"/>
    </row>
    <row r="1572" spans="1:26" ht="32.25" hidden="1" customHeight="1">
      <c r="A1572" s="8">
        <v>2315423</v>
      </c>
      <c r="B1572" s="9" t="s">
        <v>5687</v>
      </c>
      <c r="C1572" s="10">
        <v>45152</v>
      </c>
      <c r="D1572" s="9" t="s">
        <v>185</v>
      </c>
      <c r="E1572" s="9" t="s">
        <v>68</v>
      </c>
      <c r="F1572" s="9" t="s">
        <v>42</v>
      </c>
      <c r="G1572" s="9" t="s">
        <v>43</v>
      </c>
      <c r="H1572" s="9" t="s">
        <v>44</v>
      </c>
      <c r="I1572" s="11" t="s">
        <v>69</v>
      </c>
      <c r="J1572" s="9" t="s">
        <v>70</v>
      </c>
      <c r="K1572" s="9" t="s">
        <v>92</v>
      </c>
      <c r="L1572" s="9"/>
      <c r="M1572" s="9" t="s">
        <v>103</v>
      </c>
      <c r="N1572" s="9" t="s">
        <v>50</v>
      </c>
      <c r="O1572" s="9" t="s">
        <v>187</v>
      </c>
      <c r="P1572" s="9" t="s">
        <v>73</v>
      </c>
      <c r="Q1572" s="9"/>
      <c r="R1572" s="9" t="s">
        <v>61</v>
      </c>
      <c r="S1572" s="14" t="s">
        <v>5688</v>
      </c>
      <c r="T1572" s="9" t="s">
        <v>5689</v>
      </c>
      <c r="U1572" s="9" t="s">
        <v>54</v>
      </c>
      <c r="V1572" s="9" t="s">
        <v>55</v>
      </c>
      <c r="W1572" s="9" t="s">
        <v>55</v>
      </c>
      <c r="X1572" s="12" t="s">
        <v>76</v>
      </c>
      <c r="Y1572" s="9" t="s">
        <v>77</v>
      </c>
      <c r="Z1572" s="13"/>
    </row>
    <row r="1573" spans="1:26" ht="32.25" hidden="1" customHeight="1">
      <c r="A1573" s="8">
        <v>2314489</v>
      </c>
      <c r="B1573" s="9" t="s">
        <v>5690</v>
      </c>
      <c r="C1573" s="10">
        <v>45156</v>
      </c>
      <c r="D1573" s="9" t="s">
        <v>79</v>
      </c>
      <c r="E1573" s="9" t="s">
        <v>41</v>
      </c>
      <c r="F1573" s="9" t="s">
        <v>80</v>
      </c>
      <c r="G1573" s="9" t="s">
        <v>43</v>
      </c>
      <c r="H1573" s="9" t="s">
        <v>44</v>
      </c>
      <c r="I1573" s="11" t="s">
        <v>527</v>
      </c>
      <c r="J1573" s="9" t="s">
        <v>130</v>
      </c>
      <c r="K1573" s="9" t="s">
        <v>47</v>
      </c>
      <c r="L1573" s="9" t="s">
        <v>156</v>
      </c>
      <c r="M1573" s="9" t="s">
        <v>157</v>
      </c>
      <c r="N1573" s="9" t="s">
        <v>50</v>
      </c>
      <c r="O1573" s="9" t="s">
        <v>51</v>
      </c>
      <c r="P1573" s="9" t="s">
        <v>529</v>
      </c>
      <c r="Q1573" s="9"/>
      <c r="R1573" s="9"/>
      <c r="S1573" s="14" t="s">
        <v>5691</v>
      </c>
      <c r="T1573" s="9" t="s">
        <v>5692</v>
      </c>
      <c r="U1573" s="9" t="s">
        <v>54</v>
      </c>
      <c r="V1573" s="9" t="s">
        <v>55</v>
      </c>
      <c r="W1573" s="9" t="s">
        <v>55</v>
      </c>
      <c r="X1573" s="12"/>
      <c r="Y1573" s="9" t="s">
        <v>55</v>
      </c>
      <c r="Z1573" s="13"/>
    </row>
    <row r="1574" spans="1:26" ht="32.25" hidden="1" customHeight="1">
      <c r="A1574" s="8">
        <v>2312462</v>
      </c>
      <c r="B1574" s="9" t="s">
        <v>5693</v>
      </c>
      <c r="C1574" s="10">
        <v>45156</v>
      </c>
      <c r="D1574" s="9" t="s">
        <v>79</v>
      </c>
      <c r="E1574" s="9" t="s">
        <v>89</v>
      </c>
      <c r="F1574" s="9" t="s">
        <v>80</v>
      </c>
      <c r="G1574" s="9" t="s">
        <v>43</v>
      </c>
      <c r="H1574" s="9" t="s">
        <v>44</v>
      </c>
      <c r="I1574" s="11" t="s">
        <v>4023</v>
      </c>
      <c r="J1574" s="9" t="s">
        <v>4024</v>
      </c>
      <c r="K1574" s="9" t="s">
        <v>47</v>
      </c>
      <c r="L1574" s="9" t="s">
        <v>48</v>
      </c>
      <c r="M1574" s="9" t="s">
        <v>1943</v>
      </c>
      <c r="N1574" s="9" t="s">
        <v>50</v>
      </c>
      <c r="O1574" s="9" t="s">
        <v>51</v>
      </c>
      <c r="P1574" s="9" t="s">
        <v>4026</v>
      </c>
      <c r="Q1574" s="9"/>
      <c r="R1574" s="9"/>
      <c r="S1574" s="14" t="s">
        <v>5694</v>
      </c>
      <c r="T1574" s="9" t="s">
        <v>5695</v>
      </c>
      <c r="U1574" s="9" t="s">
        <v>54</v>
      </c>
      <c r="V1574" s="9" t="s">
        <v>55</v>
      </c>
      <c r="W1574" s="9" t="s">
        <v>55</v>
      </c>
      <c r="X1574" s="12"/>
      <c r="Y1574" s="9" t="s">
        <v>55</v>
      </c>
      <c r="Z1574" s="13"/>
    </row>
    <row r="1575" spans="1:26" ht="32.25" hidden="1" customHeight="1">
      <c r="A1575" s="8">
        <v>2307203</v>
      </c>
      <c r="B1575" s="9" t="s">
        <v>5696</v>
      </c>
      <c r="C1575" s="10">
        <v>45136</v>
      </c>
      <c r="D1575" s="9" t="s">
        <v>940</v>
      </c>
      <c r="E1575" s="9" t="s">
        <v>41</v>
      </c>
      <c r="F1575" s="9" t="s">
        <v>42</v>
      </c>
      <c r="G1575" s="9" t="s">
        <v>43</v>
      </c>
      <c r="H1575" s="9" t="s">
        <v>44</v>
      </c>
      <c r="I1575" s="11" t="s">
        <v>661</v>
      </c>
      <c r="J1575" s="9" t="s">
        <v>662</v>
      </c>
      <c r="K1575" s="9" t="s">
        <v>47</v>
      </c>
      <c r="L1575" s="9" t="s">
        <v>221</v>
      </c>
      <c r="M1575" s="9" t="s">
        <v>1451</v>
      </c>
      <c r="N1575" s="9" t="s">
        <v>50</v>
      </c>
      <c r="O1575" s="9" t="s">
        <v>51</v>
      </c>
      <c r="P1575" s="9"/>
      <c r="Q1575" s="9"/>
      <c r="R1575" s="9" t="s">
        <v>61</v>
      </c>
      <c r="S1575" s="9" t="s">
        <v>5697</v>
      </c>
      <c r="T1575" s="9" t="s">
        <v>5698</v>
      </c>
      <c r="U1575" s="9" t="s">
        <v>54</v>
      </c>
      <c r="V1575" s="9" t="s">
        <v>55</v>
      </c>
      <c r="W1575" s="9" t="s">
        <v>55</v>
      </c>
      <c r="X1575" s="9" t="s">
        <v>64</v>
      </c>
      <c r="Y1575" s="9" t="s">
        <v>65</v>
      </c>
      <c r="Z1575" s="13"/>
    </row>
    <row r="1576" spans="1:26" ht="32.25" hidden="1" customHeight="1">
      <c r="A1576" s="8">
        <v>2309578</v>
      </c>
      <c r="B1576" s="9" t="s">
        <v>5699</v>
      </c>
      <c r="C1576" s="10">
        <v>45142</v>
      </c>
      <c r="D1576" s="9" t="s">
        <v>67</v>
      </c>
      <c r="E1576" s="9" t="s">
        <v>68</v>
      </c>
      <c r="F1576" s="9" t="s">
        <v>135</v>
      </c>
      <c r="G1576" s="9" t="s">
        <v>43</v>
      </c>
      <c r="H1576" s="9" t="s">
        <v>44</v>
      </c>
      <c r="I1576" s="11" t="s">
        <v>136</v>
      </c>
      <c r="J1576" s="9" t="s">
        <v>137</v>
      </c>
      <c r="K1576" s="9" t="s">
        <v>47</v>
      </c>
      <c r="L1576" s="9" t="s">
        <v>156</v>
      </c>
      <c r="M1576" s="9"/>
      <c r="N1576" s="9" t="s">
        <v>50</v>
      </c>
      <c r="O1576" s="9" t="s">
        <v>51</v>
      </c>
      <c r="P1576" s="9"/>
      <c r="Q1576" s="9"/>
      <c r="R1576" s="9"/>
      <c r="S1576" s="9" t="s">
        <v>5700</v>
      </c>
      <c r="T1576" s="9" t="s">
        <v>5701</v>
      </c>
      <c r="U1576" s="9" t="s">
        <v>54</v>
      </c>
      <c r="V1576" s="9" t="s">
        <v>55</v>
      </c>
      <c r="W1576" s="9" t="s">
        <v>55</v>
      </c>
      <c r="X1576" s="12"/>
      <c r="Y1576" s="9" t="s">
        <v>55</v>
      </c>
      <c r="Z1576" s="13"/>
    </row>
    <row r="1577" spans="1:26" ht="32.25" hidden="1" customHeight="1">
      <c r="A1577" s="8">
        <v>2312706</v>
      </c>
      <c r="B1577" s="9" t="s">
        <v>5702</v>
      </c>
      <c r="C1577" s="10">
        <v>45142</v>
      </c>
      <c r="D1577" s="9" t="s">
        <v>232</v>
      </c>
      <c r="E1577" s="9" t="s">
        <v>153</v>
      </c>
      <c r="F1577" s="9" t="s">
        <v>80</v>
      </c>
      <c r="G1577" s="9" t="s">
        <v>43</v>
      </c>
      <c r="H1577" s="9" t="s">
        <v>44</v>
      </c>
      <c r="I1577" s="11" t="s">
        <v>1588</v>
      </c>
      <c r="J1577" s="9" t="s">
        <v>155</v>
      </c>
      <c r="K1577" s="9" t="s">
        <v>3203</v>
      </c>
      <c r="L1577" s="9"/>
      <c r="M1577" s="9"/>
      <c r="N1577" s="9" t="s">
        <v>50</v>
      </c>
      <c r="O1577" s="9" t="s">
        <v>187</v>
      </c>
      <c r="P1577" s="9" t="s">
        <v>1589</v>
      </c>
      <c r="Q1577" s="9"/>
      <c r="R1577" s="9" t="s">
        <v>61</v>
      </c>
      <c r="S1577" s="14" t="s">
        <v>5703</v>
      </c>
      <c r="T1577" s="9" t="s">
        <v>5704</v>
      </c>
      <c r="U1577" s="9" t="s">
        <v>54</v>
      </c>
      <c r="V1577" s="9" t="s">
        <v>55</v>
      </c>
      <c r="W1577" s="9" t="s">
        <v>55</v>
      </c>
      <c r="X1577" s="12" t="s">
        <v>319</v>
      </c>
      <c r="Y1577" s="9" t="s">
        <v>320</v>
      </c>
      <c r="Z1577" s="13"/>
    </row>
    <row r="1578" spans="1:26" ht="32.25" hidden="1" customHeight="1">
      <c r="A1578" s="8">
        <v>2310768</v>
      </c>
      <c r="B1578" s="9" t="s">
        <v>5705</v>
      </c>
      <c r="C1578" s="10">
        <v>45142</v>
      </c>
      <c r="D1578" s="9" t="s">
        <v>67</v>
      </c>
      <c r="E1578" s="9" t="s">
        <v>89</v>
      </c>
      <c r="F1578" s="9" t="s">
        <v>42</v>
      </c>
      <c r="G1578" s="9" t="s">
        <v>43</v>
      </c>
      <c r="H1578" s="9" t="s">
        <v>44</v>
      </c>
      <c r="I1578" s="11" t="s">
        <v>354</v>
      </c>
      <c r="J1578" s="9" t="s">
        <v>91</v>
      </c>
      <c r="K1578" s="9" t="s">
        <v>47</v>
      </c>
      <c r="L1578" s="9" t="s">
        <v>713</v>
      </c>
      <c r="M1578" s="9" t="s">
        <v>714</v>
      </c>
      <c r="N1578" s="9" t="s">
        <v>50</v>
      </c>
      <c r="O1578" s="9" t="s">
        <v>51</v>
      </c>
      <c r="P1578" s="9" t="s">
        <v>356</v>
      </c>
      <c r="Q1578" s="9"/>
      <c r="R1578" s="9" t="s">
        <v>61</v>
      </c>
      <c r="S1578" s="9" t="s">
        <v>5706</v>
      </c>
      <c r="T1578" s="9" t="s">
        <v>5707</v>
      </c>
      <c r="U1578" s="9" t="s">
        <v>54</v>
      </c>
      <c r="V1578" s="9" t="s">
        <v>55</v>
      </c>
      <c r="W1578" s="9" t="s">
        <v>55</v>
      </c>
      <c r="X1578" s="12" t="s">
        <v>98</v>
      </c>
      <c r="Y1578" s="9" t="s">
        <v>99</v>
      </c>
      <c r="Z1578" s="13"/>
    </row>
    <row r="1579" spans="1:26" ht="32.25" hidden="1" customHeight="1">
      <c r="A1579" s="8">
        <v>2310743</v>
      </c>
      <c r="B1579" s="9" t="s">
        <v>5708</v>
      </c>
      <c r="C1579" s="10">
        <v>45156</v>
      </c>
      <c r="D1579" s="9" t="s">
        <v>79</v>
      </c>
      <c r="E1579" s="9" t="s">
        <v>89</v>
      </c>
      <c r="F1579" s="9" t="s">
        <v>80</v>
      </c>
      <c r="G1579" s="9" t="s">
        <v>43</v>
      </c>
      <c r="H1579" s="9" t="s">
        <v>44</v>
      </c>
      <c r="I1579" s="11" t="s">
        <v>4023</v>
      </c>
      <c r="J1579" s="9" t="s">
        <v>4024</v>
      </c>
      <c r="K1579" s="9" t="s">
        <v>47</v>
      </c>
      <c r="L1579" s="9" t="s">
        <v>858</v>
      </c>
      <c r="M1579" s="9" t="s">
        <v>5709</v>
      </c>
      <c r="N1579" s="9" t="s">
        <v>50</v>
      </c>
      <c r="O1579" s="9" t="s">
        <v>51</v>
      </c>
      <c r="P1579" s="9" t="s">
        <v>4026</v>
      </c>
      <c r="Q1579" s="9"/>
      <c r="R1579" s="9" t="s">
        <v>61</v>
      </c>
      <c r="S1579" s="14" t="s">
        <v>5710</v>
      </c>
      <c r="T1579" s="9" t="s">
        <v>5711</v>
      </c>
      <c r="U1579" s="9" t="s">
        <v>54</v>
      </c>
      <c r="V1579" s="9" t="s">
        <v>55</v>
      </c>
      <c r="W1579" s="9" t="s">
        <v>55</v>
      </c>
      <c r="X1579" s="12" t="s">
        <v>98</v>
      </c>
      <c r="Y1579" s="9" t="s">
        <v>99</v>
      </c>
      <c r="Z1579" s="13"/>
    </row>
    <row r="1580" spans="1:26" ht="32.25" hidden="1" customHeight="1">
      <c r="A1580" s="8">
        <v>2306221</v>
      </c>
      <c r="B1580" s="9" t="s">
        <v>5712</v>
      </c>
      <c r="C1580" s="10">
        <v>45156</v>
      </c>
      <c r="D1580" s="9" t="s">
        <v>79</v>
      </c>
      <c r="E1580" s="9" t="s">
        <v>68</v>
      </c>
      <c r="F1580" s="9" t="s">
        <v>80</v>
      </c>
      <c r="G1580" s="9" t="s">
        <v>43</v>
      </c>
      <c r="H1580" s="9" t="s">
        <v>44</v>
      </c>
      <c r="I1580" s="11" t="s">
        <v>90</v>
      </c>
      <c r="J1580" s="9" t="s">
        <v>91</v>
      </c>
      <c r="K1580" s="9" t="s">
        <v>47</v>
      </c>
      <c r="L1580" s="9" t="s">
        <v>48</v>
      </c>
      <c r="M1580" s="9" t="s">
        <v>1985</v>
      </c>
      <c r="N1580" s="9" t="s">
        <v>50</v>
      </c>
      <c r="O1580" s="9" t="s">
        <v>51</v>
      </c>
      <c r="P1580" s="9" t="s">
        <v>929</v>
      </c>
      <c r="Q1580" s="9"/>
      <c r="R1580" s="9"/>
      <c r="S1580" s="14" t="s">
        <v>5713</v>
      </c>
      <c r="T1580" s="9" t="s">
        <v>5714</v>
      </c>
      <c r="U1580" s="9" t="s">
        <v>54</v>
      </c>
      <c r="V1580" s="9" t="s">
        <v>55</v>
      </c>
      <c r="W1580" s="9" t="s">
        <v>55</v>
      </c>
      <c r="X1580" s="12"/>
      <c r="Y1580" s="9" t="s">
        <v>55</v>
      </c>
      <c r="Z1580" s="13"/>
    </row>
    <row r="1581" spans="1:26" ht="32.25" customHeight="1">
      <c r="A1581" s="8">
        <v>2315582</v>
      </c>
      <c r="B1581" s="9" t="s">
        <v>5715</v>
      </c>
      <c r="C1581" s="10">
        <v>45153</v>
      </c>
      <c r="D1581" s="9" t="s">
        <v>247</v>
      </c>
      <c r="E1581" s="9" t="s">
        <v>248</v>
      </c>
      <c r="F1581" s="9" t="s">
        <v>13288</v>
      </c>
      <c r="G1581" s="9" t="s">
        <v>43</v>
      </c>
      <c r="H1581" s="9" t="s">
        <v>44</v>
      </c>
      <c r="I1581" s="11"/>
      <c r="J1581" s="9" t="s">
        <v>249</v>
      </c>
      <c r="K1581" s="9" t="s">
        <v>2826</v>
      </c>
      <c r="L1581" s="9"/>
      <c r="M1581" s="9"/>
      <c r="N1581" s="9" t="s">
        <v>50</v>
      </c>
      <c r="O1581" s="9" t="s">
        <v>187</v>
      </c>
      <c r="P1581" s="9"/>
      <c r="Q1581" s="9"/>
      <c r="R1581" s="9" t="s">
        <v>61</v>
      </c>
      <c r="S1581" s="14"/>
      <c r="T1581" s="9"/>
      <c r="U1581" s="9" t="s">
        <v>55</v>
      </c>
      <c r="V1581" s="9" t="s">
        <v>55</v>
      </c>
      <c r="W1581" s="9" t="s">
        <v>55</v>
      </c>
      <c r="X1581" s="12" t="s">
        <v>171</v>
      </c>
      <c r="Y1581" s="9" t="s">
        <v>172</v>
      </c>
      <c r="Z1581" s="13"/>
    </row>
    <row r="1582" spans="1:26" ht="32.25" hidden="1" customHeight="1">
      <c r="A1582" s="8">
        <v>2304371</v>
      </c>
      <c r="B1582" s="9" t="s">
        <v>5716</v>
      </c>
      <c r="C1582" s="10">
        <v>45149</v>
      </c>
      <c r="D1582" s="9" t="s">
        <v>57</v>
      </c>
      <c r="E1582" s="9" t="s">
        <v>295</v>
      </c>
      <c r="F1582" s="9" t="s">
        <v>42</v>
      </c>
      <c r="G1582" s="9" t="s">
        <v>43</v>
      </c>
      <c r="H1582" s="9" t="s">
        <v>58</v>
      </c>
      <c r="I1582" s="11" t="s">
        <v>296</v>
      </c>
      <c r="J1582" s="9" t="s">
        <v>297</v>
      </c>
      <c r="K1582" s="9" t="s">
        <v>47</v>
      </c>
      <c r="L1582" s="9" t="s">
        <v>1128</v>
      </c>
      <c r="M1582" s="9" t="s">
        <v>5717</v>
      </c>
      <c r="N1582" s="9" t="s">
        <v>50</v>
      </c>
      <c r="O1582" s="9" t="s">
        <v>51</v>
      </c>
      <c r="P1582" s="9"/>
      <c r="Q1582" s="9"/>
      <c r="R1582" s="9" t="s">
        <v>61</v>
      </c>
      <c r="S1582" s="14" t="s">
        <v>5718</v>
      </c>
      <c r="T1582" s="9" t="s">
        <v>5719</v>
      </c>
      <c r="U1582" s="9" t="s">
        <v>54</v>
      </c>
      <c r="V1582" s="9" t="s">
        <v>55</v>
      </c>
      <c r="W1582" s="9" t="s">
        <v>55</v>
      </c>
      <c r="X1582" s="9" t="s">
        <v>319</v>
      </c>
      <c r="Y1582" s="9" t="s">
        <v>320</v>
      </c>
      <c r="Z1582" s="13"/>
    </row>
    <row r="1583" spans="1:26" ht="32.25" hidden="1" customHeight="1">
      <c r="A1583" s="8">
        <v>2306905</v>
      </c>
      <c r="B1583" s="9" t="s">
        <v>5720</v>
      </c>
      <c r="C1583" s="10">
        <v>45149</v>
      </c>
      <c r="D1583" s="9" t="s">
        <v>57</v>
      </c>
      <c r="E1583" s="9" t="s">
        <v>41</v>
      </c>
      <c r="F1583" s="9" t="s">
        <v>42</v>
      </c>
      <c r="G1583" s="9" t="s">
        <v>43</v>
      </c>
      <c r="H1583" s="9" t="s">
        <v>58</v>
      </c>
      <c r="I1583" s="11" t="s">
        <v>45</v>
      </c>
      <c r="J1583" s="9" t="s">
        <v>46</v>
      </c>
      <c r="K1583" s="9" t="s">
        <v>47</v>
      </c>
      <c r="L1583" s="9" t="s">
        <v>156</v>
      </c>
      <c r="M1583" s="9"/>
      <c r="N1583" s="9" t="s">
        <v>50</v>
      </c>
      <c r="O1583" s="9" t="s">
        <v>51</v>
      </c>
      <c r="P1583" s="9"/>
      <c r="Q1583" s="9"/>
      <c r="R1583" s="9"/>
      <c r="S1583" s="14" t="s">
        <v>5721</v>
      </c>
      <c r="T1583" s="9" t="s">
        <v>5722</v>
      </c>
      <c r="U1583" s="9" t="s">
        <v>54</v>
      </c>
      <c r="V1583" s="9" t="s">
        <v>55</v>
      </c>
      <c r="W1583" s="9" t="s">
        <v>55</v>
      </c>
      <c r="X1583" s="12"/>
      <c r="Y1583" s="9" t="s">
        <v>55</v>
      </c>
      <c r="Z1583" s="13"/>
    </row>
    <row r="1584" spans="1:26" ht="32.25" hidden="1" customHeight="1">
      <c r="A1584" s="8">
        <v>2305558</v>
      </c>
      <c r="B1584" s="9" t="s">
        <v>5723</v>
      </c>
      <c r="C1584" s="10">
        <v>45156</v>
      </c>
      <c r="D1584" s="9" t="s">
        <v>79</v>
      </c>
      <c r="E1584" s="9" t="s">
        <v>89</v>
      </c>
      <c r="F1584" s="9" t="s">
        <v>80</v>
      </c>
      <c r="G1584" s="9" t="s">
        <v>43</v>
      </c>
      <c r="H1584" s="9" t="s">
        <v>44</v>
      </c>
      <c r="I1584" s="11" t="s">
        <v>90</v>
      </c>
      <c r="J1584" s="9" t="s">
        <v>91</v>
      </c>
      <c r="K1584" s="9" t="s">
        <v>416</v>
      </c>
      <c r="L1584" s="9"/>
      <c r="M1584" s="9"/>
      <c r="N1584" s="9" t="s">
        <v>50</v>
      </c>
      <c r="O1584" s="9" t="s">
        <v>51</v>
      </c>
      <c r="P1584" s="9" t="s">
        <v>498</v>
      </c>
      <c r="Q1584" s="9"/>
      <c r="R1584" s="9" t="s">
        <v>61</v>
      </c>
      <c r="S1584" s="14" t="s">
        <v>5724</v>
      </c>
      <c r="T1584" s="9" t="s">
        <v>5725</v>
      </c>
      <c r="U1584" s="9" t="s">
        <v>54</v>
      </c>
      <c r="V1584" s="9" t="s">
        <v>711</v>
      </c>
      <c r="W1584" s="9" t="s">
        <v>115</v>
      </c>
      <c r="X1584" s="12" t="s">
        <v>98</v>
      </c>
      <c r="Y1584" s="9" t="s">
        <v>99</v>
      </c>
      <c r="Z1584" s="13"/>
    </row>
    <row r="1585" spans="1:26" ht="32.25" hidden="1" customHeight="1">
      <c r="A1585" s="8">
        <v>2305789</v>
      </c>
      <c r="B1585" s="9" t="s">
        <v>5726</v>
      </c>
      <c r="C1585" s="10">
        <v>45149</v>
      </c>
      <c r="D1585" s="9" t="s">
        <v>57</v>
      </c>
      <c r="E1585" s="9" t="s">
        <v>295</v>
      </c>
      <c r="F1585" s="9" t="s">
        <v>42</v>
      </c>
      <c r="G1585" s="9" t="s">
        <v>43</v>
      </c>
      <c r="H1585" s="9" t="s">
        <v>58</v>
      </c>
      <c r="I1585" s="11" t="s">
        <v>296</v>
      </c>
      <c r="J1585" s="9" t="s">
        <v>297</v>
      </c>
      <c r="K1585" s="9" t="s">
        <v>47</v>
      </c>
      <c r="L1585" s="9" t="s">
        <v>741</v>
      </c>
      <c r="M1585" s="9" t="s">
        <v>742</v>
      </c>
      <c r="N1585" s="9" t="s">
        <v>84</v>
      </c>
      <c r="O1585" s="9" t="s">
        <v>51</v>
      </c>
      <c r="P1585" s="9"/>
      <c r="Q1585" s="9"/>
      <c r="R1585" s="9" t="s">
        <v>61</v>
      </c>
      <c r="S1585" s="14" t="s">
        <v>5727</v>
      </c>
      <c r="T1585" s="9" t="s">
        <v>5728</v>
      </c>
      <c r="U1585" s="9" t="s">
        <v>54</v>
      </c>
      <c r="V1585" s="9" t="s">
        <v>55</v>
      </c>
      <c r="W1585" s="9" t="s">
        <v>55</v>
      </c>
      <c r="X1585" s="9" t="s">
        <v>319</v>
      </c>
      <c r="Y1585" s="9" t="s">
        <v>320</v>
      </c>
      <c r="Z1585" s="13"/>
    </row>
    <row r="1586" spans="1:26" ht="32.25" hidden="1" customHeight="1">
      <c r="A1586" s="8">
        <v>2308155</v>
      </c>
      <c r="B1586" s="9" t="s">
        <v>5729</v>
      </c>
      <c r="C1586" s="10">
        <v>45136</v>
      </c>
      <c r="D1586" s="9" t="s">
        <v>40</v>
      </c>
      <c r="E1586" s="9" t="s">
        <v>41</v>
      </c>
      <c r="F1586" s="9" t="s">
        <v>42</v>
      </c>
      <c r="G1586" s="9" t="s">
        <v>43</v>
      </c>
      <c r="H1586" s="9" t="s">
        <v>44</v>
      </c>
      <c r="I1586" s="11" t="s">
        <v>45</v>
      </c>
      <c r="J1586" s="9" t="s">
        <v>46</v>
      </c>
      <c r="K1586" s="9" t="s">
        <v>47</v>
      </c>
      <c r="L1586" s="9" t="s">
        <v>846</v>
      </c>
      <c r="M1586" s="9" t="s">
        <v>1081</v>
      </c>
      <c r="N1586" s="9" t="s">
        <v>50</v>
      </c>
      <c r="O1586" s="9" t="s">
        <v>51</v>
      </c>
      <c r="P1586" s="9"/>
      <c r="Q1586" s="9"/>
      <c r="R1586" s="9" t="s">
        <v>61</v>
      </c>
      <c r="S1586" s="9" t="s">
        <v>5730</v>
      </c>
      <c r="T1586" s="9" t="s">
        <v>5731</v>
      </c>
      <c r="U1586" s="9" t="s">
        <v>54</v>
      </c>
      <c r="V1586" s="9" t="s">
        <v>55</v>
      </c>
      <c r="W1586" s="9" t="s">
        <v>55</v>
      </c>
      <c r="X1586" s="9" t="s">
        <v>64</v>
      </c>
      <c r="Y1586" s="9" t="s">
        <v>65</v>
      </c>
      <c r="Z1586" s="13"/>
    </row>
    <row r="1587" spans="1:26" ht="32.25" hidden="1" customHeight="1">
      <c r="A1587" s="8">
        <v>2314624</v>
      </c>
      <c r="B1587" s="9" t="s">
        <v>5732</v>
      </c>
      <c r="C1587" s="10">
        <v>45142</v>
      </c>
      <c r="D1587" s="9" t="s">
        <v>1850</v>
      </c>
      <c r="E1587" s="9" t="s">
        <v>41</v>
      </c>
      <c r="F1587" s="9" t="s">
        <v>42</v>
      </c>
      <c r="G1587" s="9" t="s">
        <v>43</v>
      </c>
      <c r="H1587" s="9" t="s">
        <v>44</v>
      </c>
      <c r="I1587" s="11" t="s">
        <v>199</v>
      </c>
      <c r="J1587" s="9" t="s">
        <v>200</v>
      </c>
      <c r="K1587" s="9" t="s">
        <v>5733</v>
      </c>
      <c r="L1587" s="9"/>
      <c r="M1587" s="9" t="s">
        <v>5734</v>
      </c>
      <c r="N1587" s="9" t="s">
        <v>84</v>
      </c>
      <c r="O1587" s="9" t="s">
        <v>187</v>
      </c>
      <c r="P1587" s="9"/>
      <c r="Q1587" s="9"/>
      <c r="R1587" s="9" t="s">
        <v>61</v>
      </c>
      <c r="S1587" s="9" t="s">
        <v>641</v>
      </c>
      <c r="T1587" s="9" t="s">
        <v>5735</v>
      </c>
      <c r="U1587" s="9" t="s">
        <v>54</v>
      </c>
      <c r="V1587" s="9" t="s">
        <v>55</v>
      </c>
      <c r="W1587" s="9" t="s">
        <v>55</v>
      </c>
      <c r="X1587" s="12" t="s">
        <v>196</v>
      </c>
      <c r="Y1587" s="9" t="s">
        <v>197</v>
      </c>
      <c r="Z1587" s="13"/>
    </row>
    <row r="1588" spans="1:26" ht="32.25" hidden="1" customHeight="1">
      <c r="A1588" s="8">
        <v>2308951</v>
      </c>
      <c r="B1588" s="9" t="s">
        <v>5736</v>
      </c>
      <c r="C1588" s="10">
        <v>45142</v>
      </c>
      <c r="D1588" s="9" t="s">
        <v>67</v>
      </c>
      <c r="E1588" s="9" t="s">
        <v>89</v>
      </c>
      <c r="F1588" s="9" t="s">
        <v>42</v>
      </c>
      <c r="G1588" s="9" t="s">
        <v>43</v>
      </c>
      <c r="H1588" s="9" t="s">
        <v>44</v>
      </c>
      <c r="I1588" s="11" t="s">
        <v>354</v>
      </c>
      <c r="J1588" s="9" t="s">
        <v>91</v>
      </c>
      <c r="K1588" s="9" t="s">
        <v>47</v>
      </c>
      <c r="L1588" s="9" t="s">
        <v>180</v>
      </c>
      <c r="M1588" s="9" t="s">
        <v>181</v>
      </c>
      <c r="N1588" s="9" t="s">
        <v>84</v>
      </c>
      <c r="O1588" s="9" t="s">
        <v>51</v>
      </c>
      <c r="P1588" s="9" t="s">
        <v>356</v>
      </c>
      <c r="Q1588" s="9"/>
      <c r="R1588" s="9" t="s">
        <v>61</v>
      </c>
      <c r="S1588" s="9" t="s">
        <v>5737</v>
      </c>
      <c r="T1588" s="9" t="s">
        <v>5738</v>
      </c>
      <c r="U1588" s="9" t="s">
        <v>54</v>
      </c>
      <c r="V1588" s="9" t="s">
        <v>55</v>
      </c>
      <c r="W1588" s="9" t="s">
        <v>55</v>
      </c>
      <c r="X1588" s="12" t="s">
        <v>98</v>
      </c>
      <c r="Y1588" s="9" t="s">
        <v>99</v>
      </c>
      <c r="Z1588" s="13"/>
    </row>
    <row r="1589" spans="1:26" ht="32.25" hidden="1" customHeight="1">
      <c r="A1589" s="8">
        <v>2302340</v>
      </c>
      <c r="B1589" s="9" t="s">
        <v>5739</v>
      </c>
      <c r="C1589" s="10">
        <v>45142</v>
      </c>
      <c r="D1589" s="9" t="s">
        <v>67</v>
      </c>
      <c r="E1589" s="9" t="s">
        <v>68</v>
      </c>
      <c r="F1589" s="9" t="s">
        <v>135</v>
      </c>
      <c r="G1589" s="9" t="s">
        <v>43</v>
      </c>
      <c r="H1589" s="9" t="s">
        <v>44</v>
      </c>
      <c r="I1589" s="11" t="s">
        <v>136</v>
      </c>
      <c r="J1589" s="9" t="s">
        <v>137</v>
      </c>
      <c r="K1589" s="9" t="s">
        <v>47</v>
      </c>
      <c r="L1589" s="9" t="s">
        <v>167</v>
      </c>
      <c r="M1589" s="9" t="s">
        <v>2170</v>
      </c>
      <c r="N1589" s="9" t="s">
        <v>50</v>
      </c>
      <c r="O1589" s="9" t="s">
        <v>51</v>
      </c>
      <c r="P1589" s="9"/>
      <c r="Q1589" s="9"/>
      <c r="R1589" s="9" t="s">
        <v>61</v>
      </c>
      <c r="S1589" s="9" t="s">
        <v>5740</v>
      </c>
      <c r="T1589" s="9" t="s">
        <v>5741</v>
      </c>
      <c r="U1589" s="9" t="s">
        <v>54</v>
      </c>
      <c r="V1589" s="9" t="s">
        <v>55</v>
      </c>
      <c r="W1589" s="9" t="s">
        <v>55</v>
      </c>
      <c r="X1589" s="12" t="s">
        <v>76</v>
      </c>
      <c r="Y1589" s="9" t="s">
        <v>77</v>
      </c>
      <c r="Z1589" s="13"/>
    </row>
    <row r="1590" spans="1:26" ht="32.25" hidden="1" customHeight="1">
      <c r="A1590" s="8">
        <v>2304542</v>
      </c>
      <c r="B1590" s="9" t="s">
        <v>5742</v>
      </c>
      <c r="C1590" s="10">
        <v>45149</v>
      </c>
      <c r="D1590" s="9" t="s">
        <v>57</v>
      </c>
      <c r="E1590" s="9" t="s">
        <v>41</v>
      </c>
      <c r="F1590" s="9" t="s">
        <v>42</v>
      </c>
      <c r="G1590" s="9" t="s">
        <v>43</v>
      </c>
      <c r="H1590" s="9" t="s">
        <v>58</v>
      </c>
      <c r="I1590" s="11" t="s">
        <v>661</v>
      </c>
      <c r="J1590" s="9" t="s">
        <v>662</v>
      </c>
      <c r="K1590" s="9" t="s">
        <v>47</v>
      </c>
      <c r="L1590" s="9" t="s">
        <v>1542</v>
      </c>
      <c r="M1590" s="9" t="s">
        <v>5743</v>
      </c>
      <c r="N1590" s="9" t="s">
        <v>50</v>
      </c>
      <c r="O1590" s="9" t="s">
        <v>51</v>
      </c>
      <c r="P1590" s="9"/>
      <c r="Q1590" s="9"/>
      <c r="R1590" s="9" t="s">
        <v>61</v>
      </c>
      <c r="S1590" s="14" t="s">
        <v>5744</v>
      </c>
      <c r="T1590" s="9" t="s">
        <v>5745</v>
      </c>
      <c r="U1590" s="9" t="s">
        <v>54</v>
      </c>
      <c r="V1590" s="9" t="s">
        <v>55</v>
      </c>
      <c r="W1590" s="9" t="s">
        <v>55</v>
      </c>
      <c r="X1590" s="9" t="s">
        <v>64</v>
      </c>
      <c r="Y1590" s="9" t="s">
        <v>65</v>
      </c>
      <c r="Z1590" s="13"/>
    </row>
    <row r="1591" spans="1:26" ht="32.25" hidden="1" customHeight="1">
      <c r="A1591" s="8">
        <v>2303176</v>
      </c>
      <c r="B1591" s="9" t="s">
        <v>5746</v>
      </c>
      <c r="C1591" s="10">
        <v>45156</v>
      </c>
      <c r="D1591" s="9" t="s">
        <v>79</v>
      </c>
      <c r="E1591" s="9" t="s">
        <v>68</v>
      </c>
      <c r="F1591" s="9" t="s">
        <v>80</v>
      </c>
      <c r="G1591" s="9" t="s">
        <v>43</v>
      </c>
      <c r="H1591" s="9" t="s">
        <v>44</v>
      </c>
      <c r="I1591" s="11" t="s">
        <v>696</v>
      </c>
      <c r="J1591" s="9" t="s">
        <v>70</v>
      </c>
      <c r="K1591" s="9" t="s">
        <v>416</v>
      </c>
      <c r="L1591" s="9"/>
      <c r="M1591" s="9"/>
      <c r="N1591" s="9" t="s">
        <v>50</v>
      </c>
      <c r="O1591" s="9" t="s">
        <v>51</v>
      </c>
      <c r="P1591" s="9" t="s">
        <v>1841</v>
      </c>
      <c r="Q1591" s="9"/>
      <c r="R1591" s="9" t="s">
        <v>61</v>
      </c>
      <c r="S1591" s="14" t="s">
        <v>5747</v>
      </c>
      <c r="T1591" s="9" t="s">
        <v>5748</v>
      </c>
      <c r="U1591" s="9" t="s">
        <v>54</v>
      </c>
      <c r="V1591" s="9" t="s">
        <v>3207</v>
      </c>
      <c r="W1591" s="9" t="s">
        <v>115</v>
      </c>
      <c r="X1591" s="12" t="s">
        <v>76</v>
      </c>
      <c r="Y1591" s="9" t="s">
        <v>77</v>
      </c>
      <c r="Z1591" s="13"/>
    </row>
    <row r="1592" spans="1:26" ht="32.25" hidden="1" customHeight="1">
      <c r="A1592" s="8">
        <v>2315527</v>
      </c>
      <c r="B1592" s="9" t="s">
        <v>5749</v>
      </c>
      <c r="C1592" s="10">
        <v>45155</v>
      </c>
      <c r="D1592" s="9" t="s">
        <v>191</v>
      </c>
      <c r="E1592" s="9" t="s">
        <v>89</v>
      </c>
      <c r="F1592" s="9" t="s">
        <v>42</v>
      </c>
      <c r="G1592" s="9" t="s">
        <v>43</v>
      </c>
      <c r="H1592" s="9" t="s">
        <v>44</v>
      </c>
      <c r="I1592" s="11" t="s">
        <v>360</v>
      </c>
      <c r="J1592" s="9" t="s">
        <v>102</v>
      </c>
      <c r="K1592" s="9" t="s">
        <v>2036</v>
      </c>
      <c r="L1592" s="9"/>
      <c r="M1592" s="9" t="s">
        <v>5750</v>
      </c>
      <c r="N1592" s="9" t="s">
        <v>50</v>
      </c>
      <c r="O1592" s="9" t="s">
        <v>187</v>
      </c>
      <c r="P1592" s="9" t="s">
        <v>361</v>
      </c>
      <c r="Q1592" s="9"/>
      <c r="R1592" s="9" t="s">
        <v>61</v>
      </c>
      <c r="S1592" s="14" t="s">
        <v>641</v>
      </c>
      <c r="T1592" s="9" t="s">
        <v>5751</v>
      </c>
      <c r="U1592" s="9" t="s">
        <v>54</v>
      </c>
      <c r="V1592" s="9" t="s">
        <v>55</v>
      </c>
      <c r="W1592" s="9" t="s">
        <v>55</v>
      </c>
      <c r="X1592" s="12" t="s">
        <v>98</v>
      </c>
      <c r="Y1592" s="9" t="s">
        <v>99</v>
      </c>
      <c r="Z1592" s="13"/>
    </row>
    <row r="1593" spans="1:26" ht="32.25" hidden="1" customHeight="1">
      <c r="A1593" s="8">
        <v>2312865</v>
      </c>
      <c r="B1593" s="9" t="s">
        <v>5752</v>
      </c>
      <c r="C1593" s="10">
        <v>45142</v>
      </c>
      <c r="D1593" s="9" t="s">
        <v>232</v>
      </c>
      <c r="E1593" s="9" t="s">
        <v>153</v>
      </c>
      <c r="F1593" s="9" t="s">
        <v>80</v>
      </c>
      <c r="G1593" s="9" t="s">
        <v>43</v>
      </c>
      <c r="H1593" s="9" t="s">
        <v>44</v>
      </c>
      <c r="I1593" s="11" t="s">
        <v>1588</v>
      </c>
      <c r="J1593" s="9" t="s">
        <v>155</v>
      </c>
      <c r="K1593" s="9" t="s">
        <v>2036</v>
      </c>
      <c r="L1593" s="9" t="s">
        <v>948</v>
      </c>
      <c r="M1593" s="9" t="s">
        <v>949</v>
      </c>
      <c r="N1593" s="9" t="s">
        <v>84</v>
      </c>
      <c r="O1593" s="9" t="s">
        <v>187</v>
      </c>
      <c r="P1593" s="9" t="s">
        <v>1589</v>
      </c>
      <c r="Q1593" s="9"/>
      <c r="R1593" s="9" t="s">
        <v>61</v>
      </c>
      <c r="S1593" s="9" t="s">
        <v>5753</v>
      </c>
      <c r="T1593" s="9" t="s">
        <v>5754</v>
      </c>
      <c r="U1593" s="9" t="s">
        <v>54</v>
      </c>
      <c r="V1593" s="9" t="s">
        <v>55</v>
      </c>
      <c r="W1593" s="9" t="s">
        <v>55</v>
      </c>
      <c r="X1593" s="12" t="s">
        <v>319</v>
      </c>
      <c r="Y1593" s="9" t="s">
        <v>320</v>
      </c>
      <c r="Z1593" s="13"/>
    </row>
    <row r="1594" spans="1:26" ht="32.25" hidden="1" customHeight="1">
      <c r="A1594" s="8">
        <v>2300306</v>
      </c>
      <c r="B1594" s="9" t="s">
        <v>5755</v>
      </c>
      <c r="C1594" s="10">
        <v>45142</v>
      </c>
      <c r="D1594" s="9" t="s">
        <v>1850</v>
      </c>
      <c r="E1594" s="9" t="s">
        <v>89</v>
      </c>
      <c r="F1594" s="9" t="s">
        <v>42</v>
      </c>
      <c r="G1594" s="9" t="s">
        <v>43</v>
      </c>
      <c r="H1594" s="9" t="s">
        <v>44</v>
      </c>
      <c r="I1594" s="11" t="s">
        <v>360</v>
      </c>
      <c r="J1594" s="9" t="s">
        <v>102</v>
      </c>
      <c r="K1594" s="9" t="s">
        <v>2036</v>
      </c>
      <c r="L1594" s="9"/>
      <c r="M1594" s="9" t="s">
        <v>5756</v>
      </c>
      <c r="N1594" s="9" t="s">
        <v>50</v>
      </c>
      <c r="O1594" s="9" t="s">
        <v>187</v>
      </c>
      <c r="P1594" s="9" t="s">
        <v>361</v>
      </c>
      <c r="Q1594" s="9"/>
      <c r="R1594" s="9" t="s">
        <v>61</v>
      </c>
      <c r="S1594" s="9" t="s">
        <v>5757</v>
      </c>
      <c r="T1594" s="9" t="s">
        <v>5758</v>
      </c>
      <c r="U1594" s="9" t="s">
        <v>54</v>
      </c>
      <c r="V1594" s="9" t="s">
        <v>2177</v>
      </c>
      <c r="W1594" s="9" t="s">
        <v>55</v>
      </c>
      <c r="X1594" s="12" t="s">
        <v>171</v>
      </c>
      <c r="Y1594" s="9" t="s">
        <v>172</v>
      </c>
      <c r="Z1594" s="13" t="s">
        <v>240</v>
      </c>
    </row>
    <row r="1595" spans="1:26" ht="32.25" hidden="1" customHeight="1">
      <c r="A1595" s="8">
        <v>2300312</v>
      </c>
      <c r="B1595" s="9" t="s">
        <v>5759</v>
      </c>
      <c r="C1595" s="10">
        <v>45142</v>
      </c>
      <c r="D1595" s="9" t="s">
        <v>1850</v>
      </c>
      <c r="E1595" s="9" t="s">
        <v>89</v>
      </c>
      <c r="F1595" s="9" t="s">
        <v>42</v>
      </c>
      <c r="G1595" s="9" t="s">
        <v>43</v>
      </c>
      <c r="H1595" s="9" t="s">
        <v>44</v>
      </c>
      <c r="I1595" s="11" t="s">
        <v>360</v>
      </c>
      <c r="J1595" s="9" t="s">
        <v>102</v>
      </c>
      <c r="K1595" s="9" t="s">
        <v>2036</v>
      </c>
      <c r="L1595" s="9"/>
      <c r="M1595" s="9" t="s">
        <v>5760</v>
      </c>
      <c r="N1595" s="9" t="s">
        <v>50</v>
      </c>
      <c r="O1595" s="9" t="s">
        <v>187</v>
      </c>
      <c r="P1595" s="9" t="s">
        <v>361</v>
      </c>
      <c r="Q1595" s="9"/>
      <c r="R1595" s="9" t="s">
        <v>61</v>
      </c>
      <c r="S1595" s="9" t="s">
        <v>5761</v>
      </c>
      <c r="T1595" s="9" t="s">
        <v>5762</v>
      </c>
      <c r="U1595" s="9" t="s">
        <v>54</v>
      </c>
      <c r="V1595" s="9" t="s">
        <v>2177</v>
      </c>
      <c r="W1595" s="9" t="s">
        <v>55</v>
      </c>
      <c r="X1595" s="12" t="s">
        <v>171</v>
      </c>
      <c r="Y1595" s="9" t="s">
        <v>172</v>
      </c>
      <c r="Z1595" s="13" t="s">
        <v>240</v>
      </c>
    </row>
    <row r="1596" spans="1:26" ht="32.25" hidden="1" customHeight="1">
      <c r="A1596" s="8">
        <v>2314422</v>
      </c>
      <c r="B1596" s="9" t="s">
        <v>5763</v>
      </c>
      <c r="C1596" s="10">
        <v>45142</v>
      </c>
      <c r="D1596" s="9" t="s">
        <v>232</v>
      </c>
      <c r="E1596" s="9" t="s">
        <v>68</v>
      </c>
      <c r="F1596" s="9" t="s">
        <v>80</v>
      </c>
      <c r="G1596" s="9" t="s">
        <v>43</v>
      </c>
      <c r="H1596" s="9" t="s">
        <v>44</v>
      </c>
      <c r="I1596" s="11" t="s">
        <v>90</v>
      </c>
      <c r="J1596" s="9" t="s">
        <v>91</v>
      </c>
      <c r="K1596" s="9" t="s">
        <v>758</v>
      </c>
      <c r="L1596" s="9"/>
      <c r="M1596" s="9" t="s">
        <v>5764</v>
      </c>
      <c r="N1596" s="9" t="s">
        <v>50</v>
      </c>
      <c r="O1596" s="9" t="s">
        <v>187</v>
      </c>
      <c r="P1596" s="9" t="s">
        <v>929</v>
      </c>
      <c r="Q1596" s="9"/>
      <c r="R1596" s="9" t="s">
        <v>61</v>
      </c>
      <c r="S1596" s="9" t="s">
        <v>5765</v>
      </c>
      <c r="T1596" s="9" t="s">
        <v>5766</v>
      </c>
      <c r="U1596" s="9" t="s">
        <v>54</v>
      </c>
      <c r="V1596" s="9" t="s">
        <v>55</v>
      </c>
      <c r="W1596" s="9" t="s">
        <v>55</v>
      </c>
      <c r="X1596" s="12" t="s">
        <v>196</v>
      </c>
      <c r="Y1596" s="9" t="s">
        <v>197</v>
      </c>
      <c r="Z1596" s="13"/>
    </row>
    <row r="1597" spans="1:26" ht="32.25" hidden="1" customHeight="1">
      <c r="A1597" s="8">
        <v>2303990</v>
      </c>
      <c r="B1597" s="9" t="s">
        <v>5767</v>
      </c>
      <c r="C1597" s="10">
        <v>45156</v>
      </c>
      <c r="D1597" s="9" t="s">
        <v>79</v>
      </c>
      <c r="E1597" s="9" t="s">
        <v>89</v>
      </c>
      <c r="F1597" s="9" t="s">
        <v>80</v>
      </c>
      <c r="G1597" s="9" t="s">
        <v>43</v>
      </c>
      <c r="H1597" s="9" t="s">
        <v>44</v>
      </c>
      <c r="I1597" s="11" t="s">
        <v>101</v>
      </c>
      <c r="J1597" s="9" t="s">
        <v>102</v>
      </c>
      <c r="K1597" s="9" t="s">
        <v>47</v>
      </c>
      <c r="L1597" s="9" t="s">
        <v>713</v>
      </c>
      <c r="M1597" s="9" t="s">
        <v>714</v>
      </c>
      <c r="N1597" s="9" t="s">
        <v>50</v>
      </c>
      <c r="O1597" s="9" t="s">
        <v>51</v>
      </c>
      <c r="P1597" s="9" t="s">
        <v>715</v>
      </c>
      <c r="Q1597" s="9"/>
      <c r="R1597" s="9" t="s">
        <v>61</v>
      </c>
      <c r="S1597" s="14" t="s">
        <v>5768</v>
      </c>
      <c r="T1597" s="9" t="s">
        <v>5769</v>
      </c>
      <c r="U1597" s="9" t="s">
        <v>54</v>
      </c>
      <c r="V1597" s="9" t="s">
        <v>55</v>
      </c>
      <c r="W1597" s="9" t="s">
        <v>55</v>
      </c>
      <c r="X1597" s="12" t="s">
        <v>98</v>
      </c>
      <c r="Y1597" s="9" t="s">
        <v>99</v>
      </c>
      <c r="Z1597" s="13"/>
    </row>
    <row r="1598" spans="1:26" ht="32.25" hidden="1" customHeight="1">
      <c r="A1598" s="8">
        <v>2313463</v>
      </c>
      <c r="B1598" s="9" t="s">
        <v>5770</v>
      </c>
      <c r="C1598" s="10">
        <v>45136</v>
      </c>
      <c r="D1598" s="9" t="s">
        <v>301</v>
      </c>
      <c r="E1598" s="9" t="s">
        <v>41</v>
      </c>
      <c r="F1598" s="9" t="s">
        <v>42</v>
      </c>
      <c r="G1598" s="9" t="s">
        <v>43</v>
      </c>
      <c r="H1598" s="9" t="s">
        <v>44</v>
      </c>
      <c r="I1598" s="11" t="s">
        <v>45</v>
      </c>
      <c r="J1598" s="9" t="s">
        <v>46</v>
      </c>
      <c r="K1598" s="9" t="s">
        <v>47</v>
      </c>
      <c r="L1598" s="9" t="s">
        <v>156</v>
      </c>
      <c r="M1598" s="9"/>
      <c r="N1598" s="9" t="s">
        <v>50</v>
      </c>
      <c r="O1598" s="9" t="s">
        <v>51</v>
      </c>
      <c r="P1598" s="9"/>
      <c r="Q1598" s="9"/>
      <c r="R1598" s="9"/>
      <c r="S1598" s="9" t="s">
        <v>5771</v>
      </c>
      <c r="T1598" s="9" t="s">
        <v>5772</v>
      </c>
      <c r="U1598" s="9" t="s">
        <v>54</v>
      </c>
      <c r="V1598" s="9" t="s">
        <v>55</v>
      </c>
      <c r="W1598" s="9" t="s">
        <v>55</v>
      </c>
      <c r="X1598" s="12"/>
      <c r="Y1598" s="9" t="s">
        <v>55</v>
      </c>
      <c r="Z1598" s="13"/>
    </row>
    <row r="1599" spans="1:26" ht="32.25" hidden="1" customHeight="1">
      <c r="A1599" s="8">
        <v>2302063</v>
      </c>
      <c r="B1599" s="9" t="s">
        <v>5773</v>
      </c>
      <c r="C1599" s="10">
        <v>45136</v>
      </c>
      <c r="D1599" s="9" t="s">
        <v>940</v>
      </c>
      <c r="E1599" s="9" t="s">
        <v>89</v>
      </c>
      <c r="F1599" s="9" t="s">
        <v>42</v>
      </c>
      <c r="G1599" s="9" t="s">
        <v>43</v>
      </c>
      <c r="H1599" s="9" t="s">
        <v>44</v>
      </c>
      <c r="I1599" s="11" t="s">
        <v>354</v>
      </c>
      <c r="J1599" s="9" t="s">
        <v>91</v>
      </c>
      <c r="K1599" s="9" t="s">
        <v>47</v>
      </c>
      <c r="L1599" s="9" t="s">
        <v>48</v>
      </c>
      <c r="M1599" s="9" t="s">
        <v>49</v>
      </c>
      <c r="N1599" s="9" t="s">
        <v>50</v>
      </c>
      <c r="O1599" s="9" t="s">
        <v>51</v>
      </c>
      <c r="P1599" s="9" t="s">
        <v>356</v>
      </c>
      <c r="Q1599" s="9" t="s">
        <v>941</v>
      </c>
      <c r="R1599" s="9"/>
      <c r="S1599" s="9" t="s">
        <v>5774</v>
      </c>
      <c r="T1599" s="9" t="s">
        <v>5775</v>
      </c>
      <c r="U1599" s="9" t="s">
        <v>54</v>
      </c>
      <c r="V1599" s="9" t="s">
        <v>55</v>
      </c>
      <c r="W1599" s="9" t="s">
        <v>55</v>
      </c>
      <c r="X1599" s="12"/>
      <c r="Y1599" s="9" t="s">
        <v>55</v>
      </c>
      <c r="Z1599" s="13"/>
    </row>
    <row r="1600" spans="1:26" ht="32.25" hidden="1" customHeight="1">
      <c r="A1600" s="8">
        <v>2309378</v>
      </c>
      <c r="B1600" s="9" t="s">
        <v>5776</v>
      </c>
      <c r="C1600" s="10">
        <v>45142</v>
      </c>
      <c r="D1600" s="9" t="s">
        <v>67</v>
      </c>
      <c r="E1600" s="9" t="s">
        <v>89</v>
      </c>
      <c r="F1600" s="9" t="s">
        <v>42</v>
      </c>
      <c r="G1600" s="9" t="s">
        <v>43</v>
      </c>
      <c r="H1600" s="9" t="s">
        <v>44</v>
      </c>
      <c r="I1600" s="11" t="s">
        <v>360</v>
      </c>
      <c r="J1600" s="9" t="s">
        <v>102</v>
      </c>
      <c r="K1600" s="9" t="s">
        <v>47</v>
      </c>
      <c r="L1600" s="9" t="s">
        <v>451</v>
      </c>
      <c r="M1600" s="9" t="s">
        <v>5777</v>
      </c>
      <c r="N1600" s="9" t="s">
        <v>50</v>
      </c>
      <c r="O1600" s="9" t="s">
        <v>51</v>
      </c>
      <c r="P1600" s="9" t="s">
        <v>361</v>
      </c>
      <c r="Q1600" s="9"/>
      <c r="R1600" s="9"/>
      <c r="S1600" s="9" t="s">
        <v>5778</v>
      </c>
      <c r="T1600" s="9" t="s">
        <v>5779</v>
      </c>
      <c r="U1600" s="9" t="s">
        <v>54</v>
      </c>
      <c r="V1600" s="9" t="s">
        <v>55</v>
      </c>
      <c r="W1600" s="9" t="s">
        <v>55</v>
      </c>
      <c r="X1600" s="12"/>
      <c r="Y1600" s="9" t="s">
        <v>55</v>
      </c>
      <c r="Z1600" s="13"/>
    </row>
    <row r="1601" spans="1:26" ht="32.25" hidden="1" customHeight="1">
      <c r="A1601" s="8">
        <v>2313127</v>
      </c>
      <c r="B1601" s="9" t="s">
        <v>5780</v>
      </c>
      <c r="C1601" s="10">
        <v>45156</v>
      </c>
      <c r="D1601" s="9" t="s">
        <v>79</v>
      </c>
      <c r="E1601" s="9" t="s">
        <v>89</v>
      </c>
      <c r="F1601" s="9" t="s">
        <v>80</v>
      </c>
      <c r="G1601" s="9" t="s">
        <v>43</v>
      </c>
      <c r="H1601" s="9" t="s">
        <v>44</v>
      </c>
      <c r="I1601" s="11" t="s">
        <v>117</v>
      </c>
      <c r="J1601" s="9" t="s">
        <v>118</v>
      </c>
      <c r="K1601" s="9" t="s">
        <v>47</v>
      </c>
      <c r="L1601" s="9" t="s">
        <v>162</v>
      </c>
      <c r="M1601" s="9" t="s">
        <v>5781</v>
      </c>
      <c r="N1601" s="9" t="s">
        <v>84</v>
      </c>
      <c r="O1601" s="9" t="s">
        <v>51</v>
      </c>
      <c r="P1601" s="9" t="s">
        <v>121</v>
      </c>
      <c r="Q1601" s="9"/>
      <c r="R1601" s="9" t="s">
        <v>61</v>
      </c>
      <c r="S1601" s="14" t="s">
        <v>5782</v>
      </c>
      <c r="T1601" s="9" t="s">
        <v>5783</v>
      </c>
      <c r="U1601" s="9" t="s">
        <v>54</v>
      </c>
      <c r="V1601" s="9" t="s">
        <v>55</v>
      </c>
      <c r="W1601" s="9" t="s">
        <v>55</v>
      </c>
      <c r="X1601" s="12" t="s">
        <v>98</v>
      </c>
      <c r="Y1601" s="9" t="s">
        <v>99</v>
      </c>
      <c r="Z1601" s="13"/>
    </row>
    <row r="1602" spans="1:26" ht="32.25" hidden="1" customHeight="1">
      <c r="A1602" s="8">
        <v>2305974</v>
      </c>
      <c r="B1602" s="9" t="s">
        <v>5784</v>
      </c>
      <c r="C1602" s="10">
        <v>45149</v>
      </c>
      <c r="D1602" s="9" t="s">
        <v>57</v>
      </c>
      <c r="E1602" s="9" t="s">
        <v>41</v>
      </c>
      <c r="F1602" s="9" t="s">
        <v>42</v>
      </c>
      <c r="G1602" s="9" t="s">
        <v>43</v>
      </c>
      <c r="H1602" s="9" t="s">
        <v>58</v>
      </c>
      <c r="I1602" s="11" t="s">
        <v>199</v>
      </c>
      <c r="J1602" s="9" t="s">
        <v>200</v>
      </c>
      <c r="K1602" s="9" t="s">
        <v>47</v>
      </c>
      <c r="L1602" s="9" t="s">
        <v>156</v>
      </c>
      <c r="M1602" s="9"/>
      <c r="N1602" s="9" t="s">
        <v>84</v>
      </c>
      <c r="O1602" s="9" t="s">
        <v>51</v>
      </c>
      <c r="P1602" s="9"/>
      <c r="Q1602" s="9"/>
      <c r="R1602" s="9"/>
      <c r="S1602" s="14" t="s">
        <v>5785</v>
      </c>
      <c r="T1602" s="9" t="s">
        <v>5786</v>
      </c>
      <c r="U1602" s="9" t="s">
        <v>54</v>
      </c>
      <c r="V1602" s="9" t="s">
        <v>55</v>
      </c>
      <c r="W1602" s="9" t="s">
        <v>55</v>
      </c>
      <c r="X1602" s="12"/>
      <c r="Y1602" s="9" t="s">
        <v>55</v>
      </c>
      <c r="Z1602" s="13"/>
    </row>
    <row r="1603" spans="1:26" ht="32.25" hidden="1" customHeight="1">
      <c r="A1603" s="8">
        <v>2311920</v>
      </c>
      <c r="B1603" s="9" t="s">
        <v>5787</v>
      </c>
      <c r="C1603" s="10">
        <v>45149</v>
      </c>
      <c r="D1603" s="9" t="s">
        <v>261</v>
      </c>
      <c r="E1603" s="9" t="s">
        <v>68</v>
      </c>
      <c r="F1603" s="9" t="s">
        <v>262</v>
      </c>
      <c r="G1603" s="9" t="s">
        <v>43</v>
      </c>
      <c r="H1603" s="9" t="s">
        <v>44</v>
      </c>
      <c r="I1603" s="11" t="s">
        <v>1020</v>
      </c>
      <c r="J1603" s="9" t="s">
        <v>1021</v>
      </c>
      <c r="K1603" s="9" t="s">
        <v>47</v>
      </c>
      <c r="L1603" s="9" t="s">
        <v>156</v>
      </c>
      <c r="M1603" s="9"/>
      <c r="N1603" s="9" t="s">
        <v>50</v>
      </c>
      <c r="O1603" s="9" t="s">
        <v>51</v>
      </c>
      <c r="P1603" s="9"/>
      <c r="Q1603" s="9"/>
      <c r="R1603" s="9"/>
      <c r="S1603" s="14" t="s">
        <v>5788</v>
      </c>
      <c r="T1603" s="9" t="s">
        <v>5789</v>
      </c>
      <c r="U1603" s="9" t="s">
        <v>262</v>
      </c>
      <c r="V1603" s="9" t="s">
        <v>55</v>
      </c>
      <c r="W1603" s="9" t="s">
        <v>55</v>
      </c>
      <c r="X1603" s="12"/>
      <c r="Y1603" s="9" t="s">
        <v>55</v>
      </c>
      <c r="Z1603" s="13"/>
    </row>
    <row r="1604" spans="1:26" ht="32.25" hidden="1" customHeight="1">
      <c r="A1604" s="8">
        <v>2303986</v>
      </c>
      <c r="B1604" s="9" t="s">
        <v>5790</v>
      </c>
      <c r="C1604" s="10">
        <v>45149</v>
      </c>
      <c r="D1604" s="9" t="s">
        <v>57</v>
      </c>
      <c r="E1604" s="9" t="s">
        <v>41</v>
      </c>
      <c r="F1604" s="9" t="s">
        <v>42</v>
      </c>
      <c r="G1604" s="9" t="s">
        <v>43</v>
      </c>
      <c r="H1604" s="9" t="s">
        <v>58</v>
      </c>
      <c r="I1604" s="11" t="s">
        <v>45</v>
      </c>
      <c r="J1604" s="9" t="s">
        <v>46</v>
      </c>
      <c r="K1604" s="9" t="s">
        <v>47</v>
      </c>
      <c r="L1604" s="9" t="s">
        <v>156</v>
      </c>
      <c r="M1604" s="9"/>
      <c r="N1604" s="9" t="s">
        <v>50</v>
      </c>
      <c r="O1604" s="9" t="s">
        <v>51</v>
      </c>
      <c r="P1604" s="9"/>
      <c r="Q1604" s="9"/>
      <c r="R1604" s="9"/>
      <c r="S1604" s="14" t="s">
        <v>5791</v>
      </c>
      <c r="T1604" s="9" t="s">
        <v>5792</v>
      </c>
      <c r="U1604" s="9" t="s">
        <v>54</v>
      </c>
      <c r="V1604" s="9" t="s">
        <v>55</v>
      </c>
      <c r="W1604" s="9" t="s">
        <v>55</v>
      </c>
      <c r="X1604" s="12"/>
      <c r="Y1604" s="9" t="s">
        <v>55</v>
      </c>
      <c r="Z1604" s="13"/>
    </row>
    <row r="1605" spans="1:26" ht="32.25" hidden="1" customHeight="1">
      <c r="A1605" s="8">
        <v>2315043</v>
      </c>
      <c r="B1605" s="9" t="s">
        <v>5793</v>
      </c>
      <c r="C1605" s="10">
        <v>45156</v>
      </c>
      <c r="D1605" s="9" t="s">
        <v>79</v>
      </c>
      <c r="E1605" s="9" t="s">
        <v>153</v>
      </c>
      <c r="F1605" s="9" t="s">
        <v>80</v>
      </c>
      <c r="G1605" s="9" t="s">
        <v>43</v>
      </c>
      <c r="H1605" s="9" t="s">
        <v>44</v>
      </c>
      <c r="I1605" s="11" t="s">
        <v>1588</v>
      </c>
      <c r="J1605" s="9" t="s">
        <v>155</v>
      </c>
      <c r="K1605" s="9" t="s">
        <v>47</v>
      </c>
      <c r="L1605" s="9" t="s">
        <v>221</v>
      </c>
      <c r="M1605" s="9" t="s">
        <v>5794</v>
      </c>
      <c r="N1605" s="9" t="s">
        <v>84</v>
      </c>
      <c r="O1605" s="9" t="s">
        <v>51</v>
      </c>
      <c r="P1605" s="9" t="s">
        <v>1589</v>
      </c>
      <c r="Q1605" s="9"/>
      <c r="R1605" s="9" t="s">
        <v>61</v>
      </c>
      <c r="S1605" s="14" t="s">
        <v>5795</v>
      </c>
      <c r="T1605" s="9" t="s">
        <v>5796</v>
      </c>
      <c r="U1605" s="9" t="s">
        <v>54</v>
      </c>
      <c r="V1605" s="9" t="s">
        <v>55</v>
      </c>
      <c r="W1605" s="9" t="s">
        <v>55</v>
      </c>
      <c r="X1605" s="12" t="s">
        <v>319</v>
      </c>
      <c r="Y1605" s="9" t="s">
        <v>320</v>
      </c>
      <c r="Z1605" s="13"/>
    </row>
    <row r="1606" spans="1:26" ht="32.25" hidden="1" customHeight="1">
      <c r="A1606" s="8">
        <v>2300915</v>
      </c>
      <c r="B1606" s="9" t="s">
        <v>5797</v>
      </c>
      <c r="C1606" s="10">
        <v>45136</v>
      </c>
      <c r="D1606" s="9" t="s">
        <v>40</v>
      </c>
      <c r="E1606" s="9" t="s">
        <v>41</v>
      </c>
      <c r="F1606" s="9" t="s">
        <v>42</v>
      </c>
      <c r="G1606" s="9" t="s">
        <v>43</v>
      </c>
      <c r="H1606" s="9" t="s">
        <v>44</v>
      </c>
      <c r="I1606" s="11" t="s">
        <v>661</v>
      </c>
      <c r="J1606" s="9" t="s">
        <v>662</v>
      </c>
      <c r="K1606" s="9" t="s">
        <v>47</v>
      </c>
      <c r="L1606" s="9" t="s">
        <v>2632</v>
      </c>
      <c r="M1606" s="9" t="s">
        <v>3293</v>
      </c>
      <c r="N1606" s="9" t="s">
        <v>50</v>
      </c>
      <c r="O1606" s="9" t="s">
        <v>51</v>
      </c>
      <c r="P1606" s="9"/>
      <c r="Q1606" s="9"/>
      <c r="R1606" s="9" t="s">
        <v>61</v>
      </c>
      <c r="S1606" s="9" t="s">
        <v>5798</v>
      </c>
      <c r="T1606" s="9" t="s">
        <v>5799</v>
      </c>
      <c r="U1606" s="9" t="s">
        <v>54</v>
      </c>
      <c r="V1606" s="9" t="s">
        <v>55</v>
      </c>
      <c r="W1606" s="9" t="s">
        <v>55</v>
      </c>
      <c r="X1606" s="9" t="s">
        <v>64</v>
      </c>
      <c r="Y1606" s="9" t="s">
        <v>65</v>
      </c>
      <c r="Z1606" s="13"/>
    </row>
    <row r="1607" spans="1:26" ht="32.25" hidden="1" customHeight="1">
      <c r="A1607" s="8">
        <v>2309594</v>
      </c>
      <c r="B1607" s="9" t="s">
        <v>5800</v>
      </c>
      <c r="C1607" s="10">
        <v>45156</v>
      </c>
      <c r="D1607" s="9" t="s">
        <v>79</v>
      </c>
      <c r="E1607" s="9" t="s">
        <v>41</v>
      </c>
      <c r="F1607" s="9" t="s">
        <v>80</v>
      </c>
      <c r="G1607" s="9" t="s">
        <v>43</v>
      </c>
      <c r="H1607" s="9" t="s">
        <v>44</v>
      </c>
      <c r="I1607" s="11" t="s">
        <v>81</v>
      </c>
      <c r="J1607" s="9" t="s">
        <v>46</v>
      </c>
      <c r="K1607" s="9" t="s">
        <v>47</v>
      </c>
      <c r="L1607" s="9" t="s">
        <v>167</v>
      </c>
      <c r="M1607" s="9" t="s">
        <v>168</v>
      </c>
      <c r="N1607" s="9" t="s">
        <v>50</v>
      </c>
      <c r="O1607" s="9" t="s">
        <v>51</v>
      </c>
      <c r="P1607" s="9" t="s">
        <v>582</v>
      </c>
      <c r="Q1607" s="9"/>
      <c r="R1607" s="9" t="s">
        <v>61</v>
      </c>
      <c r="S1607" s="14" t="s">
        <v>5801</v>
      </c>
      <c r="T1607" s="9" t="s">
        <v>5802</v>
      </c>
      <c r="U1607" s="9" t="s">
        <v>54</v>
      </c>
      <c r="V1607" s="9" t="s">
        <v>331</v>
      </c>
      <c r="W1607" s="9" t="s">
        <v>115</v>
      </c>
      <c r="X1607" s="9" t="s">
        <v>64</v>
      </c>
      <c r="Y1607" s="9" t="s">
        <v>65</v>
      </c>
      <c r="Z1607" s="13"/>
    </row>
    <row r="1608" spans="1:26" ht="32.25" hidden="1" customHeight="1">
      <c r="A1608" s="8">
        <v>2309788</v>
      </c>
      <c r="B1608" s="9" t="s">
        <v>5803</v>
      </c>
      <c r="C1608" s="10">
        <v>45156</v>
      </c>
      <c r="D1608" s="9" t="s">
        <v>79</v>
      </c>
      <c r="E1608" s="9" t="s">
        <v>68</v>
      </c>
      <c r="F1608" s="9" t="s">
        <v>80</v>
      </c>
      <c r="G1608" s="9" t="s">
        <v>43</v>
      </c>
      <c r="H1608" s="9" t="s">
        <v>44</v>
      </c>
      <c r="I1608" s="11" t="s">
        <v>696</v>
      </c>
      <c r="J1608" s="9" t="s">
        <v>70</v>
      </c>
      <c r="K1608" s="9" t="s">
        <v>47</v>
      </c>
      <c r="L1608" s="9" t="s">
        <v>2233</v>
      </c>
      <c r="M1608" s="9" t="s">
        <v>2234</v>
      </c>
      <c r="N1608" s="9" t="s">
        <v>50</v>
      </c>
      <c r="O1608" s="9" t="s">
        <v>51</v>
      </c>
      <c r="P1608" s="9" t="s">
        <v>1841</v>
      </c>
      <c r="Q1608" s="9"/>
      <c r="R1608" s="9"/>
      <c r="S1608" s="14" t="s">
        <v>5804</v>
      </c>
      <c r="T1608" s="9" t="s">
        <v>5805</v>
      </c>
      <c r="U1608" s="9" t="s">
        <v>54</v>
      </c>
      <c r="V1608" s="9" t="s">
        <v>55</v>
      </c>
      <c r="W1608" s="9" t="s">
        <v>55</v>
      </c>
      <c r="X1608" s="12"/>
      <c r="Y1608" s="9" t="s">
        <v>55</v>
      </c>
      <c r="Z1608" s="13"/>
    </row>
    <row r="1609" spans="1:26" ht="32.25" hidden="1" customHeight="1">
      <c r="A1609" s="8">
        <v>2301379</v>
      </c>
      <c r="B1609" s="9" t="s">
        <v>5806</v>
      </c>
      <c r="C1609" s="10">
        <v>45142</v>
      </c>
      <c r="D1609" s="9" t="s">
        <v>67</v>
      </c>
      <c r="E1609" s="9" t="s">
        <v>89</v>
      </c>
      <c r="F1609" s="9" t="s">
        <v>42</v>
      </c>
      <c r="G1609" s="9" t="s">
        <v>43</v>
      </c>
      <c r="H1609" s="9" t="s">
        <v>44</v>
      </c>
      <c r="I1609" s="11" t="s">
        <v>360</v>
      </c>
      <c r="J1609" s="9" t="s">
        <v>102</v>
      </c>
      <c r="K1609" s="9" t="s">
        <v>47</v>
      </c>
      <c r="L1609" s="9" t="s">
        <v>863</v>
      </c>
      <c r="M1609" s="9" t="s">
        <v>1396</v>
      </c>
      <c r="N1609" s="9" t="s">
        <v>84</v>
      </c>
      <c r="O1609" s="9" t="s">
        <v>51</v>
      </c>
      <c r="P1609" s="9" t="s">
        <v>361</v>
      </c>
      <c r="Q1609" s="9"/>
      <c r="R1609" s="9" t="s">
        <v>61</v>
      </c>
      <c r="S1609" s="9" t="s">
        <v>5807</v>
      </c>
      <c r="T1609" s="9" t="s">
        <v>5808</v>
      </c>
      <c r="U1609" s="9" t="s">
        <v>54</v>
      </c>
      <c r="V1609" s="9" t="s">
        <v>55</v>
      </c>
      <c r="W1609" s="9" t="s">
        <v>55</v>
      </c>
      <c r="X1609" s="12" t="s">
        <v>98</v>
      </c>
      <c r="Y1609" s="9" t="s">
        <v>99</v>
      </c>
      <c r="Z1609" s="13"/>
    </row>
    <row r="1610" spans="1:26" ht="32.25" hidden="1" customHeight="1">
      <c r="A1610" s="8">
        <v>2313845</v>
      </c>
      <c r="B1610" s="9" t="s">
        <v>5809</v>
      </c>
      <c r="C1610" s="10">
        <v>45156</v>
      </c>
      <c r="D1610" s="9" t="s">
        <v>79</v>
      </c>
      <c r="E1610" s="9" t="s">
        <v>41</v>
      </c>
      <c r="F1610" s="9" t="s">
        <v>80</v>
      </c>
      <c r="G1610" s="9" t="s">
        <v>43</v>
      </c>
      <c r="H1610" s="9" t="s">
        <v>44</v>
      </c>
      <c r="I1610" s="11" t="s">
        <v>81</v>
      </c>
      <c r="J1610" s="9" t="s">
        <v>46</v>
      </c>
      <c r="K1610" s="9" t="s">
        <v>47</v>
      </c>
      <c r="L1610" s="9" t="s">
        <v>156</v>
      </c>
      <c r="M1610" s="9"/>
      <c r="N1610" s="9" t="s">
        <v>50</v>
      </c>
      <c r="O1610" s="9" t="s">
        <v>51</v>
      </c>
      <c r="P1610" s="9" t="s">
        <v>851</v>
      </c>
      <c r="Q1610" s="9"/>
      <c r="R1610" s="9"/>
      <c r="S1610" s="14" t="s">
        <v>5810</v>
      </c>
      <c r="T1610" s="9" t="s">
        <v>5811</v>
      </c>
      <c r="U1610" s="9" t="s">
        <v>54</v>
      </c>
      <c r="V1610" s="9" t="s">
        <v>55</v>
      </c>
      <c r="W1610" s="9" t="s">
        <v>55</v>
      </c>
      <c r="X1610" s="12"/>
      <c r="Y1610" s="9" t="s">
        <v>55</v>
      </c>
      <c r="Z1610" s="13"/>
    </row>
    <row r="1611" spans="1:26" ht="32.25" hidden="1" customHeight="1">
      <c r="A1611" s="8">
        <v>2307578</v>
      </c>
      <c r="B1611" s="9" t="s">
        <v>5812</v>
      </c>
      <c r="C1611" s="10">
        <v>45149</v>
      </c>
      <c r="D1611" s="9" t="s">
        <v>57</v>
      </c>
      <c r="E1611" s="9" t="s">
        <v>41</v>
      </c>
      <c r="F1611" s="9" t="s">
        <v>42</v>
      </c>
      <c r="G1611" s="9" t="s">
        <v>43</v>
      </c>
      <c r="H1611" s="9" t="s">
        <v>58</v>
      </c>
      <c r="I1611" s="11" t="s">
        <v>129</v>
      </c>
      <c r="J1611" s="9" t="s">
        <v>130</v>
      </c>
      <c r="K1611" s="9" t="s">
        <v>47</v>
      </c>
      <c r="L1611" s="9" t="s">
        <v>156</v>
      </c>
      <c r="M1611" s="9"/>
      <c r="N1611" s="9" t="s">
        <v>50</v>
      </c>
      <c r="O1611" s="9" t="s">
        <v>51</v>
      </c>
      <c r="P1611" s="9"/>
      <c r="Q1611" s="9"/>
      <c r="R1611" s="9"/>
      <c r="S1611" s="14" t="s">
        <v>5813</v>
      </c>
      <c r="T1611" s="9" t="s">
        <v>5814</v>
      </c>
      <c r="U1611" s="9" t="s">
        <v>54</v>
      </c>
      <c r="V1611" s="9" t="s">
        <v>55</v>
      </c>
      <c r="W1611" s="9" t="s">
        <v>55</v>
      </c>
      <c r="X1611" s="12"/>
      <c r="Y1611" s="9" t="s">
        <v>55</v>
      </c>
      <c r="Z1611" s="13"/>
    </row>
    <row r="1612" spans="1:26" ht="32.25" hidden="1" customHeight="1">
      <c r="A1612" s="8">
        <v>2308938</v>
      </c>
      <c r="B1612" s="9" t="s">
        <v>5815</v>
      </c>
      <c r="C1612" s="10">
        <v>45149</v>
      </c>
      <c r="D1612" s="9" t="s">
        <v>57</v>
      </c>
      <c r="E1612" s="9" t="s">
        <v>41</v>
      </c>
      <c r="F1612" s="9" t="s">
        <v>42</v>
      </c>
      <c r="G1612" s="9" t="s">
        <v>43</v>
      </c>
      <c r="H1612" s="9" t="s">
        <v>58</v>
      </c>
      <c r="I1612" s="11" t="s">
        <v>45</v>
      </c>
      <c r="J1612" s="9" t="s">
        <v>46</v>
      </c>
      <c r="K1612" s="9" t="s">
        <v>47</v>
      </c>
      <c r="L1612" s="9" t="s">
        <v>156</v>
      </c>
      <c r="M1612" s="9"/>
      <c r="N1612" s="9" t="s">
        <v>50</v>
      </c>
      <c r="O1612" s="9" t="s">
        <v>51</v>
      </c>
      <c r="P1612" s="9"/>
      <c r="Q1612" s="9"/>
      <c r="R1612" s="9"/>
      <c r="S1612" s="14" t="s">
        <v>5816</v>
      </c>
      <c r="T1612" s="9" t="s">
        <v>5817</v>
      </c>
      <c r="U1612" s="9" t="s">
        <v>54</v>
      </c>
      <c r="V1612" s="9" t="s">
        <v>55</v>
      </c>
      <c r="W1612" s="9" t="s">
        <v>55</v>
      </c>
      <c r="X1612" s="12"/>
      <c r="Y1612" s="9" t="s">
        <v>55</v>
      </c>
      <c r="Z1612" s="13"/>
    </row>
    <row r="1613" spans="1:26" ht="32.25" hidden="1" customHeight="1">
      <c r="A1613" s="8">
        <v>2309178</v>
      </c>
      <c r="B1613" s="9" t="s">
        <v>5818</v>
      </c>
      <c r="C1613" s="10">
        <v>45149</v>
      </c>
      <c r="D1613" s="9" t="s">
        <v>261</v>
      </c>
      <c r="E1613" s="9" t="s">
        <v>143</v>
      </c>
      <c r="F1613" s="9" t="s">
        <v>262</v>
      </c>
      <c r="G1613" s="9" t="s">
        <v>43</v>
      </c>
      <c r="H1613" s="9" t="s">
        <v>44</v>
      </c>
      <c r="I1613" s="11" t="s">
        <v>384</v>
      </c>
      <c r="J1613" s="9" t="s">
        <v>385</v>
      </c>
      <c r="K1613" s="9" t="s">
        <v>47</v>
      </c>
      <c r="L1613" s="9" t="s">
        <v>517</v>
      </c>
      <c r="M1613" s="9" t="s">
        <v>1413</v>
      </c>
      <c r="N1613" s="9" t="s">
        <v>50</v>
      </c>
      <c r="O1613" s="9" t="s">
        <v>51</v>
      </c>
      <c r="P1613" s="9"/>
      <c r="Q1613" s="9"/>
      <c r="R1613" s="9" t="s">
        <v>61</v>
      </c>
      <c r="S1613" s="14" t="s">
        <v>5819</v>
      </c>
      <c r="T1613" s="9" t="s">
        <v>5820</v>
      </c>
      <c r="U1613" s="9" t="s">
        <v>262</v>
      </c>
      <c r="V1613" s="9" t="s">
        <v>370</v>
      </c>
      <c r="W1613" s="9" t="s">
        <v>115</v>
      </c>
      <c r="X1613" s="12" t="s">
        <v>389</v>
      </c>
      <c r="Y1613" s="9" t="s">
        <v>390</v>
      </c>
      <c r="Z1613" s="13"/>
    </row>
    <row r="1614" spans="1:26" ht="32.25" hidden="1" customHeight="1">
      <c r="A1614" s="8">
        <v>2304016</v>
      </c>
      <c r="B1614" s="9" t="s">
        <v>5821</v>
      </c>
      <c r="C1614" s="10">
        <v>45142</v>
      </c>
      <c r="D1614" s="9" t="s">
        <v>67</v>
      </c>
      <c r="E1614" s="9" t="s">
        <v>68</v>
      </c>
      <c r="F1614" s="9" t="s">
        <v>135</v>
      </c>
      <c r="G1614" s="9" t="s">
        <v>43</v>
      </c>
      <c r="H1614" s="9" t="s">
        <v>44</v>
      </c>
      <c r="I1614" s="11" t="s">
        <v>136</v>
      </c>
      <c r="J1614" s="9" t="s">
        <v>137</v>
      </c>
      <c r="K1614" s="9" t="s">
        <v>47</v>
      </c>
      <c r="L1614" s="9" t="s">
        <v>174</v>
      </c>
      <c r="M1614" s="9" t="s">
        <v>5822</v>
      </c>
      <c r="N1614" s="9" t="s">
        <v>84</v>
      </c>
      <c r="O1614" s="9" t="s">
        <v>51</v>
      </c>
      <c r="P1614" s="9"/>
      <c r="Q1614" s="9"/>
      <c r="R1614" s="9" t="s">
        <v>61</v>
      </c>
      <c r="S1614" s="9" t="s">
        <v>5823</v>
      </c>
      <c r="T1614" s="9" t="s">
        <v>5824</v>
      </c>
      <c r="U1614" s="9" t="s">
        <v>54</v>
      </c>
      <c r="V1614" s="9" t="s">
        <v>55</v>
      </c>
      <c r="W1614" s="9" t="s">
        <v>55</v>
      </c>
      <c r="X1614" s="12" t="s">
        <v>76</v>
      </c>
      <c r="Y1614" s="9" t="s">
        <v>77</v>
      </c>
      <c r="Z1614" s="13"/>
    </row>
    <row r="1615" spans="1:26" ht="32.25" hidden="1" customHeight="1">
      <c r="A1615" s="8">
        <v>2308296</v>
      </c>
      <c r="B1615" s="9" t="s">
        <v>5825</v>
      </c>
      <c r="C1615" s="10">
        <v>45156</v>
      </c>
      <c r="D1615" s="9" t="s">
        <v>79</v>
      </c>
      <c r="E1615" s="9" t="s">
        <v>143</v>
      </c>
      <c r="F1615" s="9" t="s">
        <v>80</v>
      </c>
      <c r="G1615" s="9" t="s">
        <v>43</v>
      </c>
      <c r="H1615" s="9" t="s">
        <v>44</v>
      </c>
      <c r="I1615" s="11" t="s">
        <v>725</v>
      </c>
      <c r="J1615" s="9" t="s">
        <v>145</v>
      </c>
      <c r="K1615" s="9" t="s">
        <v>47</v>
      </c>
      <c r="L1615" s="9" t="s">
        <v>180</v>
      </c>
      <c r="M1615" s="9" t="s">
        <v>181</v>
      </c>
      <c r="N1615" s="9" t="s">
        <v>84</v>
      </c>
      <c r="O1615" s="9" t="s">
        <v>51</v>
      </c>
      <c r="P1615" s="9" t="s">
        <v>1520</v>
      </c>
      <c r="Q1615" s="9"/>
      <c r="R1615" s="9" t="s">
        <v>61</v>
      </c>
      <c r="S1615" s="14" t="s">
        <v>5826</v>
      </c>
      <c r="T1615" s="9" t="s">
        <v>5827</v>
      </c>
      <c r="U1615" s="9" t="s">
        <v>54</v>
      </c>
      <c r="V1615" s="9" t="s">
        <v>251</v>
      </c>
      <c r="W1615" s="9" t="s">
        <v>55</v>
      </c>
      <c r="X1615" s="12" t="s">
        <v>171</v>
      </c>
      <c r="Y1615" s="9" t="s">
        <v>172</v>
      </c>
      <c r="Z1615" s="13"/>
    </row>
    <row r="1616" spans="1:26" ht="32.25" hidden="1" customHeight="1">
      <c r="A1616" s="8">
        <v>2312323</v>
      </c>
      <c r="B1616" s="9" t="s">
        <v>5828</v>
      </c>
      <c r="C1616" s="10">
        <v>45149</v>
      </c>
      <c r="D1616" s="9" t="s">
        <v>57</v>
      </c>
      <c r="E1616" s="9" t="s">
        <v>41</v>
      </c>
      <c r="F1616" s="9" t="s">
        <v>42</v>
      </c>
      <c r="G1616" s="9" t="s">
        <v>43</v>
      </c>
      <c r="H1616" s="9" t="s">
        <v>58</v>
      </c>
      <c r="I1616" s="11" t="s">
        <v>129</v>
      </c>
      <c r="J1616" s="9" t="s">
        <v>130</v>
      </c>
      <c r="K1616" s="9" t="s">
        <v>47</v>
      </c>
      <c r="L1616" s="9" t="s">
        <v>156</v>
      </c>
      <c r="M1616" s="9"/>
      <c r="N1616" s="9" t="s">
        <v>84</v>
      </c>
      <c r="O1616" s="9" t="s">
        <v>51</v>
      </c>
      <c r="P1616" s="9"/>
      <c r="Q1616" s="9"/>
      <c r="R1616" s="9"/>
      <c r="S1616" s="14" t="s">
        <v>5829</v>
      </c>
      <c r="T1616" s="9" t="s">
        <v>5830</v>
      </c>
      <c r="U1616" s="9" t="s">
        <v>54</v>
      </c>
      <c r="V1616" s="9" t="s">
        <v>55</v>
      </c>
      <c r="W1616" s="9" t="s">
        <v>55</v>
      </c>
      <c r="X1616" s="12"/>
      <c r="Y1616" s="9" t="s">
        <v>55</v>
      </c>
      <c r="Z1616" s="13"/>
    </row>
    <row r="1617" spans="1:26" ht="32.25" hidden="1" customHeight="1">
      <c r="A1617" s="8">
        <v>2307813</v>
      </c>
      <c r="B1617" s="9" t="s">
        <v>5831</v>
      </c>
      <c r="C1617" s="10">
        <v>45149</v>
      </c>
      <c r="D1617" s="9" t="s">
        <v>57</v>
      </c>
      <c r="E1617" s="9" t="s">
        <v>295</v>
      </c>
      <c r="F1617" s="9" t="s">
        <v>42</v>
      </c>
      <c r="G1617" s="9" t="s">
        <v>43</v>
      </c>
      <c r="H1617" s="9" t="s">
        <v>58</v>
      </c>
      <c r="I1617" s="11" t="s">
        <v>296</v>
      </c>
      <c r="J1617" s="9" t="s">
        <v>297</v>
      </c>
      <c r="K1617" s="9" t="s">
        <v>47</v>
      </c>
      <c r="L1617" s="9" t="s">
        <v>48</v>
      </c>
      <c r="M1617" s="9" t="s">
        <v>4848</v>
      </c>
      <c r="N1617" s="9" t="s">
        <v>84</v>
      </c>
      <c r="O1617" s="9" t="s">
        <v>51</v>
      </c>
      <c r="P1617" s="9"/>
      <c r="Q1617" s="9"/>
      <c r="R1617" s="9" t="s">
        <v>61</v>
      </c>
      <c r="S1617" s="14" t="s">
        <v>5832</v>
      </c>
      <c r="T1617" s="9" t="s">
        <v>5833</v>
      </c>
      <c r="U1617" s="9" t="s">
        <v>54</v>
      </c>
      <c r="V1617" s="9" t="s">
        <v>55</v>
      </c>
      <c r="W1617" s="9" t="s">
        <v>55</v>
      </c>
      <c r="X1617" s="9" t="s">
        <v>319</v>
      </c>
      <c r="Y1617" s="9" t="s">
        <v>320</v>
      </c>
      <c r="Z1617" s="13"/>
    </row>
    <row r="1618" spans="1:26" ht="32.25" hidden="1" customHeight="1">
      <c r="A1618" s="8">
        <v>2302085</v>
      </c>
      <c r="B1618" s="9" t="s">
        <v>5834</v>
      </c>
      <c r="C1618" s="10">
        <v>45156</v>
      </c>
      <c r="D1618" s="9" t="s">
        <v>79</v>
      </c>
      <c r="E1618" s="9" t="s">
        <v>143</v>
      </c>
      <c r="F1618" s="9" t="s">
        <v>80</v>
      </c>
      <c r="G1618" s="9" t="s">
        <v>43</v>
      </c>
      <c r="H1618" s="9" t="s">
        <v>44</v>
      </c>
      <c r="I1618" s="11" t="s">
        <v>326</v>
      </c>
      <c r="J1618" s="9" t="s">
        <v>327</v>
      </c>
      <c r="K1618" s="9" t="s">
        <v>47</v>
      </c>
      <c r="L1618" s="9" t="s">
        <v>340</v>
      </c>
      <c r="M1618" s="9" t="s">
        <v>1297</v>
      </c>
      <c r="N1618" s="9" t="s">
        <v>50</v>
      </c>
      <c r="O1618" s="9" t="s">
        <v>51</v>
      </c>
      <c r="P1618" s="9" t="s">
        <v>654</v>
      </c>
      <c r="Q1618" s="9"/>
      <c r="R1618" s="9" t="s">
        <v>61</v>
      </c>
      <c r="S1618" s="14" t="s">
        <v>5835</v>
      </c>
      <c r="T1618" s="9" t="s">
        <v>5836</v>
      </c>
      <c r="U1618" s="9" t="s">
        <v>54</v>
      </c>
      <c r="V1618" s="9" t="s">
        <v>370</v>
      </c>
      <c r="W1618" s="9" t="s">
        <v>115</v>
      </c>
      <c r="X1618" s="12" t="s">
        <v>150</v>
      </c>
      <c r="Y1618" s="9" t="s">
        <v>151</v>
      </c>
      <c r="Z1618" s="13"/>
    </row>
    <row r="1619" spans="1:26" ht="32.25" hidden="1" customHeight="1">
      <c r="A1619" s="8">
        <v>2300778</v>
      </c>
      <c r="B1619" s="9" t="s">
        <v>5837</v>
      </c>
      <c r="C1619" s="10">
        <v>45142</v>
      </c>
      <c r="D1619" s="9" t="s">
        <v>67</v>
      </c>
      <c r="E1619" s="9" t="s">
        <v>68</v>
      </c>
      <c r="F1619" s="9" t="s">
        <v>135</v>
      </c>
      <c r="G1619" s="9" t="s">
        <v>43</v>
      </c>
      <c r="H1619" s="9" t="s">
        <v>44</v>
      </c>
      <c r="I1619" s="11" t="s">
        <v>136</v>
      </c>
      <c r="J1619" s="9" t="s">
        <v>137</v>
      </c>
      <c r="K1619" s="9" t="s">
        <v>416</v>
      </c>
      <c r="L1619" s="9"/>
      <c r="M1619" s="9" t="s">
        <v>5838</v>
      </c>
      <c r="N1619" s="9" t="s">
        <v>84</v>
      </c>
      <c r="O1619" s="9" t="s">
        <v>51</v>
      </c>
      <c r="P1619" s="9"/>
      <c r="Q1619" s="9"/>
      <c r="R1619" s="9" t="s">
        <v>61</v>
      </c>
      <c r="S1619" s="9" t="s">
        <v>5839</v>
      </c>
      <c r="T1619" s="9" t="s">
        <v>5840</v>
      </c>
      <c r="U1619" s="9" t="s">
        <v>54</v>
      </c>
      <c r="V1619" s="9" t="s">
        <v>55</v>
      </c>
      <c r="W1619" s="9" t="s">
        <v>55</v>
      </c>
      <c r="X1619" s="12" t="s">
        <v>76</v>
      </c>
      <c r="Y1619" s="9" t="s">
        <v>77</v>
      </c>
      <c r="Z1619" s="13"/>
    </row>
    <row r="1620" spans="1:26" ht="32.25" hidden="1" customHeight="1">
      <c r="A1620" s="8">
        <v>2306852</v>
      </c>
      <c r="B1620" s="9" t="s">
        <v>5841</v>
      </c>
      <c r="C1620" s="10">
        <v>45142</v>
      </c>
      <c r="D1620" s="9" t="s">
        <v>67</v>
      </c>
      <c r="E1620" s="9" t="s">
        <v>41</v>
      </c>
      <c r="F1620" s="9" t="s">
        <v>42</v>
      </c>
      <c r="G1620" s="9" t="s">
        <v>43</v>
      </c>
      <c r="H1620" s="9" t="s">
        <v>44</v>
      </c>
      <c r="I1620" s="11" t="s">
        <v>45</v>
      </c>
      <c r="J1620" s="9" t="s">
        <v>46</v>
      </c>
      <c r="K1620" s="9" t="s">
        <v>47</v>
      </c>
      <c r="L1620" s="9" t="s">
        <v>437</v>
      </c>
      <c r="M1620" s="9" t="s">
        <v>1707</v>
      </c>
      <c r="N1620" s="9" t="s">
        <v>84</v>
      </c>
      <c r="O1620" s="9" t="s">
        <v>51</v>
      </c>
      <c r="P1620" s="9"/>
      <c r="Q1620" s="9"/>
      <c r="R1620" s="9" t="s">
        <v>61</v>
      </c>
      <c r="S1620" s="9" t="s">
        <v>5842</v>
      </c>
      <c r="T1620" s="9" t="s">
        <v>5843</v>
      </c>
      <c r="U1620" s="9" t="s">
        <v>54</v>
      </c>
      <c r="V1620" s="9" t="s">
        <v>55</v>
      </c>
      <c r="W1620" s="9" t="s">
        <v>55</v>
      </c>
      <c r="X1620" s="9" t="s">
        <v>64</v>
      </c>
      <c r="Y1620" s="9" t="s">
        <v>65</v>
      </c>
      <c r="Z1620" s="13"/>
    </row>
    <row r="1621" spans="1:26" ht="32.25" hidden="1" customHeight="1">
      <c r="A1621" s="8">
        <v>2305180</v>
      </c>
      <c r="B1621" s="9" t="s">
        <v>5844</v>
      </c>
      <c r="C1621" s="10">
        <v>45136</v>
      </c>
      <c r="D1621" s="9" t="s">
        <v>40</v>
      </c>
      <c r="E1621" s="9" t="s">
        <v>41</v>
      </c>
      <c r="F1621" s="9" t="s">
        <v>42</v>
      </c>
      <c r="G1621" s="9" t="s">
        <v>43</v>
      </c>
      <c r="H1621" s="9" t="s">
        <v>44</v>
      </c>
      <c r="I1621" s="11" t="s">
        <v>1073</v>
      </c>
      <c r="J1621" s="9" t="s">
        <v>479</v>
      </c>
      <c r="K1621" s="9" t="s">
        <v>47</v>
      </c>
      <c r="L1621" s="9" t="s">
        <v>517</v>
      </c>
      <c r="M1621" s="9" t="s">
        <v>1413</v>
      </c>
      <c r="N1621" s="9" t="s">
        <v>50</v>
      </c>
      <c r="O1621" s="9" t="s">
        <v>51</v>
      </c>
      <c r="P1621" s="9"/>
      <c r="Q1621" s="9"/>
      <c r="R1621" s="9" t="s">
        <v>61</v>
      </c>
      <c r="S1621" s="9" t="s">
        <v>5845</v>
      </c>
      <c r="T1621" s="9" t="s">
        <v>5846</v>
      </c>
      <c r="U1621" s="9" t="s">
        <v>54</v>
      </c>
      <c r="V1621" s="9" t="s">
        <v>55</v>
      </c>
      <c r="W1621" s="9" t="s">
        <v>55</v>
      </c>
      <c r="X1621" s="9" t="s">
        <v>196</v>
      </c>
      <c r="Y1621" s="9" t="s">
        <v>197</v>
      </c>
      <c r="Z1621" s="13"/>
    </row>
    <row r="1622" spans="1:26" ht="32.25" hidden="1" customHeight="1">
      <c r="A1622" s="8">
        <v>2302553</v>
      </c>
      <c r="B1622" s="9" t="s">
        <v>5847</v>
      </c>
      <c r="C1622" s="10">
        <v>45156</v>
      </c>
      <c r="D1622" s="9" t="s">
        <v>79</v>
      </c>
      <c r="E1622" s="9" t="s">
        <v>143</v>
      </c>
      <c r="F1622" s="9" t="s">
        <v>80</v>
      </c>
      <c r="G1622" s="9" t="s">
        <v>43</v>
      </c>
      <c r="H1622" s="9" t="s">
        <v>44</v>
      </c>
      <c r="I1622" s="11" t="s">
        <v>725</v>
      </c>
      <c r="J1622" s="9" t="s">
        <v>145</v>
      </c>
      <c r="K1622" s="9" t="s">
        <v>47</v>
      </c>
      <c r="L1622" s="9" t="s">
        <v>863</v>
      </c>
      <c r="M1622" s="9" t="s">
        <v>1396</v>
      </c>
      <c r="N1622" s="9" t="s">
        <v>50</v>
      </c>
      <c r="O1622" s="9" t="s">
        <v>51</v>
      </c>
      <c r="P1622" s="9" t="s">
        <v>2924</v>
      </c>
      <c r="Q1622" s="9"/>
      <c r="R1622" s="9" t="s">
        <v>61</v>
      </c>
      <c r="S1622" s="14" t="s">
        <v>5848</v>
      </c>
      <c r="T1622" s="9" t="s">
        <v>5849</v>
      </c>
      <c r="U1622" s="9" t="s">
        <v>54</v>
      </c>
      <c r="V1622" s="9" t="s">
        <v>251</v>
      </c>
      <c r="W1622" s="9" t="s">
        <v>115</v>
      </c>
      <c r="X1622" s="12" t="s">
        <v>171</v>
      </c>
      <c r="Y1622" s="9" t="s">
        <v>172</v>
      </c>
      <c r="Z1622" s="13"/>
    </row>
    <row r="1623" spans="1:26" ht="32.25" hidden="1" customHeight="1">
      <c r="A1623" s="8">
        <v>2314670</v>
      </c>
      <c r="B1623" s="9" t="s">
        <v>5850</v>
      </c>
      <c r="C1623" s="10">
        <v>45156</v>
      </c>
      <c r="D1623" s="9" t="s">
        <v>79</v>
      </c>
      <c r="E1623" s="9" t="s">
        <v>41</v>
      </c>
      <c r="F1623" s="9" t="s">
        <v>80</v>
      </c>
      <c r="G1623" s="9" t="s">
        <v>43</v>
      </c>
      <c r="H1623" s="9" t="s">
        <v>44</v>
      </c>
      <c r="I1623" s="11" t="s">
        <v>81</v>
      </c>
      <c r="J1623" s="9" t="s">
        <v>46</v>
      </c>
      <c r="K1623" s="9" t="s">
        <v>47</v>
      </c>
      <c r="L1623" s="9" t="s">
        <v>706</v>
      </c>
      <c r="M1623" s="9" t="s">
        <v>5851</v>
      </c>
      <c r="N1623" s="9" t="s">
        <v>50</v>
      </c>
      <c r="O1623" s="9" t="s">
        <v>51</v>
      </c>
      <c r="P1623" s="9" t="s">
        <v>1263</v>
      </c>
      <c r="Q1623" s="9"/>
      <c r="R1623" s="9" t="s">
        <v>61</v>
      </c>
      <c r="S1623" s="14" t="s">
        <v>5852</v>
      </c>
      <c r="T1623" s="9" t="s">
        <v>5853</v>
      </c>
      <c r="U1623" s="9" t="s">
        <v>54</v>
      </c>
      <c r="V1623" s="9" t="s">
        <v>55</v>
      </c>
      <c r="W1623" s="9" t="s">
        <v>55</v>
      </c>
      <c r="X1623" s="9" t="s">
        <v>64</v>
      </c>
      <c r="Y1623" s="9" t="s">
        <v>65</v>
      </c>
      <c r="Z1623" s="13"/>
    </row>
    <row r="1624" spans="1:26" ht="32.25" hidden="1" customHeight="1">
      <c r="A1624" s="8">
        <v>2300782</v>
      </c>
      <c r="B1624" s="9" t="s">
        <v>5854</v>
      </c>
      <c r="C1624" s="10">
        <v>45142</v>
      </c>
      <c r="D1624" s="9" t="s">
        <v>67</v>
      </c>
      <c r="E1624" s="9" t="s">
        <v>68</v>
      </c>
      <c r="F1624" s="9" t="s">
        <v>135</v>
      </c>
      <c r="G1624" s="9" t="s">
        <v>43</v>
      </c>
      <c r="H1624" s="9" t="s">
        <v>44</v>
      </c>
      <c r="I1624" s="11" t="s">
        <v>136</v>
      </c>
      <c r="J1624" s="9" t="s">
        <v>137</v>
      </c>
      <c r="K1624" s="9" t="s">
        <v>47</v>
      </c>
      <c r="L1624" s="9" t="s">
        <v>425</v>
      </c>
      <c r="M1624" s="9" t="s">
        <v>2356</v>
      </c>
      <c r="N1624" s="9" t="s">
        <v>50</v>
      </c>
      <c r="O1624" s="9" t="s">
        <v>51</v>
      </c>
      <c r="P1624" s="9"/>
      <c r="Q1624" s="9"/>
      <c r="R1624" s="9" t="s">
        <v>61</v>
      </c>
      <c r="S1624" s="9" t="s">
        <v>5855</v>
      </c>
      <c r="T1624" s="9" t="s">
        <v>5856</v>
      </c>
      <c r="U1624" s="9" t="s">
        <v>54</v>
      </c>
      <c r="V1624" s="9" t="s">
        <v>55</v>
      </c>
      <c r="W1624" s="9" t="s">
        <v>55</v>
      </c>
      <c r="X1624" s="12" t="s">
        <v>76</v>
      </c>
      <c r="Y1624" s="9" t="s">
        <v>77</v>
      </c>
      <c r="Z1624" s="13"/>
    </row>
    <row r="1625" spans="1:26" ht="32.25" hidden="1" customHeight="1">
      <c r="A1625" s="8">
        <v>2308558</v>
      </c>
      <c r="B1625" s="9" t="s">
        <v>5857</v>
      </c>
      <c r="C1625" s="10">
        <v>45142</v>
      </c>
      <c r="D1625" s="9" t="s">
        <v>67</v>
      </c>
      <c r="E1625" s="9" t="s">
        <v>68</v>
      </c>
      <c r="F1625" s="9" t="s">
        <v>135</v>
      </c>
      <c r="G1625" s="9" t="s">
        <v>43</v>
      </c>
      <c r="H1625" s="9" t="s">
        <v>44</v>
      </c>
      <c r="I1625" s="11" t="s">
        <v>136</v>
      </c>
      <c r="J1625" s="9" t="s">
        <v>137</v>
      </c>
      <c r="K1625" s="9" t="s">
        <v>47</v>
      </c>
      <c r="L1625" s="9" t="s">
        <v>156</v>
      </c>
      <c r="M1625" s="9" t="s">
        <v>5858</v>
      </c>
      <c r="N1625" s="9" t="s">
        <v>50</v>
      </c>
      <c r="O1625" s="9" t="s">
        <v>51</v>
      </c>
      <c r="P1625" s="9"/>
      <c r="Q1625" s="9"/>
      <c r="R1625" s="9" t="s">
        <v>61</v>
      </c>
      <c r="S1625" s="9" t="s">
        <v>5859</v>
      </c>
      <c r="T1625" s="9" t="s">
        <v>5860</v>
      </c>
      <c r="U1625" s="9" t="s">
        <v>54</v>
      </c>
      <c r="V1625" s="9" t="s">
        <v>55</v>
      </c>
      <c r="W1625" s="9" t="s">
        <v>55</v>
      </c>
      <c r="X1625" s="12" t="s">
        <v>76</v>
      </c>
      <c r="Y1625" s="9" t="s">
        <v>77</v>
      </c>
      <c r="Z1625" s="13"/>
    </row>
    <row r="1626" spans="1:26" ht="32.25" hidden="1" customHeight="1">
      <c r="A1626" s="8">
        <v>2304128</v>
      </c>
      <c r="B1626" s="9" t="s">
        <v>5861</v>
      </c>
      <c r="C1626" s="10">
        <v>45142</v>
      </c>
      <c r="D1626" s="9" t="s">
        <v>67</v>
      </c>
      <c r="E1626" s="9" t="s">
        <v>143</v>
      </c>
      <c r="F1626" s="9" t="s">
        <v>42</v>
      </c>
      <c r="G1626" s="9" t="s">
        <v>43</v>
      </c>
      <c r="H1626" s="9" t="s">
        <v>44</v>
      </c>
      <c r="I1626" s="11" t="s">
        <v>460</v>
      </c>
      <c r="J1626" s="9" t="s">
        <v>400</v>
      </c>
      <c r="K1626" s="9" t="s">
        <v>47</v>
      </c>
      <c r="L1626" s="9" t="s">
        <v>156</v>
      </c>
      <c r="M1626" s="9"/>
      <c r="N1626" s="9" t="s">
        <v>84</v>
      </c>
      <c r="O1626" s="9" t="s">
        <v>51</v>
      </c>
      <c r="P1626" s="9"/>
      <c r="Q1626" s="9"/>
      <c r="R1626" s="9"/>
      <c r="S1626" s="9" t="s">
        <v>5862</v>
      </c>
      <c r="T1626" s="9" t="s">
        <v>5863</v>
      </c>
      <c r="U1626" s="9" t="s">
        <v>54</v>
      </c>
      <c r="V1626" s="9" t="s">
        <v>55</v>
      </c>
      <c r="W1626" s="9" t="s">
        <v>55</v>
      </c>
      <c r="X1626" s="12"/>
      <c r="Y1626" s="9" t="s">
        <v>55</v>
      </c>
      <c r="Z1626" s="13"/>
    </row>
    <row r="1627" spans="1:26" ht="32.25" hidden="1" customHeight="1">
      <c r="A1627" s="8">
        <v>2307477</v>
      </c>
      <c r="B1627" s="9" t="s">
        <v>5864</v>
      </c>
      <c r="C1627" s="10">
        <v>45149</v>
      </c>
      <c r="D1627" s="9" t="s">
        <v>57</v>
      </c>
      <c r="E1627" s="9" t="s">
        <v>41</v>
      </c>
      <c r="F1627" s="9" t="s">
        <v>42</v>
      </c>
      <c r="G1627" s="9" t="s">
        <v>43</v>
      </c>
      <c r="H1627" s="9" t="s">
        <v>58</v>
      </c>
      <c r="I1627" s="11" t="s">
        <v>45</v>
      </c>
      <c r="J1627" s="9" t="s">
        <v>46</v>
      </c>
      <c r="K1627" s="9" t="s">
        <v>47</v>
      </c>
      <c r="L1627" s="9" t="s">
        <v>156</v>
      </c>
      <c r="M1627" s="9"/>
      <c r="N1627" s="9" t="s">
        <v>84</v>
      </c>
      <c r="O1627" s="9" t="s">
        <v>51</v>
      </c>
      <c r="P1627" s="9"/>
      <c r="Q1627" s="9"/>
      <c r="R1627" s="9"/>
      <c r="S1627" s="14" t="s">
        <v>5865</v>
      </c>
      <c r="T1627" s="9" t="s">
        <v>5866</v>
      </c>
      <c r="U1627" s="9" t="s">
        <v>54</v>
      </c>
      <c r="V1627" s="9" t="s">
        <v>55</v>
      </c>
      <c r="W1627" s="9" t="s">
        <v>55</v>
      </c>
      <c r="X1627" s="12"/>
      <c r="Y1627" s="9" t="s">
        <v>55</v>
      </c>
      <c r="Z1627" s="13"/>
    </row>
    <row r="1628" spans="1:26" ht="32.25" hidden="1" customHeight="1">
      <c r="A1628" s="8">
        <v>2310990</v>
      </c>
      <c r="B1628" s="9" t="s">
        <v>5867</v>
      </c>
      <c r="C1628" s="10">
        <v>45142</v>
      </c>
      <c r="D1628" s="9" t="s">
        <v>67</v>
      </c>
      <c r="E1628" s="9" t="s">
        <v>143</v>
      </c>
      <c r="F1628" s="9" t="s">
        <v>42</v>
      </c>
      <c r="G1628" s="9" t="s">
        <v>43</v>
      </c>
      <c r="H1628" s="9" t="s">
        <v>44</v>
      </c>
      <c r="I1628" s="11" t="s">
        <v>334</v>
      </c>
      <c r="J1628" s="9" t="s">
        <v>327</v>
      </c>
      <c r="K1628" s="9" t="s">
        <v>47</v>
      </c>
      <c r="L1628" s="9" t="s">
        <v>290</v>
      </c>
      <c r="M1628" s="9" t="s">
        <v>1787</v>
      </c>
      <c r="N1628" s="9" t="s">
        <v>50</v>
      </c>
      <c r="O1628" s="9" t="s">
        <v>51</v>
      </c>
      <c r="P1628" s="9" t="s">
        <v>336</v>
      </c>
      <c r="Q1628" s="9"/>
      <c r="R1628" s="9" t="s">
        <v>61</v>
      </c>
      <c r="S1628" s="9" t="s">
        <v>5868</v>
      </c>
      <c r="T1628" s="9" t="s">
        <v>5869</v>
      </c>
      <c r="U1628" s="9" t="s">
        <v>54</v>
      </c>
      <c r="V1628" s="9" t="s">
        <v>55</v>
      </c>
      <c r="W1628" s="9" t="s">
        <v>55</v>
      </c>
      <c r="X1628" s="12" t="s">
        <v>150</v>
      </c>
      <c r="Y1628" s="9" t="s">
        <v>151</v>
      </c>
      <c r="Z1628" s="13"/>
    </row>
    <row r="1629" spans="1:26" ht="32.25" hidden="1" customHeight="1">
      <c r="A1629" s="8">
        <v>2302595</v>
      </c>
      <c r="B1629" s="9" t="s">
        <v>5870</v>
      </c>
      <c r="C1629" s="10">
        <v>45142</v>
      </c>
      <c r="D1629" s="9" t="s">
        <v>67</v>
      </c>
      <c r="E1629" s="9" t="s">
        <v>41</v>
      </c>
      <c r="F1629" s="9" t="s">
        <v>42</v>
      </c>
      <c r="G1629" s="9" t="s">
        <v>43</v>
      </c>
      <c r="H1629" s="9" t="s">
        <v>44</v>
      </c>
      <c r="I1629" s="11" t="s">
        <v>199</v>
      </c>
      <c r="J1629" s="9" t="s">
        <v>200</v>
      </c>
      <c r="K1629" s="9" t="s">
        <v>47</v>
      </c>
      <c r="L1629" s="9" t="s">
        <v>156</v>
      </c>
      <c r="M1629" s="9"/>
      <c r="N1629" s="9" t="s">
        <v>84</v>
      </c>
      <c r="O1629" s="9" t="s">
        <v>51</v>
      </c>
      <c r="P1629" s="9"/>
      <c r="Q1629" s="9"/>
      <c r="R1629" s="9"/>
      <c r="S1629" s="9" t="s">
        <v>5871</v>
      </c>
      <c r="T1629" s="9" t="s">
        <v>5872</v>
      </c>
      <c r="U1629" s="9" t="s">
        <v>54</v>
      </c>
      <c r="V1629" s="9" t="s">
        <v>55</v>
      </c>
      <c r="W1629" s="9" t="s">
        <v>55</v>
      </c>
      <c r="X1629" s="12"/>
      <c r="Y1629" s="9" t="s">
        <v>55</v>
      </c>
      <c r="Z1629" s="13"/>
    </row>
    <row r="1630" spans="1:26" ht="32.25" hidden="1" customHeight="1">
      <c r="A1630" s="8">
        <v>2308845</v>
      </c>
      <c r="B1630" s="9" t="s">
        <v>5873</v>
      </c>
      <c r="C1630" s="10">
        <v>45149</v>
      </c>
      <c r="D1630" s="9" t="s">
        <v>261</v>
      </c>
      <c r="E1630" s="9" t="s">
        <v>143</v>
      </c>
      <c r="F1630" s="9" t="s">
        <v>262</v>
      </c>
      <c r="G1630" s="9" t="s">
        <v>43</v>
      </c>
      <c r="H1630" s="9" t="s">
        <v>44</v>
      </c>
      <c r="I1630" s="11" t="s">
        <v>1291</v>
      </c>
      <c r="J1630" s="9" t="s">
        <v>1292</v>
      </c>
      <c r="K1630" s="9" t="s">
        <v>47</v>
      </c>
      <c r="L1630" s="9" t="s">
        <v>1040</v>
      </c>
      <c r="M1630" s="9" t="s">
        <v>1147</v>
      </c>
      <c r="N1630" s="9" t="s">
        <v>84</v>
      </c>
      <c r="O1630" s="9" t="s">
        <v>51</v>
      </c>
      <c r="P1630" s="9"/>
      <c r="Q1630" s="9"/>
      <c r="R1630" s="9" t="s">
        <v>61</v>
      </c>
      <c r="S1630" s="14" t="s">
        <v>5874</v>
      </c>
      <c r="T1630" s="9" t="s">
        <v>5875</v>
      </c>
      <c r="U1630" s="9" t="s">
        <v>262</v>
      </c>
      <c r="V1630" s="9" t="s">
        <v>251</v>
      </c>
      <c r="W1630" s="9" t="s">
        <v>115</v>
      </c>
      <c r="X1630" s="12" t="s">
        <v>389</v>
      </c>
      <c r="Y1630" s="9" t="s">
        <v>390</v>
      </c>
      <c r="Z1630" s="13"/>
    </row>
    <row r="1631" spans="1:26" ht="32.25" hidden="1" customHeight="1">
      <c r="A1631" s="8">
        <v>2314076</v>
      </c>
      <c r="B1631" s="9" t="s">
        <v>5876</v>
      </c>
      <c r="C1631" s="10">
        <v>45156</v>
      </c>
      <c r="D1631" s="9" t="s">
        <v>79</v>
      </c>
      <c r="E1631" s="9" t="s">
        <v>143</v>
      </c>
      <c r="F1631" s="9" t="s">
        <v>80</v>
      </c>
      <c r="G1631" s="9" t="s">
        <v>43</v>
      </c>
      <c r="H1631" s="9" t="s">
        <v>44</v>
      </c>
      <c r="I1631" s="11" t="s">
        <v>326</v>
      </c>
      <c r="J1631" s="9" t="s">
        <v>327</v>
      </c>
      <c r="K1631" s="9" t="s">
        <v>47</v>
      </c>
      <c r="L1631" s="9" t="s">
        <v>591</v>
      </c>
      <c r="M1631" s="9" t="s">
        <v>592</v>
      </c>
      <c r="N1631" s="9" t="s">
        <v>84</v>
      </c>
      <c r="O1631" s="9" t="s">
        <v>51</v>
      </c>
      <c r="P1631" s="9" t="s">
        <v>654</v>
      </c>
      <c r="Q1631" s="9"/>
      <c r="R1631" s="9" t="s">
        <v>61</v>
      </c>
      <c r="S1631" s="14" t="s">
        <v>5877</v>
      </c>
      <c r="T1631" s="9" t="s">
        <v>5878</v>
      </c>
      <c r="U1631" s="9" t="s">
        <v>54</v>
      </c>
      <c r="V1631" s="9" t="s">
        <v>55</v>
      </c>
      <c r="W1631" s="9" t="s">
        <v>55</v>
      </c>
      <c r="X1631" s="12" t="s">
        <v>150</v>
      </c>
      <c r="Y1631" s="9" t="s">
        <v>151</v>
      </c>
      <c r="Z1631" s="13"/>
    </row>
    <row r="1632" spans="1:26" ht="32.25" hidden="1" customHeight="1">
      <c r="A1632" s="8">
        <v>2315398</v>
      </c>
      <c r="B1632" s="9" t="s">
        <v>5879</v>
      </c>
      <c r="C1632" s="10">
        <v>45152</v>
      </c>
      <c r="D1632" s="9" t="s">
        <v>185</v>
      </c>
      <c r="E1632" s="9" t="s">
        <v>41</v>
      </c>
      <c r="F1632" s="9" t="s">
        <v>42</v>
      </c>
      <c r="G1632" s="9" t="s">
        <v>43</v>
      </c>
      <c r="H1632" s="9" t="s">
        <v>44</v>
      </c>
      <c r="I1632" s="11" t="s">
        <v>129</v>
      </c>
      <c r="J1632" s="9" t="s">
        <v>130</v>
      </c>
      <c r="K1632" s="9" t="s">
        <v>1158</v>
      </c>
      <c r="L1632" s="9"/>
      <c r="M1632" s="9" t="s">
        <v>2442</v>
      </c>
      <c r="N1632" s="9" t="s">
        <v>84</v>
      </c>
      <c r="O1632" s="9" t="s">
        <v>187</v>
      </c>
      <c r="P1632" s="9"/>
      <c r="Q1632" s="9"/>
      <c r="R1632" s="9" t="s">
        <v>61</v>
      </c>
      <c r="S1632" s="14" t="s">
        <v>5880</v>
      </c>
      <c r="T1632" s="9" t="s">
        <v>5881</v>
      </c>
      <c r="U1632" s="9" t="s">
        <v>54</v>
      </c>
      <c r="V1632" s="9" t="s">
        <v>55</v>
      </c>
      <c r="W1632" s="9" t="s">
        <v>55</v>
      </c>
      <c r="X1632" s="9" t="s">
        <v>319</v>
      </c>
      <c r="Y1632" s="9" t="s">
        <v>320</v>
      </c>
      <c r="Z1632" s="13" t="s">
        <v>230</v>
      </c>
    </row>
    <row r="1633" spans="1:26" ht="32.25" hidden="1" customHeight="1">
      <c r="A1633" s="8">
        <v>2301517</v>
      </c>
      <c r="B1633" s="9" t="s">
        <v>5882</v>
      </c>
      <c r="C1633" s="10">
        <v>45149</v>
      </c>
      <c r="D1633" s="9" t="s">
        <v>57</v>
      </c>
      <c r="E1633" s="9" t="s">
        <v>41</v>
      </c>
      <c r="F1633" s="9" t="s">
        <v>42</v>
      </c>
      <c r="G1633" s="9" t="s">
        <v>43</v>
      </c>
      <c r="H1633" s="9" t="s">
        <v>58</v>
      </c>
      <c r="I1633" s="11" t="s">
        <v>199</v>
      </c>
      <c r="J1633" s="9" t="s">
        <v>200</v>
      </c>
      <c r="K1633" s="9" t="s">
        <v>47</v>
      </c>
      <c r="L1633" s="9" t="s">
        <v>156</v>
      </c>
      <c r="M1633" s="9"/>
      <c r="N1633" s="9" t="s">
        <v>50</v>
      </c>
      <c r="O1633" s="9" t="s">
        <v>51</v>
      </c>
      <c r="P1633" s="9"/>
      <c r="Q1633" s="9"/>
      <c r="R1633" s="9"/>
      <c r="S1633" s="14" t="s">
        <v>5883</v>
      </c>
      <c r="T1633" s="9" t="s">
        <v>5884</v>
      </c>
      <c r="U1633" s="9" t="s">
        <v>54</v>
      </c>
      <c r="V1633" s="9" t="s">
        <v>55</v>
      </c>
      <c r="W1633" s="9" t="s">
        <v>55</v>
      </c>
      <c r="X1633" s="12"/>
      <c r="Y1633" s="9" t="s">
        <v>55</v>
      </c>
      <c r="Z1633" s="13"/>
    </row>
    <row r="1634" spans="1:26" ht="32.25" hidden="1" customHeight="1">
      <c r="A1634" s="8">
        <v>2302575</v>
      </c>
      <c r="B1634" s="9" t="s">
        <v>5885</v>
      </c>
      <c r="C1634" s="10">
        <v>45156</v>
      </c>
      <c r="D1634" s="9" t="s">
        <v>79</v>
      </c>
      <c r="E1634" s="9" t="s">
        <v>41</v>
      </c>
      <c r="F1634" s="9" t="s">
        <v>80</v>
      </c>
      <c r="G1634" s="9" t="s">
        <v>43</v>
      </c>
      <c r="H1634" s="9" t="s">
        <v>44</v>
      </c>
      <c r="I1634" s="11" t="s">
        <v>233</v>
      </c>
      <c r="J1634" s="9" t="s">
        <v>200</v>
      </c>
      <c r="K1634" s="9" t="s">
        <v>47</v>
      </c>
      <c r="L1634" s="9" t="s">
        <v>156</v>
      </c>
      <c r="M1634" s="9"/>
      <c r="N1634" s="9" t="s">
        <v>50</v>
      </c>
      <c r="O1634" s="9" t="s">
        <v>51</v>
      </c>
      <c r="P1634" s="9" t="s">
        <v>865</v>
      </c>
      <c r="Q1634" s="9"/>
      <c r="R1634" s="9"/>
      <c r="S1634" s="14" t="s">
        <v>5886</v>
      </c>
      <c r="T1634" s="9" t="s">
        <v>5887</v>
      </c>
      <c r="U1634" s="9" t="s">
        <v>54</v>
      </c>
      <c r="V1634" s="9"/>
      <c r="W1634" s="9" t="s">
        <v>115</v>
      </c>
      <c r="X1634" s="12"/>
      <c r="Y1634" s="9" t="s">
        <v>55</v>
      </c>
      <c r="Z1634" s="13"/>
    </row>
    <row r="1635" spans="1:26" ht="32.25" hidden="1" customHeight="1">
      <c r="A1635" s="8">
        <v>2302551</v>
      </c>
      <c r="B1635" s="9" t="s">
        <v>5888</v>
      </c>
      <c r="C1635" s="10">
        <v>45156</v>
      </c>
      <c r="D1635" s="9" t="s">
        <v>79</v>
      </c>
      <c r="E1635" s="9" t="s">
        <v>89</v>
      </c>
      <c r="F1635" s="9" t="s">
        <v>80</v>
      </c>
      <c r="G1635" s="9" t="s">
        <v>43</v>
      </c>
      <c r="H1635" s="9" t="s">
        <v>44</v>
      </c>
      <c r="I1635" s="11" t="s">
        <v>365</v>
      </c>
      <c r="J1635" s="9" t="s">
        <v>366</v>
      </c>
      <c r="K1635" s="9" t="s">
        <v>47</v>
      </c>
      <c r="L1635" s="9" t="s">
        <v>741</v>
      </c>
      <c r="M1635" s="9" t="s">
        <v>5889</v>
      </c>
      <c r="N1635" s="9" t="s">
        <v>84</v>
      </c>
      <c r="O1635" s="9" t="s">
        <v>51</v>
      </c>
      <c r="P1635" s="9" t="s">
        <v>367</v>
      </c>
      <c r="Q1635" s="9"/>
      <c r="R1635" s="9" t="s">
        <v>61</v>
      </c>
      <c r="S1635" s="14" t="s">
        <v>5890</v>
      </c>
      <c r="T1635" s="9" t="s">
        <v>5891</v>
      </c>
      <c r="U1635" s="9" t="s">
        <v>54</v>
      </c>
      <c r="V1635" s="9" t="s">
        <v>711</v>
      </c>
      <c r="W1635" s="9" t="s">
        <v>115</v>
      </c>
      <c r="X1635" s="12" t="s">
        <v>98</v>
      </c>
      <c r="Y1635" s="9" t="s">
        <v>99</v>
      </c>
      <c r="Z1635" s="13"/>
    </row>
    <row r="1636" spans="1:26" ht="32.25" hidden="1" customHeight="1">
      <c r="A1636" s="8">
        <v>2305993</v>
      </c>
      <c r="B1636" s="9" t="s">
        <v>5892</v>
      </c>
      <c r="C1636" s="10">
        <v>45156</v>
      </c>
      <c r="D1636" s="9" t="s">
        <v>79</v>
      </c>
      <c r="E1636" s="9" t="s">
        <v>41</v>
      </c>
      <c r="F1636" s="9" t="s">
        <v>80</v>
      </c>
      <c r="G1636" s="9" t="s">
        <v>43</v>
      </c>
      <c r="H1636" s="9" t="s">
        <v>44</v>
      </c>
      <c r="I1636" s="11" t="s">
        <v>233</v>
      </c>
      <c r="J1636" s="9" t="s">
        <v>200</v>
      </c>
      <c r="K1636" s="9" t="s">
        <v>47</v>
      </c>
      <c r="L1636" s="9" t="s">
        <v>156</v>
      </c>
      <c r="M1636" s="9"/>
      <c r="N1636" s="9" t="s">
        <v>50</v>
      </c>
      <c r="O1636" s="9" t="s">
        <v>51</v>
      </c>
      <c r="P1636" s="9" t="s">
        <v>236</v>
      </c>
      <c r="Q1636" s="9"/>
      <c r="R1636" s="9"/>
      <c r="S1636" s="14" t="s">
        <v>5893</v>
      </c>
      <c r="T1636" s="9" t="s">
        <v>5894</v>
      </c>
      <c r="U1636" s="9" t="s">
        <v>54</v>
      </c>
      <c r="V1636" s="9"/>
      <c r="W1636" s="9" t="s">
        <v>115</v>
      </c>
      <c r="X1636" s="12"/>
      <c r="Y1636" s="9" t="s">
        <v>55</v>
      </c>
      <c r="Z1636" s="13"/>
    </row>
    <row r="1637" spans="1:26" ht="32.25" hidden="1" customHeight="1">
      <c r="A1637" s="8">
        <v>2315429</v>
      </c>
      <c r="B1637" s="9" t="s">
        <v>5895</v>
      </c>
      <c r="C1637" s="10">
        <v>45152</v>
      </c>
      <c r="D1637" s="9" t="s">
        <v>185</v>
      </c>
      <c r="E1637" s="9" t="s">
        <v>41</v>
      </c>
      <c r="F1637" s="9" t="s">
        <v>42</v>
      </c>
      <c r="G1637" s="9" t="s">
        <v>43</v>
      </c>
      <c r="H1637" s="9" t="s">
        <v>44</v>
      </c>
      <c r="I1637" s="11" t="s">
        <v>1073</v>
      </c>
      <c r="J1637" s="9" t="s">
        <v>479</v>
      </c>
      <c r="K1637" s="9" t="s">
        <v>110</v>
      </c>
      <c r="L1637" s="9"/>
      <c r="M1637" s="9" t="s">
        <v>111</v>
      </c>
      <c r="N1637" s="9" t="s">
        <v>50</v>
      </c>
      <c r="O1637" s="9" t="s">
        <v>187</v>
      </c>
      <c r="P1637" s="9"/>
      <c r="Q1637" s="9"/>
      <c r="R1637" s="9" t="s">
        <v>61</v>
      </c>
      <c r="S1637" s="14" t="s">
        <v>5896</v>
      </c>
      <c r="T1637" s="9" t="s">
        <v>5897</v>
      </c>
      <c r="U1637" s="9" t="s">
        <v>54</v>
      </c>
      <c r="V1637" s="9" t="s">
        <v>55</v>
      </c>
      <c r="W1637" s="9" t="s">
        <v>55</v>
      </c>
      <c r="X1637" s="9" t="s">
        <v>196</v>
      </c>
      <c r="Y1637" s="9" t="s">
        <v>197</v>
      </c>
      <c r="Z1637" s="13"/>
    </row>
    <row r="1638" spans="1:26" ht="32.25" hidden="1" customHeight="1">
      <c r="A1638" s="8">
        <v>2304989</v>
      </c>
      <c r="B1638" s="9" t="s">
        <v>5898</v>
      </c>
      <c r="C1638" s="10">
        <v>45142</v>
      </c>
      <c r="D1638" s="9" t="s">
        <v>67</v>
      </c>
      <c r="E1638" s="9" t="s">
        <v>143</v>
      </c>
      <c r="F1638" s="9" t="s">
        <v>42</v>
      </c>
      <c r="G1638" s="9" t="s">
        <v>43</v>
      </c>
      <c r="H1638" s="9" t="s">
        <v>44</v>
      </c>
      <c r="I1638" s="11" t="s">
        <v>144</v>
      </c>
      <c r="J1638" s="9" t="s">
        <v>145</v>
      </c>
      <c r="K1638" s="9" t="s">
        <v>47</v>
      </c>
      <c r="L1638" s="9" t="s">
        <v>156</v>
      </c>
      <c r="M1638" s="9"/>
      <c r="N1638" s="9" t="s">
        <v>50</v>
      </c>
      <c r="O1638" s="9" t="s">
        <v>51</v>
      </c>
      <c r="P1638" s="9" t="s">
        <v>147</v>
      </c>
      <c r="Q1638" s="9"/>
      <c r="R1638" s="9"/>
      <c r="S1638" s="9" t="s">
        <v>5899</v>
      </c>
      <c r="T1638" s="9" t="s">
        <v>5900</v>
      </c>
      <c r="U1638" s="9" t="s">
        <v>54</v>
      </c>
      <c r="V1638" s="9" t="s">
        <v>55</v>
      </c>
      <c r="W1638" s="9" t="s">
        <v>55</v>
      </c>
      <c r="X1638" s="12"/>
      <c r="Y1638" s="9" t="s">
        <v>55</v>
      </c>
      <c r="Z1638" s="13"/>
    </row>
    <row r="1639" spans="1:26" ht="32.25" hidden="1" customHeight="1">
      <c r="A1639" s="8">
        <v>2305445</v>
      </c>
      <c r="B1639" s="9" t="s">
        <v>5901</v>
      </c>
      <c r="C1639" s="10">
        <v>45149</v>
      </c>
      <c r="D1639" s="9" t="s">
        <v>57</v>
      </c>
      <c r="E1639" s="9" t="s">
        <v>153</v>
      </c>
      <c r="F1639" s="9" t="s">
        <v>42</v>
      </c>
      <c r="G1639" s="9" t="s">
        <v>43</v>
      </c>
      <c r="H1639" s="9" t="s">
        <v>58</v>
      </c>
      <c r="I1639" s="11" t="s">
        <v>154</v>
      </c>
      <c r="J1639" s="9" t="s">
        <v>155</v>
      </c>
      <c r="K1639" s="9" t="s">
        <v>47</v>
      </c>
      <c r="L1639" s="9" t="s">
        <v>226</v>
      </c>
      <c r="M1639" s="9" t="s">
        <v>1374</v>
      </c>
      <c r="N1639" s="9" t="s">
        <v>84</v>
      </c>
      <c r="O1639" s="9" t="s">
        <v>51</v>
      </c>
      <c r="P1639" s="9"/>
      <c r="Q1639" s="9"/>
      <c r="R1639" s="9" t="s">
        <v>61</v>
      </c>
      <c r="S1639" s="14" t="s">
        <v>5902</v>
      </c>
      <c r="T1639" s="9" t="s">
        <v>5903</v>
      </c>
      <c r="U1639" s="9" t="s">
        <v>54</v>
      </c>
      <c r="V1639" s="9" t="s">
        <v>55</v>
      </c>
      <c r="W1639" s="9" t="s">
        <v>55</v>
      </c>
      <c r="X1639" s="12" t="s">
        <v>171</v>
      </c>
      <c r="Y1639" s="9" t="s">
        <v>172</v>
      </c>
      <c r="Z1639" s="13"/>
    </row>
    <row r="1640" spans="1:26" ht="32.25" hidden="1" customHeight="1">
      <c r="A1640" s="8">
        <v>2308946</v>
      </c>
      <c r="B1640" s="9" t="s">
        <v>5904</v>
      </c>
      <c r="C1640" s="10">
        <v>45149</v>
      </c>
      <c r="D1640" s="9" t="s">
        <v>57</v>
      </c>
      <c r="E1640" s="9" t="s">
        <v>41</v>
      </c>
      <c r="F1640" s="9" t="s">
        <v>42</v>
      </c>
      <c r="G1640" s="9" t="s">
        <v>43</v>
      </c>
      <c r="H1640" s="9" t="s">
        <v>58</v>
      </c>
      <c r="I1640" s="11" t="s">
        <v>199</v>
      </c>
      <c r="J1640" s="9" t="s">
        <v>200</v>
      </c>
      <c r="K1640" s="9" t="s">
        <v>47</v>
      </c>
      <c r="L1640" s="9" t="s">
        <v>2632</v>
      </c>
      <c r="M1640" s="9" t="s">
        <v>5905</v>
      </c>
      <c r="N1640" s="9" t="s">
        <v>84</v>
      </c>
      <c r="O1640" s="9" t="s">
        <v>51</v>
      </c>
      <c r="P1640" s="9"/>
      <c r="Q1640" s="9"/>
      <c r="R1640" s="9" t="s">
        <v>61</v>
      </c>
      <c r="S1640" s="14" t="s">
        <v>5906</v>
      </c>
      <c r="T1640" s="9" t="s">
        <v>5907</v>
      </c>
      <c r="U1640" s="9" t="s">
        <v>54</v>
      </c>
      <c r="V1640" s="9" t="s">
        <v>55</v>
      </c>
      <c r="W1640" s="9" t="s">
        <v>55</v>
      </c>
      <c r="X1640" s="12" t="s">
        <v>196</v>
      </c>
      <c r="Y1640" s="9" t="s">
        <v>197</v>
      </c>
      <c r="Z1640" s="13"/>
    </row>
    <row r="1641" spans="1:26" ht="32.25" hidden="1" customHeight="1">
      <c r="A1641" s="8">
        <v>2306350</v>
      </c>
      <c r="B1641" s="9" t="s">
        <v>5908</v>
      </c>
      <c r="C1641" s="10">
        <v>45149</v>
      </c>
      <c r="D1641" s="9" t="s">
        <v>57</v>
      </c>
      <c r="E1641" s="9" t="s">
        <v>41</v>
      </c>
      <c r="F1641" s="9" t="s">
        <v>42</v>
      </c>
      <c r="G1641" s="9" t="s">
        <v>43</v>
      </c>
      <c r="H1641" s="9" t="s">
        <v>58</v>
      </c>
      <c r="I1641" s="11" t="s">
        <v>129</v>
      </c>
      <c r="J1641" s="9" t="s">
        <v>130</v>
      </c>
      <c r="K1641" s="9" t="s">
        <v>47</v>
      </c>
      <c r="L1641" s="9" t="s">
        <v>863</v>
      </c>
      <c r="M1641" s="9" t="s">
        <v>1258</v>
      </c>
      <c r="N1641" s="9" t="s">
        <v>84</v>
      </c>
      <c r="O1641" s="9" t="s">
        <v>51</v>
      </c>
      <c r="P1641" s="9"/>
      <c r="Q1641" s="9"/>
      <c r="R1641" s="9" t="s">
        <v>61</v>
      </c>
      <c r="S1641" s="14" t="s">
        <v>5909</v>
      </c>
      <c r="T1641" s="9" t="s">
        <v>5910</v>
      </c>
      <c r="U1641" s="9" t="s">
        <v>54</v>
      </c>
      <c r="V1641" s="9" t="s">
        <v>55</v>
      </c>
      <c r="W1641" s="9" t="s">
        <v>55</v>
      </c>
      <c r="X1641" s="9" t="s">
        <v>196</v>
      </c>
      <c r="Y1641" s="9" t="s">
        <v>197</v>
      </c>
      <c r="Z1641" s="13" t="s">
        <v>230</v>
      </c>
    </row>
    <row r="1642" spans="1:26" ht="32.25" hidden="1" customHeight="1">
      <c r="A1642" s="8">
        <v>2304065</v>
      </c>
      <c r="B1642" s="9" t="s">
        <v>5911</v>
      </c>
      <c r="C1642" s="10">
        <v>45149</v>
      </c>
      <c r="D1642" s="9" t="s">
        <v>57</v>
      </c>
      <c r="E1642" s="9" t="s">
        <v>153</v>
      </c>
      <c r="F1642" s="9" t="s">
        <v>42</v>
      </c>
      <c r="G1642" s="9" t="s">
        <v>43</v>
      </c>
      <c r="H1642" s="9" t="s">
        <v>58</v>
      </c>
      <c r="I1642" s="11" t="s">
        <v>154</v>
      </c>
      <c r="J1642" s="9" t="s">
        <v>155</v>
      </c>
      <c r="K1642" s="9" t="s">
        <v>47</v>
      </c>
      <c r="L1642" s="9" t="s">
        <v>48</v>
      </c>
      <c r="M1642" s="9" t="s">
        <v>674</v>
      </c>
      <c r="N1642" s="9" t="s">
        <v>84</v>
      </c>
      <c r="O1642" s="9" t="s">
        <v>51</v>
      </c>
      <c r="P1642" s="9"/>
      <c r="Q1642" s="9"/>
      <c r="R1642" s="9"/>
      <c r="S1642" s="14" t="s">
        <v>5912</v>
      </c>
      <c r="T1642" s="9" t="s">
        <v>5913</v>
      </c>
      <c r="U1642" s="9" t="s">
        <v>54</v>
      </c>
      <c r="V1642" s="9" t="s">
        <v>55</v>
      </c>
      <c r="W1642" s="9" t="s">
        <v>55</v>
      </c>
      <c r="X1642" s="12"/>
      <c r="Y1642" s="9" t="s">
        <v>55</v>
      </c>
      <c r="Z1642" s="13"/>
    </row>
    <row r="1643" spans="1:26" ht="32.25" hidden="1" customHeight="1">
      <c r="A1643" s="8">
        <v>2301677</v>
      </c>
      <c r="B1643" s="9" t="s">
        <v>5914</v>
      </c>
      <c r="C1643" s="10">
        <v>45149</v>
      </c>
      <c r="D1643" s="9" t="s">
        <v>57</v>
      </c>
      <c r="E1643" s="9" t="s">
        <v>295</v>
      </c>
      <c r="F1643" s="9" t="s">
        <v>42</v>
      </c>
      <c r="G1643" s="9" t="s">
        <v>43</v>
      </c>
      <c r="H1643" s="9" t="s">
        <v>58</v>
      </c>
      <c r="I1643" s="11" t="s">
        <v>406</v>
      </c>
      <c r="J1643" s="9" t="s">
        <v>407</v>
      </c>
      <c r="K1643" s="9" t="s">
        <v>47</v>
      </c>
      <c r="L1643" s="9" t="s">
        <v>586</v>
      </c>
      <c r="M1643" s="9" t="s">
        <v>1936</v>
      </c>
      <c r="N1643" s="9" t="s">
        <v>50</v>
      </c>
      <c r="O1643" s="9" t="s">
        <v>51</v>
      </c>
      <c r="P1643" s="9"/>
      <c r="Q1643" s="9"/>
      <c r="R1643" s="9" t="s">
        <v>61</v>
      </c>
      <c r="S1643" s="14" t="s">
        <v>5915</v>
      </c>
      <c r="T1643" s="9" t="s">
        <v>5916</v>
      </c>
      <c r="U1643" s="9" t="s">
        <v>54</v>
      </c>
      <c r="V1643" s="9" t="s">
        <v>55</v>
      </c>
      <c r="W1643" s="9" t="s">
        <v>55</v>
      </c>
      <c r="X1643" s="9" t="s">
        <v>319</v>
      </c>
      <c r="Y1643" s="9" t="s">
        <v>320</v>
      </c>
      <c r="Z1643" s="13"/>
    </row>
    <row r="1644" spans="1:26" ht="32.25" hidden="1" customHeight="1">
      <c r="A1644" s="8">
        <v>2306103</v>
      </c>
      <c r="B1644" s="9" t="s">
        <v>5917</v>
      </c>
      <c r="C1644" s="10">
        <v>45156</v>
      </c>
      <c r="D1644" s="9" t="s">
        <v>79</v>
      </c>
      <c r="E1644" s="9" t="s">
        <v>89</v>
      </c>
      <c r="F1644" s="9" t="s">
        <v>80</v>
      </c>
      <c r="G1644" s="9" t="s">
        <v>43</v>
      </c>
      <c r="H1644" s="9" t="s">
        <v>44</v>
      </c>
      <c r="I1644" s="11" t="s">
        <v>101</v>
      </c>
      <c r="J1644" s="9" t="s">
        <v>102</v>
      </c>
      <c r="K1644" s="9" t="s">
        <v>47</v>
      </c>
      <c r="L1644" s="9" t="s">
        <v>846</v>
      </c>
      <c r="M1644" s="9" t="s">
        <v>1535</v>
      </c>
      <c r="N1644" s="9" t="s">
        <v>84</v>
      </c>
      <c r="O1644" s="9" t="s">
        <v>51</v>
      </c>
      <c r="P1644" s="9" t="s">
        <v>125</v>
      </c>
      <c r="Q1644" s="9"/>
      <c r="R1644" s="9" t="s">
        <v>61</v>
      </c>
      <c r="S1644" s="14" t="s">
        <v>5918</v>
      </c>
      <c r="T1644" s="9" t="s">
        <v>5919</v>
      </c>
      <c r="U1644" s="9" t="s">
        <v>54</v>
      </c>
      <c r="V1644" s="9" t="s">
        <v>711</v>
      </c>
      <c r="W1644" s="9" t="s">
        <v>115</v>
      </c>
      <c r="X1644" s="12" t="s">
        <v>98</v>
      </c>
      <c r="Y1644" s="9" t="s">
        <v>99</v>
      </c>
      <c r="Z1644" s="13"/>
    </row>
    <row r="1645" spans="1:26" ht="32.25" hidden="1" customHeight="1">
      <c r="A1645" s="8">
        <v>2305363</v>
      </c>
      <c r="B1645" s="9" t="s">
        <v>5920</v>
      </c>
      <c r="C1645" s="10">
        <v>45156</v>
      </c>
      <c r="D1645" s="9" t="s">
        <v>79</v>
      </c>
      <c r="E1645" s="9" t="s">
        <v>68</v>
      </c>
      <c r="F1645" s="9" t="s">
        <v>80</v>
      </c>
      <c r="G1645" s="9" t="s">
        <v>43</v>
      </c>
      <c r="H1645" s="9" t="s">
        <v>44</v>
      </c>
      <c r="I1645" s="11" t="s">
        <v>117</v>
      </c>
      <c r="J1645" s="9" t="s">
        <v>118</v>
      </c>
      <c r="K1645" s="9" t="s">
        <v>47</v>
      </c>
      <c r="L1645" s="9" t="s">
        <v>226</v>
      </c>
      <c r="M1645" s="9" t="s">
        <v>1374</v>
      </c>
      <c r="N1645" s="9" t="s">
        <v>84</v>
      </c>
      <c r="O1645" s="9" t="s">
        <v>51</v>
      </c>
      <c r="P1645" s="9" t="s">
        <v>285</v>
      </c>
      <c r="Q1645" s="9"/>
      <c r="R1645" s="9" t="s">
        <v>61</v>
      </c>
      <c r="S1645" s="14" t="s">
        <v>5921</v>
      </c>
      <c r="T1645" s="9" t="s">
        <v>5922</v>
      </c>
      <c r="U1645" s="9" t="s">
        <v>54</v>
      </c>
      <c r="V1645" s="9" t="s">
        <v>318</v>
      </c>
      <c r="W1645" s="9" t="s">
        <v>115</v>
      </c>
      <c r="X1645" s="12" t="s">
        <v>319</v>
      </c>
      <c r="Y1645" s="9" t="s">
        <v>320</v>
      </c>
      <c r="Z1645" s="13"/>
    </row>
    <row r="1646" spans="1:26" ht="32.25" hidden="1" customHeight="1">
      <c r="A1646" s="8">
        <v>2310090</v>
      </c>
      <c r="B1646" s="9" t="s">
        <v>5923</v>
      </c>
      <c r="C1646" s="10">
        <v>45149</v>
      </c>
      <c r="D1646" s="9" t="s">
        <v>57</v>
      </c>
      <c r="E1646" s="9" t="s">
        <v>295</v>
      </c>
      <c r="F1646" s="9" t="s">
        <v>42</v>
      </c>
      <c r="G1646" s="9" t="s">
        <v>43</v>
      </c>
      <c r="H1646" s="9" t="s">
        <v>58</v>
      </c>
      <c r="I1646" s="11" t="s">
        <v>406</v>
      </c>
      <c r="J1646" s="9" t="s">
        <v>407</v>
      </c>
      <c r="K1646" s="9" t="s">
        <v>47</v>
      </c>
      <c r="L1646" s="9" t="s">
        <v>156</v>
      </c>
      <c r="M1646" s="9"/>
      <c r="N1646" s="9" t="s">
        <v>84</v>
      </c>
      <c r="O1646" s="9" t="s">
        <v>51</v>
      </c>
      <c r="P1646" s="9"/>
      <c r="Q1646" s="9"/>
      <c r="R1646" s="9"/>
      <c r="S1646" s="14" t="s">
        <v>5924</v>
      </c>
      <c r="T1646" s="9" t="s">
        <v>5925</v>
      </c>
      <c r="U1646" s="9" t="s">
        <v>54</v>
      </c>
      <c r="V1646" s="9" t="s">
        <v>55</v>
      </c>
      <c r="W1646" s="9" t="s">
        <v>55</v>
      </c>
      <c r="X1646" s="12"/>
      <c r="Y1646" s="9" t="s">
        <v>55</v>
      </c>
      <c r="Z1646" s="13"/>
    </row>
    <row r="1647" spans="1:26" ht="32.25" hidden="1" customHeight="1">
      <c r="A1647" s="8">
        <v>2312953</v>
      </c>
      <c r="B1647" s="9" t="s">
        <v>5926</v>
      </c>
      <c r="C1647" s="10">
        <v>45149</v>
      </c>
      <c r="D1647" s="9" t="s">
        <v>261</v>
      </c>
      <c r="E1647" s="9" t="s">
        <v>143</v>
      </c>
      <c r="F1647" s="9" t="s">
        <v>262</v>
      </c>
      <c r="G1647" s="9" t="s">
        <v>43</v>
      </c>
      <c r="H1647" s="9" t="s">
        <v>44</v>
      </c>
      <c r="I1647" s="11" t="s">
        <v>1136</v>
      </c>
      <c r="J1647" s="9" t="s">
        <v>1137</v>
      </c>
      <c r="K1647" s="9" t="s">
        <v>47</v>
      </c>
      <c r="L1647" s="9" t="s">
        <v>174</v>
      </c>
      <c r="M1647" s="9" t="s">
        <v>5927</v>
      </c>
      <c r="N1647" s="9" t="s">
        <v>50</v>
      </c>
      <c r="O1647" s="9" t="s">
        <v>51</v>
      </c>
      <c r="P1647" s="9"/>
      <c r="Q1647" s="9"/>
      <c r="R1647" s="9"/>
      <c r="S1647" s="14" t="s">
        <v>5928</v>
      </c>
      <c r="T1647" s="9" t="s">
        <v>5929</v>
      </c>
      <c r="U1647" s="9" t="s">
        <v>262</v>
      </c>
      <c r="V1647" s="9" t="s">
        <v>55</v>
      </c>
      <c r="W1647" s="9" t="s">
        <v>55</v>
      </c>
      <c r="X1647" s="12"/>
      <c r="Y1647" s="9" t="s">
        <v>55</v>
      </c>
      <c r="Z1647" s="13"/>
    </row>
    <row r="1648" spans="1:26" ht="32.25" hidden="1" customHeight="1">
      <c r="A1648" s="8">
        <v>2313445</v>
      </c>
      <c r="B1648" s="9" t="s">
        <v>5930</v>
      </c>
      <c r="C1648" s="10">
        <v>45156</v>
      </c>
      <c r="D1648" s="9" t="s">
        <v>79</v>
      </c>
      <c r="E1648" s="9" t="s">
        <v>41</v>
      </c>
      <c r="F1648" s="9" t="s">
        <v>80</v>
      </c>
      <c r="G1648" s="9" t="s">
        <v>43</v>
      </c>
      <c r="H1648" s="9" t="s">
        <v>44</v>
      </c>
      <c r="I1648" s="11" t="s">
        <v>81</v>
      </c>
      <c r="J1648" s="9" t="s">
        <v>46</v>
      </c>
      <c r="K1648" s="9" t="s">
        <v>47</v>
      </c>
      <c r="L1648" s="9" t="s">
        <v>863</v>
      </c>
      <c r="M1648" s="9" t="s">
        <v>5931</v>
      </c>
      <c r="N1648" s="9" t="s">
        <v>50</v>
      </c>
      <c r="O1648" s="9" t="s">
        <v>51</v>
      </c>
      <c r="P1648" s="9" t="s">
        <v>85</v>
      </c>
      <c r="Q1648" s="9"/>
      <c r="R1648" s="9"/>
      <c r="S1648" s="14" t="s">
        <v>5932</v>
      </c>
      <c r="T1648" s="9" t="s">
        <v>5933</v>
      </c>
      <c r="U1648" s="9" t="s">
        <v>54</v>
      </c>
      <c r="V1648" s="9" t="s">
        <v>331</v>
      </c>
      <c r="W1648" s="9" t="s">
        <v>115</v>
      </c>
      <c r="X1648" s="12"/>
      <c r="Y1648" s="9" t="s">
        <v>55</v>
      </c>
      <c r="Z1648" s="13"/>
    </row>
    <row r="1649" spans="1:26" ht="32.25" hidden="1" customHeight="1">
      <c r="A1649" s="8">
        <v>2309570</v>
      </c>
      <c r="B1649" s="9" t="s">
        <v>5934</v>
      </c>
      <c r="C1649" s="10">
        <v>45149</v>
      </c>
      <c r="D1649" s="9" t="s">
        <v>261</v>
      </c>
      <c r="E1649" s="9" t="s">
        <v>68</v>
      </c>
      <c r="F1649" s="9" t="s">
        <v>262</v>
      </c>
      <c r="G1649" s="9" t="s">
        <v>43</v>
      </c>
      <c r="H1649" s="9" t="s">
        <v>44</v>
      </c>
      <c r="I1649" s="11" t="s">
        <v>263</v>
      </c>
      <c r="J1649" s="9" t="s">
        <v>264</v>
      </c>
      <c r="K1649" s="9" t="s">
        <v>47</v>
      </c>
      <c r="L1649" s="9" t="s">
        <v>156</v>
      </c>
      <c r="M1649" s="9"/>
      <c r="N1649" s="9" t="s">
        <v>50</v>
      </c>
      <c r="O1649" s="9" t="s">
        <v>51</v>
      </c>
      <c r="P1649" s="9"/>
      <c r="Q1649" s="9"/>
      <c r="R1649" s="9"/>
      <c r="S1649" s="14" t="s">
        <v>5935</v>
      </c>
      <c r="T1649" s="9" t="s">
        <v>5936</v>
      </c>
      <c r="U1649" s="9" t="s">
        <v>262</v>
      </c>
      <c r="V1649" s="9" t="s">
        <v>55</v>
      </c>
      <c r="W1649" s="9" t="s">
        <v>55</v>
      </c>
      <c r="X1649" s="12"/>
      <c r="Y1649" s="9" t="s">
        <v>55</v>
      </c>
      <c r="Z1649" s="13"/>
    </row>
    <row r="1650" spans="1:26" ht="32.25" hidden="1" customHeight="1">
      <c r="A1650" s="8">
        <v>2312751</v>
      </c>
      <c r="B1650" s="9" t="s">
        <v>5937</v>
      </c>
      <c r="C1650" s="10">
        <v>45149</v>
      </c>
      <c r="D1650" s="9" t="s">
        <v>261</v>
      </c>
      <c r="E1650" s="9" t="s">
        <v>89</v>
      </c>
      <c r="F1650" s="9" t="s">
        <v>262</v>
      </c>
      <c r="G1650" s="9" t="s">
        <v>43</v>
      </c>
      <c r="H1650" s="9" t="s">
        <v>44</v>
      </c>
      <c r="I1650" s="11" t="s">
        <v>1561</v>
      </c>
      <c r="J1650" s="9" t="s">
        <v>1562</v>
      </c>
      <c r="K1650" s="9" t="s">
        <v>110</v>
      </c>
      <c r="L1650" s="9"/>
      <c r="M1650" s="9" t="s">
        <v>5938</v>
      </c>
      <c r="N1650" s="9" t="s">
        <v>50</v>
      </c>
      <c r="O1650" s="9" t="s">
        <v>51</v>
      </c>
      <c r="P1650" s="9"/>
      <c r="Q1650" s="9"/>
      <c r="R1650" s="9" t="s">
        <v>61</v>
      </c>
      <c r="S1650" s="14" t="s">
        <v>5939</v>
      </c>
      <c r="T1650" s="9" t="s">
        <v>5940</v>
      </c>
      <c r="U1650" s="9" t="s">
        <v>262</v>
      </c>
      <c r="V1650" s="9" t="s">
        <v>55</v>
      </c>
      <c r="W1650" s="9" t="s">
        <v>115</v>
      </c>
      <c r="X1650" s="12" t="s">
        <v>389</v>
      </c>
      <c r="Y1650" s="9" t="s">
        <v>390</v>
      </c>
      <c r="Z1650" s="13"/>
    </row>
    <row r="1651" spans="1:26" ht="32.25" hidden="1" customHeight="1">
      <c r="A1651" s="8">
        <v>2315162</v>
      </c>
      <c r="B1651" s="9" t="s">
        <v>5941</v>
      </c>
      <c r="C1651" s="10">
        <v>45152</v>
      </c>
      <c r="D1651" s="9" t="s">
        <v>639</v>
      </c>
      <c r="E1651" s="9" t="s">
        <v>295</v>
      </c>
      <c r="F1651" s="9" t="s">
        <v>80</v>
      </c>
      <c r="G1651" s="9" t="s">
        <v>43</v>
      </c>
      <c r="H1651" s="9" t="s">
        <v>44</v>
      </c>
      <c r="I1651" s="11" t="s">
        <v>1972</v>
      </c>
      <c r="J1651" s="9" t="s">
        <v>297</v>
      </c>
      <c r="K1651" s="9" t="s">
        <v>3956</v>
      </c>
      <c r="L1651" s="9"/>
      <c r="M1651" s="9" t="s">
        <v>5942</v>
      </c>
      <c r="N1651" s="9" t="s">
        <v>84</v>
      </c>
      <c r="O1651" s="9" t="s">
        <v>187</v>
      </c>
      <c r="P1651" s="9" t="s">
        <v>5943</v>
      </c>
      <c r="Q1651" s="9"/>
      <c r="R1651" s="9" t="s">
        <v>61</v>
      </c>
      <c r="S1651" s="14" t="s">
        <v>5944</v>
      </c>
      <c r="T1651" s="9" t="s">
        <v>5945</v>
      </c>
      <c r="U1651" s="9" t="s">
        <v>54</v>
      </c>
      <c r="V1651" s="9" t="s">
        <v>55</v>
      </c>
      <c r="W1651" s="9" t="s">
        <v>55</v>
      </c>
      <c r="X1651" s="12" t="s">
        <v>319</v>
      </c>
      <c r="Y1651" s="9" t="s">
        <v>320</v>
      </c>
      <c r="Z1651" s="13"/>
    </row>
    <row r="1652" spans="1:26" ht="32.25" hidden="1" customHeight="1">
      <c r="A1652" s="8">
        <v>2309790</v>
      </c>
      <c r="B1652" s="9" t="s">
        <v>5946</v>
      </c>
      <c r="C1652" s="10">
        <v>45156</v>
      </c>
      <c r="D1652" s="9" t="s">
        <v>79</v>
      </c>
      <c r="E1652" s="9" t="s">
        <v>143</v>
      </c>
      <c r="F1652" s="9" t="s">
        <v>80</v>
      </c>
      <c r="G1652" s="9" t="s">
        <v>43</v>
      </c>
      <c r="H1652" s="9" t="s">
        <v>44</v>
      </c>
      <c r="I1652" s="11" t="s">
        <v>326</v>
      </c>
      <c r="J1652" s="9" t="s">
        <v>327</v>
      </c>
      <c r="K1652" s="9" t="s">
        <v>47</v>
      </c>
      <c r="L1652" s="9" t="s">
        <v>156</v>
      </c>
      <c r="M1652" s="9"/>
      <c r="N1652" s="9" t="s">
        <v>84</v>
      </c>
      <c r="O1652" s="9" t="s">
        <v>51</v>
      </c>
      <c r="P1652" s="9" t="s">
        <v>654</v>
      </c>
      <c r="Q1652" s="9"/>
      <c r="R1652" s="9"/>
      <c r="S1652" s="14" t="s">
        <v>5947</v>
      </c>
      <c r="T1652" s="9" t="s">
        <v>5948</v>
      </c>
      <c r="U1652" s="9" t="s">
        <v>54</v>
      </c>
      <c r="V1652" s="9" t="s">
        <v>55</v>
      </c>
      <c r="W1652" s="9" t="s">
        <v>55</v>
      </c>
      <c r="X1652" s="12"/>
      <c r="Y1652" s="9" t="s">
        <v>55</v>
      </c>
      <c r="Z1652" s="13"/>
    </row>
    <row r="1653" spans="1:26" ht="32.25" hidden="1" customHeight="1">
      <c r="A1653" s="8">
        <v>2313294</v>
      </c>
      <c r="B1653" s="9" t="s">
        <v>5949</v>
      </c>
      <c r="C1653" s="10">
        <v>45156</v>
      </c>
      <c r="D1653" s="9" t="s">
        <v>79</v>
      </c>
      <c r="E1653" s="9" t="s">
        <v>89</v>
      </c>
      <c r="F1653" s="9" t="s">
        <v>80</v>
      </c>
      <c r="G1653" s="9" t="s">
        <v>43</v>
      </c>
      <c r="H1653" s="9" t="s">
        <v>44</v>
      </c>
      <c r="I1653" s="11" t="s">
        <v>90</v>
      </c>
      <c r="J1653" s="9" t="s">
        <v>91</v>
      </c>
      <c r="K1653" s="9" t="s">
        <v>92</v>
      </c>
      <c r="L1653" s="9"/>
      <c r="M1653" s="9" t="s">
        <v>5950</v>
      </c>
      <c r="N1653" s="9" t="s">
        <v>50</v>
      </c>
      <c r="O1653" s="9" t="s">
        <v>51</v>
      </c>
      <c r="P1653" s="9" t="s">
        <v>95</v>
      </c>
      <c r="Q1653" s="9"/>
      <c r="R1653" s="9" t="s">
        <v>61</v>
      </c>
      <c r="S1653" s="14" t="s">
        <v>5951</v>
      </c>
      <c r="T1653" s="9" t="s">
        <v>5952</v>
      </c>
      <c r="U1653" s="9" t="s">
        <v>54</v>
      </c>
      <c r="V1653" s="9" t="s">
        <v>55</v>
      </c>
      <c r="W1653" s="9" t="s">
        <v>55</v>
      </c>
      <c r="X1653" s="12" t="s">
        <v>98</v>
      </c>
      <c r="Y1653" s="9" t="s">
        <v>99</v>
      </c>
      <c r="Z1653" s="13"/>
    </row>
    <row r="1654" spans="1:26" ht="32.25" hidden="1" customHeight="1">
      <c r="A1654" s="8">
        <v>2315426</v>
      </c>
      <c r="B1654" s="9" t="s">
        <v>5953</v>
      </c>
      <c r="C1654" s="10">
        <v>45152</v>
      </c>
      <c r="D1654" s="9" t="s">
        <v>639</v>
      </c>
      <c r="E1654" s="9" t="s">
        <v>295</v>
      </c>
      <c r="F1654" s="9" t="s">
        <v>80</v>
      </c>
      <c r="G1654" s="9" t="s">
        <v>43</v>
      </c>
      <c r="H1654" s="9" t="s">
        <v>44</v>
      </c>
      <c r="I1654" s="11" t="s">
        <v>1600</v>
      </c>
      <c r="J1654" s="9" t="s">
        <v>407</v>
      </c>
      <c r="K1654" s="9" t="s">
        <v>92</v>
      </c>
      <c r="L1654" s="9"/>
      <c r="M1654" s="9" t="s">
        <v>5954</v>
      </c>
      <c r="N1654" s="9" t="s">
        <v>50</v>
      </c>
      <c r="O1654" s="9" t="s">
        <v>187</v>
      </c>
      <c r="P1654" s="9" t="s">
        <v>3946</v>
      </c>
      <c r="Q1654" s="9"/>
      <c r="R1654" s="9" t="s">
        <v>61</v>
      </c>
      <c r="S1654" s="14" t="s">
        <v>641</v>
      </c>
      <c r="T1654" s="9" t="s">
        <v>5955</v>
      </c>
      <c r="U1654" s="9" t="s">
        <v>54</v>
      </c>
      <c r="V1654" s="9" t="s">
        <v>55</v>
      </c>
      <c r="W1654" s="9" t="s">
        <v>55</v>
      </c>
      <c r="X1654" s="12" t="s">
        <v>319</v>
      </c>
      <c r="Y1654" s="9" t="s">
        <v>320</v>
      </c>
      <c r="Z1654" s="13"/>
    </row>
    <row r="1655" spans="1:26" ht="32.25" hidden="1" customHeight="1">
      <c r="A1655" s="8">
        <v>2315445</v>
      </c>
      <c r="B1655" s="9" t="s">
        <v>5956</v>
      </c>
      <c r="C1655" s="10">
        <v>45152</v>
      </c>
      <c r="D1655" s="9" t="s">
        <v>639</v>
      </c>
      <c r="E1655" s="9" t="s">
        <v>41</v>
      </c>
      <c r="F1655" s="9" t="s">
        <v>80</v>
      </c>
      <c r="G1655" s="9" t="s">
        <v>43</v>
      </c>
      <c r="H1655" s="9" t="s">
        <v>44</v>
      </c>
      <c r="I1655" s="11" t="s">
        <v>81</v>
      </c>
      <c r="J1655" s="9" t="s">
        <v>46</v>
      </c>
      <c r="K1655" s="9" t="s">
        <v>250</v>
      </c>
      <c r="L1655" s="9"/>
      <c r="M1655" s="9" t="s">
        <v>5957</v>
      </c>
      <c r="N1655" s="9" t="s">
        <v>50</v>
      </c>
      <c r="O1655" s="9" t="s">
        <v>187</v>
      </c>
      <c r="P1655" s="9" t="s">
        <v>395</v>
      </c>
      <c r="Q1655" s="9"/>
      <c r="R1655" s="9" t="s">
        <v>61</v>
      </c>
      <c r="S1655" s="14" t="s">
        <v>641</v>
      </c>
      <c r="T1655" s="9" t="s">
        <v>5958</v>
      </c>
      <c r="U1655" s="9" t="s">
        <v>54</v>
      </c>
      <c r="V1655" s="9" t="s">
        <v>55</v>
      </c>
      <c r="W1655" s="9" t="s">
        <v>55</v>
      </c>
      <c r="X1655" s="9" t="s">
        <v>64</v>
      </c>
      <c r="Y1655" s="9" t="s">
        <v>65</v>
      </c>
      <c r="Z1655" s="13"/>
    </row>
    <row r="1656" spans="1:26" ht="32.25" hidden="1" customHeight="1">
      <c r="A1656" s="8">
        <v>2308192</v>
      </c>
      <c r="B1656" s="9" t="s">
        <v>5959</v>
      </c>
      <c r="C1656" s="10">
        <v>45149</v>
      </c>
      <c r="D1656" s="9" t="s">
        <v>57</v>
      </c>
      <c r="E1656" s="9" t="s">
        <v>153</v>
      </c>
      <c r="F1656" s="9" t="s">
        <v>42</v>
      </c>
      <c r="G1656" s="9" t="s">
        <v>43</v>
      </c>
      <c r="H1656" s="9" t="s">
        <v>58</v>
      </c>
      <c r="I1656" s="11" t="s">
        <v>154</v>
      </c>
      <c r="J1656" s="9" t="s">
        <v>155</v>
      </c>
      <c r="K1656" s="9" t="s">
        <v>47</v>
      </c>
      <c r="L1656" s="9" t="s">
        <v>156</v>
      </c>
      <c r="M1656" s="9"/>
      <c r="N1656" s="9" t="s">
        <v>84</v>
      </c>
      <c r="O1656" s="9" t="s">
        <v>51</v>
      </c>
      <c r="P1656" s="9"/>
      <c r="Q1656" s="9"/>
      <c r="R1656" s="9"/>
      <c r="S1656" s="14" t="s">
        <v>5960</v>
      </c>
      <c r="T1656" s="9" t="s">
        <v>5961</v>
      </c>
      <c r="U1656" s="9" t="s">
        <v>54</v>
      </c>
      <c r="V1656" s="9" t="s">
        <v>55</v>
      </c>
      <c r="W1656" s="9" t="s">
        <v>55</v>
      </c>
      <c r="X1656" s="12"/>
      <c r="Y1656" s="9" t="s">
        <v>55</v>
      </c>
      <c r="Z1656" s="13"/>
    </row>
    <row r="1657" spans="1:26" ht="32.25" hidden="1" customHeight="1">
      <c r="A1657" s="8">
        <v>2309572</v>
      </c>
      <c r="B1657" s="9" t="s">
        <v>5962</v>
      </c>
      <c r="C1657" s="10">
        <v>45136</v>
      </c>
      <c r="D1657" s="9" t="s">
        <v>40</v>
      </c>
      <c r="E1657" s="9" t="s">
        <v>41</v>
      </c>
      <c r="F1657" s="9" t="s">
        <v>42</v>
      </c>
      <c r="G1657" s="9" t="s">
        <v>43</v>
      </c>
      <c r="H1657" s="9" t="s">
        <v>44</v>
      </c>
      <c r="I1657" s="11" t="s">
        <v>199</v>
      </c>
      <c r="J1657" s="9" t="s">
        <v>200</v>
      </c>
      <c r="K1657" s="9" t="s">
        <v>47</v>
      </c>
      <c r="L1657" s="9" t="s">
        <v>156</v>
      </c>
      <c r="M1657" s="9"/>
      <c r="N1657" s="9" t="s">
        <v>84</v>
      </c>
      <c r="O1657" s="9" t="s">
        <v>51</v>
      </c>
      <c r="P1657" s="9"/>
      <c r="Q1657" s="9"/>
      <c r="R1657" s="9"/>
      <c r="S1657" s="9" t="s">
        <v>5963</v>
      </c>
      <c r="T1657" s="9" t="s">
        <v>5964</v>
      </c>
      <c r="U1657" s="9" t="s">
        <v>54</v>
      </c>
      <c r="V1657" s="9" t="s">
        <v>55</v>
      </c>
      <c r="W1657" s="9" t="s">
        <v>55</v>
      </c>
      <c r="X1657" s="12"/>
      <c r="Y1657" s="9" t="s">
        <v>55</v>
      </c>
      <c r="Z1657" s="13"/>
    </row>
    <row r="1658" spans="1:26" ht="32.25" hidden="1" customHeight="1">
      <c r="A1658" s="8">
        <v>2305737</v>
      </c>
      <c r="B1658" s="9" t="s">
        <v>5965</v>
      </c>
      <c r="C1658" s="10">
        <v>45142</v>
      </c>
      <c r="D1658" s="9" t="s">
        <v>67</v>
      </c>
      <c r="E1658" s="9" t="s">
        <v>89</v>
      </c>
      <c r="F1658" s="9" t="s">
        <v>42</v>
      </c>
      <c r="G1658" s="9" t="s">
        <v>43</v>
      </c>
      <c r="H1658" s="9" t="s">
        <v>44</v>
      </c>
      <c r="I1658" s="11" t="s">
        <v>360</v>
      </c>
      <c r="J1658" s="9" t="s">
        <v>102</v>
      </c>
      <c r="K1658" s="9" t="s">
        <v>47</v>
      </c>
      <c r="L1658" s="9" t="s">
        <v>156</v>
      </c>
      <c r="M1658" s="9"/>
      <c r="N1658" s="9" t="s">
        <v>84</v>
      </c>
      <c r="O1658" s="9" t="s">
        <v>51</v>
      </c>
      <c r="P1658" s="9" t="s">
        <v>361</v>
      </c>
      <c r="Q1658" s="9"/>
      <c r="R1658" s="9"/>
      <c r="S1658" s="9" t="s">
        <v>5966</v>
      </c>
      <c r="T1658" s="9" t="s">
        <v>5967</v>
      </c>
      <c r="U1658" s="9" t="s">
        <v>54</v>
      </c>
      <c r="V1658" s="9" t="s">
        <v>55</v>
      </c>
      <c r="W1658" s="9" t="s">
        <v>55</v>
      </c>
      <c r="X1658" s="12"/>
      <c r="Y1658" s="9" t="s">
        <v>55</v>
      </c>
      <c r="Z1658" s="13"/>
    </row>
    <row r="1659" spans="1:26" ht="32.25" hidden="1" customHeight="1">
      <c r="A1659" s="8">
        <v>2310371</v>
      </c>
      <c r="B1659" s="9" t="s">
        <v>5968</v>
      </c>
      <c r="C1659" s="10">
        <v>45156</v>
      </c>
      <c r="D1659" s="9" t="s">
        <v>565</v>
      </c>
      <c r="E1659" s="9" t="s">
        <v>41</v>
      </c>
      <c r="F1659" s="9" t="s">
        <v>42</v>
      </c>
      <c r="G1659" s="9" t="s">
        <v>43</v>
      </c>
      <c r="H1659" s="9" t="s">
        <v>58</v>
      </c>
      <c r="I1659" s="11" t="s">
        <v>199</v>
      </c>
      <c r="J1659" s="9" t="s">
        <v>200</v>
      </c>
      <c r="K1659" s="9" t="s">
        <v>47</v>
      </c>
      <c r="L1659" s="9" t="s">
        <v>48</v>
      </c>
      <c r="M1659" s="9" t="s">
        <v>372</v>
      </c>
      <c r="N1659" s="9" t="s">
        <v>84</v>
      </c>
      <c r="O1659" s="9" t="s">
        <v>51</v>
      </c>
      <c r="P1659" s="9"/>
      <c r="Q1659" s="9"/>
      <c r="R1659" s="9"/>
      <c r="S1659" s="14" t="s">
        <v>5969</v>
      </c>
      <c r="T1659" s="9" t="s">
        <v>5970</v>
      </c>
      <c r="U1659" s="9" t="s">
        <v>54</v>
      </c>
      <c r="V1659" s="9" t="s">
        <v>55</v>
      </c>
      <c r="W1659" s="9" t="s">
        <v>55</v>
      </c>
      <c r="X1659" s="12"/>
      <c r="Y1659" s="9" t="s">
        <v>55</v>
      </c>
      <c r="Z1659" s="13"/>
    </row>
    <row r="1660" spans="1:26" ht="32.25" hidden="1" customHeight="1">
      <c r="A1660" s="8">
        <v>2310094</v>
      </c>
      <c r="B1660" s="9" t="s">
        <v>5971</v>
      </c>
      <c r="C1660" s="10">
        <v>45149</v>
      </c>
      <c r="D1660" s="9" t="s">
        <v>57</v>
      </c>
      <c r="E1660" s="9" t="s">
        <v>41</v>
      </c>
      <c r="F1660" s="9" t="s">
        <v>42</v>
      </c>
      <c r="G1660" s="9" t="s">
        <v>43</v>
      </c>
      <c r="H1660" s="9" t="s">
        <v>58</v>
      </c>
      <c r="I1660" s="11" t="s">
        <v>129</v>
      </c>
      <c r="J1660" s="9" t="s">
        <v>130</v>
      </c>
      <c r="K1660" s="9" t="s">
        <v>47</v>
      </c>
      <c r="L1660" s="9" t="s">
        <v>48</v>
      </c>
      <c r="M1660" s="9" t="s">
        <v>1943</v>
      </c>
      <c r="N1660" s="9" t="s">
        <v>50</v>
      </c>
      <c r="O1660" s="9" t="s">
        <v>51</v>
      </c>
      <c r="P1660" s="9"/>
      <c r="Q1660" s="9"/>
      <c r="R1660" s="9"/>
      <c r="S1660" s="14" t="s">
        <v>5972</v>
      </c>
      <c r="T1660" s="9" t="s">
        <v>5973</v>
      </c>
      <c r="U1660" s="9" t="s">
        <v>54</v>
      </c>
      <c r="V1660" s="9" t="s">
        <v>55</v>
      </c>
      <c r="W1660" s="9" t="s">
        <v>55</v>
      </c>
      <c r="X1660" s="12"/>
      <c r="Y1660" s="9" t="s">
        <v>55</v>
      </c>
      <c r="Z1660" s="13"/>
    </row>
    <row r="1661" spans="1:26" ht="32.25" hidden="1" customHeight="1">
      <c r="A1661" s="8">
        <v>2311359</v>
      </c>
      <c r="B1661" s="9" t="s">
        <v>5974</v>
      </c>
      <c r="C1661" s="10">
        <v>45156</v>
      </c>
      <c r="D1661" s="9" t="s">
        <v>79</v>
      </c>
      <c r="E1661" s="9" t="s">
        <v>143</v>
      </c>
      <c r="F1661" s="9" t="s">
        <v>80</v>
      </c>
      <c r="G1661" s="9" t="s">
        <v>43</v>
      </c>
      <c r="H1661" s="9" t="s">
        <v>44</v>
      </c>
      <c r="I1661" s="11" t="s">
        <v>326</v>
      </c>
      <c r="J1661" s="9" t="s">
        <v>327</v>
      </c>
      <c r="K1661" s="9" t="s">
        <v>47</v>
      </c>
      <c r="L1661" s="9" t="s">
        <v>1040</v>
      </c>
      <c r="M1661" s="9" t="s">
        <v>1041</v>
      </c>
      <c r="N1661" s="9" t="s">
        <v>84</v>
      </c>
      <c r="O1661" s="9" t="s">
        <v>51</v>
      </c>
      <c r="P1661" s="9" t="s">
        <v>576</v>
      </c>
      <c r="Q1661" s="9"/>
      <c r="R1661" s="9" t="s">
        <v>61</v>
      </c>
      <c r="S1661" s="14" t="s">
        <v>5975</v>
      </c>
      <c r="T1661" s="9" t="s">
        <v>5976</v>
      </c>
      <c r="U1661" s="9" t="s">
        <v>54</v>
      </c>
      <c r="V1661" s="9" t="s">
        <v>370</v>
      </c>
      <c r="W1661" s="9" t="s">
        <v>115</v>
      </c>
      <c r="X1661" s="12" t="s">
        <v>150</v>
      </c>
      <c r="Y1661" s="9" t="s">
        <v>151</v>
      </c>
      <c r="Z1661" s="13"/>
    </row>
    <row r="1662" spans="1:26" ht="32.25" hidden="1" customHeight="1">
      <c r="A1662" s="8">
        <v>2306844</v>
      </c>
      <c r="B1662" s="9" t="s">
        <v>5977</v>
      </c>
      <c r="C1662" s="10">
        <v>45149</v>
      </c>
      <c r="D1662" s="9" t="s">
        <v>57</v>
      </c>
      <c r="E1662" s="9" t="s">
        <v>41</v>
      </c>
      <c r="F1662" s="9" t="s">
        <v>42</v>
      </c>
      <c r="G1662" s="9" t="s">
        <v>43</v>
      </c>
      <c r="H1662" s="9" t="s">
        <v>58</v>
      </c>
      <c r="I1662" s="11" t="s">
        <v>45</v>
      </c>
      <c r="J1662" s="9" t="s">
        <v>46</v>
      </c>
      <c r="K1662" s="9" t="s">
        <v>47</v>
      </c>
      <c r="L1662" s="9" t="s">
        <v>156</v>
      </c>
      <c r="M1662" s="9"/>
      <c r="N1662" s="9" t="s">
        <v>50</v>
      </c>
      <c r="O1662" s="9" t="s">
        <v>51</v>
      </c>
      <c r="P1662" s="9"/>
      <c r="Q1662" s="9"/>
      <c r="R1662" s="9"/>
      <c r="S1662" s="14" t="s">
        <v>5978</v>
      </c>
      <c r="T1662" s="9" t="s">
        <v>5979</v>
      </c>
      <c r="U1662" s="9" t="s">
        <v>54</v>
      </c>
      <c r="V1662" s="9" t="s">
        <v>55</v>
      </c>
      <c r="W1662" s="9" t="s">
        <v>55</v>
      </c>
      <c r="X1662" s="12"/>
      <c r="Y1662" s="9" t="s">
        <v>55</v>
      </c>
      <c r="Z1662" s="13"/>
    </row>
    <row r="1663" spans="1:26" ht="32.25" hidden="1" customHeight="1">
      <c r="A1663" s="8">
        <v>2302839</v>
      </c>
      <c r="B1663" s="9" t="s">
        <v>5980</v>
      </c>
      <c r="C1663" s="10">
        <v>45149</v>
      </c>
      <c r="D1663" s="9" t="s">
        <v>57</v>
      </c>
      <c r="E1663" s="9" t="s">
        <v>41</v>
      </c>
      <c r="F1663" s="9" t="s">
        <v>42</v>
      </c>
      <c r="G1663" s="9" t="s">
        <v>43</v>
      </c>
      <c r="H1663" s="9" t="s">
        <v>58</v>
      </c>
      <c r="I1663" s="11" t="s">
        <v>45</v>
      </c>
      <c r="J1663" s="9" t="s">
        <v>46</v>
      </c>
      <c r="K1663" s="9" t="s">
        <v>47</v>
      </c>
      <c r="L1663" s="9" t="s">
        <v>156</v>
      </c>
      <c r="M1663" s="9"/>
      <c r="N1663" s="9" t="s">
        <v>84</v>
      </c>
      <c r="O1663" s="9" t="s">
        <v>51</v>
      </c>
      <c r="P1663" s="9"/>
      <c r="Q1663" s="9"/>
      <c r="R1663" s="9"/>
      <c r="S1663" s="14" t="s">
        <v>5981</v>
      </c>
      <c r="T1663" s="9" t="s">
        <v>5982</v>
      </c>
      <c r="U1663" s="9" t="s">
        <v>54</v>
      </c>
      <c r="V1663" s="9" t="s">
        <v>55</v>
      </c>
      <c r="W1663" s="9" t="s">
        <v>55</v>
      </c>
      <c r="X1663" s="12"/>
      <c r="Y1663" s="9" t="s">
        <v>55</v>
      </c>
      <c r="Z1663" s="13"/>
    </row>
    <row r="1664" spans="1:26" ht="32.25" hidden="1" customHeight="1">
      <c r="A1664" s="8">
        <v>2310289</v>
      </c>
      <c r="B1664" s="9" t="s">
        <v>5983</v>
      </c>
      <c r="C1664" s="10">
        <v>45142</v>
      </c>
      <c r="D1664" s="9" t="s">
        <v>67</v>
      </c>
      <c r="E1664" s="9" t="s">
        <v>89</v>
      </c>
      <c r="F1664" s="9" t="s">
        <v>42</v>
      </c>
      <c r="G1664" s="9" t="s">
        <v>43</v>
      </c>
      <c r="H1664" s="9" t="s">
        <v>44</v>
      </c>
      <c r="I1664" s="11" t="s">
        <v>360</v>
      </c>
      <c r="J1664" s="9" t="s">
        <v>102</v>
      </c>
      <c r="K1664" s="9" t="s">
        <v>47</v>
      </c>
      <c r="L1664" s="9" t="s">
        <v>71</v>
      </c>
      <c r="M1664" s="9" t="s">
        <v>5984</v>
      </c>
      <c r="N1664" s="9" t="s">
        <v>50</v>
      </c>
      <c r="O1664" s="9" t="s">
        <v>51</v>
      </c>
      <c r="P1664" s="9" t="s">
        <v>361</v>
      </c>
      <c r="Q1664" s="9"/>
      <c r="R1664" s="9" t="s">
        <v>61</v>
      </c>
      <c r="S1664" s="9" t="s">
        <v>5985</v>
      </c>
      <c r="T1664" s="9" t="s">
        <v>5986</v>
      </c>
      <c r="U1664" s="9" t="s">
        <v>54</v>
      </c>
      <c r="V1664" s="9" t="s">
        <v>55</v>
      </c>
      <c r="W1664" s="9" t="s">
        <v>55</v>
      </c>
      <c r="X1664" s="12" t="s">
        <v>98</v>
      </c>
      <c r="Y1664" s="9" t="s">
        <v>99</v>
      </c>
      <c r="Z1664" s="13"/>
    </row>
    <row r="1665" spans="1:26" ht="32.25" hidden="1" customHeight="1">
      <c r="A1665" s="8">
        <v>2307718</v>
      </c>
      <c r="B1665" s="9" t="s">
        <v>5987</v>
      </c>
      <c r="C1665" s="10">
        <v>45149</v>
      </c>
      <c r="D1665" s="9" t="s">
        <v>57</v>
      </c>
      <c r="E1665" s="9" t="s">
        <v>295</v>
      </c>
      <c r="F1665" s="9" t="s">
        <v>42</v>
      </c>
      <c r="G1665" s="9" t="s">
        <v>43</v>
      </c>
      <c r="H1665" s="9" t="s">
        <v>58</v>
      </c>
      <c r="I1665" s="11" t="s">
        <v>406</v>
      </c>
      <c r="J1665" s="9" t="s">
        <v>407</v>
      </c>
      <c r="K1665" s="9" t="s">
        <v>47</v>
      </c>
      <c r="L1665" s="9" t="s">
        <v>156</v>
      </c>
      <c r="M1665" s="9"/>
      <c r="N1665" s="9" t="s">
        <v>84</v>
      </c>
      <c r="O1665" s="9" t="s">
        <v>51</v>
      </c>
      <c r="P1665" s="9"/>
      <c r="Q1665" s="9"/>
      <c r="R1665" s="9"/>
      <c r="S1665" s="14" t="s">
        <v>5988</v>
      </c>
      <c r="T1665" s="9" t="s">
        <v>5989</v>
      </c>
      <c r="U1665" s="9" t="s">
        <v>54</v>
      </c>
      <c r="V1665" s="9" t="s">
        <v>55</v>
      </c>
      <c r="W1665" s="9" t="s">
        <v>55</v>
      </c>
      <c r="X1665" s="12"/>
      <c r="Y1665" s="9" t="s">
        <v>55</v>
      </c>
      <c r="Z1665" s="13"/>
    </row>
    <row r="1666" spans="1:26" ht="32.25" hidden="1" customHeight="1">
      <c r="A1666" s="8">
        <v>2303502</v>
      </c>
      <c r="B1666" s="9" t="s">
        <v>5990</v>
      </c>
      <c r="C1666" s="10">
        <v>45156</v>
      </c>
      <c r="D1666" s="9" t="s">
        <v>79</v>
      </c>
      <c r="E1666" s="9" t="s">
        <v>295</v>
      </c>
      <c r="F1666" s="9" t="s">
        <v>80</v>
      </c>
      <c r="G1666" s="9" t="s">
        <v>43</v>
      </c>
      <c r="H1666" s="9" t="s">
        <v>44</v>
      </c>
      <c r="I1666" s="11" t="s">
        <v>1600</v>
      </c>
      <c r="J1666" s="9" t="s">
        <v>407</v>
      </c>
      <c r="K1666" s="9" t="s">
        <v>416</v>
      </c>
      <c r="L1666" s="9" t="s">
        <v>156</v>
      </c>
      <c r="M1666" s="9"/>
      <c r="N1666" s="9" t="s">
        <v>84</v>
      </c>
      <c r="O1666" s="9" t="s">
        <v>51</v>
      </c>
      <c r="P1666" s="9" t="s">
        <v>1601</v>
      </c>
      <c r="Q1666" s="9"/>
      <c r="R1666" s="9" t="s">
        <v>61</v>
      </c>
      <c r="S1666" s="14" t="s">
        <v>5991</v>
      </c>
      <c r="T1666" s="9" t="s">
        <v>5992</v>
      </c>
      <c r="U1666" s="9" t="s">
        <v>54</v>
      </c>
      <c r="V1666" s="9" t="s">
        <v>55</v>
      </c>
      <c r="W1666" s="9" t="s">
        <v>55</v>
      </c>
      <c r="X1666" s="12" t="s">
        <v>319</v>
      </c>
      <c r="Y1666" s="9" t="s">
        <v>320</v>
      </c>
      <c r="Z1666" s="13"/>
    </row>
    <row r="1667" spans="1:26" ht="32.25" hidden="1" customHeight="1">
      <c r="A1667" s="8">
        <v>2314355</v>
      </c>
      <c r="B1667" s="9" t="s">
        <v>5993</v>
      </c>
      <c r="C1667" s="10">
        <v>45156</v>
      </c>
      <c r="D1667" s="9" t="s">
        <v>79</v>
      </c>
      <c r="E1667" s="9" t="s">
        <v>89</v>
      </c>
      <c r="F1667" s="9" t="s">
        <v>80</v>
      </c>
      <c r="G1667" s="9" t="s">
        <v>43</v>
      </c>
      <c r="H1667" s="9" t="s">
        <v>44</v>
      </c>
      <c r="I1667" s="11" t="s">
        <v>108</v>
      </c>
      <c r="J1667" s="9" t="s">
        <v>109</v>
      </c>
      <c r="K1667" s="9" t="s">
        <v>92</v>
      </c>
      <c r="L1667" s="9"/>
      <c r="M1667" s="9" t="s">
        <v>3903</v>
      </c>
      <c r="N1667" s="9" t="s">
        <v>50</v>
      </c>
      <c r="O1667" s="9" t="s">
        <v>51</v>
      </c>
      <c r="P1667" s="9" t="s">
        <v>112</v>
      </c>
      <c r="Q1667" s="9"/>
      <c r="R1667" s="9" t="s">
        <v>61</v>
      </c>
      <c r="S1667" s="14" t="s">
        <v>5994</v>
      </c>
      <c r="T1667" s="9" t="s">
        <v>5995</v>
      </c>
      <c r="U1667" s="9" t="s">
        <v>54</v>
      </c>
      <c r="V1667" s="9" t="s">
        <v>55</v>
      </c>
      <c r="W1667" s="9" t="s">
        <v>55</v>
      </c>
      <c r="X1667" s="12" t="s">
        <v>98</v>
      </c>
      <c r="Y1667" s="9" t="s">
        <v>99</v>
      </c>
      <c r="Z1667" s="13"/>
    </row>
    <row r="1668" spans="1:26" ht="32.25" hidden="1" customHeight="1">
      <c r="A1668" s="8">
        <v>2312874</v>
      </c>
      <c r="B1668" s="9" t="s">
        <v>5996</v>
      </c>
      <c r="C1668" s="10">
        <v>45142</v>
      </c>
      <c r="D1668" s="9" t="s">
        <v>232</v>
      </c>
      <c r="E1668" s="9" t="s">
        <v>41</v>
      </c>
      <c r="F1668" s="9" t="s">
        <v>80</v>
      </c>
      <c r="G1668" s="9" t="s">
        <v>43</v>
      </c>
      <c r="H1668" s="9" t="s">
        <v>44</v>
      </c>
      <c r="I1668" s="11" t="s">
        <v>81</v>
      </c>
      <c r="J1668" s="9" t="s">
        <v>46</v>
      </c>
      <c r="K1668" s="9" t="s">
        <v>250</v>
      </c>
      <c r="L1668" s="9" t="s">
        <v>451</v>
      </c>
      <c r="M1668" s="9" t="s">
        <v>452</v>
      </c>
      <c r="N1668" s="9" t="s">
        <v>50</v>
      </c>
      <c r="O1668" s="9" t="s">
        <v>187</v>
      </c>
      <c r="P1668" s="9" t="s">
        <v>395</v>
      </c>
      <c r="Q1668" s="9"/>
      <c r="R1668" s="9" t="s">
        <v>61</v>
      </c>
      <c r="S1668" s="14" t="s">
        <v>5997</v>
      </c>
      <c r="T1668" s="9" t="s">
        <v>5998</v>
      </c>
      <c r="U1668" s="9" t="s">
        <v>54</v>
      </c>
      <c r="V1668" s="9" t="s">
        <v>239</v>
      </c>
      <c r="W1668" s="9" t="s">
        <v>55</v>
      </c>
      <c r="X1668" s="12" t="s">
        <v>64</v>
      </c>
      <c r="Y1668" s="9" t="s">
        <v>65</v>
      </c>
      <c r="Z1668" s="13" t="s">
        <v>240</v>
      </c>
    </row>
    <row r="1669" spans="1:26" ht="32.25" hidden="1" customHeight="1">
      <c r="A1669" s="8">
        <v>2300275</v>
      </c>
      <c r="B1669" s="9" t="s">
        <v>5999</v>
      </c>
      <c r="C1669" s="10">
        <v>45149</v>
      </c>
      <c r="D1669" s="9" t="s">
        <v>261</v>
      </c>
      <c r="E1669" s="9" t="s">
        <v>89</v>
      </c>
      <c r="F1669" s="9" t="s">
        <v>262</v>
      </c>
      <c r="G1669" s="9" t="s">
        <v>43</v>
      </c>
      <c r="H1669" s="9" t="s">
        <v>44</v>
      </c>
      <c r="I1669" s="11" t="s">
        <v>685</v>
      </c>
      <c r="J1669" s="9" t="s">
        <v>686</v>
      </c>
      <c r="K1669" s="9" t="s">
        <v>47</v>
      </c>
      <c r="L1669" s="9" t="s">
        <v>1378</v>
      </c>
      <c r="M1669" s="9" t="s">
        <v>6000</v>
      </c>
      <c r="N1669" s="9" t="s">
        <v>50</v>
      </c>
      <c r="O1669" s="9" t="s">
        <v>51</v>
      </c>
      <c r="P1669" s="9"/>
      <c r="Q1669" s="9"/>
      <c r="R1669" s="9" t="s">
        <v>61</v>
      </c>
      <c r="S1669" s="14" t="s">
        <v>6001</v>
      </c>
      <c r="T1669" s="9" t="s">
        <v>6002</v>
      </c>
      <c r="U1669" s="9" t="s">
        <v>262</v>
      </c>
      <c r="V1669" s="9" t="s">
        <v>55</v>
      </c>
      <c r="W1669" s="9" t="s">
        <v>115</v>
      </c>
      <c r="X1669" s="12" t="s">
        <v>389</v>
      </c>
      <c r="Y1669" s="9" t="s">
        <v>390</v>
      </c>
      <c r="Z1669" s="13"/>
    </row>
    <row r="1670" spans="1:26" ht="32.25" hidden="1" customHeight="1">
      <c r="A1670" s="8">
        <v>2314839</v>
      </c>
      <c r="B1670" s="9" t="s">
        <v>6003</v>
      </c>
      <c r="C1670" s="10">
        <v>45156</v>
      </c>
      <c r="D1670" s="9" t="s">
        <v>79</v>
      </c>
      <c r="E1670" s="9" t="s">
        <v>89</v>
      </c>
      <c r="F1670" s="9" t="s">
        <v>80</v>
      </c>
      <c r="G1670" s="9" t="s">
        <v>43</v>
      </c>
      <c r="H1670" s="9" t="s">
        <v>44</v>
      </c>
      <c r="I1670" s="11" t="s">
        <v>101</v>
      </c>
      <c r="J1670" s="9" t="s">
        <v>102</v>
      </c>
      <c r="K1670" s="9" t="s">
        <v>110</v>
      </c>
      <c r="L1670" s="9" t="s">
        <v>6004</v>
      </c>
      <c r="M1670" s="9" t="s">
        <v>6004</v>
      </c>
      <c r="N1670" s="9" t="s">
        <v>50</v>
      </c>
      <c r="O1670" s="9" t="s">
        <v>51</v>
      </c>
      <c r="P1670" s="9" t="s">
        <v>125</v>
      </c>
      <c r="Q1670" s="9"/>
      <c r="R1670" s="9" t="s">
        <v>61</v>
      </c>
      <c r="S1670" s="14" t="s">
        <v>6005</v>
      </c>
      <c r="T1670" s="9" t="s">
        <v>6006</v>
      </c>
      <c r="U1670" s="9" t="s">
        <v>54</v>
      </c>
      <c r="V1670" s="9" t="s">
        <v>55</v>
      </c>
      <c r="W1670" s="9" t="s">
        <v>55</v>
      </c>
      <c r="X1670" s="12" t="s">
        <v>98</v>
      </c>
      <c r="Y1670" s="9" t="s">
        <v>99</v>
      </c>
      <c r="Z1670" s="13"/>
    </row>
    <row r="1671" spans="1:26" ht="32.25" hidden="1" customHeight="1">
      <c r="A1671" s="8">
        <v>2312656</v>
      </c>
      <c r="B1671" s="9" t="s">
        <v>6007</v>
      </c>
      <c r="C1671" s="10">
        <v>45142</v>
      </c>
      <c r="D1671" s="9" t="s">
        <v>232</v>
      </c>
      <c r="E1671" s="9" t="s">
        <v>68</v>
      </c>
      <c r="F1671" s="9" t="s">
        <v>80</v>
      </c>
      <c r="G1671" s="9" t="s">
        <v>43</v>
      </c>
      <c r="H1671" s="9" t="s">
        <v>44</v>
      </c>
      <c r="I1671" s="11" t="s">
        <v>696</v>
      </c>
      <c r="J1671" s="9" t="s">
        <v>70</v>
      </c>
      <c r="K1671" s="9" t="s">
        <v>3956</v>
      </c>
      <c r="L1671" s="9"/>
      <c r="M1671" s="9" t="s">
        <v>6008</v>
      </c>
      <c r="N1671" s="9" t="s">
        <v>50</v>
      </c>
      <c r="O1671" s="9" t="s">
        <v>187</v>
      </c>
      <c r="P1671" s="9" t="s">
        <v>1841</v>
      </c>
      <c r="Q1671" s="9"/>
      <c r="R1671" s="9" t="s">
        <v>61</v>
      </c>
      <c r="S1671" s="9" t="s">
        <v>6009</v>
      </c>
      <c r="T1671" s="9"/>
      <c r="U1671" s="9" t="s">
        <v>54</v>
      </c>
      <c r="V1671" s="9" t="s">
        <v>3207</v>
      </c>
      <c r="W1671" s="9" t="s">
        <v>115</v>
      </c>
      <c r="X1671" s="12" t="s">
        <v>76</v>
      </c>
      <c r="Y1671" s="9" t="s">
        <v>77</v>
      </c>
      <c r="Z1671" s="13"/>
    </row>
    <row r="1672" spans="1:26" ht="32.25" hidden="1" customHeight="1">
      <c r="A1672" s="8">
        <v>2307887</v>
      </c>
      <c r="B1672" s="9" t="s">
        <v>6010</v>
      </c>
      <c r="C1672" s="10">
        <v>45142</v>
      </c>
      <c r="D1672" s="9" t="s">
        <v>67</v>
      </c>
      <c r="E1672" s="9" t="s">
        <v>68</v>
      </c>
      <c r="F1672" s="9" t="s">
        <v>135</v>
      </c>
      <c r="G1672" s="9" t="s">
        <v>43</v>
      </c>
      <c r="H1672" s="9" t="s">
        <v>44</v>
      </c>
      <c r="I1672" s="11" t="s">
        <v>136</v>
      </c>
      <c r="J1672" s="9" t="s">
        <v>137</v>
      </c>
      <c r="K1672" s="9" t="s">
        <v>47</v>
      </c>
      <c r="L1672" s="9" t="s">
        <v>290</v>
      </c>
      <c r="M1672" s="9" t="s">
        <v>6011</v>
      </c>
      <c r="N1672" s="9" t="s">
        <v>50</v>
      </c>
      <c r="O1672" s="9" t="s">
        <v>51</v>
      </c>
      <c r="P1672" s="9"/>
      <c r="Q1672" s="9"/>
      <c r="R1672" s="9" t="s">
        <v>61</v>
      </c>
      <c r="S1672" s="9" t="s">
        <v>6012</v>
      </c>
      <c r="T1672" s="9" t="s">
        <v>6013</v>
      </c>
      <c r="U1672" s="9" t="s">
        <v>54</v>
      </c>
      <c r="V1672" s="9" t="s">
        <v>55</v>
      </c>
      <c r="W1672" s="9" t="s">
        <v>55</v>
      </c>
      <c r="X1672" s="12" t="s">
        <v>76</v>
      </c>
      <c r="Y1672" s="9" t="s">
        <v>77</v>
      </c>
      <c r="Z1672" s="13"/>
    </row>
    <row r="1673" spans="1:26" ht="32.25" hidden="1" customHeight="1">
      <c r="A1673" s="8">
        <v>2312316</v>
      </c>
      <c r="B1673" s="9" t="s">
        <v>6014</v>
      </c>
      <c r="C1673" s="10">
        <v>45149</v>
      </c>
      <c r="D1673" s="9" t="s">
        <v>57</v>
      </c>
      <c r="E1673" s="9" t="s">
        <v>41</v>
      </c>
      <c r="F1673" s="9" t="s">
        <v>42</v>
      </c>
      <c r="G1673" s="9" t="s">
        <v>43</v>
      </c>
      <c r="H1673" s="9" t="s">
        <v>58</v>
      </c>
      <c r="I1673" s="11" t="s">
        <v>45</v>
      </c>
      <c r="J1673" s="9" t="s">
        <v>46</v>
      </c>
      <c r="K1673" s="9" t="s">
        <v>47</v>
      </c>
      <c r="L1673" s="9" t="s">
        <v>156</v>
      </c>
      <c r="M1673" s="9"/>
      <c r="N1673" s="9" t="s">
        <v>50</v>
      </c>
      <c r="O1673" s="9" t="s">
        <v>51</v>
      </c>
      <c r="P1673" s="9"/>
      <c r="Q1673" s="9"/>
      <c r="R1673" s="9"/>
      <c r="S1673" s="14" t="s">
        <v>6015</v>
      </c>
      <c r="T1673" s="9" t="s">
        <v>6016</v>
      </c>
      <c r="U1673" s="9" t="s">
        <v>54</v>
      </c>
      <c r="V1673" s="9" t="s">
        <v>55</v>
      </c>
      <c r="W1673" s="9" t="s">
        <v>55</v>
      </c>
      <c r="X1673" s="12"/>
      <c r="Y1673" s="9" t="s">
        <v>55</v>
      </c>
      <c r="Z1673" s="13"/>
    </row>
    <row r="1674" spans="1:26" ht="32.25" hidden="1" customHeight="1">
      <c r="A1674" s="8">
        <v>2312925</v>
      </c>
      <c r="B1674" s="9" t="s">
        <v>6017</v>
      </c>
      <c r="C1674" s="10">
        <v>45142</v>
      </c>
      <c r="D1674" s="9" t="s">
        <v>232</v>
      </c>
      <c r="E1674" s="9" t="s">
        <v>41</v>
      </c>
      <c r="F1674" s="9" t="s">
        <v>80</v>
      </c>
      <c r="G1674" s="9" t="s">
        <v>43</v>
      </c>
      <c r="H1674" s="9" t="s">
        <v>44</v>
      </c>
      <c r="I1674" s="11" t="s">
        <v>81</v>
      </c>
      <c r="J1674" s="9" t="s">
        <v>46</v>
      </c>
      <c r="K1674" s="9" t="s">
        <v>3203</v>
      </c>
      <c r="L1674" s="9"/>
      <c r="M1674" s="9" t="s">
        <v>6018</v>
      </c>
      <c r="N1674" s="9" t="s">
        <v>50</v>
      </c>
      <c r="O1674" s="9" t="s">
        <v>187</v>
      </c>
      <c r="P1674" s="9" t="s">
        <v>395</v>
      </c>
      <c r="Q1674" s="9"/>
      <c r="R1674" s="9" t="s">
        <v>61</v>
      </c>
      <c r="S1674" s="9" t="s">
        <v>6019</v>
      </c>
      <c r="T1674" s="9" t="s">
        <v>6020</v>
      </c>
      <c r="U1674" s="9" t="s">
        <v>54</v>
      </c>
      <c r="V1674" s="9" t="s">
        <v>891</v>
      </c>
      <c r="W1674" s="9" t="s">
        <v>115</v>
      </c>
      <c r="X1674" s="12" t="s">
        <v>76</v>
      </c>
      <c r="Y1674" s="9" t="s">
        <v>77</v>
      </c>
      <c r="Z1674" s="13"/>
    </row>
    <row r="1675" spans="1:26" ht="32.25" hidden="1" customHeight="1">
      <c r="A1675" s="8">
        <v>2311921</v>
      </c>
      <c r="B1675" s="9" t="s">
        <v>6021</v>
      </c>
      <c r="C1675" s="10">
        <v>45149</v>
      </c>
      <c r="D1675" s="9" t="s">
        <v>261</v>
      </c>
      <c r="E1675" s="9" t="s">
        <v>89</v>
      </c>
      <c r="F1675" s="9" t="s">
        <v>262</v>
      </c>
      <c r="G1675" s="9" t="s">
        <v>43</v>
      </c>
      <c r="H1675" s="9" t="s">
        <v>44</v>
      </c>
      <c r="I1675" s="11" t="s">
        <v>685</v>
      </c>
      <c r="J1675" s="9" t="s">
        <v>686</v>
      </c>
      <c r="K1675" s="9" t="s">
        <v>47</v>
      </c>
      <c r="L1675" s="9" t="s">
        <v>226</v>
      </c>
      <c r="M1675" s="9" t="s">
        <v>227</v>
      </c>
      <c r="N1675" s="9" t="s">
        <v>50</v>
      </c>
      <c r="O1675" s="9" t="s">
        <v>51</v>
      </c>
      <c r="P1675" s="9"/>
      <c r="Q1675" s="9"/>
      <c r="R1675" s="9" t="s">
        <v>61</v>
      </c>
      <c r="S1675" s="14" t="s">
        <v>6022</v>
      </c>
      <c r="T1675" s="9" t="s">
        <v>6023</v>
      </c>
      <c r="U1675" s="9" t="s">
        <v>262</v>
      </c>
      <c r="V1675" s="9" t="s">
        <v>251</v>
      </c>
      <c r="W1675" s="9" t="s">
        <v>115</v>
      </c>
      <c r="X1675" s="12" t="s">
        <v>389</v>
      </c>
      <c r="Y1675" s="9" t="s">
        <v>390</v>
      </c>
      <c r="Z1675" s="13"/>
    </row>
    <row r="1676" spans="1:26" ht="32.25" hidden="1" customHeight="1">
      <c r="A1676" s="8">
        <v>2305370</v>
      </c>
      <c r="B1676" s="9" t="s">
        <v>6024</v>
      </c>
      <c r="C1676" s="10">
        <v>45156</v>
      </c>
      <c r="D1676" s="9" t="s">
        <v>79</v>
      </c>
      <c r="E1676" s="9" t="s">
        <v>41</v>
      </c>
      <c r="F1676" s="9" t="s">
        <v>80</v>
      </c>
      <c r="G1676" s="9" t="s">
        <v>43</v>
      </c>
      <c r="H1676" s="9" t="s">
        <v>44</v>
      </c>
      <c r="I1676" s="11" t="s">
        <v>81</v>
      </c>
      <c r="J1676" s="9" t="s">
        <v>46</v>
      </c>
      <c r="K1676" s="9" t="s">
        <v>47</v>
      </c>
      <c r="L1676" s="9" t="s">
        <v>156</v>
      </c>
      <c r="M1676" s="9"/>
      <c r="N1676" s="9" t="s">
        <v>50</v>
      </c>
      <c r="O1676" s="9" t="s">
        <v>51</v>
      </c>
      <c r="P1676" s="9" t="s">
        <v>1263</v>
      </c>
      <c r="Q1676" s="9"/>
      <c r="R1676" s="9"/>
      <c r="S1676" s="14" t="s">
        <v>6025</v>
      </c>
      <c r="T1676" s="9" t="s">
        <v>6026</v>
      </c>
      <c r="U1676" s="9" t="s">
        <v>54</v>
      </c>
      <c r="V1676" s="9"/>
      <c r="W1676" s="9" t="s">
        <v>115</v>
      </c>
      <c r="X1676" s="12"/>
      <c r="Y1676" s="9" t="s">
        <v>55</v>
      </c>
      <c r="Z1676" s="13"/>
    </row>
    <row r="1677" spans="1:26" ht="32.25" hidden="1" customHeight="1">
      <c r="A1677" s="8">
        <v>2310883</v>
      </c>
      <c r="B1677" s="9" t="s">
        <v>6027</v>
      </c>
      <c r="C1677" s="10">
        <v>45149</v>
      </c>
      <c r="D1677" s="9" t="s">
        <v>57</v>
      </c>
      <c r="E1677" s="9" t="s">
        <v>41</v>
      </c>
      <c r="F1677" s="9" t="s">
        <v>42</v>
      </c>
      <c r="G1677" s="9" t="s">
        <v>43</v>
      </c>
      <c r="H1677" s="9" t="s">
        <v>58</v>
      </c>
      <c r="I1677" s="11" t="s">
        <v>129</v>
      </c>
      <c r="J1677" s="9" t="s">
        <v>130</v>
      </c>
      <c r="K1677" s="9" t="s">
        <v>47</v>
      </c>
      <c r="L1677" s="9" t="s">
        <v>156</v>
      </c>
      <c r="M1677" s="9"/>
      <c r="N1677" s="9" t="s">
        <v>50</v>
      </c>
      <c r="O1677" s="9" t="s">
        <v>51</v>
      </c>
      <c r="P1677" s="9"/>
      <c r="Q1677" s="9"/>
      <c r="R1677" s="9"/>
      <c r="S1677" s="14" t="s">
        <v>6028</v>
      </c>
      <c r="T1677" s="9" t="s">
        <v>6029</v>
      </c>
      <c r="U1677" s="9" t="s">
        <v>54</v>
      </c>
      <c r="V1677" s="9" t="s">
        <v>55</v>
      </c>
      <c r="W1677" s="9" t="s">
        <v>55</v>
      </c>
      <c r="X1677" s="12"/>
      <c r="Y1677" s="9" t="s">
        <v>55</v>
      </c>
      <c r="Z1677" s="13"/>
    </row>
    <row r="1678" spans="1:26" ht="32.25" hidden="1" customHeight="1">
      <c r="A1678" s="8">
        <v>2312311</v>
      </c>
      <c r="B1678" s="9" t="s">
        <v>6030</v>
      </c>
      <c r="C1678" s="10">
        <v>45156</v>
      </c>
      <c r="D1678" s="9" t="s">
        <v>79</v>
      </c>
      <c r="E1678" s="9" t="s">
        <v>89</v>
      </c>
      <c r="F1678" s="9" t="s">
        <v>80</v>
      </c>
      <c r="G1678" s="9" t="s">
        <v>43</v>
      </c>
      <c r="H1678" s="9" t="s">
        <v>44</v>
      </c>
      <c r="I1678" s="11" t="s">
        <v>108</v>
      </c>
      <c r="J1678" s="9" t="s">
        <v>109</v>
      </c>
      <c r="K1678" s="9" t="s">
        <v>47</v>
      </c>
      <c r="L1678" s="9" t="s">
        <v>799</v>
      </c>
      <c r="M1678" s="9" t="s">
        <v>1490</v>
      </c>
      <c r="N1678" s="9" t="s">
        <v>50</v>
      </c>
      <c r="O1678" s="9" t="s">
        <v>51</v>
      </c>
      <c r="P1678" s="9" t="s">
        <v>112</v>
      </c>
      <c r="Q1678" s="9"/>
      <c r="R1678" s="9"/>
      <c r="S1678" s="14" t="s">
        <v>6031</v>
      </c>
      <c r="T1678" s="9" t="s">
        <v>6032</v>
      </c>
      <c r="U1678" s="9" t="s">
        <v>54</v>
      </c>
      <c r="V1678" s="9" t="s">
        <v>55</v>
      </c>
      <c r="W1678" s="9" t="s">
        <v>115</v>
      </c>
      <c r="X1678" s="12"/>
      <c r="Y1678" s="9" t="s">
        <v>55</v>
      </c>
      <c r="Z1678" s="13"/>
    </row>
    <row r="1679" spans="1:26" ht="32.25" hidden="1" customHeight="1">
      <c r="A1679" s="8">
        <v>2309987</v>
      </c>
      <c r="B1679" s="9" t="s">
        <v>6033</v>
      </c>
      <c r="C1679" s="10">
        <v>45136</v>
      </c>
      <c r="D1679" s="9" t="s">
        <v>40</v>
      </c>
      <c r="E1679" s="9" t="s">
        <v>153</v>
      </c>
      <c r="F1679" s="9" t="s">
        <v>42</v>
      </c>
      <c r="G1679" s="9" t="s">
        <v>43</v>
      </c>
      <c r="H1679" s="9" t="s">
        <v>44</v>
      </c>
      <c r="I1679" s="11" t="s">
        <v>154</v>
      </c>
      <c r="J1679" s="9" t="s">
        <v>155</v>
      </c>
      <c r="K1679" s="9" t="s">
        <v>47</v>
      </c>
      <c r="L1679" s="9" t="s">
        <v>1040</v>
      </c>
      <c r="M1679" s="9" t="s">
        <v>1147</v>
      </c>
      <c r="N1679" s="9" t="s">
        <v>84</v>
      </c>
      <c r="O1679" s="9" t="s">
        <v>51</v>
      </c>
      <c r="P1679" s="9"/>
      <c r="Q1679" s="9"/>
      <c r="R1679" s="9" t="s">
        <v>61</v>
      </c>
      <c r="S1679" s="9" t="s">
        <v>6034</v>
      </c>
      <c r="T1679" s="9" t="s">
        <v>6035</v>
      </c>
      <c r="U1679" s="9" t="s">
        <v>54</v>
      </c>
      <c r="V1679" s="9" t="s">
        <v>55</v>
      </c>
      <c r="W1679" s="9" t="s">
        <v>55</v>
      </c>
      <c r="X1679" s="12" t="s">
        <v>171</v>
      </c>
      <c r="Y1679" s="9" t="s">
        <v>172</v>
      </c>
      <c r="Z1679" s="13"/>
    </row>
    <row r="1680" spans="1:26" ht="32.25" hidden="1" customHeight="1">
      <c r="A1680" s="8">
        <v>2300828</v>
      </c>
      <c r="B1680" s="9" t="s">
        <v>6036</v>
      </c>
      <c r="C1680" s="10">
        <v>45149</v>
      </c>
      <c r="D1680" s="9" t="s">
        <v>57</v>
      </c>
      <c r="E1680" s="9" t="s">
        <v>153</v>
      </c>
      <c r="F1680" s="9" t="s">
        <v>42</v>
      </c>
      <c r="G1680" s="9" t="s">
        <v>43</v>
      </c>
      <c r="H1680" s="9" t="s">
        <v>58</v>
      </c>
      <c r="I1680" s="11" t="s">
        <v>154</v>
      </c>
      <c r="J1680" s="9" t="s">
        <v>155</v>
      </c>
      <c r="K1680" s="9" t="s">
        <v>47</v>
      </c>
      <c r="L1680" s="9" t="s">
        <v>48</v>
      </c>
      <c r="M1680" s="9"/>
      <c r="N1680" s="9" t="s">
        <v>84</v>
      </c>
      <c r="O1680" s="9" t="s">
        <v>51</v>
      </c>
      <c r="P1680" s="9"/>
      <c r="Q1680" s="9"/>
      <c r="R1680" s="9" t="s">
        <v>61</v>
      </c>
      <c r="S1680" s="14" t="s">
        <v>6037</v>
      </c>
      <c r="T1680" s="9" t="s">
        <v>6038</v>
      </c>
      <c r="U1680" s="9" t="s">
        <v>54</v>
      </c>
      <c r="V1680" s="9" t="s">
        <v>55</v>
      </c>
      <c r="W1680" s="9" t="s">
        <v>55</v>
      </c>
      <c r="X1680" s="12" t="s">
        <v>171</v>
      </c>
      <c r="Y1680" s="9" t="s">
        <v>172</v>
      </c>
      <c r="Z1680" s="13"/>
    </row>
    <row r="1681" spans="1:26" ht="32.25" hidden="1" customHeight="1">
      <c r="A1681" s="8">
        <v>2308979</v>
      </c>
      <c r="B1681" s="9" t="s">
        <v>6039</v>
      </c>
      <c r="C1681" s="10">
        <v>45136</v>
      </c>
      <c r="D1681" s="9" t="s">
        <v>40</v>
      </c>
      <c r="E1681" s="9" t="s">
        <v>41</v>
      </c>
      <c r="F1681" s="9" t="s">
        <v>42</v>
      </c>
      <c r="G1681" s="9" t="s">
        <v>43</v>
      </c>
      <c r="H1681" s="9" t="s">
        <v>44</v>
      </c>
      <c r="I1681" s="11" t="s">
        <v>661</v>
      </c>
      <c r="J1681" s="9" t="s">
        <v>662</v>
      </c>
      <c r="K1681" s="9" t="s">
        <v>47</v>
      </c>
      <c r="L1681" s="9" t="s">
        <v>221</v>
      </c>
      <c r="M1681" s="9" t="s">
        <v>1451</v>
      </c>
      <c r="N1681" s="9" t="s">
        <v>84</v>
      </c>
      <c r="O1681" s="9" t="s">
        <v>51</v>
      </c>
      <c r="P1681" s="9"/>
      <c r="Q1681" s="9"/>
      <c r="R1681" s="9" t="s">
        <v>61</v>
      </c>
      <c r="S1681" s="9" t="s">
        <v>6040</v>
      </c>
      <c r="T1681" s="9" t="s">
        <v>6041</v>
      </c>
      <c r="U1681" s="9" t="s">
        <v>54</v>
      </c>
      <c r="V1681" s="9" t="s">
        <v>55</v>
      </c>
      <c r="W1681" s="9" t="s">
        <v>55</v>
      </c>
      <c r="X1681" s="9" t="s">
        <v>64</v>
      </c>
      <c r="Y1681" s="9" t="s">
        <v>65</v>
      </c>
      <c r="Z1681" s="13"/>
    </row>
    <row r="1682" spans="1:26" ht="32.25" hidden="1" customHeight="1">
      <c r="A1682" s="8">
        <v>2308973</v>
      </c>
      <c r="B1682" s="9" t="s">
        <v>6042</v>
      </c>
      <c r="C1682" s="10">
        <v>45136</v>
      </c>
      <c r="D1682" s="9" t="s">
        <v>40</v>
      </c>
      <c r="E1682" s="9" t="s">
        <v>41</v>
      </c>
      <c r="F1682" s="9" t="s">
        <v>42</v>
      </c>
      <c r="G1682" s="9" t="s">
        <v>43</v>
      </c>
      <c r="H1682" s="9" t="s">
        <v>44</v>
      </c>
      <c r="I1682" s="11" t="s">
        <v>661</v>
      </c>
      <c r="J1682" s="9" t="s">
        <v>662</v>
      </c>
      <c r="K1682" s="9" t="s">
        <v>47</v>
      </c>
      <c r="L1682" s="9" t="s">
        <v>221</v>
      </c>
      <c r="M1682" s="9" t="s">
        <v>1451</v>
      </c>
      <c r="N1682" s="9" t="s">
        <v>84</v>
      </c>
      <c r="O1682" s="9" t="s">
        <v>51</v>
      </c>
      <c r="P1682" s="9"/>
      <c r="Q1682" s="9"/>
      <c r="R1682" s="9" t="s">
        <v>61</v>
      </c>
      <c r="S1682" s="9" t="s">
        <v>6043</v>
      </c>
      <c r="T1682" s="9" t="s">
        <v>6044</v>
      </c>
      <c r="U1682" s="9" t="s">
        <v>54</v>
      </c>
      <c r="V1682" s="9" t="s">
        <v>55</v>
      </c>
      <c r="W1682" s="9" t="s">
        <v>55</v>
      </c>
      <c r="X1682" s="9" t="s">
        <v>64</v>
      </c>
      <c r="Y1682" s="9" t="s">
        <v>65</v>
      </c>
      <c r="Z1682" s="13"/>
    </row>
    <row r="1683" spans="1:26" ht="32.25" hidden="1" customHeight="1">
      <c r="A1683" s="8">
        <v>2313074</v>
      </c>
      <c r="B1683" s="9" t="s">
        <v>6045</v>
      </c>
      <c r="C1683" s="10">
        <v>45149</v>
      </c>
      <c r="D1683" s="9" t="s">
        <v>57</v>
      </c>
      <c r="E1683" s="9" t="s">
        <v>41</v>
      </c>
      <c r="F1683" s="9" t="s">
        <v>42</v>
      </c>
      <c r="G1683" s="9" t="s">
        <v>43</v>
      </c>
      <c r="H1683" s="9" t="s">
        <v>58</v>
      </c>
      <c r="I1683" s="11" t="s">
        <v>45</v>
      </c>
      <c r="J1683" s="9" t="s">
        <v>46</v>
      </c>
      <c r="K1683" s="9" t="s">
        <v>47</v>
      </c>
      <c r="L1683" s="9" t="s">
        <v>48</v>
      </c>
      <c r="M1683" s="9" t="s">
        <v>1943</v>
      </c>
      <c r="N1683" s="9" t="s">
        <v>84</v>
      </c>
      <c r="O1683" s="9" t="s">
        <v>51</v>
      </c>
      <c r="P1683" s="9"/>
      <c r="Q1683" s="9"/>
      <c r="R1683" s="9"/>
      <c r="S1683" s="14" t="s">
        <v>6046</v>
      </c>
      <c r="T1683" s="9" t="s">
        <v>6047</v>
      </c>
      <c r="U1683" s="9" t="s">
        <v>54</v>
      </c>
      <c r="V1683" s="9" t="s">
        <v>55</v>
      </c>
      <c r="W1683" s="9" t="s">
        <v>55</v>
      </c>
      <c r="X1683" s="12"/>
      <c r="Y1683" s="9" t="s">
        <v>55</v>
      </c>
      <c r="Z1683" s="13"/>
    </row>
    <row r="1684" spans="1:26" ht="32.25" hidden="1" customHeight="1">
      <c r="A1684" s="8">
        <v>2300136</v>
      </c>
      <c r="B1684" s="9" t="s">
        <v>6048</v>
      </c>
      <c r="C1684" s="10">
        <v>45149</v>
      </c>
      <c r="D1684" s="9" t="s">
        <v>261</v>
      </c>
      <c r="E1684" s="9" t="s">
        <v>68</v>
      </c>
      <c r="F1684" s="9" t="s">
        <v>262</v>
      </c>
      <c r="G1684" s="9" t="s">
        <v>43</v>
      </c>
      <c r="H1684" s="9" t="s">
        <v>44</v>
      </c>
      <c r="I1684" s="11" t="s">
        <v>263</v>
      </c>
      <c r="J1684" s="9" t="s">
        <v>264</v>
      </c>
      <c r="K1684" s="9" t="s">
        <v>47</v>
      </c>
      <c r="L1684" s="9" t="s">
        <v>411</v>
      </c>
      <c r="M1684" s="9" t="s">
        <v>412</v>
      </c>
      <c r="N1684" s="9" t="s">
        <v>50</v>
      </c>
      <c r="O1684" s="9" t="s">
        <v>51</v>
      </c>
      <c r="P1684" s="9"/>
      <c r="Q1684" s="9"/>
      <c r="R1684" s="9" t="s">
        <v>61</v>
      </c>
      <c r="S1684" s="14" t="s">
        <v>6049</v>
      </c>
      <c r="T1684" s="9" t="s">
        <v>6050</v>
      </c>
      <c r="U1684" s="9" t="s">
        <v>262</v>
      </c>
      <c r="V1684" s="9" t="s">
        <v>196</v>
      </c>
      <c r="W1684" s="9" t="s">
        <v>115</v>
      </c>
      <c r="X1684" s="12" t="s">
        <v>196</v>
      </c>
      <c r="Y1684" s="9" t="s">
        <v>197</v>
      </c>
      <c r="Z1684" s="13" t="s">
        <v>6051</v>
      </c>
    </row>
    <row r="1685" spans="1:26" ht="32.25" hidden="1" customHeight="1">
      <c r="A1685" s="8">
        <v>2301144</v>
      </c>
      <c r="B1685" s="9" t="s">
        <v>6052</v>
      </c>
      <c r="C1685" s="10">
        <v>45149</v>
      </c>
      <c r="D1685" s="9" t="s">
        <v>57</v>
      </c>
      <c r="E1685" s="9" t="s">
        <v>41</v>
      </c>
      <c r="F1685" s="9" t="s">
        <v>42</v>
      </c>
      <c r="G1685" s="9" t="s">
        <v>43</v>
      </c>
      <c r="H1685" s="9" t="s">
        <v>58</v>
      </c>
      <c r="I1685" s="11" t="s">
        <v>129</v>
      </c>
      <c r="J1685" s="9" t="s">
        <v>130</v>
      </c>
      <c r="K1685" s="9" t="s">
        <v>47</v>
      </c>
      <c r="L1685" s="9" t="s">
        <v>48</v>
      </c>
      <c r="M1685" s="9" t="s">
        <v>6053</v>
      </c>
      <c r="N1685" s="9" t="s">
        <v>50</v>
      </c>
      <c r="O1685" s="9" t="s">
        <v>51</v>
      </c>
      <c r="P1685" s="9"/>
      <c r="Q1685" s="9"/>
      <c r="R1685" s="9"/>
      <c r="S1685" s="14" t="s">
        <v>6054</v>
      </c>
      <c r="T1685" s="9" t="s">
        <v>6055</v>
      </c>
      <c r="U1685" s="9" t="s">
        <v>54</v>
      </c>
      <c r="V1685" s="9" t="s">
        <v>55</v>
      </c>
      <c r="W1685" s="9" t="s">
        <v>55</v>
      </c>
      <c r="X1685" s="12"/>
      <c r="Y1685" s="9" t="s">
        <v>55</v>
      </c>
      <c r="Z1685" s="13"/>
    </row>
    <row r="1686" spans="1:26" ht="32.25" hidden="1" customHeight="1">
      <c r="A1686" s="8">
        <v>2301325</v>
      </c>
      <c r="B1686" s="9" t="s">
        <v>6056</v>
      </c>
      <c r="C1686" s="10">
        <v>45142</v>
      </c>
      <c r="D1686" s="9" t="s">
        <v>67</v>
      </c>
      <c r="E1686" s="9" t="s">
        <v>68</v>
      </c>
      <c r="F1686" s="9" t="s">
        <v>135</v>
      </c>
      <c r="G1686" s="9" t="s">
        <v>43</v>
      </c>
      <c r="H1686" s="9" t="s">
        <v>44</v>
      </c>
      <c r="I1686" s="11" t="s">
        <v>136</v>
      </c>
      <c r="J1686" s="9" t="s">
        <v>137</v>
      </c>
      <c r="K1686" s="9" t="s">
        <v>47</v>
      </c>
      <c r="L1686" s="9" t="s">
        <v>574</v>
      </c>
      <c r="M1686" s="9" t="s">
        <v>6057</v>
      </c>
      <c r="N1686" s="9" t="s">
        <v>50</v>
      </c>
      <c r="O1686" s="9" t="s">
        <v>51</v>
      </c>
      <c r="P1686" s="9"/>
      <c r="Q1686" s="9"/>
      <c r="R1686" s="9"/>
      <c r="S1686" s="9" t="s">
        <v>6058</v>
      </c>
      <c r="T1686" s="9" t="s">
        <v>6059</v>
      </c>
      <c r="U1686" s="9" t="s">
        <v>54</v>
      </c>
      <c r="V1686" s="9" t="s">
        <v>55</v>
      </c>
      <c r="W1686" s="9" t="s">
        <v>55</v>
      </c>
      <c r="X1686" s="12"/>
      <c r="Y1686" s="9" t="s">
        <v>55</v>
      </c>
      <c r="Z1686" s="13"/>
    </row>
    <row r="1687" spans="1:26" ht="32.25" hidden="1" customHeight="1">
      <c r="A1687" s="8">
        <v>2311084</v>
      </c>
      <c r="B1687" s="9" t="s">
        <v>6060</v>
      </c>
      <c r="C1687" s="10">
        <v>45156</v>
      </c>
      <c r="D1687" s="9" t="s">
        <v>79</v>
      </c>
      <c r="E1687" s="9" t="s">
        <v>41</v>
      </c>
      <c r="F1687" s="9" t="s">
        <v>80</v>
      </c>
      <c r="G1687" s="9" t="s">
        <v>43</v>
      </c>
      <c r="H1687" s="9" t="s">
        <v>44</v>
      </c>
      <c r="I1687" s="11" t="s">
        <v>233</v>
      </c>
      <c r="J1687" s="9" t="s">
        <v>200</v>
      </c>
      <c r="K1687" s="9" t="s">
        <v>47</v>
      </c>
      <c r="L1687" s="9" t="s">
        <v>437</v>
      </c>
      <c r="M1687" s="9" t="s">
        <v>1707</v>
      </c>
      <c r="N1687" s="9" t="s">
        <v>84</v>
      </c>
      <c r="O1687" s="9" t="s">
        <v>51</v>
      </c>
      <c r="P1687" s="9" t="s">
        <v>865</v>
      </c>
      <c r="Q1687" s="9"/>
      <c r="R1687" s="9" t="s">
        <v>61</v>
      </c>
      <c r="S1687" s="14" t="s">
        <v>6061</v>
      </c>
      <c r="T1687" s="9" t="s">
        <v>6062</v>
      </c>
      <c r="U1687" s="9" t="s">
        <v>54</v>
      </c>
      <c r="V1687" s="9" t="s">
        <v>55</v>
      </c>
      <c r="W1687" s="9" t="s">
        <v>55</v>
      </c>
      <c r="X1687" s="9" t="s">
        <v>64</v>
      </c>
      <c r="Y1687" s="9" t="s">
        <v>65</v>
      </c>
      <c r="Z1687" s="13"/>
    </row>
    <row r="1688" spans="1:26" ht="32.25" hidden="1" customHeight="1">
      <c r="A1688" s="8">
        <v>2308807</v>
      </c>
      <c r="B1688" s="9" t="s">
        <v>6063</v>
      </c>
      <c r="C1688" s="10">
        <v>45142</v>
      </c>
      <c r="D1688" s="9" t="s">
        <v>67</v>
      </c>
      <c r="E1688" s="9" t="s">
        <v>41</v>
      </c>
      <c r="F1688" s="9" t="s">
        <v>42</v>
      </c>
      <c r="G1688" s="9" t="s">
        <v>43</v>
      </c>
      <c r="H1688" s="9" t="s">
        <v>44</v>
      </c>
      <c r="I1688" s="11" t="s">
        <v>45</v>
      </c>
      <c r="J1688" s="9" t="s">
        <v>46</v>
      </c>
      <c r="K1688" s="9" t="s">
        <v>47</v>
      </c>
      <c r="L1688" s="9" t="s">
        <v>846</v>
      </c>
      <c r="M1688" s="9" t="s">
        <v>1535</v>
      </c>
      <c r="N1688" s="9" t="s">
        <v>84</v>
      </c>
      <c r="O1688" s="9" t="s">
        <v>51</v>
      </c>
      <c r="P1688" s="9"/>
      <c r="Q1688" s="9"/>
      <c r="R1688" s="9" t="s">
        <v>61</v>
      </c>
      <c r="S1688" s="9" t="s">
        <v>6064</v>
      </c>
      <c r="T1688" s="9" t="s">
        <v>6065</v>
      </c>
      <c r="U1688" s="9" t="s">
        <v>54</v>
      </c>
      <c r="V1688" s="9" t="s">
        <v>55</v>
      </c>
      <c r="W1688" s="9" t="s">
        <v>55</v>
      </c>
      <c r="X1688" s="9" t="s">
        <v>64</v>
      </c>
      <c r="Y1688" s="9" t="s">
        <v>65</v>
      </c>
      <c r="Z1688" s="13"/>
    </row>
    <row r="1689" spans="1:26" ht="32.25" hidden="1" customHeight="1">
      <c r="A1689" s="8">
        <v>2302751</v>
      </c>
      <c r="B1689" s="9" t="s">
        <v>6066</v>
      </c>
      <c r="C1689" s="10">
        <v>45156</v>
      </c>
      <c r="D1689" s="9" t="s">
        <v>79</v>
      </c>
      <c r="E1689" s="9" t="s">
        <v>143</v>
      </c>
      <c r="F1689" s="9" t="s">
        <v>80</v>
      </c>
      <c r="G1689" s="9" t="s">
        <v>43</v>
      </c>
      <c r="H1689" s="9" t="s">
        <v>44</v>
      </c>
      <c r="I1689" s="11" t="s">
        <v>326</v>
      </c>
      <c r="J1689" s="9" t="s">
        <v>327</v>
      </c>
      <c r="K1689" s="9" t="s">
        <v>47</v>
      </c>
      <c r="L1689" s="9" t="s">
        <v>156</v>
      </c>
      <c r="M1689" s="9"/>
      <c r="N1689" s="9" t="s">
        <v>50</v>
      </c>
      <c r="O1689" s="9" t="s">
        <v>51</v>
      </c>
      <c r="P1689" s="9" t="s">
        <v>1029</v>
      </c>
      <c r="Q1689" s="9"/>
      <c r="R1689" s="9"/>
      <c r="S1689" s="14" t="s">
        <v>6067</v>
      </c>
      <c r="T1689" s="9" t="s">
        <v>6068</v>
      </c>
      <c r="U1689" s="9" t="s">
        <v>54</v>
      </c>
      <c r="V1689" s="9"/>
      <c r="W1689" s="9" t="s">
        <v>115</v>
      </c>
      <c r="X1689" s="12"/>
      <c r="Y1689" s="9" t="s">
        <v>55</v>
      </c>
      <c r="Z1689" s="13"/>
    </row>
    <row r="1690" spans="1:26" ht="32.25" hidden="1" customHeight="1">
      <c r="A1690" s="8">
        <v>2307057</v>
      </c>
      <c r="B1690" s="9" t="s">
        <v>6069</v>
      </c>
      <c r="C1690" s="10">
        <v>45156</v>
      </c>
      <c r="D1690" s="9" t="s">
        <v>565</v>
      </c>
      <c r="E1690" s="9" t="s">
        <v>143</v>
      </c>
      <c r="F1690" s="9" t="s">
        <v>42</v>
      </c>
      <c r="G1690" s="9" t="s">
        <v>43</v>
      </c>
      <c r="H1690" s="9" t="s">
        <v>58</v>
      </c>
      <c r="I1690" s="11" t="s">
        <v>334</v>
      </c>
      <c r="J1690" s="9" t="s">
        <v>327</v>
      </c>
      <c r="K1690" s="9" t="s">
        <v>47</v>
      </c>
      <c r="L1690" s="9" t="s">
        <v>156</v>
      </c>
      <c r="M1690" s="9"/>
      <c r="N1690" s="9" t="s">
        <v>50</v>
      </c>
      <c r="O1690" s="9" t="s">
        <v>51</v>
      </c>
      <c r="P1690" s="9" t="s">
        <v>336</v>
      </c>
      <c r="Q1690" s="9"/>
      <c r="R1690" s="9"/>
      <c r="S1690" s="14" t="s">
        <v>6070</v>
      </c>
      <c r="T1690" s="9" t="s">
        <v>6071</v>
      </c>
      <c r="U1690" s="9" t="s">
        <v>54</v>
      </c>
      <c r="V1690" s="9" t="s">
        <v>55</v>
      </c>
      <c r="W1690" s="9" t="s">
        <v>55</v>
      </c>
      <c r="X1690" s="12"/>
      <c r="Y1690" s="9" t="s">
        <v>55</v>
      </c>
      <c r="Z1690" s="13"/>
    </row>
    <row r="1691" spans="1:26" ht="32.25" hidden="1" customHeight="1">
      <c r="A1691" s="8">
        <v>2308752</v>
      </c>
      <c r="B1691" s="9" t="s">
        <v>6072</v>
      </c>
      <c r="C1691" s="10">
        <v>45149</v>
      </c>
      <c r="D1691" s="9" t="s">
        <v>57</v>
      </c>
      <c r="E1691" s="9" t="s">
        <v>41</v>
      </c>
      <c r="F1691" s="9" t="s">
        <v>42</v>
      </c>
      <c r="G1691" s="9" t="s">
        <v>43</v>
      </c>
      <c r="H1691" s="9" t="s">
        <v>58</v>
      </c>
      <c r="I1691" s="11" t="s">
        <v>45</v>
      </c>
      <c r="J1691" s="9" t="s">
        <v>46</v>
      </c>
      <c r="K1691" s="9" t="s">
        <v>47</v>
      </c>
      <c r="L1691" s="9" t="s">
        <v>746</v>
      </c>
      <c r="M1691" s="9" t="s">
        <v>747</v>
      </c>
      <c r="N1691" s="9" t="s">
        <v>50</v>
      </c>
      <c r="O1691" s="9" t="s">
        <v>51</v>
      </c>
      <c r="P1691" s="9"/>
      <c r="Q1691" s="9"/>
      <c r="R1691" s="9" t="s">
        <v>61</v>
      </c>
      <c r="S1691" s="14" t="s">
        <v>6073</v>
      </c>
      <c r="T1691" s="9" t="s">
        <v>6074</v>
      </c>
      <c r="U1691" s="9" t="s">
        <v>54</v>
      </c>
      <c r="V1691" s="9" t="s">
        <v>55</v>
      </c>
      <c r="W1691" s="9" t="s">
        <v>55</v>
      </c>
      <c r="X1691" s="9" t="s">
        <v>64</v>
      </c>
      <c r="Y1691" s="9" t="s">
        <v>65</v>
      </c>
      <c r="Z1691" s="13"/>
    </row>
    <row r="1692" spans="1:26" ht="32.25" hidden="1" customHeight="1">
      <c r="A1692" s="8">
        <v>2310921</v>
      </c>
      <c r="B1692" s="9" t="s">
        <v>6075</v>
      </c>
      <c r="C1692" s="10">
        <v>45149</v>
      </c>
      <c r="D1692" s="9" t="s">
        <v>57</v>
      </c>
      <c r="E1692" s="9" t="s">
        <v>41</v>
      </c>
      <c r="F1692" s="9" t="s">
        <v>42</v>
      </c>
      <c r="G1692" s="9" t="s">
        <v>43</v>
      </c>
      <c r="H1692" s="9" t="s">
        <v>58</v>
      </c>
      <c r="I1692" s="11" t="s">
        <v>129</v>
      </c>
      <c r="J1692" s="9" t="s">
        <v>130</v>
      </c>
      <c r="K1692" s="9" t="s">
        <v>47</v>
      </c>
      <c r="L1692" s="9" t="s">
        <v>156</v>
      </c>
      <c r="M1692" s="9"/>
      <c r="N1692" s="9" t="s">
        <v>84</v>
      </c>
      <c r="O1692" s="9" t="s">
        <v>51</v>
      </c>
      <c r="P1692" s="9"/>
      <c r="Q1692" s="9"/>
      <c r="R1692" s="9"/>
      <c r="S1692" s="14" t="s">
        <v>6076</v>
      </c>
      <c r="T1692" s="9" t="s">
        <v>6077</v>
      </c>
      <c r="U1692" s="9" t="s">
        <v>54</v>
      </c>
      <c r="V1692" s="9" t="s">
        <v>55</v>
      </c>
      <c r="W1692" s="9" t="s">
        <v>55</v>
      </c>
      <c r="X1692" s="12"/>
      <c r="Y1692" s="9" t="s">
        <v>55</v>
      </c>
      <c r="Z1692" s="13"/>
    </row>
    <row r="1693" spans="1:26" ht="32.25" hidden="1" customHeight="1">
      <c r="A1693" s="8">
        <v>2314964</v>
      </c>
      <c r="B1693" s="9" t="s">
        <v>6078</v>
      </c>
      <c r="C1693" s="10">
        <v>45156</v>
      </c>
      <c r="D1693" s="9" t="s">
        <v>79</v>
      </c>
      <c r="E1693" s="9" t="s">
        <v>89</v>
      </c>
      <c r="F1693" s="9" t="s">
        <v>80</v>
      </c>
      <c r="G1693" s="9" t="s">
        <v>43</v>
      </c>
      <c r="H1693" s="9" t="s">
        <v>44</v>
      </c>
      <c r="I1693" s="11" t="s">
        <v>117</v>
      </c>
      <c r="J1693" s="9" t="s">
        <v>118</v>
      </c>
      <c r="K1693" s="9" t="s">
        <v>47</v>
      </c>
      <c r="L1693" s="9" t="s">
        <v>48</v>
      </c>
      <c r="M1693" s="9" t="s">
        <v>6079</v>
      </c>
      <c r="N1693" s="9" t="s">
        <v>50</v>
      </c>
      <c r="O1693" s="9" t="s">
        <v>51</v>
      </c>
      <c r="P1693" s="9" t="s">
        <v>121</v>
      </c>
      <c r="Q1693" s="9"/>
      <c r="R1693" s="9"/>
      <c r="S1693" s="14" t="s">
        <v>6080</v>
      </c>
      <c r="T1693" s="9" t="s">
        <v>6081</v>
      </c>
      <c r="U1693" s="9" t="s">
        <v>54</v>
      </c>
      <c r="V1693" s="9" t="s">
        <v>55</v>
      </c>
      <c r="W1693" s="9" t="s">
        <v>55</v>
      </c>
      <c r="X1693" s="12"/>
      <c r="Y1693" s="9" t="s">
        <v>55</v>
      </c>
      <c r="Z1693" s="13"/>
    </row>
    <row r="1694" spans="1:26" ht="32.25" hidden="1" customHeight="1">
      <c r="A1694" s="8">
        <v>2302319</v>
      </c>
      <c r="B1694" s="9" t="s">
        <v>6082</v>
      </c>
      <c r="C1694" s="10">
        <v>45156</v>
      </c>
      <c r="D1694" s="9" t="s">
        <v>79</v>
      </c>
      <c r="E1694" s="9" t="s">
        <v>89</v>
      </c>
      <c r="F1694" s="9" t="s">
        <v>80</v>
      </c>
      <c r="G1694" s="9" t="s">
        <v>43</v>
      </c>
      <c r="H1694" s="9" t="s">
        <v>44</v>
      </c>
      <c r="I1694" s="11" t="s">
        <v>365</v>
      </c>
      <c r="J1694" s="9" t="s">
        <v>366</v>
      </c>
      <c r="K1694" s="9" t="s">
        <v>47</v>
      </c>
      <c r="L1694" s="9" t="s">
        <v>3667</v>
      </c>
      <c r="M1694" s="9" t="s">
        <v>3672</v>
      </c>
      <c r="N1694" s="9" t="s">
        <v>50</v>
      </c>
      <c r="O1694" s="9" t="s">
        <v>51</v>
      </c>
      <c r="P1694" s="9" t="s">
        <v>367</v>
      </c>
      <c r="Q1694" s="9"/>
      <c r="R1694" s="9" t="s">
        <v>61</v>
      </c>
      <c r="S1694" s="14" t="s">
        <v>6083</v>
      </c>
      <c r="T1694" s="9" t="s">
        <v>6084</v>
      </c>
      <c r="U1694" s="9" t="s">
        <v>54</v>
      </c>
      <c r="V1694" s="9" t="s">
        <v>711</v>
      </c>
      <c r="W1694" s="9" t="s">
        <v>115</v>
      </c>
      <c r="X1694" s="12" t="s">
        <v>98</v>
      </c>
      <c r="Y1694" s="9" t="s">
        <v>99</v>
      </c>
      <c r="Z1694" s="13"/>
    </row>
    <row r="1695" spans="1:26" ht="32.25" hidden="1" customHeight="1">
      <c r="A1695" s="8">
        <v>2311780</v>
      </c>
      <c r="B1695" s="9" t="s">
        <v>6085</v>
      </c>
      <c r="C1695" s="10">
        <v>45149</v>
      </c>
      <c r="D1695" s="9" t="s">
        <v>261</v>
      </c>
      <c r="E1695" s="9" t="s">
        <v>89</v>
      </c>
      <c r="F1695" s="9" t="s">
        <v>262</v>
      </c>
      <c r="G1695" s="9" t="s">
        <v>43</v>
      </c>
      <c r="H1695" s="9" t="s">
        <v>44</v>
      </c>
      <c r="I1695" s="11" t="s">
        <v>685</v>
      </c>
      <c r="J1695" s="9" t="s">
        <v>686</v>
      </c>
      <c r="K1695" s="9" t="s">
        <v>47</v>
      </c>
      <c r="L1695" s="9" t="s">
        <v>156</v>
      </c>
      <c r="M1695" s="9"/>
      <c r="N1695" s="9" t="s">
        <v>50</v>
      </c>
      <c r="O1695" s="9" t="s">
        <v>51</v>
      </c>
      <c r="P1695" s="9"/>
      <c r="Q1695" s="9"/>
      <c r="R1695" s="9"/>
      <c r="S1695" s="14" t="s">
        <v>6086</v>
      </c>
      <c r="T1695" s="9" t="s">
        <v>6087</v>
      </c>
      <c r="U1695" s="9" t="s">
        <v>262</v>
      </c>
      <c r="V1695" s="9"/>
      <c r="W1695" s="9" t="s">
        <v>115</v>
      </c>
      <c r="X1695" s="12"/>
      <c r="Y1695" s="9" t="s">
        <v>55</v>
      </c>
      <c r="Z1695" s="13"/>
    </row>
    <row r="1696" spans="1:26" ht="32.25" hidden="1" customHeight="1">
      <c r="A1696" s="8">
        <v>2306363</v>
      </c>
      <c r="B1696" s="9" t="s">
        <v>6088</v>
      </c>
      <c r="C1696" s="10">
        <v>45136</v>
      </c>
      <c r="D1696" s="9" t="s">
        <v>940</v>
      </c>
      <c r="E1696" s="9" t="s">
        <v>68</v>
      </c>
      <c r="F1696" s="9" t="s">
        <v>135</v>
      </c>
      <c r="G1696" s="9" t="s">
        <v>43</v>
      </c>
      <c r="H1696" s="9" t="s">
        <v>44</v>
      </c>
      <c r="I1696" s="11" t="s">
        <v>136</v>
      </c>
      <c r="J1696" s="9" t="s">
        <v>137</v>
      </c>
      <c r="K1696" s="9" t="s">
        <v>47</v>
      </c>
      <c r="L1696" s="9" t="s">
        <v>437</v>
      </c>
      <c r="M1696" s="9" t="s">
        <v>1006</v>
      </c>
      <c r="N1696" s="9" t="s">
        <v>84</v>
      </c>
      <c r="O1696" s="9" t="s">
        <v>51</v>
      </c>
      <c r="P1696" s="9"/>
      <c r="Q1696" s="9"/>
      <c r="R1696" s="9" t="s">
        <v>61</v>
      </c>
      <c r="S1696" s="9" t="s">
        <v>6089</v>
      </c>
      <c r="T1696" s="9" t="s">
        <v>6090</v>
      </c>
      <c r="U1696" s="9" t="s">
        <v>54</v>
      </c>
      <c r="V1696" s="9" t="s">
        <v>55</v>
      </c>
      <c r="W1696" s="9" t="s">
        <v>55</v>
      </c>
      <c r="X1696" s="12" t="s">
        <v>76</v>
      </c>
      <c r="Y1696" s="9" t="s">
        <v>77</v>
      </c>
      <c r="Z1696" s="13"/>
    </row>
    <row r="1697" spans="1:26" ht="32.25" hidden="1" customHeight="1">
      <c r="A1697" s="8">
        <v>2305415</v>
      </c>
      <c r="B1697" s="9" t="s">
        <v>6091</v>
      </c>
      <c r="C1697" s="10">
        <v>45156</v>
      </c>
      <c r="D1697" s="9" t="s">
        <v>79</v>
      </c>
      <c r="E1697" s="9" t="s">
        <v>89</v>
      </c>
      <c r="F1697" s="9" t="s">
        <v>80</v>
      </c>
      <c r="G1697" s="9" t="s">
        <v>43</v>
      </c>
      <c r="H1697" s="9" t="s">
        <v>44</v>
      </c>
      <c r="I1697" s="11" t="s">
        <v>101</v>
      </c>
      <c r="J1697" s="9" t="s">
        <v>102</v>
      </c>
      <c r="K1697" s="9" t="s">
        <v>47</v>
      </c>
      <c r="L1697" s="9" t="s">
        <v>48</v>
      </c>
      <c r="M1697" s="9" t="s">
        <v>1447</v>
      </c>
      <c r="N1697" s="9" t="s">
        <v>84</v>
      </c>
      <c r="O1697" s="9" t="s">
        <v>51</v>
      </c>
      <c r="P1697" s="9" t="s">
        <v>212</v>
      </c>
      <c r="Q1697" s="9"/>
      <c r="R1697" s="9"/>
      <c r="S1697" s="14" t="s">
        <v>6092</v>
      </c>
      <c r="T1697" s="9" t="s">
        <v>6093</v>
      </c>
      <c r="U1697" s="9" t="s">
        <v>54</v>
      </c>
      <c r="V1697" s="9" t="s">
        <v>55</v>
      </c>
      <c r="W1697" s="9" t="s">
        <v>55</v>
      </c>
      <c r="X1697" s="12"/>
      <c r="Y1697" s="9" t="s">
        <v>55</v>
      </c>
      <c r="Z1697" s="13"/>
    </row>
    <row r="1698" spans="1:26" ht="32.25" hidden="1" customHeight="1">
      <c r="A1698" s="8">
        <v>2300316</v>
      </c>
      <c r="B1698" s="9" t="s">
        <v>6094</v>
      </c>
      <c r="C1698" s="10">
        <v>45142</v>
      </c>
      <c r="D1698" s="9" t="s">
        <v>1850</v>
      </c>
      <c r="E1698" s="9" t="s">
        <v>41</v>
      </c>
      <c r="F1698" s="9" t="s">
        <v>42</v>
      </c>
      <c r="G1698" s="9" t="s">
        <v>43</v>
      </c>
      <c r="H1698" s="9" t="s">
        <v>44</v>
      </c>
      <c r="I1698" s="11" t="s">
        <v>45</v>
      </c>
      <c r="J1698" s="9" t="s">
        <v>46</v>
      </c>
      <c r="K1698" s="9" t="s">
        <v>3203</v>
      </c>
      <c r="L1698" s="9"/>
      <c r="M1698" s="9" t="s">
        <v>6095</v>
      </c>
      <c r="N1698" s="9" t="s">
        <v>84</v>
      </c>
      <c r="O1698" s="9" t="s">
        <v>187</v>
      </c>
      <c r="P1698" s="9"/>
      <c r="Q1698" s="9"/>
      <c r="R1698" s="9" t="s">
        <v>61</v>
      </c>
      <c r="S1698" s="9" t="s">
        <v>6096</v>
      </c>
      <c r="T1698" s="9" t="s">
        <v>6097</v>
      </c>
      <c r="U1698" s="9" t="s">
        <v>54</v>
      </c>
      <c r="V1698" s="9" t="s">
        <v>76</v>
      </c>
      <c r="W1698" s="9" t="s">
        <v>55</v>
      </c>
      <c r="X1698" s="9" t="s">
        <v>76</v>
      </c>
      <c r="Y1698" s="9" t="s">
        <v>77</v>
      </c>
      <c r="Z1698" s="13" t="s">
        <v>240</v>
      </c>
    </row>
    <row r="1699" spans="1:26" ht="32.25" hidden="1" customHeight="1">
      <c r="A1699" s="8">
        <v>2304655</v>
      </c>
      <c r="B1699" s="9" t="s">
        <v>6098</v>
      </c>
      <c r="C1699" s="10">
        <v>45149</v>
      </c>
      <c r="D1699" s="9" t="s">
        <v>57</v>
      </c>
      <c r="E1699" s="9" t="s">
        <v>153</v>
      </c>
      <c r="F1699" s="9" t="s">
        <v>42</v>
      </c>
      <c r="G1699" s="9" t="s">
        <v>43</v>
      </c>
      <c r="H1699" s="9" t="s">
        <v>58</v>
      </c>
      <c r="I1699" s="11" t="s">
        <v>154</v>
      </c>
      <c r="J1699" s="9" t="s">
        <v>155</v>
      </c>
      <c r="K1699" s="9" t="s">
        <v>47</v>
      </c>
      <c r="L1699" s="9" t="s">
        <v>48</v>
      </c>
      <c r="M1699" s="9" t="s">
        <v>6099</v>
      </c>
      <c r="N1699" s="9" t="s">
        <v>84</v>
      </c>
      <c r="O1699" s="9" t="s">
        <v>51</v>
      </c>
      <c r="P1699" s="9"/>
      <c r="Q1699" s="9"/>
      <c r="R1699" s="9" t="s">
        <v>61</v>
      </c>
      <c r="S1699" s="14" t="s">
        <v>6100</v>
      </c>
      <c r="T1699" s="9" t="s">
        <v>6101</v>
      </c>
      <c r="U1699" s="9" t="s">
        <v>54</v>
      </c>
      <c r="V1699" s="9" t="s">
        <v>55</v>
      </c>
      <c r="W1699" s="9" t="s">
        <v>55</v>
      </c>
      <c r="X1699" s="12" t="s">
        <v>171</v>
      </c>
      <c r="Y1699" s="9" t="s">
        <v>172</v>
      </c>
      <c r="Z1699" s="13"/>
    </row>
    <row r="1700" spans="1:26" ht="32.25" hidden="1" customHeight="1">
      <c r="A1700" s="8">
        <v>2308660</v>
      </c>
      <c r="B1700" s="9" t="s">
        <v>6102</v>
      </c>
      <c r="C1700" s="10">
        <v>45156</v>
      </c>
      <c r="D1700" s="9" t="s">
        <v>79</v>
      </c>
      <c r="E1700" s="9" t="s">
        <v>143</v>
      </c>
      <c r="F1700" s="9" t="s">
        <v>80</v>
      </c>
      <c r="G1700" s="9" t="s">
        <v>43</v>
      </c>
      <c r="H1700" s="9" t="s">
        <v>44</v>
      </c>
      <c r="I1700" s="11" t="s">
        <v>326</v>
      </c>
      <c r="J1700" s="9" t="s">
        <v>327</v>
      </c>
      <c r="K1700" s="9" t="s">
        <v>47</v>
      </c>
      <c r="L1700" s="9" t="s">
        <v>1760</v>
      </c>
      <c r="M1700" s="9" t="s">
        <v>1761</v>
      </c>
      <c r="N1700" s="9" t="s">
        <v>50</v>
      </c>
      <c r="O1700" s="9" t="s">
        <v>51</v>
      </c>
      <c r="P1700" s="9" t="s">
        <v>1029</v>
      </c>
      <c r="Q1700" s="9"/>
      <c r="R1700" s="9" t="s">
        <v>61</v>
      </c>
      <c r="S1700" s="14" t="s">
        <v>6103</v>
      </c>
      <c r="T1700" s="9" t="s">
        <v>6104</v>
      </c>
      <c r="U1700" s="9" t="s">
        <v>54</v>
      </c>
      <c r="V1700" s="9" t="s">
        <v>2177</v>
      </c>
      <c r="W1700" s="9" t="s">
        <v>115</v>
      </c>
      <c r="X1700" s="12" t="s">
        <v>171</v>
      </c>
      <c r="Y1700" s="9" t="s">
        <v>172</v>
      </c>
      <c r="Z1700" s="13" t="s">
        <v>240</v>
      </c>
    </row>
    <row r="1701" spans="1:26" ht="32.25" hidden="1" customHeight="1">
      <c r="A1701" s="8">
        <v>2306180</v>
      </c>
      <c r="B1701" s="9" t="s">
        <v>6105</v>
      </c>
      <c r="C1701" s="10">
        <v>45136</v>
      </c>
      <c r="D1701" s="9" t="s">
        <v>40</v>
      </c>
      <c r="E1701" s="9" t="s">
        <v>41</v>
      </c>
      <c r="F1701" s="9" t="s">
        <v>42</v>
      </c>
      <c r="G1701" s="9" t="s">
        <v>43</v>
      </c>
      <c r="H1701" s="9" t="s">
        <v>44</v>
      </c>
      <c r="I1701" s="11" t="s">
        <v>661</v>
      </c>
      <c r="J1701" s="9" t="s">
        <v>662</v>
      </c>
      <c r="K1701" s="9" t="s">
        <v>47</v>
      </c>
      <c r="L1701" s="9" t="s">
        <v>827</v>
      </c>
      <c r="M1701" s="9" t="s">
        <v>828</v>
      </c>
      <c r="N1701" s="9" t="s">
        <v>50</v>
      </c>
      <c r="O1701" s="9" t="s">
        <v>51</v>
      </c>
      <c r="P1701" s="9"/>
      <c r="Q1701" s="9"/>
      <c r="R1701" s="9" t="s">
        <v>61</v>
      </c>
      <c r="S1701" s="9" t="s">
        <v>6106</v>
      </c>
      <c r="T1701" s="9" t="s">
        <v>6107</v>
      </c>
      <c r="U1701" s="9" t="s">
        <v>54</v>
      </c>
      <c r="V1701" s="9" t="s">
        <v>55</v>
      </c>
      <c r="W1701" s="9" t="s">
        <v>55</v>
      </c>
      <c r="X1701" s="9" t="s">
        <v>64</v>
      </c>
      <c r="Y1701" s="9" t="s">
        <v>65</v>
      </c>
      <c r="Z1701" s="13"/>
    </row>
    <row r="1702" spans="1:26" ht="32.25" hidden="1" customHeight="1">
      <c r="A1702" s="8">
        <v>2309262</v>
      </c>
      <c r="B1702" s="9" t="s">
        <v>6108</v>
      </c>
      <c r="C1702" s="10">
        <v>45149</v>
      </c>
      <c r="D1702" s="9" t="s">
        <v>57</v>
      </c>
      <c r="E1702" s="9" t="s">
        <v>153</v>
      </c>
      <c r="F1702" s="9" t="s">
        <v>42</v>
      </c>
      <c r="G1702" s="9" t="s">
        <v>43</v>
      </c>
      <c r="H1702" s="9" t="s">
        <v>58</v>
      </c>
      <c r="I1702" s="11" t="s">
        <v>154</v>
      </c>
      <c r="J1702" s="9" t="s">
        <v>155</v>
      </c>
      <c r="K1702" s="9" t="s">
        <v>47</v>
      </c>
      <c r="L1702" s="9" t="s">
        <v>569</v>
      </c>
      <c r="M1702" s="9" t="s">
        <v>975</v>
      </c>
      <c r="N1702" s="9" t="s">
        <v>50</v>
      </c>
      <c r="O1702" s="9" t="s">
        <v>51</v>
      </c>
      <c r="P1702" s="9"/>
      <c r="Q1702" s="9"/>
      <c r="R1702" s="9" t="s">
        <v>61</v>
      </c>
      <c r="S1702" s="14" t="s">
        <v>6109</v>
      </c>
      <c r="T1702" s="9" t="s">
        <v>6110</v>
      </c>
      <c r="U1702" s="9" t="s">
        <v>54</v>
      </c>
      <c r="V1702" s="9" t="s">
        <v>55</v>
      </c>
      <c r="W1702" s="9" t="s">
        <v>55</v>
      </c>
      <c r="X1702" s="12" t="s">
        <v>171</v>
      </c>
      <c r="Y1702" s="9" t="s">
        <v>172</v>
      </c>
      <c r="Z1702" s="13"/>
    </row>
    <row r="1703" spans="1:26" ht="32.25" hidden="1" customHeight="1">
      <c r="A1703" s="8">
        <v>2301877</v>
      </c>
      <c r="B1703" s="9" t="s">
        <v>6111</v>
      </c>
      <c r="C1703" s="10">
        <v>45149</v>
      </c>
      <c r="D1703" s="9" t="s">
        <v>57</v>
      </c>
      <c r="E1703" s="9" t="s">
        <v>41</v>
      </c>
      <c r="F1703" s="9" t="s">
        <v>42</v>
      </c>
      <c r="G1703" s="9" t="s">
        <v>43</v>
      </c>
      <c r="H1703" s="9" t="s">
        <v>58</v>
      </c>
      <c r="I1703" s="11" t="s">
        <v>45</v>
      </c>
      <c r="J1703" s="9" t="s">
        <v>46</v>
      </c>
      <c r="K1703" s="9" t="s">
        <v>47</v>
      </c>
      <c r="L1703" s="9" t="s">
        <v>48</v>
      </c>
      <c r="M1703" s="9" t="s">
        <v>1116</v>
      </c>
      <c r="N1703" s="9" t="s">
        <v>50</v>
      </c>
      <c r="O1703" s="9" t="s">
        <v>51</v>
      </c>
      <c r="P1703" s="9"/>
      <c r="Q1703" s="9"/>
      <c r="R1703" s="9"/>
      <c r="S1703" s="14" t="s">
        <v>6112</v>
      </c>
      <c r="T1703" s="9" t="s">
        <v>6113</v>
      </c>
      <c r="U1703" s="9" t="s">
        <v>54</v>
      </c>
      <c r="V1703" s="9" t="s">
        <v>55</v>
      </c>
      <c r="W1703" s="9" t="s">
        <v>55</v>
      </c>
      <c r="X1703" s="12"/>
      <c r="Y1703" s="9" t="s">
        <v>55</v>
      </c>
      <c r="Z1703" s="13"/>
    </row>
    <row r="1704" spans="1:26" ht="32.25" hidden="1" customHeight="1">
      <c r="A1704" s="8">
        <v>2308677</v>
      </c>
      <c r="B1704" s="9" t="s">
        <v>6114</v>
      </c>
      <c r="C1704" s="10">
        <v>45142</v>
      </c>
      <c r="D1704" s="9" t="s">
        <v>67</v>
      </c>
      <c r="E1704" s="9" t="s">
        <v>68</v>
      </c>
      <c r="F1704" s="9" t="s">
        <v>135</v>
      </c>
      <c r="G1704" s="9" t="s">
        <v>43</v>
      </c>
      <c r="H1704" s="9" t="s">
        <v>44</v>
      </c>
      <c r="I1704" s="11" t="s">
        <v>136</v>
      </c>
      <c r="J1704" s="9" t="s">
        <v>137</v>
      </c>
      <c r="K1704" s="9" t="s">
        <v>47</v>
      </c>
      <c r="L1704" s="9" t="s">
        <v>425</v>
      </c>
      <c r="M1704" s="9" t="s">
        <v>6115</v>
      </c>
      <c r="N1704" s="9" t="s">
        <v>50</v>
      </c>
      <c r="O1704" s="9" t="s">
        <v>51</v>
      </c>
      <c r="P1704" s="9"/>
      <c r="Q1704" s="9"/>
      <c r="R1704" s="9" t="s">
        <v>61</v>
      </c>
      <c r="S1704" s="9" t="s">
        <v>6116</v>
      </c>
      <c r="T1704" s="9" t="s">
        <v>6117</v>
      </c>
      <c r="U1704" s="9" t="s">
        <v>54</v>
      </c>
      <c r="V1704" s="9" t="s">
        <v>55</v>
      </c>
      <c r="W1704" s="9" t="s">
        <v>55</v>
      </c>
      <c r="X1704" s="12" t="s">
        <v>76</v>
      </c>
      <c r="Y1704" s="9" t="s">
        <v>77</v>
      </c>
      <c r="Z1704" s="13"/>
    </row>
    <row r="1705" spans="1:26" ht="32.25" hidden="1" customHeight="1">
      <c r="A1705" s="8">
        <v>2311201</v>
      </c>
      <c r="B1705" s="9" t="s">
        <v>6118</v>
      </c>
      <c r="C1705" s="10">
        <v>45156</v>
      </c>
      <c r="D1705" s="9" t="s">
        <v>79</v>
      </c>
      <c r="E1705" s="9" t="s">
        <v>153</v>
      </c>
      <c r="F1705" s="9" t="s">
        <v>80</v>
      </c>
      <c r="G1705" s="9" t="s">
        <v>43</v>
      </c>
      <c r="H1705" s="9" t="s">
        <v>44</v>
      </c>
      <c r="I1705" s="11" t="s">
        <v>1588</v>
      </c>
      <c r="J1705" s="9" t="s">
        <v>155</v>
      </c>
      <c r="K1705" s="9" t="s">
        <v>47</v>
      </c>
      <c r="L1705" s="9" t="s">
        <v>574</v>
      </c>
      <c r="M1705" s="9" t="s">
        <v>617</v>
      </c>
      <c r="N1705" s="9" t="s">
        <v>50</v>
      </c>
      <c r="O1705" s="9" t="s">
        <v>51</v>
      </c>
      <c r="P1705" s="9" t="s">
        <v>2391</v>
      </c>
      <c r="Q1705" s="9"/>
      <c r="R1705" s="9" t="s">
        <v>61</v>
      </c>
      <c r="S1705" s="14" t="s">
        <v>6119</v>
      </c>
      <c r="T1705" s="9" t="s">
        <v>6120</v>
      </c>
      <c r="U1705" s="9" t="s">
        <v>54</v>
      </c>
      <c r="V1705" s="9" t="s">
        <v>55</v>
      </c>
      <c r="W1705" s="9" t="s">
        <v>55</v>
      </c>
      <c r="X1705" s="12" t="s">
        <v>319</v>
      </c>
      <c r="Y1705" s="9" t="s">
        <v>320</v>
      </c>
      <c r="Z1705" s="13"/>
    </row>
    <row r="1706" spans="1:26" ht="32.25" hidden="1" customHeight="1">
      <c r="A1706" s="8">
        <v>2313467</v>
      </c>
      <c r="B1706" s="9" t="s">
        <v>6121</v>
      </c>
      <c r="C1706" s="10">
        <v>45149</v>
      </c>
      <c r="D1706" s="9" t="s">
        <v>57</v>
      </c>
      <c r="E1706" s="9" t="s">
        <v>41</v>
      </c>
      <c r="F1706" s="9" t="s">
        <v>42</v>
      </c>
      <c r="G1706" s="9" t="s">
        <v>43</v>
      </c>
      <c r="H1706" s="9" t="s">
        <v>58</v>
      </c>
      <c r="I1706" s="11" t="s">
        <v>45</v>
      </c>
      <c r="J1706" s="9" t="s">
        <v>46</v>
      </c>
      <c r="K1706" s="9" t="s">
        <v>47</v>
      </c>
      <c r="L1706" s="9" t="s">
        <v>156</v>
      </c>
      <c r="M1706" s="9"/>
      <c r="N1706" s="9" t="s">
        <v>50</v>
      </c>
      <c r="O1706" s="9" t="s">
        <v>51</v>
      </c>
      <c r="P1706" s="9"/>
      <c r="Q1706" s="9"/>
      <c r="R1706" s="9"/>
      <c r="S1706" s="14" t="s">
        <v>6122</v>
      </c>
      <c r="T1706" s="9" t="s">
        <v>6123</v>
      </c>
      <c r="U1706" s="9" t="s">
        <v>54</v>
      </c>
      <c r="V1706" s="9" t="s">
        <v>55</v>
      </c>
      <c r="W1706" s="9" t="s">
        <v>55</v>
      </c>
      <c r="X1706" s="12"/>
      <c r="Y1706" s="9" t="s">
        <v>55</v>
      </c>
      <c r="Z1706" s="13"/>
    </row>
    <row r="1707" spans="1:26" ht="32.25" hidden="1" customHeight="1">
      <c r="A1707" s="8">
        <v>2300279</v>
      </c>
      <c r="B1707" s="9" t="s">
        <v>6124</v>
      </c>
      <c r="C1707" s="10">
        <v>45149</v>
      </c>
      <c r="D1707" s="9" t="s">
        <v>261</v>
      </c>
      <c r="E1707" s="9" t="s">
        <v>68</v>
      </c>
      <c r="F1707" s="9" t="s">
        <v>262</v>
      </c>
      <c r="G1707" s="9" t="s">
        <v>43</v>
      </c>
      <c r="H1707" s="9" t="s">
        <v>44</v>
      </c>
      <c r="I1707" s="11" t="s">
        <v>263</v>
      </c>
      <c r="J1707" s="9" t="s">
        <v>264</v>
      </c>
      <c r="K1707" s="9" t="s">
        <v>47</v>
      </c>
      <c r="L1707" s="9" t="s">
        <v>425</v>
      </c>
      <c r="M1707" s="9" t="s">
        <v>2244</v>
      </c>
      <c r="N1707" s="9" t="s">
        <v>50</v>
      </c>
      <c r="O1707" s="9" t="s">
        <v>51</v>
      </c>
      <c r="P1707" s="9"/>
      <c r="Q1707" s="9"/>
      <c r="R1707" s="9"/>
      <c r="S1707" s="14" t="s">
        <v>6125</v>
      </c>
      <c r="T1707" s="9" t="s">
        <v>6126</v>
      </c>
      <c r="U1707" s="9" t="s">
        <v>262</v>
      </c>
      <c r="V1707" s="9" t="s">
        <v>55</v>
      </c>
      <c r="W1707" s="9" t="s">
        <v>55</v>
      </c>
      <c r="X1707" s="12"/>
      <c r="Y1707" s="9" t="s">
        <v>55</v>
      </c>
      <c r="Z1707" s="13"/>
    </row>
    <row r="1708" spans="1:26" ht="32.25" hidden="1" customHeight="1">
      <c r="A1708" s="8">
        <v>2308588</v>
      </c>
      <c r="B1708" s="9" t="s">
        <v>6127</v>
      </c>
      <c r="C1708" s="10">
        <v>45149</v>
      </c>
      <c r="D1708" s="9" t="s">
        <v>57</v>
      </c>
      <c r="E1708" s="9" t="s">
        <v>41</v>
      </c>
      <c r="F1708" s="9" t="s">
        <v>42</v>
      </c>
      <c r="G1708" s="9" t="s">
        <v>43</v>
      </c>
      <c r="H1708" s="9" t="s">
        <v>58</v>
      </c>
      <c r="I1708" s="11" t="s">
        <v>45</v>
      </c>
      <c r="J1708" s="9" t="s">
        <v>46</v>
      </c>
      <c r="K1708" s="9" t="s">
        <v>47</v>
      </c>
      <c r="L1708" s="9" t="s">
        <v>156</v>
      </c>
      <c r="M1708" s="9"/>
      <c r="N1708" s="9" t="s">
        <v>50</v>
      </c>
      <c r="O1708" s="9" t="s">
        <v>51</v>
      </c>
      <c r="P1708" s="9"/>
      <c r="Q1708" s="9"/>
      <c r="R1708" s="9"/>
      <c r="S1708" s="14" t="s">
        <v>6128</v>
      </c>
      <c r="T1708" s="9" t="s">
        <v>6129</v>
      </c>
      <c r="U1708" s="9" t="s">
        <v>54</v>
      </c>
      <c r="V1708" s="9" t="s">
        <v>55</v>
      </c>
      <c r="W1708" s="9" t="s">
        <v>55</v>
      </c>
      <c r="X1708" s="12"/>
      <c r="Y1708" s="9" t="s">
        <v>55</v>
      </c>
      <c r="Z1708" s="13"/>
    </row>
    <row r="1709" spans="1:26" ht="32.25" hidden="1" customHeight="1">
      <c r="A1709" s="8">
        <v>2310244</v>
      </c>
      <c r="B1709" s="9" t="s">
        <v>6130</v>
      </c>
      <c r="C1709" s="10">
        <v>45142</v>
      </c>
      <c r="D1709" s="9" t="s">
        <v>67</v>
      </c>
      <c r="E1709" s="9" t="s">
        <v>89</v>
      </c>
      <c r="F1709" s="9" t="s">
        <v>42</v>
      </c>
      <c r="G1709" s="9" t="s">
        <v>43</v>
      </c>
      <c r="H1709" s="9" t="s">
        <v>44</v>
      </c>
      <c r="I1709" s="11" t="s">
        <v>354</v>
      </c>
      <c r="J1709" s="9" t="s">
        <v>91</v>
      </c>
      <c r="K1709" s="9" t="s">
        <v>47</v>
      </c>
      <c r="L1709" s="9" t="s">
        <v>204</v>
      </c>
      <c r="M1709" s="9" t="s">
        <v>2928</v>
      </c>
      <c r="N1709" s="9" t="s">
        <v>50</v>
      </c>
      <c r="O1709" s="9" t="s">
        <v>51</v>
      </c>
      <c r="P1709" s="9" t="s">
        <v>356</v>
      </c>
      <c r="Q1709" s="9"/>
      <c r="R1709" s="9" t="s">
        <v>61</v>
      </c>
      <c r="S1709" s="9" t="s">
        <v>6131</v>
      </c>
      <c r="T1709" s="9" t="s">
        <v>6132</v>
      </c>
      <c r="U1709" s="9" t="s">
        <v>54</v>
      </c>
      <c r="V1709" s="9" t="s">
        <v>55</v>
      </c>
      <c r="W1709" s="9" t="s">
        <v>55</v>
      </c>
      <c r="X1709" s="12" t="s">
        <v>98</v>
      </c>
      <c r="Y1709" s="9" t="s">
        <v>99</v>
      </c>
      <c r="Z1709" s="13"/>
    </row>
    <row r="1710" spans="1:26" ht="32.25" hidden="1" customHeight="1">
      <c r="A1710" s="8">
        <v>2304258</v>
      </c>
      <c r="B1710" s="9" t="s">
        <v>6133</v>
      </c>
      <c r="C1710" s="10">
        <v>45149</v>
      </c>
      <c r="D1710" s="9" t="s">
        <v>57</v>
      </c>
      <c r="E1710" s="9" t="s">
        <v>41</v>
      </c>
      <c r="F1710" s="9" t="s">
        <v>42</v>
      </c>
      <c r="G1710" s="9" t="s">
        <v>43</v>
      </c>
      <c r="H1710" s="9" t="s">
        <v>58</v>
      </c>
      <c r="I1710" s="11" t="s">
        <v>129</v>
      </c>
      <c r="J1710" s="9" t="s">
        <v>130</v>
      </c>
      <c r="K1710" s="9" t="s">
        <v>47</v>
      </c>
      <c r="L1710" s="9" t="s">
        <v>156</v>
      </c>
      <c r="M1710" s="9"/>
      <c r="N1710" s="9" t="s">
        <v>50</v>
      </c>
      <c r="O1710" s="9" t="s">
        <v>51</v>
      </c>
      <c r="P1710" s="9"/>
      <c r="Q1710" s="9"/>
      <c r="R1710" s="9"/>
      <c r="S1710" s="14" t="s">
        <v>6134</v>
      </c>
      <c r="T1710" s="9" t="s">
        <v>6135</v>
      </c>
      <c r="U1710" s="9" t="s">
        <v>54</v>
      </c>
      <c r="V1710" s="9" t="s">
        <v>55</v>
      </c>
      <c r="W1710" s="9" t="s">
        <v>55</v>
      </c>
      <c r="X1710" s="12"/>
      <c r="Y1710" s="9" t="s">
        <v>55</v>
      </c>
      <c r="Z1710" s="13"/>
    </row>
    <row r="1711" spans="1:26" ht="32.25" hidden="1" customHeight="1">
      <c r="A1711" s="8">
        <v>2305464</v>
      </c>
      <c r="B1711" s="9" t="s">
        <v>6136</v>
      </c>
      <c r="C1711" s="10">
        <v>45142</v>
      </c>
      <c r="D1711" s="9" t="s">
        <v>67</v>
      </c>
      <c r="E1711" s="9" t="s">
        <v>41</v>
      </c>
      <c r="F1711" s="9" t="s">
        <v>42</v>
      </c>
      <c r="G1711" s="9" t="s">
        <v>43</v>
      </c>
      <c r="H1711" s="9" t="s">
        <v>44</v>
      </c>
      <c r="I1711" s="11" t="s">
        <v>45</v>
      </c>
      <c r="J1711" s="9" t="s">
        <v>46</v>
      </c>
      <c r="K1711" s="9" t="s">
        <v>47</v>
      </c>
      <c r="L1711" s="9" t="s">
        <v>598</v>
      </c>
      <c r="M1711" s="9" t="s">
        <v>599</v>
      </c>
      <c r="N1711" s="9" t="s">
        <v>84</v>
      </c>
      <c r="O1711" s="9" t="s">
        <v>51</v>
      </c>
      <c r="P1711" s="9"/>
      <c r="Q1711" s="9"/>
      <c r="R1711" s="9" t="s">
        <v>61</v>
      </c>
      <c r="S1711" s="9" t="s">
        <v>6137</v>
      </c>
      <c r="T1711" s="9" t="s">
        <v>6138</v>
      </c>
      <c r="U1711" s="9" t="s">
        <v>54</v>
      </c>
      <c r="V1711" s="9" t="s">
        <v>55</v>
      </c>
      <c r="W1711" s="9" t="s">
        <v>55</v>
      </c>
      <c r="X1711" s="9" t="s">
        <v>64</v>
      </c>
      <c r="Y1711" s="9" t="s">
        <v>65</v>
      </c>
      <c r="Z1711" s="13"/>
    </row>
    <row r="1712" spans="1:26" ht="32.25" hidden="1" customHeight="1">
      <c r="A1712" s="8">
        <v>2300692</v>
      </c>
      <c r="B1712" s="9" t="s">
        <v>6139</v>
      </c>
      <c r="C1712" s="10">
        <v>45156</v>
      </c>
      <c r="D1712" s="9" t="s">
        <v>565</v>
      </c>
      <c r="E1712" s="9" t="s">
        <v>295</v>
      </c>
      <c r="F1712" s="9" t="s">
        <v>42</v>
      </c>
      <c r="G1712" s="9" t="s">
        <v>43</v>
      </c>
      <c r="H1712" s="9" t="s">
        <v>58</v>
      </c>
      <c r="I1712" s="11" t="s">
        <v>296</v>
      </c>
      <c r="J1712" s="9" t="s">
        <v>297</v>
      </c>
      <c r="K1712" s="9" t="s">
        <v>47</v>
      </c>
      <c r="L1712" s="9" t="s">
        <v>1128</v>
      </c>
      <c r="M1712" s="9" t="s">
        <v>6140</v>
      </c>
      <c r="N1712" s="9" t="s">
        <v>84</v>
      </c>
      <c r="O1712" s="9" t="s">
        <v>51</v>
      </c>
      <c r="P1712" s="9"/>
      <c r="Q1712" s="9"/>
      <c r="R1712" s="9"/>
      <c r="S1712" s="14" t="s">
        <v>6141</v>
      </c>
      <c r="T1712" s="9" t="s">
        <v>6142</v>
      </c>
      <c r="U1712" s="9" t="s">
        <v>54</v>
      </c>
      <c r="V1712" s="9" t="s">
        <v>55</v>
      </c>
      <c r="W1712" s="9" t="s">
        <v>55</v>
      </c>
      <c r="X1712" s="12"/>
      <c r="Y1712" s="9" t="s">
        <v>55</v>
      </c>
      <c r="Z1712" s="13"/>
    </row>
    <row r="1713" spans="1:26" ht="32.25" hidden="1" customHeight="1">
      <c r="A1713" s="8">
        <v>2312123</v>
      </c>
      <c r="B1713" s="9" t="s">
        <v>6143</v>
      </c>
      <c r="C1713" s="10">
        <v>45156</v>
      </c>
      <c r="D1713" s="9" t="s">
        <v>79</v>
      </c>
      <c r="E1713" s="9" t="s">
        <v>41</v>
      </c>
      <c r="F1713" s="9" t="s">
        <v>80</v>
      </c>
      <c r="G1713" s="9" t="s">
        <v>43</v>
      </c>
      <c r="H1713" s="9" t="s">
        <v>44</v>
      </c>
      <c r="I1713" s="11" t="s">
        <v>478</v>
      </c>
      <c r="J1713" s="9" t="s">
        <v>479</v>
      </c>
      <c r="K1713" s="9" t="s">
        <v>47</v>
      </c>
      <c r="L1713" s="9" t="s">
        <v>48</v>
      </c>
      <c r="M1713" s="9" t="s">
        <v>242</v>
      </c>
      <c r="N1713" s="9" t="s">
        <v>84</v>
      </c>
      <c r="O1713" s="9" t="s">
        <v>51</v>
      </c>
      <c r="P1713" s="9" t="s">
        <v>1414</v>
      </c>
      <c r="Q1713" s="9"/>
      <c r="R1713" s="9"/>
      <c r="S1713" s="14" t="s">
        <v>6144</v>
      </c>
      <c r="T1713" s="9" t="s">
        <v>6145</v>
      </c>
      <c r="U1713" s="9" t="s">
        <v>54</v>
      </c>
      <c r="V1713" s="9"/>
      <c r="W1713" s="9" t="s">
        <v>115</v>
      </c>
      <c r="X1713" s="12"/>
      <c r="Y1713" s="9" t="s">
        <v>55</v>
      </c>
      <c r="Z1713" s="13"/>
    </row>
    <row r="1714" spans="1:26" ht="32.25" hidden="1" customHeight="1">
      <c r="A1714" s="8">
        <v>2315028</v>
      </c>
      <c r="B1714" s="9" t="s">
        <v>6146</v>
      </c>
      <c r="C1714" s="10">
        <v>45156</v>
      </c>
      <c r="D1714" s="9" t="s">
        <v>79</v>
      </c>
      <c r="E1714" s="9" t="s">
        <v>89</v>
      </c>
      <c r="F1714" s="9" t="s">
        <v>80</v>
      </c>
      <c r="G1714" s="9" t="s">
        <v>43</v>
      </c>
      <c r="H1714" s="9" t="s">
        <v>44</v>
      </c>
      <c r="I1714" s="11" t="s">
        <v>90</v>
      </c>
      <c r="J1714" s="9" t="s">
        <v>91</v>
      </c>
      <c r="K1714" s="9" t="s">
        <v>47</v>
      </c>
      <c r="L1714" s="9" t="s">
        <v>3005</v>
      </c>
      <c r="M1714" s="9" t="s">
        <v>6147</v>
      </c>
      <c r="N1714" s="9" t="s">
        <v>50</v>
      </c>
      <c r="O1714" s="9" t="s">
        <v>51</v>
      </c>
      <c r="P1714" s="9" t="s">
        <v>498</v>
      </c>
      <c r="Q1714" s="9"/>
      <c r="R1714" s="9" t="s">
        <v>61</v>
      </c>
      <c r="S1714" s="14" t="s">
        <v>6148</v>
      </c>
      <c r="T1714" s="9" t="s">
        <v>6149</v>
      </c>
      <c r="U1714" s="9" t="s">
        <v>54</v>
      </c>
      <c r="V1714" s="9" t="s">
        <v>55</v>
      </c>
      <c r="W1714" s="9" t="s">
        <v>55</v>
      </c>
      <c r="X1714" s="12" t="s">
        <v>98</v>
      </c>
      <c r="Y1714" s="9" t="s">
        <v>99</v>
      </c>
      <c r="Z1714" s="13"/>
    </row>
    <row r="1715" spans="1:26" ht="32.25" hidden="1" customHeight="1">
      <c r="A1715" s="8">
        <v>2315120</v>
      </c>
      <c r="B1715" s="9" t="s">
        <v>6150</v>
      </c>
      <c r="C1715" s="10">
        <v>45152</v>
      </c>
      <c r="D1715" s="9" t="s">
        <v>755</v>
      </c>
      <c r="E1715" s="9" t="s">
        <v>143</v>
      </c>
      <c r="F1715" s="9" t="s">
        <v>262</v>
      </c>
      <c r="G1715" s="9" t="s">
        <v>43</v>
      </c>
      <c r="H1715" s="9" t="s">
        <v>44</v>
      </c>
      <c r="I1715" s="11" t="s">
        <v>1620</v>
      </c>
      <c r="J1715" s="9" t="s">
        <v>1621</v>
      </c>
      <c r="K1715" s="9" t="s">
        <v>234</v>
      </c>
      <c r="L1715" s="9"/>
      <c r="M1715" s="9" t="s">
        <v>235</v>
      </c>
      <c r="N1715" s="9" t="s">
        <v>50</v>
      </c>
      <c r="O1715" s="9" t="s">
        <v>187</v>
      </c>
      <c r="P1715" s="9"/>
      <c r="Q1715" s="9"/>
      <c r="R1715" s="9" t="s">
        <v>61</v>
      </c>
      <c r="S1715" s="14" t="s">
        <v>6151</v>
      </c>
      <c r="T1715" s="9" t="s">
        <v>6152</v>
      </c>
      <c r="U1715" s="9" t="s">
        <v>262</v>
      </c>
      <c r="V1715" s="9" t="s">
        <v>897</v>
      </c>
      <c r="W1715" s="9" t="s">
        <v>115</v>
      </c>
      <c r="X1715" s="12" t="s">
        <v>389</v>
      </c>
      <c r="Y1715" s="9" t="s">
        <v>390</v>
      </c>
      <c r="Z1715" s="13"/>
    </row>
    <row r="1716" spans="1:26" ht="32.25" hidden="1" customHeight="1">
      <c r="A1716" s="8">
        <v>2302928</v>
      </c>
      <c r="B1716" s="9" t="s">
        <v>6153</v>
      </c>
      <c r="C1716" s="10">
        <v>45156</v>
      </c>
      <c r="D1716" s="9" t="s">
        <v>565</v>
      </c>
      <c r="E1716" s="9" t="s">
        <v>153</v>
      </c>
      <c r="F1716" s="9" t="s">
        <v>42</v>
      </c>
      <c r="G1716" s="9" t="s">
        <v>43</v>
      </c>
      <c r="H1716" s="9" t="s">
        <v>58</v>
      </c>
      <c r="I1716" s="11" t="s">
        <v>154</v>
      </c>
      <c r="J1716" s="9" t="s">
        <v>155</v>
      </c>
      <c r="K1716" s="9" t="s">
        <v>47</v>
      </c>
      <c r="L1716" s="9" t="s">
        <v>1040</v>
      </c>
      <c r="M1716" s="9" t="s">
        <v>1147</v>
      </c>
      <c r="N1716" s="9" t="s">
        <v>50</v>
      </c>
      <c r="O1716" s="9" t="s">
        <v>51</v>
      </c>
      <c r="P1716" s="9"/>
      <c r="Q1716" s="9"/>
      <c r="R1716" s="9"/>
      <c r="S1716" s="14" t="s">
        <v>6154</v>
      </c>
      <c r="T1716" s="9" t="s">
        <v>6155</v>
      </c>
      <c r="U1716" s="9" t="s">
        <v>54</v>
      </c>
      <c r="V1716" s="9" t="s">
        <v>55</v>
      </c>
      <c r="W1716" s="9" t="s">
        <v>55</v>
      </c>
      <c r="X1716" s="12"/>
      <c r="Y1716" s="9" t="s">
        <v>55</v>
      </c>
      <c r="Z1716" s="13"/>
    </row>
    <row r="1717" spans="1:26" ht="32.25" hidden="1" customHeight="1">
      <c r="A1717" s="8">
        <v>2309233</v>
      </c>
      <c r="B1717" s="9" t="s">
        <v>6156</v>
      </c>
      <c r="C1717" s="10">
        <v>45149</v>
      </c>
      <c r="D1717" s="9" t="s">
        <v>261</v>
      </c>
      <c r="E1717" s="9" t="s">
        <v>89</v>
      </c>
      <c r="F1717" s="9" t="s">
        <v>262</v>
      </c>
      <c r="G1717" s="9" t="s">
        <v>43</v>
      </c>
      <c r="H1717" s="9" t="s">
        <v>44</v>
      </c>
      <c r="I1717" s="11" t="s">
        <v>435</v>
      </c>
      <c r="J1717" s="9" t="s">
        <v>436</v>
      </c>
      <c r="K1717" s="9" t="s">
        <v>47</v>
      </c>
      <c r="L1717" s="9" t="s">
        <v>156</v>
      </c>
      <c r="M1717" s="9"/>
      <c r="N1717" s="9" t="s">
        <v>50</v>
      </c>
      <c r="O1717" s="9" t="s">
        <v>51</v>
      </c>
      <c r="P1717" s="9"/>
      <c r="Q1717" s="9"/>
      <c r="R1717" s="9"/>
      <c r="S1717" s="14" t="s">
        <v>6157</v>
      </c>
      <c r="T1717" s="9" t="s">
        <v>6158</v>
      </c>
      <c r="U1717" s="9" t="s">
        <v>262</v>
      </c>
      <c r="V1717" s="9" t="s">
        <v>55</v>
      </c>
      <c r="W1717" s="9" t="s">
        <v>115</v>
      </c>
      <c r="X1717" s="12"/>
      <c r="Y1717" s="9" t="s">
        <v>55</v>
      </c>
      <c r="Z1717" s="13"/>
    </row>
    <row r="1718" spans="1:26" ht="32.25" hidden="1" customHeight="1">
      <c r="A1718" s="8">
        <v>2313089</v>
      </c>
      <c r="B1718" s="9" t="s">
        <v>6159</v>
      </c>
      <c r="C1718" s="10">
        <v>45149</v>
      </c>
      <c r="D1718" s="9" t="s">
        <v>57</v>
      </c>
      <c r="E1718" s="9" t="s">
        <v>41</v>
      </c>
      <c r="F1718" s="9" t="s">
        <v>42</v>
      </c>
      <c r="G1718" s="9" t="s">
        <v>43</v>
      </c>
      <c r="H1718" s="9" t="s">
        <v>58</v>
      </c>
      <c r="I1718" s="11" t="s">
        <v>199</v>
      </c>
      <c r="J1718" s="9" t="s">
        <v>200</v>
      </c>
      <c r="K1718" s="9" t="s">
        <v>47</v>
      </c>
      <c r="L1718" s="9" t="s">
        <v>1315</v>
      </c>
      <c r="M1718" s="9" t="s">
        <v>1316</v>
      </c>
      <c r="N1718" s="9" t="s">
        <v>84</v>
      </c>
      <c r="O1718" s="9" t="s">
        <v>51</v>
      </c>
      <c r="P1718" s="9"/>
      <c r="Q1718" s="9"/>
      <c r="R1718" s="9" t="s">
        <v>61</v>
      </c>
      <c r="S1718" s="14" t="s">
        <v>6160</v>
      </c>
      <c r="T1718" s="9" t="s">
        <v>6161</v>
      </c>
      <c r="U1718" s="9" t="s">
        <v>54</v>
      </c>
      <c r="V1718" s="9" t="s">
        <v>55</v>
      </c>
      <c r="W1718" s="9" t="s">
        <v>55</v>
      </c>
      <c r="X1718" s="12" t="s">
        <v>196</v>
      </c>
      <c r="Y1718" s="9" t="s">
        <v>197</v>
      </c>
      <c r="Z1718" s="13"/>
    </row>
    <row r="1719" spans="1:26" ht="32.25" hidden="1" customHeight="1">
      <c r="A1719" s="8">
        <v>2304489</v>
      </c>
      <c r="B1719" s="9" t="s">
        <v>6162</v>
      </c>
      <c r="C1719" s="10">
        <v>45142</v>
      </c>
      <c r="D1719" s="9" t="s">
        <v>67</v>
      </c>
      <c r="E1719" s="9" t="s">
        <v>68</v>
      </c>
      <c r="F1719" s="9" t="s">
        <v>135</v>
      </c>
      <c r="G1719" s="9" t="s">
        <v>43</v>
      </c>
      <c r="H1719" s="9" t="s">
        <v>44</v>
      </c>
      <c r="I1719" s="11" t="s">
        <v>136</v>
      </c>
      <c r="J1719" s="9" t="s">
        <v>137</v>
      </c>
      <c r="K1719" s="9" t="s">
        <v>47</v>
      </c>
      <c r="L1719" s="9" t="s">
        <v>138</v>
      </c>
      <c r="M1719" s="9" t="s">
        <v>2607</v>
      </c>
      <c r="N1719" s="9" t="s">
        <v>50</v>
      </c>
      <c r="O1719" s="9" t="s">
        <v>51</v>
      </c>
      <c r="P1719" s="9"/>
      <c r="Q1719" s="9"/>
      <c r="R1719" s="9" t="s">
        <v>61</v>
      </c>
      <c r="S1719" s="9" t="s">
        <v>6163</v>
      </c>
      <c r="T1719" s="9" t="s">
        <v>6164</v>
      </c>
      <c r="U1719" s="9" t="s">
        <v>54</v>
      </c>
      <c r="V1719" s="9" t="s">
        <v>55</v>
      </c>
      <c r="W1719" s="9" t="s">
        <v>55</v>
      </c>
      <c r="X1719" s="12" t="s">
        <v>76</v>
      </c>
      <c r="Y1719" s="9" t="s">
        <v>77</v>
      </c>
      <c r="Z1719" s="13"/>
    </row>
    <row r="1720" spans="1:26" ht="32.25" hidden="1" customHeight="1">
      <c r="A1720" s="8">
        <v>2306360</v>
      </c>
      <c r="B1720" s="9" t="s">
        <v>6165</v>
      </c>
      <c r="C1720" s="10">
        <v>45142</v>
      </c>
      <c r="D1720" s="9" t="s">
        <v>67</v>
      </c>
      <c r="E1720" s="9" t="s">
        <v>89</v>
      </c>
      <c r="F1720" s="9" t="s">
        <v>42</v>
      </c>
      <c r="G1720" s="9" t="s">
        <v>43</v>
      </c>
      <c r="H1720" s="9" t="s">
        <v>44</v>
      </c>
      <c r="I1720" s="11" t="s">
        <v>354</v>
      </c>
      <c r="J1720" s="9" t="s">
        <v>91</v>
      </c>
      <c r="K1720" s="9" t="s">
        <v>47</v>
      </c>
      <c r="L1720" s="9" t="s">
        <v>156</v>
      </c>
      <c r="M1720" s="9"/>
      <c r="N1720" s="9" t="s">
        <v>50</v>
      </c>
      <c r="O1720" s="9" t="s">
        <v>51</v>
      </c>
      <c r="P1720" s="9" t="s">
        <v>356</v>
      </c>
      <c r="Q1720" s="9"/>
      <c r="R1720" s="9"/>
      <c r="S1720" s="9" t="s">
        <v>6166</v>
      </c>
      <c r="T1720" s="9" t="s">
        <v>6167</v>
      </c>
      <c r="U1720" s="9" t="s">
        <v>54</v>
      </c>
      <c r="V1720" s="9" t="s">
        <v>55</v>
      </c>
      <c r="W1720" s="9" t="s">
        <v>55</v>
      </c>
      <c r="X1720" s="12"/>
      <c r="Y1720" s="9" t="s">
        <v>55</v>
      </c>
      <c r="Z1720" s="13"/>
    </row>
    <row r="1721" spans="1:26" ht="32.25" hidden="1" customHeight="1">
      <c r="A1721" s="8">
        <v>2310242</v>
      </c>
      <c r="B1721" s="9" t="s">
        <v>6168</v>
      </c>
      <c r="C1721" s="10">
        <v>45156</v>
      </c>
      <c r="D1721" s="9" t="s">
        <v>79</v>
      </c>
      <c r="E1721" s="9" t="s">
        <v>143</v>
      </c>
      <c r="F1721" s="9" t="s">
        <v>80</v>
      </c>
      <c r="G1721" s="9" t="s">
        <v>43</v>
      </c>
      <c r="H1721" s="9" t="s">
        <v>44</v>
      </c>
      <c r="I1721" s="11" t="s">
        <v>326</v>
      </c>
      <c r="J1721" s="9" t="s">
        <v>327</v>
      </c>
      <c r="K1721" s="9" t="s">
        <v>47</v>
      </c>
      <c r="L1721" s="9" t="s">
        <v>156</v>
      </c>
      <c r="M1721" s="9"/>
      <c r="N1721" s="9" t="s">
        <v>50</v>
      </c>
      <c r="O1721" s="9" t="s">
        <v>51</v>
      </c>
      <c r="P1721" s="9" t="s">
        <v>654</v>
      </c>
      <c r="Q1721" s="9"/>
      <c r="R1721" s="9"/>
      <c r="S1721" s="14" t="s">
        <v>6169</v>
      </c>
      <c r="T1721" s="9" t="s">
        <v>6170</v>
      </c>
      <c r="U1721" s="9" t="s">
        <v>54</v>
      </c>
      <c r="V1721" s="9" t="s">
        <v>55</v>
      </c>
      <c r="W1721" s="9" t="s">
        <v>55</v>
      </c>
      <c r="X1721" s="12"/>
      <c r="Y1721" s="9" t="s">
        <v>55</v>
      </c>
      <c r="Z1721" s="13"/>
    </row>
    <row r="1722" spans="1:26" ht="32.25" hidden="1" customHeight="1">
      <c r="A1722" s="8">
        <v>2305331</v>
      </c>
      <c r="B1722" s="9" t="s">
        <v>6171</v>
      </c>
      <c r="C1722" s="10">
        <v>45142</v>
      </c>
      <c r="D1722" s="9" t="s">
        <v>67</v>
      </c>
      <c r="E1722" s="9" t="s">
        <v>68</v>
      </c>
      <c r="F1722" s="9" t="s">
        <v>135</v>
      </c>
      <c r="G1722" s="9" t="s">
        <v>43</v>
      </c>
      <c r="H1722" s="9" t="s">
        <v>44</v>
      </c>
      <c r="I1722" s="11" t="s">
        <v>136</v>
      </c>
      <c r="J1722" s="9" t="s">
        <v>137</v>
      </c>
      <c r="K1722" s="9" t="s">
        <v>47</v>
      </c>
      <c r="L1722" s="9" t="s">
        <v>174</v>
      </c>
      <c r="M1722" s="9" t="s">
        <v>175</v>
      </c>
      <c r="N1722" s="9" t="s">
        <v>84</v>
      </c>
      <c r="O1722" s="9" t="s">
        <v>51</v>
      </c>
      <c r="P1722" s="9"/>
      <c r="Q1722" s="9"/>
      <c r="R1722" s="9" t="s">
        <v>61</v>
      </c>
      <c r="S1722" s="9" t="s">
        <v>6172</v>
      </c>
      <c r="T1722" s="9" t="s">
        <v>6173</v>
      </c>
      <c r="U1722" s="9" t="s">
        <v>54</v>
      </c>
      <c r="V1722" s="9" t="s">
        <v>55</v>
      </c>
      <c r="W1722" s="9" t="s">
        <v>55</v>
      </c>
      <c r="X1722" s="12" t="s">
        <v>76</v>
      </c>
      <c r="Y1722" s="9" t="s">
        <v>77</v>
      </c>
      <c r="Z1722" s="13"/>
    </row>
    <row r="1723" spans="1:26" ht="32.25" hidden="1" customHeight="1">
      <c r="A1723" s="8">
        <v>2306029</v>
      </c>
      <c r="B1723" s="9" t="s">
        <v>6174</v>
      </c>
      <c r="C1723" s="10">
        <v>45149</v>
      </c>
      <c r="D1723" s="9" t="s">
        <v>57</v>
      </c>
      <c r="E1723" s="9" t="s">
        <v>41</v>
      </c>
      <c r="F1723" s="9" t="s">
        <v>42</v>
      </c>
      <c r="G1723" s="9" t="s">
        <v>43</v>
      </c>
      <c r="H1723" s="9" t="s">
        <v>58</v>
      </c>
      <c r="I1723" s="11" t="s">
        <v>45</v>
      </c>
      <c r="J1723" s="9" t="s">
        <v>46</v>
      </c>
      <c r="K1723" s="9" t="s">
        <v>47</v>
      </c>
      <c r="L1723" s="9" t="s">
        <v>156</v>
      </c>
      <c r="M1723" s="9"/>
      <c r="N1723" s="9" t="s">
        <v>50</v>
      </c>
      <c r="O1723" s="9" t="s">
        <v>51</v>
      </c>
      <c r="P1723" s="9"/>
      <c r="Q1723" s="9"/>
      <c r="R1723" s="9"/>
      <c r="S1723" s="14" t="s">
        <v>6175</v>
      </c>
      <c r="T1723" s="9" t="s">
        <v>6176</v>
      </c>
      <c r="U1723" s="9" t="s">
        <v>54</v>
      </c>
      <c r="V1723" s="9" t="s">
        <v>55</v>
      </c>
      <c r="W1723" s="9" t="s">
        <v>55</v>
      </c>
      <c r="X1723" s="12"/>
      <c r="Y1723" s="9" t="s">
        <v>55</v>
      </c>
      <c r="Z1723" s="13"/>
    </row>
    <row r="1724" spans="1:26" ht="32.25" hidden="1" customHeight="1">
      <c r="A1724" s="8">
        <v>2301509</v>
      </c>
      <c r="B1724" s="9" t="s">
        <v>6177</v>
      </c>
      <c r="C1724" s="10">
        <v>45149</v>
      </c>
      <c r="D1724" s="9" t="s">
        <v>57</v>
      </c>
      <c r="E1724" s="9" t="s">
        <v>143</v>
      </c>
      <c r="F1724" s="9" t="s">
        <v>42</v>
      </c>
      <c r="G1724" s="9" t="s">
        <v>43</v>
      </c>
      <c r="H1724" s="9" t="s">
        <v>58</v>
      </c>
      <c r="I1724" s="11" t="s">
        <v>144</v>
      </c>
      <c r="J1724" s="9" t="s">
        <v>145</v>
      </c>
      <c r="K1724" s="9" t="s">
        <v>47</v>
      </c>
      <c r="L1724" s="9" t="s">
        <v>156</v>
      </c>
      <c r="M1724" s="9"/>
      <c r="N1724" s="9" t="s">
        <v>50</v>
      </c>
      <c r="O1724" s="9" t="s">
        <v>51</v>
      </c>
      <c r="P1724" s="9" t="s">
        <v>147</v>
      </c>
      <c r="Q1724" s="9"/>
      <c r="R1724" s="9"/>
      <c r="S1724" s="14" t="s">
        <v>6178</v>
      </c>
      <c r="T1724" s="9" t="s">
        <v>6179</v>
      </c>
      <c r="U1724" s="9" t="s">
        <v>54</v>
      </c>
      <c r="V1724" s="9" t="s">
        <v>55</v>
      </c>
      <c r="W1724" s="9" t="s">
        <v>55</v>
      </c>
      <c r="X1724" s="12"/>
      <c r="Y1724" s="9" t="s">
        <v>55</v>
      </c>
      <c r="Z1724" s="13"/>
    </row>
    <row r="1725" spans="1:26" ht="32.25" hidden="1" customHeight="1">
      <c r="A1725" s="8">
        <v>2305794</v>
      </c>
      <c r="B1725" s="9" t="s">
        <v>6180</v>
      </c>
      <c r="C1725" s="10">
        <v>45142</v>
      </c>
      <c r="D1725" s="9" t="s">
        <v>67</v>
      </c>
      <c r="E1725" s="9" t="s">
        <v>143</v>
      </c>
      <c r="F1725" s="9" t="s">
        <v>42</v>
      </c>
      <c r="G1725" s="9" t="s">
        <v>43</v>
      </c>
      <c r="H1725" s="9" t="s">
        <v>44</v>
      </c>
      <c r="I1725" s="11" t="s">
        <v>596</v>
      </c>
      <c r="J1725" s="9" t="s">
        <v>597</v>
      </c>
      <c r="K1725" s="9" t="s">
        <v>47</v>
      </c>
      <c r="L1725" s="9" t="s">
        <v>156</v>
      </c>
      <c r="M1725" s="9"/>
      <c r="N1725" s="9" t="s">
        <v>84</v>
      </c>
      <c r="O1725" s="9" t="s">
        <v>51</v>
      </c>
      <c r="P1725" s="9"/>
      <c r="Q1725" s="9"/>
      <c r="R1725" s="9"/>
      <c r="S1725" s="9" t="s">
        <v>6181</v>
      </c>
      <c r="T1725" s="9" t="s">
        <v>6182</v>
      </c>
      <c r="U1725" s="9" t="s">
        <v>54</v>
      </c>
      <c r="V1725" s="9" t="s">
        <v>55</v>
      </c>
      <c r="W1725" s="9" t="s">
        <v>55</v>
      </c>
      <c r="X1725" s="12"/>
      <c r="Y1725" s="9" t="s">
        <v>55</v>
      </c>
      <c r="Z1725" s="13"/>
    </row>
    <row r="1726" spans="1:26" ht="32.25" hidden="1" customHeight="1">
      <c r="A1726" s="8">
        <v>2305062</v>
      </c>
      <c r="B1726" s="9" t="s">
        <v>6183</v>
      </c>
      <c r="C1726" s="10">
        <v>45156</v>
      </c>
      <c r="D1726" s="9" t="s">
        <v>79</v>
      </c>
      <c r="E1726" s="9" t="s">
        <v>143</v>
      </c>
      <c r="F1726" s="9" t="s">
        <v>80</v>
      </c>
      <c r="G1726" s="9" t="s">
        <v>43</v>
      </c>
      <c r="H1726" s="9" t="s">
        <v>44</v>
      </c>
      <c r="I1726" s="11" t="s">
        <v>725</v>
      </c>
      <c r="J1726" s="9" t="s">
        <v>145</v>
      </c>
      <c r="K1726" s="9" t="s">
        <v>47</v>
      </c>
      <c r="L1726" s="9" t="s">
        <v>598</v>
      </c>
      <c r="M1726" s="9" t="s">
        <v>6184</v>
      </c>
      <c r="N1726" s="9" t="s">
        <v>50</v>
      </c>
      <c r="O1726" s="9" t="s">
        <v>51</v>
      </c>
      <c r="P1726" s="9" t="s">
        <v>1520</v>
      </c>
      <c r="Q1726" s="9"/>
      <c r="R1726" s="9" t="s">
        <v>61</v>
      </c>
      <c r="S1726" s="14" t="s">
        <v>6185</v>
      </c>
      <c r="T1726" s="9" t="s">
        <v>6186</v>
      </c>
      <c r="U1726" s="9" t="s">
        <v>54</v>
      </c>
      <c r="V1726" s="9" t="s">
        <v>251</v>
      </c>
      <c r="W1726" s="9" t="s">
        <v>115</v>
      </c>
      <c r="X1726" s="12" t="s">
        <v>171</v>
      </c>
      <c r="Y1726" s="9" t="s">
        <v>172</v>
      </c>
      <c r="Z1726" s="13"/>
    </row>
    <row r="1727" spans="1:26" ht="32.25" hidden="1" customHeight="1">
      <c r="A1727" s="8">
        <v>2302302</v>
      </c>
      <c r="B1727" s="9" t="s">
        <v>6187</v>
      </c>
      <c r="C1727" s="10">
        <v>45149</v>
      </c>
      <c r="D1727" s="9" t="s">
        <v>57</v>
      </c>
      <c r="E1727" s="9" t="s">
        <v>41</v>
      </c>
      <c r="F1727" s="9" t="s">
        <v>42</v>
      </c>
      <c r="G1727" s="9" t="s">
        <v>43</v>
      </c>
      <c r="H1727" s="9" t="s">
        <v>58</v>
      </c>
      <c r="I1727" s="11" t="s">
        <v>45</v>
      </c>
      <c r="J1727" s="9" t="s">
        <v>46</v>
      </c>
      <c r="K1727" s="9" t="s">
        <v>47</v>
      </c>
      <c r="L1727" s="9" t="s">
        <v>156</v>
      </c>
      <c r="M1727" s="9"/>
      <c r="N1727" s="9" t="s">
        <v>84</v>
      </c>
      <c r="O1727" s="9" t="s">
        <v>51</v>
      </c>
      <c r="P1727" s="9"/>
      <c r="Q1727" s="9"/>
      <c r="R1727" s="9"/>
      <c r="S1727" s="14" t="s">
        <v>6188</v>
      </c>
      <c r="T1727" s="9" t="s">
        <v>6189</v>
      </c>
      <c r="U1727" s="9" t="s">
        <v>54</v>
      </c>
      <c r="V1727" s="9" t="s">
        <v>55</v>
      </c>
      <c r="W1727" s="9" t="s">
        <v>55</v>
      </c>
      <c r="X1727" s="12"/>
      <c r="Y1727" s="9" t="s">
        <v>55</v>
      </c>
      <c r="Z1727" s="13"/>
    </row>
    <row r="1728" spans="1:26" ht="32.25" hidden="1" customHeight="1">
      <c r="A1728" s="8">
        <v>2313200</v>
      </c>
      <c r="B1728" s="9" t="s">
        <v>6190</v>
      </c>
      <c r="C1728" s="10">
        <v>45149</v>
      </c>
      <c r="D1728" s="9" t="s">
        <v>57</v>
      </c>
      <c r="E1728" s="9" t="s">
        <v>41</v>
      </c>
      <c r="F1728" s="9" t="s">
        <v>42</v>
      </c>
      <c r="G1728" s="9" t="s">
        <v>43</v>
      </c>
      <c r="H1728" s="9" t="s">
        <v>58</v>
      </c>
      <c r="I1728" s="11" t="s">
        <v>1073</v>
      </c>
      <c r="J1728" s="9" t="s">
        <v>479</v>
      </c>
      <c r="K1728" s="9" t="s">
        <v>47</v>
      </c>
      <c r="L1728" s="9" t="s">
        <v>156</v>
      </c>
      <c r="M1728" s="9"/>
      <c r="N1728" s="9" t="s">
        <v>84</v>
      </c>
      <c r="O1728" s="9" t="s">
        <v>51</v>
      </c>
      <c r="P1728" s="9"/>
      <c r="Q1728" s="9"/>
      <c r="R1728" s="9"/>
      <c r="S1728" s="14" t="s">
        <v>6191</v>
      </c>
      <c r="T1728" s="9" t="s">
        <v>6192</v>
      </c>
      <c r="U1728" s="9" t="s">
        <v>54</v>
      </c>
      <c r="V1728" s="9" t="s">
        <v>55</v>
      </c>
      <c r="W1728" s="9" t="s">
        <v>55</v>
      </c>
      <c r="X1728" s="12"/>
      <c r="Y1728" s="9" t="s">
        <v>55</v>
      </c>
      <c r="Z1728" s="13"/>
    </row>
    <row r="1729" spans="1:26" ht="32.25" hidden="1" customHeight="1">
      <c r="A1729" s="8">
        <v>2306779</v>
      </c>
      <c r="B1729" s="9" t="s">
        <v>6193</v>
      </c>
      <c r="C1729" s="10">
        <v>45136</v>
      </c>
      <c r="D1729" s="9" t="s">
        <v>40</v>
      </c>
      <c r="E1729" s="9" t="s">
        <v>41</v>
      </c>
      <c r="F1729" s="9" t="s">
        <v>42</v>
      </c>
      <c r="G1729" s="9" t="s">
        <v>43</v>
      </c>
      <c r="H1729" s="9" t="s">
        <v>44</v>
      </c>
      <c r="I1729" s="11" t="s">
        <v>199</v>
      </c>
      <c r="J1729" s="9" t="s">
        <v>200</v>
      </c>
      <c r="K1729" s="9" t="s">
        <v>47</v>
      </c>
      <c r="L1729" s="9" t="s">
        <v>167</v>
      </c>
      <c r="M1729" s="9" t="s">
        <v>6194</v>
      </c>
      <c r="N1729" s="9" t="s">
        <v>50</v>
      </c>
      <c r="O1729" s="9" t="s">
        <v>51</v>
      </c>
      <c r="P1729" s="9"/>
      <c r="Q1729" s="9"/>
      <c r="R1729" s="9" t="s">
        <v>61</v>
      </c>
      <c r="S1729" s="9" t="s">
        <v>6195</v>
      </c>
      <c r="T1729" s="9" t="s">
        <v>6196</v>
      </c>
      <c r="U1729" s="9" t="s">
        <v>54</v>
      </c>
      <c r="V1729" s="9" t="s">
        <v>55</v>
      </c>
      <c r="W1729" s="9" t="s">
        <v>55</v>
      </c>
      <c r="X1729" s="12" t="s">
        <v>196</v>
      </c>
      <c r="Y1729" s="9" t="s">
        <v>197</v>
      </c>
      <c r="Z1729" s="13"/>
    </row>
    <row r="1730" spans="1:26" ht="32.25" hidden="1" customHeight="1">
      <c r="A1730" s="8">
        <v>2303296</v>
      </c>
      <c r="B1730" s="9" t="s">
        <v>6197</v>
      </c>
      <c r="C1730" s="10">
        <v>45142</v>
      </c>
      <c r="D1730" s="9" t="s">
        <v>67</v>
      </c>
      <c r="E1730" s="9" t="s">
        <v>143</v>
      </c>
      <c r="F1730" s="9" t="s">
        <v>42</v>
      </c>
      <c r="G1730" s="9" t="s">
        <v>43</v>
      </c>
      <c r="H1730" s="9" t="s">
        <v>44</v>
      </c>
      <c r="I1730" s="11" t="s">
        <v>144</v>
      </c>
      <c r="J1730" s="9" t="s">
        <v>145</v>
      </c>
      <c r="K1730" s="9" t="s">
        <v>47</v>
      </c>
      <c r="L1730" s="9" t="s">
        <v>156</v>
      </c>
      <c r="M1730" s="9"/>
      <c r="N1730" s="9" t="s">
        <v>50</v>
      </c>
      <c r="O1730" s="9" t="s">
        <v>51</v>
      </c>
      <c r="P1730" s="9" t="s">
        <v>147</v>
      </c>
      <c r="Q1730" s="9"/>
      <c r="R1730" s="9"/>
      <c r="S1730" s="9" t="s">
        <v>6198</v>
      </c>
      <c r="T1730" s="9" t="s">
        <v>6199</v>
      </c>
      <c r="U1730" s="9" t="s">
        <v>54</v>
      </c>
      <c r="V1730" s="9" t="s">
        <v>55</v>
      </c>
      <c r="W1730" s="9" t="s">
        <v>55</v>
      </c>
      <c r="X1730" s="12"/>
      <c r="Y1730" s="9" t="s">
        <v>55</v>
      </c>
      <c r="Z1730" s="13"/>
    </row>
    <row r="1731" spans="1:26" ht="32.25" hidden="1" customHeight="1">
      <c r="A1731" s="8">
        <v>2302421</v>
      </c>
      <c r="B1731" s="9" t="s">
        <v>6200</v>
      </c>
      <c r="C1731" s="10">
        <v>45142</v>
      </c>
      <c r="D1731" s="9" t="s">
        <v>67</v>
      </c>
      <c r="E1731" s="9" t="s">
        <v>68</v>
      </c>
      <c r="F1731" s="9" t="s">
        <v>135</v>
      </c>
      <c r="G1731" s="9" t="s">
        <v>43</v>
      </c>
      <c r="H1731" s="9" t="s">
        <v>44</v>
      </c>
      <c r="I1731" s="11" t="s">
        <v>3024</v>
      </c>
      <c r="J1731" s="9" t="s">
        <v>3025</v>
      </c>
      <c r="K1731" s="9" t="s">
        <v>47</v>
      </c>
      <c r="L1731" s="9" t="s">
        <v>156</v>
      </c>
      <c r="M1731" s="9"/>
      <c r="N1731" s="9" t="s">
        <v>50</v>
      </c>
      <c r="O1731" s="9" t="s">
        <v>51</v>
      </c>
      <c r="P1731" s="9"/>
      <c r="Q1731" s="9"/>
      <c r="R1731" s="9"/>
      <c r="S1731" s="9" t="s">
        <v>6201</v>
      </c>
      <c r="T1731" s="9" t="s">
        <v>6202</v>
      </c>
      <c r="U1731" s="9" t="s">
        <v>54</v>
      </c>
      <c r="V1731" s="9" t="s">
        <v>55</v>
      </c>
      <c r="W1731" s="9" t="s">
        <v>55</v>
      </c>
      <c r="X1731" s="12"/>
      <c r="Y1731" s="9" t="s">
        <v>55</v>
      </c>
      <c r="Z1731" s="13"/>
    </row>
    <row r="1732" spans="1:26" ht="32.25" hidden="1" customHeight="1">
      <c r="A1732" s="8">
        <v>2306172</v>
      </c>
      <c r="B1732" s="9" t="s">
        <v>6203</v>
      </c>
      <c r="C1732" s="10">
        <v>45156</v>
      </c>
      <c r="D1732" s="9" t="s">
        <v>79</v>
      </c>
      <c r="E1732" s="9" t="s">
        <v>89</v>
      </c>
      <c r="F1732" s="9" t="s">
        <v>80</v>
      </c>
      <c r="G1732" s="9" t="s">
        <v>43</v>
      </c>
      <c r="H1732" s="9" t="s">
        <v>44</v>
      </c>
      <c r="I1732" s="11" t="s">
        <v>101</v>
      </c>
      <c r="J1732" s="9" t="s">
        <v>102</v>
      </c>
      <c r="K1732" s="9" t="s">
        <v>47</v>
      </c>
      <c r="L1732" s="9" t="s">
        <v>180</v>
      </c>
      <c r="M1732" s="9" t="s">
        <v>181</v>
      </c>
      <c r="N1732" s="9" t="s">
        <v>84</v>
      </c>
      <c r="O1732" s="9" t="s">
        <v>51</v>
      </c>
      <c r="P1732" s="9" t="s">
        <v>104</v>
      </c>
      <c r="Q1732" s="9"/>
      <c r="R1732" s="9" t="s">
        <v>61</v>
      </c>
      <c r="S1732" s="14" t="s">
        <v>6204</v>
      </c>
      <c r="T1732" s="9" t="s">
        <v>6205</v>
      </c>
      <c r="U1732" s="9" t="s">
        <v>54</v>
      </c>
      <c r="V1732" s="9" t="s">
        <v>318</v>
      </c>
      <c r="W1732" s="9" t="s">
        <v>115</v>
      </c>
      <c r="X1732" s="12" t="s">
        <v>319</v>
      </c>
      <c r="Y1732" s="9" t="s">
        <v>320</v>
      </c>
      <c r="Z1732" s="13"/>
    </row>
    <row r="1733" spans="1:26" ht="32.25" hidden="1" customHeight="1">
      <c r="A1733" s="8">
        <v>2312660</v>
      </c>
      <c r="B1733" s="9" t="s">
        <v>6206</v>
      </c>
      <c r="C1733" s="10">
        <v>45156</v>
      </c>
      <c r="D1733" s="9" t="s">
        <v>79</v>
      </c>
      <c r="E1733" s="9" t="s">
        <v>41</v>
      </c>
      <c r="F1733" s="9" t="s">
        <v>80</v>
      </c>
      <c r="G1733" s="9" t="s">
        <v>43</v>
      </c>
      <c r="H1733" s="9" t="s">
        <v>44</v>
      </c>
      <c r="I1733" s="11" t="s">
        <v>233</v>
      </c>
      <c r="J1733" s="9" t="s">
        <v>200</v>
      </c>
      <c r="K1733" s="9" t="s">
        <v>47</v>
      </c>
      <c r="L1733" s="9" t="s">
        <v>3005</v>
      </c>
      <c r="M1733" s="9" t="s">
        <v>3006</v>
      </c>
      <c r="N1733" s="9" t="s">
        <v>50</v>
      </c>
      <c r="O1733" s="9" t="s">
        <v>51</v>
      </c>
      <c r="P1733" s="9" t="s">
        <v>443</v>
      </c>
      <c r="Q1733" s="9"/>
      <c r="R1733" s="9" t="s">
        <v>61</v>
      </c>
      <c r="S1733" s="14" t="s">
        <v>6207</v>
      </c>
      <c r="T1733" s="9" t="s">
        <v>6208</v>
      </c>
      <c r="U1733" s="9" t="s">
        <v>54</v>
      </c>
      <c r="V1733" s="9" t="s">
        <v>331</v>
      </c>
      <c r="W1733" s="9" t="s">
        <v>115</v>
      </c>
      <c r="X1733" s="9" t="s">
        <v>64</v>
      </c>
      <c r="Y1733" s="9" t="s">
        <v>65</v>
      </c>
      <c r="Z1733" s="13"/>
    </row>
    <row r="1734" spans="1:26" ht="32.25" hidden="1" customHeight="1">
      <c r="A1734" s="8">
        <v>2314252</v>
      </c>
      <c r="B1734" s="9" t="s">
        <v>6209</v>
      </c>
      <c r="C1734" s="10">
        <v>45156</v>
      </c>
      <c r="D1734" s="9" t="s">
        <v>79</v>
      </c>
      <c r="E1734" s="9" t="s">
        <v>89</v>
      </c>
      <c r="F1734" s="9" t="s">
        <v>80</v>
      </c>
      <c r="G1734" s="9" t="s">
        <v>43</v>
      </c>
      <c r="H1734" s="9" t="s">
        <v>44</v>
      </c>
      <c r="I1734" s="11" t="s">
        <v>101</v>
      </c>
      <c r="J1734" s="9" t="s">
        <v>102</v>
      </c>
      <c r="K1734" s="9" t="s">
        <v>47</v>
      </c>
      <c r="L1734" s="9" t="s">
        <v>799</v>
      </c>
      <c r="M1734" s="9" t="s">
        <v>1490</v>
      </c>
      <c r="N1734" s="9" t="s">
        <v>50</v>
      </c>
      <c r="O1734" s="9" t="s">
        <v>51</v>
      </c>
      <c r="P1734" s="9" t="s">
        <v>715</v>
      </c>
      <c r="Q1734" s="9"/>
      <c r="R1734" s="9" t="s">
        <v>61</v>
      </c>
      <c r="S1734" s="14" t="s">
        <v>6210</v>
      </c>
      <c r="T1734" s="9" t="s">
        <v>6211</v>
      </c>
      <c r="U1734" s="9" t="s">
        <v>54</v>
      </c>
      <c r="V1734" s="9" t="s">
        <v>55</v>
      </c>
      <c r="W1734" s="9" t="s">
        <v>115</v>
      </c>
      <c r="X1734" s="12" t="s">
        <v>98</v>
      </c>
      <c r="Y1734" s="9" t="s">
        <v>99</v>
      </c>
      <c r="Z1734" s="13"/>
    </row>
    <row r="1735" spans="1:26" ht="32.25" hidden="1" customHeight="1">
      <c r="A1735" s="8">
        <v>2312411</v>
      </c>
      <c r="B1735" s="9" t="s">
        <v>6212</v>
      </c>
      <c r="C1735" s="10">
        <v>45149</v>
      </c>
      <c r="D1735" s="9" t="s">
        <v>261</v>
      </c>
      <c r="E1735" s="9" t="s">
        <v>153</v>
      </c>
      <c r="F1735" s="9" t="s">
        <v>262</v>
      </c>
      <c r="G1735" s="9" t="s">
        <v>43</v>
      </c>
      <c r="H1735" s="9" t="s">
        <v>44</v>
      </c>
      <c r="I1735" s="11" t="s">
        <v>1136</v>
      </c>
      <c r="J1735" s="9" t="s">
        <v>1137</v>
      </c>
      <c r="K1735" s="9" t="s">
        <v>47</v>
      </c>
      <c r="L1735" s="9" t="s">
        <v>2632</v>
      </c>
      <c r="M1735" s="9" t="s">
        <v>6213</v>
      </c>
      <c r="N1735" s="9" t="s">
        <v>50</v>
      </c>
      <c r="O1735" s="9" t="s">
        <v>51</v>
      </c>
      <c r="P1735" s="9"/>
      <c r="Q1735" s="9"/>
      <c r="R1735" s="9"/>
      <c r="S1735" s="14" t="s">
        <v>6214</v>
      </c>
      <c r="T1735" s="9" t="s">
        <v>6215</v>
      </c>
      <c r="U1735" s="9" t="s">
        <v>262</v>
      </c>
      <c r="V1735" s="9" t="s">
        <v>55</v>
      </c>
      <c r="W1735" s="9" t="s">
        <v>55</v>
      </c>
      <c r="X1735" s="12"/>
      <c r="Y1735" s="9" t="s">
        <v>55</v>
      </c>
      <c r="Z1735" s="13"/>
    </row>
    <row r="1736" spans="1:26" ht="32.25" hidden="1" customHeight="1">
      <c r="A1736" s="8">
        <v>2308210</v>
      </c>
      <c r="B1736" s="9" t="s">
        <v>6216</v>
      </c>
      <c r="C1736" s="10">
        <v>45149</v>
      </c>
      <c r="D1736" s="9" t="s">
        <v>57</v>
      </c>
      <c r="E1736" s="9" t="s">
        <v>153</v>
      </c>
      <c r="F1736" s="9" t="s">
        <v>42</v>
      </c>
      <c r="G1736" s="9" t="s">
        <v>43</v>
      </c>
      <c r="H1736" s="9" t="s">
        <v>58</v>
      </c>
      <c r="I1736" s="11" t="s">
        <v>154</v>
      </c>
      <c r="J1736" s="9" t="s">
        <v>155</v>
      </c>
      <c r="K1736" s="9" t="s">
        <v>47</v>
      </c>
      <c r="L1736" s="9" t="s">
        <v>48</v>
      </c>
      <c r="M1736" s="9" t="s">
        <v>4304</v>
      </c>
      <c r="N1736" s="9" t="s">
        <v>84</v>
      </c>
      <c r="O1736" s="9" t="s">
        <v>51</v>
      </c>
      <c r="P1736" s="9"/>
      <c r="Q1736" s="9"/>
      <c r="R1736" s="9"/>
      <c r="S1736" s="14" t="s">
        <v>6217</v>
      </c>
      <c r="T1736" s="9" t="s">
        <v>6218</v>
      </c>
      <c r="U1736" s="9" t="s">
        <v>54</v>
      </c>
      <c r="V1736" s="9" t="s">
        <v>55</v>
      </c>
      <c r="W1736" s="9" t="s">
        <v>55</v>
      </c>
      <c r="X1736" s="12"/>
      <c r="Y1736" s="9" t="s">
        <v>55</v>
      </c>
      <c r="Z1736" s="13"/>
    </row>
    <row r="1737" spans="1:26" ht="32.25" hidden="1" customHeight="1">
      <c r="A1737" s="8">
        <v>2303246</v>
      </c>
      <c r="B1737" s="9" t="s">
        <v>6219</v>
      </c>
      <c r="C1737" s="10">
        <v>45142</v>
      </c>
      <c r="D1737" s="9" t="s">
        <v>67</v>
      </c>
      <c r="E1737" s="9" t="s">
        <v>68</v>
      </c>
      <c r="F1737" s="9" t="s">
        <v>42</v>
      </c>
      <c r="G1737" s="9" t="s">
        <v>43</v>
      </c>
      <c r="H1737" s="9" t="s">
        <v>44</v>
      </c>
      <c r="I1737" s="11" t="s">
        <v>69</v>
      </c>
      <c r="J1737" s="9" t="s">
        <v>70</v>
      </c>
      <c r="K1737" s="9" t="s">
        <v>47</v>
      </c>
      <c r="L1737" s="9" t="s">
        <v>156</v>
      </c>
      <c r="M1737" s="9"/>
      <c r="N1737" s="9" t="s">
        <v>50</v>
      </c>
      <c r="O1737" s="9" t="s">
        <v>51</v>
      </c>
      <c r="P1737" s="9" t="s">
        <v>73</v>
      </c>
      <c r="Q1737" s="9"/>
      <c r="R1737" s="9"/>
      <c r="S1737" s="9" t="s">
        <v>6220</v>
      </c>
      <c r="T1737" s="9" t="s">
        <v>6221</v>
      </c>
      <c r="U1737" s="9" t="s">
        <v>54</v>
      </c>
      <c r="V1737" s="9" t="s">
        <v>55</v>
      </c>
      <c r="W1737" s="9" t="s">
        <v>55</v>
      </c>
      <c r="X1737" s="12"/>
      <c r="Y1737" s="9" t="s">
        <v>55</v>
      </c>
      <c r="Z1737" s="13"/>
    </row>
    <row r="1738" spans="1:26" ht="32.25" hidden="1" customHeight="1">
      <c r="A1738" s="8">
        <v>2311214</v>
      </c>
      <c r="B1738" s="9" t="s">
        <v>6222</v>
      </c>
      <c r="C1738" s="10">
        <v>45149</v>
      </c>
      <c r="D1738" s="9" t="s">
        <v>57</v>
      </c>
      <c r="E1738" s="9" t="s">
        <v>295</v>
      </c>
      <c r="F1738" s="9" t="s">
        <v>42</v>
      </c>
      <c r="G1738" s="9" t="s">
        <v>43</v>
      </c>
      <c r="H1738" s="9" t="s">
        <v>58</v>
      </c>
      <c r="I1738" s="11" t="s">
        <v>406</v>
      </c>
      <c r="J1738" s="9" t="s">
        <v>407</v>
      </c>
      <c r="K1738" s="9" t="s">
        <v>47</v>
      </c>
      <c r="L1738" s="9" t="s">
        <v>156</v>
      </c>
      <c r="M1738" s="9"/>
      <c r="N1738" s="9" t="s">
        <v>84</v>
      </c>
      <c r="O1738" s="9" t="s">
        <v>51</v>
      </c>
      <c r="P1738" s="9"/>
      <c r="Q1738" s="9"/>
      <c r="R1738" s="9"/>
      <c r="S1738" s="14" t="s">
        <v>6223</v>
      </c>
      <c r="T1738" s="9" t="s">
        <v>6224</v>
      </c>
      <c r="U1738" s="9" t="s">
        <v>54</v>
      </c>
      <c r="V1738" s="9" t="s">
        <v>55</v>
      </c>
      <c r="W1738" s="9" t="s">
        <v>55</v>
      </c>
      <c r="X1738" s="12"/>
      <c r="Y1738" s="9" t="s">
        <v>55</v>
      </c>
      <c r="Z1738" s="13"/>
    </row>
    <row r="1739" spans="1:26" ht="32.25" hidden="1" customHeight="1">
      <c r="A1739" s="8">
        <v>2300704</v>
      </c>
      <c r="B1739" s="9" t="s">
        <v>6225</v>
      </c>
      <c r="C1739" s="10">
        <v>45149</v>
      </c>
      <c r="D1739" s="9" t="s">
        <v>57</v>
      </c>
      <c r="E1739" s="9" t="s">
        <v>153</v>
      </c>
      <c r="F1739" s="9" t="s">
        <v>42</v>
      </c>
      <c r="G1739" s="9" t="s">
        <v>43</v>
      </c>
      <c r="H1739" s="9" t="s">
        <v>58</v>
      </c>
      <c r="I1739" s="11" t="s">
        <v>154</v>
      </c>
      <c r="J1739" s="9" t="s">
        <v>155</v>
      </c>
      <c r="K1739" s="9" t="s">
        <v>47</v>
      </c>
      <c r="L1739" s="9" t="s">
        <v>48</v>
      </c>
      <c r="M1739" s="9" t="s">
        <v>1872</v>
      </c>
      <c r="N1739" s="9" t="s">
        <v>84</v>
      </c>
      <c r="O1739" s="9" t="s">
        <v>51</v>
      </c>
      <c r="P1739" s="9"/>
      <c r="Q1739" s="9"/>
      <c r="R1739" s="9"/>
      <c r="S1739" s="14" t="s">
        <v>6226</v>
      </c>
      <c r="T1739" s="9" t="s">
        <v>6227</v>
      </c>
      <c r="U1739" s="9" t="s">
        <v>54</v>
      </c>
      <c r="V1739" s="9" t="s">
        <v>55</v>
      </c>
      <c r="W1739" s="9" t="s">
        <v>55</v>
      </c>
      <c r="X1739" s="12"/>
      <c r="Y1739" s="9" t="s">
        <v>55</v>
      </c>
      <c r="Z1739" s="13"/>
    </row>
    <row r="1740" spans="1:26" ht="32.25" hidden="1" customHeight="1">
      <c r="A1740" s="8">
        <v>2314246</v>
      </c>
      <c r="B1740" s="9" t="s">
        <v>6228</v>
      </c>
      <c r="C1740" s="10">
        <v>45156</v>
      </c>
      <c r="D1740" s="9" t="s">
        <v>79</v>
      </c>
      <c r="E1740" s="9" t="s">
        <v>89</v>
      </c>
      <c r="F1740" s="9" t="s">
        <v>80</v>
      </c>
      <c r="G1740" s="9" t="s">
        <v>43</v>
      </c>
      <c r="H1740" s="9" t="s">
        <v>44</v>
      </c>
      <c r="I1740" s="11" t="s">
        <v>108</v>
      </c>
      <c r="J1740" s="9" t="s">
        <v>109</v>
      </c>
      <c r="K1740" s="9" t="s">
        <v>47</v>
      </c>
      <c r="L1740" s="9" t="s">
        <v>221</v>
      </c>
      <c r="M1740" s="9" t="s">
        <v>5274</v>
      </c>
      <c r="N1740" s="9" t="s">
        <v>50</v>
      </c>
      <c r="O1740" s="9" t="s">
        <v>51</v>
      </c>
      <c r="P1740" s="9" t="s">
        <v>112</v>
      </c>
      <c r="Q1740" s="9"/>
      <c r="R1740" s="9" t="s">
        <v>61</v>
      </c>
      <c r="S1740" s="14" t="s">
        <v>6229</v>
      </c>
      <c r="T1740" s="9" t="s">
        <v>6230</v>
      </c>
      <c r="U1740" s="9" t="s">
        <v>54</v>
      </c>
      <c r="V1740" s="9" t="s">
        <v>55</v>
      </c>
      <c r="W1740" s="9" t="s">
        <v>55</v>
      </c>
      <c r="X1740" s="12" t="s">
        <v>98</v>
      </c>
      <c r="Y1740" s="9" t="s">
        <v>99</v>
      </c>
      <c r="Z1740" s="13"/>
    </row>
    <row r="1741" spans="1:26" ht="32.25" hidden="1" customHeight="1">
      <c r="A1741" s="8">
        <v>2302174</v>
      </c>
      <c r="B1741" s="9" t="s">
        <v>6231</v>
      </c>
      <c r="C1741" s="10">
        <v>45149</v>
      </c>
      <c r="D1741" s="9" t="s">
        <v>57</v>
      </c>
      <c r="E1741" s="9" t="s">
        <v>153</v>
      </c>
      <c r="F1741" s="9" t="s">
        <v>42</v>
      </c>
      <c r="G1741" s="9" t="s">
        <v>43</v>
      </c>
      <c r="H1741" s="9" t="s">
        <v>58</v>
      </c>
      <c r="I1741" s="11" t="s">
        <v>154</v>
      </c>
      <c r="J1741" s="9" t="s">
        <v>155</v>
      </c>
      <c r="K1741" s="9" t="s">
        <v>47</v>
      </c>
      <c r="L1741" s="9" t="s">
        <v>48</v>
      </c>
      <c r="M1741" s="9" t="s">
        <v>469</v>
      </c>
      <c r="N1741" s="9" t="s">
        <v>84</v>
      </c>
      <c r="O1741" s="9" t="s">
        <v>51</v>
      </c>
      <c r="P1741" s="9"/>
      <c r="Q1741" s="9"/>
      <c r="R1741" s="9"/>
      <c r="S1741" s="14" t="s">
        <v>6232</v>
      </c>
      <c r="T1741" s="9" t="s">
        <v>6233</v>
      </c>
      <c r="U1741" s="9" t="s">
        <v>54</v>
      </c>
      <c r="V1741" s="9" t="s">
        <v>55</v>
      </c>
      <c r="W1741" s="9" t="s">
        <v>55</v>
      </c>
      <c r="X1741" s="12"/>
      <c r="Y1741" s="9" t="s">
        <v>55</v>
      </c>
      <c r="Z1741" s="13"/>
    </row>
    <row r="1742" spans="1:26" ht="32.25" hidden="1" customHeight="1">
      <c r="A1742" s="8">
        <v>2307584</v>
      </c>
      <c r="B1742" s="9" t="s">
        <v>6234</v>
      </c>
      <c r="C1742" s="10">
        <v>45156</v>
      </c>
      <c r="D1742" s="9" t="s">
        <v>79</v>
      </c>
      <c r="E1742" s="9" t="s">
        <v>143</v>
      </c>
      <c r="F1742" s="9" t="s">
        <v>80</v>
      </c>
      <c r="G1742" s="9" t="s">
        <v>43</v>
      </c>
      <c r="H1742" s="9" t="s">
        <v>44</v>
      </c>
      <c r="I1742" s="11" t="s">
        <v>725</v>
      </c>
      <c r="J1742" s="9" t="s">
        <v>145</v>
      </c>
      <c r="K1742" s="9" t="s">
        <v>47</v>
      </c>
      <c r="L1742" s="9" t="s">
        <v>340</v>
      </c>
      <c r="M1742" s="9" t="s">
        <v>1473</v>
      </c>
      <c r="N1742" s="9" t="s">
        <v>84</v>
      </c>
      <c r="O1742" s="9" t="s">
        <v>51</v>
      </c>
      <c r="P1742" s="9" t="s">
        <v>2924</v>
      </c>
      <c r="Q1742" s="9"/>
      <c r="R1742" s="9" t="s">
        <v>61</v>
      </c>
      <c r="S1742" s="14" t="s">
        <v>6235</v>
      </c>
      <c r="T1742" s="9" t="s">
        <v>6236</v>
      </c>
      <c r="U1742" s="9" t="s">
        <v>54</v>
      </c>
      <c r="V1742" s="9" t="s">
        <v>251</v>
      </c>
      <c r="W1742" s="9" t="s">
        <v>115</v>
      </c>
      <c r="X1742" s="12" t="s">
        <v>171</v>
      </c>
      <c r="Y1742" s="9" t="s">
        <v>172</v>
      </c>
      <c r="Z1742" s="13"/>
    </row>
    <row r="1743" spans="1:26" ht="32.25" hidden="1" customHeight="1">
      <c r="A1743" s="8">
        <v>2302867</v>
      </c>
      <c r="B1743" s="9" t="s">
        <v>6237</v>
      </c>
      <c r="C1743" s="10">
        <v>45149</v>
      </c>
      <c r="D1743" s="9" t="s">
        <v>57</v>
      </c>
      <c r="E1743" s="9" t="s">
        <v>41</v>
      </c>
      <c r="F1743" s="9" t="s">
        <v>42</v>
      </c>
      <c r="G1743" s="9" t="s">
        <v>43</v>
      </c>
      <c r="H1743" s="9" t="s">
        <v>58</v>
      </c>
      <c r="I1743" s="11" t="s">
        <v>1073</v>
      </c>
      <c r="J1743" s="9" t="s">
        <v>479</v>
      </c>
      <c r="K1743" s="9" t="s">
        <v>47</v>
      </c>
      <c r="L1743" s="9" t="s">
        <v>156</v>
      </c>
      <c r="M1743" s="9"/>
      <c r="N1743" s="9" t="s">
        <v>50</v>
      </c>
      <c r="O1743" s="9" t="s">
        <v>51</v>
      </c>
      <c r="P1743" s="9"/>
      <c r="Q1743" s="9"/>
      <c r="R1743" s="9"/>
      <c r="S1743" s="14" t="s">
        <v>6238</v>
      </c>
      <c r="T1743" s="9" t="s">
        <v>6239</v>
      </c>
      <c r="U1743" s="9" t="s">
        <v>54</v>
      </c>
      <c r="V1743" s="9" t="s">
        <v>55</v>
      </c>
      <c r="W1743" s="9" t="s">
        <v>55</v>
      </c>
      <c r="X1743" s="12"/>
      <c r="Y1743" s="9" t="s">
        <v>55</v>
      </c>
      <c r="Z1743" s="13"/>
    </row>
    <row r="1744" spans="1:26" ht="32.25" hidden="1" customHeight="1">
      <c r="A1744" s="8">
        <v>2304965</v>
      </c>
      <c r="B1744" s="9" t="s">
        <v>6240</v>
      </c>
      <c r="C1744" s="10">
        <v>45156</v>
      </c>
      <c r="D1744" s="9" t="s">
        <v>79</v>
      </c>
      <c r="E1744" s="9" t="s">
        <v>89</v>
      </c>
      <c r="F1744" s="9" t="s">
        <v>80</v>
      </c>
      <c r="G1744" s="9" t="s">
        <v>43</v>
      </c>
      <c r="H1744" s="9" t="s">
        <v>44</v>
      </c>
      <c r="I1744" s="11" t="s">
        <v>101</v>
      </c>
      <c r="J1744" s="9" t="s">
        <v>102</v>
      </c>
      <c r="K1744" s="9" t="s">
        <v>47</v>
      </c>
      <c r="L1744" s="9" t="s">
        <v>713</v>
      </c>
      <c r="M1744" s="9" t="s">
        <v>714</v>
      </c>
      <c r="N1744" s="9" t="s">
        <v>50</v>
      </c>
      <c r="O1744" s="9" t="s">
        <v>51</v>
      </c>
      <c r="P1744" s="9" t="s">
        <v>715</v>
      </c>
      <c r="Q1744" s="9"/>
      <c r="R1744" s="9" t="s">
        <v>61</v>
      </c>
      <c r="S1744" s="14" t="s">
        <v>6241</v>
      </c>
      <c r="T1744" s="9" t="s">
        <v>6242</v>
      </c>
      <c r="U1744" s="9" t="s">
        <v>54</v>
      </c>
      <c r="V1744" s="9" t="s">
        <v>55</v>
      </c>
      <c r="W1744" s="9" t="s">
        <v>55</v>
      </c>
      <c r="X1744" s="12" t="s">
        <v>98</v>
      </c>
      <c r="Y1744" s="9" t="s">
        <v>99</v>
      </c>
      <c r="Z1744" s="13" t="s">
        <v>6243</v>
      </c>
    </row>
    <row r="1745" spans="1:26" ht="32.25" hidden="1" customHeight="1">
      <c r="A1745" s="8">
        <v>2301622</v>
      </c>
      <c r="B1745" s="9" t="s">
        <v>6244</v>
      </c>
      <c r="C1745" s="10">
        <v>45156</v>
      </c>
      <c r="D1745" s="9" t="s">
        <v>79</v>
      </c>
      <c r="E1745" s="9" t="s">
        <v>89</v>
      </c>
      <c r="F1745" s="9" t="s">
        <v>80</v>
      </c>
      <c r="G1745" s="9" t="s">
        <v>43</v>
      </c>
      <c r="H1745" s="9" t="s">
        <v>44</v>
      </c>
      <c r="I1745" s="11" t="s">
        <v>101</v>
      </c>
      <c r="J1745" s="9" t="s">
        <v>102</v>
      </c>
      <c r="K1745" s="9" t="s">
        <v>47</v>
      </c>
      <c r="L1745" s="9" t="s">
        <v>713</v>
      </c>
      <c r="M1745" s="9" t="s">
        <v>714</v>
      </c>
      <c r="N1745" s="9" t="s">
        <v>50</v>
      </c>
      <c r="O1745" s="9" t="s">
        <v>51</v>
      </c>
      <c r="P1745" s="9" t="s">
        <v>715</v>
      </c>
      <c r="Q1745" s="9"/>
      <c r="R1745" s="9" t="s">
        <v>61</v>
      </c>
      <c r="S1745" s="14" t="s">
        <v>6245</v>
      </c>
      <c r="T1745" s="9" t="s">
        <v>6246</v>
      </c>
      <c r="U1745" s="9" t="s">
        <v>54</v>
      </c>
      <c r="V1745" s="9" t="s">
        <v>55</v>
      </c>
      <c r="W1745" s="9" t="s">
        <v>55</v>
      </c>
      <c r="X1745" s="12" t="s">
        <v>98</v>
      </c>
      <c r="Y1745" s="9" t="s">
        <v>99</v>
      </c>
      <c r="Z1745" s="13"/>
    </row>
    <row r="1746" spans="1:26" ht="32.25" hidden="1" customHeight="1">
      <c r="A1746" s="8">
        <v>2314363</v>
      </c>
      <c r="B1746" s="9" t="s">
        <v>6247</v>
      </c>
      <c r="C1746" s="10">
        <v>45156</v>
      </c>
      <c r="D1746" s="9" t="s">
        <v>79</v>
      </c>
      <c r="E1746" s="9" t="s">
        <v>41</v>
      </c>
      <c r="F1746" s="9" t="s">
        <v>80</v>
      </c>
      <c r="G1746" s="9" t="s">
        <v>43</v>
      </c>
      <c r="H1746" s="9" t="s">
        <v>44</v>
      </c>
      <c r="I1746" s="11" t="s">
        <v>233</v>
      </c>
      <c r="J1746" s="9" t="s">
        <v>200</v>
      </c>
      <c r="K1746" s="9" t="s">
        <v>47</v>
      </c>
      <c r="L1746" s="9" t="s">
        <v>1227</v>
      </c>
      <c r="M1746" s="9" t="s">
        <v>6248</v>
      </c>
      <c r="N1746" s="9" t="s">
        <v>50</v>
      </c>
      <c r="O1746" s="9" t="s">
        <v>51</v>
      </c>
      <c r="P1746" s="9" t="s">
        <v>236</v>
      </c>
      <c r="Q1746" s="9"/>
      <c r="R1746" s="9" t="s">
        <v>61</v>
      </c>
      <c r="S1746" s="14" t="s">
        <v>6249</v>
      </c>
      <c r="T1746" s="9" t="s">
        <v>6250</v>
      </c>
      <c r="U1746" s="9" t="s">
        <v>54</v>
      </c>
      <c r="V1746" s="9" t="s">
        <v>55</v>
      </c>
      <c r="W1746" s="9" t="s">
        <v>55</v>
      </c>
      <c r="X1746" s="9" t="s">
        <v>64</v>
      </c>
      <c r="Y1746" s="9" t="s">
        <v>65</v>
      </c>
      <c r="Z1746" s="13"/>
    </row>
    <row r="1747" spans="1:26" ht="32.25" hidden="1" customHeight="1">
      <c r="A1747" s="8">
        <v>2313277</v>
      </c>
      <c r="B1747" s="9" t="s">
        <v>6251</v>
      </c>
      <c r="C1747" s="10">
        <v>45156</v>
      </c>
      <c r="D1747" s="9" t="s">
        <v>79</v>
      </c>
      <c r="E1747" s="9" t="s">
        <v>89</v>
      </c>
      <c r="F1747" s="9" t="s">
        <v>80</v>
      </c>
      <c r="G1747" s="9" t="s">
        <v>43</v>
      </c>
      <c r="H1747" s="9" t="s">
        <v>44</v>
      </c>
      <c r="I1747" s="11" t="s">
        <v>90</v>
      </c>
      <c r="J1747" s="9" t="s">
        <v>91</v>
      </c>
      <c r="K1747" s="9" t="s">
        <v>47</v>
      </c>
      <c r="L1747" s="9" t="s">
        <v>4719</v>
      </c>
      <c r="M1747" s="9" t="s">
        <v>4720</v>
      </c>
      <c r="N1747" s="9" t="s">
        <v>50</v>
      </c>
      <c r="O1747" s="9" t="s">
        <v>51</v>
      </c>
      <c r="P1747" s="9" t="s">
        <v>546</v>
      </c>
      <c r="Q1747" s="9"/>
      <c r="R1747" s="9" t="s">
        <v>61</v>
      </c>
      <c r="S1747" s="14" t="s">
        <v>6252</v>
      </c>
      <c r="T1747" s="9" t="s">
        <v>6253</v>
      </c>
      <c r="U1747" s="9" t="s">
        <v>54</v>
      </c>
      <c r="V1747" s="9" t="s">
        <v>55</v>
      </c>
      <c r="W1747" s="9" t="s">
        <v>55</v>
      </c>
      <c r="X1747" s="12" t="s">
        <v>98</v>
      </c>
      <c r="Y1747" s="9" t="s">
        <v>99</v>
      </c>
      <c r="Z1747" s="13"/>
    </row>
    <row r="1748" spans="1:26" ht="32.25" hidden="1" customHeight="1">
      <c r="A1748" s="8">
        <v>2308883</v>
      </c>
      <c r="B1748" s="9" t="s">
        <v>6254</v>
      </c>
      <c r="C1748" s="10">
        <v>45156</v>
      </c>
      <c r="D1748" s="9" t="s">
        <v>79</v>
      </c>
      <c r="E1748" s="9" t="s">
        <v>143</v>
      </c>
      <c r="F1748" s="9" t="s">
        <v>80</v>
      </c>
      <c r="G1748" s="9" t="s">
        <v>43</v>
      </c>
      <c r="H1748" s="9" t="s">
        <v>44</v>
      </c>
      <c r="I1748" s="11" t="s">
        <v>326</v>
      </c>
      <c r="J1748" s="9" t="s">
        <v>327</v>
      </c>
      <c r="K1748" s="9" t="s">
        <v>416</v>
      </c>
      <c r="L1748" s="9" t="s">
        <v>290</v>
      </c>
      <c r="M1748" s="9" t="s">
        <v>999</v>
      </c>
      <c r="N1748" s="9" t="s">
        <v>50</v>
      </c>
      <c r="O1748" s="9" t="s">
        <v>51</v>
      </c>
      <c r="P1748" s="9" t="s">
        <v>1646</v>
      </c>
      <c r="Q1748" s="9"/>
      <c r="R1748" s="9"/>
      <c r="S1748" s="14" t="s">
        <v>6255</v>
      </c>
      <c r="T1748" s="9" t="s">
        <v>6256</v>
      </c>
      <c r="U1748" s="9" t="s">
        <v>54</v>
      </c>
      <c r="V1748" s="9" t="s">
        <v>55</v>
      </c>
      <c r="W1748" s="9" t="s">
        <v>115</v>
      </c>
      <c r="X1748" s="12"/>
      <c r="Y1748" s="9" t="s">
        <v>55</v>
      </c>
      <c r="Z1748" s="13"/>
    </row>
    <row r="1749" spans="1:26" ht="32.25" hidden="1" customHeight="1">
      <c r="A1749" s="8">
        <v>2302725</v>
      </c>
      <c r="B1749" s="9" t="s">
        <v>6257</v>
      </c>
      <c r="C1749" s="10">
        <v>45149</v>
      </c>
      <c r="D1749" s="9" t="s">
        <v>57</v>
      </c>
      <c r="E1749" s="9" t="s">
        <v>41</v>
      </c>
      <c r="F1749" s="9" t="s">
        <v>42</v>
      </c>
      <c r="G1749" s="9" t="s">
        <v>43</v>
      </c>
      <c r="H1749" s="9" t="s">
        <v>58</v>
      </c>
      <c r="I1749" s="11" t="s">
        <v>129</v>
      </c>
      <c r="J1749" s="9" t="s">
        <v>130</v>
      </c>
      <c r="K1749" s="9" t="s">
        <v>47</v>
      </c>
      <c r="L1749" s="9" t="s">
        <v>948</v>
      </c>
      <c r="M1749" s="9" t="s">
        <v>949</v>
      </c>
      <c r="N1749" s="9" t="s">
        <v>84</v>
      </c>
      <c r="O1749" s="9" t="s">
        <v>51</v>
      </c>
      <c r="P1749" s="9"/>
      <c r="Q1749" s="9"/>
      <c r="R1749" s="9" t="s">
        <v>61</v>
      </c>
      <c r="S1749" s="14" t="s">
        <v>6258</v>
      </c>
      <c r="T1749" s="9" t="s">
        <v>6259</v>
      </c>
      <c r="U1749" s="9" t="s">
        <v>54</v>
      </c>
      <c r="V1749" s="9" t="s">
        <v>55</v>
      </c>
      <c r="W1749" s="9" t="s">
        <v>55</v>
      </c>
      <c r="X1749" s="9" t="s">
        <v>196</v>
      </c>
      <c r="Y1749" s="9" t="s">
        <v>197</v>
      </c>
      <c r="Z1749" s="13" t="s">
        <v>230</v>
      </c>
    </row>
    <row r="1750" spans="1:26" ht="32.25" hidden="1" customHeight="1">
      <c r="A1750" s="8">
        <v>2307028</v>
      </c>
      <c r="B1750" s="9" t="s">
        <v>6260</v>
      </c>
      <c r="C1750" s="10">
        <v>45149</v>
      </c>
      <c r="D1750" s="9" t="s">
        <v>57</v>
      </c>
      <c r="E1750" s="9" t="s">
        <v>153</v>
      </c>
      <c r="F1750" s="9" t="s">
        <v>42</v>
      </c>
      <c r="G1750" s="9" t="s">
        <v>43</v>
      </c>
      <c r="H1750" s="9" t="s">
        <v>58</v>
      </c>
      <c r="I1750" s="11" t="s">
        <v>154</v>
      </c>
      <c r="J1750" s="9" t="s">
        <v>155</v>
      </c>
      <c r="K1750" s="9" t="s">
        <v>47</v>
      </c>
      <c r="L1750" s="9" t="s">
        <v>591</v>
      </c>
      <c r="M1750" s="9" t="s">
        <v>592</v>
      </c>
      <c r="N1750" s="9" t="s">
        <v>84</v>
      </c>
      <c r="O1750" s="9" t="s">
        <v>51</v>
      </c>
      <c r="P1750" s="9"/>
      <c r="Q1750" s="9"/>
      <c r="R1750" s="9"/>
      <c r="S1750" s="14" t="s">
        <v>6261</v>
      </c>
      <c r="T1750" s="9" t="s">
        <v>6262</v>
      </c>
      <c r="U1750" s="9" t="s">
        <v>54</v>
      </c>
      <c r="V1750" s="9" t="s">
        <v>55</v>
      </c>
      <c r="W1750" s="9" t="s">
        <v>55</v>
      </c>
      <c r="X1750" s="12"/>
      <c r="Y1750" s="9" t="s">
        <v>55</v>
      </c>
      <c r="Z1750" s="13"/>
    </row>
    <row r="1751" spans="1:26" ht="32.25" hidden="1" customHeight="1">
      <c r="A1751" s="8">
        <v>2304579</v>
      </c>
      <c r="B1751" s="9" t="s">
        <v>6263</v>
      </c>
      <c r="C1751" s="10">
        <v>45149</v>
      </c>
      <c r="D1751" s="9" t="s">
        <v>57</v>
      </c>
      <c r="E1751" s="9" t="s">
        <v>295</v>
      </c>
      <c r="F1751" s="9" t="s">
        <v>42</v>
      </c>
      <c r="G1751" s="9" t="s">
        <v>43</v>
      </c>
      <c r="H1751" s="9" t="s">
        <v>58</v>
      </c>
      <c r="I1751" s="11" t="s">
        <v>296</v>
      </c>
      <c r="J1751" s="9" t="s">
        <v>297</v>
      </c>
      <c r="K1751" s="9" t="s">
        <v>47</v>
      </c>
      <c r="L1751" s="9" t="s">
        <v>156</v>
      </c>
      <c r="M1751" s="9"/>
      <c r="N1751" s="9" t="s">
        <v>84</v>
      </c>
      <c r="O1751" s="9" t="s">
        <v>51</v>
      </c>
      <c r="P1751" s="9"/>
      <c r="Q1751" s="9"/>
      <c r="R1751" s="9"/>
      <c r="S1751" s="14" t="s">
        <v>6264</v>
      </c>
      <c r="T1751" s="9" t="s">
        <v>6265</v>
      </c>
      <c r="U1751" s="9" t="s">
        <v>54</v>
      </c>
      <c r="V1751" s="9" t="s">
        <v>55</v>
      </c>
      <c r="W1751" s="9" t="s">
        <v>55</v>
      </c>
      <c r="X1751" s="12"/>
      <c r="Y1751" s="9" t="s">
        <v>55</v>
      </c>
      <c r="Z1751" s="13"/>
    </row>
    <row r="1752" spans="1:26" ht="32.25" hidden="1" customHeight="1">
      <c r="A1752" s="8">
        <v>2308040</v>
      </c>
      <c r="B1752" s="9" t="s">
        <v>6266</v>
      </c>
      <c r="C1752" s="10">
        <v>45156</v>
      </c>
      <c r="D1752" s="9" t="s">
        <v>79</v>
      </c>
      <c r="E1752" s="9" t="s">
        <v>89</v>
      </c>
      <c r="F1752" s="9" t="s">
        <v>80</v>
      </c>
      <c r="G1752" s="9" t="s">
        <v>43</v>
      </c>
      <c r="H1752" s="9" t="s">
        <v>44</v>
      </c>
      <c r="I1752" s="11" t="s">
        <v>101</v>
      </c>
      <c r="J1752" s="9" t="s">
        <v>102</v>
      </c>
      <c r="K1752" s="9" t="s">
        <v>47</v>
      </c>
      <c r="L1752" s="9" t="s">
        <v>713</v>
      </c>
      <c r="M1752" s="9" t="s">
        <v>714</v>
      </c>
      <c r="N1752" s="9" t="s">
        <v>50</v>
      </c>
      <c r="O1752" s="9" t="s">
        <v>51</v>
      </c>
      <c r="P1752" s="9" t="s">
        <v>715</v>
      </c>
      <c r="Q1752" s="9"/>
      <c r="R1752" s="9"/>
      <c r="S1752" s="14" t="s">
        <v>6267</v>
      </c>
      <c r="T1752" s="9" t="s">
        <v>6268</v>
      </c>
      <c r="U1752" s="9" t="s">
        <v>54</v>
      </c>
      <c r="V1752" s="9" t="s">
        <v>55</v>
      </c>
      <c r="W1752" s="9" t="s">
        <v>55</v>
      </c>
      <c r="X1752" s="12"/>
      <c r="Y1752" s="9" t="s">
        <v>55</v>
      </c>
      <c r="Z1752" s="13"/>
    </row>
    <row r="1753" spans="1:26" ht="32.25" hidden="1" customHeight="1">
      <c r="A1753" s="8">
        <v>2307803</v>
      </c>
      <c r="B1753" s="9" t="s">
        <v>6269</v>
      </c>
      <c r="C1753" s="10">
        <v>45149</v>
      </c>
      <c r="D1753" s="9" t="s">
        <v>57</v>
      </c>
      <c r="E1753" s="9" t="s">
        <v>41</v>
      </c>
      <c r="F1753" s="9" t="s">
        <v>42</v>
      </c>
      <c r="G1753" s="9" t="s">
        <v>43</v>
      </c>
      <c r="H1753" s="9" t="s">
        <v>58</v>
      </c>
      <c r="I1753" s="11" t="s">
        <v>199</v>
      </c>
      <c r="J1753" s="9" t="s">
        <v>200</v>
      </c>
      <c r="K1753" s="9" t="s">
        <v>47</v>
      </c>
      <c r="L1753" s="9" t="s">
        <v>1227</v>
      </c>
      <c r="M1753" s="9" t="s">
        <v>1820</v>
      </c>
      <c r="N1753" s="9" t="s">
        <v>84</v>
      </c>
      <c r="O1753" s="9" t="s">
        <v>51</v>
      </c>
      <c r="P1753" s="9"/>
      <c r="Q1753" s="9"/>
      <c r="R1753" s="9" t="s">
        <v>61</v>
      </c>
      <c r="S1753" s="14" t="s">
        <v>6270</v>
      </c>
      <c r="T1753" s="9" t="s">
        <v>6271</v>
      </c>
      <c r="U1753" s="9" t="s">
        <v>54</v>
      </c>
      <c r="V1753" s="9" t="s">
        <v>55</v>
      </c>
      <c r="W1753" s="9" t="s">
        <v>55</v>
      </c>
      <c r="X1753" s="12" t="s">
        <v>196</v>
      </c>
      <c r="Y1753" s="9" t="s">
        <v>197</v>
      </c>
      <c r="Z1753" s="13"/>
    </row>
    <row r="1754" spans="1:26" ht="32.25" hidden="1" customHeight="1">
      <c r="A1754" s="8">
        <v>2313196</v>
      </c>
      <c r="B1754" s="9" t="s">
        <v>6272</v>
      </c>
      <c r="C1754" s="10">
        <v>45142</v>
      </c>
      <c r="D1754" s="9" t="s">
        <v>67</v>
      </c>
      <c r="E1754" s="9" t="s">
        <v>89</v>
      </c>
      <c r="F1754" s="9" t="s">
        <v>42</v>
      </c>
      <c r="G1754" s="9" t="s">
        <v>43</v>
      </c>
      <c r="H1754" s="9" t="s">
        <v>44</v>
      </c>
      <c r="I1754" s="11" t="s">
        <v>354</v>
      </c>
      <c r="J1754" s="9" t="s">
        <v>91</v>
      </c>
      <c r="K1754" s="9" t="s">
        <v>47</v>
      </c>
      <c r="L1754" s="9" t="s">
        <v>846</v>
      </c>
      <c r="M1754" s="9" t="s">
        <v>1535</v>
      </c>
      <c r="N1754" s="9" t="s">
        <v>50</v>
      </c>
      <c r="O1754" s="9" t="s">
        <v>51</v>
      </c>
      <c r="P1754" s="9" t="s">
        <v>356</v>
      </c>
      <c r="Q1754" s="9"/>
      <c r="R1754" s="9" t="s">
        <v>61</v>
      </c>
      <c r="S1754" s="9" t="s">
        <v>6273</v>
      </c>
      <c r="T1754" s="9" t="s">
        <v>6274</v>
      </c>
      <c r="U1754" s="9" t="s">
        <v>54</v>
      </c>
      <c r="V1754" s="9" t="s">
        <v>55</v>
      </c>
      <c r="W1754" s="9" t="s">
        <v>55</v>
      </c>
      <c r="X1754" s="12" t="s">
        <v>98</v>
      </c>
      <c r="Y1754" s="9" t="s">
        <v>99</v>
      </c>
      <c r="Z1754" s="13" t="s">
        <v>6275</v>
      </c>
    </row>
    <row r="1755" spans="1:26" ht="32.25" hidden="1" customHeight="1">
      <c r="A1755" s="8">
        <v>2302983</v>
      </c>
      <c r="B1755" s="9" t="s">
        <v>6276</v>
      </c>
      <c r="C1755" s="10">
        <v>45149</v>
      </c>
      <c r="D1755" s="9" t="s">
        <v>57</v>
      </c>
      <c r="E1755" s="9" t="s">
        <v>41</v>
      </c>
      <c r="F1755" s="9" t="s">
        <v>42</v>
      </c>
      <c r="G1755" s="9" t="s">
        <v>43</v>
      </c>
      <c r="H1755" s="9" t="s">
        <v>58</v>
      </c>
      <c r="I1755" s="11" t="s">
        <v>45</v>
      </c>
      <c r="J1755" s="9" t="s">
        <v>46</v>
      </c>
      <c r="K1755" s="9" t="s">
        <v>47</v>
      </c>
      <c r="L1755" s="9" t="s">
        <v>156</v>
      </c>
      <c r="M1755" s="9"/>
      <c r="N1755" s="9" t="s">
        <v>50</v>
      </c>
      <c r="O1755" s="9" t="s">
        <v>51</v>
      </c>
      <c r="P1755" s="9"/>
      <c r="Q1755" s="9"/>
      <c r="R1755" s="9"/>
      <c r="S1755" s="14" t="s">
        <v>6277</v>
      </c>
      <c r="T1755" s="9" t="s">
        <v>6278</v>
      </c>
      <c r="U1755" s="9" t="s">
        <v>54</v>
      </c>
      <c r="V1755" s="9" t="s">
        <v>55</v>
      </c>
      <c r="W1755" s="9" t="s">
        <v>55</v>
      </c>
      <c r="X1755" s="12"/>
      <c r="Y1755" s="9" t="s">
        <v>55</v>
      </c>
      <c r="Z1755" s="13"/>
    </row>
    <row r="1756" spans="1:26" ht="32.25" hidden="1" customHeight="1">
      <c r="A1756" s="8">
        <v>2310561</v>
      </c>
      <c r="B1756" s="9" t="s">
        <v>6279</v>
      </c>
      <c r="C1756" s="10">
        <v>45136</v>
      </c>
      <c r="D1756" s="9" t="s">
        <v>40</v>
      </c>
      <c r="E1756" s="9" t="s">
        <v>41</v>
      </c>
      <c r="F1756" s="9" t="s">
        <v>42</v>
      </c>
      <c r="G1756" s="9" t="s">
        <v>43</v>
      </c>
      <c r="H1756" s="9" t="s">
        <v>44</v>
      </c>
      <c r="I1756" s="11" t="s">
        <v>45</v>
      </c>
      <c r="J1756" s="9" t="s">
        <v>46</v>
      </c>
      <c r="K1756" s="9" t="s">
        <v>47</v>
      </c>
      <c r="L1756" s="9" t="s">
        <v>156</v>
      </c>
      <c r="M1756" s="9"/>
      <c r="N1756" s="9" t="s">
        <v>50</v>
      </c>
      <c r="O1756" s="9" t="s">
        <v>51</v>
      </c>
      <c r="P1756" s="9"/>
      <c r="Q1756" s="9"/>
      <c r="R1756" s="9"/>
      <c r="S1756" s="9" t="s">
        <v>6280</v>
      </c>
      <c r="T1756" s="9" t="s">
        <v>6281</v>
      </c>
      <c r="U1756" s="9" t="s">
        <v>54</v>
      </c>
      <c r="V1756" s="9" t="s">
        <v>55</v>
      </c>
      <c r="W1756" s="9" t="s">
        <v>55</v>
      </c>
      <c r="X1756" s="12"/>
      <c r="Y1756" s="9" t="s">
        <v>55</v>
      </c>
      <c r="Z1756" s="13"/>
    </row>
    <row r="1757" spans="1:26" ht="32.25" hidden="1" customHeight="1">
      <c r="A1757" s="8">
        <v>2307054</v>
      </c>
      <c r="B1757" s="9" t="s">
        <v>6282</v>
      </c>
      <c r="C1757" s="10">
        <v>45156</v>
      </c>
      <c r="D1757" s="9" t="s">
        <v>79</v>
      </c>
      <c r="E1757" s="9" t="s">
        <v>143</v>
      </c>
      <c r="F1757" s="9" t="s">
        <v>80</v>
      </c>
      <c r="G1757" s="9" t="s">
        <v>43</v>
      </c>
      <c r="H1757" s="9" t="s">
        <v>44</v>
      </c>
      <c r="I1757" s="11" t="s">
        <v>326</v>
      </c>
      <c r="J1757" s="9" t="s">
        <v>327</v>
      </c>
      <c r="K1757" s="9" t="s">
        <v>47</v>
      </c>
      <c r="L1757" s="9" t="s">
        <v>598</v>
      </c>
      <c r="M1757" s="9" t="s">
        <v>6283</v>
      </c>
      <c r="N1757" s="9" t="s">
        <v>84</v>
      </c>
      <c r="O1757" s="9" t="s">
        <v>51</v>
      </c>
      <c r="P1757" s="9" t="s">
        <v>1029</v>
      </c>
      <c r="Q1757" s="9"/>
      <c r="R1757" s="9" t="s">
        <v>61</v>
      </c>
      <c r="S1757" s="14" t="s">
        <v>6284</v>
      </c>
      <c r="T1757" s="9" t="s">
        <v>6285</v>
      </c>
      <c r="U1757" s="9" t="s">
        <v>54</v>
      </c>
      <c r="V1757" s="9" t="s">
        <v>370</v>
      </c>
      <c r="W1757" s="9" t="s">
        <v>115</v>
      </c>
      <c r="X1757" s="12" t="s">
        <v>150</v>
      </c>
      <c r="Y1757" s="9" t="s">
        <v>151</v>
      </c>
      <c r="Z1757" s="13"/>
    </row>
    <row r="1758" spans="1:26" ht="32.25" hidden="1" customHeight="1">
      <c r="A1758" s="8">
        <v>2309682</v>
      </c>
      <c r="B1758" s="9" t="s">
        <v>6286</v>
      </c>
      <c r="C1758" s="10">
        <v>45142</v>
      </c>
      <c r="D1758" s="9" t="s">
        <v>67</v>
      </c>
      <c r="E1758" s="9" t="s">
        <v>143</v>
      </c>
      <c r="F1758" s="9" t="s">
        <v>42</v>
      </c>
      <c r="G1758" s="9" t="s">
        <v>43</v>
      </c>
      <c r="H1758" s="9" t="s">
        <v>44</v>
      </c>
      <c r="I1758" s="11" t="s">
        <v>596</v>
      </c>
      <c r="J1758" s="9" t="s">
        <v>597</v>
      </c>
      <c r="K1758" s="9" t="s">
        <v>47</v>
      </c>
      <c r="L1758" s="9" t="s">
        <v>138</v>
      </c>
      <c r="M1758" s="9" t="s">
        <v>2607</v>
      </c>
      <c r="N1758" s="9" t="s">
        <v>84</v>
      </c>
      <c r="O1758" s="9" t="s">
        <v>51</v>
      </c>
      <c r="P1758" s="9"/>
      <c r="Q1758" s="9"/>
      <c r="R1758" s="9" t="s">
        <v>61</v>
      </c>
      <c r="S1758" s="9" t="s">
        <v>6287</v>
      </c>
      <c r="T1758" s="9" t="s">
        <v>6288</v>
      </c>
      <c r="U1758" s="9" t="s">
        <v>54</v>
      </c>
      <c r="V1758" s="9" t="s">
        <v>55</v>
      </c>
      <c r="W1758" s="9" t="s">
        <v>55</v>
      </c>
      <c r="X1758" s="12" t="s">
        <v>171</v>
      </c>
      <c r="Y1758" s="9" t="s">
        <v>172</v>
      </c>
      <c r="Z1758" s="13"/>
    </row>
    <row r="1759" spans="1:26" ht="32.25" hidden="1" customHeight="1">
      <c r="A1759" s="8">
        <v>2306412</v>
      </c>
      <c r="B1759" s="9" t="s">
        <v>6289</v>
      </c>
      <c r="C1759" s="10">
        <v>45142</v>
      </c>
      <c r="D1759" s="9" t="s">
        <v>67</v>
      </c>
      <c r="E1759" s="9" t="s">
        <v>143</v>
      </c>
      <c r="F1759" s="9" t="s">
        <v>42</v>
      </c>
      <c r="G1759" s="9" t="s">
        <v>43</v>
      </c>
      <c r="H1759" s="9" t="s">
        <v>44</v>
      </c>
      <c r="I1759" s="11" t="s">
        <v>460</v>
      </c>
      <c r="J1759" s="9" t="s">
        <v>400</v>
      </c>
      <c r="K1759" s="9" t="s">
        <v>47</v>
      </c>
      <c r="L1759" s="9" t="s">
        <v>48</v>
      </c>
      <c r="M1759" s="9" t="s">
        <v>49</v>
      </c>
      <c r="N1759" s="9" t="s">
        <v>84</v>
      </c>
      <c r="O1759" s="9" t="s">
        <v>51</v>
      </c>
      <c r="P1759" s="9"/>
      <c r="Q1759" s="9"/>
      <c r="R1759" s="9"/>
      <c r="S1759" s="9" t="s">
        <v>6290</v>
      </c>
      <c r="T1759" s="9" t="s">
        <v>6291</v>
      </c>
      <c r="U1759" s="9" t="s">
        <v>54</v>
      </c>
      <c r="V1759" s="9" t="s">
        <v>55</v>
      </c>
      <c r="W1759" s="9" t="s">
        <v>55</v>
      </c>
      <c r="X1759" s="12"/>
      <c r="Y1759" s="9" t="s">
        <v>55</v>
      </c>
      <c r="Z1759" s="13"/>
    </row>
    <row r="1760" spans="1:26" ht="32.25" hidden="1" customHeight="1">
      <c r="A1760" s="8">
        <v>2315489</v>
      </c>
      <c r="B1760" s="9" t="s">
        <v>6289</v>
      </c>
      <c r="C1760" s="10">
        <v>45149</v>
      </c>
      <c r="D1760" s="9" t="s">
        <v>57</v>
      </c>
      <c r="E1760" s="9" t="s">
        <v>41</v>
      </c>
      <c r="F1760" s="9" t="s">
        <v>42</v>
      </c>
      <c r="G1760" s="9" t="s">
        <v>43</v>
      </c>
      <c r="H1760" s="9" t="s">
        <v>58</v>
      </c>
      <c r="I1760" s="11" t="s">
        <v>661</v>
      </c>
      <c r="J1760" s="9" t="s">
        <v>662</v>
      </c>
      <c r="K1760" s="9" t="s">
        <v>47</v>
      </c>
      <c r="L1760" s="9" t="s">
        <v>48</v>
      </c>
      <c r="M1760" s="9" t="s">
        <v>49</v>
      </c>
      <c r="N1760" s="9" t="s">
        <v>84</v>
      </c>
      <c r="O1760" s="9" t="s">
        <v>51</v>
      </c>
      <c r="P1760" s="9"/>
      <c r="Q1760" s="9"/>
      <c r="R1760" s="9"/>
      <c r="S1760" s="14" t="s">
        <v>6290</v>
      </c>
      <c r="T1760" s="9" t="s">
        <v>6291</v>
      </c>
      <c r="U1760" s="9" t="s">
        <v>54</v>
      </c>
      <c r="V1760" s="9" t="s">
        <v>55</v>
      </c>
      <c r="W1760" s="9" t="s">
        <v>55</v>
      </c>
      <c r="X1760" s="12"/>
      <c r="Y1760" s="9" t="s">
        <v>55</v>
      </c>
      <c r="Z1760" s="13"/>
    </row>
    <row r="1761" spans="1:26" ht="32.25" hidden="1" customHeight="1">
      <c r="A1761" s="8">
        <v>2306861</v>
      </c>
      <c r="B1761" s="9" t="s">
        <v>6292</v>
      </c>
      <c r="C1761" s="10">
        <v>45156</v>
      </c>
      <c r="D1761" s="9" t="s">
        <v>79</v>
      </c>
      <c r="E1761" s="9" t="s">
        <v>89</v>
      </c>
      <c r="F1761" s="9" t="s">
        <v>80</v>
      </c>
      <c r="G1761" s="9" t="s">
        <v>43</v>
      </c>
      <c r="H1761" s="9" t="s">
        <v>44</v>
      </c>
      <c r="I1761" s="11" t="s">
        <v>90</v>
      </c>
      <c r="J1761" s="9" t="s">
        <v>91</v>
      </c>
      <c r="K1761" s="9" t="s">
        <v>47</v>
      </c>
      <c r="L1761" s="9" t="s">
        <v>437</v>
      </c>
      <c r="M1761" s="9" t="s">
        <v>1707</v>
      </c>
      <c r="N1761" s="9" t="s">
        <v>50</v>
      </c>
      <c r="O1761" s="9" t="s">
        <v>51</v>
      </c>
      <c r="P1761" s="9" t="s">
        <v>546</v>
      </c>
      <c r="Q1761" s="9"/>
      <c r="R1761" s="9" t="s">
        <v>61</v>
      </c>
      <c r="S1761" s="14" t="s">
        <v>6293</v>
      </c>
      <c r="T1761" s="9" t="s">
        <v>6294</v>
      </c>
      <c r="U1761" s="9" t="s">
        <v>54</v>
      </c>
      <c r="V1761" s="9" t="s">
        <v>711</v>
      </c>
      <c r="W1761" s="9" t="s">
        <v>115</v>
      </c>
      <c r="X1761" s="12" t="s">
        <v>98</v>
      </c>
      <c r="Y1761" s="9" t="s">
        <v>99</v>
      </c>
      <c r="Z1761" s="13"/>
    </row>
    <row r="1762" spans="1:26" ht="32.25" hidden="1" customHeight="1">
      <c r="A1762" s="8">
        <v>2302630</v>
      </c>
      <c r="B1762" s="9" t="s">
        <v>6295</v>
      </c>
      <c r="C1762" s="10">
        <v>45156</v>
      </c>
      <c r="D1762" s="9" t="s">
        <v>79</v>
      </c>
      <c r="E1762" s="9" t="s">
        <v>41</v>
      </c>
      <c r="F1762" s="9" t="s">
        <v>80</v>
      </c>
      <c r="G1762" s="9" t="s">
        <v>43</v>
      </c>
      <c r="H1762" s="9" t="s">
        <v>44</v>
      </c>
      <c r="I1762" s="11" t="s">
        <v>478</v>
      </c>
      <c r="J1762" s="9" t="s">
        <v>479</v>
      </c>
      <c r="K1762" s="9" t="s">
        <v>47</v>
      </c>
      <c r="L1762" s="9" t="s">
        <v>48</v>
      </c>
      <c r="M1762" s="9" t="s">
        <v>726</v>
      </c>
      <c r="N1762" s="9" t="s">
        <v>50</v>
      </c>
      <c r="O1762" s="9" t="s">
        <v>51</v>
      </c>
      <c r="P1762" s="9" t="s">
        <v>482</v>
      </c>
      <c r="Q1762" s="9"/>
      <c r="R1762" s="9"/>
      <c r="S1762" s="14" t="s">
        <v>6296</v>
      </c>
      <c r="T1762" s="9" t="s">
        <v>6297</v>
      </c>
      <c r="U1762" s="9" t="s">
        <v>54</v>
      </c>
      <c r="V1762" s="9"/>
      <c r="W1762" s="9" t="s">
        <v>115</v>
      </c>
      <c r="X1762" s="12"/>
      <c r="Y1762" s="9" t="s">
        <v>55</v>
      </c>
      <c r="Z1762" s="13"/>
    </row>
    <row r="1763" spans="1:26" ht="32.25" hidden="1" customHeight="1">
      <c r="A1763" s="8">
        <v>2308802</v>
      </c>
      <c r="B1763" s="9" t="s">
        <v>6298</v>
      </c>
      <c r="C1763" s="10">
        <v>45142</v>
      </c>
      <c r="D1763" s="9" t="s">
        <v>67</v>
      </c>
      <c r="E1763" s="9" t="s">
        <v>41</v>
      </c>
      <c r="F1763" s="9" t="s">
        <v>42</v>
      </c>
      <c r="G1763" s="9" t="s">
        <v>43</v>
      </c>
      <c r="H1763" s="9" t="s">
        <v>44</v>
      </c>
      <c r="I1763" s="11" t="s">
        <v>661</v>
      </c>
      <c r="J1763" s="9" t="s">
        <v>662</v>
      </c>
      <c r="K1763" s="9" t="s">
        <v>47</v>
      </c>
      <c r="L1763" s="9" t="s">
        <v>1839</v>
      </c>
      <c r="M1763" s="9" t="s">
        <v>4893</v>
      </c>
      <c r="N1763" s="9" t="s">
        <v>84</v>
      </c>
      <c r="O1763" s="9" t="s">
        <v>51</v>
      </c>
      <c r="P1763" s="9"/>
      <c r="Q1763" s="9"/>
      <c r="R1763" s="9" t="s">
        <v>61</v>
      </c>
      <c r="S1763" s="9" t="s">
        <v>6299</v>
      </c>
      <c r="T1763" s="9" t="s">
        <v>6300</v>
      </c>
      <c r="U1763" s="9" t="s">
        <v>54</v>
      </c>
      <c r="V1763" s="9" t="s">
        <v>55</v>
      </c>
      <c r="W1763" s="9" t="s">
        <v>55</v>
      </c>
      <c r="X1763" s="9" t="s">
        <v>98</v>
      </c>
      <c r="Y1763" s="9" t="s">
        <v>99</v>
      </c>
      <c r="Z1763" s="13" t="s">
        <v>240</v>
      </c>
    </row>
    <row r="1764" spans="1:26" ht="32.25" hidden="1" customHeight="1">
      <c r="A1764" s="8">
        <v>2304318</v>
      </c>
      <c r="B1764" s="9" t="s">
        <v>6301</v>
      </c>
      <c r="C1764" s="10">
        <v>45156</v>
      </c>
      <c r="D1764" s="9" t="s">
        <v>79</v>
      </c>
      <c r="E1764" s="9" t="s">
        <v>89</v>
      </c>
      <c r="F1764" s="9" t="s">
        <v>80</v>
      </c>
      <c r="G1764" s="9" t="s">
        <v>43</v>
      </c>
      <c r="H1764" s="9" t="s">
        <v>44</v>
      </c>
      <c r="I1764" s="11" t="s">
        <v>101</v>
      </c>
      <c r="J1764" s="9" t="s">
        <v>102</v>
      </c>
      <c r="K1764" s="9" t="s">
        <v>47</v>
      </c>
      <c r="L1764" s="9" t="s">
        <v>162</v>
      </c>
      <c r="M1764" s="9" t="s">
        <v>163</v>
      </c>
      <c r="N1764" s="9" t="s">
        <v>50</v>
      </c>
      <c r="O1764" s="9" t="s">
        <v>51</v>
      </c>
      <c r="P1764" s="9" t="s">
        <v>447</v>
      </c>
      <c r="Q1764" s="9"/>
      <c r="R1764" s="9" t="s">
        <v>61</v>
      </c>
      <c r="S1764" s="14" t="s">
        <v>6302</v>
      </c>
      <c r="T1764" s="9" t="s">
        <v>6303</v>
      </c>
      <c r="U1764" s="9" t="s">
        <v>54</v>
      </c>
      <c r="V1764" s="9" t="s">
        <v>55</v>
      </c>
      <c r="W1764" s="9" t="s">
        <v>55</v>
      </c>
      <c r="X1764" s="12" t="s">
        <v>98</v>
      </c>
      <c r="Y1764" s="9" t="s">
        <v>99</v>
      </c>
      <c r="Z1764" s="13"/>
    </row>
    <row r="1765" spans="1:26" ht="32.25" hidden="1" customHeight="1">
      <c r="A1765" s="8">
        <v>2302004</v>
      </c>
      <c r="B1765" s="9" t="s">
        <v>6304</v>
      </c>
      <c r="C1765" s="10">
        <v>45156</v>
      </c>
      <c r="D1765" s="9" t="s">
        <v>79</v>
      </c>
      <c r="E1765" s="9" t="s">
        <v>143</v>
      </c>
      <c r="F1765" s="9" t="s">
        <v>80</v>
      </c>
      <c r="G1765" s="9" t="s">
        <v>43</v>
      </c>
      <c r="H1765" s="9" t="s">
        <v>44</v>
      </c>
      <c r="I1765" s="11" t="s">
        <v>326</v>
      </c>
      <c r="J1765" s="9" t="s">
        <v>327</v>
      </c>
      <c r="K1765" s="9" t="s">
        <v>47</v>
      </c>
      <c r="L1765" s="9" t="s">
        <v>1056</v>
      </c>
      <c r="M1765" s="9" t="s">
        <v>6305</v>
      </c>
      <c r="N1765" s="9" t="s">
        <v>84</v>
      </c>
      <c r="O1765" s="9" t="s">
        <v>51</v>
      </c>
      <c r="P1765" s="9" t="s">
        <v>1117</v>
      </c>
      <c r="Q1765" s="9"/>
      <c r="R1765" s="9" t="s">
        <v>61</v>
      </c>
      <c r="S1765" s="14" t="s">
        <v>6306</v>
      </c>
      <c r="T1765" s="9" t="s">
        <v>6307</v>
      </c>
      <c r="U1765" s="9" t="s">
        <v>54</v>
      </c>
      <c r="V1765" s="9" t="s">
        <v>251</v>
      </c>
      <c r="W1765" s="9" t="s">
        <v>115</v>
      </c>
      <c r="X1765" s="12" t="s">
        <v>389</v>
      </c>
      <c r="Y1765" s="9" t="s">
        <v>390</v>
      </c>
      <c r="Z1765" s="13" t="s">
        <v>1399</v>
      </c>
    </row>
    <row r="1766" spans="1:26" ht="32.25" hidden="1" customHeight="1">
      <c r="A1766" s="8">
        <v>2300745</v>
      </c>
      <c r="B1766" s="9" t="s">
        <v>6308</v>
      </c>
      <c r="C1766" s="10">
        <v>45142</v>
      </c>
      <c r="D1766" s="9" t="s">
        <v>67</v>
      </c>
      <c r="E1766" s="9" t="s">
        <v>68</v>
      </c>
      <c r="F1766" s="9" t="s">
        <v>135</v>
      </c>
      <c r="G1766" s="9" t="s">
        <v>43</v>
      </c>
      <c r="H1766" s="9" t="s">
        <v>44</v>
      </c>
      <c r="I1766" s="11" t="s">
        <v>136</v>
      </c>
      <c r="J1766" s="9" t="s">
        <v>137</v>
      </c>
      <c r="K1766" s="9" t="s">
        <v>416</v>
      </c>
      <c r="L1766" s="9" t="s">
        <v>3041</v>
      </c>
      <c r="M1766" s="9" t="s">
        <v>3042</v>
      </c>
      <c r="N1766" s="9" t="s">
        <v>50</v>
      </c>
      <c r="O1766" s="9" t="s">
        <v>51</v>
      </c>
      <c r="P1766" s="9"/>
      <c r="Q1766" s="9"/>
      <c r="R1766" s="9" t="s">
        <v>61</v>
      </c>
      <c r="S1766" s="9" t="s">
        <v>6309</v>
      </c>
      <c r="T1766" s="9" t="s">
        <v>6310</v>
      </c>
      <c r="U1766" s="9" t="s">
        <v>54</v>
      </c>
      <c r="V1766" s="9" t="s">
        <v>55</v>
      </c>
      <c r="W1766" s="9" t="s">
        <v>55</v>
      </c>
      <c r="X1766" s="12" t="s">
        <v>76</v>
      </c>
      <c r="Y1766" s="9" t="s">
        <v>77</v>
      </c>
      <c r="Z1766" s="13"/>
    </row>
    <row r="1767" spans="1:26" ht="32.25" hidden="1" customHeight="1">
      <c r="A1767" s="8">
        <v>2306136</v>
      </c>
      <c r="B1767" s="9" t="s">
        <v>6311</v>
      </c>
      <c r="C1767" s="10">
        <v>45149</v>
      </c>
      <c r="D1767" s="9" t="s">
        <v>57</v>
      </c>
      <c r="E1767" s="9" t="s">
        <v>41</v>
      </c>
      <c r="F1767" s="9" t="s">
        <v>42</v>
      </c>
      <c r="G1767" s="9" t="s">
        <v>43</v>
      </c>
      <c r="H1767" s="9" t="s">
        <v>58</v>
      </c>
      <c r="I1767" s="11" t="s">
        <v>45</v>
      </c>
      <c r="J1767" s="9" t="s">
        <v>46</v>
      </c>
      <c r="K1767" s="9" t="s">
        <v>47</v>
      </c>
      <c r="L1767" s="9" t="s">
        <v>3911</v>
      </c>
      <c r="M1767" s="9" t="s">
        <v>3912</v>
      </c>
      <c r="N1767" s="9" t="s">
        <v>50</v>
      </c>
      <c r="O1767" s="9" t="s">
        <v>51</v>
      </c>
      <c r="P1767" s="9"/>
      <c r="Q1767" s="9"/>
      <c r="R1767" s="9" t="s">
        <v>61</v>
      </c>
      <c r="S1767" s="14" t="s">
        <v>6312</v>
      </c>
      <c r="T1767" s="9" t="s">
        <v>6313</v>
      </c>
      <c r="U1767" s="9" t="s">
        <v>54</v>
      </c>
      <c r="V1767" s="9" t="s">
        <v>55</v>
      </c>
      <c r="W1767" s="9" t="s">
        <v>55</v>
      </c>
      <c r="X1767" s="9" t="s">
        <v>64</v>
      </c>
      <c r="Y1767" s="9" t="s">
        <v>65</v>
      </c>
      <c r="Z1767" s="13"/>
    </row>
    <row r="1768" spans="1:26" ht="32.25" hidden="1" customHeight="1">
      <c r="A1768" s="8">
        <v>2302715</v>
      </c>
      <c r="B1768" s="9" t="s">
        <v>6314</v>
      </c>
      <c r="C1768" s="10">
        <v>45149</v>
      </c>
      <c r="D1768" s="9" t="s">
        <v>57</v>
      </c>
      <c r="E1768" s="9" t="s">
        <v>41</v>
      </c>
      <c r="F1768" s="9" t="s">
        <v>42</v>
      </c>
      <c r="G1768" s="9" t="s">
        <v>43</v>
      </c>
      <c r="H1768" s="9" t="s">
        <v>58</v>
      </c>
      <c r="I1768" s="11" t="s">
        <v>45</v>
      </c>
      <c r="J1768" s="9" t="s">
        <v>46</v>
      </c>
      <c r="K1768" s="9" t="s">
        <v>47</v>
      </c>
      <c r="L1768" s="9" t="s">
        <v>156</v>
      </c>
      <c r="M1768" s="9"/>
      <c r="N1768" s="9" t="s">
        <v>50</v>
      </c>
      <c r="O1768" s="9" t="s">
        <v>51</v>
      </c>
      <c r="P1768" s="9"/>
      <c r="Q1768" s="9"/>
      <c r="R1768" s="9"/>
      <c r="S1768" s="14" t="s">
        <v>6315</v>
      </c>
      <c r="T1768" s="9" t="s">
        <v>6316</v>
      </c>
      <c r="U1768" s="9" t="s">
        <v>54</v>
      </c>
      <c r="V1768" s="9" t="s">
        <v>55</v>
      </c>
      <c r="W1768" s="9" t="s">
        <v>55</v>
      </c>
      <c r="X1768" s="12"/>
      <c r="Y1768" s="9" t="s">
        <v>55</v>
      </c>
      <c r="Z1768" s="13"/>
    </row>
    <row r="1769" spans="1:26" ht="32.25" hidden="1" customHeight="1">
      <c r="A1769" s="8">
        <v>2313151</v>
      </c>
      <c r="B1769" s="9" t="s">
        <v>6317</v>
      </c>
      <c r="C1769" s="10">
        <v>45156</v>
      </c>
      <c r="D1769" s="9" t="s">
        <v>79</v>
      </c>
      <c r="E1769" s="9" t="s">
        <v>143</v>
      </c>
      <c r="F1769" s="9" t="s">
        <v>80</v>
      </c>
      <c r="G1769" s="9" t="s">
        <v>43</v>
      </c>
      <c r="H1769" s="9" t="s">
        <v>44</v>
      </c>
      <c r="I1769" s="11" t="s">
        <v>326</v>
      </c>
      <c r="J1769" s="9" t="s">
        <v>327</v>
      </c>
      <c r="K1769" s="9" t="s">
        <v>47</v>
      </c>
      <c r="L1769" s="9" t="s">
        <v>156</v>
      </c>
      <c r="M1769" s="9"/>
      <c r="N1769" s="9" t="s">
        <v>84</v>
      </c>
      <c r="O1769" s="9" t="s">
        <v>51</v>
      </c>
      <c r="P1769" s="9" t="s">
        <v>1143</v>
      </c>
      <c r="Q1769" s="9"/>
      <c r="R1769" s="9"/>
      <c r="S1769" s="14" t="s">
        <v>6318</v>
      </c>
      <c r="T1769" s="9" t="s">
        <v>6319</v>
      </c>
      <c r="U1769" s="9" t="s">
        <v>54</v>
      </c>
      <c r="V1769" s="9"/>
      <c r="W1769" s="9" t="s">
        <v>115</v>
      </c>
      <c r="X1769" s="12"/>
      <c r="Y1769" s="9" t="s">
        <v>55</v>
      </c>
      <c r="Z1769" s="13"/>
    </row>
    <row r="1770" spans="1:26" ht="32.25" hidden="1" customHeight="1">
      <c r="A1770" s="8">
        <v>2311798</v>
      </c>
      <c r="B1770" s="9" t="s">
        <v>6320</v>
      </c>
      <c r="C1770" s="10">
        <v>45156</v>
      </c>
      <c r="D1770" s="9" t="s">
        <v>79</v>
      </c>
      <c r="E1770" s="9" t="s">
        <v>89</v>
      </c>
      <c r="F1770" s="9" t="s">
        <v>80</v>
      </c>
      <c r="G1770" s="9" t="s">
        <v>43</v>
      </c>
      <c r="H1770" s="9" t="s">
        <v>44</v>
      </c>
      <c r="I1770" s="11" t="s">
        <v>90</v>
      </c>
      <c r="J1770" s="9" t="s">
        <v>91</v>
      </c>
      <c r="K1770" s="9" t="s">
        <v>47</v>
      </c>
      <c r="L1770" s="9" t="s">
        <v>598</v>
      </c>
      <c r="M1770" s="9" t="s">
        <v>599</v>
      </c>
      <c r="N1770" s="9" t="s">
        <v>84</v>
      </c>
      <c r="O1770" s="9" t="s">
        <v>51</v>
      </c>
      <c r="P1770" s="9" t="s">
        <v>176</v>
      </c>
      <c r="Q1770" s="9"/>
      <c r="R1770" s="9"/>
      <c r="S1770" s="14" t="s">
        <v>6321</v>
      </c>
      <c r="T1770" s="9" t="s">
        <v>6322</v>
      </c>
      <c r="U1770" s="9" t="s">
        <v>54</v>
      </c>
      <c r="V1770" s="9" t="s">
        <v>55</v>
      </c>
      <c r="W1770" s="9" t="s">
        <v>55</v>
      </c>
      <c r="X1770" s="12"/>
      <c r="Y1770" s="9" t="s">
        <v>55</v>
      </c>
      <c r="Z1770" s="13"/>
    </row>
    <row r="1771" spans="1:26" ht="32.25" hidden="1" customHeight="1">
      <c r="A1771" s="8">
        <v>2301774</v>
      </c>
      <c r="B1771" s="9" t="s">
        <v>6323</v>
      </c>
      <c r="C1771" s="10">
        <v>45156</v>
      </c>
      <c r="D1771" s="9" t="s">
        <v>79</v>
      </c>
      <c r="E1771" s="9" t="s">
        <v>41</v>
      </c>
      <c r="F1771" s="9" t="s">
        <v>80</v>
      </c>
      <c r="G1771" s="9" t="s">
        <v>43</v>
      </c>
      <c r="H1771" s="9" t="s">
        <v>44</v>
      </c>
      <c r="I1771" s="11" t="s">
        <v>478</v>
      </c>
      <c r="J1771" s="9" t="s">
        <v>479</v>
      </c>
      <c r="K1771" s="9" t="s">
        <v>47</v>
      </c>
      <c r="L1771" s="9" t="s">
        <v>156</v>
      </c>
      <c r="M1771" s="9"/>
      <c r="N1771" s="9" t="s">
        <v>50</v>
      </c>
      <c r="O1771" s="9" t="s">
        <v>51</v>
      </c>
      <c r="P1771" s="9" t="s">
        <v>1414</v>
      </c>
      <c r="Q1771" s="9"/>
      <c r="R1771" s="9"/>
      <c r="S1771" s="14" t="s">
        <v>6324</v>
      </c>
      <c r="T1771" s="9" t="s">
        <v>6325</v>
      </c>
      <c r="U1771" s="9" t="s">
        <v>54</v>
      </c>
      <c r="V1771" s="9"/>
      <c r="W1771" s="9" t="s">
        <v>115</v>
      </c>
      <c r="X1771" s="12"/>
      <c r="Y1771" s="9" t="s">
        <v>55</v>
      </c>
      <c r="Z1771" s="13"/>
    </row>
    <row r="1772" spans="1:26" ht="32.25" hidden="1" customHeight="1">
      <c r="A1772" s="8">
        <v>2304928</v>
      </c>
      <c r="B1772" s="9" t="s">
        <v>6326</v>
      </c>
      <c r="C1772" s="10">
        <v>45142</v>
      </c>
      <c r="D1772" s="9" t="s">
        <v>67</v>
      </c>
      <c r="E1772" s="9" t="s">
        <v>89</v>
      </c>
      <c r="F1772" s="9" t="s">
        <v>42</v>
      </c>
      <c r="G1772" s="9" t="s">
        <v>43</v>
      </c>
      <c r="H1772" s="9" t="s">
        <v>44</v>
      </c>
      <c r="I1772" s="11" t="s">
        <v>360</v>
      </c>
      <c r="J1772" s="9" t="s">
        <v>102</v>
      </c>
      <c r="K1772" s="9" t="s">
        <v>47</v>
      </c>
      <c r="L1772" s="9" t="s">
        <v>180</v>
      </c>
      <c r="M1772" s="9" t="s">
        <v>6327</v>
      </c>
      <c r="N1772" s="9" t="s">
        <v>84</v>
      </c>
      <c r="O1772" s="9" t="s">
        <v>51</v>
      </c>
      <c r="P1772" s="9" t="s">
        <v>361</v>
      </c>
      <c r="Q1772" s="9"/>
      <c r="R1772" s="9"/>
      <c r="S1772" s="9" t="s">
        <v>6328</v>
      </c>
      <c r="T1772" s="9" t="s">
        <v>6329</v>
      </c>
      <c r="U1772" s="9" t="s">
        <v>54</v>
      </c>
      <c r="V1772" s="9" t="s">
        <v>55</v>
      </c>
      <c r="W1772" s="9" t="s">
        <v>55</v>
      </c>
      <c r="X1772" s="12"/>
      <c r="Y1772" s="9" t="s">
        <v>55</v>
      </c>
      <c r="Z1772" s="13"/>
    </row>
    <row r="1773" spans="1:26" ht="32.25" hidden="1" customHeight="1">
      <c r="A1773" s="8">
        <v>2305395</v>
      </c>
      <c r="B1773" s="9" t="s">
        <v>6330</v>
      </c>
      <c r="C1773" s="10">
        <v>45136</v>
      </c>
      <c r="D1773" s="9" t="s">
        <v>40</v>
      </c>
      <c r="E1773" s="9" t="s">
        <v>41</v>
      </c>
      <c r="F1773" s="9" t="s">
        <v>42</v>
      </c>
      <c r="G1773" s="9" t="s">
        <v>43</v>
      </c>
      <c r="H1773" s="9" t="s">
        <v>44</v>
      </c>
      <c r="I1773" s="11" t="s">
        <v>661</v>
      </c>
      <c r="J1773" s="9" t="s">
        <v>662</v>
      </c>
      <c r="K1773" s="9" t="s">
        <v>47</v>
      </c>
      <c r="L1773" s="9" t="s">
        <v>1542</v>
      </c>
      <c r="M1773" s="9" t="s">
        <v>3414</v>
      </c>
      <c r="N1773" s="9" t="s">
        <v>50</v>
      </c>
      <c r="O1773" s="9" t="s">
        <v>51</v>
      </c>
      <c r="P1773" s="9"/>
      <c r="Q1773" s="9"/>
      <c r="R1773" s="9" t="s">
        <v>61</v>
      </c>
      <c r="S1773" s="9" t="s">
        <v>6331</v>
      </c>
      <c r="T1773" s="9" t="s">
        <v>6332</v>
      </c>
      <c r="U1773" s="9" t="s">
        <v>54</v>
      </c>
      <c r="V1773" s="9" t="s">
        <v>55</v>
      </c>
      <c r="W1773" s="9" t="s">
        <v>55</v>
      </c>
      <c r="X1773" s="9" t="s">
        <v>64</v>
      </c>
      <c r="Y1773" s="9" t="s">
        <v>65</v>
      </c>
      <c r="Z1773" s="13"/>
    </row>
    <row r="1774" spans="1:26" ht="32.25" hidden="1" customHeight="1">
      <c r="A1774" s="8">
        <v>2302767</v>
      </c>
      <c r="B1774" s="9" t="s">
        <v>6333</v>
      </c>
      <c r="C1774" s="10">
        <v>45156</v>
      </c>
      <c r="D1774" s="9" t="s">
        <v>79</v>
      </c>
      <c r="E1774" s="9" t="s">
        <v>295</v>
      </c>
      <c r="F1774" s="9" t="s">
        <v>80</v>
      </c>
      <c r="G1774" s="9" t="s">
        <v>43</v>
      </c>
      <c r="H1774" s="9" t="s">
        <v>44</v>
      </c>
      <c r="I1774" s="11" t="s">
        <v>1600</v>
      </c>
      <c r="J1774" s="9" t="s">
        <v>407</v>
      </c>
      <c r="K1774" s="9" t="s">
        <v>47</v>
      </c>
      <c r="L1774" s="9" t="s">
        <v>1673</v>
      </c>
      <c r="M1774" s="9" t="s">
        <v>2607</v>
      </c>
      <c r="N1774" s="9" t="s">
        <v>50</v>
      </c>
      <c r="O1774" s="9" t="s">
        <v>51</v>
      </c>
      <c r="P1774" s="9" t="s">
        <v>2906</v>
      </c>
      <c r="Q1774" s="9"/>
      <c r="R1774" s="9"/>
      <c r="S1774" s="14" t="s">
        <v>6334</v>
      </c>
      <c r="T1774" s="9" t="s">
        <v>6335</v>
      </c>
      <c r="U1774" s="9" t="s">
        <v>54</v>
      </c>
      <c r="V1774" s="9" t="s">
        <v>318</v>
      </c>
      <c r="W1774" s="9" t="s">
        <v>115</v>
      </c>
      <c r="X1774" s="12"/>
      <c r="Y1774" s="9" t="s">
        <v>55</v>
      </c>
      <c r="Z1774" s="13"/>
    </row>
    <row r="1775" spans="1:26" ht="32.25" hidden="1" customHeight="1">
      <c r="A1775" s="8">
        <v>2301101</v>
      </c>
      <c r="B1775" s="9" t="s">
        <v>6336</v>
      </c>
      <c r="C1775" s="10">
        <v>45136</v>
      </c>
      <c r="D1775" s="9" t="s">
        <v>40</v>
      </c>
      <c r="E1775" s="9" t="s">
        <v>143</v>
      </c>
      <c r="F1775" s="9" t="s">
        <v>42</v>
      </c>
      <c r="G1775" s="9" t="s">
        <v>43</v>
      </c>
      <c r="H1775" s="9" t="s">
        <v>44</v>
      </c>
      <c r="I1775" s="11" t="s">
        <v>144</v>
      </c>
      <c r="J1775" s="9" t="s">
        <v>145</v>
      </c>
      <c r="K1775" s="9" t="s">
        <v>47</v>
      </c>
      <c r="L1775" s="9" t="s">
        <v>1992</v>
      </c>
      <c r="M1775" s="9" t="s">
        <v>6337</v>
      </c>
      <c r="N1775" s="9" t="s">
        <v>50</v>
      </c>
      <c r="O1775" s="9" t="s">
        <v>51</v>
      </c>
      <c r="P1775" s="9" t="s">
        <v>147</v>
      </c>
      <c r="Q1775" s="9"/>
      <c r="R1775" s="9" t="s">
        <v>61</v>
      </c>
      <c r="S1775" s="9" t="s">
        <v>6338</v>
      </c>
      <c r="T1775" s="9" t="s">
        <v>6339</v>
      </c>
      <c r="U1775" s="9" t="s">
        <v>54</v>
      </c>
      <c r="V1775" s="9" t="s">
        <v>55</v>
      </c>
      <c r="W1775" s="9" t="s">
        <v>55</v>
      </c>
      <c r="X1775" s="12" t="s">
        <v>150</v>
      </c>
      <c r="Y1775" s="9" t="s">
        <v>151</v>
      </c>
      <c r="Z1775" s="13"/>
    </row>
    <row r="1776" spans="1:26" ht="32.25" hidden="1" customHeight="1">
      <c r="A1776" s="8">
        <v>2305060</v>
      </c>
      <c r="B1776" s="9" t="s">
        <v>6340</v>
      </c>
      <c r="C1776" s="10">
        <v>45156</v>
      </c>
      <c r="D1776" s="9" t="s">
        <v>79</v>
      </c>
      <c r="E1776" s="9" t="s">
        <v>143</v>
      </c>
      <c r="F1776" s="9" t="s">
        <v>80</v>
      </c>
      <c r="G1776" s="9" t="s">
        <v>43</v>
      </c>
      <c r="H1776" s="9" t="s">
        <v>44</v>
      </c>
      <c r="I1776" s="11" t="s">
        <v>725</v>
      </c>
      <c r="J1776" s="9" t="s">
        <v>145</v>
      </c>
      <c r="K1776" s="9" t="s">
        <v>47</v>
      </c>
      <c r="L1776" s="9" t="s">
        <v>713</v>
      </c>
      <c r="M1776" s="9" t="s">
        <v>6341</v>
      </c>
      <c r="N1776" s="9" t="s">
        <v>50</v>
      </c>
      <c r="O1776" s="9" t="s">
        <v>51</v>
      </c>
      <c r="P1776" s="9" t="s">
        <v>727</v>
      </c>
      <c r="Q1776" s="9"/>
      <c r="R1776" s="9" t="s">
        <v>61</v>
      </c>
      <c r="S1776" s="14" t="s">
        <v>6342</v>
      </c>
      <c r="T1776" s="9" t="s">
        <v>6343</v>
      </c>
      <c r="U1776" s="9" t="s">
        <v>54</v>
      </c>
      <c r="V1776" s="9" t="s">
        <v>251</v>
      </c>
      <c r="W1776" s="9" t="s">
        <v>115</v>
      </c>
      <c r="X1776" s="12" t="s">
        <v>171</v>
      </c>
      <c r="Y1776" s="9" t="s">
        <v>172</v>
      </c>
      <c r="Z1776" s="13"/>
    </row>
    <row r="1777" spans="1:26" ht="32.25" hidden="1" customHeight="1">
      <c r="A1777" s="8">
        <v>2310452</v>
      </c>
      <c r="B1777" s="9" t="s">
        <v>6344</v>
      </c>
      <c r="C1777" s="10">
        <v>45156</v>
      </c>
      <c r="D1777" s="9" t="s">
        <v>79</v>
      </c>
      <c r="E1777" s="9" t="s">
        <v>89</v>
      </c>
      <c r="F1777" s="9" t="s">
        <v>80</v>
      </c>
      <c r="G1777" s="9" t="s">
        <v>43</v>
      </c>
      <c r="H1777" s="9" t="s">
        <v>44</v>
      </c>
      <c r="I1777" s="11" t="s">
        <v>101</v>
      </c>
      <c r="J1777" s="9" t="s">
        <v>102</v>
      </c>
      <c r="K1777" s="9" t="s">
        <v>92</v>
      </c>
      <c r="L1777" s="9"/>
      <c r="M1777" s="9"/>
      <c r="N1777" s="9" t="s">
        <v>50</v>
      </c>
      <c r="O1777" s="9" t="s">
        <v>51</v>
      </c>
      <c r="P1777" s="9" t="s">
        <v>125</v>
      </c>
      <c r="Q1777" s="9"/>
      <c r="R1777" s="9" t="s">
        <v>61</v>
      </c>
      <c r="S1777" s="14" t="s">
        <v>6345</v>
      </c>
      <c r="T1777" s="9" t="s">
        <v>6346</v>
      </c>
      <c r="U1777" s="9" t="s">
        <v>54</v>
      </c>
      <c r="V1777" s="9" t="s">
        <v>55</v>
      </c>
      <c r="W1777" s="9" t="s">
        <v>115</v>
      </c>
      <c r="X1777" s="12" t="s">
        <v>98</v>
      </c>
      <c r="Y1777" s="9" t="s">
        <v>99</v>
      </c>
      <c r="Z1777" s="13"/>
    </row>
    <row r="1778" spans="1:26" ht="32.25" hidden="1" customHeight="1">
      <c r="A1778" s="8">
        <v>2314634</v>
      </c>
      <c r="B1778" s="9" t="s">
        <v>6347</v>
      </c>
      <c r="C1778" s="10">
        <v>45156</v>
      </c>
      <c r="D1778" s="9" t="s">
        <v>79</v>
      </c>
      <c r="E1778" s="9" t="s">
        <v>68</v>
      </c>
      <c r="F1778" s="9" t="s">
        <v>80</v>
      </c>
      <c r="G1778" s="9" t="s">
        <v>43</v>
      </c>
      <c r="H1778" s="9" t="s">
        <v>44</v>
      </c>
      <c r="I1778" s="11" t="s">
        <v>696</v>
      </c>
      <c r="J1778" s="9" t="s">
        <v>70</v>
      </c>
      <c r="K1778" s="9" t="s">
        <v>92</v>
      </c>
      <c r="L1778" s="9"/>
      <c r="M1778" s="9" t="s">
        <v>6348</v>
      </c>
      <c r="N1778" s="9" t="s">
        <v>50</v>
      </c>
      <c r="O1778" s="9" t="s">
        <v>51</v>
      </c>
      <c r="P1778" s="9" t="s">
        <v>1841</v>
      </c>
      <c r="Q1778" s="9"/>
      <c r="R1778" s="9" t="s">
        <v>61</v>
      </c>
      <c r="S1778" s="14" t="s">
        <v>1403</v>
      </c>
      <c r="T1778" s="9" t="s">
        <v>1404</v>
      </c>
      <c r="U1778" s="9" t="s">
        <v>54</v>
      </c>
      <c r="V1778" s="9" t="s">
        <v>55</v>
      </c>
      <c r="W1778" s="9" t="s">
        <v>55</v>
      </c>
      <c r="X1778" s="12" t="s">
        <v>196</v>
      </c>
      <c r="Y1778" s="9" t="s">
        <v>197</v>
      </c>
      <c r="Z1778" s="13"/>
    </row>
    <row r="1779" spans="1:26" ht="32.25" hidden="1" customHeight="1">
      <c r="A1779" s="8">
        <v>2302402</v>
      </c>
      <c r="B1779" s="9" t="s">
        <v>6349</v>
      </c>
      <c r="C1779" s="10">
        <v>45149</v>
      </c>
      <c r="D1779" s="9" t="s">
        <v>57</v>
      </c>
      <c r="E1779" s="9" t="s">
        <v>41</v>
      </c>
      <c r="F1779" s="9" t="s">
        <v>42</v>
      </c>
      <c r="G1779" s="9" t="s">
        <v>43</v>
      </c>
      <c r="H1779" s="9" t="s">
        <v>58</v>
      </c>
      <c r="I1779" s="11" t="s">
        <v>45</v>
      </c>
      <c r="J1779" s="9" t="s">
        <v>46</v>
      </c>
      <c r="K1779" s="9" t="s">
        <v>47</v>
      </c>
      <c r="L1779" s="9" t="s">
        <v>156</v>
      </c>
      <c r="M1779" s="9"/>
      <c r="N1779" s="9" t="s">
        <v>50</v>
      </c>
      <c r="O1779" s="9" t="s">
        <v>51</v>
      </c>
      <c r="P1779" s="9"/>
      <c r="Q1779" s="9"/>
      <c r="R1779" s="9"/>
      <c r="S1779" s="14" t="s">
        <v>6350</v>
      </c>
      <c r="T1779" s="9" t="s">
        <v>6351</v>
      </c>
      <c r="U1779" s="9" t="s">
        <v>54</v>
      </c>
      <c r="V1779" s="9" t="s">
        <v>55</v>
      </c>
      <c r="W1779" s="9" t="s">
        <v>55</v>
      </c>
      <c r="X1779" s="12"/>
      <c r="Y1779" s="9" t="s">
        <v>55</v>
      </c>
      <c r="Z1779" s="13"/>
    </row>
    <row r="1780" spans="1:26" ht="32.25" hidden="1" customHeight="1">
      <c r="A1780" s="8">
        <v>2304129</v>
      </c>
      <c r="B1780" s="9" t="s">
        <v>6352</v>
      </c>
      <c r="C1780" s="10">
        <v>45149</v>
      </c>
      <c r="D1780" s="9" t="s">
        <v>57</v>
      </c>
      <c r="E1780" s="9" t="s">
        <v>41</v>
      </c>
      <c r="F1780" s="9" t="s">
        <v>42</v>
      </c>
      <c r="G1780" s="9" t="s">
        <v>43</v>
      </c>
      <c r="H1780" s="9" t="s">
        <v>58</v>
      </c>
      <c r="I1780" s="11" t="s">
        <v>45</v>
      </c>
      <c r="J1780" s="9" t="s">
        <v>46</v>
      </c>
      <c r="K1780" s="9" t="s">
        <v>47</v>
      </c>
      <c r="L1780" s="9" t="s">
        <v>156</v>
      </c>
      <c r="M1780" s="9"/>
      <c r="N1780" s="9" t="s">
        <v>50</v>
      </c>
      <c r="O1780" s="9" t="s">
        <v>51</v>
      </c>
      <c r="P1780" s="9"/>
      <c r="Q1780" s="9"/>
      <c r="R1780" s="9"/>
      <c r="S1780" s="14" t="s">
        <v>6353</v>
      </c>
      <c r="T1780" s="9" t="s">
        <v>6354</v>
      </c>
      <c r="U1780" s="9" t="s">
        <v>54</v>
      </c>
      <c r="V1780" s="9" t="s">
        <v>55</v>
      </c>
      <c r="W1780" s="9" t="s">
        <v>55</v>
      </c>
      <c r="X1780" s="12"/>
      <c r="Y1780" s="9" t="s">
        <v>55</v>
      </c>
      <c r="Z1780" s="13"/>
    </row>
    <row r="1781" spans="1:26" ht="32.25" hidden="1" customHeight="1">
      <c r="A1781" s="8">
        <v>2306209</v>
      </c>
      <c r="B1781" s="9" t="s">
        <v>6355</v>
      </c>
      <c r="C1781" s="10">
        <v>45156</v>
      </c>
      <c r="D1781" s="9" t="s">
        <v>79</v>
      </c>
      <c r="E1781" s="9" t="s">
        <v>68</v>
      </c>
      <c r="F1781" s="9" t="s">
        <v>80</v>
      </c>
      <c r="G1781" s="9" t="s">
        <v>43</v>
      </c>
      <c r="H1781" s="9" t="s">
        <v>44</v>
      </c>
      <c r="I1781" s="11" t="s">
        <v>90</v>
      </c>
      <c r="J1781" s="9" t="s">
        <v>91</v>
      </c>
      <c r="K1781" s="9" t="s">
        <v>47</v>
      </c>
      <c r="L1781" s="9" t="s">
        <v>156</v>
      </c>
      <c r="M1781" s="9"/>
      <c r="N1781" s="9" t="s">
        <v>50</v>
      </c>
      <c r="O1781" s="9" t="s">
        <v>51</v>
      </c>
      <c r="P1781" s="9" t="s">
        <v>929</v>
      </c>
      <c r="Q1781" s="9"/>
      <c r="R1781" s="9"/>
      <c r="S1781" s="14" t="s">
        <v>6356</v>
      </c>
      <c r="T1781" s="9" t="s">
        <v>6357</v>
      </c>
      <c r="U1781" s="9" t="s">
        <v>54</v>
      </c>
      <c r="V1781" s="9" t="s">
        <v>55</v>
      </c>
      <c r="W1781" s="9" t="s">
        <v>55</v>
      </c>
      <c r="X1781" s="12"/>
      <c r="Y1781" s="9" t="s">
        <v>55</v>
      </c>
      <c r="Z1781" s="13"/>
    </row>
    <row r="1782" spans="1:26" ht="32.25" hidden="1" customHeight="1">
      <c r="A1782" s="8">
        <v>2303181</v>
      </c>
      <c r="B1782" s="9" t="s">
        <v>6358</v>
      </c>
      <c r="C1782" s="10">
        <v>45149</v>
      </c>
      <c r="D1782" s="9" t="s">
        <v>57</v>
      </c>
      <c r="E1782" s="9" t="s">
        <v>295</v>
      </c>
      <c r="F1782" s="9" t="s">
        <v>42</v>
      </c>
      <c r="G1782" s="9" t="s">
        <v>43</v>
      </c>
      <c r="H1782" s="9" t="s">
        <v>58</v>
      </c>
      <c r="I1782" s="11" t="s">
        <v>406</v>
      </c>
      <c r="J1782" s="9" t="s">
        <v>407</v>
      </c>
      <c r="K1782" s="9" t="s">
        <v>47</v>
      </c>
      <c r="L1782" s="9" t="s">
        <v>156</v>
      </c>
      <c r="M1782" s="9"/>
      <c r="N1782" s="9" t="s">
        <v>84</v>
      </c>
      <c r="O1782" s="9" t="s">
        <v>51</v>
      </c>
      <c r="P1782" s="9"/>
      <c r="Q1782" s="9"/>
      <c r="R1782" s="9"/>
      <c r="S1782" s="14" t="s">
        <v>6359</v>
      </c>
      <c r="T1782" s="9" t="s">
        <v>6360</v>
      </c>
      <c r="U1782" s="9" t="s">
        <v>54</v>
      </c>
      <c r="V1782" s="9" t="s">
        <v>55</v>
      </c>
      <c r="W1782" s="9" t="s">
        <v>55</v>
      </c>
      <c r="X1782" s="12"/>
      <c r="Y1782" s="9" t="s">
        <v>55</v>
      </c>
      <c r="Z1782" s="13"/>
    </row>
    <row r="1783" spans="1:26" ht="32.25" hidden="1" customHeight="1">
      <c r="A1783" s="8">
        <v>2305900</v>
      </c>
      <c r="B1783" s="9" t="s">
        <v>6361</v>
      </c>
      <c r="C1783" s="10">
        <v>45142</v>
      </c>
      <c r="D1783" s="9" t="s">
        <v>67</v>
      </c>
      <c r="E1783" s="9" t="s">
        <v>143</v>
      </c>
      <c r="F1783" s="9" t="s">
        <v>42</v>
      </c>
      <c r="G1783" s="9" t="s">
        <v>43</v>
      </c>
      <c r="H1783" s="9" t="s">
        <v>44</v>
      </c>
      <c r="I1783" s="11" t="s">
        <v>144</v>
      </c>
      <c r="J1783" s="9" t="s">
        <v>145</v>
      </c>
      <c r="K1783" s="9" t="s">
        <v>47</v>
      </c>
      <c r="L1783" s="9" t="s">
        <v>451</v>
      </c>
      <c r="M1783" s="9" t="s">
        <v>452</v>
      </c>
      <c r="N1783" s="9" t="s">
        <v>50</v>
      </c>
      <c r="O1783" s="9" t="s">
        <v>51</v>
      </c>
      <c r="P1783" s="9" t="s">
        <v>147</v>
      </c>
      <c r="Q1783" s="9"/>
      <c r="R1783" s="9" t="s">
        <v>61</v>
      </c>
      <c r="S1783" s="9" t="s">
        <v>6362</v>
      </c>
      <c r="T1783" s="9" t="s">
        <v>6363</v>
      </c>
      <c r="U1783" s="9" t="s">
        <v>54</v>
      </c>
      <c r="V1783" s="9" t="s">
        <v>55</v>
      </c>
      <c r="W1783" s="9" t="s">
        <v>55</v>
      </c>
      <c r="X1783" s="12" t="s">
        <v>150</v>
      </c>
      <c r="Y1783" s="9" t="s">
        <v>151</v>
      </c>
      <c r="Z1783" s="13"/>
    </row>
    <row r="1784" spans="1:26" ht="32.25" hidden="1" customHeight="1">
      <c r="A1784" s="8">
        <v>2305343</v>
      </c>
      <c r="B1784" s="9" t="s">
        <v>6364</v>
      </c>
      <c r="C1784" s="10">
        <v>45156</v>
      </c>
      <c r="D1784" s="9" t="s">
        <v>565</v>
      </c>
      <c r="E1784" s="9" t="s">
        <v>41</v>
      </c>
      <c r="F1784" s="9" t="s">
        <v>42</v>
      </c>
      <c r="G1784" s="9" t="s">
        <v>43</v>
      </c>
      <c r="H1784" s="9" t="s">
        <v>58</v>
      </c>
      <c r="I1784" s="11" t="s">
        <v>129</v>
      </c>
      <c r="J1784" s="9" t="s">
        <v>130</v>
      </c>
      <c r="K1784" s="9" t="s">
        <v>47</v>
      </c>
      <c r="L1784" s="9" t="s">
        <v>598</v>
      </c>
      <c r="M1784" s="9" t="s">
        <v>599</v>
      </c>
      <c r="N1784" s="9" t="s">
        <v>84</v>
      </c>
      <c r="O1784" s="9" t="s">
        <v>51</v>
      </c>
      <c r="P1784" s="9"/>
      <c r="Q1784" s="9"/>
      <c r="R1784" s="9"/>
      <c r="S1784" s="14" t="s">
        <v>6365</v>
      </c>
      <c r="T1784" s="9" t="s">
        <v>6366</v>
      </c>
      <c r="U1784" s="9" t="s">
        <v>54</v>
      </c>
      <c r="V1784" s="9" t="s">
        <v>55</v>
      </c>
      <c r="W1784" s="9" t="s">
        <v>55</v>
      </c>
      <c r="X1784" s="12"/>
      <c r="Y1784" s="9" t="s">
        <v>55</v>
      </c>
      <c r="Z1784" s="13"/>
    </row>
    <row r="1785" spans="1:26" ht="32.25" hidden="1" customHeight="1">
      <c r="A1785" s="8">
        <v>2310760</v>
      </c>
      <c r="B1785" s="9" t="s">
        <v>6367</v>
      </c>
      <c r="C1785" s="10">
        <v>45142</v>
      </c>
      <c r="D1785" s="9" t="s">
        <v>67</v>
      </c>
      <c r="E1785" s="9" t="s">
        <v>41</v>
      </c>
      <c r="F1785" s="9" t="s">
        <v>42</v>
      </c>
      <c r="G1785" s="9" t="s">
        <v>43</v>
      </c>
      <c r="H1785" s="9" t="s">
        <v>44</v>
      </c>
      <c r="I1785" s="11" t="s">
        <v>661</v>
      </c>
      <c r="J1785" s="9" t="s">
        <v>662</v>
      </c>
      <c r="K1785" s="9" t="s">
        <v>47</v>
      </c>
      <c r="L1785" s="9" t="s">
        <v>437</v>
      </c>
      <c r="M1785" s="9" t="s">
        <v>1006</v>
      </c>
      <c r="N1785" s="9" t="s">
        <v>50</v>
      </c>
      <c r="O1785" s="9" t="s">
        <v>51</v>
      </c>
      <c r="P1785" s="9"/>
      <c r="Q1785" s="9"/>
      <c r="R1785" s="9" t="s">
        <v>61</v>
      </c>
      <c r="S1785" s="9" t="s">
        <v>6368</v>
      </c>
      <c r="T1785" s="9" t="s">
        <v>6369</v>
      </c>
      <c r="U1785" s="9" t="s">
        <v>54</v>
      </c>
      <c r="V1785" s="9" t="s">
        <v>55</v>
      </c>
      <c r="W1785" s="9" t="s">
        <v>55</v>
      </c>
      <c r="X1785" s="9" t="s">
        <v>64</v>
      </c>
      <c r="Y1785" s="9" t="s">
        <v>65</v>
      </c>
      <c r="Z1785" s="13"/>
    </row>
    <row r="1786" spans="1:26" ht="32.25" hidden="1" customHeight="1">
      <c r="A1786" s="8">
        <v>2303127</v>
      </c>
      <c r="B1786" s="9" t="s">
        <v>6370</v>
      </c>
      <c r="C1786" s="10">
        <v>45156</v>
      </c>
      <c r="D1786" s="9" t="s">
        <v>79</v>
      </c>
      <c r="E1786" s="9" t="s">
        <v>41</v>
      </c>
      <c r="F1786" s="9" t="s">
        <v>80</v>
      </c>
      <c r="G1786" s="9" t="s">
        <v>43</v>
      </c>
      <c r="H1786" s="9" t="s">
        <v>44</v>
      </c>
      <c r="I1786" s="11" t="s">
        <v>478</v>
      </c>
      <c r="J1786" s="9" t="s">
        <v>479</v>
      </c>
      <c r="K1786" s="9" t="s">
        <v>47</v>
      </c>
      <c r="L1786" s="9" t="s">
        <v>156</v>
      </c>
      <c r="M1786" s="9"/>
      <c r="N1786" s="9" t="s">
        <v>50</v>
      </c>
      <c r="O1786" s="9" t="s">
        <v>51</v>
      </c>
      <c r="P1786" s="9" t="s">
        <v>1414</v>
      </c>
      <c r="Q1786" s="9"/>
      <c r="R1786" s="9"/>
      <c r="S1786" s="14" t="s">
        <v>6371</v>
      </c>
      <c r="T1786" s="9" t="s">
        <v>6372</v>
      </c>
      <c r="U1786" s="9" t="s">
        <v>54</v>
      </c>
      <c r="V1786" s="9"/>
      <c r="W1786" s="9" t="s">
        <v>115</v>
      </c>
      <c r="X1786" s="12"/>
      <c r="Y1786" s="9" t="s">
        <v>55</v>
      </c>
      <c r="Z1786" s="13"/>
    </row>
    <row r="1787" spans="1:26" ht="32.25" hidden="1" customHeight="1">
      <c r="A1787" s="8">
        <v>2302219</v>
      </c>
      <c r="B1787" s="9" t="s">
        <v>6373</v>
      </c>
      <c r="C1787" s="10">
        <v>45149</v>
      </c>
      <c r="D1787" s="9" t="s">
        <v>57</v>
      </c>
      <c r="E1787" s="9" t="s">
        <v>41</v>
      </c>
      <c r="F1787" s="9" t="s">
        <v>42</v>
      </c>
      <c r="G1787" s="9" t="s">
        <v>43</v>
      </c>
      <c r="H1787" s="9" t="s">
        <v>58</v>
      </c>
      <c r="I1787" s="11" t="s">
        <v>661</v>
      </c>
      <c r="J1787" s="9" t="s">
        <v>662</v>
      </c>
      <c r="K1787" s="9" t="s">
        <v>47</v>
      </c>
      <c r="L1787" s="9" t="s">
        <v>156</v>
      </c>
      <c r="M1787" s="9"/>
      <c r="N1787" s="9" t="s">
        <v>84</v>
      </c>
      <c r="O1787" s="9" t="s">
        <v>51</v>
      </c>
      <c r="P1787" s="9"/>
      <c r="Q1787" s="9"/>
      <c r="R1787" s="9"/>
      <c r="S1787" s="14" t="s">
        <v>6374</v>
      </c>
      <c r="T1787" s="9" t="s">
        <v>6375</v>
      </c>
      <c r="U1787" s="9" t="s">
        <v>54</v>
      </c>
      <c r="V1787" s="9" t="s">
        <v>55</v>
      </c>
      <c r="W1787" s="9" t="s">
        <v>55</v>
      </c>
      <c r="X1787" s="12"/>
      <c r="Y1787" s="9" t="s">
        <v>55</v>
      </c>
      <c r="Z1787" s="13"/>
    </row>
    <row r="1788" spans="1:26" ht="32.25" hidden="1" customHeight="1">
      <c r="A1788" s="8">
        <v>2310208</v>
      </c>
      <c r="B1788" s="9" t="s">
        <v>6376</v>
      </c>
      <c r="C1788" s="10">
        <v>45142</v>
      </c>
      <c r="D1788" s="9" t="s">
        <v>67</v>
      </c>
      <c r="E1788" s="9" t="s">
        <v>89</v>
      </c>
      <c r="F1788" s="9" t="s">
        <v>42</v>
      </c>
      <c r="G1788" s="9" t="s">
        <v>43</v>
      </c>
      <c r="H1788" s="9" t="s">
        <v>44</v>
      </c>
      <c r="I1788" s="11" t="s">
        <v>354</v>
      </c>
      <c r="J1788" s="9" t="s">
        <v>91</v>
      </c>
      <c r="K1788" s="9" t="s">
        <v>47</v>
      </c>
      <c r="L1788" s="9" t="s">
        <v>1760</v>
      </c>
      <c r="M1788" s="9" t="s">
        <v>6377</v>
      </c>
      <c r="N1788" s="9" t="s">
        <v>50</v>
      </c>
      <c r="O1788" s="9" t="s">
        <v>51</v>
      </c>
      <c r="P1788" s="9" t="s">
        <v>356</v>
      </c>
      <c r="Q1788" s="9"/>
      <c r="R1788" s="9" t="s">
        <v>61</v>
      </c>
      <c r="S1788" s="9" t="s">
        <v>6378</v>
      </c>
      <c r="T1788" s="9" t="s">
        <v>6379</v>
      </c>
      <c r="U1788" s="9" t="s">
        <v>54</v>
      </c>
      <c r="V1788" s="9" t="s">
        <v>55</v>
      </c>
      <c r="W1788" s="9" t="s">
        <v>55</v>
      </c>
      <c r="X1788" s="12" t="s">
        <v>98</v>
      </c>
      <c r="Y1788" s="9" t="s">
        <v>99</v>
      </c>
      <c r="Z1788" s="13"/>
    </row>
    <row r="1789" spans="1:26" ht="32.25" hidden="1" customHeight="1">
      <c r="A1789" s="8">
        <v>2310419</v>
      </c>
      <c r="B1789" s="9" t="s">
        <v>6380</v>
      </c>
      <c r="C1789" s="10">
        <v>45149</v>
      </c>
      <c r="D1789" s="9" t="s">
        <v>57</v>
      </c>
      <c r="E1789" s="9" t="s">
        <v>41</v>
      </c>
      <c r="F1789" s="9" t="s">
        <v>42</v>
      </c>
      <c r="G1789" s="9" t="s">
        <v>43</v>
      </c>
      <c r="H1789" s="9" t="s">
        <v>58</v>
      </c>
      <c r="I1789" s="11" t="s">
        <v>45</v>
      </c>
      <c r="J1789" s="9" t="s">
        <v>46</v>
      </c>
      <c r="K1789" s="9" t="s">
        <v>47</v>
      </c>
      <c r="L1789" s="9" t="s">
        <v>156</v>
      </c>
      <c r="M1789" s="9"/>
      <c r="N1789" s="9" t="s">
        <v>50</v>
      </c>
      <c r="O1789" s="9" t="s">
        <v>51</v>
      </c>
      <c r="P1789" s="9"/>
      <c r="Q1789" s="9"/>
      <c r="R1789" s="9"/>
      <c r="S1789" s="14" t="s">
        <v>6381</v>
      </c>
      <c r="T1789" s="9" t="s">
        <v>6382</v>
      </c>
      <c r="U1789" s="9" t="s">
        <v>54</v>
      </c>
      <c r="V1789" s="9" t="s">
        <v>55</v>
      </c>
      <c r="W1789" s="9" t="s">
        <v>55</v>
      </c>
      <c r="X1789" s="12"/>
      <c r="Y1789" s="9" t="s">
        <v>55</v>
      </c>
      <c r="Z1789" s="13"/>
    </row>
    <row r="1790" spans="1:26" ht="32.25" hidden="1" customHeight="1">
      <c r="A1790" s="8">
        <v>2304259</v>
      </c>
      <c r="B1790" s="9" t="s">
        <v>6383</v>
      </c>
      <c r="C1790" s="10">
        <v>45149</v>
      </c>
      <c r="D1790" s="9" t="s">
        <v>57</v>
      </c>
      <c r="E1790" s="9" t="s">
        <v>41</v>
      </c>
      <c r="F1790" s="9" t="s">
        <v>42</v>
      </c>
      <c r="G1790" s="9" t="s">
        <v>43</v>
      </c>
      <c r="H1790" s="9" t="s">
        <v>58</v>
      </c>
      <c r="I1790" s="11" t="s">
        <v>661</v>
      </c>
      <c r="J1790" s="9" t="s">
        <v>662</v>
      </c>
      <c r="K1790" s="9" t="s">
        <v>47</v>
      </c>
      <c r="L1790" s="9" t="s">
        <v>156</v>
      </c>
      <c r="M1790" s="9"/>
      <c r="N1790" s="9" t="s">
        <v>50</v>
      </c>
      <c r="O1790" s="9" t="s">
        <v>51</v>
      </c>
      <c r="P1790" s="9"/>
      <c r="Q1790" s="9"/>
      <c r="R1790" s="9"/>
      <c r="S1790" s="14" t="s">
        <v>6384</v>
      </c>
      <c r="T1790" s="9" t="s">
        <v>6385</v>
      </c>
      <c r="U1790" s="9" t="s">
        <v>54</v>
      </c>
      <c r="V1790" s="9" t="s">
        <v>55</v>
      </c>
      <c r="W1790" s="9" t="s">
        <v>55</v>
      </c>
      <c r="X1790" s="12"/>
      <c r="Y1790" s="9" t="s">
        <v>55</v>
      </c>
      <c r="Z1790" s="13"/>
    </row>
    <row r="1791" spans="1:26" ht="32.25" hidden="1" customHeight="1">
      <c r="A1791" s="8">
        <v>2304794</v>
      </c>
      <c r="B1791" s="9" t="s">
        <v>6386</v>
      </c>
      <c r="C1791" s="10">
        <v>45156</v>
      </c>
      <c r="D1791" s="9" t="s">
        <v>79</v>
      </c>
      <c r="E1791" s="9" t="s">
        <v>68</v>
      </c>
      <c r="F1791" s="9" t="s">
        <v>80</v>
      </c>
      <c r="G1791" s="9" t="s">
        <v>43</v>
      </c>
      <c r="H1791" s="9" t="s">
        <v>44</v>
      </c>
      <c r="I1791" s="11" t="s">
        <v>696</v>
      </c>
      <c r="J1791" s="9" t="s">
        <v>70</v>
      </c>
      <c r="K1791" s="9" t="s">
        <v>47</v>
      </c>
      <c r="L1791" s="9" t="s">
        <v>305</v>
      </c>
      <c r="M1791" s="9" t="s">
        <v>5010</v>
      </c>
      <c r="N1791" s="9" t="s">
        <v>50</v>
      </c>
      <c r="O1791" s="9" t="s">
        <v>51</v>
      </c>
      <c r="P1791" s="9" t="s">
        <v>1841</v>
      </c>
      <c r="Q1791" s="9"/>
      <c r="R1791" s="9" t="s">
        <v>61</v>
      </c>
      <c r="S1791" s="14" t="s">
        <v>6387</v>
      </c>
      <c r="T1791" s="9" t="s">
        <v>6388</v>
      </c>
      <c r="U1791" s="9" t="s">
        <v>54</v>
      </c>
      <c r="V1791" s="9" t="s">
        <v>3207</v>
      </c>
      <c r="W1791" s="9" t="s">
        <v>115</v>
      </c>
      <c r="X1791" s="12" t="s">
        <v>76</v>
      </c>
      <c r="Y1791" s="9" t="s">
        <v>77</v>
      </c>
      <c r="Z1791" s="13"/>
    </row>
    <row r="1792" spans="1:26" ht="32.25" hidden="1" customHeight="1">
      <c r="A1792" s="8">
        <v>2303306</v>
      </c>
      <c r="B1792" s="9" t="s">
        <v>6389</v>
      </c>
      <c r="C1792" s="10">
        <v>45156</v>
      </c>
      <c r="D1792" s="9" t="s">
        <v>79</v>
      </c>
      <c r="E1792" s="9" t="s">
        <v>41</v>
      </c>
      <c r="F1792" s="9" t="s">
        <v>80</v>
      </c>
      <c r="G1792" s="9" t="s">
        <v>43</v>
      </c>
      <c r="H1792" s="9" t="s">
        <v>44</v>
      </c>
      <c r="I1792" s="11" t="s">
        <v>233</v>
      </c>
      <c r="J1792" s="9" t="s">
        <v>200</v>
      </c>
      <c r="K1792" s="9" t="s">
        <v>47</v>
      </c>
      <c r="L1792" s="9" t="s">
        <v>156</v>
      </c>
      <c r="M1792" s="9"/>
      <c r="N1792" s="9" t="s">
        <v>50</v>
      </c>
      <c r="O1792" s="9" t="s">
        <v>51</v>
      </c>
      <c r="P1792" s="9" t="s">
        <v>443</v>
      </c>
      <c r="Q1792" s="9"/>
      <c r="R1792" s="9"/>
      <c r="S1792" s="14" t="s">
        <v>6390</v>
      </c>
      <c r="T1792" s="9" t="s">
        <v>6391</v>
      </c>
      <c r="U1792" s="9" t="s">
        <v>54</v>
      </c>
      <c r="V1792" s="9"/>
      <c r="W1792" s="9" t="s">
        <v>115</v>
      </c>
      <c r="X1792" s="12"/>
      <c r="Y1792" s="9" t="s">
        <v>55</v>
      </c>
      <c r="Z1792" s="13"/>
    </row>
    <row r="1793" spans="1:26" ht="32.25" hidden="1" customHeight="1">
      <c r="A1793" s="8">
        <v>2314471</v>
      </c>
      <c r="B1793" s="9" t="s">
        <v>6392</v>
      </c>
      <c r="C1793" s="10">
        <v>45156</v>
      </c>
      <c r="D1793" s="9" t="s">
        <v>79</v>
      </c>
      <c r="E1793" s="9" t="s">
        <v>41</v>
      </c>
      <c r="F1793" s="9" t="s">
        <v>80</v>
      </c>
      <c r="G1793" s="9" t="s">
        <v>43</v>
      </c>
      <c r="H1793" s="9" t="s">
        <v>44</v>
      </c>
      <c r="I1793" s="11" t="s">
        <v>81</v>
      </c>
      <c r="J1793" s="9" t="s">
        <v>46</v>
      </c>
      <c r="K1793" s="9" t="s">
        <v>47</v>
      </c>
      <c r="L1793" s="9" t="s">
        <v>156</v>
      </c>
      <c r="M1793" s="9"/>
      <c r="N1793" s="9" t="s">
        <v>50</v>
      </c>
      <c r="O1793" s="9" t="s">
        <v>51</v>
      </c>
      <c r="P1793" s="9" t="s">
        <v>503</v>
      </c>
      <c r="Q1793" s="9"/>
      <c r="R1793" s="9"/>
      <c r="S1793" s="14" t="s">
        <v>6393</v>
      </c>
      <c r="T1793" s="9" t="s">
        <v>6394</v>
      </c>
      <c r="U1793" s="9" t="s">
        <v>54</v>
      </c>
      <c r="V1793" s="9"/>
      <c r="W1793" s="9" t="s">
        <v>115</v>
      </c>
      <c r="X1793" s="12"/>
      <c r="Y1793" s="9" t="s">
        <v>55</v>
      </c>
      <c r="Z1793" s="13"/>
    </row>
    <row r="1794" spans="1:26" ht="32.25" hidden="1" customHeight="1">
      <c r="A1794" s="8">
        <v>2305985</v>
      </c>
      <c r="B1794" s="9" t="s">
        <v>6395</v>
      </c>
      <c r="C1794" s="10">
        <v>45156</v>
      </c>
      <c r="D1794" s="9" t="s">
        <v>79</v>
      </c>
      <c r="E1794" s="9" t="s">
        <v>41</v>
      </c>
      <c r="F1794" s="9" t="s">
        <v>80</v>
      </c>
      <c r="G1794" s="9" t="s">
        <v>43</v>
      </c>
      <c r="H1794" s="9" t="s">
        <v>44</v>
      </c>
      <c r="I1794" s="11" t="s">
        <v>233</v>
      </c>
      <c r="J1794" s="9" t="s">
        <v>200</v>
      </c>
      <c r="K1794" s="9" t="s">
        <v>47</v>
      </c>
      <c r="L1794" s="9" t="s">
        <v>156</v>
      </c>
      <c r="M1794" s="9"/>
      <c r="N1794" s="9" t="s">
        <v>84</v>
      </c>
      <c r="O1794" s="9" t="s">
        <v>51</v>
      </c>
      <c r="P1794" s="9" t="s">
        <v>865</v>
      </c>
      <c r="Q1794" s="9"/>
      <c r="R1794" s="9"/>
      <c r="S1794" s="14" t="s">
        <v>6396</v>
      </c>
      <c r="T1794" s="9" t="s">
        <v>6397</v>
      </c>
      <c r="U1794" s="9" t="s">
        <v>54</v>
      </c>
      <c r="V1794" s="9"/>
      <c r="W1794" s="9" t="s">
        <v>115</v>
      </c>
      <c r="X1794" s="12"/>
      <c r="Y1794" s="9" t="s">
        <v>55</v>
      </c>
      <c r="Z1794" s="13"/>
    </row>
    <row r="1795" spans="1:26" ht="32.25" hidden="1" customHeight="1">
      <c r="A1795" s="8">
        <v>2310675</v>
      </c>
      <c r="B1795" s="9" t="s">
        <v>6398</v>
      </c>
      <c r="C1795" s="10">
        <v>45156</v>
      </c>
      <c r="D1795" s="9" t="s">
        <v>79</v>
      </c>
      <c r="E1795" s="9" t="s">
        <v>89</v>
      </c>
      <c r="F1795" s="9" t="s">
        <v>80</v>
      </c>
      <c r="G1795" s="9" t="s">
        <v>43</v>
      </c>
      <c r="H1795" s="9" t="s">
        <v>44</v>
      </c>
      <c r="I1795" s="11" t="s">
        <v>117</v>
      </c>
      <c r="J1795" s="9" t="s">
        <v>118</v>
      </c>
      <c r="K1795" s="9" t="s">
        <v>47</v>
      </c>
      <c r="L1795" s="9" t="s">
        <v>48</v>
      </c>
      <c r="M1795" s="9" t="s">
        <v>6399</v>
      </c>
      <c r="N1795" s="9" t="s">
        <v>50</v>
      </c>
      <c r="O1795" s="9" t="s">
        <v>51</v>
      </c>
      <c r="P1795" s="9" t="s">
        <v>121</v>
      </c>
      <c r="Q1795" s="9"/>
      <c r="R1795" s="9"/>
      <c r="S1795" s="14" t="s">
        <v>6400</v>
      </c>
      <c r="T1795" s="9" t="s">
        <v>6401</v>
      </c>
      <c r="U1795" s="9" t="s">
        <v>54</v>
      </c>
      <c r="V1795" s="9" t="s">
        <v>55</v>
      </c>
      <c r="W1795" s="9" t="s">
        <v>55</v>
      </c>
      <c r="X1795" s="12"/>
      <c r="Y1795" s="9" t="s">
        <v>55</v>
      </c>
      <c r="Z1795" s="13"/>
    </row>
    <row r="1796" spans="1:26" ht="32.25" hidden="1" customHeight="1">
      <c r="A1796" s="8">
        <v>2304614</v>
      </c>
      <c r="B1796" s="9" t="s">
        <v>6402</v>
      </c>
      <c r="C1796" s="10">
        <v>45149</v>
      </c>
      <c r="D1796" s="9" t="s">
        <v>57</v>
      </c>
      <c r="E1796" s="9" t="s">
        <v>41</v>
      </c>
      <c r="F1796" s="9" t="s">
        <v>42</v>
      </c>
      <c r="G1796" s="9" t="s">
        <v>43</v>
      </c>
      <c r="H1796" s="9" t="s">
        <v>58</v>
      </c>
      <c r="I1796" s="11" t="s">
        <v>661</v>
      </c>
      <c r="J1796" s="9" t="s">
        <v>662</v>
      </c>
      <c r="K1796" s="9" t="s">
        <v>47</v>
      </c>
      <c r="L1796" s="9" t="s">
        <v>349</v>
      </c>
      <c r="M1796" s="9" t="s">
        <v>785</v>
      </c>
      <c r="N1796" s="9" t="s">
        <v>50</v>
      </c>
      <c r="O1796" s="9" t="s">
        <v>51</v>
      </c>
      <c r="P1796" s="9"/>
      <c r="Q1796" s="9"/>
      <c r="R1796" s="9" t="s">
        <v>61</v>
      </c>
      <c r="S1796" s="14" t="s">
        <v>6403</v>
      </c>
      <c r="T1796" s="9" t="s">
        <v>6404</v>
      </c>
      <c r="U1796" s="9" t="s">
        <v>54</v>
      </c>
      <c r="V1796" s="9" t="s">
        <v>55</v>
      </c>
      <c r="W1796" s="9" t="s">
        <v>55</v>
      </c>
      <c r="X1796" s="9" t="s">
        <v>64</v>
      </c>
      <c r="Y1796" s="9" t="s">
        <v>65</v>
      </c>
      <c r="Z1796" s="13"/>
    </row>
    <row r="1797" spans="1:26" ht="32.25" hidden="1" customHeight="1">
      <c r="A1797" s="8">
        <v>2302151</v>
      </c>
      <c r="B1797" s="9" t="s">
        <v>6405</v>
      </c>
      <c r="C1797" s="10">
        <v>45149</v>
      </c>
      <c r="D1797" s="9" t="s">
        <v>57</v>
      </c>
      <c r="E1797" s="9" t="s">
        <v>153</v>
      </c>
      <c r="F1797" s="9" t="s">
        <v>42</v>
      </c>
      <c r="G1797" s="9" t="s">
        <v>43</v>
      </c>
      <c r="H1797" s="9" t="s">
        <v>58</v>
      </c>
      <c r="I1797" s="11" t="s">
        <v>154</v>
      </c>
      <c r="J1797" s="9" t="s">
        <v>155</v>
      </c>
      <c r="K1797" s="9" t="s">
        <v>47</v>
      </c>
      <c r="L1797" s="9" t="s">
        <v>48</v>
      </c>
      <c r="M1797" s="9" t="s">
        <v>372</v>
      </c>
      <c r="N1797" s="9" t="s">
        <v>84</v>
      </c>
      <c r="O1797" s="9" t="s">
        <v>51</v>
      </c>
      <c r="P1797" s="9"/>
      <c r="Q1797" s="9"/>
      <c r="R1797" s="9"/>
      <c r="S1797" s="14" t="s">
        <v>6406</v>
      </c>
      <c r="T1797" s="9" t="s">
        <v>6407</v>
      </c>
      <c r="U1797" s="9" t="s">
        <v>54</v>
      </c>
      <c r="V1797" s="9" t="s">
        <v>55</v>
      </c>
      <c r="W1797" s="9" t="s">
        <v>55</v>
      </c>
      <c r="X1797" s="12"/>
      <c r="Y1797" s="9" t="s">
        <v>55</v>
      </c>
      <c r="Z1797" s="13"/>
    </row>
    <row r="1798" spans="1:26" ht="32.25" hidden="1" customHeight="1">
      <c r="A1798" s="8">
        <v>2311194</v>
      </c>
      <c r="B1798" s="9" t="s">
        <v>6408</v>
      </c>
      <c r="C1798" s="10">
        <v>45149</v>
      </c>
      <c r="D1798" s="9" t="s">
        <v>57</v>
      </c>
      <c r="E1798" s="9" t="s">
        <v>295</v>
      </c>
      <c r="F1798" s="9" t="s">
        <v>42</v>
      </c>
      <c r="G1798" s="9" t="s">
        <v>43</v>
      </c>
      <c r="H1798" s="9" t="s">
        <v>58</v>
      </c>
      <c r="I1798" s="11" t="s">
        <v>296</v>
      </c>
      <c r="J1798" s="9" t="s">
        <v>297</v>
      </c>
      <c r="K1798" s="9" t="s">
        <v>47</v>
      </c>
      <c r="L1798" s="9" t="s">
        <v>310</v>
      </c>
      <c r="M1798" s="9" t="s">
        <v>311</v>
      </c>
      <c r="N1798" s="9" t="s">
        <v>84</v>
      </c>
      <c r="O1798" s="9" t="s">
        <v>51</v>
      </c>
      <c r="P1798" s="9"/>
      <c r="Q1798" s="9"/>
      <c r="R1798" s="9" t="s">
        <v>61</v>
      </c>
      <c r="S1798" s="14" t="s">
        <v>6409</v>
      </c>
      <c r="T1798" s="9" t="s">
        <v>6410</v>
      </c>
      <c r="U1798" s="9" t="s">
        <v>54</v>
      </c>
      <c r="V1798" s="9" t="s">
        <v>55</v>
      </c>
      <c r="W1798" s="9" t="s">
        <v>55</v>
      </c>
      <c r="X1798" s="9" t="s">
        <v>319</v>
      </c>
      <c r="Y1798" s="9" t="s">
        <v>320</v>
      </c>
      <c r="Z1798" s="13"/>
    </row>
    <row r="1799" spans="1:26" ht="32.25" hidden="1" customHeight="1">
      <c r="A1799" s="8">
        <v>2310266</v>
      </c>
      <c r="B1799" s="9" t="s">
        <v>6411</v>
      </c>
      <c r="C1799" s="10">
        <v>45142</v>
      </c>
      <c r="D1799" s="9" t="s">
        <v>67</v>
      </c>
      <c r="E1799" s="9" t="s">
        <v>41</v>
      </c>
      <c r="F1799" s="9" t="s">
        <v>42</v>
      </c>
      <c r="G1799" s="9" t="s">
        <v>43</v>
      </c>
      <c r="H1799" s="9" t="s">
        <v>44</v>
      </c>
      <c r="I1799" s="11" t="s">
        <v>129</v>
      </c>
      <c r="J1799" s="9" t="s">
        <v>130</v>
      </c>
      <c r="K1799" s="9" t="s">
        <v>47</v>
      </c>
      <c r="L1799" s="9" t="s">
        <v>156</v>
      </c>
      <c r="M1799" s="9"/>
      <c r="N1799" s="9" t="s">
        <v>50</v>
      </c>
      <c r="O1799" s="9" t="s">
        <v>51</v>
      </c>
      <c r="P1799" s="9"/>
      <c r="Q1799" s="9"/>
      <c r="R1799" s="9"/>
      <c r="S1799" s="9" t="s">
        <v>6412</v>
      </c>
      <c r="T1799" s="9" t="s">
        <v>6413</v>
      </c>
      <c r="U1799" s="9" t="s">
        <v>54</v>
      </c>
      <c r="V1799" s="9" t="s">
        <v>55</v>
      </c>
      <c r="W1799" s="9" t="s">
        <v>55</v>
      </c>
      <c r="X1799" s="12"/>
      <c r="Y1799" s="9" t="s">
        <v>55</v>
      </c>
      <c r="Z1799" s="13"/>
    </row>
    <row r="1800" spans="1:26" ht="32.25" hidden="1" customHeight="1">
      <c r="A1800" s="8">
        <v>2305027</v>
      </c>
      <c r="B1800" s="9" t="s">
        <v>6414</v>
      </c>
      <c r="C1800" s="10">
        <v>45156</v>
      </c>
      <c r="D1800" s="9" t="s">
        <v>79</v>
      </c>
      <c r="E1800" s="9" t="s">
        <v>41</v>
      </c>
      <c r="F1800" s="9" t="s">
        <v>80</v>
      </c>
      <c r="G1800" s="9" t="s">
        <v>43</v>
      </c>
      <c r="H1800" s="9" t="s">
        <v>44</v>
      </c>
      <c r="I1800" s="11" t="s">
        <v>81</v>
      </c>
      <c r="J1800" s="9" t="s">
        <v>46</v>
      </c>
      <c r="K1800" s="9" t="s">
        <v>47</v>
      </c>
      <c r="L1800" s="9" t="s">
        <v>2729</v>
      </c>
      <c r="M1800" s="9" t="s">
        <v>6415</v>
      </c>
      <c r="N1800" s="9" t="s">
        <v>50</v>
      </c>
      <c r="O1800" s="9" t="s">
        <v>51</v>
      </c>
      <c r="P1800" s="9" t="s">
        <v>85</v>
      </c>
      <c r="Q1800" s="9"/>
      <c r="R1800" s="9" t="s">
        <v>61</v>
      </c>
      <c r="S1800" s="14" t="s">
        <v>6416</v>
      </c>
      <c r="T1800" s="9" t="s">
        <v>6417</v>
      </c>
      <c r="U1800" s="9" t="s">
        <v>54</v>
      </c>
      <c r="V1800" s="9" t="s">
        <v>331</v>
      </c>
      <c r="W1800" s="9" t="s">
        <v>115</v>
      </c>
      <c r="X1800" s="9" t="s">
        <v>64</v>
      </c>
      <c r="Y1800" s="9" t="s">
        <v>65</v>
      </c>
      <c r="Z1800" s="13"/>
    </row>
    <row r="1801" spans="1:26" ht="32.25" hidden="1" customHeight="1">
      <c r="A1801" s="8">
        <v>2310733</v>
      </c>
      <c r="B1801" s="9" t="s">
        <v>6418</v>
      </c>
      <c r="C1801" s="10">
        <v>45156</v>
      </c>
      <c r="D1801" s="9" t="s">
        <v>79</v>
      </c>
      <c r="E1801" s="9" t="s">
        <v>89</v>
      </c>
      <c r="F1801" s="9" t="s">
        <v>80</v>
      </c>
      <c r="G1801" s="9" t="s">
        <v>43</v>
      </c>
      <c r="H1801" s="9" t="s">
        <v>44</v>
      </c>
      <c r="I1801" s="11" t="s">
        <v>4023</v>
      </c>
      <c r="J1801" s="9" t="s">
        <v>4024</v>
      </c>
      <c r="K1801" s="9" t="s">
        <v>47</v>
      </c>
      <c r="L1801" s="9" t="s">
        <v>2147</v>
      </c>
      <c r="M1801" s="9" t="s">
        <v>6419</v>
      </c>
      <c r="N1801" s="9" t="s">
        <v>50</v>
      </c>
      <c r="O1801" s="9" t="s">
        <v>51</v>
      </c>
      <c r="P1801" s="9" t="s">
        <v>4026</v>
      </c>
      <c r="Q1801" s="9"/>
      <c r="R1801" s="9" t="s">
        <v>61</v>
      </c>
      <c r="S1801" s="14" t="s">
        <v>6420</v>
      </c>
      <c r="T1801" s="9" t="s">
        <v>6421</v>
      </c>
      <c r="U1801" s="9" t="s">
        <v>54</v>
      </c>
      <c r="V1801" s="9" t="s">
        <v>55</v>
      </c>
      <c r="W1801" s="9" t="s">
        <v>55</v>
      </c>
      <c r="X1801" s="12" t="s">
        <v>98</v>
      </c>
      <c r="Y1801" s="9" t="s">
        <v>99</v>
      </c>
      <c r="Z1801" s="13"/>
    </row>
    <row r="1802" spans="1:26" ht="32.25" hidden="1" customHeight="1">
      <c r="A1802" s="8">
        <v>2306399</v>
      </c>
      <c r="B1802" s="9" t="s">
        <v>6422</v>
      </c>
      <c r="C1802" s="10">
        <v>45142</v>
      </c>
      <c r="D1802" s="9" t="s">
        <v>67</v>
      </c>
      <c r="E1802" s="9" t="s">
        <v>143</v>
      </c>
      <c r="F1802" s="9" t="s">
        <v>42</v>
      </c>
      <c r="G1802" s="9" t="s">
        <v>43</v>
      </c>
      <c r="H1802" s="9" t="s">
        <v>44</v>
      </c>
      <c r="I1802" s="11" t="s">
        <v>460</v>
      </c>
      <c r="J1802" s="9" t="s">
        <v>400</v>
      </c>
      <c r="K1802" s="9" t="s">
        <v>47</v>
      </c>
      <c r="L1802" s="9" t="s">
        <v>948</v>
      </c>
      <c r="M1802" s="9" t="s">
        <v>949</v>
      </c>
      <c r="N1802" s="9" t="s">
        <v>84</v>
      </c>
      <c r="O1802" s="9" t="s">
        <v>51</v>
      </c>
      <c r="P1802" s="9"/>
      <c r="Q1802" s="9"/>
      <c r="R1802" s="9" t="s">
        <v>61</v>
      </c>
      <c r="S1802" s="9" t="s">
        <v>6423</v>
      </c>
      <c r="T1802" s="9" t="s">
        <v>6424</v>
      </c>
      <c r="U1802" s="9" t="s">
        <v>54</v>
      </c>
      <c r="V1802" s="9" t="s">
        <v>55</v>
      </c>
      <c r="W1802" s="9" t="s">
        <v>55</v>
      </c>
      <c r="X1802" s="12" t="s">
        <v>150</v>
      </c>
      <c r="Y1802" s="9" t="s">
        <v>151</v>
      </c>
      <c r="Z1802" s="13"/>
    </row>
    <row r="1803" spans="1:26" ht="32.25" hidden="1" customHeight="1">
      <c r="A1803" s="8">
        <v>2311677</v>
      </c>
      <c r="B1803" s="9" t="s">
        <v>6425</v>
      </c>
      <c r="C1803" s="10">
        <v>45142</v>
      </c>
      <c r="D1803" s="9" t="s">
        <v>67</v>
      </c>
      <c r="E1803" s="9" t="s">
        <v>143</v>
      </c>
      <c r="F1803" s="9" t="s">
        <v>42</v>
      </c>
      <c r="G1803" s="9" t="s">
        <v>43</v>
      </c>
      <c r="H1803" s="9" t="s">
        <v>44</v>
      </c>
      <c r="I1803" s="11" t="s">
        <v>219</v>
      </c>
      <c r="J1803" s="9" t="s">
        <v>220</v>
      </c>
      <c r="K1803" s="9" t="s">
        <v>47</v>
      </c>
      <c r="L1803" s="9" t="s">
        <v>517</v>
      </c>
      <c r="M1803" s="9" t="s">
        <v>1413</v>
      </c>
      <c r="N1803" s="9" t="s">
        <v>50</v>
      </c>
      <c r="O1803" s="9" t="s">
        <v>51</v>
      </c>
      <c r="P1803" s="9"/>
      <c r="Q1803" s="9"/>
      <c r="R1803" s="9" t="s">
        <v>61</v>
      </c>
      <c r="S1803" s="9" t="s">
        <v>6426</v>
      </c>
      <c r="T1803" s="9" t="s">
        <v>6427</v>
      </c>
      <c r="U1803" s="9" t="s">
        <v>54</v>
      </c>
      <c r="V1803" s="9" t="s">
        <v>55</v>
      </c>
      <c r="W1803" s="9" t="s">
        <v>55</v>
      </c>
      <c r="X1803" s="12" t="s">
        <v>171</v>
      </c>
      <c r="Y1803" s="9" t="s">
        <v>172</v>
      </c>
      <c r="Z1803" s="13"/>
    </row>
    <row r="1804" spans="1:26" ht="32.25" hidden="1" customHeight="1">
      <c r="A1804" s="8">
        <v>2313669</v>
      </c>
      <c r="B1804" s="9" t="s">
        <v>6428</v>
      </c>
      <c r="C1804" s="10">
        <v>45149</v>
      </c>
      <c r="D1804" s="9" t="s">
        <v>57</v>
      </c>
      <c r="E1804" s="9" t="s">
        <v>153</v>
      </c>
      <c r="F1804" s="9" t="s">
        <v>42</v>
      </c>
      <c r="G1804" s="9" t="s">
        <v>43</v>
      </c>
      <c r="H1804" s="9" t="s">
        <v>58</v>
      </c>
      <c r="I1804" s="11" t="s">
        <v>154</v>
      </c>
      <c r="J1804" s="9" t="s">
        <v>155</v>
      </c>
      <c r="K1804" s="9" t="s">
        <v>47</v>
      </c>
      <c r="L1804" s="9" t="s">
        <v>48</v>
      </c>
      <c r="M1804" s="9" t="s">
        <v>6429</v>
      </c>
      <c r="N1804" s="9" t="s">
        <v>50</v>
      </c>
      <c r="O1804" s="9" t="s">
        <v>51</v>
      </c>
      <c r="P1804" s="9"/>
      <c r="Q1804" s="9"/>
      <c r="R1804" s="9" t="s">
        <v>61</v>
      </c>
      <c r="S1804" s="14" t="s">
        <v>6430</v>
      </c>
      <c r="T1804" s="9" t="s">
        <v>6431</v>
      </c>
      <c r="U1804" s="9" t="s">
        <v>54</v>
      </c>
      <c r="V1804" s="9" t="s">
        <v>55</v>
      </c>
      <c r="W1804" s="9" t="s">
        <v>55</v>
      </c>
      <c r="X1804" s="12" t="s">
        <v>171</v>
      </c>
      <c r="Y1804" s="9" t="s">
        <v>172</v>
      </c>
      <c r="Z1804" s="13"/>
    </row>
    <row r="1805" spans="1:26" ht="32.25" hidden="1" customHeight="1">
      <c r="A1805" s="8">
        <v>2307056</v>
      </c>
      <c r="B1805" s="9" t="s">
        <v>6432</v>
      </c>
      <c r="C1805" s="10">
        <v>45142</v>
      </c>
      <c r="D1805" s="9" t="s">
        <v>67</v>
      </c>
      <c r="E1805" s="9" t="s">
        <v>89</v>
      </c>
      <c r="F1805" s="9" t="s">
        <v>42</v>
      </c>
      <c r="G1805" s="9" t="s">
        <v>43</v>
      </c>
      <c r="H1805" s="9" t="s">
        <v>44</v>
      </c>
      <c r="I1805" s="11" t="s">
        <v>354</v>
      </c>
      <c r="J1805" s="9" t="s">
        <v>91</v>
      </c>
      <c r="K1805" s="9" t="s">
        <v>47</v>
      </c>
      <c r="L1805" s="9" t="s">
        <v>713</v>
      </c>
      <c r="M1805" s="9" t="s">
        <v>714</v>
      </c>
      <c r="N1805" s="9" t="s">
        <v>50</v>
      </c>
      <c r="O1805" s="9" t="s">
        <v>51</v>
      </c>
      <c r="P1805" s="9" t="s">
        <v>356</v>
      </c>
      <c r="Q1805" s="9"/>
      <c r="R1805" s="9" t="s">
        <v>61</v>
      </c>
      <c r="S1805" s="9" t="s">
        <v>6433</v>
      </c>
      <c r="T1805" s="9" t="s">
        <v>6434</v>
      </c>
      <c r="U1805" s="9" t="s">
        <v>54</v>
      </c>
      <c r="V1805" s="9" t="s">
        <v>55</v>
      </c>
      <c r="W1805" s="9" t="s">
        <v>55</v>
      </c>
      <c r="X1805" s="12" t="s">
        <v>98</v>
      </c>
      <c r="Y1805" s="9" t="s">
        <v>99</v>
      </c>
      <c r="Z1805" s="13"/>
    </row>
    <row r="1806" spans="1:26" ht="32.25" hidden="1" customHeight="1">
      <c r="A1806" s="8">
        <v>2313043</v>
      </c>
      <c r="B1806" s="9" t="s">
        <v>6435</v>
      </c>
      <c r="C1806" s="10">
        <v>45149</v>
      </c>
      <c r="D1806" s="9" t="s">
        <v>57</v>
      </c>
      <c r="E1806" s="9" t="s">
        <v>153</v>
      </c>
      <c r="F1806" s="9" t="s">
        <v>42</v>
      </c>
      <c r="G1806" s="9" t="s">
        <v>43</v>
      </c>
      <c r="H1806" s="9" t="s">
        <v>58</v>
      </c>
      <c r="I1806" s="11" t="s">
        <v>154</v>
      </c>
      <c r="J1806" s="9" t="s">
        <v>155</v>
      </c>
      <c r="K1806" s="9" t="s">
        <v>47</v>
      </c>
      <c r="L1806" s="9" t="s">
        <v>156</v>
      </c>
      <c r="M1806" s="9"/>
      <c r="N1806" s="9" t="s">
        <v>84</v>
      </c>
      <c r="O1806" s="9" t="s">
        <v>51</v>
      </c>
      <c r="P1806" s="9"/>
      <c r="Q1806" s="9"/>
      <c r="R1806" s="9"/>
      <c r="S1806" s="14" t="s">
        <v>6436</v>
      </c>
      <c r="T1806" s="9" t="s">
        <v>6437</v>
      </c>
      <c r="U1806" s="9" t="s">
        <v>54</v>
      </c>
      <c r="V1806" s="9" t="s">
        <v>55</v>
      </c>
      <c r="W1806" s="9" t="s">
        <v>55</v>
      </c>
      <c r="X1806" s="12"/>
      <c r="Y1806" s="9" t="s">
        <v>55</v>
      </c>
      <c r="Z1806" s="13"/>
    </row>
    <row r="1807" spans="1:26" ht="32.25" hidden="1" customHeight="1">
      <c r="A1807" s="8">
        <v>2304694</v>
      </c>
      <c r="B1807" s="9" t="s">
        <v>6438</v>
      </c>
      <c r="C1807" s="10">
        <v>45149</v>
      </c>
      <c r="D1807" s="9" t="s">
        <v>57</v>
      </c>
      <c r="E1807" s="9" t="s">
        <v>41</v>
      </c>
      <c r="F1807" s="9" t="s">
        <v>42</v>
      </c>
      <c r="G1807" s="9" t="s">
        <v>43</v>
      </c>
      <c r="H1807" s="9" t="s">
        <v>58</v>
      </c>
      <c r="I1807" s="11" t="s">
        <v>199</v>
      </c>
      <c r="J1807" s="9" t="s">
        <v>200</v>
      </c>
      <c r="K1807" s="9" t="s">
        <v>47</v>
      </c>
      <c r="L1807" s="9" t="s">
        <v>156</v>
      </c>
      <c r="M1807" s="9"/>
      <c r="N1807" s="9" t="s">
        <v>50</v>
      </c>
      <c r="O1807" s="9" t="s">
        <v>51</v>
      </c>
      <c r="P1807" s="9"/>
      <c r="Q1807" s="9"/>
      <c r="R1807" s="9"/>
      <c r="S1807" s="14" t="s">
        <v>6439</v>
      </c>
      <c r="T1807" s="9" t="s">
        <v>6440</v>
      </c>
      <c r="U1807" s="9" t="s">
        <v>54</v>
      </c>
      <c r="V1807" s="9" t="s">
        <v>55</v>
      </c>
      <c r="W1807" s="9" t="s">
        <v>55</v>
      </c>
      <c r="X1807" s="12"/>
      <c r="Y1807" s="9" t="s">
        <v>55</v>
      </c>
      <c r="Z1807" s="13"/>
    </row>
    <row r="1808" spans="1:26" ht="32.25" hidden="1" customHeight="1">
      <c r="A1808" s="8">
        <v>2302611</v>
      </c>
      <c r="B1808" s="9" t="s">
        <v>6441</v>
      </c>
      <c r="C1808" s="10">
        <v>45149</v>
      </c>
      <c r="D1808" s="9" t="s">
        <v>57</v>
      </c>
      <c r="E1808" s="9" t="s">
        <v>41</v>
      </c>
      <c r="F1808" s="9" t="s">
        <v>42</v>
      </c>
      <c r="G1808" s="9" t="s">
        <v>43</v>
      </c>
      <c r="H1808" s="9" t="s">
        <v>58</v>
      </c>
      <c r="I1808" s="11" t="s">
        <v>45</v>
      </c>
      <c r="J1808" s="9" t="s">
        <v>46</v>
      </c>
      <c r="K1808" s="9" t="s">
        <v>47</v>
      </c>
      <c r="L1808" s="9" t="s">
        <v>156</v>
      </c>
      <c r="M1808" s="9"/>
      <c r="N1808" s="9" t="s">
        <v>50</v>
      </c>
      <c r="O1808" s="9" t="s">
        <v>51</v>
      </c>
      <c r="P1808" s="9"/>
      <c r="Q1808" s="9"/>
      <c r="R1808" s="9"/>
      <c r="S1808" s="14" t="s">
        <v>6442</v>
      </c>
      <c r="T1808" s="9" t="s">
        <v>6443</v>
      </c>
      <c r="U1808" s="9" t="s">
        <v>54</v>
      </c>
      <c r="V1808" s="9" t="s">
        <v>55</v>
      </c>
      <c r="W1808" s="9" t="s">
        <v>55</v>
      </c>
      <c r="X1808" s="12"/>
      <c r="Y1808" s="9" t="s">
        <v>55</v>
      </c>
      <c r="Z1808" s="13"/>
    </row>
    <row r="1809" spans="1:26" ht="32.25" hidden="1" customHeight="1">
      <c r="A1809" s="8">
        <v>2311442</v>
      </c>
      <c r="B1809" s="9" t="s">
        <v>6444</v>
      </c>
      <c r="C1809" s="10">
        <v>45156</v>
      </c>
      <c r="D1809" s="9" t="s">
        <v>79</v>
      </c>
      <c r="E1809" s="9" t="s">
        <v>89</v>
      </c>
      <c r="F1809" s="9" t="s">
        <v>80</v>
      </c>
      <c r="G1809" s="9" t="s">
        <v>43</v>
      </c>
      <c r="H1809" s="9" t="s">
        <v>44</v>
      </c>
      <c r="I1809" s="11" t="s">
        <v>90</v>
      </c>
      <c r="J1809" s="9" t="s">
        <v>91</v>
      </c>
      <c r="K1809" s="9" t="s">
        <v>47</v>
      </c>
      <c r="L1809" s="9" t="s">
        <v>156</v>
      </c>
      <c r="M1809" s="9"/>
      <c r="N1809" s="9" t="s">
        <v>84</v>
      </c>
      <c r="O1809" s="9" t="s">
        <v>51</v>
      </c>
      <c r="P1809" s="9" t="s">
        <v>176</v>
      </c>
      <c r="Q1809" s="9"/>
      <c r="R1809" s="9"/>
      <c r="S1809" s="14" t="s">
        <v>6445</v>
      </c>
      <c r="T1809" s="9" t="s">
        <v>6446</v>
      </c>
      <c r="U1809" s="9" t="s">
        <v>54</v>
      </c>
      <c r="V1809" s="9" t="s">
        <v>55</v>
      </c>
      <c r="W1809" s="9" t="s">
        <v>55</v>
      </c>
      <c r="X1809" s="12"/>
      <c r="Y1809" s="9" t="s">
        <v>55</v>
      </c>
      <c r="Z1809" s="13"/>
    </row>
    <row r="1810" spans="1:26" ht="32.25" hidden="1" customHeight="1">
      <c r="A1810" s="8">
        <v>2311444</v>
      </c>
      <c r="B1810" s="9" t="s">
        <v>6447</v>
      </c>
      <c r="C1810" s="10">
        <v>45156</v>
      </c>
      <c r="D1810" s="9" t="s">
        <v>565</v>
      </c>
      <c r="E1810" s="9" t="s">
        <v>41</v>
      </c>
      <c r="F1810" s="9" t="s">
        <v>42</v>
      </c>
      <c r="G1810" s="9" t="s">
        <v>43</v>
      </c>
      <c r="H1810" s="9" t="s">
        <v>58</v>
      </c>
      <c r="I1810" s="11" t="s">
        <v>199</v>
      </c>
      <c r="J1810" s="9" t="s">
        <v>200</v>
      </c>
      <c r="K1810" s="9" t="s">
        <v>47</v>
      </c>
      <c r="L1810" s="9" t="s">
        <v>156</v>
      </c>
      <c r="M1810" s="9"/>
      <c r="N1810" s="9" t="s">
        <v>84</v>
      </c>
      <c r="O1810" s="9" t="s">
        <v>51</v>
      </c>
      <c r="P1810" s="9"/>
      <c r="Q1810" s="9"/>
      <c r="R1810" s="9"/>
      <c r="S1810" s="14" t="s">
        <v>6448</v>
      </c>
      <c r="T1810" s="9" t="s">
        <v>6449</v>
      </c>
      <c r="U1810" s="9" t="s">
        <v>54</v>
      </c>
      <c r="V1810" s="9" t="s">
        <v>55</v>
      </c>
      <c r="W1810" s="9" t="s">
        <v>55</v>
      </c>
      <c r="X1810" s="12"/>
      <c r="Y1810" s="9" t="s">
        <v>55</v>
      </c>
      <c r="Z1810" s="13"/>
    </row>
    <row r="1811" spans="1:26" ht="32.25" hidden="1" customHeight="1">
      <c r="A1811" s="8">
        <v>2305023</v>
      </c>
      <c r="B1811" s="9" t="s">
        <v>6450</v>
      </c>
      <c r="C1811" s="10">
        <v>45156</v>
      </c>
      <c r="D1811" s="9" t="s">
        <v>79</v>
      </c>
      <c r="E1811" s="9" t="s">
        <v>41</v>
      </c>
      <c r="F1811" s="9" t="s">
        <v>80</v>
      </c>
      <c r="G1811" s="9" t="s">
        <v>43</v>
      </c>
      <c r="H1811" s="9" t="s">
        <v>44</v>
      </c>
      <c r="I1811" s="11" t="s">
        <v>527</v>
      </c>
      <c r="J1811" s="9" t="s">
        <v>130</v>
      </c>
      <c r="K1811" s="9" t="s">
        <v>47</v>
      </c>
      <c r="L1811" s="9" t="s">
        <v>156</v>
      </c>
      <c r="M1811" s="9"/>
      <c r="N1811" s="9" t="s">
        <v>84</v>
      </c>
      <c r="O1811" s="9" t="s">
        <v>51</v>
      </c>
      <c r="P1811" s="9" t="s">
        <v>529</v>
      </c>
      <c r="Q1811" s="9"/>
      <c r="R1811" s="9"/>
      <c r="S1811" s="14" t="s">
        <v>6451</v>
      </c>
      <c r="T1811" s="9" t="s">
        <v>6452</v>
      </c>
      <c r="U1811" s="9" t="s">
        <v>54</v>
      </c>
      <c r="V1811" s="9" t="s">
        <v>55</v>
      </c>
      <c r="W1811" s="9" t="s">
        <v>55</v>
      </c>
      <c r="X1811" s="12"/>
      <c r="Y1811" s="9" t="s">
        <v>55</v>
      </c>
      <c r="Z1811" s="13"/>
    </row>
    <row r="1812" spans="1:26" ht="32.25" hidden="1" customHeight="1">
      <c r="A1812" s="8">
        <v>2311477</v>
      </c>
      <c r="B1812" s="9" t="s">
        <v>6453</v>
      </c>
      <c r="C1812" s="10">
        <v>45149</v>
      </c>
      <c r="D1812" s="9" t="s">
        <v>261</v>
      </c>
      <c r="E1812" s="9" t="s">
        <v>89</v>
      </c>
      <c r="F1812" s="9" t="s">
        <v>262</v>
      </c>
      <c r="G1812" s="9" t="s">
        <v>43</v>
      </c>
      <c r="H1812" s="9" t="s">
        <v>44</v>
      </c>
      <c r="I1812" s="11" t="s">
        <v>685</v>
      </c>
      <c r="J1812" s="9" t="s">
        <v>686</v>
      </c>
      <c r="K1812" s="9" t="s">
        <v>47</v>
      </c>
      <c r="L1812" s="9" t="s">
        <v>156</v>
      </c>
      <c r="M1812" s="9"/>
      <c r="N1812" s="9" t="s">
        <v>50</v>
      </c>
      <c r="O1812" s="9" t="s">
        <v>51</v>
      </c>
      <c r="P1812" s="9"/>
      <c r="Q1812" s="9"/>
      <c r="R1812" s="9"/>
      <c r="S1812" s="14" t="s">
        <v>6454</v>
      </c>
      <c r="T1812" s="9" t="s">
        <v>6455</v>
      </c>
      <c r="U1812" s="9" t="s">
        <v>262</v>
      </c>
      <c r="V1812" s="9" t="s">
        <v>55</v>
      </c>
      <c r="W1812" s="9" t="s">
        <v>55</v>
      </c>
      <c r="X1812" s="12"/>
      <c r="Y1812" s="9" t="s">
        <v>55</v>
      </c>
      <c r="Z1812" s="13"/>
    </row>
    <row r="1813" spans="1:26" ht="32.25" hidden="1" customHeight="1">
      <c r="A1813" s="8">
        <v>2314661</v>
      </c>
      <c r="B1813" s="9" t="s">
        <v>6456</v>
      </c>
      <c r="C1813" s="10">
        <v>45156</v>
      </c>
      <c r="D1813" s="9" t="s">
        <v>2555</v>
      </c>
      <c r="E1813" s="9" t="s">
        <v>89</v>
      </c>
      <c r="F1813" s="9" t="s">
        <v>80</v>
      </c>
      <c r="G1813" s="9" t="s">
        <v>43</v>
      </c>
      <c r="H1813" s="9" t="s">
        <v>44</v>
      </c>
      <c r="I1813" s="11" t="s">
        <v>101</v>
      </c>
      <c r="J1813" s="9" t="s">
        <v>102</v>
      </c>
      <c r="K1813" s="9" t="s">
        <v>47</v>
      </c>
      <c r="L1813" s="9" t="s">
        <v>1924</v>
      </c>
      <c r="M1813" s="9" t="s">
        <v>6457</v>
      </c>
      <c r="N1813" s="9" t="s">
        <v>84</v>
      </c>
      <c r="O1813" s="9" t="s">
        <v>51</v>
      </c>
      <c r="P1813" s="9" t="s">
        <v>212</v>
      </c>
      <c r="Q1813" s="9"/>
      <c r="R1813" s="9"/>
      <c r="S1813" s="14" t="s">
        <v>6458</v>
      </c>
      <c r="T1813" s="9" t="s">
        <v>6459</v>
      </c>
      <c r="U1813" s="9" t="s">
        <v>54</v>
      </c>
      <c r="V1813" s="9" t="s">
        <v>55</v>
      </c>
      <c r="W1813" s="9" t="s">
        <v>55</v>
      </c>
      <c r="X1813" s="12"/>
      <c r="Y1813" s="9" t="s">
        <v>55</v>
      </c>
      <c r="Z1813" s="13"/>
    </row>
    <row r="1814" spans="1:26" ht="32.25" hidden="1" customHeight="1">
      <c r="A1814" s="8">
        <v>2309781</v>
      </c>
      <c r="B1814" s="9" t="s">
        <v>6460</v>
      </c>
      <c r="C1814" s="10">
        <v>45149</v>
      </c>
      <c r="D1814" s="9" t="s">
        <v>261</v>
      </c>
      <c r="E1814" s="9" t="s">
        <v>143</v>
      </c>
      <c r="F1814" s="9" t="s">
        <v>262</v>
      </c>
      <c r="G1814" s="9" t="s">
        <v>43</v>
      </c>
      <c r="H1814" s="9" t="s">
        <v>44</v>
      </c>
      <c r="I1814" s="11" t="s">
        <v>6461</v>
      </c>
      <c r="J1814" s="9" t="s">
        <v>6462</v>
      </c>
      <c r="K1814" s="9" t="s">
        <v>47</v>
      </c>
      <c r="L1814" s="9" t="s">
        <v>349</v>
      </c>
      <c r="M1814" s="9" t="s">
        <v>785</v>
      </c>
      <c r="N1814" s="9" t="s">
        <v>50</v>
      </c>
      <c r="O1814" s="9" t="s">
        <v>51</v>
      </c>
      <c r="P1814" s="9"/>
      <c r="Q1814" s="9"/>
      <c r="R1814" s="9" t="s">
        <v>61</v>
      </c>
      <c r="S1814" s="14" t="s">
        <v>6463</v>
      </c>
      <c r="T1814" s="9" t="s">
        <v>6464</v>
      </c>
      <c r="U1814" s="9" t="s">
        <v>262</v>
      </c>
      <c r="V1814" s="9" t="s">
        <v>370</v>
      </c>
      <c r="W1814" s="9" t="s">
        <v>115</v>
      </c>
      <c r="X1814" s="12" t="s">
        <v>389</v>
      </c>
      <c r="Y1814" s="9" t="s">
        <v>390</v>
      </c>
      <c r="Z1814" s="13"/>
    </row>
    <row r="1815" spans="1:26" ht="32.25" hidden="1" customHeight="1">
      <c r="A1815" s="8">
        <v>2304796</v>
      </c>
      <c r="B1815" s="9" t="s">
        <v>6465</v>
      </c>
      <c r="C1815" s="10">
        <v>45142</v>
      </c>
      <c r="D1815" s="9" t="s">
        <v>67</v>
      </c>
      <c r="E1815" s="9" t="s">
        <v>143</v>
      </c>
      <c r="F1815" s="9" t="s">
        <v>42</v>
      </c>
      <c r="G1815" s="9" t="s">
        <v>43</v>
      </c>
      <c r="H1815" s="9" t="s">
        <v>44</v>
      </c>
      <c r="I1815" s="11" t="s">
        <v>219</v>
      </c>
      <c r="J1815" s="9" t="s">
        <v>220</v>
      </c>
      <c r="K1815" s="9" t="s">
        <v>47</v>
      </c>
      <c r="L1815" s="9" t="s">
        <v>305</v>
      </c>
      <c r="M1815" s="9" t="s">
        <v>306</v>
      </c>
      <c r="N1815" s="9" t="s">
        <v>84</v>
      </c>
      <c r="O1815" s="9" t="s">
        <v>51</v>
      </c>
      <c r="P1815" s="9"/>
      <c r="Q1815" s="9"/>
      <c r="R1815" s="9" t="s">
        <v>61</v>
      </c>
      <c r="S1815" s="9" t="s">
        <v>6466</v>
      </c>
      <c r="T1815" s="9" t="s">
        <v>6467</v>
      </c>
      <c r="U1815" s="9" t="s">
        <v>54</v>
      </c>
      <c r="V1815" s="9" t="s">
        <v>55</v>
      </c>
      <c r="W1815" s="9" t="s">
        <v>55</v>
      </c>
      <c r="X1815" s="12" t="s">
        <v>171</v>
      </c>
      <c r="Y1815" s="9" t="s">
        <v>172</v>
      </c>
      <c r="Z1815" s="13"/>
    </row>
    <row r="1816" spans="1:26" ht="32.25" hidden="1" customHeight="1">
      <c r="A1816" s="8">
        <v>2304956</v>
      </c>
      <c r="B1816" s="9" t="s">
        <v>6468</v>
      </c>
      <c r="C1816" s="10">
        <v>45156</v>
      </c>
      <c r="D1816" s="9" t="s">
        <v>79</v>
      </c>
      <c r="E1816" s="9" t="s">
        <v>143</v>
      </c>
      <c r="F1816" s="9" t="s">
        <v>80</v>
      </c>
      <c r="G1816" s="9" t="s">
        <v>43</v>
      </c>
      <c r="H1816" s="9" t="s">
        <v>44</v>
      </c>
      <c r="I1816" s="11" t="s">
        <v>326</v>
      </c>
      <c r="J1816" s="9" t="s">
        <v>327</v>
      </c>
      <c r="K1816" s="9" t="s">
        <v>47</v>
      </c>
      <c r="L1816" s="9" t="s">
        <v>480</v>
      </c>
      <c r="M1816" s="9" t="s">
        <v>481</v>
      </c>
      <c r="N1816" s="9" t="s">
        <v>84</v>
      </c>
      <c r="O1816" s="9" t="s">
        <v>51</v>
      </c>
      <c r="P1816" s="9" t="s">
        <v>1143</v>
      </c>
      <c r="Q1816" s="9"/>
      <c r="R1816" s="9" t="s">
        <v>61</v>
      </c>
      <c r="S1816" s="14" t="s">
        <v>6469</v>
      </c>
      <c r="T1816" s="9" t="s">
        <v>6470</v>
      </c>
      <c r="U1816" s="9" t="s">
        <v>54</v>
      </c>
      <c r="V1816" s="9" t="s">
        <v>370</v>
      </c>
      <c r="W1816" s="9" t="s">
        <v>55</v>
      </c>
      <c r="X1816" s="12" t="s">
        <v>150</v>
      </c>
      <c r="Y1816" s="9" t="s">
        <v>151</v>
      </c>
      <c r="Z1816" s="13"/>
    </row>
    <row r="1817" spans="1:26" ht="32.25" hidden="1" customHeight="1">
      <c r="A1817" s="8">
        <v>2303858</v>
      </c>
      <c r="B1817" s="9" t="s">
        <v>6471</v>
      </c>
      <c r="C1817" s="10">
        <v>45149</v>
      </c>
      <c r="D1817" s="9" t="s">
        <v>57</v>
      </c>
      <c r="E1817" s="9" t="s">
        <v>41</v>
      </c>
      <c r="F1817" s="9" t="s">
        <v>42</v>
      </c>
      <c r="G1817" s="9" t="s">
        <v>43</v>
      </c>
      <c r="H1817" s="9" t="s">
        <v>58</v>
      </c>
      <c r="I1817" s="11" t="s">
        <v>129</v>
      </c>
      <c r="J1817" s="9" t="s">
        <v>130</v>
      </c>
      <c r="K1817" s="9" t="s">
        <v>47</v>
      </c>
      <c r="L1817" s="9" t="s">
        <v>156</v>
      </c>
      <c r="M1817" s="9" t="s">
        <v>1352</v>
      </c>
      <c r="N1817" s="9" t="s">
        <v>50</v>
      </c>
      <c r="O1817" s="9" t="s">
        <v>51</v>
      </c>
      <c r="P1817" s="9"/>
      <c r="Q1817" s="9"/>
      <c r="R1817" s="9"/>
      <c r="S1817" s="14" t="s">
        <v>6472</v>
      </c>
      <c r="T1817" s="9" t="s">
        <v>6473</v>
      </c>
      <c r="U1817" s="9" t="s">
        <v>54</v>
      </c>
      <c r="V1817" s="9" t="s">
        <v>55</v>
      </c>
      <c r="W1817" s="9" t="s">
        <v>55</v>
      </c>
      <c r="X1817" s="12"/>
      <c r="Y1817" s="9" t="s">
        <v>55</v>
      </c>
      <c r="Z1817" s="13"/>
    </row>
    <row r="1818" spans="1:26" ht="32.25" hidden="1" customHeight="1">
      <c r="A1818" s="8">
        <v>2310933</v>
      </c>
      <c r="B1818" s="9" t="s">
        <v>6474</v>
      </c>
      <c r="C1818" s="10">
        <v>45149</v>
      </c>
      <c r="D1818" s="9" t="s">
        <v>261</v>
      </c>
      <c r="E1818" s="9" t="s">
        <v>89</v>
      </c>
      <c r="F1818" s="9" t="s">
        <v>262</v>
      </c>
      <c r="G1818" s="9" t="s">
        <v>43</v>
      </c>
      <c r="H1818" s="9" t="s">
        <v>44</v>
      </c>
      <c r="I1818" s="11" t="s">
        <v>1561</v>
      </c>
      <c r="J1818" s="9" t="s">
        <v>1562</v>
      </c>
      <c r="K1818" s="9" t="s">
        <v>47</v>
      </c>
      <c r="L1818" s="9" t="s">
        <v>156</v>
      </c>
      <c r="M1818" s="9"/>
      <c r="N1818" s="9" t="s">
        <v>50</v>
      </c>
      <c r="O1818" s="9" t="s">
        <v>51</v>
      </c>
      <c r="P1818" s="9"/>
      <c r="Q1818" s="9"/>
      <c r="R1818" s="9"/>
      <c r="S1818" s="14" t="s">
        <v>6475</v>
      </c>
      <c r="T1818" s="9" t="s">
        <v>6476</v>
      </c>
      <c r="U1818" s="9" t="s">
        <v>262</v>
      </c>
      <c r="V1818" s="9" t="s">
        <v>55</v>
      </c>
      <c r="W1818" s="9" t="s">
        <v>115</v>
      </c>
      <c r="X1818" s="12"/>
      <c r="Y1818" s="9" t="s">
        <v>55</v>
      </c>
      <c r="Z1818" s="13"/>
    </row>
    <row r="1819" spans="1:26" ht="32.25" hidden="1" customHeight="1">
      <c r="A1819" s="8">
        <v>2310980</v>
      </c>
      <c r="B1819" s="9" t="s">
        <v>6477</v>
      </c>
      <c r="C1819" s="10">
        <v>45136</v>
      </c>
      <c r="D1819" s="9" t="s">
        <v>40</v>
      </c>
      <c r="E1819" s="9" t="s">
        <v>153</v>
      </c>
      <c r="F1819" s="9" t="s">
        <v>42</v>
      </c>
      <c r="G1819" s="9" t="s">
        <v>43</v>
      </c>
      <c r="H1819" s="9" t="s">
        <v>44</v>
      </c>
      <c r="I1819" s="11" t="s">
        <v>154</v>
      </c>
      <c r="J1819" s="9" t="s">
        <v>155</v>
      </c>
      <c r="K1819" s="9" t="s">
        <v>47</v>
      </c>
      <c r="L1819" s="9" t="s">
        <v>48</v>
      </c>
      <c r="M1819" s="9" t="s">
        <v>3053</v>
      </c>
      <c r="N1819" s="9" t="s">
        <v>84</v>
      </c>
      <c r="O1819" s="9" t="s">
        <v>51</v>
      </c>
      <c r="P1819" s="9"/>
      <c r="Q1819" s="9"/>
      <c r="R1819" s="9" t="s">
        <v>61</v>
      </c>
      <c r="S1819" s="9" t="s">
        <v>6478</v>
      </c>
      <c r="T1819" s="9" t="s">
        <v>6479</v>
      </c>
      <c r="U1819" s="9" t="s">
        <v>54</v>
      </c>
      <c r="V1819" s="9" t="s">
        <v>55</v>
      </c>
      <c r="W1819" s="9" t="s">
        <v>55</v>
      </c>
      <c r="X1819" s="12" t="s">
        <v>319</v>
      </c>
      <c r="Y1819" s="9" t="s">
        <v>320</v>
      </c>
      <c r="Z1819" s="13" t="s">
        <v>240</v>
      </c>
    </row>
    <row r="1820" spans="1:26" ht="32.25" hidden="1" customHeight="1">
      <c r="A1820" s="8">
        <v>2314583</v>
      </c>
      <c r="B1820" s="9" t="s">
        <v>6480</v>
      </c>
      <c r="C1820" s="10">
        <v>45156</v>
      </c>
      <c r="D1820" s="9" t="s">
        <v>79</v>
      </c>
      <c r="E1820" s="9" t="s">
        <v>153</v>
      </c>
      <c r="F1820" s="9" t="s">
        <v>80</v>
      </c>
      <c r="G1820" s="9" t="s">
        <v>43</v>
      </c>
      <c r="H1820" s="9" t="s">
        <v>44</v>
      </c>
      <c r="I1820" s="11" t="s">
        <v>1588</v>
      </c>
      <c r="J1820" s="9" t="s">
        <v>155</v>
      </c>
      <c r="K1820" s="9" t="s">
        <v>47</v>
      </c>
      <c r="L1820" s="9" t="s">
        <v>1315</v>
      </c>
      <c r="M1820" s="9" t="s">
        <v>1316</v>
      </c>
      <c r="N1820" s="9" t="s">
        <v>84</v>
      </c>
      <c r="O1820" s="9" t="s">
        <v>51</v>
      </c>
      <c r="P1820" s="9" t="s">
        <v>1589</v>
      </c>
      <c r="Q1820" s="9"/>
      <c r="R1820" s="9"/>
      <c r="S1820" s="14" t="s">
        <v>6481</v>
      </c>
      <c r="T1820" s="9" t="s">
        <v>6482</v>
      </c>
      <c r="U1820" s="9" t="s">
        <v>54</v>
      </c>
      <c r="V1820" s="9" t="s">
        <v>55</v>
      </c>
      <c r="W1820" s="9" t="s">
        <v>55</v>
      </c>
      <c r="X1820" s="12"/>
      <c r="Y1820" s="9" t="s">
        <v>55</v>
      </c>
      <c r="Z1820" s="13"/>
    </row>
    <row r="1821" spans="1:26" ht="32.25" hidden="1" customHeight="1">
      <c r="A1821" s="8">
        <v>2300885</v>
      </c>
      <c r="B1821" s="9" t="s">
        <v>6483</v>
      </c>
      <c r="C1821" s="10">
        <v>45142</v>
      </c>
      <c r="D1821" s="9" t="s">
        <v>67</v>
      </c>
      <c r="E1821" s="9" t="s">
        <v>89</v>
      </c>
      <c r="F1821" s="9" t="s">
        <v>42</v>
      </c>
      <c r="G1821" s="9" t="s">
        <v>43</v>
      </c>
      <c r="H1821" s="9" t="s">
        <v>44</v>
      </c>
      <c r="I1821" s="11" t="s">
        <v>360</v>
      </c>
      <c r="J1821" s="9" t="s">
        <v>102</v>
      </c>
      <c r="K1821" s="9" t="s">
        <v>47</v>
      </c>
      <c r="L1821" s="9" t="s">
        <v>156</v>
      </c>
      <c r="M1821" s="9"/>
      <c r="N1821" s="9" t="s">
        <v>84</v>
      </c>
      <c r="O1821" s="9" t="s">
        <v>51</v>
      </c>
      <c r="P1821" s="9" t="s">
        <v>361</v>
      </c>
      <c r="Q1821" s="9"/>
      <c r="R1821" s="9"/>
      <c r="S1821" s="9" t="s">
        <v>6484</v>
      </c>
      <c r="T1821" s="9" t="s">
        <v>6485</v>
      </c>
      <c r="U1821" s="9" t="s">
        <v>54</v>
      </c>
      <c r="V1821" s="9" t="s">
        <v>55</v>
      </c>
      <c r="W1821" s="9" t="s">
        <v>55</v>
      </c>
      <c r="X1821" s="12"/>
      <c r="Y1821" s="9" t="s">
        <v>55</v>
      </c>
      <c r="Z1821" s="13"/>
    </row>
    <row r="1822" spans="1:26" ht="32.25" hidden="1" customHeight="1">
      <c r="A1822" s="8">
        <v>2312071</v>
      </c>
      <c r="B1822" s="9" t="s">
        <v>6486</v>
      </c>
      <c r="C1822" s="10">
        <v>45136</v>
      </c>
      <c r="D1822" s="9" t="s">
        <v>40</v>
      </c>
      <c r="E1822" s="9" t="s">
        <v>41</v>
      </c>
      <c r="F1822" s="9" t="s">
        <v>42</v>
      </c>
      <c r="G1822" s="9" t="s">
        <v>43</v>
      </c>
      <c r="H1822" s="9" t="s">
        <v>44</v>
      </c>
      <c r="I1822" s="11" t="s">
        <v>661</v>
      </c>
      <c r="J1822" s="9" t="s">
        <v>662</v>
      </c>
      <c r="K1822" s="9" t="s">
        <v>47</v>
      </c>
      <c r="L1822" s="9" t="s">
        <v>1040</v>
      </c>
      <c r="M1822" s="9" t="s">
        <v>1041</v>
      </c>
      <c r="N1822" s="9" t="s">
        <v>84</v>
      </c>
      <c r="O1822" s="9" t="s">
        <v>51</v>
      </c>
      <c r="P1822" s="9"/>
      <c r="Q1822" s="9"/>
      <c r="R1822" s="9" t="s">
        <v>61</v>
      </c>
      <c r="S1822" s="9" t="s">
        <v>6487</v>
      </c>
      <c r="T1822" s="9" t="s">
        <v>6488</v>
      </c>
      <c r="U1822" s="9" t="s">
        <v>54</v>
      </c>
      <c r="V1822" s="9" t="s">
        <v>55</v>
      </c>
      <c r="W1822" s="9" t="s">
        <v>55</v>
      </c>
      <c r="X1822" s="9" t="s">
        <v>64</v>
      </c>
      <c r="Y1822" s="9" t="s">
        <v>65</v>
      </c>
      <c r="Z1822" s="13"/>
    </row>
    <row r="1823" spans="1:26" ht="32.25" hidden="1" customHeight="1">
      <c r="A1823" s="8">
        <v>2314326</v>
      </c>
      <c r="B1823" s="9" t="s">
        <v>6489</v>
      </c>
      <c r="C1823" s="10">
        <v>45156</v>
      </c>
      <c r="D1823" s="9" t="s">
        <v>79</v>
      </c>
      <c r="E1823" s="9" t="s">
        <v>89</v>
      </c>
      <c r="F1823" s="9" t="s">
        <v>80</v>
      </c>
      <c r="G1823" s="9" t="s">
        <v>43</v>
      </c>
      <c r="H1823" s="9" t="s">
        <v>44</v>
      </c>
      <c r="I1823" s="11" t="s">
        <v>101</v>
      </c>
      <c r="J1823" s="9" t="s">
        <v>102</v>
      </c>
      <c r="K1823" s="9" t="s">
        <v>47</v>
      </c>
      <c r="L1823" s="9" t="s">
        <v>777</v>
      </c>
      <c r="M1823" s="9" t="s">
        <v>6490</v>
      </c>
      <c r="N1823" s="9" t="s">
        <v>50</v>
      </c>
      <c r="O1823" s="9" t="s">
        <v>51</v>
      </c>
      <c r="P1823" s="9" t="s">
        <v>715</v>
      </c>
      <c r="Q1823" s="9"/>
      <c r="R1823" s="9" t="s">
        <v>61</v>
      </c>
      <c r="S1823" s="14" t="s">
        <v>6491</v>
      </c>
      <c r="T1823" s="9" t="s">
        <v>6492</v>
      </c>
      <c r="U1823" s="9" t="s">
        <v>54</v>
      </c>
      <c r="V1823" s="9" t="s">
        <v>55</v>
      </c>
      <c r="W1823" s="9" t="s">
        <v>55</v>
      </c>
      <c r="X1823" s="12" t="s">
        <v>98</v>
      </c>
      <c r="Y1823" s="9" t="s">
        <v>99</v>
      </c>
      <c r="Z1823" s="13"/>
    </row>
    <row r="1824" spans="1:26" ht="32.25" hidden="1" customHeight="1">
      <c r="A1824" s="8">
        <v>2310052</v>
      </c>
      <c r="B1824" s="9" t="s">
        <v>6493</v>
      </c>
      <c r="C1824" s="10">
        <v>45149</v>
      </c>
      <c r="D1824" s="9" t="s">
        <v>57</v>
      </c>
      <c r="E1824" s="9" t="s">
        <v>295</v>
      </c>
      <c r="F1824" s="9" t="s">
        <v>42</v>
      </c>
      <c r="G1824" s="9" t="s">
        <v>43</v>
      </c>
      <c r="H1824" s="9" t="s">
        <v>58</v>
      </c>
      <c r="I1824" s="11" t="s">
        <v>296</v>
      </c>
      <c r="J1824" s="9" t="s">
        <v>297</v>
      </c>
      <c r="K1824" s="9" t="s">
        <v>47</v>
      </c>
      <c r="L1824" s="9" t="s">
        <v>310</v>
      </c>
      <c r="M1824" s="9" t="s">
        <v>6494</v>
      </c>
      <c r="N1824" s="9" t="s">
        <v>50</v>
      </c>
      <c r="O1824" s="9" t="s">
        <v>51</v>
      </c>
      <c r="P1824" s="9"/>
      <c r="Q1824" s="9"/>
      <c r="R1824" s="9"/>
      <c r="S1824" s="14" t="s">
        <v>6495</v>
      </c>
      <c r="T1824" s="9" t="s">
        <v>6496</v>
      </c>
      <c r="U1824" s="9" t="s">
        <v>54</v>
      </c>
      <c r="V1824" s="9" t="s">
        <v>55</v>
      </c>
      <c r="W1824" s="9" t="s">
        <v>55</v>
      </c>
      <c r="X1824" s="12"/>
      <c r="Y1824" s="9" t="s">
        <v>55</v>
      </c>
      <c r="Z1824" s="13"/>
    </row>
    <row r="1825" spans="1:26" ht="32.25" hidden="1" customHeight="1">
      <c r="A1825" s="8">
        <v>2315387</v>
      </c>
      <c r="B1825" s="9" t="s">
        <v>6497</v>
      </c>
      <c r="C1825" s="10">
        <v>45152</v>
      </c>
      <c r="D1825" s="9" t="s">
        <v>185</v>
      </c>
      <c r="E1825" s="9" t="s">
        <v>41</v>
      </c>
      <c r="F1825" s="9" t="s">
        <v>42</v>
      </c>
      <c r="G1825" s="9" t="s">
        <v>43</v>
      </c>
      <c r="H1825" s="9" t="s">
        <v>44</v>
      </c>
      <c r="I1825" s="11" t="s">
        <v>199</v>
      </c>
      <c r="J1825" s="9" t="s">
        <v>200</v>
      </c>
      <c r="K1825" s="9" t="s">
        <v>1158</v>
      </c>
      <c r="L1825" s="9"/>
      <c r="M1825" s="9" t="s">
        <v>1580</v>
      </c>
      <c r="N1825" s="9" t="s">
        <v>50</v>
      </c>
      <c r="O1825" s="9" t="s">
        <v>187</v>
      </c>
      <c r="P1825" s="9"/>
      <c r="Q1825" s="9"/>
      <c r="R1825" s="9" t="s">
        <v>61</v>
      </c>
      <c r="S1825" s="14" t="s">
        <v>641</v>
      </c>
      <c r="T1825" s="9" t="s">
        <v>6498</v>
      </c>
      <c r="U1825" s="9" t="s">
        <v>54</v>
      </c>
      <c r="V1825" s="9" t="s">
        <v>55</v>
      </c>
      <c r="W1825" s="9" t="s">
        <v>55</v>
      </c>
      <c r="X1825" s="12" t="s">
        <v>196</v>
      </c>
      <c r="Y1825" s="9" t="s">
        <v>197</v>
      </c>
      <c r="Z1825" s="13"/>
    </row>
    <row r="1826" spans="1:26" ht="32.25" hidden="1" customHeight="1">
      <c r="A1826" s="8">
        <v>2310651</v>
      </c>
      <c r="B1826" s="9" t="s">
        <v>6499</v>
      </c>
      <c r="C1826" s="10">
        <v>45142</v>
      </c>
      <c r="D1826" s="9" t="s">
        <v>67</v>
      </c>
      <c r="E1826" s="9" t="s">
        <v>143</v>
      </c>
      <c r="F1826" s="9" t="s">
        <v>42</v>
      </c>
      <c r="G1826" s="9" t="s">
        <v>43</v>
      </c>
      <c r="H1826" s="9" t="s">
        <v>44</v>
      </c>
      <c r="I1826" s="11" t="s">
        <v>144</v>
      </c>
      <c r="J1826" s="9" t="s">
        <v>145</v>
      </c>
      <c r="K1826" s="9" t="s">
        <v>47</v>
      </c>
      <c r="L1826" s="9" t="s">
        <v>156</v>
      </c>
      <c r="M1826" s="9"/>
      <c r="N1826" s="9" t="s">
        <v>50</v>
      </c>
      <c r="O1826" s="9" t="s">
        <v>51</v>
      </c>
      <c r="P1826" s="9" t="s">
        <v>147</v>
      </c>
      <c r="Q1826" s="9"/>
      <c r="R1826" s="9"/>
      <c r="S1826" s="9" t="s">
        <v>6500</v>
      </c>
      <c r="T1826" s="9" t="s">
        <v>6501</v>
      </c>
      <c r="U1826" s="9" t="s">
        <v>54</v>
      </c>
      <c r="V1826" s="9" t="s">
        <v>55</v>
      </c>
      <c r="W1826" s="9" t="s">
        <v>55</v>
      </c>
      <c r="X1826" s="12"/>
      <c r="Y1826" s="9" t="s">
        <v>55</v>
      </c>
      <c r="Z1826" s="13"/>
    </row>
    <row r="1827" spans="1:26" ht="32.25" hidden="1" customHeight="1">
      <c r="A1827" s="8">
        <v>2312741</v>
      </c>
      <c r="B1827" s="9" t="s">
        <v>6502</v>
      </c>
      <c r="C1827" s="10">
        <v>45142</v>
      </c>
      <c r="D1827" s="9" t="s">
        <v>67</v>
      </c>
      <c r="E1827" s="9" t="s">
        <v>143</v>
      </c>
      <c r="F1827" s="9" t="s">
        <v>42</v>
      </c>
      <c r="G1827" s="9" t="s">
        <v>43</v>
      </c>
      <c r="H1827" s="9" t="s">
        <v>44</v>
      </c>
      <c r="I1827" s="11" t="s">
        <v>460</v>
      </c>
      <c r="J1827" s="9" t="s">
        <v>400</v>
      </c>
      <c r="K1827" s="9" t="s">
        <v>47</v>
      </c>
      <c r="L1827" s="9" t="s">
        <v>48</v>
      </c>
      <c r="M1827" s="9" t="s">
        <v>421</v>
      </c>
      <c r="N1827" s="9" t="s">
        <v>50</v>
      </c>
      <c r="O1827" s="9" t="s">
        <v>51</v>
      </c>
      <c r="P1827" s="9"/>
      <c r="Q1827" s="9"/>
      <c r="R1827" s="9" t="s">
        <v>61</v>
      </c>
      <c r="S1827" s="9" t="s">
        <v>6503</v>
      </c>
      <c r="T1827" s="9" t="s">
        <v>6504</v>
      </c>
      <c r="U1827" s="9" t="s">
        <v>54</v>
      </c>
      <c r="V1827" s="9" t="s">
        <v>55</v>
      </c>
      <c r="W1827" s="9" t="s">
        <v>55</v>
      </c>
      <c r="X1827" s="12" t="s">
        <v>150</v>
      </c>
      <c r="Y1827" s="9" t="s">
        <v>151</v>
      </c>
      <c r="Z1827" s="13"/>
    </row>
    <row r="1828" spans="1:26" ht="32.25" hidden="1" customHeight="1">
      <c r="A1828" s="8">
        <v>2301313</v>
      </c>
      <c r="B1828" s="9" t="s">
        <v>6505</v>
      </c>
      <c r="C1828" s="10">
        <v>45142</v>
      </c>
      <c r="D1828" s="9" t="s">
        <v>67</v>
      </c>
      <c r="E1828" s="9" t="s">
        <v>143</v>
      </c>
      <c r="F1828" s="9" t="s">
        <v>42</v>
      </c>
      <c r="G1828" s="9" t="s">
        <v>43</v>
      </c>
      <c r="H1828" s="9" t="s">
        <v>44</v>
      </c>
      <c r="I1828" s="11" t="s">
        <v>334</v>
      </c>
      <c r="J1828" s="9" t="s">
        <v>327</v>
      </c>
      <c r="K1828" s="9" t="s">
        <v>47</v>
      </c>
      <c r="L1828" s="9" t="s">
        <v>827</v>
      </c>
      <c r="M1828" s="9" t="s">
        <v>828</v>
      </c>
      <c r="N1828" s="9" t="s">
        <v>50</v>
      </c>
      <c r="O1828" s="9" t="s">
        <v>51</v>
      </c>
      <c r="P1828" s="9" t="s">
        <v>336</v>
      </c>
      <c r="Q1828" s="9"/>
      <c r="R1828" s="9" t="s">
        <v>61</v>
      </c>
      <c r="S1828" s="9" t="s">
        <v>6506</v>
      </c>
      <c r="T1828" s="9" t="s">
        <v>6507</v>
      </c>
      <c r="U1828" s="9" t="s">
        <v>54</v>
      </c>
      <c r="V1828" s="9" t="s">
        <v>55</v>
      </c>
      <c r="W1828" s="9" t="s">
        <v>55</v>
      </c>
      <c r="X1828" s="12" t="s">
        <v>150</v>
      </c>
      <c r="Y1828" s="9" t="s">
        <v>151</v>
      </c>
      <c r="Z1828" s="13"/>
    </row>
    <row r="1829" spans="1:26" ht="32.25" hidden="1" customHeight="1">
      <c r="A1829" s="8">
        <v>2310930</v>
      </c>
      <c r="B1829" s="9" t="s">
        <v>6508</v>
      </c>
      <c r="C1829" s="10">
        <v>45156</v>
      </c>
      <c r="D1829" s="9" t="s">
        <v>79</v>
      </c>
      <c r="E1829" s="9" t="s">
        <v>41</v>
      </c>
      <c r="F1829" s="9" t="s">
        <v>80</v>
      </c>
      <c r="G1829" s="9" t="s">
        <v>43</v>
      </c>
      <c r="H1829" s="9" t="s">
        <v>44</v>
      </c>
      <c r="I1829" s="11" t="s">
        <v>81</v>
      </c>
      <c r="J1829" s="9" t="s">
        <v>46</v>
      </c>
      <c r="K1829" s="9" t="s">
        <v>47</v>
      </c>
      <c r="L1829" s="9" t="s">
        <v>706</v>
      </c>
      <c r="M1829" s="9" t="s">
        <v>1262</v>
      </c>
      <c r="N1829" s="9" t="s">
        <v>50</v>
      </c>
      <c r="O1829" s="9" t="s">
        <v>51</v>
      </c>
      <c r="P1829" s="9" t="s">
        <v>503</v>
      </c>
      <c r="Q1829" s="9"/>
      <c r="R1829" s="9" t="s">
        <v>61</v>
      </c>
      <c r="S1829" s="14" t="s">
        <v>6509</v>
      </c>
      <c r="T1829" s="9" t="s">
        <v>6510</v>
      </c>
      <c r="U1829" s="9" t="s">
        <v>54</v>
      </c>
      <c r="V1829" s="9" t="s">
        <v>331</v>
      </c>
      <c r="W1829" s="9" t="s">
        <v>115</v>
      </c>
      <c r="X1829" s="9" t="s">
        <v>64</v>
      </c>
      <c r="Y1829" s="9" t="s">
        <v>65</v>
      </c>
      <c r="Z1829" s="13"/>
    </row>
    <row r="1830" spans="1:26" ht="32.25" hidden="1" customHeight="1">
      <c r="A1830" s="8">
        <v>2308654</v>
      </c>
      <c r="B1830" s="9" t="s">
        <v>6511</v>
      </c>
      <c r="C1830" s="10">
        <v>45156</v>
      </c>
      <c r="D1830" s="9" t="s">
        <v>2555</v>
      </c>
      <c r="E1830" s="9" t="s">
        <v>143</v>
      </c>
      <c r="F1830" s="9" t="s">
        <v>80</v>
      </c>
      <c r="G1830" s="9" t="s">
        <v>43</v>
      </c>
      <c r="H1830" s="9" t="s">
        <v>44</v>
      </c>
      <c r="I1830" s="11" t="s">
        <v>725</v>
      </c>
      <c r="J1830" s="9" t="s">
        <v>145</v>
      </c>
      <c r="K1830" s="9" t="s">
        <v>47</v>
      </c>
      <c r="L1830" s="9" t="s">
        <v>1087</v>
      </c>
      <c r="M1830" s="9" t="s">
        <v>6512</v>
      </c>
      <c r="N1830" s="9" t="s">
        <v>50</v>
      </c>
      <c r="O1830" s="9" t="s">
        <v>51</v>
      </c>
      <c r="P1830" s="9" t="s">
        <v>1520</v>
      </c>
      <c r="Q1830" s="9"/>
      <c r="R1830" s="9" t="s">
        <v>61</v>
      </c>
      <c r="S1830" s="14" t="s">
        <v>6513</v>
      </c>
      <c r="T1830" s="9" t="s">
        <v>6514</v>
      </c>
      <c r="U1830" s="9" t="s">
        <v>54</v>
      </c>
      <c r="V1830" s="9" t="s">
        <v>251</v>
      </c>
      <c r="W1830" s="9" t="s">
        <v>115</v>
      </c>
      <c r="X1830" s="12" t="s">
        <v>171</v>
      </c>
      <c r="Y1830" s="9" t="s">
        <v>172</v>
      </c>
      <c r="Z1830" s="13"/>
    </row>
    <row r="1831" spans="1:26" ht="32.25" hidden="1" customHeight="1">
      <c r="A1831" s="8">
        <v>2309362</v>
      </c>
      <c r="B1831" s="9" t="s">
        <v>6515</v>
      </c>
      <c r="C1831" s="10">
        <v>45149</v>
      </c>
      <c r="D1831" s="9" t="s">
        <v>57</v>
      </c>
      <c r="E1831" s="9" t="s">
        <v>41</v>
      </c>
      <c r="F1831" s="9" t="s">
        <v>42</v>
      </c>
      <c r="G1831" s="9" t="s">
        <v>43</v>
      </c>
      <c r="H1831" s="9" t="s">
        <v>58</v>
      </c>
      <c r="I1831" s="11" t="s">
        <v>129</v>
      </c>
      <c r="J1831" s="9" t="s">
        <v>130</v>
      </c>
      <c r="K1831" s="9" t="s">
        <v>47</v>
      </c>
      <c r="L1831" s="9" t="s">
        <v>156</v>
      </c>
      <c r="M1831" s="9"/>
      <c r="N1831" s="9" t="s">
        <v>50</v>
      </c>
      <c r="O1831" s="9" t="s">
        <v>51</v>
      </c>
      <c r="P1831" s="9"/>
      <c r="Q1831" s="9"/>
      <c r="R1831" s="9"/>
      <c r="S1831" s="14" t="s">
        <v>6516</v>
      </c>
      <c r="T1831" s="9" t="s">
        <v>6517</v>
      </c>
      <c r="U1831" s="9" t="s">
        <v>54</v>
      </c>
      <c r="V1831" s="9" t="s">
        <v>55</v>
      </c>
      <c r="W1831" s="9" t="s">
        <v>55</v>
      </c>
      <c r="X1831" s="12"/>
      <c r="Y1831" s="9" t="s">
        <v>55</v>
      </c>
      <c r="Z1831" s="13"/>
    </row>
    <row r="1832" spans="1:26" ht="32.25" hidden="1" customHeight="1">
      <c r="A1832" s="8">
        <v>2306429</v>
      </c>
      <c r="B1832" s="9" t="s">
        <v>6518</v>
      </c>
      <c r="C1832" s="10">
        <v>45136</v>
      </c>
      <c r="D1832" s="9" t="s">
        <v>301</v>
      </c>
      <c r="E1832" s="9" t="s">
        <v>41</v>
      </c>
      <c r="F1832" s="9" t="s">
        <v>42</v>
      </c>
      <c r="G1832" s="9" t="s">
        <v>43</v>
      </c>
      <c r="H1832" s="9" t="s">
        <v>44</v>
      </c>
      <c r="I1832" s="11" t="s">
        <v>45</v>
      </c>
      <c r="J1832" s="9" t="s">
        <v>46</v>
      </c>
      <c r="K1832" s="9" t="s">
        <v>47</v>
      </c>
      <c r="L1832" s="9" t="s">
        <v>48</v>
      </c>
      <c r="M1832" s="9" t="s">
        <v>1366</v>
      </c>
      <c r="N1832" s="9" t="s">
        <v>50</v>
      </c>
      <c r="O1832" s="9" t="s">
        <v>51</v>
      </c>
      <c r="P1832" s="9"/>
      <c r="Q1832" s="9"/>
      <c r="R1832" s="9"/>
      <c r="S1832" s="9" t="s">
        <v>6519</v>
      </c>
      <c r="T1832" s="9" t="s">
        <v>6520</v>
      </c>
      <c r="U1832" s="9" t="s">
        <v>54</v>
      </c>
      <c r="V1832" s="9" t="s">
        <v>55</v>
      </c>
      <c r="W1832" s="9" t="s">
        <v>55</v>
      </c>
      <c r="X1832" s="12"/>
      <c r="Y1832" s="9" t="s">
        <v>55</v>
      </c>
      <c r="Z1832" s="13"/>
    </row>
    <row r="1833" spans="1:26" ht="32.25" hidden="1" customHeight="1">
      <c r="A1833" s="8">
        <v>2301117</v>
      </c>
      <c r="B1833" s="9" t="s">
        <v>6521</v>
      </c>
      <c r="C1833" s="10">
        <v>45136</v>
      </c>
      <c r="D1833" s="9" t="s">
        <v>40</v>
      </c>
      <c r="E1833" s="9" t="s">
        <v>41</v>
      </c>
      <c r="F1833" s="9" t="s">
        <v>42</v>
      </c>
      <c r="G1833" s="9" t="s">
        <v>43</v>
      </c>
      <c r="H1833" s="9" t="s">
        <v>44</v>
      </c>
      <c r="I1833" s="11" t="s">
        <v>129</v>
      </c>
      <c r="J1833" s="9" t="s">
        <v>130</v>
      </c>
      <c r="K1833" s="9" t="s">
        <v>47</v>
      </c>
      <c r="L1833" s="9" t="s">
        <v>156</v>
      </c>
      <c r="M1833" s="9"/>
      <c r="N1833" s="9" t="s">
        <v>84</v>
      </c>
      <c r="O1833" s="9" t="s">
        <v>51</v>
      </c>
      <c r="P1833" s="9"/>
      <c r="Q1833" s="9"/>
      <c r="R1833" s="9"/>
      <c r="S1833" s="9" t="s">
        <v>6522</v>
      </c>
      <c r="T1833" s="9" t="s">
        <v>6523</v>
      </c>
      <c r="U1833" s="9" t="s">
        <v>54</v>
      </c>
      <c r="V1833" s="9" t="s">
        <v>55</v>
      </c>
      <c r="W1833" s="9" t="s">
        <v>55</v>
      </c>
      <c r="X1833" s="12"/>
      <c r="Y1833" s="9" t="s">
        <v>55</v>
      </c>
      <c r="Z1833" s="13"/>
    </row>
    <row r="1834" spans="1:26" ht="32.25" hidden="1" customHeight="1">
      <c r="A1834" s="8">
        <v>2305998</v>
      </c>
      <c r="B1834" s="9" t="s">
        <v>6524</v>
      </c>
      <c r="C1834" s="10">
        <v>45142</v>
      </c>
      <c r="D1834" s="9" t="s">
        <v>67</v>
      </c>
      <c r="E1834" s="9" t="s">
        <v>143</v>
      </c>
      <c r="F1834" s="9" t="s">
        <v>42</v>
      </c>
      <c r="G1834" s="9" t="s">
        <v>43</v>
      </c>
      <c r="H1834" s="9" t="s">
        <v>44</v>
      </c>
      <c r="I1834" s="11" t="s">
        <v>144</v>
      </c>
      <c r="J1834" s="9" t="s">
        <v>145</v>
      </c>
      <c r="K1834" s="9" t="s">
        <v>47</v>
      </c>
      <c r="L1834" s="9" t="s">
        <v>349</v>
      </c>
      <c r="M1834" s="9" t="s">
        <v>2580</v>
      </c>
      <c r="N1834" s="9" t="s">
        <v>50</v>
      </c>
      <c r="O1834" s="9" t="s">
        <v>51</v>
      </c>
      <c r="P1834" s="9" t="s">
        <v>147</v>
      </c>
      <c r="Q1834" s="9" t="s">
        <v>465</v>
      </c>
      <c r="R1834" s="9" t="s">
        <v>61</v>
      </c>
      <c r="S1834" s="9" t="s">
        <v>6525</v>
      </c>
      <c r="T1834" s="9" t="s">
        <v>6526</v>
      </c>
      <c r="U1834" s="9" t="s">
        <v>54</v>
      </c>
      <c r="V1834" s="9" t="s">
        <v>55</v>
      </c>
      <c r="W1834" s="9" t="s">
        <v>55</v>
      </c>
      <c r="X1834" s="12" t="s">
        <v>150</v>
      </c>
      <c r="Y1834" s="9" t="s">
        <v>151</v>
      </c>
      <c r="Z1834" s="13"/>
    </row>
    <row r="1835" spans="1:26" ht="32.25" hidden="1" customHeight="1">
      <c r="A1835" s="8">
        <v>2306091</v>
      </c>
      <c r="B1835" s="9" t="s">
        <v>6527</v>
      </c>
      <c r="C1835" s="10">
        <v>45149</v>
      </c>
      <c r="D1835" s="9" t="s">
        <v>57</v>
      </c>
      <c r="E1835" s="9" t="s">
        <v>41</v>
      </c>
      <c r="F1835" s="9" t="s">
        <v>42</v>
      </c>
      <c r="G1835" s="9" t="s">
        <v>43</v>
      </c>
      <c r="H1835" s="9" t="s">
        <v>58</v>
      </c>
      <c r="I1835" s="11" t="s">
        <v>199</v>
      </c>
      <c r="J1835" s="9" t="s">
        <v>200</v>
      </c>
      <c r="K1835" s="9" t="s">
        <v>47</v>
      </c>
      <c r="L1835" s="9" t="s">
        <v>156</v>
      </c>
      <c r="M1835" s="9"/>
      <c r="N1835" s="9" t="s">
        <v>84</v>
      </c>
      <c r="O1835" s="9" t="s">
        <v>51</v>
      </c>
      <c r="P1835" s="9"/>
      <c r="Q1835" s="9"/>
      <c r="R1835" s="9"/>
      <c r="S1835" s="14" t="s">
        <v>6528</v>
      </c>
      <c r="T1835" s="9" t="s">
        <v>6529</v>
      </c>
      <c r="U1835" s="9" t="s">
        <v>54</v>
      </c>
      <c r="V1835" s="9" t="s">
        <v>55</v>
      </c>
      <c r="W1835" s="9" t="s">
        <v>55</v>
      </c>
      <c r="X1835" s="12"/>
      <c r="Y1835" s="9" t="s">
        <v>55</v>
      </c>
      <c r="Z1835" s="13"/>
    </row>
    <row r="1836" spans="1:26" ht="32.25" hidden="1" customHeight="1">
      <c r="A1836" s="8">
        <v>2310844</v>
      </c>
      <c r="B1836" s="9" t="s">
        <v>6530</v>
      </c>
      <c r="C1836" s="10">
        <v>45142</v>
      </c>
      <c r="D1836" s="9" t="s">
        <v>67</v>
      </c>
      <c r="E1836" s="9" t="s">
        <v>68</v>
      </c>
      <c r="F1836" s="9" t="s">
        <v>135</v>
      </c>
      <c r="G1836" s="9" t="s">
        <v>43</v>
      </c>
      <c r="H1836" s="9" t="s">
        <v>44</v>
      </c>
      <c r="I1836" s="11" t="s">
        <v>136</v>
      </c>
      <c r="J1836" s="9" t="s">
        <v>137</v>
      </c>
      <c r="K1836" s="9" t="s">
        <v>47</v>
      </c>
      <c r="L1836" s="9" t="s">
        <v>221</v>
      </c>
      <c r="M1836" s="9" t="s">
        <v>1142</v>
      </c>
      <c r="N1836" s="9" t="s">
        <v>50</v>
      </c>
      <c r="O1836" s="9" t="s">
        <v>51</v>
      </c>
      <c r="P1836" s="9"/>
      <c r="Q1836" s="9"/>
      <c r="R1836" s="9" t="s">
        <v>61</v>
      </c>
      <c r="S1836" s="9" t="s">
        <v>6531</v>
      </c>
      <c r="T1836" s="9" t="s">
        <v>6532</v>
      </c>
      <c r="U1836" s="9" t="s">
        <v>54</v>
      </c>
      <c r="V1836" s="9" t="s">
        <v>55</v>
      </c>
      <c r="W1836" s="9" t="s">
        <v>55</v>
      </c>
      <c r="X1836" s="12" t="s">
        <v>76</v>
      </c>
      <c r="Y1836" s="9" t="s">
        <v>77</v>
      </c>
      <c r="Z1836" s="13"/>
    </row>
    <row r="1837" spans="1:26" ht="32.25" hidden="1" customHeight="1">
      <c r="A1837" s="8">
        <v>2304035</v>
      </c>
      <c r="B1837" s="9" t="s">
        <v>6533</v>
      </c>
      <c r="C1837" s="10">
        <v>45142</v>
      </c>
      <c r="D1837" s="9" t="s">
        <v>67</v>
      </c>
      <c r="E1837" s="9" t="s">
        <v>89</v>
      </c>
      <c r="F1837" s="9" t="s">
        <v>42</v>
      </c>
      <c r="G1837" s="9" t="s">
        <v>43</v>
      </c>
      <c r="H1837" s="9" t="s">
        <v>44</v>
      </c>
      <c r="I1837" s="11" t="s">
        <v>354</v>
      </c>
      <c r="J1837" s="9" t="s">
        <v>91</v>
      </c>
      <c r="K1837" s="9" t="s">
        <v>47</v>
      </c>
      <c r="L1837" s="9" t="s">
        <v>174</v>
      </c>
      <c r="M1837" s="9" t="s">
        <v>6534</v>
      </c>
      <c r="N1837" s="9" t="s">
        <v>50</v>
      </c>
      <c r="O1837" s="9" t="s">
        <v>51</v>
      </c>
      <c r="P1837" s="9" t="s">
        <v>356</v>
      </c>
      <c r="Q1837" s="9"/>
      <c r="R1837" s="9" t="s">
        <v>61</v>
      </c>
      <c r="S1837" s="9" t="s">
        <v>6535</v>
      </c>
      <c r="T1837" s="9" t="s">
        <v>6536</v>
      </c>
      <c r="U1837" s="9" t="s">
        <v>54</v>
      </c>
      <c r="V1837" s="9" t="s">
        <v>55</v>
      </c>
      <c r="W1837" s="9" t="s">
        <v>55</v>
      </c>
      <c r="X1837" s="12" t="s">
        <v>98</v>
      </c>
      <c r="Y1837" s="9" t="s">
        <v>99</v>
      </c>
      <c r="Z1837" s="13"/>
    </row>
    <row r="1838" spans="1:26" ht="32.25" hidden="1" customHeight="1">
      <c r="A1838" s="8">
        <v>2302173</v>
      </c>
      <c r="B1838" s="9" t="s">
        <v>6537</v>
      </c>
      <c r="C1838" s="10">
        <v>45136</v>
      </c>
      <c r="D1838" s="9" t="s">
        <v>40</v>
      </c>
      <c r="E1838" s="9" t="s">
        <v>41</v>
      </c>
      <c r="F1838" s="9" t="s">
        <v>42</v>
      </c>
      <c r="G1838" s="9" t="s">
        <v>43</v>
      </c>
      <c r="H1838" s="9" t="s">
        <v>44</v>
      </c>
      <c r="I1838" s="11" t="s">
        <v>45</v>
      </c>
      <c r="J1838" s="9" t="s">
        <v>46</v>
      </c>
      <c r="K1838" s="9" t="s">
        <v>47</v>
      </c>
      <c r="L1838" s="9" t="s">
        <v>156</v>
      </c>
      <c r="M1838" s="9"/>
      <c r="N1838" s="9" t="s">
        <v>50</v>
      </c>
      <c r="O1838" s="9" t="s">
        <v>51</v>
      </c>
      <c r="P1838" s="9"/>
      <c r="Q1838" s="9"/>
      <c r="R1838" s="9"/>
      <c r="S1838" s="9" t="s">
        <v>6538</v>
      </c>
      <c r="T1838" s="9" t="s">
        <v>6539</v>
      </c>
      <c r="U1838" s="9" t="s">
        <v>54</v>
      </c>
      <c r="V1838" s="9" t="s">
        <v>55</v>
      </c>
      <c r="W1838" s="9" t="s">
        <v>55</v>
      </c>
      <c r="X1838" s="12"/>
      <c r="Y1838" s="9" t="s">
        <v>55</v>
      </c>
      <c r="Z1838" s="13"/>
    </row>
    <row r="1839" spans="1:26" ht="32.25" hidden="1" customHeight="1">
      <c r="A1839" s="8">
        <v>2315089</v>
      </c>
      <c r="B1839" s="9" t="s">
        <v>6540</v>
      </c>
      <c r="C1839" s="10">
        <v>45156</v>
      </c>
      <c r="D1839" s="9" t="s">
        <v>79</v>
      </c>
      <c r="E1839" s="9" t="s">
        <v>143</v>
      </c>
      <c r="F1839" s="9" t="s">
        <v>80</v>
      </c>
      <c r="G1839" s="9" t="s">
        <v>43</v>
      </c>
      <c r="H1839" s="9" t="s">
        <v>44</v>
      </c>
      <c r="I1839" s="11" t="s">
        <v>326</v>
      </c>
      <c r="J1839" s="9" t="s">
        <v>327</v>
      </c>
      <c r="K1839" s="9" t="s">
        <v>47</v>
      </c>
      <c r="L1839" s="9" t="s">
        <v>1760</v>
      </c>
      <c r="M1839" s="9" t="s">
        <v>1761</v>
      </c>
      <c r="N1839" s="9" t="s">
        <v>50</v>
      </c>
      <c r="O1839" s="9" t="s">
        <v>51</v>
      </c>
      <c r="P1839" s="9" t="s">
        <v>1143</v>
      </c>
      <c r="Q1839" s="9"/>
      <c r="R1839" s="9" t="s">
        <v>61</v>
      </c>
      <c r="S1839" s="14" t="s">
        <v>6541</v>
      </c>
      <c r="T1839" s="9" t="s">
        <v>6542</v>
      </c>
      <c r="U1839" s="9" t="s">
        <v>54</v>
      </c>
      <c r="V1839" s="9" t="s">
        <v>251</v>
      </c>
      <c r="W1839" s="9" t="s">
        <v>115</v>
      </c>
      <c r="X1839" s="12" t="s">
        <v>171</v>
      </c>
      <c r="Y1839" s="9" t="s">
        <v>172</v>
      </c>
      <c r="Z1839" s="13"/>
    </row>
    <row r="1840" spans="1:26" ht="32.25" hidden="1" customHeight="1">
      <c r="A1840" s="8">
        <v>2306385</v>
      </c>
      <c r="B1840" s="9" t="s">
        <v>6543</v>
      </c>
      <c r="C1840" s="10">
        <v>45142</v>
      </c>
      <c r="D1840" s="9" t="s">
        <v>67</v>
      </c>
      <c r="E1840" s="9" t="s">
        <v>68</v>
      </c>
      <c r="F1840" s="9" t="s">
        <v>135</v>
      </c>
      <c r="G1840" s="9" t="s">
        <v>43</v>
      </c>
      <c r="H1840" s="9" t="s">
        <v>44</v>
      </c>
      <c r="I1840" s="11" t="s">
        <v>136</v>
      </c>
      <c r="J1840" s="9" t="s">
        <v>137</v>
      </c>
      <c r="K1840" s="9" t="s">
        <v>47</v>
      </c>
      <c r="L1840" s="9" t="s">
        <v>174</v>
      </c>
      <c r="M1840" s="9" t="s">
        <v>1190</v>
      </c>
      <c r="N1840" s="9" t="s">
        <v>84</v>
      </c>
      <c r="O1840" s="9" t="s">
        <v>51</v>
      </c>
      <c r="P1840" s="9"/>
      <c r="Q1840" s="9"/>
      <c r="R1840" s="9" t="s">
        <v>61</v>
      </c>
      <c r="S1840" s="9" t="s">
        <v>6544</v>
      </c>
      <c r="T1840" s="9" t="s">
        <v>6545</v>
      </c>
      <c r="U1840" s="9" t="s">
        <v>54</v>
      </c>
      <c r="V1840" s="9" t="s">
        <v>55</v>
      </c>
      <c r="W1840" s="9" t="s">
        <v>55</v>
      </c>
      <c r="X1840" s="12" t="s">
        <v>76</v>
      </c>
      <c r="Y1840" s="9" t="s">
        <v>77</v>
      </c>
      <c r="Z1840" s="13"/>
    </row>
    <row r="1841" spans="1:26" ht="32.25" hidden="1" customHeight="1">
      <c r="A1841" s="8">
        <v>2302461</v>
      </c>
      <c r="B1841" s="9" t="s">
        <v>6546</v>
      </c>
      <c r="C1841" s="10">
        <v>45142</v>
      </c>
      <c r="D1841" s="9" t="s">
        <v>67</v>
      </c>
      <c r="E1841" s="9" t="s">
        <v>89</v>
      </c>
      <c r="F1841" s="9" t="s">
        <v>42</v>
      </c>
      <c r="G1841" s="9" t="s">
        <v>43</v>
      </c>
      <c r="H1841" s="9" t="s">
        <v>44</v>
      </c>
      <c r="I1841" s="11" t="s">
        <v>360</v>
      </c>
      <c r="J1841" s="9" t="s">
        <v>102</v>
      </c>
      <c r="K1841" s="9" t="s">
        <v>47</v>
      </c>
      <c r="L1841" s="9" t="s">
        <v>156</v>
      </c>
      <c r="M1841" s="9"/>
      <c r="N1841" s="9" t="s">
        <v>84</v>
      </c>
      <c r="O1841" s="9" t="s">
        <v>51</v>
      </c>
      <c r="P1841" s="9" t="s">
        <v>361</v>
      </c>
      <c r="Q1841" s="9"/>
      <c r="R1841" s="9"/>
      <c r="S1841" s="9" t="s">
        <v>6547</v>
      </c>
      <c r="T1841" s="9" t="s">
        <v>6548</v>
      </c>
      <c r="U1841" s="9" t="s">
        <v>54</v>
      </c>
      <c r="V1841" s="9" t="s">
        <v>55</v>
      </c>
      <c r="W1841" s="9" t="s">
        <v>55</v>
      </c>
      <c r="X1841" s="12"/>
      <c r="Y1841" s="9" t="s">
        <v>55</v>
      </c>
      <c r="Z1841" s="13"/>
    </row>
    <row r="1842" spans="1:26" ht="32.25" hidden="1" customHeight="1">
      <c r="A1842" s="8">
        <v>2304299</v>
      </c>
      <c r="B1842" s="9" t="s">
        <v>6549</v>
      </c>
      <c r="C1842" s="10">
        <v>45156</v>
      </c>
      <c r="D1842" s="9" t="s">
        <v>79</v>
      </c>
      <c r="E1842" s="9" t="s">
        <v>89</v>
      </c>
      <c r="F1842" s="9" t="s">
        <v>80</v>
      </c>
      <c r="G1842" s="9" t="s">
        <v>43</v>
      </c>
      <c r="H1842" s="9" t="s">
        <v>44</v>
      </c>
      <c r="I1842" s="11" t="s">
        <v>90</v>
      </c>
      <c r="J1842" s="9" t="s">
        <v>91</v>
      </c>
      <c r="K1842" s="9" t="s">
        <v>47</v>
      </c>
      <c r="L1842" s="9" t="s">
        <v>156</v>
      </c>
      <c r="M1842" s="9"/>
      <c r="N1842" s="9" t="s">
        <v>50</v>
      </c>
      <c r="O1842" s="9" t="s">
        <v>51</v>
      </c>
      <c r="P1842" s="9" t="s">
        <v>546</v>
      </c>
      <c r="Q1842" s="9"/>
      <c r="R1842" s="9"/>
      <c r="S1842" s="14" t="s">
        <v>6550</v>
      </c>
      <c r="T1842" s="9" t="s">
        <v>6551</v>
      </c>
      <c r="U1842" s="9" t="s">
        <v>54</v>
      </c>
      <c r="V1842" s="9"/>
      <c r="W1842" s="9" t="s">
        <v>115</v>
      </c>
      <c r="X1842" s="12"/>
      <c r="Y1842" s="9" t="s">
        <v>55</v>
      </c>
      <c r="Z1842" s="13"/>
    </row>
    <row r="1843" spans="1:26" ht="32.25" hidden="1" customHeight="1">
      <c r="A1843" s="8">
        <v>2302844</v>
      </c>
      <c r="B1843" s="9" t="s">
        <v>6552</v>
      </c>
      <c r="C1843" s="10">
        <v>45149</v>
      </c>
      <c r="D1843" s="9" t="s">
        <v>57</v>
      </c>
      <c r="E1843" s="9" t="s">
        <v>295</v>
      </c>
      <c r="F1843" s="9" t="s">
        <v>42</v>
      </c>
      <c r="G1843" s="9" t="s">
        <v>43</v>
      </c>
      <c r="H1843" s="9" t="s">
        <v>58</v>
      </c>
      <c r="I1843" s="11" t="s">
        <v>296</v>
      </c>
      <c r="J1843" s="9" t="s">
        <v>297</v>
      </c>
      <c r="K1843" s="9" t="s">
        <v>47</v>
      </c>
      <c r="L1843" s="9" t="s">
        <v>156</v>
      </c>
      <c r="M1843" s="9"/>
      <c r="N1843" s="9" t="s">
        <v>50</v>
      </c>
      <c r="O1843" s="9" t="s">
        <v>51</v>
      </c>
      <c r="P1843" s="9"/>
      <c r="Q1843" s="9"/>
      <c r="R1843" s="9"/>
      <c r="S1843" s="14" t="s">
        <v>6553</v>
      </c>
      <c r="T1843" s="9" t="s">
        <v>6554</v>
      </c>
      <c r="U1843" s="9" t="s">
        <v>54</v>
      </c>
      <c r="V1843" s="9" t="s">
        <v>55</v>
      </c>
      <c r="W1843" s="9" t="s">
        <v>55</v>
      </c>
      <c r="X1843" s="12"/>
      <c r="Y1843" s="9" t="s">
        <v>55</v>
      </c>
      <c r="Z1843" s="13"/>
    </row>
    <row r="1844" spans="1:26" ht="32.25" hidden="1" customHeight="1">
      <c r="A1844" s="8">
        <v>2302290</v>
      </c>
      <c r="B1844" s="9" t="s">
        <v>6555</v>
      </c>
      <c r="C1844" s="10">
        <v>45142</v>
      </c>
      <c r="D1844" s="9" t="s">
        <v>67</v>
      </c>
      <c r="E1844" s="9" t="s">
        <v>68</v>
      </c>
      <c r="F1844" s="9" t="s">
        <v>135</v>
      </c>
      <c r="G1844" s="9" t="s">
        <v>43</v>
      </c>
      <c r="H1844" s="9" t="s">
        <v>44</v>
      </c>
      <c r="I1844" s="11" t="s">
        <v>136</v>
      </c>
      <c r="J1844" s="9" t="s">
        <v>137</v>
      </c>
      <c r="K1844" s="9" t="s">
        <v>47</v>
      </c>
      <c r="L1844" s="9" t="s">
        <v>156</v>
      </c>
      <c r="M1844" s="9"/>
      <c r="N1844" s="9" t="s">
        <v>84</v>
      </c>
      <c r="O1844" s="9" t="s">
        <v>51</v>
      </c>
      <c r="P1844" s="9"/>
      <c r="Q1844" s="9"/>
      <c r="R1844" s="9"/>
      <c r="S1844" s="9" t="s">
        <v>6556</v>
      </c>
      <c r="T1844" s="9" t="s">
        <v>6557</v>
      </c>
      <c r="U1844" s="9" t="s">
        <v>54</v>
      </c>
      <c r="V1844" s="9" t="s">
        <v>55</v>
      </c>
      <c r="W1844" s="9" t="s">
        <v>55</v>
      </c>
      <c r="X1844" s="12"/>
      <c r="Y1844" s="9" t="s">
        <v>55</v>
      </c>
      <c r="Z1844" s="13"/>
    </row>
    <row r="1845" spans="1:26" ht="32.25" hidden="1" customHeight="1">
      <c r="A1845" s="8">
        <v>2303731</v>
      </c>
      <c r="B1845" s="9" t="s">
        <v>6558</v>
      </c>
      <c r="C1845" s="10">
        <v>45142</v>
      </c>
      <c r="D1845" s="9" t="s">
        <v>67</v>
      </c>
      <c r="E1845" s="9" t="s">
        <v>89</v>
      </c>
      <c r="F1845" s="9" t="s">
        <v>42</v>
      </c>
      <c r="G1845" s="9" t="s">
        <v>43</v>
      </c>
      <c r="H1845" s="9" t="s">
        <v>44</v>
      </c>
      <c r="I1845" s="11" t="s">
        <v>360</v>
      </c>
      <c r="J1845" s="9" t="s">
        <v>102</v>
      </c>
      <c r="K1845" s="9" t="s">
        <v>47</v>
      </c>
      <c r="L1845" s="9" t="s">
        <v>156</v>
      </c>
      <c r="M1845" s="9"/>
      <c r="N1845" s="9" t="s">
        <v>84</v>
      </c>
      <c r="O1845" s="9" t="s">
        <v>51</v>
      </c>
      <c r="P1845" s="9" t="s">
        <v>361</v>
      </c>
      <c r="Q1845" s="9"/>
      <c r="R1845" s="9"/>
      <c r="S1845" s="9" t="s">
        <v>6559</v>
      </c>
      <c r="T1845" s="9" t="s">
        <v>6560</v>
      </c>
      <c r="U1845" s="9" t="s">
        <v>54</v>
      </c>
      <c r="V1845" s="9" t="s">
        <v>55</v>
      </c>
      <c r="W1845" s="9" t="s">
        <v>55</v>
      </c>
      <c r="X1845" s="12"/>
      <c r="Y1845" s="9" t="s">
        <v>55</v>
      </c>
      <c r="Z1845" s="13"/>
    </row>
    <row r="1846" spans="1:26" ht="32.25" hidden="1" customHeight="1">
      <c r="A1846" s="8">
        <v>2311446</v>
      </c>
      <c r="B1846" s="9" t="s">
        <v>6561</v>
      </c>
      <c r="C1846" s="10">
        <v>45156</v>
      </c>
      <c r="D1846" s="9" t="s">
        <v>79</v>
      </c>
      <c r="E1846" s="9" t="s">
        <v>89</v>
      </c>
      <c r="F1846" s="9" t="s">
        <v>80</v>
      </c>
      <c r="G1846" s="9" t="s">
        <v>43</v>
      </c>
      <c r="H1846" s="9" t="s">
        <v>44</v>
      </c>
      <c r="I1846" s="11" t="s">
        <v>90</v>
      </c>
      <c r="J1846" s="9" t="s">
        <v>91</v>
      </c>
      <c r="K1846" s="9" t="s">
        <v>47</v>
      </c>
      <c r="L1846" s="9" t="s">
        <v>156</v>
      </c>
      <c r="M1846" s="9"/>
      <c r="N1846" s="9" t="s">
        <v>84</v>
      </c>
      <c r="O1846" s="9" t="s">
        <v>51</v>
      </c>
      <c r="P1846" s="9" t="s">
        <v>176</v>
      </c>
      <c r="Q1846" s="9"/>
      <c r="R1846" s="9"/>
      <c r="S1846" s="14" t="s">
        <v>6562</v>
      </c>
      <c r="T1846" s="9" t="s">
        <v>6563</v>
      </c>
      <c r="U1846" s="9" t="s">
        <v>54</v>
      </c>
      <c r="V1846" s="9" t="s">
        <v>55</v>
      </c>
      <c r="W1846" s="9" t="s">
        <v>55</v>
      </c>
      <c r="X1846" s="12"/>
      <c r="Y1846" s="9" t="s">
        <v>55</v>
      </c>
      <c r="Z1846" s="13"/>
    </row>
    <row r="1847" spans="1:26" ht="32.25" hidden="1" customHeight="1">
      <c r="A1847" s="8">
        <v>2310314</v>
      </c>
      <c r="B1847" s="9" t="s">
        <v>6564</v>
      </c>
      <c r="C1847" s="10">
        <v>45156</v>
      </c>
      <c r="D1847" s="9" t="s">
        <v>79</v>
      </c>
      <c r="E1847" s="9" t="s">
        <v>295</v>
      </c>
      <c r="F1847" s="9" t="s">
        <v>80</v>
      </c>
      <c r="G1847" s="9" t="s">
        <v>43</v>
      </c>
      <c r="H1847" s="9" t="s">
        <v>44</v>
      </c>
      <c r="I1847" s="11" t="s">
        <v>1972</v>
      </c>
      <c r="J1847" s="9" t="s">
        <v>297</v>
      </c>
      <c r="K1847" s="9" t="s">
        <v>47</v>
      </c>
      <c r="L1847" s="9" t="s">
        <v>48</v>
      </c>
      <c r="M1847" s="9" t="s">
        <v>469</v>
      </c>
      <c r="N1847" s="9" t="s">
        <v>84</v>
      </c>
      <c r="O1847" s="9" t="s">
        <v>51</v>
      </c>
      <c r="P1847" s="9" t="s">
        <v>5943</v>
      </c>
      <c r="Q1847" s="9"/>
      <c r="R1847" s="9"/>
      <c r="S1847" s="14" t="s">
        <v>6565</v>
      </c>
      <c r="T1847" s="9" t="s">
        <v>6566</v>
      </c>
      <c r="U1847" s="9" t="s">
        <v>54</v>
      </c>
      <c r="V1847" s="9"/>
      <c r="W1847" s="9" t="s">
        <v>115</v>
      </c>
      <c r="X1847" s="12"/>
      <c r="Y1847" s="9" t="s">
        <v>55</v>
      </c>
      <c r="Z1847" s="13"/>
    </row>
    <row r="1848" spans="1:26" ht="32.25" hidden="1" customHeight="1">
      <c r="A1848" s="8">
        <v>2308673</v>
      </c>
      <c r="B1848" s="9" t="s">
        <v>6567</v>
      </c>
      <c r="C1848" s="10">
        <v>45156</v>
      </c>
      <c r="D1848" s="9" t="s">
        <v>79</v>
      </c>
      <c r="E1848" s="9" t="s">
        <v>295</v>
      </c>
      <c r="F1848" s="9" t="s">
        <v>80</v>
      </c>
      <c r="G1848" s="9" t="s">
        <v>43</v>
      </c>
      <c r="H1848" s="9" t="s">
        <v>44</v>
      </c>
      <c r="I1848" s="11" t="s">
        <v>1972</v>
      </c>
      <c r="J1848" s="9" t="s">
        <v>297</v>
      </c>
      <c r="K1848" s="9" t="s">
        <v>47</v>
      </c>
      <c r="L1848" s="9" t="s">
        <v>48</v>
      </c>
      <c r="M1848" s="9" t="s">
        <v>4135</v>
      </c>
      <c r="N1848" s="9" t="s">
        <v>50</v>
      </c>
      <c r="O1848" s="9" t="s">
        <v>51</v>
      </c>
      <c r="P1848" s="9" t="s">
        <v>1974</v>
      </c>
      <c r="Q1848" s="9"/>
      <c r="R1848" s="9"/>
      <c r="S1848" s="14" t="s">
        <v>6568</v>
      </c>
      <c r="T1848" s="9" t="s">
        <v>6569</v>
      </c>
      <c r="U1848" s="9" t="s">
        <v>54</v>
      </c>
      <c r="V1848" s="9" t="s">
        <v>318</v>
      </c>
      <c r="W1848" s="9" t="s">
        <v>115</v>
      </c>
      <c r="X1848" s="12"/>
      <c r="Y1848" s="9" t="s">
        <v>55</v>
      </c>
      <c r="Z1848" s="13"/>
    </row>
    <row r="1849" spans="1:26" ht="32.25" hidden="1" customHeight="1">
      <c r="A1849" s="8">
        <v>2303605</v>
      </c>
      <c r="B1849" s="9" t="s">
        <v>6570</v>
      </c>
      <c r="C1849" s="10">
        <v>45142</v>
      </c>
      <c r="D1849" s="9" t="s">
        <v>67</v>
      </c>
      <c r="E1849" s="9" t="s">
        <v>143</v>
      </c>
      <c r="F1849" s="9" t="s">
        <v>42</v>
      </c>
      <c r="G1849" s="9" t="s">
        <v>43</v>
      </c>
      <c r="H1849" s="9" t="s">
        <v>44</v>
      </c>
      <c r="I1849" s="11" t="s">
        <v>334</v>
      </c>
      <c r="J1849" s="9" t="s">
        <v>327</v>
      </c>
      <c r="K1849" s="9" t="s">
        <v>47</v>
      </c>
      <c r="L1849" s="9" t="s">
        <v>574</v>
      </c>
      <c r="M1849" s="9" t="s">
        <v>617</v>
      </c>
      <c r="N1849" s="9" t="s">
        <v>84</v>
      </c>
      <c r="O1849" s="9" t="s">
        <v>51</v>
      </c>
      <c r="P1849" s="9" t="s">
        <v>336</v>
      </c>
      <c r="Q1849" s="9"/>
      <c r="R1849" s="9" t="s">
        <v>61</v>
      </c>
      <c r="S1849" s="9" t="s">
        <v>6571</v>
      </c>
      <c r="T1849" s="9" t="s">
        <v>6572</v>
      </c>
      <c r="U1849" s="9" t="s">
        <v>54</v>
      </c>
      <c r="V1849" s="9" t="s">
        <v>55</v>
      </c>
      <c r="W1849" s="9" t="s">
        <v>55</v>
      </c>
      <c r="X1849" s="12" t="s">
        <v>150</v>
      </c>
      <c r="Y1849" s="9" t="s">
        <v>151</v>
      </c>
      <c r="Z1849" s="13"/>
    </row>
    <row r="1850" spans="1:26" ht="32.25" hidden="1" customHeight="1">
      <c r="A1850" s="8">
        <v>2307859</v>
      </c>
      <c r="B1850" s="9" t="s">
        <v>6573</v>
      </c>
      <c r="C1850" s="10">
        <v>45142</v>
      </c>
      <c r="D1850" s="9" t="s">
        <v>67</v>
      </c>
      <c r="E1850" s="9" t="s">
        <v>41</v>
      </c>
      <c r="F1850" s="9" t="s">
        <v>42</v>
      </c>
      <c r="G1850" s="9" t="s">
        <v>43</v>
      </c>
      <c r="H1850" s="9" t="s">
        <v>44</v>
      </c>
      <c r="I1850" s="11" t="s">
        <v>661</v>
      </c>
      <c r="J1850" s="9" t="s">
        <v>662</v>
      </c>
      <c r="K1850" s="9" t="s">
        <v>47</v>
      </c>
      <c r="L1850" s="9" t="s">
        <v>48</v>
      </c>
      <c r="M1850" s="9" t="s">
        <v>6574</v>
      </c>
      <c r="N1850" s="9" t="s">
        <v>84</v>
      </c>
      <c r="O1850" s="9" t="s">
        <v>51</v>
      </c>
      <c r="P1850" s="9"/>
      <c r="Q1850" s="9"/>
      <c r="R1850" s="9" t="s">
        <v>61</v>
      </c>
      <c r="S1850" s="9" t="s">
        <v>6575</v>
      </c>
      <c r="T1850" s="9" t="s">
        <v>6576</v>
      </c>
      <c r="U1850" s="9" t="s">
        <v>54</v>
      </c>
      <c r="V1850" s="9" t="s">
        <v>55</v>
      </c>
      <c r="W1850" s="9" t="s">
        <v>55</v>
      </c>
      <c r="X1850" s="9" t="s">
        <v>64</v>
      </c>
      <c r="Y1850" s="9" t="s">
        <v>65</v>
      </c>
      <c r="Z1850" s="13"/>
    </row>
    <row r="1851" spans="1:26" ht="32.25" hidden="1" customHeight="1">
      <c r="A1851" s="8">
        <v>2314995</v>
      </c>
      <c r="B1851" s="9" t="s">
        <v>6577</v>
      </c>
      <c r="C1851" s="10">
        <v>45156</v>
      </c>
      <c r="D1851" s="9" t="s">
        <v>79</v>
      </c>
      <c r="E1851" s="9" t="s">
        <v>41</v>
      </c>
      <c r="F1851" s="9" t="s">
        <v>80</v>
      </c>
      <c r="G1851" s="9" t="s">
        <v>43</v>
      </c>
      <c r="H1851" s="9" t="s">
        <v>44</v>
      </c>
      <c r="I1851" s="11" t="s">
        <v>233</v>
      </c>
      <c r="J1851" s="9" t="s">
        <v>200</v>
      </c>
      <c r="K1851" s="9" t="s">
        <v>47</v>
      </c>
      <c r="L1851" s="9" t="s">
        <v>777</v>
      </c>
      <c r="M1851" s="9"/>
      <c r="N1851" s="9" t="s">
        <v>50</v>
      </c>
      <c r="O1851" s="9" t="s">
        <v>51</v>
      </c>
      <c r="P1851" s="9" t="s">
        <v>865</v>
      </c>
      <c r="Q1851" s="9"/>
      <c r="R1851" s="9" t="s">
        <v>61</v>
      </c>
      <c r="S1851" s="14" t="s">
        <v>6578</v>
      </c>
      <c r="T1851" s="9" t="s">
        <v>6579</v>
      </c>
      <c r="U1851" s="9" t="s">
        <v>54</v>
      </c>
      <c r="V1851" s="9" t="s">
        <v>55</v>
      </c>
      <c r="W1851" s="9" t="s">
        <v>55</v>
      </c>
      <c r="X1851" s="9" t="s">
        <v>64</v>
      </c>
      <c r="Y1851" s="9" t="s">
        <v>65</v>
      </c>
      <c r="Z1851" s="13"/>
    </row>
    <row r="1852" spans="1:26" ht="32.25" hidden="1" customHeight="1">
      <c r="A1852" s="8">
        <v>2308497</v>
      </c>
      <c r="B1852" s="9" t="s">
        <v>6580</v>
      </c>
      <c r="C1852" s="10">
        <v>45149</v>
      </c>
      <c r="D1852" s="9" t="s">
        <v>261</v>
      </c>
      <c r="E1852" s="9" t="s">
        <v>89</v>
      </c>
      <c r="F1852" s="9" t="s">
        <v>262</v>
      </c>
      <c r="G1852" s="9" t="s">
        <v>43</v>
      </c>
      <c r="H1852" s="9" t="s">
        <v>44</v>
      </c>
      <c r="I1852" s="11" t="s">
        <v>1338</v>
      </c>
      <c r="J1852" s="9" t="s">
        <v>1339</v>
      </c>
      <c r="K1852" s="9" t="s">
        <v>47</v>
      </c>
      <c r="L1852" s="9" t="s">
        <v>174</v>
      </c>
      <c r="M1852" s="9" t="s">
        <v>1768</v>
      </c>
      <c r="N1852" s="9" t="s">
        <v>84</v>
      </c>
      <c r="O1852" s="9" t="s">
        <v>51</v>
      </c>
      <c r="P1852" s="9"/>
      <c r="Q1852" s="9"/>
      <c r="R1852" s="9" t="s">
        <v>61</v>
      </c>
      <c r="S1852" s="14" t="s">
        <v>6581</v>
      </c>
      <c r="T1852" s="9" t="s">
        <v>6582</v>
      </c>
      <c r="U1852" s="9" t="s">
        <v>262</v>
      </c>
      <c r="V1852" s="9" t="s">
        <v>55</v>
      </c>
      <c r="W1852" s="9" t="s">
        <v>55</v>
      </c>
      <c r="X1852" s="12" t="s">
        <v>389</v>
      </c>
      <c r="Y1852" s="9" t="s">
        <v>390</v>
      </c>
      <c r="Z1852" s="13"/>
    </row>
    <row r="1853" spans="1:26" ht="32.25" hidden="1" customHeight="1">
      <c r="A1853" s="8">
        <v>2309160</v>
      </c>
      <c r="B1853" s="9" t="s">
        <v>6583</v>
      </c>
      <c r="C1853" s="10">
        <v>45149</v>
      </c>
      <c r="D1853" s="9" t="s">
        <v>57</v>
      </c>
      <c r="E1853" s="9" t="s">
        <v>153</v>
      </c>
      <c r="F1853" s="9" t="s">
        <v>42</v>
      </c>
      <c r="G1853" s="9" t="s">
        <v>43</v>
      </c>
      <c r="H1853" s="9" t="s">
        <v>58</v>
      </c>
      <c r="I1853" s="11" t="s">
        <v>154</v>
      </c>
      <c r="J1853" s="9" t="s">
        <v>155</v>
      </c>
      <c r="K1853" s="9" t="s">
        <v>47</v>
      </c>
      <c r="L1853" s="9" t="s">
        <v>156</v>
      </c>
      <c r="M1853" s="9"/>
      <c r="N1853" s="9" t="s">
        <v>50</v>
      </c>
      <c r="O1853" s="9" t="s">
        <v>51</v>
      </c>
      <c r="P1853" s="9"/>
      <c r="Q1853" s="9"/>
      <c r="R1853" s="9"/>
      <c r="S1853" s="14" t="s">
        <v>6584</v>
      </c>
      <c r="T1853" s="9" t="s">
        <v>6585</v>
      </c>
      <c r="U1853" s="9" t="s">
        <v>54</v>
      </c>
      <c r="V1853" s="9" t="s">
        <v>55</v>
      </c>
      <c r="W1853" s="9" t="s">
        <v>55</v>
      </c>
      <c r="X1853" s="12"/>
      <c r="Y1853" s="9" t="s">
        <v>55</v>
      </c>
      <c r="Z1853" s="13"/>
    </row>
    <row r="1854" spans="1:26" ht="32.25" hidden="1" customHeight="1">
      <c r="A1854" s="8">
        <v>2304170</v>
      </c>
      <c r="B1854" s="9" t="s">
        <v>6586</v>
      </c>
      <c r="C1854" s="10">
        <v>45149</v>
      </c>
      <c r="D1854" s="9" t="s">
        <v>57</v>
      </c>
      <c r="E1854" s="9" t="s">
        <v>295</v>
      </c>
      <c r="F1854" s="9" t="s">
        <v>42</v>
      </c>
      <c r="G1854" s="9" t="s">
        <v>43</v>
      </c>
      <c r="H1854" s="9" t="s">
        <v>58</v>
      </c>
      <c r="I1854" s="11" t="s">
        <v>406</v>
      </c>
      <c r="J1854" s="9" t="s">
        <v>407</v>
      </c>
      <c r="K1854" s="9" t="s">
        <v>47</v>
      </c>
      <c r="L1854" s="9" t="s">
        <v>156</v>
      </c>
      <c r="M1854" s="9"/>
      <c r="N1854" s="9" t="s">
        <v>84</v>
      </c>
      <c r="O1854" s="9" t="s">
        <v>51</v>
      </c>
      <c r="P1854" s="9"/>
      <c r="Q1854" s="9"/>
      <c r="R1854" s="9"/>
      <c r="S1854" s="14" t="s">
        <v>6587</v>
      </c>
      <c r="T1854" s="9" t="s">
        <v>6588</v>
      </c>
      <c r="U1854" s="9" t="s">
        <v>54</v>
      </c>
      <c r="V1854" s="9" t="s">
        <v>55</v>
      </c>
      <c r="W1854" s="9" t="s">
        <v>55</v>
      </c>
      <c r="X1854" s="12"/>
      <c r="Y1854" s="9" t="s">
        <v>55</v>
      </c>
      <c r="Z1854" s="13"/>
    </row>
    <row r="1855" spans="1:26" ht="32.25" hidden="1" customHeight="1">
      <c r="A1855" s="8">
        <v>2303526</v>
      </c>
      <c r="B1855" s="9" t="s">
        <v>6589</v>
      </c>
      <c r="C1855" s="10">
        <v>45156</v>
      </c>
      <c r="D1855" s="9" t="s">
        <v>565</v>
      </c>
      <c r="E1855" s="9" t="s">
        <v>41</v>
      </c>
      <c r="F1855" s="9" t="s">
        <v>42</v>
      </c>
      <c r="G1855" s="9" t="s">
        <v>43</v>
      </c>
      <c r="H1855" s="9" t="s">
        <v>58</v>
      </c>
      <c r="I1855" s="11" t="s">
        <v>199</v>
      </c>
      <c r="J1855" s="9" t="s">
        <v>200</v>
      </c>
      <c r="K1855" s="9" t="s">
        <v>47</v>
      </c>
      <c r="L1855" s="9" t="s">
        <v>156</v>
      </c>
      <c r="M1855" s="9"/>
      <c r="N1855" s="9" t="s">
        <v>50</v>
      </c>
      <c r="O1855" s="9" t="s">
        <v>51</v>
      </c>
      <c r="P1855" s="9"/>
      <c r="Q1855" s="9"/>
      <c r="R1855" s="9"/>
      <c r="S1855" s="14" t="s">
        <v>6590</v>
      </c>
      <c r="T1855" s="9" t="s">
        <v>6591</v>
      </c>
      <c r="U1855" s="9" t="s">
        <v>54</v>
      </c>
      <c r="V1855" s="9" t="s">
        <v>55</v>
      </c>
      <c r="W1855" s="9" t="s">
        <v>55</v>
      </c>
      <c r="X1855" s="12"/>
      <c r="Y1855" s="9" t="s">
        <v>55</v>
      </c>
      <c r="Z1855" s="13"/>
    </row>
    <row r="1856" spans="1:26" ht="32.25" hidden="1" customHeight="1">
      <c r="A1856" s="8">
        <v>2309966</v>
      </c>
      <c r="B1856" s="9" t="s">
        <v>6592</v>
      </c>
      <c r="C1856" s="10">
        <v>45156</v>
      </c>
      <c r="D1856" s="9" t="s">
        <v>79</v>
      </c>
      <c r="E1856" s="9" t="s">
        <v>89</v>
      </c>
      <c r="F1856" s="9" t="s">
        <v>80</v>
      </c>
      <c r="G1856" s="9" t="s">
        <v>43</v>
      </c>
      <c r="H1856" s="9" t="s">
        <v>44</v>
      </c>
      <c r="I1856" s="11" t="s">
        <v>101</v>
      </c>
      <c r="J1856" s="9" t="s">
        <v>102</v>
      </c>
      <c r="K1856" s="9" t="s">
        <v>47</v>
      </c>
      <c r="L1856" s="9" t="s">
        <v>156</v>
      </c>
      <c r="M1856" s="9"/>
      <c r="N1856" s="9" t="s">
        <v>50</v>
      </c>
      <c r="O1856" s="9" t="s">
        <v>51</v>
      </c>
      <c r="P1856" s="9" t="s">
        <v>104</v>
      </c>
      <c r="Q1856" s="9"/>
      <c r="R1856" s="9"/>
      <c r="S1856" s="14" t="s">
        <v>6593</v>
      </c>
      <c r="T1856" s="9" t="s">
        <v>6594</v>
      </c>
      <c r="U1856" s="9" t="s">
        <v>54</v>
      </c>
      <c r="V1856" s="9" t="s">
        <v>318</v>
      </c>
      <c r="W1856" s="9" t="s">
        <v>115</v>
      </c>
      <c r="X1856" s="12"/>
      <c r="Y1856" s="9" t="s">
        <v>55</v>
      </c>
      <c r="Z1856" s="13"/>
    </row>
    <row r="1857" spans="1:26" ht="32.25" hidden="1" customHeight="1">
      <c r="A1857" s="8">
        <v>2306320</v>
      </c>
      <c r="B1857" s="9" t="s">
        <v>6595</v>
      </c>
      <c r="C1857" s="10">
        <v>45149</v>
      </c>
      <c r="D1857" s="9" t="s">
        <v>57</v>
      </c>
      <c r="E1857" s="9" t="s">
        <v>295</v>
      </c>
      <c r="F1857" s="9" t="s">
        <v>42</v>
      </c>
      <c r="G1857" s="9" t="s">
        <v>43</v>
      </c>
      <c r="H1857" s="9" t="s">
        <v>58</v>
      </c>
      <c r="I1857" s="11" t="s">
        <v>406</v>
      </c>
      <c r="J1857" s="9" t="s">
        <v>407</v>
      </c>
      <c r="K1857" s="9" t="s">
        <v>47</v>
      </c>
      <c r="L1857" s="9" t="s">
        <v>156</v>
      </c>
      <c r="M1857" s="9" t="s">
        <v>157</v>
      </c>
      <c r="N1857" s="9" t="s">
        <v>84</v>
      </c>
      <c r="O1857" s="9" t="s">
        <v>51</v>
      </c>
      <c r="P1857" s="9"/>
      <c r="Q1857" s="9"/>
      <c r="R1857" s="9"/>
      <c r="S1857" s="14" t="s">
        <v>6596</v>
      </c>
      <c r="T1857" s="9" t="s">
        <v>6597</v>
      </c>
      <c r="U1857" s="9" t="s">
        <v>54</v>
      </c>
      <c r="V1857" s="9" t="s">
        <v>55</v>
      </c>
      <c r="W1857" s="9" t="s">
        <v>55</v>
      </c>
      <c r="X1857" s="12"/>
      <c r="Y1857" s="9" t="s">
        <v>55</v>
      </c>
      <c r="Z1857" s="13"/>
    </row>
    <row r="1858" spans="1:26" ht="32.25" hidden="1" customHeight="1">
      <c r="A1858" s="8">
        <v>2303523</v>
      </c>
      <c r="B1858" s="9" t="s">
        <v>6598</v>
      </c>
      <c r="C1858" s="10">
        <v>45149</v>
      </c>
      <c r="D1858" s="9" t="s">
        <v>57</v>
      </c>
      <c r="E1858" s="9" t="s">
        <v>41</v>
      </c>
      <c r="F1858" s="9" t="s">
        <v>42</v>
      </c>
      <c r="G1858" s="9" t="s">
        <v>43</v>
      </c>
      <c r="H1858" s="9" t="s">
        <v>58</v>
      </c>
      <c r="I1858" s="11" t="s">
        <v>45</v>
      </c>
      <c r="J1858" s="9" t="s">
        <v>46</v>
      </c>
      <c r="K1858" s="9" t="s">
        <v>47</v>
      </c>
      <c r="L1858" s="9" t="s">
        <v>156</v>
      </c>
      <c r="M1858" s="9"/>
      <c r="N1858" s="9" t="s">
        <v>50</v>
      </c>
      <c r="O1858" s="9" t="s">
        <v>51</v>
      </c>
      <c r="P1858" s="9"/>
      <c r="Q1858" s="9"/>
      <c r="R1858" s="9"/>
      <c r="S1858" s="14" t="s">
        <v>6599</v>
      </c>
      <c r="T1858" s="9" t="s">
        <v>6600</v>
      </c>
      <c r="U1858" s="9" t="s">
        <v>54</v>
      </c>
      <c r="V1858" s="9" t="s">
        <v>55</v>
      </c>
      <c r="W1858" s="9" t="s">
        <v>55</v>
      </c>
      <c r="X1858" s="12"/>
      <c r="Y1858" s="9" t="s">
        <v>55</v>
      </c>
      <c r="Z1858" s="13"/>
    </row>
    <row r="1859" spans="1:26" ht="32.25" hidden="1" customHeight="1">
      <c r="A1859" s="8">
        <v>2315399</v>
      </c>
      <c r="B1859" s="9" t="s">
        <v>6601</v>
      </c>
      <c r="C1859" s="10">
        <v>45156</v>
      </c>
      <c r="D1859" s="9" t="s">
        <v>565</v>
      </c>
      <c r="E1859" s="9" t="s">
        <v>41</v>
      </c>
      <c r="F1859" s="9" t="s">
        <v>42</v>
      </c>
      <c r="G1859" s="9" t="s">
        <v>43</v>
      </c>
      <c r="H1859" s="9" t="s">
        <v>58</v>
      </c>
      <c r="I1859" s="11" t="s">
        <v>1073</v>
      </c>
      <c r="J1859" s="9" t="s">
        <v>479</v>
      </c>
      <c r="K1859" s="9" t="s">
        <v>47</v>
      </c>
      <c r="L1859" s="9" t="s">
        <v>3911</v>
      </c>
      <c r="M1859" s="9" t="s">
        <v>3912</v>
      </c>
      <c r="N1859" s="9" t="s">
        <v>50</v>
      </c>
      <c r="O1859" s="9" t="s">
        <v>51</v>
      </c>
      <c r="P1859" s="9"/>
      <c r="Q1859" s="9"/>
      <c r="R1859" s="9" t="s">
        <v>61</v>
      </c>
      <c r="S1859" s="14" t="s">
        <v>6602</v>
      </c>
      <c r="T1859" s="9" t="s">
        <v>6603</v>
      </c>
      <c r="U1859" s="9" t="s">
        <v>54</v>
      </c>
      <c r="V1859" s="9" t="s">
        <v>55</v>
      </c>
      <c r="W1859" s="9" t="s">
        <v>55</v>
      </c>
      <c r="X1859" s="9" t="s">
        <v>196</v>
      </c>
      <c r="Y1859" s="9" t="s">
        <v>197</v>
      </c>
      <c r="Z1859" s="13"/>
    </row>
    <row r="1860" spans="1:26" ht="32.25" hidden="1" customHeight="1">
      <c r="A1860" s="8">
        <v>2309061</v>
      </c>
      <c r="B1860" s="9" t="s">
        <v>6604</v>
      </c>
      <c r="C1860" s="10">
        <v>45156</v>
      </c>
      <c r="D1860" s="9" t="s">
        <v>79</v>
      </c>
      <c r="E1860" s="9" t="s">
        <v>143</v>
      </c>
      <c r="F1860" s="9" t="s">
        <v>80</v>
      </c>
      <c r="G1860" s="9" t="s">
        <v>43</v>
      </c>
      <c r="H1860" s="9" t="s">
        <v>44</v>
      </c>
      <c r="I1860" s="11" t="s">
        <v>326</v>
      </c>
      <c r="J1860" s="9" t="s">
        <v>327</v>
      </c>
      <c r="K1860" s="9" t="s">
        <v>47</v>
      </c>
      <c r="L1860" s="9" t="s">
        <v>290</v>
      </c>
      <c r="M1860" s="9" t="s">
        <v>999</v>
      </c>
      <c r="N1860" s="9" t="s">
        <v>84</v>
      </c>
      <c r="O1860" s="9" t="s">
        <v>51</v>
      </c>
      <c r="P1860" s="9" t="s">
        <v>1646</v>
      </c>
      <c r="Q1860" s="9"/>
      <c r="R1860" s="9"/>
      <c r="S1860" s="14" t="s">
        <v>6605</v>
      </c>
      <c r="T1860" s="9" t="s">
        <v>6606</v>
      </c>
      <c r="U1860" s="9" t="s">
        <v>54</v>
      </c>
      <c r="V1860" s="9" t="s">
        <v>55</v>
      </c>
      <c r="W1860" s="9" t="s">
        <v>115</v>
      </c>
      <c r="X1860" s="12"/>
      <c r="Y1860" s="9" t="s">
        <v>55</v>
      </c>
      <c r="Z1860" s="13"/>
    </row>
    <row r="1861" spans="1:26" ht="32.25" hidden="1" customHeight="1">
      <c r="A1861" s="8">
        <v>2301237</v>
      </c>
      <c r="B1861" s="9" t="s">
        <v>6607</v>
      </c>
      <c r="C1861" s="10">
        <v>45156</v>
      </c>
      <c r="D1861" s="9" t="s">
        <v>79</v>
      </c>
      <c r="E1861" s="9" t="s">
        <v>68</v>
      </c>
      <c r="F1861" s="9" t="s">
        <v>80</v>
      </c>
      <c r="G1861" s="9" t="s">
        <v>43</v>
      </c>
      <c r="H1861" s="9" t="s">
        <v>44</v>
      </c>
      <c r="I1861" s="11" t="s">
        <v>90</v>
      </c>
      <c r="J1861" s="9" t="s">
        <v>91</v>
      </c>
      <c r="K1861" s="9" t="s">
        <v>47</v>
      </c>
      <c r="L1861" s="9" t="s">
        <v>2399</v>
      </c>
      <c r="M1861" s="9" t="s">
        <v>2400</v>
      </c>
      <c r="N1861" s="9" t="s">
        <v>84</v>
      </c>
      <c r="O1861" s="9" t="s">
        <v>51</v>
      </c>
      <c r="P1861" s="9" t="s">
        <v>670</v>
      </c>
      <c r="Q1861" s="9"/>
      <c r="R1861" s="9"/>
      <c r="S1861" s="14" t="s">
        <v>6608</v>
      </c>
      <c r="T1861" s="9" t="s">
        <v>6609</v>
      </c>
      <c r="U1861" s="9" t="s">
        <v>54</v>
      </c>
      <c r="V1861" s="9" t="s">
        <v>55</v>
      </c>
      <c r="W1861" s="9" t="s">
        <v>55</v>
      </c>
      <c r="X1861" s="12"/>
      <c r="Y1861" s="9" t="s">
        <v>55</v>
      </c>
      <c r="Z1861" s="13"/>
    </row>
    <row r="1862" spans="1:26" ht="32.25" hidden="1" customHeight="1">
      <c r="A1862" s="8">
        <v>2315576</v>
      </c>
      <c r="B1862" s="9" t="s">
        <v>6610</v>
      </c>
      <c r="C1862" s="10">
        <v>45155</v>
      </c>
      <c r="D1862" s="9" t="s">
        <v>392</v>
      </c>
      <c r="E1862" s="9" t="s">
        <v>68</v>
      </c>
      <c r="F1862" s="9" t="s">
        <v>80</v>
      </c>
      <c r="G1862" s="9" t="s">
        <v>43</v>
      </c>
      <c r="H1862" s="9" t="s">
        <v>44</v>
      </c>
      <c r="I1862" s="11" t="s">
        <v>101</v>
      </c>
      <c r="J1862" s="9" t="s">
        <v>102</v>
      </c>
      <c r="K1862" s="9" t="s">
        <v>110</v>
      </c>
      <c r="L1862" s="9"/>
      <c r="M1862" s="9"/>
      <c r="N1862" s="9" t="s">
        <v>50</v>
      </c>
      <c r="O1862" s="9" t="s">
        <v>187</v>
      </c>
      <c r="P1862" s="9" t="s">
        <v>379</v>
      </c>
      <c r="Q1862" s="9"/>
      <c r="R1862" s="9" t="s">
        <v>61</v>
      </c>
      <c r="S1862" s="14" t="s">
        <v>6611</v>
      </c>
      <c r="T1862" s="9" t="s">
        <v>6612</v>
      </c>
      <c r="U1862" s="9" t="s">
        <v>54</v>
      </c>
      <c r="V1862" s="9" t="s">
        <v>55</v>
      </c>
      <c r="W1862" s="9" t="s">
        <v>115</v>
      </c>
      <c r="X1862" s="12" t="s">
        <v>196</v>
      </c>
      <c r="Y1862" s="9" t="s">
        <v>197</v>
      </c>
      <c r="Z1862" s="13"/>
    </row>
    <row r="1863" spans="1:26" ht="32.25" hidden="1" customHeight="1">
      <c r="A1863" s="8">
        <v>2307464</v>
      </c>
      <c r="B1863" s="9" t="s">
        <v>6613</v>
      </c>
      <c r="C1863" s="10">
        <v>45156</v>
      </c>
      <c r="D1863" s="9" t="s">
        <v>79</v>
      </c>
      <c r="E1863" s="9" t="s">
        <v>41</v>
      </c>
      <c r="F1863" s="9" t="s">
        <v>80</v>
      </c>
      <c r="G1863" s="9" t="s">
        <v>43</v>
      </c>
      <c r="H1863" s="9" t="s">
        <v>44</v>
      </c>
      <c r="I1863" s="11" t="s">
        <v>81</v>
      </c>
      <c r="J1863" s="9" t="s">
        <v>46</v>
      </c>
      <c r="K1863" s="9" t="s">
        <v>47</v>
      </c>
      <c r="L1863" s="9" t="s">
        <v>156</v>
      </c>
      <c r="M1863" s="9"/>
      <c r="N1863" s="9" t="s">
        <v>84</v>
      </c>
      <c r="O1863" s="9" t="s">
        <v>51</v>
      </c>
      <c r="P1863" s="9" t="s">
        <v>503</v>
      </c>
      <c r="Q1863" s="9"/>
      <c r="R1863" s="9"/>
      <c r="S1863" s="14" t="s">
        <v>6614</v>
      </c>
      <c r="T1863" s="9" t="s">
        <v>6615</v>
      </c>
      <c r="U1863" s="9" t="s">
        <v>54</v>
      </c>
      <c r="V1863" s="9" t="s">
        <v>55</v>
      </c>
      <c r="W1863" s="9" t="s">
        <v>55</v>
      </c>
      <c r="X1863" s="12"/>
      <c r="Y1863" s="9" t="s">
        <v>55</v>
      </c>
      <c r="Z1863" s="13"/>
    </row>
    <row r="1864" spans="1:26" ht="32.25" hidden="1" customHeight="1">
      <c r="A1864" s="8">
        <v>2313902</v>
      </c>
      <c r="B1864" s="9" t="s">
        <v>6616</v>
      </c>
      <c r="C1864" s="10">
        <v>45156</v>
      </c>
      <c r="D1864" s="9" t="s">
        <v>79</v>
      </c>
      <c r="E1864" s="9" t="s">
        <v>68</v>
      </c>
      <c r="F1864" s="9" t="s">
        <v>80</v>
      </c>
      <c r="G1864" s="9" t="s">
        <v>43</v>
      </c>
      <c r="H1864" s="9" t="s">
        <v>44</v>
      </c>
      <c r="I1864" s="11" t="s">
        <v>696</v>
      </c>
      <c r="J1864" s="9" t="s">
        <v>70</v>
      </c>
      <c r="K1864" s="9" t="s">
        <v>47</v>
      </c>
      <c r="L1864" s="9" t="s">
        <v>156</v>
      </c>
      <c r="M1864" s="9"/>
      <c r="N1864" s="9" t="s">
        <v>50</v>
      </c>
      <c r="O1864" s="9" t="s">
        <v>51</v>
      </c>
      <c r="P1864" s="9" t="s">
        <v>1841</v>
      </c>
      <c r="Q1864" s="9"/>
      <c r="R1864" s="9"/>
      <c r="S1864" s="14" t="s">
        <v>6617</v>
      </c>
      <c r="T1864" s="9" t="s">
        <v>6618</v>
      </c>
      <c r="U1864" s="9" t="s">
        <v>54</v>
      </c>
      <c r="V1864" s="9"/>
      <c r="W1864" s="9" t="s">
        <v>115</v>
      </c>
      <c r="X1864" s="12"/>
      <c r="Y1864" s="9" t="s">
        <v>55</v>
      </c>
      <c r="Z1864" s="13"/>
    </row>
    <row r="1865" spans="1:26" ht="32.25" hidden="1" customHeight="1">
      <c r="A1865" s="8">
        <v>2303352</v>
      </c>
      <c r="B1865" s="9" t="s">
        <v>6619</v>
      </c>
      <c r="C1865" s="10">
        <v>45156</v>
      </c>
      <c r="D1865" s="9" t="s">
        <v>79</v>
      </c>
      <c r="E1865" s="9" t="s">
        <v>295</v>
      </c>
      <c r="F1865" s="9" t="s">
        <v>80</v>
      </c>
      <c r="G1865" s="9" t="s">
        <v>43</v>
      </c>
      <c r="H1865" s="9" t="s">
        <v>44</v>
      </c>
      <c r="I1865" s="11" t="s">
        <v>1600</v>
      </c>
      <c r="J1865" s="9" t="s">
        <v>407</v>
      </c>
      <c r="K1865" s="9" t="s">
        <v>47</v>
      </c>
      <c r="L1865" s="9" t="s">
        <v>156</v>
      </c>
      <c r="M1865" s="9"/>
      <c r="N1865" s="9" t="s">
        <v>84</v>
      </c>
      <c r="O1865" s="9" t="s">
        <v>51</v>
      </c>
      <c r="P1865" s="9" t="s">
        <v>2906</v>
      </c>
      <c r="Q1865" s="9"/>
      <c r="R1865" s="9"/>
      <c r="S1865" s="14" t="s">
        <v>6620</v>
      </c>
      <c r="T1865" s="9" t="s">
        <v>6621</v>
      </c>
      <c r="U1865" s="9" t="s">
        <v>54</v>
      </c>
      <c r="V1865" s="9"/>
      <c r="W1865" s="9" t="s">
        <v>115</v>
      </c>
      <c r="X1865" s="12"/>
      <c r="Y1865" s="9" t="s">
        <v>55</v>
      </c>
      <c r="Z1865" s="13"/>
    </row>
    <row r="1866" spans="1:26" ht="32.25" hidden="1" customHeight="1">
      <c r="A1866" s="8">
        <v>2315083</v>
      </c>
      <c r="B1866" s="9" t="s">
        <v>6622</v>
      </c>
      <c r="C1866" s="10">
        <v>45156</v>
      </c>
      <c r="D1866" s="9" t="s">
        <v>2555</v>
      </c>
      <c r="E1866" s="9" t="s">
        <v>295</v>
      </c>
      <c r="F1866" s="9" t="s">
        <v>80</v>
      </c>
      <c r="G1866" s="9" t="s">
        <v>43</v>
      </c>
      <c r="H1866" s="9" t="s">
        <v>44</v>
      </c>
      <c r="I1866" s="11" t="s">
        <v>1972</v>
      </c>
      <c r="J1866" s="9" t="s">
        <v>297</v>
      </c>
      <c r="K1866" s="9" t="s">
        <v>47</v>
      </c>
      <c r="L1866" s="9" t="s">
        <v>3005</v>
      </c>
      <c r="M1866" s="9" t="s">
        <v>3006</v>
      </c>
      <c r="N1866" s="9" t="s">
        <v>84</v>
      </c>
      <c r="O1866" s="9" t="s">
        <v>51</v>
      </c>
      <c r="P1866" s="9" t="s">
        <v>5569</v>
      </c>
      <c r="Q1866" s="9"/>
      <c r="R1866" s="9" t="s">
        <v>61</v>
      </c>
      <c r="S1866" s="14" t="s">
        <v>6623</v>
      </c>
      <c r="T1866" s="9" t="s">
        <v>6624</v>
      </c>
      <c r="U1866" s="9" t="s">
        <v>54</v>
      </c>
      <c r="V1866" s="9" t="s">
        <v>55</v>
      </c>
      <c r="W1866" s="9" t="s">
        <v>55</v>
      </c>
      <c r="X1866" s="12" t="s">
        <v>319</v>
      </c>
      <c r="Y1866" s="9" t="s">
        <v>320</v>
      </c>
      <c r="Z1866" s="13"/>
    </row>
    <row r="1867" spans="1:26" ht="32.25" hidden="1" customHeight="1">
      <c r="A1867" s="8">
        <v>2304549</v>
      </c>
      <c r="B1867" s="9" t="s">
        <v>6625</v>
      </c>
      <c r="C1867" s="10">
        <v>45149</v>
      </c>
      <c r="D1867" s="9" t="s">
        <v>57</v>
      </c>
      <c r="E1867" s="9" t="s">
        <v>41</v>
      </c>
      <c r="F1867" s="9" t="s">
        <v>42</v>
      </c>
      <c r="G1867" s="9" t="s">
        <v>43</v>
      </c>
      <c r="H1867" s="9" t="s">
        <v>58</v>
      </c>
      <c r="I1867" s="11" t="s">
        <v>129</v>
      </c>
      <c r="J1867" s="9" t="s">
        <v>130</v>
      </c>
      <c r="K1867" s="9" t="s">
        <v>47</v>
      </c>
      <c r="L1867" s="9" t="s">
        <v>156</v>
      </c>
      <c r="M1867" s="9"/>
      <c r="N1867" s="9" t="s">
        <v>84</v>
      </c>
      <c r="O1867" s="9" t="s">
        <v>51</v>
      </c>
      <c r="P1867" s="9"/>
      <c r="Q1867" s="9"/>
      <c r="R1867" s="9"/>
      <c r="S1867" s="14" t="s">
        <v>6626</v>
      </c>
      <c r="T1867" s="9" t="s">
        <v>6627</v>
      </c>
      <c r="U1867" s="9" t="s">
        <v>54</v>
      </c>
      <c r="V1867" s="9" t="s">
        <v>55</v>
      </c>
      <c r="W1867" s="9" t="s">
        <v>55</v>
      </c>
      <c r="X1867" s="12"/>
      <c r="Y1867" s="9" t="s">
        <v>55</v>
      </c>
      <c r="Z1867" s="13"/>
    </row>
    <row r="1868" spans="1:26" ht="32.25" hidden="1" customHeight="1">
      <c r="A1868" s="8">
        <v>2301058</v>
      </c>
      <c r="B1868" s="9" t="s">
        <v>6628</v>
      </c>
      <c r="C1868" s="10">
        <v>45136</v>
      </c>
      <c r="D1868" s="9" t="s">
        <v>40</v>
      </c>
      <c r="E1868" s="9" t="s">
        <v>41</v>
      </c>
      <c r="F1868" s="9" t="s">
        <v>42</v>
      </c>
      <c r="G1868" s="9" t="s">
        <v>43</v>
      </c>
      <c r="H1868" s="9" t="s">
        <v>44</v>
      </c>
      <c r="I1868" s="11" t="s">
        <v>1073</v>
      </c>
      <c r="J1868" s="9" t="s">
        <v>479</v>
      </c>
      <c r="K1868" s="9" t="s">
        <v>47</v>
      </c>
      <c r="L1868" s="9" t="s">
        <v>1542</v>
      </c>
      <c r="M1868" s="9" t="s">
        <v>1543</v>
      </c>
      <c r="N1868" s="9" t="s">
        <v>84</v>
      </c>
      <c r="O1868" s="9" t="s">
        <v>51</v>
      </c>
      <c r="P1868" s="9"/>
      <c r="Q1868" s="9"/>
      <c r="R1868" s="9"/>
      <c r="S1868" s="9" t="s">
        <v>6629</v>
      </c>
      <c r="T1868" s="9" t="s">
        <v>6630</v>
      </c>
      <c r="U1868" s="9" t="s">
        <v>54</v>
      </c>
      <c r="V1868" s="9" t="s">
        <v>55</v>
      </c>
      <c r="W1868" s="9" t="s">
        <v>55</v>
      </c>
      <c r="X1868" s="9"/>
      <c r="Y1868" s="9" t="s">
        <v>55</v>
      </c>
      <c r="Z1868" s="13"/>
    </row>
    <row r="1869" spans="1:26" ht="32.25" hidden="1" customHeight="1">
      <c r="A1869" s="8">
        <v>2310842</v>
      </c>
      <c r="B1869" s="9" t="s">
        <v>6631</v>
      </c>
      <c r="C1869" s="10">
        <v>45156</v>
      </c>
      <c r="D1869" s="9" t="s">
        <v>79</v>
      </c>
      <c r="E1869" s="9" t="s">
        <v>41</v>
      </c>
      <c r="F1869" s="9" t="s">
        <v>80</v>
      </c>
      <c r="G1869" s="9" t="s">
        <v>43</v>
      </c>
      <c r="H1869" s="9" t="s">
        <v>44</v>
      </c>
      <c r="I1869" s="11" t="s">
        <v>478</v>
      </c>
      <c r="J1869" s="9" t="s">
        <v>479</v>
      </c>
      <c r="K1869" s="9" t="s">
        <v>47</v>
      </c>
      <c r="L1869" s="9" t="s">
        <v>777</v>
      </c>
      <c r="M1869" s="9"/>
      <c r="N1869" s="9" t="s">
        <v>84</v>
      </c>
      <c r="O1869" s="9" t="s">
        <v>51</v>
      </c>
      <c r="P1869" s="9" t="s">
        <v>482</v>
      </c>
      <c r="Q1869" s="9"/>
      <c r="R1869" s="9"/>
      <c r="S1869" s="14" t="s">
        <v>6632</v>
      </c>
      <c r="T1869" s="9" t="s">
        <v>6633</v>
      </c>
      <c r="U1869" s="9" t="s">
        <v>54</v>
      </c>
      <c r="V1869" s="9" t="s">
        <v>55</v>
      </c>
      <c r="W1869" s="9" t="s">
        <v>55</v>
      </c>
      <c r="X1869" s="12"/>
      <c r="Y1869" s="9" t="s">
        <v>55</v>
      </c>
      <c r="Z1869" s="13"/>
    </row>
    <row r="1870" spans="1:26" ht="32.25" hidden="1" customHeight="1">
      <c r="A1870" s="8">
        <v>2308122</v>
      </c>
      <c r="B1870" s="9" t="s">
        <v>6634</v>
      </c>
      <c r="C1870" s="10">
        <v>45142</v>
      </c>
      <c r="D1870" s="9" t="s">
        <v>67</v>
      </c>
      <c r="E1870" s="9" t="s">
        <v>143</v>
      </c>
      <c r="F1870" s="9" t="s">
        <v>42</v>
      </c>
      <c r="G1870" s="9" t="s">
        <v>43</v>
      </c>
      <c r="H1870" s="9" t="s">
        <v>44</v>
      </c>
      <c r="I1870" s="11" t="s">
        <v>219</v>
      </c>
      <c r="J1870" s="9" t="s">
        <v>220</v>
      </c>
      <c r="K1870" s="9" t="s">
        <v>47</v>
      </c>
      <c r="L1870" s="9" t="s">
        <v>156</v>
      </c>
      <c r="M1870" s="9"/>
      <c r="N1870" s="9" t="s">
        <v>84</v>
      </c>
      <c r="O1870" s="9" t="s">
        <v>51</v>
      </c>
      <c r="P1870" s="9"/>
      <c r="Q1870" s="9"/>
      <c r="R1870" s="9"/>
      <c r="S1870" s="9" t="s">
        <v>6635</v>
      </c>
      <c r="T1870" s="9" t="s">
        <v>6636</v>
      </c>
      <c r="U1870" s="9" t="s">
        <v>54</v>
      </c>
      <c r="V1870" s="9" t="s">
        <v>55</v>
      </c>
      <c r="W1870" s="9" t="s">
        <v>55</v>
      </c>
      <c r="X1870" s="12"/>
      <c r="Y1870" s="9" t="s">
        <v>55</v>
      </c>
      <c r="Z1870" s="13"/>
    </row>
    <row r="1871" spans="1:26" ht="32.25" hidden="1" customHeight="1">
      <c r="A1871" s="8">
        <v>2308365</v>
      </c>
      <c r="B1871" s="9" t="s">
        <v>6637</v>
      </c>
      <c r="C1871" s="10">
        <v>45156</v>
      </c>
      <c r="D1871" s="9" t="s">
        <v>565</v>
      </c>
      <c r="E1871" s="9" t="s">
        <v>295</v>
      </c>
      <c r="F1871" s="9" t="s">
        <v>42</v>
      </c>
      <c r="G1871" s="9" t="s">
        <v>43</v>
      </c>
      <c r="H1871" s="9" t="s">
        <v>58</v>
      </c>
      <c r="I1871" s="11" t="s">
        <v>406</v>
      </c>
      <c r="J1871" s="9" t="s">
        <v>407</v>
      </c>
      <c r="K1871" s="9" t="s">
        <v>47</v>
      </c>
      <c r="L1871" s="9" t="s">
        <v>846</v>
      </c>
      <c r="M1871" s="9" t="s">
        <v>1081</v>
      </c>
      <c r="N1871" s="9" t="s">
        <v>84</v>
      </c>
      <c r="O1871" s="9" t="s">
        <v>51</v>
      </c>
      <c r="P1871" s="9"/>
      <c r="Q1871" s="9"/>
      <c r="R1871" s="9" t="s">
        <v>61</v>
      </c>
      <c r="S1871" s="14" t="s">
        <v>6638</v>
      </c>
      <c r="T1871" s="9" t="s">
        <v>6639</v>
      </c>
      <c r="U1871" s="9" t="s">
        <v>54</v>
      </c>
      <c r="V1871" s="9" t="s">
        <v>55</v>
      </c>
      <c r="W1871" s="9" t="s">
        <v>55</v>
      </c>
      <c r="X1871" s="9" t="s">
        <v>319</v>
      </c>
      <c r="Y1871" s="9" t="s">
        <v>320</v>
      </c>
      <c r="Z1871" s="13"/>
    </row>
    <row r="1872" spans="1:26" ht="32.25" hidden="1" customHeight="1">
      <c r="A1872" s="8">
        <v>2311195</v>
      </c>
      <c r="B1872" s="9" t="s">
        <v>6640</v>
      </c>
      <c r="C1872" s="10">
        <v>45142</v>
      </c>
      <c r="D1872" s="9" t="s">
        <v>67</v>
      </c>
      <c r="E1872" s="9" t="s">
        <v>143</v>
      </c>
      <c r="F1872" s="9" t="s">
        <v>42</v>
      </c>
      <c r="G1872" s="9" t="s">
        <v>43</v>
      </c>
      <c r="H1872" s="9" t="s">
        <v>44</v>
      </c>
      <c r="I1872" s="11" t="s">
        <v>219</v>
      </c>
      <c r="J1872" s="9" t="s">
        <v>220</v>
      </c>
      <c r="K1872" s="9" t="s">
        <v>47</v>
      </c>
      <c r="L1872" s="9" t="s">
        <v>2632</v>
      </c>
      <c r="M1872" s="9" t="s">
        <v>3293</v>
      </c>
      <c r="N1872" s="9" t="s">
        <v>84</v>
      </c>
      <c r="O1872" s="9" t="s">
        <v>51</v>
      </c>
      <c r="P1872" s="9"/>
      <c r="Q1872" s="9"/>
      <c r="R1872" s="9" t="s">
        <v>61</v>
      </c>
      <c r="S1872" s="9" t="s">
        <v>6641</v>
      </c>
      <c r="T1872" s="9" t="s">
        <v>6642</v>
      </c>
      <c r="U1872" s="9" t="s">
        <v>54</v>
      </c>
      <c r="V1872" s="9" t="s">
        <v>55</v>
      </c>
      <c r="W1872" s="9" t="s">
        <v>55</v>
      </c>
      <c r="X1872" s="12" t="s">
        <v>171</v>
      </c>
      <c r="Y1872" s="9" t="s">
        <v>172</v>
      </c>
      <c r="Z1872" s="13"/>
    </row>
    <row r="1873" spans="1:26" ht="32.25" hidden="1" customHeight="1">
      <c r="A1873" s="8">
        <v>2303101</v>
      </c>
      <c r="B1873" s="9" t="s">
        <v>6643</v>
      </c>
      <c r="C1873" s="10">
        <v>45149</v>
      </c>
      <c r="D1873" s="9" t="s">
        <v>57</v>
      </c>
      <c r="E1873" s="9" t="s">
        <v>153</v>
      </c>
      <c r="F1873" s="9" t="s">
        <v>42</v>
      </c>
      <c r="G1873" s="9" t="s">
        <v>43</v>
      </c>
      <c r="H1873" s="9" t="s">
        <v>58</v>
      </c>
      <c r="I1873" s="11" t="s">
        <v>154</v>
      </c>
      <c r="J1873" s="9" t="s">
        <v>155</v>
      </c>
      <c r="K1873" s="9" t="s">
        <v>47</v>
      </c>
      <c r="L1873" s="9" t="s">
        <v>156</v>
      </c>
      <c r="M1873" s="9" t="s">
        <v>2298</v>
      </c>
      <c r="N1873" s="9" t="s">
        <v>84</v>
      </c>
      <c r="O1873" s="9" t="s">
        <v>51</v>
      </c>
      <c r="P1873" s="9"/>
      <c r="Q1873" s="9"/>
      <c r="R1873" s="9"/>
      <c r="S1873" s="14" t="s">
        <v>6644</v>
      </c>
      <c r="T1873" s="9" t="s">
        <v>6645</v>
      </c>
      <c r="U1873" s="9" t="s">
        <v>54</v>
      </c>
      <c r="V1873" s="9" t="s">
        <v>55</v>
      </c>
      <c r="W1873" s="9" t="s">
        <v>55</v>
      </c>
      <c r="X1873" s="12"/>
      <c r="Y1873" s="9" t="s">
        <v>55</v>
      </c>
      <c r="Z1873" s="13"/>
    </row>
    <row r="1874" spans="1:26" ht="32.25" hidden="1" customHeight="1">
      <c r="A1874" s="8">
        <v>2313983</v>
      </c>
      <c r="B1874" s="9" t="s">
        <v>6646</v>
      </c>
      <c r="C1874" s="10">
        <v>45142</v>
      </c>
      <c r="D1874" s="9" t="s">
        <v>67</v>
      </c>
      <c r="E1874" s="9" t="s">
        <v>68</v>
      </c>
      <c r="F1874" s="9" t="s">
        <v>135</v>
      </c>
      <c r="G1874" s="9" t="s">
        <v>43</v>
      </c>
      <c r="H1874" s="9" t="s">
        <v>44</v>
      </c>
      <c r="I1874" s="11" t="s">
        <v>136</v>
      </c>
      <c r="J1874" s="9" t="s">
        <v>137</v>
      </c>
      <c r="K1874" s="9" t="s">
        <v>47</v>
      </c>
      <c r="L1874" s="9" t="s">
        <v>156</v>
      </c>
      <c r="M1874" s="9"/>
      <c r="N1874" s="9" t="s">
        <v>84</v>
      </c>
      <c r="O1874" s="9" t="s">
        <v>51</v>
      </c>
      <c r="P1874" s="9"/>
      <c r="Q1874" s="9"/>
      <c r="R1874" s="9"/>
      <c r="S1874" s="9" t="s">
        <v>6647</v>
      </c>
      <c r="T1874" s="9" t="s">
        <v>6648</v>
      </c>
      <c r="U1874" s="9" t="s">
        <v>54</v>
      </c>
      <c r="V1874" s="9" t="s">
        <v>55</v>
      </c>
      <c r="W1874" s="9" t="s">
        <v>55</v>
      </c>
      <c r="X1874" s="12"/>
      <c r="Y1874" s="9" t="s">
        <v>55</v>
      </c>
      <c r="Z1874" s="13"/>
    </row>
    <row r="1875" spans="1:26" ht="32.25" hidden="1" customHeight="1">
      <c r="A1875" s="8">
        <v>2309478</v>
      </c>
      <c r="B1875" s="9" t="s">
        <v>6649</v>
      </c>
      <c r="C1875" s="10">
        <v>45156</v>
      </c>
      <c r="D1875" s="9" t="s">
        <v>79</v>
      </c>
      <c r="E1875" s="9" t="s">
        <v>68</v>
      </c>
      <c r="F1875" s="9" t="s">
        <v>80</v>
      </c>
      <c r="G1875" s="9" t="s">
        <v>43</v>
      </c>
      <c r="H1875" s="9" t="s">
        <v>44</v>
      </c>
      <c r="I1875" s="11" t="s">
        <v>90</v>
      </c>
      <c r="J1875" s="9" t="s">
        <v>91</v>
      </c>
      <c r="K1875" s="9" t="s">
        <v>47</v>
      </c>
      <c r="L1875" s="9" t="s">
        <v>340</v>
      </c>
      <c r="M1875" s="9" t="s">
        <v>1297</v>
      </c>
      <c r="N1875" s="9" t="s">
        <v>50</v>
      </c>
      <c r="O1875" s="9" t="s">
        <v>51</v>
      </c>
      <c r="P1875" s="9" t="s">
        <v>273</v>
      </c>
      <c r="Q1875" s="9"/>
      <c r="R1875" s="9" t="s">
        <v>61</v>
      </c>
      <c r="S1875" s="14" t="s">
        <v>6650</v>
      </c>
      <c r="T1875" s="9" t="s">
        <v>6651</v>
      </c>
      <c r="U1875" s="9" t="s">
        <v>54</v>
      </c>
      <c r="V1875" s="9" t="s">
        <v>55</v>
      </c>
      <c r="W1875" s="9" t="s">
        <v>55</v>
      </c>
      <c r="X1875" s="12" t="s">
        <v>196</v>
      </c>
      <c r="Y1875" s="9" t="s">
        <v>197</v>
      </c>
      <c r="Z1875" s="13"/>
    </row>
    <row r="1876" spans="1:26" ht="32.25" hidden="1" customHeight="1">
      <c r="A1876" s="8">
        <v>2308500</v>
      </c>
      <c r="B1876" s="9" t="s">
        <v>6652</v>
      </c>
      <c r="C1876" s="10">
        <v>45149</v>
      </c>
      <c r="D1876" s="9" t="s">
        <v>57</v>
      </c>
      <c r="E1876" s="9" t="s">
        <v>41</v>
      </c>
      <c r="F1876" s="9" t="s">
        <v>42</v>
      </c>
      <c r="G1876" s="9" t="s">
        <v>43</v>
      </c>
      <c r="H1876" s="9" t="s">
        <v>58</v>
      </c>
      <c r="I1876" s="11" t="s">
        <v>129</v>
      </c>
      <c r="J1876" s="9" t="s">
        <v>130</v>
      </c>
      <c r="K1876" s="9" t="s">
        <v>47</v>
      </c>
      <c r="L1876" s="9" t="s">
        <v>221</v>
      </c>
      <c r="M1876" s="9" t="s">
        <v>1451</v>
      </c>
      <c r="N1876" s="9" t="s">
        <v>50</v>
      </c>
      <c r="O1876" s="9" t="s">
        <v>51</v>
      </c>
      <c r="P1876" s="9"/>
      <c r="Q1876" s="9"/>
      <c r="R1876" s="9" t="s">
        <v>61</v>
      </c>
      <c r="S1876" s="14" t="s">
        <v>6653</v>
      </c>
      <c r="T1876" s="9" t="s">
        <v>6654</v>
      </c>
      <c r="U1876" s="9" t="s">
        <v>54</v>
      </c>
      <c r="V1876" s="9" t="s">
        <v>55</v>
      </c>
      <c r="W1876" s="9" t="s">
        <v>55</v>
      </c>
      <c r="X1876" s="9" t="s">
        <v>319</v>
      </c>
      <c r="Y1876" s="9" t="s">
        <v>320</v>
      </c>
      <c r="Z1876" s="13" t="s">
        <v>230</v>
      </c>
    </row>
    <row r="1877" spans="1:26" ht="32.25" hidden="1" customHeight="1">
      <c r="A1877" s="8">
        <v>2313234</v>
      </c>
      <c r="B1877" s="9" t="s">
        <v>6655</v>
      </c>
      <c r="C1877" s="10">
        <v>45156</v>
      </c>
      <c r="D1877" s="9" t="s">
        <v>79</v>
      </c>
      <c r="E1877" s="9" t="s">
        <v>89</v>
      </c>
      <c r="F1877" s="9" t="s">
        <v>80</v>
      </c>
      <c r="G1877" s="9" t="s">
        <v>43</v>
      </c>
      <c r="H1877" s="9" t="s">
        <v>44</v>
      </c>
      <c r="I1877" s="11" t="s">
        <v>101</v>
      </c>
      <c r="J1877" s="9" t="s">
        <v>102</v>
      </c>
      <c r="K1877" s="9" t="s">
        <v>92</v>
      </c>
      <c r="L1877" s="9" t="s">
        <v>1301</v>
      </c>
      <c r="M1877" s="9" t="s">
        <v>6656</v>
      </c>
      <c r="N1877" s="9" t="s">
        <v>50</v>
      </c>
      <c r="O1877" s="9" t="s">
        <v>51</v>
      </c>
      <c r="P1877" s="9" t="s">
        <v>125</v>
      </c>
      <c r="Q1877" s="9"/>
      <c r="R1877" s="9" t="s">
        <v>61</v>
      </c>
      <c r="S1877" s="14" t="s">
        <v>6657</v>
      </c>
      <c r="T1877" s="9" t="s">
        <v>6658</v>
      </c>
      <c r="U1877" s="9" t="s">
        <v>54</v>
      </c>
      <c r="V1877" s="9" t="s">
        <v>55</v>
      </c>
      <c r="W1877" s="9" t="s">
        <v>55</v>
      </c>
      <c r="X1877" s="12" t="s">
        <v>98</v>
      </c>
      <c r="Y1877" s="9" t="s">
        <v>99</v>
      </c>
      <c r="Z1877" s="13"/>
    </row>
    <row r="1878" spans="1:26" ht="32.25" hidden="1" customHeight="1">
      <c r="A1878" s="8">
        <v>2314664</v>
      </c>
      <c r="B1878" s="9" t="s">
        <v>6659</v>
      </c>
      <c r="C1878" s="10">
        <v>45156</v>
      </c>
      <c r="D1878" s="9" t="s">
        <v>79</v>
      </c>
      <c r="E1878" s="9" t="s">
        <v>89</v>
      </c>
      <c r="F1878" s="9" t="s">
        <v>80</v>
      </c>
      <c r="G1878" s="9" t="s">
        <v>43</v>
      </c>
      <c r="H1878" s="9" t="s">
        <v>44</v>
      </c>
      <c r="I1878" s="11" t="s">
        <v>101</v>
      </c>
      <c r="J1878" s="9" t="s">
        <v>102</v>
      </c>
      <c r="K1878" s="9" t="s">
        <v>92</v>
      </c>
      <c r="L1878" s="9" t="s">
        <v>103</v>
      </c>
      <c r="M1878" s="9"/>
      <c r="N1878" s="9" t="s">
        <v>50</v>
      </c>
      <c r="O1878" s="9" t="s">
        <v>51</v>
      </c>
      <c r="P1878" s="9" t="s">
        <v>1402</v>
      </c>
      <c r="Q1878" s="9"/>
      <c r="R1878" s="9" t="s">
        <v>61</v>
      </c>
      <c r="S1878" s="14" t="s">
        <v>1403</v>
      </c>
      <c r="T1878" s="9" t="s">
        <v>1404</v>
      </c>
      <c r="U1878" s="9" t="s">
        <v>54</v>
      </c>
      <c r="V1878" s="9" t="s">
        <v>55</v>
      </c>
      <c r="W1878" s="9" t="s">
        <v>55</v>
      </c>
      <c r="X1878" s="12" t="s">
        <v>98</v>
      </c>
      <c r="Y1878" s="9" t="s">
        <v>99</v>
      </c>
      <c r="Z1878" s="13"/>
    </row>
    <row r="1879" spans="1:26" ht="32.25" hidden="1" customHeight="1">
      <c r="A1879" s="8">
        <v>2315050</v>
      </c>
      <c r="B1879" s="9" t="s">
        <v>6660</v>
      </c>
      <c r="C1879" s="10">
        <v>45156</v>
      </c>
      <c r="D1879" s="9" t="s">
        <v>79</v>
      </c>
      <c r="E1879" s="9" t="s">
        <v>89</v>
      </c>
      <c r="F1879" s="9" t="s">
        <v>80</v>
      </c>
      <c r="G1879" s="9" t="s">
        <v>43</v>
      </c>
      <c r="H1879" s="9" t="s">
        <v>44</v>
      </c>
      <c r="I1879" s="11" t="s">
        <v>101</v>
      </c>
      <c r="J1879" s="9" t="s">
        <v>102</v>
      </c>
      <c r="K1879" s="9" t="s">
        <v>92</v>
      </c>
      <c r="L1879" s="9"/>
      <c r="M1879" s="9"/>
      <c r="N1879" s="9" t="s">
        <v>50</v>
      </c>
      <c r="O1879" s="9" t="s">
        <v>51</v>
      </c>
      <c r="P1879" s="9" t="s">
        <v>104</v>
      </c>
      <c r="Q1879" s="9"/>
      <c r="R1879" s="9" t="s">
        <v>61</v>
      </c>
      <c r="S1879" s="14" t="s">
        <v>641</v>
      </c>
      <c r="T1879" s="9" t="s">
        <v>1404</v>
      </c>
      <c r="U1879" s="9" t="s">
        <v>54</v>
      </c>
      <c r="V1879" s="9" t="s">
        <v>55</v>
      </c>
      <c r="W1879" s="9" t="s">
        <v>55</v>
      </c>
      <c r="X1879" s="12" t="s">
        <v>98</v>
      </c>
      <c r="Y1879" s="9" t="s">
        <v>99</v>
      </c>
      <c r="Z1879" s="13"/>
    </row>
    <row r="1880" spans="1:26" ht="32.25" hidden="1" customHeight="1">
      <c r="A1880" s="8">
        <v>2300884</v>
      </c>
      <c r="B1880" s="9" t="s">
        <v>6661</v>
      </c>
      <c r="C1880" s="10">
        <v>45142</v>
      </c>
      <c r="D1880" s="9" t="s">
        <v>67</v>
      </c>
      <c r="E1880" s="9" t="s">
        <v>68</v>
      </c>
      <c r="F1880" s="9" t="s">
        <v>135</v>
      </c>
      <c r="G1880" s="9" t="s">
        <v>43</v>
      </c>
      <c r="H1880" s="9" t="s">
        <v>44</v>
      </c>
      <c r="I1880" s="11" t="s">
        <v>136</v>
      </c>
      <c r="J1880" s="9" t="s">
        <v>137</v>
      </c>
      <c r="K1880" s="9" t="s">
        <v>47</v>
      </c>
      <c r="L1880" s="9" t="s">
        <v>221</v>
      </c>
      <c r="M1880" s="9" t="s">
        <v>2830</v>
      </c>
      <c r="N1880" s="9" t="s">
        <v>84</v>
      </c>
      <c r="O1880" s="9" t="s">
        <v>51</v>
      </c>
      <c r="P1880" s="9"/>
      <c r="Q1880" s="9"/>
      <c r="R1880" s="9" t="s">
        <v>61</v>
      </c>
      <c r="S1880" s="9" t="s">
        <v>6662</v>
      </c>
      <c r="T1880" s="9" t="s">
        <v>6663</v>
      </c>
      <c r="U1880" s="9" t="s">
        <v>54</v>
      </c>
      <c r="V1880" s="9" t="s">
        <v>55</v>
      </c>
      <c r="W1880" s="9" t="s">
        <v>55</v>
      </c>
      <c r="X1880" s="12" t="s">
        <v>76</v>
      </c>
      <c r="Y1880" s="9" t="s">
        <v>77</v>
      </c>
      <c r="Z1880" s="13"/>
    </row>
    <row r="1881" spans="1:26" ht="32.25" hidden="1" customHeight="1">
      <c r="A1881" s="8">
        <v>2314764</v>
      </c>
      <c r="B1881" s="9" t="s">
        <v>6664</v>
      </c>
      <c r="C1881" s="10">
        <v>45156</v>
      </c>
      <c r="D1881" s="9" t="s">
        <v>79</v>
      </c>
      <c r="E1881" s="9" t="s">
        <v>41</v>
      </c>
      <c r="F1881" s="9" t="s">
        <v>80</v>
      </c>
      <c r="G1881" s="9" t="s">
        <v>43</v>
      </c>
      <c r="H1881" s="9" t="s">
        <v>44</v>
      </c>
      <c r="I1881" s="11" t="s">
        <v>478</v>
      </c>
      <c r="J1881" s="9" t="s">
        <v>479</v>
      </c>
      <c r="K1881" s="9" t="s">
        <v>47</v>
      </c>
      <c r="L1881" s="9" t="s">
        <v>1310</v>
      </c>
      <c r="M1881" s="9" t="s">
        <v>1311</v>
      </c>
      <c r="N1881" s="9" t="s">
        <v>50</v>
      </c>
      <c r="O1881" s="9" t="s">
        <v>51</v>
      </c>
      <c r="P1881" s="9" t="s">
        <v>482</v>
      </c>
      <c r="Q1881" s="9"/>
      <c r="R1881" s="9" t="s">
        <v>61</v>
      </c>
      <c r="S1881" s="14" t="s">
        <v>6665</v>
      </c>
      <c r="T1881" s="9" t="s">
        <v>6666</v>
      </c>
      <c r="U1881" s="9" t="s">
        <v>54</v>
      </c>
      <c r="V1881" s="9" t="s">
        <v>1916</v>
      </c>
      <c r="W1881" s="9" t="s">
        <v>115</v>
      </c>
      <c r="X1881" s="12" t="s">
        <v>64</v>
      </c>
      <c r="Y1881" s="9" t="s">
        <v>65</v>
      </c>
      <c r="Z1881" s="13"/>
    </row>
    <row r="1882" spans="1:26" ht="32.25" hidden="1" customHeight="1">
      <c r="A1882" s="8">
        <v>2311601</v>
      </c>
      <c r="B1882" s="9" t="s">
        <v>6667</v>
      </c>
      <c r="C1882" s="10">
        <v>45156</v>
      </c>
      <c r="D1882" s="9" t="s">
        <v>79</v>
      </c>
      <c r="E1882" s="9" t="s">
        <v>68</v>
      </c>
      <c r="F1882" s="9" t="s">
        <v>80</v>
      </c>
      <c r="G1882" s="9" t="s">
        <v>43</v>
      </c>
      <c r="H1882" s="9" t="s">
        <v>44</v>
      </c>
      <c r="I1882" s="11" t="s">
        <v>90</v>
      </c>
      <c r="J1882" s="9" t="s">
        <v>91</v>
      </c>
      <c r="K1882" s="9" t="s">
        <v>47</v>
      </c>
      <c r="L1882" s="9" t="s">
        <v>156</v>
      </c>
      <c r="M1882" s="9"/>
      <c r="N1882" s="9" t="s">
        <v>50</v>
      </c>
      <c r="O1882" s="9" t="s">
        <v>51</v>
      </c>
      <c r="P1882" s="9" t="s">
        <v>670</v>
      </c>
      <c r="Q1882" s="9"/>
      <c r="R1882" s="9"/>
      <c r="S1882" s="14" t="s">
        <v>6668</v>
      </c>
      <c r="T1882" s="9" t="s">
        <v>6669</v>
      </c>
      <c r="U1882" s="9" t="s">
        <v>54</v>
      </c>
      <c r="V1882" s="9" t="s">
        <v>55</v>
      </c>
      <c r="W1882" s="9" t="s">
        <v>55</v>
      </c>
      <c r="X1882" s="12"/>
      <c r="Y1882" s="9" t="s">
        <v>55</v>
      </c>
      <c r="Z1882" s="13"/>
    </row>
    <row r="1883" spans="1:26" ht="32.25" hidden="1" customHeight="1">
      <c r="A1883" s="8">
        <v>2305541</v>
      </c>
      <c r="B1883" s="9" t="s">
        <v>6670</v>
      </c>
      <c r="C1883" s="10">
        <v>45149</v>
      </c>
      <c r="D1883" s="9" t="s">
        <v>57</v>
      </c>
      <c r="E1883" s="9" t="s">
        <v>295</v>
      </c>
      <c r="F1883" s="9" t="s">
        <v>42</v>
      </c>
      <c r="G1883" s="9" t="s">
        <v>43</v>
      </c>
      <c r="H1883" s="9" t="s">
        <v>58</v>
      </c>
      <c r="I1883" s="11" t="s">
        <v>406</v>
      </c>
      <c r="J1883" s="9" t="s">
        <v>407</v>
      </c>
      <c r="K1883" s="9" t="s">
        <v>47</v>
      </c>
      <c r="L1883" s="9" t="s">
        <v>48</v>
      </c>
      <c r="M1883" s="9" t="s">
        <v>421</v>
      </c>
      <c r="N1883" s="9" t="s">
        <v>84</v>
      </c>
      <c r="O1883" s="9" t="s">
        <v>51</v>
      </c>
      <c r="P1883" s="9"/>
      <c r="Q1883" s="9"/>
      <c r="R1883" s="9" t="s">
        <v>61</v>
      </c>
      <c r="S1883" s="14" t="s">
        <v>6671</v>
      </c>
      <c r="T1883" s="9" t="s">
        <v>6672</v>
      </c>
      <c r="U1883" s="9" t="s">
        <v>54</v>
      </c>
      <c r="V1883" s="9" t="s">
        <v>55</v>
      </c>
      <c r="W1883" s="9" t="s">
        <v>55</v>
      </c>
      <c r="X1883" s="9" t="s">
        <v>319</v>
      </c>
      <c r="Y1883" s="9" t="s">
        <v>320</v>
      </c>
      <c r="Z1883" s="13"/>
    </row>
    <row r="1884" spans="1:26" ht="32.25" hidden="1" customHeight="1">
      <c r="A1884" s="8">
        <v>2300567</v>
      </c>
      <c r="B1884" s="9" t="s">
        <v>6673</v>
      </c>
      <c r="C1884" s="10">
        <v>45149</v>
      </c>
      <c r="D1884" s="9" t="s">
        <v>57</v>
      </c>
      <c r="E1884" s="9" t="s">
        <v>41</v>
      </c>
      <c r="F1884" s="9" t="s">
        <v>42</v>
      </c>
      <c r="G1884" s="9" t="s">
        <v>43</v>
      </c>
      <c r="H1884" s="9" t="s">
        <v>58</v>
      </c>
      <c r="I1884" s="11" t="s">
        <v>45</v>
      </c>
      <c r="J1884" s="9" t="s">
        <v>46</v>
      </c>
      <c r="K1884" s="9" t="s">
        <v>47</v>
      </c>
      <c r="L1884" s="9" t="s">
        <v>48</v>
      </c>
      <c r="M1884" s="9" t="s">
        <v>1366</v>
      </c>
      <c r="N1884" s="9" t="s">
        <v>50</v>
      </c>
      <c r="O1884" s="9" t="s">
        <v>51</v>
      </c>
      <c r="P1884" s="9"/>
      <c r="Q1884" s="9"/>
      <c r="R1884" s="9" t="s">
        <v>61</v>
      </c>
      <c r="S1884" s="14" t="s">
        <v>6674</v>
      </c>
      <c r="T1884" s="9" t="s">
        <v>6675</v>
      </c>
      <c r="U1884" s="9" t="s">
        <v>54</v>
      </c>
      <c r="V1884" s="9" t="s">
        <v>55</v>
      </c>
      <c r="W1884" s="9" t="s">
        <v>55</v>
      </c>
      <c r="X1884" s="9"/>
      <c r="Y1884" s="9" t="s">
        <v>55</v>
      </c>
      <c r="Z1884" s="13" t="s">
        <v>1369</v>
      </c>
    </row>
    <row r="1885" spans="1:26" ht="32.25" hidden="1" customHeight="1">
      <c r="A1885" s="8">
        <v>2312958</v>
      </c>
      <c r="B1885" s="9" t="s">
        <v>6676</v>
      </c>
      <c r="C1885" s="10">
        <v>45149</v>
      </c>
      <c r="D1885" s="9" t="s">
        <v>261</v>
      </c>
      <c r="E1885" s="9" t="s">
        <v>143</v>
      </c>
      <c r="F1885" s="9" t="s">
        <v>262</v>
      </c>
      <c r="G1885" s="9" t="s">
        <v>43</v>
      </c>
      <c r="H1885" s="9" t="s">
        <v>44</v>
      </c>
      <c r="I1885" s="11" t="s">
        <v>1291</v>
      </c>
      <c r="J1885" s="9" t="s">
        <v>1292</v>
      </c>
      <c r="K1885" s="9" t="s">
        <v>47</v>
      </c>
      <c r="L1885" s="9" t="s">
        <v>1378</v>
      </c>
      <c r="M1885" s="9" t="s">
        <v>1664</v>
      </c>
      <c r="N1885" s="9" t="s">
        <v>50</v>
      </c>
      <c r="O1885" s="9" t="s">
        <v>51</v>
      </c>
      <c r="P1885" s="9"/>
      <c r="Q1885" s="9"/>
      <c r="R1885" s="9" t="s">
        <v>61</v>
      </c>
      <c r="S1885" s="14" t="s">
        <v>6677</v>
      </c>
      <c r="T1885" s="9" t="s">
        <v>6678</v>
      </c>
      <c r="U1885" s="9" t="s">
        <v>262</v>
      </c>
      <c r="V1885" s="9" t="s">
        <v>55</v>
      </c>
      <c r="W1885" s="9" t="s">
        <v>55</v>
      </c>
      <c r="X1885" s="12" t="s">
        <v>389</v>
      </c>
      <c r="Y1885" s="9" t="s">
        <v>390</v>
      </c>
      <c r="Z1885" s="13"/>
    </row>
    <row r="1886" spans="1:26" ht="32.25" hidden="1" customHeight="1">
      <c r="A1886" s="8">
        <v>2313379</v>
      </c>
      <c r="B1886" s="9" t="s">
        <v>6679</v>
      </c>
      <c r="C1886" s="10">
        <v>45156</v>
      </c>
      <c r="D1886" s="9" t="s">
        <v>79</v>
      </c>
      <c r="E1886" s="9" t="s">
        <v>89</v>
      </c>
      <c r="F1886" s="9" t="s">
        <v>80</v>
      </c>
      <c r="G1886" s="9" t="s">
        <v>43</v>
      </c>
      <c r="H1886" s="9" t="s">
        <v>44</v>
      </c>
      <c r="I1886" s="11" t="s">
        <v>117</v>
      </c>
      <c r="J1886" s="9" t="s">
        <v>118</v>
      </c>
      <c r="K1886" s="9" t="s">
        <v>92</v>
      </c>
      <c r="L1886" s="9" t="s">
        <v>1301</v>
      </c>
      <c r="M1886" s="9" t="s">
        <v>94</v>
      </c>
      <c r="N1886" s="9" t="s">
        <v>50</v>
      </c>
      <c r="O1886" s="9" t="s">
        <v>51</v>
      </c>
      <c r="P1886" s="9" t="s">
        <v>121</v>
      </c>
      <c r="Q1886" s="9"/>
      <c r="R1886" s="9" t="s">
        <v>61</v>
      </c>
      <c r="S1886" s="14" t="s">
        <v>6680</v>
      </c>
      <c r="T1886" s="9" t="s">
        <v>6681</v>
      </c>
      <c r="U1886" s="9" t="s">
        <v>54</v>
      </c>
      <c r="V1886" s="9" t="s">
        <v>55</v>
      </c>
      <c r="W1886" s="9" t="s">
        <v>55</v>
      </c>
      <c r="X1886" s="12" t="s">
        <v>98</v>
      </c>
      <c r="Y1886" s="9" t="s">
        <v>99</v>
      </c>
      <c r="Z1886" s="13"/>
    </row>
    <row r="1887" spans="1:26" ht="32.25" hidden="1" customHeight="1">
      <c r="A1887" s="8">
        <v>2309959</v>
      </c>
      <c r="B1887" s="9" t="s">
        <v>6682</v>
      </c>
      <c r="C1887" s="10">
        <v>45142</v>
      </c>
      <c r="D1887" s="9" t="s">
        <v>67</v>
      </c>
      <c r="E1887" s="9" t="s">
        <v>68</v>
      </c>
      <c r="F1887" s="9" t="s">
        <v>135</v>
      </c>
      <c r="G1887" s="9" t="s">
        <v>43</v>
      </c>
      <c r="H1887" s="9" t="s">
        <v>44</v>
      </c>
      <c r="I1887" s="11" t="s">
        <v>136</v>
      </c>
      <c r="J1887" s="9" t="s">
        <v>137</v>
      </c>
      <c r="K1887" s="9" t="s">
        <v>47</v>
      </c>
      <c r="L1887" s="9" t="s">
        <v>799</v>
      </c>
      <c r="M1887" s="9" t="s">
        <v>6683</v>
      </c>
      <c r="N1887" s="9" t="s">
        <v>50</v>
      </c>
      <c r="O1887" s="9" t="s">
        <v>51</v>
      </c>
      <c r="P1887" s="9"/>
      <c r="Q1887" s="9"/>
      <c r="R1887" s="9" t="s">
        <v>61</v>
      </c>
      <c r="S1887" s="9" t="s">
        <v>6684</v>
      </c>
      <c r="T1887" s="9" t="s">
        <v>6685</v>
      </c>
      <c r="U1887" s="9" t="s">
        <v>54</v>
      </c>
      <c r="V1887" s="9" t="s">
        <v>55</v>
      </c>
      <c r="W1887" s="9" t="s">
        <v>55</v>
      </c>
      <c r="X1887" s="12" t="s">
        <v>76</v>
      </c>
      <c r="Y1887" s="9" t="s">
        <v>77</v>
      </c>
      <c r="Z1887" s="13"/>
    </row>
    <row r="1888" spans="1:26" ht="32.25" hidden="1" customHeight="1">
      <c r="A1888" s="8">
        <v>2312625</v>
      </c>
      <c r="B1888" s="9" t="s">
        <v>6686</v>
      </c>
      <c r="C1888" s="10">
        <v>45142</v>
      </c>
      <c r="D1888" s="9" t="s">
        <v>1850</v>
      </c>
      <c r="E1888" s="9" t="s">
        <v>41</v>
      </c>
      <c r="F1888" s="9" t="s">
        <v>42</v>
      </c>
      <c r="G1888" s="9" t="s">
        <v>43</v>
      </c>
      <c r="H1888" s="9" t="s">
        <v>44</v>
      </c>
      <c r="I1888" s="11" t="s">
        <v>45</v>
      </c>
      <c r="J1888" s="9" t="s">
        <v>46</v>
      </c>
      <c r="K1888" s="9" t="s">
        <v>6687</v>
      </c>
      <c r="L1888" s="9"/>
      <c r="M1888" s="9" t="s">
        <v>6688</v>
      </c>
      <c r="N1888" s="9" t="s">
        <v>50</v>
      </c>
      <c r="O1888" s="9" t="s">
        <v>187</v>
      </c>
      <c r="P1888" s="9"/>
      <c r="Q1888" s="9"/>
      <c r="R1888" s="9" t="s">
        <v>61</v>
      </c>
      <c r="S1888" s="9" t="s">
        <v>6689</v>
      </c>
      <c r="T1888" s="9" t="s">
        <v>6690</v>
      </c>
      <c r="U1888" s="9" t="s">
        <v>54</v>
      </c>
      <c r="V1888" s="9" t="s">
        <v>55</v>
      </c>
      <c r="W1888" s="9" t="s">
        <v>55</v>
      </c>
      <c r="X1888" s="9" t="s">
        <v>64</v>
      </c>
      <c r="Y1888" s="9" t="s">
        <v>65</v>
      </c>
      <c r="Z1888" s="13"/>
    </row>
    <row r="1889" spans="1:26" ht="32.25" hidden="1" customHeight="1">
      <c r="A1889" s="8">
        <v>2303931</v>
      </c>
      <c r="B1889" s="9" t="s">
        <v>6691</v>
      </c>
      <c r="C1889" s="10">
        <v>45149</v>
      </c>
      <c r="D1889" s="9" t="s">
        <v>57</v>
      </c>
      <c r="E1889" s="9" t="s">
        <v>41</v>
      </c>
      <c r="F1889" s="9" t="s">
        <v>42</v>
      </c>
      <c r="G1889" s="9" t="s">
        <v>43</v>
      </c>
      <c r="H1889" s="9" t="s">
        <v>58</v>
      </c>
      <c r="I1889" s="11" t="s">
        <v>129</v>
      </c>
      <c r="J1889" s="9" t="s">
        <v>130</v>
      </c>
      <c r="K1889" s="9" t="s">
        <v>47</v>
      </c>
      <c r="L1889" s="9" t="s">
        <v>48</v>
      </c>
      <c r="M1889" s="9" t="s">
        <v>6692</v>
      </c>
      <c r="N1889" s="9" t="s">
        <v>84</v>
      </c>
      <c r="O1889" s="9" t="s">
        <v>51</v>
      </c>
      <c r="P1889" s="9"/>
      <c r="Q1889" s="9"/>
      <c r="R1889" s="9" t="s">
        <v>61</v>
      </c>
      <c r="S1889" s="14" t="s">
        <v>6693</v>
      </c>
      <c r="T1889" s="9" t="s">
        <v>6694</v>
      </c>
      <c r="U1889" s="9" t="s">
        <v>54</v>
      </c>
      <c r="V1889" s="9" t="s">
        <v>55</v>
      </c>
      <c r="W1889" s="9" t="s">
        <v>55</v>
      </c>
      <c r="X1889" s="9" t="s">
        <v>319</v>
      </c>
      <c r="Y1889" s="9" t="s">
        <v>320</v>
      </c>
      <c r="Z1889" s="13" t="s">
        <v>230</v>
      </c>
    </row>
    <row r="1890" spans="1:26" ht="32.25" hidden="1" customHeight="1">
      <c r="A1890" s="8">
        <v>2313878</v>
      </c>
      <c r="B1890" s="9" t="s">
        <v>6695</v>
      </c>
      <c r="C1890" s="10">
        <v>45156</v>
      </c>
      <c r="D1890" s="9" t="s">
        <v>79</v>
      </c>
      <c r="E1890" s="9" t="s">
        <v>41</v>
      </c>
      <c r="F1890" s="9" t="s">
        <v>80</v>
      </c>
      <c r="G1890" s="9" t="s">
        <v>43</v>
      </c>
      <c r="H1890" s="9" t="s">
        <v>44</v>
      </c>
      <c r="I1890" s="11" t="s">
        <v>478</v>
      </c>
      <c r="J1890" s="9" t="s">
        <v>479</v>
      </c>
      <c r="K1890" s="9" t="s">
        <v>47</v>
      </c>
      <c r="L1890" s="9" t="s">
        <v>310</v>
      </c>
      <c r="M1890" s="9" t="s">
        <v>6696</v>
      </c>
      <c r="N1890" s="9" t="s">
        <v>50</v>
      </c>
      <c r="O1890" s="9" t="s">
        <v>51</v>
      </c>
      <c r="P1890" s="9" t="s">
        <v>482</v>
      </c>
      <c r="Q1890" s="9"/>
      <c r="R1890" s="9"/>
      <c r="S1890" s="14" t="s">
        <v>6697</v>
      </c>
      <c r="T1890" s="9" t="s">
        <v>6698</v>
      </c>
      <c r="U1890" s="9" t="s">
        <v>54</v>
      </c>
      <c r="V1890" s="9" t="s">
        <v>55</v>
      </c>
      <c r="W1890" s="9" t="s">
        <v>55</v>
      </c>
      <c r="X1890" s="12"/>
      <c r="Y1890" s="9" t="s">
        <v>55</v>
      </c>
      <c r="Z1890" s="13"/>
    </row>
    <row r="1891" spans="1:26" ht="32.25" hidden="1" customHeight="1">
      <c r="A1891" s="8">
        <v>2300681</v>
      </c>
      <c r="B1891" s="9" t="s">
        <v>6699</v>
      </c>
      <c r="C1891" s="10">
        <v>45156</v>
      </c>
      <c r="D1891" s="9" t="s">
        <v>79</v>
      </c>
      <c r="E1891" s="9" t="s">
        <v>89</v>
      </c>
      <c r="F1891" s="9" t="s">
        <v>80</v>
      </c>
      <c r="G1891" s="9" t="s">
        <v>43</v>
      </c>
      <c r="H1891" s="9" t="s">
        <v>44</v>
      </c>
      <c r="I1891" s="11" t="s">
        <v>101</v>
      </c>
      <c r="J1891" s="9" t="s">
        <v>102</v>
      </c>
      <c r="K1891" s="9" t="s">
        <v>47</v>
      </c>
      <c r="L1891" s="9" t="s">
        <v>713</v>
      </c>
      <c r="M1891" s="9" t="s">
        <v>714</v>
      </c>
      <c r="N1891" s="9" t="s">
        <v>50</v>
      </c>
      <c r="O1891" s="9" t="s">
        <v>51</v>
      </c>
      <c r="P1891" s="9" t="s">
        <v>715</v>
      </c>
      <c r="Q1891" s="9"/>
      <c r="R1891" s="9"/>
      <c r="S1891" s="14" t="s">
        <v>6700</v>
      </c>
      <c r="T1891" s="9" t="s">
        <v>6701</v>
      </c>
      <c r="U1891" s="9" t="s">
        <v>54</v>
      </c>
      <c r="V1891" s="9" t="s">
        <v>55</v>
      </c>
      <c r="W1891" s="9" t="s">
        <v>55</v>
      </c>
      <c r="X1891" s="12"/>
      <c r="Y1891" s="9" t="s">
        <v>55</v>
      </c>
      <c r="Z1891" s="13"/>
    </row>
    <row r="1892" spans="1:26" ht="32.25" hidden="1" customHeight="1">
      <c r="A1892" s="8">
        <v>2309209</v>
      </c>
      <c r="B1892" s="9" t="s">
        <v>6702</v>
      </c>
      <c r="C1892" s="10">
        <v>45142</v>
      </c>
      <c r="D1892" s="9" t="s">
        <v>67</v>
      </c>
      <c r="E1892" s="9" t="s">
        <v>68</v>
      </c>
      <c r="F1892" s="9" t="s">
        <v>135</v>
      </c>
      <c r="G1892" s="9" t="s">
        <v>43</v>
      </c>
      <c r="H1892" s="9" t="s">
        <v>44</v>
      </c>
      <c r="I1892" s="11" t="s">
        <v>136</v>
      </c>
      <c r="J1892" s="9" t="s">
        <v>137</v>
      </c>
      <c r="K1892" s="9" t="s">
        <v>47</v>
      </c>
      <c r="L1892" s="9" t="s">
        <v>156</v>
      </c>
      <c r="M1892" s="9"/>
      <c r="N1892" s="9" t="s">
        <v>50</v>
      </c>
      <c r="O1892" s="9" t="s">
        <v>51</v>
      </c>
      <c r="P1892" s="9"/>
      <c r="Q1892" s="9"/>
      <c r="R1892" s="9"/>
      <c r="S1892" s="9" t="s">
        <v>6703</v>
      </c>
      <c r="T1892" s="9" t="s">
        <v>6704</v>
      </c>
      <c r="U1892" s="9" t="s">
        <v>54</v>
      </c>
      <c r="V1892" s="9" t="s">
        <v>55</v>
      </c>
      <c r="W1892" s="9" t="s">
        <v>55</v>
      </c>
      <c r="X1892" s="12"/>
      <c r="Y1892" s="9" t="s">
        <v>55</v>
      </c>
      <c r="Z1892" s="13"/>
    </row>
    <row r="1893" spans="1:26" ht="32.25" hidden="1" customHeight="1">
      <c r="A1893" s="8">
        <v>2304168</v>
      </c>
      <c r="B1893" s="9" t="s">
        <v>6705</v>
      </c>
      <c r="C1893" s="10">
        <v>45142</v>
      </c>
      <c r="D1893" s="9" t="s">
        <v>67</v>
      </c>
      <c r="E1893" s="9" t="s">
        <v>89</v>
      </c>
      <c r="F1893" s="9" t="s">
        <v>42</v>
      </c>
      <c r="G1893" s="9" t="s">
        <v>43</v>
      </c>
      <c r="H1893" s="9" t="s">
        <v>44</v>
      </c>
      <c r="I1893" s="11" t="s">
        <v>360</v>
      </c>
      <c r="J1893" s="9" t="s">
        <v>102</v>
      </c>
      <c r="K1893" s="9" t="s">
        <v>110</v>
      </c>
      <c r="L1893" s="9" t="s">
        <v>6706</v>
      </c>
      <c r="M1893" s="9" t="s">
        <v>6707</v>
      </c>
      <c r="N1893" s="9" t="s">
        <v>50</v>
      </c>
      <c r="O1893" s="9" t="s">
        <v>51</v>
      </c>
      <c r="P1893" s="9" t="s">
        <v>361</v>
      </c>
      <c r="Q1893" s="9"/>
      <c r="R1893" s="9" t="s">
        <v>61</v>
      </c>
      <c r="S1893" s="9" t="s">
        <v>6708</v>
      </c>
      <c r="T1893" s="9" t="s">
        <v>6709</v>
      </c>
      <c r="U1893" s="9" t="s">
        <v>54</v>
      </c>
      <c r="V1893" s="9" t="s">
        <v>55</v>
      </c>
      <c r="W1893" s="9" t="s">
        <v>55</v>
      </c>
      <c r="X1893" s="12" t="s">
        <v>98</v>
      </c>
      <c r="Y1893" s="9" t="s">
        <v>99</v>
      </c>
      <c r="Z1893" s="13"/>
    </row>
    <row r="1894" spans="1:26" ht="32.25" hidden="1" customHeight="1">
      <c r="A1894" s="8">
        <v>2304208</v>
      </c>
      <c r="B1894" s="9" t="s">
        <v>6710</v>
      </c>
      <c r="C1894" s="10">
        <v>45149</v>
      </c>
      <c r="D1894" s="9" t="s">
        <v>57</v>
      </c>
      <c r="E1894" s="9" t="s">
        <v>153</v>
      </c>
      <c r="F1894" s="9" t="s">
        <v>42</v>
      </c>
      <c r="G1894" s="9" t="s">
        <v>43</v>
      </c>
      <c r="H1894" s="9" t="s">
        <v>58</v>
      </c>
      <c r="I1894" s="11" t="s">
        <v>154</v>
      </c>
      <c r="J1894" s="9" t="s">
        <v>155</v>
      </c>
      <c r="K1894" s="9" t="s">
        <v>47</v>
      </c>
      <c r="L1894" s="9" t="s">
        <v>156</v>
      </c>
      <c r="M1894" s="9"/>
      <c r="N1894" s="9" t="s">
        <v>84</v>
      </c>
      <c r="O1894" s="9" t="s">
        <v>51</v>
      </c>
      <c r="P1894" s="9"/>
      <c r="Q1894" s="9"/>
      <c r="R1894" s="9"/>
      <c r="S1894" s="14" t="s">
        <v>6711</v>
      </c>
      <c r="T1894" s="9" t="s">
        <v>6712</v>
      </c>
      <c r="U1894" s="9" t="s">
        <v>54</v>
      </c>
      <c r="V1894" s="9" t="s">
        <v>55</v>
      </c>
      <c r="W1894" s="9" t="s">
        <v>55</v>
      </c>
      <c r="X1894" s="12"/>
      <c r="Y1894" s="9" t="s">
        <v>55</v>
      </c>
      <c r="Z1894" s="13"/>
    </row>
    <row r="1895" spans="1:26" ht="32.25" hidden="1" customHeight="1">
      <c r="A1895" s="8">
        <v>2306920</v>
      </c>
      <c r="B1895" s="9" t="s">
        <v>6713</v>
      </c>
      <c r="C1895" s="10">
        <v>45142</v>
      </c>
      <c r="D1895" s="9" t="s">
        <v>67</v>
      </c>
      <c r="E1895" s="9" t="s">
        <v>68</v>
      </c>
      <c r="F1895" s="9" t="s">
        <v>42</v>
      </c>
      <c r="G1895" s="9" t="s">
        <v>43</v>
      </c>
      <c r="H1895" s="9" t="s">
        <v>44</v>
      </c>
      <c r="I1895" s="11" t="s">
        <v>69</v>
      </c>
      <c r="J1895" s="9" t="s">
        <v>70</v>
      </c>
      <c r="K1895" s="9" t="s">
        <v>416</v>
      </c>
      <c r="L1895" s="9"/>
      <c r="M1895" s="9" t="s">
        <v>1605</v>
      </c>
      <c r="N1895" s="9" t="s">
        <v>50</v>
      </c>
      <c r="O1895" s="9" t="s">
        <v>51</v>
      </c>
      <c r="P1895" s="9" t="s">
        <v>73</v>
      </c>
      <c r="Q1895" s="9"/>
      <c r="R1895" s="9" t="s">
        <v>61</v>
      </c>
      <c r="S1895" s="9" t="s">
        <v>6714</v>
      </c>
      <c r="T1895" s="9" t="s">
        <v>6715</v>
      </c>
      <c r="U1895" s="9" t="s">
        <v>54</v>
      </c>
      <c r="V1895" s="9" t="s">
        <v>55</v>
      </c>
      <c r="W1895" s="9" t="s">
        <v>55</v>
      </c>
      <c r="X1895" s="12" t="s">
        <v>76</v>
      </c>
      <c r="Y1895" s="9" t="s">
        <v>77</v>
      </c>
      <c r="Z1895" s="13"/>
    </row>
    <row r="1896" spans="1:26" ht="32.25" hidden="1" customHeight="1">
      <c r="A1896" s="8">
        <v>2307328</v>
      </c>
      <c r="B1896" s="9" t="s">
        <v>6716</v>
      </c>
      <c r="C1896" s="10">
        <v>45142</v>
      </c>
      <c r="D1896" s="9" t="s">
        <v>67</v>
      </c>
      <c r="E1896" s="9" t="s">
        <v>68</v>
      </c>
      <c r="F1896" s="9" t="s">
        <v>135</v>
      </c>
      <c r="G1896" s="9" t="s">
        <v>43</v>
      </c>
      <c r="H1896" s="9" t="s">
        <v>44</v>
      </c>
      <c r="I1896" s="11" t="s">
        <v>136</v>
      </c>
      <c r="J1896" s="9" t="s">
        <v>137</v>
      </c>
      <c r="K1896" s="9" t="s">
        <v>47</v>
      </c>
      <c r="L1896" s="9" t="s">
        <v>2632</v>
      </c>
      <c r="M1896" s="9" t="s">
        <v>2633</v>
      </c>
      <c r="N1896" s="9" t="s">
        <v>84</v>
      </c>
      <c r="O1896" s="9" t="s">
        <v>51</v>
      </c>
      <c r="P1896" s="9"/>
      <c r="Q1896" s="9"/>
      <c r="R1896" s="9" t="s">
        <v>61</v>
      </c>
      <c r="S1896" s="9" t="s">
        <v>6717</v>
      </c>
      <c r="T1896" s="9" t="s">
        <v>6718</v>
      </c>
      <c r="U1896" s="9" t="s">
        <v>54</v>
      </c>
      <c r="V1896" s="9" t="s">
        <v>55</v>
      </c>
      <c r="W1896" s="9" t="s">
        <v>55</v>
      </c>
      <c r="X1896" s="12" t="s">
        <v>76</v>
      </c>
      <c r="Y1896" s="9" t="s">
        <v>77</v>
      </c>
      <c r="Z1896" s="13"/>
    </row>
    <row r="1897" spans="1:26" ht="32.25" hidden="1" customHeight="1">
      <c r="A1897" s="8">
        <v>2304559</v>
      </c>
      <c r="B1897" s="9" t="s">
        <v>6719</v>
      </c>
      <c r="C1897" s="10">
        <v>45156</v>
      </c>
      <c r="D1897" s="9" t="s">
        <v>79</v>
      </c>
      <c r="E1897" s="9" t="s">
        <v>295</v>
      </c>
      <c r="F1897" s="9" t="s">
        <v>80</v>
      </c>
      <c r="G1897" s="9" t="s">
        <v>43</v>
      </c>
      <c r="H1897" s="9" t="s">
        <v>44</v>
      </c>
      <c r="I1897" s="11" t="s">
        <v>1972</v>
      </c>
      <c r="J1897" s="9" t="s">
        <v>297</v>
      </c>
      <c r="K1897" s="9" t="s">
        <v>47</v>
      </c>
      <c r="L1897" s="9" t="s">
        <v>156</v>
      </c>
      <c r="M1897" s="9"/>
      <c r="N1897" s="9" t="s">
        <v>84</v>
      </c>
      <c r="O1897" s="9" t="s">
        <v>51</v>
      </c>
      <c r="P1897" s="9" t="s">
        <v>1974</v>
      </c>
      <c r="Q1897" s="9"/>
      <c r="R1897" s="9"/>
      <c r="S1897" s="14" t="s">
        <v>6720</v>
      </c>
      <c r="T1897" s="9" t="s">
        <v>6721</v>
      </c>
      <c r="U1897" s="9" t="s">
        <v>54</v>
      </c>
      <c r="V1897" s="9"/>
      <c r="W1897" s="9" t="s">
        <v>115</v>
      </c>
      <c r="X1897" s="12"/>
      <c r="Y1897" s="9" t="s">
        <v>55</v>
      </c>
      <c r="Z1897" s="13"/>
    </row>
    <row r="1898" spans="1:26" ht="32.25" hidden="1" customHeight="1">
      <c r="A1898" s="8">
        <v>2315420</v>
      </c>
      <c r="B1898" s="9" t="s">
        <v>6722</v>
      </c>
      <c r="C1898" s="10">
        <v>45152</v>
      </c>
      <c r="D1898" s="9" t="s">
        <v>185</v>
      </c>
      <c r="E1898" s="9" t="s">
        <v>153</v>
      </c>
      <c r="F1898" s="9" t="s">
        <v>42</v>
      </c>
      <c r="G1898" s="9" t="s">
        <v>43</v>
      </c>
      <c r="H1898" s="9" t="s">
        <v>44</v>
      </c>
      <c r="I1898" s="11" t="s">
        <v>154</v>
      </c>
      <c r="J1898" s="9" t="s">
        <v>155</v>
      </c>
      <c r="K1898" s="9" t="s">
        <v>92</v>
      </c>
      <c r="L1898" s="9"/>
      <c r="M1898" s="9" t="s">
        <v>6723</v>
      </c>
      <c r="N1898" s="9" t="s">
        <v>50</v>
      </c>
      <c r="O1898" s="9" t="s">
        <v>187</v>
      </c>
      <c r="P1898" s="9"/>
      <c r="Q1898" s="9"/>
      <c r="R1898" s="9" t="s">
        <v>61</v>
      </c>
      <c r="S1898" s="14" t="s">
        <v>6724</v>
      </c>
      <c r="T1898" s="9" t="s">
        <v>6725</v>
      </c>
      <c r="U1898" s="9" t="s">
        <v>54</v>
      </c>
      <c r="V1898" s="9" t="s">
        <v>55</v>
      </c>
      <c r="W1898" s="9" t="s">
        <v>55</v>
      </c>
      <c r="X1898" s="12" t="s">
        <v>171</v>
      </c>
      <c r="Y1898" s="9" t="s">
        <v>172</v>
      </c>
      <c r="Z1898" s="13"/>
    </row>
    <row r="1899" spans="1:26" ht="32.25" hidden="1" customHeight="1">
      <c r="A1899" s="8">
        <v>2315478</v>
      </c>
      <c r="B1899" s="9" t="s">
        <v>6726</v>
      </c>
      <c r="C1899" s="10">
        <v>45156</v>
      </c>
      <c r="D1899" s="9" t="s">
        <v>565</v>
      </c>
      <c r="E1899" s="9" t="s">
        <v>41</v>
      </c>
      <c r="F1899" s="9" t="s">
        <v>42</v>
      </c>
      <c r="G1899" s="9" t="s">
        <v>43</v>
      </c>
      <c r="H1899" s="9" t="s">
        <v>58</v>
      </c>
      <c r="I1899" s="11" t="s">
        <v>129</v>
      </c>
      <c r="J1899" s="9" t="s">
        <v>130</v>
      </c>
      <c r="K1899" s="9" t="s">
        <v>47</v>
      </c>
      <c r="L1899" s="9"/>
      <c r="M1899" s="9"/>
      <c r="N1899" s="9" t="s">
        <v>50</v>
      </c>
      <c r="O1899" s="9" t="s">
        <v>51</v>
      </c>
      <c r="P1899" s="9"/>
      <c r="Q1899" s="9"/>
      <c r="R1899" s="9" t="s">
        <v>61</v>
      </c>
      <c r="S1899" s="14" t="s">
        <v>6727</v>
      </c>
      <c r="T1899" s="9" t="s">
        <v>6728</v>
      </c>
      <c r="U1899" s="9" t="s">
        <v>54</v>
      </c>
      <c r="V1899" s="9" t="s">
        <v>55</v>
      </c>
      <c r="W1899" s="9" t="s">
        <v>55</v>
      </c>
      <c r="X1899" s="9" t="s">
        <v>196</v>
      </c>
      <c r="Y1899" s="9" t="s">
        <v>197</v>
      </c>
      <c r="Z1899" s="13" t="s">
        <v>230</v>
      </c>
    </row>
    <row r="1900" spans="1:26" ht="32.25" hidden="1" customHeight="1">
      <c r="A1900" s="8">
        <v>2315477</v>
      </c>
      <c r="B1900" s="9" t="s">
        <v>6729</v>
      </c>
      <c r="C1900" s="10">
        <v>45152</v>
      </c>
      <c r="D1900" s="9" t="s">
        <v>185</v>
      </c>
      <c r="E1900" s="9" t="s">
        <v>41</v>
      </c>
      <c r="F1900" s="9" t="s">
        <v>42</v>
      </c>
      <c r="G1900" s="9" t="s">
        <v>43</v>
      </c>
      <c r="H1900" s="9" t="s">
        <v>44</v>
      </c>
      <c r="I1900" s="11" t="s">
        <v>1073</v>
      </c>
      <c r="J1900" s="9" t="s">
        <v>479</v>
      </c>
      <c r="K1900" s="9" t="s">
        <v>92</v>
      </c>
      <c r="L1900" s="9" t="s">
        <v>1301</v>
      </c>
      <c r="M1900" s="9" t="s">
        <v>94</v>
      </c>
      <c r="N1900" s="9" t="s">
        <v>50</v>
      </c>
      <c r="O1900" s="9" t="s">
        <v>187</v>
      </c>
      <c r="P1900" s="9"/>
      <c r="Q1900" s="9"/>
      <c r="R1900" s="9" t="s">
        <v>61</v>
      </c>
      <c r="S1900" s="14" t="s">
        <v>6730</v>
      </c>
      <c r="T1900" s="9" t="s">
        <v>6731</v>
      </c>
      <c r="U1900" s="9" t="s">
        <v>54</v>
      </c>
      <c r="V1900" s="9" t="s">
        <v>55</v>
      </c>
      <c r="W1900" s="9" t="s">
        <v>55</v>
      </c>
      <c r="X1900" s="9" t="s">
        <v>196</v>
      </c>
      <c r="Y1900" s="9" t="s">
        <v>197</v>
      </c>
      <c r="Z1900" s="13"/>
    </row>
    <row r="1901" spans="1:26" ht="32.25" hidden="1" customHeight="1">
      <c r="A1901" s="8">
        <v>2313500</v>
      </c>
      <c r="B1901" s="9" t="s">
        <v>6732</v>
      </c>
      <c r="C1901" s="10">
        <v>45156</v>
      </c>
      <c r="D1901" s="9" t="s">
        <v>79</v>
      </c>
      <c r="E1901" s="9" t="s">
        <v>68</v>
      </c>
      <c r="F1901" s="9" t="s">
        <v>80</v>
      </c>
      <c r="G1901" s="9" t="s">
        <v>43</v>
      </c>
      <c r="H1901" s="9" t="s">
        <v>44</v>
      </c>
      <c r="I1901" s="11" t="s">
        <v>101</v>
      </c>
      <c r="J1901" s="9" t="s">
        <v>102</v>
      </c>
      <c r="K1901" s="9" t="s">
        <v>110</v>
      </c>
      <c r="L1901" s="9" t="s">
        <v>6733</v>
      </c>
      <c r="M1901" s="9" t="s">
        <v>6733</v>
      </c>
      <c r="N1901" s="9" t="s">
        <v>50</v>
      </c>
      <c r="O1901" s="9" t="s">
        <v>51</v>
      </c>
      <c r="P1901" s="9" t="s">
        <v>379</v>
      </c>
      <c r="Q1901" s="9"/>
      <c r="R1901" s="9" t="s">
        <v>61</v>
      </c>
      <c r="S1901" s="14" t="s">
        <v>6734</v>
      </c>
      <c r="T1901" s="9" t="s">
        <v>6735</v>
      </c>
      <c r="U1901" s="9" t="s">
        <v>54</v>
      </c>
      <c r="V1901" s="9" t="s">
        <v>55</v>
      </c>
      <c r="W1901" s="9" t="s">
        <v>115</v>
      </c>
      <c r="X1901" s="12" t="s">
        <v>98</v>
      </c>
      <c r="Y1901" s="9" t="s">
        <v>99</v>
      </c>
      <c r="Z1901" s="13" t="s">
        <v>6736</v>
      </c>
    </row>
    <row r="1902" spans="1:26" ht="32.25" hidden="1" customHeight="1">
      <c r="A1902" s="8">
        <v>2304221</v>
      </c>
      <c r="B1902" s="9" t="s">
        <v>6737</v>
      </c>
      <c r="C1902" s="10">
        <v>45142</v>
      </c>
      <c r="D1902" s="9" t="s">
        <v>67</v>
      </c>
      <c r="E1902" s="9" t="s">
        <v>68</v>
      </c>
      <c r="F1902" s="9" t="s">
        <v>135</v>
      </c>
      <c r="G1902" s="9" t="s">
        <v>43</v>
      </c>
      <c r="H1902" s="9" t="s">
        <v>44</v>
      </c>
      <c r="I1902" s="11" t="s">
        <v>136</v>
      </c>
      <c r="J1902" s="9" t="s">
        <v>137</v>
      </c>
      <c r="K1902" s="9" t="s">
        <v>92</v>
      </c>
      <c r="L1902" s="9"/>
      <c r="M1902" s="9" t="s">
        <v>103</v>
      </c>
      <c r="N1902" s="9" t="s">
        <v>84</v>
      </c>
      <c r="O1902" s="9" t="s">
        <v>51</v>
      </c>
      <c r="P1902" s="9"/>
      <c r="Q1902" s="9"/>
      <c r="R1902" s="9" t="s">
        <v>61</v>
      </c>
      <c r="S1902" s="9" t="s">
        <v>6738</v>
      </c>
      <c r="T1902" s="9" t="s">
        <v>1404</v>
      </c>
      <c r="U1902" s="9" t="s">
        <v>54</v>
      </c>
      <c r="V1902" s="9" t="s">
        <v>55</v>
      </c>
      <c r="W1902" s="9" t="s">
        <v>55</v>
      </c>
      <c r="X1902" s="12" t="s">
        <v>76</v>
      </c>
      <c r="Y1902" s="9" t="s">
        <v>77</v>
      </c>
      <c r="Z1902" s="13"/>
    </row>
    <row r="1903" spans="1:26" ht="32.25" hidden="1" customHeight="1">
      <c r="A1903" s="8">
        <v>2304151</v>
      </c>
      <c r="B1903" s="9" t="s">
        <v>6739</v>
      </c>
      <c r="C1903" s="10">
        <v>45149</v>
      </c>
      <c r="D1903" s="9" t="s">
        <v>57</v>
      </c>
      <c r="E1903" s="9" t="s">
        <v>41</v>
      </c>
      <c r="F1903" s="9" t="s">
        <v>42</v>
      </c>
      <c r="G1903" s="9" t="s">
        <v>43</v>
      </c>
      <c r="H1903" s="9" t="s">
        <v>58</v>
      </c>
      <c r="I1903" s="11" t="s">
        <v>129</v>
      </c>
      <c r="J1903" s="9" t="s">
        <v>130</v>
      </c>
      <c r="K1903" s="9" t="s">
        <v>47</v>
      </c>
      <c r="L1903" s="9" t="s">
        <v>858</v>
      </c>
      <c r="M1903" s="9" t="s">
        <v>1103</v>
      </c>
      <c r="N1903" s="9" t="s">
        <v>84</v>
      </c>
      <c r="O1903" s="9" t="s">
        <v>51</v>
      </c>
      <c r="P1903" s="9"/>
      <c r="Q1903" s="9"/>
      <c r="R1903" s="9" t="s">
        <v>61</v>
      </c>
      <c r="S1903" s="14" t="s">
        <v>6740</v>
      </c>
      <c r="T1903" s="9" t="s">
        <v>6741</v>
      </c>
      <c r="U1903" s="9" t="s">
        <v>54</v>
      </c>
      <c r="V1903" s="9" t="s">
        <v>55</v>
      </c>
      <c r="W1903" s="9" t="s">
        <v>55</v>
      </c>
      <c r="X1903" s="9" t="s">
        <v>196</v>
      </c>
      <c r="Y1903" s="9" t="s">
        <v>197</v>
      </c>
      <c r="Z1903" s="13" t="s">
        <v>230</v>
      </c>
    </row>
    <row r="1904" spans="1:26" ht="32.25" hidden="1" customHeight="1">
      <c r="A1904" s="8">
        <v>2309908</v>
      </c>
      <c r="B1904" s="9" t="s">
        <v>6742</v>
      </c>
      <c r="C1904" s="10">
        <v>45136</v>
      </c>
      <c r="D1904" s="9" t="s">
        <v>1072</v>
      </c>
      <c r="E1904" s="9" t="s">
        <v>41</v>
      </c>
      <c r="F1904" s="9" t="s">
        <v>42</v>
      </c>
      <c r="G1904" s="9" t="s">
        <v>43</v>
      </c>
      <c r="H1904" s="9" t="s">
        <v>44</v>
      </c>
      <c r="I1904" s="11" t="s">
        <v>129</v>
      </c>
      <c r="J1904" s="9" t="s">
        <v>130</v>
      </c>
      <c r="K1904" s="9" t="s">
        <v>47</v>
      </c>
      <c r="L1904" s="9" t="s">
        <v>59</v>
      </c>
      <c r="M1904" s="9" t="s">
        <v>60</v>
      </c>
      <c r="N1904" s="9" t="s">
        <v>84</v>
      </c>
      <c r="O1904" s="9" t="s">
        <v>51</v>
      </c>
      <c r="P1904" s="9"/>
      <c r="Q1904" s="9"/>
      <c r="R1904" s="9" t="s">
        <v>61</v>
      </c>
      <c r="S1904" s="9" t="s">
        <v>6743</v>
      </c>
      <c r="T1904" s="9" t="s">
        <v>6744</v>
      </c>
      <c r="U1904" s="9" t="s">
        <v>54</v>
      </c>
      <c r="V1904" s="9" t="s">
        <v>55</v>
      </c>
      <c r="W1904" s="9" t="s">
        <v>55</v>
      </c>
      <c r="X1904" s="9" t="s">
        <v>319</v>
      </c>
      <c r="Y1904" s="9" t="s">
        <v>320</v>
      </c>
      <c r="Z1904" s="13" t="s">
        <v>230</v>
      </c>
    </row>
    <row r="1905" spans="1:26" ht="32.25" hidden="1" customHeight="1">
      <c r="A1905" s="8">
        <v>2301005</v>
      </c>
      <c r="B1905" s="9" t="s">
        <v>6745</v>
      </c>
      <c r="C1905" s="10">
        <v>45149</v>
      </c>
      <c r="D1905" s="9" t="s">
        <v>57</v>
      </c>
      <c r="E1905" s="9" t="s">
        <v>295</v>
      </c>
      <c r="F1905" s="9" t="s">
        <v>42</v>
      </c>
      <c r="G1905" s="9" t="s">
        <v>43</v>
      </c>
      <c r="H1905" s="9" t="s">
        <v>58</v>
      </c>
      <c r="I1905" s="11" t="s">
        <v>406</v>
      </c>
      <c r="J1905" s="9" t="s">
        <v>407</v>
      </c>
      <c r="K1905" s="9" t="s">
        <v>47</v>
      </c>
      <c r="L1905" s="9" t="s">
        <v>156</v>
      </c>
      <c r="M1905" s="9"/>
      <c r="N1905" s="9" t="s">
        <v>84</v>
      </c>
      <c r="O1905" s="9" t="s">
        <v>51</v>
      </c>
      <c r="P1905" s="9"/>
      <c r="Q1905" s="9"/>
      <c r="R1905" s="9"/>
      <c r="S1905" s="14" t="s">
        <v>6746</v>
      </c>
      <c r="T1905" s="9" t="s">
        <v>6747</v>
      </c>
      <c r="U1905" s="9" t="s">
        <v>54</v>
      </c>
      <c r="V1905" s="9" t="s">
        <v>55</v>
      </c>
      <c r="W1905" s="9" t="s">
        <v>55</v>
      </c>
      <c r="X1905" s="12"/>
      <c r="Y1905" s="9" t="s">
        <v>55</v>
      </c>
      <c r="Z1905" s="13"/>
    </row>
    <row r="1906" spans="1:26" ht="32.25" hidden="1" customHeight="1">
      <c r="A1906" s="8">
        <v>2309647</v>
      </c>
      <c r="B1906" s="9" t="s">
        <v>6748</v>
      </c>
      <c r="C1906" s="10">
        <v>45156</v>
      </c>
      <c r="D1906" s="9" t="s">
        <v>79</v>
      </c>
      <c r="E1906" s="9" t="s">
        <v>89</v>
      </c>
      <c r="F1906" s="9" t="s">
        <v>80</v>
      </c>
      <c r="G1906" s="9" t="s">
        <v>43</v>
      </c>
      <c r="H1906" s="9" t="s">
        <v>44</v>
      </c>
      <c r="I1906" s="11" t="s">
        <v>117</v>
      </c>
      <c r="J1906" s="9" t="s">
        <v>118</v>
      </c>
      <c r="K1906" s="9" t="s">
        <v>47</v>
      </c>
      <c r="L1906" s="9" t="s">
        <v>48</v>
      </c>
      <c r="M1906" s="9" t="s">
        <v>6399</v>
      </c>
      <c r="N1906" s="9" t="s">
        <v>50</v>
      </c>
      <c r="O1906" s="9" t="s">
        <v>51</v>
      </c>
      <c r="P1906" s="9" t="s">
        <v>121</v>
      </c>
      <c r="Q1906" s="9"/>
      <c r="R1906" s="9"/>
      <c r="S1906" s="14" t="s">
        <v>6749</v>
      </c>
      <c r="T1906" s="9" t="s">
        <v>6750</v>
      </c>
      <c r="U1906" s="9" t="s">
        <v>54</v>
      </c>
      <c r="V1906" s="9" t="s">
        <v>55</v>
      </c>
      <c r="W1906" s="9" t="s">
        <v>55</v>
      </c>
      <c r="X1906" s="12"/>
      <c r="Y1906" s="9" t="s">
        <v>55</v>
      </c>
      <c r="Z1906" s="13"/>
    </row>
    <row r="1907" spans="1:26" ht="32.25" hidden="1" customHeight="1">
      <c r="A1907" s="8">
        <v>2303675</v>
      </c>
      <c r="B1907" s="9" t="s">
        <v>6751</v>
      </c>
      <c r="C1907" s="10">
        <v>45142</v>
      </c>
      <c r="D1907" s="9" t="s">
        <v>67</v>
      </c>
      <c r="E1907" s="9" t="s">
        <v>68</v>
      </c>
      <c r="F1907" s="9" t="s">
        <v>135</v>
      </c>
      <c r="G1907" s="9" t="s">
        <v>43</v>
      </c>
      <c r="H1907" s="9" t="s">
        <v>44</v>
      </c>
      <c r="I1907" s="11" t="s">
        <v>136</v>
      </c>
      <c r="J1907" s="9" t="s">
        <v>137</v>
      </c>
      <c r="K1907" s="9" t="s">
        <v>496</v>
      </c>
      <c r="L1907" s="9"/>
      <c r="M1907" s="9" t="s">
        <v>6752</v>
      </c>
      <c r="N1907" s="9" t="s">
        <v>50</v>
      </c>
      <c r="O1907" s="9" t="s">
        <v>51</v>
      </c>
      <c r="P1907" s="9"/>
      <c r="Q1907" s="9"/>
      <c r="R1907" s="9" t="s">
        <v>61</v>
      </c>
      <c r="S1907" s="9" t="s">
        <v>6753</v>
      </c>
      <c r="T1907" s="9" t="s">
        <v>6754</v>
      </c>
      <c r="U1907" s="9" t="s">
        <v>54</v>
      </c>
      <c r="V1907" s="9" t="s">
        <v>55</v>
      </c>
      <c r="W1907" s="9" t="s">
        <v>55</v>
      </c>
      <c r="X1907" s="12" t="s">
        <v>76</v>
      </c>
      <c r="Y1907" s="9" t="s">
        <v>77</v>
      </c>
      <c r="Z1907" s="13"/>
    </row>
    <row r="1908" spans="1:26" ht="32.25" hidden="1" customHeight="1">
      <c r="A1908" s="8">
        <v>2307550</v>
      </c>
      <c r="B1908" s="9" t="s">
        <v>6755</v>
      </c>
      <c r="C1908" s="10">
        <v>45142</v>
      </c>
      <c r="D1908" s="9" t="s">
        <v>67</v>
      </c>
      <c r="E1908" s="9" t="s">
        <v>295</v>
      </c>
      <c r="F1908" s="9" t="s">
        <v>42</v>
      </c>
      <c r="G1908" s="9" t="s">
        <v>43</v>
      </c>
      <c r="H1908" s="9" t="s">
        <v>44</v>
      </c>
      <c r="I1908" s="11" t="s">
        <v>296</v>
      </c>
      <c r="J1908" s="9" t="s">
        <v>297</v>
      </c>
      <c r="K1908" s="9" t="s">
        <v>47</v>
      </c>
      <c r="L1908" s="9" t="s">
        <v>156</v>
      </c>
      <c r="M1908" s="9"/>
      <c r="N1908" s="9" t="s">
        <v>84</v>
      </c>
      <c r="O1908" s="9" t="s">
        <v>51</v>
      </c>
      <c r="P1908" s="9"/>
      <c r="Q1908" s="9"/>
      <c r="R1908" s="9" t="s">
        <v>61</v>
      </c>
      <c r="S1908" s="9" t="s">
        <v>6756</v>
      </c>
      <c r="T1908" s="9" t="s">
        <v>6757</v>
      </c>
      <c r="U1908" s="9" t="s">
        <v>54</v>
      </c>
      <c r="V1908" s="9" t="s">
        <v>55</v>
      </c>
      <c r="W1908" s="9" t="s">
        <v>55</v>
      </c>
      <c r="X1908" s="9"/>
      <c r="Y1908" s="9" t="s">
        <v>55</v>
      </c>
      <c r="Z1908" s="13" t="s">
        <v>1220</v>
      </c>
    </row>
    <row r="1909" spans="1:26" ht="32.25" hidden="1" customHeight="1">
      <c r="A1909" s="8">
        <v>2304377</v>
      </c>
      <c r="B1909" s="9" t="s">
        <v>6758</v>
      </c>
      <c r="C1909" s="10">
        <v>45149</v>
      </c>
      <c r="D1909" s="9" t="s">
        <v>57</v>
      </c>
      <c r="E1909" s="9" t="s">
        <v>295</v>
      </c>
      <c r="F1909" s="9" t="s">
        <v>42</v>
      </c>
      <c r="G1909" s="9" t="s">
        <v>43</v>
      </c>
      <c r="H1909" s="9" t="s">
        <v>58</v>
      </c>
      <c r="I1909" s="11" t="s">
        <v>406</v>
      </c>
      <c r="J1909" s="9" t="s">
        <v>407</v>
      </c>
      <c r="K1909" s="9" t="s">
        <v>47</v>
      </c>
      <c r="L1909" s="9" t="s">
        <v>221</v>
      </c>
      <c r="M1909" s="9" t="s">
        <v>2991</v>
      </c>
      <c r="N1909" s="9" t="s">
        <v>84</v>
      </c>
      <c r="O1909" s="9" t="s">
        <v>51</v>
      </c>
      <c r="P1909" s="9"/>
      <c r="Q1909" s="9"/>
      <c r="R1909" s="9" t="s">
        <v>61</v>
      </c>
      <c r="S1909" s="14" t="s">
        <v>6759</v>
      </c>
      <c r="T1909" s="9" t="s">
        <v>6760</v>
      </c>
      <c r="U1909" s="9" t="s">
        <v>54</v>
      </c>
      <c r="V1909" s="9" t="s">
        <v>55</v>
      </c>
      <c r="W1909" s="9" t="s">
        <v>55</v>
      </c>
      <c r="X1909" s="9" t="s">
        <v>319</v>
      </c>
      <c r="Y1909" s="9" t="s">
        <v>320</v>
      </c>
      <c r="Z1909" s="13"/>
    </row>
    <row r="1910" spans="1:26" ht="32.25" hidden="1" customHeight="1">
      <c r="A1910" s="8">
        <v>2302364</v>
      </c>
      <c r="B1910" s="9" t="s">
        <v>6761</v>
      </c>
      <c r="C1910" s="10">
        <v>45149</v>
      </c>
      <c r="D1910" s="9" t="s">
        <v>57</v>
      </c>
      <c r="E1910" s="9" t="s">
        <v>295</v>
      </c>
      <c r="F1910" s="9" t="s">
        <v>42</v>
      </c>
      <c r="G1910" s="9" t="s">
        <v>43</v>
      </c>
      <c r="H1910" s="9" t="s">
        <v>58</v>
      </c>
      <c r="I1910" s="11" t="s">
        <v>406</v>
      </c>
      <c r="J1910" s="9" t="s">
        <v>407</v>
      </c>
      <c r="K1910" s="9" t="s">
        <v>47</v>
      </c>
      <c r="L1910" s="9" t="s">
        <v>863</v>
      </c>
      <c r="M1910" s="9" t="s">
        <v>1258</v>
      </c>
      <c r="N1910" s="9" t="s">
        <v>84</v>
      </c>
      <c r="O1910" s="9" t="s">
        <v>51</v>
      </c>
      <c r="P1910" s="9"/>
      <c r="Q1910" s="9"/>
      <c r="R1910" s="9" t="s">
        <v>61</v>
      </c>
      <c r="S1910" s="14" t="s">
        <v>6762</v>
      </c>
      <c r="T1910" s="9" t="s">
        <v>6763</v>
      </c>
      <c r="U1910" s="9" t="s">
        <v>54</v>
      </c>
      <c r="V1910" s="9" t="s">
        <v>55</v>
      </c>
      <c r="W1910" s="9" t="s">
        <v>55</v>
      </c>
      <c r="X1910" s="9" t="s">
        <v>319</v>
      </c>
      <c r="Y1910" s="9" t="s">
        <v>320</v>
      </c>
      <c r="Z1910" s="13"/>
    </row>
    <row r="1911" spans="1:26" ht="32.25" hidden="1" customHeight="1">
      <c r="A1911" s="8">
        <v>2306283</v>
      </c>
      <c r="B1911" s="9" t="s">
        <v>6764</v>
      </c>
      <c r="C1911" s="10">
        <v>45156</v>
      </c>
      <c r="D1911" s="9" t="s">
        <v>79</v>
      </c>
      <c r="E1911" s="9" t="s">
        <v>68</v>
      </c>
      <c r="F1911" s="9" t="s">
        <v>80</v>
      </c>
      <c r="G1911" s="9" t="s">
        <v>43</v>
      </c>
      <c r="H1911" s="9" t="s">
        <v>44</v>
      </c>
      <c r="I1911" s="11" t="s">
        <v>90</v>
      </c>
      <c r="J1911" s="9" t="s">
        <v>91</v>
      </c>
      <c r="K1911" s="9" t="s">
        <v>47</v>
      </c>
      <c r="L1911" s="9" t="s">
        <v>340</v>
      </c>
      <c r="M1911" s="9" t="s">
        <v>1297</v>
      </c>
      <c r="N1911" s="9" t="s">
        <v>84</v>
      </c>
      <c r="O1911" s="9" t="s">
        <v>51</v>
      </c>
      <c r="P1911" s="9" t="s">
        <v>929</v>
      </c>
      <c r="Q1911" s="9"/>
      <c r="R1911" s="9"/>
      <c r="S1911" s="14" t="s">
        <v>6765</v>
      </c>
      <c r="T1911" s="9" t="s">
        <v>6766</v>
      </c>
      <c r="U1911" s="9" t="s">
        <v>54</v>
      </c>
      <c r="V1911" s="9" t="s">
        <v>55</v>
      </c>
      <c r="W1911" s="9" t="s">
        <v>55</v>
      </c>
      <c r="X1911" s="12"/>
      <c r="Y1911" s="9" t="s">
        <v>55</v>
      </c>
      <c r="Z1911" s="13"/>
    </row>
    <row r="1912" spans="1:26" ht="32.25" hidden="1" customHeight="1">
      <c r="A1912" s="8">
        <v>2309388</v>
      </c>
      <c r="B1912" s="9" t="s">
        <v>6767</v>
      </c>
      <c r="C1912" s="10">
        <v>45142</v>
      </c>
      <c r="D1912" s="9" t="s">
        <v>67</v>
      </c>
      <c r="E1912" s="9" t="s">
        <v>153</v>
      </c>
      <c r="F1912" s="9" t="s">
        <v>42</v>
      </c>
      <c r="G1912" s="9" t="s">
        <v>43</v>
      </c>
      <c r="H1912" s="9" t="s">
        <v>44</v>
      </c>
      <c r="I1912" s="11" t="s">
        <v>154</v>
      </c>
      <c r="J1912" s="9" t="s">
        <v>155</v>
      </c>
      <c r="K1912" s="9" t="s">
        <v>47</v>
      </c>
      <c r="L1912" s="9" t="s">
        <v>156</v>
      </c>
      <c r="M1912" s="9"/>
      <c r="N1912" s="9" t="s">
        <v>84</v>
      </c>
      <c r="O1912" s="9" t="s">
        <v>51</v>
      </c>
      <c r="P1912" s="9"/>
      <c r="Q1912" s="9"/>
      <c r="R1912" s="9"/>
      <c r="S1912" s="9" t="s">
        <v>6768</v>
      </c>
      <c r="T1912" s="9" t="s">
        <v>6769</v>
      </c>
      <c r="U1912" s="9" t="s">
        <v>54</v>
      </c>
      <c r="V1912" s="9" t="s">
        <v>55</v>
      </c>
      <c r="W1912" s="9" t="s">
        <v>55</v>
      </c>
      <c r="X1912" s="12"/>
      <c r="Y1912" s="9" t="s">
        <v>55</v>
      </c>
      <c r="Z1912" s="13"/>
    </row>
    <row r="1913" spans="1:26" ht="32.25" hidden="1" customHeight="1">
      <c r="A1913" s="8">
        <v>2312196</v>
      </c>
      <c r="B1913" s="9" t="s">
        <v>6770</v>
      </c>
      <c r="C1913" s="10">
        <v>45156</v>
      </c>
      <c r="D1913" s="9" t="s">
        <v>79</v>
      </c>
      <c r="E1913" s="9" t="s">
        <v>68</v>
      </c>
      <c r="F1913" s="9" t="s">
        <v>80</v>
      </c>
      <c r="G1913" s="9" t="s">
        <v>43</v>
      </c>
      <c r="H1913" s="9" t="s">
        <v>44</v>
      </c>
      <c r="I1913" s="11" t="s">
        <v>696</v>
      </c>
      <c r="J1913" s="9" t="s">
        <v>70</v>
      </c>
      <c r="K1913" s="9" t="s">
        <v>110</v>
      </c>
      <c r="L1913" s="9" t="s">
        <v>6771</v>
      </c>
      <c r="M1913" s="9" t="s">
        <v>111</v>
      </c>
      <c r="N1913" s="9" t="s">
        <v>50</v>
      </c>
      <c r="O1913" s="9" t="s">
        <v>51</v>
      </c>
      <c r="P1913" s="9" t="s">
        <v>698</v>
      </c>
      <c r="Q1913" s="9"/>
      <c r="R1913" s="9" t="s">
        <v>61</v>
      </c>
      <c r="S1913" s="14" t="s">
        <v>6772</v>
      </c>
      <c r="T1913" s="9" t="s">
        <v>6773</v>
      </c>
      <c r="U1913" s="9" t="s">
        <v>54</v>
      </c>
      <c r="V1913" s="9" t="s">
        <v>3207</v>
      </c>
      <c r="W1913" s="9" t="s">
        <v>115</v>
      </c>
      <c r="X1913" s="12" t="s">
        <v>76</v>
      </c>
      <c r="Y1913" s="9" t="s">
        <v>77</v>
      </c>
      <c r="Z1913" s="13"/>
    </row>
    <row r="1914" spans="1:26" ht="32.25" hidden="1" customHeight="1">
      <c r="A1914" s="8">
        <v>2309087</v>
      </c>
      <c r="B1914" s="9" t="s">
        <v>6774</v>
      </c>
      <c r="C1914" s="10">
        <v>45156</v>
      </c>
      <c r="D1914" s="9" t="s">
        <v>79</v>
      </c>
      <c r="E1914" s="9" t="s">
        <v>89</v>
      </c>
      <c r="F1914" s="9" t="s">
        <v>80</v>
      </c>
      <c r="G1914" s="9" t="s">
        <v>43</v>
      </c>
      <c r="H1914" s="9" t="s">
        <v>44</v>
      </c>
      <c r="I1914" s="11" t="s">
        <v>101</v>
      </c>
      <c r="J1914" s="9" t="s">
        <v>102</v>
      </c>
      <c r="K1914" s="9" t="s">
        <v>47</v>
      </c>
      <c r="L1914" s="9" t="s">
        <v>480</v>
      </c>
      <c r="M1914" s="9" t="s">
        <v>481</v>
      </c>
      <c r="N1914" s="9" t="s">
        <v>50</v>
      </c>
      <c r="O1914" s="9" t="s">
        <v>51</v>
      </c>
      <c r="P1914" s="9" t="s">
        <v>125</v>
      </c>
      <c r="Q1914" s="9"/>
      <c r="R1914" s="9"/>
      <c r="S1914" s="14" t="s">
        <v>6775</v>
      </c>
      <c r="T1914" s="9" t="s">
        <v>6776</v>
      </c>
      <c r="U1914" s="9" t="s">
        <v>54</v>
      </c>
      <c r="V1914" s="9" t="s">
        <v>55</v>
      </c>
      <c r="W1914" s="9" t="s">
        <v>55</v>
      </c>
      <c r="X1914" s="12"/>
      <c r="Y1914" s="9" t="s">
        <v>55</v>
      </c>
      <c r="Z1914" s="13"/>
    </row>
    <row r="1915" spans="1:26" ht="32.25" hidden="1" customHeight="1">
      <c r="A1915" s="8">
        <v>2310993</v>
      </c>
      <c r="B1915" s="9" t="s">
        <v>6777</v>
      </c>
      <c r="C1915" s="10">
        <v>45156</v>
      </c>
      <c r="D1915" s="9" t="s">
        <v>79</v>
      </c>
      <c r="E1915" s="9" t="s">
        <v>68</v>
      </c>
      <c r="F1915" s="9" t="s">
        <v>80</v>
      </c>
      <c r="G1915" s="9" t="s">
        <v>43</v>
      </c>
      <c r="H1915" s="9" t="s">
        <v>44</v>
      </c>
      <c r="I1915" s="11" t="s">
        <v>90</v>
      </c>
      <c r="J1915" s="9" t="s">
        <v>91</v>
      </c>
      <c r="K1915" s="9" t="s">
        <v>47</v>
      </c>
      <c r="L1915" s="9" t="s">
        <v>138</v>
      </c>
      <c r="M1915" s="9" t="s">
        <v>6778</v>
      </c>
      <c r="N1915" s="9" t="s">
        <v>84</v>
      </c>
      <c r="O1915" s="9" t="s">
        <v>51</v>
      </c>
      <c r="P1915" s="9" t="s">
        <v>670</v>
      </c>
      <c r="Q1915" s="9"/>
      <c r="R1915" s="9" t="s">
        <v>61</v>
      </c>
      <c r="S1915" s="14" t="s">
        <v>6779</v>
      </c>
      <c r="T1915" s="9" t="s">
        <v>6780</v>
      </c>
      <c r="U1915" s="9" t="s">
        <v>54</v>
      </c>
      <c r="V1915" s="9" t="s">
        <v>55</v>
      </c>
      <c r="W1915" s="9" t="s">
        <v>55</v>
      </c>
      <c r="X1915" s="12" t="s">
        <v>196</v>
      </c>
      <c r="Y1915" s="9" t="s">
        <v>197</v>
      </c>
      <c r="Z1915" s="13"/>
    </row>
    <row r="1916" spans="1:26" ht="32.25" hidden="1" customHeight="1">
      <c r="A1916" s="8">
        <v>2310393</v>
      </c>
      <c r="B1916" s="9" t="s">
        <v>6781</v>
      </c>
      <c r="C1916" s="10">
        <v>45136</v>
      </c>
      <c r="D1916" s="9" t="s">
        <v>301</v>
      </c>
      <c r="E1916" s="9" t="s">
        <v>153</v>
      </c>
      <c r="F1916" s="9" t="s">
        <v>42</v>
      </c>
      <c r="G1916" s="9" t="s">
        <v>43</v>
      </c>
      <c r="H1916" s="9" t="s">
        <v>44</v>
      </c>
      <c r="I1916" s="11" t="s">
        <v>154</v>
      </c>
      <c r="J1916" s="9" t="s">
        <v>155</v>
      </c>
      <c r="K1916" s="9" t="s">
        <v>47</v>
      </c>
      <c r="L1916" s="9" t="s">
        <v>204</v>
      </c>
      <c r="M1916" s="9" t="s">
        <v>836</v>
      </c>
      <c r="N1916" s="9" t="s">
        <v>50</v>
      </c>
      <c r="O1916" s="9" t="s">
        <v>51</v>
      </c>
      <c r="P1916" s="9"/>
      <c r="Q1916" s="9"/>
      <c r="R1916" s="9" t="s">
        <v>61</v>
      </c>
      <c r="S1916" s="9" t="s">
        <v>6782</v>
      </c>
      <c r="T1916" s="9" t="s">
        <v>6783</v>
      </c>
      <c r="U1916" s="9" t="s">
        <v>54</v>
      </c>
      <c r="V1916" s="9" t="s">
        <v>55</v>
      </c>
      <c r="W1916" s="9" t="s">
        <v>55</v>
      </c>
      <c r="X1916" s="12" t="s">
        <v>171</v>
      </c>
      <c r="Y1916" s="9" t="s">
        <v>172</v>
      </c>
      <c r="Z1916" s="13"/>
    </row>
    <row r="1917" spans="1:26" ht="32.25" hidden="1" customHeight="1">
      <c r="A1917" s="8">
        <v>2306312</v>
      </c>
      <c r="B1917" s="9" t="s">
        <v>6784</v>
      </c>
      <c r="C1917" s="10">
        <v>45149</v>
      </c>
      <c r="D1917" s="9" t="s">
        <v>57</v>
      </c>
      <c r="E1917" s="9" t="s">
        <v>295</v>
      </c>
      <c r="F1917" s="9" t="s">
        <v>42</v>
      </c>
      <c r="G1917" s="9" t="s">
        <v>43</v>
      </c>
      <c r="H1917" s="9" t="s">
        <v>58</v>
      </c>
      <c r="I1917" s="11" t="s">
        <v>296</v>
      </c>
      <c r="J1917" s="9" t="s">
        <v>297</v>
      </c>
      <c r="K1917" s="9" t="s">
        <v>47</v>
      </c>
      <c r="L1917" s="9" t="s">
        <v>846</v>
      </c>
      <c r="M1917" s="9" t="s">
        <v>1081</v>
      </c>
      <c r="N1917" s="9" t="s">
        <v>84</v>
      </c>
      <c r="O1917" s="9" t="s">
        <v>51</v>
      </c>
      <c r="P1917" s="9"/>
      <c r="Q1917" s="9"/>
      <c r="R1917" s="9" t="s">
        <v>61</v>
      </c>
      <c r="S1917" s="14" t="s">
        <v>6785</v>
      </c>
      <c r="T1917" s="9" t="s">
        <v>6786</v>
      </c>
      <c r="U1917" s="9" t="s">
        <v>54</v>
      </c>
      <c r="V1917" s="9" t="s">
        <v>55</v>
      </c>
      <c r="W1917" s="9" t="s">
        <v>55</v>
      </c>
      <c r="X1917" s="9" t="s">
        <v>319</v>
      </c>
      <c r="Y1917" s="9" t="s">
        <v>320</v>
      </c>
      <c r="Z1917" s="13"/>
    </row>
    <row r="1918" spans="1:26" ht="32.25" hidden="1" customHeight="1">
      <c r="A1918" s="8">
        <v>2303281</v>
      </c>
      <c r="B1918" s="9" t="s">
        <v>6787</v>
      </c>
      <c r="C1918" s="10">
        <v>45142</v>
      </c>
      <c r="D1918" s="9" t="s">
        <v>67</v>
      </c>
      <c r="E1918" s="9" t="s">
        <v>68</v>
      </c>
      <c r="F1918" s="9" t="s">
        <v>42</v>
      </c>
      <c r="G1918" s="9" t="s">
        <v>43</v>
      </c>
      <c r="H1918" s="9" t="s">
        <v>44</v>
      </c>
      <c r="I1918" s="11" t="s">
        <v>69</v>
      </c>
      <c r="J1918" s="9" t="s">
        <v>70</v>
      </c>
      <c r="K1918" s="9" t="s">
        <v>4674</v>
      </c>
      <c r="L1918" s="9" t="s">
        <v>2399</v>
      </c>
      <c r="M1918" s="9"/>
      <c r="N1918" s="9" t="s">
        <v>50</v>
      </c>
      <c r="O1918" s="9" t="s">
        <v>51</v>
      </c>
      <c r="P1918" s="9" t="s">
        <v>73</v>
      </c>
      <c r="Q1918" s="9"/>
      <c r="R1918" s="9" t="s">
        <v>61</v>
      </c>
      <c r="S1918" s="9" t="s">
        <v>6788</v>
      </c>
      <c r="T1918" s="9" t="s">
        <v>6789</v>
      </c>
      <c r="U1918" s="9" t="s">
        <v>54</v>
      </c>
      <c r="V1918" s="9" t="s">
        <v>55</v>
      </c>
      <c r="W1918" s="9" t="s">
        <v>55</v>
      </c>
      <c r="X1918" s="12" t="s">
        <v>76</v>
      </c>
      <c r="Y1918" s="9" t="s">
        <v>77</v>
      </c>
      <c r="Z1918" s="13"/>
    </row>
    <row r="1919" spans="1:26" ht="32.25" hidden="1" customHeight="1">
      <c r="A1919" s="8">
        <v>2306034</v>
      </c>
      <c r="B1919" s="9" t="s">
        <v>6790</v>
      </c>
      <c r="C1919" s="10">
        <v>45149</v>
      </c>
      <c r="D1919" s="9" t="s">
        <v>57</v>
      </c>
      <c r="E1919" s="9" t="s">
        <v>41</v>
      </c>
      <c r="F1919" s="9" t="s">
        <v>42</v>
      </c>
      <c r="G1919" s="9" t="s">
        <v>43</v>
      </c>
      <c r="H1919" s="9" t="s">
        <v>58</v>
      </c>
      <c r="I1919" s="11" t="s">
        <v>1073</v>
      </c>
      <c r="J1919" s="9" t="s">
        <v>479</v>
      </c>
      <c r="K1919" s="9" t="s">
        <v>47</v>
      </c>
      <c r="L1919" s="9" t="s">
        <v>156</v>
      </c>
      <c r="M1919" s="9"/>
      <c r="N1919" s="9" t="s">
        <v>84</v>
      </c>
      <c r="O1919" s="9" t="s">
        <v>51</v>
      </c>
      <c r="P1919" s="9"/>
      <c r="Q1919" s="9"/>
      <c r="R1919" s="9"/>
      <c r="S1919" s="14" t="s">
        <v>6791</v>
      </c>
      <c r="T1919" s="9" t="s">
        <v>6792</v>
      </c>
      <c r="U1919" s="9" t="s">
        <v>54</v>
      </c>
      <c r="V1919" s="9" t="s">
        <v>55</v>
      </c>
      <c r="W1919" s="9" t="s">
        <v>55</v>
      </c>
      <c r="X1919" s="12"/>
      <c r="Y1919" s="9" t="s">
        <v>55</v>
      </c>
      <c r="Z1919" s="13"/>
    </row>
    <row r="1920" spans="1:26" ht="32.25" hidden="1" customHeight="1">
      <c r="A1920" s="8">
        <v>2308909</v>
      </c>
      <c r="B1920" s="9" t="s">
        <v>6793</v>
      </c>
      <c r="C1920" s="10">
        <v>45142</v>
      </c>
      <c r="D1920" s="9" t="s">
        <v>67</v>
      </c>
      <c r="E1920" s="9" t="s">
        <v>41</v>
      </c>
      <c r="F1920" s="9" t="s">
        <v>42</v>
      </c>
      <c r="G1920" s="9" t="s">
        <v>43</v>
      </c>
      <c r="H1920" s="9" t="s">
        <v>44</v>
      </c>
      <c r="I1920" s="11" t="s">
        <v>129</v>
      </c>
      <c r="J1920" s="9" t="s">
        <v>130</v>
      </c>
      <c r="K1920" s="9" t="s">
        <v>47</v>
      </c>
      <c r="L1920" s="9" t="s">
        <v>1992</v>
      </c>
      <c r="M1920" s="9" t="s">
        <v>1993</v>
      </c>
      <c r="N1920" s="9" t="s">
        <v>84</v>
      </c>
      <c r="O1920" s="9" t="s">
        <v>51</v>
      </c>
      <c r="P1920" s="9"/>
      <c r="Q1920" s="9"/>
      <c r="R1920" s="9" t="s">
        <v>61</v>
      </c>
      <c r="S1920" s="9" t="s">
        <v>6794</v>
      </c>
      <c r="T1920" s="9" t="s">
        <v>6795</v>
      </c>
      <c r="U1920" s="9" t="s">
        <v>54</v>
      </c>
      <c r="V1920" s="9" t="s">
        <v>55</v>
      </c>
      <c r="W1920" s="9" t="s">
        <v>55</v>
      </c>
      <c r="X1920" s="9" t="s">
        <v>196</v>
      </c>
      <c r="Y1920" s="9" t="s">
        <v>197</v>
      </c>
      <c r="Z1920" s="13" t="s">
        <v>230</v>
      </c>
    </row>
    <row r="1921" spans="1:26" ht="32.25" hidden="1" customHeight="1">
      <c r="A1921" s="8">
        <v>2310784</v>
      </c>
      <c r="B1921" s="9" t="s">
        <v>6796</v>
      </c>
      <c r="C1921" s="10">
        <v>45156</v>
      </c>
      <c r="D1921" s="9" t="s">
        <v>79</v>
      </c>
      <c r="E1921" s="9" t="s">
        <v>143</v>
      </c>
      <c r="F1921" s="9" t="s">
        <v>80</v>
      </c>
      <c r="G1921" s="9" t="s">
        <v>43</v>
      </c>
      <c r="H1921" s="9" t="s">
        <v>44</v>
      </c>
      <c r="I1921" s="11" t="s">
        <v>326</v>
      </c>
      <c r="J1921" s="9" t="s">
        <v>327</v>
      </c>
      <c r="K1921" s="9" t="s">
        <v>47</v>
      </c>
      <c r="L1921" s="9" t="s">
        <v>226</v>
      </c>
      <c r="M1921" s="9" t="s">
        <v>6797</v>
      </c>
      <c r="N1921" s="9" t="s">
        <v>84</v>
      </c>
      <c r="O1921" s="9" t="s">
        <v>51</v>
      </c>
      <c r="P1921" s="9" t="s">
        <v>576</v>
      </c>
      <c r="Q1921" s="9"/>
      <c r="R1921" s="9" t="s">
        <v>61</v>
      </c>
      <c r="S1921" s="14" t="s">
        <v>6798</v>
      </c>
      <c r="T1921" s="9" t="s">
        <v>6799</v>
      </c>
      <c r="U1921" s="9" t="s">
        <v>54</v>
      </c>
      <c r="V1921" s="9" t="s">
        <v>55</v>
      </c>
      <c r="W1921" s="9" t="s">
        <v>55</v>
      </c>
      <c r="X1921" s="12" t="s">
        <v>150</v>
      </c>
      <c r="Y1921" s="9" t="s">
        <v>151</v>
      </c>
      <c r="Z1921" s="13"/>
    </row>
    <row r="1922" spans="1:26" ht="32.25" hidden="1" customHeight="1">
      <c r="A1922" s="8">
        <v>2300100</v>
      </c>
      <c r="B1922" s="9" t="s">
        <v>6800</v>
      </c>
      <c r="C1922" s="10">
        <v>45149</v>
      </c>
      <c r="D1922" s="9" t="s">
        <v>261</v>
      </c>
      <c r="E1922" s="9" t="s">
        <v>68</v>
      </c>
      <c r="F1922" s="9" t="s">
        <v>262</v>
      </c>
      <c r="G1922" s="9" t="s">
        <v>43</v>
      </c>
      <c r="H1922" s="9" t="s">
        <v>44</v>
      </c>
      <c r="I1922" s="11" t="s">
        <v>648</v>
      </c>
      <c r="J1922" s="9" t="s">
        <v>649</v>
      </c>
      <c r="K1922" s="9" t="s">
        <v>47</v>
      </c>
      <c r="L1922" s="9" t="s">
        <v>290</v>
      </c>
      <c r="M1922" s="9" t="s">
        <v>1787</v>
      </c>
      <c r="N1922" s="9" t="s">
        <v>50</v>
      </c>
      <c r="O1922" s="9" t="s">
        <v>51</v>
      </c>
      <c r="P1922" s="9"/>
      <c r="Q1922" s="9"/>
      <c r="R1922" s="9" t="s">
        <v>61</v>
      </c>
      <c r="S1922" s="14" t="s">
        <v>6801</v>
      </c>
      <c r="T1922" s="9" t="s">
        <v>6802</v>
      </c>
      <c r="U1922" s="9" t="s">
        <v>262</v>
      </c>
      <c r="V1922" s="9" t="s">
        <v>55</v>
      </c>
      <c r="W1922" s="9" t="s">
        <v>115</v>
      </c>
      <c r="X1922" s="12" t="s">
        <v>389</v>
      </c>
      <c r="Y1922" s="9" t="s">
        <v>390</v>
      </c>
      <c r="Z1922" s="13"/>
    </row>
    <row r="1923" spans="1:26" ht="32.25" hidden="1" customHeight="1">
      <c r="A1923" s="8">
        <v>2302375</v>
      </c>
      <c r="B1923" s="9" t="s">
        <v>6803</v>
      </c>
      <c r="C1923" s="10">
        <v>45142</v>
      </c>
      <c r="D1923" s="9" t="s">
        <v>67</v>
      </c>
      <c r="E1923" s="9" t="s">
        <v>68</v>
      </c>
      <c r="F1923" s="9" t="s">
        <v>135</v>
      </c>
      <c r="G1923" s="9" t="s">
        <v>43</v>
      </c>
      <c r="H1923" s="9" t="s">
        <v>44</v>
      </c>
      <c r="I1923" s="11" t="s">
        <v>136</v>
      </c>
      <c r="J1923" s="9" t="s">
        <v>137</v>
      </c>
      <c r="K1923" s="9" t="s">
        <v>47</v>
      </c>
      <c r="L1923" s="9" t="s">
        <v>411</v>
      </c>
      <c r="M1923" s="9" t="s">
        <v>412</v>
      </c>
      <c r="N1923" s="9" t="s">
        <v>50</v>
      </c>
      <c r="O1923" s="9" t="s">
        <v>51</v>
      </c>
      <c r="P1923" s="9"/>
      <c r="Q1923" s="9"/>
      <c r="R1923" s="9" t="s">
        <v>61</v>
      </c>
      <c r="S1923" s="9" t="s">
        <v>6804</v>
      </c>
      <c r="T1923" s="9" t="s">
        <v>6805</v>
      </c>
      <c r="U1923" s="9" t="s">
        <v>54</v>
      </c>
      <c r="V1923" s="9" t="s">
        <v>55</v>
      </c>
      <c r="W1923" s="9" t="s">
        <v>55</v>
      </c>
      <c r="X1923" s="12" t="s">
        <v>76</v>
      </c>
      <c r="Y1923" s="9" t="s">
        <v>77</v>
      </c>
      <c r="Z1923" s="13"/>
    </row>
    <row r="1924" spans="1:26" ht="32.25" hidden="1" customHeight="1">
      <c r="A1924" s="8">
        <v>2302880</v>
      </c>
      <c r="B1924" s="9" t="s">
        <v>6806</v>
      </c>
      <c r="C1924" s="10">
        <v>45156</v>
      </c>
      <c r="D1924" s="9" t="s">
        <v>79</v>
      </c>
      <c r="E1924" s="9" t="s">
        <v>143</v>
      </c>
      <c r="F1924" s="9" t="s">
        <v>80</v>
      </c>
      <c r="G1924" s="9" t="s">
        <v>43</v>
      </c>
      <c r="H1924" s="9" t="s">
        <v>44</v>
      </c>
      <c r="I1924" s="11" t="s">
        <v>725</v>
      </c>
      <c r="J1924" s="9" t="s">
        <v>145</v>
      </c>
      <c r="K1924" s="9" t="s">
        <v>47</v>
      </c>
      <c r="L1924" s="9" t="s">
        <v>156</v>
      </c>
      <c r="M1924" s="9"/>
      <c r="N1924" s="9" t="s">
        <v>50</v>
      </c>
      <c r="O1924" s="9" t="s">
        <v>51</v>
      </c>
      <c r="P1924" s="9" t="s">
        <v>727</v>
      </c>
      <c r="Q1924" s="9"/>
      <c r="R1924" s="9"/>
      <c r="S1924" s="14" t="s">
        <v>6807</v>
      </c>
      <c r="T1924" s="9" t="s">
        <v>6808</v>
      </c>
      <c r="U1924" s="9" t="s">
        <v>54</v>
      </c>
      <c r="V1924" s="9"/>
      <c r="W1924" s="9" t="s">
        <v>115</v>
      </c>
      <c r="X1924" s="12"/>
      <c r="Y1924" s="9" t="s">
        <v>55</v>
      </c>
      <c r="Z1924" s="13"/>
    </row>
    <row r="1925" spans="1:26" ht="32.25" hidden="1" customHeight="1">
      <c r="A1925" s="8">
        <v>2312402</v>
      </c>
      <c r="B1925" s="9" t="s">
        <v>6809</v>
      </c>
      <c r="C1925" s="10">
        <v>45149</v>
      </c>
      <c r="D1925" s="9" t="s">
        <v>57</v>
      </c>
      <c r="E1925" s="9" t="s">
        <v>41</v>
      </c>
      <c r="F1925" s="9" t="s">
        <v>42</v>
      </c>
      <c r="G1925" s="9" t="s">
        <v>43</v>
      </c>
      <c r="H1925" s="9" t="s">
        <v>58</v>
      </c>
      <c r="I1925" s="11" t="s">
        <v>199</v>
      </c>
      <c r="J1925" s="9" t="s">
        <v>200</v>
      </c>
      <c r="K1925" s="9" t="s">
        <v>47</v>
      </c>
      <c r="L1925" s="9" t="s">
        <v>1315</v>
      </c>
      <c r="M1925" s="9" t="s">
        <v>1316</v>
      </c>
      <c r="N1925" s="9" t="s">
        <v>84</v>
      </c>
      <c r="O1925" s="9" t="s">
        <v>51</v>
      </c>
      <c r="P1925" s="9"/>
      <c r="Q1925" s="9"/>
      <c r="R1925" s="9"/>
      <c r="S1925" s="14" t="s">
        <v>6810</v>
      </c>
      <c r="T1925" s="9" t="s">
        <v>6811</v>
      </c>
      <c r="U1925" s="9" t="s">
        <v>54</v>
      </c>
      <c r="V1925" s="9" t="s">
        <v>55</v>
      </c>
      <c r="W1925" s="9" t="s">
        <v>55</v>
      </c>
      <c r="X1925" s="12"/>
      <c r="Y1925" s="9" t="s">
        <v>55</v>
      </c>
      <c r="Z1925" s="13"/>
    </row>
    <row r="1926" spans="1:26" ht="32.25" hidden="1" customHeight="1">
      <c r="A1926" s="8">
        <v>2312966</v>
      </c>
      <c r="B1926" s="9" t="s">
        <v>6812</v>
      </c>
      <c r="C1926" s="10">
        <v>45149</v>
      </c>
      <c r="D1926" s="9" t="s">
        <v>261</v>
      </c>
      <c r="E1926" s="9" t="s">
        <v>68</v>
      </c>
      <c r="F1926" s="9" t="s">
        <v>262</v>
      </c>
      <c r="G1926" s="9" t="s">
        <v>43</v>
      </c>
      <c r="H1926" s="9" t="s">
        <v>44</v>
      </c>
      <c r="I1926" s="11" t="s">
        <v>1020</v>
      </c>
      <c r="J1926" s="9" t="s">
        <v>1021</v>
      </c>
      <c r="K1926" s="9" t="s">
        <v>47</v>
      </c>
      <c r="L1926" s="9" t="s">
        <v>777</v>
      </c>
      <c r="M1926" s="9"/>
      <c r="N1926" s="9" t="s">
        <v>50</v>
      </c>
      <c r="O1926" s="9" t="s">
        <v>51</v>
      </c>
      <c r="P1926" s="9"/>
      <c r="Q1926" s="9"/>
      <c r="R1926" s="9"/>
      <c r="S1926" s="14" t="s">
        <v>6813</v>
      </c>
      <c r="T1926" s="9" t="s">
        <v>6814</v>
      </c>
      <c r="U1926" s="9" t="s">
        <v>262</v>
      </c>
      <c r="V1926" s="9" t="s">
        <v>55</v>
      </c>
      <c r="W1926" s="9" t="s">
        <v>55</v>
      </c>
      <c r="X1926" s="12"/>
      <c r="Y1926" s="9" t="s">
        <v>55</v>
      </c>
      <c r="Z1926" s="13"/>
    </row>
    <row r="1927" spans="1:26" ht="32.25" hidden="1" customHeight="1">
      <c r="A1927" s="8">
        <v>2305515</v>
      </c>
      <c r="B1927" s="9" t="s">
        <v>6815</v>
      </c>
      <c r="C1927" s="10">
        <v>45156</v>
      </c>
      <c r="D1927" s="9" t="s">
        <v>79</v>
      </c>
      <c r="E1927" s="9" t="s">
        <v>41</v>
      </c>
      <c r="F1927" s="9" t="s">
        <v>80</v>
      </c>
      <c r="G1927" s="9" t="s">
        <v>43</v>
      </c>
      <c r="H1927" s="9" t="s">
        <v>44</v>
      </c>
      <c r="I1927" s="11" t="s">
        <v>527</v>
      </c>
      <c r="J1927" s="9" t="s">
        <v>130</v>
      </c>
      <c r="K1927" s="9" t="s">
        <v>47</v>
      </c>
      <c r="L1927" s="9" t="s">
        <v>156</v>
      </c>
      <c r="M1927" s="9"/>
      <c r="N1927" s="9" t="s">
        <v>50</v>
      </c>
      <c r="O1927" s="9" t="s">
        <v>51</v>
      </c>
      <c r="P1927" s="9" t="s">
        <v>529</v>
      </c>
      <c r="Q1927" s="9"/>
      <c r="R1927" s="9"/>
      <c r="S1927" s="14" t="s">
        <v>6816</v>
      </c>
      <c r="T1927" s="9" t="s">
        <v>6817</v>
      </c>
      <c r="U1927" s="9" t="s">
        <v>54</v>
      </c>
      <c r="V1927" s="9"/>
      <c r="W1927" s="9" t="s">
        <v>115</v>
      </c>
      <c r="X1927" s="12"/>
      <c r="Y1927" s="9" t="s">
        <v>55</v>
      </c>
      <c r="Z1927" s="13"/>
    </row>
    <row r="1928" spans="1:26" ht="32.25" hidden="1" customHeight="1">
      <c r="A1928" s="8">
        <v>2312667</v>
      </c>
      <c r="B1928" s="9" t="s">
        <v>6818</v>
      </c>
      <c r="C1928" s="10">
        <v>45142</v>
      </c>
      <c r="D1928" s="9" t="s">
        <v>232</v>
      </c>
      <c r="E1928" s="9" t="s">
        <v>68</v>
      </c>
      <c r="F1928" s="9" t="s">
        <v>80</v>
      </c>
      <c r="G1928" s="9" t="s">
        <v>43</v>
      </c>
      <c r="H1928" s="9" t="s">
        <v>44</v>
      </c>
      <c r="I1928" s="11" t="s">
        <v>696</v>
      </c>
      <c r="J1928" s="9" t="s">
        <v>70</v>
      </c>
      <c r="K1928" s="9" t="s">
        <v>3956</v>
      </c>
      <c r="L1928" s="9"/>
      <c r="M1928" s="9" t="s">
        <v>6819</v>
      </c>
      <c r="N1928" s="9" t="s">
        <v>50</v>
      </c>
      <c r="O1928" s="9" t="s">
        <v>187</v>
      </c>
      <c r="P1928" s="9" t="s">
        <v>1841</v>
      </c>
      <c r="Q1928" s="9"/>
      <c r="R1928" s="9" t="s">
        <v>61</v>
      </c>
      <c r="S1928" s="9" t="s">
        <v>6820</v>
      </c>
      <c r="T1928" s="9" t="s">
        <v>6821</v>
      </c>
      <c r="U1928" s="9" t="s">
        <v>54</v>
      </c>
      <c r="V1928" s="9" t="s">
        <v>3207</v>
      </c>
      <c r="W1928" s="9" t="s">
        <v>115</v>
      </c>
      <c r="X1928" s="12" t="s">
        <v>76</v>
      </c>
      <c r="Y1928" s="9" t="s">
        <v>77</v>
      </c>
      <c r="Z1928" s="13"/>
    </row>
    <row r="1929" spans="1:26" ht="32.25" hidden="1" customHeight="1">
      <c r="A1929" s="8">
        <v>2311085</v>
      </c>
      <c r="B1929" s="9" t="s">
        <v>6822</v>
      </c>
      <c r="C1929" s="10">
        <v>45156</v>
      </c>
      <c r="D1929" s="9" t="s">
        <v>79</v>
      </c>
      <c r="E1929" s="9" t="s">
        <v>41</v>
      </c>
      <c r="F1929" s="9" t="s">
        <v>80</v>
      </c>
      <c r="G1929" s="9" t="s">
        <v>43</v>
      </c>
      <c r="H1929" s="9" t="s">
        <v>44</v>
      </c>
      <c r="I1929" s="11" t="s">
        <v>478</v>
      </c>
      <c r="J1929" s="9" t="s">
        <v>479</v>
      </c>
      <c r="K1929" s="9" t="s">
        <v>110</v>
      </c>
      <c r="L1929" s="9" t="s">
        <v>111</v>
      </c>
      <c r="M1929" s="9" t="s">
        <v>3623</v>
      </c>
      <c r="N1929" s="9" t="s">
        <v>50</v>
      </c>
      <c r="O1929" s="9" t="s">
        <v>51</v>
      </c>
      <c r="P1929" s="9" t="s">
        <v>482</v>
      </c>
      <c r="Q1929" s="9"/>
      <c r="R1929" s="9" t="s">
        <v>61</v>
      </c>
      <c r="S1929" s="14" t="s">
        <v>6823</v>
      </c>
      <c r="T1929" s="9" t="s">
        <v>6824</v>
      </c>
      <c r="U1929" s="9" t="s">
        <v>54</v>
      </c>
      <c r="V1929" s="9" t="s">
        <v>55</v>
      </c>
      <c r="W1929" s="9" t="s">
        <v>115</v>
      </c>
      <c r="X1929" s="12" t="s">
        <v>150</v>
      </c>
      <c r="Y1929" s="9" t="s">
        <v>151</v>
      </c>
      <c r="Z1929" s="13"/>
    </row>
    <row r="1930" spans="1:26" ht="32.25" hidden="1" customHeight="1">
      <c r="A1930" s="8">
        <v>2308775</v>
      </c>
      <c r="B1930" s="9" t="s">
        <v>6825</v>
      </c>
      <c r="C1930" s="10">
        <v>45142</v>
      </c>
      <c r="D1930" s="9" t="s">
        <v>67</v>
      </c>
      <c r="E1930" s="9" t="s">
        <v>68</v>
      </c>
      <c r="F1930" s="9" t="s">
        <v>135</v>
      </c>
      <c r="G1930" s="9" t="s">
        <v>43</v>
      </c>
      <c r="H1930" s="9" t="s">
        <v>44</v>
      </c>
      <c r="I1930" s="11" t="s">
        <v>136</v>
      </c>
      <c r="J1930" s="9" t="s">
        <v>137</v>
      </c>
      <c r="K1930" s="9" t="s">
        <v>47</v>
      </c>
      <c r="L1930" s="9" t="s">
        <v>2080</v>
      </c>
      <c r="M1930" s="9"/>
      <c r="N1930" s="9" t="s">
        <v>50</v>
      </c>
      <c r="O1930" s="9" t="s">
        <v>51</v>
      </c>
      <c r="P1930" s="9"/>
      <c r="Q1930" s="9"/>
      <c r="R1930" s="9" t="s">
        <v>61</v>
      </c>
      <c r="S1930" s="9" t="s">
        <v>6826</v>
      </c>
      <c r="T1930" s="9" t="s">
        <v>6827</v>
      </c>
      <c r="U1930" s="9" t="s">
        <v>54</v>
      </c>
      <c r="V1930" s="9" t="s">
        <v>55</v>
      </c>
      <c r="W1930" s="9" t="s">
        <v>55</v>
      </c>
      <c r="X1930" s="12" t="s">
        <v>76</v>
      </c>
      <c r="Y1930" s="9" t="s">
        <v>77</v>
      </c>
      <c r="Z1930" s="13"/>
    </row>
    <row r="1931" spans="1:26" ht="32.25" hidden="1" customHeight="1">
      <c r="A1931" s="8">
        <v>2314366</v>
      </c>
      <c r="B1931" s="9" t="s">
        <v>6828</v>
      </c>
      <c r="C1931" s="10">
        <v>45156</v>
      </c>
      <c r="D1931" s="9" t="s">
        <v>79</v>
      </c>
      <c r="E1931" s="9" t="s">
        <v>41</v>
      </c>
      <c r="F1931" s="9" t="s">
        <v>80</v>
      </c>
      <c r="G1931" s="9" t="s">
        <v>43</v>
      </c>
      <c r="H1931" s="9" t="s">
        <v>44</v>
      </c>
      <c r="I1931" s="11" t="s">
        <v>478</v>
      </c>
      <c r="J1931" s="9" t="s">
        <v>479</v>
      </c>
      <c r="K1931" s="9" t="s">
        <v>47</v>
      </c>
      <c r="L1931" s="9" t="s">
        <v>156</v>
      </c>
      <c r="M1931" s="9"/>
      <c r="N1931" s="9" t="s">
        <v>50</v>
      </c>
      <c r="O1931" s="9" t="s">
        <v>51</v>
      </c>
      <c r="P1931" s="9" t="s">
        <v>1414</v>
      </c>
      <c r="Q1931" s="9"/>
      <c r="R1931" s="9"/>
      <c r="S1931" s="14" t="s">
        <v>6829</v>
      </c>
      <c r="T1931" s="9" t="s">
        <v>6830</v>
      </c>
      <c r="U1931" s="9" t="s">
        <v>54</v>
      </c>
      <c r="V1931" s="9" t="s">
        <v>55</v>
      </c>
      <c r="W1931" s="9" t="s">
        <v>55</v>
      </c>
      <c r="X1931" s="12"/>
      <c r="Y1931" s="9" t="s">
        <v>55</v>
      </c>
      <c r="Z1931" s="13"/>
    </row>
    <row r="1932" spans="1:26" ht="32.25" hidden="1" customHeight="1">
      <c r="A1932" s="8">
        <v>2300148</v>
      </c>
      <c r="B1932" s="9" t="s">
        <v>6831</v>
      </c>
      <c r="C1932" s="10">
        <v>45149</v>
      </c>
      <c r="D1932" s="9" t="s">
        <v>261</v>
      </c>
      <c r="E1932" s="9" t="s">
        <v>68</v>
      </c>
      <c r="F1932" s="9" t="s">
        <v>262</v>
      </c>
      <c r="G1932" s="9" t="s">
        <v>43</v>
      </c>
      <c r="H1932" s="9" t="s">
        <v>44</v>
      </c>
      <c r="I1932" s="11" t="s">
        <v>263</v>
      </c>
      <c r="J1932" s="9" t="s">
        <v>264</v>
      </c>
      <c r="K1932" s="9" t="s">
        <v>47</v>
      </c>
      <c r="L1932" s="9" t="s">
        <v>799</v>
      </c>
      <c r="M1932" s="9" t="s">
        <v>1490</v>
      </c>
      <c r="N1932" s="9" t="s">
        <v>50</v>
      </c>
      <c r="O1932" s="9" t="s">
        <v>51</v>
      </c>
      <c r="P1932" s="9"/>
      <c r="Q1932" s="9"/>
      <c r="R1932" s="9" t="s">
        <v>61</v>
      </c>
      <c r="S1932" s="14" t="s">
        <v>6832</v>
      </c>
      <c r="T1932" s="9" t="s">
        <v>6833</v>
      </c>
      <c r="U1932" s="9" t="s">
        <v>262</v>
      </c>
      <c r="V1932" s="9" t="s">
        <v>2369</v>
      </c>
      <c r="W1932" s="9" t="s">
        <v>115</v>
      </c>
      <c r="X1932" s="12" t="s">
        <v>76</v>
      </c>
      <c r="Y1932" s="9" t="s">
        <v>77</v>
      </c>
      <c r="Z1932" s="13" t="s">
        <v>3966</v>
      </c>
    </row>
    <row r="1933" spans="1:26" ht="32.25" hidden="1" customHeight="1">
      <c r="A1933" s="8">
        <v>2301857</v>
      </c>
      <c r="B1933" s="9" t="s">
        <v>6834</v>
      </c>
      <c r="C1933" s="10">
        <v>45156</v>
      </c>
      <c r="D1933" s="9" t="s">
        <v>79</v>
      </c>
      <c r="E1933" s="9" t="s">
        <v>295</v>
      </c>
      <c r="F1933" s="9" t="s">
        <v>80</v>
      </c>
      <c r="G1933" s="9" t="s">
        <v>43</v>
      </c>
      <c r="H1933" s="9" t="s">
        <v>44</v>
      </c>
      <c r="I1933" s="11" t="s">
        <v>1600</v>
      </c>
      <c r="J1933" s="9" t="s">
        <v>407</v>
      </c>
      <c r="K1933" s="9" t="s">
        <v>47</v>
      </c>
      <c r="L1933" s="9"/>
      <c r="M1933" s="9"/>
      <c r="N1933" s="9" t="s">
        <v>50</v>
      </c>
      <c r="O1933" s="9" t="s">
        <v>51</v>
      </c>
      <c r="P1933" s="9" t="s">
        <v>3946</v>
      </c>
      <c r="Q1933" s="9"/>
      <c r="R1933" s="9" t="s">
        <v>61</v>
      </c>
      <c r="S1933" s="14" t="s">
        <v>6835</v>
      </c>
      <c r="T1933" s="9" t="s">
        <v>6836</v>
      </c>
      <c r="U1933" s="9" t="s">
        <v>54</v>
      </c>
      <c r="V1933" s="9" t="s">
        <v>318</v>
      </c>
      <c r="W1933" s="9" t="s">
        <v>115</v>
      </c>
      <c r="X1933" s="12" t="s">
        <v>319</v>
      </c>
      <c r="Y1933" s="9" t="s">
        <v>320</v>
      </c>
      <c r="Z1933" s="13"/>
    </row>
    <row r="1934" spans="1:26" ht="32.25" hidden="1" customHeight="1">
      <c r="A1934" s="8">
        <v>2308134</v>
      </c>
      <c r="B1934" s="9" t="s">
        <v>6837</v>
      </c>
      <c r="C1934" s="10">
        <v>45136</v>
      </c>
      <c r="D1934" s="9" t="s">
        <v>40</v>
      </c>
      <c r="E1934" s="9" t="s">
        <v>295</v>
      </c>
      <c r="F1934" s="9" t="s">
        <v>42</v>
      </c>
      <c r="G1934" s="9" t="s">
        <v>43</v>
      </c>
      <c r="H1934" s="9" t="s">
        <v>44</v>
      </c>
      <c r="I1934" s="11" t="s">
        <v>296</v>
      </c>
      <c r="J1934" s="9" t="s">
        <v>297</v>
      </c>
      <c r="K1934" s="9" t="s">
        <v>47</v>
      </c>
      <c r="L1934" s="9" t="s">
        <v>425</v>
      </c>
      <c r="M1934" s="9" t="s">
        <v>6838</v>
      </c>
      <c r="N1934" s="9" t="s">
        <v>84</v>
      </c>
      <c r="O1934" s="9" t="s">
        <v>51</v>
      </c>
      <c r="P1934" s="9"/>
      <c r="Q1934" s="9"/>
      <c r="R1934" s="9" t="s">
        <v>61</v>
      </c>
      <c r="S1934" s="9" t="s">
        <v>6839</v>
      </c>
      <c r="T1934" s="9" t="s">
        <v>6840</v>
      </c>
      <c r="U1934" s="9" t="s">
        <v>54</v>
      </c>
      <c r="V1934" s="9" t="s">
        <v>55</v>
      </c>
      <c r="W1934" s="9" t="s">
        <v>55</v>
      </c>
      <c r="X1934" s="9" t="s">
        <v>319</v>
      </c>
      <c r="Y1934" s="9" t="s">
        <v>320</v>
      </c>
      <c r="Z1934" s="13"/>
    </row>
    <row r="1935" spans="1:26" ht="32.25" hidden="1" customHeight="1">
      <c r="A1935" s="8">
        <v>2302987</v>
      </c>
      <c r="B1935" s="9" t="s">
        <v>6841</v>
      </c>
      <c r="C1935" s="10">
        <v>45149</v>
      </c>
      <c r="D1935" s="9" t="s">
        <v>261</v>
      </c>
      <c r="E1935" s="9" t="s">
        <v>68</v>
      </c>
      <c r="F1935" s="9" t="s">
        <v>262</v>
      </c>
      <c r="G1935" s="9" t="s">
        <v>43</v>
      </c>
      <c r="H1935" s="9" t="s">
        <v>44</v>
      </c>
      <c r="I1935" s="11" t="s">
        <v>263</v>
      </c>
      <c r="J1935" s="9" t="s">
        <v>264</v>
      </c>
      <c r="K1935" s="9" t="s">
        <v>47</v>
      </c>
      <c r="L1935" s="9" t="s">
        <v>451</v>
      </c>
      <c r="M1935" s="9" t="s">
        <v>4111</v>
      </c>
      <c r="N1935" s="9" t="s">
        <v>50</v>
      </c>
      <c r="O1935" s="9" t="s">
        <v>51</v>
      </c>
      <c r="P1935" s="9"/>
      <c r="Q1935" s="9"/>
      <c r="R1935" s="9" t="s">
        <v>61</v>
      </c>
      <c r="S1935" s="14" t="s">
        <v>6842</v>
      </c>
      <c r="T1935" s="9" t="s">
        <v>6843</v>
      </c>
      <c r="U1935" s="9" t="s">
        <v>262</v>
      </c>
      <c r="V1935" s="9" t="s">
        <v>3207</v>
      </c>
      <c r="W1935" s="9" t="s">
        <v>115</v>
      </c>
      <c r="X1935" s="12" t="s">
        <v>76</v>
      </c>
      <c r="Y1935" s="9" t="s">
        <v>77</v>
      </c>
      <c r="Z1935" s="13" t="s">
        <v>1493</v>
      </c>
    </row>
    <row r="1936" spans="1:26" ht="32.25" hidden="1" customHeight="1">
      <c r="A1936" s="8">
        <v>2311992</v>
      </c>
      <c r="B1936" s="9" t="s">
        <v>6844</v>
      </c>
      <c r="C1936" s="10">
        <v>45149</v>
      </c>
      <c r="D1936" s="9" t="s">
        <v>261</v>
      </c>
      <c r="E1936" s="9" t="s">
        <v>143</v>
      </c>
      <c r="F1936" s="9" t="s">
        <v>262</v>
      </c>
      <c r="G1936" s="9" t="s">
        <v>43</v>
      </c>
      <c r="H1936" s="9" t="s">
        <v>44</v>
      </c>
      <c r="I1936" s="11" t="s">
        <v>1136</v>
      </c>
      <c r="J1936" s="9" t="s">
        <v>1137</v>
      </c>
      <c r="K1936" s="9" t="s">
        <v>47</v>
      </c>
      <c r="L1936" s="9" t="s">
        <v>156</v>
      </c>
      <c r="M1936" s="9"/>
      <c r="N1936" s="9" t="s">
        <v>50</v>
      </c>
      <c r="O1936" s="9" t="s">
        <v>51</v>
      </c>
      <c r="P1936" s="9"/>
      <c r="Q1936" s="9"/>
      <c r="R1936" s="9"/>
      <c r="S1936" s="14" t="s">
        <v>6845</v>
      </c>
      <c r="T1936" s="9" t="s">
        <v>6846</v>
      </c>
      <c r="U1936" s="9" t="s">
        <v>262</v>
      </c>
      <c r="V1936" s="9"/>
      <c r="W1936" s="9" t="s">
        <v>115</v>
      </c>
      <c r="X1936" s="12"/>
      <c r="Y1936" s="9" t="s">
        <v>55</v>
      </c>
      <c r="Z1936" s="13"/>
    </row>
    <row r="1937" spans="1:26" ht="32.25" hidden="1" customHeight="1">
      <c r="A1937" s="8">
        <v>2315517</v>
      </c>
      <c r="B1937" s="9" t="s">
        <v>6847</v>
      </c>
      <c r="C1937" s="10">
        <v>45152</v>
      </c>
      <c r="D1937" s="9" t="s">
        <v>185</v>
      </c>
      <c r="E1937" s="9" t="s">
        <v>68</v>
      </c>
      <c r="F1937" s="9" t="s">
        <v>135</v>
      </c>
      <c r="G1937" s="9" t="s">
        <v>43</v>
      </c>
      <c r="H1937" s="9" t="s">
        <v>44</v>
      </c>
      <c r="I1937" s="11" t="s">
        <v>136</v>
      </c>
      <c r="J1937" s="9" t="s">
        <v>137</v>
      </c>
      <c r="K1937" s="9" t="s">
        <v>6848</v>
      </c>
      <c r="L1937" s="9"/>
      <c r="M1937" s="9" t="s">
        <v>6849</v>
      </c>
      <c r="N1937" s="9" t="s">
        <v>50</v>
      </c>
      <c r="O1937" s="9" t="s">
        <v>187</v>
      </c>
      <c r="P1937" s="9"/>
      <c r="Q1937" s="9"/>
      <c r="R1937" s="9" t="s">
        <v>61</v>
      </c>
      <c r="S1937" s="14" t="s">
        <v>6850</v>
      </c>
      <c r="T1937" s="9" t="s">
        <v>6851</v>
      </c>
      <c r="U1937" s="9" t="s">
        <v>54</v>
      </c>
      <c r="V1937" s="9" t="s">
        <v>6852</v>
      </c>
      <c r="W1937" s="9" t="s">
        <v>55</v>
      </c>
      <c r="X1937" s="12" t="s">
        <v>76</v>
      </c>
      <c r="Y1937" s="9" t="s">
        <v>77</v>
      </c>
      <c r="Z1937" s="13" t="s">
        <v>240</v>
      </c>
    </row>
    <row r="1938" spans="1:26" ht="32.25" hidden="1" customHeight="1">
      <c r="A1938" s="8">
        <v>2310758</v>
      </c>
      <c r="B1938" s="9" t="s">
        <v>6853</v>
      </c>
      <c r="C1938" s="10">
        <v>45136</v>
      </c>
      <c r="D1938" s="9" t="s">
        <v>40</v>
      </c>
      <c r="E1938" s="9" t="s">
        <v>41</v>
      </c>
      <c r="F1938" s="9" t="s">
        <v>42</v>
      </c>
      <c r="G1938" s="9" t="s">
        <v>43</v>
      </c>
      <c r="H1938" s="9" t="s">
        <v>44</v>
      </c>
      <c r="I1938" s="11" t="s">
        <v>45</v>
      </c>
      <c r="J1938" s="9" t="s">
        <v>46</v>
      </c>
      <c r="K1938" s="9" t="s">
        <v>47</v>
      </c>
      <c r="L1938" s="9" t="s">
        <v>156</v>
      </c>
      <c r="M1938" s="9"/>
      <c r="N1938" s="9" t="s">
        <v>84</v>
      </c>
      <c r="O1938" s="9" t="s">
        <v>51</v>
      </c>
      <c r="P1938" s="9"/>
      <c r="Q1938" s="9"/>
      <c r="R1938" s="9"/>
      <c r="S1938" s="9" t="s">
        <v>6854</v>
      </c>
      <c r="T1938" s="9" t="s">
        <v>6855</v>
      </c>
      <c r="U1938" s="9" t="s">
        <v>54</v>
      </c>
      <c r="V1938" s="9" t="s">
        <v>55</v>
      </c>
      <c r="W1938" s="9" t="s">
        <v>55</v>
      </c>
      <c r="X1938" s="12"/>
      <c r="Y1938" s="9" t="s">
        <v>55</v>
      </c>
      <c r="Z1938" s="13"/>
    </row>
    <row r="1939" spans="1:26" ht="32.25" hidden="1" customHeight="1">
      <c r="A1939" s="8">
        <v>2313329</v>
      </c>
      <c r="B1939" s="9" t="s">
        <v>6856</v>
      </c>
      <c r="C1939" s="10">
        <v>45156</v>
      </c>
      <c r="D1939" s="9" t="s">
        <v>79</v>
      </c>
      <c r="E1939" s="9" t="s">
        <v>89</v>
      </c>
      <c r="F1939" s="9" t="s">
        <v>80</v>
      </c>
      <c r="G1939" s="9" t="s">
        <v>43</v>
      </c>
      <c r="H1939" s="9" t="s">
        <v>44</v>
      </c>
      <c r="I1939" s="11" t="s">
        <v>101</v>
      </c>
      <c r="J1939" s="9" t="s">
        <v>102</v>
      </c>
      <c r="K1939" s="9" t="s">
        <v>110</v>
      </c>
      <c r="L1939" s="9"/>
      <c r="M1939" s="9" t="s">
        <v>3623</v>
      </c>
      <c r="N1939" s="9" t="s">
        <v>84</v>
      </c>
      <c r="O1939" s="9" t="s">
        <v>51</v>
      </c>
      <c r="P1939" s="9" t="s">
        <v>715</v>
      </c>
      <c r="Q1939" s="9"/>
      <c r="R1939" s="9" t="s">
        <v>61</v>
      </c>
      <c r="S1939" s="14" t="s">
        <v>6857</v>
      </c>
      <c r="T1939" s="9" t="s">
        <v>6858</v>
      </c>
      <c r="U1939" s="9" t="s">
        <v>54</v>
      </c>
      <c r="V1939" s="9" t="s">
        <v>55</v>
      </c>
      <c r="W1939" s="9" t="s">
        <v>115</v>
      </c>
      <c r="X1939" s="12" t="s">
        <v>98</v>
      </c>
      <c r="Y1939" s="9" t="s">
        <v>99</v>
      </c>
      <c r="Z1939" s="13"/>
    </row>
    <row r="1940" spans="1:26" ht="32.25" hidden="1" customHeight="1">
      <c r="A1940" s="8">
        <v>2301327</v>
      </c>
      <c r="B1940" s="9" t="s">
        <v>6859</v>
      </c>
      <c r="C1940" s="10">
        <v>45142</v>
      </c>
      <c r="D1940" s="9" t="s">
        <v>67</v>
      </c>
      <c r="E1940" s="9" t="s">
        <v>143</v>
      </c>
      <c r="F1940" s="9" t="s">
        <v>42</v>
      </c>
      <c r="G1940" s="9" t="s">
        <v>43</v>
      </c>
      <c r="H1940" s="9" t="s">
        <v>44</v>
      </c>
      <c r="I1940" s="11" t="s">
        <v>460</v>
      </c>
      <c r="J1940" s="9" t="s">
        <v>400</v>
      </c>
      <c r="K1940" s="9" t="s">
        <v>47</v>
      </c>
      <c r="L1940" s="9" t="s">
        <v>156</v>
      </c>
      <c r="M1940" s="9"/>
      <c r="N1940" s="9" t="s">
        <v>50</v>
      </c>
      <c r="O1940" s="9" t="s">
        <v>51</v>
      </c>
      <c r="P1940" s="9"/>
      <c r="Q1940" s="9"/>
      <c r="R1940" s="9"/>
      <c r="S1940" s="9" t="s">
        <v>6860</v>
      </c>
      <c r="T1940" s="9" t="s">
        <v>6861</v>
      </c>
      <c r="U1940" s="9" t="s">
        <v>54</v>
      </c>
      <c r="V1940" s="9" t="s">
        <v>55</v>
      </c>
      <c r="W1940" s="9" t="s">
        <v>55</v>
      </c>
      <c r="X1940" s="12"/>
      <c r="Y1940" s="9" t="s">
        <v>55</v>
      </c>
      <c r="Z1940" s="13"/>
    </row>
    <row r="1941" spans="1:26" ht="32.25" hidden="1" customHeight="1">
      <c r="A1941" s="8">
        <v>2315490</v>
      </c>
      <c r="B1941" s="9" t="s">
        <v>6859</v>
      </c>
      <c r="C1941" s="10">
        <v>45149</v>
      </c>
      <c r="D1941" s="9" t="s">
        <v>57</v>
      </c>
      <c r="E1941" s="9" t="s">
        <v>41</v>
      </c>
      <c r="F1941" s="9" t="s">
        <v>42</v>
      </c>
      <c r="G1941" s="9" t="s">
        <v>43</v>
      </c>
      <c r="H1941" s="9" t="s">
        <v>58</v>
      </c>
      <c r="I1941" s="11" t="s">
        <v>661</v>
      </c>
      <c r="J1941" s="9" t="s">
        <v>662</v>
      </c>
      <c r="K1941" s="9" t="s">
        <v>47</v>
      </c>
      <c r="L1941" s="9" t="s">
        <v>156</v>
      </c>
      <c r="M1941" s="9"/>
      <c r="N1941" s="9" t="s">
        <v>50</v>
      </c>
      <c r="O1941" s="9" t="s">
        <v>51</v>
      </c>
      <c r="P1941" s="9"/>
      <c r="Q1941" s="9"/>
      <c r="R1941" s="9"/>
      <c r="S1941" s="14" t="s">
        <v>6860</v>
      </c>
      <c r="T1941" s="9" t="s">
        <v>6861</v>
      </c>
      <c r="U1941" s="9" t="s">
        <v>54</v>
      </c>
      <c r="V1941" s="9" t="s">
        <v>55</v>
      </c>
      <c r="W1941" s="9" t="s">
        <v>55</v>
      </c>
      <c r="X1941" s="12"/>
      <c r="Y1941" s="9" t="s">
        <v>55</v>
      </c>
      <c r="Z1941" s="13"/>
    </row>
    <row r="1942" spans="1:26" ht="32.25" hidden="1" customHeight="1">
      <c r="A1942" s="8">
        <v>2310247</v>
      </c>
      <c r="B1942" s="9" t="s">
        <v>6862</v>
      </c>
      <c r="C1942" s="10">
        <v>45142</v>
      </c>
      <c r="D1942" s="9" t="s">
        <v>67</v>
      </c>
      <c r="E1942" s="9" t="s">
        <v>143</v>
      </c>
      <c r="F1942" s="9" t="s">
        <v>42</v>
      </c>
      <c r="G1942" s="9" t="s">
        <v>43</v>
      </c>
      <c r="H1942" s="9" t="s">
        <v>44</v>
      </c>
      <c r="I1942" s="11" t="s">
        <v>144</v>
      </c>
      <c r="J1942" s="9" t="s">
        <v>145</v>
      </c>
      <c r="K1942" s="9" t="s">
        <v>47</v>
      </c>
      <c r="L1942" s="9" t="s">
        <v>799</v>
      </c>
      <c r="M1942" s="9" t="s">
        <v>6863</v>
      </c>
      <c r="N1942" s="9" t="s">
        <v>50</v>
      </c>
      <c r="O1942" s="9" t="s">
        <v>51</v>
      </c>
      <c r="P1942" s="9" t="s">
        <v>147</v>
      </c>
      <c r="Q1942" s="9"/>
      <c r="R1942" s="9" t="s">
        <v>61</v>
      </c>
      <c r="S1942" s="9" t="s">
        <v>6864</v>
      </c>
      <c r="T1942" s="9" t="s">
        <v>6865</v>
      </c>
      <c r="U1942" s="9" t="s">
        <v>54</v>
      </c>
      <c r="V1942" s="9" t="s">
        <v>55</v>
      </c>
      <c r="W1942" s="9" t="s">
        <v>55</v>
      </c>
      <c r="X1942" s="12" t="s">
        <v>150</v>
      </c>
      <c r="Y1942" s="9" t="s">
        <v>151</v>
      </c>
      <c r="Z1942" s="13"/>
    </row>
    <row r="1943" spans="1:26" ht="32.25" hidden="1" customHeight="1">
      <c r="A1943" s="8">
        <v>2302303</v>
      </c>
      <c r="B1943" s="9" t="s">
        <v>6866</v>
      </c>
      <c r="C1943" s="10">
        <v>45142</v>
      </c>
      <c r="D1943" s="9" t="s">
        <v>67</v>
      </c>
      <c r="E1943" s="9" t="s">
        <v>89</v>
      </c>
      <c r="F1943" s="9" t="s">
        <v>42</v>
      </c>
      <c r="G1943" s="9" t="s">
        <v>43</v>
      </c>
      <c r="H1943" s="9" t="s">
        <v>44</v>
      </c>
      <c r="I1943" s="11" t="s">
        <v>354</v>
      </c>
      <c r="J1943" s="9" t="s">
        <v>91</v>
      </c>
      <c r="K1943" s="9" t="s">
        <v>47</v>
      </c>
      <c r="L1943" s="9" t="s">
        <v>1378</v>
      </c>
      <c r="M1943" s="9" t="s">
        <v>1664</v>
      </c>
      <c r="N1943" s="9" t="s">
        <v>84</v>
      </c>
      <c r="O1943" s="9" t="s">
        <v>51</v>
      </c>
      <c r="P1943" s="9" t="s">
        <v>356</v>
      </c>
      <c r="Q1943" s="9"/>
      <c r="R1943" s="9" t="s">
        <v>61</v>
      </c>
      <c r="S1943" s="9" t="s">
        <v>6867</v>
      </c>
      <c r="T1943" s="9" t="s">
        <v>6868</v>
      </c>
      <c r="U1943" s="9" t="s">
        <v>54</v>
      </c>
      <c r="V1943" s="9" t="s">
        <v>55</v>
      </c>
      <c r="W1943" s="9" t="s">
        <v>55</v>
      </c>
      <c r="X1943" s="12" t="s">
        <v>98</v>
      </c>
      <c r="Y1943" s="9" t="s">
        <v>99</v>
      </c>
      <c r="Z1943" s="13"/>
    </row>
    <row r="1944" spans="1:26" ht="32.25" hidden="1" customHeight="1">
      <c r="A1944" s="8">
        <v>2305575</v>
      </c>
      <c r="B1944" s="9" t="s">
        <v>6869</v>
      </c>
      <c r="C1944" s="10">
        <v>45142</v>
      </c>
      <c r="D1944" s="9" t="s">
        <v>67</v>
      </c>
      <c r="E1944" s="9" t="s">
        <v>68</v>
      </c>
      <c r="F1944" s="9" t="s">
        <v>135</v>
      </c>
      <c r="G1944" s="9" t="s">
        <v>43</v>
      </c>
      <c r="H1944" s="9" t="s">
        <v>44</v>
      </c>
      <c r="I1944" s="11" t="s">
        <v>136</v>
      </c>
      <c r="J1944" s="9" t="s">
        <v>137</v>
      </c>
      <c r="K1944" s="9" t="s">
        <v>47</v>
      </c>
      <c r="L1944" s="9" t="s">
        <v>948</v>
      </c>
      <c r="M1944" s="9" t="s">
        <v>6870</v>
      </c>
      <c r="N1944" s="9" t="s">
        <v>50</v>
      </c>
      <c r="O1944" s="9" t="s">
        <v>51</v>
      </c>
      <c r="P1944" s="9"/>
      <c r="Q1944" s="9"/>
      <c r="R1944" s="9" t="s">
        <v>61</v>
      </c>
      <c r="S1944" s="9" t="s">
        <v>6871</v>
      </c>
      <c r="T1944" s="9" t="s">
        <v>6872</v>
      </c>
      <c r="U1944" s="9" t="s">
        <v>54</v>
      </c>
      <c r="V1944" s="9" t="s">
        <v>55</v>
      </c>
      <c r="W1944" s="9" t="s">
        <v>55</v>
      </c>
      <c r="X1944" s="12" t="s">
        <v>76</v>
      </c>
      <c r="Y1944" s="9" t="s">
        <v>77</v>
      </c>
      <c r="Z1944" s="13"/>
    </row>
    <row r="1945" spans="1:26" ht="32.25" hidden="1" customHeight="1">
      <c r="A1945" s="8">
        <v>2308156</v>
      </c>
      <c r="B1945" s="9" t="s">
        <v>6873</v>
      </c>
      <c r="C1945" s="10">
        <v>45149</v>
      </c>
      <c r="D1945" s="9" t="s">
        <v>57</v>
      </c>
      <c r="E1945" s="9" t="s">
        <v>295</v>
      </c>
      <c r="F1945" s="9" t="s">
        <v>42</v>
      </c>
      <c r="G1945" s="9" t="s">
        <v>43</v>
      </c>
      <c r="H1945" s="9" t="s">
        <v>58</v>
      </c>
      <c r="I1945" s="11" t="s">
        <v>406</v>
      </c>
      <c r="J1945" s="9" t="s">
        <v>407</v>
      </c>
      <c r="K1945" s="9" t="s">
        <v>47</v>
      </c>
      <c r="L1945" s="9" t="s">
        <v>349</v>
      </c>
      <c r="M1945" s="9" t="s">
        <v>785</v>
      </c>
      <c r="N1945" s="9" t="s">
        <v>84</v>
      </c>
      <c r="O1945" s="9" t="s">
        <v>51</v>
      </c>
      <c r="P1945" s="9"/>
      <c r="Q1945" s="9"/>
      <c r="R1945" s="9" t="s">
        <v>61</v>
      </c>
      <c r="S1945" s="14" t="s">
        <v>6874</v>
      </c>
      <c r="T1945" s="9" t="s">
        <v>6875</v>
      </c>
      <c r="U1945" s="9" t="s">
        <v>54</v>
      </c>
      <c r="V1945" s="9" t="s">
        <v>55</v>
      </c>
      <c r="W1945" s="9" t="s">
        <v>55</v>
      </c>
      <c r="X1945" s="12" t="s">
        <v>319</v>
      </c>
      <c r="Y1945" s="9" t="s">
        <v>320</v>
      </c>
      <c r="Z1945" s="13" t="s">
        <v>13285</v>
      </c>
    </row>
    <row r="1946" spans="1:26" ht="32.25" hidden="1" customHeight="1">
      <c r="A1946" s="8">
        <v>2302070</v>
      </c>
      <c r="B1946" s="9" t="s">
        <v>6876</v>
      </c>
      <c r="C1946" s="10">
        <v>45136</v>
      </c>
      <c r="D1946" s="9" t="s">
        <v>40</v>
      </c>
      <c r="E1946" s="9" t="s">
        <v>41</v>
      </c>
      <c r="F1946" s="9" t="s">
        <v>42</v>
      </c>
      <c r="G1946" s="9" t="s">
        <v>43</v>
      </c>
      <c r="H1946" s="9" t="s">
        <v>44</v>
      </c>
      <c r="I1946" s="11" t="s">
        <v>45</v>
      </c>
      <c r="J1946" s="9" t="s">
        <v>46</v>
      </c>
      <c r="K1946" s="9" t="s">
        <v>47</v>
      </c>
      <c r="L1946" s="9" t="s">
        <v>863</v>
      </c>
      <c r="M1946" s="9" t="s">
        <v>1258</v>
      </c>
      <c r="N1946" s="9" t="s">
        <v>50</v>
      </c>
      <c r="O1946" s="9" t="s">
        <v>51</v>
      </c>
      <c r="P1946" s="9"/>
      <c r="Q1946" s="9"/>
      <c r="R1946" s="9" t="s">
        <v>61</v>
      </c>
      <c r="S1946" s="9" t="s">
        <v>6877</v>
      </c>
      <c r="T1946" s="9" t="s">
        <v>6878</v>
      </c>
      <c r="U1946" s="9" t="s">
        <v>54</v>
      </c>
      <c r="V1946" s="9" t="s">
        <v>55</v>
      </c>
      <c r="W1946" s="9" t="s">
        <v>55</v>
      </c>
      <c r="X1946" s="9" t="s">
        <v>64</v>
      </c>
      <c r="Y1946" s="9" t="s">
        <v>65</v>
      </c>
      <c r="Z1946" s="13"/>
    </row>
    <row r="1947" spans="1:26" ht="32.25" hidden="1" customHeight="1">
      <c r="A1947" s="8">
        <v>2314978</v>
      </c>
      <c r="B1947" s="9" t="s">
        <v>6879</v>
      </c>
      <c r="C1947" s="10">
        <v>45156</v>
      </c>
      <c r="D1947" s="9" t="s">
        <v>79</v>
      </c>
      <c r="E1947" s="9" t="s">
        <v>89</v>
      </c>
      <c r="F1947" s="9" t="s">
        <v>80</v>
      </c>
      <c r="G1947" s="9" t="s">
        <v>43</v>
      </c>
      <c r="H1947" s="9" t="s">
        <v>44</v>
      </c>
      <c r="I1947" s="11" t="s">
        <v>101</v>
      </c>
      <c r="J1947" s="9" t="s">
        <v>102</v>
      </c>
      <c r="K1947" s="9" t="s">
        <v>496</v>
      </c>
      <c r="L1947" s="9" t="s">
        <v>6880</v>
      </c>
      <c r="M1947" s="9" t="s">
        <v>6881</v>
      </c>
      <c r="N1947" s="9" t="s">
        <v>84</v>
      </c>
      <c r="O1947" s="9" t="s">
        <v>51</v>
      </c>
      <c r="P1947" s="9" t="s">
        <v>1402</v>
      </c>
      <c r="Q1947" s="9"/>
      <c r="R1947" s="9" t="s">
        <v>61</v>
      </c>
      <c r="S1947" s="14" t="s">
        <v>6882</v>
      </c>
      <c r="T1947" s="9" t="s">
        <v>1404</v>
      </c>
      <c r="U1947" s="9" t="s">
        <v>54</v>
      </c>
      <c r="V1947" s="9" t="s">
        <v>55</v>
      </c>
      <c r="W1947" s="9" t="s">
        <v>55</v>
      </c>
      <c r="X1947" s="12" t="s">
        <v>98</v>
      </c>
      <c r="Y1947" s="9" t="s">
        <v>99</v>
      </c>
      <c r="Z1947" s="13"/>
    </row>
    <row r="1948" spans="1:26" ht="32.25" hidden="1" customHeight="1">
      <c r="A1948" s="8">
        <v>2314396</v>
      </c>
      <c r="B1948" s="9" t="s">
        <v>6883</v>
      </c>
      <c r="C1948" s="10">
        <v>45156</v>
      </c>
      <c r="D1948" s="9" t="s">
        <v>79</v>
      </c>
      <c r="E1948" s="9" t="s">
        <v>41</v>
      </c>
      <c r="F1948" s="9" t="s">
        <v>80</v>
      </c>
      <c r="G1948" s="9" t="s">
        <v>43</v>
      </c>
      <c r="H1948" s="9" t="s">
        <v>44</v>
      </c>
      <c r="I1948" s="11" t="s">
        <v>81</v>
      </c>
      <c r="J1948" s="9" t="s">
        <v>46</v>
      </c>
      <c r="K1948" s="9" t="s">
        <v>47</v>
      </c>
      <c r="L1948" s="9" t="s">
        <v>221</v>
      </c>
      <c r="M1948" s="9" t="s">
        <v>6884</v>
      </c>
      <c r="N1948" s="9" t="s">
        <v>50</v>
      </c>
      <c r="O1948" s="9" t="s">
        <v>51</v>
      </c>
      <c r="P1948" s="9" t="s">
        <v>1263</v>
      </c>
      <c r="Q1948" s="9"/>
      <c r="R1948" s="9" t="s">
        <v>61</v>
      </c>
      <c r="S1948" s="14" t="s">
        <v>6885</v>
      </c>
      <c r="T1948" s="9" t="s">
        <v>6886</v>
      </c>
      <c r="U1948" s="9" t="s">
        <v>54</v>
      </c>
      <c r="V1948" s="9" t="s">
        <v>55</v>
      </c>
      <c r="W1948" s="9" t="s">
        <v>55</v>
      </c>
      <c r="X1948" s="9" t="s">
        <v>64</v>
      </c>
      <c r="Y1948" s="9" t="s">
        <v>65</v>
      </c>
      <c r="Z1948" s="13"/>
    </row>
    <row r="1949" spans="1:26" ht="32.25" hidden="1" customHeight="1">
      <c r="A1949" s="8">
        <v>2305193</v>
      </c>
      <c r="B1949" s="9" t="s">
        <v>6887</v>
      </c>
      <c r="C1949" s="10">
        <v>45149</v>
      </c>
      <c r="D1949" s="9" t="s">
        <v>57</v>
      </c>
      <c r="E1949" s="9" t="s">
        <v>153</v>
      </c>
      <c r="F1949" s="9" t="s">
        <v>42</v>
      </c>
      <c r="G1949" s="9" t="s">
        <v>43</v>
      </c>
      <c r="H1949" s="9" t="s">
        <v>58</v>
      </c>
      <c r="I1949" s="11" t="s">
        <v>154</v>
      </c>
      <c r="J1949" s="9" t="s">
        <v>155</v>
      </c>
      <c r="K1949" s="9" t="s">
        <v>47</v>
      </c>
      <c r="L1949" s="9" t="s">
        <v>48</v>
      </c>
      <c r="M1949" s="9" t="s">
        <v>6888</v>
      </c>
      <c r="N1949" s="9" t="s">
        <v>84</v>
      </c>
      <c r="O1949" s="9" t="s">
        <v>51</v>
      </c>
      <c r="P1949" s="9"/>
      <c r="Q1949" s="9"/>
      <c r="R1949" s="9" t="s">
        <v>61</v>
      </c>
      <c r="S1949" s="14" t="s">
        <v>6889</v>
      </c>
      <c r="T1949" s="9" t="s">
        <v>6890</v>
      </c>
      <c r="U1949" s="9" t="s">
        <v>54</v>
      </c>
      <c r="V1949" s="9" t="s">
        <v>55</v>
      </c>
      <c r="W1949" s="9" t="s">
        <v>55</v>
      </c>
      <c r="X1949" s="12" t="s">
        <v>171</v>
      </c>
      <c r="Y1949" s="9" t="s">
        <v>172</v>
      </c>
      <c r="Z1949" s="13"/>
    </row>
    <row r="1950" spans="1:26" ht="32.25" hidden="1" customHeight="1">
      <c r="A1950" s="8">
        <v>2306696</v>
      </c>
      <c r="B1950" s="9" t="s">
        <v>6891</v>
      </c>
      <c r="C1950" s="10">
        <v>45149</v>
      </c>
      <c r="D1950" s="9" t="s">
        <v>57</v>
      </c>
      <c r="E1950" s="9" t="s">
        <v>41</v>
      </c>
      <c r="F1950" s="9" t="s">
        <v>42</v>
      </c>
      <c r="G1950" s="9" t="s">
        <v>43</v>
      </c>
      <c r="H1950" s="9" t="s">
        <v>58</v>
      </c>
      <c r="I1950" s="11" t="s">
        <v>199</v>
      </c>
      <c r="J1950" s="9" t="s">
        <v>200</v>
      </c>
      <c r="K1950" s="9" t="s">
        <v>47</v>
      </c>
      <c r="L1950" s="9" t="s">
        <v>1542</v>
      </c>
      <c r="M1950" s="9" t="s">
        <v>1543</v>
      </c>
      <c r="N1950" s="9" t="s">
        <v>84</v>
      </c>
      <c r="O1950" s="9" t="s">
        <v>51</v>
      </c>
      <c r="P1950" s="9"/>
      <c r="Q1950" s="9"/>
      <c r="R1950" s="9" t="s">
        <v>61</v>
      </c>
      <c r="S1950" s="14" t="s">
        <v>6892</v>
      </c>
      <c r="T1950" s="9" t="s">
        <v>6893</v>
      </c>
      <c r="U1950" s="9" t="s">
        <v>54</v>
      </c>
      <c r="V1950" s="9" t="s">
        <v>55</v>
      </c>
      <c r="W1950" s="9" t="s">
        <v>55</v>
      </c>
      <c r="X1950" s="12" t="s">
        <v>196</v>
      </c>
      <c r="Y1950" s="9" t="s">
        <v>197</v>
      </c>
      <c r="Z1950" s="13"/>
    </row>
    <row r="1951" spans="1:26" ht="32.25" hidden="1" customHeight="1">
      <c r="A1951" s="8">
        <v>2301187</v>
      </c>
      <c r="B1951" s="9" t="s">
        <v>6894</v>
      </c>
      <c r="C1951" s="10">
        <v>45136</v>
      </c>
      <c r="D1951" s="9" t="s">
        <v>940</v>
      </c>
      <c r="E1951" s="9" t="s">
        <v>295</v>
      </c>
      <c r="F1951" s="9" t="s">
        <v>42</v>
      </c>
      <c r="G1951" s="9" t="s">
        <v>43</v>
      </c>
      <c r="H1951" s="9" t="s">
        <v>44</v>
      </c>
      <c r="I1951" s="11" t="s">
        <v>296</v>
      </c>
      <c r="J1951" s="9" t="s">
        <v>297</v>
      </c>
      <c r="K1951" s="9" t="s">
        <v>47</v>
      </c>
      <c r="L1951" s="9" t="s">
        <v>1542</v>
      </c>
      <c r="M1951" s="9" t="s">
        <v>1543</v>
      </c>
      <c r="N1951" s="9" t="s">
        <v>84</v>
      </c>
      <c r="O1951" s="9" t="s">
        <v>51</v>
      </c>
      <c r="P1951" s="9"/>
      <c r="Q1951" s="9" t="s">
        <v>941</v>
      </c>
      <c r="R1951" s="9"/>
      <c r="S1951" s="9" t="s">
        <v>6895</v>
      </c>
      <c r="T1951" s="9" t="s">
        <v>6896</v>
      </c>
      <c r="U1951" s="9" t="s">
        <v>54</v>
      </c>
      <c r="V1951" s="9" t="s">
        <v>55</v>
      </c>
      <c r="W1951" s="9" t="s">
        <v>55</v>
      </c>
      <c r="X1951" s="12"/>
      <c r="Y1951" s="9" t="s">
        <v>55</v>
      </c>
      <c r="Z1951" s="13"/>
    </row>
    <row r="1952" spans="1:26" ht="32.25" hidden="1" customHeight="1">
      <c r="A1952" s="8">
        <v>2300555</v>
      </c>
      <c r="B1952" s="9" t="s">
        <v>6897</v>
      </c>
      <c r="C1952" s="10">
        <v>45156</v>
      </c>
      <c r="D1952" s="9" t="s">
        <v>79</v>
      </c>
      <c r="E1952" s="9" t="s">
        <v>89</v>
      </c>
      <c r="F1952" s="9" t="s">
        <v>80</v>
      </c>
      <c r="G1952" s="9" t="s">
        <v>43</v>
      </c>
      <c r="H1952" s="9" t="s">
        <v>44</v>
      </c>
      <c r="I1952" s="11" t="s">
        <v>90</v>
      </c>
      <c r="J1952" s="9" t="s">
        <v>91</v>
      </c>
      <c r="K1952" s="9" t="s">
        <v>47</v>
      </c>
      <c r="L1952" s="9" t="s">
        <v>799</v>
      </c>
      <c r="M1952" s="9" t="s">
        <v>1490</v>
      </c>
      <c r="N1952" s="9" t="s">
        <v>50</v>
      </c>
      <c r="O1952" s="9" t="s">
        <v>51</v>
      </c>
      <c r="P1952" s="9" t="s">
        <v>498</v>
      </c>
      <c r="Q1952" s="9"/>
      <c r="R1952" s="9" t="s">
        <v>61</v>
      </c>
      <c r="S1952" s="14" t="s">
        <v>6898</v>
      </c>
      <c r="T1952" s="9" t="s">
        <v>6899</v>
      </c>
      <c r="U1952" s="9" t="s">
        <v>54</v>
      </c>
      <c r="V1952" s="9" t="s">
        <v>55</v>
      </c>
      <c r="W1952" s="9" t="s">
        <v>55</v>
      </c>
      <c r="X1952" s="12" t="s">
        <v>98</v>
      </c>
      <c r="Y1952" s="9" t="s">
        <v>99</v>
      </c>
      <c r="Z1952" s="13"/>
    </row>
    <row r="1953" spans="1:26" ht="32.25" hidden="1" customHeight="1">
      <c r="A1953" s="8">
        <v>2312969</v>
      </c>
      <c r="B1953" s="9" t="s">
        <v>6900</v>
      </c>
      <c r="C1953" s="10">
        <v>45149</v>
      </c>
      <c r="D1953" s="9" t="s">
        <v>261</v>
      </c>
      <c r="E1953" s="9" t="s">
        <v>89</v>
      </c>
      <c r="F1953" s="9" t="s">
        <v>262</v>
      </c>
      <c r="G1953" s="9" t="s">
        <v>43</v>
      </c>
      <c r="H1953" s="9" t="s">
        <v>44</v>
      </c>
      <c r="I1953" s="11" t="s">
        <v>685</v>
      </c>
      <c r="J1953" s="9" t="s">
        <v>686</v>
      </c>
      <c r="K1953" s="9" t="s">
        <v>47</v>
      </c>
      <c r="L1953" s="9" t="s">
        <v>48</v>
      </c>
      <c r="M1953" s="9"/>
      <c r="N1953" s="9" t="s">
        <v>50</v>
      </c>
      <c r="O1953" s="9" t="s">
        <v>51</v>
      </c>
      <c r="P1953" s="9"/>
      <c r="Q1953" s="9"/>
      <c r="R1953" s="9"/>
      <c r="S1953" s="14" t="s">
        <v>6901</v>
      </c>
      <c r="T1953" s="9" t="s">
        <v>6902</v>
      </c>
      <c r="U1953" s="9" t="s">
        <v>262</v>
      </c>
      <c r="V1953" s="9" t="s">
        <v>55</v>
      </c>
      <c r="W1953" s="9" t="s">
        <v>55</v>
      </c>
      <c r="X1953" s="12"/>
      <c r="Y1953" s="9" t="s">
        <v>55</v>
      </c>
      <c r="Z1953" s="13"/>
    </row>
    <row r="1954" spans="1:26" ht="32.25" hidden="1" customHeight="1">
      <c r="A1954" s="8">
        <v>2313801</v>
      </c>
      <c r="B1954" s="9" t="s">
        <v>6903</v>
      </c>
      <c r="C1954" s="10">
        <v>45156</v>
      </c>
      <c r="D1954" s="9" t="s">
        <v>79</v>
      </c>
      <c r="E1954" s="9" t="s">
        <v>143</v>
      </c>
      <c r="F1954" s="9" t="s">
        <v>80</v>
      </c>
      <c r="G1954" s="9" t="s">
        <v>43</v>
      </c>
      <c r="H1954" s="9" t="s">
        <v>44</v>
      </c>
      <c r="I1954" s="11" t="s">
        <v>326</v>
      </c>
      <c r="J1954" s="9" t="s">
        <v>327</v>
      </c>
      <c r="K1954" s="9" t="s">
        <v>47</v>
      </c>
      <c r="L1954" s="9" t="s">
        <v>48</v>
      </c>
      <c r="M1954" s="9" t="s">
        <v>3922</v>
      </c>
      <c r="N1954" s="9" t="s">
        <v>50</v>
      </c>
      <c r="O1954" s="9" t="s">
        <v>51</v>
      </c>
      <c r="P1954" s="9" t="s">
        <v>1646</v>
      </c>
      <c r="Q1954" s="9"/>
      <c r="R1954" s="9"/>
      <c r="S1954" s="14" t="s">
        <v>6904</v>
      </c>
      <c r="T1954" s="9" t="s">
        <v>6905</v>
      </c>
      <c r="U1954" s="9" t="s">
        <v>54</v>
      </c>
      <c r="V1954" s="9" t="s">
        <v>55</v>
      </c>
      <c r="W1954" s="9" t="s">
        <v>55</v>
      </c>
      <c r="X1954" s="12"/>
      <c r="Y1954" s="9" t="s">
        <v>55</v>
      </c>
      <c r="Z1954" s="13"/>
    </row>
    <row r="1955" spans="1:26" ht="32.25" hidden="1" customHeight="1">
      <c r="A1955" s="8">
        <v>2308280</v>
      </c>
      <c r="B1955" s="9" t="s">
        <v>6906</v>
      </c>
      <c r="C1955" s="10">
        <v>45149</v>
      </c>
      <c r="D1955" s="9" t="s">
        <v>57</v>
      </c>
      <c r="E1955" s="9" t="s">
        <v>295</v>
      </c>
      <c r="F1955" s="9" t="s">
        <v>42</v>
      </c>
      <c r="G1955" s="9" t="s">
        <v>43</v>
      </c>
      <c r="H1955" s="9" t="s">
        <v>58</v>
      </c>
      <c r="I1955" s="11" t="s">
        <v>406</v>
      </c>
      <c r="J1955" s="9" t="s">
        <v>407</v>
      </c>
      <c r="K1955" s="9" t="s">
        <v>47</v>
      </c>
      <c r="L1955" s="9" t="s">
        <v>425</v>
      </c>
      <c r="M1955" s="9" t="s">
        <v>2244</v>
      </c>
      <c r="N1955" s="9" t="s">
        <v>50</v>
      </c>
      <c r="O1955" s="9" t="s">
        <v>51</v>
      </c>
      <c r="P1955" s="9"/>
      <c r="Q1955" s="9"/>
      <c r="R1955" s="9" t="s">
        <v>61</v>
      </c>
      <c r="S1955" s="14" t="s">
        <v>6907</v>
      </c>
      <c r="T1955" s="9" t="s">
        <v>6908</v>
      </c>
      <c r="U1955" s="9" t="s">
        <v>54</v>
      </c>
      <c r="V1955" s="9" t="s">
        <v>55</v>
      </c>
      <c r="W1955" s="9" t="s">
        <v>55</v>
      </c>
      <c r="X1955" s="9" t="s">
        <v>319</v>
      </c>
      <c r="Y1955" s="9" t="s">
        <v>320</v>
      </c>
      <c r="Z1955" s="13"/>
    </row>
    <row r="1956" spans="1:26" ht="32.25" hidden="1" customHeight="1">
      <c r="A1956" s="8">
        <v>2300465</v>
      </c>
      <c r="B1956" s="9" t="s">
        <v>6909</v>
      </c>
      <c r="C1956" s="10">
        <v>45142</v>
      </c>
      <c r="D1956" s="9" t="s">
        <v>67</v>
      </c>
      <c r="E1956" s="9" t="s">
        <v>68</v>
      </c>
      <c r="F1956" s="9" t="s">
        <v>135</v>
      </c>
      <c r="G1956" s="9" t="s">
        <v>43</v>
      </c>
      <c r="H1956" s="9" t="s">
        <v>44</v>
      </c>
      <c r="I1956" s="11" t="s">
        <v>136</v>
      </c>
      <c r="J1956" s="9" t="s">
        <v>137</v>
      </c>
      <c r="K1956" s="9" t="s">
        <v>47</v>
      </c>
      <c r="L1956" s="9" t="s">
        <v>1673</v>
      </c>
      <c r="M1956" s="9" t="s">
        <v>624</v>
      </c>
      <c r="N1956" s="9" t="s">
        <v>84</v>
      </c>
      <c r="O1956" s="9" t="s">
        <v>51</v>
      </c>
      <c r="P1956" s="9"/>
      <c r="Q1956" s="9"/>
      <c r="R1956" s="9" t="s">
        <v>61</v>
      </c>
      <c r="S1956" s="9" t="s">
        <v>6910</v>
      </c>
      <c r="T1956" s="9" t="s">
        <v>6911</v>
      </c>
      <c r="U1956" s="9" t="s">
        <v>54</v>
      </c>
      <c r="V1956" s="9" t="s">
        <v>55</v>
      </c>
      <c r="W1956" s="9" t="s">
        <v>55</v>
      </c>
      <c r="X1956" s="12" t="s">
        <v>76</v>
      </c>
      <c r="Y1956" s="9" t="s">
        <v>77</v>
      </c>
      <c r="Z1956" s="13"/>
    </row>
    <row r="1957" spans="1:26" ht="32.25" hidden="1" customHeight="1">
      <c r="A1957" s="8">
        <v>2311384</v>
      </c>
      <c r="B1957" s="9" t="s">
        <v>6912</v>
      </c>
      <c r="C1957" s="10">
        <v>45156</v>
      </c>
      <c r="D1957" s="9" t="s">
        <v>79</v>
      </c>
      <c r="E1957" s="9" t="s">
        <v>41</v>
      </c>
      <c r="F1957" s="9" t="s">
        <v>80</v>
      </c>
      <c r="G1957" s="9" t="s">
        <v>43</v>
      </c>
      <c r="H1957" s="9" t="s">
        <v>44</v>
      </c>
      <c r="I1957" s="11" t="s">
        <v>81</v>
      </c>
      <c r="J1957" s="9" t="s">
        <v>46</v>
      </c>
      <c r="K1957" s="9" t="s">
        <v>47</v>
      </c>
      <c r="L1957" s="9" t="s">
        <v>1542</v>
      </c>
      <c r="M1957" s="9" t="s">
        <v>1543</v>
      </c>
      <c r="N1957" s="9" t="s">
        <v>50</v>
      </c>
      <c r="O1957" s="9" t="s">
        <v>51</v>
      </c>
      <c r="P1957" s="9" t="s">
        <v>85</v>
      </c>
      <c r="Q1957" s="9"/>
      <c r="R1957" s="9" t="s">
        <v>61</v>
      </c>
      <c r="S1957" s="14" t="s">
        <v>6913</v>
      </c>
      <c r="T1957" s="9" t="s">
        <v>6914</v>
      </c>
      <c r="U1957" s="9" t="s">
        <v>54</v>
      </c>
      <c r="V1957" s="9" t="s">
        <v>55</v>
      </c>
      <c r="W1957" s="9" t="s">
        <v>55</v>
      </c>
      <c r="X1957" s="9" t="s">
        <v>64</v>
      </c>
      <c r="Y1957" s="9" t="s">
        <v>65</v>
      </c>
      <c r="Z1957" s="13"/>
    </row>
    <row r="1958" spans="1:26" ht="32.25" hidden="1" customHeight="1">
      <c r="A1958" s="8">
        <v>2306722</v>
      </c>
      <c r="B1958" s="9" t="s">
        <v>6915</v>
      </c>
      <c r="C1958" s="10">
        <v>45149</v>
      </c>
      <c r="D1958" s="9" t="s">
        <v>57</v>
      </c>
      <c r="E1958" s="9" t="s">
        <v>41</v>
      </c>
      <c r="F1958" s="9" t="s">
        <v>42</v>
      </c>
      <c r="G1958" s="9" t="s">
        <v>43</v>
      </c>
      <c r="H1958" s="9" t="s">
        <v>58</v>
      </c>
      <c r="I1958" s="11" t="s">
        <v>129</v>
      </c>
      <c r="J1958" s="9" t="s">
        <v>130</v>
      </c>
      <c r="K1958" s="9" t="s">
        <v>47</v>
      </c>
      <c r="L1958" s="9" t="s">
        <v>167</v>
      </c>
      <c r="M1958" s="9" t="s">
        <v>168</v>
      </c>
      <c r="N1958" s="9" t="s">
        <v>50</v>
      </c>
      <c r="O1958" s="9" t="s">
        <v>51</v>
      </c>
      <c r="P1958" s="9"/>
      <c r="Q1958" s="9"/>
      <c r="R1958" s="9" t="s">
        <v>61</v>
      </c>
      <c r="S1958" s="14" t="s">
        <v>6916</v>
      </c>
      <c r="T1958" s="9" t="s">
        <v>6917</v>
      </c>
      <c r="U1958" s="9" t="s">
        <v>54</v>
      </c>
      <c r="V1958" s="9" t="s">
        <v>55</v>
      </c>
      <c r="W1958" s="9" t="s">
        <v>55</v>
      </c>
      <c r="X1958" s="9" t="s">
        <v>196</v>
      </c>
      <c r="Y1958" s="9" t="s">
        <v>197</v>
      </c>
      <c r="Z1958" s="13" t="s">
        <v>230</v>
      </c>
    </row>
    <row r="1959" spans="1:26" ht="32.25" hidden="1" customHeight="1">
      <c r="A1959" s="8">
        <v>2309654</v>
      </c>
      <c r="B1959" s="9" t="s">
        <v>6918</v>
      </c>
      <c r="C1959" s="10">
        <v>45142</v>
      </c>
      <c r="D1959" s="9" t="s">
        <v>67</v>
      </c>
      <c r="E1959" s="9" t="s">
        <v>143</v>
      </c>
      <c r="F1959" s="9" t="s">
        <v>42</v>
      </c>
      <c r="G1959" s="9" t="s">
        <v>43</v>
      </c>
      <c r="H1959" s="9" t="s">
        <v>44</v>
      </c>
      <c r="I1959" s="11" t="s">
        <v>144</v>
      </c>
      <c r="J1959" s="9" t="s">
        <v>145</v>
      </c>
      <c r="K1959" s="9" t="s">
        <v>47</v>
      </c>
      <c r="L1959" s="9" t="s">
        <v>574</v>
      </c>
      <c r="M1959" s="9" t="s">
        <v>617</v>
      </c>
      <c r="N1959" s="9" t="s">
        <v>50</v>
      </c>
      <c r="O1959" s="9" t="s">
        <v>51</v>
      </c>
      <c r="P1959" s="9" t="s">
        <v>147</v>
      </c>
      <c r="Q1959" s="9"/>
      <c r="R1959" s="9" t="s">
        <v>61</v>
      </c>
      <c r="S1959" s="9" t="s">
        <v>6919</v>
      </c>
      <c r="T1959" s="9" t="s">
        <v>6920</v>
      </c>
      <c r="U1959" s="9" t="s">
        <v>54</v>
      </c>
      <c r="V1959" s="9" t="s">
        <v>55</v>
      </c>
      <c r="W1959" s="9" t="s">
        <v>55</v>
      </c>
      <c r="X1959" s="12" t="s">
        <v>150</v>
      </c>
      <c r="Y1959" s="9" t="s">
        <v>151</v>
      </c>
      <c r="Z1959" s="13"/>
    </row>
    <row r="1960" spans="1:26" ht="32.25" hidden="1" customHeight="1">
      <c r="A1960" s="8">
        <v>2311661</v>
      </c>
      <c r="B1960" s="9" t="s">
        <v>6921</v>
      </c>
      <c r="C1960" s="10">
        <v>45156</v>
      </c>
      <c r="D1960" s="9" t="s">
        <v>79</v>
      </c>
      <c r="E1960" s="9" t="s">
        <v>41</v>
      </c>
      <c r="F1960" s="9" t="s">
        <v>80</v>
      </c>
      <c r="G1960" s="9" t="s">
        <v>43</v>
      </c>
      <c r="H1960" s="9" t="s">
        <v>44</v>
      </c>
      <c r="I1960" s="11" t="s">
        <v>527</v>
      </c>
      <c r="J1960" s="9" t="s">
        <v>130</v>
      </c>
      <c r="K1960" s="9" t="s">
        <v>47</v>
      </c>
      <c r="L1960" s="9" t="s">
        <v>863</v>
      </c>
      <c r="M1960" s="9" t="s">
        <v>864</v>
      </c>
      <c r="N1960" s="9" t="s">
        <v>84</v>
      </c>
      <c r="O1960" s="9" t="s">
        <v>51</v>
      </c>
      <c r="P1960" s="9" t="s">
        <v>529</v>
      </c>
      <c r="Q1960" s="9"/>
      <c r="R1960" s="9"/>
      <c r="S1960" s="14" t="s">
        <v>6922</v>
      </c>
      <c r="T1960" s="9" t="s">
        <v>6923</v>
      </c>
      <c r="U1960" s="9" t="s">
        <v>54</v>
      </c>
      <c r="V1960" s="9" t="s">
        <v>55</v>
      </c>
      <c r="W1960" s="9" t="s">
        <v>55</v>
      </c>
      <c r="X1960" s="12"/>
      <c r="Y1960" s="9" t="s">
        <v>55</v>
      </c>
      <c r="Z1960" s="13"/>
    </row>
    <row r="1961" spans="1:26" ht="32.25" hidden="1" customHeight="1">
      <c r="A1961" s="8">
        <v>2300853</v>
      </c>
      <c r="B1961" s="9" t="s">
        <v>6924</v>
      </c>
      <c r="C1961" s="10">
        <v>45149</v>
      </c>
      <c r="D1961" s="9" t="s">
        <v>57</v>
      </c>
      <c r="E1961" s="9" t="s">
        <v>295</v>
      </c>
      <c r="F1961" s="9" t="s">
        <v>42</v>
      </c>
      <c r="G1961" s="9" t="s">
        <v>43</v>
      </c>
      <c r="H1961" s="9" t="s">
        <v>58</v>
      </c>
      <c r="I1961" s="11" t="s">
        <v>296</v>
      </c>
      <c r="J1961" s="9" t="s">
        <v>297</v>
      </c>
      <c r="K1961" s="9" t="s">
        <v>47</v>
      </c>
      <c r="L1961" s="9" t="s">
        <v>1087</v>
      </c>
      <c r="M1961" s="9" t="s">
        <v>2089</v>
      </c>
      <c r="N1961" s="9" t="s">
        <v>84</v>
      </c>
      <c r="O1961" s="9" t="s">
        <v>51</v>
      </c>
      <c r="P1961" s="9"/>
      <c r="Q1961" s="9"/>
      <c r="R1961" s="9" t="s">
        <v>61</v>
      </c>
      <c r="S1961" s="14" t="s">
        <v>6925</v>
      </c>
      <c r="T1961" s="9" t="s">
        <v>6926</v>
      </c>
      <c r="U1961" s="9" t="s">
        <v>54</v>
      </c>
      <c r="V1961" s="9" t="s">
        <v>55</v>
      </c>
      <c r="W1961" s="9" t="s">
        <v>55</v>
      </c>
      <c r="X1961" s="9" t="s">
        <v>319</v>
      </c>
      <c r="Y1961" s="9" t="s">
        <v>320</v>
      </c>
      <c r="Z1961" s="13"/>
    </row>
    <row r="1962" spans="1:26" ht="32.25" hidden="1" customHeight="1">
      <c r="A1962" s="8">
        <v>2300491</v>
      </c>
      <c r="B1962" s="9" t="s">
        <v>6927</v>
      </c>
      <c r="C1962" s="10">
        <v>45156</v>
      </c>
      <c r="D1962" s="9" t="s">
        <v>79</v>
      </c>
      <c r="E1962" s="9" t="s">
        <v>89</v>
      </c>
      <c r="F1962" s="9" t="s">
        <v>80</v>
      </c>
      <c r="G1962" s="9" t="s">
        <v>43</v>
      </c>
      <c r="H1962" s="9" t="s">
        <v>44</v>
      </c>
      <c r="I1962" s="11" t="s">
        <v>90</v>
      </c>
      <c r="J1962" s="9" t="s">
        <v>91</v>
      </c>
      <c r="K1962" s="9" t="s">
        <v>47</v>
      </c>
      <c r="L1962" s="9" t="s">
        <v>156</v>
      </c>
      <c r="M1962" s="9"/>
      <c r="N1962" s="9" t="s">
        <v>84</v>
      </c>
      <c r="O1962" s="9" t="s">
        <v>51</v>
      </c>
      <c r="P1962" s="9" t="s">
        <v>865</v>
      </c>
      <c r="Q1962" s="9"/>
      <c r="R1962" s="9"/>
      <c r="S1962" s="14" t="s">
        <v>6928</v>
      </c>
      <c r="T1962" s="9" t="s">
        <v>6929</v>
      </c>
      <c r="U1962" s="9" t="s">
        <v>54</v>
      </c>
      <c r="V1962" s="9" t="s">
        <v>55</v>
      </c>
      <c r="W1962" s="9" t="s">
        <v>55</v>
      </c>
      <c r="X1962" s="12"/>
      <c r="Y1962" s="9" t="s">
        <v>55</v>
      </c>
      <c r="Z1962" s="13"/>
    </row>
    <row r="1963" spans="1:26" ht="32.25" hidden="1" customHeight="1">
      <c r="A1963" s="8">
        <v>2301751</v>
      </c>
      <c r="B1963" s="9" t="s">
        <v>6930</v>
      </c>
      <c r="C1963" s="10">
        <v>45149</v>
      </c>
      <c r="D1963" s="9" t="s">
        <v>57</v>
      </c>
      <c r="E1963" s="9" t="s">
        <v>41</v>
      </c>
      <c r="F1963" s="9" t="s">
        <v>42</v>
      </c>
      <c r="G1963" s="9" t="s">
        <v>43</v>
      </c>
      <c r="H1963" s="9" t="s">
        <v>58</v>
      </c>
      <c r="I1963" s="11" t="s">
        <v>129</v>
      </c>
      <c r="J1963" s="9" t="s">
        <v>130</v>
      </c>
      <c r="K1963" s="9" t="s">
        <v>47</v>
      </c>
      <c r="L1963" s="9" t="s">
        <v>226</v>
      </c>
      <c r="M1963" s="9" t="s">
        <v>1374</v>
      </c>
      <c r="N1963" s="9" t="s">
        <v>84</v>
      </c>
      <c r="O1963" s="9" t="s">
        <v>51</v>
      </c>
      <c r="P1963" s="9"/>
      <c r="Q1963" s="9"/>
      <c r="R1963" s="9" t="s">
        <v>61</v>
      </c>
      <c r="S1963" s="14" t="s">
        <v>6931</v>
      </c>
      <c r="T1963" s="9" t="s">
        <v>6932</v>
      </c>
      <c r="U1963" s="9" t="s">
        <v>54</v>
      </c>
      <c r="V1963" s="9" t="s">
        <v>55</v>
      </c>
      <c r="W1963" s="9" t="s">
        <v>55</v>
      </c>
      <c r="X1963" s="9" t="s">
        <v>196</v>
      </c>
      <c r="Y1963" s="9" t="s">
        <v>197</v>
      </c>
      <c r="Z1963" s="13" t="s">
        <v>230</v>
      </c>
    </row>
    <row r="1964" spans="1:26" ht="32.25" hidden="1" customHeight="1">
      <c r="A1964" s="8">
        <v>2302529</v>
      </c>
      <c r="B1964" s="9" t="s">
        <v>6933</v>
      </c>
      <c r="C1964" s="10">
        <v>45156</v>
      </c>
      <c r="D1964" s="9" t="s">
        <v>79</v>
      </c>
      <c r="E1964" s="9" t="s">
        <v>68</v>
      </c>
      <c r="F1964" s="9" t="s">
        <v>80</v>
      </c>
      <c r="G1964" s="9" t="s">
        <v>43</v>
      </c>
      <c r="H1964" s="9" t="s">
        <v>44</v>
      </c>
      <c r="I1964" s="11" t="s">
        <v>696</v>
      </c>
      <c r="J1964" s="9" t="s">
        <v>70</v>
      </c>
      <c r="K1964" s="9" t="s">
        <v>47</v>
      </c>
      <c r="L1964" s="9" t="s">
        <v>48</v>
      </c>
      <c r="M1964" s="9" t="s">
        <v>6934</v>
      </c>
      <c r="N1964" s="9" t="s">
        <v>50</v>
      </c>
      <c r="O1964" s="9" t="s">
        <v>51</v>
      </c>
      <c r="P1964" s="9" t="s">
        <v>1841</v>
      </c>
      <c r="Q1964" s="9"/>
      <c r="R1964" s="9" t="s">
        <v>61</v>
      </c>
      <c r="S1964" s="14" t="s">
        <v>6935</v>
      </c>
      <c r="T1964" s="9" t="s">
        <v>6936</v>
      </c>
      <c r="U1964" s="9" t="s">
        <v>54</v>
      </c>
      <c r="V1964" s="9" t="s">
        <v>1266</v>
      </c>
      <c r="W1964" s="9" t="s">
        <v>115</v>
      </c>
      <c r="X1964" s="12" t="s">
        <v>76</v>
      </c>
      <c r="Y1964" s="9" t="s">
        <v>77</v>
      </c>
      <c r="Z1964" s="13"/>
    </row>
    <row r="1965" spans="1:26" ht="32.25" hidden="1" customHeight="1">
      <c r="A1965" s="8">
        <v>2305028</v>
      </c>
      <c r="B1965" s="9" t="s">
        <v>6937</v>
      </c>
      <c r="C1965" s="10">
        <v>45149</v>
      </c>
      <c r="D1965" s="9" t="s">
        <v>57</v>
      </c>
      <c r="E1965" s="9" t="s">
        <v>153</v>
      </c>
      <c r="F1965" s="9" t="s">
        <v>42</v>
      </c>
      <c r="G1965" s="9" t="s">
        <v>43</v>
      </c>
      <c r="H1965" s="9" t="s">
        <v>58</v>
      </c>
      <c r="I1965" s="11" t="s">
        <v>154</v>
      </c>
      <c r="J1965" s="9" t="s">
        <v>155</v>
      </c>
      <c r="K1965" s="9" t="s">
        <v>47</v>
      </c>
      <c r="L1965" s="9" t="s">
        <v>48</v>
      </c>
      <c r="M1965" s="9" t="s">
        <v>3749</v>
      </c>
      <c r="N1965" s="9" t="s">
        <v>50</v>
      </c>
      <c r="O1965" s="9" t="s">
        <v>51</v>
      </c>
      <c r="P1965" s="9"/>
      <c r="Q1965" s="9"/>
      <c r="R1965" s="9"/>
      <c r="S1965" s="14" t="s">
        <v>6938</v>
      </c>
      <c r="T1965" s="9" t="s">
        <v>6939</v>
      </c>
      <c r="U1965" s="9" t="s">
        <v>54</v>
      </c>
      <c r="V1965" s="9" t="s">
        <v>55</v>
      </c>
      <c r="W1965" s="9" t="s">
        <v>55</v>
      </c>
      <c r="X1965" s="12"/>
      <c r="Y1965" s="9" t="s">
        <v>55</v>
      </c>
      <c r="Z1965" s="13"/>
    </row>
    <row r="1966" spans="1:26" ht="32.25" hidden="1" customHeight="1">
      <c r="A1966" s="8">
        <v>2300724</v>
      </c>
      <c r="B1966" s="9" t="s">
        <v>6940</v>
      </c>
      <c r="C1966" s="10">
        <v>45142</v>
      </c>
      <c r="D1966" s="9" t="s">
        <v>67</v>
      </c>
      <c r="E1966" s="9" t="s">
        <v>41</v>
      </c>
      <c r="F1966" s="9" t="s">
        <v>42</v>
      </c>
      <c r="G1966" s="9" t="s">
        <v>43</v>
      </c>
      <c r="H1966" s="9" t="s">
        <v>44</v>
      </c>
      <c r="I1966" s="11" t="s">
        <v>45</v>
      </c>
      <c r="J1966" s="9" t="s">
        <v>46</v>
      </c>
      <c r="K1966" s="9" t="s">
        <v>47</v>
      </c>
      <c r="L1966" s="9" t="s">
        <v>799</v>
      </c>
      <c r="M1966" s="9" t="s">
        <v>6941</v>
      </c>
      <c r="N1966" s="9" t="s">
        <v>50</v>
      </c>
      <c r="O1966" s="9" t="s">
        <v>51</v>
      </c>
      <c r="P1966" s="9"/>
      <c r="Q1966" s="9"/>
      <c r="R1966" s="9" t="s">
        <v>61</v>
      </c>
      <c r="S1966" s="9" t="s">
        <v>6942</v>
      </c>
      <c r="T1966" s="9" t="s">
        <v>6943</v>
      </c>
      <c r="U1966" s="9" t="s">
        <v>54</v>
      </c>
      <c r="V1966" s="9" t="s">
        <v>55</v>
      </c>
      <c r="W1966" s="9" t="s">
        <v>55</v>
      </c>
      <c r="X1966" s="9" t="s">
        <v>64</v>
      </c>
      <c r="Y1966" s="9" t="s">
        <v>65</v>
      </c>
      <c r="Z1966" s="13"/>
    </row>
    <row r="1967" spans="1:26" ht="32.25" hidden="1" customHeight="1">
      <c r="A1967" s="8">
        <v>2311397</v>
      </c>
      <c r="B1967" s="9" t="s">
        <v>6944</v>
      </c>
      <c r="C1967" s="10">
        <v>45149</v>
      </c>
      <c r="D1967" s="9" t="s">
        <v>57</v>
      </c>
      <c r="E1967" s="9" t="s">
        <v>41</v>
      </c>
      <c r="F1967" s="9" t="s">
        <v>42</v>
      </c>
      <c r="G1967" s="9" t="s">
        <v>43</v>
      </c>
      <c r="H1967" s="9" t="s">
        <v>58</v>
      </c>
      <c r="I1967" s="11" t="s">
        <v>661</v>
      </c>
      <c r="J1967" s="9" t="s">
        <v>662</v>
      </c>
      <c r="K1967" s="9" t="s">
        <v>47</v>
      </c>
      <c r="L1967" s="9" t="s">
        <v>156</v>
      </c>
      <c r="M1967" s="9"/>
      <c r="N1967" s="9" t="s">
        <v>84</v>
      </c>
      <c r="O1967" s="9" t="s">
        <v>51</v>
      </c>
      <c r="P1967" s="9"/>
      <c r="Q1967" s="9"/>
      <c r="R1967" s="9"/>
      <c r="S1967" s="14" t="s">
        <v>6945</v>
      </c>
      <c r="T1967" s="9" t="s">
        <v>6946</v>
      </c>
      <c r="U1967" s="9" t="s">
        <v>54</v>
      </c>
      <c r="V1967" s="9" t="s">
        <v>55</v>
      </c>
      <c r="W1967" s="9" t="s">
        <v>55</v>
      </c>
      <c r="X1967" s="12"/>
      <c r="Y1967" s="9" t="s">
        <v>55</v>
      </c>
      <c r="Z1967" s="13"/>
    </row>
    <row r="1968" spans="1:26" ht="32.25" hidden="1" customHeight="1">
      <c r="A1968" s="8">
        <v>2309585</v>
      </c>
      <c r="B1968" s="9" t="s">
        <v>6947</v>
      </c>
      <c r="C1968" s="10">
        <v>45156</v>
      </c>
      <c r="D1968" s="9" t="s">
        <v>79</v>
      </c>
      <c r="E1968" s="9" t="s">
        <v>41</v>
      </c>
      <c r="F1968" s="9" t="s">
        <v>80</v>
      </c>
      <c r="G1968" s="9" t="s">
        <v>43</v>
      </c>
      <c r="H1968" s="9" t="s">
        <v>44</v>
      </c>
      <c r="I1968" s="11" t="s">
        <v>478</v>
      </c>
      <c r="J1968" s="9" t="s">
        <v>479</v>
      </c>
      <c r="K1968" s="9" t="s">
        <v>47</v>
      </c>
      <c r="L1968" s="9" t="s">
        <v>1760</v>
      </c>
      <c r="M1968" s="9" t="s">
        <v>1761</v>
      </c>
      <c r="N1968" s="9" t="s">
        <v>50</v>
      </c>
      <c r="O1968" s="9" t="s">
        <v>51</v>
      </c>
      <c r="P1968" s="9" t="s">
        <v>482</v>
      </c>
      <c r="Q1968" s="9"/>
      <c r="R1968" s="9"/>
      <c r="S1968" s="14" t="s">
        <v>6948</v>
      </c>
      <c r="T1968" s="9" t="s">
        <v>6949</v>
      </c>
      <c r="U1968" s="9" t="s">
        <v>54</v>
      </c>
      <c r="V1968" s="9" t="s">
        <v>55</v>
      </c>
      <c r="W1968" s="9" t="s">
        <v>55</v>
      </c>
      <c r="X1968" s="12"/>
      <c r="Y1968" s="9" t="s">
        <v>55</v>
      </c>
      <c r="Z1968" s="13"/>
    </row>
    <row r="1969" spans="1:26" ht="32.25" hidden="1" customHeight="1">
      <c r="A1969" s="8">
        <v>2308141</v>
      </c>
      <c r="B1969" s="9" t="s">
        <v>6950</v>
      </c>
      <c r="C1969" s="10">
        <v>45149</v>
      </c>
      <c r="D1969" s="9" t="s">
        <v>57</v>
      </c>
      <c r="E1969" s="9" t="s">
        <v>41</v>
      </c>
      <c r="F1969" s="9" t="s">
        <v>42</v>
      </c>
      <c r="G1969" s="9" t="s">
        <v>43</v>
      </c>
      <c r="H1969" s="9" t="s">
        <v>58</v>
      </c>
      <c r="I1969" s="11" t="s">
        <v>661</v>
      </c>
      <c r="J1969" s="9" t="s">
        <v>662</v>
      </c>
      <c r="K1969" s="9" t="s">
        <v>47</v>
      </c>
      <c r="L1969" s="9" t="s">
        <v>156</v>
      </c>
      <c r="M1969" s="9"/>
      <c r="N1969" s="9" t="s">
        <v>84</v>
      </c>
      <c r="O1969" s="9" t="s">
        <v>51</v>
      </c>
      <c r="P1969" s="9"/>
      <c r="Q1969" s="9"/>
      <c r="R1969" s="9"/>
      <c r="S1969" s="14" t="s">
        <v>6951</v>
      </c>
      <c r="T1969" s="9" t="s">
        <v>6952</v>
      </c>
      <c r="U1969" s="9" t="s">
        <v>54</v>
      </c>
      <c r="V1969" s="9" t="s">
        <v>55</v>
      </c>
      <c r="W1969" s="9" t="s">
        <v>55</v>
      </c>
      <c r="X1969" s="12"/>
      <c r="Y1969" s="9" t="s">
        <v>55</v>
      </c>
      <c r="Z1969" s="13"/>
    </row>
    <row r="1970" spans="1:26" ht="32.25" hidden="1" customHeight="1">
      <c r="A1970" s="8">
        <v>2308054</v>
      </c>
      <c r="B1970" s="9" t="s">
        <v>6953</v>
      </c>
      <c r="C1970" s="10">
        <v>45142</v>
      </c>
      <c r="D1970" s="9" t="s">
        <v>67</v>
      </c>
      <c r="E1970" s="9" t="s">
        <v>89</v>
      </c>
      <c r="F1970" s="9" t="s">
        <v>42</v>
      </c>
      <c r="G1970" s="9" t="s">
        <v>43</v>
      </c>
      <c r="H1970" s="9" t="s">
        <v>44</v>
      </c>
      <c r="I1970" s="11" t="s">
        <v>360</v>
      </c>
      <c r="J1970" s="9" t="s">
        <v>102</v>
      </c>
      <c r="K1970" s="9" t="s">
        <v>47</v>
      </c>
      <c r="L1970" s="9" t="s">
        <v>156</v>
      </c>
      <c r="M1970" s="9"/>
      <c r="N1970" s="9" t="s">
        <v>84</v>
      </c>
      <c r="O1970" s="9" t="s">
        <v>51</v>
      </c>
      <c r="P1970" s="9" t="s">
        <v>361</v>
      </c>
      <c r="Q1970" s="9"/>
      <c r="R1970" s="9" t="s">
        <v>61</v>
      </c>
      <c r="S1970" s="9" t="s">
        <v>6954</v>
      </c>
      <c r="T1970" s="9" t="s">
        <v>6955</v>
      </c>
      <c r="U1970" s="9" t="s">
        <v>54</v>
      </c>
      <c r="V1970" s="9" t="s">
        <v>55</v>
      </c>
      <c r="W1970" s="9" t="s">
        <v>55</v>
      </c>
      <c r="X1970" s="12" t="s">
        <v>98</v>
      </c>
      <c r="Y1970" s="9" t="s">
        <v>99</v>
      </c>
      <c r="Z1970" s="13" t="s">
        <v>1220</v>
      </c>
    </row>
    <row r="1971" spans="1:26" ht="32.25" hidden="1" customHeight="1">
      <c r="A1971" s="8">
        <v>2304102</v>
      </c>
      <c r="B1971" s="9" t="s">
        <v>6956</v>
      </c>
      <c r="C1971" s="10">
        <v>45156</v>
      </c>
      <c r="D1971" s="9" t="s">
        <v>79</v>
      </c>
      <c r="E1971" s="9" t="s">
        <v>89</v>
      </c>
      <c r="F1971" s="9" t="s">
        <v>80</v>
      </c>
      <c r="G1971" s="9" t="s">
        <v>43</v>
      </c>
      <c r="H1971" s="9" t="s">
        <v>44</v>
      </c>
      <c r="I1971" s="11" t="s">
        <v>101</v>
      </c>
      <c r="J1971" s="9" t="s">
        <v>102</v>
      </c>
      <c r="K1971" s="9" t="s">
        <v>47</v>
      </c>
      <c r="L1971" s="9" t="s">
        <v>713</v>
      </c>
      <c r="M1971" s="9" t="s">
        <v>714</v>
      </c>
      <c r="N1971" s="9" t="s">
        <v>50</v>
      </c>
      <c r="O1971" s="9" t="s">
        <v>51</v>
      </c>
      <c r="P1971" s="9" t="s">
        <v>715</v>
      </c>
      <c r="Q1971" s="9"/>
      <c r="R1971" s="9"/>
      <c r="S1971" s="14" t="s">
        <v>6957</v>
      </c>
      <c r="T1971" s="9" t="s">
        <v>6958</v>
      </c>
      <c r="U1971" s="9" t="s">
        <v>54</v>
      </c>
      <c r="V1971" s="9" t="s">
        <v>55</v>
      </c>
      <c r="W1971" s="9" t="s">
        <v>55</v>
      </c>
      <c r="X1971" s="12"/>
      <c r="Y1971" s="9" t="s">
        <v>55</v>
      </c>
      <c r="Z1971" s="13"/>
    </row>
    <row r="1972" spans="1:26" ht="32.25" hidden="1" customHeight="1">
      <c r="A1972" s="8">
        <v>2306818</v>
      </c>
      <c r="B1972" s="9" t="s">
        <v>6959</v>
      </c>
      <c r="C1972" s="10">
        <v>45149</v>
      </c>
      <c r="D1972" s="9" t="s">
        <v>57</v>
      </c>
      <c r="E1972" s="9" t="s">
        <v>41</v>
      </c>
      <c r="F1972" s="9" t="s">
        <v>42</v>
      </c>
      <c r="G1972" s="9" t="s">
        <v>43</v>
      </c>
      <c r="H1972" s="9" t="s">
        <v>58</v>
      </c>
      <c r="I1972" s="11" t="s">
        <v>199</v>
      </c>
      <c r="J1972" s="9" t="s">
        <v>200</v>
      </c>
      <c r="K1972" s="9" t="s">
        <v>47</v>
      </c>
      <c r="L1972" s="9" t="s">
        <v>156</v>
      </c>
      <c r="M1972" s="9"/>
      <c r="N1972" s="9" t="s">
        <v>50</v>
      </c>
      <c r="O1972" s="9" t="s">
        <v>51</v>
      </c>
      <c r="P1972" s="9"/>
      <c r="Q1972" s="9"/>
      <c r="R1972" s="9"/>
      <c r="S1972" s="14" t="s">
        <v>6960</v>
      </c>
      <c r="T1972" s="9" t="s">
        <v>6961</v>
      </c>
      <c r="U1972" s="9" t="s">
        <v>54</v>
      </c>
      <c r="V1972" s="9" t="s">
        <v>55</v>
      </c>
      <c r="W1972" s="9" t="s">
        <v>55</v>
      </c>
      <c r="X1972" s="12"/>
      <c r="Y1972" s="9" t="s">
        <v>55</v>
      </c>
      <c r="Z1972" s="13"/>
    </row>
    <row r="1973" spans="1:26" ht="32.25" hidden="1" customHeight="1">
      <c r="A1973" s="8">
        <v>2307480</v>
      </c>
      <c r="B1973" s="9" t="s">
        <v>6962</v>
      </c>
      <c r="C1973" s="10">
        <v>45149</v>
      </c>
      <c r="D1973" s="9" t="s">
        <v>57</v>
      </c>
      <c r="E1973" s="9" t="s">
        <v>41</v>
      </c>
      <c r="F1973" s="9" t="s">
        <v>42</v>
      </c>
      <c r="G1973" s="9" t="s">
        <v>43</v>
      </c>
      <c r="H1973" s="9" t="s">
        <v>58</v>
      </c>
      <c r="I1973" s="11" t="s">
        <v>45</v>
      </c>
      <c r="J1973" s="9" t="s">
        <v>46</v>
      </c>
      <c r="K1973" s="9" t="s">
        <v>47</v>
      </c>
      <c r="L1973" s="9" t="s">
        <v>3693</v>
      </c>
      <c r="M1973" s="9" t="s">
        <v>3694</v>
      </c>
      <c r="N1973" s="9" t="s">
        <v>50</v>
      </c>
      <c r="O1973" s="9" t="s">
        <v>51</v>
      </c>
      <c r="P1973" s="9"/>
      <c r="Q1973" s="9"/>
      <c r="R1973" s="9" t="s">
        <v>61</v>
      </c>
      <c r="S1973" s="14" t="s">
        <v>6963</v>
      </c>
      <c r="T1973" s="9" t="s">
        <v>6964</v>
      </c>
      <c r="U1973" s="9" t="s">
        <v>54</v>
      </c>
      <c r="V1973" s="9" t="s">
        <v>55</v>
      </c>
      <c r="W1973" s="9" t="s">
        <v>55</v>
      </c>
      <c r="X1973" s="9" t="s">
        <v>64</v>
      </c>
      <c r="Y1973" s="9" t="s">
        <v>65</v>
      </c>
      <c r="Z1973" s="13"/>
    </row>
    <row r="1974" spans="1:26" ht="32.25" hidden="1" customHeight="1">
      <c r="A1974" s="8">
        <v>2311549</v>
      </c>
      <c r="B1974" s="9" t="s">
        <v>6965</v>
      </c>
      <c r="C1974" s="10">
        <v>45156</v>
      </c>
      <c r="D1974" s="9" t="s">
        <v>79</v>
      </c>
      <c r="E1974" s="9" t="s">
        <v>153</v>
      </c>
      <c r="F1974" s="9" t="s">
        <v>80</v>
      </c>
      <c r="G1974" s="9" t="s">
        <v>43</v>
      </c>
      <c r="H1974" s="9" t="s">
        <v>44</v>
      </c>
      <c r="I1974" s="11" t="s">
        <v>1588</v>
      </c>
      <c r="J1974" s="9" t="s">
        <v>155</v>
      </c>
      <c r="K1974" s="9" t="s">
        <v>47</v>
      </c>
      <c r="L1974" s="9" t="s">
        <v>517</v>
      </c>
      <c r="M1974" s="9" t="s">
        <v>1413</v>
      </c>
      <c r="N1974" s="9" t="s">
        <v>84</v>
      </c>
      <c r="O1974" s="9" t="s">
        <v>51</v>
      </c>
      <c r="P1974" s="9" t="s">
        <v>2391</v>
      </c>
      <c r="Q1974" s="9"/>
      <c r="R1974" s="9" t="s">
        <v>61</v>
      </c>
      <c r="S1974" s="14" t="s">
        <v>6966</v>
      </c>
      <c r="T1974" s="9" t="s">
        <v>6967</v>
      </c>
      <c r="U1974" s="9" t="s">
        <v>54</v>
      </c>
      <c r="V1974" s="9" t="s">
        <v>331</v>
      </c>
      <c r="W1974" s="9" t="s">
        <v>115</v>
      </c>
      <c r="X1974" s="9" t="s">
        <v>64</v>
      </c>
      <c r="Y1974" s="9" t="s">
        <v>65</v>
      </c>
      <c r="Z1974" s="13"/>
    </row>
    <row r="1975" spans="1:26" ht="32.25" hidden="1" customHeight="1">
      <c r="A1975" s="8">
        <v>2304206</v>
      </c>
      <c r="B1975" s="9" t="s">
        <v>6968</v>
      </c>
      <c r="C1975" s="10">
        <v>45142</v>
      </c>
      <c r="D1975" s="9" t="s">
        <v>67</v>
      </c>
      <c r="E1975" s="9" t="s">
        <v>68</v>
      </c>
      <c r="F1975" s="9" t="s">
        <v>135</v>
      </c>
      <c r="G1975" s="9" t="s">
        <v>43</v>
      </c>
      <c r="H1975" s="9" t="s">
        <v>44</v>
      </c>
      <c r="I1975" s="11" t="s">
        <v>136</v>
      </c>
      <c r="J1975" s="9" t="s">
        <v>137</v>
      </c>
      <c r="K1975" s="9" t="s">
        <v>92</v>
      </c>
      <c r="L1975" s="9"/>
      <c r="M1975" s="9" t="s">
        <v>6969</v>
      </c>
      <c r="N1975" s="9" t="s">
        <v>50</v>
      </c>
      <c r="O1975" s="9" t="s">
        <v>51</v>
      </c>
      <c r="P1975" s="9"/>
      <c r="Q1975" s="9"/>
      <c r="R1975" s="9" t="s">
        <v>61</v>
      </c>
      <c r="S1975" s="9" t="s">
        <v>6738</v>
      </c>
      <c r="T1975" s="9" t="s">
        <v>1404</v>
      </c>
      <c r="U1975" s="9" t="s">
        <v>54</v>
      </c>
      <c r="V1975" s="9" t="s">
        <v>55</v>
      </c>
      <c r="W1975" s="9" t="s">
        <v>55</v>
      </c>
      <c r="X1975" s="12" t="s">
        <v>76</v>
      </c>
      <c r="Y1975" s="9" t="s">
        <v>77</v>
      </c>
      <c r="Z1975" s="13"/>
    </row>
    <row r="1976" spans="1:26" ht="32.25" hidden="1" customHeight="1">
      <c r="A1976" s="8">
        <v>2314813</v>
      </c>
      <c r="B1976" s="9" t="s">
        <v>6970</v>
      </c>
      <c r="C1976" s="10">
        <v>45156</v>
      </c>
      <c r="D1976" s="9" t="s">
        <v>79</v>
      </c>
      <c r="E1976" s="9" t="s">
        <v>68</v>
      </c>
      <c r="F1976" s="9" t="s">
        <v>80</v>
      </c>
      <c r="G1976" s="9" t="s">
        <v>43</v>
      </c>
      <c r="H1976" s="9" t="s">
        <v>44</v>
      </c>
      <c r="I1976" s="11" t="s">
        <v>696</v>
      </c>
      <c r="J1976" s="9" t="s">
        <v>70</v>
      </c>
      <c r="K1976" s="9" t="s">
        <v>416</v>
      </c>
      <c r="L1976" s="9" t="s">
        <v>6971</v>
      </c>
      <c r="M1976" s="9" t="s">
        <v>6972</v>
      </c>
      <c r="N1976" s="9" t="s">
        <v>50</v>
      </c>
      <c r="O1976" s="9" t="s">
        <v>51</v>
      </c>
      <c r="P1976" s="9" t="s">
        <v>698</v>
      </c>
      <c r="Q1976" s="9"/>
      <c r="R1976" s="9" t="s">
        <v>61</v>
      </c>
      <c r="S1976" s="14" t="s">
        <v>6973</v>
      </c>
      <c r="T1976" s="9" t="s">
        <v>6974</v>
      </c>
      <c r="U1976" s="9" t="s">
        <v>54</v>
      </c>
      <c r="V1976" s="9" t="s">
        <v>55</v>
      </c>
      <c r="W1976" s="9" t="s">
        <v>55</v>
      </c>
      <c r="X1976" s="12" t="s">
        <v>76</v>
      </c>
      <c r="Y1976" s="9" t="s">
        <v>77</v>
      </c>
      <c r="Z1976" s="13"/>
    </row>
    <row r="1977" spans="1:26" ht="32.25" hidden="1" customHeight="1">
      <c r="A1977" s="8">
        <v>2305419</v>
      </c>
      <c r="B1977" s="9" t="s">
        <v>6975</v>
      </c>
      <c r="C1977" s="10">
        <v>45149</v>
      </c>
      <c r="D1977" s="9" t="s">
        <v>57</v>
      </c>
      <c r="E1977" s="9" t="s">
        <v>295</v>
      </c>
      <c r="F1977" s="9" t="s">
        <v>42</v>
      </c>
      <c r="G1977" s="9" t="s">
        <v>43</v>
      </c>
      <c r="H1977" s="9" t="s">
        <v>58</v>
      </c>
      <c r="I1977" s="11" t="s">
        <v>406</v>
      </c>
      <c r="J1977" s="9" t="s">
        <v>407</v>
      </c>
      <c r="K1977" s="9" t="s">
        <v>47</v>
      </c>
      <c r="L1977" s="9" t="s">
        <v>48</v>
      </c>
      <c r="M1977" s="9"/>
      <c r="N1977" s="9" t="s">
        <v>50</v>
      </c>
      <c r="O1977" s="9" t="s">
        <v>51</v>
      </c>
      <c r="P1977" s="9"/>
      <c r="Q1977" s="9"/>
      <c r="R1977" s="9" t="s">
        <v>61</v>
      </c>
      <c r="S1977" s="14" t="s">
        <v>6976</v>
      </c>
      <c r="T1977" s="9" t="s">
        <v>6977</v>
      </c>
      <c r="U1977" s="9" t="s">
        <v>54</v>
      </c>
      <c r="V1977" s="9" t="s">
        <v>55</v>
      </c>
      <c r="W1977" s="9" t="s">
        <v>55</v>
      </c>
      <c r="X1977" s="9" t="s">
        <v>319</v>
      </c>
      <c r="Y1977" s="9" t="s">
        <v>320</v>
      </c>
      <c r="Z1977" s="13"/>
    </row>
    <row r="1978" spans="1:26" ht="32.25" hidden="1" customHeight="1">
      <c r="A1978" s="8">
        <v>2301831</v>
      </c>
      <c r="B1978" s="9" t="s">
        <v>6978</v>
      </c>
      <c r="C1978" s="10">
        <v>45149</v>
      </c>
      <c r="D1978" s="9" t="s">
        <v>57</v>
      </c>
      <c r="E1978" s="9" t="s">
        <v>153</v>
      </c>
      <c r="F1978" s="9" t="s">
        <v>42</v>
      </c>
      <c r="G1978" s="9" t="s">
        <v>43</v>
      </c>
      <c r="H1978" s="9" t="s">
        <v>58</v>
      </c>
      <c r="I1978" s="11" t="s">
        <v>154</v>
      </c>
      <c r="J1978" s="9" t="s">
        <v>155</v>
      </c>
      <c r="K1978" s="9" t="s">
        <v>47</v>
      </c>
      <c r="L1978" s="9" t="s">
        <v>48</v>
      </c>
      <c r="M1978" s="9" t="s">
        <v>6979</v>
      </c>
      <c r="N1978" s="9" t="s">
        <v>84</v>
      </c>
      <c r="O1978" s="9" t="s">
        <v>51</v>
      </c>
      <c r="P1978" s="9"/>
      <c r="Q1978" s="9"/>
      <c r="R1978" s="9" t="s">
        <v>61</v>
      </c>
      <c r="S1978" s="14" t="s">
        <v>6980</v>
      </c>
      <c r="T1978" s="9" t="s">
        <v>6981</v>
      </c>
      <c r="U1978" s="9" t="s">
        <v>54</v>
      </c>
      <c r="V1978" s="9" t="s">
        <v>55</v>
      </c>
      <c r="W1978" s="9" t="s">
        <v>55</v>
      </c>
      <c r="X1978" s="12" t="s">
        <v>171</v>
      </c>
      <c r="Y1978" s="9" t="s">
        <v>172</v>
      </c>
      <c r="Z1978" s="13"/>
    </row>
    <row r="1979" spans="1:26" ht="32.25" hidden="1" customHeight="1">
      <c r="A1979" s="8">
        <v>2315610</v>
      </c>
      <c r="B1979" s="9" t="s">
        <v>6982</v>
      </c>
      <c r="C1979" s="10">
        <v>45155</v>
      </c>
      <c r="D1979" s="9" t="s">
        <v>4969</v>
      </c>
      <c r="E1979" s="9" t="s">
        <v>41</v>
      </c>
      <c r="F1979" s="9" t="s">
        <v>42</v>
      </c>
      <c r="G1979" s="9" t="s">
        <v>43</v>
      </c>
      <c r="H1979" s="9" t="s">
        <v>44</v>
      </c>
      <c r="I1979" s="11" t="s">
        <v>1073</v>
      </c>
      <c r="J1979" s="9" t="s">
        <v>479</v>
      </c>
      <c r="K1979" s="9" t="s">
        <v>92</v>
      </c>
      <c r="L1979" s="9" t="s">
        <v>6983</v>
      </c>
      <c r="M1979" s="9"/>
      <c r="N1979" s="9" t="s">
        <v>50</v>
      </c>
      <c r="O1979" s="9" t="s">
        <v>187</v>
      </c>
      <c r="P1979" s="9"/>
      <c r="Q1979" s="9"/>
      <c r="R1979" s="9" t="s">
        <v>61</v>
      </c>
      <c r="S1979" s="14" t="s">
        <v>6984</v>
      </c>
      <c r="T1979" s="9" t="s">
        <v>6985</v>
      </c>
      <c r="U1979" s="9" t="s">
        <v>54</v>
      </c>
      <c r="V1979" s="9" t="s">
        <v>55</v>
      </c>
      <c r="W1979" s="9" t="s">
        <v>55</v>
      </c>
      <c r="X1979" s="9" t="s">
        <v>196</v>
      </c>
      <c r="Y1979" s="9" t="s">
        <v>197</v>
      </c>
      <c r="Z1979" s="13"/>
    </row>
    <row r="1980" spans="1:26" ht="32.25" hidden="1" customHeight="1">
      <c r="A1980" s="8">
        <v>2309749</v>
      </c>
      <c r="B1980" s="9" t="s">
        <v>6986</v>
      </c>
      <c r="C1980" s="10">
        <v>45142</v>
      </c>
      <c r="D1980" s="9" t="s">
        <v>67</v>
      </c>
      <c r="E1980" s="9" t="s">
        <v>41</v>
      </c>
      <c r="F1980" s="9" t="s">
        <v>42</v>
      </c>
      <c r="G1980" s="9" t="s">
        <v>43</v>
      </c>
      <c r="H1980" s="9" t="s">
        <v>44</v>
      </c>
      <c r="I1980" s="11" t="s">
        <v>661</v>
      </c>
      <c r="J1980" s="9" t="s">
        <v>662</v>
      </c>
      <c r="K1980" s="9" t="s">
        <v>47</v>
      </c>
      <c r="L1980" s="9" t="s">
        <v>290</v>
      </c>
      <c r="M1980" s="9" t="s">
        <v>1787</v>
      </c>
      <c r="N1980" s="9" t="s">
        <v>50</v>
      </c>
      <c r="O1980" s="9" t="s">
        <v>51</v>
      </c>
      <c r="P1980" s="9"/>
      <c r="Q1980" s="9"/>
      <c r="R1980" s="9" t="s">
        <v>61</v>
      </c>
      <c r="S1980" s="9" t="s">
        <v>6987</v>
      </c>
      <c r="T1980" s="9" t="s">
        <v>6988</v>
      </c>
      <c r="U1980" s="9" t="s">
        <v>54</v>
      </c>
      <c r="V1980" s="9" t="s">
        <v>55</v>
      </c>
      <c r="W1980" s="9" t="s">
        <v>55</v>
      </c>
      <c r="X1980" s="9" t="s">
        <v>64</v>
      </c>
      <c r="Y1980" s="9" t="s">
        <v>65</v>
      </c>
      <c r="Z1980" s="13"/>
    </row>
    <row r="1981" spans="1:26" ht="32.25" hidden="1" customHeight="1">
      <c r="A1981" s="8">
        <v>2312695</v>
      </c>
      <c r="B1981" s="9" t="s">
        <v>6989</v>
      </c>
      <c r="C1981" s="10">
        <v>45142</v>
      </c>
      <c r="D1981" s="9" t="s">
        <v>383</v>
      </c>
      <c r="E1981" s="9" t="s">
        <v>143</v>
      </c>
      <c r="F1981" s="9" t="s">
        <v>262</v>
      </c>
      <c r="G1981" s="9" t="s">
        <v>43</v>
      </c>
      <c r="H1981" s="9" t="s">
        <v>44</v>
      </c>
      <c r="I1981" s="11" t="s">
        <v>435</v>
      </c>
      <c r="J1981" s="9" t="s">
        <v>436</v>
      </c>
      <c r="K1981" s="9" t="s">
        <v>1022</v>
      </c>
      <c r="L1981" s="9"/>
      <c r="M1981" s="9" t="s">
        <v>3204</v>
      </c>
      <c r="N1981" s="9" t="s">
        <v>50</v>
      </c>
      <c r="O1981" s="9" t="s">
        <v>187</v>
      </c>
      <c r="P1981" s="9"/>
      <c r="Q1981" s="9"/>
      <c r="R1981" s="9" t="s">
        <v>61</v>
      </c>
      <c r="S1981" s="14" t="s">
        <v>13283</v>
      </c>
      <c r="T1981" s="9"/>
      <c r="U1981" s="9" t="s">
        <v>262</v>
      </c>
      <c r="V1981" s="9" t="s">
        <v>3207</v>
      </c>
      <c r="W1981" s="9" t="s">
        <v>115</v>
      </c>
      <c r="X1981" s="12" t="s">
        <v>76</v>
      </c>
      <c r="Y1981" s="9" t="s">
        <v>77</v>
      </c>
      <c r="Z1981" s="13" t="s">
        <v>1026</v>
      </c>
    </row>
    <row r="1982" spans="1:26" ht="32.25" hidden="1" customHeight="1">
      <c r="A1982" s="8">
        <v>2315318</v>
      </c>
      <c r="B1982" s="9" t="s">
        <v>6990</v>
      </c>
      <c r="C1982" s="10">
        <v>45152</v>
      </c>
      <c r="D1982" s="9" t="s">
        <v>639</v>
      </c>
      <c r="E1982" s="9" t="s">
        <v>295</v>
      </c>
      <c r="F1982" s="9" t="s">
        <v>80</v>
      </c>
      <c r="G1982" s="9" t="s">
        <v>43</v>
      </c>
      <c r="H1982" s="9" t="s">
        <v>44</v>
      </c>
      <c r="I1982" s="11" t="s">
        <v>1972</v>
      </c>
      <c r="J1982" s="9" t="s">
        <v>297</v>
      </c>
      <c r="K1982" s="9" t="s">
        <v>271</v>
      </c>
      <c r="L1982" s="9"/>
      <c r="M1982" s="9" t="s">
        <v>3627</v>
      </c>
      <c r="N1982" s="9" t="s">
        <v>84</v>
      </c>
      <c r="O1982" s="9" t="s">
        <v>187</v>
      </c>
      <c r="P1982" s="9" t="s">
        <v>6991</v>
      </c>
      <c r="Q1982" s="9"/>
      <c r="R1982" s="9" t="s">
        <v>61</v>
      </c>
      <c r="S1982" s="14" t="s">
        <v>6992</v>
      </c>
      <c r="T1982" s="9" t="s">
        <v>6993</v>
      </c>
      <c r="U1982" s="9" t="s">
        <v>54</v>
      </c>
      <c r="V1982" s="9" t="s">
        <v>55</v>
      </c>
      <c r="W1982" s="9" t="s">
        <v>55</v>
      </c>
      <c r="X1982" s="12" t="s">
        <v>319</v>
      </c>
      <c r="Y1982" s="9" t="s">
        <v>320</v>
      </c>
      <c r="Z1982" s="13"/>
    </row>
    <row r="1983" spans="1:26" ht="32.25" hidden="1" customHeight="1">
      <c r="A1983" s="8">
        <v>2315316</v>
      </c>
      <c r="B1983" s="9" t="s">
        <v>6994</v>
      </c>
      <c r="C1983" s="10">
        <v>45152</v>
      </c>
      <c r="D1983" s="9" t="s">
        <v>639</v>
      </c>
      <c r="E1983" s="9" t="s">
        <v>295</v>
      </c>
      <c r="F1983" s="9" t="s">
        <v>80</v>
      </c>
      <c r="G1983" s="9" t="s">
        <v>43</v>
      </c>
      <c r="H1983" s="9" t="s">
        <v>44</v>
      </c>
      <c r="I1983" s="11" t="s">
        <v>1600</v>
      </c>
      <c r="J1983" s="9" t="s">
        <v>407</v>
      </c>
      <c r="K1983" s="9" t="s">
        <v>271</v>
      </c>
      <c r="L1983" s="9"/>
      <c r="M1983" s="9" t="s">
        <v>3627</v>
      </c>
      <c r="N1983" s="9" t="s">
        <v>84</v>
      </c>
      <c r="O1983" s="9" t="s">
        <v>187</v>
      </c>
      <c r="P1983" s="9" t="s">
        <v>2906</v>
      </c>
      <c r="Q1983" s="9"/>
      <c r="R1983" s="9" t="s">
        <v>61</v>
      </c>
      <c r="S1983" s="14" t="s">
        <v>6995</v>
      </c>
      <c r="T1983" s="9" t="s">
        <v>6996</v>
      </c>
      <c r="U1983" s="9" t="s">
        <v>54</v>
      </c>
      <c r="V1983" s="9" t="s">
        <v>55</v>
      </c>
      <c r="W1983" s="9" t="s">
        <v>55</v>
      </c>
      <c r="X1983" s="12" t="s">
        <v>319</v>
      </c>
      <c r="Y1983" s="9" t="s">
        <v>320</v>
      </c>
      <c r="Z1983" s="13"/>
    </row>
    <row r="1984" spans="1:26" ht="32.25" hidden="1" customHeight="1">
      <c r="A1984" s="8">
        <v>2312652</v>
      </c>
      <c r="B1984" s="9" t="s">
        <v>6997</v>
      </c>
      <c r="C1984" s="10">
        <v>45142</v>
      </c>
      <c r="D1984" s="9" t="s">
        <v>1850</v>
      </c>
      <c r="E1984" s="9" t="s">
        <v>41</v>
      </c>
      <c r="F1984" s="9" t="s">
        <v>42</v>
      </c>
      <c r="G1984" s="9" t="s">
        <v>43</v>
      </c>
      <c r="H1984" s="9" t="s">
        <v>44</v>
      </c>
      <c r="I1984" s="11" t="s">
        <v>45</v>
      </c>
      <c r="J1984" s="9" t="s">
        <v>46</v>
      </c>
      <c r="K1984" s="9" t="s">
        <v>6998</v>
      </c>
      <c r="L1984" s="9" t="s">
        <v>156</v>
      </c>
      <c r="M1984" s="9"/>
      <c r="N1984" s="9" t="s">
        <v>50</v>
      </c>
      <c r="O1984" s="9" t="s">
        <v>187</v>
      </c>
      <c r="P1984" s="9"/>
      <c r="Q1984" s="9"/>
      <c r="R1984" s="9" t="s">
        <v>61</v>
      </c>
      <c r="S1984" s="9" t="s">
        <v>6999</v>
      </c>
      <c r="T1984" s="9"/>
      <c r="U1984" s="9" t="s">
        <v>54</v>
      </c>
      <c r="V1984" s="9" t="s">
        <v>55</v>
      </c>
      <c r="W1984" s="9" t="s">
        <v>55</v>
      </c>
      <c r="X1984" s="9" t="s">
        <v>64</v>
      </c>
      <c r="Y1984" s="9" t="s">
        <v>65</v>
      </c>
      <c r="Z1984" s="13"/>
    </row>
    <row r="1985" spans="1:26" ht="32.25" hidden="1" customHeight="1">
      <c r="A1985" s="8">
        <v>2307760</v>
      </c>
      <c r="B1985" s="9" t="s">
        <v>7000</v>
      </c>
      <c r="C1985" s="10">
        <v>45156</v>
      </c>
      <c r="D1985" s="9" t="s">
        <v>79</v>
      </c>
      <c r="E1985" s="9" t="s">
        <v>89</v>
      </c>
      <c r="F1985" s="9" t="s">
        <v>80</v>
      </c>
      <c r="G1985" s="9" t="s">
        <v>43</v>
      </c>
      <c r="H1985" s="9" t="s">
        <v>44</v>
      </c>
      <c r="I1985" s="11" t="s">
        <v>90</v>
      </c>
      <c r="J1985" s="9" t="s">
        <v>91</v>
      </c>
      <c r="K1985" s="9" t="s">
        <v>47</v>
      </c>
      <c r="L1985" s="9"/>
      <c r="M1985" s="9"/>
      <c r="N1985" s="9" t="s">
        <v>50</v>
      </c>
      <c r="O1985" s="9" t="s">
        <v>51</v>
      </c>
      <c r="P1985" s="9" t="s">
        <v>176</v>
      </c>
      <c r="Q1985" s="9"/>
      <c r="R1985" s="9" t="s">
        <v>61</v>
      </c>
      <c r="S1985" s="14" t="s">
        <v>7001</v>
      </c>
      <c r="T1985" s="9" t="s">
        <v>7002</v>
      </c>
      <c r="U1985" s="9" t="s">
        <v>54</v>
      </c>
      <c r="V1985" s="9" t="s">
        <v>55</v>
      </c>
      <c r="W1985" s="9" t="s">
        <v>55</v>
      </c>
      <c r="X1985" s="12" t="s">
        <v>171</v>
      </c>
      <c r="Y1985" s="9" t="s">
        <v>172</v>
      </c>
      <c r="Z1985" s="13" t="s">
        <v>7003</v>
      </c>
    </row>
    <row r="1986" spans="1:26" ht="32.25" hidden="1" customHeight="1">
      <c r="A1986" s="8">
        <v>2314638</v>
      </c>
      <c r="B1986" s="9" t="s">
        <v>7004</v>
      </c>
      <c r="C1986" s="10">
        <v>45156</v>
      </c>
      <c r="D1986" s="9" t="s">
        <v>79</v>
      </c>
      <c r="E1986" s="9" t="s">
        <v>68</v>
      </c>
      <c r="F1986" s="9" t="s">
        <v>80</v>
      </c>
      <c r="G1986" s="9" t="s">
        <v>43</v>
      </c>
      <c r="H1986" s="9" t="s">
        <v>44</v>
      </c>
      <c r="I1986" s="11" t="s">
        <v>117</v>
      </c>
      <c r="J1986" s="9" t="s">
        <v>118</v>
      </c>
      <c r="K1986" s="9" t="s">
        <v>92</v>
      </c>
      <c r="L1986" s="9"/>
      <c r="M1986" s="9"/>
      <c r="N1986" s="9" t="s">
        <v>50</v>
      </c>
      <c r="O1986" s="9" t="s">
        <v>51</v>
      </c>
      <c r="P1986" s="9" t="s">
        <v>285</v>
      </c>
      <c r="Q1986" s="9"/>
      <c r="R1986" s="9" t="s">
        <v>61</v>
      </c>
      <c r="S1986" s="14" t="s">
        <v>7005</v>
      </c>
      <c r="T1986" s="9" t="s">
        <v>7006</v>
      </c>
      <c r="U1986" s="9" t="s">
        <v>54</v>
      </c>
      <c r="V1986" s="9" t="s">
        <v>55</v>
      </c>
      <c r="W1986" s="9" t="s">
        <v>55</v>
      </c>
      <c r="X1986" s="12" t="s">
        <v>76</v>
      </c>
      <c r="Y1986" s="9" t="s">
        <v>77</v>
      </c>
      <c r="Z1986" s="13" t="s">
        <v>288</v>
      </c>
    </row>
    <row r="1987" spans="1:26" ht="32.25" hidden="1" customHeight="1">
      <c r="A1987" s="8">
        <v>2313454</v>
      </c>
      <c r="B1987" s="9" t="s">
        <v>7007</v>
      </c>
      <c r="C1987" s="10">
        <v>45142</v>
      </c>
      <c r="D1987" s="9" t="s">
        <v>67</v>
      </c>
      <c r="E1987" s="9" t="s">
        <v>68</v>
      </c>
      <c r="F1987" s="9" t="s">
        <v>135</v>
      </c>
      <c r="G1987" s="9" t="s">
        <v>43</v>
      </c>
      <c r="H1987" s="9" t="s">
        <v>44</v>
      </c>
      <c r="I1987" s="11" t="s">
        <v>3024</v>
      </c>
      <c r="J1987" s="9" t="s">
        <v>3025</v>
      </c>
      <c r="K1987" s="9" t="s">
        <v>47</v>
      </c>
      <c r="L1987" s="9" t="s">
        <v>2637</v>
      </c>
      <c r="M1987" s="9" t="s">
        <v>7008</v>
      </c>
      <c r="N1987" s="9" t="s">
        <v>84</v>
      </c>
      <c r="O1987" s="9" t="s">
        <v>51</v>
      </c>
      <c r="P1987" s="9"/>
      <c r="Q1987" s="9"/>
      <c r="R1987" s="9" t="s">
        <v>61</v>
      </c>
      <c r="S1987" s="9" t="s">
        <v>7009</v>
      </c>
      <c r="T1987" s="9" t="s">
        <v>7010</v>
      </c>
      <c r="U1987" s="9" t="s">
        <v>54</v>
      </c>
      <c r="V1987" s="9" t="s">
        <v>55</v>
      </c>
      <c r="W1987" s="9" t="s">
        <v>55</v>
      </c>
      <c r="X1987" s="12" t="s">
        <v>76</v>
      </c>
      <c r="Y1987" s="9" t="s">
        <v>77</v>
      </c>
      <c r="Z1987" s="13"/>
    </row>
    <row r="1988" spans="1:26" ht="32.25" hidden="1" customHeight="1">
      <c r="A1988" s="8">
        <v>2301329</v>
      </c>
      <c r="B1988" s="9" t="s">
        <v>7011</v>
      </c>
      <c r="C1988" s="10">
        <v>45156</v>
      </c>
      <c r="D1988" s="9" t="s">
        <v>79</v>
      </c>
      <c r="E1988" s="9" t="s">
        <v>41</v>
      </c>
      <c r="F1988" s="9" t="s">
        <v>80</v>
      </c>
      <c r="G1988" s="9" t="s">
        <v>43</v>
      </c>
      <c r="H1988" s="9" t="s">
        <v>44</v>
      </c>
      <c r="I1988" s="11" t="s">
        <v>233</v>
      </c>
      <c r="J1988" s="9" t="s">
        <v>200</v>
      </c>
      <c r="K1988" s="9" t="s">
        <v>47</v>
      </c>
      <c r="L1988" s="9" t="s">
        <v>156</v>
      </c>
      <c r="M1988" s="9"/>
      <c r="N1988" s="9" t="s">
        <v>50</v>
      </c>
      <c r="O1988" s="9" t="s">
        <v>51</v>
      </c>
      <c r="P1988" s="9" t="s">
        <v>865</v>
      </c>
      <c r="Q1988" s="9"/>
      <c r="R1988" s="9"/>
      <c r="S1988" s="14" t="s">
        <v>7012</v>
      </c>
      <c r="T1988" s="9" t="s">
        <v>7013</v>
      </c>
      <c r="U1988" s="9" t="s">
        <v>54</v>
      </c>
      <c r="V1988" s="9" t="s">
        <v>55</v>
      </c>
      <c r="W1988" s="9" t="s">
        <v>55</v>
      </c>
      <c r="X1988" s="12"/>
      <c r="Y1988" s="9" t="s">
        <v>55</v>
      </c>
      <c r="Z1988" s="13"/>
    </row>
    <row r="1989" spans="1:26" ht="32.25" hidden="1" customHeight="1">
      <c r="A1989" s="8">
        <v>2312800</v>
      </c>
      <c r="B1989" s="9" t="s">
        <v>7014</v>
      </c>
      <c r="C1989" s="10">
        <v>45156</v>
      </c>
      <c r="D1989" s="9" t="s">
        <v>79</v>
      </c>
      <c r="E1989" s="9" t="s">
        <v>89</v>
      </c>
      <c r="F1989" s="9" t="s">
        <v>80</v>
      </c>
      <c r="G1989" s="9" t="s">
        <v>43</v>
      </c>
      <c r="H1989" s="9" t="s">
        <v>44</v>
      </c>
      <c r="I1989" s="11" t="s">
        <v>101</v>
      </c>
      <c r="J1989" s="9" t="s">
        <v>102</v>
      </c>
      <c r="K1989" s="9" t="s">
        <v>47</v>
      </c>
      <c r="L1989" s="9" t="s">
        <v>777</v>
      </c>
      <c r="M1989" s="9" t="s">
        <v>7015</v>
      </c>
      <c r="N1989" s="9" t="s">
        <v>50</v>
      </c>
      <c r="O1989" s="9" t="s">
        <v>51</v>
      </c>
      <c r="P1989" s="9" t="s">
        <v>447</v>
      </c>
      <c r="Q1989" s="9"/>
      <c r="R1989" s="9"/>
      <c r="S1989" s="14" t="s">
        <v>7016</v>
      </c>
      <c r="T1989" s="9" t="s">
        <v>7017</v>
      </c>
      <c r="U1989" s="9" t="s">
        <v>54</v>
      </c>
      <c r="V1989" s="9" t="s">
        <v>55</v>
      </c>
      <c r="W1989" s="9" t="s">
        <v>55</v>
      </c>
      <c r="X1989" s="12"/>
      <c r="Y1989" s="9" t="s">
        <v>55</v>
      </c>
      <c r="Z1989" s="13"/>
    </row>
    <row r="1990" spans="1:26" ht="32.25" hidden="1" customHeight="1">
      <c r="A1990" s="8">
        <v>2306631</v>
      </c>
      <c r="B1990" s="9" t="s">
        <v>7018</v>
      </c>
      <c r="C1990" s="10">
        <v>45149</v>
      </c>
      <c r="D1990" s="9" t="s">
        <v>57</v>
      </c>
      <c r="E1990" s="9" t="s">
        <v>41</v>
      </c>
      <c r="F1990" s="9" t="s">
        <v>42</v>
      </c>
      <c r="G1990" s="9" t="s">
        <v>43</v>
      </c>
      <c r="H1990" s="9" t="s">
        <v>58</v>
      </c>
      <c r="I1990" s="11" t="s">
        <v>129</v>
      </c>
      <c r="J1990" s="9" t="s">
        <v>130</v>
      </c>
      <c r="K1990" s="9" t="s">
        <v>47</v>
      </c>
      <c r="L1990" s="9" t="s">
        <v>156</v>
      </c>
      <c r="M1990" s="9"/>
      <c r="N1990" s="9" t="s">
        <v>50</v>
      </c>
      <c r="O1990" s="9" t="s">
        <v>51</v>
      </c>
      <c r="P1990" s="9"/>
      <c r="Q1990" s="9"/>
      <c r="R1990" s="9"/>
      <c r="S1990" s="14" t="s">
        <v>7019</v>
      </c>
      <c r="T1990" s="9" t="s">
        <v>7020</v>
      </c>
      <c r="U1990" s="9" t="s">
        <v>54</v>
      </c>
      <c r="V1990" s="9" t="s">
        <v>55</v>
      </c>
      <c r="W1990" s="9" t="s">
        <v>55</v>
      </c>
      <c r="X1990" s="12"/>
      <c r="Y1990" s="9" t="s">
        <v>55</v>
      </c>
      <c r="Z1990" s="13"/>
    </row>
    <row r="1991" spans="1:26" ht="32.25" hidden="1" customHeight="1">
      <c r="A1991" s="8">
        <v>2308811</v>
      </c>
      <c r="B1991" s="9" t="s">
        <v>7021</v>
      </c>
      <c r="C1991" s="10">
        <v>45149</v>
      </c>
      <c r="D1991" s="9" t="s">
        <v>57</v>
      </c>
      <c r="E1991" s="9" t="s">
        <v>153</v>
      </c>
      <c r="F1991" s="9" t="s">
        <v>42</v>
      </c>
      <c r="G1991" s="9" t="s">
        <v>43</v>
      </c>
      <c r="H1991" s="9" t="s">
        <v>58</v>
      </c>
      <c r="I1991" s="11" t="s">
        <v>154</v>
      </c>
      <c r="J1991" s="9" t="s">
        <v>155</v>
      </c>
      <c r="K1991" s="9" t="s">
        <v>47</v>
      </c>
      <c r="L1991" s="9" t="s">
        <v>1040</v>
      </c>
      <c r="M1991" s="9" t="s">
        <v>1041</v>
      </c>
      <c r="N1991" s="9" t="s">
        <v>84</v>
      </c>
      <c r="O1991" s="9" t="s">
        <v>51</v>
      </c>
      <c r="P1991" s="9"/>
      <c r="Q1991" s="9"/>
      <c r="R1991" s="9" t="s">
        <v>61</v>
      </c>
      <c r="S1991" s="14" t="s">
        <v>7022</v>
      </c>
      <c r="T1991" s="9" t="s">
        <v>7023</v>
      </c>
      <c r="U1991" s="9" t="s">
        <v>54</v>
      </c>
      <c r="V1991" s="9" t="s">
        <v>55</v>
      </c>
      <c r="W1991" s="9" t="s">
        <v>55</v>
      </c>
      <c r="X1991" s="12" t="s">
        <v>171</v>
      </c>
      <c r="Y1991" s="9" t="s">
        <v>172</v>
      </c>
      <c r="Z1991" s="13"/>
    </row>
    <row r="1992" spans="1:26" ht="32.25" hidden="1" customHeight="1">
      <c r="A1992" s="8">
        <v>2300276</v>
      </c>
      <c r="B1992" s="9" t="s">
        <v>7024</v>
      </c>
      <c r="C1992" s="10">
        <v>45149</v>
      </c>
      <c r="D1992" s="9" t="s">
        <v>261</v>
      </c>
      <c r="E1992" s="9" t="s">
        <v>89</v>
      </c>
      <c r="F1992" s="9" t="s">
        <v>262</v>
      </c>
      <c r="G1992" s="9" t="s">
        <v>43</v>
      </c>
      <c r="H1992" s="9" t="s">
        <v>44</v>
      </c>
      <c r="I1992" s="11" t="s">
        <v>685</v>
      </c>
      <c r="J1992" s="9" t="s">
        <v>686</v>
      </c>
      <c r="K1992" s="9" t="s">
        <v>47</v>
      </c>
      <c r="L1992" s="9" t="s">
        <v>48</v>
      </c>
      <c r="M1992" s="9" t="s">
        <v>7025</v>
      </c>
      <c r="N1992" s="9" t="s">
        <v>84</v>
      </c>
      <c r="O1992" s="9" t="s">
        <v>51</v>
      </c>
      <c r="P1992" s="9"/>
      <c r="Q1992" s="9"/>
      <c r="R1992" s="9"/>
      <c r="S1992" s="14" t="s">
        <v>7026</v>
      </c>
      <c r="T1992" s="9" t="s">
        <v>7027</v>
      </c>
      <c r="U1992" s="9" t="s">
        <v>262</v>
      </c>
      <c r="V1992" s="9" t="s">
        <v>55</v>
      </c>
      <c r="W1992" s="9" t="s">
        <v>115</v>
      </c>
      <c r="X1992" s="12"/>
      <c r="Y1992" s="9" t="s">
        <v>55</v>
      </c>
      <c r="Z1992" s="13"/>
    </row>
    <row r="1993" spans="1:26" ht="32.25" hidden="1" customHeight="1">
      <c r="A1993" s="8">
        <v>2312419</v>
      </c>
      <c r="B1993" s="9" t="s">
        <v>7028</v>
      </c>
      <c r="C1993" s="10">
        <v>45149</v>
      </c>
      <c r="D1993" s="9" t="s">
        <v>261</v>
      </c>
      <c r="E1993" s="9" t="s">
        <v>143</v>
      </c>
      <c r="F1993" s="9" t="s">
        <v>262</v>
      </c>
      <c r="G1993" s="9" t="s">
        <v>43</v>
      </c>
      <c r="H1993" s="9" t="s">
        <v>44</v>
      </c>
      <c r="I1993" s="11" t="s">
        <v>1136</v>
      </c>
      <c r="J1993" s="9" t="s">
        <v>1137</v>
      </c>
      <c r="K1993" s="9" t="s">
        <v>47</v>
      </c>
      <c r="L1993" s="9" t="s">
        <v>156</v>
      </c>
      <c r="M1993" s="9"/>
      <c r="N1993" s="9" t="s">
        <v>50</v>
      </c>
      <c r="O1993" s="9" t="s">
        <v>51</v>
      </c>
      <c r="P1993" s="9"/>
      <c r="Q1993" s="9"/>
      <c r="R1993" s="9"/>
      <c r="S1993" s="14" t="s">
        <v>7029</v>
      </c>
      <c r="T1993" s="9" t="s">
        <v>7030</v>
      </c>
      <c r="U1993" s="9" t="s">
        <v>262</v>
      </c>
      <c r="V1993" s="9" t="s">
        <v>55</v>
      </c>
      <c r="W1993" s="9" t="s">
        <v>55</v>
      </c>
      <c r="X1993" s="12"/>
      <c r="Y1993" s="9" t="s">
        <v>55</v>
      </c>
      <c r="Z1993" s="13"/>
    </row>
    <row r="1994" spans="1:26" ht="32.25" hidden="1" customHeight="1">
      <c r="A1994" s="8">
        <v>2311290</v>
      </c>
      <c r="B1994" s="9" t="s">
        <v>7031</v>
      </c>
      <c r="C1994" s="10">
        <v>45149</v>
      </c>
      <c r="D1994" s="9" t="s">
        <v>57</v>
      </c>
      <c r="E1994" s="9" t="s">
        <v>41</v>
      </c>
      <c r="F1994" s="9" t="s">
        <v>42</v>
      </c>
      <c r="G1994" s="9" t="s">
        <v>43</v>
      </c>
      <c r="H1994" s="9" t="s">
        <v>58</v>
      </c>
      <c r="I1994" s="11" t="s">
        <v>1073</v>
      </c>
      <c r="J1994" s="9" t="s">
        <v>479</v>
      </c>
      <c r="K1994" s="9" t="s">
        <v>47</v>
      </c>
      <c r="L1994" s="9" t="s">
        <v>156</v>
      </c>
      <c r="M1994" s="9"/>
      <c r="N1994" s="9" t="s">
        <v>84</v>
      </c>
      <c r="O1994" s="9" t="s">
        <v>51</v>
      </c>
      <c r="P1994" s="9"/>
      <c r="Q1994" s="9"/>
      <c r="R1994" s="9"/>
      <c r="S1994" s="14" t="s">
        <v>7032</v>
      </c>
      <c r="T1994" s="9" t="s">
        <v>7033</v>
      </c>
      <c r="U1994" s="9" t="s">
        <v>54</v>
      </c>
      <c r="V1994" s="9" t="s">
        <v>55</v>
      </c>
      <c r="W1994" s="9" t="s">
        <v>55</v>
      </c>
      <c r="X1994" s="12"/>
      <c r="Y1994" s="9" t="s">
        <v>55</v>
      </c>
      <c r="Z1994" s="13"/>
    </row>
    <row r="1995" spans="1:26" ht="32.25" hidden="1" customHeight="1">
      <c r="A1995" s="8">
        <v>2314311</v>
      </c>
      <c r="B1995" s="9" t="s">
        <v>7034</v>
      </c>
      <c r="C1995" s="10">
        <v>45156</v>
      </c>
      <c r="D1995" s="9" t="s">
        <v>79</v>
      </c>
      <c r="E1995" s="9" t="s">
        <v>89</v>
      </c>
      <c r="F1995" s="9" t="s">
        <v>80</v>
      </c>
      <c r="G1995" s="9" t="s">
        <v>43</v>
      </c>
      <c r="H1995" s="9" t="s">
        <v>44</v>
      </c>
      <c r="I1995" s="11" t="s">
        <v>101</v>
      </c>
      <c r="J1995" s="9" t="s">
        <v>102</v>
      </c>
      <c r="K1995" s="9" t="s">
        <v>47</v>
      </c>
      <c r="L1995" s="9" t="s">
        <v>2632</v>
      </c>
      <c r="M1995" s="9" t="s">
        <v>3293</v>
      </c>
      <c r="N1995" s="9" t="s">
        <v>84</v>
      </c>
      <c r="O1995" s="9" t="s">
        <v>51</v>
      </c>
      <c r="P1995" s="9" t="s">
        <v>104</v>
      </c>
      <c r="Q1995" s="9"/>
      <c r="R1995" s="9" t="s">
        <v>61</v>
      </c>
      <c r="S1995" s="14" t="s">
        <v>7035</v>
      </c>
      <c r="T1995" s="9" t="s">
        <v>7036</v>
      </c>
      <c r="U1995" s="9" t="s">
        <v>54</v>
      </c>
      <c r="V1995" s="9" t="s">
        <v>55</v>
      </c>
      <c r="W1995" s="9" t="s">
        <v>55</v>
      </c>
      <c r="X1995" s="12" t="s">
        <v>98</v>
      </c>
      <c r="Y1995" s="9" t="s">
        <v>99</v>
      </c>
      <c r="Z1995" s="13"/>
    </row>
    <row r="1996" spans="1:26" ht="32.25" hidden="1" customHeight="1">
      <c r="A1996" s="8">
        <v>2302900</v>
      </c>
      <c r="B1996" s="9" t="s">
        <v>7037</v>
      </c>
      <c r="C1996" s="10">
        <v>45156</v>
      </c>
      <c r="D1996" s="9" t="s">
        <v>79</v>
      </c>
      <c r="E1996" s="9" t="s">
        <v>41</v>
      </c>
      <c r="F1996" s="9" t="s">
        <v>80</v>
      </c>
      <c r="G1996" s="9" t="s">
        <v>43</v>
      </c>
      <c r="H1996" s="9" t="s">
        <v>44</v>
      </c>
      <c r="I1996" s="11" t="s">
        <v>527</v>
      </c>
      <c r="J1996" s="9" t="s">
        <v>130</v>
      </c>
      <c r="K1996" s="9" t="s">
        <v>47</v>
      </c>
      <c r="L1996" s="9" t="s">
        <v>437</v>
      </c>
      <c r="M1996" s="9" t="s">
        <v>1707</v>
      </c>
      <c r="N1996" s="9" t="s">
        <v>84</v>
      </c>
      <c r="O1996" s="9" t="s">
        <v>51</v>
      </c>
      <c r="P1996" s="9" t="s">
        <v>529</v>
      </c>
      <c r="Q1996" s="9"/>
      <c r="R1996" s="9" t="s">
        <v>61</v>
      </c>
      <c r="S1996" s="14" t="s">
        <v>7038</v>
      </c>
      <c r="T1996" s="9" t="s">
        <v>7039</v>
      </c>
      <c r="U1996" s="9" t="s">
        <v>54</v>
      </c>
      <c r="V1996" s="9" t="s">
        <v>318</v>
      </c>
      <c r="W1996" s="9" t="s">
        <v>115</v>
      </c>
      <c r="X1996" s="12" t="s">
        <v>319</v>
      </c>
      <c r="Y1996" s="9" t="s">
        <v>320</v>
      </c>
      <c r="Z1996" s="13"/>
    </row>
    <row r="1997" spans="1:26" ht="32.25" hidden="1" customHeight="1">
      <c r="A1997" s="8">
        <v>2300462</v>
      </c>
      <c r="B1997" s="9" t="s">
        <v>7040</v>
      </c>
      <c r="C1997" s="10">
        <v>45156</v>
      </c>
      <c r="D1997" s="9" t="s">
        <v>565</v>
      </c>
      <c r="E1997" s="9" t="s">
        <v>295</v>
      </c>
      <c r="F1997" s="9" t="s">
        <v>42</v>
      </c>
      <c r="G1997" s="9" t="s">
        <v>43</v>
      </c>
      <c r="H1997" s="9" t="s">
        <v>58</v>
      </c>
      <c r="I1997" s="11" t="s">
        <v>296</v>
      </c>
      <c r="J1997" s="9" t="s">
        <v>297</v>
      </c>
      <c r="K1997" s="9" t="s">
        <v>47</v>
      </c>
      <c r="L1997" s="9" t="s">
        <v>863</v>
      </c>
      <c r="M1997" s="9" t="s">
        <v>1396</v>
      </c>
      <c r="N1997" s="9" t="s">
        <v>84</v>
      </c>
      <c r="O1997" s="9" t="s">
        <v>51</v>
      </c>
      <c r="P1997" s="9"/>
      <c r="Q1997" s="9"/>
      <c r="R1997" s="9" t="s">
        <v>61</v>
      </c>
      <c r="S1997" s="14" t="s">
        <v>7041</v>
      </c>
      <c r="T1997" s="9" t="s">
        <v>7042</v>
      </c>
      <c r="U1997" s="9" t="s">
        <v>54</v>
      </c>
      <c r="V1997" s="9" t="s">
        <v>55</v>
      </c>
      <c r="W1997" s="9" t="s">
        <v>55</v>
      </c>
      <c r="X1997" s="9" t="s">
        <v>319</v>
      </c>
      <c r="Y1997" s="9" t="s">
        <v>320</v>
      </c>
      <c r="Z1997" s="13"/>
    </row>
    <row r="1998" spans="1:26" ht="32.25" hidden="1" customHeight="1">
      <c r="A1998" s="8">
        <v>2315496</v>
      </c>
      <c r="B1998" s="9" t="s">
        <v>7043</v>
      </c>
      <c r="C1998" s="10">
        <v>45152</v>
      </c>
      <c r="D1998" s="9" t="s">
        <v>639</v>
      </c>
      <c r="E1998" s="9" t="s">
        <v>41</v>
      </c>
      <c r="F1998" s="9" t="s">
        <v>80</v>
      </c>
      <c r="G1998" s="9" t="s">
        <v>43</v>
      </c>
      <c r="H1998" s="9" t="s">
        <v>44</v>
      </c>
      <c r="I1998" s="11" t="s">
        <v>478</v>
      </c>
      <c r="J1998" s="9" t="s">
        <v>479</v>
      </c>
      <c r="K1998" s="9" t="s">
        <v>7044</v>
      </c>
      <c r="L1998" s="9"/>
      <c r="M1998" s="9" t="s">
        <v>7045</v>
      </c>
      <c r="N1998" s="9" t="s">
        <v>50</v>
      </c>
      <c r="O1998" s="9" t="s">
        <v>187</v>
      </c>
      <c r="P1998" s="9" t="s">
        <v>1414</v>
      </c>
      <c r="Q1998" s="9"/>
      <c r="R1998" s="9" t="s">
        <v>61</v>
      </c>
      <c r="S1998" s="14" t="s">
        <v>7046</v>
      </c>
      <c r="T1998" s="9" t="s">
        <v>7047</v>
      </c>
      <c r="U1998" s="9" t="s">
        <v>54</v>
      </c>
      <c r="V1998" s="9" t="s">
        <v>55</v>
      </c>
      <c r="W1998" s="9" t="s">
        <v>55</v>
      </c>
      <c r="X1998" s="12" t="s">
        <v>150</v>
      </c>
      <c r="Y1998" s="9" t="s">
        <v>151</v>
      </c>
      <c r="Z1998" s="13"/>
    </row>
    <row r="1999" spans="1:26" ht="32.25" hidden="1" customHeight="1">
      <c r="A1999" s="8">
        <v>2307173</v>
      </c>
      <c r="B1999" s="9" t="s">
        <v>7048</v>
      </c>
      <c r="C1999" s="10">
        <v>45142</v>
      </c>
      <c r="D1999" s="9" t="s">
        <v>67</v>
      </c>
      <c r="E1999" s="9" t="s">
        <v>89</v>
      </c>
      <c r="F1999" s="9" t="s">
        <v>42</v>
      </c>
      <c r="G1999" s="9" t="s">
        <v>43</v>
      </c>
      <c r="H1999" s="9" t="s">
        <v>44</v>
      </c>
      <c r="I1999" s="11" t="s">
        <v>360</v>
      </c>
      <c r="J1999" s="9" t="s">
        <v>102</v>
      </c>
      <c r="K1999" s="9" t="s">
        <v>416</v>
      </c>
      <c r="L1999" s="9"/>
      <c r="M1999" s="9"/>
      <c r="N1999" s="9" t="s">
        <v>84</v>
      </c>
      <c r="O1999" s="9" t="s">
        <v>51</v>
      </c>
      <c r="P1999" s="9" t="s">
        <v>361</v>
      </c>
      <c r="Q1999" s="9"/>
      <c r="R1999" s="9" t="s">
        <v>61</v>
      </c>
      <c r="S1999" s="9" t="s">
        <v>7049</v>
      </c>
      <c r="T1999" s="9" t="s">
        <v>7050</v>
      </c>
      <c r="U1999" s="9" t="s">
        <v>54</v>
      </c>
      <c r="V1999" s="9" t="s">
        <v>55</v>
      </c>
      <c r="W1999" s="9" t="s">
        <v>55</v>
      </c>
      <c r="X1999" s="12" t="s">
        <v>98</v>
      </c>
      <c r="Y1999" s="9" t="s">
        <v>99</v>
      </c>
      <c r="Z1999" s="13"/>
    </row>
    <row r="2000" spans="1:26" ht="32.25" hidden="1" customHeight="1">
      <c r="A2000" s="8">
        <v>2308694</v>
      </c>
      <c r="B2000" s="9" t="s">
        <v>7051</v>
      </c>
      <c r="C2000" s="10">
        <v>45149</v>
      </c>
      <c r="D2000" s="9" t="s">
        <v>261</v>
      </c>
      <c r="E2000" s="9" t="s">
        <v>89</v>
      </c>
      <c r="F2000" s="9" t="s">
        <v>262</v>
      </c>
      <c r="G2000" s="9" t="s">
        <v>43</v>
      </c>
      <c r="H2000" s="9" t="s">
        <v>44</v>
      </c>
      <c r="I2000" s="11" t="s">
        <v>685</v>
      </c>
      <c r="J2000" s="9" t="s">
        <v>686</v>
      </c>
      <c r="K2000" s="9" t="s">
        <v>47</v>
      </c>
      <c r="L2000" s="9" t="s">
        <v>156</v>
      </c>
      <c r="M2000" s="9"/>
      <c r="N2000" s="9" t="s">
        <v>50</v>
      </c>
      <c r="O2000" s="9" t="s">
        <v>51</v>
      </c>
      <c r="P2000" s="9"/>
      <c r="Q2000" s="9"/>
      <c r="R2000" s="9"/>
      <c r="S2000" s="14" t="s">
        <v>7052</v>
      </c>
      <c r="T2000" s="9" t="s">
        <v>7053</v>
      </c>
      <c r="U2000" s="9" t="s">
        <v>262</v>
      </c>
      <c r="V2000" s="9"/>
      <c r="W2000" s="9" t="s">
        <v>115</v>
      </c>
      <c r="X2000" s="12"/>
      <c r="Y2000" s="9" t="s">
        <v>55</v>
      </c>
      <c r="Z2000" s="13"/>
    </row>
    <row r="2001" spans="1:26" ht="32.25" hidden="1" customHeight="1">
      <c r="A2001" s="8">
        <v>2308202</v>
      </c>
      <c r="B2001" s="9" t="s">
        <v>7054</v>
      </c>
      <c r="C2001" s="10">
        <v>45142</v>
      </c>
      <c r="D2001" s="9" t="s">
        <v>67</v>
      </c>
      <c r="E2001" s="9" t="s">
        <v>143</v>
      </c>
      <c r="F2001" s="9" t="s">
        <v>42</v>
      </c>
      <c r="G2001" s="9" t="s">
        <v>43</v>
      </c>
      <c r="H2001" s="9" t="s">
        <v>44</v>
      </c>
      <c r="I2001" s="11" t="s">
        <v>144</v>
      </c>
      <c r="J2001" s="9" t="s">
        <v>145</v>
      </c>
      <c r="K2001" s="9" t="s">
        <v>47</v>
      </c>
      <c r="L2001" s="9" t="s">
        <v>1378</v>
      </c>
      <c r="M2001" s="9" t="s">
        <v>7055</v>
      </c>
      <c r="N2001" s="9" t="s">
        <v>84</v>
      </c>
      <c r="O2001" s="9" t="s">
        <v>51</v>
      </c>
      <c r="P2001" s="9" t="s">
        <v>147</v>
      </c>
      <c r="Q2001" s="9"/>
      <c r="R2001" s="9" t="s">
        <v>61</v>
      </c>
      <c r="S2001" s="9" t="s">
        <v>7056</v>
      </c>
      <c r="T2001" s="9" t="s">
        <v>7057</v>
      </c>
      <c r="U2001" s="9" t="s">
        <v>54</v>
      </c>
      <c r="V2001" s="9" t="s">
        <v>55</v>
      </c>
      <c r="W2001" s="9" t="s">
        <v>55</v>
      </c>
      <c r="X2001" s="12" t="s">
        <v>150</v>
      </c>
      <c r="Y2001" s="9" t="s">
        <v>151</v>
      </c>
      <c r="Z2001" s="13"/>
    </row>
    <row r="2002" spans="1:26" ht="32.25" hidden="1" customHeight="1">
      <c r="A2002" s="8">
        <v>2306421</v>
      </c>
      <c r="B2002" s="9" t="s">
        <v>7058</v>
      </c>
      <c r="C2002" s="10">
        <v>45149</v>
      </c>
      <c r="D2002" s="9" t="s">
        <v>57</v>
      </c>
      <c r="E2002" s="9" t="s">
        <v>295</v>
      </c>
      <c r="F2002" s="9" t="s">
        <v>42</v>
      </c>
      <c r="G2002" s="9" t="s">
        <v>43</v>
      </c>
      <c r="H2002" s="9" t="s">
        <v>58</v>
      </c>
      <c r="I2002" s="11" t="s">
        <v>406</v>
      </c>
      <c r="J2002" s="9" t="s">
        <v>407</v>
      </c>
      <c r="K2002" s="9" t="s">
        <v>47</v>
      </c>
      <c r="L2002" s="9" t="s">
        <v>156</v>
      </c>
      <c r="M2002" s="9"/>
      <c r="N2002" s="9" t="s">
        <v>84</v>
      </c>
      <c r="O2002" s="9" t="s">
        <v>51</v>
      </c>
      <c r="P2002" s="9"/>
      <c r="Q2002" s="9"/>
      <c r="R2002" s="9"/>
      <c r="S2002" s="14" t="s">
        <v>7059</v>
      </c>
      <c r="T2002" s="9" t="s">
        <v>7060</v>
      </c>
      <c r="U2002" s="9" t="s">
        <v>54</v>
      </c>
      <c r="V2002" s="9" t="s">
        <v>55</v>
      </c>
      <c r="W2002" s="9" t="s">
        <v>55</v>
      </c>
      <c r="X2002" s="12"/>
      <c r="Y2002" s="9" t="s">
        <v>55</v>
      </c>
      <c r="Z2002" s="13"/>
    </row>
    <row r="2003" spans="1:26" ht="32.25" hidden="1" customHeight="1">
      <c r="A2003" s="8">
        <v>2302178</v>
      </c>
      <c r="B2003" s="9" t="s">
        <v>7061</v>
      </c>
      <c r="C2003" s="10">
        <v>45149</v>
      </c>
      <c r="D2003" s="9" t="s">
        <v>57</v>
      </c>
      <c r="E2003" s="9" t="s">
        <v>153</v>
      </c>
      <c r="F2003" s="9" t="s">
        <v>42</v>
      </c>
      <c r="G2003" s="9" t="s">
        <v>43</v>
      </c>
      <c r="H2003" s="9" t="s">
        <v>58</v>
      </c>
      <c r="I2003" s="11" t="s">
        <v>154</v>
      </c>
      <c r="J2003" s="9" t="s">
        <v>155</v>
      </c>
      <c r="K2003" s="9" t="s">
        <v>47</v>
      </c>
      <c r="L2003" s="9" t="s">
        <v>156</v>
      </c>
      <c r="M2003" s="9"/>
      <c r="N2003" s="9" t="s">
        <v>84</v>
      </c>
      <c r="O2003" s="9" t="s">
        <v>51</v>
      </c>
      <c r="P2003" s="9"/>
      <c r="Q2003" s="9"/>
      <c r="R2003" s="9"/>
      <c r="S2003" s="14" t="s">
        <v>7062</v>
      </c>
      <c r="T2003" s="9" t="s">
        <v>7063</v>
      </c>
      <c r="U2003" s="9" t="s">
        <v>54</v>
      </c>
      <c r="V2003" s="9" t="s">
        <v>55</v>
      </c>
      <c r="W2003" s="9" t="s">
        <v>55</v>
      </c>
      <c r="X2003" s="12"/>
      <c r="Y2003" s="9" t="s">
        <v>55</v>
      </c>
      <c r="Z2003" s="13"/>
    </row>
    <row r="2004" spans="1:26" ht="32.25" hidden="1" customHeight="1">
      <c r="A2004" s="8">
        <v>2315199</v>
      </c>
      <c r="B2004" s="9" t="s">
        <v>7064</v>
      </c>
      <c r="C2004" s="10">
        <v>45156</v>
      </c>
      <c r="D2004" s="9" t="s">
        <v>565</v>
      </c>
      <c r="E2004" s="9" t="s">
        <v>41</v>
      </c>
      <c r="F2004" s="9" t="s">
        <v>42</v>
      </c>
      <c r="G2004" s="9" t="s">
        <v>43</v>
      </c>
      <c r="H2004" s="9" t="s">
        <v>58</v>
      </c>
      <c r="I2004" s="11" t="s">
        <v>45</v>
      </c>
      <c r="J2004" s="9" t="s">
        <v>46</v>
      </c>
      <c r="K2004" s="9" t="s">
        <v>47</v>
      </c>
      <c r="L2004" s="9" t="s">
        <v>221</v>
      </c>
      <c r="M2004" s="9" t="s">
        <v>7065</v>
      </c>
      <c r="N2004" s="9" t="s">
        <v>84</v>
      </c>
      <c r="O2004" s="9" t="s">
        <v>51</v>
      </c>
      <c r="P2004" s="9"/>
      <c r="Q2004" s="9"/>
      <c r="R2004" s="9" t="s">
        <v>61</v>
      </c>
      <c r="S2004" s="14" t="s">
        <v>7066</v>
      </c>
      <c r="T2004" s="9" t="s">
        <v>7067</v>
      </c>
      <c r="U2004" s="9" t="s">
        <v>54</v>
      </c>
      <c r="V2004" s="9" t="s">
        <v>55</v>
      </c>
      <c r="W2004" s="9" t="s">
        <v>55</v>
      </c>
      <c r="X2004" s="9" t="s">
        <v>196</v>
      </c>
      <c r="Y2004" s="9" t="s">
        <v>197</v>
      </c>
      <c r="Z2004" s="13"/>
    </row>
    <row r="2005" spans="1:26" ht="32.25" hidden="1" customHeight="1">
      <c r="A2005" s="8">
        <v>2300365</v>
      </c>
      <c r="B2005" s="9" t="s">
        <v>7068</v>
      </c>
      <c r="C2005" s="10">
        <v>45156</v>
      </c>
      <c r="D2005" s="9" t="s">
        <v>79</v>
      </c>
      <c r="E2005" s="9" t="s">
        <v>89</v>
      </c>
      <c r="F2005" s="9" t="s">
        <v>80</v>
      </c>
      <c r="G2005" s="9" t="s">
        <v>43</v>
      </c>
      <c r="H2005" s="9" t="s">
        <v>44</v>
      </c>
      <c r="I2005" s="11" t="s">
        <v>101</v>
      </c>
      <c r="J2005" s="9" t="s">
        <v>102</v>
      </c>
      <c r="K2005" s="9" t="s">
        <v>47</v>
      </c>
      <c r="L2005" s="9" t="s">
        <v>156</v>
      </c>
      <c r="M2005" s="9"/>
      <c r="N2005" s="9" t="s">
        <v>50</v>
      </c>
      <c r="O2005" s="9" t="s">
        <v>51</v>
      </c>
      <c r="P2005" s="9" t="s">
        <v>125</v>
      </c>
      <c r="Q2005" s="9"/>
      <c r="R2005" s="9"/>
      <c r="S2005" s="14" t="s">
        <v>7069</v>
      </c>
      <c r="T2005" s="9" t="s">
        <v>7070</v>
      </c>
      <c r="U2005" s="9" t="s">
        <v>54</v>
      </c>
      <c r="V2005" s="9" t="s">
        <v>55</v>
      </c>
      <c r="W2005" s="9" t="s">
        <v>115</v>
      </c>
      <c r="X2005" s="12"/>
      <c r="Y2005" s="9" t="s">
        <v>55</v>
      </c>
      <c r="Z2005" s="13"/>
    </row>
    <row r="2006" spans="1:26" ht="32.25" hidden="1" customHeight="1">
      <c r="A2006" s="8">
        <v>2304046</v>
      </c>
      <c r="B2006" s="9" t="s">
        <v>7071</v>
      </c>
      <c r="C2006" s="10">
        <v>45136</v>
      </c>
      <c r="D2006" s="9" t="s">
        <v>40</v>
      </c>
      <c r="E2006" s="9" t="s">
        <v>41</v>
      </c>
      <c r="F2006" s="9" t="s">
        <v>42</v>
      </c>
      <c r="G2006" s="9" t="s">
        <v>43</v>
      </c>
      <c r="H2006" s="9" t="s">
        <v>44</v>
      </c>
      <c r="I2006" s="11" t="s">
        <v>661</v>
      </c>
      <c r="J2006" s="9" t="s">
        <v>662</v>
      </c>
      <c r="K2006" s="9" t="s">
        <v>47</v>
      </c>
      <c r="L2006" s="9" t="s">
        <v>156</v>
      </c>
      <c r="M2006" s="9"/>
      <c r="N2006" s="9" t="s">
        <v>50</v>
      </c>
      <c r="O2006" s="9" t="s">
        <v>51</v>
      </c>
      <c r="P2006" s="9"/>
      <c r="Q2006" s="9"/>
      <c r="R2006" s="9"/>
      <c r="S2006" s="9" t="s">
        <v>7072</v>
      </c>
      <c r="T2006" s="9" t="s">
        <v>7073</v>
      </c>
      <c r="U2006" s="9" t="s">
        <v>54</v>
      </c>
      <c r="V2006" s="9" t="s">
        <v>55</v>
      </c>
      <c r="W2006" s="9" t="s">
        <v>55</v>
      </c>
      <c r="X2006" s="12"/>
      <c r="Y2006" s="9" t="s">
        <v>55</v>
      </c>
      <c r="Z2006" s="13"/>
    </row>
    <row r="2007" spans="1:26" ht="32.25" hidden="1" customHeight="1">
      <c r="A2007" s="8">
        <v>2300489</v>
      </c>
      <c r="B2007" s="9" t="s">
        <v>7074</v>
      </c>
      <c r="C2007" s="10">
        <v>45156</v>
      </c>
      <c r="D2007" s="9" t="s">
        <v>79</v>
      </c>
      <c r="E2007" s="9" t="s">
        <v>89</v>
      </c>
      <c r="F2007" s="9" t="s">
        <v>80</v>
      </c>
      <c r="G2007" s="9" t="s">
        <v>43</v>
      </c>
      <c r="H2007" s="9" t="s">
        <v>44</v>
      </c>
      <c r="I2007" s="11" t="s">
        <v>101</v>
      </c>
      <c r="J2007" s="9" t="s">
        <v>102</v>
      </c>
      <c r="K2007" s="9" t="s">
        <v>47</v>
      </c>
      <c r="L2007" s="9" t="s">
        <v>156</v>
      </c>
      <c r="M2007" s="9"/>
      <c r="N2007" s="9" t="s">
        <v>50</v>
      </c>
      <c r="O2007" s="9" t="s">
        <v>51</v>
      </c>
      <c r="P2007" s="9" t="s">
        <v>447</v>
      </c>
      <c r="Q2007" s="9"/>
      <c r="R2007" s="9"/>
      <c r="S2007" s="14" t="s">
        <v>7075</v>
      </c>
      <c r="T2007" s="9" t="s">
        <v>7076</v>
      </c>
      <c r="U2007" s="9" t="s">
        <v>54</v>
      </c>
      <c r="V2007" s="9" t="s">
        <v>55</v>
      </c>
      <c r="W2007" s="9" t="s">
        <v>115</v>
      </c>
      <c r="X2007" s="12"/>
      <c r="Y2007" s="9" t="s">
        <v>55</v>
      </c>
      <c r="Z2007" s="13"/>
    </row>
    <row r="2008" spans="1:26" ht="32.25" hidden="1" customHeight="1">
      <c r="A2008" s="8">
        <v>2300331</v>
      </c>
      <c r="B2008" s="9" t="s">
        <v>7077</v>
      </c>
      <c r="C2008" s="10">
        <v>45156</v>
      </c>
      <c r="D2008" s="9" t="s">
        <v>565</v>
      </c>
      <c r="E2008" s="9" t="s">
        <v>295</v>
      </c>
      <c r="F2008" s="9" t="s">
        <v>42</v>
      </c>
      <c r="G2008" s="9" t="s">
        <v>43</v>
      </c>
      <c r="H2008" s="9" t="s">
        <v>58</v>
      </c>
      <c r="I2008" s="11" t="s">
        <v>406</v>
      </c>
      <c r="J2008" s="9" t="s">
        <v>407</v>
      </c>
      <c r="K2008" s="9" t="s">
        <v>6848</v>
      </c>
      <c r="L2008" s="9" t="s">
        <v>7078</v>
      </c>
      <c r="M2008" s="9" t="s">
        <v>7079</v>
      </c>
      <c r="N2008" s="9" t="s">
        <v>50</v>
      </c>
      <c r="O2008" s="9" t="s">
        <v>51</v>
      </c>
      <c r="P2008" s="9"/>
      <c r="Q2008" s="9"/>
      <c r="R2008" s="9" t="s">
        <v>61</v>
      </c>
      <c r="S2008" s="14" t="s">
        <v>7080</v>
      </c>
      <c r="T2008" s="9" t="s">
        <v>7081</v>
      </c>
      <c r="U2008" s="9" t="s">
        <v>54</v>
      </c>
      <c r="V2008" s="9" t="s">
        <v>55</v>
      </c>
      <c r="W2008" s="9" t="s">
        <v>55</v>
      </c>
      <c r="X2008" s="9" t="s">
        <v>319</v>
      </c>
      <c r="Y2008" s="9" t="s">
        <v>320</v>
      </c>
      <c r="Z2008" s="13"/>
    </row>
    <row r="2009" spans="1:26" ht="32.25" hidden="1" customHeight="1">
      <c r="A2009" s="8">
        <v>2314980</v>
      </c>
      <c r="B2009" s="9" t="s">
        <v>7082</v>
      </c>
      <c r="C2009" s="10">
        <v>45156</v>
      </c>
      <c r="D2009" s="9" t="s">
        <v>79</v>
      </c>
      <c r="E2009" s="9" t="s">
        <v>143</v>
      </c>
      <c r="F2009" s="9" t="s">
        <v>80</v>
      </c>
      <c r="G2009" s="9" t="s">
        <v>43</v>
      </c>
      <c r="H2009" s="9" t="s">
        <v>44</v>
      </c>
      <c r="I2009" s="11" t="s">
        <v>326</v>
      </c>
      <c r="J2009" s="9" t="s">
        <v>327</v>
      </c>
      <c r="K2009" s="9" t="s">
        <v>47</v>
      </c>
      <c r="L2009" s="9" t="s">
        <v>2637</v>
      </c>
      <c r="M2009" s="9" t="s">
        <v>2638</v>
      </c>
      <c r="N2009" s="9" t="s">
        <v>50</v>
      </c>
      <c r="O2009" s="9" t="s">
        <v>51</v>
      </c>
      <c r="P2009" s="9" t="s">
        <v>654</v>
      </c>
      <c r="Q2009" s="9"/>
      <c r="R2009" s="9" t="s">
        <v>61</v>
      </c>
      <c r="S2009" s="14" t="s">
        <v>7083</v>
      </c>
      <c r="T2009" s="9" t="s">
        <v>7084</v>
      </c>
      <c r="U2009" s="9" t="s">
        <v>54</v>
      </c>
      <c r="V2009" s="9" t="s">
        <v>55</v>
      </c>
      <c r="W2009" s="9" t="s">
        <v>55</v>
      </c>
      <c r="X2009" s="12" t="s">
        <v>150</v>
      </c>
      <c r="Y2009" s="9" t="s">
        <v>151</v>
      </c>
      <c r="Z2009" s="13"/>
    </row>
    <row r="2010" spans="1:26" ht="32.25" hidden="1" customHeight="1">
      <c r="A2010" s="8">
        <v>2304858</v>
      </c>
      <c r="B2010" s="9" t="s">
        <v>7085</v>
      </c>
      <c r="C2010" s="10">
        <v>45142</v>
      </c>
      <c r="D2010" s="9" t="s">
        <v>67</v>
      </c>
      <c r="E2010" s="9" t="s">
        <v>153</v>
      </c>
      <c r="F2010" s="9" t="s">
        <v>42</v>
      </c>
      <c r="G2010" s="9" t="s">
        <v>43</v>
      </c>
      <c r="H2010" s="9" t="s">
        <v>44</v>
      </c>
      <c r="I2010" s="11" t="s">
        <v>154</v>
      </c>
      <c r="J2010" s="9" t="s">
        <v>155</v>
      </c>
      <c r="K2010" s="9" t="s">
        <v>47</v>
      </c>
      <c r="L2010" s="9" t="s">
        <v>156</v>
      </c>
      <c r="M2010" s="9"/>
      <c r="N2010" s="9" t="s">
        <v>84</v>
      </c>
      <c r="O2010" s="9" t="s">
        <v>51</v>
      </c>
      <c r="P2010" s="9"/>
      <c r="Q2010" s="9"/>
      <c r="R2010" s="9"/>
      <c r="S2010" s="9" t="s">
        <v>7086</v>
      </c>
      <c r="T2010" s="9" t="s">
        <v>7087</v>
      </c>
      <c r="U2010" s="9" t="s">
        <v>54</v>
      </c>
      <c r="V2010" s="9" t="s">
        <v>55</v>
      </c>
      <c r="W2010" s="9" t="s">
        <v>55</v>
      </c>
      <c r="X2010" s="12"/>
      <c r="Y2010" s="9" t="s">
        <v>55</v>
      </c>
      <c r="Z2010" s="13"/>
    </row>
    <row r="2011" spans="1:26" ht="32.25" hidden="1" customHeight="1">
      <c r="A2011" s="8">
        <v>2312269</v>
      </c>
      <c r="B2011" s="9" t="s">
        <v>7088</v>
      </c>
      <c r="C2011" s="10">
        <v>45156</v>
      </c>
      <c r="D2011" s="9" t="s">
        <v>79</v>
      </c>
      <c r="E2011" s="9" t="s">
        <v>89</v>
      </c>
      <c r="F2011" s="9" t="s">
        <v>80</v>
      </c>
      <c r="G2011" s="9" t="s">
        <v>43</v>
      </c>
      <c r="H2011" s="9" t="s">
        <v>44</v>
      </c>
      <c r="I2011" s="11" t="s">
        <v>117</v>
      </c>
      <c r="J2011" s="9" t="s">
        <v>118</v>
      </c>
      <c r="K2011" s="9" t="s">
        <v>92</v>
      </c>
      <c r="L2011" s="9"/>
      <c r="M2011" s="9"/>
      <c r="N2011" s="9" t="s">
        <v>50</v>
      </c>
      <c r="O2011" s="9" t="s">
        <v>51</v>
      </c>
      <c r="P2011" s="9" t="s">
        <v>121</v>
      </c>
      <c r="Q2011" s="9"/>
      <c r="R2011" s="9" t="s">
        <v>61</v>
      </c>
      <c r="S2011" s="14" t="s">
        <v>7089</v>
      </c>
      <c r="T2011" s="9" t="s">
        <v>7090</v>
      </c>
      <c r="U2011" s="9" t="s">
        <v>54</v>
      </c>
      <c r="V2011" s="9" t="s">
        <v>55</v>
      </c>
      <c r="W2011" s="9" t="s">
        <v>55</v>
      </c>
      <c r="X2011" s="12" t="s">
        <v>98</v>
      </c>
      <c r="Y2011" s="9" t="s">
        <v>99</v>
      </c>
      <c r="Z2011" s="13"/>
    </row>
    <row r="2012" spans="1:26" ht="32.25" hidden="1" customHeight="1">
      <c r="A2012" s="8">
        <v>2307741</v>
      </c>
      <c r="B2012" s="9" t="s">
        <v>7091</v>
      </c>
      <c r="C2012" s="10">
        <v>45142</v>
      </c>
      <c r="D2012" s="9" t="s">
        <v>67</v>
      </c>
      <c r="E2012" s="9" t="s">
        <v>68</v>
      </c>
      <c r="F2012" s="9" t="s">
        <v>135</v>
      </c>
      <c r="G2012" s="9" t="s">
        <v>43</v>
      </c>
      <c r="H2012" s="9" t="s">
        <v>44</v>
      </c>
      <c r="I2012" s="11" t="s">
        <v>3024</v>
      </c>
      <c r="J2012" s="9" t="s">
        <v>3025</v>
      </c>
      <c r="K2012" s="9" t="s">
        <v>110</v>
      </c>
      <c r="L2012" s="9" t="s">
        <v>7092</v>
      </c>
      <c r="M2012" s="9" t="s">
        <v>7093</v>
      </c>
      <c r="N2012" s="9" t="s">
        <v>50</v>
      </c>
      <c r="O2012" s="9" t="s">
        <v>51</v>
      </c>
      <c r="P2012" s="9"/>
      <c r="Q2012" s="9"/>
      <c r="R2012" s="9" t="s">
        <v>61</v>
      </c>
      <c r="S2012" s="9" t="s">
        <v>7094</v>
      </c>
      <c r="T2012" s="9" t="s">
        <v>7095</v>
      </c>
      <c r="U2012" s="9" t="s">
        <v>54</v>
      </c>
      <c r="V2012" s="9" t="s">
        <v>55</v>
      </c>
      <c r="W2012" s="9" t="s">
        <v>55</v>
      </c>
      <c r="X2012" s="12" t="s">
        <v>76</v>
      </c>
      <c r="Y2012" s="9" t="s">
        <v>77</v>
      </c>
      <c r="Z2012" s="13"/>
    </row>
    <row r="2013" spans="1:26" ht="32.25" hidden="1" customHeight="1">
      <c r="A2013" s="8">
        <v>2307924</v>
      </c>
      <c r="B2013" s="9" t="s">
        <v>7096</v>
      </c>
      <c r="C2013" s="10">
        <v>45142</v>
      </c>
      <c r="D2013" s="9" t="s">
        <v>67</v>
      </c>
      <c r="E2013" s="9" t="s">
        <v>68</v>
      </c>
      <c r="F2013" s="9" t="s">
        <v>135</v>
      </c>
      <c r="G2013" s="9" t="s">
        <v>43</v>
      </c>
      <c r="H2013" s="9" t="s">
        <v>44</v>
      </c>
      <c r="I2013" s="11" t="s">
        <v>136</v>
      </c>
      <c r="J2013" s="9" t="s">
        <v>137</v>
      </c>
      <c r="K2013" s="9" t="s">
        <v>92</v>
      </c>
      <c r="L2013" s="9" t="s">
        <v>7097</v>
      </c>
      <c r="M2013" s="9" t="s">
        <v>7098</v>
      </c>
      <c r="N2013" s="9" t="s">
        <v>50</v>
      </c>
      <c r="O2013" s="9" t="s">
        <v>51</v>
      </c>
      <c r="P2013" s="9"/>
      <c r="Q2013" s="9"/>
      <c r="R2013" s="9" t="s">
        <v>61</v>
      </c>
      <c r="S2013" s="9" t="s">
        <v>1403</v>
      </c>
      <c r="T2013" s="9" t="s">
        <v>1404</v>
      </c>
      <c r="U2013" s="9" t="s">
        <v>54</v>
      </c>
      <c r="V2013" s="9" t="s">
        <v>55</v>
      </c>
      <c r="W2013" s="9" t="s">
        <v>55</v>
      </c>
      <c r="X2013" s="12" t="s">
        <v>76</v>
      </c>
      <c r="Y2013" s="9" t="s">
        <v>77</v>
      </c>
      <c r="Z2013" s="13"/>
    </row>
    <row r="2014" spans="1:26" ht="32.25" hidden="1" customHeight="1">
      <c r="A2014" s="8">
        <v>2314879</v>
      </c>
      <c r="B2014" s="9" t="s">
        <v>7099</v>
      </c>
      <c r="C2014" s="10">
        <v>45156</v>
      </c>
      <c r="D2014" s="9" t="s">
        <v>79</v>
      </c>
      <c r="E2014" s="9" t="s">
        <v>41</v>
      </c>
      <c r="F2014" s="9" t="s">
        <v>80</v>
      </c>
      <c r="G2014" s="9" t="s">
        <v>43</v>
      </c>
      <c r="H2014" s="9" t="s">
        <v>44</v>
      </c>
      <c r="I2014" s="11" t="s">
        <v>81</v>
      </c>
      <c r="J2014" s="9" t="s">
        <v>46</v>
      </c>
      <c r="K2014" s="9" t="s">
        <v>92</v>
      </c>
      <c r="L2014" s="9"/>
      <c r="M2014" s="9" t="s">
        <v>103</v>
      </c>
      <c r="N2014" s="9" t="s">
        <v>50</v>
      </c>
      <c r="O2014" s="9" t="s">
        <v>51</v>
      </c>
      <c r="P2014" s="9" t="s">
        <v>582</v>
      </c>
      <c r="Q2014" s="9"/>
      <c r="R2014" s="9" t="s">
        <v>61</v>
      </c>
      <c r="S2014" s="14" t="s">
        <v>7005</v>
      </c>
      <c r="T2014" s="9" t="s">
        <v>7100</v>
      </c>
      <c r="U2014" s="9" t="s">
        <v>54</v>
      </c>
      <c r="V2014" s="9" t="s">
        <v>55</v>
      </c>
      <c r="W2014" s="9" t="s">
        <v>55</v>
      </c>
      <c r="X2014" s="9" t="s">
        <v>64</v>
      </c>
      <c r="Y2014" s="9" t="s">
        <v>65</v>
      </c>
      <c r="Z2014" s="13"/>
    </row>
    <row r="2015" spans="1:26" ht="32.25" hidden="1" customHeight="1">
      <c r="A2015" s="8">
        <v>2314338</v>
      </c>
      <c r="B2015" s="9" t="s">
        <v>7101</v>
      </c>
      <c r="C2015" s="10">
        <v>45156</v>
      </c>
      <c r="D2015" s="9" t="s">
        <v>79</v>
      </c>
      <c r="E2015" s="9" t="s">
        <v>89</v>
      </c>
      <c r="F2015" s="9" t="s">
        <v>80</v>
      </c>
      <c r="G2015" s="9" t="s">
        <v>43</v>
      </c>
      <c r="H2015" s="9" t="s">
        <v>44</v>
      </c>
      <c r="I2015" s="11" t="s">
        <v>90</v>
      </c>
      <c r="J2015" s="9" t="s">
        <v>91</v>
      </c>
      <c r="K2015" s="9" t="s">
        <v>92</v>
      </c>
      <c r="L2015" s="9"/>
      <c r="M2015" s="9" t="s">
        <v>3903</v>
      </c>
      <c r="N2015" s="9" t="s">
        <v>50</v>
      </c>
      <c r="O2015" s="9" t="s">
        <v>51</v>
      </c>
      <c r="P2015" s="9" t="s">
        <v>498</v>
      </c>
      <c r="Q2015" s="9"/>
      <c r="R2015" s="9" t="s">
        <v>61</v>
      </c>
      <c r="S2015" s="14" t="s">
        <v>7102</v>
      </c>
      <c r="T2015" s="9" t="s">
        <v>7103</v>
      </c>
      <c r="U2015" s="9" t="s">
        <v>54</v>
      </c>
      <c r="V2015" s="9" t="s">
        <v>55</v>
      </c>
      <c r="W2015" s="9" t="s">
        <v>55</v>
      </c>
      <c r="X2015" s="12" t="s">
        <v>98</v>
      </c>
      <c r="Y2015" s="9" t="s">
        <v>99</v>
      </c>
      <c r="Z2015" s="13"/>
    </row>
    <row r="2016" spans="1:26" ht="32.25" hidden="1" customHeight="1">
      <c r="A2016" s="8">
        <v>2309655</v>
      </c>
      <c r="B2016" s="9" t="s">
        <v>7104</v>
      </c>
      <c r="C2016" s="10">
        <v>45149</v>
      </c>
      <c r="D2016" s="9" t="s">
        <v>57</v>
      </c>
      <c r="E2016" s="9" t="s">
        <v>41</v>
      </c>
      <c r="F2016" s="9" t="s">
        <v>42</v>
      </c>
      <c r="G2016" s="9" t="s">
        <v>43</v>
      </c>
      <c r="H2016" s="9" t="s">
        <v>58</v>
      </c>
      <c r="I2016" s="11" t="s">
        <v>129</v>
      </c>
      <c r="J2016" s="9" t="s">
        <v>130</v>
      </c>
      <c r="K2016" s="9" t="s">
        <v>47</v>
      </c>
      <c r="L2016" s="9" t="s">
        <v>863</v>
      </c>
      <c r="M2016" s="9" t="s">
        <v>5254</v>
      </c>
      <c r="N2016" s="9" t="s">
        <v>84</v>
      </c>
      <c r="O2016" s="9" t="s">
        <v>51</v>
      </c>
      <c r="P2016" s="9"/>
      <c r="Q2016" s="9"/>
      <c r="R2016" s="9"/>
      <c r="S2016" s="14" t="s">
        <v>7105</v>
      </c>
      <c r="T2016" s="9" t="s">
        <v>7106</v>
      </c>
      <c r="U2016" s="9" t="s">
        <v>54</v>
      </c>
      <c r="V2016" s="9" t="s">
        <v>55</v>
      </c>
      <c r="W2016" s="9" t="s">
        <v>55</v>
      </c>
      <c r="X2016" s="12"/>
      <c r="Y2016" s="9" t="s">
        <v>55</v>
      </c>
      <c r="Z2016" s="13"/>
    </row>
    <row r="2017" spans="1:26" ht="32.25" hidden="1" customHeight="1">
      <c r="A2017" s="8">
        <v>2305862</v>
      </c>
      <c r="B2017" s="9" t="s">
        <v>7107</v>
      </c>
      <c r="C2017" s="10">
        <v>45136</v>
      </c>
      <c r="D2017" s="9" t="s">
        <v>40</v>
      </c>
      <c r="E2017" s="9" t="s">
        <v>41</v>
      </c>
      <c r="F2017" s="9" t="s">
        <v>42</v>
      </c>
      <c r="G2017" s="9" t="s">
        <v>43</v>
      </c>
      <c r="H2017" s="9" t="s">
        <v>44</v>
      </c>
      <c r="I2017" s="11" t="s">
        <v>129</v>
      </c>
      <c r="J2017" s="9" t="s">
        <v>130</v>
      </c>
      <c r="K2017" s="9" t="s">
        <v>47</v>
      </c>
      <c r="L2017" s="9" t="s">
        <v>226</v>
      </c>
      <c r="M2017" s="9" t="s">
        <v>7108</v>
      </c>
      <c r="N2017" s="9" t="s">
        <v>84</v>
      </c>
      <c r="O2017" s="9" t="s">
        <v>51</v>
      </c>
      <c r="P2017" s="9"/>
      <c r="Q2017" s="9"/>
      <c r="R2017" s="9" t="s">
        <v>61</v>
      </c>
      <c r="S2017" s="9" t="s">
        <v>7109</v>
      </c>
      <c r="T2017" s="9" t="s">
        <v>7110</v>
      </c>
      <c r="U2017" s="9" t="s">
        <v>54</v>
      </c>
      <c r="V2017" s="9" t="s">
        <v>55</v>
      </c>
      <c r="W2017" s="9" t="s">
        <v>55</v>
      </c>
      <c r="X2017" s="9" t="s">
        <v>319</v>
      </c>
      <c r="Y2017" s="9" t="s">
        <v>320</v>
      </c>
      <c r="Z2017" s="13" t="s">
        <v>230</v>
      </c>
    </row>
    <row r="2018" spans="1:26" ht="32.25" hidden="1" customHeight="1">
      <c r="A2018" s="8">
        <v>2311928</v>
      </c>
      <c r="B2018" s="9" t="s">
        <v>7111</v>
      </c>
      <c r="C2018" s="10">
        <v>45149</v>
      </c>
      <c r="D2018" s="9" t="s">
        <v>261</v>
      </c>
      <c r="E2018" s="9" t="s">
        <v>68</v>
      </c>
      <c r="F2018" s="9" t="s">
        <v>262</v>
      </c>
      <c r="G2018" s="9" t="s">
        <v>43</v>
      </c>
      <c r="H2018" s="9" t="s">
        <v>44</v>
      </c>
      <c r="I2018" s="11" t="s">
        <v>1338</v>
      </c>
      <c r="J2018" s="9" t="s">
        <v>1339</v>
      </c>
      <c r="K2018" s="9" t="s">
        <v>47</v>
      </c>
      <c r="L2018" s="9" t="s">
        <v>48</v>
      </c>
      <c r="M2018" s="9" t="s">
        <v>1166</v>
      </c>
      <c r="N2018" s="9" t="s">
        <v>50</v>
      </c>
      <c r="O2018" s="9" t="s">
        <v>51</v>
      </c>
      <c r="P2018" s="9"/>
      <c r="Q2018" s="9"/>
      <c r="R2018" s="9" t="s">
        <v>61</v>
      </c>
      <c r="S2018" s="14" t="s">
        <v>7112</v>
      </c>
      <c r="T2018" s="9" t="s">
        <v>7113</v>
      </c>
      <c r="U2018" s="9" t="s">
        <v>262</v>
      </c>
      <c r="V2018" s="9" t="s">
        <v>701</v>
      </c>
      <c r="W2018" s="9" t="s">
        <v>115</v>
      </c>
      <c r="X2018" s="12" t="s">
        <v>389</v>
      </c>
      <c r="Y2018" s="9" t="s">
        <v>390</v>
      </c>
      <c r="Z2018" s="13"/>
    </row>
    <row r="2019" spans="1:26" ht="32.25" hidden="1" customHeight="1">
      <c r="A2019" s="8">
        <v>2306185</v>
      </c>
      <c r="B2019" s="9" t="s">
        <v>7114</v>
      </c>
      <c r="C2019" s="10">
        <v>45149</v>
      </c>
      <c r="D2019" s="9" t="s">
        <v>261</v>
      </c>
      <c r="E2019" s="9" t="s">
        <v>143</v>
      </c>
      <c r="F2019" s="9" t="s">
        <v>262</v>
      </c>
      <c r="G2019" s="9" t="s">
        <v>43</v>
      </c>
      <c r="H2019" s="9" t="s">
        <v>44</v>
      </c>
      <c r="I2019" s="11" t="s">
        <v>1291</v>
      </c>
      <c r="J2019" s="9" t="s">
        <v>1292</v>
      </c>
      <c r="K2019" s="9" t="s">
        <v>47</v>
      </c>
      <c r="L2019" s="9" t="s">
        <v>340</v>
      </c>
      <c r="M2019" s="9" t="s">
        <v>1186</v>
      </c>
      <c r="N2019" s="9" t="s">
        <v>84</v>
      </c>
      <c r="O2019" s="9" t="s">
        <v>51</v>
      </c>
      <c r="P2019" s="9"/>
      <c r="Q2019" s="9"/>
      <c r="R2019" s="9" t="s">
        <v>61</v>
      </c>
      <c r="S2019" s="14" t="s">
        <v>7115</v>
      </c>
      <c r="T2019" s="9" t="s">
        <v>7116</v>
      </c>
      <c r="U2019" s="9" t="s">
        <v>262</v>
      </c>
      <c r="V2019" s="9" t="s">
        <v>251</v>
      </c>
      <c r="W2019" s="9" t="s">
        <v>115</v>
      </c>
      <c r="X2019" s="12" t="s">
        <v>389</v>
      </c>
      <c r="Y2019" s="9" t="s">
        <v>390</v>
      </c>
      <c r="Z2019" s="13"/>
    </row>
    <row r="2020" spans="1:26" ht="32.25" hidden="1" customHeight="1">
      <c r="A2020" s="8">
        <v>2305781</v>
      </c>
      <c r="B2020" s="9" t="s">
        <v>7117</v>
      </c>
      <c r="C2020" s="10">
        <v>45136</v>
      </c>
      <c r="D2020" s="9" t="s">
        <v>40</v>
      </c>
      <c r="E2020" s="9" t="s">
        <v>41</v>
      </c>
      <c r="F2020" s="9" t="s">
        <v>42</v>
      </c>
      <c r="G2020" s="9" t="s">
        <v>43</v>
      </c>
      <c r="H2020" s="9" t="s">
        <v>44</v>
      </c>
      <c r="I2020" s="11" t="s">
        <v>661</v>
      </c>
      <c r="J2020" s="9" t="s">
        <v>662</v>
      </c>
      <c r="K2020" s="9" t="s">
        <v>47</v>
      </c>
      <c r="L2020" s="9" t="s">
        <v>1992</v>
      </c>
      <c r="M2020" s="9" t="s">
        <v>1993</v>
      </c>
      <c r="N2020" s="9" t="s">
        <v>50</v>
      </c>
      <c r="O2020" s="9" t="s">
        <v>51</v>
      </c>
      <c r="P2020" s="9"/>
      <c r="Q2020" s="9"/>
      <c r="R2020" s="9" t="s">
        <v>61</v>
      </c>
      <c r="S2020" s="9" t="s">
        <v>7118</v>
      </c>
      <c r="T2020" s="9" t="s">
        <v>7119</v>
      </c>
      <c r="U2020" s="9" t="s">
        <v>54</v>
      </c>
      <c r="V2020" s="9" t="s">
        <v>55</v>
      </c>
      <c r="W2020" s="9" t="s">
        <v>55</v>
      </c>
      <c r="X2020" s="9" t="s">
        <v>64</v>
      </c>
      <c r="Y2020" s="9" t="s">
        <v>65</v>
      </c>
      <c r="Z2020" s="13"/>
    </row>
    <row r="2021" spans="1:26" ht="32.25" hidden="1" customHeight="1">
      <c r="A2021" s="8">
        <v>2307527</v>
      </c>
      <c r="B2021" s="9" t="s">
        <v>7120</v>
      </c>
      <c r="C2021" s="10">
        <v>45142</v>
      </c>
      <c r="D2021" s="9" t="s">
        <v>67</v>
      </c>
      <c r="E2021" s="9" t="s">
        <v>143</v>
      </c>
      <c r="F2021" s="9" t="s">
        <v>42</v>
      </c>
      <c r="G2021" s="9" t="s">
        <v>43</v>
      </c>
      <c r="H2021" s="9" t="s">
        <v>44</v>
      </c>
      <c r="I2021" s="11" t="s">
        <v>334</v>
      </c>
      <c r="J2021" s="9" t="s">
        <v>327</v>
      </c>
      <c r="K2021" s="9" t="s">
        <v>47</v>
      </c>
      <c r="L2021" s="9" t="s">
        <v>290</v>
      </c>
      <c r="M2021" s="9" t="s">
        <v>2611</v>
      </c>
      <c r="N2021" s="9" t="s">
        <v>84</v>
      </c>
      <c r="O2021" s="9" t="s">
        <v>51</v>
      </c>
      <c r="P2021" s="9" t="s">
        <v>336</v>
      </c>
      <c r="Q2021" s="9"/>
      <c r="R2021" s="9" t="s">
        <v>61</v>
      </c>
      <c r="S2021" s="9" t="s">
        <v>7121</v>
      </c>
      <c r="T2021" s="9" t="s">
        <v>7122</v>
      </c>
      <c r="U2021" s="9" t="s">
        <v>54</v>
      </c>
      <c r="V2021" s="9" t="s">
        <v>55</v>
      </c>
      <c r="W2021" s="9" t="s">
        <v>55</v>
      </c>
      <c r="X2021" s="12" t="s">
        <v>150</v>
      </c>
      <c r="Y2021" s="9" t="s">
        <v>151</v>
      </c>
      <c r="Z2021" s="13"/>
    </row>
    <row r="2022" spans="1:26" ht="32.25" hidden="1" customHeight="1">
      <c r="A2022" s="8">
        <v>2306771</v>
      </c>
      <c r="B2022" s="9" t="s">
        <v>7123</v>
      </c>
      <c r="C2022" s="10">
        <v>45149</v>
      </c>
      <c r="D2022" s="9" t="s">
        <v>57</v>
      </c>
      <c r="E2022" s="9" t="s">
        <v>41</v>
      </c>
      <c r="F2022" s="9" t="s">
        <v>42</v>
      </c>
      <c r="G2022" s="9" t="s">
        <v>43</v>
      </c>
      <c r="H2022" s="9" t="s">
        <v>58</v>
      </c>
      <c r="I2022" s="11" t="s">
        <v>45</v>
      </c>
      <c r="J2022" s="9" t="s">
        <v>46</v>
      </c>
      <c r="K2022" s="9" t="s">
        <v>47</v>
      </c>
      <c r="L2022" s="9" t="s">
        <v>156</v>
      </c>
      <c r="M2022" s="9"/>
      <c r="N2022" s="9" t="s">
        <v>84</v>
      </c>
      <c r="O2022" s="9" t="s">
        <v>51</v>
      </c>
      <c r="P2022" s="9"/>
      <c r="Q2022" s="9"/>
      <c r="R2022" s="9"/>
      <c r="S2022" s="14" t="s">
        <v>7124</v>
      </c>
      <c r="T2022" s="9" t="s">
        <v>7125</v>
      </c>
      <c r="U2022" s="9" t="s">
        <v>54</v>
      </c>
      <c r="V2022" s="9" t="s">
        <v>55</v>
      </c>
      <c r="W2022" s="9" t="s">
        <v>55</v>
      </c>
      <c r="X2022" s="12"/>
      <c r="Y2022" s="9" t="s">
        <v>55</v>
      </c>
      <c r="Z2022" s="13"/>
    </row>
    <row r="2023" spans="1:26" ht="32.25" hidden="1" customHeight="1">
      <c r="A2023" s="8">
        <v>2312608</v>
      </c>
      <c r="B2023" s="9" t="s">
        <v>7126</v>
      </c>
      <c r="C2023" s="10">
        <v>45149</v>
      </c>
      <c r="D2023" s="9" t="s">
        <v>261</v>
      </c>
      <c r="E2023" s="9" t="s">
        <v>143</v>
      </c>
      <c r="F2023" s="9" t="s">
        <v>262</v>
      </c>
      <c r="G2023" s="9" t="s">
        <v>43</v>
      </c>
      <c r="H2023" s="9" t="s">
        <v>44</v>
      </c>
      <c r="I2023" s="11" t="s">
        <v>1136</v>
      </c>
      <c r="J2023" s="9" t="s">
        <v>1137</v>
      </c>
      <c r="K2023" s="9" t="s">
        <v>47</v>
      </c>
      <c r="L2023" s="9" t="s">
        <v>156</v>
      </c>
      <c r="M2023" s="9"/>
      <c r="N2023" s="9" t="s">
        <v>50</v>
      </c>
      <c r="O2023" s="9" t="s">
        <v>51</v>
      </c>
      <c r="P2023" s="9"/>
      <c r="Q2023" s="9"/>
      <c r="R2023" s="9"/>
      <c r="S2023" s="14" t="s">
        <v>7127</v>
      </c>
      <c r="T2023" s="9" t="s">
        <v>7128</v>
      </c>
      <c r="U2023" s="9" t="s">
        <v>262</v>
      </c>
      <c r="V2023" s="9"/>
      <c r="W2023" s="9" t="s">
        <v>115</v>
      </c>
      <c r="X2023" s="12"/>
      <c r="Y2023" s="9" t="s">
        <v>55</v>
      </c>
      <c r="Z2023" s="13"/>
    </row>
    <row r="2024" spans="1:26" ht="32.25" hidden="1" customHeight="1">
      <c r="A2024" s="8">
        <v>2309954</v>
      </c>
      <c r="B2024" s="9" t="s">
        <v>7129</v>
      </c>
      <c r="C2024" s="10">
        <v>45142</v>
      </c>
      <c r="D2024" s="9" t="s">
        <v>67</v>
      </c>
      <c r="E2024" s="9" t="s">
        <v>143</v>
      </c>
      <c r="F2024" s="9" t="s">
        <v>42</v>
      </c>
      <c r="G2024" s="9" t="s">
        <v>43</v>
      </c>
      <c r="H2024" s="9" t="s">
        <v>44</v>
      </c>
      <c r="I2024" s="11" t="s">
        <v>144</v>
      </c>
      <c r="J2024" s="9" t="s">
        <v>145</v>
      </c>
      <c r="K2024" s="9" t="s">
        <v>47</v>
      </c>
      <c r="L2024" s="9" t="s">
        <v>1087</v>
      </c>
      <c r="M2024" s="9" t="s">
        <v>2089</v>
      </c>
      <c r="N2024" s="9" t="s">
        <v>50</v>
      </c>
      <c r="O2024" s="9" t="s">
        <v>51</v>
      </c>
      <c r="P2024" s="9" t="s">
        <v>147</v>
      </c>
      <c r="Q2024" s="9"/>
      <c r="R2024" s="9" t="s">
        <v>61</v>
      </c>
      <c r="S2024" s="9" t="s">
        <v>7130</v>
      </c>
      <c r="T2024" s="9" t="s">
        <v>7131</v>
      </c>
      <c r="U2024" s="9" t="s">
        <v>54</v>
      </c>
      <c r="V2024" s="9" t="s">
        <v>55</v>
      </c>
      <c r="W2024" s="9" t="s">
        <v>55</v>
      </c>
      <c r="X2024" s="12" t="s">
        <v>150</v>
      </c>
      <c r="Y2024" s="9" t="s">
        <v>151</v>
      </c>
      <c r="Z2024" s="13"/>
    </row>
    <row r="2025" spans="1:26" ht="32.25" hidden="1" customHeight="1">
      <c r="A2025" s="8">
        <v>2302353</v>
      </c>
      <c r="B2025" s="9" t="s">
        <v>7132</v>
      </c>
      <c r="C2025" s="10">
        <v>45136</v>
      </c>
      <c r="D2025" s="9" t="s">
        <v>1072</v>
      </c>
      <c r="E2025" s="9" t="s">
        <v>295</v>
      </c>
      <c r="F2025" s="9" t="s">
        <v>42</v>
      </c>
      <c r="G2025" s="9" t="s">
        <v>43</v>
      </c>
      <c r="H2025" s="9" t="s">
        <v>44</v>
      </c>
      <c r="I2025" s="11" t="s">
        <v>406</v>
      </c>
      <c r="J2025" s="9" t="s">
        <v>407</v>
      </c>
      <c r="K2025" s="9" t="s">
        <v>47</v>
      </c>
      <c r="L2025" s="9" t="s">
        <v>48</v>
      </c>
      <c r="M2025" s="9" t="s">
        <v>2011</v>
      </c>
      <c r="N2025" s="9" t="s">
        <v>84</v>
      </c>
      <c r="O2025" s="9" t="s">
        <v>51</v>
      </c>
      <c r="P2025" s="9"/>
      <c r="Q2025" s="9"/>
      <c r="R2025" s="9"/>
      <c r="S2025" s="9" t="s">
        <v>7133</v>
      </c>
      <c r="T2025" s="9" t="s">
        <v>7134</v>
      </c>
      <c r="U2025" s="9" t="s">
        <v>54</v>
      </c>
      <c r="V2025" s="9" t="s">
        <v>55</v>
      </c>
      <c r="W2025" s="9" t="s">
        <v>55</v>
      </c>
      <c r="X2025" s="12"/>
      <c r="Y2025" s="9" t="s">
        <v>55</v>
      </c>
      <c r="Z2025" s="13"/>
    </row>
    <row r="2026" spans="1:26" ht="32.25" hidden="1" customHeight="1">
      <c r="A2026" s="8">
        <v>2312685</v>
      </c>
      <c r="B2026" s="9" t="s">
        <v>7135</v>
      </c>
      <c r="C2026" s="10">
        <v>45149</v>
      </c>
      <c r="D2026" s="9" t="s">
        <v>261</v>
      </c>
      <c r="E2026" s="9" t="s">
        <v>295</v>
      </c>
      <c r="F2026" s="9" t="s">
        <v>262</v>
      </c>
      <c r="G2026" s="9" t="s">
        <v>43</v>
      </c>
      <c r="H2026" s="9" t="s">
        <v>44</v>
      </c>
      <c r="I2026" s="11" t="s">
        <v>893</v>
      </c>
      <c r="J2026" s="9" t="s">
        <v>894</v>
      </c>
      <c r="K2026" s="9" t="s">
        <v>47</v>
      </c>
      <c r="L2026" s="9" t="s">
        <v>156</v>
      </c>
      <c r="M2026" s="9"/>
      <c r="N2026" s="9" t="s">
        <v>50</v>
      </c>
      <c r="O2026" s="9" t="s">
        <v>51</v>
      </c>
      <c r="P2026" s="9"/>
      <c r="Q2026" s="9"/>
      <c r="R2026" s="9"/>
      <c r="S2026" s="14" t="s">
        <v>7136</v>
      </c>
      <c r="T2026" s="9" t="s">
        <v>7137</v>
      </c>
      <c r="U2026" s="9" t="s">
        <v>262</v>
      </c>
      <c r="V2026" s="9"/>
      <c r="W2026" s="9" t="s">
        <v>115</v>
      </c>
      <c r="X2026" s="12"/>
      <c r="Y2026" s="9" t="s">
        <v>55</v>
      </c>
      <c r="Z2026" s="13"/>
    </row>
    <row r="2027" spans="1:26" ht="32.25" hidden="1" customHeight="1">
      <c r="A2027" s="8">
        <v>2312491</v>
      </c>
      <c r="B2027" s="9" t="s">
        <v>7138</v>
      </c>
      <c r="C2027" s="10">
        <v>45149</v>
      </c>
      <c r="D2027" s="9" t="s">
        <v>261</v>
      </c>
      <c r="E2027" s="9" t="s">
        <v>89</v>
      </c>
      <c r="F2027" s="9" t="s">
        <v>262</v>
      </c>
      <c r="G2027" s="9" t="s">
        <v>43</v>
      </c>
      <c r="H2027" s="9" t="s">
        <v>44</v>
      </c>
      <c r="I2027" s="11" t="s">
        <v>1488</v>
      </c>
      <c r="J2027" s="9" t="s">
        <v>1489</v>
      </c>
      <c r="K2027" s="9" t="s">
        <v>47</v>
      </c>
      <c r="L2027" s="9" t="s">
        <v>156</v>
      </c>
      <c r="M2027" s="9"/>
      <c r="N2027" s="9" t="s">
        <v>50</v>
      </c>
      <c r="O2027" s="9" t="s">
        <v>51</v>
      </c>
      <c r="P2027" s="9"/>
      <c r="Q2027" s="9"/>
      <c r="R2027" s="9"/>
      <c r="S2027" s="14" t="s">
        <v>7139</v>
      </c>
      <c r="T2027" s="9" t="s">
        <v>7140</v>
      </c>
      <c r="U2027" s="9" t="s">
        <v>262</v>
      </c>
      <c r="V2027" s="9"/>
      <c r="W2027" s="9" t="s">
        <v>115</v>
      </c>
      <c r="X2027" s="12"/>
      <c r="Y2027" s="9" t="s">
        <v>55</v>
      </c>
      <c r="Z2027" s="13"/>
    </row>
    <row r="2028" spans="1:26" ht="32.25" hidden="1" customHeight="1">
      <c r="A2028" s="8">
        <v>2303860</v>
      </c>
      <c r="B2028" s="9" t="s">
        <v>7141</v>
      </c>
      <c r="C2028" s="10">
        <v>45156</v>
      </c>
      <c r="D2028" s="9" t="s">
        <v>79</v>
      </c>
      <c r="E2028" s="9" t="s">
        <v>153</v>
      </c>
      <c r="F2028" s="9" t="s">
        <v>80</v>
      </c>
      <c r="G2028" s="9" t="s">
        <v>43</v>
      </c>
      <c r="H2028" s="9" t="s">
        <v>44</v>
      </c>
      <c r="I2028" s="11" t="s">
        <v>1588</v>
      </c>
      <c r="J2028" s="9" t="s">
        <v>155</v>
      </c>
      <c r="K2028" s="9" t="s">
        <v>47</v>
      </c>
      <c r="L2028" s="9" t="s">
        <v>48</v>
      </c>
      <c r="M2028" s="9" t="s">
        <v>3148</v>
      </c>
      <c r="N2028" s="9" t="s">
        <v>84</v>
      </c>
      <c r="O2028" s="9" t="s">
        <v>51</v>
      </c>
      <c r="P2028" s="9" t="s">
        <v>2085</v>
      </c>
      <c r="Q2028" s="9"/>
      <c r="R2028" s="9" t="s">
        <v>61</v>
      </c>
      <c r="S2028" s="14" t="s">
        <v>7142</v>
      </c>
      <c r="T2028" s="9" t="s">
        <v>7143</v>
      </c>
      <c r="U2028" s="9" t="s">
        <v>54</v>
      </c>
      <c r="V2028" s="9" t="s">
        <v>331</v>
      </c>
      <c r="W2028" s="9" t="s">
        <v>115</v>
      </c>
      <c r="X2028" s="9" t="s">
        <v>64</v>
      </c>
      <c r="Y2028" s="9" t="s">
        <v>65</v>
      </c>
      <c r="Z2028" s="13"/>
    </row>
    <row r="2029" spans="1:26" ht="32.25" hidden="1" customHeight="1">
      <c r="A2029" s="8">
        <v>2310899</v>
      </c>
      <c r="B2029" s="9" t="s">
        <v>7144</v>
      </c>
      <c r="C2029" s="10">
        <v>45156</v>
      </c>
      <c r="D2029" s="9" t="s">
        <v>79</v>
      </c>
      <c r="E2029" s="9" t="s">
        <v>143</v>
      </c>
      <c r="F2029" s="9" t="s">
        <v>80</v>
      </c>
      <c r="G2029" s="9" t="s">
        <v>43</v>
      </c>
      <c r="H2029" s="9" t="s">
        <v>44</v>
      </c>
      <c r="I2029" s="11" t="s">
        <v>326</v>
      </c>
      <c r="J2029" s="9" t="s">
        <v>327</v>
      </c>
      <c r="K2029" s="9" t="s">
        <v>47</v>
      </c>
      <c r="L2029" s="9" t="s">
        <v>48</v>
      </c>
      <c r="M2029" s="9" t="s">
        <v>1116</v>
      </c>
      <c r="N2029" s="9" t="s">
        <v>50</v>
      </c>
      <c r="O2029" s="9" t="s">
        <v>51</v>
      </c>
      <c r="P2029" s="9" t="s">
        <v>1646</v>
      </c>
      <c r="Q2029" s="9"/>
      <c r="R2029" s="9"/>
      <c r="S2029" s="14" t="s">
        <v>7145</v>
      </c>
      <c r="T2029" s="9" t="s">
        <v>7146</v>
      </c>
      <c r="U2029" s="9" t="s">
        <v>54</v>
      </c>
      <c r="V2029" s="9" t="s">
        <v>55</v>
      </c>
      <c r="W2029" s="9" t="s">
        <v>55</v>
      </c>
      <c r="X2029" s="12"/>
      <c r="Y2029" s="9" t="s">
        <v>55</v>
      </c>
      <c r="Z2029" s="13"/>
    </row>
    <row r="2030" spans="1:26" ht="32.25" hidden="1" customHeight="1">
      <c r="A2030" s="8">
        <v>2307102</v>
      </c>
      <c r="B2030" s="9" t="s">
        <v>7147</v>
      </c>
      <c r="C2030" s="10">
        <v>45149</v>
      </c>
      <c r="D2030" s="9" t="s">
        <v>57</v>
      </c>
      <c r="E2030" s="9" t="s">
        <v>41</v>
      </c>
      <c r="F2030" s="9" t="s">
        <v>42</v>
      </c>
      <c r="G2030" s="9" t="s">
        <v>43</v>
      </c>
      <c r="H2030" s="9" t="s">
        <v>58</v>
      </c>
      <c r="I2030" s="11" t="s">
        <v>129</v>
      </c>
      <c r="J2030" s="9" t="s">
        <v>130</v>
      </c>
      <c r="K2030" s="9" t="s">
        <v>47</v>
      </c>
      <c r="L2030" s="9" t="s">
        <v>777</v>
      </c>
      <c r="M2030" s="9"/>
      <c r="N2030" s="9" t="s">
        <v>84</v>
      </c>
      <c r="O2030" s="9" t="s">
        <v>51</v>
      </c>
      <c r="P2030" s="9"/>
      <c r="Q2030" s="9"/>
      <c r="R2030" s="9"/>
      <c r="S2030" s="14" t="s">
        <v>7148</v>
      </c>
      <c r="T2030" s="9" t="s">
        <v>7149</v>
      </c>
      <c r="U2030" s="9" t="s">
        <v>54</v>
      </c>
      <c r="V2030" s="9" t="s">
        <v>55</v>
      </c>
      <c r="W2030" s="9" t="s">
        <v>55</v>
      </c>
      <c r="X2030" s="12"/>
      <c r="Y2030" s="9" t="s">
        <v>55</v>
      </c>
      <c r="Z2030" s="13"/>
    </row>
    <row r="2031" spans="1:26" ht="32.25" hidden="1" customHeight="1">
      <c r="A2031" s="8">
        <v>2304292</v>
      </c>
      <c r="B2031" s="9" t="s">
        <v>7150</v>
      </c>
      <c r="C2031" s="10">
        <v>45149</v>
      </c>
      <c r="D2031" s="9" t="s">
        <v>57</v>
      </c>
      <c r="E2031" s="9" t="s">
        <v>153</v>
      </c>
      <c r="F2031" s="9" t="s">
        <v>42</v>
      </c>
      <c r="G2031" s="9" t="s">
        <v>43</v>
      </c>
      <c r="H2031" s="9" t="s">
        <v>58</v>
      </c>
      <c r="I2031" s="11" t="s">
        <v>154</v>
      </c>
      <c r="J2031" s="9" t="s">
        <v>155</v>
      </c>
      <c r="K2031" s="9" t="s">
        <v>47</v>
      </c>
      <c r="L2031" s="9" t="s">
        <v>156</v>
      </c>
      <c r="M2031" s="9"/>
      <c r="N2031" s="9" t="s">
        <v>84</v>
      </c>
      <c r="O2031" s="9" t="s">
        <v>51</v>
      </c>
      <c r="P2031" s="9"/>
      <c r="Q2031" s="9"/>
      <c r="R2031" s="9"/>
      <c r="S2031" s="14" t="s">
        <v>7151</v>
      </c>
      <c r="T2031" s="9" t="s">
        <v>7152</v>
      </c>
      <c r="U2031" s="9" t="s">
        <v>54</v>
      </c>
      <c r="V2031" s="9" t="s">
        <v>55</v>
      </c>
      <c r="W2031" s="9" t="s">
        <v>55</v>
      </c>
      <c r="X2031" s="12"/>
      <c r="Y2031" s="9" t="s">
        <v>55</v>
      </c>
      <c r="Z2031" s="13"/>
    </row>
    <row r="2032" spans="1:26" ht="32.25" hidden="1" customHeight="1">
      <c r="A2032" s="8">
        <v>2315230</v>
      </c>
      <c r="B2032" s="9" t="s">
        <v>7153</v>
      </c>
      <c r="C2032" s="10">
        <v>45152</v>
      </c>
      <c r="D2032" s="9" t="s">
        <v>185</v>
      </c>
      <c r="E2032" s="9" t="s">
        <v>41</v>
      </c>
      <c r="F2032" s="9" t="s">
        <v>42</v>
      </c>
      <c r="G2032" s="9" t="s">
        <v>43</v>
      </c>
      <c r="H2032" s="9" t="s">
        <v>44</v>
      </c>
      <c r="I2032" s="11" t="s">
        <v>1073</v>
      </c>
      <c r="J2032" s="9" t="s">
        <v>479</v>
      </c>
      <c r="K2032" s="9" t="s">
        <v>7154</v>
      </c>
      <c r="L2032" s="9"/>
      <c r="M2032" s="9" t="s">
        <v>7155</v>
      </c>
      <c r="N2032" s="9" t="s">
        <v>50</v>
      </c>
      <c r="O2032" s="9" t="s">
        <v>187</v>
      </c>
      <c r="P2032" s="9"/>
      <c r="Q2032" s="9"/>
      <c r="R2032" s="9" t="s">
        <v>61</v>
      </c>
      <c r="S2032" s="14" t="s">
        <v>7156</v>
      </c>
      <c r="T2032" s="9" t="s">
        <v>7157</v>
      </c>
      <c r="U2032" s="9" t="s">
        <v>54</v>
      </c>
      <c r="V2032" s="9" t="s">
        <v>55</v>
      </c>
      <c r="W2032" s="9" t="s">
        <v>55</v>
      </c>
      <c r="X2032" s="9" t="s">
        <v>196</v>
      </c>
      <c r="Y2032" s="9" t="s">
        <v>197</v>
      </c>
      <c r="Z2032" s="13"/>
    </row>
    <row r="2033" spans="1:26" ht="32.25" hidden="1" customHeight="1">
      <c r="A2033" s="8">
        <v>2309258</v>
      </c>
      <c r="B2033" s="9" t="s">
        <v>7158</v>
      </c>
      <c r="C2033" s="10">
        <v>45149</v>
      </c>
      <c r="D2033" s="9" t="s">
        <v>261</v>
      </c>
      <c r="E2033" s="9" t="s">
        <v>143</v>
      </c>
      <c r="F2033" s="9" t="s">
        <v>262</v>
      </c>
      <c r="G2033" s="9" t="s">
        <v>43</v>
      </c>
      <c r="H2033" s="9" t="s">
        <v>44</v>
      </c>
      <c r="I2033" s="11" t="s">
        <v>384</v>
      </c>
      <c r="J2033" s="9" t="s">
        <v>385</v>
      </c>
      <c r="K2033" s="9" t="s">
        <v>47</v>
      </c>
      <c r="L2033" s="9" t="s">
        <v>827</v>
      </c>
      <c r="M2033" s="9" t="s">
        <v>828</v>
      </c>
      <c r="N2033" s="9" t="s">
        <v>50</v>
      </c>
      <c r="O2033" s="9" t="s">
        <v>51</v>
      </c>
      <c r="P2033" s="9"/>
      <c r="Q2033" s="9"/>
      <c r="R2033" s="9" t="s">
        <v>61</v>
      </c>
      <c r="S2033" s="14" t="s">
        <v>7159</v>
      </c>
      <c r="T2033" s="9" t="s">
        <v>7160</v>
      </c>
      <c r="U2033" s="9" t="s">
        <v>262</v>
      </c>
      <c r="V2033" s="9" t="s">
        <v>370</v>
      </c>
      <c r="W2033" s="9" t="s">
        <v>115</v>
      </c>
      <c r="X2033" s="12" t="s">
        <v>389</v>
      </c>
      <c r="Y2033" s="9" t="s">
        <v>390</v>
      </c>
      <c r="Z2033" s="13"/>
    </row>
    <row r="2034" spans="1:26" ht="32.25" hidden="1" customHeight="1">
      <c r="A2034" s="8">
        <v>2311764</v>
      </c>
      <c r="B2034" s="9" t="s">
        <v>7161</v>
      </c>
      <c r="C2034" s="10">
        <v>45156</v>
      </c>
      <c r="D2034" s="9" t="s">
        <v>2555</v>
      </c>
      <c r="E2034" s="9" t="s">
        <v>41</v>
      </c>
      <c r="F2034" s="9" t="s">
        <v>80</v>
      </c>
      <c r="G2034" s="9" t="s">
        <v>43</v>
      </c>
      <c r="H2034" s="9" t="s">
        <v>44</v>
      </c>
      <c r="I2034" s="11" t="s">
        <v>233</v>
      </c>
      <c r="J2034" s="9" t="s">
        <v>200</v>
      </c>
      <c r="K2034" s="9" t="s">
        <v>47</v>
      </c>
      <c r="L2034" s="9" t="s">
        <v>706</v>
      </c>
      <c r="M2034" s="9" t="s">
        <v>7162</v>
      </c>
      <c r="N2034" s="9" t="s">
        <v>50</v>
      </c>
      <c r="O2034" s="9" t="s">
        <v>51</v>
      </c>
      <c r="P2034" s="9" t="s">
        <v>443</v>
      </c>
      <c r="Q2034" s="9"/>
      <c r="R2034" s="9" t="s">
        <v>61</v>
      </c>
      <c r="S2034" s="14" t="s">
        <v>7163</v>
      </c>
      <c r="T2034" s="9" t="s">
        <v>7164</v>
      </c>
      <c r="U2034" s="9" t="s">
        <v>54</v>
      </c>
      <c r="V2034" s="9" t="s">
        <v>55</v>
      </c>
      <c r="W2034" s="9" t="s">
        <v>55</v>
      </c>
      <c r="X2034" s="9" t="s">
        <v>64</v>
      </c>
      <c r="Y2034" s="9" t="s">
        <v>65</v>
      </c>
      <c r="Z2034" s="13"/>
    </row>
    <row r="2035" spans="1:26" ht="32.25" hidden="1" customHeight="1">
      <c r="A2035" s="8">
        <v>2308884</v>
      </c>
      <c r="B2035" s="9" t="s">
        <v>7165</v>
      </c>
      <c r="C2035" s="10">
        <v>45149</v>
      </c>
      <c r="D2035" s="9" t="s">
        <v>57</v>
      </c>
      <c r="E2035" s="9" t="s">
        <v>41</v>
      </c>
      <c r="F2035" s="9" t="s">
        <v>42</v>
      </c>
      <c r="G2035" s="9" t="s">
        <v>43</v>
      </c>
      <c r="H2035" s="9" t="s">
        <v>58</v>
      </c>
      <c r="I2035" s="11" t="s">
        <v>661</v>
      </c>
      <c r="J2035" s="9" t="s">
        <v>662</v>
      </c>
      <c r="K2035" s="9" t="s">
        <v>47</v>
      </c>
      <c r="L2035" s="9" t="s">
        <v>517</v>
      </c>
      <c r="M2035" s="9" t="s">
        <v>7166</v>
      </c>
      <c r="N2035" s="9" t="s">
        <v>84</v>
      </c>
      <c r="O2035" s="9" t="s">
        <v>51</v>
      </c>
      <c r="P2035" s="9"/>
      <c r="Q2035" s="9"/>
      <c r="R2035" s="9" t="s">
        <v>61</v>
      </c>
      <c r="S2035" s="14" t="s">
        <v>7167</v>
      </c>
      <c r="T2035" s="9" t="s">
        <v>7168</v>
      </c>
      <c r="U2035" s="9" t="s">
        <v>54</v>
      </c>
      <c r="V2035" s="9" t="s">
        <v>55</v>
      </c>
      <c r="W2035" s="9" t="s">
        <v>55</v>
      </c>
      <c r="X2035" s="9" t="s">
        <v>64</v>
      </c>
      <c r="Y2035" s="9" t="s">
        <v>65</v>
      </c>
      <c r="Z2035" s="13"/>
    </row>
    <row r="2036" spans="1:26" ht="32.25" hidden="1" customHeight="1">
      <c r="A2036" s="8">
        <v>2304618</v>
      </c>
      <c r="B2036" s="9" t="s">
        <v>7169</v>
      </c>
      <c r="C2036" s="10">
        <v>45149</v>
      </c>
      <c r="D2036" s="9" t="s">
        <v>57</v>
      </c>
      <c r="E2036" s="9" t="s">
        <v>41</v>
      </c>
      <c r="F2036" s="9" t="s">
        <v>42</v>
      </c>
      <c r="G2036" s="9" t="s">
        <v>43</v>
      </c>
      <c r="H2036" s="9" t="s">
        <v>58</v>
      </c>
      <c r="I2036" s="11" t="s">
        <v>199</v>
      </c>
      <c r="J2036" s="9" t="s">
        <v>200</v>
      </c>
      <c r="K2036" s="9" t="s">
        <v>47</v>
      </c>
      <c r="L2036" s="9" t="s">
        <v>2729</v>
      </c>
      <c r="M2036" s="9" t="s">
        <v>4282</v>
      </c>
      <c r="N2036" s="9" t="s">
        <v>84</v>
      </c>
      <c r="O2036" s="9" t="s">
        <v>51</v>
      </c>
      <c r="P2036" s="9"/>
      <c r="Q2036" s="9"/>
      <c r="R2036" s="9" t="s">
        <v>61</v>
      </c>
      <c r="S2036" s="14" t="s">
        <v>7170</v>
      </c>
      <c r="T2036" s="9" t="s">
        <v>7171</v>
      </c>
      <c r="U2036" s="9" t="s">
        <v>54</v>
      </c>
      <c r="V2036" s="9" t="s">
        <v>55</v>
      </c>
      <c r="W2036" s="9" t="s">
        <v>55</v>
      </c>
      <c r="X2036" s="12" t="s">
        <v>196</v>
      </c>
      <c r="Y2036" s="9" t="s">
        <v>197</v>
      </c>
      <c r="Z2036" s="13"/>
    </row>
    <row r="2037" spans="1:26" ht="32.25" hidden="1" customHeight="1">
      <c r="A2037" s="8">
        <v>2310362</v>
      </c>
      <c r="B2037" s="9" t="s">
        <v>7172</v>
      </c>
      <c r="C2037" s="10">
        <v>45156</v>
      </c>
      <c r="D2037" s="9" t="s">
        <v>79</v>
      </c>
      <c r="E2037" s="9" t="s">
        <v>89</v>
      </c>
      <c r="F2037" s="9" t="s">
        <v>80</v>
      </c>
      <c r="G2037" s="9" t="s">
        <v>43</v>
      </c>
      <c r="H2037" s="9" t="s">
        <v>44</v>
      </c>
      <c r="I2037" s="11" t="s">
        <v>101</v>
      </c>
      <c r="J2037" s="9" t="s">
        <v>102</v>
      </c>
      <c r="K2037" s="9" t="s">
        <v>47</v>
      </c>
      <c r="L2037" s="9" t="s">
        <v>4719</v>
      </c>
      <c r="M2037" s="9" t="s">
        <v>7173</v>
      </c>
      <c r="N2037" s="9" t="s">
        <v>50</v>
      </c>
      <c r="O2037" s="9" t="s">
        <v>51</v>
      </c>
      <c r="P2037" s="9" t="s">
        <v>708</v>
      </c>
      <c r="Q2037" s="9"/>
      <c r="R2037" s="9" t="s">
        <v>61</v>
      </c>
      <c r="S2037" s="14" t="s">
        <v>7174</v>
      </c>
      <c r="T2037" s="9" t="s">
        <v>7175</v>
      </c>
      <c r="U2037" s="9" t="s">
        <v>54</v>
      </c>
      <c r="V2037" s="9" t="s">
        <v>55</v>
      </c>
      <c r="W2037" s="9" t="s">
        <v>55</v>
      </c>
      <c r="X2037" s="12" t="s">
        <v>98</v>
      </c>
      <c r="Y2037" s="9" t="s">
        <v>99</v>
      </c>
      <c r="Z2037" s="13"/>
    </row>
    <row r="2038" spans="1:26" ht="32.25" hidden="1" customHeight="1">
      <c r="A2038" s="8">
        <v>2303886</v>
      </c>
      <c r="B2038" s="9" t="s">
        <v>7176</v>
      </c>
      <c r="C2038" s="10">
        <v>45156</v>
      </c>
      <c r="D2038" s="9" t="s">
        <v>79</v>
      </c>
      <c r="E2038" s="9" t="s">
        <v>153</v>
      </c>
      <c r="F2038" s="9" t="s">
        <v>80</v>
      </c>
      <c r="G2038" s="9" t="s">
        <v>43</v>
      </c>
      <c r="H2038" s="9" t="s">
        <v>44</v>
      </c>
      <c r="I2038" s="11" t="s">
        <v>1588</v>
      </c>
      <c r="J2038" s="9" t="s">
        <v>155</v>
      </c>
      <c r="K2038" s="9" t="s">
        <v>47</v>
      </c>
      <c r="L2038" s="9" t="s">
        <v>741</v>
      </c>
      <c r="M2038" s="9" t="s">
        <v>3726</v>
      </c>
      <c r="N2038" s="9" t="s">
        <v>50</v>
      </c>
      <c r="O2038" s="9" t="s">
        <v>51</v>
      </c>
      <c r="P2038" s="9" t="s">
        <v>2391</v>
      </c>
      <c r="Q2038" s="9"/>
      <c r="R2038" s="9" t="s">
        <v>61</v>
      </c>
      <c r="S2038" s="14" t="s">
        <v>7177</v>
      </c>
      <c r="T2038" s="9" t="s">
        <v>7178</v>
      </c>
      <c r="U2038" s="9" t="s">
        <v>54</v>
      </c>
      <c r="V2038" s="9" t="s">
        <v>331</v>
      </c>
      <c r="W2038" s="9" t="s">
        <v>115</v>
      </c>
      <c r="X2038" s="9" t="s">
        <v>64</v>
      </c>
      <c r="Y2038" s="9" t="s">
        <v>65</v>
      </c>
      <c r="Z2038" s="13"/>
    </row>
    <row r="2039" spans="1:26" ht="32.25" hidden="1" customHeight="1">
      <c r="A2039" s="8">
        <v>2307842</v>
      </c>
      <c r="B2039" s="9" t="s">
        <v>7179</v>
      </c>
      <c r="C2039" s="10">
        <v>45156</v>
      </c>
      <c r="D2039" s="9" t="s">
        <v>79</v>
      </c>
      <c r="E2039" s="9" t="s">
        <v>143</v>
      </c>
      <c r="F2039" s="9" t="s">
        <v>80</v>
      </c>
      <c r="G2039" s="9" t="s">
        <v>43</v>
      </c>
      <c r="H2039" s="9" t="s">
        <v>44</v>
      </c>
      <c r="I2039" s="11" t="s">
        <v>326</v>
      </c>
      <c r="J2039" s="9" t="s">
        <v>327</v>
      </c>
      <c r="K2039" s="9" t="s">
        <v>47</v>
      </c>
      <c r="L2039" s="9" t="s">
        <v>598</v>
      </c>
      <c r="M2039" s="9" t="s">
        <v>599</v>
      </c>
      <c r="N2039" s="9" t="s">
        <v>50</v>
      </c>
      <c r="O2039" s="9" t="s">
        <v>51</v>
      </c>
      <c r="P2039" s="9" t="s">
        <v>1238</v>
      </c>
      <c r="Q2039" s="9"/>
      <c r="R2039" s="9" t="s">
        <v>61</v>
      </c>
      <c r="S2039" s="14" t="s">
        <v>7180</v>
      </c>
      <c r="T2039" s="9" t="s">
        <v>7181</v>
      </c>
      <c r="U2039" s="9" t="s">
        <v>54</v>
      </c>
      <c r="V2039" s="9" t="s">
        <v>370</v>
      </c>
      <c r="W2039" s="9" t="s">
        <v>115</v>
      </c>
      <c r="X2039" s="12" t="s">
        <v>150</v>
      </c>
      <c r="Y2039" s="9" t="s">
        <v>151</v>
      </c>
      <c r="Z2039" s="13"/>
    </row>
    <row r="2040" spans="1:26" ht="32.25" hidden="1" customHeight="1">
      <c r="A2040" s="8">
        <v>2309076</v>
      </c>
      <c r="B2040" s="9" t="s">
        <v>7182</v>
      </c>
      <c r="C2040" s="10">
        <v>45142</v>
      </c>
      <c r="D2040" s="9" t="s">
        <v>67</v>
      </c>
      <c r="E2040" s="9" t="s">
        <v>68</v>
      </c>
      <c r="F2040" s="9" t="s">
        <v>135</v>
      </c>
      <c r="G2040" s="9" t="s">
        <v>43</v>
      </c>
      <c r="H2040" s="9" t="s">
        <v>44</v>
      </c>
      <c r="I2040" s="11" t="s">
        <v>136</v>
      </c>
      <c r="J2040" s="9" t="s">
        <v>137</v>
      </c>
      <c r="K2040" s="9" t="s">
        <v>47</v>
      </c>
      <c r="L2040" s="9" t="s">
        <v>411</v>
      </c>
      <c r="M2040" s="9" t="s">
        <v>412</v>
      </c>
      <c r="N2040" s="9" t="s">
        <v>50</v>
      </c>
      <c r="O2040" s="9" t="s">
        <v>51</v>
      </c>
      <c r="P2040" s="9"/>
      <c r="Q2040" s="9"/>
      <c r="R2040" s="9" t="s">
        <v>61</v>
      </c>
      <c r="S2040" s="9" t="s">
        <v>7183</v>
      </c>
      <c r="T2040" s="9" t="s">
        <v>7184</v>
      </c>
      <c r="U2040" s="9" t="s">
        <v>54</v>
      </c>
      <c r="V2040" s="9" t="s">
        <v>55</v>
      </c>
      <c r="W2040" s="9" t="s">
        <v>55</v>
      </c>
      <c r="X2040" s="12" t="s">
        <v>76</v>
      </c>
      <c r="Y2040" s="9" t="s">
        <v>77</v>
      </c>
      <c r="Z2040" s="13" t="s">
        <v>7185</v>
      </c>
    </row>
    <row r="2041" spans="1:26" ht="32.25" hidden="1" customHeight="1">
      <c r="A2041" s="8">
        <v>2306897</v>
      </c>
      <c r="B2041" s="9" t="s">
        <v>7186</v>
      </c>
      <c r="C2041" s="10">
        <v>45149</v>
      </c>
      <c r="D2041" s="9" t="s">
        <v>57</v>
      </c>
      <c r="E2041" s="9" t="s">
        <v>41</v>
      </c>
      <c r="F2041" s="9" t="s">
        <v>42</v>
      </c>
      <c r="G2041" s="9" t="s">
        <v>43</v>
      </c>
      <c r="H2041" s="9" t="s">
        <v>58</v>
      </c>
      <c r="I2041" s="11" t="s">
        <v>1073</v>
      </c>
      <c r="J2041" s="9" t="s">
        <v>479</v>
      </c>
      <c r="K2041" s="9" t="s">
        <v>47</v>
      </c>
      <c r="L2041" s="9" t="s">
        <v>156</v>
      </c>
      <c r="M2041" s="9" t="s">
        <v>1352</v>
      </c>
      <c r="N2041" s="9" t="s">
        <v>84</v>
      </c>
      <c r="O2041" s="9" t="s">
        <v>51</v>
      </c>
      <c r="P2041" s="9"/>
      <c r="Q2041" s="9"/>
      <c r="R2041" s="9"/>
      <c r="S2041" s="14" t="s">
        <v>7187</v>
      </c>
      <c r="T2041" s="9" t="s">
        <v>7188</v>
      </c>
      <c r="U2041" s="9" t="s">
        <v>54</v>
      </c>
      <c r="V2041" s="9" t="s">
        <v>55</v>
      </c>
      <c r="W2041" s="9" t="s">
        <v>55</v>
      </c>
      <c r="X2041" s="12"/>
      <c r="Y2041" s="9" t="s">
        <v>55</v>
      </c>
      <c r="Z2041" s="13"/>
    </row>
    <row r="2042" spans="1:26" ht="32.25" hidden="1" customHeight="1">
      <c r="A2042" s="8">
        <v>2304641</v>
      </c>
      <c r="B2042" s="9" t="s">
        <v>7189</v>
      </c>
      <c r="C2042" s="10">
        <v>45142</v>
      </c>
      <c r="D2042" s="9" t="s">
        <v>67</v>
      </c>
      <c r="E2042" s="9" t="s">
        <v>68</v>
      </c>
      <c r="F2042" s="9" t="s">
        <v>42</v>
      </c>
      <c r="G2042" s="9" t="s">
        <v>43</v>
      </c>
      <c r="H2042" s="9" t="s">
        <v>44</v>
      </c>
      <c r="I2042" s="11" t="s">
        <v>69</v>
      </c>
      <c r="J2042" s="9" t="s">
        <v>70</v>
      </c>
      <c r="K2042" s="9" t="s">
        <v>47</v>
      </c>
      <c r="L2042" s="9" t="s">
        <v>598</v>
      </c>
      <c r="M2042" s="9" t="s">
        <v>7190</v>
      </c>
      <c r="N2042" s="9" t="s">
        <v>84</v>
      </c>
      <c r="O2042" s="9" t="s">
        <v>51</v>
      </c>
      <c r="P2042" s="9" t="s">
        <v>73</v>
      </c>
      <c r="Q2042" s="9"/>
      <c r="R2042" s="9" t="s">
        <v>61</v>
      </c>
      <c r="S2042" s="9" t="s">
        <v>7191</v>
      </c>
      <c r="T2042" s="9" t="s">
        <v>7192</v>
      </c>
      <c r="U2042" s="9" t="s">
        <v>54</v>
      </c>
      <c r="V2042" s="9" t="s">
        <v>55</v>
      </c>
      <c r="W2042" s="9" t="s">
        <v>55</v>
      </c>
      <c r="X2042" s="12" t="s">
        <v>76</v>
      </c>
      <c r="Y2042" s="9" t="s">
        <v>77</v>
      </c>
      <c r="Z2042" s="13"/>
    </row>
    <row r="2043" spans="1:26" ht="32.25" hidden="1" customHeight="1">
      <c r="A2043" s="8">
        <v>2306159</v>
      </c>
      <c r="B2043" s="9" t="s">
        <v>7193</v>
      </c>
      <c r="C2043" s="10">
        <v>45156</v>
      </c>
      <c r="D2043" s="9" t="s">
        <v>79</v>
      </c>
      <c r="E2043" s="9" t="s">
        <v>89</v>
      </c>
      <c r="F2043" s="9" t="s">
        <v>80</v>
      </c>
      <c r="G2043" s="9" t="s">
        <v>43</v>
      </c>
      <c r="H2043" s="9" t="s">
        <v>44</v>
      </c>
      <c r="I2043" s="11" t="s">
        <v>101</v>
      </c>
      <c r="J2043" s="9" t="s">
        <v>102</v>
      </c>
      <c r="K2043" s="9" t="s">
        <v>47</v>
      </c>
      <c r="L2043" s="9" t="s">
        <v>713</v>
      </c>
      <c r="M2043" s="9" t="s">
        <v>714</v>
      </c>
      <c r="N2043" s="9" t="s">
        <v>84</v>
      </c>
      <c r="O2043" s="9" t="s">
        <v>51</v>
      </c>
      <c r="P2043" s="9" t="s">
        <v>715</v>
      </c>
      <c r="Q2043" s="9"/>
      <c r="R2043" s="9"/>
      <c r="S2043" s="14" t="s">
        <v>7194</v>
      </c>
      <c r="T2043" s="9" t="s">
        <v>7195</v>
      </c>
      <c r="U2043" s="9" t="s">
        <v>54</v>
      </c>
      <c r="V2043" s="9" t="s">
        <v>55</v>
      </c>
      <c r="W2043" s="9" t="s">
        <v>55</v>
      </c>
      <c r="X2043" s="12"/>
      <c r="Y2043" s="9" t="s">
        <v>55</v>
      </c>
      <c r="Z2043" s="13"/>
    </row>
    <row r="2044" spans="1:26" ht="32.25" hidden="1" customHeight="1">
      <c r="A2044" s="8">
        <v>2302454</v>
      </c>
      <c r="B2044" s="9" t="s">
        <v>7196</v>
      </c>
      <c r="C2044" s="10">
        <v>45149</v>
      </c>
      <c r="D2044" s="9" t="s">
        <v>57</v>
      </c>
      <c r="E2044" s="9" t="s">
        <v>41</v>
      </c>
      <c r="F2044" s="9" t="s">
        <v>42</v>
      </c>
      <c r="G2044" s="9" t="s">
        <v>43</v>
      </c>
      <c r="H2044" s="9" t="s">
        <v>58</v>
      </c>
      <c r="I2044" s="11" t="s">
        <v>199</v>
      </c>
      <c r="J2044" s="9" t="s">
        <v>200</v>
      </c>
      <c r="K2044" s="9" t="s">
        <v>47</v>
      </c>
      <c r="L2044" s="9" t="s">
        <v>156</v>
      </c>
      <c r="M2044" s="9"/>
      <c r="N2044" s="9" t="s">
        <v>84</v>
      </c>
      <c r="O2044" s="9" t="s">
        <v>51</v>
      </c>
      <c r="P2044" s="9"/>
      <c r="Q2044" s="9"/>
      <c r="R2044" s="9"/>
      <c r="S2044" s="14" t="s">
        <v>7197</v>
      </c>
      <c r="T2044" s="9" t="s">
        <v>7198</v>
      </c>
      <c r="U2044" s="9" t="s">
        <v>54</v>
      </c>
      <c r="V2044" s="9" t="s">
        <v>55</v>
      </c>
      <c r="W2044" s="9" t="s">
        <v>55</v>
      </c>
      <c r="X2044" s="12"/>
      <c r="Y2044" s="9" t="s">
        <v>55</v>
      </c>
      <c r="Z2044" s="13"/>
    </row>
    <row r="2045" spans="1:26" ht="32.25" hidden="1" customHeight="1">
      <c r="A2045" s="8">
        <v>2310534</v>
      </c>
      <c r="B2045" s="9" t="s">
        <v>7199</v>
      </c>
      <c r="C2045" s="10">
        <v>45136</v>
      </c>
      <c r="D2045" s="9" t="s">
        <v>940</v>
      </c>
      <c r="E2045" s="9" t="s">
        <v>41</v>
      </c>
      <c r="F2045" s="9" t="s">
        <v>42</v>
      </c>
      <c r="G2045" s="9" t="s">
        <v>43</v>
      </c>
      <c r="H2045" s="9" t="s">
        <v>44</v>
      </c>
      <c r="I2045" s="11" t="s">
        <v>45</v>
      </c>
      <c r="J2045" s="9" t="s">
        <v>46</v>
      </c>
      <c r="K2045" s="9" t="s">
        <v>47</v>
      </c>
      <c r="L2045" s="9" t="s">
        <v>156</v>
      </c>
      <c r="M2045" s="9"/>
      <c r="N2045" s="9" t="s">
        <v>50</v>
      </c>
      <c r="O2045" s="9" t="s">
        <v>51</v>
      </c>
      <c r="P2045" s="9"/>
      <c r="Q2045" s="9" t="s">
        <v>941</v>
      </c>
      <c r="R2045" s="9"/>
      <c r="S2045" s="9" t="s">
        <v>7200</v>
      </c>
      <c r="T2045" s="9" t="s">
        <v>7201</v>
      </c>
      <c r="U2045" s="9" t="s">
        <v>54</v>
      </c>
      <c r="V2045" s="9" t="s">
        <v>55</v>
      </c>
      <c r="W2045" s="9" t="s">
        <v>55</v>
      </c>
      <c r="X2045" s="12"/>
      <c r="Y2045" s="9" t="s">
        <v>55</v>
      </c>
      <c r="Z2045" s="13"/>
    </row>
    <row r="2046" spans="1:26" ht="32.25" hidden="1" customHeight="1">
      <c r="A2046" s="8">
        <v>2310818</v>
      </c>
      <c r="B2046" s="9" t="s">
        <v>7202</v>
      </c>
      <c r="C2046" s="10">
        <v>45149</v>
      </c>
      <c r="D2046" s="9" t="s">
        <v>57</v>
      </c>
      <c r="E2046" s="9" t="s">
        <v>41</v>
      </c>
      <c r="F2046" s="9" t="s">
        <v>42</v>
      </c>
      <c r="G2046" s="9" t="s">
        <v>43</v>
      </c>
      <c r="H2046" s="9" t="s">
        <v>58</v>
      </c>
      <c r="I2046" s="11" t="s">
        <v>129</v>
      </c>
      <c r="J2046" s="9" t="s">
        <v>130</v>
      </c>
      <c r="K2046" s="9" t="s">
        <v>47</v>
      </c>
      <c r="L2046" s="9" t="s">
        <v>156</v>
      </c>
      <c r="M2046" s="9"/>
      <c r="N2046" s="9" t="s">
        <v>84</v>
      </c>
      <c r="O2046" s="9" t="s">
        <v>51</v>
      </c>
      <c r="P2046" s="9"/>
      <c r="Q2046" s="9"/>
      <c r="R2046" s="9"/>
      <c r="S2046" s="14" t="s">
        <v>7203</v>
      </c>
      <c r="T2046" s="9" t="s">
        <v>7204</v>
      </c>
      <c r="U2046" s="9" t="s">
        <v>54</v>
      </c>
      <c r="V2046" s="9" t="s">
        <v>55</v>
      </c>
      <c r="W2046" s="9" t="s">
        <v>55</v>
      </c>
      <c r="X2046" s="12"/>
      <c r="Y2046" s="9" t="s">
        <v>55</v>
      </c>
      <c r="Z2046" s="13"/>
    </row>
    <row r="2047" spans="1:26" ht="32.25" hidden="1" customHeight="1">
      <c r="A2047" s="8">
        <v>2304576</v>
      </c>
      <c r="B2047" s="9" t="s">
        <v>7205</v>
      </c>
      <c r="C2047" s="10">
        <v>45156</v>
      </c>
      <c r="D2047" s="9" t="s">
        <v>79</v>
      </c>
      <c r="E2047" s="9" t="s">
        <v>295</v>
      </c>
      <c r="F2047" s="9" t="s">
        <v>80</v>
      </c>
      <c r="G2047" s="9" t="s">
        <v>43</v>
      </c>
      <c r="H2047" s="9" t="s">
        <v>44</v>
      </c>
      <c r="I2047" s="11" t="s">
        <v>1600</v>
      </c>
      <c r="J2047" s="9" t="s">
        <v>407</v>
      </c>
      <c r="K2047" s="9" t="s">
        <v>47</v>
      </c>
      <c r="L2047" s="9" t="s">
        <v>1673</v>
      </c>
      <c r="M2047" s="9" t="s">
        <v>2607</v>
      </c>
      <c r="N2047" s="9" t="s">
        <v>84</v>
      </c>
      <c r="O2047" s="9" t="s">
        <v>51</v>
      </c>
      <c r="P2047" s="9" t="s">
        <v>2906</v>
      </c>
      <c r="Q2047" s="9"/>
      <c r="R2047" s="9" t="s">
        <v>61</v>
      </c>
      <c r="S2047" s="14" t="s">
        <v>7206</v>
      </c>
      <c r="T2047" s="9" t="s">
        <v>7207</v>
      </c>
      <c r="U2047" s="9" t="s">
        <v>54</v>
      </c>
      <c r="V2047" s="9" t="s">
        <v>318</v>
      </c>
      <c r="W2047" s="9" t="s">
        <v>115</v>
      </c>
      <c r="X2047" s="12" t="s">
        <v>319</v>
      </c>
      <c r="Y2047" s="9" t="s">
        <v>320</v>
      </c>
      <c r="Z2047" s="13"/>
    </row>
    <row r="2048" spans="1:26" ht="32.25" hidden="1" customHeight="1">
      <c r="A2048" s="8">
        <v>2314439</v>
      </c>
      <c r="B2048" s="9" t="s">
        <v>7208</v>
      </c>
      <c r="C2048" s="10">
        <v>45156</v>
      </c>
      <c r="D2048" s="9" t="s">
        <v>79</v>
      </c>
      <c r="E2048" s="9" t="s">
        <v>41</v>
      </c>
      <c r="F2048" s="9" t="s">
        <v>80</v>
      </c>
      <c r="G2048" s="9" t="s">
        <v>43</v>
      </c>
      <c r="H2048" s="9" t="s">
        <v>44</v>
      </c>
      <c r="I2048" s="11" t="s">
        <v>527</v>
      </c>
      <c r="J2048" s="9" t="s">
        <v>130</v>
      </c>
      <c r="K2048" s="9" t="s">
        <v>47</v>
      </c>
      <c r="L2048" s="9" t="s">
        <v>156</v>
      </c>
      <c r="M2048" s="9"/>
      <c r="N2048" s="9" t="s">
        <v>84</v>
      </c>
      <c r="O2048" s="9" t="s">
        <v>51</v>
      </c>
      <c r="P2048" s="9" t="s">
        <v>529</v>
      </c>
      <c r="Q2048" s="9"/>
      <c r="R2048" s="9"/>
      <c r="S2048" s="14" t="s">
        <v>7209</v>
      </c>
      <c r="T2048" s="9" t="s">
        <v>7210</v>
      </c>
      <c r="U2048" s="9" t="s">
        <v>54</v>
      </c>
      <c r="V2048" s="9" t="s">
        <v>55</v>
      </c>
      <c r="W2048" s="9" t="s">
        <v>55</v>
      </c>
      <c r="X2048" s="12"/>
      <c r="Y2048" s="9" t="s">
        <v>55</v>
      </c>
      <c r="Z2048" s="13"/>
    </row>
    <row r="2049" spans="1:26" ht="32.25" hidden="1" customHeight="1">
      <c r="A2049" s="8">
        <v>2304319</v>
      </c>
      <c r="B2049" s="9" t="s">
        <v>7211</v>
      </c>
      <c r="C2049" s="10">
        <v>45149</v>
      </c>
      <c r="D2049" s="9" t="s">
        <v>57</v>
      </c>
      <c r="E2049" s="9" t="s">
        <v>295</v>
      </c>
      <c r="F2049" s="9" t="s">
        <v>42</v>
      </c>
      <c r="G2049" s="9" t="s">
        <v>43</v>
      </c>
      <c r="H2049" s="9" t="s">
        <v>58</v>
      </c>
      <c r="I2049" s="11" t="s">
        <v>406</v>
      </c>
      <c r="J2049" s="9" t="s">
        <v>407</v>
      </c>
      <c r="K2049" s="9" t="s">
        <v>47</v>
      </c>
      <c r="L2049" s="9" t="s">
        <v>156</v>
      </c>
      <c r="M2049" s="9"/>
      <c r="N2049" s="9" t="s">
        <v>50</v>
      </c>
      <c r="O2049" s="9" t="s">
        <v>51</v>
      </c>
      <c r="P2049" s="9"/>
      <c r="Q2049" s="9"/>
      <c r="R2049" s="9"/>
      <c r="S2049" s="14" t="s">
        <v>7212</v>
      </c>
      <c r="T2049" s="9" t="s">
        <v>7213</v>
      </c>
      <c r="U2049" s="9" t="s">
        <v>54</v>
      </c>
      <c r="V2049" s="9" t="s">
        <v>55</v>
      </c>
      <c r="W2049" s="9" t="s">
        <v>55</v>
      </c>
      <c r="X2049" s="12"/>
      <c r="Y2049" s="9" t="s">
        <v>55</v>
      </c>
      <c r="Z2049" s="13"/>
    </row>
    <row r="2050" spans="1:26" ht="32.25" hidden="1" customHeight="1">
      <c r="A2050" s="8">
        <v>2306304</v>
      </c>
      <c r="B2050" s="9" t="s">
        <v>7214</v>
      </c>
      <c r="C2050" s="10">
        <v>45156</v>
      </c>
      <c r="D2050" s="9" t="s">
        <v>79</v>
      </c>
      <c r="E2050" s="9" t="s">
        <v>68</v>
      </c>
      <c r="F2050" s="9" t="s">
        <v>80</v>
      </c>
      <c r="G2050" s="9" t="s">
        <v>43</v>
      </c>
      <c r="H2050" s="9" t="s">
        <v>44</v>
      </c>
      <c r="I2050" s="11" t="s">
        <v>90</v>
      </c>
      <c r="J2050" s="9" t="s">
        <v>91</v>
      </c>
      <c r="K2050" s="9" t="s">
        <v>47</v>
      </c>
      <c r="L2050" s="9" t="s">
        <v>156</v>
      </c>
      <c r="M2050" s="9"/>
      <c r="N2050" s="9" t="s">
        <v>50</v>
      </c>
      <c r="O2050" s="9" t="s">
        <v>51</v>
      </c>
      <c r="P2050" s="9" t="s">
        <v>929</v>
      </c>
      <c r="Q2050" s="9"/>
      <c r="R2050" s="9"/>
      <c r="S2050" s="14" t="s">
        <v>7215</v>
      </c>
      <c r="T2050" s="9" t="s">
        <v>7216</v>
      </c>
      <c r="U2050" s="9" t="s">
        <v>54</v>
      </c>
      <c r="V2050" s="9" t="s">
        <v>55</v>
      </c>
      <c r="W2050" s="9" t="s">
        <v>55</v>
      </c>
      <c r="X2050" s="12"/>
      <c r="Y2050" s="9" t="s">
        <v>55</v>
      </c>
      <c r="Z2050" s="13"/>
    </row>
    <row r="2051" spans="1:26" ht="32.25" hidden="1" customHeight="1">
      <c r="A2051" s="8">
        <v>2300826</v>
      </c>
      <c r="B2051" s="9" t="s">
        <v>7217</v>
      </c>
      <c r="C2051" s="10">
        <v>45149</v>
      </c>
      <c r="D2051" s="9" t="s">
        <v>57</v>
      </c>
      <c r="E2051" s="9" t="s">
        <v>41</v>
      </c>
      <c r="F2051" s="9" t="s">
        <v>42</v>
      </c>
      <c r="G2051" s="9" t="s">
        <v>43</v>
      </c>
      <c r="H2051" s="9" t="s">
        <v>58</v>
      </c>
      <c r="I2051" s="11" t="s">
        <v>661</v>
      </c>
      <c r="J2051" s="9" t="s">
        <v>662</v>
      </c>
      <c r="K2051" s="9" t="s">
        <v>47</v>
      </c>
      <c r="L2051" s="9" t="s">
        <v>180</v>
      </c>
      <c r="M2051" s="9" t="s">
        <v>181</v>
      </c>
      <c r="N2051" s="9" t="s">
        <v>50</v>
      </c>
      <c r="O2051" s="9" t="s">
        <v>51</v>
      </c>
      <c r="P2051" s="9"/>
      <c r="Q2051" s="9"/>
      <c r="R2051" s="9" t="s">
        <v>61</v>
      </c>
      <c r="S2051" s="14" t="s">
        <v>7218</v>
      </c>
      <c r="T2051" s="9" t="s">
        <v>7219</v>
      </c>
      <c r="U2051" s="9" t="s">
        <v>54</v>
      </c>
      <c r="V2051" s="9" t="s">
        <v>55</v>
      </c>
      <c r="W2051" s="9" t="s">
        <v>55</v>
      </c>
      <c r="X2051" s="9" t="s">
        <v>64</v>
      </c>
      <c r="Y2051" s="9" t="s">
        <v>65</v>
      </c>
      <c r="Z2051" s="13"/>
    </row>
    <row r="2052" spans="1:26" ht="32.25" hidden="1" customHeight="1">
      <c r="A2052" s="8">
        <v>2303251</v>
      </c>
      <c r="B2052" s="9" t="s">
        <v>7220</v>
      </c>
      <c r="C2052" s="10">
        <v>45156</v>
      </c>
      <c r="D2052" s="9" t="s">
        <v>79</v>
      </c>
      <c r="E2052" s="9" t="s">
        <v>143</v>
      </c>
      <c r="F2052" s="9" t="s">
        <v>80</v>
      </c>
      <c r="G2052" s="9" t="s">
        <v>43</v>
      </c>
      <c r="H2052" s="9" t="s">
        <v>44</v>
      </c>
      <c r="I2052" s="11" t="s">
        <v>725</v>
      </c>
      <c r="J2052" s="9" t="s">
        <v>145</v>
      </c>
      <c r="K2052" s="9" t="s">
        <v>47</v>
      </c>
      <c r="L2052" s="9" t="s">
        <v>167</v>
      </c>
      <c r="M2052" s="9" t="s">
        <v>168</v>
      </c>
      <c r="N2052" s="9" t="s">
        <v>50</v>
      </c>
      <c r="O2052" s="9" t="s">
        <v>51</v>
      </c>
      <c r="P2052" s="9" t="s">
        <v>727</v>
      </c>
      <c r="Q2052" s="9"/>
      <c r="R2052" s="9" t="s">
        <v>61</v>
      </c>
      <c r="S2052" s="14" t="s">
        <v>7221</v>
      </c>
      <c r="T2052" s="9" t="s">
        <v>7222</v>
      </c>
      <c r="U2052" s="9" t="s">
        <v>54</v>
      </c>
      <c r="V2052" s="9" t="s">
        <v>251</v>
      </c>
      <c r="W2052" s="9" t="s">
        <v>115</v>
      </c>
      <c r="X2052" s="12" t="s">
        <v>171</v>
      </c>
      <c r="Y2052" s="9" t="s">
        <v>172</v>
      </c>
      <c r="Z2052" s="13"/>
    </row>
    <row r="2053" spans="1:26" ht="32.25" hidden="1" customHeight="1">
      <c r="A2053" s="8">
        <v>2301502</v>
      </c>
      <c r="B2053" s="9" t="s">
        <v>7223</v>
      </c>
      <c r="C2053" s="10">
        <v>45149</v>
      </c>
      <c r="D2053" s="9" t="s">
        <v>57</v>
      </c>
      <c r="E2053" s="9" t="s">
        <v>295</v>
      </c>
      <c r="F2053" s="9" t="s">
        <v>42</v>
      </c>
      <c r="G2053" s="9" t="s">
        <v>43</v>
      </c>
      <c r="H2053" s="9" t="s">
        <v>58</v>
      </c>
      <c r="I2053" s="11" t="s">
        <v>406</v>
      </c>
      <c r="J2053" s="9" t="s">
        <v>407</v>
      </c>
      <c r="K2053" s="9" t="s">
        <v>47</v>
      </c>
      <c r="L2053" s="9" t="s">
        <v>2632</v>
      </c>
      <c r="M2053" s="9" t="s">
        <v>3293</v>
      </c>
      <c r="N2053" s="9" t="s">
        <v>84</v>
      </c>
      <c r="O2053" s="9" t="s">
        <v>51</v>
      </c>
      <c r="P2053" s="9"/>
      <c r="Q2053" s="9"/>
      <c r="R2053" s="9" t="s">
        <v>61</v>
      </c>
      <c r="S2053" s="14" t="s">
        <v>7224</v>
      </c>
      <c r="T2053" s="9" t="s">
        <v>7225</v>
      </c>
      <c r="U2053" s="9" t="s">
        <v>54</v>
      </c>
      <c r="V2053" s="9" t="s">
        <v>55</v>
      </c>
      <c r="W2053" s="9" t="s">
        <v>55</v>
      </c>
      <c r="X2053" s="9" t="s">
        <v>319</v>
      </c>
      <c r="Y2053" s="9" t="s">
        <v>320</v>
      </c>
      <c r="Z2053" s="13"/>
    </row>
    <row r="2054" spans="1:26" ht="32.25" hidden="1" customHeight="1">
      <c r="A2054" s="8">
        <v>2304594</v>
      </c>
      <c r="B2054" s="9" t="s">
        <v>7226</v>
      </c>
      <c r="C2054" s="10">
        <v>45149</v>
      </c>
      <c r="D2054" s="9" t="s">
        <v>57</v>
      </c>
      <c r="E2054" s="9" t="s">
        <v>153</v>
      </c>
      <c r="F2054" s="9" t="s">
        <v>42</v>
      </c>
      <c r="G2054" s="9" t="s">
        <v>43</v>
      </c>
      <c r="H2054" s="9" t="s">
        <v>58</v>
      </c>
      <c r="I2054" s="11" t="s">
        <v>154</v>
      </c>
      <c r="J2054" s="9" t="s">
        <v>155</v>
      </c>
      <c r="K2054" s="9" t="s">
        <v>47</v>
      </c>
      <c r="L2054" s="9" t="s">
        <v>156</v>
      </c>
      <c r="M2054" s="9"/>
      <c r="N2054" s="9" t="s">
        <v>84</v>
      </c>
      <c r="O2054" s="9" t="s">
        <v>51</v>
      </c>
      <c r="P2054" s="9"/>
      <c r="Q2054" s="9"/>
      <c r="R2054" s="9"/>
      <c r="S2054" s="14" t="s">
        <v>7227</v>
      </c>
      <c r="T2054" s="9" t="s">
        <v>7228</v>
      </c>
      <c r="U2054" s="9" t="s">
        <v>54</v>
      </c>
      <c r="V2054" s="9" t="s">
        <v>55</v>
      </c>
      <c r="W2054" s="9" t="s">
        <v>55</v>
      </c>
      <c r="X2054" s="12"/>
      <c r="Y2054" s="9" t="s">
        <v>55</v>
      </c>
      <c r="Z2054" s="13"/>
    </row>
    <row r="2055" spans="1:26" ht="32.25" hidden="1" customHeight="1">
      <c r="A2055" s="8">
        <v>2310446</v>
      </c>
      <c r="B2055" s="9" t="s">
        <v>7229</v>
      </c>
      <c r="C2055" s="10">
        <v>45156</v>
      </c>
      <c r="D2055" s="9" t="s">
        <v>79</v>
      </c>
      <c r="E2055" s="9" t="s">
        <v>143</v>
      </c>
      <c r="F2055" s="9" t="s">
        <v>80</v>
      </c>
      <c r="G2055" s="9" t="s">
        <v>43</v>
      </c>
      <c r="H2055" s="9" t="s">
        <v>44</v>
      </c>
      <c r="I2055" s="11" t="s">
        <v>326</v>
      </c>
      <c r="J2055" s="9" t="s">
        <v>327</v>
      </c>
      <c r="K2055" s="9" t="s">
        <v>47</v>
      </c>
      <c r="L2055" s="9" t="s">
        <v>858</v>
      </c>
      <c r="M2055" s="9" t="s">
        <v>1103</v>
      </c>
      <c r="N2055" s="9" t="s">
        <v>84</v>
      </c>
      <c r="O2055" s="9" t="s">
        <v>51</v>
      </c>
      <c r="P2055" s="9" t="s">
        <v>1143</v>
      </c>
      <c r="Q2055" s="9"/>
      <c r="R2055" s="9" t="s">
        <v>61</v>
      </c>
      <c r="S2055" s="14" t="s">
        <v>7230</v>
      </c>
      <c r="T2055" s="9" t="s">
        <v>7231</v>
      </c>
      <c r="U2055" s="9" t="s">
        <v>54</v>
      </c>
      <c r="V2055" s="9" t="s">
        <v>370</v>
      </c>
      <c r="W2055" s="9" t="s">
        <v>115</v>
      </c>
      <c r="X2055" s="12" t="s">
        <v>150</v>
      </c>
      <c r="Y2055" s="9" t="s">
        <v>151</v>
      </c>
      <c r="Z2055" s="13"/>
    </row>
    <row r="2056" spans="1:26" ht="32.25" hidden="1" customHeight="1">
      <c r="A2056" s="8">
        <v>2308671</v>
      </c>
      <c r="B2056" s="9" t="s">
        <v>7232</v>
      </c>
      <c r="C2056" s="10">
        <v>45156</v>
      </c>
      <c r="D2056" s="9" t="s">
        <v>79</v>
      </c>
      <c r="E2056" s="9" t="s">
        <v>295</v>
      </c>
      <c r="F2056" s="9" t="s">
        <v>80</v>
      </c>
      <c r="G2056" s="9" t="s">
        <v>43</v>
      </c>
      <c r="H2056" s="9" t="s">
        <v>44</v>
      </c>
      <c r="I2056" s="11" t="s">
        <v>1600</v>
      </c>
      <c r="J2056" s="9" t="s">
        <v>407</v>
      </c>
      <c r="K2056" s="9" t="s">
        <v>47</v>
      </c>
      <c r="L2056" s="9" t="s">
        <v>586</v>
      </c>
      <c r="M2056" s="9" t="s">
        <v>587</v>
      </c>
      <c r="N2056" s="9" t="s">
        <v>84</v>
      </c>
      <c r="O2056" s="9" t="s">
        <v>51</v>
      </c>
      <c r="P2056" s="9" t="s">
        <v>2906</v>
      </c>
      <c r="Q2056" s="9"/>
      <c r="R2056" s="9" t="s">
        <v>61</v>
      </c>
      <c r="S2056" s="14" t="s">
        <v>7233</v>
      </c>
      <c r="T2056" s="9" t="s">
        <v>7234</v>
      </c>
      <c r="U2056" s="9" t="s">
        <v>54</v>
      </c>
      <c r="V2056" s="9" t="s">
        <v>318</v>
      </c>
      <c r="W2056" s="9" t="s">
        <v>115</v>
      </c>
      <c r="X2056" s="12" t="s">
        <v>319</v>
      </c>
      <c r="Y2056" s="9" t="s">
        <v>320</v>
      </c>
      <c r="Z2056" s="13"/>
    </row>
    <row r="2057" spans="1:26" ht="32.25" hidden="1" customHeight="1">
      <c r="A2057" s="8">
        <v>2307513</v>
      </c>
      <c r="B2057" s="9" t="s">
        <v>7235</v>
      </c>
      <c r="C2057" s="10">
        <v>45149</v>
      </c>
      <c r="D2057" s="9" t="s">
        <v>57</v>
      </c>
      <c r="E2057" s="9" t="s">
        <v>153</v>
      </c>
      <c r="F2057" s="9" t="s">
        <v>42</v>
      </c>
      <c r="G2057" s="9" t="s">
        <v>43</v>
      </c>
      <c r="H2057" s="9" t="s">
        <v>58</v>
      </c>
      <c r="I2057" s="11" t="s">
        <v>154</v>
      </c>
      <c r="J2057" s="9" t="s">
        <v>155</v>
      </c>
      <c r="K2057" s="9" t="s">
        <v>47</v>
      </c>
      <c r="L2057" s="9" t="s">
        <v>156</v>
      </c>
      <c r="M2057" s="9"/>
      <c r="N2057" s="9" t="s">
        <v>84</v>
      </c>
      <c r="O2057" s="9" t="s">
        <v>51</v>
      </c>
      <c r="P2057" s="9"/>
      <c r="Q2057" s="9"/>
      <c r="R2057" s="9"/>
      <c r="S2057" s="14" t="s">
        <v>7236</v>
      </c>
      <c r="T2057" s="9" t="s">
        <v>7237</v>
      </c>
      <c r="U2057" s="9" t="s">
        <v>54</v>
      </c>
      <c r="V2057" s="9" t="s">
        <v>55</v>
      </c>
      <c r="W2057" s="9" t="s">
        <v>55</v>
      </c>
      <c r="X2057" s="12"/>
      <c r="Y2057" s="9" t="s">
        <v>55</v>
      </c>
      <c r="Z2057" s="13"/>
    </row>
    <row r="2058" spans="1:26" ht="32.25" hidden="1" customHeight="1">
      <c r="A2058" s="8">
        <v>2315102</v>
      </c>
      <c r="B2058" s="9" t="s">
        <v>7238</v>
      </c>
      <c r="C2058" s="10">
        <v>45156</v>
      </c>
      <c r="D2058" s="9" t="s">
        <v>79</v>
      </c>
      <c r="E2058" s="9" t="s">
        <v>89</v>
      </c>
      <c r="F2058" s="9" t="s">
        <v>80</v>
      </c>
      <c r="G2058" s="9" t="s">
        <v>43</v>
      </c>
      <c r="H2058" s="9" t="s">
        <v>44</v>
      </c>
      <c r="I2058" s="11" t="s">
        <v>90</v>
      </c>
      <c r="J2058" s="9" t="s">
        <v>91</v>
      </c>
      <c r="K2058" s="9" t="s">
        <v>442</v>
      </c>
      <c r="L2058" s="9"/>
      <c r="M2058" s="9"/>
      <c r="N2058" s="9" t="s">
        <v>50</v>
      </c>
      <c r="O2058" s="9" t="s">
        <v>51</v>
      </c>
      <c r="P2058" s="9" t="s">
        <v>95</v>
      </c>
      <c r="Q2058" s="9"/>
      <c r="R2058" s="9" t="s">
        <v>61</v>
      </c>
      <c r="S2058" s="14" t="s">
        <v>7239</v>
      </c>
      <c r="T2058" s="9" t="s">
        <v>7240</v>
      </c>
      <c r="U2058" s="9" t="s">
        <v>54</v>
      </c>
      <c r="V2058" s="9" t="s">
        <v>55</v>
      </c>
      <c r="W2058" s="9" t="s">
        <v>55</v>
      </c>
      <c r="X2058" s="12" t="s">
        <v>98</v>
      </c>
      <c r="Y2058" s="9" t="s">
        <v>99</v>
      </c>
      <c r="Z2058" s="13"/>
    </row>
    <row r="2059" spans="1:26" ht="32.25" hidden="1" customHeight="1">
      <c r="A2059" s="8">
        <v>2303725</v>
      </c>
      <c r="B2059" s="9" t="s">
        <v>7241</v>
      </c>
      <c r="C2059" s="10">
        <v>45149</v>
      </c>
      <c r="D2059" s="9" t="s">
        <v>57</v>
      </c>
      <c r="E2059" s="9" t="s">
        <v>41</v>
      </c>
      <c r="F2059" s="9" t="s">
        <v>42</v>
      </c>
      <c r="G2059" s="9" t="s">
        <v>43</v>
      </c>
      <c r="H2059" s="9" t="s">
        <v>58</v>
      </c>
      <c r="I2059" s="11" t="s">
        <v>661</v>
      </c>
      <c r="J2059" s="9" t="s">
        <v>662</v>
      </c>
      <c r="K2059" s="9" t="s">
        <v>47</v>
      </c>
      <c r="L2059" s="9" t="s">
        <v>156</v>
      </c>
      <c r="M2059" s="9" t="s">
        <v>7242</v>
      </c>
      <c r="N2059" s="9" t="s">
        <v>50</v>
      </c>
      <c r="O2059" s="9" t="s">
        <v>51</v>
      </c>
      <c r="P2059" s="9"/>
      <c r="Q2059" s="9"/>
      <c r="R2059" s="9"/>
      <c r="S2059" s="14" t="s">
        <v>7243</v>
      </c>
      <c r="T2059" s="9" t="s">
        <v>7244</v>
      </c>
      <c r="U2059" s="9" t="s">
        <v>54</v>
      </c>
      <c r="V2059" s="9" t="s">
        <v>55</v>
      </c>
      <c r="W2059" s="9" t="s">
        <v>55</v>
      </c>
      <c r="X2059" s="12"/>
      <c r="Y2059" s="9" t="s">
        <v>55</v>
      </c>
      <c r="Z2059" s="13"/>
    </row>
    <row r="2060" spans="1:26" ht="32.25" hidden="1" customHeight="1">
      <c r="A2060" s="8">
        <v>2306224</v>
      </c>
      <c r="B2060" s="9" t="s">
        <v>7245</v>
      </c>
      <c r="C2060" s="10">
        <v>45156</v>
      </c>
      <c r="D2060" s="9" t="s">
        <v>79</v>
      </c>
      <c r="E2060" s="9" t="s">
        <v>68</v>
      </c>
      <c r="F2060" s="9" t="s">
        <v>80</v>
      </c>
      <c r="G2060" s="9" t="s">
        <v>43</v>
      </c>
      <c r="H2060" s="9" t="s">
        <v>44</v>
      </c>
      <c r="I2060" s="11" t="s">
        <v>90</v>
      </c>
      <c r="J2060" s="9" t="s">
        <v>91</v>
      </c>
      <c r="K2060" s="9" t="s">
        <v>47</v>
      </c>
      <c r="L2060" s="9" t="s">
        <v>156</v>
      </c>
      <c r="M2060" s="9"/>
      <c r="N2060" s="9" t="s">
        <v>50</v>
      </c>
      <c r="O2060" s="9" t="s">
        <v>51</v>
      </c>
      <c r="P2060" s="9" t="s">
        <v>929</v>
      </c>
      <c r="Q2060" s="9"/>
      <c r="R2060" s="9"/>
      <c r="S2060" s="14" t="s">
        <v>7246</v>
      </c>
      <c r="T2060" s="9" t="s">
        <v>7247</v>
      </c>
      <c r="U2060" s="9" t="s">
        <v>54</v>
      </c>
      <c r="V2060" s="9" t="s">
        <v>55</v>
      </c>
      <c r="W2060" s="9" t="s">
        <v>55</v>
      </c>
      <c r="X2060" s="12"/>
      <c r="Y2060" s="9" t="s">
        <v>55</v>
      </c>
      <c r="Z2060" s="13"/>
    </row>
    <row r="2061" spans="1:26" ht="32.25" hidden="1" customHeight="1">
      <c r="A2061" s="8">
        <v>2306364</v>
      </c>
      <c r="B2061" s="9" t="s">
        <v>7248</v>
      </c>
      <c r="C2061" s="10">
        <v>45156</v>
      </c>
      <c r="D2061" s="9" t="s">
        <v>79</v>
      </c>
      <c r="E2061" s="9" t="s">
        <v>68</v>
      </c>
      <c r="F2061" s="9" t="s">
        <v>80</v>
      </c>
      <c r="G2061" s="9" t="s">
        <v>43</v>
      </c>
      <c r="H2061" s="9" t="s">
        <v>44</v>
      </c>
      <c r="I2061" s="11" t="s">
        <v>90</v>
      </c>
      <c r="J2061" s="9" t="s">
        <v>91</v>
      </c>
      <c r="K2061" s="9" t="s">
        <v>47</v>
      </c>
      <c r="L2061" s="9" t="s">
        <v>162</v>
      </c>
      <c r="M2061" s="9" t="s">
        <v>163</v>
      </c>
      <c r="N2061" s="9" t="s">
        <v>50</v>
      </c>
      <c r="O2061" s="9" t="s">
        <v>51</v>
      </c>
      <c r="P2061" s="9" t="s">
        <v>273</v>
      </c>
      <c r="Q2061" s="9"/>
      <c r="R2061" s="9" t="s">
        <v>61</v>
      </c>
      <c r="S2061" s="14" t="s">
        <v>7249</v>
      </c>
      <c r="T2061" s="9" t="s">
        <v>7250</v>
      </c>
      <c r="U2061" s="9" t="s">
        <v>54</v>
      </c>
      <c r="V2061" s="9" t="s">
        <v>55</v>
      </c>
      <c r="W2061" s="9" t="s">
        <v>55</v>
      </c>
      <c r="X2061" s="12" t="s">
        <v>196</v>
      </c>
      <c r="Y2061" s="9" t="s">
        <v>197</v>
      </c>
      <c r="Z2061" s="13"/>
    </row>
    <row r="2062" spans="1:26" ht="32.25" hidden="1" customHeight="1">
      <c r="A2062" s="8">
        <v>2304160</v>
      </c>
      <c r="B2062" s="9" t="s">
        <v>7251</v>
      </c>
      <c r="C2062" s="10">
        <v>45156</v>
      </c>
      <c r="D2062" s="9" t="s">
        <v>79</v>
      </c>
      <c r="E2062" s="9" t="s">
        <v>89</v>
      </c>
      <c r="F2062" s="9" t="s">
        <v>80</v>
      </c>
      <c r="G2062" s="9" t="s">
        <v>43</v>
      </c>
      <c r="H2062" s="9" t="s">
        <v>44</v>
      </c>
      <c r="I2062" s="11" t="s">
        <v>90</v>
      </c>
      <c r="J2062" s="9" t="s">
        <v>91</v>
      </c>
      <c r="K2062" s="9" t="s">
        <v>47</v>
      </c>
      <c r="L2062" s="9" t="s">
        <v>411</v>
      </c>
      <c r="M2062" s="9" t="s">
        <v>412</v>
      </c>
      <c r="N2062" s="9" t="s">
        <v>84</v>
      </c>
      <c r="O2062" s="9" t="s">
        <v>51</v>
      </c>
      <c r="P2062" s="9" t="s">
        <v>546</v>
      </c>
      <c r="Q2062" s="9"/>
      <c r="R2062" s="9" t="s">
        <v>61</v>
      </c>
      <c r="S2062" s="14" t="s">
        <v>7252</v>
      </c>
      <c r="T2062" s="9" t="s">
        <v>7253</v>
      </c>
      <c r="U2062" s="9" t="s">
        <v>54</v>
      </c>
      <c r="V2062" s="9" t="s">
        <v>711</v>
      </c>
      <c r="W2062" s="9" t="s">
        <v>115</v>
      </c>
      <c r="X2062" s="12" t="s">
        <v>98</v>
      </c>
      <c r="Y2062" s="9" t="s">
        <v>99</v>
      </c>
      <c r="Z2062" s="13"/>
    </row>
    <row r="2063" spans="1:26" ht="32.25" hidden="1" customHeight="1">
      <c r="A2063" s="8">
        <v>2311969</v>
      </c>
      <c r="B2063" s="9" t="s">
        <v>7254</v>
      </c>
      <c r="C2063" s="10">
        <v>45149</v>
      </c>
      <c r="D2063" s="9" t="s">
        <v>57</v>
      </c>
      <c r="E2063" s="9" t="s">
        <v>153</v>
      </c>
      <c r="F2063" s="9" t="s">
        <v>42</v>
      </c>
      <c r="G2063" s="9" t="s">
        <v>43</v>
      </c>
      <c r="H2063" s="9" t="s">
        <v>58</v>
      </c>
      <c r="I2063" s="11" t="s">
        <v>154</v>
      </c>
      <c r="J2063" s="9" t="s">
        <v>155</v>
      </c>
      <c r="K2063" s="9" t="s">
        <v>47</v>
      </c>
      <c r="L2063" s="9" t="s">
        <v>305</v>
      </c>
      <c r="M2063" s="9" t="s">
        <v>1531</v>
      </c>
      <c r="N2063" s="9" t="s">
        <v>50</v>
      </c>
      <c r="O2063" s="9" t="s">
        <v>51</v>
      </c>
      <c r="P2063" s="9"/>
      <c r="Q2063" s="9"/>
      <c r="R2063" s="9" t="s">
        <v>61</v>
      </c>
      <c r="S2063" s="14" t="s">
        <v>7255</v>
      </c>
      <c r="T2063" s="9" t="s">
        <v>7256</v>
      </c>
      <c r="U2063" s="9" t="s">
        <v>54</v>
      </c>
      <c r="V2063" s="9" t="s">
        <v>55</v>
      </c>
      <c r="W2063" s="9" t="s">
        <v>55</v>
      </c>
      <c r="X2063" s="12" t="s">
        <v>171</v>
      </c>
      <c r="Y2063" s="9" t="s">
        <v>172</v>
      </c>
      <c r="Z2063" s="13"/>
    </row>
    <row r="2064" spans="1:26" ht="32.25" hidden="1" customHeight="1">
      <c r="A2064" s="8">
        <v>2303518</v>
      </c>
      <c r="B2064" s="9" t="s">
        <v>7257</v>
      </c>
      <c r="C2064" s="10">
        <v>45149</v>
      </c>
      <c r="D2064" s="9" t="s">
        <v>57</v>
      </c>
      <c r="E2064" s="9" t="s">
        <v>153</v>
      </c>
      <c r="F2064" s="9" t="s">
        <v>42</v>
      </c>
      <c r="G2064" s="9" t="s">
        <v>43</v>
      </c>
      <c r="H2064" s="9" t="s">
        <v>58</v>
      </c>
      <c r="I2064" s="11" t="s">
        <v>154</v>
      </c>
      <c r="J2064" s="9" t="s">
        <v>155</v>
      </c>
      <c r="K2064" s="9" t="s">
        <v>47</v>
      </c>
      <c r="L2064" s="9" t="s">
        <v>48</v>
      </c>
      <c r="M2064" s="9" t="s">
        <v>2159</v>
      </c>
      <c r="N2064" s="9" t="s">
        <v>50</v>
      </c>
      <c r="O2064" s="9" t="s">
        <v>51</v>
      </c>
      <c r="P2064" s="9"/>
      <c r="Q2064" s="9"/>
      <c r="R2064" s="9" t="s">
        <v>61</v>
      </c>
      <c r="S2064" s="14" t="s">
        <v>7258</v>
      </c>
      <c r="T2064" s="9" t="s">
        <v>7259</v>
      </c>
      <c r="U2064" s="9" t="s">
        <v>54</v>
      </c>
      <c r="V2064" s="9" t="s">
        <v>55</v>
      </c>
      <c r="W2064" s="9" t="s">
        <v>55</v>
      </c>
      <c r="X2064" s="12"/>
      <c r="Y2064" s="9" t="s">
        <v>55</v>
      </c>
      <c r="Z2064" s="13" t="s">
        <v>7260</v>
      </c>
    </row>
    <row r="2065" spans="1:26" ht="32.25" hidden="1" customHeight="1">
      <c r="A2065" s="8">
        <v>2300563</v>
      </c>
      <c r="B2065" s="9" t="s">
        <v>7261</v>
      </c>
      <c r="C2065" s="10">
        <v>45149</v>
      </c>
      <c r="D2065" s="9" t="s">
        <v>57</v>
      </c>
      <c r="E2065" s="9" t="s">
        <v>153</v>
      </c>
      <c r="F2065" s="9" t="s">
        <v>42</v>
      </c>
      <c r="G2065" s="9" t="s">
        <v>43</v>
      </c>
      <c r="H2065" s="9" t="s">
        <v>58</v>
      </c>
      <c r="I2065" s="11" t="s">
        <v>154</v>
      </c>
      <c r="J2065" s="9" t="s">
        <v>155</v>
      </c>
      <c r="K2065" s="9" t="s">
        <v>47</v>
      </c>
      <c r="L2065" s="9" t="s">
        <v>48</v>
      </c>
      <c r="M2065" s="9"/>
      <c r="N2065" s="9" t="s">
        <v>84</v>
      </c>
      <c r="O2065" s="9" t="s">
        <v>51</v>
      </c>
      <c r="P2065" s="9"/>
      <c r="Q2065" s="9"/>
      <c r="R2065" s="9" t="s">
        <v>61</v>
      </c>
      <c r="S2065" s="14" t="s">
        <v>7262</v>
      </c>
      <c r="T2065" s="9" t="s">
        <v>7263</v>
      </c>
      <c r="U2065" s="9" t="s">
        <v>54</v>
      </c>
      <c r="V2065" s="9" t="s">
        <v>55</v>
      </c>
      <c r="W2065" s="9" t="s">
        <v>55</v>
      </c>
      <c r="X2065" s="12" t="s">
        <v>171</v>
      </c>
      <c r="Y2065" s="9" t="s">
        <v>172</v>
      </c>
      <c r="Z2065" s="13"/>
    </row>
    <row r="2066" spans="1:26" ht="32.25" hidden="1" customHeight="1">
      <c r="A2066" s="8">
        <v>2315530</v>
      </c>
      <c r="B2066" s="9" t="s">
        <v>7264</v>
      </c>
      <c r="C2066" s="10">
        <v>45155</v>
      </c>
      <c r="D2066" s="9" t="s">
        <v>392</v>
      </c>
      <c r="E2066" s="9" t="s">
        <v>41</v>
      </c>
      <c r="F2066" s="9" t="s">
        <v>80</v>
      </c>
      <c r="G2066" s="9" t="s">
        <v>43</v>
      </c>
      <c r="H2066" s="9" t="s">
        <v>44</v>
      </c>
      <c r="I2066" s="11" t="s">
        <v>233</v>
      </c>
      <c r="J2066" s="9" t="s">
        <v>200</v>
      </c>
      <c r="K2066" s="9" t="s">
        <v>4519</v>
      </c>
      <c r="L2066" s="9"/>
      <c r="M2066" s="9"/>
      <c r="N2066" s="9" t="s">
        <v>50</v>
      </c>
      <c r="O2066" s="9" t="s">
        <v>187</v>
      </c>
      <c r="P2066" s="9" t="s">
        <v>236</v>
      </c>
      <c r="Q2066" s="9"/>
      <c r="R2066" s="9" t="s">
        <v>61</v>
      </c>
      <c r="S2066" s="14" t="s">
        <v>7265</v>
      </c>
      <c r="T2066" s="9" t="s">
        <v>7266</v>
      </c>
      <c r="U2066" s="9" t="s">
        <v>54</v>
      </c>
      <c r="V2066" s="9" t="s">
        <v>55</v>
      </c>
      <c r="W2066" s="9" t="s">
        <v>55</v>
      </c>
      <c r="X2066" s="12" t="s">
        <v>196</v>
      </c>
      <c r="Y2066" s="9" t="s">
        <v>197</v>
      </c>
      <c r="Z2066" s="13"/>
    </row>
    <row r="2067" spans="1:26" ht="32.25" hidden="1" customHeight="1">
      <c r="A2067" s="8">
        <v>2307611</v>
      </c>
      <c r="B2067" s="9" t="s">
        <v>7267</v>
      </c>
      <c r="C2067" s="10">
        <v>45142</v>
      </c>
      <c r="D2067" s="9" t="s">
        <v>67</v>
      </c>
      <c r="E2067" s="9" t="s">
        <v>68</v>
      </c>
      <c r="F2067" s="9" t="s">
        <v>135</v>
      </c>
      <c r="G2067" s="9" t="s">
        <v>43</v>
      </c>
      <c r="H2067" s="9" t="s">
        <v>44</v>
      </c>
      <c r="I2067" s="11" t="s">
        <v>136</v>
      </c>
      <c r="J2067" s="9" t="s">
        <v>137</v>
      </c>
      <c r="K2067" s="9" t="s">
        <v>47</v>
      </c>
      <c r="L2067" s="9" t="s">
        <v>138</v>
      </c>
      <c r="M2067" s="9" t="s">
        <v>7268</v>
      </c>
      <c r="N2067" s="9" t="s">
        <v>50</v>
      </c>
      <c r="O2067" s="9" t="s">
        <v>51</v>
      </c>
      <c r="P2067" s="9"/>
      <c r="Q2067" s="9"/>
      <c r="R2067" s="9" t="s">
        <v>61</v>
      </c>
      <c r="S2067" s="9" t="s">
        <v>7269</v>
      </c>
      <c r="T2067" s="9" t="s">
        <v>7270</v>
      </c>
      <c r="U2067" s="9" t="s">
        <v>54</v>
      </c>
      <c r="V2067" s="9" t="s">
        <v>55</v>
      </c>
      <c r="W2067" s="9" t="s">
        <v>55</v>
      </c>
      <c r="X2067" s="12" t="s">
        <v>76</v>
      </c>
      <c r="Y2067" s="9" t="s">
        <v>77</v>
      </c>
      <c r="Z2067" s="13"/>
    </row>
    <row r="2068" spans="1:26" ht="32.25" hidden="1" customHeight="1">
      <c r="A2068" s="8">
        <v>2313316</v>
      </c>
      <c r="B2068" s="9" t="s">
        <v>7271</v>
      </c>
      <c r="C2068" s="10">
        <v>45149</v>
      </c>
      <c r="D2068" s="9" t="s">
        <v>57</v>
      </c>
      <c r="E2068" s="9" t="s">
        <v>143</v>
      </c>
      <c r="F2068" s="9" t="s">
        <v>42</v>
      </c>
      <c r="G2068" s="9" t="s">
        <v>43</v>
      </c>
      <c r="H2068" s="9" t="s">
        <v>58</v>
      </c>
      <c r="I2068" s="11" t="s">
        <v>460</v>
      </c>
      <c r="J2068" s="9" t="s">
        <v>400</v>
      </c>
      <c r="K2068" s="9" t="s">
        <v>47</v>
      </c>
      <c r="L2068" s="9" t="s">
        <v>425</v>
      </c>
      <c r="M2068" s="9" t="s">
        <v>2244</v>
      </c>
      <c r="N2068" s="9" t="s">
        <v>50</v>
      </c>
      <c r="O2068" s="9" t="s">
        <v>51</v>
      </c>
      <c r="P2068" s="9"/>
      <c r="Q2068" s="9"/>
      <c r="R2068" s="9" t="s">
        <v>61</v>
      </c>
      <c r="S2068" s="14" t="s">
        <v>7272</v>
      </c>
      <c r="T2068" s="9" t="s">
        <v>7273</v>
      </c>
      <c r="U2068" s="9" t="s">
        <v>54</v>
      </c>
      <c r="V2068" s="9" t="s">
        <v>55</v>
      </c>
      <c r="W2068" s="9" t="s">
        <v>55</v>
      </c>
      <c r="X2068" s="12" t="s">
        <v>150</v>
      </c>
      <c r="Y2068" s="9" t="s">
        <v>151</v>
      </c>
      <c r="Z2068" s="13"/>
    </row>
    <row r="2069" spans="1:26" ht="32.25" hidden="1" customHeight="1">
      <c r="A2069" s="8">
        <v>2300711</v>
      </c>
      <c r="B2069" s="9" t="s">
        <v>7274</v>
      </c>
      <c r="C2069" s="10">
        <v>45142</v>
      </c>
      <c r="D2069" s="9" t="s">
        <v>67</v>
      </c>
      <c r="E2069" s="9" t="s">
        <v>68</v>
      </c>
      <c r="F2069" s="9" t="s">
        <v>135</v>
      </c>
      <c r="G2069" s="9" t="s">
        <v>43</v>
      </c>
      <c r="H2069" s="9" t="s">
        <v>44</v>
      </c>
      <c r="I2069" s="11" t="s">
        <v>136</v>
      </c>
      <c r="J2069" s="9" t="s">
        <v>137</v>
      </c>
      <c r="K2069" s="9" t="s">
        <v>47</v>
      </c>
      <c r="L2069" s="9" t="s">
        <v>1040</v>
      </c>
      <c r="M2069" s="9" t="s">
        <v>1147</v>
      </c>
      <c r="N2069" s="9" t="s">
        <v>50</v>
      </c>
      <c r="O2069" s="9" t="s">
        <v>51</v>
      </c>
      <c r="P2069" s="9"/>
      <c r="Q2069" s="9"/>
      <c r="R2069" s="9" t="s">
        <v>61</v>
      </c>
      <c r="S2069" s="9" t="s">
        <v>7275</v>
      </c>
      <c r="T2069" s="9" t="s">
        <v>7276</v>
      </c>
      <c r="U2069" s="9" t="s">
        <v>54</v>
      </c>
      <c r="V2069" s="9" t="s">
        <v>55</v>
      </c>
      <c r="W2069" s="9" t="s">
        <v>55</v>
      </c>
      <c r="X2069" s="12" t="s">
        <v>76</v>
      </c>
      <c r="Y2069" s="9" t="s">
        <v>77</v>
      </c>
      <c r="Z2069" s="13" t="s">
        <v>6243</v>
      </c>
    </row>
    <row r="2070" spans="1:26" ht="32.25" hidden="1" customHeight="1">
      <c r="A2070" s="8">
        <v>2315117</v>
      </c>
      <c r="B2070" s="9" t="s">
        <v>7277</v>
      </c>
      <c r="C2070" s="10">
        <v>45152</v>
      </c>
      <c r="D2070" s="9" t="s">
        <v>639</v>
      </c>
      <c r="E2070" s="9" t="s">
        <v>153</v>
      </c>
      <c r="F2070" s="9" t="s">
        <v>80</v>
      </c>
      <c r="G2070" s="9" t="s">
        <v>43</v>
      </c>
      <c r="H2070" s="9" t="s">
        <v>44</v>
      </c>
      <c r="I2070" s="11" t="s">
        <v>1588</v>
      </c>
      <c r="J2070" s="9" t="s">
        <v>155</v>
      </c>
      <c r="K2070" s="9" t="s">
        <v>271</v>
      </c>
      <c r="L2070" s="9"/>
      <c r="M2070" s="9" t="s">
        <v>3627</v>
      </c>
      <c r="N2070" s="9" t="s">
        <v>84</v>
      </c>
      <c r="O2070" s="9" t="s">
        <v>187</v>
      </c>
      <c r="P2070" s="9" t="s">
        <v>1589</v>
      </c>
      <c r="Q2070" s="9"/>
      <c r="R2070" s="9" t="s">
        <v>61</v>
      </c>
      <c r="S2070" s="14" t="s">
        <v>641</v>
      </c>
      <c r="T2070" s="9" t="s">
        <v>7278</v>
      </c>
      <c r="U2070" s="9" t="s">
        <v>54</v>
      </c>
      <c r="V2070" s="9" t="s">
        <v>55</v>
      </c>
      <c r="W2070" s="9" t="s">
        <v>55</v>
      </c>
      <c r="X2070" s="12" t="s">
        <v>319</v>
      </c>
      <c r="Y2070" s="9" t="s">
        <v>320</v>
      </c>
      <c r="Z2070" s="13"/>
    </row>
    <row r="2071" spans="1:26" ht="32.25" hidden="1" customHeight="1">
      <c r="A2071" s="8">
        <v>2311351</v>
      </c>
      <c r="B2071" s="9" t="s">
        <v>7279</v>
      </c>
      <c r="C2071" s="10">
        <v>45156</v>
      </c>
      <c r="D2071" s="9" t="s">
        <v>79</v>
      </c>
      <c r="E2071" s="9" t="s">
        <v>89</v>
      </c>
      <c r="F2071" s="9" t="s">
        <v>80</v>
      </c>
      <c r="G2071" s="9" t="s">
        <v>43</v>
      </c>
      <c r="H2071" s="9" t="s">
        <v>44</v>
      </c>
      <c r="I2071" s="11" t="s">
        <v>101</v>
      </c>
      <c r="J2071" s="9" t="s">
        <v>102</v>
      </c>
      <c r="K2071" s="9" t="s">
        <v>47</v>
      </c>
      <c r="L2071" s="9" t="s">
        <v>174</v>
      </c>
      <c r="M2071" s="9" t="s">
        <v>644</v>
      </c>
      <c r="N2071" s="9" t="s">
        <v>50</v>
      </c>
      <c r="O2071" s="9" t="s">
        <v>51</v>
      </c>
      <c r="P2071" s="9" t="s">
        <v>1229</v>
      </c>
      <c r="Q2071" s="9"/>
      <c r="R2071" s="9" t="s">
        <v>61</v>
      </c>
      <c r="S2071" s="14" t="s">
        <v>7280</v>
      </c>
      <c r="T2071" s="9" t="s">
        <v>7281</v>
      </c>
      <c r="U2071" s="9" t="s">
        <v>54</v>
      </c>
      <c r="V2071" s="9" t="s">
        <v>55</v>
      </c>
      <c r="W2071" s="9" t="s">
        <v>55</v>
      </c>
      <c r="X2071" s="12" t="s">
        <v>98</v>
      </c>
      <c r="Y2071" s="9" t="s">
        <v>99</v>
      </c>
      <c r="Z2071" s="13"/>
    </row>
    <row r="2072" spans="1:26" ht="32.25" hidden="1" customHeight="1">
      <c r="A2072" s="8">
        <v>2302861</v>
      </c>
      <c r="B2072" s="9" t="s">
        <v>7282</v>
      </c>
      <c r="C2072" s="10">
        <v>45156</v>
      </c>
      <c r="D2072" s="9" t="s">
        <v>79</v>
      </c>
      <c r="E2072" s="9" t="s">
        <v>153</v>
      </c>
      <c r="F2072" s="9" t="s">
        <v>80</v>
      </c>
      <c r="G2072" s="9" t="s">
        <v>43</v>
      </c>
      <c r="H2072" s="9" t="s">
        <v>44</v>
      </c>
      <c r="I2072" s="11" t="s">
        <v>1588</v>
      </c>
      <c r="J2072" s="9" t="s">
        <v>155</v>
      </c>
      <c r="K2072" s="9" t="s">
        <v>47</v>
      </c>
      <c r="L2072" s="9" t="s">
        <v>340</v>
      </c>
      <c r="M2072" s="9" t="s">
        <v>2570</v>
      </c>
      <c r="N2072" s="9" t="s">
        <v>50</v>
      </c>
      <c r="O2072" s="9" t="s">
        <v>51</v>
      </c>
      <c r="P2072" s="9" t="s">
        <v>1589</v>
      </c>
      <c r="Q2072" s="9"/>
      <c r="R2072" s="9" t="s">
        <v>61</v>
      </c>
      <c r="S2072" s="14" t="s">
        <v>7283</v>
      </c>
      <c r="T2072" s="9" t="s">
        <v>7284</v>
      </c>
      <c r="U2072" s="9" t="s">
        <v>54</v>
      </c>
      <c r="V2072" s="9" t="s">
        <v>331</v>
      </c>
      <c r="W2072" s="9" t="s">
        <v>115</v>
      </c>
      <c r="X2072" s="9" t="s">
        <v>64</v>
      </c>
      <c r="Y2072" s="9" t="s">
        <v>65</v>
      </c>
      <c r="Z2072" s="13"/>
    </row>
    <row r="2073" spans="1:26" ht="32.25" hidden="1" customHeight="1">
      <c r="A2073" s="8">
        <v>2314933</v>
      </c>
      <c r="B2073" s="9" t="s">
        <v>7285</v>
      </c>
      <c r="C2073" s="10">
        <v>45156</v>
      </c>
      <c r="D2073" s="9" t="s">
        <v>79</v>
      </c>
      <c r="E2073" s="9" t="s">
        <v>41</v>
      </c>
      <c r="F2073" s="9" t="s">
        <v>80</v>
      </c>
      <c r="G2073" s="9" t="s">
        <v>43</v>
      </c>
      <c r="H2073" s="9" t="s">
        <v>44</v>
      </c>
      <c r="I2073" s="11" t="s">
        <v>233</v>
      </c>
      <c r="J2073" s="9" t="s">
        <v>200</v>
      </c>
      <c r="K2073" s="9" t="s">
        <v>47</v>
      </c>
      <c r="L2073" s="9" t="s">
        <v>863</v>
      </c>
      <c r="M2073" s="9" t="s">
        <v>1258</v>
      </c>
      <c r="N2073" s="9" t="s">
        <v>50</v>
      </c>
      <c r="O2073" s="9" t="s">
        <v>51</v>
      </c>
      <c r="P2073" s="9" t="s">
        <v>443</v>
      </c>
      <c r="Q2073" s="9"/>
      <c r="R2073" s="9" t="s">
        <v>61</v>
      </c>
      <c r="S2073" s="14" t="s">
        <v>7286</v>
      </c>
      <c r="T2073" s="9" t="s">
        <v>7287</v>
      </c>
      <c r="U2073" s="9" t="s">
        <v>54</v>
      </c>
      <c r="V2073" s="9" t="s">
        <v>331</v>
      </c>
      <c r="W2073" s="9" t="s">
        <v>115</v>
      </c>
      <c r="X2073" s="9" t="s">
        <v>64</v>
      </c>
      <c r="Y2073" s="9" t="s">
        <v>65</v>
      </c>
      <c r="Z2073" s="13"/>
    </row>
    <row r="2074" spans="1:26" ht="32.25" hidden="1" customHeight="1">
      <c r="A2074" s="8">
        <v>2310059</v>
      </c>
      <c r="B2074" s="9" t="s">
        <v>7288</v>
      </c>
      <c r="C2074" s="10">
        <v>45142</v>
      </c>
      <c r="D2074" s="9" t="s">
        <v>67</v>
      </c>
      <c r="E2074" s="9" t="s">
        <v>143</v>
      </c>
      <c r="F2074" s="9" t="s">
        <v>42</v>
      </c>
      <c r="G2074" s="9" t="s">
        <v>43</v>
      </c>
      <c r="H2074" s="9" t="s">
        <v>44</v>
      </c>
      <c r="I2074" s="11" t="s">
        <v>144</v>
      </c>
      <c r="J2074" s="9" t="s">
        <v>145</v>
      </c>
      <c r="K2074" s="9" t="s">
        <v>47</v>
      </c>
      <c r="L2074" s="9" t="s">
        <v>167</v>
      </c>
      <c r="M2074" s="9" t="s">
        <v>168</v>
      </c>
      <c r="N2074" s="9" t="s">
        <v>84</v>
      </c>
      <c r="O2074" s="9" t="s">
        <v>51</v>
      </c>
      <c r="P2074" s="9" t="s">
        <v>147</v>
      </c>
      <c r="Q2074" s="9"/>
      <c r="R2074" s="9" t="s">
        <v>61</v>
      </c>
      <c r="S2074" s="9" t="s">
        <v>7289</v>
      </c>
      <c r="T2074" s="9" t="s">
        <v>7290</v>
      </c>
      <c r="U2074" s="9" t="s">
        <v>54</v>
      </c>
      <c r="V2074" s="9" t="s">
        <v>55</v>
      </c>
      <c r="W2074" s="9" t="s">
        <v>55</v>
      </c>
      <c r="X2074" s="12" t="s">
        <v>150</v>
      </c>
      <c r="Y2074" s="9" t="s">
        <v>151</v>
      </c>
      <c r="Z2074" s="13"/>
    </row>
    <row r="2075" spans="1:26" ht="32.25" hidden="1" customHeight="1">
      <c r="A2075" s="8">
        <v>2303387</v>
      </c>
      <c r="B2075" s="9" t="s">
        <v>7291</v>
      </c>
      <c r="C2075" s="10">
        <v>45149</v>
      </c>
      <c r="D2075" s="9" t="s">
        <v>57</v>
      </c>
      <c r="E2075" s="9" t="s">
        <v>41</v>
      </c>
      <c r="F2075" s="9" t="s">
        <v>42</v>
      </c>
      <c r="G2075" s="9" t="s">
        <v>43</v>
      </c>
      <c r="H2075" s="9" t="s">
        <v>58</v>
      </c>
      <c r="I2075" s="11" t="s">
        <v>199</v>
      </c>
      <c r="J2075" s="9" t="s">
        <v>200</v>
      </c>
      <c r="K2075" s="9" t="s">
        <v>47</v>
      </c>
      <c r="L2075" s="9" t="s">
        <v>48</v>
      </c>
      <c r="M2075" s="9" t="s">
        <v>1447</v>
      </c>
      <c r="N2075" s="9" t="s">
        <v>50</v>
      </c>
      <c r="O2075" s="9" t="s">
        <v>51</v>
      </c>
      <c r="P2075" s="9"/>
      <c r="Q2075" s="9"/>
      <c r="R2075" s="9"/>
      <c r="S2075" s="14" t="s">
        <v>7292</v>
      </c>
      <c r="T2075" s="9" t="s">
        <v>7293</v>
      </c>
      <c r="U2075" s="9" t="s">
        <v>54</v>
      </c>
      <c r="V2075" s="9" t="s">
        <v>55</v>
      </c>
      <c r="W2075" s="9" t="s">
        <v>55</v>
      </c>
      <c r="X2075" s="12"/>
      <c r="Y2075" s="9" t="s">
        <v>55</v>
      </c>
      <c r="Z2075" s="13"/>
    </row>
    <row r="2076" spans="1:26" ht="32.25" hidden="1" customHeight="1">
      <c r="A2076" s="8">
        <v>2310087</v>
      </c>
      <c r="B2076" s="9" t="s">
        <v>7294</v>
      </c>
      <c r="C2076" s="10">
        <v>45142</v>
      </c>
      <c r="D2076" s="9" t="s">
        <v>67</v>
      </c>
      <c r="E2076" s="9" t="s">
        <v>41</v>
      </c>
      <c r="F2076" s="9" t="s">
        <v>42</v>
      </c>
      <c r="G2076" s="9" t="s">
        <v>43</v>
      </c>
      <c r="H2076" s="9" t="s">
        <v>44</v>
      </c>
      <c r="I2076" s="11" t="s">
        <v>129</v>
      </c>
      <c r="J2076" s="9" t="s">
        <v>130</v>
      </c>
      <c r="K2076" s="9" t="s">
        <v>47</v>
      </c>
      <c r="L2076" s="9" t="s">
        <v>156</v>
      </c>
      <c r="M2076" s="9"/>
      <c r="N2076" s="9" t="s">
        <v>84</v>
      </c>
      <c r="O2076" s="9" t="s">
        <v>51</v>
      </c>
      <c r="P2076" s="9"/>
      <c r="Q2076" s="9"/>
      <c r="R2076" s="9"/>
      <c r="S2076" s="9" t="s">
        <v>7295</v>
      </c>
      <c r="T2076" s="9" t="s">
        <v>7296</v>
      </c>
      <c r="U2076" s="9" t="s">
        <v>54</v>
      </c>
      <c r="V2076" s="9" t="s">
        <v>55</v>
      </c>
      <c r="W2076" s="9" t="s">
        <v>55</v>
      </c>
      <c r="X2076" s="12"/>
      <c r="Y2076" s="9" t="s">
        <v>55</v>
      </c>
      <c r="Z2076" s="13"/>
    </row>
    <row r="2077" spans="1:26" ht="32.25" hidden="1" customHeight="1">
      <c r="A2077" s="8">
        <v>2315491</v>
      </c>
      <c r="B2077" s="9" t="s">
        <v>7294</v>
      </c>
      <c r="C2077" s="10">
        <v>45149</v>
      </c>
      <c r="D2077" s="9" t="s">
        <v>57</v>
      </c>
      <c r="E2077" s="9" t="s">
        <v>41</v>
      </c>
      <c r="F2077" s="9" t="s">
        <v>42</v>
      </c>
      <c r="G2077" s="9" t="s">
        <v>43</v>
      </c>
      <c r="H2077" s="9" t="s">
        <v>58</v>
      </c>
      <c r="I2077" s="11" t="s">
        <v>661</v>
      </c>
      <c r="J2077" s="9" t="s">
        <v>662</v>
      </c>
      <c r="K2077" s="9" t="s">
        <v>47</v>
      </c>
      <c r="L2077" s="9" t="s">
        <v>156</v>
      </c>
      <c r="M2077" s="9"/>
      <c r="N2077" s="9" t="s">
        <v>84</v>
      </c>
      <c r="O2077" s="9" t="s">
        <v>51</v>
      </c>
      <c r="P2077" s="9"/>
      <c r="Q2077" s="9"/>
      <c r="R2077" s="9"/>
      <c r="S2077" s="14" t="s">
        <v>7295</v>
      </c>
      <c r="T2077" s="9" t="s">
        <v>7296</v>
      </c>
      <c r="U2077" s="9" t="s">
        <v>54</v>
      </c>
      <c r="V2077" s="9" t="s">
        <v>55</v>
      </c>
      <c r="W2077" s="9" t="s">
        <v>55</v>
      </c>
      <c r="X2077" s="12"/>
      <c r="Y2077" s="9" t="s">
        <v>55</v>
      </c>
      <c r="Z2077" s="13"/>
    </row>
    <row r="2078" spans="1:26" ht="32.25" hidden="1" customHeight="1">
      <c r="A2078" s="8">
        <v>2305565</v>
      </c>
      <c r="B2078" s="9" t="s">
        <v>7297</v>
      </c>
      <c r="C2078" s="10">
        <v>45156</v>
      </c>
      <c r="D2078" s="9" t="s">
        <v>79</v>
      </c>
      <c r="E2078" s="9" t="s">
        <v>89</v>
      </c>
      <c r="F2078" s="9" t="s">
        <v>80</v>
      </c>
      <c r="G2078" s="9" t="s">
        <v>43</v>
      </c>
      <c r="H2078" s="9" t="s">
        <v>44</v>
      </c>
      <c r="I2078" s="11" t="s">
        <v>90</v>
      </c>
      <c r="J2078" s="9" t="s">
        <v>91</v>
      </c>
      <c r="K2078" s="9" t="s">
        <v>47</v>
      </c>
      <c r="L2078" s="9" t="s">
        <v>822</v>
      </c>
      <c r="M2078" s="9" t="s">
        <v>2104</v>
      </c>
      <c r="N2078" s="9" t="s">
        <v>50</v>
      </c>
      <c r="O2078" s="9" t="s">
        <v>51</v>
      </c>
      <c r="P2078" s="9" t="s">
        <v>176</v>
      </c>
      <c r="Q2078" s="9"/>
      <c r="R2078" s="9" t="s">
        <v>61</v>
      </c>
      <c r="S2078" s="14" t="s">
        <v>7298</v>
      </c>
      <c r="T2078" s="9" t="s">
        <v>7299</v>
      </c>
      <c r="U2078" s="9" t="s">
        <v>54</v>
      </c>
      <c r="V2078" s="9" t="s">
        <v>1916</v>
      </c>
      <c r="W2078" s="9" t="s">
        <v>115</v>
      </c>
      <c r="X2078" s="12" t="s">
        <v>171</v>
      </c>
      <c r="Y2078" s="9" t="s">
        <v>172</v>
      </c>
      <c r="Z2078" s="13"/>
    </row>
    <row r="2079" spans="1:26" ht="32.25" hidden="1" customHeight="1">
      <c r="A2079" s="8">
        <v>2303446</v>
      </c>
      <c r="B2079" s="9" t="s">
        <v>7300</v>
      </c>
      <c r="C2079" s="10">
        <v>45156</v>
      </c>
      <c r="D2079" s="9" t="s">
        <v>79</v>
      </c>
      <c r="E2079" s="9" t="s">
        <v>68</v>
      </c>
      <c r="F2079" s="9" t="s">
        <v>80</v>
      </c>
      <c r="G2079" s="9" t="s">
        <v>43</v>
      </c>
      <c r="H2079" s="9" t="s">
        <v>44</v>
      </c>
      <c r="I2079" s="11" t="s">
        <v>117</v>
      </c>
      <c r="J2079" s="9" t="s">
        <v>118</v>
      </c>
      <c r="K2079" s="9" t="s">
        <v>47</v>
      </c>
      <c r="L2079" s="9" t="s">
        <v>156</v>
      </c>
      <c r="M2079" s="9"/>
      <c r="N2079" s="9" t="s">
        <v>84</v>
      </c>
      <c r="O2079" s="9" t="s">
        <v>51</v>
      </c>
      <c r="P2079" s="9" t="s">
        <v>2945</v>
      </c>
      <c r="Q2079" s="9"/>
      <c r="R2079" s="9"/>
      <c r="S2079" s="14" t="s">
        <v>7301</v>
      </c>
      <c r="T2079" s="9" t="s">
        <v>7302</v>
      </c>
      <c r="U2079" s="9" t="s">
        <v>54</v>
      </c>
      <c r="V2079" s="9" t="s">
        <v>55</v>
      </c>
      <c r="W2079" s="9" t="s">
        <v>55</v>
      </c>
      <c r="X2079" s="12"/>
      <c r="Y2079" s="9" t="s">
        <v>55</v>
      </c>
      <c r="Z2079" s="13"/>
    </row>
    <row r="2080" spans="1:26" ht="32.25" hidden="1" customHeight="1">
      <c r="A2080" s="8">
        <v>2310722</v>
      </c>
      <c r="B2080" s="9" t="s">
        <v>7303</v>
      </c>
      <c r="C2080" s="10">
        <v>45149</v>
      </c>
      <c r="D2080" s="9" t="s">
        <v>261</v>
      </c>
      <c r="E2080" s="9" t="s">
        <v>143</v>
      </c>
      <c r="F2080" s="9" t="s">
        <v>262</v>
      </c>
      <c r="G2080" s="9" t="s">
        <v>43</v>
      </c>
      <c r="H2080" s="9" t="s">
        <v>44</v>
      </c>
      <c r="I2080" s="11" t="s">
        <v>1136</v>
      </c>
      <c r="J2080" s="9" t="s">
        <v>1137</v>
      </c>
      <c r="K2080" s="9" t="s">
        <v>47</v>
      </c>
      <c r="L2080" s="9" t="s">
        <v>1227</v>
      </c>
      <c r="M2080" s="9" t="s">
        <v>1820</v>
      </c>
      <c r="N2080" s="9" t="s">
        <v>50</v>
      </c>
      <c r="O2080" s="9" t="s">
        <v>51</v>
      </c>
      <c r="P2080" s="9"/>
      <c r="Q2080" s="9"/>
      <c r="R2080" s="9" t="s">
        <v>61</v>
      </c>
      <c r="S2080" s="14" t="s">
        <v>7304</v>
      </c>
      <c r="T2080" s="9" t="s">
        <v>7305</v>
      </c>
      <c r="U2080" s="9" t="s">
        <v>262</v>
      </c>
      <c r="V2080" s="9" t="s">
        <v>370</v>
      </c>
      <c r="W2080" s="9" t="s">
        <v>115</v>
      </c>
      <c r="X2080" s="12" t="s">
        <v>389</v>
      </c>
      <c r="Y2080" s="9" t="s">
        <v>390</v>
      </c>
      <c r="Z2080" s="13"/>
    </row>
    <row r="2081" spans="1:26" ht="32.25" hidden="1" customHeight="1">
      <c r="A2081" s="8">
        <v>2309069</v>
      </c>
      <c r="B2081" s="9" t="s">
        <v>7306</v>
      </c>
      <c r="C2081" s="10">
        <v>45149</v>
      </c>
      <c r="D2081" s="9" t="s">
        <v>57</v>
      </c>
      <c r="E2081" s="9" t="s">
        <v>295</v>
      </c>
      <c r="F2081" s="9" t="s">
        <v>42</v>
      </c>
      <c r="G2081" s="9" t="s">
        <v>43</v>
      </c>
      <c r="H2081" s="9" t="s">
        <v>58</v>
      </c>
      <c r="I2081" s="11" t="s">
        <v>406</v>
      </c>
      <c r="J2081" s="9" t="s">
        <v>407</v>
      </c>
      <c r="K2081" s="9" t="s">
        <v>47</v>
      </c>
      <c r="L2081" s="9" t="s">
        <v>156</v>
      </c>
      <c r="M2081" s="9"/>
      <c r="N2081" s="9" t="s">
        <v>50</v>
      </c>
      <c r="O2081" s="9" t="s">
        <v>51</v>
      </c>
      <c r="P2081" s="9"/>
      <c r="Q2081" s="9"/>
      <c r="R2081" s="9"/>
      <c r="S2081" s="14" t="s">
        <v>7307</v>
      </c>
      <c r="T2081" s="9" t="s">
        <v>7308</v>
      </c>
      <c r="U2081" s="9" t="s">
        <v>54</v>
      </c>
      <c r="V2081" s="9" t="s">
        <v>55</v>
      </c>
      <c r="W2081" s="9" t="s">
        <v>55</v>
      </c>
      <c r="X2081" s="12"/>
      <c r="Y2081" s="9" t="s">
        <v>55</v>
      </c>
      <c r="Z2081" s="13"/>
    </row>
    <row r="2082" spans="1:26" ht="32.25" hidden="1" customHeight="1">
      <c r="A2082" s="8">
        <v>2311475</v>
      </c>
      <c r="B2082" s="9" t="s">
        <v>7309</v>
      </c>
      <c r="C2082" s="10">
        <v>45149</v>
      </c>
      <c r="D2082" s="9" t="s">
        <v>261</v>
      </c>
      <c r="E2082" s="9" t="s">
        <v>143</v>
      </c>
      <c r="F2082" s="9" t="s">
        <v>262</v>
      </c>
      <c r="G2082" s="9" t="s">
        <v>43</v>
      </c>
      <c r="H2082" s="9" t="s">
        <v>44</v>
      </c>
      <c r="I2082" s="11" t="s">
        <v>435</v>
      </c>
      <c r="J2082" s="9" t="s">
        <v>436</v>
      </c>
      <c r="K2082" s="9" t="s">
        <v>47</v>
      </c>
      <c r="L2082" s="9" t="s">
        <v>340</v>
      </c>
      <c r="M2082" s="9" t="s">
        <v>1473</v>
      </c>
      <c r="N2082" s="9" t="s">
        <v>50</v>
      </c>
      <c r="O2082" s="9" t="s">
        <v>51</v>
      </c>
      <c r="P2082" s="9"/>
      <c r="Q2082" s="9"/>
      <c r="R2082" s="9"/>
      <c r="S2082" s="14" t="s">
        <v>7310</v>
      </c>
      <c r="T2082" s="9" t="s">
        <v>7311</v>
      </c>
      <c r="U2082" s="9" t="s">
        <v>262</v>
      </c>
      <c r="V2082" s="9" t="s">
        <v>55</v>
      </c>
      <c r="W2082" s="9" t="s">
        <v>55</v>
      </c>
      <c r="X2082" s="12"/>
      <c r="Y2082" s="9" t="s">
        <v>55</v>
      </c>
      <c r="Z2082" s="13"/>
    </row>
    <row r="2083" spans="1:26" ht="32.25" hidden="1" customHeight="1">
      <c r="A2083" s="8">
        <v>2308350</v>
      </c>
      <c r="B2083" s="9" t="s">
        <v>7312</v>
      </c>
      <c r="C2083" s="10">
        <v>45136</v>
      </c>
      <c r="D2083" s="9" t="s">
        <v>40</v>
      </c>
      <c r="E2083" s="9" t="s">
        <v>41</v>
      </c>
      <c r="F2083" s="9" t="s">
        <v>42</v>
      </c>
      <c r="G2083" s="9" t="s">
        <v>43</v>
      </c>
      <c r="H2083" s="9" t="s">
        <v>44</v>
      </c>
      <c r="I2083" s="11" t="s">
        <v>199</v>
      </c>
      <c r="J2083" s="9" t="s">
        <v>200</v>
      </c>
      <c r="K2083" s="9" t="s">
        <v>47</v>
      </c>
      <c r="L2083" s="9" t="s">
        <v>162</v>
      </c>
      <c r="M2083" s="9" t="s">
        <v>345</v>
      </c>
      <c r="N2083" s="9" t="s">
        <v>50</v>
      </c>
      <c r="O2083" s="9" t="s">
        <v>51</v>
      </c>
      <c r="P2083" s="9"/>
      <c r="Q2083" s="9"/>
      <c r="R2083" s="9" t="s">
        <v>61</v>
      </c>
      <c r="S2083" s="9" t="s">
        <v>7313</v>
      </c>
      <c r="T2083" s="9" t="s">
        <v>7314</v>
      </c>
      <c r="U2083" s="9" t="s">
        <v>54</v>
      </c>
      <c r="V2083" s="9" t="s">
        <v>55</v>
      </c>
      <c r="W2083" s="9" t="s">
        <v>55</v>
      </c>
      <c r="X2083" s="12" t="s">
        <v>196</v>
      </c>
      <c r="Y2083" s="9" t="s">
        <v>197</v>
      </c>
      <c r="Z2083" s="13"/>
    </row>
    <row r="2084" spans="1:26" ht="32.25" hidden="1" customHeight="1">
      <c r="A2084" s="8">
        <v>2302899</v>
      </c>
      <c r="B2084" s="9" t="s">
        <v>7315</v>
      </c>
      <c r="C2084" s="10">
        <v>45142</v>
      </c>
      <c r="D2084" s="9" t="s">
        <v>67</v>
      </c>
      <c r="E2084" s="9" t="s">
        <v>89</v>
      </c>
      <c r="F2084" s="9" t="s">
        <v>42</v>
      </c>
      <c r="G2084" s="9" t="s">
        <v>43</v>
      </c>
      <c r="H2084" s="9" t="s">
        <v>44</v>
      </c>
      <c r="I2084" s="11" t="s">
        <v>354</v>
      </c>
      <c r="J2084" s="9" t="s">
        <v>91</v>
      </c>
      <c r="K2084" s="9" t="s">
        <v>47</v>
      </c>
      <c r="L2084" s="9" t="s">
        <v>156</v>
      </c>
      <c r="M2084" s="9"/>
      <c r="N2084" s="9" t="s">
        <v>50</v>
      </c>
      <c r="O2084" s="9" t="s">
        <v>51</v>
      </c>
      <c r="P2084" s="9" t="s">
        <v>356</v>
      </c>
      <c r="Q2084" s="9"/>
      <c r="R2084" s="9"/>
      <c r="S2084" s="9" t="s">
        <v>7316</v>
      </c>
      <c r="T2084" s="9" t="s">
        <v>7317</v>
      </c>
      <c r="U2084" s="9" t="s">
        <v>54</v>
      </c>
      <c r="V2084" s="9" t="s">
        <v>55</v>
      </c>
      <c r="W2084" s="9" t="s">
        <v>55</v>
      </c>
      <c r="X2084" s="12"/>
      <c r="Y2084" s="9" t="s">
        <v>55</v>
      </c>
      <c r="Z2084" s="13"/>
    </row>
    <row r="2085" spans="1:26" ht="32.25" hidden="1" customHeight="1">
      <c r="A2085" s="8">
        <v>2301145</v>
      </c>
      <c r="B2085" s="9" t="s">
        <v>7318</v>
      </c>
      <c r="C2085" s="10">
        <v>45136</v>
      </c>
      <c r="D2085" s="9" t="s">
        <v>1072</v>
      </c>
      <c r="E2085" s="9" t="s">
        <v>89</v>
      </c>
      <c r="F2085" s="9" t="s">
        <v>42</v>
      </c>
      <c r="G2085" s="9" t="s">
        <v>43</v>
      </c>
      <c r="H2085" s="9" t="s">
        <v>44</v>
      </c>
      <c r="I2085" s="11" t="s">
        <v>360</v>
      </c>
      <c r="J2085" s="9" t="s">
        <v>102</v>
      </c>
      <c r="K2085" s="9" t="s">
        <v>47</v>
      </c>
      <c r="L2085" s="9" t="s">
        <v>156</v>
      </c>
      <c r="M2085" s="9" t="s">
        <v>737</v>
      </c>
      <c r="N2085" s="9" t="s">
        <v>50</v>
      </c>
      <c r="O2085" s="9" t="s">
        <v>51</v>
      </c>
      <c r="P2085" s="9" t="s">
        <v>361</v>
      </c>
      <c r="Q2085" s="9"/>
      <c r="R2085" s="9"/>
      <c r="S2085" s="9" t="s">
        <v>7319</v>
      </c>
      <c r="T2085" s="9" t="s">
        <v>7320</v>
      </c>
      <c r="U2085" s="9" t="s">
        <v>54</v>
      </c>
      <c r="V2085" s="9" t="s">
        <v>55</v>
      </c>
      <c r="W2085" s="9" t="s">
        <v>55</v>
      </c>
      <c r="X2085" s="12"/>
      <c r="Y2085" s="9" t="s">
        <v>55</v>
      </c>
      <c r="Z2085" s="13"/>
    </row>
    <row r="2086" spans="1:26" ht="32.25" hidden="1" customHeight="1">
      <c r="A2086" s="8">
        <v>2304369</v>
      </c>
      <c r="B2086" s="9" t="s">
        <v>7321</v>
      </c>
      <c r="C2086" s="10">
        <v>45142</v>
      </c>
      <c r="D2086" s="9" t="s">
        <v>67</v>
      </c>
      <c r="E2086" s="9" t="s">
        <v>143</v>
      </c>
      <c r="F2086" s="9" t="s">
        <v>42</v>
      </c>
      <c r="G2086" s="9" t="s">
        <v>43</v>
      </c>
      <c r="H2086" s="9" t="s">
        <v>44</v>
      </c>
      <c r="I2086" s="11" t="s">
        <v>334</v>
      </c>
      <c r="J2086" s="9" t="s">
        <v>327</v>
      </c>
      <c r="K2086" s="9" t="s">
        <v>47</v>
      </c>
      <c r="L2086" s="9" t="s">
        <v>156</v>
      </c>
      <c r="M2086" s="9"/>
      <c r="N2086" s="9" t="s">
        <v>84</v>
      </c>
      <c r="O2086" s="9" t="s">
        <v>51</v>
      </c>
      <c r="P2086" s="9" t="s">
        <v>336</v>
      </c>
      <c r="Q2086" s="9"/>
      <c r="R2086" s="9"/>
      <c r="S2086" s="9" t="s">
        <v>7322</v>
      </c>
      <c r="T2086" s="9" t="s">
        <v>7323</v>
      </c>
      <c r="U2086" s="9" t="s">
        <v>54</v>
      </c>
      <c r="V2086" s="9" t="s">
        <v>55</v>
      </c>
      <c r="W2086" s="9" t="s">
        <v>55</v>
      </c>
      <c r="X2086" s="12"/>
      <c r="Y2086" s="9" t="s">
        <v>55</v>
      </c>
      <c r="Z2086" s="13"/>
    </row>
    <row r="2087" spans="1:26" ht="32.25" hidden="1" customHeight="1">
      <c r="A2087" s="8">
        <v>2305263</v>
      </c>
      <c r="B2087" s="9" t="s">
        <v>7324</v>
      </c>
      <c r="C2087" s="10">
        <v>45142</v>
      </c>
      <c r="D2087" s="9" t="s">
        <v>67</v>
      </c>
      <c r="E2087" s="9" t="s">
        <v>68</v>
      </c>
      <c r="F2087" s="9" t="s">
        <v>135</v>
      </c>
      <c r="G2087" s="9" t="s">
        <v>43</v>
      </c>
      <c r="H2087" s="9" t="s">
        <v>44</v>
      </c>
      <c r="I2087" s="11" t="s">
        <v>136</v>
      </c>
      <c r="J2087" s="9" t="s">
        <v>137</v>
      </c>
      <c r="K2087" s="9" t="s">
        <v>47</v>
      </c>
      <c r="L2087" s="9" t="s">
        <v>156</v>
      </c>
      <c r="M2087" s="9"/>
      <c r="N2087" s="9" t="s">
        <v>50</v>
      </c>
      <c r="O2087" s="9" t="s">
        <v>51</v>
      </c>
      <c r="P2087" s="9"/>
      <c r="Q2087" s="9"/>
      <c r="R2087" s="9"/>
      <c r="S2087" s="9" t="s">
        <v>7325</v>
      </c>
      <c r="T2087" s="9" t="s">
        <v>7326</v>
      </c>
      <c r="U2087" s="9" t="s">
        <v>54</v>
      </c>
      <c r="V2087" s="9" t="s">
        <v>55</v>
      </c>
      <c r="W2087" s="9" t="s">
        <v>55</v>
      </c>
      <c r="X2087" s="12"/>
      <c r="Y2087" s="9" t="s">
        <v>55</v>
      </c>
      <c r="Z2087" s="13"/>
    </row>
    <row r="2088" spans="1:26" ht="32.25" hidden="1" customHeight="1">
      <c r="A2088" s="8">
        <v>2303796</v>
      </c>
      <c r="B2088" s="9" t="s">
        <v>7327</v>
      </c>
      <c r="C2088" s="10">
        <v>45149</v>
      </c>
      <c r="D2088" s="9" t="s">
        <v>57</v>
      </c>
      <c r="E2088" s="9" t="s">
        <v>41</v>
      </c>
      <c r="F2088" s="9" t="s">
        <v>42</v>
      </c>
      <c r="G2088" s="9" t="s">
        <v>43</v>
      </c>
      <c r="H2088" s="9" t="s">
        <v>58</v>
      </c>
      <c r="I2088" s="11" t="s">
        <v>129</v>
      </c>
      <c r="J2088" s="9" t="s">
        <v>130</v>
      </c>
      <c r="K2088" s="9" t="s">
        <v>47</v>
      </c>
      <c r="L2088" s="9" t="s">
        <v>48</v>
      </c>
      <c r="M2088" s="9" t="s">
        <v>469</v>
      </c>
      <c r="N2088" s="9" t="s">
        <v>50</v>
      </c>
      <c r="O2088" s="9" t="s">
        <v>51</v>
      </c>
      <c r="P2088" s="9"/>
      <c r="Q2088" s="9"/>
      <c r="R2088" s="9"/>
      <c r="S2088" s="14" t="s">
        <v>7328</v>
      </c>
      <c r="T2088" s="9" t="s">
        <v>7329</v>
      </c>
      <c r="U2088" s="9" t="s">
        <v>54</v>
      </c>
      <c r="V2088" s="9" t="s">
        <v>55</v>
      </c>
      <c r="W2088" s="9" t="s">
        <v>55</v>
      </c>
      <c r="X2088" s="12"/>
      <c r="Y2088" s="9" t="s">
        <v>55</v>
      </c>
      <c r="Z2088" s="13"/>
    </row>
    <row r="2089" spans="1:26" ht="32.25" hidden="1" customHeight="1">
      <c r="A2089" s="8">
        <v>2303224</v>
      </c>
      <c r="B2089" s="9" t="s">
        <v>7330</v>
      </c>
      <c r="C2089" s="10">
        <v>45149</v>
      </c>
      <c r="D2089" s="9" t="s">
        <v>261</v>
      </c>
      <c r="E2089" s="9" t="s">
        <v>143</v>
      </c>
      <c r="F2089" s="9" t="s">
        <v>262</v>
      </c>
      <c r="G2089" s="9" t="s">
        <v>43</v>
      </c>
      <c r="H2089" s="9" t="s">
        <v>44</v>
      </c>
      <c r="I2089" s="11" t="s">
        <v>6461</v>
      </c>
      <c r="J2089" s="9" t="s">
        <v>6462</v>
      </c>
      <c r="K2089" s="9" t="s">
        <v>47</v>
      </c>
      <c r="L2089" s="9" t="s">
        <v>59</v>
      </c>
      <c r="M2089" s="9" t="s">
        <v>60</v>
      </c>
      <c r="N2089" s="9" t="s">
        <v>50</v>
      </c>
      <c r="O2089" s="9" t="s">
        <v>51</v>
      </c>
      <c r="P2089" s="9"/>
      <c r="Q2089" s="9"/>
      <c r="R2089" s="9"/>
      <c r="S2089" s="14" t="s">
        <v>7331</v>
      </c>
      <c r="T2089" s="9" t="s">
        <v>7332</v>
      </c>
      <c r="U2089" s="9" t="s">
        <v>262</v>
      </c>
      <c r="V2089" s="9" t="s">
        <v>55</v>
      </c>
      <c r="W2089" s="9" t="s">
        <v>115</v>
      </c>
      <c r="X2089" s="12"/>
      <c r="Y2089" s="9" t="s">
        <v>55</v>
      </c>
      <c r="Z2089" s="13"/>
    </row>
    <row r="2090" spans="1:26" ht="32.25" hidden="1" customHeight="1">
      <c r="A2090" s="8">
        <v>2311286</v>
      </c>
      <c r="B2090" s="9" t="s">
        <v>7333</v>
      </c>
      <c r="C2090" s="10">
        <v>45156</v>
      </c>
      <c r="D2090" s="9" t="s">
        <v>79</v>
      </c>
      <c r="E2090" s="9" t="s">
        <v>89</v>
      </c>
      <c r="F2090" s="9" t="s">
        <v>80</v>
      </c>
      <c r="G2090" s="9" t="s">
        <v>43</v>
      </c>
      <c r="H2090" s="9" t="s">
        <v>44</v>
      </c>
      <c r="I2090" s="11" t="s">
        <v>90</v>
      </c>
      <c r="J2090" s="9" t="s">
        <v>91</v>
      </c>
      <c r="K2090" s="9" t="s">
        <v>47</v>
      </c>
      <c r="L2090" s="9" t="s">
        <v>48</v>
      </c>
      <c r="M2090" s="9" t="s">
        <v>49</v>
      </c>
      <c r="N2090" s="9" t="s">
        <v>84</v>
      </c>
      <c r="O2090" s="9" t="s">
        <v>51</v>
      </c>
      <c r="P2090" s="9" t="s">
        <v>865</v>
      </c>
      <c r="Q2090" s="9"/>
      <c r="R2090" s="9"/>
      <c r="S2090" s="14" t="s">
        <v>7334</v>
      </c>
      <c r="T2090" s="9" t="s">
        <v>7335</v>
      </c>
      <c r="U2090" s="9" t="s">
        <v>54</v>
      </c>
      <c r="V2090" s="9" t="s">
        <v>55</v>
      </c>
      <c r="W2090" s="9" t="s">
        <v>55</v>
      </c>
      <c r="X2090" s="12"/>
      <c r="Y2090" s="9" t="s">
        <v>55</v>
      </c>
      <c r="Z2090" s="13"/>
    </row>
    <row r="2091" spans="1:26" ht="32.25" hidden="1" customHeight="1">
      <c r="A2091" s="8">
        <v>2300920</v>
      </c>
      <c r="B2091" s="9" t="s">
        <v>7336</v>
      </c>
      <c r="C2091" s="10">
        <v>45142</v>
      </c>
      <c r="D2091" s="9" t="s">
        <v>67</v>
      </c>
      <c r="E2091" s="9" t="s">
        <v>153</v>
      </c>
      <c r="F2091" s="9" t="s">
        <v>42</v>
      </c>
      <c r="G2091" s="9" t="s">
        <v>43</v>
      </c>
      <c r="H2091" s="9" t="s">
        <v>44</v>
      </c>
      <c r="I2091" s="11" t="s">
        <v>154</v>
      </c>
      <c r="J2091" s="9" t="s">
        <v>155</v>
      </c>
      <c r="K2091" s="9" t="s">
        <v>47</v>
      </c>
      <c r="L2091" s="9" t="s">
        <v>574</v>
      </c>
      <c r="M2091" s="9" t="s">
        <v>7337</v>
      </c>
      <c r="N2091" s="9" t="s">
        <v>84</v>
      </c>
      <c r="O2091" s="9" t="s">
        <v>51</v>
      </c>
      <c r="P2091" s="9"/>
      <c r="Q2091" s="9"/>
      <c r="R2091" s="9" t="s">
        <v>61</v>
      </c>
      <c r="S2091" s="9" t="s">
        <v>7338</v>
      </c>
      <c r="T2091" s="9" t="s">
        <v>7339</v>
      </c>
      <c r="U2091" s="9" t="s">
        <v>54</v>
      </c>
      <c r="V2091" s="9" t="s">
        <v>55</v>
      </c>
      <c r="W2091" s="9" t="s">
        <v>55</v>
      </c>
      <c r="X2091" s="12" t="s">
        <v>171</v>
      </c>
      <c r="Y2091" s="9" t="s">
        <v>172</v>
      </c>
      <c r="Z2091" s="13"/>
    </row>
    <row r="2092" spans="1:26" ht="32.25" hidden="1" customHeight="1">
      <c r="A2092" s="8">
        <v>2309800</v>
      </c>
      <c r="B2092" s="9" t="s">
        <v>7340</v>
      </c>
      <c r="C2092" s="10">
        <v>45136</v>
      </c>
      <c r="D2092" s="9" t="s">
        <v>40</v>
      </c>
      <c r="E2092" s="9" t="s">
        <v>41</v>
      </c>
      <c r="F2092" s="9" t="s">
        <v>42</v>
      </c>
      <c r="G2092" s="9" t="s">
        <v>43</v>
      </c>
      <c r="H2092" s="9" t="s">
        <v>44</v>
      </c>
      <c r="I2092" s="11" t="s">
        <v>45</v>
      </c>
      <c r="J2092" s="9" t="s">
        <v>46</v>
      </c>
      <c r="K2092" s="9" t="s">
        <v>47</v>
      </c>
      <c r="L2092" s="9" t="s">
        <v>437</v>
      </c>
      <c r="M2092" s="9" t="s">
        <v>1882</v>
      </c>
      <c r="N2092" s="9" t="s">
        <v>84</v>
      </c>
      <c r="O2092" s="9" t="s">
        <v>51</v>
      </c>
      <c r="P2092" s="9"/>
      <c r="Q2092" s="9"/>
      <c r="R2092" s="9" t="s">
        <v>61</v>
      </c>
      <c r="S2092" s="9" t="s">
        <v>7341</v>
      </c>
      <c r="T2092" s="9" t="s">
        <v>7342</v>
      </c>
      <c r="U2092" s="9" t="s">
        <v>54</v>
      </c>
      <c r="V2092" s="9" t="s">
        <v>55</v>
      </c>
      <c r="W2092" s="9" t="s">
        <v>55</v>
      </c>
      <c r="X2092" s="9" t="s">
        <v>64</v>
      </c>
      <c r="Y2092" s="9" t="s">
        <v>65</v>
      </c>
      <c r="Z2092" s="13"/>
    </row>
    <row r="2093" spans="1:26" ht="32.25" hidden="1" customHeight="1">
      <c r="A2093" s="8">
        <v>2300537</v>
      </c>
      <c r="B2093" s="9" t="s">
        <v>7343</v>
      </c>
      <c r="C2093" s="10">
        <v>45142</v>
      </c>
      <c r="D2093" s="9" t="s">
        <v>67</v>
      </c>
      <c r="E2093" s="9" t="s">
        <v>68</v>
      </c>
      <c r="F2093" s="9" t="s">
        <v>135</v>
      </c>
      <c r="G2093" s="9" t="s">
        <v>43</v>
      </c>
      <c r="H2093" s="9" t="s">
        <v>44</v>
      </c>
      <c r="I2093" s="11" t="s">
        <v>136</v>
      </c>
      <c r="J2093" s="9" t="s">
        <v>137</v>
      </c>
      <c r="K2093" s="9" t="s">
        <v>47</v>
      </c>
      <c r="L2093" s="9" t="s">
        <v>221</v>
      </c>
      <c r="M2093" s="9" t="s">
        <v>5274</v>
      </c>
      <c r="N2093" s="9" t="s">
        <v>84</v>
      </c>
      <c r="O2093" s="9" t="s">
        <v>51</v>
      </c>
      <c r="P2093" s="9"/>
      <c r="Q2093" s="9"/>
      <c r="R2093" s="9" t="s">
        <v>61</v>
      </c>
      <c r="S2093" s="9" t="s">
        <v>7344</v>
      </c>
      <c r="T2093" s="9" t="s">
        <v>7345</v>
      </c>
      <c r="U2093" s="9" t="s">
        <v>54</v>
      </c>
      <c r="V2093" s="9" t="s">
        <v>55</v>
      </c>
      <c r="W2093" s="9" t="s">
        <v>55</v>
      </c>
      <c r="X2093" s="12" t="s">
        <v>76</v>
      </c>
      <c r="Y2093" s="9" t="s">
        <v>77</v>
      </c>
      <c r="Z2093" s="13"/>
    </row>
    <row r="2094" spans="1:26" ht="32.25" hidden="1" customHeight="1">
      <c r="A2094" s="8">
        <v>2305576</v>
      </c>
      <c r="B2094" s="9" t="s">
        <v>7346</v>
      </c>
      <c r="C2094" s="10">
        <v>45149</v>
      </c>
      <c r="D2094" s="9" t="s">
        <v>57</v>
      </c>
      <c r="E2094" s="9" t="s">
        <v>41</v>
      </c>
      <c r="F2094" s="9" t="s">
        <v>42</v>
      </c>
      <c r="G2094" s="9" t="s">
        <v>43</v>
      </c>
      <c r="H2094" s="9" t="s">
        <v>58</v>
      </c>
      <c r="I2094" s="11" t="s">
        <v>129</v>
      </c>
      <c r="J2094" s="9" t="s">
        <v>130</v>
      </c>
      <c r="K2094" s="9" t="s">
        <v>47</v>
      </c>
      <c r="L2094" s="9" t="s">
        <v>156</v>
      </c>
      <c r="M2094" s="9"/>
      <c r="N2094" s="9" t="s">
        <v>84</v>
      </c>
      <c r="O2094" s="9" t="s">
        <v>51</v>
      </c>
      <c r="P2094" s="9"/>
      <c r="Q2094" s="9"/>
      <c r="R2094" s="9"/>
      <c r="S2094" s="14" t="s">
        <v>7347</v>
      </c>
      <c r="T2094" s="9" t="s">
        <v>7348</v>
      </c>
      <c r="U2094" s="9" t="s">
        <v>54</v>
      </c>
      <c r="V2094" s="9" t="s">
        <v>55</v>
      </c>
      <c r="W2094" s="9" t="s">
        <v>55</v>
      </c>
      <c r="X2094" s="12"/>
      <c r="Y2094" s="9" t="s">
        <v>55</v>
      </c>
      <c r="Z2094" s="13"/>
    </row>
    <row r="2095" spans="1:26" ht="32.25" hidden="1" customHeight="1">
      <c r="A2095" s="8">
        <v>2302211</v>
      </c>
      <c r="B2095" s="9" t="s">
        <v>7349</v>
      </c>
      <c r="C2095" s="10">
        <v>45149</v>
      </c>
      <c r="D2095" s="9" t="s">
        <v>261</v>
      </c>
      <c r="E2095" s="9" t="s">
        <v>153</v>
      </c>
      <c r="F2095" s="9" t="s">
        <v>262</v>
      </c>
      <c r="G2095" s="9" t="s">
        <v>43</v>
      </c>
      <c r="H2095" s="9" t="s">
        <v>44</v>
      </c>
      <c r="I2095" s="11" t="s">
        <v>1136</v>
      </c>
      <c r="J2095" s="9" t="s">
        <v>1137</v>
      </c>
      <c r="K2095" s="9" t="s">
        <v>47</v>
      </c>
      <c r="L2095" s="9" t="s">
        <v>167</v>
      </c>
      <c r="M2095" s="9" t="s">
        <v>7350</v>
      </c>
      <c r="N2095" s="9" t="s">
        <v>50</v>
      </c>
      <c r="O2095" s="9" t="s">
        <v>51</v>
      </c>
      <c r="P2095" s="9"/>
      <c r="Q2095" s="9"/>
      <c r="R2095" s="9"/>
      <c r="S2095" s="14" t="s">
        <v>7351</v>
      </c>
      <c r="T2095" s="9" t="s">
        <v>7352</v>
      </c>
      <c r="U2095" s="9" t="s">
        <v>262</v>
      </c>
      <c r="V2095" s="9" t="s">
        <v>251</v>
      </c>
      <c r="W2095" s="9" t="s">
        <v>115</v>
      </c>
      <c r="X2095" s="12"/>
      <c r="Y2095" s="9" t="s">
        <v>55</v>
      </c>
      <c r="Z2095" s="13"/>
    </row>
    <row r="2096" spans="1:26" ht="32.25" hidden="1" customHeight="1">
      <c r="A2096" s="8">
        <v>2307781</v>
      </c>
      <c r="B2096" s="9" t="s">
        <v>7353</v>
      </c>
      <c r="C2096" s="10">
        <v>45156</v>
      </c>
      <c r="D2096" s="9" t="s">
        <v>79</v>
      </c>
      <c r="E2096" s="9" t="s">
        <v>41</v>
      </c>
      <c r="F2096" s="9" t="s">
        <v>80</v>
      </c>
      <c r="G2096" s="9" t="s">
        <v>43</v>
      </c>
      <c r="H2096" s="9" t="s">
        <v>44</v>
      </c>
      <c r="I2096" s="11" t="s">
        <v>233</v>
      </c>
      <c r="J2096" s="9" t="s">
        <v>200</v>
      </c>
      <c r="K2096" s="9" t="s">
        <v>47</v>
      </c>
      <c r="L2096" s="9" t="s">
        <v>156</v>
      </c>
      <c r="M2096" s="9"/>
      <c r="N2096" s="9" t="s">
        <v>50</v>
      </c>
      <c r="O2096" s="9" t="s">
        <v>51</v>
      </c>
      <c r="P2096" s="9" t="s">
        <v>865</v>
      </c>
      <c r="Q2096" s="9"/>
      <c r="R2096" s="9"/>
      <c r="S2096" s="14" t="s">
        <v>7354</v>
      </c>
      <c r="T2096" s="9" t="s">
        <v>7355</v>
      </c>
      <c r="U2096" s="9" t="s">
        <v>54</v>
      </c>
      <c r="V2096" s="9" t="s">
        <v>55</v>
      </c>
      <c r="W2096" s="9" t="s">
        <v>55</v>
      </c>
      <c r="X2096" s="12"/>
      <c r="Y2096" s="9" t="s">
        <v>55</v>
      </c>
      <c r="Z2096" s="13"/>
    </row>
    <row r="2097" spans="1:26" ht="32.25" hidden="1" customHeight="1">
      <c r="A2097" s="8">
        <v>2302025</v>
      </c>
      <c r="B2097" s="9" t="s">
        <v>7356</v>
      </c>
      <c r="C2097" s="10">
        <v>45149</v>
      </c>
      <c r="D2097" s="9" t="s">
        <v>57</v>
      </c>
      <c r="E2097" s="9" t="s">
        <v>153</v>
      </c>
      <c r="F2097" s="9" t="s">
        <v>42</v>
      </c>
      <c r="G2097" s="9" t="s">
        <v>43</v>
      </c>
      <c r="H2097" s="9" t="s">
        <v>58</v>
      </c>
      <c r="I2097" s="11" t="s">
        <v>154</v>
      </c>
      <c r="J2097" s="9" t="s">
        <v>155</v>
      </c>
      <c r="K2097" s="9" t="s">
        <v>47</v>
      </c>
      <c r="L2097" s="9" t="s">
        <v>746</v>
      </c>
      <c r="M2097" s="9" t="s">
        <v>747</v>
      </c>
      <c r="N2097" s="9" t="s">
        <v>84</v>
      </c>
      <c r="O2097" s="9" t="s">
        <v>51</v>
      </c>
      <c r="P2097" s="9"/>
      <c r="Q2097" s="9"/>
      <c r="R2097" s="9" t="s">
        <v>61</v>
      </c>
      <c r="S2097" s="14" t="s">
        <v>7357</v>
      </c>
      <c r="T2097" s="9" t="s">
        <v>7358</v>
      </c>
      <c r="U2097" s="9" t="s">
        <v>54</v>
      </c>
      <c r="V2097" s="9" t="s">
        <v>55</v>
      </c>
      <c r="W2097" s="9" t="s">
        <v>55</v>
      </c>
      <c r="X2097" s="12" t="s">
        <v>171</v>
      </c>
      <c r="Y2097" s="9" t="s">
        <v>172</v>
      </c>
      <c r="Z2097" s="13"/>
    </row>
    <row r="2098" spans="1:26" ht="32.25" hidden="1" customHeight="1">
      <c r="A2098" s="8">
        <v>2306633</v>
      </c>
      <c r="B2098" s="9" t="s">
        <v>7359</v>
      </c>
      <c r="C2098" s="10">
        <v>45149</v>
      </c>
      <c r="D2098" s="9" t="s">
        <v>57</v>
      </c>
      <c r="E2098" s="9" t="s">
        <v>41</v>
      </c>
      <c r="F2098" s="9" t="s">
        <v>42</v>
      </c>
      <c r="G2098" s="9" t="s">
        <v>43</v>
      </c>
      <c r="H2098" s="9" t="s">
        <v>58</v>
      </c>
      <c r="I2098" s="11" t="s">
        <v>129</v>
      </c>
      <c r="J2098" s="9" t="s">
        <v>130</v>
      </c>
      <c r="K2098" s="9" t="s">
        <v>47</v>
      </c>
      <c r="L2098" s="9" t="s">
        <v>48</v>
      </c>
      <c r="M2098" s="9" t="s">
        <v>1985</v>
      </c>
      <c r="N2098" s="9" t="s">
        <v>84</v>
      </c>
      <c r="O2098" s="9" t="s">
        <v>51</v>
      </c>
      <c r="P2098" s="9"/>
      <c r="Q2098" s="9"/>
      <c r="R2098" s="9"/>
      <c r="S2098" s="14" t="s">
        <v>7360</v>
      </c>
      <c r="T2098" s="9" t="s">
        <v>7361</v>
      </c>
      <c r="U2098" s="9" t="s">
        <v>54</v>
      </c>
      <c r="V2098" s="9" t="s">
        <v>55</v>
      </c>
      <c r="W2098" s="9" t="s">
        <v>55</v>
      </c>
      <c r="X2098" s="12"/>
      <c r="Y2098" s="9" t="s">
        <v>55</v>
      </c>
      <c r="Z2098" s="13"/>
    </row>
    <row r="2099" spans="1:26" ht="32.25" hidden="1" customHeight="1">
      <c r="A2099" s="8">
        <v>2314648</v>
      </c>
      <c r="B2099" s="9" t="s">
        <v>7362</v>
      </c>
      <c r="C2099" s="10">
        <v>45156</v>
      </c>
      <c r="D2099" s="9" t="s">
        <v>79</v>
      </c>
      <c r="E2099" s="9" t="s">
        <v>89</v>
      </c>
      <c r="F2099" s="9" t="s">
        <v>80</v>
      </c>
      <c r="G2099" s="9" t="s">
        <v>43</v>
      </c>
      <c r="H2099" s="9" t="s">
        <v>44</v>
      </c>
      <c r="I2099" s="11" t="s">
        <v>101</v>
      </c>
      <c r="J2099" s="9" t="s">
        <v>102</v>
      </c>
      <c r="K2099" s="9" t="s">
        <v>47</v>
      </c>
      <c r="L2099" s="9" t="s">
        <v>713</v>
      </c>
      <c r="M2099" s="9" t="s">
        <v>714</v>
      </c>
      <c r="N2099" s="9" t="s">
        <v>50</v>
      </c>
      <c r="O2099" s="9" t="s">
        <v>51</v>
      </c>
      <c r="P2099" s="9" t="s">
        <v>715</v>
      </c>
      <c r="Q2099" s="9"/>
      <c r="R2099" s="9"/>
      <c r="S2099" s="14" t="s">
        <v>7363</v>
      </c>
      <c r="T2099" s="9" t="s">
        <v>7364</v>
      </c>
      <c r="U2099" s="9" t="s">
        <v>54</v>
      </c>
      <c r="V2099" s="9" t="s">
        <v>55</v>
      </c>
      <c r="W2099" s="9" t="s">
        <v>55</v>
      </c>
      <c r="X2099" s="12"/>
      <c r="Y2099" s="9" t="s">
        <v>55</v>
      </c>
      <c r="Z2099" s="13"/>
    </row>
    <row r="2100" spans="1:26" ht="32.25" hidden="1" customHeight="1">
      <c r="A2100" s="8">
        <v>2308961</v>
      </c>
      <c r="B2100" s="9" t="s">
        <v>7365</v>
      </c>
      <c r="C2100" s="10">
        <v>45142</v>
      </c>
      <c r="D2100" s="9" t="s">
        <v>67</v>
      </c>
      <c r="E2100" s="9" t="s">
        <v>143</v>
      </c>
      <c r="F2100" s="9" t="s">
        <v>42</v>
      </c>
      <c r="G2100" s="9" t="s">
        <v>43</v>
      </c>
      <c r="H2100" s="9" t="s">
        <v>44</v>
      </c>
      <c r="I2100" s="11" t="s">
        <v>596</v>
      </c>
      <c r="J2100" s="9" t="s">
        <v>597</v>
      </c>
      <c r="K2100" s="9" t="s">
        <v>47</v>
      </c>
      <c r="L2100" s="9" t="s">
        <v>574</v>
      </c>
      <c r="M2100" s="9" t="s">
        <v>617</v>
      </c>
      <c r="N2100" s="9" t="s">
        <v>84</v>
      </c>
      <c r="O2100" s="9" t="s">
        <v>51</v>
      </c>
      <c r="P2100" s="9"/>
      <c r="Q2100" s="9"/>
      <c r="R2100" s="9" t="s">
        <v>61</v>
      </c>
      <c r="S2100" s="9" t="s">
        <v>7366</v>
      </c>
      <c r="T2100" s="9" t="s">
        <v>7367</v>
      </c>
      <c r="U2100" s="9" t="s">
        <v>54</v>
      </c>
      <c r="V2100" s="9" t="s">
        <v>55</v>
      </c>
      <c r="W2100" s="9" t="s">
        <v>55</v>
      </c>
      <c r="X2100" s="12" t="s">
        <v>171</v>
      </c>
      <c r="Y2100" s="9" t="s">
        <v>172</v>
      </c>
      <c r="Z2100" s="13"/>
    </row>
    <row r="2101" spans="1:26" ht="32.25" hidden="1" customHeight="1">
      <c r="A2101" s="8">
        <v>2306537</v>
      </c>
      <c r="B2101" s="9" t="s">
        <v>7368</v>
      </c>
      <c r="C2101" s="10">
        <v>45149</v>
      </c>
      <c r="D2101" s="9" t="s">
        <v>57</v>
      </c>
      <c r="E2101" s="9" t="s">
        <v>41</v>
      </c>
      <c r="F2101" s="9" t="s">
        <v>42</v>
      </c>
      <c r="G2101" s="9" t="s">
        <v>43</v>
      </c>
      <c r="H2101" s="9" t="s">
        <v>58</v>
      </c>
      <c r="I2101" s="11" t="s">
        <v>661</v>
      </c>
      <c r="J2101" s="9" t="s">
        <v>662</v>
      </c>
      <c r="K2101" s="9" t="s">
        <v>47</v>
      </c>
      <c r="L2101" s="9" t="s">
        <v>156</v>
      </c>
      <c r="M2101" s="9"/>
      <c r="N2101" s="9" t="s">
        <v>50</v>
      </c>
      <c r="O2101" s="9" t="s">
        <v>51</v>
      </c>
      <c r="P2101" s="9"/>
      <c r="Q2101" s="9"/>
      <c r="R2101" s="9"/>
      <c r="S2101" s="14" t="s">
        <v>7369</v>
      </c>
      <c r="T2101" s="9" t="s">
        <v>7370</v>
      </c>
      <c r="U2101" s="9" t="s">
        <v>54</v>
      </c>
      <c r="V2101" s="9" t="s">
        <v>55</v>
      </c>
      <c r="W2101" s="9" t="s">
        <v>55</v>
      </c>
      <c r="X2101" s="12"/>
      <c r="Y2101" s="9" t="s">
        <v>55</v>
      </c>
      <c r="Z2101" s="13"/>
    </row>
    <row r="2102" spans="1:26" ht="32.25" hidden="1" customHeight="1">
      <c r="A2102" s="8">
        <v>2304415</v>
      </c>
      <c r="B2102" s="9" t="s">
        <v>7371</v>
      </c>
      <c r="C2102" s="10">
        <v>45156</v>
      </c>
      <c r="D2102" s="9" t="s">
        <v>79</v>
      </c>
      <c r="E2102" s="9" t="s">
        <v>89</v>
      </c>
      <c r="F2102" s="9" t="s">
        <v>80</v>
      </c>
      <c r="G2102" s="9" t="s">
        <v>43</v>
      </c>
      <c r="H2102" s="9" t="s">
        <v>44</v>
      </c>
      <c r="I2102" s="11" t="s">
        <v>101</v>
      </c>
      <c r="J2102" s="9" t="s">
        <v>102</v>
      </c>
      <c r="K2102" s="9" t="s">
        <v>47</v>
      </c>
      <c r="L2102" s="9" t="s">
        <v>226</v>
      </c>
      <c r="M2102" s="9" t="s">
        <v>227</v>
      </c>
      <c r="N2102" s="9" t="s">
        <v>50</v>
      </c>
      <c r="O2102" s="9" t="s">
        <v>51</v>
      </c>
      <c r="P2102" s="9" t="s">
        <v>1229</v>
      </c>
      <c r="Q2102" s="9"/>
      <c r="R2102" s="9" t="s">
        <v>61</v>
      </c>
      <c r="S2102" s="14" t="s">
        <v>7372</v>
      </c>
      <c r="T2102" s="9" t="s">
        <v>7373</v>
      </c>
      <c r="U2102" s="9" t="s">
        <v>54</v>
      </c>
      <c r="V2102" s="9" t="s">
        <v>55</v>
      </c>
      <c r="W2102" s="9" t="s">
        <v>55</v>
      </c>
      <c r="X2102" s="12" t="s">
        <v>98</v>
      </c>
      <c r="Y2102" s="9" t="s">
        <v>99</v>
      </c>
      <c r="Z2102" s="13"/>
    </row>
    <row r="2103" spans="1:26" ht="32.25" hidden="1" customHeight="1">
      <c r="A2103" s="8">
        <v>2313475</v>
      </c>
      <c r="B2103" s="9" t="s">
        <v>7374</v>
      </c>
      <c r="C2103" s="10">
        <v>45142</v>
      </c>
      <c r="D2103" s="9" t="s">
        <v>67</v>
      </c>
      <c r="E2103" s="9" t="s">
        <v>295</v>
      </c>
      <c r="F2103" s="9" t="s">
        <v>42</v>
      </c>
      <c r="G2103" s="9" t="s">
        <v>43</v>
      </c>
      <c r="H2103" s="9" t="s">
        <v>44</v>
      </c>
      <c r="I2103" s="11" t="s">
        <v>296</v>
      </c>
      <c r="J2103" s="9" t="s">
        <v>297</v>
      </c>
      <c r="K2103" s="9" t="s">
        <v>47</v>
      </c>
      <c r="L2103" s="9" t="s">
        <v>858</v>
      </c>
      <c r="M2103" s="9" t="s">
        <v>5709</v>
      </c>
      <c r="N2103" s="9" t="s">
        <v>50</v>
      </c>
      <c r="O2103" s="9" t="s">
        <v>51</v>
      </c>
      <c r="P2103" s="9"/>
      <c r="Q2103" s="9"/>
      <c r="R2103" s="9" t="s">
        <v>61</v>
      </c>
      <c r="S2103" s="9" t="s">
        <v>7375</v>
      </c>
      <c r="T2103" s="9" t="s">
        <v>7376</v>
      </c>
      <c r="U2103" s="9" t="s">
        <v>54</v>
      </c>
      <c r="V2103" s="9" t="s">
        <v>55</v>
      </c>
      <c r="W2103" s="9" t="s">
        <v>55</v>
      </c>
      <c r="X2103" s="9" t="s">
        <v>319</v>
      </c>
      <c r="Y2103" s="9" t="s">
        <v>320</v>
      </c>
      <c r="Z2103" s="13"/>
    </row>
    <row r="2104" spans="1:26" ht="32.25" hidden="1" customHeight="1">
      <c r="A2104" s="8">
        <v>2314333</v>
      </c>
      <c r="B2104" s="9" t="s">
        <v>7377</v>
      </c>
      <c r="C2104" s="10">
        <v>45156</v>
      </c>
      <c r="D2104" s="9" t="s">
        <v>79</v>
      </c>
      <c r="E2104" s="9" t="s">
        <v>89</v>
      </c>
      <c r="F2104" s="9" t="s">
        <v>80</v>
      </c>
      <c r="G2104" s="9" t="s">
        <v>43</v>
      </c>
      <c r="H2104" s="9" t="s">
        <v>44</v>
      </c>
      <c r="I2104" s="11" t="s">
        <v>101</v>
      </c>
      <c r="J2104" s="9" t="s">
        <v>102</v>
      </c>
      <c r="K2104" s="9" t="s">
        <v>47</v>
      </c>
      <c r="L2104" s="9" t="s">
        <v>777</v>
      </c>
      <c r="M2104" s="9" t="s">
        <v>781</v>
      </c>
      <c r="N2104" s="9" t="s">
        <v>50</v>
      </c>
      <c r="O2104" s="9" t="s">
        <v>51</v>
      </c>
      <c r="P2104" s="9" t="s">
        <v>715</v>
      </c>
      <c r="Q2104" s="9"/>
      <c r="R2104" s="9" t="s">
        <v>61</v>
      </c>
      <c r="S2104" s="14" t="s">
        <v>7378</v>
      </c>
      <c r="T2104" s="9" t="s">
        <v>7379</v>
      </c>
      <c r="U2104" s="9" t="s">
        <v>54</v>
      </c>
      <c r="V2104" s="9" t="s">
        <v>55</v>
      </c>
      <c r="W2104" s="9" t="s">
        <v>55</v>
      </c>
      <c r="X2104" s="12" t="s">
        <v>98</v>
      </c>
      <c r="Y2104" s="9" t="s">
        <v>99</v>
      </c>
      <c r="Z2104" s="13"/>
    </row>
    <row r="2105" spans="1:26" ht="32.25" hidden="1" customHeight="1">
      <c r="A2105" s="8">
        <v>2311476</v>
      </c>
      <c r="B2105" s="9" t="s">
        <v>7380</v>
      </c>
      <c r="C2105" s="10">
        <v>45149</v>
      </c>
      <c r="D2105" s="9" t="s">
        <v>261</v>
      </c>
      <c r="E2105" s="9" t="s">
        <v>89</v>
      </c>
      <c r="F2105" s="9" t="s">
        <v>262</v>
      </c>
      <c r="G2105" s="9" t="s">
        <v>43</v>
      </c>
      <c r="H2105" s="9" t="s">
        <v>44</v>
      </c>
      <c r="I2105" s="11" t="s">
        <v>685</v>
      </c>
      <c r="J2105" s="9" t="s">
        <v>686</v>
      </c>
      <c r="K2105" s="9" t="s">
        <v>47</v>
      </c>
      <c r="L2105" s="9" t="s">
        <v>156</v>
      </c>
      <c r="M2105" s="9"/>
      <c r="N2105" s="9" t="s">
        <v>50</v>
      </c>
      <c r="O2105" s="9" t="s">
        <v>51</v>
      </c>
      <c r="P2105" s="9"/>
      <c r="Q2105" s="9"/>
      <c r="R2105" s="9"/>
      <c r="S2105" s="14" t="s">
        <v>7381</v>
      </c>
      <c r="T2105" s="9" t="s">
        <v>7382</v>
      </c>
      <c r="U2105" s="9" t="s">
        <v>262</v>
      </c>
      <c r="V2105" s="9" t="s">
        <v>55</v>
      </c>
      <c r="W2105" s="9" t="s">
        <v>55</v>
      </c>
      <c r="X2105" s="12"/>
      <c r="Y2105" s="9" t="s">
        <v>55</v>
      </c>
      <c r="Z2105" s="13"/>
    </row>
    <row r="2106" spans="1:26" ht="32.25" hidden="1" customHeight="1">
      <c r="A2106" s="8">
        <v>2302332</v>
      </c>
      <c r="B2106" s="9" t="s">
        <v>7383</v>
      </c>
      <c r="C2106" s="10">
        <v>45156</v>
      </c>
      <c r="D2106" s="9" t="s">
        <v>79</v>
      </c>
      <c r="E2106" s="9" t="s">
        <v>41</v>
      </c>
      <c r="F2106" s="9" t="s">
        <v>80</v>
      </c>
      <c r="G2106" s="9" t="s">
        <v>43</v>
      </c>
      <c r="H2106" s="9" t="s">
        <v>44</v>
      </c>
      <c r="I2106" s="11" t="s">
        <v>527</v>
      </c>
      <c r="J2106" s="9" t="s">
        <v>130</v>
      </c>
      <c r="K2106" s="9" t="s">
        <v>47</v>
      </c>
      <c r="L2106" s="9" t="s">
        <v>156</v>
      </c>
      <c r="M2106" s="9"/>
      <c r="N2106" s="9" t="s">
        <v>50</v>
      </c>
      <c r="O2106" s="9" t="s">
        <v>51</v>
      </c>
      <c r="P2106" s="9" t="s">
        <v>529</v>
      </c>
      <c r="Q2106" s="9"/>
      <c r="R2106" s="9"/>
      <c r="S2106" s="14" t="s">
        <v>7384</v>
      </c>
      <c r="T2106" s="9" t="s">
        <v>7385</v>
      </c>
      <c r="U2106" s="9" t="s">
        <v>54</v>
      </c>
      <c r="V2106" s="9"/>
      <c r="W2106" s="9" t="s">
        <v>115</v>
      </c>
      <c r="X2106" s="12"/>
      <c r="Y2106" s="9" t="s">
        <v>55</v>
      </c>
      <c r="Z2106" s="13"/>
    </row>
    <row r="2107" spans="1:26" ht="32.25" hidden="1" customHeight="1">
      <c r="A2107" s="8">
        <v>2311622</v>
      </c>
      <c r="B2107" s="9" t="s">
        <v>7386</v>
      </c>
      <c r="C2107" s="10">
        <v>45142</v>
      </c>
      <c r="D2107" s="9" t="s">
        <v>67</v>
      </c>
      <c r="E2107" s="9" t="s">
        <v>89</v>
      </c>
      <c r="F2107" s="9" t="s">
        <v>42</v>
      </c>
      <c r="G2107" s="9" t="s">
        <v>43</v>
      </c>
      <c r="H2107" s="9" t="s">
        <v>44</v>
      </c>
      <c r="I2107" s="11" t="s">
        <v>354</v>
      </c>
      <c r="J2107" s="9" t="s">
        <v>91</v>
      </c>
      <c r="K2107" s="9" t="s">
        <v>47</v>
      </c>
      <c r="L2107" s="9" t="s">
        <v>1760</v>
      </c>
      <c r="M2107" s="9" t="s">
        <v>6377</v>
      </c>
      <c r="N2107" s="9" t="s">
        <v>50</v>
      </c>
      <c r="O2107" s="9" t="s">
        <v>51</v>
      </c>
      <c r="P2107" s="9" t="s">
        <v>356</v>
      </c>
      <c r="Q2107" s="9"/>
      <c r="R2107" s="9" t="s">
        <v>61</v>
      </c>
      <c r="S2107" s="9" t="s">
        <v>7387</v>
      </c>
      <c r="T2107" s="9" t="s">
        <v>7388</v>
      </c>
      <c r="U2107" s="9" t="s">
        <v>54</v>
      </c>
      <c r="V2107" s="9" t="s">
        <v>55</v>
      </c>
      <c r="W2107" s="9" t="s">
        <v>55</v>
      </c>
      <c r="X2107" s="12" t="s">
        <v>98</v>
      </c>
      <c r="Y2107" s="9" t="s">
        <v>99</v>
      </c>
      <c r="Z2107" s="13"/>
    </row>
    <row r="2108" spans="1:26" ht="32.25" hidden="1" customHeight="1">
      <c r="A2108" s="8">
        <v>2303124</v>
      </c>
      <c r="B2108" s="9" t="s">
        <v>7389</v>
      </c>
      <c r="C2108" s="10">
        <v>45142</v>
      </c>
      <c r="D2108" s="9" t="s">
        <v>67</v>
      </c>
      <c r="E2108" s="9" t="s">
        <v>41</v>
      </c>
      <c r="F2108" s="9" t="s">
        <v>42</v>
      </c>
      <c r="G2108" s="9" t="s">
        <v>43</v>
      </c>
      <c r="H2108" s="9" t="s">
        <v>44</v>
      </c>
      <c r="I2108" s="11" t="s">
        <v>199</v>
      </c>
      <c r="J2108" s="9" t="s">
        <v>200</v>
      </c>
      <c r="K2108" s="9" t="s">
        <v>47</v>
      </c>
      <c r="L2108" s="9" t="s">
        <v>48</v>
      </c>
      <c r="M2108" s="9" t="s">
        <v>3276</v>
      </c>
      <c r="N2108" s="9" t="s">
        <v>50</v>
      </c>
      <c r="O2108" s="9" t="s">
        <v>51</v>
      </c>
      <c r="P2108" s="9"/>
      <c r="Q2108" s="9"/>
      <c r="R2108" s="9" t="s">
        <v>61</v>
      </c>
      <c r="S2108" s="9" t="s">
        <v>7390</v>
      </c>
      <c r="T2108" s="9" t="s">
        <v>7391</v>
      </c>
      <c r="U2108" s="9" t="s">
        <v>54</v>
      </c>
      <c r="V2108" s="9" t="s">
        <v>55</v>
      </c>
      <c r="W2108" s="9" t="s">
        <v>55</v>
      </c>
      <c r="X2108" s="12" t="s">
        <v>196</v>
      </c>
      <c r="Y2108" s="9" t="s">
        <v>197</v>
      </c>
      <c r="Z2108" s="13"/>
    </row>
    <row r="2109" spans="1:26" ht="32.25" hidden="1" customHeight="1">
      <c r="A2109" s="8">
        <v>2313334</v>
      </c>
      <c r="B2109" s="9" t="s">
        <v>7392</v>
      </c>
      <c r="C2109" s="10">
        <v>45156</v>
      </c>
      <c r="D2109" s="9" t="s">
        <v>79</v>
      </c>
      <c r="E2109" s="9" t="s">
        <v>89</v>
      </c>
      <c r="F2109" s="9" t="s">
        <v>80</v>
      </c>
      <c r="G2109" s="9" t="s">
        <v>43</v>
      </c>
      <c r="H2109" s="9" t="s">
        <v>44</v>
      </c>
      <c r="I2109" s="11" t="s">
        <v>90</v>
      </c>
      <c r="J2109" s="9" t="s">
        <v>91</v>
      </c>
      <c r="K2109" s="9" t="s">
        <v>47</v>
      </c>
      <c r="L2109" s="9" t="s">
        <v>777</v>
      </c>
      <c r="M2109" s="9"/>
      <c r="N2109" s="9" t="s">
        <v>50</v>
      </c>
      <c r="O2109" s="9" t="s">
        <v>51</v>
      </c>
      <c r="P2109" s="9" t="s">
        <v>498</v>
      </c>
      <c r="Q2109" s="9"/>
      <c r="R2109" s="9"/>
      <c r="S2109" s="14" t="s">
        <v>7393</v>
      </c>
      <c r="T2109" s="9" t="s">
        <v>7394</v>
      </c>
      <c r="U2109" s="9" t="s">
        <v>54</v>
      </c>
      <c r="V2109" s="9" t="s">
        <v>55</v>
      </c>
      <c r="W2109" s="9" t="s">
        <v>55</v>
      </c>
      <c r="X2109" s="12"/>
      <c r="Y2109" s="9" t="s">
        <v>55</v>
      </c>
      <c r="Z2109" s="13"/>
    </row>
    <row r="2110" spans="1:26" ht="32.25" hidden="1" customHeight="1">
      <c r="A2110" s="8">
        <v>2301593</v>
      </c>
      <c r="B2110" s="9" t="s">
        <v>7395</v>
      </c>
      <c r="C2110" s="10">
        <v>45136</v>
      </c>
      <c r="D2110" s="9" t="s">
        <v>40</v>
      </c>
      <c r="E2110" s="9" t="s">
        <v>41</v>
      </c>
      <c r="F2110" s="9" t="s">
        <v>42</v>
      </c>
      <c r="G2110" s="9" t="s">
        <v>43</v>
      </c>
      <c r="H2110" s="9" t="s">
        <v>44</v>
      </c>
      <c r="I2110" s="11" t="s">
        <v>1073</v>
      </c>
      <c r="J2110" s="9" t="s">
        <v>479</v>
      </c>
      <c r="K2110" s="9" t="s">
        <v>47</v>
      </c>
      <c r="L2110" s="9" t="s">
        <v>437</v>
      </c>
      <c r="M2110" s="9" t="s">
        <v>1707</v>
      </c>
      <c r="N2110" s="9" t="s">
        <v>84</v>
      </c>
      <c r="O2110" s="9" t="s">
        <v>51</v>
      </c>
      <c r="P2110" s="9"/>
      <c r="Q2110" s="9"/>
      <c r="R2110" s="9" t="s">
        <v>61</v>
      </c>
      <c r="S2110" s="9" t="s">
        <v>7396</v>
      </c>
      <c r="T2110" s="9" t="s">
        <v>7397</v>
      </c>
      <c r="U2110" s="9" t="s">
        <v>54</v>
      </c>
      <c r="V2110" s="9" t="s">
        <v>55</v>
      </c>
      <c r="W2110" s="9" t="s">
        <v>55</v>
      </c>
      <c r="X2110" s="9" t="s">
        <v>196</v>
      </c>
      <c r="Y2110" s="9" t="s">
        <v>197</v>
      </c>
      <c r="Z2110" s="13"/>
    </row>
    <row r="2111" spans="1:26" ht="32.25" hidden="1" customHeight="1">
      <c r="A2111" s="8">
        <v>2302131</v>
      </c>
      <c r="B2111" s="9" t="s">
        <v>7398</v>
      </c>
      <c r="C2111" s="10">
        <v>45149</v>
      </c>
      <c r="D2111" s="9" t="s">
        <v>57</v>
      </c>
      <c r="E2111" s="9" t="s">
        <v>153</v>
      </c>
      <c r="F2111" s="9" t="s">
        <v>42</v>
      </c>
      <c r="G2111" s="9" t="s">
        <v>43</v>
      </c>
      <c r="H2111" s="9" t="s">
        <v>58</v>
      </c>
      <c r="I2111" s="11" t="s">
        <v>154</v>
      </c>
      <c r="J2111" s="9" t="s">
        <v>155</v>
      </c>
      <c r="K2111" s="9" t="s">
        <v>47</v>
      </c>
      <c r="L2111" s="9" t="s">
        <v>156</v>
      </c>
      <c r="M2111" s="9"/>
      <c r="N2111" s="9" t="s">
        <v>84</v>
      </c>
      <c r="O2111" s="9" t="s">
        <v>51</v>
      </c>
      <c r="P2111" s="9"/>
      <c r="Q2111" s="9"/>
      <c r="R2111" s="9"/>
      <c r="S2111" s="14" t="s">
        <v>7399</v>
      </c>
      <c r="T2111" s="9" t="s">
        <v>7400</v>
      </c>
      <c r="U2111" s="9" t="s">
        <v>54</v>
      </c>
      <c r="V2111" s="9" t="s">
        <v>55</v>
      </c>
      <c r="W2111" s="9" t="s">
        <v>55</v>
      </c>
      <c r="X2111" s="12"/>
      <c r="Y2111" s="9" t="s">
        <v>55</v>
      </c>
      <c r="Z2111" s="13"/>
    </row>
    <row r="2112" spans="1:26" ht="32.25" hidden="1" customHeight="1">
      <c r="A2112" s="8">
        <v>2302343</v>
      </c>
      <c r="B2112" s="9" t="s">
        <v>7401</v>
      </c>
      <c r="C2112" s="10">
        <v>45149</v>
      </c>
      <c r="D2112" s="9" t="s">
        <v>57</v>
      </c>
      <c r="E2112" s="9" t="s">
        <v>41</v>
      </c>
      <c r="F2112" s="9" t="s">
        <v>42</v>
      </c>
      <c r="G2112" s="9" t="s">
        <v>43</v>
      </c>
      <c r="H2112" s="9" t="s">
        <v>58</v>
      </c>
      <c r="I2112" s="11" t="s">
        <v>45</v>
      </c>
      <c r="J2112" s="9" t="s">
        <v>46</v>
      </c>
      <c r="K2112" s="9" t="s">
        <v>47</v>
      </c>
      <c r="L2112" s="9" t="s">
        <v>156</v>
      </c>
      <c r="M2112" s="9"/>
      <c r="N2112" s="9" t="s">
        <v>84</v>
      </c>
      <c r="O2112" s="9" t="s">
        <v>51</v>
      </c>
      <c r="P2112" s="9"/>
      <c r="Q2112" s="9"/>
      <c r="R2112" s="9"/>
      <c r="S2112" s="14" t="s">
        <v>7402</v>
      </c>
      <c r="T2112" s="9" t="s">
        <v>7403</v>
      </c>
      <c r="U2112" s="9" t="s">
        <v>54</v>
      </c>
      <c r="V2112" s="9" t="s">
        <v>55</v>
      </c>
      <c r="W2112" s="9" t="s">
        <v>55</v>
      </c>
      <c r="X2112" s="12"/>
      <c r="Y2112" s="9" t="s">
        <v>55</v>
      </c>
      <c r="Z2112" s="13"/>
    </row>
    <row r="2113" spans="1:26" ht="32.25" hidden="1" customHeight="1">
      <c r="A2113" s="8">
        <v>2302267</v>
      </c>
      <c r="B2113" s="9" t="s">
        <v>7404</v>
      </c>
      <c r="C2113" s="10">
        <v>45142</v>
      </c>
      <c r="D2113" s="9" t="s">
        <v>67</v>
      </c>
      <c r="E2113" s="9" t="s">
        <v>143</v>
      </c>
      <c r="F2113" s="9" t="s">
        <v>42</v>
      </c>
      <c r="G2113" s="9" t="s">
        <v>43</v>
      </c>
      <c r="H2113" s="9" t="s">
        <v>44</v>
      </c>
      <c r="I2113" s="11" t="s">
        <v>334</v>
      </c>
      <c r="J2113" s="9" t="s">
        <v>327</v>
      </c>
      <c r="K2113" s="9" t="s">
        <v>47</v>
      </c>
      <c r="L2113" s="9" t="s">
        <v>48</v>
      </c>
      <c r="M2113" s="9" t="s">
        <v>7405</v>
      </c>
      <c r="N2113" s="9" t="s">
        <v>84</v>
      </c>
      <c r="O2113" s="9" t="s">
        <v>51</v>
      </c>
      <c r="P2113" s="9" t="s">
        <v>336</v>
      </c>
      <c r="Q2113" s="9"/>
      <c r="R2113" s="9" t="s">
        <v>61</v>
      </c>
      <c r="S2113" s="9" t="s">
        <v>7406</v>
      </c>
      <c r="T2113" s="9" t="s">
        <v>7407</v>
      </c>
      <c r="U2113" s="9" t="s">
        <v>54</v>
      </c>
      <c r="V2113" s="9" t="s">
        <v>55</v>
      </c>
      <c r="W2113" s="9" t="s">
        <v>55</v>
      </c>
      <c r="X2113" s="12" t="s">
        <v>150</v>
      </c>
      <c r="Y2113" s="9" t="s">
        <v>151</v>
      </c>
      <c r="Z2113" s="13"/>
    </row>
    <row r="2114" spans="1:26" ht="32.25" hidden="1" customHeight="1">
      <c r="A2114" s="8">
        <v>2304666</v>
      </c>
      <c r="B2114" s="9" t="s">
        <v>7408</v>
      </c>
      <c r="C2114" s="10">
        <v>45136</v>
      </c>
      <c r="D2114" s="9" t="s">
        <v>1072</v>
      </c>
      <c r="E2114" s="9" t="s">
        <v>41</v>
      </c>
      <c r="F2114" s="9" t="s">
        <v>42</v>
      </c>
      <c r="G2114" s="9" t="s">
        <v>43</v>
      </c>
      <c r="H2114" s="9" t="s">
        <v>44</v>
      </c>
      <c r="I2114" s="11" t="s">
        <v>129</v>
      </c>
      <c r="J2114" s="9" t="s">
        <v>130</v>
      </c>
      <c r="K2114" s="9" t="s">
        <v>47</v>
      </c>
      <c r="L2114" s="9" t="s">
        <v>156</v>
      </c>
      <c r="M2114" s="9"/>
      <c r="N2114" s="9" t="s">
        <v>84</v>
      </c>
      <c r="O2114" s="9" t="s">
        <v>51</v>
      </c>
      <c r="P2114" s="9"/>
      <c r="Q2114" s="9"/>
      <c r="R2114" s="9"/>
      <c r="S2114" s="9" t="s">
        <v>7409</v>
      </c>
      <c r="T2114" s="9" t="s">
        <v>7410</v>
      </c>
      <c r="U2114" s="9" t="s">
        <v>54</v>
      </c>
      <c r="V2114" s="9" t="s">
        <v>55</v>
      </c>
      <c r="W2114" s="9" t="s">
        <v>55</v>
      </c>
      <c r="X2114" s="12"/>
      <c r="Y2114" s="9" t="s">
        <v>55</v>
      </c>
      <c r="Z2114" s="13"/>
    </row>
    <row r="2115" spans="1:26" ht="32.25" hidden="1" customHeight="1">
      <c r="A2115" s="8">
        <v>2301534</v>
      </c>
      <c r="B2115" s="9" t="s">
        <v>7411</v>
      </c>
      <c r="C2115" s="10">
        <v>45149</v>
      </c>
      <c r="D2115" s="9" t="s">
        <v>57</v>
      </c>
      <c r="E2115" s="9" t="s">
        <v>295</v>
      </c>
      <c r="F2115" s="9" t="s">
        <v>42</v>
      </c>
      <c r="G2115" s="9" t="s">
        <v>43</v>
      </c>
      <c r="H2115" s="9" t="s">
        <v>58</v>
      </c>
      <c r="I2115" s="11" t="s">
        <v>296</v>
      </c>
      <c r="J2115" s="9" t="s">
        <v>297</v>
      </c>
      <c r="K2115" s="9" t="s">
        <v>47</v>
      </c>
      <c r="L2115" s="9" t="s">
        <v>349</v>
      </c>
      <c r="M2115" s="9" t="s">
        <v>785</v>
      </c>
      <c r="N2115" s="9" t="s">
        <v>50</v>
      </c>
      <c r="O2115" s="9" t="s">
        <v>51</v>
      </c>
      <c r="P2115" s="9"/>
      <c r="Q2115" s="9"/>
      <c r="R2115" s="9" t="s">
        <v>61</v>
      </c>
      <c r="S2115" s="14" t="s">
        <v>7412</v>
      </c>
      <c r="T2115" s="9" t="s">
        <v>7413</v>
      </c>
      <c r="U2115" s="9" t="s">
        <v>54</v>
      </c>
      <c r="V2115" s="9" t="s">
        <v>55</v>
      </c>
      <c r="W2115" s="9" t="s">
        <v>55</v>
      </c>
      <c r="X2115" s="9" t="s">
        <v>319</v>
      </c>
      <c r="Y2115" s="9" t="s">
        <v>320</v>
      </c>
      <c r="Z2115" s="13"/>
    </row>
    <row r="2116" spans="1:26" ht="32.25" hidden="1" customHeight="1">
      <c r="A2116" s="8">
        <v>2315275</v>
      </c>
      <c r="B2116" s="9" t="s">
        <v>7414</v>
      </c>
      <c r="C2116" s="10">
        <v>45149</v>
      </c>
      <c r="D2116" s="9" t="s">
        <v>57</v>
      </c>
      <c r="E2116" s="9" t="s">
        <v>41</v>
      </c>
      <c r="F2116" s="9" t="s">
        <v>42</v>
      </c>
      <c r="G2116" s="9" t="s">
        <v>43</v>
      </c>
      <c r="H2116" s="9" t="s">
        <v>58</v>
      </c>
      <c r="I2116" s="11" t="s">
        <v>1073</v>
      </c>
      <c r="J2116" s="9" t="s">
        <v>479</v>
      </c>
      <c r="K2116" s="9" t="s">
        <v>47</v>
      </c>
      <c r="L2116" s="9" t="s">
        <v>1227</v>
      </c>
      <c r="M2116" s="9" t="s">
        <v>1820</v>
      </c>
      <c r="N2116" s="9" t="s">
        <v>84</v>
      </c>
      <c r="O2116" s="9" t="s">
        <v>51</v>
      </c>
      <c r="P2116" s="9"/>
      <c r="Q2116" s="9"/>
      <c r="R2116" s="9" t="s">
        <v>61</v>
      </c>
      <c r="S2116" s="14" t="s">
        <v>7415</v>
      </c>
      <c r="T2116" s="9" t="s">
        <v>7416</v>
      </c>
      <c r="U2116" s="9" t="s">
        <v>54</v>
      </c>
      <c r="V2116" s="9" t="s">
        <v>55</v>
      </c>
      <c r="W2116" s="9" t="s">
        <v>55</v>
      </c>
      <c r="X2116" s="9" t="s">
        <v>196</v>
      </c>
      <c r="Y2116" s="9" t="s">
        <v>197</v>
      </c>
      <c r="Z2116" s="13"/>
    </row>
    <row r="2117" spans="1:26" ht="32.25" hidden="1" customHeight="1">
      <c r="A2117" s="8">
        <v>2306066</v>
      </c>
      <c r="B2117" s="9" t="s">
        <v>7417</v>
      </c>
      <c r="C2117" s="10">
        <v>45156</v>
      </c>
      <c r="D2117" s="9" t="s">
        <v>79</v>
      </c>
      <c r="E2117" s="9" t="s">
        <v>41</v>
      </c>
      <c r="F2117" s="9" t="s">
        <v>80</v>
      </c>
      <c r="G2117" s="9" t="s">
        <v>43</v>
      </c>
      <c r="H2117" s="9" t="s">
        <v>44</v>
      </c>
      <c r="I2117" s="11" t="s">
        <v>478</v>
      </c>
      <c r="J2117" s="9" t="s">
        <v>479</v>
      </c>
      <c r="K2117" s="9" t="s">
        <v>47</v>
      </c>
      <c r="L2117" s="9" t="s">
        <v>799</v>
      </c>
      <c r="M2117" s="9" t="s">
        <v>7418</v>
      </c>
      <c r="N2117" s="9" t="s">
        <v>50</v>
      </c>
      <c r="O2117" s="9" t="s">
        <v>51</v>
      </c>
      <c r="P2117" s="9" t="s">
        <v>482</v>
      </c>
      <c r="Q2117" s="9"/>
      <c r="R2117" s="9" t="s">
        <v>61</v>
      </c>
      <c r="S2117" s="14" t="s">
        <v>7419</v>
      </c>
      <c r="T2117" s="9" t="s">
        <v>7420</v>
      </c>
      <c r="U2117" s="9" t="s">
        <v>54</v>
      </c>
      <c r="V2117" s="9" t="s">
        <v>55</v>
      </c>
      <c r="W2117" s="9" t="s">
        <v>55</v>
      </c>
      <c r="X2117" s="12" t="s">
        <v>150</v>
      </c>
      <c r="Y2117" s="9" t="s">
        <v>151</v>
      </c>
      <c r="Z2117" s="13" t="s">
        <v>7421</v>
      </c>
    </row>
    <row r="2118" spans="1:26" ht="32.25" hidden="1" customHeight="1">
      <c r="A2118" s="8">
        <v>2305540</v>
      </c>
      <c r="B2118" s="9" t="s">
        <v>7422</v>
      </c>
      <c r="C2118" s="10">
        <v>45156</v>
      </c>
      <c r="D2118" s="9" t="s">
        <v>79</v>
      </c>
      <c r="E2118" s="9" t="s">
        <v>41</v>
      </c>
      <c r="F2118" s="9" t="s">
        <v>80</v>
      </c>
      <c r="G2118" s="9" t="s">
        <v>43</v>
      </c>
      <c r="H2118" s="9" t="s">
        <v>44</v>
      </c>
      <c r="I2118" s="11" t="s">
        <v>478</v>
      </c>
      <c r="J2118" s="9" t="s">
        <v>479</v>
      </c>
      <c r="K2118" s="9" t="s">
        <v>47</v>
      </c>
      <c r="L2118" s="9" t="s">
        <v>799</v>
      </c>
      <c r="M2118" s="9" t="s">
        <v>7418</v>
      </c>
      <c r="N2118" s="9" t="s">
        <v>50</v>
      </c>
      <c r="O2118" s="9" t="s">
        <v>51</v>
      </c>
      <c r="P2118" s="9" t="s">
        <v>482</v>
      </c>
      <c r="Q2118" s="9"/>
      <c r="R2118" s="9" t="s">
        <v>61</v>
      </c>
      <c r="S2118" s="14" t="s">
        <v>7423</v>
      </c>
      <c r="T2118" s="9" t="s">
        <v>7424</v>
      </c>
      <c r="U2118" s="9" t="s">
        <v>54</v>
      </c>
      <c r="V2118" s="9" t="s">
        <v>55</v>
      </c>
      <c r="W2118" s="9" t="s">
        <v>55</v>
      </c>
      <c r="X2118" s="12" t="s">
        <v>150</v>
      </c>
      <c r="Y2118" s="9" t="s">
        <v>151</v>
      </c>
      <c r="Z2118" s="13" t="s">
        <v>7421</v>
      </c>
    </row>
    <row r="2119" spans="1:26" ht="32.25" hidden="1" customHeight="1">
      <c r="A2119" s="8">
        <v>2306540</v>
      </c>
      <c r="B2119" s="9" t="s">
        <v>7425</v>
      </c>
      <c r="C2119" s="10">
        <v>45149</v>
      </c>
      <c r="D2119" s="9" t="s">
        <v>57</v>
      </c>
      <c r="E2119" s="9" t="s">
        <v>295</v>
      </c>
      <c r="F2119" s="9" t="s">
        <v>42</v>
      </c>
      <c r="G2119" s="9" t="s">
        <v>43</v>
      </c>
      <c r="H2119" s="9" t="s">
        <v>58</v>
      </c>
      <c r="I2119" s="11" t="s">
        <v>406</v>
      </c>
      <c r="J2119" s="9" t="s">
        <v>407</v>
      </c>
      <c r="K2119" s="9" t="s">
        <v>47</v>
      </c>
      <c r="L2119" s="9" t="s">
        <v>156</v>
      </c>
      <c r="M2119" s="9"/>
      <c r="N2119" s="9" t="s">
        <v>84</v>
      </c>
      <c r="O2119" s="9" t="s">
        <v>51</v>
      </c>
      <c r="P2119" s="9"/>
      <c r="Q2119" s="9"/>
      <c r="R2119" s="9"/>
      <c r="S2119" s="14" t="s">
        <v>7426</v>
      </c>
      <c r="T2119" s="9" t="s">
        <v>7427</v>
      </c>
      <c r="U2119" s="9" t="s">
        <v>54</v>
      </c>
      <c r="V2119" s="9" t="s">
        <v>55</v>
      </c>
      <c r="W2119" s="9" t="s">
        <v>55</v>
      </c>
      <c r="X2119" s="12"/>
      <c r="Y2119" s="9" t="s">
        <v>55</v>
      </c>
      <c r="Z2119" s="13"/>
    </row>
    <row r="2120" spans="1:26" ht="32.25" hidden="1" customHeight="1">
      <c r="A2120" s="8">
        <v>2303738</v>
      </c>
      <c r="B2120" s="9" t="s">
        <v>7428</v>
      </c>
      <c r="C2120" s="10">
        <v>45142</v>
      </c>
      <c r="D2120" s="9" t="s">
        <v>67</v>
      </c>
      <c r="E2120" s="9" t="s">
        <v>143</v>
      </c>
      <c r="F2120" s="9" t="s">
        <v>42</v>
      </c>
      <c r="G2120" s="9" t="s">
        <v>43</v>
      </c>
      <c r="H2120" s="9" t="s">
        <v>44</v>
      </c>
      <c r="I2120" s="11" t="s">
        <v>334</v>
      </c>
      <c r="J2120" s="9" t="s">
        <v>327</v>
      </c>
      <c r="K2120" s="9" t="s">
        <v>47</v>
      </c>
      <c r="L2120" s="9" t="s">
        <v>48</v>
      </c>
      <c r="M2120" s="9" t="s">
        <v>4135</v>
      </c>
      <c r="N2120" s="9" t="s">
        <v>84</v>
      </c>
      <c r="O2120" s="9" t="s">
        <v>51</v>
      </c>
      <c r="P2120" s="9" t="s">
        <v>336</v>
      </c>
      <c r="Q2120" s="9"/>
      <c r="R2120" s="9" t="s">
        <v>61</v>
      </c>
      <c r="S2120" s="9" t="s">
        <v>7429</v>
      </c>
      <c r="T2120" s="9" t="s">
        <v>7430</v>
      </c>
      <c r="U2120" s="9" t="s">
        <v>54</v>
      </c>
      <c r="V2120" s="9" t="s">
        <v>55</v>
      </c>
      <c r="W2120" s="9" t="s">
        <v>55</v>
      </c>
      <c r="X2120" s="12" t="s">
        <v>150</v>
      </c>
      <c r="Y2120" s="9" t="s">
        <v>151</v>
      </c>
      <c r="Z2120" s="13"/>
    </row>
    <row r="2121" spans="1:26" ht="32.25" hidden="1" customHeight="1">
      <c r="A2121" s="8">
        <v>2311683</v>
      </c>
      <c r="B2121" s="9" t="s">
        <v>7431</v>
      </c>
      <c r="C2121" s="10">
        <v>45156</v>
      </c>
      <c r="D2121" s="9" t="s">
        <v>79</v>
      </c>
      <c r="E2121" s="9" t="s">
        <v>68</v>
      </c>
      <c r="F2121" s="9" t="s">
        <v>80</v>
      </c>
      <c r="G2121" s="9" t="s">
        <v>43</v>
      </c>
      <c r="H2121" s="9" t="s">
        <v>44</v>
      </c>
      <c r="I2121" s="11" t="s">
        <v>90</v>
      </c>
      <c r="J2121" s="9" t="s">
        <v>91</v>
      </c>
      <c r="K2121" s="9" t="s">
        <v>47</v>
      </c>
      <c r="L2121" s="9" t="s">
        <v>138</v>
      </c>
      <c r="M2121" s="9" t="s">
        <v>7432</v>
      </c>
      <c r="N2121" s="9" t="s">
        <v>50</v>
      </c>
      <c r="O2121" s="9" t="s">
        <v>51</v>
      </c>
      <c r="P2121" s="9" t="s">
        <v>670</v>
      </c>
      <c r="Q2121" s="9"/>
      <c r="R2121" s="9" t="s">
        <v>61</v>
      </c>
      <c r="S2121" s="14" t="s">
        <v>7433</v>
      </c>
      <c r="T2121" s="9" t="s">
        <v>7434</v>
      </c>
      <c r="U2121" s="9" t="s">
        <v>54</v>
      </c>
      <c r="V2121" s="9" t="s">
        <v>55</v>
      </c>
      <c r="W2121" s="9" t="s">
        <v>55</v>
      </c>
      <c r="X2121" s="12" t="s">
        <v>196</v>
      </c>
      <c r="Y2121" s="9" t="s">
        <v>197</v>
      </c>
      <c r="Z2121" s="13"/>
    </row>
    <row r="2122" spans="1:26" ht="32.25" hidden="1" customHeight="1">
      <c r="A2122" s="8">
        <v>2311689</v>
      </c>
      <c r="B2122" s="9" t="s">
        <v>7435</v>
      </c>
      <c r="C2122" s="10">
        <v>45156</v>
      </c>
      <c r="D2122" s="9" t="s">
        <v>79</v>
      </c>
      <c r="E2122" s="9" t="s">
        <v>89</v>
      </c>
      <c r="F2122" s="9" t="s">
        <v>80</v>
      </c>
      <c r="G2122" s="9" t="s">
        <v>43</v>
      </c>
      <c r="H2122" s="9" t="s">
        <v>44</v>
      </c>
      <c r="I2122" s="11" t="s">
        <v>101</v>
      </c>
      <c r="J2122" s="9" t="s">
        <v>102</v>
      </c>
      <c r="K2122" s="9" t="s">
        <v>47</v>
      </c>
      <c r="L2122" s="9" t="s">
        <v>156</v>
      </c>
      <c r="M2122" s="9"/>
      <c r="N2122" s="9" t="s">
        <v>50</v>
      </c>
      <c r="O2122" s="9" t="s">
        <v>51</v>
      </c>
      <c r="P2122" s="9" t="s">
        <v>125</v>
      </c>
      <c r="Q2122" s="9"/>
      <c r="R2122" s="9"/>
      <c r="S2122" s="14" t="s">
        <v>7436</v>
      </c>
      <c r="T2122" s="9" t="s">
        <v>7437</v>
      </c>
      <c r="U2122" s="9" t="s">
        <v>54</v>
      </c>
      <c r="V2122" s="9" t="s">
        <v>55</v>
      </c>
      <c r="W2122" s="9" t="s">
        <v>55</v>
      </c>
      <c r="X2122" s="12"/>
      <c r="Y2122" s="9" t="s">
        <v>55</v>
      </c>
      <c r="Z2122" s="13"/>
    </row>
    <row r="2123" spans="1:26" ht="32.25" hidden="1" customHeight="1">
      <c r="A2123" s="8">
        <v>2309075</v>
      </c>
      <c r="B2123" s="9" t="s">
        <v>7438</v>
      </c>
      <c r="C2123" s="10">
        <v>45156</v>
      </c>
      <c r="D2123" s="9" t="s">
        <v>79</v>
      </c>
      <c r="E2123" s="9" t="s">
        <v>89</v>
      </c>
      <c r="F2123" s="9" t="s">
        <v>80</v>
      </c>
      <c r="G2123" s="9" t="s">
        <v>43</v>
      </c>
      <c r="H2123" s="9" t="s">
        <v>44</v>
      </c>
      <c r="I2123" s="11" t="s">
        <v>101</v>
      </c>
      <c r="J2123" s="9" t="s">
        <v>102</v>
      </c>
      <c r="K2123" s="9" t="s">
        <v>47</v>
      </c>
      <c r="L2123" s="9" t="s">
        <v>156</v>
      </c>
      <c r="M2123" s="9"/>
      <c r="N2123" s="9" t="s">
        <v>50</v>
      </c>
      <c r="O2123" s="9" t="s">
        <v>51</v>
      </c>
      <c r="P2123" s="9" t="s">
        <v>125</v>
      </c>
      <c r="Q2123" s="9"/>
      <c r="R2123" s="9"/>
      <c r="S2123" s="14" t="s">
        <v>7439</v>
      </c>
      <c r="T2123" s="9" t="s">
        <v>7440</v>
      </c>
      <c r="U2123" s="9" t="s">
        <v>54</v>
      </c>
      <c r="V2123" s="9" t="s">
        <v>55</v>
      </c>
      <c r="W2123" s="9" t="s">
        <v>55</v>
      </c>
      <c r="X2123" s="12"/>
      <c r="Y2123" s="9" t="s">
        <v>55</v>
      </c>
      <c r="Z2123" s="13"/>
    </row>
    <row r="2124" spans="1:26" ht="32.25" hidden="1" customHeight="1">
      <c r="A2124" s="8">
        <v>2307442</v>
      </c>
      <c r="B2124" s="9" t="s">
        <v>7441</v>
      </c>
      <c r="C2124" s="10">
        <v>45149</v>
      </c>
      <c r="D2124" s="9" t="s">
        <v>57</v>
      </c>
      <c r="E2124" s="9" t="s">
        <v>41</v>
      </c>
      <c r="F2124" s="9" t="s">
        <v>42</v>
      </c>
      <c r="G2124" s="9" t="s">
        <v>43</v>
      </c>
      <c r="H2124" s="9" t="s">
        <v>58</v>
      </c>
      <c r="I2124" s="11" t="s">
        <v>45</v>
      </c>
      <c r="J2124" s="9" t="s">
        <v>46</v>
      </c>
      <c r="K2124" s="9" t="s">
        <v>47</v>
      </c>
      <c r="L2124" s="9" t="s">
        <v>156</v>
      </c>
      <c r="M2124" s="9"/>
      <c r="N2124" s="9" t="s">
        <v>50</v>
      </c>
      <c r="O2124" s="9" t="s">
        <v>51</v>
      </c>
      <c r="P2124" s="9"/>
      <c r="Q2124" s="9"/>
      <c r="R2124" s="9"/>
      <c r="S2124" s="14" t="s">
        <v>7442</v>
      </c>
      <c r="T2124" s="9" t="s">
        <v>7443</v>
      </c>
      <c r="U2124" s="9" t="s">
        <v>54</v>
      </c>
      <c r="V2124" s="9" t="s">
        <v>55</v>
      </c>
      <c r="W2124" s="9" t="s">
        <v>55</v>
      </c>
      <c r="X2124" s="12"/>
      <c r="Y2124" s="9" t="s">
        <v>55</v>
      </c>
      <c r="Z2124" s="13"/>
    </row>
    <row r="2125" spans="1:26" ht="32.25" hidden="1" customHeight="1">
      <c r="A2125" s="8">
        <v>2303797</v>
      </c>
      <c r="B2125" s="9" t="s">
        <v>7444</v>
      </c>
      <c r="C2125" s="10">
        <v>45149</v>
      </c>
      <c r="D2125" s="9" t="s">
        <v>57</v>
      </c>
      <c r="E2125" s="9" t="s">
        <v>295</v>
      </c>
      <c r="F2125" s="9" t="s">
        <v>42</v>
      </c>
      <c r="G2125" s="9" t="s">
        <v>43</v>
      </c>
      <c r="H2125" s="9" t="s">
        <v>58</v>
      </c>
      <c r="I2125" s="11" t="s">
        <v>296</v>
      </c>
      <c r="J2125" s="9" t="s">
        <v>297</v>
      </c>
      <c r="K2125" s="9" t="s">
        <v>47</v>
      </c>
      <c r="L2125" s="9" t="s">
        <v>156</v>
      </c>
      <c r="M2125" s="9"/>
      <c r="N2125" s="9" t="s">
        <v>50</v>
      </c>
      <c r="O2125" s="9" t="s">
        <v>51</v>
      </c>
      <c r="P2125" s="9"/>
      <c r="Q2125" s="9"/>
      <c r="R2125" s="9"/>
      <c r="S2125" s="14" t="s">
        <v>7445</v>
      </c>
      <c r="T2125" s="9" t="s">
        <v>7446</v>
      </c>
      <c r="U2125" s="9" t="s">
        <v>54</v>
      </c>
      <c r="V2125" s="9" t="s">
        <v>55</v>
      </c>
      <c r="W2125" s="9" t="s">
        <v>55</v>
      </c>
      <c r="X2125" s="12"/>
      <c r="Y2125" s="9" t="s">
        <v>55</v>
      </c>
      <c r="Z2125" s="13"/>
    </row>
    <row r="2126" spans="1:26" ht="32.25" hidden="1" customHeight="1">
      <c r="A2126" s="8">
        <v>2303816</v>
      </c>
      <c r="B2126" s="9" t="s">
        <v>7447</v>
      </c>
      <c r="C2126" s="10">
        <v>45149</v>
      </c>
      <c r="D2126" s="9" t="s">
        <v>57</v>
      </c>
      <c r="E2126" s="9" t="s">
        <v>41</v>
      </c>
      <c r="F2126" s="9" t="s">
        <v>42</v>
      </c>
      <c r="G2126" s="9" t="s">
        <v>43</v>
      </c>
      <c r="H2126" s="9" t="s">
        <v>58</v>
      </c>
      <c r="I2126" s="11" t="s">
        <v>661</v>
      </c>
      <c r="J2126" s="9" t="s">
        <v>662</v>
      </c>
      <c r="K2126" s="9" t="s">
        <v>47</v>
      </c>
      <c r="L2126" s="9" t="s">
        <v>156</v>
      </c>
      <c r="M2126" s="9"/>
      <c r="N2126" s="9" t="s">
        <v>50</v>
      </c>
      <c r="O2126" s="9" t="s">
        <v>51</v>
      </c>
      <c r="P2126" s="9"/>
      <c r="Q2126" s="9"/>
      <c r="R2126" s="9"/>
      <c r="S2126" s="14" t="s">
        <v>7448</v>
      </c>
      <c r="T2126" s="9" t="s">
        <v>7449</v>
      </c>
      <c r="U2126" s="9" t="s">
        <v>54</v>
      </c>
      <c r="V2126" s="9" t="s">
        <v>55</v>
      </c>
      <c r="W2126" s="9" t="s">
        <v>55</v>
      </c>
      <c r="X2126" s="12"/>
      <c r="Y2126" s="9" t="s">
        <v>55</v>
      </c>
      <c r="Z2126" s="13"/>
    </row>
    <row r="2127" spans="1:26" ht="32.25" hidden="1" customHeight="1">
      <c r="A2127" s="8">
        <v>2302401</v>
      </c>
      <c r="B2127" s="9" t="s">
        <v>7450</v>
      </c>
      <c r="C2127" s="10">
        <v>45149</v>
      </c>
      <c r="D2127" s="9" t="s">
        <v>57</v>
      </c>
      <c r="E2127" s="9" t="s">
        <v>153</v>
      </c>
      <c r="F2127" s="9" t="s">
        <v>42</v>
      </c>
      <c r="G2127" s="9" t="s">
        <v>43</v>
      </c>
      <c r="H2127" s="9" t="s">
        <v>58</v>
      </c>
      <c r="I2127" s="11" t="s">
        <v>154</v>
      </c>
      <c r="J2127" s="9" t="s">
        <v>155</v>
      </c>
      <c r="K2127" s="9" t="s">
        <v>47</v>
      </c>
      <c r="L2127" s="9" t="s">
        <v>156</v>
      </c>
      <c r="M2127" s="9"/>
      <c r="N2127" s="9" t="s">
        <v>84</v>
      </c>
      <c r="O2127" s="9" t="s">
        <v>51</v>
      </c>
      <c r="P2127" s="9"/>
      <c r="Q2127" s="9"/>
      <c r="R2127" s="9"/>
      <c r="S2127" s="14" t="s">
        <v>7451</v>
      </c>
      <c r="T2127" s="9" t="s">
        <v>7452</v>
      </c>
      <c r="U2127" s="9" t="s">
        <v>54</v>
      </c>
      <c r="V2127" s="9" t="s">
        <v>55</v>
      </c>
      <c r="W2127" s="9" t="s">
        <v>55</v>
      </c>
      <c r="X2127" s="12"/>
      <c r="Y2127" s="9" t="s">
        <v>55</v>
      </c>
      <c r="Z2127" s="13"/>
    </row>
    <row r="2128" spans="1:26" ht="32.25" hidden="1" customHeight="1">
      <c r="A2128" s="8">
        <v>2301779</v>
      </c>
      <c r="B2128" s="9" t="s">
        <v>7453</v>
      </c>
      <c r="C2128" s="10">
        <v>45149</v>
      </c>
      <c r="D2128" s="9" t="s">
        <v>57</v>
      </c>
      <c r="E2128" s="9" t="s">
        <v>153</v>
      </c>
      <c r="F2128" s="9" t="s">
        <v>42</v>
      </c>
      <c r="G2128" s="9" t="s">
        <v>43</v>
      </c>
      <c r="H2128" s="9" t="s">
        <v>58</v>
      </c>
      <c r="I2128" s="11" t="s">
        <v>154</v>
      </c>
      <c r="J2128" s="9" t="s">
        <v>155</v>
      </c>
      <c r="K2128" s="9" t="s">
        <v>47</v>
      </c>
      <c r="L2128" s="9" t="s">
        <v>480</v>
      </c>
      <c r="M2128" s="9" t="s">
        <v>481</v>
      </c>
      <c r="N2128" s="9" t="s">
        <v>84</v>
      </c>
      <c r="O2128" s="9" t="s">
        <v>51</v>
      </c>
      <c r="P2128" s="9"/>
      <c r="Q2128" s="9"/>
      <c r="R2128" s="9" t="s">
        <v>61</v>
      </c>
      <c r="S2128" s="14" t="s">
        <v>7454</v>
      </c>
      <c r="T2128" s="9" t="s">
        <v>7455</v>
      </c>
      <c r="U2128" s="9" t="s">
        <v>54</v>
      </c>
      <c r="V2128" s="9" t="s">
        <v>55</v>
      </c>
      <c r="W2128" s="9" t="s">
        <v>55</v>
      </c>
      <c r="X2128" s="12" t="s">
        <v>171</v>
      </c>
      <c r="Y2128" s="9" t="s">
        <v>172</v>
      </c>
      <c r="Z2128" s="13"/>
    </row>
    <row r="2129" spans="1:26" ht="32.25" hidden="1" customHeight="1">
      <c r="A2129" s="8">
        <v>2304099</v>
      </c>
      <c r="B2129" s="9" t="s">
        <v>7456</v>
      </c>
      <c r="C2129" s="10">
        <v>45156</v>
      </c>
      <c r="D2129" s="9" t="s">
        <v>79</v>
      </c>
      <c r="E2129" s="9" t="s">
        <v>68</v>
      </c>
      <c r="F2129" s="9" t="s">
        <v>80</v>
      </c>
      <c r="G2129" s="9" t="s">
        <v>43</v>
      </c>
      <c r="H2129" s="9" t="s">
        <v>44</v>
      </c>
      <c r="I2129" s="11" t="s">
        <v>696</v>
      </c>
      <c r="J2129" s="9" t="s">
        <v>70</v>
      </c>
      <c r="K2129" s="9" t="s">
        <v>47</v>
      </c>
      <c r="L2129" s="9" t="s">
        <v>598</v>
      </c>
      <c r="M2129" s="9" t="s">
        <v>7457</v>
      </c>
      <c r="N2129" s="9" t="s">
        <v>50</v>
      </c>
      <c r="O2129" s="9" t="s">
        <v>51</v>
      </c>
      <c r="P2129" s="9" t="s">
        <v>698</v>
      </c>
      <c r="Q2129" s="9"/>
      <c r="R2129" s="9" t="s">
        <v>61</v>
      </c>
      <c r="S2129" s="14" t="s">
        <v>7458</v>
      </c>
      <c r="T2129" s="9" t="s">
        <v>7459</v>
      </c>
      <c r="U2129" s="9" t="s">
        <v>54</v>
      </c>
      <c r="V2129" s="9" t="s">
        <v>3207</v>
      </c>
      <c r="W2129" s="9" t="s">
        <v>115</v>
      </c>
      <c r="X2129" s="12" t="s">
        <v>76</v>
      </c>
      <c r="Y2129" s="9" t="s">
        <v>77</v>
      </c>
      <c r="Z2129" s="13"/>
    </row>
    <row r="2130" spans="1:26" ht="32.25" hidden="1" customHeight="1">
      <c r="A2130" s="8">
        <v>2308137</v>
      </c>
      <c r="B2130" s="9" t="s">
        <v>7460</v>
      </c>
      <c r="C2130" s="10">
        <v>45149</v>
      </c>
      <c r="D2130" s="9" t="s">
        <v>57</v>
      </c>
      <c r="E2130" s="9" t="s">
        <v>153</v>
      </c>
      <c r="F2130" s="9" t="s">
        <v>42</v>
      </c>
      <c r="G2130" s="9" t="s">
        <v>43</v>
      </c>
      <c r="H2130" s="9" t="s">
        <v>58</v>
      </c>
      <c r="I2130" s="11" t="s">
        <v>154</v>
      </c>
      <c r="J2130" s="9" t="s">
        <v>155</v>
      </c>
      <c r="K2130" s="9" t="s">
        <v>47</v>
      </c>
      <c r="L2130" s="9" t="s">
        <v>156</v>
      </c>
      <c r="M2130" s="9"/>
      <c r="N2130" s="9" t="s">
        <v>84</v>
      </c>
      <c r="O2130" s="9" t="s">
        <v>51</v>
      </c>
      <c r="P2130" s="9"/>
      <c r="Q2130" s="9"/>
      <c r="R2130" s="9"/>
      <c r="S2130" s="14" t="s">
        <v>7461</v>
      </c>
      <c r="T2130" s="9" t="s">
        <v>7462</v>
      </c>
      <c r="U2130" s="9" t="s">
        <v>54</v>
      </c>
      <c r="V2130" s="9" t="s">
        <v>55</v>
      </c>
      <c r="W2130" s="9" t="s">
        <v>55</v>
      </c>
      <c r="X2130" s="12"/>
      <c r="Y2130" s="9" t="s">
        <v>55</v>
      </c>
      <c r="Z2130" s="13"/>
    </row>
    <row r="2131" spans="1:26" ht="32.25" hidden="1" customHeight="1">
      <c r="A2131" s="8">
        <v>2302773</v>
      </c>
      <c r="B2131" s="9" t="s">
        <v>7463</v>
      </c>
      <c r="C2131" s="10">
        <v>45156</v>
      </c>
      <c r="D2131" s="9" t="s">
        <v>79</v>
      </c>
      <c r="E2131" s="9" t="s">
        <v>41</v>
      </c>
      <c r="F2131" s="9" t="s">
        <v>80</v>
      </c>
      <c r="G2131" s="9" t="s">
        <v>43</v>
      </c>
      <c r="H2131" s="9" t="s">
        <v>44</v>
      </c>
      <c r="I2131" s="11" t="s">
        <v>233</v>
      </c>
      <c r="J2131" s="9" t="s">
        <v>200</v>
      </c>
      <c r="K2131" s="9" t="s">
        <v>47</v>
      </c>
      <c r="L2131" s="9" t="s">
        <v>156</v>
      </c>
      <c r="M2131" s="9"/>
      <c r="N2131" s="9" t="s">
        <v>50</v>
      </c>
      <c r="O2131" s="9" t="s">
        <v>51</v>
      </c>
      <c r="P2131" s="9" t="s">
        <v>453</v>
      </c>
      <c r="Q2131" s="9"/>
      <c r="R2131" s="9"/>
      <c r="S2131" s="14" t="s">
        <v>7464</v>
      </c>
      <c r="T2131" s="9" t="s">
        <v>7465</v>
      </c>
      <c r="U2131" s="9" t="s">
        <v>54</v>
      </c>
      <c r="V2131" s="9"/>
      <c r="W2131" s="9" t="s">
        <v>115</v>
      </c>
      <c r="X2131" s="12"/>
      <c r="Y2131" s="9" t="s">
        <v>55</v>
      </c>
      <c r="Z2131" s="13"/>
    </row>
    <row r="2132" spans="1:26" ht="32.25" hidden="1" customHeight="1">
      <c r="A2132" s="8">
        <v>2302643</v>
      </c>
      <c r="B2132" s="9" t="s">
        <v>7466</v>
      </c>
      <c r="C2132" s="10">
        <v>45142</v>
      </c>
      <c r="D2132" s="9" t="s">
        <v>67</v>
      </c>
      <c r="E2132" s="9" t="s">
        <v>41</v>
      </c>
      <c r="F2132" s="9" t="s">
        <v>42</v>
      </c>
      <c r="G2132" s="9" t="s">
        <v>43</v>
      </c>
      <c r="H2132" s="9" t="s">
        <v>44</v>
      </c>
      <c r="I2132" s="11" t="s">
        <v>661</v>
      </c>
      <c r="J2132" s="9" t="s">
        <v>662</v>
      </c>
      <c r="K2132" s="9" t="s">
        <v>47</v>
      </c>
      <c r="L2132" s="9" t="s">
        <v>156</v>
      </c>
      <c r="M2132" s="9"/>
      <c r="N2132" s="9" t="s">
        <v>50</v>
      </c>
      <c r="O2132" s="9" t="s">
        <v>51</v>
      </c>
      <c r="P2132" s="9"/>
      <c r="Q2132" s="9"/>
      <c r="R2132" s="9"/>
      <c r="S2132" s="9" t="s">
        <v>7467</v>
      </c>
      <c r="T2132" s="9" t="s">
        <v>7468</v>
      </c>
      <c r="U2132" s="9" t="s">
        <v>54</v>
      </c>
      <c r="V2132" s="9" t="s">
        <v>55</v>
      </c>
      <c r="W2132" s="9" t="s">
        <v>55</v>
      </c>
      <c r="X2132" s="12"/>
      <c r="Y2132" s="9" t="s">
        <v>55</v>
      </c>
      <c r="Z2132" s="13"/>
    </row>
    <row r="2133" spans="1:26" ht="32.25" hidden="1" customHeight="1">
      <c r="A2133" s="8">
        <v>2311288</v>
      </c>
      <c r="B2133" s="9" t="s">
        <v>7469</v>
      </c>
      <c r="C2133" s="10">
        <v>45149</v>
      </c>
      <c r="D2133" s="9" t="s">
        <v>261</v>
      </c>
      <c r="E2133" s="9" t="s">
        <v>89</v>
      </c>
      <c r="F2133" s="9" t="s">
        <v>262</v>
      </c>
      <c r="G2133" s="9" t="s">
        <v>43</v>
      </c>
      <c r="H2133" s="9" t="s">
        <v>44</v>
      </c>
      <c r="I2133" s="11" t="s">
        <v>435</v>
      </c>
      <c r="J2133" s="9" t="s">
        <v>436</v>
      </c>
      <c r="K2133" s="9" t="s">
        <v>47</v>
      </c>
      <c r="L2133" s="9" t="s">
        <v>156</v>
      </c>
      <c r="M2133" s="9"/>
      <c r="N2133" s="9" t="s">
        <v>50</v>
      </c>
      <c r="O2133" s="9" t="s">
        <v>51</v>
      </c>
      <c r="P2133" s="9"/>
      <c r="Q2133" s="9"/>
      <c r="R2133" s="9"/>
      <c r="S2133" s="14" t="s">
        <v>7470</v>
      </c>
      <c r="T2133" s="9" t="s">
        <v>7471</v>
      </c>
      <c r="U2133" s="9" t="s">
        <v>262</v>
      </c>
      <c r="V2133" s="9" t="s">
        <v>55</v>
      </c>
      <c r="W2133" s="9" t="s">
        <v>55</v>
      </c>
      <c r="X2133" s="12"/>
      <c r="Y2133" s="9" t="s">
        <v>55</v>
      </c>
      <c r="Z2133" s="13"/>
    </row>
    <row r="2134" spans="1:26" ht="32.25" hidden="1" customHeight="1">
      <c r="A2134" s="8">
        <v>2305262</v>
      </c>
      <c r="B2134" s="9" t="s">
        <v>7472</v>
      </c>
      <c r="C2134" s="10">
        <v>45156</v>
      </c>
      <c r="D2134" s="9" t="s">
        <v>79</v>
      </c>
      <c r="E2134" s="9" t="s">
        <v>41</v>
      </c>
      <c r="F2134" s="9" t="s">
        <v>80</v>
      </c>
      <c r="G2134" s="9" t="s">
        <v>43</v>
      </c>
      <c r="H2134" s="9" t="s">
        <v>44</v>
      </c>
      <c r="I2134" s="11" t="s">
        <v>478</v>
      </c>
      <c r="J2134" s="9" t="s">
        <v>479</v>
      </c>
      <c r="K2134" s="9" t="s">
        <v>47</v>
      </c>
      <c r="L2134" s="9" t="s">
        <v>48</v>
      </c>
      <c r="M2134" s="9" t="s">
        <v>421</v>
      </c>
      <c r="N2134" s="9" t="s">
        <v>50</v>
      </c>
      <c r="O2134" s="9" t="s">
        <v>51</v>
      </c>
      <c r="P2134" s="9" t="s">
        <v>1414</v>
      </c>
      <c r="Q2134" s="9"/>
      <c r="R2134" s="9" t="s">
        <v>61</v>
      </c>
      <c r="S2134" s="14" t="s">
        <v>7473</v>
      </c>
      <c r="T2134" s="9" t="s">
        <v>7474</v>
      </c>
      <c r="U2134" s="9" t="s">
        <v>54</v>
      </c>
      <c r="V2134" s="9" t="s">
        <v>55</v>
      </c>
      <c r="W2134" s="9" t="s">
        <v>55</v>
      </c>
      <c r="X2134" s="12" t="s">
        <v>150</v>
      </c>
      <c r="Y2134" s="9" t="s">
        <v>151</v>
      </c>
      <c r="Z2134" s="13"/>
    </row>
    <row r="2135" spans="1:26" ht="32.25" hidden="1" customHeight="1">
      <c r="A2135" s="8">
        <v>2301357</v>
      </c>
      <c r="B2135" s="9" t="s">
        <v>7475</v>
      </c>
      <c r="C2135" s="10">
        <v>45142</v>
      </c>
      <c r="D2135" s="9" t="s">
        <v>67</v>
      </c>
      <c r="E2135" s="9" t="s">
        <v>143</v>
      </c>
      <c r="F2135" s="9" t="s">
        <v>42</v>
      </c>
      <c r="G2135" s="9" t="s">
        <v>43</v>
      </c>
      <c r="H2135" s="9" t="s">
        <v>44</v>
      </c>
      <c r="I2135" s="11" t="s">
        <v>334</v>
      </c>
      <c r="J2135" s="9" t="s">
        <v>327</v>
      </c>
      <c r="K2135" s="9" t="s">
        <v>47</v>
      </c>
      <c r="L2135" s="9" t="s">
        <v>180</v>
      </c>
      <c r="M2135" s="9" t="s">
        <v>181</v>
      </c>
      <c r="N2135" s="9" t="s">
        <v>50</v>
      </c>
      <c r="O2135" s="9" t="s">
        <v>51</v>
      </c>
      <c r="P2135" s="9" t="s">
        <v>336</v>
      </c>
      <c r="Q2135" s="9"/>
      <c r="R2135" s="9" t="s">
        <v>61</v>
      </c>
      <c r="S2135" s="9" t="s">
        <v>7476</v>
      </c>
      <c r="T2135" s="9" t="s">
        <v>7477</v>
      </c>
      <c r="U2135" s="9" t="s">
        <v>54</v>
      </c>
      <c r="V2135" s="9" t="s">
        <v>55</v>
      </c>
      <c r="W2135" s="9" t="s">
        <v>55</v>
      </c>
      <c r="X2135" s="12" t="s">
        <v>150</v>
      </c>
      <c r="Y2135" s="9" t="s">
        <v>151</v>
      </c>
      <c r="Z2135" s="13"/>
    </row>
    <row r="2136" spans="1:26" ht="32.25" hidden="1" customHeight="1">
      <c r="A2136" s="8">
        <v>2302593</v>
      </c>
      <c r="B2136" s="9" t="s">
        <v>7478</v>
      </c>
      <c r="C2136" s="10">
        <v>45156</v>
      </c>
      <c r="D2136" s="9" t="s">
        <v>79</v>
      </c>
      <c r="E2136" s="9" t="s">
        <v>143</v>
      </c>
      <c r="F2136" s="9" t="s">
        <v>80</v>
      </c>
      <c r="G2136" s="9" t="s">
        <v>43</v>
      </c>
      <c r="H2136" s="9" t="s">
        <v>44</v>
      </c>
      <c r="I2136" s="11" t="s">
        <v>399</v>
      </c>
      <c r="J2136" s="9" t="s">
        <v>400</v>
      </c>
      <c r="K2136" s="9" t="s">
        <v>47</v>
      </c>
      <c r="L2136" s="9" t="s">
        <v>162</v>
      </c>
      <c r="M2136" s="9" t="s">
        <v>163</v>
      </c>
      <c r="N2136" s="9" t="s">
        <v>50</v>
      </c>
      <c r="O2136" s="9" t="s">
        <v>51</v>
      </c>
      <c r="P2136" s="9" t="s">
        <v>1617</v>
      </c>
      <c r="Q2136" s="9"/>
      <c r="R2136" s="9" t="s">
        <v>61</v>
      </c>
      <c r="S2136" s="14" t="s">
        <v>7479</v>
      </c>
      <c r="T2136" s="9" t="s">
        <v>7480</v>
      </c>
      <c r="U2136" s="9" t="s">
        <v>54</v>
      </c>
      <c r="V2136" s="9" t="s">
        <v>251</v>
      </c>
      <c r="W2136" s="9" t="s">
        <v>115</v>
      </c>
      <c r="X2136" s="12" t="s">
        <v>171</v>
      </c>
      <c r="Y2136" s="9" t="s">
        <v>172</v>
      </c>
      <c r="Z2136" s="13"/>
    </row>
    <row r="2137" spans="1:26" ht="32.25" hidden="1" customHeight="1">
      <c r="A2137" s="8">
        <v>2311240</v>
      </c>
      <c r="B2137" s="9" t="s">
        <v>7481</v>
      </c>
      <c r="C2137" s="10">
        <v>45156</v>
      </c>
      <c r="D2137" s="9" t="s">
        <v>79</v>
      </c>
      <c r="E2137" s="9" t="s">
        <v>143</v>
      </c>
      <c r="F2137" s="9" t="s">
        <v>80</v>
      </c>
      <c r="G2137" s="9" t="s">
        <v>43</v>
      </c>
      <c r="H2137" s="9" t="s">
        <v>44</v>
      </c>
      <c r="I2137" s="11" t="s">
        <v>326</v>
      </c>
      <c r="J2137" s="9" t="s">
        <v>327</v>
      </c>
      <c r="K2137" s="9" t="s">
        <v>47</v>
      </c>
      <c r="L2137" s="9" t="s">
        <v>799</v>
      </c>
      <c r="M2137" s="9" t="s">
        <v>1490</v>
      </c>
      <c r="N2137" s="9" t="s">
        <v>50</v>
      </c>
      <c r="O2137" s="9" t="s">
        <v>51</v>
      </c>
      <c r="P2137" s="9" t="s">
        <v>1646</v>
      </c>
      <c r="Q2137" s="9"/>
      <c r="R2137" s="9" t="s">
        <v>61</v>
      </c>
      <c r="S2137" s="14" t="s">
        <v>7482</v>
      </c>
      <c r="T2137" s="9" t="s">
        <v>7483</v>
      </c>
      <c r="U2137" s="9" t="s">
        <v>54</v>
      </c>
      <c r="V2137" s="9" t="s">
        <v>55</v>
      </c>
      <c r="W2137" s="9" t="s">
        <v>115</v>
      </c>
      <c r="X2137" s="12" t="s">
        <v>150</v>
      </c>
      <c r="Y2137" s="9" t="s">
        <v>151</v>
      </c>
      <c r="Z2137" s="13"/>
    </row>
    <row r="2138" spans="1:26" ht="32.25" hidden="1" customHeight="1">
      <c r="A2138" s="8">
        <v>2302213</v>
      </c>
      <c r="B2138" s="9" t="s">
        <v>7484</v>
      </c>
      <c r="C2138" s="10">
        <v>45149</v>
      </c>
      <c r="D2138" s="9" t="s">
        <v>57</v>
      </c>
      <c r="E2138" s="9" t="s">
        <v>295</v>
      </c>
      <c r="F2138" s="9" t="s">
        <v>42</v>
      </c>
      <c r="G2138" s="9" t="s">
        <v>43</v>
      </c>
      <c r="H2138" s="9" t="s">
        <v>58</v>
      </c>
      <c r="I2138" s="11" t="s">
        <v>296</v>
      </c>
      <c r="J2138" s="9" t="s">
        <v>297</v>
      </c>
      <c r="K2138" s="9" t="s">
        <v>47</v>
      </c>
      <c r="L2138" s="9" t="s">
        <v>340</v>
      </c>
      <c r="M2138" s="9" t="s">
        <v>1297</v>
      </c>
      <c r="N2138" s="9" t="s">
        <v>84</v>
      </c>
      <c r="O2138" s="9" t="s">
        <v>51</v>
      </c>
      <c r="P2138" s="9"/>
      <c r="Q2138" s="9"/>
      <c r="R2138" s="9" t="s">
        <v>61</v>
      </c>
      <c r="S2138" s="14" t="s">
        <v>7485</v>
      </c>
      <c r="T2138" s="9" t="s">
        <v>7486</v>
      </c>
      <c r="U2138" s="9" t="s">
        <v>54</v>
      </c>
      <c r="V2138" s="9" t="s">
        <v>55</v>
      </c>
      <c r="W2138" s="9" t="s">
        <v>55</v>
      </c>
      <c r="X2138" s="9" t="s">
        <v>319</v>
      </c>
      <c r="Y2138" s="9" t="s">
        <v>320</v>
      </c>
      <c r="Z2138" s="13"/>
    </row>
    <row r="2139" spans="1:26" ht="32.25" hidden="1" customHeight="1">
      <c r="A2139" s="8">
        <v>2305805</v>
      </c>
      <c r="B2139" s="9" t="s">
        <v>7487</v>
      </c>
      <c r="C2139" s="10">
        <v>45136</v>
      </c>
      <c r="D2139" s="9" t="s">
        <v>40</v>
      </c>
      <c r="E2139" s="9" t="s">
        <v>41</v>
      </c>
      <c r="F2139" s="9" t="s">
        <v>42</v>
      </c>
      <c r="G2139" s="9" t="s">
        <v>43</v>
      </c>
      <c r="H2139" s="9" t="s">
        <v>44</v>
      </c>
      <c r="I2139" s="11" t="s">
        <v>661</v>
      </c>
      <c r="J2139" s="9" t="s">
        <v>662</v>
      </c>
      <c r="K2139" s="9" t="s">
        <v>47</v>
      </c>
      <c r="L2139" s="9" t="s">
        <v>2632</v>
      </c>
      <c r="M2139" s="9" t="s">
        <v>5034</v>
      </c>
      <c r="N2139" s="9" t="s">
        <v>84</v>
      </c>
      <c r="O2139" s="9" t="s">
        <v>51</v>
      </c>
      <c r="P2139" s="9"/>
      <c r="Q2139" s="9"/>
      <c r="R2139" s="9" t="s">
        <v>61</v>
      </c>
      <c r="S2139" s="9" t="s">
        <v>7488</v>
      </c>
      <c r="T2139" s="9" t="s">
        <v>7489</v>
      </c>
      <c r="U2139" s="9" t="s">
        <v>54</v>
      </c>
      <c r="V2139" s="9" t="s">
        <v>55</v>
      </c>
      <c r="W2139" s="9" t="s">
        <v>55</v>
      </c>
      <c r="X2139" s="9" t="s">
        <v>64</v>
      </c>
      <c r="Y2139" s="9" t="s">
        <v>65</v>
      </c>
      <c r="Z2139" s="13"/>
    </row>
    <row r="2140" spans="1:26" ht="32.25" hidden="1" customHeight="1">
      <c r="A2140" s="8">
        <v>2309357</v>
      </c>
      <c r="B2140" s="9" t="s">
        <v>7490</v>
      </c>
      <c r="C2140" s="10">
        <v>45156</v>
      </c>
      <c r="D2140" s="9" t="s">
        <v>79</v>
      </c>
      <c r="E2140" s="9" t="s">
        <v>41</v>
      </c>
      <c r="F2140" s="9" t="s">
        <v>80</v>
      </c>
      <c r="G2140" s="9" t="s">
        <v>43</v>
      </c>
      <c r="H2140" s="9" t="s">
        <v>44</v>
      </c>
      <c r="I2140" s="11" t="s">
        <v>233</v>
      </c>
      <c r="J2140" s="9" t="s">
        <v>200</v>
      </c>
      <c r="K2140" s="9" t="s">
        <v>47</v>
      </c>
      <c r="L2140" s="9" t="s">
        <v>741</v>
      </c>
      <c r="M2140" s="9" t="s">
        <v>7491</v>
      </c>
      <c r="N2140" s="9" t="s">
        <v>50</v>
      </c>
      <c r="O2140" s="9" t="s">
        <v>51</v>
      </c>
      <c r="P2140" s="9" t="s">
        <v>865</v>
      </c>
      <c r="Q2140" s="9"/>
      <c r="R2140" s="9" t="s">
        <v>61</v>
      </c>
      <c r="S2140" s="14" t="s">
        <v>7492</v>
      </c>
      <c r="T2140" s="9" t="s">
        <v>7493</v>
      </c>
      <c r="U2140" s="9" t="s">
        <v>54</v>
      </c>
      <c r="V2140" s="9" t="s">
        <v>331</v>
      </c>
      <c r="W2140" s="9" t="s">
        <v>115</v>
      </c>
      <c r="X2140" s="9" t="s">
        <v>64</v>
      </c>
      <c r="Y2140" s="9" t="s">
        <v>65</v>
      </c>
      <c r="Z2140" s="13"/>
    </row>
    <row r="2141" spans="1:26" ht="32.25" hidden="1" customHeight="1">
      <c r="A2141" s="8">
        <v>2307832</v>
      </c>
      <c r="B2141" s="9" t="s">
        <v>7494</v>
      </c>
      <c r="C2141" s="10">
        <v>45142</v>
      </c>
      <c r="D2141" s="9" t="s">
        <v>67</v>
      </c>
      <c r="E2141" s="9" t="s">
        <v>68</v>
      </c>
      <c r="F2141" s="9" t="s">
        <v>135</v>
      </c>
      <c r="G2141" s="9" t="s">
        <v>43</v>
      </c>
      <c r="H2141" s="9" t="s">
        <v>44</v>
      </c>
      <c r="I2141" s="11" t="s">
        <v>136</v>
      </c>
      <c r="J2141" s="9" t="s">
        <v>137</v>
      </c>
      <c r="K2141" s="9" t="s">
        <v>47</v>
      </c>
      <c r="L2141" s="9" t="s">
        <v>138</v>
      </c>
      <c r="M2141" s="9" t="s">
        <v>7495</v>
      </c>
      <c r="N2141" s="9" t="s">
        <v>84</v>
      </c>
      <c r="O2141" s="9" t="s">
        <v>51</v>
      </c>
      <c r="P2141" s="9"/>
      <c r="Q2141" s="9"/>
      <c r="R2141" s="9" t="s">
        <v>61</v>
      </c>
      <c r="S2141" s="9" t="s">
        <v>7496</v>
      </c>
      <c r="T2141" s="9" t="s">
        <v>7497</v>
      </c>
      <c r="U2141" s="9" t="s">
        <v>54</v>
      </c>
      <c r="V2141" s="9" t="s">
        <v>55</v>
      </c>
      <c r="W2141" s="9" t="s">
        <v>55</v>
      </c>
      <c r="X2141" s="12" t="s">
        <v>76</v>
      </c>
      <c r="Y2141" s="9" t="s">
        <v>77</v>
      </c>
      <c r="Z2141" s="13"/>
    </row>
    <row r="2142" spans="1:26" ht="32.25" hidden="1" customHeight="1">
      <c r="A2142" s="8">
        <v>2311301</v>
      </c>
      <c r="B2142" s="9" t="s">
        <v>7498</v>
      </c>
      <c r="C2142" s="10">
        <v>45156</v>
      </c>
      <c r="D2142" s="9" t="s">
        <v>79</v>
      </c>
      <c r="E2142" s="9" t="s">
        <v>41</v>
      </c>
      <c r="F2142" s="9" t="s">
        <v>80</v>
      </c>
      <c r="G2142" s="9" t="s">
        <v>43</v>
      </c>
      <c r="H2142" s="9" t="s">
        <v>44</v>
      </c>
      <c r="I2142" s="11" t="s">
        <v>478</v>
      </c>
      <c r="J2142" s="9" t="s">
        <v>479</v>
      </c>
      <c r="K2142" s="9" t="s">
        <v>47</v>
      </c>
      <c r="L2142" s="9" t="s">
        <v>598</v>
      </c>
      <c r="M2142" s="9" t="s">
        <v>599</v>
      </c>
      <c r="N2142" s="9" t="s">
        <v>50</v>
      </c>
      <c r="O2142" s="9" t="s">
        <v>51</v>
      </c>
      <c r="P2142" s="9" t="s">
        <v>1414</v>
      </c>
      <c r="Q2142" s="9"/>
      <c r="R2142" s="9"/>
      <c r="S2142" s="14" t="s">
        <v>7499</v>
      </c>
      <c r="T2142" s="9" t="s">
        <v>7500</v>
      </c>
      <c r="U2142" s="9" t="s">
        <v>54</v>
      </c>
      <c r="V2142" s="9" t="s">
        <v>55</v>
      </c>
      <c r="W2142" s="9" t="s">
        <v>55</v>
      </c>
      <c r="X2142" s="12"/>
      <c r="Y2142" s="9" t="s">
        <v>55</v>
      </c>
      <c r="Z2142" s="13"/>
    </row>
    <row r="2143" spans="1:26" ht="32.25" hidden="1" customHeight="1">
      <c r="A2143" s="8">
        <v>2303673</v>
      </c>
      <c r="B2143" s="9" t="s">
        <v>7501</v>
      </c>
      <c r="C2143" s="10">
        <v>45142</v>
      </c>
      <c r="D2143" s="9" t="s">
        <v>67</v>
      </c>
      <c r="E2143" s="9" t="s">
        <v>68</v>
      </c>
      <c r="F2143" s="9" t="s">
        <v>135</v>
      </c>
      <c r="G2143" s="9" t="s">
        <v>43</v>
      </c>
      <c r="H2143" s="9" t="s">
        <v>44</v>
      </c>
      <c r="I2143" s="11" t="s">
        <v>136</v>
      </c>
      <c r="J2143" s="9" t="s">
        <v>137</v>
      </c>
      <c r="K2143" s="9" t="s">
        <v>47</v>
      </c>
      <c r="L2143" s="9" t="s">
        <v>156</v>
      </c>
      <c r="M2143" s="9"/>
      <c r="N2143" s="9" t="s">
        <v>50</v>
      </c>
      <c r="O2143" s="9" t="s">
        <v>51</v>
      </c>
      <c r="P2143" s="9"/>
      <c r="Q2143" s="9"/>
      <c r="R2143" s="9"/>
      <c r="S2143" s="9" t="s">
        <v>7502</v>
      </c>
      <c r="T2143" s="9" t="s">
        <v>7503</v>
      </c>
      <c r="U2143" s="9" t="s">
        <v>54</v>
      </c>
      <c r="V2143" s="9" t="s">
        <v>55</v>
      </c>
      <c r="W2143" s="9" t="s">
        <v>55</v>
      </c>
      <c r="X2143" s="12"/>
      <c r="Y2143" s="9" t="s">
        <v>55</v>
      </c>
      <c r="Z2143" s="13"/>
    </row>
    <row r="2144" spans="1:26" ht="32.25" hidden="1" customHeight="1">
      <c r="A2144" s="8">
        <v>2314258</v>
      </c>
      <c r="B2144" s="9" t="s">
        <v>7504</v>
      </c>
      <c r="C2144" s="10">
        <v>45156</v>
      </c>
      <c r="D2144" s="9" t="s">
        <v>79</v>
      </c>
      <c r="E2144" s="9" t="s">
        <v>68</v>
      </c>
      <c r="F2144" s="9" t="s">
        <v>80</v>
      </c>
      <c r="G2144" s="9" t="s">
        <v>43</v>
      </c>
      <c r="H2144" s="9" t="s">
        <v>44</v>
      </c>
      <c r="I2144" s="11" t="s">
        <v>90</v>
      </c>
      <c r="J2144" s="9" t="s">
        <v>91</v>
      </c>
      <c r="K2144" s="9" t="s">
        <v>47</v>
      </c>
      <c r="L2144" s="9" t="s">
        <v>156</v>
      </c>
      <c r="M2144" s="9"/>
      <c r="N2144" s="9" t="s">
        <v>50</v>
      </c>
      <c r="O2144" s="9" t="s">
        <v>51</v>
      </c>
      <c r="P2144" s="9" t="s">
        <v>273</v>
      </c>
      <c r="Q2144" s="9"/>
      <c r="R2144" s="9"/>
      <c r="S2144" s="14" t="s">
        <v>7505</v>
      </c>
      <c r="T2144" s="9" t="s">
        <v>7506</v>
      </c>
      <c r="U2144" s="9" t="s">
        <v>54</v>
      </c>
      <c r="V2144" s="9" t="s">
        <v>55</v>
      </c>
      <c r="W2144" s="9" t="s">
        <v>55</v>
      </c>
      <c r="X2144" s="12"/>
      <c r="Y2144" s="9" t="s">
        <v>55</v>
      </c>
      <c r="Z2144" s="13"/>
    </row>
    <row r="2145" spans="1:26" ht="32.25" hidden="1" customHeight="1">
      <c r="A2145" s="8">
        <v>2309413</v>
      </c>
      <c r="B2145" s="9" t="s">
        <v>7507</v>
      </c>
      <c r="C2145" s="10">
        <v>45149</v>
      </c>
      <c r="D2145" s="9" t="s">
        <v>57</v>
      </c>
      <c r="E2145" s="9" t="s">
        <v>89</v>
      </c>
      <c r="F2145" s="9" t="s">
        <v>42</v>
      </c>
      <c r="G2145" s="9" t="s">
        <v>43</v>
      </c>
      <c r="H2145" s="9" t="s">
        <v>58</v>
      </c>
      <c r="I2145" s="11" t="s">
        <v>354</v>
      </c>
      <c r="J2145" s="9" t="s">
        <v>91</v>
      </c>
      <c r="K2145" s="9" t="s">
        <v>47</v>
      </c>
      <c r="L2145" s="9" t="s">
        <v>226</v>
      </c>
      <c r="M2145" s="9" t="s">
        <v>227</v>
      </c>
      <c r="N2145" s="9" t="s">
        <v>50</v>
      </c>
      <c r="O2145" s="9" t="s">
        <v>51</v>
      </c>
      <c r="P2145" s="9" t="s">
        <v>356</v>
      </c>
      <c r="Q2145" s="9"/>
      <c r="R2145" s="9" t="s">
        <v>61</v>
      </c>
      <c r="S2145" s="14" t="s">
        <v>7508</v>
      </c>
      <c r="T2145" s="9" t="s">
        <v>7509</v>
      </c>
      <c r="U2145" s="9" t="s">
        <v>54</v>
      </c>
      <c r="V2145" s="9" t="s">
        <v>55</v>
      </c>
      <c r="W2145" s="9" t="s">
        <v>55</v>
      </c>
      <c r="X2145" s="12" t="s">
        <v>98</v>
      </c>
      <c r="Y2145" s="9" t="s">
        <v>99</v>
      </c>
      <c r="Z2145" s="13"/>
    </row>
    <row r="2146" spans="1:26" ht="32.25" hidden="1" customHeight="1">
      <c r="A2146" s="8">
        <v>2309943</v>
      </c>
      <c r="B2146" s="9" t="s">
        <v>7510</v>
      </c>
      <c r="C2146" s="10">
        <v>45156</v>
      </c>
      <c r="D2146" s="9" t="s">
        <v>79</v>
      </c>
      <c r="E2146" s="9" t="s">
        <v>89</v>
      </c>
      <c r="F2146" s="9" t="s">
        <v>80</v>
      </c>
      <c r="G2146" s="9" t="s">
        <v>43</v>
      </c>
      <c r="H2146" s="9" t="s">
        <v>44</v>
      </c>
      <c r="I2146" s="11" t="s">
        <v>101</v>
      </c>
      <c r="J2146" s="9" t="s">
        <v>102</v>
      </c>
      <c r="K2146" s="9" t="s">
        <v>47</v>
      </c>
      <c r="L2146" s="9"/>
      <c r="M2146" s="9"/>
      <c r="N2146" s="9" t="s">
        <v>50</v>
      </c>
      <c r="O2146" s="9" t="s">
        <v>51</v>
      </c>
      <c r="P2146" s="9" t="s">
        <v>104</v>
      </c>
      <c r="Q2146" s="9"/>
      <c r="R2146" s="9"/>
      <c r="S2146" s="14" t="s">
        <v>7511</v>
      </c>
      <c r="T2146" s="9" t="s">
        <v>7512</v>
      </c>
      <c r="U2146" s="9" t="s">
        <v>54</v>
      </c>
      <c r="V2146" s="9" t="s">
        <v>55</v>
      </c>
      <c r="W2146" s="9" t="s">
        <v>55</v>
      </c>
      <c r="X2146" s="12"/>
      <c r="Y2146" s="9" t="s">
        <v>55</v>
      </c>
      <c r="Z2146" s="13"/>
    </row>
    <row r="2147" spans="1:26" ht="32.25" hidden="1" customHeight="1">
      <c r="A2147" s="8">
        <v>2306547</v>
      </c>
      <c r="B2147" s="9" t="s">
        <v>7513</v>
      </c>
      <c r="C2147" s="10">
        <v>45142</v>
      </c>
      <c r="D2147" s="9" t="s">
        <v>67</v>
      </c>
      <c r="E2147" s="9" t="s">
        <v>89</v>
      </c>
      <c r="F2147" s="9" t="s">
        <v>42</v>
      </c>
      <c r="G2147" s="9" t="s">
        <v>43</v>
      </c>
      <c r="H2147" s="9" t="s">
        <v>44</v>
      </c>
      <c r="I2147" s="11" t="s">
        <v>354</v>
      </c>
      <c r="J2147" s="9" t="s">
        <v>91</v>
      </c>
      <c r="K2147" s="9" t="s">
        <v>47</v>
      </c>
      <c r="L2147" s="9" t="s">
        <v>1686</v>
      </c>
      <c r="M2147" s="9" t="s">
        <v>1750</v>
      </c>
      <c r="N2147" s="9" t="s">
        <v>50</v>
      </c>
      <c r="O2147" s="9" t="s">
        <v>51</v>
      </c>
      <c r="P2147" s="9" t="s">
        <v>356</v>
      </c>
      <c r="Q2147" s="9"/>
      <c r="R2147" s="9" t="s">
        <v>61</v>
      </c>
      <c r="S2147" s="9" t="s">
        <v>7514</v>
      </c>
      <c r="T2147" s="9" t="s">
        <v>7515</v>
      </c>
      <c r="U2147" s="9" t="s">
        <v>54</v>
      </c>
      <c r="V2147" s="9" t="s">
        <v>55</v>
      </c>
      <c r="W2147" s="9" t="s">
        <v>55</v>
      </c>
      <c r="X2147" s="12" t="s">
        <v>98</v>
      </c>
      <c r="Y2147" s="9" t="s">
        <v>99</v>
      </c>
      <c r="Z2147" s="13"/>
    </row>
    <row r="2148" spans="1:26" ht="32.25" hidden="1" customHeight="1">
      <c r="A2148" s="8">
        <v>2305802</v>
      </c>
      <c r="B2148" s="9" t="s">
        <v>7516</v>
      </c>
      <c r="C2148" s="10">
        <v>45142</v>
      </c>
      <c r="D2148" s="9" t="s">
        <v>67</v>
      </c>
      <c r="E2148" s="9" t="s">
        <v>143</v>
      </c>
      <c r="F2148" s="9" t="s">
        <v>42</v>
      </c>
      <c r="G2148" s="9" t="s">
        <v>43</v>
      </c>
      <c r="H2148" s="9" t="s">
        <v>44</v>
      </c>
      <c r="I2148" s="11" t="s">
        <v>219</v>
      </c>
      <c r="J2148" s="9" t="s">
        <v>220</v>
      </c>
      <c r="K2148" s="9" t="s">
        <v>47</v>
      </c>
      <c r="L2148" s="9" t="s">
        <v>480</v>
      </c>
      <c r="M2148" s="9" t="s">
        <v>481</v>
      </c>
      <c r="N2148" s="9" t="s">
        <v>50</v>
      </c>
      <c r="O2148" s="9" t="s">
        <v>51</v>
      </c>
      <c r="P2148" s="9"/>
      <c r="Q2148" s="9"/>
      <c r="R2148" s="9" t="s">
        <v>61</v>
      </c>
      <c r="S2148" s="9" t="s">
        <v>7517</v>
      </c>
      <c r="T2148" s="9" t="s">
        <v>7518</v>
      </c>
      <c r="U2148" s="9" t="s">
        <v>54</v>
      </c>
      <c r="V2148" s="9" t="s">
        <v>55</v>
      </c>
      <c r="W2148" s="9" t="s">
        <v>55</v>
      </c>
      <c r="X2148" s="12" t="s">
        <v>171</v>
      </c>
      <c r="Y2148" s="9" t="s">
        <v>172</v>
      </c>
      <c r="Z2148" s="13"/>
    </row>
    <row r="2149" spans="1:26" ht="32.25" hidden="1" customHeight="1">
      <c r="A2149" s="8">
        <v>2301294</v>
      </c>
      <c r="B2149" s="9" t="s">
        <v>7519</v>
      </c>
      <c r="C2149" s="10">
        <v>45149</v>
      </c>
      <c r="D2149" s="9" t="s">
        <v>57</v>
      </c>
      <c r="E2149" s="9" t="s">
        <v>153</v>
      </c>
      <c r="F2149" s="9" t="s">
        <v>42</v>
      </c>
      <c r="G2149" s="9" t="s">
        <v>43</v>
      </c>
      <c r="H2149" s="9" t="s">
        <v>58</v>
      </c>
      <c r="I2149" s="11" t="s">
        <v>154</v>
      </c>
      <c r="J2149" s="9" t="s">
        <v>155</v>
      </c>
      <c r="K2149" s="9" t="s">
        <v>47</v>
      </c>
      <c r="L2149" s="9" t="s">
        <v>156</v>
      </c>
      <c r="M2149" s="9"/>
      <c r="N2149" s="9" t="s">
        <v>84</v>
      </c>
      <c r="O2149" s="9" t="s">
        <v>51</v>
      </c>
      <c r="P2149" s="9"/>
      <c r="Q2149" s="9"/>
      <c r="R2149" s="9"/>
      <c r="S2149" s="14" t="s">
        <v>7520</v>
      </c>
      <c r="T2149" s="9" t="s">
        <v>7521</v>
      </c>
      <c r="U2149" s="9" t="s">
        <v>54</v>
      </c>
      <c r="V2149" s="9" t="s">
        <v>55</v>
      </c>
      <c r="W2149" s="9" t="s">
        <v>55</v>
      </c>
      <c r="X2149" s="12"/>
      <c r="Y2149" s="9" t="s">
        <v>55</v>
      </c>
      <c r="Z2149" s="13"/>
    </row>
    <row r="2150" spans="1:26" ht="32.25" hidden="1" customHeight="1">
      <c r="A2150" s="8">
        <v>2307868</v>
      </c>
      <c r="B2150" s="9" t="s">
        <v>7522</v>
      </c>
      <c r="C2150" s="10">
        <v>45149</v>
      </c>
      <c r="D2150" s="9" t="s">
        <v>57</v>
      </c>
      <c r="E2150" s="9" t="s">
        <v>41</v>
      </c>
      <c r="F2150" s="9" t="s">
        <v>42</v>
      </c>
      <c r="G2150" s="9" t="s">
        <v>43</v>
      </c>
      <c r="H2150" s="9" t="s">
        <v>58</v>
      </c>
      <c r="I2150" s="11" t="s">
        <v>45</v>
      </c>
      <c r="J2150" s="9" t="s">
        <v>46</v>
      </c>
      <c r="K2150" s="9" t="s">
        <v>47</v>
      </c>
      <c r="L2150" s="9" t="s">
        <v>204</v>
      </c>
      <c r="M2150" s="9" t="s">
        <v>2166</v>
      </c>
      <c r="N2150" s="9" t="s">
        <v>84</v>
      </c>
      <c r="O2150" s="9" t="s">
        <v>51</v>
      </c>
      <c r="P2150" s="9"/>
      <c r="Q2150" s="9"/>
      <c r="R2150" s="9" t="s">
        <v>61</v>
      </c>
      <c r="S2150" s="14" t="s">
        <v>7523</v>
      </c>
      <c r="T2150" s="9" t="s">
        <v>7524</v>
      </c>
      <c r="U2150" s="9" t="s">
        <v>54</v>
      </c>
      <c r="V2150" s="9" t="s">
        <v>55</v>
      </c>
      <c r="W2150" s="9" t="s">
        <v>55</v>
      </c>
      <c r="X2150" s="9" t="s">
        <v>196</v>
      </c>
      <c r="Y2150" s="9" t="s">
        <v>197</v>
      </c>
      <c r="Z2150" s="13"/>
    </row>
    <row r="2151" spans="1:26" ht="32.25" hidden="1" customHeight="1">
      <c r="A2151" s="8">
        <v>2308914</v>
      </c>
      <c r="B2151" s="9" t="s">
        <v>7525</v>
      </c>
      <c r="C2151" s="10">
        <v>45149</v>
      </c>
      <c r="D2151" s="9" t="s">
        <v>57</v>
      </c>
      <c r="E2151" s="9" t="s">
        <v>295</v>
      </c>
      <c r="F2151" s="9" t="s">
        <v>42</v>
      </c>
      <c r="G2151" s="9" t="s">
        <v>43</v>
      </c>
      <c r="H2151" s="9" t="s">
        <v>58</v>
      </c>
      <c r="I2151" s="11" t="s">
        <v>406</v>
      </c>
      <c r="J2151" s="9" t="s">
        <v>407</v>
      </c>
      <c r="K2151" s="9" t="s">
        <v>47</v>
      </c>
      <c r="L2151" s="9" t="s">
        <v>156</v>
      </c>
      <c r="M2151" s="9"/>
      <c r="N2151" s="9" t="s">
        <v>84</v>
      </c>
      <c r="O2151" s="9" t="s">
        <v>51</v>
      </c>
      <c r="P2151" s="9"/>
      <c r="Q2151" s="9"/>
      <c r="R2151" s="9"/>
      <c r="S2151" s="14" t="s">
        <v>7526</v>
      </c>
      <c r="T2151" s="9" t="s">
        <v>7527</v>
      </c>
      <c r="U2151" s="9" t="s">
        <v>54</v>
      </c>
      <c r="V2151" s="9" t="s">
        <v>55</v>
      </c>
      <c r="W2151" s="9" t="s">
        <v>55</v>
      </c>
      <c r="X2151" s="12"/>
      <c r="Y2151" s="9" t="s">
        <v>55</v>
      </c>
      <c r="Z2151" s="13"/>
    </row>
    <row r="2152" spans="1:26" ht="32.25" hidden="1" customHeight="1">
      <c r="A2152" s="8">
        <v>2312187</v>
      </c>
      <c r="B2152" s="9" t="s">
        <v>7528</v>
      </c>
      <c r="C2152" s="10">
        <v>45156</v>
      </c>
      <c r="D2152" s="9" t="s">
        <v>79</v>
      </c>
      <c r="E2152" s="9" t="s">
        <v>89</v>
      </c>
      <c r="F2152" s="9" t="s">
        <v>80</v>
      </c>
      <c r="G2152" s="9" t="s">
        <v>43</v>
      </c>
      <c r="H2152" s="9" t="s">
        <v>44</v>
      </c>
      <c r="I2152" s="11" t="s">
        <v>101</v>
      </c>
      <c r="J2152" s="9" t="s">
        <v>102</v>
      </c>
      <c r="K2152" s="9" t="s">
        <v>47</v>
      </c>
      <c r="L2152" s="9" t="s">
        <v>1542</v>
      </c>
      <c r="M2152" s="9" t="s">
        <v>7529</v>
      </c>
      <c r="N2152" s="9" t="s">
        <v>50</v>
      </c>
      <c r="O2152" s="9" t="s">
        <v>51</v>
      </c>
      <c r="P2152" s="9" t="s">
        <v>104</v>
      </c>
      <c r="Q2152" s="9"/>
      <c r="R2152" s="9"/>
      <c r="S2152" s="14" t="s">
        <v>7530</v>
      </c>
      <c r="T2152" s="9" t="s">
        <v>7531</v>
      </c>
      <c r="U2152" s="9" t="s">
        <v>54</v>
      </c>
      <c r="V2152" s="9" t="s">
        <v>55</v>
      </c>
      <c r="W2152" s="9" t="s">
        <v>55</v>
      </c>
      <c r="X2152" s="12"/>
      <c r="Y2152" s="9" t="s">
        <v>55</v>
      </c>
      <c r="Z2152" s="13"/>
    </row>
    <row r="2153" spans="1:26" ht="32.25" hidden="1" customHeight="1">
      <c r="A2153" s="8">
        <v>2314843</v>
      </c>
      <c r="B2153" s="9" t="s">
        <v>7532</v>
      </c>
      <c r="C2153" s="10">
        <v>45156</v>
      </c>
      <c r="D2153" s="9" t="s">
        <v>79</v>
      </c>
      <c r="E2153" s="9" t="s">
        <v>41</v>
      </c>
      <c r="F2153" s="9" t="s">
        <v>80</v>
      </c>
      <c r="G2153" s="9" t="s">
        <v>43</v>
      </c>
      <c r="H2153" s="9" t="s">
        <v>44</v>
      </c>
      <c r="I2153" s="11" t="s">
        <v>81</v>
      </c>
      <c r="J2153" s="9" t="s">
        <v>46</v>
      </c>
      <c r="K2153" s="9" t="s">
        <v>47</v>
      </c>
      <c r="L2153" s="9" t="s">
        <v>1378</v>
      </c>
      <c r="M2153" s="9" t="s">
        <v>7533</v>
      </c>
      <c r="N2153" s="9" t="s">
        <v>50</v>
      </c>
      <c r="O2153" s="9" t="s">
        <v>51</v>
      </c>
      <c r="P2153" s="9" t="s">
        <v>503</v>
      </c>
      <c r="Q2153" s="9"/>
      <c r="R2153" s="9"/>
      <c r="S2153" s="14" t="s">
        <v>7534</v>
      </c>
      <c r="T2153" s="9" t="s">
        <v>7535</v>
      </c>
      <c r="U2153" s="9" t="s">
        <v>54</v>
      </c>
      <c r="V2153" s="9" t="s">
        <v>55</v>
      </c>
      <c r="W2153" s="9" t="s">
        <v>55</v>
      </c>
      <c r="X2153" s="12"/>
      <c r="Y2153" s="9" t="s">
        <v>55</v>
      </c>
      <c r="Z2153" s="13"/>
    </row>
    <row r="2154" spans="1:26" ht="32.25" hidden="1" customHeight="1">
      <c r="A2154" s="8">
        <v>2301710</v>
      </c>
      <c r="B2154" s="9" t="s">
        <v>7536</v>
      </c>
      <c r="C2154" s="10">
        <v>45149</v>
      </c>
      <c r="D2154" s="9" t="s">
        <v>57</v>
      </c>
      <c r="E2154" s="9" t="s">
        <v>295</v>
      </c>
      <c r="F2154" s="9" t="s">
        <v>42</v>
      </c>
      <c r="G2154" s="9" t="s">
        <v>43</v>
      </c>
      <c r="H2154" s="9" t="s">
        <v>58</v>
      </c>
      <c r="I2154" s="11" t="s">
        <v>406</v>
      </c>
      <c r="J2154" s="9" t="s">
        <v>407</v>
      </c>
      <c r="K2154" s="9" t="s">
        <v>47</v>
      </c>
      <c r="L2154" s="9" t="s">
        <v>156</v>
      </c>
      <c r="M2154" s="9"/>
      <c r="N2154" s="9" t="s">
        <v>50</v>
      </c>
      <c r="O2154" s="9" t="s">
        <v>51</v>
      </c>
      <c r="P2154" s="9"/>
      <c r="Q2154" s="9"/>
      <c r="R2154" s="9"/>
      <c r="S2154" s="14" t="s">
        <v>7537</v>
      </c>
      <c r="T2154" s="9" t="s">
        <v>7538</v>
      </c>
      <c r="U2154" s="9" t="s">
        <v>54</v>
      </c>
      <c r="V2154" s="9" t="s">
        <v>55</v>
      </c>
      <c r="W2154" s="9" t="s">
        <v>55</v>
      </c>
      <c r="X2154" s="12"/>
      <c r="Y2154" s="9" t="s">
        <v>55</v>
      </c>
      <c r="Z2154" s="13"/>
    </row>
    <row r="2155" spans="1:26" ht="32.25" hidden="1" customHeight="1">
      <c r="A2155" s="8">
        <v>2301698</v>
      </c>
      <c r="B2155" s="9" t="s">
        <v>7539</v>
      </c>
      <c r="C2155" s="10">
        <v>45149</v>
      </c>
      <c r="D2155" s="9" t="s">
        <v>57</v>
      </c>
      <c r="E2155" s="9" t="s">
        <v>41</v>
      </c>
      <c r="F2155" s="9" t="s">
        <v>42</v>
      </c>
      <c r="G2155" s="9" t="s">
        <v>43</v>
      </c>
      <c r="H2155" s="9" t="s">
        <v>58</v>
      </c>
      <c r="I2155" s="11" t="s">
        <v>129</v>
      </c>
      <c r="J2155" s="9" t="s">
        <v>130</v>
      </c>
      <c r="K2155" s="9" t="s">
        <v>47</v>
      </c>
      <c r="L2155" s="9" t="s">
        <v>48</v>
      </c>
      <c r="M2155" s="9" t="s">
        <v>3081</v>
      </c>
      <c r="N2155" s="9" t="s">
        <v>84</v>
      </c>
      <c r="O2155" s="9" t="s">
        <v>51</v>
      </c>
      <c r="P2155" s="9"/>
      <c r="Q2155" s="9"/>
      <c r="R2155" s="9"/>
      <c r="S2155" s="14" t="s">
        <v>7540</v>
      </c>
      <c r="T2155" s="9" t="s">
        <v>7541</v>
      </c>
      <c r="U2155" s="9" t="s">
        <v>54</v>
      </c>
      <c r="V2155" s="9" t="s">
        <v>55</v>
      </c>
      <c r="W2155" s="9" t="s">
        <v>55</v>
      </c>
      <c r="X2155" s="12"/>
      <c r="Y2155" s="9" t="s">
        <v>55</v>
      </c>
      <c r="Z2155" s="13"/>
    </row>
    <row r="2156" spans="1:26" ht="32.25" hidden="1" customHeight="1">
      <c r="A2156" s="8">
        <v>2306554</v>
      </c>
      <c r="B2156" s="9" t="s">
        <v>7542</v>
      </c>
      <c r="C2156" s="10">
        <v>45149</v>
      </c>
      <c r="D2156" s="9" t="s">
        <v>57</v>
      </c>
      <c r="E2156" s="9" t="s">
        <v>41</v>
      </c>
      <c r="F2156" s="9" t="s">
        <v>42</v>
      </c>
      <c r="G2156" s="9" t="s">
        <v>43</v>
      </c>
      <c r="H2156" s="9" t="s">
        <v>58</v>
      </c>
      <c r="I2156" s="11" t="s">
        <v>45</v>
      </c>
      <c r="J2156" s="9" t="s">
        <v>46</v>
      </c>
      <c r="K2156" s="9" t="s">
        <v>47</v>
      </c>
      <c r="L2156" s="9" t="s">
        <v>799</v>
      </c>
      <c r="M2156" s="9" t="s">
        <v>800</v>
      </c>
      <c r="N2156" s="9" t="s">
        <v>50</v>
      </c>
      <c r="O2156" s="9" t="s">
        <v>51</v>
      </c>
      <c r="P2156" s="9"/>
      <c r="Q2156" s="9"/>
      <c r="R2156" s="9" t="s">
        <v>61</v>
      </c>
      <c r="S2156" s="14" t="s">
        <v>7543</v>
      </c>
      <c r="T2156" s="9" t="s">
        <v>7544</v>
      </c>
      <c r="U2156" s="9" t="s">
        <v>54</v>
      </c>
      <c r="V2156" s="9" t="s">
        <v>55</v>
      </c>
      <c r="W2156" s="9" t="s">
        <v>55</v>
      </c>
      <c r="X2156" s="9" t="s">
        <v>64</v>
      </c>
      <c r="Y2156" s="9" t="s">
        <v>65</v>
      </c>
      <c r="Z2156" s="13"/>
    </row>
    <row r="2157" spans="1:26" ht="32.25" hidden="1" customHeight="1">
      <c r="A2157" s="8">
        <v>2304639</v>
      </c>
      <c r="B2157" s="9" t="s">
        <v>7545</v>
      </c>
      <c r="C2157" s="10">
        <v>45142</v>
      </c>
      <c r="D2157" s="9" t="s">
        <v>67</v>
      </c>
      <c r="E2157" s="9" t="s">
        <v>89</v>
      </c>
      <c r="F2157" s="9" t="s">
        <v>42</v>
      </c>
      <c r="G2157" s="9" t="s">
        <v>43</v>
      </c>
      <c r="H2157" s="9" t="s">
        <v>44</v>
      </c>
      <c r="I2157" s="11" t="s">
        <v>360</v>
      </c>
      <c r="J2157" s="9" t="s">
        <v>102</v>
      </c>
      <c r="K2157" s="9" t="s">
        <v>47</v>
      </c>
      <c r="L2157" s="9" t="s">
        <v>174</v>
      </c>
      <c r="M2157" s="9" t="s">
        <v>669</v>
      </c>
      <c r="N2157" s="9" t="s">
        <v>50</v>
      </c>
      <c r="O2157" s="9" t="s">
        <v>51</v>
      </c>
      <c r="P2157" s="9" t="s">
        <v>361</v>
      </c>
      <c r="Q2157" s="9"/>
      <c r="R2157" s="9" t="s">
        <v>61</v>
      </c>
      <c r="S2157" s="9" t="s">
        <v>7546</v>
      </c>
      <c r="T2157" s="9" t="s">
        <v>7547</v>
      </c>
      <c r="U2157" s="9" t="s">
        <v>54</v>
      </c>
      <c r="V2157" s="9" t="s">
        <v>55</v>
      </c>
      <c r="W2157" s="9" t="s">
        <v>55</v>
      </c>
      <c r="X2157" s="12" t="s">
        <v>98</v>
      </c>
      <c r="Y2157" s="9" t="s">
        <v>99</v>
      </c>
      <c r="Z2157" s="13"/>
    </row>
    <row r="2158" spans="1:26" ht="32.25" hidden="1" customHeight="1">
      <c r="A2158" s="8">
        <v>2311859</v>
      </c>
      <c r="B2158" s="9" t="s">
        <v>7548</v>
      </c>
      <c r="C2158" s="10">
        <v>45149</v>
      </c>
      <c r="D2158" s="9" t="s">
        <v>57</v>
      </c>
      <c r="E2158" s="9" t="s">
        <v>41</v>
      </c>
      <c r="F2158" s="9" t="s">
        <v>42</v>
      </c>
      <c r="G2158" s="9" t="s">
        <v>43</v>
      </c>
      <c r="H2158" s="9" t="s">
        <v>58</v>
      </c>
      <c r="I2158" s="11" t="s">
        <v>45</v>
      </c>
      <c r="J2158" s="9" t="s">
        <v>46</v>
      </c>
      <c r="K2158" s="9" t="s">
        <v>47</v>
      </c>
      <c r="L2158" s="9" t="s">
        <v>7549</v>
      </c>
      <c r="M2158" s="9" t="s">
        <v>7550</v>
      </c>
      <c r="N2158" s="9" t="s">
        <v>50</v>
      </c>
      <c r="O2158" s="9" t="s">
        <v>51</v>
      </c>
      <c r="P2158" s="9"/>
      <c r="Q2158" s="9"/>
      <c r="R2158" s="9" t="s">
        <v>61</v>
      </c>
      <c r="S2158" s="14" t="s">
        <v>7551</v>
      </c>
      <c r="T2158" s="9" t="s">
        <v>7552</v>
      </c>
      <c r="U2158" s="9" t="s">
        <v>54</v>
      </c>
      <c r="V2158" s="9" t="s">
        <v>55</v>
      </c>
      <c r="W2158" s="9" t="s">
        <v>55</v>
      </c>
      <c r="X2158" s="9" t="s">
        <v>64</v>
      </c>
      <c r="Y2158" s="9" t="s">
        <v>65</v>
      </c>
      <c r="Z2158" s="13"/>
    </row>
    <row r="2159" spans="1:26" ht="32.25" hidden="1" customHeight="1">
      <c r="A2159" s="8">
        <v>2308152</v>
      </c>
      <c r="B2159" s="9" t="s">
        <v>7553</v>
      </c>
      <c r="C2159" s="10">
        <v>45149</v>
      </c>
      <c r="D2159" s="9" t="s">
        <v>261</v>
      </c>
      <c r="E2159" s="9" t="s">
        <v>68</v>
      </c>
      <c r="F2159" s="9" t="s">
        <v>262</v>
      </c>
      <c r="G2159" s="9" t="s">
        <v>43</v>
      </c>
      <c r="H2159" s="9" t="s">
        <v>44</v>
      </c>
      <c r="I2159" s="11" t="s">
        <v>1020</v>
      </c>
      <c r="J2159" s="9" t="s">
        <v>1021</v>
      </c>
      <c r="K2159" s="9" t="s">
        <v>47</v>
      </c>
      <c r="L2159" s="9" t="s">
        <v>305</v>
      </c>
      <c r="M2159" s="9" t="s">
        <v>7554</v>
      </c>
      <c r="N2159" s="9" t="s">
        <v>50</v>
      </c>
      <c r="O2159" s="9" t="s">
        <v>51</v>
      </c>
      <c r="P2159" s="9"/>
      <c r="Q2159" s="9"/>
      <c r="R2159" s="9"/>
      <c r="S2159" s="14" t="s">
        <v>7555</v>
      </c>
      <c r="T2159" s="9" t="s">
        <v>7556</v>
      </c>
      <c r="U2159" s="9" t="s">
        <v>262</v>
      </c>
      <c r="V2159" s="9" t="s">
        <v>55</v>
      </c>
      <c r="W2159" s="9" t="s">
        <v>55</v>
      </c>
      <c r="X2159" s="12"/>
      <c r="Y2159" s="9" t="s">
        <v>55</v>
      </c>
      <c r="Z2159" s="13"/>
    </row>
    <row r="2160" spans="1:26" ht="32.25" hidden="1" customHeight="1">
      <c r="A2160" s="8">
        <v>2311419</v>
      </c>
      <c r="B2160" s="9" t="s">
        <v>7557</v>
      </c>
      <c r="C2160" s="10">
        <v>45156</v>
      </c>
      <c r="D2160" s="9" t="s">
        <v>79</v>
      </c>
      <c r="E2160" s="9" t="s">
        <v>143</v>
      </c>
      <c r="F2160" s="9" t="s">
        <v>80</v>
      </c>
      <c r="G2160" s="9" t="s">
        <v>43</v>
      </c>
      <c r="H2160" s="9" t="s">
        <v>44</v>
      </c>
      <c r="I2160" s="11" t="s">
        <v>399</v>
      </c>
      <c r="J2160" s="9" t="s">
        <v>400</v>
      </c>
      <c r="K2160" s="9" t="s">
        <v>47</v>
      </c>
      <c r="L2160" s="9" t="s">
        <v>156</v>
      </c>
      <c r="M2160" s="9"/>
      <c r="N2160" s="9" t="s">
        <v>50</v>
      </c>
      <c r="O2160" s="9" t="s">
        <v>51</v>
      </c>
      <c r="P2160" s="9" t="s">
        <v>1137</v>
      </c>
      <c r="Q2160" s="9"/>
      <c r="R2160" s="9"/>
      <c r="S2160" s="14" t="s">
        <v>7558</v>
      </c>
      <c r="T2160" s="9" t="s">
        <v>7559</v>
      </c>
      <c r="U2160" s="9" t="s">
        <v>54</v>
      </c>
      <c r="V2160" s="9"/>
      <c r="W2160" s="9" t="s">
        <v>115</v>
      </c>
      <c r="X2160" s="12"/>
      <c r="Y2160" s="9" t="s">
        <v>55</v>
      </c>
      <c r="Z2160" s="13"/>
    </row>
    <row r="2161" spans="1:26" ht="32.25" hidden="1" customHeight="1">
      <c r="A2161" s="8">
        <v>2308056</v>
      </c>
      <c r="B2161" s="9" t="s">
        <v>7560</v>
      </c>
      <c r="C2161" s="10">
        <v>45149</v>
      </c>
      <c r="D2161" s="9" t="s">
        <v>57</v>
      </c>
      <c r="E2161" s="9" t="s">
        <v>41</v>
      </c>
      <c r="F2161" s="9" t="s">
        <v>42</v>
      </c>
      <c r="G2161" s="9" t="s">
        <v>43</v>
      </c>
      <c r="H2161" s="9" t="s">
        <v>58</v>
      </c>
      <c r="I2161" s="11" t="s">
        <v>199</v>
      </c>
      <c r="J2161" s="9" t="s">
        <v>200</v>
      </c>
      <c r="K2161" s="9" t="s">
        <v>47</v>
      </c>
      <c r="L2161" s="9" t="s">
        <v>156</v>
      </c>
      <c r="M2161" s="9"/>
      <c r="N2161" s="9" t="s">
        <v>84</v>
      </c>
      <c r="O2161" s="9" t="s">
        <v>51</v>
      </c>
      <c r="P2161" s="9"/>
      <c r="Q2161" s="9"/>
      <c r="R2161" s="9"/>
      <c r="S2161" s="14" t="s">
        <v>7561</v>
      </c>
      <c r="T2161" s="9" t="s">
        <v>7562</v>
      </c>
      <c r="U2161" s="9" t="s">
        <v>54</v>
      </c>
      <c r="V2161" s="9" t="s">
        <v>55</v>
      </c>
      <c r="W2161" s="9" t="s">
        <v>55</v>
      </c>
      <c r="X2161" s="12"/>
      <c r="Y2161" s="9" t="s">
        <v>55</v>
      </c>
      <c r="Z2161" s="13"/>
    </row>
    <row r="2162" spans="1:26" ht="32.25" hidden="1" customHeight="1">
      <c r="A2162" s="8">
        <v>2300165</v>
      </c>
      <c r="B2162" s="9" t="s">
        <v>7563</v>
      </c>
      <c r="C2162" s="10">
        <v>45149</v>
      </c>
      <c r="D2162" s="9" t="s">
        <v>261</v>
      </c>
      <c r="E2162" s="9" t="s">
        <v>68</v>
      </c>
      <c r="F2162" s="9" t="s">
        <v>262</v>
      </c>
      <c r="G2162" s="9" t="s">
        <v>43</v>
      </c>
      <c r="H2162" s="9" t="s">
        <v>44</v>
      </c>
      <c r="I2162" s="11" t="s">
        <v>648</v>
      </c>
      <c r="J2162" s="9" t="s">
        <v>649</v>
      </c>
      <c r="K2162" s="9" t="s">
        <v>47</v>
      </c>
      <c r="L2162" s="9" t="s">
        <v>156</v>
      </c>
      <c r="M2162" s="9"/>
      <c r="N2162" s="9" t="s">
        <v>50</v>
      </c>
      <c r="O2162" s="9" t="s">
        <v>51</v>
      </c>
      <c r="P2162" s="9"/>
      <c r="Q2162" s="9"/>
      <c r="R2162" s="9"/>
      <c r="S2162" s="14" t="s">
        <v>7564</v>
      </c>
      <c r="T2162" s="9" t="s">
        <v>7565</v>
      </c>
      <c r="U2162" s="9" t="s">
        <v>262</v>
      </c>
      <c r="V2162" s="9" t="s">
        <v>55</v>
      </c>
      <c r="W2162" s="9" t="s">
        <v>115</v>
      </c>
      <c r="X2162" s="12"/>
      <c r="Y2162" s="9" t="s">
        <v>55</v>
      </c>
      <c r="Z2162" s="13"/>
    </row>
    <row r="2163" spans="1:26" ht="32.25" hidden="1" customHeight="1">
      <c r="A2163" s="8">
        <v>2306227</v>
      </c>
      <c r="B2163" s="9" t="s">
        <v>7566</v>
      </c>
      <c r="C2163" s="10">
        <v>45149</v>
      </c>
      <c r="D2163" s="9" t="s">
        <v>57</v>
      </c>
      <c r="E2163" s="9" t="s">
        <v>41</v>
      </c>
      <c r="F2163" s="9" t="s">
        <v>42</v>
      </c>
      <c r="G2163" s="9" t="s">
        <v>43</v>
      </c>
      <c r="H2163" s="9" t="s">
        <v>58</v>
      </c>
      <c r="I2163" s="11" t="s">
        <v>199</v>
      </c>
      <c r="J2163" s="9" t="s">
        <v>200</v>
      </c>
      <c r="K2163" s="9" t="s">
        <v>47</v>
      </c>
      <c r="L2163" s="9" t="s">
        <v>156</v>
      </c>
      <c r="M2163" s="9"/>
      <c r="N2163" s="9" t="s">
        <v>50</v>
      </c>
      <c r="O2163" s="9" t="s">
        <v>51</v>
      </c>
      <c r="P2163" s="9"/>
      <c r="Q2163" s="9"/>
      <c r="R2163" s="9"/>
      <c r="S2163" s="14" t="s">
        <v>7567</v>
      </c>
      <c r="T2163" s="9" t="s">
        <v>7568</v>
      </c>
      <c r="U2163" s="9" t="s">
        <v>54</v>
      </c>
      <c r="V2163" s="9" t="s">
        <v>55</v>
      </c>
      <c r="W2163" s="9" t="s">
        <v>55</v>
      </c>
      <c r="X2163" s="12"/>
      <c r="Y2163" s="9" t="s">
        <v>55</v>
      </c>
      <c r="Z2163" s="13"/>
    </row>
    <row r="2164" spans="1:26" ht="32.25" hidden="1" customHeight="1">
      <c r="A2164" s="8">
        <v>2314594</v>
      </c>
      <c r="B2164" s="9" t="s">
        <v>7569</v>
      </c>
      <c r="C2164" s="10">
        <v>45156</v>
      </c>
      <c r="D2164" s="9" t="s">
        <v>79</v>
      </c>
      <c r="E2164" s="9" t="s">
        <v>143</v>
      </c>
      <c r="F2164" s="9" t="s">
        <v>80</v>
      </c>
      <c r="G2164" s="9" t="s">
        <v>43</v>
      </c>
      <c r="H2164" s="9" t="s">
        <v>44</v>
      </c>
      <c r="I2164" s="11" t="s">
        <v>399</v>
      </c>
      <c r="J2164" s="9" t="s">
        <v>400</v>
      </c>
      <c r="K2164" s="9" t="s">
        <v>47</v>
      </c>
      <c r="L2164" s="9" t="s">
        <v>290</v>
      </c>
      <c r="M2164" s="9" t="s">
        <v>7570</v>
      </c>
      <c r="N2164" s="9" t="s">
        <v>50</v>
      </c>
      <c r="O2164" s="9" t="s">
        <v>51</v>
      </c>
      <c r="P2164" s="9" t="s">
        <v>1617</v>
      </c>
      <c r="Q2164" s="9"/>
      <c r="R2164" s="9" t="s">
        <v>61</v>
      </c>
      <c r="S2164" s="14" t="s">
        <v>7571</v>
      </c>
      <c r="T2164" s="9" t="s">
        <v>7572</v>
      </c>
      <c r="U2164" s="9" t="s">
        <v>54</v>
      </c>
      <c r="V2164" s="9" t="s">
        <v>251</v>
      </c>
      <c r="W2164" s="9" t="s">
        <v>115</v>
      </c>
      <c r="X2164" s="12" t="s">
        <v>171</v>
      </c>
      <c r="Y2164" s="9" t="s">
        <v>172</v>
      </c>
      <c r="Z2164" s="13"/>
    </row>
    <row r="2165" spans="1:26" ht="32.25" hidden="1" customHeight="1">
      <c r="A2165" s="8">
        <v>2305598</v>
      </c>
      <c r="B2165" s="9" t="s">
        <v>7573</v>
      </c>
      <c r="C2165" s="10">
        <v>45156</v>
      </c>
      <c r="D2165" s="9" t="s">
        <v>79</v>
      </c>
      <c r="E2165" s="9" t="s">
        <v>89</v>
      </c>
      <c r="F2165" s="9" t="s">
        <v>80</v>
      </c>
      <c r="G2165" s="9" t="s">
        <v>43</v>
      </c>
      <c r="H2165" s="9" t="s">
        <v>44</v>
      </c>
      <c r="I2165" s="11" t="s">
        <v>117</v>
      </c>
      <c r="J2165" s="9" t="s">
        <v>118</v>
      </c>
      <c r="K2165" s="9" t="s">
        <v>47</v>
      </c>
      <c r="L2165" s="9" t="s">
        <v>586</v>
      </c>
      <c r="M2165" s="9" t="s">
        <v>918</v>
      </c>
      <c r="N2165" s="9" t="s">
        <v>50</v>
      </c>
      <c r="O2165" s="9" t="s">
        <v>51</v>
      </c>
      <c r="P2165" s="9" t="s">
        <v>121</v>
      </c>
      <c r="Q2165" s="9"/>
      <c r="R2165" s="9" t="s">
        <v>61</v>
      </c>
      <c r="S2165" s="14" t="s">
        <v>7574</v>
      </c>
      <c r="T2165" s="9" t="s">
        <v>7575</v>
      </c>
      <c r="U2165" s="9" t="s">
        <v>54</v>
      </c>
      <c r="V2165" s="9" t="s">
        <v>55</v>
      </c>
      <c r="W2165" s="9" t="s">
        <v>55</v>
      </c>
      <c r="X2165" s="12" t="s">
        <v>98</v>
      </c>
      <c r="Y2165" s="9" t="s">
        <v>99</v>
      </c>
      <c r="Z2165" s="13"/>
    </row>
    <row r="2166" spans="1:26" ht="32.25" hidden="1" customHeight="1">
      <c r="A2166" s="8">
        <v>2311427</v>
      </c>
      <c r="B2166" s="9" t="s">
        <v>7576</v>
      </c>
      <c r="C2166" s="10">
        <v>45156</v>
      </c>
      <c r="D2166" s="9" t="s">
        <v>79</v>
      </c>
      <c r="E2166" s="9" t="s">
        <v>143</v>
      </c>
      <c r="F2166" s="9" t="s">
        <v>80</v>
      </c>
      <c r="G2166" s="9" t="s">
        <v>43</v>
      </c>
      <c r="H2166" s="9" t="s">
        <v>44</v>
      </c>
      <c r="I2166" s="11" t="s">
        <v>725</v>
      </c>
      <c r="J2166" s="9" t="s">
        <v>145</v>
      </c>
      <c r="K2166" s="9" t="s">
        <v>47</v>
      </c>
      <c r="L2166" s="9" t="s">
        <v>162</v>
      </c>
      <c r="M2166" s="9" t="s">
        <v>163</v>
      </c>
      <c r="N2166" s="9" t="s">
        <v>50</v>
      </c>
      <c r="O2166" s="9" t="s">
        <v>51</v>
      </c>
      <c r="P2166" s="9" t="s">
        <v>727</v>
      </c>
      <c r="Q2166" s="9"/>
      <c r="R2166" s="9" t="s">
        <v>61</v>
      </c>
      <c r="S2166" s="14" t="s">
        <v>7577</v>
      </c>
      <c r="T2166" s="9" t="s">
        <v>7578</v>
      </c>
      <c r="U2166" s="9" t="s">
        <v>54</v>
      </c>
      <c r="V2166" s="9" t="s">
        <v>251</v>
      </c>
      <c r="W2166" s="9" t="s">
        <v>115</v>
      </c>
      <c r="X2166" s="12" t="s">
        <v>171</v>
      </c>
      <c r="Y2166" s="9" t="s">
        <v>172</v>
      </c>
      <c r="Z2166" s="13"/>
    </row>
    <row r="2167" spans="1:26" ht="32.25" hidden="1" customHeight="1">
      <c r="A2167" s="8">
        <v>2301186</v>
      </c>
      <c r="B2167" s="9" t="s">
        <v>7579</v>
      </c>
      <c r="C2167" s="10">
        <v>45136</v>
      </c>
      <c r="D2167" s="9" t="s">
        <v>940</v>
      </c>
      <c r="E2167" s="9" t="s">
        <v>68</v>
      </c>
      <c r="F2167" s="9" t="s">
        <v>135</v>
      </c>
      <c r="G2167" s="9" t="s">
        <v>43</v>
      </c>
      <c r="H2167" s="9" t="s">
        <v>44</v>
      </c>
      <c r="I2167" s="11" t="s">
        <v>136</v>
      </c>
      <c r="J2167" s="9" t="s">
        <v>137</v>
      </c>
      <c r="K2167" s="9" t="s">
        <v>47</v>
      </c>
      <c r="L2167" s="9" t="s">
        <v>156</v>
      </c>
      <c r="M2167" s="9"/>
      <c r="N2167" s="9" t="s">
        <v>84</v>
      </c>
      <c r="O2167" s="9" t="s">
        <v>51</v>
      </c>
      <c r="P2167" s="9"/>
      <c r="Q2167" s="9"/>
      <c r="R2167" s="9"/>
      <c r="S2167" s="9" t="s">
        <v>7580</v>
      </c>
      <c r="T2167" s="9" t="s">
        <v>7581</v>
      </c>
      <c r="U2167" s="9" t="s">
        <v>54</v>
      </c>
      <c r="V2167" s="9" t="s">
        <v>55</v>
      </c>
      <c r="W2167" s="9" t="s">
        <v>55</v>
      </c>
      <c r="X2167" s="12"/>
      <c r="Y2167" s="9" t="s">
        <v>55</v>
      </c>
      <c r="Z2167" s="13"/>
    </row>
    <row r="2168" spans="1:26" ht="32.25" hidden="1" customHeight="1">
      <c r="A2168" s="8">
        <v>2310188</v>
      </c>
      <c r="B2168" s="9" t="s">
        <v>7582</v>
      </c>
      <c r="C2168" s="10">
        <v>45149</v>
      </c>
      <c r="D2168" s="9" t="s">
        <v>57</v>
      </c>
      <c r="E2168" s="9" t="s">
        <v>41</v>
      </c>
      <c r="F2168" s="9" t="s">
        <v>42</v>
      </c>
      <c r="G2168" s="9" t="s">
        <v>43</v>
      </c>
      <c r="H2168" s="9" t="s">
        <v>58</v>
      </c>
      <c r="I2168" s="11" t="s">
        <v>661</v>
      </c>
      <c r="J2168" s="9" t="s">
        <v>662</v>
      </c>
      <c r="K2168" s="9" t="s">
        <v>47</v>
      </c>
      <c r="L2168" s="9" t="s">
        <v>746</v>
      </c>
      <c r="M2168" s="9" t="s">
        <v>747</v>
      </c>
      <c r="N2168" s="9" t="s">
        <v>84</v>
      </c>
      <c r="O2168" s="9" t="s">
        <v>51</v>
      </c>
      <c r="P2168" s="9"/>
      <c r="Q2168" s="9"/>
      <c r="R2168" s="9" t="s">
        <v>61</v>
      </c>
      <c r="S2168" s="14" t="s">
        <v>7583</v>
      </c>
      <c r="T2168" s="9" t="s">
        <v>7584</v>
      </c>
      <c r="U2168" s="9" t="s">
        <v>54</v>
      </c>
      <c r="V2168" s="9" t="s">
        <v>55</v>
      </c>
      <c r="W2168" s="9" t="s">
        <v>55</v>
      </c>
      <c r="X2168" s="9" t="s">
        <v>64</v>
      </c>
      <c r="Y2168" s="9" t="s">
        <v>65</v>
      </c>
      <c r="Z2168" s="13"/>
    </row>
    <row r="2169" spans="1:26" ht="32.25" hidden="1" customHeight="1">
      <c r="A2169" s="8">
        <v>2309382</v>
      </c>
      <c r="B2169" s="9" t="s">
        <v>7585</v>
      </c>
      <c r="C2169" s="10">
        <v>45149</v>
      </c>
      <c r="D2169" s="9" t="s">
        <v>57</v>
      </c>
      <c r="E2169" s="9" t="s">
        <v>41</v>
      </c>
      <c r="F2169" s="9" t="s">
        <v>42</v>
      </c>
      <c r="G2169" s="9" t="s">
        <v>43</v>
      </c>
      <c r="H2169" s="9" t="s">
        <v>58</v>
      </c>
      <c r="I2169" s="11" t="s">
        <v>45</v>
      </c>
      <c r="J2169" s="9" t="s">
        <v>46</v>
      </c>
      <c r="K2169" s="9" t="s">
        <v>47</v>
      </c>
      <c r="L2169" s="9" t="s">
        <v>598</v>
      </c>
      <c r="M2169" s="9" t="s">
        <v>599</v>
      </c>
      <c r="N2169" s="9" t="s">
        <v>84</v>
      </c>
      <c r="O2169" s="9" t="s">
        <v>51</v>
      </c>
      <c r="P2169" s="9"/>
      <c r="Q2169" s="9"/>
      <c r="R2169" s="9"/>
      <c r="S2169" s="14" t="s">
        <v>7586</v>
      </c>
      <c r="T2169" s="9" t="s">
        <v>7587</v>
      </c>
      <c r="U2169" s="9" t="s">
        <v>54</v>
      </c>
      <c r="V2169" s="9" t="s">
        <v>55</v>
      </c>
      <c r="W2169" s="9" t="s">
        <v>55</v>
      </c>
      <c r="X2169" s="12"/>
      <c r="Y2169" s="9" t="s">
        <v>55</v>
      </c>
      <c r="Z2169" s="13"/>
    </row>
    <row r="2170" spans="1:26" ht="32.25" hidden="1" customHeight="1">
      <c r="A2170" s="8">
        <v>2313367</v>
      </c>
      <c r="B2170" s="9" t="s">
        <v>7588</v>
      </c>
      <c r="C2170" s="10">
        <v>45142</v>
      </c>
      <c r="D2170" s="9" t="s">
        <v>67</v>
      </c>
      <c r="E2170" s="9" t="s">
        <v>68</v>
      </c>
      <c r="F2170" s="9" t="s">
        <v>42</v>
      </c>
      <c r="G2170" s="9" t="s">
        <v>43</v>
      </c>
      <c r="H2170" s="9" t="s">
        <v>44</v>
      </c>
      <c r="I2170" s="11" t="s">
        <v>69</v>
      </c>
      <c r="J2170" s="9" t="s">
        <v>70</v>
      </c>
      <c r="K2170" s="9" t="s">
        <v>47</v>
      </c>
      <c r="L2170" s="9" t="s">
        <v>156</v>
      </c>
      <c r="M2170" s="9"/>
      <c r="N2170" s="9" t="s">
        <v>84</v>
      </c>
      <c r="O2170" s="9" t="s">
        <v>51</v>
      </c>
      <c r="P2170" s="9" t="s">
        <v>73</v>
      </c>
      <c r="Q2170" s="9"/>
      <c r="R2170" s="9"/>
      <c r="S2170" s="9" t="s">
        <v>7589</v>
      </c>
      <c r="T2170" s="9" t="s">
        <v>7590</v>
      </c>
      <c r="U2170" s="9" t="s">
        <v>54</v>
      </c>
      <c r="V2170" s="9" t="s">
        <v>55</v>
      </c>
      <c r="W2170" s="9" t="s">
        <v>55</v>
      </c>
      <c r="X2170" s="12"/>
      <c r="Y2170" s="9" t="s">
        <v>55</v>
      </c>
      <c r="Z2170" s="13"/>
    </row>
    <row r="2171" spans="1:26" ht="32.25" hidden="1" customHeight="1">
      <c r="A2171" s="8">
        <v>2315671</v>
      </c>
      <c r="B2171" s="9" t="s">
        <v>7588</v>
      </c>
      <c r="C2171" s="10">
        <v>45156</v>
      </c>
      <c r="D2171" s="9" t="s">
        <v>565</v>
      </c>
      <c r="E2171" s="9" t="s">
        <v>41</v>
      </c>
      <c r="F2171" s="9" t="s">
        <v>42</v>
      </c>
      <c r="G2171" s="9" t="s">
        <v>43</v>
      </c>
      <c r="H2171" s="9" t="s">
        <v>58</v>
      </c>
      <c r="I2171" s="11" t="s">
        <v>45</v>
      </c>
      <c r="J2171" s="9" t="s">
        <v>46</v>
      </c>
      <c r="K2171" s="9" t="s">
        <v>47</v>
      </c>
      <c r="L2171" s="9" t="s">
        <v>156</v>
      </c>
      <c r="M2171" s="9"/>
      <c r="N2171" s="9" t="s">
        <v>84</v>
      </c>
      <c r="O2171" s="9" t="s">
        <v>51</v>
      </c>
      <c r="P2171" s="9"/>
      <c r="Q2171" s="9"/>
      <c r="R2171" s="9"/>
      <c r="S2171" s="14" t="s">
        <v>7589</v>
      </c>
      <c r="T2171" s="9" t="s">
        <v>7590</v>
      </c>
      <c r="U2171" s="9" t="s">
        <v>54</v>
      </c>
      <c r="V2171" s="9" t="s">
        <v>55</v>
      </c>
      <c r="W2171" s="9" t="s">
        <v>55</v>
      </c>
      <c r="X2171" s="12"/>
      <c r="Y2171" s="9" t="s">
        <v>55</v>
      </c>
      <c r="Z2171" s="13"/>
    </row>
    <row r="2172" spans="1:26" ht="32.25" hidden="1" customHeight="1">
      <c r="A2172" s="8">
        <v>2305597</v>
      </c>
      <c r="B2172" s="9" t="s">
        <v>7591</v>
      </c>
      <c r="C2172" s="10">
        <v>45142</v>
      </c>
      <c r="D2172" s="9" t="s">
        <v>67</v>
      </c>
      <c r="E2172" s="9" t="s">
        <v>153</v>
      </c>
      <c r="F2172" s="9" t="s">
        <v>42</v>
      </c>
      <c r="G2172" s="9" t="s">
        <v>43</v>
      </c>
      <c r="H2172" s="9" t="s">
        <v>44</v>
      </c>
      <c r="I2172" s="11" t="s">
        <v>154</v>
      </c>
      <c r="J2172" s="9" t="s">
        <v>155</v>
      </c>
      <c r="K2172" s="9" t="s">
        <v>47</v>
      </c>
      <c r="L2172" s="9" t="s">
        <v>713</v>
      </c>
      <c r="M2172" s="9" t="s">
        <v>7592</v>
      </c>
      <c r="N2172" s="9" t="s">
        <v>84</v>
      </c>
      <c r="O2172" s="9" t="s">
        <v>51</v>
      </c>
      <c r="P2172" s="9"/>
      <c r="Q2172" s="9"/>
      <c r="R2172" s="9" t="s">
        <v>61</v>
      </c>
      <c r="S2172" s="9" t="s">
        <v>7593</v>
      </c>
      <c r="T2172" s="9" t="s">
        <v>7594</v>
      </c>
      <c r="U2172" s="9" t="s">
        <v>54</v>
      </c>
      <c r="V2172" s="9" t="s">
        <v>55</v>
      </c>
      <c r="W2172" s="9" t="s">
        <v>55</v>
      </c>
      <c r="X2172" s="12" t="s">
        <v>171</v>
      </c>
      <c r="Y2172" s="9" t="s">
        <v>172</v>
      </c>
      <c r="Z2172" s="13"/>
    </row>
    <row r="2173" spans="1:26" ht="32.25" hidden="1" customHeight="1">
      <c r="A2173" s="8">
        <v>2305332</v>
      </c>
      <c r="B2173" s="9" t="s">
        <v>7595</v>
      </c>
      <c r="C2173" s="10">
        <v>45142</v>
      </c>
      <c r="D2173" s="9" t="s">
        <v>67</v>
      </c>
      <c r="E2173" s="9" t="s">
        <v>68</v>
      </c>
      <c r="F2173" s="9" t="s">
        <v>135</v>
      </c>
      <c r="G2173" s="9" t="s">
        <v>43</v>
      </c>
      <c r="H2173" s="9" t="s">
        <v>44</v>
      </c>
      <c r="I2173" s="11" t="s">
        <v>136</v>
      </c>
      <c r="J2173" s="9" t="s">
        <v>137</v>
      </c>
      <c r="K2173" s="9" t="s">
        <v>47</v>
      </c>
      <c r="L2173" s="9" t="s">
        <v>741</v>
      </c>
      <c r="M2173" s="9" t="s">
        <v>7596</v>
      </c>
      <c r="N2173" s="9" t="s">
        <v>84</v>
      </c>
      <c r="O2173" s="9" t="s">
        <v>51</v>
      </c>
      <c r="P2173" s="9"/>
      <c r="Q2173" s="9"/>
      <c r="R2173" s="9" t="s">
        <v>61</v>
      </c>
      <c r="S2173" s="9" t="s">
        <v>7597</v>
      </c>
      <c r="T2173" s="9" t="s">
        <v>7598</v>
      </c>
      <c r="U2173" s="9" t="s">
        <v>54</v>
      </c>
      <c r="V2173" s="9" t="s">
        <v>55</v>
      </c>
      <c r="W2173" s="9" t="s">
        <v>55</v>
      </c>
      <c r="X2173" s="12" t="s">
        <v>76</v>
      </c>
      <c r="Y2173" s="9" t="s">
        <v>77</v>
      </c>
      <c r="Z2173" s="13"/>
    </row>
    <row r="2174" spans="1:26" ht="32.25" hidden="1" customHeight="1">
      <c r="A2174" s="8">
        <v>2301867</v>
      </c>
      <c r="B2174" s="9" t="s">
        <v>7599</v>
      </c>
      <c r="C2174" s="10">
        <v>45149</v>
      </c>
      <c r="D2174" s="9" t="s">
        <v>57</v>
      </c>
      <c r="E2174" s="9" t="s">
        <v>41</v>
      </c>
      <c r="F2174" s="9" t="s">
        <v>42</v>
      </c>
      <c r="G2174" s="9" t="s">
        <v>43</v>
      </c>
      <c r="H2174" s="9" t="s">
        <v>58</v>
      </c>
      <c r="I2174" s="11" t="s">
        <v>129</v>
      </c>
      <c r="J2174" s="9" t="s">
        <v>130</v>
      </c>
      <c r="K2174" s="9" t="s">
        <v>47</v>
      </c>
      <c r="L2174" s="9" t="s">
        <v>156</v>
      </c>
      <c r="M2174" s="9"/>
      <c r="N2174" s="9" t="s">
        <v>50</v>
      </c>
      <c r="O2174" s="9" t="s">
        <v>51</v>
      </c>
      <c r="P2174" s="9"/>
      <c r="Q2174" s="9"/>
      <c r="R2174" s="9"/>
      <c r="S2174" s="14" t="s">
        <v>7600</v>
      </c>
      <c r="T2174" s="9" t="s">
        <v>7601</v>
      </c>
      <c r="U2174" s="9" t="s">
        <v>54</v>
      </c>
      <c r="V2174" s="9" t="s">
        <v>55</v>
      </c>
      <c r="W2174" s="9" t="s">
        <v>55</v>
      </c>
      <c r="X2174" s="12"/>
      <c r="Y2174" s="9" t="s">
        <v>55</v>
      </c>
      <c r="Z2174" s="13"/>
    </row>
    <row r="2175" spans="1:26" ht="32.25" hidden="1" customHeight="1">
      <c r="A2175" s="8">
        <v>2304265</v>
      </c>
      <c r="B2175" s="9" t="s">
        <v>7602</v>
      </c>
      <c r="C2175" s="10">
        <v>45149</v>
      </c>
      <c r="D2175" s="9" t="s">
        <v>57</v>
      </c>
      <c r="E2175" s="9" t="s">
        <v>295</v>
      </c>
      <c r="F2175" s="9" t="s">
        <v>42</v>
      </c>
      <c r="G2175" s="9" t="s">
        <v>43</v>
      </c>
      <c r="H2175" s="9" t="s">
        <v>58</v>
      </c>
      <c r="I2175" s="11" t="s">
        <v>296</v>
      </c>
      <c r="J2175" s="9" t="s">
        <v>297</v>
      </c>
      <c r="K2175" s="9" t="s">
        <v>47</v>
      </c>
      <c r="L2175" s="9" t="s">
        <v>156</v>
      </c>
      <c r="M2175" s="9"/>
      <c r="N2175" s="9" t="s">
        <v>84</v>
      </c>
      <c r="O2175" s="9" t="s">
        <v>51</v>
      </c>
      <c r="P2175" s="9"/>
      <c r="Q2175" s="9"/>
      <c r="R2175" s="9"/>
      <c r="S2175" s="14" t="s">
        <v>7603</v>
      </c>
      <c r="T2175" s="9" t="s">
        <v>7604</v>
      </c>
      <c r="U2175" s="9" t="s">
        <v>54</v>
      </c>
      <c r="V2175" s="9" t="s">
        <v>55</v>
      </c>
      <c r="W2175" s="9" t="s">
        <v>55</v>
      </c>
      <c r="X2175" s="12"/>
      <c r="Y2175" s="9" t="s">
        <v>55</v>
      </c>
      <c r="Z2175" s="13"/>
    </row>
    <row r="2176" spans="1:26" ht="32.25" hidden="1" customHeight="1">
      <c r="A2176" s="8">
        <v>2310108</v>
      </c>
      <c r="B2176" s="9" t="s">
        <v>7605</v>
      </c>
      <c r="C2176" s="10">
        <v>45142</v>
      </c>
      <c r="D2176" s="9" t="s">
        <v>67</v>
      </c>
      <c r="E2176" s="9" t="s">
        <v>41</v>
      </c>
      <c r="F2176" s="9" t="s">
        <v>42</v>
      </c>
      <c r="G2176" s="9" t="s">
        <v>43</v>
      </c>
      <c r="H2176" s="9" t="s">
        <v>44</v>
      </c>
      <c r="I2176" s="11" t="s">
        <v>129</v>
      </c>
      <c r="J2176" s="9" t="s">
        <v>130</v>
      </c>
      <c r="K2176" s="9" t="s">
        <v>47</v>
      </c>
      <c r="L2176" s="9" t="s">
        <v>4006</v>
      </c>
      <c r="M2176" s="9" t="s">
        <v>4633</v>
      </c>
      <c r="N2176" s="9" t="s">
        <v>50</v>
      </c>
      <c r="O2176" s="9" t="s">
        <v>51</v>
      </c>
      <c r="P2176" s="9"/>
      <c r="Q2176" s="9"/>
      <c r="R2176" s="9" t="s">
        <v>61</v>
      </c>
      <c r="S2176" s="9" t="s">
        <v>7606</v>
      </c>
      <c r="T2176" s="9" t="s">
        <v>7607</v>
      </c>
      <c r="U2176" s="9" t="s">
        <v>54</v>
      </c>
      <c r="V2176" s="9" t="s">
        <v>55</v>
      </c>
      <c r="W2176" s="9" t="s">
        <v>55</v>
      </c>
      <c r="X2176" s="9" t="s">
        <v>319</v>
      </c>
      <c r="Y2176" s="9" t="s">
        <v>320</v>
      </c>
      <c r="Z2176" s="13" t="s">
        <v>230</v>
      </c>
    </row>
    <row r="2177" spans="1:26" ht="32.25" hidden="1" customHeight="1">
      <c r="A2177" s="8">
        <v>2304432</v>
      </c>
      <c r="B2177" s="9" t="s">
        <v>7608</v>
      </c>
      <c r="C2177" s="10">
        <v>45142</v>
      </c>
      <c r="D2177" s="9" t="s">
        <v>67</v>
      </c>
      <c r="E2177" s="9" t="s">
        <v>143</v>
      </c>
      <c r="F2177" s="9" t="s">
        <v>42</v>
      </c>
      <c r="G2177" s="9" t="s">
        <v>43</v>
      </c>
      <c r="H2177" s="9" t="s">
        <v>44</v>
      </c>
      <c r="I2177" s="11" t="s">
        <v>219</v>
      </c>
      <c r="J2177" s="9" t="s">
        <v>220</v>
      </c>
      <c r="K2177" s="9" t="s">
        <v>47</v>
      </c>
      <c r="L2177" s="9" t="s">
        <v>226</v>
      </c>
      <c r="M2177" s="9" t="s">
        <v>7609</v>
      </c>
      <c r="N2177" s="9" t="s">
        <v>50</v>
      </c>
      <c r="O2177" s="9" t="s">
        <v>51</v>
      </c>
      <c r="P2177" s="9"/>
      <c r="Q2177" s="9"/>
      <c r="R2177" s="9" t="s">
        <v>61</v>
      </c>
      <c r="S2177" s="9" t="s">
        <v>7610</v>
      </c>
      <c r="T2177" s="9" t="s">
        <v>7611</v>
      </c>
      <c r="U2177" s="9" t="s">
        <v>54</v>
      </c>
      <c r="V2177" s="9" t="s">
        <v>55</v>
      </c>
      <c r="W2177" s="9" t="s">
        <v>55</v>
      </c>
      <c r="X2177" s="12" t="s">
        <v>171</v>
      </c>
      <c r="Y2177" s="9" t="s">
        <v>172</v>
      </c>
      <c r="Z2177" s="13"/>
    </row>
    <row r="2178" spans="1:26" ht="32.25" hidden="1" customHeight="1">
      <c r="A2178" s="8">
        <v>2314323</v>
      </c>
      <c r="B2178" s="9" t="s">
        <v>7612</v>
      </c>
      <c r="C2178" s="10">
        <v>45156</v>
      </c>
      <c r="D2178" s="9" t="s">
        <v>79</v>
      </c>
      <c r="E2178" s="9" t="s">
        <v>41</v>
      </c>
      <c r="F2178" s="9" t="s">
        <v>80</v>
      </c>
      <c r="G2178" s="9" t="s">
        <v>43</v>
      </c>
      <c r="H2178" s="9" t="s">
        <v>44</v>
      </c>
      <c r="I2178" s="11" t="s">
        <v>478</v>
      </c>
      <c r="J2178" s="9" t="s">
        <v>479</v>
      </c>
      <c r="K2178" s="9" t="s">
        <v>47</v>
      </c>
      <c r="L2178" s="9" t="s">
        <v>156</v>
      </c>
      <c r="M2178" s="9"/>
      <c r="N2178" s="9" t="s">
        <v>50</v>
      </c>
      <c r="O2178" s="9" t="s">
        <v>51</v>
      </c>
      <c r="P2178" s="9" t="s">
        <v>1414</v>
      </c>
      <c r="Q2178" s="9"/>
      <c r="R2178" s="9"/>
      <c r="S2178" s="14" t="s">
        <v>7613</v>
      </c>
      <c r="T2178" s="9" t="s">
        <v>7614</v>
      </c>
      <c r="U2178" s="9" t="s">
        <v>54</v>
      </c>
      <c r="V2178" s="9" t="s">
        <v>55</v>
      </c>
      <c r="W2178" s="9" t="s">
        <v>55</v>
      </c>
      <c r="X2178" s="12"/>
      <c r="Y2178" s="9" t="s">
        <v>55</v>
      </c>
      <c r="Z2178" s="13"/>
    </row>
    <row r="2179" spans="1:26" ht="32.25" hidden="1" customHeight="1">
      <c r="A2179" s="8">
        <v>2302721</v>
      </c>
      <c r="B2179" s="9" t="s">
        <v>7615</v>
      </c>
      <c r="C2179" s="10">
        <v>45149</v>
      </c>
      <c r="D2179" s="9" t="s">
        <v>57</v>
      </c>
      <c r="E2179" s="9" t="s">
        <v>41</v>
      </c>
      <c r="F2179" s="9" t="s">
        <v>42</v>
      </c>
      <c r="G2179" s="9" t="s">
        <v>43</v>
      </c>
      <c r="H2179" s="9" t="s">
        <v>58</v>
      </c>
      <c r="I2179" s="11" t="s">
        <v>45</v>
      </c>
      <c r="J2179" s="9" t="s">
        <v>46</v>
      </c>
      <c r="K2179" s="9" t="s">
        <v>47</v>
      </c>
      <c r="L2179" s="9" t="s">
        <v>156</v>
      </c>
      <c r="M2179" s="9"/>
      <c r="N2179" s="9" t="s">
        <v>50</v>
      </c>
      <c r="O2179" s="9" t="s">
        <v>51</v>
      </c>
      <c r="P2179" s="9"/>
      <c r="Q2179" s="9"/>
      <c r="R2179" s="9"/>
      <c r="S2179" s="14" t="s">
        <v>7616</v>
      </c>
      <c r="T2179" s="9" t="s">
        <v>7617</v>
      </c>
      <c r="U2179" s="9" t="s">
        <v>54</v>
      </c>
      <c r="V2179" s="9" t="s">
        <v>55</v>
      </c>
      <c r="W2179" s="9" t="s">
        <v>55</v>
      </c>
      <c r="X2179" s="12"/>
      <c r="Y2179" s="9" t="s">
        <v>55</v>
      </c>
      <c r="Z2179" s="13"/>
    </row>
    <row r="2180" spans="1:26" ht="32.25" hidden="1" customHeight="1">
      <c r="A2180" s="8">
        <v>2314443</v>
      </c>
      <c r="B2180" s="9" t="s">
        <v>7618</v>
      </c>
      <c r="C2180" s="10">
        <v>45156</v>
      </c>
      <c r="D2180" s="9" t="s">
        <v>79</v>
      </c>
      <c r="E2180" s="9" t="s">
        <v>41</v>
      </c>
      <c r="F2180" s="9" t="s">
        <v>80</v>
      </c>
      <c r="G2180" s="9" t="s">
        <v>43</v>
      </c>
      <c r="H2180" s="9" t="s">
        <v>44</v>
      </c>
      <c r="I2180" s="11" t="s">
        <v>81</v>
      </c>
      <c r="J2180" s="9" t="s">
        <v>46</v>
      </c>
      <c r="K2180" s="9" t="s">
        <v>47</v>
      </c>
      <c r="L2180" s="9" t="s">
        <v>48</v>
      </c>
      <c r="M2180" s="9" t="s">
        <v>1116</v>
      </c>
      <c r="N2180" s="9" t="s">
        <v>50</v>
      </c>
      <c r="O2180" s="9" t="s">
        <v>51</v>
      </c>
      <c r="P2180" s="9" t="s">
        <v>85</v>
      </c>
      <c r="Q2180" s="9"/>
      <c r="R2180" s="9" t="s">
        <v>61</v>
      </c>
      <c r="S2180" s="14" t="s">
        <v>7619</v>
      </c>
      <c r="T2180" s="9" t="s">
        <v>7620</v>
      </c>
      <c r="U2180" s="9" t="s">
        <v>54</v>
      </c>
      <c r="V2180" s="9" t="s">
        <v>331</v>
      </c>
      <c r="W2180" s="9" t="s">
        <v>115</v>
      </c>
      <c r="X2180" s="9" t="s">
        <v>64</v>
      </c>
      <c r="Y2180" s="9" t="s">
        <v>65</v>
      </c>
      <c r="Z2180" s="13"/>
    </row>
    <row r="2181" spans="1:26" ht="32.25" hidden="1" customHeight="1">
      <c r="A2181" s="8">
        <v>2302017</v>
      </c>
      <c r="B2181" s="9" t="s">
        <v>7621</v>
      </c>
      <c r="C2181" s="10">
        <v>45156</v>
      </c>
      <c r="D2181" s="9" t="s">
        <v>565</v>
      </c>
      <c r="E2181" s="9" t="s">
        <v>295</v>
      </c>
      <c r="F2181" s="9" t="s">
        <v>42</v>
      </c>
      <c r="G2181" s="9" t="s">
        <v>43</v>
      </c>
      <c r="H2181" s="9" t="s">
        <v>58</v>
      </c>
      <c r="I2181" s="11" t="s">
        <v>406</v>
      </c>
      <c r="J2181" s="9" t="s">
        <v>407</v>
      </c>
      <c r="K2181" s="9" t="s">
        <v>47</v>
      </c>
      <c r="L2181" s="9" t="s">
        <v>156</v>
      </c>
      <c r="M2181" s="9"/>
      <c r="N2181" s="9" t="s">
        <v>84</v>
      </c>
      <c r="O2181" s="9" t="s">
        <v>51</v>
      </c>
      <c r="P2181" s="9"/>
      <c r="Q2181" s="9"/>
      <c r="R2181" s="9"/>
      <c r="S2181" s="14" t="s">
        <v>7622</v>
      </c>
      <c r="T2181" s="9" t="s">
        <v>7623</v>
      </c>
      <c r="U2181" s="9" t="s">
        <v>54</v>
      </c>
      <c r="V2181" s="9" t="s">
        <v>55</v>
      </c>
      <c r="W2181" s="9" t="s">
        <v>55</v>
      </c>
      <c r="X2181" s="12"/>
      <c r="Y2181" s="9" t="s">
        <v>55</v>
      </c>
      <c r="Z2181" s="13"/>
    </row>
    <row r="2182" spans="1:26" ht="32.25" hidden="1" customHeight="1">
      <c r="A2182" s="8">
        <v>2309685</v>
      </c>
      <c r="B2182" s="9" t="s">
        <v>7624</v>
      </c>
      <c r="C2182" s="10">
        <v>45156</v>
      </c>
      <c r="D2182" s="9" t="s">
        <v>79</v>
      </c>
      <c r="E2182" s="9" t="s">
        <v>41</v>
      </c>
      <c r="F2182" s="9" t="s">
        <v>80</v>
      </c>
      <c r="G2182" s="9" t="s">
        <v>43</v>
      </c>
      <c r="H2182" s="9" t="s">
        <v>44</v>
      </c>
      <c r="I2182" s="11" t="s">
        <v>233</v>
      </c>
      <c r="J2182" s="9" t="s">
        <v>200</v>
      </c>
      <c r="K2182" s="9" t="s">
        <v>47</v>
      </c>
      <c r="L2182" s="9" t="s">
        <v>799</v>
      </c>
      <c r="M2182" s="9" t="s">
        <v>1806</v>
      </c>
      <c r="N2182" s="9" t="s">
        <v>84</v>
      </c>
      <c r="O2182" s="9" t="s">
        <v>51</v>
      </c>
      <c r="P2182" s="9" t="s">
        <v>443</v>
      </c>
      <c r="Q2182" s="9"/>
      <c r="R2182" s="9" t="s">
        <v>61</v>
      </c>
      <c r="S2182" s="14" t="s">
        <v>7625</v>
      </c>
      <c r="T2182" s="9" t="s">
        <v>7626</v>
      </c>
      <c r="U2182" s="9" t="s">
        <v>54</v>
      </c>
      <c r="V2182" s="9" t="s">
        <v>55</v>
      </c>
      <c r="W2182" s="9" t="s">
        <v>55</v>
      </c>
      <c r="X2182" s="9" t="s">
        <v>64</v>
      </c>
      <c r="Y2182" s="9" t="s">
        <v>65</v>
      </c>
      <c r="Z2182" s="13"/>
    </row>
    <row r="2183" spans="1:26" ht="32.25" hidden="1" customHeight="1">
      <c r="A2183" s="8">
        <v>2312972</v>
      </c>
      <c r="B2183" s="9" t="s">
        <v>7627</v>
      </c>
      <c r="C2183" s="10">
        <v>45149</v>
      </c>
      <c r="D2183" s="9" t="s">
        <v>261</v>
      </c>
      <c r="E2183" s="9" t="s">
        <v>143</v>
      </c>
      <c r="F2183" s="9" t="s">
        <v>262</v>
      </c>
      <c r="G2183" s="9" t="s">
        <v>43</v>
      </c>
      <c r="H2183" s="9" t="s">
        <v>44</v>
      </c>
      <c r="I2183" s="11" t="s">
        <v>1291</v>
      </c>
      <c r="J2183" s="9" t="s">
        <v>1292</v>
      </c>
      <c r="K2183" s="9" t="s">
        <v>47</v>
      </c>
      <c r="L2183" s="9" t="s">
        <v>858</v>
      </c>
      <c r="M2183" s="9" t="s">
        <v>7628</v>
      </c>
      <c r="N2183" s="9" t="s">
        <v>84</v>
      </c>
      <c r="O2183" s="9" t="s">
        <v>51</v>
      </c>
      <c r="P2183" s="9"/>
      <c r="Q2183" s="9"/>
      <c r="R2183" s="9" t="s">
        <v>61</v>
      </c>
      <c r="S2183" s="14" t="s">
        <v>7629</v>
      </c>
      <c r="T2183" s="9" t="s">
        <v>7630</v>
      </c>
      <c r="U2183" s="9" t="s">
        <v>262</v>
      </c>
      <c r="V2183" s="9" t="s">
        <v>370</v>
      </c>
      <c r="W2183" s="9" t="s">
        <v>115</v>
      </c>
      <c r="X2183" s="12" t="s">
        <v>389</v>
      </c>
      <c r="Y2183" s="9" t="s">
        <v>390</v>
      </c>
      <c r="Z2183" s="13"/>
    </row>
    <row r="2184" spans="1:26" ht="32.25" hidden="1" customHeight="1">
      <c r="A2184" s="8">
        <v>2301974</v>
      </c>
      <c r="B2184" s="9" t="s">
        <v>7631</v>
      </c>
      <c r="C2184" s="10">
        <v>45149</v>
      </c>
      <c r="D2184" s="9" t="s">
        <v>261</v>
      </c>
      <c r="E2184" s="9" t="s">
        <v>68</v>
      </c>
      <c r="F2184" s="9" t="s">
        <v>262</v>
      </c>
      <c r="G2184" s="9" t="s">
        <v>43</v>
      </c>
      <c r="H2184" s="9" t="s">
        <v>44</v>
      </c>
      <c r="I2184" s="11" t="s">
        <v>1671</v>
      </c>
      <c r="J2184" s="9" t="s">
        <v>1672</v>
      </c>
      <c r="K2184" s="9" t="s">
        <v>47</v>
      </c>
      <c r="L2184" s="9" t="s">
        <v>411</v>
      </c>
      <c r="M2184" s="9" t="s">
        <v>412</v>
      </c>
      <c r="N2184" s="9" t="s">
        <v>50</v>
      </c>
      <c r="O2184" s="9" t="s">
        <v>51</v>
      </c>
      <c r="P2184" s="9"/>
      <c r="Q2184" s="9"/>
      <c r="R2184" s="9"/>
      <c r="S2184" s="14" t="s">
        <v>7632</v>
      </c>
      <c r="T2184" s="9" t="s">
        <v>7633</v>
      </c>
      <c r="U2184" s="9" t="s">
        <v>262</v>
      </c>
      <c r="V2184" s="9" t="s">
        <v>55</v>
      </c>
      <c r="W2184" s="9" t="s">
        <v>55</v>
      </c>
      <c r="X2184" s="12"/>
      <c r="Y2184" s="9" t="s">
        <v>55</v>
      </c>
      <c r="Z2184" s="13"/>
    </row>
    <row r="2185" spans="1:26" ht="32.25" hidden="1" customHeight="1">
      <c r="A2185" s="8">
        <v>2310520</v>
      </c>
      <c r="B2185" s="9" t="s">
        <v>7634</v>
      </c>
      <c r="C2185" s="10">
        <v>45142</v>
      </c>
      <c r="D2185" s="9" t="s">
        <v>67</v>
      </c>
      <c r="E2185" s="9" t="s">
        <v>41</v>
      </c>
      <c r="F2185" s="9" t="s">
        <v>42</v>
      </c>
      <c r="G2185" s="9" t="s">
        <v>43</v>
      </c>
      <c r="H2185" s="9" t="s">
        <v>44</v>
      </c>
      <c r="I2185" s="11" t="s">
        <v>199</v>
      </c>
      <c r="J2185" s="9" t="s">
        <v>200</v>
      </c>
      <c r="K2185" s="9" t="s">
        <v>47</v>
      </c>
      <c r="L2185" s="9" t="s">
        <v>156</v>
      </c>
      <c r="M2185" s="9"/>
      <c r="N2185" s="9" t="s">
        <v>50</v>
      </c>
      <c r="O2185" s="9" t="s">
        <v>51</v>
      </c>
      <c r="P2185" s="9"/>
      <c r="Q2185" s="9"/>
      <c r="R2185" s="9"/>
      <c r="S2185" s="9" t="s">
        <v>7635</v>
      </c>
      <c r="T2185" s="9" t="s">
        <v>7636</v>
      </c>
      <c r="U2185" s="9" t="s">
        <v>54</v>
      </c>
      <c r="V2185" s="9" t="s">
        <v>55</v>
      </c>
      <c r="W2185" s="9" t="s">
        <v>55</v>
      </c>
      <c r="X2185" s="12"/>
      <c r="Y2185" s="9" t="s">
        <v>55</v>
      </c>
      <c r="Z2185" s="13"/>
    </row>
    <row r="2186" spans="1:26" ht="32.25" hidden="1" customHeight="1">
      <c r="A2186" s="8">
        <v>2310696</v>
      </c>
      <c r="B2186" s="9" t="s">
        <v>7637</v>
      </c>
      <c r="C2186" s="10">
        <v>45142</v>
      </c>
      <c r="D2186" s="9" t="s">
        <v>67</v>
      </c>
      <c r="E2186" s="9" t="s">
        <v>143</v>
      </c>
      <c r="F2186" s="9" t="s">
        <v>42</v>
      </c>
      <c r="G2186" s="9" t="s">
        <v>43</v>
      </c>
      <c r="H2186" s="9" t="s">
        <v>44</v>
      </c>
      <c r="I2186" s="11" t="s">
        <v>144</v>
      </c>
      <c r="J2186" s="9" t="s">
        <v>145</v>
      </c>
      <c r="K2186" s="9" t="s">
        <v>47</v>
      </c>
      <c r="L2186" s="9" t="s">
        <v>162</v>
      </c>
      <c r="M2186" s="9" t="s">
        <v>345</v>
      </c>
      <c r="N2186" s="9" t="s">
        <v>50</v>
      </c>
      <c r="O2186" s="9" t="s">
        <v>51</v>
      </c>
      <c r="P2186" s="9" t="s">
        <v>147</v>
      </c>
      <c r="Q2186" s="9"/>
      <c r="R2186" s="9" t="s">
        <v>61</v>
      </c>
      <c r="S2186" s="9" t="s">
        <v>7638</v>
      </c>
      <c r="T2186" s="9" t="s">
        <v>7639</v>
      </c>
      <c r="U2186" s="9" t="s">
        <v>54</v>
      </c>
      <c r="V2186" s="9" t="s">
        <v>55</v>
      </c>
      <c r="W2186" s="9" t="s">
        <v>55</v>
      </c>
      <c r="X2186" s="12" t="s">
        <v>150</v>
      </c>
      <c r="Y2186" s="9" t="s">
        <v>151</v>
      </c>
      <c r="Z2186" s="13"/>
    </row>
    <row r="2187" spans="1:26" ht="32.25" hidden="1" customHeight="1">
      <c r="A2187" s="8">
        <v>2307883</v>
      </c>
      <c r="B2187" s="9" t="s">
        <v>7640</v>
      </c>
      <c r="C2187" s="10">
        <v>45156</v>
      </c>
      <c r="D2187" s="9" t="s">
        <v>79</v>
      </c>
      <c r="E2187" s="9" t="s">
        <v>41</v>
      </c>
      <c r="F2187" s="9" t="s">
        <v>80</v>
      </c>
      <c r="G2187" s="9" t="s">
        <v>43</v>
      </c>
      <c r="H2187" s="9" t="s">
        <v>44</v>
      </c>
      <c r="I2187" s="11" t="s">
        <v>81</v>
      </c>
      <c r="J2187" s="9" t="s">
        <v>46</v>
      </c>
      <c r="K2187" s="9" t="s">
        <v>47</v>
      </c>
      <c r="L2187" s="9" t="s">
        <v>82</v>
      </c>
      <c r="M2187" s="9" t="s">
        <v>257</v>
      </c>
      <c r="N2187" s="9" t="s">
        <v>84</v>
      </c>
      <c r="O2187" s="9" t="s">
        <v>51</v>
      </c>
      <c r="P2187" s="9" t="s">
        <v>582</v>
      </c>
      <c r="Q2187" s="9"/>
      <c r="R2187" s="9" t="s">
        <v>61</v>
      </c>
      <c r="S2187" s="14" t="s">
        <v>7641</v>
      </c>
      <c r="T2187" s="9" t="s">
        <v>7642</v>
      </c>
      <c r="U2187" s="9" t="s">
        <v>54</v>
      </c>
      <c r="V2187" s="9" t="s">
        <v>331</v>
      </c>
      <c r="W2187" s="9" t="s">
        <v>115</v>
      </c>
      <c r="X2187" s="9" t="s">
        <v>64</v>
      </c>
      <c r="Y2187" s="9" t="s">
        <v>65</v>
      </c>
      <c r="Z2187" s="13"/>
    </row>
    <row r="2188" spans="1:26" ht="32.25" hidden="1" customHeight="1">
      <c r="A2188" s="8">
        <v>2304400</v>
      </c>
      <c r="B2188" s="9" t="s">
        <v>7643</v>
      </c>
      <c r="C2188" s="10">
        <v>45142</v>
      </c>
      <c r="D2188" s="9" t="s">
        <v>67</v>
      </c>
      <c r="E2188" s="9" t="s">
        <v>68</v>
      </c>
      <c r="F2188" s="9" t="s">
        <v>135</v>
      </c>
      <c r="G2188" s="9" t="s">
        <v>43</v>
      </c>
      <c r="H2188" s="9" t="s">
        <v>44</v>
      </c>
      <c r="I2188" s="11" t="s">
        <v>136</v>
      </c>
      <c r="J2188" s="9" t="s">
        <v>137</v>
      </c>
      <c r="K2188" s="9" t="s">
        <v>92</v>
      </c>
      <c r="L2188" s="9" t="s">
        <v>1301</v>
      </c>
      <c r="M2188" s="9" t="s">
        <v>7644</v>
      </c>
      <c r="N2188" s="9" t="s">
        <v>50</v>
      </c>
      <c r="O2188" s="9" t="s">
        <v>51</v>
      </c>
      <c r="P2188" s="9"/>
      <c r="Q2188" s="9"/>
      <c r="R2188" s="9" t="s">
        <v>61</v>
      </c>
      <c r="S2188" s="9" t="s">
        <v>1403</v>
      </c>
      <c r="T2188" s="9" t="s">
        <v>1404</v>
      </c>
      <c r="U2188" s="9" t="s">
        <v>54</v>
      </c>
      <c r="V2188" s="9" t="s">
        <v>55</v>
      </c>
      <c r="W2188" s="9" t="s">
        <v>55</v>
      </c>
      <c r="X2188" s="12" t="s">
        <v>76</v>
      </c>
      <c r="Y2188" s="9" t="s">
        <v>77</v>
      </c>
      <c r="Z2188" s="13"/>
    </row>
    <row r="2189" spans="1:26" ht="32.25" hidden="1" customHeight="1">
      <c r="A2189" s="8">
        <v>2312510</v>
      </c>
      <c r="B2189" s="9" t="s">
        <v>7645</v>
      </c>
      <c r="C2189" s="10">
        <v>45149</v>
      </c>
      <c r="D2189" s="9" t="s">
        <v>261</v>
      </c>
      <c r="E2189" s="9" t="s">
        <v>89</v>
      </c>
      <c r="F2189" s="9" t="s">
        <v>262</v>
      </c>
      <c r="G2189" s="9" t="s">
        <v>43</v>
      </c>
      <c r="H2189" s="9" t="s">
        <v>44</v>
      </c>
      <c r="I2189" s="11" t="s">
        <v>1488</v>
      </c>
      <c r="J2189" s="9" t="s">
        <v>1489</v>
      </c>
      <c r="K2189" s="9" t="s">
        <v>47</v>
      </c>
      <c r="L2189" s="9" t="s">
        <v>569</v>
      </c>
      <c r="M2189" s="9" t="s">
        <v>975</v>
      </c>
      <c r="N2189" s="9" t="s">
        <v>50</v>
      </c>
      <c r="O2189" s="9" t="s">
        <v>51</v>
      </c>
      <c r="P2189" s="9"/>
      <c r="Q2189" s="9"/>
      <c r="R2189" s="9" t="s">
        <v>61</v>
      </c>
      <c r="S2189" s="14" t="s">
        <v>7646</v>
      </c>
      <c r="T2189" s="9" t="s">
        <v>7647</v>
      </c>
      <c r="U2189" s="9" t="s">
        <v>262</v>
      </c>
      <c r="V2189" s="9" t="s">
        <v>897</v>
      </c>
      <c r="W2189" s="9" t="s">
        <v>115</v>
      </c>
      <c r="X2189" s="12" t="s">
        <v>389</v>
      </c>
      <c r="Y2189" s="9" t="s">
        <v>390</v>
      </c>
      <c r="Z2189" s="13"/>
    </row>
    <row r="2190" spans="1:26" ht="32.25" hidden="1" customHeight="1">
      <c r="A2190" s="8">
        <v>2314743</v>
      </c>
      <c r="B2190" s="9" t="s">
        <v>7648</v>
      </c>
      <c r="C2190" s="10">
        <v>45156</v>
      </c>
      <c r="D2190" s="9" t="s">
        <v>79</v>
      </c>
      <c r="E2190" s="9" t="s">
        <v>41</v>
      </c>
      <c r="F2190" s="9" t="s">
        <v>80</v>
      </c>
      <c r="G2190" s="9" t="s">
        <v>43</v>
      </c>
      <c r="H2190" s="9" t="s">
        <v>44</v>
      </c>
      <c r="I2190" s="11" t="s">
        <v>81</v>
      </c>
      <c r="J2190" s="9" t="s">
        <v>46</v>
      </c>
      <c r="K2190" s="9" t="s">
        <v>47</v>
      </c>
      <c r="L2190" s="9" t="s">
        <v>156</v>
      </c>
      <c r="M2190" s="9"/>
      <c r="N2190" s="9" t="s">
        <v>84</v>
      </c>
      <c r="O2190" s="9" t="s">
        <v>51</v>
      </c>
      <c r="P2190" s="9" t="s">
        <v>582</v>
      </c>
      <c r="Q2190" s="9"/>
      <c r="R2190" s="9"/>
      <c r="S2190" s="14" t="s">
        <v>7649</v>
      </c>
      <c r="T2190" s="9" t="s">
        <v>7650</v>
      </c>
      <c r="U2190" s="9" t="s">
        <v>54</v>
      </c>
      <c r="V2190" s="9" t="s">
        <v>55</v>
      </c>
      <c r="W2190" s="9" t="s">
        <v>55</v>
      </c>
      <c r="X2190" s="12"/>
      <c r="Y2190" s="9" t="s">
        <v>55</v>
      </c>
      <c r="Z2190" s="13"/>
    </row>
    <row r="2191" spans="1:26" ht="32.25" hidden="1" customHeight="1">
      <c r="A2191" s="8">
        <v>2304497</v>
      </c>
      <c r="B2191" s="9" t="s">
        <v>7651</v>
      </c>
      <c r="C2191" s="10">
        <v>45142</v>
      </c>
      <c r="D2191" s="9" t="s">
        <v>67</v>
      </c>
      <c r="E2191" s="9" t="s">
        <v>143</v>
      </c>
      <c r="F2191" s="9" t="s">
        <v>42</v>
      </c>
      <c r="G2191" s="9" t="s">
        <v>43</v>
      </c>
      <c r="H2191" s="9" t="s">
        <v>44</v>
      </c>
      <c r="I2191" s="11" t="s">
        <v>460</v>
      </c>
      <c r="J2191" s="9" t="s">
        <v>400</v>
      </c>
      <c r="K2191" s="9" t="s">
        <v>47</v>
      </c>
      <c r="L2191" s="9" t="s">
        <v>2632</v>
      </c>
      <c r="M2191" s="9" t="s">
        <v>7652</v>
      </c>
      <c r="N2191" s="9" t="s">
        <v>84</v>
      </c>
      <c r="O2191" s="9" t="s">
        <v>51</v>
      </c>
      <c r="P2191" s="9"/>
      <c r="Q2191" s="9"/>
      <c r="R2191" s="9" t="s">
        <v>61</v>
      </c>
      <c r="S2191" s="9" t="s">
        <v>7653</v>
      </c>
      <c r="T2191" s="9" t="s">
        <v>7654</v>
      </c>
      <c r="U2191" s="9" t="s">
        <v>54</v>
      </c>
      <c r="V2191" s="9" t="s">
        <v>55</v>
      </c>
      <c r="W2191" s="9" t="s">
        <v>55</v>
      </c>
      <c r="X2191" s="12" t="s">
        <v>150</v>
      </c>
      <c r="Y2191" s="9" t="s">
        <v>151</v>
      </c>
      <c r="Z2191" s="13"/>
    </row>
    <row r="2192" spans="1:26" ht="32.25" hidden="1" customHeight="1">
      <c r="A2192" s="8">
        <v>2311012</v>
      </c>
      <c r="B2192" s="9" t="s">
        <v>7655</v>
      </c>
      <c r="C2192" s="10">
        <v>45149</v>
      </c>
      <c r="D2192" s="9" t="s">
        <v>261</v>
      </c>
      <c r="E2192" s="9" t="s">
        <v>143</v>
      </c>
      <c r="F2192" s="9" t="s">
        <v>262</v>
      </c>
      <c r="G2192" s="9" t="s">
        <v>43</v>
      </c>
      <c r="H2192" s="9" t="s">
        <v>44</v>
      </c>
      <c r="I2192" s="11" t="s">
        <v>1620</v>
      </c>
      <c r="J2192" s="9" t="s">
        <v>1621</v>
      </c>
      <c r="K2192" s="9" t="s">
        <v>47</v>
      </c>
      <c r="L2192" s="9" t="s">
        <v>156</v>
      </c>
      <c r="M2192" s="9"/>
      <c r="N2192" s="9" t="s">
        <v>50</v>
      </c>
      <c r="O2192" s="9" t="s">
        <v>51</v>
      </c>
      <c r="P2192" s="9"/>
      <c r="Q2192" s="9"/>
      <c r="R2192" s="9"/>
      <c r="S2192" s="14" t="s">
        <v>7656</v>
      </c>
      <c r="T2192" s="9" t="s">
        <v>7657</v>
      </c>
      <c r="U2192" s="9" t="s">
        <v>262</v>
      </c>
      <c r="V2192" s="9"/>
      <c r="W2192" s="9" t="s">
        <v>115</v>
      </c>
      <c r="X2192" s="12"/>
      <c r="Y2192" s="9" t="s">
        <v>55</v>
      </c>
      <c r="Z2192" s="13"/>
    </row>
    <row r="2193" spans="1:26" ht="32.25" hidden="1" customHeight="1">
      <c r="A2193" s="8">
        <v>2314347</v>
      </c>
      <c r="B2193" s="9" t="s">
        <v>7658</v>
      </c>
      <c r="C2193" s="10">
        <v>45156</v>
      </c>
      <c r="D2193" s="9" t="s">
        <v>79</v>
      </c>
      <c r="E2193" s="9" t="s">
        <v>68</v>
      </c>
      <c r="F2193" s="9" t="s">
        <v>80</v>
      </c>
      <c r="G2193" s="9" t="s">
        <v>43</v>
      </c>
      <c r="H2193" s="9" t="s">
        <v>44</v>
      </c>
      <c r="I2193" s="11" t="s">
        <v>117</v>
      </c>
      <c r="J2193" s="9" t="s">
        <v>118</v>
      </c>
      <c r="K2193" s="9" t="s">
        <v>47</v>
      </c>
      <c r="L2193" s="9" t="s">
        <v>48</v>
      </c>
      <c r="M2193" s="9" t="s">
        <v>4076</v>
      </c>
      <c r="N2193" s="9" t="s">
        <v>84</v>
      </c>
      <c r="O2193" s="9" t="s">
        <v>51</v>
      </c>
      <c r="P2193" s="9" t="s">
        <v>285</v>
      </c>
      <c r="Q2193" s="9"/>
      <c r="R2193" s="9"/>
      <c r="S2193" s="14" t="s">
        <v>7659</v>
      </c>
      <c r="T2193" s="9" t="s">
        <v>7660</v>
      </c>
      <c r="U2193" s="9" t="s">
        <v>54</v>
      </c>
      <c r="V2193" s="9" t="s">
        <v>55</v>
      </c>
      <c r="W2193" s="9" t="s">
        <v>55</v>
      </c>
      <c r="X2193" s="12"/>
      <c r="Y2193" s="9" t="s">
        <v>55</v>
      </c>
      <c r="Z2193" s="13"/>
    </row>
    <row r="2194" spans="1:26" ht="32.25" hidden="1" customHeight="1">
      <c r="A2194" s="8">
        <v>2300967</v>
      </c>
      <c r="B2194" s="9" t="s">
        <v>7661</v>
      </c>
      <c r="C2194" s="10">
        <v>45149</v>
      </c>
      <c r="D2194" s="9" t="s">
        <v>261</v>
      </c>
      <c r="E2194" s="9" t="s">
        <v>68</v>
      </c>
      <c r="F2194" s="9" t="s">
        <v>262</v>
      </c>
      <c r="G2194" s="9" t="s">
        <v>43</v>
      </c>
      <c r="H2194" s="9" t="s">
        <v>44</v>
      </c>
      <c r="I2194" s="11" t="s">
        <v>263</v>
      </c>
      <c r="J2194" s="9" t="s">
        <v>264</v>
      </c>
      <c r="K2194" s="9" t="s">
        <v>47</v>
      </c>
      <c r="L2194" s="9" t="s">
        <v>777</v>
      </c>
      <c r="M2194" s="9"/>
      <c r="N2194" s="9" t="s">
        <v>50</v>
      </c>
      <c r="O2194" s="9" t="s">
        <v>51</v>
      </c>
      <c r="P2194" s="9"/>
      <c r="Q2194" s="9"/>
      <c r="R2194" s="9"/>
      <c r="S2194" s="14" t="s">
        <v>7662</v>
      </c>
      <c r="T2194" s="9" t="s">
        <v>7663</v>
      </c>
      <c r="U2194" s="9" t="s">
        <v>262</v>
      </c>
      <c r="V2194" s="9" t="s">
        <v>55</v>
      </c>
      <c r="W2194" s="9" t="s">
        <v>55</v>
      </c>
      <c r="X2194" s="12"/>
      <c r="Y2194" s="9" t="s">
        <v>55</v>
      </c>
      <c r="Z2194" s="13"/>
    </row>
    <row r="2195" spans="1:26" ht="32.25" hidden="1" customHeight="1">
      <c r="A2195" s="8">
        <v>2301916</v>
      </c>
      <c r="B2195" s="9" t="s">
        <v>7664</v>
      </c>
      <c r="C2195" s="10">
        <v>45156</v>
      </c>
      <c r="D2195" s="9" t="s">
        <v>79</v>
      </c>
      <c r="E2195" s="9" t="s">
        <v>143</v>
      </c>
      <c r="F2195" s="9" t="s">
        <v>80</v>
      </c>
      <c r="G2195" s="9" t="s">
        <v>43</v>
      </c>
      <c r="H2195" s="9" t="s">
        <v>44</v>
      </c>
      <c r="I2195" s="11" t="s">
        <v>725</v>
      </c>
      <c r="J2195" s="9" t="s">
        <v>145</v>
      </c>
      <c r="K2195" s="9" t="s">
        <v>47</v>
      </c>
      <c r="L2195" s="9" t="s">
        <v>167</v>
      </c>
      <c r="M2195" s="9" t="s">
        <v>168</v>
      </c>
      <c r="N2195" s="9" t="s">
        <v>50</v>
      </c>
      <c r="O2195" s="9" t="s">
        <v>51</v>
      </c>
      <c r="P2195" s="9" t="s">
        <v>1520</v>
      </c>
      <c r="Q2195" s="9"/>
      <c r="R2195" s="9" t="s">
        <v>61</v>
      </c>
      <c r="S2195" s="14" t="s">
        <v>7665</v>
      </c>
      <c r="T2195" s="9" t="s">
        <v>7666</v>
      </c>
      <c r="U2195" s="9" t="s">
        <v>54</v>
      </c>
      <c r="V2195" s="9" t="s">
        <v>251</v>
      </c>
      <c r="W2195" s="9" t="s">
        <v>115</v>
      </c>
      <c r="X2195" s="12" t="s">
        <v>171</v>
      </c>
      <c r="Y2195" s="9" t="s">
        <v>172</v>
      </c>
      <c r="Z2195" s="13"/>
    </row>
    <row r="2196" spans="1:26" ht="32.25" hidden="1" customHeight="1">
      <c r="A2196" s="8">
        <v>2300825</v>
      </c>
      <c r="B2196" s="9" t="s">
        <v>7667</v>
      </c>
      <c r="C2196" s="10">
        <v>45142</v>
      </c>
      <c r="D2196" s="9" t="s">
        <v>67</v>
      </c>
      <c r="E2196" s="9" t="s">
        <v>143</v>
      </c>
      <c r="F2196" s="9" t="s">
        <v>42</v>
      </c>
      <c r="G2196" s="9" t="s">
        <v>43</v>
      </c>
      <c r="H2196" s="9" t="s">
        <v>44</v>
      </c>
      <c r="I2196" s="11" t="s">
        <v>334</v>
      </c>
      <c r="J2196" s="9" t="s">
        <v>327</v>
      </c>
      <c r="K2196" s="9" t="s">
        <v>47</v>
      </c>
      <c r="L2196" s="9" t="s">
        <v>290</v>
      </c>
      <c r="M2196" s="9" t="s">
        <v>999</v>
      </c>
      <c r="N2196" s="9" t="s">
        <v>84</v>
      </c>
      <c r="O2196" s="9" t="s">
        <v>51</v>
      </c>
      <c r="P2196" s="9" t="s">
        <v>336</v>
      </c>
      <c r="Q2196" s="9"/>
      <c r="R2196" s="9" t="s">
        <v>61</v>
      </c>
      <c r="S2196" s="9" t="s">
        <v>7668</v>
      </c>
      <c r="T2196" s="9" t="s">
        <v>7669</v>
      </c>
      <c r="U2196" s="9" t="s">
        <v>54</v>
      </c>
      <c r="V2196" s="9" t="s">
        <v>55</v>
      </c>
      <c r="W2196" s="9" t="s">
        <v>55</v>
      </c>
      <c r="X2196" s="12" t="s">
        <v>150</v>
      </c>
      <c r="Y2196" s="9" t="s">
        <v>151</v>
      </c>
      <c r="Z2196" s="13" t="s">
        <v>13285</v>
      </c>
    </row>
    <row r="2197" spans="1:26" ht="32.25" hidden="1" customHeight="1">
      <c r="A2197" s="8">
        <v>2302371</v>
      </c>
      <c r="B2197" s="9" t="s">
        <v>7670</v>
      </c>
      <c r="C2197" s="10">
        <v>45142</v>
      </c>
      <c r="D2197" s="9" t="s">
        <v>67</v>
      </c>
      <c r="E2197" s="9" t="s">
        <v>143</v>
      </c>
      <c r="F2197" s="9" t="s">
        <v>42</v>
      </c>
      <c r="G2197" s="9" t="s">
        <v>43</v>
      </c>
      <c r="H2197" s="9" t="s">
        <v>44</v>
      </c>
      <c r="I2197" s="11" t="s">
        <v>596</v>
      </c>
      <c r="J2197" s="9" t="s">
        <v>597</v>
      </c>
      <c r="K2197" s="9" t="s">
        <v>47</v>
      </c>
      <c r="L2197" s="9" t="s">
        <v>3667</v>
      </c>
      <c r="M2197" s="9" t="s">
        <v>3668</v>
      </c>
      <c r="N2197" s="9" t="s">
        <v>84</v>
      </c>
      <c r="O2197" s="9" t="s">
        <v>51</v>
      </c>
      <c r="P2197" s="9"/>
      <c r="Q2197" s="9"/>
      <c r="R2197" s="9" t="s">
        <v>61</v>
      </c>
      <c r="S2197" s="9" t="s">
        <v>7671</v>
      </c>
      <c r="T2197" s="9" t="s">
        <v>7672</v>
      </c>
      <c r="U2197" s="9" t="s">
        <v>54</v>
      </c>
      <c r="V2197" s="9" t="s">
        <v>55</v>
      </c>
      <c r="W2197" s="9" t="s">
        <v>55</v>
      </c>
      <c r="X2197" s="12" t="s">
        <v>171</v>
      </c>
      <c r="Y2197" s="9" t="s">
        <v>172</v>
      </c>
      <c r="Z2197" s="13"/>
    </row>
    <row r="2198" spans="1:26" ht="32.25" hidden="1" customHeight="1">
      <c r="A2198" s="8">
        <v>2312947</v>
      </c>
      <c r="B2198" s="9" t="s">
        <v>7673</v>
      </c>
      <c r="C2198" s="10">
        <v>45149</v>
      </c>
      <c r="D2198" s="9" t="s">
        <v>261</v>
      </c>
      <c r="E2198" s="9" t="s">
        <v>89</v>
      </c>
      <c r="F2198" s="9" t="s">
        <v>262</v>
      </c>
      <c r="G2198" s="9" t="s">
        <v>43</v>
      </c>
      <c r="H2198" s="9" t="s">
        <v>44</v>
      </c>
      <c r="I2198" s="11" t="s">
        <v>685</v>
      </c>
      <c r="J2198" s="9" t="s">
        <v>686</v>
      </c>
      <c r="K2198" s="9" t="s">
        <v>47</v>
      </c>
      <c r="L2198" s="9" t="s">
        <v>156</v>
      </c>
      <c r="M2198" s="9" t="s">
        <v>157</v>
      </c>
      <c r="N2198" s="9" t="s">
        <v>50</v>
      </c>
      <c r="O2198" s="9" t="s">
        <v>51</v>
      </c>
      <c r="P2198" s="9"/>
      <c r="Q2198" s="9"/>
      <c r="R2198" s="9"/>
      <c r="S2198" s="14" t="s">
        <v>7674</v>
      </c>
      <c r="T2198" s="9" t="s">
        <v>7675</v>
      </c>
      <c r="U2198" s="9" t="s">
        <v>262</v>
      </c>
      <c r="V2198" s="9" t="s">
        <v>55</v>
      </c>
      <c r="W2198" s="9" t="s">
        <v>55</v>
      </c>
      <c r="X2198" s="12"/>
      <c r="Y2198" s="9" t="s">
        <v>55</v>
      </c>
      <c r="Z2198" s="13"/>
    </row>
    <row r="2199" spans="1:26" ht="32.25" hidden="1" customHeight="1">
      <c r="A2199" s="8">
        <v>2308224</v>
      </c>
      <c r="B2199" s="9" t="s">
        <v>7676</v>
      </c>
      <c r="C2199" s="10">
        <v>45156</v>
      </c>
      <c r="D2199" s="9" t="s">
        <v>79</v>
      </c>
      <c r="E2199" s="9" t="s">
        <v>41</v>
      </c>
      <c r="F2199" s="9" t="s">
        <v>80</v>
      </c>
      <c r="G2199" s="9" t="s">
        <v>43</v>
      </c>
      <c r="H2199" s="9" t="s">
        <v>44</v>
      </c>
      <c r="I2199" s="11" t="s">
        <v>81</v>
      </c>
      <c r="J2199" s="9" t="s">
        <v>46</v>
      </c>
      <c r="K2199" s="9" t="s">
        <v>47</v>
      </c>
      <c r="L2199" s="9" t="s">
        <v>48</v>
      </c>
      <c r="M2199" s="9" t="s">
        <v>674</v>
      </c>
      <c r="N2199" s="9" t="s">
        <v>50</v>
      </c>
      <c r="O2199" s="9" t="s">
        <v>51</v>
      </c>
      <c r="P2199" s="9" t="s">
        <v>85</v>
      </c>
      <c r="Q2199" s="9"/>
      <c r="R2199" s="9"/>
      <c r="S2199" s="14" t="s">
        <v>7677</v>
      </c>
      <c r="T2199" s="9" t="s">
        <v>7678</v>
      </c>
      <c r="U2199" s="9" t="s">
        <v>54</v>
      </c>
      <c r="V2199" s="9" t="s">
        <v>55</v>
      </c>
      <c r="W2199" s="9" t="s">
        <v>55</v>
      </c>
      <c r="X2199" s="12"/>
      <c r="Y2199" s="9" t="s">
        <v>55</v>
      </c>
      <c r="Z2199" s="13"/>
    </row>
    <row r="2200" spans="1:26" ht="32.25" hidden="1" customHeight="1">
      <c r="A2200" s="8">
        <v>2309982</v>
      </c>
      <c r="B2200" s="9" t="s">
        <v>7679</v>
      </c>
      <c r="C2200" s="10">
        <v>45136</v>
      </c>
      <c r="D2200" s="9" t="s">
        <v>40</v>
      </c>
      <c r="E2200" s="9" t="s">
        <v>153</v>
      </c>
      <c r="F2200" s="9" t="s">
        <v>42</v>
      </c>
      <c r="G2200" s="9" t="s">
        <v>43</v>
      </c>
      <c r="H2200" s="9" t="s">
        <v>44</v>
      </c>
      <c r="I2200" s="11" t="s">
        <v>154</v>
      </c>
      <c r="J2200" s="9" t="s">
        <v>155</v>
      </c>
      <c r="K2200" s="9" t="s">
        <v>47</v>
      </c>
      <c r="L2200" s="9" t="s">
        <v>4006</v>
      </c>
      <c r="M2200" s="9" t="s">
        <v>4633</v>
      </c>
      <c r="N2200" s="9" t="s">
        <v>84</v>
      </c>
      <c r="O2200" s="9" t="s">
        <v>51</v>
      </c>
      <c r="P2200" s="9"/>
      <c r="Q2200" s="9"/>
      <c r="R2200" s="9" t="s">
        <v>61</v>
      </c>
      <c r="S2200" s="9" t="s">
        <v>7680</v>
      </c>
      <c r="T2200" s="9" t="s">
        <v>7681</v>
      </c>
      <c r="U2200" s="9" t="s">
        <v>54</v>
      </c>
      <c r="V2200" s="9" t="s">
        <v>55</v>
      </c>
      <c r="W2200" s="9" t="s">
        <v>55</v>
      </c>
      <c r="X2200" s="12" t="s">
        <v>171</v>
      </c>
      <c r="Y2200" s="9" t="s">
        <v>172</v>
      </c>
      <c r="Z2200" s="13"/>
    </row>
    <row r="2201" spans="1:26" ht="32.25" hidden="1" customHeight="1">
      <c r="A2201" s="8">
        <v>2302536</v>
      </c>
      <c r="B2201" s="9" t="s">
        <v>7682</v>
      </c>
      <c r="C2201" s="10">
        <v>45156</v>
      </c>
      <c r="D2201" s="9" t="s">
        <v>79</v>
      </c>
      <c r="E2201" s="9" t="s">
        <v>89</v>
      </c>
      <c r="F2201" s="9" t="s">
        <v>80</v>
      </c>
      <c r="G2201" s="9" t="s">
        <v>43</v>
      </c>
      <c r="H2201" s="9" t="s">
        <v>44</v>
      </c>
      <c r="I2201" s="11" t="s">
        <v>101</v>
      </c>
      <c r="J2201" s="9" t="s">
        <v>102</v>
      </c>
      <c r="K2201" s="9" t="s">
        <v>496</v>
      </c>
      <c r="L2201" s="9"/>
      <c r="M2201" s="9"/>
      <c r="N2201" s="9" t="s">
        <v>50</v>
      </c>
      <c r="O2201" s="9" t="s">
        <v>51</v>
      </c>
      <c r="P2201" s="9" t="s">
        <v>1907</v>
      </c>
      <c r="Q2201" s="9"/>
      <c r="R2201" s="9" t="s">
        <v>61</v>
      </c>
      <c r="S2201" s="14" t="s">
        <v>7683</v>
      </c>
      <c r="T2201" s="9" t="s">
        <v>7684</v>
      </c>
      <c r="U2201" s="9" t="s">
        <v>54</v>
      </c>
      <c r="V2201" s="9" t="s">
        <v>711</v>
      </c>
      <c r="W2201" s="9" t="s">
        <v>115</v>
      </c>
      <c r="X2201" s="12" t="s">
        <v>98</v>
      </c>
      <c r="Y2201" s="9" t="s">
        <v>99</v>
      </c>
      <c r="Z2201" s="13"/>
    </row>
    <row r="2202" spans="1:26" ht="32.25" hidden="1" customHeight="1">
      <c r="A2202" s="8">
        <v>2311637</v>
      </c>
      <c r="B2202" s="9" t="s">
        <v>7685</v>
      </c>
      <c r="C2202" s="10">
        <v>45149</v>
      </c>
      <c r="D2202" s="9" t="s">
        <v>261</v>
      </c>
      <c r="E2202" s="9" t="s">
        <v>143</v>
      </c>
      <c r="F2202" s="9" t="s">
        <v>262</v>
      </c>
      <c r="G2202" s="9" t="s">
        <v>43</v>
      </c>
      <c r="H2202" s="9" t="s">
        <v>44</v>
      </c>
      <c r="I2202" s="11" t="s">
        <v>384</v>
      </c>
      <c r="J2202" s="9" t="s">
        <v>385</v>
      </c>
      <c r="K2202" s="9" t="s">
        <v>47</v>
      </c>
      <c r="L2202" s="9" t="s">
        <v>156</v>
      </c>
      <c r="M2202" s="9"/>
      <c r="N2202" s="9" t="s">
        <v>50</v>
      </c>
      <c r="O2202" s="9" t="s">
        <v>51</v>
      </c>
      <c r="P2202" s="9"/>
      <c r="Q2202" s="9"/>
      <c r="R2202" s="9"/>
      <c r="S2202" s="14" t="s">
        <v>7686</v>
      </c>
      <c r="T2202" s="9" t="s">
        <v>7687</v>
      </c>
      <c r="U2202" s="9" t="s">
        <v>262</v>
      </c>
      <c r="V2202" s="9"/>
      <c r="W2202" s="9" t="s">
        <v>115</v>
      </c>
      <c r="X2202" s="12"/>
      <c r="Y2202" s="9" t="s">
        <v>55</v>
      </c>
      <c r="Z2202" s="13"/>
    </row>
    <row r="2203" spans="1:26" ht="32.25" hidden="1" customHeight="1">
      <c r="A2203" s="8">
        <v>2304878</v>
      </c>
      <c r="B2203" s="9" t="s">
        <v>7688</v>
      </c>
      <c r="C2203" s="10">
        <v>45142</v>
      </c>
      <c r="D2203" s="9" t="s">
        <v>67</v>
      </c>
      <c r="E2203" s="9" t="s">
        <v>143</v>
      </c>
      <c r="F2203" s="9" t="s">
        <v>42</v>
      </c>
      <c r="G2203" s="9" t="s">
        <v>43</v>
      </c>
      <c r="H2203" s="9" t="s">
        <v>44</v>
      </c>
      <c r="I2203" s="11" t="s">
        <v>334</v>
      </c>
      <c r="J2203" s="9" t="s">
        <v>327</v>
      </c>
      <c r="K2203" s="9" t="s">
        <v>47</v>
      </c>
      <c r="L2203" s="9" t="s">
        <v>349</v>
      </c>
      <c r="M2203" s="9" t="s">
        <v>7689</v>
      </c>
      <c r="N2203" s="9" t="s">
        <v>84</v>
      </c>
      <c r="O2203" s="9" t="s">
        <v>51</v>
      </c>
      <c r="P2203" s="9" t="s">
        <v>336</v>
      </c>
      <c r="Q2203" s="9" t="s">
        <v>465</v>
      </c>
      <c r="R2203" s="9" t="s">
        <v>61</v>
      </c>
      <c r="S2203" s="9" t="s">
        <v>7690</v>
      </c>
      <c r="T2203" s="9" t="s">
        <v>7691</v>
      </c>
      <c r="U2203" s="9" t="s">
        <v>54</v>
      </c>
      <c r="V2203" s="9" t="s">
        <v>55</v>
      </c>
      <c r="W2203" s="9" t="s">
        <v>55</v>
      </c>
      <c r="X2203" s="12" t="s">
        <v>150</v>
      </c>
      <c r="Y2203" s="9" t="s">
        <v>151</v>
      </c>
      <c r="Z2203" s="13"/>
    </row>
    <row r="2204" spans="1:26" ht="32.25" hidden="1" customHeight="1">
      <c r="A2204" s="8">
        <v>2303850</v>
      </c>
      <c r="B2204" s="9" t="s">
        <v>7692</v>
      </c>
      <c r="C2204" s="10">
        <v>45149</v>
      </c>
      <c r="D2204" s="9" t="s">
        <v>57</v>
      </c>
      <c r="E2204" s="9" t="s">
        <v>41</v>
      </c>
      <c r="F2204" s="9" t="s">
        <v>42</v>
      </c>
      <c r="G2204" s="9" t="s">
        <v>43</v>
      </c>
      <c r="H2204" s="9" t="s">
        <v>58</v>
      </c>
      <c r="I2204" s="11" t="s">
        <v>129</v>
      </c>
      <c r="J2204" s="9" t="s">
        <v>130</v>
      </c>
      <c r="K2204" s="9" t="s">
        <v>47</v>
      </c>
      <c r="L2204" s="9" t="s">
        <v>156</v>
      </c>
      <c r="M2204" s="9"/>
      <c r="N2204" s="9" t="s">
        <v>50</v>
      </c>
      <c r="O2204" s="9" t="s">
        <v>51</v>
      </c>
      <c r="P2204" s="9"/>
      <c r="Q2204" s="9"/>
      <c r="R2204" s="9"/>
      <c r="S2204" s="14" t="s">
        <v>7693</v>
      </c>
      <c r="T2204" s="9" t="s">
        <v>7694</v>
      </c>
      <c r="U2204" s="9" t="s">
        <v>54</v>
      </c>
      <c r="V2204" s="9" t="s">
        <v>55</v>
      </c>
      <c r="W2204" s="9" t="s">
        <v>55</v>
      </c>
      <c r="X2204" s="12"/>
      <c r="Y2204" s="9" t="s">
        <v>55</v>
      </c>
      <c r="Z2204" s="13"/>
    </row>
    <row r="2205" spans="1:26" ht="32.25" hidden="1" customHeight="1">
      <c r="A2205" s="8">
        <v>2307282</v>
      </c>
      <c r="B2205" s="9" t="s">
        <v>7695</v>
      </c>
      <c r="C2205" s="10">
        <v>45156</v>
      </c>
      <c r="D2205" s="9" t="s">
        <v>79</v>
      </c>
      <c r="E2205" s="9" t="s">
        <v>68</v>
      </c>
      <c r="F2205" s="9" t="s">
        <v>80</v>
      </c>
      <c r="G2205" s="9" t="s">
        <v>43</v>
      </c>
      <c r="H2205" s="9" t="s">
        <v>44</v>
      </c>
      <c r="I2205" s="11" t="s">
        <v>90</v>
      </c>
      <c r="J2205" s="9" t="s">
        <v>91</v>
      </c>
      <c r="K2205" s="9" t="s">
        <v>47</v>
      </c>
      <c r="L2205" s="9" t="s">
        <v>799</v>
      </c>
      <c r="M2205" s="9" t="s">
        <v>7696</v>
      </c>
      <c r="N2205" s="9" t="s">
        <v>50</v>
      </c>
      <c r="O2205" s="9" t="s">
        <v>51</v>
      </c>
      <c r="P2205" s="9" t="s">
        <v>273</v>
      </c>
      <c r="Q2205" s="9"/>
      <c r="R2205" s="9"/>
      <c r="S2205" s="14" t="s">
        <v>7697</v>
      </c>
      <c r="T2205" s="9" t="s">
        <v>7698</v>
      </c>
      <c r="U2205" s="9" t="s">
        <v>54</v>
      </c>
      <c r="V2205" s="9" t="s">
        <v>55</v>
      </c>
      <c r="W2205" s="9" t="s">
        <v>55</v>
      </c>
      <c r="X2205" s="12"/>
      <c r="Y2205" s="9" t="s">
        <v>55</v>
      </c>
      <c r="Z2205" s="13"/>
    </row>
    <row r="2206" spans="1:26" ht="32.25" hidden="1" customHeight="1">
      <c r="A2206" s="8">
        <v>2312591</v>
      </c>
      <c r="B2206" s="9" t="s">
        <v>7699</v>
      </c>
      <c r="C2206" s="10">
        <v>45142</v>
      </c>
      <c r="D2206" s="9" t="s">
        <v>67</v>
      </c>
      <c r="E2206" s="9" t="s">
        <v>68</v>
      </c>
      <c r="F2206" s="9" t="s">
        <v>135</v>
      </c>
      <c r="G2206" s="9" t="s">
        <v>43</v>
      </c>
      <c r="H2206" s="9" t="s">
        <v>44</v>
      </c>
      <c r="I2206" s="11" t="s">
        <v>3024</v>
      </c>
      <c r="J2206" s="9" t="s">
        <v>3025</v>
      </c>
      <c r="K2206" s="9" t="s">
        <v>47</v>
      </c>
      <c r="L2206" s="9" t="s">
        <v>4006</v>
      </c>
      <c r="M2206" s="9" t="s">
        <v>4633</v>
      </c>
      <c r="N2206" s="9" t="s">
        <v>50</v>
      </c>
      <c r="O2206" s="9" t="s">
        <v>51</v>
      </c>
      <c r="P2206" s="9"/>
      <c r="Q2206" s="9"/>
      <c r="R2206" s="9" t="s">
        <v>61</v>
      </c>
      <c r="S2206" s="9" t="s">
        <v>7700</v>
      </c>
      <c r="T2206" s="9" t="s">
        <v>7701</v>
      </c>
      <c r="U2206" s="9" t="s">
        <v>54</v>
      </c>
      <c r="V2206" s="9" t="s">
        <v>55</v>
      </c>
      <c r="W2206" s="9" t="s">
        <v>55</v>
      </c>
      <c r="X2206" s="12" t="s">
        <v>76</v>
      </c>
      <c r="Y2206" s="9" t="s">
        <v>77</v>
      </c>
      <c r="Z2206" s="13"/>
    </row>
    <row r="2207" spans="1:26" ht="32.25" hidden="1" customHeight="1">
      <c r="A2207" s="8">
        <v>2300087</v>
      </c>
      <c r="B2207" s="9" t="s">
        <v>7702</v>
      </c>
      <c r="C2207" s="10">
        <v>45149</v>
      </c>
      <c r="D2207" s="9" t="s">
        <v>261</v>
      </c>
      <c r="E2207" s="9" t="s">
        <v>68</v>
      </c>
      <c r="F2207" s="9" t="s">
        <v>262</v>
      </c>
      <c r="G2207" s="9" t="s">
        <v>43</v>
      </c>
      <c r="H2207" s="9" t="s">
        <v>44</v>
      </c>
      <c r="I2207" s="11" t="s">
        <v>648</v>
      </c>
      <c r="J2207" s="9" t="s">
        <v>649</v>
      </c>
      <c r="K2207" s="9" t="s">
        <v>47</v>
      </c>
      <c r="L2207" s="9" t="s">
        <v>1673</v>
      </c>
      <c r="M2207" s="9" t="s">
        <v>2761</v>
      </c>
      <c r="N2207" s="9" t="s">
        <v>50</v>
      </c>
      <c r="O2207" s="9" t="s">
        <v>51</v>
      </c>
      <c r="P2207" s="9"/>
      <c r="Q2207" s="9"/>
      <c r="R2207" s="9" t="s">
        <v>61</v>
      </c>
      <c r="S2207" s="14" t="s">
        <v>7703</v>
      </c>
      <c r="T2207" s="9" t="s">
        <v>7704</v>
      </c>
      <c r="U2207" s="9" t="s">
        <v>262</v>
      </c>
      <c r="V2207" s="9" t="s">
        <v>196</v>
      </c>
      <c r="W2207" s="9" t="s">
        <v>115</v>
      </c>
      <c r="X2207" s="12" t="s">
        <v>196</v>
      </c>
      <c r="Y2207" s="9" t="s">
        <v>197</v>
      </c>
      <c r="Z2207" s="13"/>
    </row>
    <row r="2208" spans="1:26" ht="32.25" hidden="1" customHeight="1">
      <c r="A2208" s="8">
        <v>2314269</v>
      </c>
      <c r="B2208" s="9" t="s">
        <v>7705</v>
      </c>
      <c r="C2208" s="10">
        <v>45156</v>
      </c>
      <c r="D2208" s="9" t="s">
        <v>79</v>
      </c>
      <c r="E2208" s="9" t="s">
        <v>41</v>
      </c>
      <c r="F2208" s="9" t="s">
        <v>80</v>
      </c>
      <c r="G2208" s="9" t="s">
        <v>43</v>
      </c>
      <c r="H2208" s="9" t="s">
        <v>44</v>
      </c>
      <c r="I2208" s="11" t="s">
        <v>81</v>
      </c>
      <c r="J2208" s="9" t="s">
        <v>46</v>
      </c>
      <c r="K2208" s="9" t="s">
        <v>47</v>
      </c>
      <c r="L2208" s="9" t="s">
        <v>1760</v>
      </c>
      <c r="M2208" s="9" t="s">
        <v>1761</v>
      </c>
      <c r="N2208" s="9" t="s">
        <v>50</v>
      </c>
      <c r="O2208" s="9" t="s">
        <v>51</v>
      </c>
      <c r="P2208" s="9" t="s">
        <v>582</v>
      </c>
      <c r="Q2208" s="9"/>
      <c r="R2208" s="9" t="s">
        <v>61</v>
      </c>
      <c r="S2208" s="14" t="s">
        <v>7706</v>
      </c>
      <c r="T2208" s="9" t="s">
        <v>7707</v>
      </c>
      <c r="U2208" s="9" t="s">
        <v>54</v>
      </c>
      <c r="V2208" s="9" t="s">
        <v>331</v>
      </c>
      <c r="W2208" s="9" t="s">
        <v>115</v>
      </c>
      <c r="X2208" s="9" t="s">
        <v>64</v>
      </c>
      <c r="Y2208" s="9" t="s">
        <v>65</v>
      </c>
      <c r="Z2208" s="13"/>
    </row>
    <row r="2209" spans="1:26" ht="32.25" hidden="1" customHeight="1">
      <c r="A2209" s="8">
        <v>2305996</v>
      </c>
      <c r="B2209" s="9" t="s">
        <v>7708</v>
      </c>
      <c r="C2209" s="10">
        <v>45142</v>
      </c>
      <c r="D2209" s="9" t="s">
        <v>67</v>
      </c>
      <c r="E2209" s="9" t="s">
        <v>68</v>
      </c>
      <c r="F2209" s="9" t="s">
        <v>135</v>
      </c>
      <c r="G2209" s="9" t="s">
        <v>43</v>
      </c>
      <c r="H2209" s="9" t="s">
        <v>44</v>
      </c>
      <c r="I2209" s="11" t="s">
        <v>136</v>
      </c>
      <c r="J2209" s="9" t="s">
        <v>137</v>
      </c>
      <c r="K2209" s="9" t="s">
        <v>47</v>
      </c>
      <c r="L2209" s="9" t="s">
        <v>741</v>
      </c>
      <c r="M2209" s="9" t="s">
        <v>995</v>
      </c>
      <c r="N2209" s="9" t="s">
        <v>84</v>
      </c>
      <c r="O2209" s="9" t="s">
        <v>51</v>
      </c>
      <c r="P2209" s="9"/>
      <c r="Q2209" s="9"/>
      <c r="R2209" s="9" t="s">
        <v>61</v>
      </c>
      <c r="S2209" s="9" t="s">
        <v>7709</v>
      </c>
      <c r="T2209" s="9" t="s">
        <v>7710</v>
      </c>
      <c r="U2209" s="9" t="s">
        <v>54</v>
      </c>
      <c r="V2209" s="9" t="s">
        <v>55</v>
      </c>
      <c r="W2209" s="9" t="s">
        <v>55</v>
      </c>
      <c r="X2209" s="12" t="s">
        <v>76</v>
      </c>
      <c r="Y2209" s="9" t="s">
        <v>77</v>
      </c>
      <c r="Z2209" s="13"/>
    </row>
    <row r="2210" spans="1:26" ht="32.25" hidden="1" customHeight="1">
      <c r="A2210" s="8">
        <v>2302286</v>
      </c>
      <c r="B2210" s="9" t="s">
        <v>7711</v>
      </c>
      <c r="C2210" s="10">
        <v>45149</v>
      </c>
      <c r="D2210" s="9" t="s">
        <v>57</v>
      </c>
      <c r="E2210" s="9" t="s">
        <v>41</v>
      </c>
      <c r="F2210" s="9" t="s">
        <v>42</v>
      </c>
      <c r="G2210" s="9" t="s">
        <v>43</v>
      </c>
      <c r="H2210" s="9" t="s">
        <v>58</v>
      </c>
      <c r="I2210" s="11" t="s">
        <v>45</v>
      </c>
      <c r="J2210" s="9" t="s">
        <v>46</v>
      </c>
      <c r="K2210" s="9" t="s">
        <v>47</v>
      </c>
      <c r="L2210" s="9" t="s">
        <v>156</v>
      </c>
      <c r="M2210" s="9"/>
      <c r="N2210" s="9" t="s">
        <v>50</v>
      </c>
      <c r="O2210" s="9" t="s">
        <v>51</v>
      </c>
      <c r="P2210" s="9"/>
      <c r="Q2210" s="9"/>
      <c r="R2210" s="9"/>
      <c r="S2210" s="14" t="s">
        <v>7712</v>
      </c>
      <c r="T2210" s="9" t="s">
        <v>7713</v>
      </c>
      <c r="U2210" s="9" t="s">
        <v>54</v>
      </c>
      <c r="V2210" s="9" t="s">
        <v>55</v>
      </c>
      <c r="W2210" s="9" t="s">
        <v>55</v>
      </c>
      <c r="X2210" s="12"/>
      <c r="Y2210" s="9" t="s">
        <v>55</v>
      </c>
      <c r="Z2210" s="13"/>
    </row>
    <row r="2211" spans="1:26" ht="32.25" hidden="1" customHeight="1">
      <c r="A2211" s="8">
        <v>2311386</v>
      </c>
      <c r="B2211" s="9" t="s">
        <v>7714</v>
      </c>
      <c r="C2211" s="10">
        <v>45156</v>
      </c>
      <c r="D2211" s="9" t="s">
        <v>79</v>
      </c>
      <c r="E2211" s="9" t="s">
        <v>68</v>
      </c>
      <c r="F2211" s="9" t="s">
        <v>80</v>
      </c>
      <c r="G2211" s="9" t="s">
        <v>43</v>
      </c>
      <c r="H2211" s="9" t="s">
        <v>44</v>
      </c>
      <c r="I2211" s="11" t="s">
        <v>90</v>
      </c>
      <c r="J2211" s="9" t="s">
        <v>91</v>
      </c>
      <c r="K2211" s="9" t="s">
        <v>110</v>
      </c>
      <c r="L2211" s="9"/>
      <c r="M2211" s="9" t="s">
        <v>3623</v>
      </c>
      <c r="N2211" s="9" t="s">
        <v>50</v>
      </c>
      <c r="O2211" s="9" t="s">
        <v>51</v>
      </c>
      <c r="P2211" s="9" t="s">
        <v>929</v>
      </c>
      <c r="Q2211" s="9"/>
      <c r="R2211" s="9"/>
      <c r="S2211" s="14" t="s">
        <v>7715</v>
      </c>
      <c r="T2211" s="9" t="s">
        <v>7716</v>
      </c>
      <c r="U2211" s="9" t="s">
        <v>54</v>
      </c>
      <c r="V2211" s="9" t="s">
        <v>55</v>
      </c>
      <c r="W2211" s="9" t="s">
        <v>55</v>
      </c>
      <c r="X2211" s="12"/>
      <c r="Y2211" s="9" t="s">
        <v>55</v>
      </c>
      <c r="Z2211" s="13"/>
    </row>
    <row r="2212" spans="1:26" ht="32.25" hidden="1" customHeight="1">
      <c r="A2212" s="8">
        <v>2310960</v>
      </c>
      <c r="B2212" s="9" t="s">
        <v>7717</v>
      </c>
      <c r="C2212" s="10">
        <v>45156</v>
      </c>
      <c r="D2212" s="9" t="s">
        <v>79</v>
      </c>
      <c r="E2212" s="9" t="s">
        <v>143</v>
      </c>
      <c r="F2212" s="9" t="s">
        <v>80</v>
      </c>
      <c r="G2212" s="9" t="s">
        <v>43</v>
      </c>
      <c r="H2212" s="9" t="s">
        <v>44</v>
      </c>
      <c r="I2212" s="11" t="s">
        <v>326</v>
      </c>
      <c r="J2212" s="9" t="s">
        <v>327</v>
      </c>
      <c r="K2212" s="9" t="s">
        <v>47</v>
      </c>
      <c r="L2212" s="9"/>
      <c r="M2212" s="9"/>
      <c r="N2212" s="9" t="s">
        <v>84</v>
      </c>
      <c r="O2212" s="9" t="s">
        <v>51</v>
      </c>
      <c r="P2212" s="9" t="s">
        <v>654</v>
      </c>
      <c r="Q2212" s="9"/>
      <c r="R2212" s="9" t="s">
        <v>61</v>
      </c>
      <c r="S2212" s="14" t="s">
        <v>7718</v>
      </c>
      <c r="T2212" s="9" t="s">
        <v>7719</v>
      </c>
      <c r="U2212" s="9" t="s">
        <v>54</v>
      </c>
      <c r="V2212" s="9" t="s">
        <v>55</v>
      </c>
      <c r="W2212" s="9" t="s">
        <v>55</v>
      </c>
      <c r="X2212" s="12" t="s">
        <v>150</v>
      </c>
      <c r="Y2212" s="9" t="s">
        <v>151</v>
      </c>
      <c r="Z2212" s="13"/>
    </row>
    <row r="2213" spans="1:26" ht="32.25" hidden="1" customHeight="1">
      <c r="A2213" s="8">
        <v>2308410</v>
      </c>
      <c r="B2213" s="9" t="s">
        <v>7720</v>
      </c>
      <c r="C2213" s="10">
        <v>45136</v>
      </c>
      <c r="D2213" s="9" t="s">
        <v>40</v>
      </c>
      <c r="E2213" s="9" t="s">
        <v>41</v>
      </c>
      <c r="F2213" s="9" t="s">
        <v>42</v>
      </c>
      <c r="G2213" s="9" t="s">
        <v>43</v>
      </c>
      <c r="H2213" s="9" t="s">
        <v>44</v>
      </c>
      <c r="I2213" s="11" t="s">
        <v>45</v>
      </c>
      <c r="J2213" s="9" t="s">
        <v>46</v>
      </c>
      <c r="K2213" s="9" t="s">
        <v>47</v>
      </c>
      <c r="L2213" s="9" t="s">
        <v>162</v>
      </c>
      <c r="M2213" s="9" t="s">
        <v>163</v>
      </c>
      <c r="N2213" s="9" t="s">
        <v>50</v>
      </c>
      <c r="O2213" s="9" t="s">
        <v>51</v>
      </c>
      <c r="P2213" s="9"/>
      <c r="Q2213" s="9"/>
      <c r="R2213" s="9" t="s">
        <v>61</v>
      </c>
      <c r="S2213" s="9" t="s">
        <v>7721</v>
      </c>
      <c r="T2213" s="9" t="s">
        <v>7722</v>
      </c>
      <c r="U2213" s="9" t="s">
        <v>54</v>
      </c>
      <c r="V2213" s="9" t="s">
        <v>55</v>
      </c>
      <c r="W2213" s="9" t="s">
        <v>55</v>
      </c>
      <c r="X2213" s="9" t="s">
        <v>196</v>
      </c>
      <c r="Y2213" s="9" t="s">
        <v>197</v>
      </c>
      <c r="Z2213" s="13" t="s">
        <v>7723</v>
      </c>
    </row>
    <row r="2214" spans="1:26" ht="32.25" hidden="1" customHeight="1">
      <c r="A2214" s="8">
        <v>2314464</v>
      </c>
      <c r="B2214" s="9" t="s">
        <v>7724</v>
      </c>
      <c r="C2214" s="10">
        <v>45156</v>
      </c>
      <c r="D2214" s="9" t="s">
        <v>79</v>
      </c>
      <c r="E2214" s="9" t="s">
        <v>68</v>
      </c>
      <c r="F2214" s="9" t="s">
        <v>80</v>
      </c>
      <c r="G2214" s="9" t="s">
        <v>43</v>
      </c>
      <c r="H2214" s="9" t="s">
        <v>44</v>
      </c>
      <c r="I2214" s="11" t="s">
        <v>90</v>
      </c>
      <c r="J2214" s="9" t="s">
        <v>91</v>
      </c>
      <c r="K2214" s="9" t="s">
        <v>47</v>
      </c>
      <c r="L2214" s="9" t="s">
        <v>71</v>
      </c>
      <c r="M2214" s="9" t="s">
        <v>5079</v>
      </c>
      <c r="N2214" s="9" t="s">
        <v>50</v>
      </c>
      <c r="O2214" s="9" t="s">
        <v>51</v>
      </c>
      <c r="P2214" s="9" t="s">
        <v>273</v>
      </c>
      <c r="Q2214" s="9"/>
      <c r="R2214" s="9" t="s">
        <v>61</v>
      </c>
      <c r="S2214" s="14" t="s">
        <v>7725</v>
      </c>
      <c r="T2214" s="9" t="s">
        <v>7726</v>
      </c>
      <c r="U2214" s="9" t="s">
        <v>54</v>
      </c>
      <c r="V2214" s="9" t="s">
        <v>55</v>
      </c>
      <c r="W2214" s="9" t="s">
        <v>55</v>
      </c>
      <c r="X2214" s="12" t="s">
        <v>196</v>
      </c>
      <c r="Y2214" s="9" t="s">
        <v>197</v>
      </c>
      <c r="Z2214" s="13"/>
    </row>
    <row r="2215" spans="1:26" ht="32.25" hidden="1" customHeight="1">
      <c r="A2215" s="8">
        <v>2313261</v>
      </c>
      <c r="B2215" s="9" t="s">
        <v>7727</v>
      </c>
      <c r="C2215" s="10">
        <v>45136</v>
      </c>
      <c r="D2215" s="9" t="s">
        <v>1072</v>
      </c>
      <c r="E2215" s="9" t="s">
        <v>295</v>
      </c>
      <c r="F2215" s="9" t="s">
        <v>42</v>
      </c>
      <c r="G2215" s="9" t="s">
        <v>43</v>
      </c>
      <c r="H2215" s="9" t="s">
        <v>44</v>
      </c>
      <c r="I2215" s="11" t="s">
        <v>406</v>
      </c>
      <c r="J2215" s="9" t="s">
        <v>407</v>
      </c>
      <c r="K2215" s="9" t="s">
        <v>47</v>
      </c>
      <c r="L2215" s="9" t="s">
        <v>3005</v>
      </c>
      <c r="M2215" s="9" t="s">
        <v>3006</v>
      </c>
      <c r="N2215" s="9" t="s">
        <v>84</v>
      </c>
      <c r="O2215" s="9" t="s">
        <v>51</v>
      </c>
      <c r="P2215" s="9"/>
      <c r="Q2215" s="9"/>
      <c r="R2215" s="9" t="s">
        <v>61</v>
      </c>
      <c r="S2215" s="9" t="s">
        <v>7728</v>
      </c>
      <c r="T2215" s="9" t="s">
        <v>7729</v>
      </c>
      <c r="U2215" s="9" t="s">
        <v>54</v>
      </c>
      <c r="V2215" s="9" t="s">
        <v>55</v>
      </c>
      <c r="W2215" s="9" t="s">
        <v>55</v>
      </c>
      <c r="X2215" s="9" t="s">
        <v>319</v>
      </c>
      <c r="Y2215" s="9" t="s">
        <v>320</v>
      </c>
      <c r="Z2215" s="13"/>
    </row>
    <row r="2216" spans="1:26" ht="32.25" hidden="1" customHeight="1">
      <c r="A2216" s="8">
        <v>2303548</v>
      </c>
      <c r="B2216" s="9" t="s">
        <v>7730</v>
      </c>
      <c r="C2216" s="10">
        <v>45156</v>
      </c>
      <c r="D2216" s="9" t="s">
        <v>79</v>
      </c>
      <c r="E2216" s="9" t="s">
        <v>89</v>
      </c>
      <c r="F2216" s="9" t="s">
        <v>80</v>
      </c>
      <c r="G2216" s="9" t="s">
        <v>43</v>
      </c>
      <c r="H2216" s="9" t="s">
        <v>44</v>
      </c>
      <c r="I2216" s="11" t="s">
        <v>90</v>
      </c>
      <c r="J2216" s="9" t="s">
        <v>91</v>
      </c>
      <c r="K2216" s="9" t="s">
        <v>47</v>
      </c>
      <c r="L2216" s="9" t="s">
        <v>340</v>
      </c>
      <c r="M2216" s="9" t="s">
        <v>2384</v>
      </c>
      <c r="N2216" s="9" t="s">
        <v>50</v>
      </c>
      <c r="O2216" s="9" t="s">
        <v>51</v>
      </c>
      <c r="P2216" s="9" t="s">
        <v>546</v>
      </c>
      <c r="Q2216" s="9"/>
      <c r="R2216" s="9" t="s">
        <v>61</v>
      </c>
      <c r="S2216" s="14" t="s">
        <v>7731</v>
      </c>
      <c r="T2216" s="9" t="s">
        <v>7732</v>
      </c>
      <c r="U2216" s="9" t="s">
        <v>54</v>
      </c>
      <c r="V2216" s="9" t="s">
        <v>711</v>
      </c>
      <c r="W2216" s="9" t="s">
        <v>115</v>
      </c>
      <c r="X2216" s="12" t="s">
        <v>98</v>
      </c>
      <c r="Y2216" s="9" t="s">
        <v>99</v>
      </c>
      <c r="Z2216" s="13"/>
    </row>
    <row r="2217" spans="1:26" ht="32.25" hidden="1" customHeight="1">
      <c r="A2217" s="8">
        <v>2312496</v>
      </c>
      <c r="B2217" s="9" t="s">
        <v>7733</v>
      </c>
      <c r="C2217" s="10">
        <v>45149</v>
      </c>
      <c r="D2217" s="9" t="s">
        <v>261</v>
      </c>
      <c r="E2217" s="9" t="s">
        <v>89</v>
      </c>
      <c r="F2217" s="9" t="s">
        <v>262</v>
      </c>
      <c r="G2217" s="9" t="s">
        <v>43</v>
      </c>
      <c r="H2217" s="9" t="s">
        <v>44</v>
      </c>
      <c r="I2217" s="11" t="s">
        <v>685</v>
      </c>
      <c r="J2217" s="9" t="s">
        <v>686</v>
      </c>
      <c r="K2217" s="9" t="s">
        <v>47</v>
      </c>
      <c r="L2217" s="9" t="s">
        <v>48</v>
      </c>
      <c r="M2217" s="9" t="s">
        <v>1366</v>
      </c>
      <c r="N2217" s="9" t="s">
        <v>84</v>
      </c>
      <c r="O2217" s="9" t="s">
        <v>51</v>
      </c>
      <c r="P2217" s="9"/>
      <c r="Q2217" s="9"/>
      <c r="R2217" s="9"/>
      <c r="S2217" s="14" t="s">
        <v>7734</v>
      </c>
      <c r="T2217" s="9" t="s">
        <v>7735</v>
      </c>
      <c r="U2217" s="9" t="s">
        <v>262</v>
      </c>
      <c r="V2217" s="9" t="s">
        <v>55</v>
      </c>
      <c r="W2217" s="9" t="s">
        <v>55</v>
      </c>
      <c r="X2217" s="12"/>
      <c r="Y2217" s="9" t="s">
        <v>55</v>
      </c>
      <c r="Z2217" s="13"/>
    </row>
    <row r="2218" spans="1:26" ht="32.25" hidden="1" customHeight="1">
      <c r="A2218" s="8">
        <v>2305586</v>
      </c>
      <c r="B2218" s="9" t="s">
        <v>7736</v>
      </c>
      <c r="C2218" s="10">
        <v>45149</v>
      </c>
      <c r="D2218" s="9" t="s">
        <v>57</v>
      </c>
      <c r="E2218" s="9" t="s">
        <v>41</v>
      </c>
      <c r="F2218" s="9" t="s">
        <v>42</v>
      </c>
      <c r="G2218" s="9" t="s">
        <v>43</v>
      </c>
      <c r="H2218" s="9" t="s">
        <v>58</v>
      </c>
      <c r="I2218" s="11" t="s">
        <v>129</v>
      </c>
      <c r="J2218" s="9" t="s">
        <v>130</v>
      </c>
      <c r="K2218" s="9" t="s">
        <v>47</v>
      </c>
      <c r="L2218" s="9" t="s">
        <v>3911</v>
      </c>
      <c r="M2218" s="9" t="s">
        <v>3912</v>
      </c>
      <c r="N2218" s="9" t="s">
        <v>50</v>
      </c>
      <c r="O2218" s="9" t="s">
        <v>51</v>
      </c>
      <c r="P2218" s="9"/>
      <c r="Q2218" s="9"/>
      <c r="R2218" s="9" t="s">
        <v>61</v>
      </c>
      <c r="S2218" s="14" t="s">
        <v>7737</v>
      </c>
      <c r="T2218" s="9" t="s">
        <v>7738</v>
      </c>
      <c r="U2218" s="9" t="s">
        <v>54</v>
      </c>
      <c r="V2218" s="9" t="s">
        <v>55</v>
      </c>
      <c r="W2218" s="9" t="s">
        <v>55</v>
      </c>
      <c r="X2218" s="9" t="s">
        <v>98</v>
      </c>
      <c r="Y2218" s="9" t="s">
        <v>99</v>
      </c>
      <c r="Z2218" s="13" t="s">
        <v>230</v>
      </c>
    </row>
    <row r="2219" spans="1:26" ht="32.25" hidden="1" customHeight="1">
      <c r="A2219" s="8">
        <v>2302166</v>
      </c>
      <c r="B2219" s="9" t="s">
        <v>7739</v>
      </c>
      <c r="C2219" s="10">
        <v>45156</v>
      </c>
      <c r="D2219" s="9" t="s">
        <v>79</v>
      </c>
      <c r="E2219" s="9" t="s">
        <v>41</v>
      </c>
      <c r="F2219" s="9" t="s">
        <v>80</v>
      </c>
      <c r="G2219" s="9" t="s">
        <v>43</v>
      </c>
      <c r="H2219" s="9" t="s">
        <v>44</v>
      </c>
      <c r="I2219" s="11" t="s">
        <v>81</v>
      </c>
      <c r="J2219" s="9" t="s">
        <v>46</v>
      </c>
      <c r="K2219" s="9" t="s">
        <v>47</v>
      </c>
      <c r="L2219" s="9" t="s">
        <v>156</v>
      </c>
      <c r="M2219" s="9"/>
      <c r="N2219" s="9" t="s">
        <v>50</v>
      </c>
      <c r="O2219" s="9" t="s">
        <v>51</v>
      </c>
      <c r="P2219" s="9" t="s">
        <v>503</v>
      </c>
      <c r="Q2219" s="9"/>
      <c r="R2219" s="9"/>
      <c r="S2219" s="14" t="s">
        <v>7740</v>
      </c>
      <c r="T2219" s="9" t="s">
        <v>7741</v>
      </c>
      <c r="U2219" s="9" t="s">
        <v>54</v>
      </c>
      <c r="V2219" s="9"/>
      <c r="W2219" s="9" t="s">
        <v>115</v>
      </c>
      <c r="X2219" s="12"/>
      <c r="Y2219" s="9" t="s">
        <v>55</v>
      </c>
      <c r="Z2219" s="13"/>
    </row>
    <row r="2220" spans="1:26" ht="32.25" hidden="1" customHeight="1">
      <c r="A2220" s="8">
        <v>2312942</v>
      </c>
      <c r="B2220" s="9" t="s">
        <v>7742</v>
      </c>
      <c r="C2220" s="10">
        <v>45149</v>
      </c>
      <c r="D2220" s="9" t="s">
        <v>261</v>
      </c>
      <c r="E2220" s="9" t="s">
        <v>143</v>
      </c>
      <c r="F2220" s="9" t="s">
        <v>262</v>
      </c>
      <c r="G2220" s="9" t="s">
        <v>43</v>
      </c>
      <c r="H2220" s="9" t="s">
        <v>44</v>
      </c>
      <c r="I2220" s="11" t="s">
        <v>1620</v>
      </c>
      <c r="J2220" s="9" t="s">
        <v>1621</v>
      </c>
      <c r="K2220" s="9" t="s">
        <v>47</v>
      </c>
      <c r="L2220" s="9" t="s">
        <v>863</v>
      </c>
      <c r="M2220" s="9" t="s">
        <v>7743</v>
      </c>
      <c r="N2220" s="9" t="s">
        <v>84</v>
      </c>
      <c r="O2220" s="9" t="s">
        <v>51</v>
      </c>
      <c r="P2220" s="9"/>
      <c r="Q2220" s="9"/>
      <c r="R2220" s="9" t="s">
        <v>61</v>
      </c>
      <c r="S2220" s="14" t="s">
        <v>7744</v>
      </c>
      <c r="T2220" s="9" t="s">
        <v>7745</v>
      </c>
      <c r="U2220" s="9" t="s">
        <v>262</v>
      </c>
      <c r="V2220" s="9" t="s">
        <v>370</v>
      </c>
      <c r="W2220" s="9" t="s">
        <v>115</v>
      </c>
      <c r="X2220" s="12" t="s">
        <v>389</v>
      </c>
      <c r="Y2220" s="9" t="s">
        <v>390</v>
      </c>
      <c r="Z2220" s="13"/>
    </row>
    <row r="2221" spans="1:26" ht="32.25" hidden="1" customHeight="1">
      <c r="A2221" s="8">
        <v>2315607</v>
      </c>
      <c r="B2221" s="9" t="s">
        <v>7746</v>
      </c>
      <c r="C2221" s="10">
        <v>45155</v>
      </c>
      <c r="D2221" s="9" t="s">
        <v>2825</v>
      </c>
      <c r="E2221" s="9" t="s">
        <v>143</v>
      </c>
      <c r="F2221" s="9" t="s">
        <v>80</v>
      </c>
      <c r="G2221" s="9" t="s">
        <v>43</v>
      </c>
      <c r="H2221" s="9" t="s">
        <v>44</v>
      </c>
      <c r="I2221" s="11" t="s">
        <v>326</v>
      </c>
      <c r="J2221" s="9" t="s">
        <v>327</v>
      </c>
      <c r="K2221" s="9" t="s">
        <v>7747</v>
      </c>
      <c r="L2221" s="9"/>
      <c r="M2221" s="9" t="s">
        <v>7748</v>
      </c>
      <c r="N2221" s="9" t="s">
        <v>50</v>
      </c>
      <c r="O2221" s="9" t="s">
        <v>187</v>
      </c>
      <c r="P2221" s="9" t="s">
        <v>522</v>
      </c>
      <c r="Q2221" s="9"/>
      <c r="R2221" s="9" t="s">
        <v>61</v>
      </c>
      <c r="S2221" s="14" t="s">
        <v>641</v>
      </c>
      <c r="T2221" s="9" t="s">
        <v>7749</v>
      </c>
      <c r="U2221" s="9" t="s">
        <v>54</v>
      </c>
      <c r="V2221" s="9" t="s">
        <v>55</v>
      </c>
      <c r="W2221" s="9" t="s">
        <v>55</v>
      </c>
      <c r="X2221" s="12" t="s">
        <v>150</v>
      </c>
      <c r="Y2221" s="9" t="s">
        <v>151</v>
      </c>
      <c r="Z2221" s="13"/>
    </row>
    <row r="2222" spans="1:26" ht="32.25" hidden="1" customHeight="1">
      <c r="A2222" s="8">
        <v>2302023</v>
      </c>
      <c r="B2222" s="9" t="s">
        <v>7750</v>
      </c>
      <c r="C2222" s="10">
        <v>45149</v>
      </c>
      <c r="D2222" s="9" t="s">
        <v>57</v>
      </c>
      <c r="E2222" s="9" t="s">
        <v>41</v>
      </c>
      <c r="F2222" s="9" t="s">
        <v>42</v>
      </c>
      <c r="G2222" s="9" t="s">
        <v>43</v>
      </c>
      <c r="H2222" s="9" t="s">
        <v>58</v>
      </c>
      <c r="I2222" s="11" t="s">
        <v>1073</v>
      </c>
      <c r="J2222" s="9" t="s">
        <v>479</v>
      </c>
      <c r="K2222" s="9" t="s">
        <v>47</v>
      </c>
      <c r="L2222" s="9" t="s">
        <v>156</v>
      </c>
      <c r="M2222" s="9"/>
      <c r="N2222" s="9" t="s">
        <v>50</v>
      </c>
      <c r="O2222" s="9" t="s">
        <v>51</v>
      </c>
      <c r="P2222" s="9"/>
      <c r="Q2222" s="9"/>
      <c r="R2222" s="9"/>
      <c r="S2222" s="14" t="s">
        <v>7751</v>
      </c>
      <c r="T2222" s="9" t="s">
        <v>7752</v>
      </c>
      <c r="U2222" s="9" t="s">
        <v>54</v>
      </c>
      <c r="V2222" s="9" t="s">
        <v>55</v>
      </c>
      <c r="W2222" s="9" t="s">
        <v>55</v>
      </c>
      <c r="X2222" s="12"/>
      <c r="Y2222" s="9" t="s">
        <v>55</v>
      </c>
      <c r="Z2222" s="13"/>
    </row>
    <row r="2223" spans="1:26" ht="32.25" hidden="1" customHeight="1">
      <c r="A2223" s="8">
        <v>2313350</v>
      </c>
      <c r="B2223" s="9" t="s">
        <v>7753</v>
      </c>
      <c r="C2223" s="10">
        <v>45156</v>
      </c>
      <c r="D2223" s="9" t="s">
        <v>79</v>
      </c>
      <c r="E2223" s="9" t="s">
        <v>68</v>
      </c>
      <c r="F2223" s="9" t="s">
        <v>80</v>
      </c>
      <c r="G2223" s="9" t="s">
        <v>43</v>
      </c>
      <c r="H2223" s="9" t="s">
        <v>44</v>
      </c>
      <c r="I2223" s="11" t="s">
        <v>90</v>
      </c>
      <c r="J2223" s="9" t="s">
        <v>91</v>
      </c>
      <c r="K2223" s="9" t="s">
        <v>47</v>
      </c>
      <c r="L2223" s="9" t="s">
        <v>156</v>
      </c>
      <c r="M2223" s="9" t="s">
        <v>1352</v>
      </c>
      <c r="N2223" s="9" t="s">
        <v>84</v>
      </c>
      <c r="O2223" s="9" t="s">
        <v>51</v>
      </c>
      <c r="P2223" s="9" t="s">
        <v>273</v>
      </c>
      <c r="Q2223" s="9"/>
      <c r="R2223" s="9" t="s">
        <v>61</v>
      </c>
      <c r="S2223" s="14" t="s">
        <v>7754</v>
      </c>
      <c r="T2223" s="9" t="s">
        <v>7755</v>
      </c>
      <c r="U2223" s="9" t="s">
        <v>54</v>
      </c>
      <c r="V2223" s="9" t="s">
        <v>55</v>
      </c>
      <c r="W2223" s="9" t="s">
        <v>55</v>
      </c>
      <c r="X2223" s="12"/>
      <c r="Y2223" s="9" t="s">
        <v>55</v>
      </c>
      <c r="Z2223" s="13" t="s">
        <v>1220</v>
      </c>
    </row>
    <row r="2224" spans="1:26" ht="32.25" hidden="1" customHeight="1">
      <c r="A2224" s="8">
        <v>2308274</v>
      </c>
      <c r="B2224" s="9" t="s">
        <v>7756</v>
      </c>
      <c r="C2224" s="10">
        <v>45142</v>
      </c>
      <c r="D2224" s="9" t="s">
        <v>67</v>
      </c>
      <c r="E2224" s="9" t="s">
        <v>68</v>
      </c>
      <c r="F2224" s="9" t="s">
        <v>42</v>
      </c>
      <c r="G2224" s="9" t="s">
        <v>43</v>
      </c>
      <c r="H2224" s="9" t="s">
        <v>44</v>
      </c>
      <c r="I2224" s="11" t="s">
        <v>69</v>
      </c>
      <c r="J2224" s="9" t="s">
        <v>70</v>
      </c>
      <c r="K2224" s="9" t="s">
        <v>47</v>
      </c>
      <c r="L2224" s="9" t="s">
        <v>437</v>
      </c>
      <c r="M2224" s="9" t="s">
        <v>1707</v>
      </c>
      <c r="N2224" s="9" t="s">
        <v>50</v>
      </c>
      <c r="O2224" s="9" t="s">
        <v>51</v>
      </c>
      <c r="P2224" s="9" t="s">
        <v>73</v>
      </c>
      <c r="Q2224" s="9"/>
      <c r="R2224" s="9" t="s">
        <v>61</v>
      </c>
      <c r="S2224" s="9" t="s">
        <v>7757</v>
      </c>
      <c r="T2224" s="9" t="s">
        <v>7758</v>
      </c>
      <c r="U2224" s="9" t="s">
        <v>54</v>
      </c>
      <c r="V2224" s="9" t="s">
        <v>55</v>
      </c>
      <c r="W2224" s="9" t="s">
        <v>55</v>
      </c>
      <c r="X2224" s="12" t="s">
        <v>76</v>
      </c>
      <c r="Y2224" s="9" t="s">
        <v>77</v>
      </c>
      <c r="Z2224" s="13"/>
    </row>
    <row r="2225" spans="1:26" ht="32.25" hidden="1" customHeight="1">
      <c r="A2225" s="8">
        <v>2313480</v>
      </c>
      <c r="B2225" s="9" t="s">
        <v>7759</v>
      </c>
      <c r="C2225" s="10">
        <v>45149</v>
      </c>
      <c r="D2225" s="9" t="s">
        <v>57</v>
      </c>
      <c r="E2225" s="9" t="s">
        <v>41</v>
      </c>
      <c r="F2225" s="9" t="s">
        <v>42</v>
      </c>
      <c r="G2225" s="9" t="s">
        <v>43</v>
      </c>
      <c r="H2225" s="9" t="s">
        <v>58</v>
      </c>
      <c r="I2225" s="11" t="s">
        <v>45</v>
      </c>
      <c r="J2225" s="9" t="s">
        <v>46</v>
      </c>
      <c r="K2225" s="9" t="s">
        <v>47</v>
      </c>
      <c r="L2225" s="9" t="s">
        <v>425</v>
      </c>
      <c r="M2225" s="9" t="s">
        <v>2244</v>
      </c>
      <c r="N2225" s="9" t="s">
        <v>50</v>
      </c>
      <c r="O2225" s="9" t="s">
        <v>51</v>
      </c>
      <c r="P2225" s="9"/>
      <c r="Q2225" s="9"/>
      <c r="R2225" s="9" t="s">
        <v>61</v>
      </c>
      <c r="S2225" s="14" t="s">
        <v>7760</v>
      </c>
      <c r="T2225" s="9" t="s">
        <v>7761</v>
      </c>
      <c r="U2225" s="9" t="s">
        <v>54</v>
      </c>
      <c r="V2225" s="9" t="s">
        <v>55</v>
      </c>
      <c r="W2225" s="9" t="s">
        <v>55</v>
      </c>
      <c r="X2225" s="9" t="s">
        <v>64</v>
      </c>
      <c r="Y2225" s="9" t="s">
        <v>65</v>
      </c>
      <c r="Z2225" s="13"/>
    </row>
    <row r="2226" spans="1:26" ht="32.25" hidden="1" customHeight="1">
      <c r="A2226" s="8">
        <v>2306094</v>
      </c>
      <c r="B2226" s="9" t="s">
        <v>7762</v>
      </c>
      <c r="C2226" s="10">
        <v>45156</v>
      </c>
      <c r="D2226" s="9" t="s">
        <v>79</v>
      </c>
      <c r="E2226" s="9" t="s">
        <v>143</v>
      </c>
      <c r="F2226" s="9" t="s">
        <v>80</v>
      </c>
      <c r="G2226" s="9" t="s">
        <v>43</v>
      </c>
      <c r="H2226" s="9" t="s">
        <v>44</v>
      </c>
      <c r="I2226" s="11" t="s">
        <v>326</v>
      </c>
      <c r="J2226" s="9" t="s">
        <v>327</v>
      </c>
      <c r="K2226" s="9" t="s">
        <v>47</v>
      </c>
      <c r="L2226" s="9" t="s">
        <v>586</v>
      </c>
      <c r="M2226" s="9" t="s">
        <v>918</v>
      </c>
      <c r="N2226" s="9" t="s">
        <v>50</v>
      </c>
      <c r="O2226" s="9" t="s">
        <v>51</v>
      </c>
      <c r="P2226" s="9" t="s">
        <v>1117</v>
      </c>
      <c r="Q2226" s="9"/>
      <c r="R2226" s="9" t="s">
        <v>61</v>
      </c>
      <c r="S2226" s="14" t="s">
        <v>7763</v>
      </c>
      <c r="T2226" s="9" t="s">
        <v>7764</v>
      </c>
      <c r="U2226" s="9" t="s">
        <v>54</v>
      </c>
      <c r="V2226" s="9" t="s">
        <v>370</v>
      </c>
      <c r="W2226" s="9" t="s">
        <v>115</v>
      </c>
      <c r="X2226" s="12" t="s">
        <v>389</v>
      </c>
      <c r="Y2226" s="9" t="s">
        <v>390</v>
      </c>
      <c r="Z2226" s="13" t="s">
        <v>1399</v>
      </c>
    </row>
    <row r="2227" spans="1:26" ht="32.25" hidden="1" customHeight="1">
      <c r="A2227" s="8">
        <v>2305036</v>
      </c>
      <c r="B2227" s="9" t="s">
        <v>7765</v>
      </c>
      <c r="C2227" s="10">
        <v>45149</v>
      </c>
      <c r="D2227" s="9" t="s">
        <v>261</v>
      </c>
      <c r="E2227" s="9" t="s">
        <v>143</v>
      </c>
      <c r="F2227" s="9" t="s">
        <v>262</v>
      </c>
      <c r="G2227" s="9" t="s">
        <v>43</v>
      </c>
      <c r="H2227" s="9" t="s">
        <v>44</v>
      </c>
      <c r="I2227" s="11" t="s">
        <v>1136</v>
      </c>
      <c r="J2227" s="9" t="s">
        <v>1137</v>
      </c>
      <c r="K2227" s="9" t="s">
        <v>47</v>
      </c>
      <c r="L2227" s="9" t="s">
        <v>221</v>
      </c>
      <c r="M2227" s="9" t="s">
        <v>7766</v>
      </c>
      <c r="N2227" s="9" t="s">
        <v>50</v>
      </c>
      <c r="O2227" s="9" t="s">
        <v>51</v>
      </c>
      <c r="P2227" s="9"/>
      <c r="Q2227" s="9"/>
      <c r="R2227" s="9" t="s">
        <v>61</v>
      </c>
      <c r="S2227" s="14" t="s">
        <v>7767</v>
      </c>
      <c r="T2227" s="9" t="s">
        <v>7768</v>
      </c>
      <c r="U2227" s="9" t="s">
        <v>262</v>
      </c>
      <c r="V2227" s="9" t="s">
        <v>55</v>
      </c>
      <c r="W2227" s="9" t="s">
        <v>55</v>
      </c>
      <c r="X2227" s="12" t="s">
        <v>389</v>
      </c>
      <c r="Y2227" s="9" t="s">
        <v>390</v>
      </c>
      <c r="Z2227" s="13" t="s">
        <v>7769</v>
      </c>
    </row>
    <row r="2228" spans="1:26" ht="32.25" hidden="1" customHeight="1">
      <c r="A2228" s="8">
        <v>2302711</v>
      </c>
      <c r="B2228" s="9" t="s">
        <v>7770</v>
      </c>
      <c r="C2228" s="10">
        <v>45156</v>
      </c>
      <c r="D2228" s="9" t="s">
        <v>79</v>
      </c>
      <c r="E2228" s="9" t="s">
        <v>153</v>
      </c>
      <c r="F2228" s="9" t="s">
        <v>80</v>
      </c>
      <c r="G2228" s="9" t="s">
        <v>43</v>
      </c>
      <c r="H2228" s="9" t="s">
        <v>44</v>
      </c>
      <c r="I2228" s="11" t="s">
        <v>1588</v>
      </c>
      <c r="J2228" s="9" t="s">
        <v>155</v>
      </c>
      <c r="K2228" s="9" t="s">
        <v>47</v>
      </c>
      <c r="L2228" s="9" t="s">
        <v>305</v>
      </c>
      <c r="M2228" s="9" t="s">
        <v>306</v>
      </c>
      <c r="N2228" s="9" t="s">
        <v>84</v>
      </c>
      <c r="O2228" s="9" t="s">
        <v>51</v>
      </c>
      <c r="P2228" s="9" t="s">
        <v>2085</v>
      </c>
      <c r="Q2228" s="9"/>
      <c r="R2228" s="9" t="s">
        <v>61</v>
      </c>
      <c r="S2228" s="14" t="s">
        <v>7771</v>
      </c>
      <c r="T2228" s="9" t="s">
        <v>7772</v>
      </c>
      <c r="U2228" s="9" t="s">
        <v>54</v>
      </c>
      <c r="V2228" s="9" t="s">
        <v>3561</v>
      </c>
      <c r="W2228" s="9" t="s">
        <v>115</v>
      </c>
      <c r="X2228" s="12" t="s">
        <v>76</v>
      </c>
      <c r="Y2228" s="9" t="s">
        <v>77</v>
      </c>
      <c r="Z2228" s="13"/>
    </row>
    <row r="2229" spans="1:26" ht="32.25" hidden="1" customHeight="1">
      <c r="A2229" s="8">
        <v>2304451</v>
      </c>
      <c r="B2229" s="9" t="s">
        <v>7773</v>
      </c>
      <c r="C2229" s="10">
        <v>45136</v>
      </c>
      <c r="D2229" s="9" t="s">
        <v>1072</v>
      </c>
      <c r="E2229" s="9" t="s">
        <v>143</v>
      </c>
      <c r="F2229" s="9" t="s">
        <v>42</v>
      </c>
      <c r="G2229" s="9" t="s">
        <v>43</v>
      </c>
      <c r="H2229" s="9" t="s">
        <v>44</v>
      </c>
      <c r="I2229" s="11" t="s">
        <v>334</v>
      </c>
      <c r="J2229" s="9" t="s">
        <v>327</v>
      </c>
      <c r="K2229" s="9" t="s">
        <v>47</v>
      </c>
      <c r="L2229" s="9" t="s">
        <v>1924</v>
      </c>
      <c r="M2229" s="9" t="s">
        <v>6457</v>
      </c>
      <c r="N2229" s="9" t="s">
        <v>84</v>
      </c>
      <c r="O2229" s="9" t="s">
        <v>51</v>
      </c>
      <c r="P2229" s="9" t="s">
        <v>336</v>
      </c>
      <c r="Q2229" s="9"/>
      <c r="R2229" s="9" t="s">
        <v>61</v>
      </c>
      <c r="S2229" s="9" t="s">
        <v>7774</v>
      </c>
      <c r="T2229" s="9" t="s">
        <v>7775</v>
      </c>
      <c r="U2229" s="9" t="s">
        <v>54</v>
      </c>
      <c r="V2229" s="9" t="s">
        <v>55</v>
      </c>
      <c r="W2229" s="9" t="s">
        <v>55</v>
      </c>
      <c r="X2229" s="12" t="s">
        <v>150</v>
      </c>
      <c r="Y2229" s="9" t="s">
        <v>151</v>
      </c>
      <c r="Z2229" s="13"/>
    </row>
    <row r="2230" spans="1:26" ht="32.25" hidden="1" customHeight="1">
      <c r="A2230" s="8">
        <v>2310817</v>
      </c>
      <c r="B2230" s="9" t="s">
        <v>7776</v>
      </c>
      <c r="C2230" s="10">
        <v>45136</v>
      </c>
      <c r="D2230" s="9" t="s">
        <v>40</v>
      </c>
      <c r="E2230" s="9" t="s">
        <v>153</v>
      </c>
      <c r="F2230" s="9" t="s">
        <v>42</v>
      </c>
      <c r="G2230" s="9" t="s">
        <v>43</v>
      </c>
      <c r="H2230" s="9" t="s">
        <v>44</v>
      </c>
      <c r="I2230" s="11" t="s">
        <v>154</v>
      </c>
      <c r="J2230" s="9" t="s">
        <v>155</v>
      </c>
      <c r="K2230" s="9" t="s">
        <v>47</v>
      </c>
      <c r="L2230" s="9" t="s">
        <v>1333</v>
      </c>
      <c r="M2230" s="9" t="s">
        <v>1334</v>
      </c>
      <c r="N2230" s="9" t="s">
        <v>84</v>
      </c>
      <c r="O2230" s="9" t="s">
        <v>51</v>
      </c>
      <c r="P2230" s="9"/>
      <c r="Q2230" s="9"/>
      <c r="R2230" s="9" t="s">
        <v>61</v>
      </c>
      <c r="S2230" s="9" t="s">
        <v>7777</v>
      </c>
      <c r="T2230" s="9" t="s">
        <v>7778</v>
      </c>
      <c r="U2230" s="9" t="s">
        <v>54</v>
      </c>
      <c r="V2230" s="9" t="s">
        <v>55</v>
      </c>
      <c r="W2230" s="9" t="s">
        <v>55</v>
      </c>
      <c r="X2230" s="12" t="s">
        <v>171</v>
      </c>
      <c r="Y2230" s="9" t="s">
        <v>172</v>
      </c>
      <c r="Z2230" s="13"/>
    </row>
    <row r="2231" spans="1:26" ht="32.25" hidden="1" customHeight="1">
      <c r="A2231" s="8">
        <v>2310820</v>
      </c>
      <c r="B2231" s="9" t="s">
        <v>7779</v>
      </c>
      <c r="C2231" s="10">
        <v>45136</v>
      </c>
      <c r="D2231" s="9" t="s">
        <v>40</v>
      </c>
      <c r="E2231" s="9" t="s">
        <v>143</v>
      </c>
      <c r="F2231" s="9" t="s">
        <v>42</v>
      </c>
      <c r="G2231" s="9" t="s">
        <v>43</v>
      </c>
      <c r="H2231" s="9" t="s">
        <v>44</v>
      </c>
      <c r="I2231" s="11" t="s">
        <v>219</v>
      </c>
      <c r="J2231" s="9" t="s">
        <v>220</v>
      </c>
      <c r="K2231" s="9" t="s">
        <v>47</v>
      </c>
      <c r="L2231" s="9" t="s">
        <v>706</v>
      </c>
      <c r="M2231" s="9" t="s">
        <v>7780</v>
      </c>
      <c r="N2231" s="9" t="s">
        <v>50</v>
      </c>
      <c r="O2231" s="9" t="s">
        <v>51</v>
      </c>
      <c r="P2231" s="9"/>
      <c r="Q2231" s="9"/>
      <c r="R2231" s="9" t="s">
        <v>61</v>
      </c>
      <c r="S2231" s="9" t="s">
        <v>7781</v>
      </c>
      <c r="T2231" s="9" t="s">
        <v>7782</v>
      </c>
      <c r="U2231" s="9" t="s">
        <v>54</v>
      </c>
      <c r="V2231" s="9" t="s">
        <v>55</v>
      </c>
      <c r="W2231" s="9" t="s">
        <v>55</v>
      </c>
      <c r="X2231" s="12" t="s">
        <v>171</v>
      </c>
      <c r="Y2231" s="9" t="s">
        <v>172</v>
      </c>
      <c r="Z2231" s="13"/>
    </row>
    <row r="2232" spans="1:26" ht="32.25" hidden="1" customHeight="1">
      <c r="A2232" s="8">
        <v>2308153</v>
      </c>
      <c r="B2232" s="9" t="s">
        <v>7783</v>
      </c>
      <c r="C2232" s="10">
        <v>45142</v>
      </c>
      <c r="D2232" s="9" t="s">
        <v>67</v>
      </c>
      <c r="E2232" s="9" t="s">
        <v>68</v>
      </c>
      <c r="F2232" s="9" t="s">
        <v>135</v>
      </c>
      <c r="G2232" s="9" t="s">
        <v>43</v>
      </c>
      <c r="H2232" s="9" t="s">
        <v>44</v>
      </c>
      <c r="I2232" s="11" t="s">
        <v>136</v>
      </c>
      <c r="J2232" s="9" t="s">
        <v>137</v>
      </c>
      <c r="K2232" s="9" t="s">
        <v>47</v>
      </c>
      <c r="L2232" s="9" t="s">
        <v>156</v>
      </c>
      <c r="M2232" s="9"/>
      <c r="N2232" s="9" t="s">
        <v>84</v>
      </c>
      <c r="O2232" s="9" t="s">
        <v>51</v>
      </c>
      <c r="P2232" s="9"/>
      <c r="Q2232" s="9"/>
      <c r="R2232" s="9"/>
      <c r="S2232" s="9" t="s">
        <v>7784</v>
      </c>
      <c r="T2232" s="9" t="s">
        <v>7785</v>
      </c>
      <c r="U2232" s="9" t="s">
        <v>54</v>
      </c>
      <c r="V2232" s="9" t="s">
        <v>55</v>
      </c>
      <c r="W2232" s="9" t="s">
        <v>55</v>
      </c>
      <c r="X2232" s="12"/>
      <c r="Y2232" s="9" t="s">
        <v>55</v>
      </c>
      <c r="Z2232" s="13"/>
    </row>
    <row r="2233" spans="1:26" ht="32.25" hidden="1" customHeight="1">
      <c r="A2233" s="8">
        <v>2307260</v>
      </c>
      <c r="B2233" s="9" t="s">
        <v>7786</v>
      </c>
      <c r="C2233" s="10">
        <v>45142</v>
      </c>
      <c r="D2233" s="9" t="s">
        <v>67</v>
      </c>
      <c r="E2233" s="9" t="s">
        <v>41</v>
      </c>
      <c r="F2233" s="9" t="s">
        <v>42</v>
      </c>
      <c r="G2233" s="9" t="s">
        <v>43</v>
      </c>
      <c r="H2233" s="9" t="s">
        <v>44</v>
      </c>
      <c r="I2233" s="11" t="s">
        <v>199</v>
      </c>
      <c r="J2233" s="9" t="s">
        <v>200</v>
      </c>
      <c r="K2233" s="9" t="s">
        <v>47</v>
      </c>
      <c r="L2233" s="9" t="s">
        <v>221</v>
      </c>
      <c r="M2233" s="9" t="s">
        <v>1142</v>
      </c>
      <c r="N2233" s="9" t="s">
        <v>50</v>
      </c>
      <c r="O2233" s="9" t="s">
        <v>51</v>
      </c>
      <c r="P2233" s="9"/>
      <c r="Q2233" s="9"/>
      <c r="R2233" s="9"/>
      <c r="S2233" s="9" t="s">
        <v>7787</v>
      </c>
      <c r="T2233" s="9" t="s">
        <v>7788</v>
      </c>
      <c r="U2233" s="9" t="s">
        <v>54</v>
      </c>
      <c r="V2233" s="9" t="s">
        <v>55</v>
      </c>
      <c r="W2233" s="9" t="s">
        <v>55</v>
      </c>
      <c r="X2233" s="12"/>
      <c r="Y2233" s="9" t="s">
        <v>55</v>
      </c>
      <c r="Z2233" s="13"/>
    </row>
    <row r="2234" spans="1:26" ht="32.25" hidden="1" customHeight="1">
      <c r="A2234" s="8">
        <v>2303627</v>
      </c>
      <c r="B2234" s="9" t="s">
        <v>7789</v>
      </c>
      <c r="C2234" s="10">
        <v>45136</v>
      </c>
      <c r="D2234" s="9" t="s">
        <v>40</v>
      </c>
      <c r="E2234" s="9" t="s">
        <v>41</v>
      </c>
      <c r="F2234" s="9" t="s">
        <v>42</v>
      </c>
      <c r="G2234" s="9" t="s">
        <v>43</v>
      </c>
      <c r="H2234" s="9" t="s">
        <v>44</v>
      </c>
      <c r="I2234" s="11" t="s">
        <v>199</v>
      </c>
      <c r="J2234" s="9" t="s">
        <v>200</v>
      </c>
      <c r="K2234" s="9" t="s">
        <v>47</v>
      </c>
      <c r="L2234" s="9" t="s">
        <v>221</v>
      </c>
      <c r="M2234" s="9" t="s">
        <v>1451</v>
      </c>
      <c r="N2234" s="9" t="s">
        <v>84</v>
      </c>
      <c r="O2234" s="9" t="s">
        <v>51</v>
      </c>
      <c r="P2234" s="9"/>
      <c r="Q2234" s="9"/>
      <c r="R2234" s="9" t="s">
        <v>61</v>
      </c>
      <c r="S2234" s="9" t="s">
        <v>7790</v>
      </c>
      <c r="T2234" s="9" t="s">
        <v>7791</v>
      </c>
      <c r="U2234" s="9" t="s">
        <v>54</v>
      </c>
      <c r="V2234" s="9" t="s">
        <v>55</v>
      </c>
      <c r="W2234" s="9" t="s">
        <v>55</v>
      </c>
      <c r="X2234" s="12" t="s">
        <v>196</v>
      </c>
      <c r="Y2234" s="9" t="s">
        <v>197</v>
      </c>
      <c r="Z2234" s="13"/>
    </row>
    <row r="2235" spans="1:26" ht="32.25" hidden="1" customHeight="1">
      <c r="A2235" s="8">
        <v>2312775</v>
      </c>
      <c r="B2235" s="9" t="s">
        <v>7792</v>
      </c>
      <c r="C2235" s="10">
        <v>45142</v>
      </c>
      <c r="D2235" s="9" t="s">
        <v>232</v>
      </c>
      <c r="E2235" s="9" t="s">
        <v>143</v>
      </c>
      <c r="F2235" s="9" t="s">
        <v>80</v>
      </c>
      <c r="G2235" s="9" t="s">
        <v>43</v>
      </c>
      <c r="H2235" s="9" t="s">
        <v>44</v>
      </c>
      <c r="I2235" s="11" t="s">
        <v>399</v>
      </c>
      <c r="J2235" s="9" t="s">
        <v>400</v>
      </c>
      <c r="K2235" s="9" t="s">
        <v>5379</v>
      </c>
      <c r="L2235" s="9"/>
      <c r="M2235" s="9" t="s">
        <v>7793</v>
      </c>
      <c r="N2235" s="9" t="s">
        <v>50</v>
      </c>
      <c r="O2235" s="9" t="s">
        <v>187</v>
      </c>
      <c r="P2235" s="9" t="s">
        <v>402</v>
      </c>
      <c r="Q2235" s="9"/>
      <c r="R2235" s="9" t="s">
        <v>61</v>
      </c>
      <c r="S2235" s="9" t="s">
        <v>7794</v>
      </c>
      <c r="T2235" s="9" t="s">
        <v>7795</v>
      </c>
      <c r="U2235" s="9" t="s">
        <v>54</v>
      </c>
      <c r="V2235" s="9" t="s">
        <v>55</v>
      </c>
      <c r="W2235" s="9" t="s">
        <v>55</v>
      </c>
      <c r="X2235" s="12" t="s">
        <v>150</v>
      </c>
      <c r="Y2235" s="9" t="s">
        <v>151</v>
      </c>
      <c r="Z2235" s="13"/>
    </row>
    <row r="2236" spans="1:26" ht="32.25" hidden="1" customHeight="1">
      <c r="A2236" s="8">
        <v>2308290</v>
      </c>
      <c r="B2236" s="9" t="s">
        <v>7796</v>
      </c>
      <c r="C2236" s="10">
        <v>45136</v>
      </c>
      <c r="D2236" s="9" t="s">
        <v>40</v>
      </c>
      <c r="E2236" s="9" t="s">
        <v>41</v>
      </c>
      <c r="F2236" s="9" t="s">
        <v>42</v>
      </c>
      <c r="G2236" s="9" t="s">
        <v>43</v>
      </c>
      <c r="H2236" s="9" t="s">
        <v>44</v>
      </c>
      <c r="I2236" s="11" t="s">
        <v>45</v>
      </c>
      <c r="J2236" s="9" t="s">
        <v>46</v>
      </c>
      <c r="K2236" s="9" t="s">
        <v>47</v>
      </c>
      <c r="L2236" s="9" t="s">
        <v>713</v>
      </c>
      <c r="M2236" s="9" t="s">
        <v>3213</v>
      </c>
      <c r="N2236" s="9" t="s">
        <v>50</v>
      </c>
      <c r="O2236" s="9" t="s">
        <v>51</v>
      </c>
      <c r="P2236" s="9"/>
      <c r="Q2236" s="9"/>
      <c r="R2236" s="9" t="s">
        <v>61</v>
      </c>
      <c r="S2236" s="9" t="s">
        <v>7797</v>
      </c>
      <c r="T2236" s="9" t="s">
        <v>7798</v>
      </c>
      <c r="U2236" s="9" t="s">
        <v>54</v>
      </c>
      <c r="V2236" s="9" t="s">
        <v>55</v>
      </c>
      <c r="W2236" s="9" t="s">
        <v>55</v>
      </c>
      <c r="X2236" s="9" t="s">
        <v>64</v>
      </c>
      <c r="Y2236" s="9" t="s">
        <v>65</v>
      </c>
      <c r="Z2236" s="13"/>
    </row>
    <row r="2237" spans="1:26" ht="32.25" hidden="1" customHeight="1">
      <c r="A2237" s="8">
        <v>2301792</v>
      </c>
      <c r="B2237" s="9" t="s">
        <v>7799</v>
      </c>
      <c r="C2237" s="10">
        <v>45149</v>
      </c>
      <c r="D2237" s="9" t="s">
        <v>57</v>
      </c>
      <c r="E2237" s="9" t="s">
        <v>41</v>
      </c>
      <c r="F2237" s="9" t="s">
        <v>42</v>
      </c>
      <c r="G2237" s="9" t="s">
        <v>43</v>
      </c>
      <c r="H2237" s="9" t="s">
        <v>58</v>
      </c>
      <c r="I2237" s="11" t="s">
        <v>199</v>
      </c>
      <c r="J2237" s="9" t="s">
        <v>200</v>
      </c>
      <c r="K2237" s="9" t="s">
        <v>47</v>
      </c>
      <c r="L2237" s="9" t="s">
        <v>48</v>
      </c>
      <c r="M2237" s="9" t="s">
        <v>1447</v>
      </c>
      <c r="N2237" s="9" t="s">
        <v>50</v>
      </c>
      <c r="O2237" s="9" t="s">
        <v>51</v>
      </c>
      <c r="P2237" s="9"/>
      <c r="Q2237" s="9"/>
      <c r="R2237" s="9"/>
      <c r="S2237" s="14" t="s">
        <v>7800</v>
      </c>
      <c r="T2237" s="9" t="s">
        <v>7801</v>
      </c>
      <c r="U2237" s="9" t="s">
        <v>54</v>
      </c>
      <c r="V2237" s="9" t="s">
        <v>55</v>
      </c>
      <c r="W2237" s="9" t="s">
        <v>55</v>
      </c>
      <c r="X2237" s="12"/>
      <c r="Y2237" s="9" t="s">
        <v>55</v>
      </c>
      <c r="Z2237" s="13"/>
    </row>
    <row r="2238" spans="1:26" ht="32.25" hidden="1" customHeight="1">
      <c r="A2238" s="8">
        <v>2302313</v>
      </c>
      <c r="B2238" s="9" t="s">
        <v>7802</v>
      </c>
      <c r="C2238" s="10">
        <v>45149</v>
      </c>
      <c r="D2238" s="9" t="s">
        <v>57</v>
      </c>
      <c r="E2238" s="9" t="s">
        <v>41</v>
      </c>
      <c r="F2238" s="9" t="s">
        <v>42</v>
      </c>
      <c r="G2238" s="9" t="s">
        <v>43</v>
      </c>
      <c r="H2238" s="9" t="s">
        <v>58</v>
      </c>
      <c r="I2238" s="11" t="s">
        <v>45</v>
      </c>
      <c r="J2238" s="9" t="s">
        <v>46</v>
      </c>
      <c r="K2238" s="9" t="s">
        <v>47</v>
      </c>
      <c r="L2238" s="9" t="s">
        <v>48</v>
      </c>
      <c r="M2238" s="9" t="s">
        <v>1166</v>
      </c>
      <c r="N2238" s="9" t="s">
        <v>84</v>
      </c>
      <c r="O2238" s="9" t="s">
        <v>51</v>
      </c>
      <c r="P2238" s="9"/>
      <c r="Q2238" s="9"/>
      <c r="R2238" s="9" t="s">
        <v>61</v>
      </c>
      <c r="S2238" s="14" t="s">
        <v>7803</v>
      </c>
      <c r="T2238" s="9" t="s">
        <v>7804</v>
      </c>
      <c r="U2238" s="9" t="s">
        <v>54</v>
      </c>
      <c r="V2238" s="9" t="s">
        <v>55</v>
      </c>
      <c r="W2238" s="9" t="s">
        <v>55</v>
      </c>
      <c r="X2238" s="9" t="s">
        <v>196</v>
      </c>
      <c r="Y2238" s="9" t="s">
        <v>197</v>
      </c>
      <c r="Z2238" s="13"/>
    </row>
    <row r="2239" spans="1:26" ht="32.25" hidden="1" customHeight="1">
      <c r="A2239" s="8">
        <v>2314856</v>
      </c>
      <c r="B2239" s="9" t="s">
        <v>7805</v>
      </c>
      <c r="C2239" s="10">
        <v>45156</v>
      </c>
      <c r="D2239" s="9" t="s">
        <v>79</v>
      </c>
      <c r="E2239" s="9" t="s">
        <v>41</v>
      </c>
      <c r="F2239" s="9" t="s">
        <v>80</v>
      </c>
      <c r="G2239" s="9" t="s">
        <v>43</v>
      </c>
      <c r="H2239" s="9" t="s">
        <v>44</v>
      </c>
      <c r="I2239" s="11" t="s">
        <v>81</v>
      </c>
      <c r="J2239" s="9" t="s">
        <v>46</v>
      </c>
      <c r="K2239" s="9" t="s">
        <v>47</v>
      </c>
      <c r="L2239" s="9" t="s">
        <v>156</v>
      </c>
      <c r="M2239" s="9"/>
      <c r="N2239" s="9" t="s">
        <v>50</v>
      </c>
      <c r="O2239" s="9" t="s">
        <v>51</v>
      </c>
      <c r="P2239" s="9" t="s">
        <v>503</v>
      </c>
      <c r="Q2239" s="9"/>
      <c r="R2239" s="9" t="s">
        <v>61</v>
      </c>
      <c r="S2239" s="14" t="s">
        <v>7806</v>
      </c>
      <c r="T2239" s="9" t="s">
        <v>7807</v>
      </c>
      <c r="U2239" s="9" t="s">
        <v>54</v>
      </c>
      <c r="V2239" s="9" t="s">
        <v>55</v>
      </c>
      <c r="W2239" s="9" t="s">
        <v>55</v>
      </c>
      <c r="X2239" s="9"/>
      <c r="Y2239" s="9" t="s">
        <v>55</v>
      </c>
      <c r="Z2239" s="13" t="s">
        <v>1220</v>
      </c>
    </row>
    <row r="2240" spans="1:26" ht="32.25" hidden="1" customHeight="1">
      <c r="A2240" s="8">
        <v>2303143</v>
      </c>
      <c r="B2240" s="9" t="s">
        <v>7808</v>
      </c>
      <c r="C2240" s="10">
        <v>45149</v>
      </c>
      <c r="D2240" s="9" t="s">
        <v>57</v>
      </c>
      <c r="E2240" s="9" t="s">
        <v>41</v>
      </c>
      <c r="F2240" s="9" t="s">
        <v>42</v>
      </c>
      <c r="G2240" s="9" t="s">
        <v>43</v>
      </c>
      <c r="H2240" s="9" t="s">
        <v>58</v>
      </c>
      <c r="I2240" s="11" t="s">
        <v>45</v>
      </c>
      <c r="J2240" s="9" t="s">
        <v>46</v>
      </c>
      <c r="K2240" s="9" t="s">
        <v>47</v>
      </c>
      <c r="L2240" s="9" t="s">
        <v>156</v>
      </c>
      <c r="M2240" s="9" t="s">
        <v>832</v>
      </c>
      <c r="N2240" s="9" t="s">
        <v>50</v>
      </c>
      <c r="O2240" s="9" t="s">
        <v>51</v>
      </c>
      <c r="P2240" s="9"/>
      <c r="Q2240" s="9"/>
      <c r="R2240" s="9"/>
      <c r="S2240" s="14" t="s">
        <v>7809</v>
      </c>
      <c r="T2240" s="9" t="s">
        <v>7810</v>
      </c>
      <c r="U2240" s="9" t="s">
        <v>54</v>
      </c>
      <c r="V2240" s="9" t="s">
        <v>55</v>
      </c>
      <c r="W2240" s="9" t="s">
        <v>55</v>
      </c>
      <c r="X2240" s="12"/>
      <c r="Y2240" s="9" t="s">
        <v>55</v>
      </c>
      <c r="Z2240" s="13"/>
    </row>
    <row r="2241" spans="1:26" ht="32.25" hidden="1" customHeight="1">
      <c r="A2241" s="8">
        <v>2306405</v>
      </c>
      <c r="B2241" s="9" t="s">
        <v>7811</v>
      </c>
      <c r="C2241" s="10">
        <v>45136</v>
      </c>
      <c r="D2241" s="9" t="s">
        <v>2840</v>
      </c>
      <c r="E2241" s="9" t="s">
        <v>68</v>
      </c>
      <c r="F2241" s="9" t="s">
        <v>135</v>
      </c>
      <c r="G2241" s="9" t="s">
        <v>43</v>
      </c>
      <c r="H2241" s="9" t="s">
        <v>44</v>
      </c>
      <c r="I2241" s="11" t="s">
        <v>136</v>
      </c>
      <c r="J2241" s="9" t="s">
        <v>137</v>
      </c>
      <c r="K2241" s="9" t="s">
        <v>47</v>
      </c>
      <c r="L2241" s="9" t="s">
        <v>48</v>
      </c>
      <c r="M2241" s="9" t="s">
        <v>1985</v>
      </c>
      <c r="N2241" s="9" t="s">
        <v>84</v>
      </c>
      <c r="O2241" s="9" t="s">
        <v>51</v>
      </c>
      <c r="P2241" s="9"/>
      <c r="Q2241" s="9"/>
      <c r="R2241" s="9" t="s">
        <v>61</v>
      </c>
      <c r="S2241" s="9" t="s">
        <v>7812</v>
      </c>
      <c r="T2241" s="9" t="s">
        <v>7813</v>
      </c>
      <c r="U2241" s="9" t="s">
        <v>54</v>
      </c>
      <c r="V2241" s="9" t="s">
        <v>55</v>
      </c>
      <c r="W2241" s="9" t="s">
        <v>55</v>
      </c>
      <c r="X2241" s="12" t="s">
        <v>76</v>
      </c>
      <c r="Y2241" s="9" t="s">
        <v>77</v>
      </c>
      <c r="Z2241" s="13"/>
    </row>
    <row r="2242" spans="1:26" ht="32.25" hidden="1" customHeight="1">
      <c r="A2242" s="8">
        <v>2311330</v>
      </c>
      <c r="B2242" s="9" t="s">
        <v>7814</v>
      </c>
      <c r="C2242" s="10">
        <v>45142</v>
      </c>
      <c r="D2242" s="9" t="s">
        <v>67</v>
      </c>
      <c r="E2242" s="9" t="s">
        <v>68</v>
      </c>
      <c r="F2242" s="9" t="s">
        <v>135</v>
      </c>
      <c r="G2242" s="9" t="s">
        <v>43</v>
      </c>
      <c r="H2242" s="9" t="s">
        <v>44</v>
      </c>
      <c r="I2242" s="11" t="s">
        <v>136</v>
      </c>
      <c r="J2242" s="9" t="s">
        <v>137</v>
      </c>
      <c r="K2242" s="9" t="s">
        <v>47</v>
      </c>
      <c r="L2242" s="9" t="s">
        <v>48</v>
      </c>
      <c r="M2242" s="9"/>
      <c r="N2242" s="9" t="s">
        <v>84</v>
      </c>
      <c r="O2242" s="9" t="s">
        <v>51</v>
      </c>
      <c r="P2242" s="9"/>
      <c r="Q2242" s="9"/>
      <c r="R2242" s="9" t="s">
        <v>61</v>
      </c>
      <c r="S2242" s="9" t="s">
        <v>7815</v>
      </c>
      <c r="T2242" s="9" t="s">
        <v>7816</v>
      </c>
      <c r="U2242" s="9" t="s">
        <v>54</v>
      </c>
      <c r="V2242" s="9" t="s">
        <v>55</v>
      </c>
      <c r="W2242" s="9" t="s">
        <v>55</v>
      </c>
      <c r="X2242" s="12" t="s">
        <v>76</v>
      </c>
      <c r="Y2242" s="9" t="s">
        <v>77</v>
      </c>
      <c r="Z2242" s="13"/>
    </row>
    <row r="2243" spans="1:26" ht="32.25" hidden="1" customHeight="1">
      <c r="A2243" s="8">
        <v>2301658</v>
      </c>
      <c r="B2243" s="9" t="s">
        <v>7817</v>
      </c>
      <c r="C2243" s="10">
        <v>45156</v>
      </c>
      <c r="D2243" s="9" t="s">
        <v>79</v>
      </c>
      <c r="E2243" s="9" t="s">
        <v>89</v>
      </c>
      <c r="F2243" s="9" t="s">
        <v>80</v>
      </c>
      <c r="G2243" s="9" t="s">
        <v>43</v>
      </c>
      <c r="H2243" s="9" t="s">
        <v>44</v>
      </c>
      <c r="I2243" s="11" t="s">
        <v>101</v>
      </c>
      <c r="J2243" s="9" t="s">
        <v>102</v>
      </c>
      <c r="K2243" s="9" t="s">
        <v>47</v>
      </c>
      <c r="L2243" s="9" t="s">
        <v>48</v>
      </c>
      <c r="M2243" s="9" t="s">
        <v>5614</v>
      </c>
      <c r="N2243" s="9" t="s">
        <v>50</v>
      </c>
      <c r="O2243" s="9" t="s">
        <v>51</v>
      </c>
      <c r="P2243" s="9" t="s">
        <v>212</v>
      </c>
      <c r="Q2243" s="9"/>
      <c r="R2243" s="9"/>
      <c r="S2243" s="14" t="s">
        <v>7818</v>
      </c>
      <c r="T2243" s="9" t="s">
        <v>7819</v>
      </c>
      <c r="U2243" s="9" t="s">
        <v>54</v>
      </c>
      <c r="V2243" s="9" t="s">
        <v>55</v>
      </c>
      <c r="W2243" s="9" t="s">
        <v>55</v>
      </c>
      <c r="X2243" s="12"/>
      <c r="Y2243" s="9" t="s">
        <v>55</v>
      </c>
      <c r="Z2243" s="13"/>
    </row>
    <row r="2244" spans="1:26" ht="32.25" hidden="1" customHeight="1">
      <c r="A2244" s="8">
        <v>2302727</v>
      </c>
      <c r="B2244" s="9" t="s">
        <v>7820</v>
      </c>
      <c r="C2244" s="10">
        <v>45156</v>
      </c>
      <c r="D2244" s="9" t="s">
        <v>79</v>
      </c>
      <c r="E2244" s="9" t="s">
        <v>89</v>
      </c>
      <c r="F2244" s="9" t="s">
        <v>80</v>
      </c>
      <c r="G2244" s="9" t="s">
        <v>43</v>
      </c>
      <c r="H2244" s="9" t="s">
        <v>44</v>
      </c>
      <c r="I2244" s="11" t="s">
        <v>101</v>
      </c>
      <c r="J2244" s="9" t="s">
        <v>102</v>
      </c>
      <c r="K2244" s="9" t="s">
        <v>47</v>
      </c>
      <c r="L2244" s="9" t="s">
        <v>48</v>
      </c>
      <c r="M2244" s="9" t="s">
        <v>7821</v>
      </c>
      <c r="N2244" s="9" t="s">
        <v>84</v>
      </c>
      <c r="O2244" s="9" t="s">
        <v>51</v>
      </c>
      <c r="P2244" s="9" t="s">
        <v>104</v>
      </c>
      <c r="Q2244" s="9"/>
      <c r="R2244" s="9" t="s">
        <v>61</v>
      </c>
      <c r="S2244" s="14" t="s">
        <v>7822</v>
      </c>
      <c r="T2244" s="9" t="s">
        <v>7823</v>
      </c>
      <c r="U2244" s="9" t="s">
        <v>54</v>
      </c>
      <c r="V2244" s="9" t="s">
        <v>3561</v>
      </c>
      <c r="W2244" s="9" t="s">
        <v>115</v>
      </c>
      <c r="X2244" s="12" t="s">
        <v>76</v>
      </c>
      <c r="Y2244" s="9" t="s">
        <v>77</v>
      </c>
      <c r="Z2244" s="13"/>
    </row>
    <row r="2245" spans="1:26" ht="32.25" hidden="1" customHeight="1">
      <c r="A2245" s="8">
        <v>2301512</v>
      </c>
      <c r="B2245" s="9" t="s">
        <v>7824</v>
      </c>
      <c r="C2245" s="10">
        <v>45149</v>
      </c>
      <c r="D2245" s="9" t="s">
        <v>57</v>
      </c>
      <c r="E2245" s="9" t="s">
        <v>41</v>
      </c>
      <c r="F2245" s="9" t="s">
        <v>42</v>
      </c>
      <c r="G2245" s="9" t="s">
        <v>43</v>
      </c>
      <c r="H2245" s="9" t="s">
        <v>58</v>
      </c>
      <c r="I2245" s="11" t="s">
        <v>129</v>
      </c>
      <c r="J2245" s="9" t="s">
        <v>130</v>
      </c>
      <c r="K2245" s="9" t="s">
        <v>47</v>
      </c>
      <c r="L2245" s="9" t="s">
        <v>553</v>
      </c>
      <c r="M2245" s="9" t="s">
        <v>933</v>
      </c>
      <c r="N2245" s="9" t="s">
        <v>84</v>
      </c>
      <c r="O2245" s="9" t="s">
        <v>51</v>
      </c>
      <c r="P2245" s="9"/>
      <c r="Q2245" s="9"/>
      <c r="R2245" s="9" t="s">
        <v>61</v>
      </c>
      <c r="S2245" s="14" t="s">
        <v>7825</v>
      </c>
      <c r="T2245" s="9" t="s">
        <v>7826</v>
      </c>
      <c r="U2245" s="9" t="s">
        <v>54</v>
      </c>
      <c r="V2245" s="9" t="s">
        <v>55</v>
      </c>
      <c r="W2245" s="9" t="s">
        <v>55</v>
      </c>
      <c r="X2245" s="9" t="s">
        <v>196</v>
      </c>
      <c r="Y2245" s="9" t="s">
        <v>197</v>
      </c>
      <c r="Z2245" s="13" t="s">
        <v>230</v>
      </c>
    </row>
    <row r="2246" spans="1:26" ht="32.25" hidden="1" customHeight="1">
      <c r="A2246" s="8">
        <v>2303522</v>
      </c>
      <c r="B2246" s="9" t="s">
        <v>7827</v>
      </c>
      <c r="C2246" s="10">
        <v>45136</v>
      </c>
      <c r="D2246" s="9" t="s">
        <v>1072</v>
      </c>
      <c r="E2246" s="9" t="s">
        <v>143</v>
      </c>
      <c r="F2246" s="9" t="s">
        <v>42</v>
      </c>
      <c r="G2246" s="9" t="s">
        <v>43</v>
      </c>
      <c r="H2246" s="9" t="s">
        <v>44</v>
      </c>
      <c r="I2246" s="11" t="s">
        <v>334</v>
      </c>
      <c r="J2246" s="9" t="s">
        <v>327</v>
      </c>
      <c r="K2246" s="9" t="s">
        <v>47</v>
      </c>
      <c r="L2246" s="9" t="s">
        <v>156</v>
      </c>
      <c r="M2246" s="9"/>
      <c r="N2246" s="9" t="s">
        <v>84</v>
      </c>
      <c r="O2246" s="9" t="s">
        <v>51</v>
      </c>
      <c r="P2246" s="9" t="s">
        <v>336</v>
      </c>
      <c r="Q2246" s="9"/>
      <c r="R2246" s="9"/>
      <c r="S2246" s="9" t="s">
        <v>7828</v>
      </c>
      <c r="T2246" s="9" t="s">
        <v>7829</v>
      </c>
      <c r="U2246" s="9" t="s">
        <v>54</v>
      </c>
      <c r="V2246" s="9" t="s">
        <v>55</v>
      </c>
      <c r="W2246" s="9" t="s">
        <v>55</v>
      </c>
      <c r="X2246" s="12"/>
      <c r="Y2246" s="9" t="s">
        <v>55</v>
      </c>
      <c r="Z2246" s="13"/>
    </row>
    <row r="2247" spans="1:26" ht="32.25" hidden="1" customHeight="1">
      <c r="A2247" s="8">
        <v>2310563</v>
      </c>
      <c r="B2247" s="9" t="s">
        <v>7830</v>
      </c>
      <c r="C2247" s="10">
        <v>45156</v>
      </c>
      <c r="D2247" s="9" t="s">
        <v>565</v>
      </c>
      <c r="E2247" s="9" t="s">
        <v>41</v>
      </c>
      <c r="F2247" s="9" t="s">
        <v>42</v>
      </c>
      <c r="G2247" s="9" t="s">
        <v>43</v>
      </c>
      <c r="H2247" s="9" t="s">
        <v>58</v>
      </c>
      <c r="I2247" s="11" t="s">
        <v>45</v>
      </c>
      <c r="J2247" s="9" t="s">
        <v>46</v>
      </c>
      <c r="K2247" s="9" t="s">
        <v>47</v>
      </c>
      <c r="L2247" s="9" t="s">
        <v>48</v>
      </c>
      <c r="M2247" s="9" t="s">
        <v>7831</v>
      </c>
      <c r="N2247" s="9" t="s">
        <v>84</v>
      </c>
      <c r="O2247" s="9" t="s">
        <v>51</v>
      </c>
      <c r="P2247" s="9"/>
      <c r="Q2247" s="9"/>
      <c r="R2247" s="9"/>
      <c r="S2247" s="14" t="s">
        <v>7832</v>
      </c>
      <c r="T2247" s="9" t="s">
        <v>7833</v>
      </c>
      <c r="U2247" s="9" t="s">
        <v>54</v>
      </c>
      <c r="V2247" s="9" t="s">
        <v>55</v>
      </c>
      <c r="W2247" s="9" t="s">
        <v>55</v>
      </c>
      <c r="X2247" s="12"/>
      <c r="Y2247" s="9" t="s">
        <v>55</v>
      </c>
      <c r="Z2247" s="13"/>
    </row>
    <row r="2248" spans="1:26" ht="32.25" hidden="1" customHeight="1">
      <c r="A2248" s="8">
        <v>2305249</v>
      </c>
      <c r="B2248" s="9" t="s">
        <v>7834</v>
      </c>
      <c r="C2248" s="10">
        <v>45136</v>
      </c>
      <c r="D2248" s="9" t="s">
        <v>40</v>
      </c>
      <c r="E2248" s="9" t="s">
        <v>143</v>
      </c>
      <c r="F2248" s="9" t="s">
        <v>42</v>
      </c>
      <c r="G2248" s="9" t="s">
        <v>43</v>
      </c>
      <c r="H2248" s="9" t="s">
        <v>44</v>
      </c>
      <c r="I2248" s="11" t="s">
        <v>219</v>
      </c>
      <c r="J2248" s="9" t="s">
        <v>220</v>
      </c>
      <c r="K2248" s="9" t="s">
        <v>47</v>
      </c>
      <c r="L2248" s="9" t="s">
        <v>799</v>
      </c>
      <c r="M2248" s="9" t="s">
        <v>800</v>
      </c>
      <c r="N2248" s="9" t="s">
        <v>50</v>
      </c>
      <c r="O2248" s="9" t="s">
        <v>51</v>
      </c>
      <c r="P2248" s="9"/>
      <c r="Q2248" s="9"/>
      <c r="R2248" s="9" t="s">
        <v>61</v>
      </c>
      <c r="S2248" s="9" t="s">
        <v>7835</v>
      </c>
      <c r="T2248" s="9" t="s">
        <v>7836</v>
      </c>
      <c r="U2248" s="9" t="s">
        <v>54</v>
      </c>
      <c r="V2248" s="9" t="s">
        <v>55</v>
      </c>
      <c r="W2248" s="9" t="s">
        <v>55</v>
      </c>
      <c r="X2248" s="12" t="s">
        <v>171</v>
      </c>
      <c r="Y2248" s="9" t="s">
        <v>172</v>
      </c>
      <c r="Z2248" s="13"/>
    </row>
    <row r="2249" spans="1:26" ht="32.25" hidden="1" customHeight="1">
      <c r="A2249" s="8">
        <v>2313128</v>
      </c>
      <c r="B2249" s="9" t="s">
        <v>7837</v>
      </c>
      <c r="C2249" s="10">
        <v>45156</v>
      </c>
      <c r="D2249" s="9" t="s">
        <v>79</v>
      </c>
      <c r="E2249" s="9" t="s">
        <v>41</v>
      </c>
      <c r="F2249" s="9" t="s">
        <v>80</v>
      </c>
      <c r="G2249" s="9" t="s">
        <v>43</v>
      </c>
      <c r="H2249" s="9" t="s">
        <v>44</v>
      </c>
      <c r="I2249" s="11" t="s">
        <v>478</v>
      </c>
      <c r="J2249" s="9" t="s">
        <v>479</v>
      </c>
      <c r="K2249" s="9" t="s">
        <v>47</v>
      </c>
      <c r="L2249" s="9" t="s">
        <v>156</v>
      </c>
      <c r="M2249" s="9"/>
      <c r="N2249" s="9" t="s">
        <v>50</v>
      </c>
      <c r="O2249" s="9" t="s">
        <v>51</v>
      </c>
      <c r="P2249" s="9" t="s">
        <v>482</v>
      </c>
      <c r="Q2249" s="9"/>
      <c r="R2249" s="9"/>
      <c r="S2249" s="14" t="s">
        <v>7838</v>
      </c>
      <c r="T2249" s="9" t="s">
        <v>7839</v>
      </c>
      <c r="U2249" s="9" t="s">
        <v>54</v>
      </c>
      <c r="V2249" s="9" t="s">
        <v>55</v>
      </c>
      <c r="W2249" s="9" t="s">
        <v>55</v>
      </c>
      <c r="X2249" s="12"/>
      <c r="Y2249" s="9" t="s">
        <v>55</v>
      </c>
      <c r="Z2249" s="13"/>
    </row>
    <row r="2250" spans="1:26" ht="32.25" hidden="1" customHeight="1">
      <c r="A2250" s="8">
        <v>2302661</v>
      </c>
      <c r="B2250" s="9" t="s">
        <v>7840</v>
      </c>
      <c r="C2250" s="10">
        <v>45149</v>
      </c>
      <c r="D2250" s="9" t="s">
        <v>57</v>
      </c>
      <c r="E2250" s="9" t="s">
        <v>41</v>
      </c>
      <c r="F2250" s="9" t="s">
        <v>42</v>
      </c>
      <c r="G2250" s="9" t="s">
        <v>43</v>
      </c>
      <c r="H2250" s="9" t="s">
        <v>58</v>
      </c>
      <c r="I2250" s="11" t="s">
        <v>129</v>
      </c>
      <c r="J2250" s="9" t="s">
        <v>130</v>
      </c>
      <c r="K2250" s="9" t="s">
        <v>47</v>
      </c>
      <c r="L2250" s="9" t="s">
        <v>48</v>
      </c>
      <c r="M2250" s="9" t="s">
        <v>372</v>
      </c>
      <c r="N2250" s="9" t="s">
        <v>50</v>
      </c>
      <c r="O2250" s="9" t="s">
        <v>51</v>
      </c>
      <c r="P2250" s="9"/>
      <c r="Q2250" s="9"/>
      <c r="R2250" s="9" t="s">
        <v>61</v>
      </c>
      <c r="S2250" s="14" t="s">
        <v>7841</v>
      </c>
      <c r="T2250" s="9" t="s">
        <v>7842</v>
      </c>
      <c r="U2250" s="9" t="s">
        <v>54</v>
      </c>
      <c r="V2250" s="9" t="s">
        <v>55</v>
      </c>
      <c r="W2250" s="9" t="s">
        <v>55</v>
      </c>
      <c r="X2250" s="9" t="s">
        <v>196</v>
      </c>
      <c r="Y2250" s="9" t="s">
        <v>197</v>
      </c>
      <c r="Z2250" s="13" t="s">
        <v>230</v>
      </c>
    </row>
    <row r="2251" spans="1:26" ht="32.25" hidden="1" customHeight="1">
      <c r="A2251" s="8">
        <v>2311924</v>
      </c>
      <c r="B2251" s="9" t="s">
        <v>7843</v>
      </c>
      <c r="C2251" s="10">
        <v>45149</v>
      </c>
      <c r="D2251" s="9" t="s">
        <v>261</v>
      </c>
      <c r="E2251" s="9" t="s">
        <v>68</v>
      </c>
      <c r="F2251" s="9" t="s">
        <v>262</v>
      </c>
      <c r="G2251" s="9" t="s">
        <v>43</v>
      </c>
      <c r="H2251" s="9" t="s">
        <v>44</v>
      </c>
      <c r="I2251" s="11" t="s">
        <v>756</v>
      </c>
      <c r="J2251" s="9" t="s">
        <v>757</v>
      </c>
      <c r="K2251" s="9" t="s">
        <v>47</v>
      </c>
      <c r="L2251" s="9" t="s">
        <v>425</v>
      </c>
      <c r="M2251" s="9" t="s">
        <v>7844</v>
      </c>
      <c r="N2251" s="9" t="s">
        <v>50</v>
      </c>
      <c r="O2251" s="9" t="s">
        <v>51</v>
      </c>
      <c r="P2251" s="9"/>
      <c r="Q2251" s="9"/>
      <c r="R2251" s="9" t="s">
        <v>61</v>
      </c>
      <c r="S2251" s="14" t="s">
        <v>7845</v>
      </c>
      <c r="T2251" s="9" t="s">
        <v>7846</v>
      </c>
      <c r="U2251" s="9" t="s">
        <v>262</v>
      </c>
      <c r="V2251" s="9" t="s">
        <v>897</v>
      </c>
      <c r="W2251" s="9" t="s">
        <v>115</v>
      </c>
      <c r="X2251" s="12" t="s">
        <v>389</v>
      </c>
      <c r="Y2251" s="9" t="s">
        <v>390</v>
      </c>
      <c r="Z2251" s="13"/>
    </row>
    <row r="2252" spans="1:26" ht="32.25" hidden="1" customHeight="1">
      <c r="A2252" s="8">
        <v>2306395</v>
      </c>
      <c r="B2252" s="9" t="s">
        <v>7847</v>
      </c>
      <c r="C2252" s="10">
        <v>45142</v>
      </c>
      <c r="D2252" s="9" t="s">
        <v>67</v>
      </c>
      <c r="E2252" s="9" t="s">
        <v>68</v>
      </c>
      <c r="F2252" s="9" t="s">
        <v>42</v>
      </c>
      <c r="G2252" s="9" t="s">
        <v>43</v>
      </c>
      <c r="H2252" s="9" t="s">
        <v>44</v>
      </c>
      <c r="I2252" s="11" t="s">
        <v>69</v>
      </c>
      <c r="J2252" s="9" t="s">
        <v>70</v>
      </c>
      <c r="K2252" s="9" t="s">
        <v>47</v>
      </c>
      <c r="L2252" s="9" t="s">
        <v>138</v>
      </c>
      <c r="M2252" s="9" t="s">
        <v>2607</v>
      </c>
      <c r="N2252" s="9" t="s">
        <v>50</v>
      </c>
      <c r="O2252" s="9" t="s">
        <v>51</v>
      </c>
      <c r="P2252" s="9" t="s">
        <v>73</v>
      </c>
      <c r="Q2252" s="9"/>
      <c r="R2252" s="9" t="s">
        <v>61</v>
      </c>
      <c r="S2252" s="9" t="s">
        <v>7848</v>
      </c>
      <c r="T2252" s="9" t="s">
        <v>7849</v>
      </c>
      <c r="U2252" s="9" t="s">
        <v>54</v>
      </c>
      <c r="V2252" s="9" t="s">
        <v>55</v>
      </c>
      <c r="W2252" s="9" t="s">
        <v>55</v>
      </c>
      <c r="X2252" s="12" t="s">
        <v>76</v>
      </c>
      <c r="Y2252" s="9" t="s">
        <v>77</v>
      </c>
      <c r="Z2252" s="13"/>
    </row>
    <row r="2253" spans="1:26" ht="32.25" hidden="1" customHeight="1">
      <c r="A2253" s="8">
        <v>2302391</v>
      </c>
      <c r="B2253" s="9" t="s">
        <v>7850</v>
      </c>
      <c r="C2253" s="10">
        <v>45156</v>
      </c>
      <c r="D2253" s="9" t="s">
        <v>79</v>
      </c>
      <c r="E2253" s="9" t="s">
        <v>89</v>
      </c>
      <c r="F2253" s="9" t="s">
        <v>80</v>
      </c>
      <c r="G2253" s="9" t="s">
        <v>43</v>
      </c>
      <c r="H2253" s="9" t="s">
        <v>44</v>
      </c>
      <c r="I2253" s="11" t="s">
        <v>101</v>
      </c>
      <c r="J2253" s="9" t="s">
        <v>102</v>
      </c>
      <c r="K2253" s="9" t="s">
        <v>47</v>
      </c>
      <c r="L2253" s="9" t="s">
        <v>863</v>
      </c>
      <c r="M2253" s="9" t="s">
        <v>7851</v>
      </c>
      <c r="N2253" s="9" t="s">
        <v>50</v>
      </c>
      <c r="O2253" s="9" t="s">
        <v>51</v>
      </c>
      <c r="P2253" s="9" t="s">
        <v>125</v>
      </c>
      <c r="Q2253" s="9"/>
      <c r="R2253" s="9" t="s">
        <v>61</v>
      </c>
      <c r="S2253" s="14" t="s">
        <v>7852</v>
      </c>
      <c r="T2253" s="9" t="s">
        <v>7853</v>
      </c>
      <c r="U2253" s="9" t="s">
        <v>54</v>
      </c>
      <c r="V2253" s="9" t="s">
        <v>711</v>
      </c>
      <c r="W2253" s="9" t="s">
        <v>115</v>
      </c>
      <c r="X2253" s="12" t="s">
        <v>98</v>
      </c>
      <c r="Y2253" s="9" t="s">
        <v>99</v>
      </c>
      <c r="Z2253" s="13"/>
    </row>
    <row r="2254" spans="1:26" ht="32.25" hidden="1" customHeight="1">
      <c r="A2254" s="8">
        <v>2302676</v>
      </c>
      <c r="B2254" s="9" t="s">
        <v>7854</v>
      </c>
      <c r="C2254" s="10">
        <v>45156</v>
      </c>
      <c r="D2254" s="9" t="s">
        <v>79</v>
      </c>
      <c r="E2254" s="9" t="s">
        <v>41</v>
      </c>
      <c r="F2254" s="9" t="s">
        <v>80</v>
      </c>
      <c r="G2254" s="9" t="s">
        <v>43</v>
      </c>
      <c r="H2254" s="9" t="s">
        <v>44</v>
      </c>
      <c r="I2254" s="11" t="s">
        <v>81</v>
      </c>
      <c r="J2254" s="9" t="s">
        <v>46</v>
      </c>
      <c r="K2254" s="9" t="s">
        <v>47</v>
      </c>
      <c r="L2254" s="9" t="s">
        <v>48</v>
      </c>
      <c r="M2254" s="9" t="s">
        <v>1366</v>
      </c>
      <c r="N2254" s="9" t="s">
        <v>84</v>
      </c>
      <c r="O2254" s="9" t="s">
        <v>51</v>
      </c>
      <c r="P2254" s="9" t="s">
        <v>503</v>
      </c>
      <c r="Q2254" s="9"/>
      <c r="R2254" s="9"/>
      <c r="S2254" s="14" t="s">
        <v>7855</v>
      </c>
      <c r="T2254" s="9" t="s">
        <v>7856</v>
      </c>
      <c r="U2254" s="9" t="s">
        <v>54</v>
      </c>
      <c r="V2254" s="9"/>
      <c r="W2254" s="9" t="s">
        <v>115</v>
      </c>
      <c r="X2254" s="12"/>
      <c r="Y2254" s="9" t="s">
        <v>55</v>
      </c>
      <c r="Z2254" s="13"/>
    </row>
    <row r="2255" spans="1:26" ht="32.25" hidden="1" customHeight="1">
      <c r="A2255" s="8">
        <v>2307124</v>
      </c>
      <c r="B2255" s="9" t="s">
        <v>7857</v>
      </c>
      <c r="C2255" s="10">
        <v>45156</v>
      </c>
      <c r="D2255" s="9" t="s">
        <v>79</v>
      </c>
      <c r="E2255" s="9" t="s">
        <v>68</v>
      </c>
      <c r="F2255" s="9" t="s">
        <v>80</v>
      </c>
      <c r="G2255" s="9" t="s">
        <v>43</v>
      </c>
      <c r="H2255" s="9" t="s">
        <v>44</v>
      </c>
      <c r="I2255" s="11" t="s">
        <v>117</v>
      </c>
      <c r="J2255" s="9" t="s">
        <v>118</v>
      </c>
      <c r="K2255" s="9" t="s">
        <v>47</v>
      </c>
      <c r="L2255" s="9" t="s">
        <v>156</v>
      </c>
      <c r="M2255" s="9"/>
      <c r="N2255" s="9" t="s">
        <v>84</v>
      </c>
      <c r="O2255" s="9" t="s">
        <v>51</v>
      </c>
      <c r="P2255" s="9" t="s">
        <v>285</v>
      </c>
      <c r="Q2255" s="9"/>
      <c r="R2255" s="9"/>
      <c r="S2255" s="14" t="s">
        <v>7858</v>
      </c>
      <c r="T2255" s="9" t="s">
        <v>7859</v>
      </c>
      <c r="U2255" s="9" t="s">
        <v>54</v>
      </c>
      <c r="V2255" s="9" t="s">
        <v>55</v>
      </c>
      <c r="W2255" s="9" t="s">
        <v>55</v>
      </c>
      <c r="X2255" s="12"/>
      <c r="Y2255" s="9" t="s">
        <v>55</v>
      </c>
      <c r="Z2255" s="13"/>
    </row>
    <row r="2256" spans="1:26" ht="32.25" hidden="1" customHeight="1">
      <c r="A2256" s="8">
        <v>2309029</v>
      </c>
      <c r="B2256" s="9" t="s">
        <v>7860</v>
      </c>
      <c r="C2256" s="10">
        <v>45136</v>
      </c>
      <c r="D2256" s="9" t="s">
        <v>40</v>
      </c>
      <c r="E2256" s="9" t="s">
        <v>41</v>
      </c>
      <c r="F2256" s="9" t="s">
        <v>42</v>
      </c>
      <c r="G2256" s="9" t="s">
        <v>43</v>
      </c>
      <c r="H2256" s="9" t="s">
        <v>44</v>
      </c>
      <c r="I2256" s="11" t="s">
        <v>45</v>
      </c>
      <c r="J2256" s="9" t="s">
        <v>46</v>
      </c>
      <c r="K2256" s="9" t="s">
        <v>47</v>
      </c>
      <c r="L2256" s="9" t="s">
        <v>451</v>
      </c>
      <c r="M2256" s="9" t="s">
        <v>7861</v>
      </c>
      <c r="N2256" s="9" t="s">
        <v>84</v>
      </c>
      <c r="O2256" s="9" t="s">
        <v>51</v>
      </c>
      <c r="P2256" s="9"/>
      <c r="Q2256" s="9"/>
      <c r="R2256" s="9" t="s">
        <v>61</v>
      </c>
      <c r="S2256" s="9" t="s">
        <v>7862</v>
      </c>
      <c r="T2256" s="9" t="s">
        <v>7863</v>
      </c>
      <c r="U2256" s="9" t="s">
        <v>54</v>
      </c>
      <c r="V2256" s="9" t="s">
        <v>55</v>
      </c>
      <c r="W2256" s="9" t="s">
        <v>55</v>
      </c>
      <c r="X2256" s="9" t="s">
        <v>196</v>
      </c>
      <c r="Y2256" s="9" t="s">
        <v>197</v>
      </c>
      <c r="Z2256" s="13"/>
    </row>
    <row r="2257" spans="1:26" ht="32.25" hidden="1" customHeight="1">
      <c r="A2257" s="8">
        <v>2309253</v>
      </c>
      <c r="B2257" s="9" t="s">
        <v>7864</v>
      </c>
      <c r="C2257" s="10">
        <v>45142</v>
      </c>
      <c r="D2257" s="9" t="s">
        <v>67</v>
      </c>
      <c r="E2257" s="9" t="s">
        <v>143</v>
      </c>
      <c r="F2257" s="9" t="s">
        <v>42</v>
      </c>
      <c r="G2257" s="9" t="s">
        <v>43</v>
      </c>
      <c r="H2257" s="9" t="s">
        <v>44</v>
      </c>
      <c r="I2257" s="11" t="s">
        <v>596</v>
      </c>
      <c r="J2257" s="9" t="s">
        <v>597</v>
      </c>
      <c r="K2257" s="9" t="s">
        <v>47</v>
      </c>
      <c r="L2257" s="9" t="s">
        <v>162</v>
      </c>
      <c r="M2257" s="9" t="s">
        <v>5781</v>
      </c>
      <c r="N2257" s="9" t="s">
        <v>84</v>
      </c>
      <c r="O2257" s="9" t="s">
        <v>51</v>
      </c>
      <c r="P2257" s="9"/>
      <c r="Q2257" s="9"/>
      <c r="R2257" s="9" t="s">
        <v>61</v>
      </c>
      <c r="S2257" s="9" t="s">
        <v>7865</v>
      </c>
      <c r="T2257" s="9" t="s">
        <v>7866</v>
      </c>
      <c r="U2257" s="9" t="s">
        <v>54</v>
      </c>
      <c r="V2257" s="9" t="s">
        <v>55</v>
      </c>
      <c r="W2257" s="9" t="s">
        <v>55</v>
      </c>
      <c r="X2257" s="12" t="s">
        <v>171</v>
      </c>
      <c r="Y2257" s="9" t="s">
        <v>172</v>
      </c>
      <c r="Z2257" s="13"/>
    </row>
    <row r="2258" spans="1:26" ht="32.25" hidden="1" customHeight="1">
      <c r="A2258" s="8">
        <v>2306135</v>
      </c>
      <c r="B2258" s="9" t="s">
        <v>7867</v>
      </c>
      <c r="C2258" s="10">
        <v>45156</v>
      </c>
      <c r="D2258" s="9" t="s">
        <v>79</v>
      </c>
      <c r="E2258" s="9" t="s">
        <v>143</v>
      </c>
      <c r="F2258" s="9" t="s">
        <v>80</v>
      </c>
      <c r="G2258" s="9" t="s">
        <v>43</v>
      </c>
      <c r="H2258" s="9" t="s">
        <v>44</v>
      </c>
      <c r="I2258" s="11" t="s">
        <v>725</v>
      </c>
      <c r="J2258" s="9" t="s">
        <v>145</v>
      </c>
      <c r="K2258" s="9" t="s">
        <v>47</v>
      </c>
      <c r="L2258" s="9" t="s">
        <v>48</v>
      </c>
      <c r="M2258" s="9" t="s">
        <v>1872</v>
      </c>
      <c r="N2258" s="9" t="s">
        <v>50</v>
      </c>
      <c r="O2258" s="9" t="s">
        <v>51</v>
      </c>
      <c r="P2258" s="9" t="s">
        <v>2924</v>
      </c>
      <c r="Q2258" s="9"/>
      <c r="R2258" s="9"/>
      <c r="S2258" s="14" t="s">
        <v>7868</v>
      </c>
      <c r="T2258" s="9" t="s">
        <v>7869</v>
      </c>
      <c r="U2258" s="9" t="s">
        <v>54</v>
      </c>
      <c r="V2258" s="9"/>
      <c r="W2258" s="9" t="s">
        <v>55</v>
      </c>
      <c r="X2258" s="12"/>
      <c r="Y2258" s="9" t="s">
        <v>55</v>
      </c>
      <c r="Z2258" s="13"/>
    </row>
    <row r="2259" spans="1:26" ht="32.25" hidden="1" customHeight="1">
      <c r="A2259" s="8">
        <v>2306205</v>
      </c>
      <c r="B2259" s="9" t="s">
        <v>7870</v>
      </c>
      <c r="C2259" s="10">
        <v>45142</v>
      </c>
      <c r="D2259" s="9" t="s">
        <v>67</v>
      </c>
      <c r="E2259" s="9" t="s">
        <v>68</v>
      </c>
      <c r="F2259" s="9" t="s">
        <v>135</v>
      </c>
      <c r="G2259" s="9" t="s">
        <v>43</v>
      </c>
      <c r="H2259" s="9" t="s">
        <v>44</v>
      </c>
      <c r="I2259" s="11" t="s">
        <v>136</v>
      </c>
      <c r="J2259" s="9" t="s">
        <v>137</v>
      </c>
      <c r="K2259" s="9" t="s">
        <v>47</v>
      </c>
      <c r="L2259" s="9" t="s">
        <v>138</v>
      </c>
      <c r="M2259" s="9" t="s">
        <v>7871</v>
      </c>
      <c r="N2259" s="9" t="s">
        <v>50</v>
      </c>
      <c r="O2259" s="9" t="s">
        <v>51</v>
      </c>
      <c r="P2259" s="9"/>
      <c r="Q2259" s="9"/>
      <c r="R2259" s="9" t="s">
        <v>61</v>
      </c>
      <c r="S2259" s="9" t="s">
        <v>7872</v>
      </c>
      <c r="T2259" s="9" t="s">
        <v>7873</v>
      </c>
      <c r="U2259" s="9" t="s">
        <v>54</v>
      </c>
      <c r="V2259" s="9" t="s">
        <v>55</v>
      </c>
      <c r="W2259" s="9" t="s">
        <v>55</v>
      </c>
      <c r="X2259" s="12" t="s">
        <v>76</v>
      </c>
      <c r="Y2259" s="9" t="s">
        <v>77</v>
      </c>
      <c r="Z2259" s="13"/>
    </row>
    <row r="2260" spans="1:26" ht="32.25" hidden="1" customHeight="1">
      <c r="A2260" s="8">
        <v>2301438</v>
      </c>
      <c r="B2260" s="9" t="s">
        <v>7874</v>
      </c>
      <c r="C2260" s="10">
        <v>45142</v>
      </c>
      <c r="D2260" s="9" t="s">
        <v>67</v>
      </c>
      <c r="E2260" s="9" t="s">
        <v>143</v>
      </c>
      <c r="F2260" s="9" t="s">
        <v>42</v>
      </c>
      <c r="G2260" s="9" t="s">
        <v>43</v>
      </c>
      <c r="H2260" s="9" t="s">
        <v>44</v>
      </c>
      <c r="I2260" s="11" t="s">
        <v>219</v>
      </c>
      <c r="J2260" s="9" t="s">
        <v>220</v>
      </c>
      <c r="K2260" s="9" t="s">
        <v>47</v>
      </c>
      <c r="L2260" s="9" t="s">
        <v>451</v>
      </c>
      <c r="M2260" s="9" t="s">
        <v>452</v>
      </c>
      <c r="N2260" s="9" t="s">
        <v>50</v>
      </c>
      <c r="O2260" s="9" t="s">
        <v>51</v>
      </c>
      <c r="P2260" s="9"/>
      <c r="Q2260" s="9"/>
      <c r="R2260" s="9" t="s">
        <v>61</v>
      </c>
      <c r="S2260" s="9" t="s">
        <v>7875</v>
      </c>
      <c r="T2260" s="9" t="s">
        <v>7876</v>
      </c>
      <c r="U2260" s="9" t="s">
        <v>54</v>
      </c>
      <c r="V2260" s="9" t="s">
        <v>55</v>
      </c>
      <c r="W2260" s="9" t="s">
        <v>55</v>
      </c>
      <c r="X2260" s="12" t="s">
        <v>171</v>
      </c>
      <c r="Y2260" s="9" t="s">
        <v>172</v>
      </c>
      <c r="Z2260" s="13"/>
    </row>
    <row r="2261" spans="1:26" ht="32.25" hidden="1" customHeight="1">
      <c r="A2261" s="8">
        <v>2309975</v>
      </c>
      <c r="B2261" s="9" t="s">
        <v>7877</v>
      </c>
      <c r="C2261" s="10">
        <v>45142</v>
      </c>
      <c r="D2261" s="9" t="s">
        <v>67</v>
      </c>
      <c r="E2261" s="9" t="s">
        <v>68</v>
      </c>
      <c r="F2261" s="9" t="s">
        <v>135</v>
      </c>
      <c r="G2261" s="9" t="s">
        <v>43</v>
      </c>
      <c r="H2261" s="9" t="s">
        <v>44</v>
      </c>
      <c r="I2261" s="11" t="s">
        <v>136</v>
      </c>
      <c r="J2261" s="9" t="s">
        <v>137</v>
      </c>
      <c r="K2261" s="9" t="s">
        <v>47</v>
      </c>
      <c r="L2261" s="9" t="s">
        <v>156</v>
      </c>
      <c r="M2261" s="9"/>
      <c r="N2261" s="9" t="s">
        <v>50</v>
      </c>
      <c r="O2261" s="9" t="s">
        <v>51</v>
      </c>
      <c r="P2261" s="9"/>
      <c r="Q2261" s="9"/>
      <c r="R2261" s="9"/>
      <c r="S2261" s="9" t="s">
        <v>7878</v>
      </c>
      <c r="T2261" s="9" t="s">
        <v>7879</v>
      </c>
      <c r="U2261" s="9" t="s">
        <v>54</v>
      </c>
      <c r="V2261" s="9" t="s">
        <v>55</v>
      </c>
      <c r="W2261" s="9" t="s">
        <v>55</v>
      </c>
      <c r="X2261" s="12"/>
      <c r="Y2261" s="9" t="s">
        <v>55</v>
      </c>
      <c r="Z2261" s="13"/>
    </row>
    <row r="2262" spans="1:26" ht="32.25" hidden="1" customHeight="1">
      <c r="A2262" s="8">
        <v>2309437</v>
      </c>
      <c r="B2262" s="9" t="s">
        <v>7880</v>
      </c>
      <c r="C2262" s="10">
        <v>45156</v>
      </c>
      <c r="D2262" s="9" t="s">
        <v>79</v>
      </c>
      <c r="E2262" s="9" t="s">
        <v>143</v>
      </c>
      <c r="F2262" s="9" t="s">
        <v>80</v>
      </c>
      <c r="G2262" s="9" t="s">
        <v>43</v>
      </c>
      <c r="H2262" s="9" t="s">
        <v>44</v>
      </c>
      <c r="I2262" s="11" t="s">
        <v>326</v>
      </c>
      <c r="J2262" s="9" t="s">
        <v>327</v>
      </c>
      <c r="K2262" s="9" t="s">
        <v>47</v>
      </c>
      <c r="L2262" s="9" t="s">
        <v>290</v>
      </c>
      <c r="M2262" s="9" t="s">
        <v>999</v>
      </c>
      <c r="N2262" s="9" t="s">
        <v>84</v>
      </c>
      <c r="O2262" s="9" t="s">
        <v>51</v>
      </c>
      <c r="P2262" s="9" t="s">
        <v>1646</v>
      </c>
      <c r="Q2262" s="9"/>
      <c r="R2262" s="9"/>
      <c r="S2262" s="14" t="s">
        <v>7881</v>
      </c>
      <c r="T2262" s="9" t="s">
        <v>7882</v>
      </c>
      <c r="U2262" s="9" t="s">
        <v>54</v>
      </c>
      <c r="V2262" s="9" t="s">
        <v>55</v>
      </c>
      <c r="W2262" s="9" t="s">
        <v>115</v>
      </c>
      <c r="X2262" s="12"/>
      <c r="Y2262" s="9" t="s">
        <v>55</v>
      </c>
      <c r="Z2262" s="13"/>
    </row>
    <row r="2263" spans="1:26" ht="32.25" hidden="1" customHeight="1">
      <c r="A2263" s="8">
        <v>2311933</v>
      </c>
      <c r="B2263" s="9" t="s">
        <v>7883</v>
      </c>
      <c r="C2263" s="10">
        <v>45149</v>
      </c>
      <c r="D2263" s="9" t="s">
        <v>261</v>
      </c>
      <c r="E2263" s="9" t="s">
        <v>143</v>
      </c>
      <c r="F2263" s="9" t="s">
        <v>262</v>
      </c>
      <c r="G2263" s="9" t="s">
        <v>43</v>
      </c>
      <c r="H2263" s="9" t="s">
        <v>44</v>
      </c>
      <c r="I2263" s="11" t="s">
        <v>384</v>
      </c>
      <c r="J2263" s="9" t="s">
        <v>385</v>
      </c>
      <c r="K2263" s="9" t="s">
        <v>47</v>
      </c>
      <c r="L2263" s="9" t="s">
        <v>1128</v>
      </c>
      <c r="M2263" s="9" t="s">
        <v>7884</v>
      </c>
      <c r="N2263" s="9" t="s">
        <v>50</v>
      </c>
      <c r="O2263" s="9" t="s">
        <v>51</v>
      </c>
      <c r="P2263" s="9"/>
      <c r="Q2263" s="9"/>
      <c r="R2263" s="9"/>
      <c r="S2263" s="14" t="s">
        <v>7885</v>
      </c>
      <c r="T2263" s="9" t="s">
        <v>7886</v>
      </c>
      <c r="U2263" s="9" t="s">
        <v>262</v>
      </c>
      <c r="V2263" s="9" t="s">
        <v>55</v>
      </c>
      <c r="W2263" s="9" t="s">
        <v>115</v>
      </c>
      <c r="X2263" s="12"/>
      <c r="Y2263" s="9" t="s">
        <v>55</v>
      </c>
      <c r="Z2263" s="13"/>
    </row>
    <row r="2264" spans="1:26" ht="32.25" hidden="1" customHeight="1">
      <c r="A2264" s="8">
        <v>2314840</v>
      </c>
      <c r="B2264" s="9" t="s">
        <v>7887</v>
      </c>
      <c r="C2264" s="10">
        <v>45156</v>
      </c>
      <c r="D2264" s="9" t="s">
        <v>79</v>
      </c>
      <c r="E2264" s="9" t="s">
        <v>68</v>
      </c>
      <c r="F2264" s="9" t="s">
        <v>80</v>
      </c>
      <c r="G2264" s="9" t="s">
        <v>43</v>
      </c>
      <c r="H2264" s="9" t="s">
        <v>44</v>
      </c>
      <c r="I2264" s="11" t="s">
        <v>101</v>
      </c>
      <c r="J2264" s="9" t="s">
        <v>102</v>
      </c>
      <c r="K2264" s="9" t="s">
        <v>110</v>
      </c>
      <c r="L2264" s="9" t="s">
        <v>119</v>
      </c>
      <c r="M2264" s="9" t="s">
        <v>7888</v>
      </c>
      <c r="N2264" s="9" t="s">
        <v>50</v>
      </c>
      <c r="O2264" s="9" t="s">
        <v>51</v>
      </c>
      <c r="P2264" s="9" t="s">
        <v>379</v>
      </c>
      <c r="Q2264" s="9"/>
      <c r="R2264" s="9"/>
      <c r="S2264" s="14" t="s">
        <v>7889</v>
      </c>
      <c r="T2264" s="9" t="s">
        <v>7890</v>
      </c>
      <c r="U2264" s="9" t="s">
        <v>54</v>
      </c>
      <c r="V2264" s="9" t="s">
        <v>55</v>
      </c>
      <c r="W2264" s="9" t="s">
        <v>55</v>
      </c>
      <c r="X2264" s="12"/>
      <c r="Y2264" s="9" t="s">
        <v>55</v>
      </c>
      <c r="Z2264" s="13"/>
    </row>
    <row r="2265" spans="1:26" ht="32.25" hidden="1" customHeight="1">
      <c r="A2265" s="8">
        <v>2309184</v>
      </c>
      <c r="B2265" s="9" t="s">
        <v>7891</v>
      </c>
      <c r="C2265" s="10">
        <v>45136</v>
      </c>
      <c r="D2265" s="9" t="s">
        <v>40</v>
      </c>
      <c r="E2265" s="9" t="s">
        <v>143</v>
      </c>
      <c r="F2265" s="9" t="s">
        <v>42</v>
      </c>
      <c r="G2265" s="9" t="s">
        <v>43</v>
      </c>
      <c r="H2265" s="9" t="s">
        <v>44</v>
      </c>
      <c r="I2265" s="11" t="s">
        <v>596</v>
      </c>
      <c r="J2265" s="9" t="s">
        <v>597</v>
      </c>
      <c r="K2265" s="9" t="s">
        <v>47</v>
      </c>
      <c r="L2265" s="9" t="s">
        <v>138</v>
      </c>
      <c r="M2265" s="9" t="s">
        <v>2607</v>
      </c>
      <c r="N2265" s="9" t="s">
        <v>84</v>
      </c>
      <c r="O2265" s="9" t="s">
        <v>51</v>
      </c>
      <c r="P2265" s="9"/>
      <c r="Q2265" s="9"/>
      <c r="R2265" s="9" t="s">
        <v>61</v>
      </c>
      <c r="S2265" s="9" t="s">
        <v>7892</v>
      </c>
      <c r="T2265" s="9" t="s">
        <v>7893</v>
      </c>
      <c r="U2265" s="9" t="s">
        <v>54</v>
      </c>
      <c r="V2265" s="9" t="s">
        <v>55</v>
      </c>
      <c r="W2265" s="9" t="s">
        <v>55</v>
      </c>
      <c r="X2265" s="12" t="s">
        <v>171</v>
      </c>
      <c r="Y2265" s="9" t="s">
        <v>172</v>
      </c>
      <c r="Z2265" s="13"/>
    </row>
    <row r="2266" spans="1:26" ht="32.25" hidden="1" customHeight="1">
      <c r="A2266" s="8">
        <v>2309706</v>
      </c>
      <c r="B2266" s="9" t="s">
        <v>7894</v>
      </c>
      <c r="C2266" s="10">
        <v>45156</v>
      </c>
      <c r="D2266" s="9" t="s">
        <v>79</v>
      </c>
      <c r="E2266" s="9" t="s">
        <v>41</v>
      </c>
      <c r="F2266" s="9" t="s">
        <v>80</v>
      </c>
      <c r="G2266" s="9" t="s">
        <v>43</v>
      </c>
      <c r="H2266" s="9" t="s">
        <v>44</v>
      </c>
      <c r="I2266" s="11" t="s">
        <v>81</v>
      </c>
      <c r="J2266" s="9" t="s">
        <v>46</v>
      </c>
      <c r="K2266" s="9" t="s">
        <v>47</v>
      </c>
      <c r="L2266" s="9" t="s">
        <v>305</v>
      </c>
      <c r="M2266" s="9" t="s">
        <v>7895</v>
      </c>
      <c r="N2266" s="9" t="s">
        <v>50</v>
      </c>
      <c r="O2266" s="9" t="s">
        <v>51</v>
      </c>
      <c r="P2266" s="9" t="s">
        <v>503</v>
      </c>
      <c r="Q2266" s="9"/>
      <c r="R2266" s="9" t="s">
        <v>61</v>
      </c>
      <c r="S2266" s="14" t="s">
        <v>7896</v>
      </c>
      <c r="T2266" s="9" t="s">
        <v>7897</v>
      </c>
      <c r="U2266" s="9" t="s">
        <v>54</v>
      </c>
      <c r="V2266" s="9" t="s">
        <v>331</v>
      </c>
      <c r="W2266" s="9" t="s">
        <v>115</v>
      </c>
      <c r="X2266" s="9" t="s">
        <v>64</v>
      </c>
      <c r="Y2266" s="9" t="s">
        <v>65</v>
      </c>
      <c r="Z2266" s="13"/>
    </row>
    <row r="2267" spans="1:26" ht="32.25" hidden="1" customHeight="1">
      <c r="A2267" s="8">
        <v>2310839</v>
      </c>
      <c r="B2267" s="9" t="s">
        <v>7898</v>
      </c>
      <c r="C2267" s="10">
        <v>45156</v>
      </c>
      <c r="D2267" s="9" t="s">
        <v>79</v>
      </c>
      <c r="E2267" s="9" t="s">
        <v>143</v>
      </c>
      <c r="F2267" s="9" t="s">
        <v>80</v>
      </c>
      <c r="G2267" s="9" t="s">
        <v>43</v>
      </c>
      <c r="H2267" s="9" t="s">
        <v>44</v>
      </c>
      <c r="I2267" s="11" t="s">
        <v>326</v>
      </c>
      <c r="J2267" s="9" t="s">
        <v>327</v>
      </c>
      <c r="K2267" s="9" t="s">
        <v>47</v>
      </c>
      <c r="L2267" s="9" t="s">
        <v>948</v>
      </c>
      <c r="M2267" s="9" t="s">
        <v>7899</v>
      </c>
      <c r="N2267" s="9" t="s">
        <v>50</v>
      </c>
      <c r="O2267" s="9" t="s">
        <v>51</v>
      </c>
      <c r="P2267" s="9" t="s">
        <v>1117</v>
      </c>
      <c r="Q2267" s="9"/>
      <c r="R2267" s="9" t="s">
        <v>61</v>
      </c>
      <c r="S2267" s="14" t="s">
        <v>7900</v>
      </c>
      <c r="T2267" s="9" t="s">
        <v>7901</v>
      </c>
      <c r="U2267" s="9" t="s">
        <v>54</v>
      </c>
      <c r="V2267" s="9" t="s">
        <v>370</v>
      </c>
      <c r="W2267" s="9" t="s">
        <v>115</v>
      </c>
      <c r="X2267" s="12" t="s">
        <v>389</v>
      </c>
      <c r="Y2267" s="9" t="s">
        <v>390</v>
      </c>
      <c r="Z2267" s="13" t="s">
        <v>1399</v>
      </c>
    </row>
    <row r="2268" spans="1:26" ht="32.25" hidden="1" customHeight="1">
      <c r="A2268" s="8">
        <v>2307382</v>
      </c>
      <c r="B2268" s="9" t="s">
        <v>7902</v>
      </c>
      <c r="C2268" s="10">
        <v>45149</v>
      </c>
      <c r="D2268" s="9" t="s">
        <v>57</v>
      </c>
      <c r="E2268" s="9" t="s">
        <v>41</v>
      </c>
      <c r="F2268" s="9" t="s">
        <v>42</v>
      </c>
      <c r="G2268" s="9" t="s">
        <v>43</v>
      </c>
      <c r="H2268" s="9" t="s">
        <v>58</v>
      </c>
      <c r="I2268" s="11" t="s">
        <v>199</v>
      </c>
      <c r="J2268" s="9" t="s">
        <v>200</v>
      </c>
      <c r="K2268" s="9" t="s">
        <v>47</v>
      </c>
      <c r="L2268" s="9" t="s">
        <v>1310</v>
      </c>
      <c r="M2268" s="9" t="s">
        <v>1311</v>
      </c>
      <c r="N2268" s="9" t="s">
        <v>50</v>
      </c>
      <c r="O2268" s="9" t="s">
        <v>51</v>
      </c>
      <c r="P2268" s="9"/>
      <c r="Q2268" s="9"/>
      <c r="R2268" s="9" t="s">
        <v>61</v>
      </c>
      <c r="S2268" s="14" t="s">
        <v>7903</v>
      </c>
      <c r="T2268" s="9" t="s">
        <v>7904</v>
      </c>
      <c r="U2268" s="9" t="s">
        <v>54</v>
      </c>
      <c r="V2268" s="9" t="s">
        <v>55</v>
      </c>
      <c r="W2268" s="9" t="s">
        <v>55</v>
      </c>
      <c r="X2268" s="12" t="s">
        <v>196</v>
      </c>
      <c r="Y2268" s="9" t="s">
        <v>197</v>
      </c>
      <c r="Z2268" s="13"/>
    </row>
    <row r="2269" spans="1:26" ht="32.25" hidden="1" customHeight="1">
      <c r="A2269" s="8">
        <v>2307804</v>
      </c>
      <c r="B2269" s="9" t="s">
        <v>7905</v>
      </c>
      <c r="C2269" s="10">
        <v>45156</v>
      </c>
      <c r="D2269" s="9" t="s">
        <v>565</v>
      </c>
      <c r="E2269" s="9" t="s">
        <v>41</v>
      </c>
      <c r="F2269" s="9" t="s">
        <v>42</v>
      </c>
      <c r="G2269" s="9" t="s">
        <v>43</v>
      </c>
      <c r="H2269" s="9" t="s">
        <v>58</v>
      </c>
      <c r="I2269" s="11" t="s">
        <v>45</v>
      </c>
      <c r="J2269" s="9" t="s">
        <v>46</v>
      </c>
      <c r="K2269" s="9" t="s">
        <v>47</v>
      </c>
      <c r="L2269" s="9" t="s">
        <v>156</v>
      </c>
      <c r="M2269" s="9"/>
      <c r="N2269" s="9" t="s">
        <v>50</v>
      </c>
      <c r="O2269" s="9" t="s">
        <v>51</v>
      </c>
      <c r="P2269" s="9"/>
      <c r="Q2269" s="9"/>
      <c r="R2269" s="9"/>
      <c r="S2269" s="14" t="s">
        <v>7906</v>
      </c>
      <c r="T2269" s="9" t="s">
        <v>7907</v>
      </c>
      <c r="U2269" s="9" t="s">
        <v>54</v>
      </c>
      <c r="V2269" s="9" t="s">
        <v>55</v>
      </c>
      <c r="W2269" s="9" t="s">
        <v>55</v>
      </c>
      <c r="X2269" s="12"/>
      <c r="Y2269" s="9" t="s">
        <v>55</v>
      </c>
      <c r="Z2269" s="13"/>
    </row>
    <row r="2270" spans="1:26" ht="32.25" hidden="1" customHeight="1">
      <c r="A2270" s="8">
        <v>2312821</v>
      </c>
      <c r="B2270" s="9" t="s">
        <v>7908</v>
      </c>
      <c r="C2270" s="10">
        <v>45142</v>
      </c>
      <c r="D2270" s="9" t="s">
        <v>232</v>
      </c>
      <c r="E2270" s="9" t="s">
        <v>41</v>
      </c>
      <c r="F2270" s="9" t="s">
        <v>80</v>
      </c>
      <c r="G2270" s="9" t="s">
        <v>43</v>
      </c>
      <c r="H2270" s="9" t="s">
        <v>44</v>
      </c>
      <c r="I2270" s="11" t="s">
        <v>81</v>
      </c>
      <c r="J2270" s="9" t="s">
        <v>46</v>
      </c>
      <c r="K2270" s="9" t="s">
        <v>250</v>
      </c>
      <c r="L2270" s="9" t="s">
        <v>425</v>
      </c>
      <c r="M2270" s="9" t="s">
        <v>2244</v>
      </c>
      <c r="N2270" s="9" t="s">
        <v>50</v>
      </c>
      <c r="O2270" s="9" t="s">
        <v>187</v>
      </c>
      <c r="P2270" s="9" t="s">
        <v>395</v>
      </c>
      <c r="Q2270" s="9"/>
      <c r="R2270" s="9" t="s">
        <v>61</v>
      </c>
      <c r="S2270" s="14" t="s">
        <v>7909</v>
      </c>
      <c r="T2270" s="9" t="s">
        <v>7910</v>
      </c>
      <c r="U2270" s="9" t="s">
        <v>54</v>
      </c>
      <c r="V2270" s="9" t="s">
        <v>55</v>
      </c>
      <c r="W2270" s="9" t="s">
        <v>55</v>
      </c>
      <c r="X2270" s="9" t="s">
        <v>64</v>
      </c>
      <c r="Y2270" s="9" t="s">
        <v>65</v>
      </c>
      <c r="Z2270" s="13"/>
    </row>
    <row r="2271" spans="1:26" ht="32.25" hidden="1" customHeight="1">
      <c r="A2271" s="8">
        <v>2300566</v>
      </c>
      <c r="B2271" s="9" t="s">
        <v>7911</v>
      </c>
      <c r="C2271" s="10">
        <v>45136</v>
      </c>
      <c r="D2271" s="9" t="s">
        <v>40</v>
      </c>
      <c r="E2271" s="9" t="s">
        <v>153</v>
      </c>
      <c r="F2271" s="9" t="s">
        <v>42</v>
      </c>
      <c r="G2271" s="9" t="s">
        <v>43</v>
      </c>
      <c r="H2271" s="9" t="s">
        <v>44</v>
      </c>
      <c r="I2271" s="11" t="s">
        <v>154</v>
      </c>
      <c r="J2271" s="9" t="s">
        <v>155</v>
      </c>
      <c r="K2271" s="9" t="s">
        <v>47</v>
      </c>
      <c r="L2271" s="9" t="s">
        <v>1542</v>
      </c>
      <c r="M2271" s="9" t="s">
        <v>3414</v>
      </c>
      <c r="N2271" s="9" t="s">
        <v>84</v>
      </c>
      <c r="O2271" s="9" t="s">
        <v>51</v>
      </c>
      <c r="P2271" s="9"/>
      <c r="Q2271" s="9"/>
      <c r="R2271" s="9" t="s">
        <v>61</v>
      </c>
      <c r="S2271" s="9" t="s">
        <v>7912</v>
      </c>
      <c r="T2271" s="9" t="s">
        <v>7913</v>
      </c>
      <c r="U2271" s="9" t="s">
        <v>54</v>
      </c>
      <c r="V2271" s="9" t="s">
        <v>55</v>
      </c>
      <c r="W2271" s="9" t="s">
        <v>55</v>
      </c>
      <c r="X2271" s="12" t="s">
        <v>171</v>
      </c>
      <c r="Y2271" s="9" t="s">
        <v>172</v>
      </c>
      <c r="Z2271" s="13"/>
    </row>
    <row r="2272" spans="1:26" ht="32.25" hidden="1" customHeight="1">
      <c r="A2272" s="8">
        <v>2310405</v>
      </c>
      <c r="B2272" s="9" t="s">
        <v>7914</v>
      </c>
      <c r="C2272" s="10">
        <v>45149</v>
      </c>
      <c r="D2272" s="9" t="s">
        <v>57</v>
      </c>
      <c r="E2272" s="9" t="s">
        <v>41</v>
      </c>
      <c r="F2272" s="9" t="s">
        <v>42</v>
      </c>
      <c r="G2272" s="9" t="s">
        <v>43</v>
      </c>
      <c r="H2272" s="9" t="s">
        <v>58</v>
      </c>
      <c r="I2272" s="11" t="s">
        <v>199</v>
      </c>
      <c r="J2272" s="9" t="s">
        <v>200</v>
      </c>
      <c r="K2272" s="9" t="s">
        <v>47</v>
      </c>
      <c r="L2272" s="9" t="s">
        <v>156</v>
      </c>
      <c r="M2272" s="9"/>
      <c r="N2272" s="9" t="s">
        <v>84</v>
      </c>
      <c r="O2272" s="9" t="s">
        <v>51</v>
      </c>
      <c r="P2272" s="9"/>
      <c r="Q2272" s="9"/>
      <c r="R2272" s="9"/>
      <c r="S2272" s="14" t="s">
        <v>7915</v>
      </c>
      <c r="T2272" s="9" t="s">
        <v>7916</v>
      </c>
      <c r="U2272" s="9" t="s">
        <v>54</v>
      </c>
      <c r="V2272" s="9" t="s">
        <v>55</v>
      </c>
      <c r="W2272" s="9" t="s">
        <v>55</v>
      </c>
      <c r="X2272" s="12"/>
      <c r="Y2272" s="9" t="s">
        <v>55</v>
      </c>
      <c r="Z2272" s="13"/>
    </row>
    <row r="2273" spans="1:26" ht="32.25" hidden="1" customHeight="1">
      <c r="A2273" s="8">
        <v>2305803</v>
      </c>
      <c r="B2273" s="9" t="s">
        <v>7917</v>
      </c>
      <c r="C2273" s="10">
        <v>45142</v>
      </c>
      <c r="D2273" s="9" t="s">
        <v>67</v>
      </c>
      <c r="E2273" s="9" t="s">
        <v>143</v>
      </c>
      <c r="F2273" s="9" t="s">
        <v>42</v>
      </c>
      <c r="G2273" s="9" t="s">
        <v>43</v>
      </c>
      <c r="H2273" s="9" t="s">
        <v>44</v>
      </c>
      <c r="I2273" s="11" t="s">
        <v>144</v>
      </c>
      <c r="J2273" s="9" t="s">
        <v>145</v>
      </c>
      <c r="K2273" s="9" t="s">
        <v>47</v>
      </c>
      <c r="L2273" s="9" t="s">
        <v>3693</v>
      </c>
      <c r="M2273" s="9" t="s">
        <v>7918</v>
      </c>
      <c r="N2273" s="9" t="s">
        <v>84</v>
      </c>
      <c r="O2273" s="9" t="s">
        <v>51</v>
      </c>
      <c r="P2273" s="9" t="s">
        <v>147</v>
      </c>
      <c r="Q2273" s="9"/>
      <c r="R2273" s="9" t="s">
        <v>61</v>
      </c>
      <c r="S2273" s="9" t="s">
        <v>7919</v>
      </c>
      <c r="T2273" s="9" t="s">
        <v>7920</v>
      </c>
      <c r="U2273" s="9" t="s">
        <v>54</v>
      </c>
      <c r="V2273" s="9" t="s">
        <v>55</v>
      </c>
      <c r="W2273" s="9" t="s">
        <v>55</v>
      </c>
      <c r="X2273" s="12" t="s">
        <v>150</v>
      </c>
      <c r="Y2273" s="9" t="s">
        <v>151</v>
      </c>
      <c r="Z2273" s="13"/>
    </row>
    <row r="2274" spans="1:26" ht="32.25" hidden="1" customHeight="1">
      <c r="A2274" s="8">
        <v>2312261</v>
      </c>
      <c r="B2274" s="9" t="s">
        <v>7921</v>
      </c>
      <c r="C2274" s="10">
        <v>45136</v>
      </c>
      <c r="D2274" s="9" t="s">
        <v>1072</v>
      </c>
      <c r="E2274" s="9" t="s">
        <v>41</v>
      </c>
      <c r="F2274" s="9" t="s">
        <v>42</v>
      </c>
      <c r="G2274" s="9" t="s">
        <v>43</v>
      </c>
      <c r="H2274" s="9" t="s">
        <v>44</v>
      </c>
      <c r="I2274" s="11" t="s">
        <v>45</v>
      </c>
      <c r="J2274" s="9" t="s">
        <v>46</v>
      </c>
      <c r="K2274" s="9" t="s">
        <v>47</v>
      </c>
      <c r="L2274" s="9" t="s">
        <v>3005</v>
      </c>
      <c r="M2274" s="9" t="s">
        <v>3006</v>
      </c>
      <c r="N2274" s="9" t="s">
        <v>84</v>
      </c>
      <c r="O2274" s="9" t="s">
        <v>51</v>
      </c>
      <c r="P2274" s="9"/>
      <c r="Q2274" s="9"/>
      <c r="R2274" s="9" t="s">
        <v>61</v>
      </c>
      <c r="S2274" s="9" t="s">
        <v>7922</v>
      </c>
      <c r="T2274" s="9" t="s">
        <v>7923</v>
      </c>
      <c r="U2274" s="9" t="s">
        <v>54</v>
      </c>
      <c r="V2274" s="9" t="s">
        <v>55</v>
      </c>
      <c r="W2274" s="9" t="s">
        <v>55</v>
      </c>
      <c r="X2274" s="9" t="s">
        <v>64</v>
      </c>
      <c r="Y2274" s="9" t="s">
        <v>65</v>
      </c>
      <c r="Z2274" s="13"/>
    </row>
    <row r="2275" spans="1:26" ht="32.25" hidden="1" customHeight="1">
      <c r="A2275" s="8">
        <v>2302724</v>
      </c>
      <c r="B2275" s="9" t="s">
        <v>7924</v>
      </c>
      <c r="C2275" s="10">
        <v>45142</v>
      </c>
      <c r="D2275" s="9" t="s">
        <v>67</v>
      </c>
      <c r="E2275" s="9" t="s">
        <v>143</v>
      </c>
      <c r="F2275" s="9" t="s">
        <v>42</v>
      </c>
      <c r="G2275" s="9" t="s">
        <v>43</v>
      </c>
      <c r="H2275" s="9" t="s">
        <v>44</v>
      </c>
      <c r="I2275" s="11" t="s">
        <v>334</v>
      </c>
      <c r="J2275" s="9" t="s">
        <v>327</v>
      </c>
      <c r="K2275" s="9" t="s">
        <v>47</v>
      </c>
      <c r="L2275" s="9" t="s">
        <v>3911</v>
      </c>
      <c r="M2275" s="9" t="s">
        <v>3912</v>
      </c>
      <c r="N2275" s="9" t="s">
        <v>50</v>
      </c>
      <c r="O2275" s="9" t="s">
        <v>51</v>
      </c>
      <c r="P2275" s="9" t="s">
        <v>336</v>
      </c>
      <c r="Q2275" s="9"/>
      <c r="R2275" s="9"/>
      <c r="S2275" s="9" t="s">
        <v>7925</v>
      </c>
      <c r="T2275" s="9" t="s">
        <v>7926</v>
      </c>
      <c r="U2275" s="9" t="s">
        <v>54</v>
      </c>
      <c r="V2275" s="9" t="s">
        <v>55</v>
      </c>
      <c r="W2275" s="9" t="s">
        <v>55</v>
      </c>
      <c r="X2275" s="12"/>
      <c r="Y2275" s="9" t="s">
        <v>55</v>
      </c>
      <c r="Z2275" s="13"/>
    </row>
    <row r="2276" spans="1:26" ht="32.25" hidden="1" customHeight="1">
      <c r="A2276" s="8">
        <v>2302697</v>
      </c>
      <c r="B2276" s="9" t="s">
        <v>7927</v>
      </c>
      <c r="C2276" s="10">
        <v>45136</v>
      </c>
      <c r="D2276" s="9" t="s">
        <v>1072</v>
      </c>
      <c r="E2276" s="9" t="s">
        <v>153</v>
      </c>
      <c r="F2276" s="9" t="s">
        <v>42</v>
      </c>
      <c r="G2276" s="9" t="s">
        <v>43</v>
      </c>
      <c r="H2276" s="9" t="s">
        <v>44</v>
      </c>
      <c r="I2276" s="11" t="s">
        <v>154</v>
      </c>
      <c r="J2276" s="9" t="s">
        <v>155</v>
      </c>
      <c r="K2276" s="9" t="s">
        <v>47</v>
      </c>
      <c r="L2276" s="9" t="s">
        <v>156</v>
      </c>
      <c r="M2276" s="9"/>
      <c r="N2276" s="9" t="s">
        <v>84</v>
      </c>
      <c r="O2276" s="9" t="s">
        <v>51</v>
      </c>
      <c r="P2276" s="9"/>
      <c r="Q2276" s="9"/>
      <c r="R2276" s="9"/>
      <c r="S2276" s="9" t="s">
        <v>7928</v>
      </c>
      <c r="T2276" s="9" t="s">
        <v>7929</v>
      </c>
      <c r="U2276" s="9" t="s">
        <v>54</v>
      </c>
      <c r="V2276" s="9" t="s">
        <v>55</v>
      </c>
      <c r="W2276" s="9" t="s">
        <v>55</v>
      </c>
      <c r="X2276" s="12"/>
      <c r="Y2276" s="9" t="s">
        <v>55</v>
      </c>
      <c r="Z2276" s="13"/>
    </row>
    <row r="2277" spans="1:26" ht="32.25" hidden="1" customHeight="1">
      <c r="A2277" s="8">
        <v>2305694</v>
      </c>
      <c r="B2277" s="9" t="s">
        <v>7930</v>
      </c>
      <c r="C2277" s="10">
        <v>45156</v>
      </c>
      <c r="D2277" s="9" t="s">
        <v>79</v>
      </c>
      <c r="E2277" s="9" t="s">
        <v>89</v>
      </c>
      <c r="F2277" s="9" t="s">
        <v>80</v>
      </c>
      <c r="G2277" s="9" t="s">
        <v>43</v>
      </c>
      <c r="H2277" s="9" t="s">
        <v>44</v>
      </c>
      <c r="I2277" s="11" t="s">
        <v>101</v>
      </c>
      <c r="J2277" s="9" t="s">
        <v>102</v>
      </c>
      <c r="K2277" s="9" t="s">
        <v>47</v>
      </c>
      <c r="L2277" s="9" t="s">
        <v>713</v>
      </c>
      <c r="M2277" s="9" t="s">
        <v>714</v>
      </c>
      <c r="N2277" s="9" t="s">
        <v>50</v>
      </c>
      <c r="O2277" s="9" t="s">
        <v>51</v>
      </c>
      <c r="P2277" s="9" t="s">
        <v>715</v>
      </c>
      <c r="Q2277" s="9"/>
      <c r="R2277" s="9"/>
      <c r="S2277" s="14" t="s">
        <v>7931</v>
      </c>
      <c r="T2277" s="9" t="s">
        <v>7932</v>
      </c>
      <c r="U2277" s="9" t="s">
        <v>54</v>
      </c>
      <c r="V2277" s="9" t="s">
        <v>55</v>
      </c>
      <c r="W2277" s="9" t="s">
        <v>55</v>
      </c>
      <c r="X2277" s="12"/>
      <c r="Y2277" s="9" t="s">
        <v>55</v>
      </c>
      <c r="Z2277" s="13"/>
    </row>
    <row r="2278" spans="1:26" ht="32.25" hidden="1" customHeight="1">
      <c r="A2278" s="8">
        <v>2304945</v>
      </c>
      <c r="B2278" s="9" t="s">
        <v>7933</v>
      </c>
      <c r="C2278" s="10">
        <v>45156</v>
      </c>
      <c r="D2278" s="9" t="s">
        <v>79</v>
      </c>
      <c r="E2278" s="9" t="s">
        <v>41</v>
      </c>
      <c r="F2278" s="9" t="s">
        <v>80</v>
      </c>
      <c r="G2278" s="9" t="s">
        <v>43</v>
      </c>
      <c r="H2278" s="9" t="s">
        <v>44</v>
      </c>
      <c r="I2278" s="11" t="s">
        <v>81</v>
      </c>
      <c r="J2278" s="9" t="s">
        <v>46</v>
      </c>
      <c r="K2278" s="9" t="s">
        <v>47</v>
      </c>
      <c r="L2278" s="9" t="s">
        <v>204</v>
      </c>
      <c r="M2278" s="9" t="s">
        <v>2166</v>
      </c>
      <c r="N2278" s="9" t="s">
        <v>50</v>
      </c>
      <c r="O2278" s="9" t="s">
        <v>51</v>
      </c>
      <c r="P2278" s="9" t="s">
        <v>503</v>
      </c>
      <c r="Q2278" s="9"/>
      <c r="R2278" s="9"/>
      <c r="S2278" s="14" t="s">
        <v>7934</v>
      </c>
      <c r="T2278" s="9" t="s">
        <v>7935</v>
      </c>
      <c r="U2278" s="9" t="s">
        <v>54</v>
      </c>
      <c r="V2278" s="9" t="s">
        <v>3207</v>
      </c>
      <c r="W2278" s="9" t="s">
        <v>115</v>
      </c>
      <c r="X2278" s="12"/>
      <c r="Y2278" s="9" t="s">
        <v>55</v>
      </c>
      <c r="Z2278" s="13"/>
    </row>
    <row r="2279" spans="1:26" ht="32.25" hidden="1" customHeight="1">
      <c r="A2279" s="8">
        <v>2308449</v>
      </c>
      <c r="B2279" s="9" t="s">
        <v>7936</v>
      </c>
      <c r="C2279" s="10">
        <v>45156</v>
      </c>
      <c r="D2279" s="9" t="s">
        <v>79</v>
      </c>
      <c r="E2279" s="9" t="s">
        <v>89</v>
      </c>
      <c r="F2279" s="9" t="s">
        <v>80</v>
      </c>
      <c r="G2279" s="9" t="s">
        <v>43</v>
      </c>
      <c r="H2279" s="9" t="s">
        <v>44</v>
      </c>
      <c r="I2279" s="11" t="s">
        <v>90</v>
      </c>
      <c r="J2279" s="9" t="s">
        <v>91</v>
      </c>
      <c r="K2279" s="9" t="s">
        <v>47</v>
      </c>
      <c r="L2279" s="9" t="s">
        <v>48</v>
      </c>
      <c r="M2279" s="9"/>
      <c r="N2279" s="9" t="s">
        <v>84</v>
      </c>
      <c r="O2279" s="9" t="s">
        <v>51</v>
      </c>
      <c r="P2279" s="9" t="s">
        <v>546</v>
      </c>
      <c r="Q2279" s="9"/>
      <c r="R2279" s="9" t="s">
        <v>61</v>
      </c>
      <c r="S2279" s="14" t="s">
        <v>7937</v>
      </c>
      <c r="T2279" s="9" t="s">
        <v>7938</v>
      </c>
      <c r="U2279" s="9" t="s">
        <v>54</v>
      </c>
      <c r="V2279" s="9"/>
      <c r="W2279" s="9" t="s">
        <v>115</v>
      </c>
      <c r="X2279" s="12" t="s">
        <v>98</v>
      </c>
      <c r="Y2279" s="9" t="s">
        <v>99</v>
      </c>
      <c r="Z2279" s="13"/>
    </row>
    <row r="2280" spans="1:26" ht="32.25" hidden="1" customHeight="1">
      <c r="A2280" s="8">
        <v>2311834</v>
      </c>
      <c r="B2280" s="9" t="s">
        <v>7939</v>
      </c>
      <c r="C2280" s="10">
        <v>45156</v>
      </c>
      <c r="D2280" s="9" t="s">
        <v>79</v>
      </c>
      <c r="E2280" s="9" t="s">
        <v>89</v>
      </c>
      <c r="F2280" s="9" t="s">
        <v>80</v>
      </c>
      <c r="G2280" s="9" t="s">
        <v>43</v>
      </c>
      <c r="H2280" s="9" t="s">
        <v>44</v>
      </c>
      <c r="I2280" s="11" t="s">
        <v>90</v>
      </c>
      <c r="J2280" s="9" t="s">
        <v>91</v>
      </c>
      <c r="K2280" s="9" t="s">
        <v>47</v>
      </c>
      <c r="L2280" s="9" t="s">
        <v>48</v>
      </c>
      <c r="M2280" s="9" t="s">
        <v>242</v>
      </c>
      <c r="N2280" s="9" t="s">
        <v>50</v>
      </c>
      <c r="O2280" s="9" t="s">
        <v>51</v>
      </c>
      <c r="P2280" s="9" t="s">
        <v>498</v>
      </c>
      <c r="Q2280" s="9"/>
      <c r="R2280" s="9"/>
      <c r="S2280" s="14" t="s">
        <v>7940</v>
      </c>
      <c r="T2280" s="9" t="s">
        <v>7941</v>
      </c>
      <c r="U2280" s="9" t="s">
        <v>54</v>
      </c>
      <c r="V2280" s="9" t="s">
        <v>55</v>
      </c>
      <c r="W2280" s="9" t="s">
        <v>55</v>
      </c>
      <c r="X2280" s="12"/>
      <c r="Y2280" s="9" t="s">
        <v>55</v>
      </c>
      <c r="Z2280" s="13"/>
    </row>
    <row r="2281" spans="1:26" ht="32.25" hidden="1" customHeight="1">
      <c r="A2281" s="8">
        <v>2306812</v>
      </c>
      <c r="B2281" s="9" t="s">
        <v>7942</v>
      </c>
      <c r="C2281" s="10">
        <v>45149</v>
      </c>
      <c r="D2281" s="9" t="s">
        <v>57</v>
      </c>
      <c r="E2281" s="9" t="s">
        <v>295</v>
      </c>
      <c r="F2281" s="9" t="s">
        <v>42</v>
      </c>
      <c r="G2281" s="9" t="s">
        <v>43</v>
      </c>
      <c r="H2281" s="9" t="s">
        <v>58</v>
      </c>
      <c r="I2281" s="11" t="s">
        <v>406</v>
      </c>
      <c r="J2281" s="9" t="s">
        <v>407</v>
      </c>
      <c r="K2281" s="9" t="s">
        <v>47</v>
      </c>
      <c r="L2281" s="9" t="s">
        <v>48</v>
      </c>
      <c r="M2281" s="9" t="s">
        <v>1116</v>
      </c>
      <c r="N2281" s="9" t="s">
        <v>84</v>
      </c>
      <c r="O2281" s="9" t="s">
        <v>51</v>
      </c>
      <c r="P2281" s="9"/>
      <c r="Q2281" s="9"/>
      <c r="R2281" s="9"/>
      <c r="S2281" s="14" t="s">
        <v>7943</v>
      </c>
      <c r="T2281" s="9" t="s">
        <v>7944</v>
      </c>
      <c r="U2281" s="9" t="s">
        <v>54</v>
      </c>
      <c r="V2281" s="9" t="s">
        <v>55</v>
      </c>
      <c r="W2281" s="9" t="s">
        <v>55</v>
      </c>
      <c r="X2281" s="12"/>
      <c r="Y2281" s="9" t="s">
        <v>55</v>
      </c>
      <c r="Z2281" s="13"/>
    </row>
    <row r="2282" spans="1:26" ht="32.25" hidden="1" customHeight="1">
      <c r="A2282" s="8">
        <v>2308490</v>
      </c>
      <c r="B2282" s="9" t="s">
        <v>7945</v>
      </c>
      <c r="C2282" s="10">
        <v>45149</v>
      </c>
      <c r="D2282" s="9" t="s">
        <v>57</v>
      </c>
      <c r="E2282" s="9" t="s">
        <v>153</v>
      </c>
      <c r="F2282" s="9" t="s">
        <v>42</v>
      </c>
      <c r="G2282" s="9" t="s">
        <v>43</v>
      </c>
      <c r="H2282" s="9" t="s">
        <v>58</v>
      </c>
      <c r="I2282" s="11" t="s">
        <v>154</v>
      </c>
      <c r="J2282" s="9" t="s">
        <v>155</v>
      </c>
      <c r="K2282" s="9" t="s">
        <v>47</v>
      </c>
      <c r="L2282" s="9" t="s">
        <v>290</v>
      </c>
      <c r="M2282" s="9" t="s">
        <v>1787</v>
      </c>
      <c r="N2282" s="9" t="s">
        <v>84</v>
      </c>
      <c r="O2282" s="9" t="s">
        <v>51</v>
      </c>
      <c r="P2282" s="9"/>
      <c r="Q2282" s="9"/>
      <c r="R2282" s="9" t="s">
        <v>61</v>
      </c>
      <c r="S2282" s="14" t="s">
        <v>7946</v>
      </c>
      <c r="T2282" s="9" t="s">
        <v>7947</v>
      </c>
      <c r="U2282" s="9" t="s">
        <v>54</v>
      </c>
      <c r="V2282" s="9" t="s">
        <v>55</v>
      </c>
      <c r="W2282" s="9" t="s">
        <v>55</v>
      </c>
      <c r="X2282" s="12" t="s">
        <v>171</v>
      </c>
      <c r="Y2282" s="9" t="s">
        <v>172</v>
      </c>
      <c r="Z2282" s="13"/>
    </row>
    <row r="2283" spans="1:26" ht="32.25" hidden="1" customHeight="1">
      <c r="A2283" s="8">
        <v>2303525</v>
      </c>
      <c r="B2283" s="9" t="s">
        <v>7948</v>
      </c>
      <c r="C2283" s="10">
        <v>45156</v>
      </c>
      <c r="D2283" s="9" t="s">
        <v>79</v>
      </c>
      <c r="E2283" s="9" t="s">
        <v>68</v>
      </c>
      <c r="F2283" s="9" t="s">
        <v>80</v>
      </c>
      <c r="G2283" s="9" t="s">
        <v>43</v>
      </c>
      <c r="H2283" s="9" t="s">
        <v>44</v>
      </c>
      <c r="I2283" s="11" t="s">
        <v>117</v>
      </c>
      <c r="J2283" s="9" t="s">
        <v>118</v>
      </c>
      <c r="K2283" s="9" t="s">
        <v>47</v>
      </c>
      <c r="L2283" s="9" t="s">
        <v>48</v>
      </c>
      <c r="M2283" s="9" t="s">
        <v>7949</v>
      </c>
      <c r="N2283" s="9" t="s">
        <v>50</v>
      </c>
      <c r="O2283" s="9" t="s">
        <v>51</v>
      </c>
      <c r="P2283" s="9" t="s">
        <v>285</v>
      </c>
      <c r="Q2283" s="9"/>
      <c r="R2283" s="9"/>
      <c r="S2283" s="14" t="s">
        <v>7950</v>
      </c>
      <c r="T2283" s="9" t="s">
        <v>7951</v>
      </c>
      <c r="U2283" s="9" t="s">
        <v>54</v>
      </c>
      <c r="V2283" s="9" t="s">
        <v>55</v>
      </c>
      <c r="W2283" s="9" t="s">
        <v>55</v>
      </c>
      <c r="X2283" s="12"/>
      <c r="Y2283" s="9" t="s">
        <v>55</v>
      </c>
      <c r="Z2283" s="13"/>
    </row>
    <row r="2284" spans="1:26" ht="32.25" hidden="1" customHeight="1">
      <c r="A2284" s="8">
        <v>2306036</v>
      </c>
      <c r="B2284" s="9" t="s">
        <v>7952</v>
      </c>
      <c r="C2284" s="10">
        <v>45156</v>
      </c>
      <c r="D2284" s="9" t="s">
        <v>79</v>
      </c>
      <c r="E2284" s="9" t="s">
        <v>41</v>
      </c>
      <c r="F2284" s="9" t="s">
        <v>80</v>
      </c>
      <c r="G2284" s="9" t="s">
        <v>43</v>
      </c>
      <c r="H2284" s="9" t="s">
        <v>44</v>
      </c>
      <c r="I2284" s="11" t="s">
        <v>233</v>
      </c>
      <c r="J2284" s="9" t="s">
        <v>200</v>
      </c>
      <c r="K2284" s="9" t="s">
        <v>47</v>
      </c>
      <c r="L2284" s="9" t="s">
        <v>156</v>
      </c>
      <c r="M2284" s="9" t="s">
        <v>737</v>
      </c>
      <c r="N2284" s="9" t="s">
        <v>50</v>
      </c>
      <c r="O2284" s="9" t="s">
        <v>51</v>
      </c>
      <c r="P2284" s="9" t="s">
        <v>865</v>
      </c>
      <c r="Q2284" s="9"/>
      <c r="R2284" s="9"/>
      <c r="S2284" s="14" t="s">
        <v>7953</v>
      </c>
      <c r="T2284" s="9" t="s">
        <v>7954</v>
      </c>
      <c r="U2284" s="9" t="s">
        <v>54</v>
      </c>
      <c r="V2284" s="9" t="s">
        <v>55</v>
      </c>
      <c r="W2284" s="9" t="s">
        <v>55</v>
      </c>
      <c r="X2284" s="12"/>
      <c r="Y2284" s="9" t="s">
        <v>55</v>
      </c>
      <c r="Z2284" s="13"/>
    </row>
    <row r="2285" spans="1:26" ht="32.25" hidden="1" customHeight="1">
      <c r="A2285" s="8">
        <v>2313533</v>
      </c>
      <c r="B2285" s="9" t="s">
        <v>7955</v>
      </c>
      <c r="C2285" s="10">
        <v>45156</v>
      </c>
      <c r="D2285" s="9" t="s">
        <v>79</v>
      </c>
      <c r="E2285" s="9" t="s">
        <v>89</v>
      </c>
      <c r="F2285" s="9" t="s">
        <v>80</v>
      </c>
      <c r="G2285" s="9" t="s">
        <v>43</v>
      </c>
      <c r="H2285" s="9" t="s">
        <v>44</v>
      </c>
      <c r="I2285" s="11" t="s">
        <v>101</v>
      </c>
      <c r="J2285" s="9" t="s">
        <v>102</v>
      </c>
      <c r="K2285" s="9" t="s">
        <v>47</v>
      </c>
      <c r="L2285" s="9" t="s">
        <v>480</v>
      </c>
      <c r="M2285" s="9" t="s">
        <v>7956</v>
      </c>
      <c r="N2285" s="9" t="s">
        <v>50</v>
      </c>
      <c r="O2285" s="9" t="s">
        <v>51</v>
      </c>
      <c r="P2285" s="9" t="s">
        <v>125</v>
      </c>
      <c r="Q2285" s="9"/>
      <c r="R2285" s="9"/>
      <c r="S2285" s="14" t="s">
        <v>7957</v>
      </c>
      <c r="T2285" s="9" t="s">
        <v>7958</v>
      </c>
      <c r="U2285" s="9" t="s">
        <v>54</v>
      </c>
      <c r="V2285" s="9" t="s">
        <v>55</v>
      </c>
      <c r="W2285" s="9" t="s">
        <v>55</v>
      </c>
      <c r="X2285" s="12"/>
      <c r="Y2285" s="9" t="s">
        <v>55</v>
      </c>
      <c r="Z2285" s="13"/>
    </row>
    <row r="2286" spans="1:26" ht="32.25" hidden="1" customHeight="1">
      <c r="A2286" s="8">
        <v>2306929</v>
      </c>
      <c r="B2286" s="9" t="s">
        <v>7959</v>
      </c>
      <c r="C2286" s="10">
        <v>45149</v>
      </c>
      <c r="D2286" s="9" t="s">
        <v>57</v>
      </c>
      <c r="E2286" s="9" t="s">
        <v>41</v>
      </c>
      <c r="F2286" s="9" t="s">
        <v>42</v>
      </c>
      <c r="G2286" s="9" t="s">
        <v>43</v>
      </c>
      <c r="H2286" s="9" t="s">
        <v>58</v>
      </c>
      <c r="I2286" s="11" t="s">
        <v>129</v>
      </c>
      <c r="J2286" s="9" t="s">
        <v>130</v>
      </c>
      <c r="K2286" s="9" t="s">
        <v>47</v>
      </c>
      <c r="L2286" s="9" t="s">
        <v>156</v>
      </c>
      <c r="M2286" s="9" t="s">
        <v>157</v>
      </c>
      <c r="N2286" s="9" t="s">
        <v>50</v>
      </c>
      <c r="O2286" s="9" t="s">
        <v>51</v>
      </c>
      <c r="P2286" s="9"/>
      <c r="Q2286" s="9"/>
      <c r="R2286" s="9"/>
      <c r="S2286" s="14" t="s">
        <v>7960</v>
      </c>
      <c r="T2286" s="9" t="s">
        <v>7961</v>
      </c>
      <c r="U2286" s="9" t="s">
        <v>54</v>
      </c>
      <c r="V2286" s="9" t="s">
        <v>55</v>
      </c>
      <c r="W2286" s="9" t="s">
        <v>55</v>
      </c>
      <c r="X2286" s="12"/>
      <c r="Y2286" s="9" t="s">
        <v>55</v>
      </c>
      <c r="Z2286" s="13"/>
    </row>
    <row r="2287" spans="1:26" ht="32.25" hidden="1" customHeight="1">
      <c r="A2287" s="8">
        <v>2313232</v>
      </c>
      <c r="B2287" s="9" t="s">
        <v>7962</v>
      </c>
      <c r="C2287" s="10">
        <v>45142</v>
      </c>
      <c r="D2287" s="9" t="s">
        <v>67</v>
      </c>
      <c r="E2287" s="9" t="s">
        <v>295</v>
      </c>
      <c r="F2287" s="9" t="s">
        <v>42</v>
      </c>
      <c r="G2287" s="9" t="s">
        <v>43</v>
      </c>
      <c r="H2287" s="9" t="s">
        <v>44</v>
      </c>
      <c r="I2287" s="11" t="s">
        <v>296</v>
      </c>
      <c r="J2287" s="9" t="s">
        <v>297</v>
      </c>
      <c r="K2287" s="9" t="s">
        <v>47</v>
      </c>
      <c r="L2287" s="9" t="s">
        <v>598</v>
      </c>
      <c r="M2287" s="9" t="s">
        <v>599</v>
      </c>
      <c r="N2287" s="9" t="s">
        <v>84</v>
      </c>
      <c r="O2287" s="9" t="s">
        <v>51</v>
      </c>
      <c r="P2287" s="9"/>
      <c r="Q2287" s="9"/>
      <c r="R2287" s="9" t="s">
        <v>61</v>
      </c>
      <c r="S2287" s="9" t="s">
        <v>7963</v>
      </c>
      <c r="T2287" s="9" t="s">
        <v>7964</v>
      </c>
      <c r="U2287" s="9" t="s">
        <v>54</v>
      </c>
      <c r="V2287" s="9" t="s">
        <v>55</v>
      </c>
      <c r="W2287" s="9" t="s">
        <v>55</v>
      </c>
      <c r="X2287" s="9" t="s">
        <v>319</v>
      </c>
      <c r="Y2287" s="9" t="s">
        <v>320</v>
      </c>
      <c r="Z2287" s="13"/>
    </row>
    <row r="2288" spans="1:26" ht="32.25" hidden="1" customHeight="1">
      <c r="A2288" s="8">
        <v>2313539</v>
      </c>
      <c r="B2288" s="9" t="s">
        <v>7965</v>
      </c>
      <c r="C2288" s="10">
        <v>45156</v>
      </c>
      <c r="D2288" s="9" t="s">
        <v>79</v>
      </c>
      <c r="E2288" s="9" t="s">
        <v>89</v>
      </c>
      <c r="F2288" s="9" t="s">
        <v>80</v>
      </c>
      <c r="G2288" s="9" t="s">
        <v>43</v>
      </c>
      <c r="H2288" s="9" t="s">
        <v>44</v>
      </c>
      <c r="I2288" s="11" t="s">
        <v>90</v>
      </c>
      <c r="J2288" s="9" t="s">
        <v>91</v>
      </c>
      <c r="K2288" s="9" t="s">
        <v>47</v>
      </c>
      <c r="L2288" s="9" t="s">
        <v>156</v>
      </c>
      <c r="M2288" s="9"/>
      <c r="N2288" s="9" t="s">
        <v>84</v>
      </c>
      <c r="O2288" s="9" t="s">
        <v>51</v>
      </c>
      <c r="P2288" s="9" t="s">
        <v>176</v>
      </c>
      <c r="Q2288" s="9"/>
      <c r="R2288" s="9"/>
      <c r="S2288" s="14" t="s">
        <v>7966</v>
      </c>
      <c r="T2288" s="9" t="s">
        <v>7967</v>
      </c>
      <c r="U2288" s="9" t="s">
        <v>54</v>
      </c>
      <c r="V2288" s="9" t="s">
        <v>55</v>
      </c>
      <c r="W2288" s="9" t="s">
        <v>55</v>
      </c>
      <c r="X2288" s="12"/>
      <c r="Y2288" s="9" t="s">
        <v>55</v>
      </c>
      <c r="Z2288" s="13"/>
    </row>
    <row r="2289" spans="1:26" ht="32.25" hidden="1" customHeight="1">
      <c r="A2289" s="8">
        <v>2309491</v>
      </c>
      <c r="B2289" s="9" t="s">
        <v>7968</v>
      </c>
      <c r="C2289" s="10">
        <v>45149</v>
      </c>
      <c r="D2289" s="9" t="s">
        <v>57</v>
      </c>
      <c r="E2289" s="9" t="s">
        <v>41</v>
      </c>
      <c r="F2289" s="9" t="s">
        <v>42</v>
      </c>
      <c r="G2289" s="9" t="s">
        <v>43</v>
      </c>
      <c r="H2289" s="9" t="s">
        <v>58</v>
      </c>
      <c r="I2289" s="11" t="s">
        <v>199</v>
      </c>
      <c r="J2289" s="9" t="s">
        <v>200</v>
      </c>
      <c r="K2289" s="9" t="s">
        <v>47</v>
      </c>
      <c r="L2289" s="9" t="s">
        <v>156</v>
      </c>
      <c r="M2289" s="9"/>
      <c r="N2289" s="9" t="s">
        <v>50</v>
      </c>
      <c r="O2289" s="9" t="s">
        <v>51</v>
      </c>
      <c r="P2289" s="9"/>
      <c r="Q2289" s="9"/>
      <c r="R2289" s="9"/>
      <c r="S2289" s="14" t="s">
        <v>7969</v>
      </c>
      <c r="T2289" s="9" t="s">
        <v>7970</v>
      </c>
      <c r="U2289" s="9" t="s">
        <v>54</v>
      </c>
      <c r="V2289" s="9" t="s">
        <v>55</v>
      </c>
      <c r="W2289" s="9" t="s">
        <v>55</v>
      </c>
      <c r="X2289" s="12"/>
      <c r="Y2289" s="9" t="s">
        <v>55</v>
      </c>
      <c r="Z2289" s="13"/>
    </row>
    <row r="2290" spans="1:26" ht="32.25" hidden="1" customHeight="1">
      <c r="A2290" s="8">
        <v>2307697</v>
      </c>
      <c r="B2290" s="9" t="s">
        <v>7971</v>
      </c>
      <c r="C2290" s="10">
        <v>45136</v>
      </c>
      <c r="D2290" s="9" t="s">
        <v>40</v>
      </c>
      <c r="E2290" s="9" t="s">
        <v>41</v>
      </c>
      <c r="F2290" s="9" t="s">
        <v>42</v>
      </c>
      <c r="G2290" s="9" t="s">
        <v>43</v>
      </c>
      <c r="H2290" s="9" t="s">
        <v>44</v>
      </c>
      <c r="I2290" s="11" t="s">
        <v>199</v>
      </c>
      <c r="J2290" s="9" t="s">
        <v>200</v>
      </c>
      <c r="K2290" s="9" t="s">
        <v>47</v>
      </c>
      <c r="L2290" s="9" t="s">
        <v>1040</v>
      </c>
      <c r="M2290" s="9" t="s">
        <v>1041</v>
      </c>
      <c r="N2290" s="9" t="s">
        <v>84</v>
      </c>
      <c r="O2290" s="9" t="s">
        <v>51</v>
      </c>
      <c r="P2290" s="9"/>
      <c r="Q2290" s="9"/>
      <c r="R2290" s="9" t="s">
        <v>61</v>
      </c>
      <c r="S2290" s="9" t="s">
        <v>7972</v>
      </c>
      <c r="T2290" s="9" t="s">
        <v>7973</v>
      </c>
      <c r="U2290" s="9" t="s">
        <v>54</v>
      </c>
      <c r="V2290" s="9" t="s">
        <v>55</v>
      </c>
      <c r="W2290" s="9" t="s">
        <v>55</v>
      </c>
      <c r="X2290" s="12" t="s">
        <v>196</v>
      </c>
      <c r="Y2290" s="9" t="s">
        <v>197</v>
      </c>
      <c r="Z2290" s="13"/>
    </row>
    <row r="2291" spans="1:26" ht="32.25" hidden="1" customHeight="1">
      <c r="A2291" s="8">
        <v>2311235</v>
      </c>
      <c r="B2291" s="9" t="s">
        <v>7974</v>
      </c>
      <c r="C2291" s="10">
        <v>45149</v>
      </c>
      <c r="D2291" s="9" t="s">
        <v>261</v>
      </c>
      <c r="E2291" s="9" t="s">
        <v>143</v>
      </c>
      <c r="F2291" s="9" t="s">
        <v>262</v>
      </c>
      <c r="G2291" s="9" t="s">
        <v>43</v>
      </c>
      <c r="H2291" s="9" t="s">
        <v>44</v>
      </c>
      <c r="I2291" s="11" t="s">
        <v>1291</v>
      </c>
      <c r="J2291" s="9" t="s">
        <v>1292</v>
      </c>
      <c r="K2291" s="9" t="s">
        <v>47</v>
      </c>
      <c r="L2291" s="9" t="s">
        <v>226</v>
      </c>
      <c r="M2291" s="9" t="s">
        <v>1374</v>
      </c>
      <c r="N2291" s="9" t="s">
        <v>84</v>
      </c>
      <c r="O2291" s="9" t="s">
        <v>51</v>
      </c>
      <c r="P2291" s="9"/>
      <c r="Q2291" s="9"/>
      <c r="R2291" s="9" t="s">
        <v>61</v>
      </c>
      <c r="S2291" s="14" t="s">
        <v>7975</v>
      </c>
      <c r="T2291" s="9" t="s">
        <v>7976</v>
      </c>
      <c r="U2291" s="9" t="s">
        <v>262</v>
      </c>
      <c r="V2291" s="9" t="s">
        <v>370</v>
      </c>
      <c r="W2291" s="9" t="s">
        <v>115</v>
      </c>
      <c r="X2291" s="12" t="s">
        <v>389</v>
      </c>
      <c r="Y2291" s="9" t="s">
        <v>390</v>
      </c>
      <c r="Z2291" s="13"/>
    </row>
    <row r="2292" spans="1:26" ht="32.25" hidden="1" customHeight="1">
      <c r="A2292" s="8">
        <v>2300302</v>
      </c>
      <c r="B2292" s="9" t="s">
        <v>7977</v>
      </c>
      <c r="C2292" s="10">
        <v>45142</v>
      </c>
      <c r="D2292" s="9" t="s">
        <v>232</v>
      </c>
      <c r="E2292" s="9" t="s">
        <v>41</v>
      </c>
      <c r="F2292" s="9" t="s">
        <v>80</v>
      </c>
      <c r="G2292" s="9" t="s">
        <v>43</v>
      </c>
      <c r="H2292" s="9" t="s">
        <v>44</v>
      </c>
      <c r="I2292" s="11" t="s">
        <v>81</v>
      </c>
      <c r="J2292" s="9" t="s">
        <v>46</v>
      </c>
      <c r="K2292" s="9" t="s">
        <v>234</v>
      </c>
      <c r="L2292" s="9"/>
      <c r="M2292" s="9" t="s">
        <v>7978</v>
      </c>
      <c r="N2292" s="9" t="s">
        <v>50</v>
      </c>
      <c r="O2292" s="9" t="s">
        <v>187</v>
      </c>
      <c r="P2292" s="9" t="s">
        <v>85</v>
      </c>
      <c r="Q2292" s="9"/>
      <c r="R2292" s="9" t="s">
        <v>61</v>
      </c>
      <c r="S2292" s="9" t="s">
        <v>7979</v>
      </c>
      <c r="T2292" s="9" t="s">
        <v>7980</v>
      </c>
      <c r="U2292" s="9" t="s">
        <v>54</v>
      </c>
      <c r="V2292" s="9" t="s">
        <v>239</v>
      </c>
      <c r="W2292" s="9" t="s">
        <v>55</v>
      </c>
      <c r="X2292" s="9" t="s">
        <v>64</v>
      </c>
      <c r="Y2292" s="9" t="s">
        <v>65</v>
      </c>
      <c r="Z2292" s="13" t="s">
        <v>240</v>
      </c>
    </row>
    <row r="2293" spans="1:26" ht="32.25" hidden="1" customHeight="1">
      <c r="A2293" s="8">
        <v>2304707</v>
      </c>
      <c r="B2293" s="9" t="s">
        <v>7981</v>
      </c>
      <c r="C2293" s="10">
        <v>45142</v>
      </c>
      <c r="D2293" s="9" t="s">
        <v>67</v>
      </c>
      <c r="E2293" s="9" t="s">
        <v>41</v>
      </c>
      <c r="F2293" s="9" t="s">
        <v>42</v>
      </c>
      <c r="G2293" s="9" t="s">
        <v>43</v>
      </c>
      <c r="H2293" s="9" t="s">
        <v>44</v>
      </c>
      <c r="I2293" s="11" t="s">
        <v>45</v>
      </c>
      <c r="J2293" s="9" t="s">
        <v>46</v>
      </c>
      <c r="K2293" s="9" t="s">
        <v>47</v>
      </c>
      <c r="L2293" s="9" t="s">
        <v>777</v>
      </c>
      <c r="M2293" s="9"/>
      <c r="N2293" s="9" t="s">
        <v>50</v>
      </c>
      <c r="O2293" s="9" t="s">
        <v>51</v>
      </c>
      <c r="P2293" s="9"/>
      <c r="Q2293" s="9"/>
      <c r="R2293" s="9" t="s">
        <v>61</v>
      </c>
      <c r="S2293" s="9" t="s">
        <v>7982</v>
      </c>
      <c r="T2293" s="9" t="s">
        <v>7983</v>
      </c>
      <c r="U2293" s="9" t="s">
        <v>54</v>
      </c>
      <c r="V2293" s="9" t="s">
        <v>55</v>
      </c>
      <c r="W2293" s="9" t="s">
        <v>55</v>
      </c>
      <c r="X2293" s="9" t="s">
        <v>64</v>
      </c>
      <c r="Y2293" s="9" t="s">
        <v>65</v>
      </c>
      <c r="Z2293" s="13"/>
    </row>
    <row r="2294" spans="1:26" ht="32.25" hidden="1" customHeight="1">
      <c r="A2294" s="8">
        <v>2304450</v>
      </c>
      <c r="B2294" s="9" t="s">
        <v>7984</v>
      </c>
      <c r="C2294" s="10">
        <v>45142</v>
      </c>
      <c r="D2294" s="9" t="s">
        <v>67</v>
      </c>
      <c r="E2294" s="9" t="s">
        <v>68</v>
      </c>
      <c r="F2294" s="9" t="s">
        <v>135</v>
      </c>
      <c r="G2294" s="9" t="s">
        <v>43</v>
      </c>
      <c r="H2294" s="9" t="s">
        <v>44</v>
      </c>
      <c r="I2294" s="11" t="s">
        <v>136</v>
      </c>
      <c r="J2294" s="9" t="s">
        <v>137</v>
      </c>
      <c r="K2294" s="9" t="s">
        <v>47</v>
      </c>
      <c r="L2294" s="9" t="s">
        <v>174</v>
      </c>
      <c r="M2294" s="9" t="s">
        <v>669</v>
      </c>
      <c r="N2294" s="9" t="s">
        <v>50</v>
      </c>
      <c r="O2294" s="9" t="s">
        <v>51</v>
      </c>
      <c r="P2294" s="9"/>
      <c r="Q2294" s="9"/>
      <c r="R2294" s="9" t="s">
        <v>61</v>
      </c>
      <c r="S2294" s="9" t="s">
        <v>7985</v>
      </c>
      <c r="T2294" s="9" t="s">
        <v>7986</v>
      </c>
      <c r="U2294" s="9" t="s">
        <v>54</v>
      </c>
      <c r="V2294" s="9" t="s">
        <v>55</v>
      </c>
      <c r="W2294" s="9" t="s">
        <v>55</v>
      </c>
      <c r="X2294" s="12" t="s">
        <v>76</v>
      </c>
      <c r="Y2294" s="9" t="s">
        <v>77</v>
      </c>
      <c r="Z2294" s="13"/>
    </row>
    <row r="2295" spans="1:26" ht="32.25" hidden="1" customHeight="1">
      <c r="A2295" s="8">
        <v>2303435</v>
      </c>
      <c r="B2295" s="9" t="s">
        <v>7987</v>
      </c>
      <c r="C2295" s="10">
        <v>45136</v>
      </c>
      <c r="D2295" s="9" t="s">
        <v>940</v>
      </c>
      <c r="E2295" s="9" t="s">
        <v>143</v>
      </c>
      <c r="F2295" s="9" t="s">
        <v>42</v>
      </c>
      <c r="G2295" s="9" t="s">
        <v>43</v>
      </c>
      <c r="H2295" s="9" t="s">
        <v>44</v>
      </c>
      <c r="I2295" s="11" t="s">
        <v>219</v>
      </c>
      <c r="J2295" s="9" t="s">
        <v>220</v>
      </c>
      <c r="K2295" s="9" t="s">
        <v>47</v>
      </c>
      <c r="L2295" s="9" t="s">
        <v>1542</v>
      </c>
      <c r="M2295" s="9" t="s">
        <v>1543</v>
      </c>
      <c r="N2295" s="9" t="s">
        <v>84</v>
      </c>
      <c r="O2295" s="9" t="s">
        <v>51</v>
      </c>
      <c r="P2295" s="9"/>
      <c r="Q2295" s="9" t="s">
        <v>941</v>
      </c>
      <c r="R2295" s="9" t="s">
        <v>61</v>
      </c>
      <c r="S2295" s="9" t="s">
        <v>7988</v>
      </c>
      <c r="T2295" s="9" t="s">
        <v>7989</v>
      </c>
      <c r="U2295" s="9" t="s">
        <v>54</v>
      </c>
      <c r="V2295" s="9" t="s">
        <v>55</v>
      </c>
      <c r="W2295" s="9" t="s">
        <v>55</v>
      </c>
      <c r="X2295" s="12" t="s">
        <v>171</v>
      </c>
      <c r="Y2295" s="9" t="s">
        <v>172</v>
      </c>
      <c r="Z2295" s="13"/>
    </row>
    <row r="2296" spans="1:26" ht="32.25" hidden="1" customHeight="1">
      <c r="A2296" s="8">
        <v>2308068</v>
      </c>
      <c r="B2296" s="9" t="s">
        <v>7990</v>
      </c>
      <c r="C2296" s="10">
        <v>45149</v>
      </c>
      <c r="D2296" s="9" t="s">
        <v>57</v>
      </c>
      <c r="E2296" s="9" t="s">
        <v>41</v>
      </c>
      <c r="F2296" s="9" t="s">
        <v>42</v>
      </c>
      <c r="G2296" s="9" t="s">
        <v>43</v>
      </c>
      <c r="H2296" s="9" t="s">
        <v>58</v>
      </c>
      <c r="I2296" s="11" t="s">
        <v>45</v>
      </c>
      <c r="J2296" s="9" t="s">
        <v>46</v>
      </c>
      <c r="K2296" s="9" t="s">
        <v>47</v>
      </c>
      <c r="L2296" s="9" t="s">
        <v>221</v>
      </c>
      <c r="M2296" s="9" t="s">
        <v>1142</v>
      </c>
      <c r="N2296" s="9" t="s">
        <v>84</v>
      </c>
      <c r="O2296" s="9" t="s">
        <v>51</v>
      </c>
      <c r="P2296" s="9"/>
      <c r="Q2296" s="9"/>
      <c r="R2296" s="9" t="s">
        <v>61</v>
      </c>
      <c r="S2296" s="14" t="s">
        <v>7991</v>
      </c>
      <c r="T2296" s="9" t="s">
        <v>7992</v>
      </c>
      <c r="U2296" s="9" t="s">
        <v>54</v>
      </c>
      <c r="V2296" s="9" t="s">
        <v>55</v>
      </c>
      <c r="W2296" s="9" t="s">
        <v>55</v>
      </c>
      <c r="X2296" s="9" t="s">
        <v>196</v>
      </c>
      <c r="Y2296" s="9" t="s">
        <v>197</v>
      </c>
      <c r="Z2296" s="13"/>
    </row>
    <row r="2297" spans="1:26" ht="32.25" hidden="1" customHeight="1">
      <c r="A2297" s="8">
        <v>2312105</v>
      </c>
      <c r="B2297" s="9" t="s">
        <v>7993</v>
      </c>
      <c r="C2297" s="10">
        <v>45156</v>
      </c>
      <c r="D2297" s="9" t="s">
        <v>79</v>
      </c>
      <c r="E2297" s="9" t="s">
        <v>143</v>
      </c>
      <c r="F2297" s="9" t="s">
        <v>80</v>
      </c>
      <c r="G2297" s="9" t="s">
        <v>43</v>
      </c>
      <c r="H2297" s="9" t="s">
        <v>44</v>
      </c>
      <c r="I2297" s="11" t="s">
        <v>326</v>
      </c>
      <c r="J2297" s="9" t="s">
        <v>327</v>
      </c>
      <c r="K2297" s="9" t="s">
        <v>47</v>
      </c>
      <c r="L2297" s="9" t="s">
        <v>799</v>
      </c>
      <c r="M2297" s="9" t="s">
        <v>1490</v>
      </c>
      <c r="N2297" s="9" t="s">
        <v>50</v>
      </c>
      <c r="O2297" s="9" t="s">
        <v>51</v>
      </c>
      <c r="P2297" s="9" t="s">
        <v>1646</v>
      </c>
      <c r="Q2297" s="9"/>
      <c r="R2297" s="9" t="s">
        <v>61</v>
      </c>
      <c r="S2297" s="14" t="s">
        <v>7994</v>
      </c>
      <c r="T2297" s="9" t="s">
        <v>7995</v>
      </c>
      <c r="U2297" s="9" t="s">
        <v>54</v>
      </c>
      <c r="V2297" s="9" t="s">
        <v>55</v>
      </c>
      <c r="W2297" s="9" t="s">
        <v>55</v>
      </c>
      <c r="X2297" s="12" t="s">
        <v>150</v>
      </c>
      <c r="Y2297" s="9" t="s">
        <v>151</v>
      </c>
      <c r="Z2297" s="13"/>
    </row>
    <row r="2298" spans="1:26" ht="32.25" hidden="1" customHeight="1">
      <c r="A2298" s="8">
        <v>2307270</v>
      </c>
      <c r="B2298" s="9" t="s">
        <v>7996</v>
      </c>
      <c r="C2298" s="10">
        <v>45156</v>
      </c>
      <c r="D2298" s="9" t="s">
        <v>79</v>
      </c>
      <c r="E2298" s="9" t="s">
        <v>41</v>
      </c>
      <c r="F2298" s="9" t="s">
        <v>80</v>
      </c>
      <c r="G2298" s="9" t="s">
        <v>43</v>
      </c>
      <c r="H2298" s="9" t="s">
        <v>44</v>
      </c>
      <c r="I2298" s="11" t="s">
        <v>81</v>
      </c>
      <c r="J2298" s="9" t="s">
        <v>46</v>
      </c>
      <c r="K2298" s="9" t="s">
        <v>47</v>
      </c>
      <c r="L2298" s="9" t="s">
        <v>1310</v>
      </c>
      <c r="M2298" s="9" t="s">
        <v>1311</v>
      </c>
      <c r="N2298" s="9" t="s">
        <v>50</v>
      </c>
      <c r="O2298" s="9" t="s">
        <v>51</v>
      </c>
      <c r="P2298" s="9" t="s">
        <v>1263</v>
      </c>
      <c r="Q2298" s="9"/>
      <c r="R2298" s="9" t="s">
        <v>61</v>
      </c>
      <c r="S2298" s="14" t="s">
        <v>7997</v>
      </c>
      <c r="T2298" s="9" t="s">
        <v>7998</v>
      </c>
      <c r="U2298" s="9" t="s">
        <v>54</v>
      </c>
      <c r="V2298" s="9" t="s">
        <v>370</v>
      </c>
      <c r="W2298" s="9" t="s">
        <v>115</v>
      </c>
      <c r="X2298" s="12" t="s">
        <v>150</v>
      </c>
      <c r="Y2298" s="9" t="s">
        <v>151</v>
      </c>
      <c r="Z2298" s="13"/>
    </row>
    <row r="2299" spans="1:26" ht="32.25" hidden="1" customHeight="1">
      <c r="A2299" s="8">
        <v>2303658</v>
      </c>
      <c r="B2299" s="9" t="s">
        <v>7999</v>
      </c>
      <c r="C2299" s="10">
        <v>45142</v>
      </c>
      <c r="D2299" s="9" t="s">
        <v>67</v>
      </c>
      <c r="E2299" s="9" t="s">
        <v>68</v>
      </c>
      <c r="F2299" s="9" t="s">
        <v>135</v>
      </c>
      <c r="G2299" s="9" t="s">
        <v>43</v>
      </c>
      <c r="H2299" s="9" t="s">
        <v>44</v>
      </c>
      <c r="I2299" s="11" t="s">
        <v>136</v>
      </c>
      <c r="J2299" s="9" t="s">
        <v>137</v>
      </c>
      <c r="K2299" s="9" t="s">
        <v>416</v>
      </c>
      <c r="L2299" s="9"/>
      <c r="M2299" s="9" t="s">
        <v>8000</v>
      </c>
      <c r="N2299" s="9" t="s">
        <v>84</v>
      </c>
      <c r="O2299" s="9" t="s">
        <v>51</v>
      </c>
      <c r="P2299" s="9"/>
      <c r="Q2299" s="9"/>
      <c r="R2299" s="9" t="s">
        <v>61</v>
      </c>
      <c r="S2299" s="9" t="s">
        <v>8001</v>
      </c>
      <c r="T2299" s="9" t="s">
        <v>8002</v>
      </c>
      <c r="U2299" s="9" t="s">
        <v>54</v>
      </c>
      <c r="V2299" s="9" t="s">
        <v>55</v>
      </c>
      <c r="W2299" s="9" t="s">
        <v>55</v>
      </c>
      <c r="X2299" s="12" t="s">
        <v>76</v>
      </c>
      <c r="Y2299" s="9" t="s">
        <v>77</v>
      </c>
      <c r="Z2299" s="13"/>
    </row>
    <row r="2300" spans="1:26" ht="32.25" hidden="1" customHeight="1">
      <c r="A2300" s="8">
        <v>2314985</v>
      </c>
      <c r="B2300" s="9" t="s">
        <v>8003</v>
      </c>
      <c r="C2300" s="10">
        <v>45156</v>
      </c>
      <c r="D2300" s="9" t="s">
        <v>79</v>
      </c>
      <c r="E2300" s="9" t="s">
        <v>89</v>
      </c>
      <c r="F2300" s="9" t="s">
        <v>80</v>
      </c>
      <c r="G2300" s="9" t="s">
        <v>43</v>
      </c>
      <c r="H2300" s="9" t="s">
        <v>44</v>
      </c>
      <c r="I2300" s="11" t="s">
        <v>101</v>
      </c>
      <c r="J2300" s="9" t="s">
        <v>102</v>
      </c>
      <c r="K2300" s="9" t="s">
        <v>92</v>
      </c>
      <c r="L2300" s="9"/>
      <c r="M2300" s="9"/>
      <c r="N2300" s="9" t="s">
        <v>50</v>
      </c>
      <c r="O2300" s="9" t="s">
        <v>51</v>
      </c>
      <c r="P2300" s="9" t="s">
        <v>1402</v>
      </c>
      <c r="Q2300" s="9"/>
      <c r="R2300" s="9"/>
      <c r="S2300" s="14" t="s">
        <v>8004</v>
      </c>
      <c r="T2300" s="9" t="s">
        <v>1404</v>
      </c>
      <c r="U2300" s="9" t="s">
        <v>54</v>
      </c>
      <c r="V2300" s="9" t="s">
        <v>55</v>
      </c>
      <c r="W2300" s="9" t="s">
        <v>55</v>
      </c>
      <c r="X2300" s="12"/>
      <c r="Y2300" s="9" t="s">
        <v>55</v>
      </c>
      <c r="Z2300" s="13"/>
    </row>
    <row r="2301" spans="1:26" ht="32.25" hidden="1" customHeight="1">
      <c r="A2301" s="8">
        <v>2312057</v>
      </c>
      <c r="B2301" s="9" t="s">
        <v>8005</v>
      </c>
      <c r="C2301" s="10">
        <v>45156</v>
      </c>
      <c r="D2301" s="9" t="s">
        <v>79</v>
      </c>
      <c r="E2301" s="9" t="s">
        <v>41</v>
      </c>
      <c r="F2301" s="9" t="s">
        <v>80</v>
      </c>
      <c r="G2301" s="9" t="s">
        <v>43</v>
      </c>
      <c r="H2301" s="9" t="s">
        <v>44</v>
      </c>
      <c r="I2301" s="11" t="s">
        <v>81</v>
      </c>
      <c r="J2301" s="9" t="s">
        <v>46</v>
      </c>
      <c r="K2301" s="9" t="s">
        <v>47</v>
      </c>
      <c r="L2301" s="9" t="s">
        <v>48</v>
      </c>
      <c r="M2301" s="9" t="s">
        <v>1973</v>
      </c>
      <c r="N2301" s="9" t="s">
        <v>50</v>
      </c>
      <c r="O2301" s="9" t="s">
        <v>51</v>
      </c>
      <c r="P2301" s="9" t="s">
        <v>503</v>
      </c>
      <c r="Q2301" s="9"/>
      <c r="R2301" s="9" t="s">
        <v>61</v>
      </c>
      <c r="S2301" s="14" t="s">
        <v>8006</v>
      </c>
      <c r="T2301" s="9" t="s">
        <v>8007</v>
      </c>
      <c r="U2301" s="9" t="s">
        <v>54</v>
      </c>
      <c r="V2301" s="9" t="s">
        <v>55</v>
      </c>
      <c r="W2301" s="9" t="s">
        <v>55</v>
      </c>
      <c r="X2301" s="9" t="s">
        <v>64</v>
      </c>
      <c r="Y2301" s="9" t="s">
        <v>65</v>
      </c>
      <c r="Z2301" s="13"/>
    </row>
    <row r="2302" spans="1:26" ht="32.25" hidden="1" customHeight="1">
      <c r="A2302" s="8">
        <v>2304959</v>
      </c>
      <c r="B2302" s="9" t="s">
        <v>8008</v>
      </c>
      <c r="C2302" s="10">
        <v>45142</v>
      </c>
      <c r="D2302" s="9" t="s">
        <v>67</v>
      </c>
      <c r="E2302" s="9" t="s">
        <v>68</v>
      </c>
      <c r="F2302" s="9" t="s">
        <v>135</v>
      </c>
      <c r="G2302" s="9" t="s">
        <v>43</v>
      </c>
      <c r="H2302" s="9" t="s">
        <v>44</v>
      </c>
      <c r="I2302" s="11" t="s">
        <v>136</v>
      </c>
      <c r="J2302" s="9" t="s">
        <v>137</v>
      </c>
      <c r="K2302" s="9" t="s">
        <v>92</v>
      </c>
      <c r="L2302" s="9" t="s">
        <v>1242</v>
      </c>
      <c r="M2302" s="9" t="s">
        <v>1242</v>
      </c>
      <c r="N2302" s="9" t="s">
        <v>50</v>
      </c>
      <c r="O2302" s="9" t="s">
        <v>51</v>
      </c>
      <c r="P2302" s="9"/>
      <c r="Q2302" s="9"/>
      <c r="R2302" s="9" t="s">
        <v>61</v>
      </c>
      <c r="S2302" s="9" t="s">
        <v>8009</v>
      </c>
      <c r="T2302" s="9" t="s">
        <v>8010</v>
      </c>
      <c r="U2302" s="9" t="s">
        <v>54</v>
      </c>
      <c r="V2302" s="9" t="s">
        <v>55</v>
      </c>
      <c r="W2302" s="9" t="s">
        <v>55</v>
      </c>
      <c r="X2302" s="12" t="s">
        <v>76</v>
      </c>
      <c r="Y2302" s="9" t="s">
        <v>77</v>
      </c>
      <c r="Z2302" s="13"/>
    </row>
    <row r="2303" spans="1:26" ht="32.25" hidden="1" customHeight="1">
      <c r="A2303" s="8">
        <v>2308971</v>
      </c>
      <c r="B2303" s="9" t="s">
        <v>8011</v>
      </c>
      <c r="C2303" s="10">
        <v>45156</v>
      </c>
      <c r="D2303" s="9" t="s">
        <v>79</v>
      </c>
      <c r="E2303" s="9" t="s">
        <v>89</v>
      </c>
      <c r="F2303" s="9" t="s">
        <v>80</v>
      </c>
      <c r="G2303" s="9" t="s">
        <v>43</v>
      </c>
      <c r="H2303" s="9" t="s">
        <v>44</v>
      </c>
      <c r="I2303" s="11" t="s">
        <v>101</v>
      </c>
      <c r="J2303" s="9" t="s">
        <v>102</v>
      </c>
      <c r="K2303" s="9" t="s">
        <v>47</v>
      </c>
      <c r="L2303" s="9" t="s">
        <v>1542</v>
      </c>
      <c r="M2303" s="9" t="s">
        <v>1810</v>
      </c>
      <c r="N2303" s="9" t="s">
        <v>50</v>
      </c>
      <c r="O2303" s="9" t="s">
        <v>51</v>
      </c>
      <c r="P2303" s="9" t="s">
        <v>104</v>
      </c>
      <c r="Q2303" s="9"/>
      <c r="R2303" s="9"/>
      <c r="S2303" s="14" t="s">
        <v>8012</v>
      </c>
      <c r="T2303" s="9" t="s">
        <v>8013</v>
      </c>
      <c r="U2303" s="9" t="s">
        <v>54</v>
      </c>
      <c r="V2303" s="9" t="s">
        <v>55</v>
      </c>
      <c r="W2303" s="9" t="s">
        <v>55</v>
      </c>
      <c r="X2303" s="12"/>
      <c r="Y2303" s="9" t="s">
        <v>55</v>
      </c>
      <c r="Z2303" s="13"/>
    </row>
    <row r="2304" spans="1:26" ht="32.25" hidden="1" customHeight="1">
      <c r="A2304" s="8">
        <v>2310368</v>
      </c>
      <c r="B2304" s="9" t="s">
        <v>8014</v>
      </c>
      <c r="C2304" s="10">
        <v>45142</v>
      </c>
      <c r="D2304" s="9" t="s">
        <v>67</v>
      </c>
      <c r="E2304" s="9" t="s">
        <v>143</v>
      </c>
      <c r="F2304" s="9" t="s">
        <v>42</v>
      </c>
      <c r="G2304" s="9" t="s">
        <v>43</v>
      </c>
      <c r="H2304" s="9" t="s">
        <v>44</v>
      </c>
      <c r="I2304" s="11" t="s">
        <v>334</v>
      </c>
      <c r="J2304" s="9" t="s">
        <v>327</v>
      </c>
      <c r="K2304" s="9" t="s">
        <v>47</v>
      </c>
      <c r="L2304" s="9" t="s">
        <v>586</v>
      </c>
      <c r="M2304" s="9" t="s">
        <v>918</v>
      </c>
      <c r="N2304" s="9" t="s">
        <v>50</v>
      </c>
      <c r="O2304" s="9" t="s">
        <v>51</v>
      </c>
      <c r="P2304" s="9" t="s">
        <v>336</v>
      </c>
      <c r="Q2304" s="9"/>
      <c r="R2304" s="9" t="s">
        <v>61</v>
      </c>
      <c r="S2304" s="9" t="s">
        <v>8015</v>
      </c>
      <c r="T2304" s="9" t="s">
        <v>8016</v>
      </c>
      <c r="U2304" s="9" t="s">
        <v>54</v>
      </c>
      <c r="V2304" s="9" t="s">
        <v>55</v>
      </c>
      <c r="W2304" s="9" t="s">
        <v>55</v>
      </c>
      <c r="X2304" s="12" t="s">
        <v>150</v>
      </c>
      <c r="Y2304" s="9" t="s">
        <v>151</v>
      </c>
      <c r="Z2304" s="13"/>
    </row>
    <row r="2305" spans="1:26" ht="32.25" hidden="1" customHeight="1">
      <c r="A2305" s="8">
        <v>2310250</v>
      </c>
      <c r="B2305" s="9" t="s">
        <v>8017</v>
      </c>
      <c r="C2305" s="10">
        <v>45149</v>
      </c>
      <c r="D2305" s="9" t="s">
        <v>261</v>
      </c>
      <c r="E2305" s="9" t="s">
        <v>41</v>
      </c>
      <c r="F2305" s="9" t="s">
        <v>262</v>
      </c>
      <c r="G2305" s="9" t="s">
        <v>43</v>
      </c>
      <c r="H2305" s="9" t="s">
        <v>44</v>
      </c>
      <c r="I2305" s="11" t="s">
        <v>1553</v>
      </c>
      <c r="J2305" s="9" t="s">
        <v>1554</v>
      </c>
      <c r="K2305" s="9" t="s">
        <v>47</v>
      </c>
      <c r="L2305" s="9" t="s">
        <v>713</v>
      </c>
      <c r="M2305" s="9" t="s">
        <v>3213</v>
      </c>
      <c r="N2305" s="9" t="s">
        <v>50</v>
      </c>
      <c r="O2305" s="9" t="s">
        <v>51</v>
      </c>
      <c r="P2305" s="9"/>
      <c r="Q2305" s="9"/>
      <c r="R2305" s="9"/>
      <c r="S2305" s="14" t="s">
        <v>8018</v>
      </c>
      <c r="T2305" s="9" t="s">
        <v>8019</v>
      </c>
      <c r="U2305" s="9" t="s">
        <v>262</v>
      </c>
      <c r="V2305" s="9" t="s">
        <v>318</v>
      </c>
      <c r="W2305" s="9" t="s">
        <v>115</v>
      </c>
      <c r="X2305" s="12"/>
      <c r="Y2305" s="9" t="s">
        <v>55</v>
      </c>
      <c r="Z2305" s="13"/>
    </row>
    <row r="2306" spans="1:26" ht="32.25" hidden="1" customHeight="1">
      <c r="A2306" s="8">
        <v>2308114</v>
      </c>
      <c r="B2306" s="9" t="s">
        <v>8020</v>
      </c>
      <c r="C2306" s="10">
        <v>45149</v>
      </c>
      <c r="D2306" s="9" t="s">
        <v>57</v>
      </c>
      <c r="E2306" s="9" t="s">
        <v>41</v>
      </c>
      <c r="F2306" s="9" t="s">
        <v>42</v>
      </c>
      <c r="G2306" s="9" t="s">
        <v>43</v>
      </c>
      <c r="H2306" s="9" t="s">
        <v>58</v>
      </c>
      <c r="I2306" s="11" t="s">
        <v>199</v>
      </c>
      <c r="J2306" s="9" t="s">
        <v>200</v>
      </c>
      <c r="K2306" s="9" t="s">
        <v>47</v>
      </c>
      <c r="L2306" s="9" t="s">
        <v>156</v>
      </c>
      <c r="M2306" s="9"/>
      <c r="N2306" s="9" t="s">
        <v>50</v>
      </c>
      <c r="O2306" s="9" t="s">
        <v>51</v>
      </c>
      <c r="P2306" s="9"/>
      <c r="Q2306" s="9"/>
      <c r="R2306" s="9"/>
      <c r="S2306" s="14" t="s">
        <v>8021</v>
      </c>
      <c r="T2306" s="9" t="s">
        <v>8022</v>
      </c>
      <c r="U2306" s="9" t="s">
        <v>54</v>
      </c>
      <c r="V2306" s="9" t="s">
        <v>55</v>
      </c>
      <c r="W2306" s="9" t="s">
        <v>55</v>
      </c>
      <c r="X2306" s="12"/>
      <c r="Y2306" s="9" t="s">
        <v>55</v>
      </c>
      <c r="Z2306" s="13"/>
    </row>
    <row r="2307" spans="1:26" ht="32.25" hidden="1" customHeight="1">
      <c r="A2307" s="8">
        <v>2315430</v>
      </c>
      <c r="B2307" s="9" t="s">
        <v>8023</v>
      </c>
      <c r="C2307" s="10">
        <v>45152</v>
      </c>
      <c r="D2307" s="9" t="s">
        <v>185</v>
      </c>
      <c r="E2307" s="9" t="s">
        <v>41</v>
      </c>
      <c r="F2307" s="9" t="s">
        <v>42</v>
      </c>
      <c r="G2307" s="9" t="s">
        <v>43</v>
      </c>
      <c r="H2307" s="9" t="s">
        <v>44</v>
      </c>
      <c r="I2307" s="11" t="s">
        <v>45</v>
      </c>
      <c r="J2307" s="9" t="s">
        <v>46</v>
      </c>
      <c r="K2307" s="9" t="s">
        <v>7154</v>
      </c>
      <c r="L2307" s="9"/>
      <c r="M2307" s="9" t="s">
        <v>8024</v>
      </c>
      <c r="N2307" s="9" t="s">
        <v>50</v>
      </c>
      <c r="O2307" s="9" t="s">
        <v>187</v>
      </c>
      <c r="P2307" s="9"/>
      <c r="Q2307" s="9"/>
      <c r="R2307" s="9" t="s">
        <v>61</v>
      </c>
      <c r="S2307" s="14" t="s">
        <v>8025</v>
      </c>
      <c r="T2307" s="9" t="s">
        <v>8026</v>
      </c>
      <c r="U2307" s="9" t="s">
        <v>54</v>
      </c>
      <c r="V2307" s="9" t="s">
        <v>55</v>
      </c>
      <c r="W2307" s="9" t="s">
        <v>55</v>
      </c>
      <c r="X2307" s="12" t="s">
        <v>64</v>
      </c>
      <c r="Y2307" s="9" t="s">
        <v>65</v>
      </c>
      <c r="Z2307" s="13" t="s">
        <v>2664</v>
      </c>
    </row>
    <row r="2308" spans="1:26" ht="32.25" hidden="1" customHeight="1">
      <c r="A2308" s="8">
        <v>2302588</v>
      </c>
      <c r="B2308" s="9" t="s">
        <v>8027</v>
      </c>
      <c r="C2308" s="10">
        <v>45149</v>
      </c>
      <c r="D2308" s="9" t="s">
        <v>57</v>
      </c>
      <c r="E2308" s="9" t="s">
        <v>41</v>
      </c>
      <c r="F2308" s="9" t="s">
        <v>42</v>
      </c>
      <c r="G2308" s="9" t="s">
        <v>43</v>
      </c>
      <c r="H2308" s="9" t="s">
        <v>58</v>
      </c>
      <c r="I2308" s="11" t="s">
        <v>129</v>
      </c>
      <c r="J2308" s="9" t="s">
        <v>130</v>
      </c>
      <c r="K2308" s="9" t="s">
        <v>47</v>
      </c>
      <c r="L2308" s="9" t="s">
        <v>827</v>
      </c>
      <c r="M2308" s="9" t="s">
        <v>828</v>
      </c>
      <c r="N2308" s="9" t="s">
        <v>50</v>
      </c>
      <c r="O2308" s="9" t="s">
        <v>51</v>
      </c>
      <c r="P2308" s="9"/>
      <c r="Q2308" s="9"/>
      <c r="R2308" s="9"/>
      <c r="S2308" s="14" t="s">
        <v>8028</v>
      </c>
      <c r="T2308" s="9" t="s">
        <v>8029</v>
      </c>
      <c r="U2308" s="9" t="s">
        <v>54</v>
      </c>
      <c r="V2308" s="9" t="s">
        <v>55</v>
      </c>
      <c r="W2308" s="9" t="s">
        <v>55</v>
      </c>
      <c r="X2308" s="12"/>
      <c r="Y2308" s="9" t="s">
        <v>55</v>
      </c>
      <c r="Z2308" s="13"/>
    </row>
    <row r="2309" spans="1:26" ht="32.25" hidden="1" customHeight="1">
      <c r="A2309" s="8">
        <v>2300784</v>
      </c>
      <c r="B2309" s="9" t="s">
        <v>8030</v>
      </c>
      <c r="C2309" s="10">
        <v>45142</v>
      </c>
      <c r="D2309" s="9" t="s">
        <v>67</v>
      </c>
      <c r="E2309" s="9" t="s">
        <v>68</v>
      </c>
      <c r="F2309" s="9" t="s">
        <v>135</v>
      </c>
      <c r="G2309" s="9" t="s">
        <v>43</v>
      </c>
      <c r="H2309" s="9" t="s">
        <v>44</v>
      </c>
      <c r="I2309" s="11" t="s">
        <v>136</v>
      </c>
      <c r="J2309" s="9" t="s">
        <v>137</v>
      </c>
      <c r="K2309" s="9" t="s">
        <v>416</v>
      </c>
      <c r="L2309" s="9"/>
      <c r="M2309" s="9" t="s">
        <v>3042</v>
      </c>
      <c r="N2309" s="9" t="s">
        <v>84</v>
      </c>
      <c r="O2309" s="9" t="s">
        <v>51</v>
      </c>
      <c r="P2309" s="9"/>
      <c r="Q2309" s="9"/>
      <c r="R2309" s="9" t="s">
        <v>61</v>
      </c>
      <c r="S2309" s="9" t="s">
        <v>8031</v>
      </c>
      <c r="T2309" s="9" t="s">
        <v>8032</v>
      </c>
      <c r="U2309" s="9" t="s">
        <v>54</v>
      </c>
      <c r="V2309" s="9" t="s">
        <v>55</v>
      </c>
      <c r="W2309" s="9" t="s">
        <v>55</v>
      </c>
      <c r="X2309" s="12" t="s">
        <v>76</v>
      </c>
      <c r="Y2309" s="9" t="s">
        <v>77</v>
      </c>
      <c r="Z2309" s="13"/>
    </row>
    <row r="2310" spans="1:26" ht="32.25" hidden="1" customHeight="1">
      <c r="A2310" s="8">
        <v>2307366</v>
      </c>
      <c r="B2310" s="9" t="s">
        <v>8033</v>
      </c>
      <c r="C2310" s="10">
        <v>45149</v>
      </c>
      <c r="D2310" s="9" t="s">
        <v>57</v>
      </c>
      <c r="E2310" s="9" t="s">
        <v>41</v>
      </c>
      <c r="F2310" s="9" t="s">
        <v>42</v>
      </c>
      <c r="G2310" s="9" t="s">
        <v>43</v>
      </c>
      <c r="H2310" s="9" t="s">
        <v>58</v>
      </c>
      <c r="I2310" s="11" t="s">
        <v>1073</v>
      </c>
      <c r="J2310" s="9" t="s">
        <v>479</v>
      </c>
      <c r="K2310" s="9" t="s">
        <v>47</v>
      </c>
      <c r="L2310" s="9" t="s">
        <v>156</v>
      </c>
      <c r="M2310" s="9"/>
      <c r="N2310" s="9" t="s">
        <v>50</v>
      </c>
      <c r="O2310" s="9" t="s">
        <v>51</v>
      </c>
      <c r="P2310" s="9"/>
      <c r="Q2310" s="9"/>
      <c r="R2310" s="9"/>
      <c r="S2310" s="14" t="s">
        <v>8034</v>
      </c>
      <c r="T2310" s="9" t="s">
        <v>8035</v>
      </c>
      <c r="U2310" s="9" t="s">
        <v>54</v>
      </c>
      <c r="V2310" s="9" t="s">
        <v>55</v>
      </c>
      <c r="W2310" s="9" t="s">
        <v>55</v>
      </c>
      <c r="X2310" s="12"/>
      <c r="Y2310" s="9" t="s">
        <v>55</v>
      </c>
      <c r="Z2310" s="13"/>
    </row>
    <row r="2311" spans="1:26" ht="32.25" hidden="1" customHeight="1">
      <c r="A2311" s="8">
        <v>2303403</v>
      </c>
      <c r="B2311" s="9" t="s">
        <v>8036</v>
      </c>
      <c r="C2311" s="10">
        <v>45149</v>
      </c>
      <c r="D2311" s="9" t="s">
        <v>261</v>
      </c>
      <c r="E2311" s="9" t="s">
        <v>89</v>
      </c>
      <c r="F2311" s="9" t="s">
        <v>262</v>
      </c>
      <c r="G2311" s="9" t="s">
        <v>43</v>
      </c>
      <c r="H2311" s="9" t="s">
        <v>44</v>
      </c>
      <c r="I2311" s="11" t="s">
        <v>2483</v>
      </c>
      <c r="J2311" s="9" t="s">
        <v>2484</v>
      </c>
      <c r="K2311" s="9" t="s">
        <v>47</v>
      </c>
      <c r="L2311" s="9" t="s">
        <v>586</v>
      </c>
      <c r="M2311" s="9" t="s">
        <v>587</v>
      </c>
      <c r="N2311" s="9" t="s">
        <v>50</v>
      </c>
      <c r="O2311" s="9" t="s">
        <v>51</v>
      </c>
      <c r="P2311" s="9"/>
      <c r="Q2311" s="9"/>
      <c r="R2311" s="9" t="s">
        <v>61</v>
      </c>
      <c r="S2311" s="14" t="s">
        <v>8037</v>
      </c>
      <c r="T2311" s="9" t="s">
        <v>8038</v>
      </c>
      <c r="U2311" s="9" t="s">
        <v>262</v>
      </c>
      <c r="V2311" s="9" t="s">
        <v>711</v>
      </c>
      <c r="W2311" s="9" t="s">
        <v>115</v>
      </c>
      <c r="X2311" s="12" t="s">
        <v>389</v>
      </c>
      <c r="Y2311" s="9" t="s">
        <v>390</v>
      </c>
      <c r="Z2311" s="13"/>
    </row>
    <row r="2312" spans="1:26" ht="32.25" hidden="1" customHeight="1">
      <c r="A2312" s="8">
        <v>2311117</v>
      </c>
      <c r="B2312" s="9" t="s">
        <v>8039</v>
      </c>
      <c r="C2312" s="10">
        <v>45149</v>
      </c>
      <c r="D2312" s="9" t="s">
        <v>261</v>
      </c>
      <c r="E2312" s="9" t="s">
        <v>143</v>
      </c>
      <c r="F2312" s="9" t="s">
        <v>262</v>
      </c>
      <c r="G2312" s="9" t="s">
        <v>43</v>
      </c>
      <c r="H2312" s="9" t="s">
        <v>44</v>
      </c>
      <c r="I2312" s="11" t="s">
        <v>384</v>
      </c>
      <c r="J2312" s="9" t="s">
        <v>385</v>
      </c>
      <c r="K2312" s="9" t="s">
        <v>47</v>
      </c>
      <c r="L2312" s="9" t="s">
        <v>156</v>
      </c>
      <c r="M2312" s="9"/>
      <c r="N2312" s="9" t="s">
        <v>84</v>
      </c>
      <c r="O2312" s="9" t="s">
        <v>51</v>
      </c>
      <c r="P2312" s="9"/>
      <c r="Q2312" s="9"/>
      <c r="R2312" s="9"/>
      <c r="S2312" s="14" t="s">
        <v>8040</v>
      </c>
      <c r="T2312" s="9" t="s">
        <v>8041</v>
      </c>
      <c r="U2312" s="9" t="s">
        <v>262</v>
      </c>
      <c r="V2312" s="9"/>
      <c r="W2312" s="9" t="s">
        <v>115</v>
      </c>
      <c r="X2312" s="12"/>
      <c r="Y2312" s="9" t="s">
        <v>55</v>
      </c>
      <c r="Z2312" s="13"/>
    </row>
    <row r="2313" spans="1:26" ht="32.25" hidden="1" customHeight="1">
      <c r="A2313" s="8">
        <v>2315410</v>
      </c>
      <c r="B2313" s="9" t="s">
        <v>8042</v>
      </c>
      <c r="C2313" s="10">
        <v>45152</v>
      </c>
      <c r="D2313" s="9" t="s">
        <v>185</v>
      </c>
      <c r="E2313" s="9" t="s">
        <v>41</v>
      </c>
      <c r="F2313" s="9" t="s">
        <v>42</v>
      </c>
      <c r="G2313" s="9" t="s">
        <v>43</v>
      </c>
      <c r="H2313" s="9" t="s">
        <v>44</v>
      </c>
      <c r="I2313" s="11" t="s">
        <v>1073</v>
      </c>
      <c r="J2313" s="9" t="s">
        <v>479</v>
      </c>
      <c r="K2313" s="9" t="s">
        <v>1158</v>
      </c>
      <c r="L2313" s="9"/>
      <c r="M2313" s="9" t="s">
        <v>1159</v>
      </c>
      <c r="N2313" s="9" t="s">
        <v>50</v>
      </c>
      <c r="O2313" s="9" t="s">
        <v>187</v>
      </c>
      <c r="P2313" s="9"/>
      <c r="Q2313" s="9"/>
      <c r="R2313" s="9" t="s">
        <v>61</v>
      </c>
      <c r="S2313" s="14" t="s">
        <v>8043</v>
      </c>
      <c r="T2313" s="9" t="s">
        <v>8044</v>
      </c>
      <c r="U2313" s="9" t="s">
        <v>54</v>
      </c>
      <c r="V2313" s="9" t="s">
        <v>55</v>
      </c>
      <c r="W2313" s="9" t="s">
        <v>55</v>
      </c>
      <c r="X2313" s="9" t="s">
        <v>196</v>
      </c>
      <c r="Y2313" s="9" t="s">
        <v>197</v>
      </c>
      <c r="Z2313" s="13"/>
    </row>
    <row r="2314" spans="1:26" ht="32.25" hidden="1" customHeight="1">
      <c r="A2314" s="8">
        <v>2301650</v>
      </c>
      <c r="B2314" s="9" t="s">
        <v>8045</v>
      </c>
      <c r="C2314" s="10">
        <v>45149</v>
      </c>
      <c r="D2314" s="9" t="s">
        <v>57</v>
      </c>
      <c r="E2314" s="9" t="s">
        <v>41</v>
      </c>
      <c r="F2314" s="9" t="s">
        <v>42</v>
      </c>
      <c r="G2314" s="9" t="s">
        <v>43</v>
      </c>
      <c r="H2314" s="9" t="s">
        <v>58</v>
      </c>
      <c r="I2314" s="11" t="s">
        <v>45</v>
      </c>
      <c r="J2314" s="9" t="s">
        <v>46</v>
      </c>
      <c r="K2314" s="9" t="s">
        <v>47</v>
      </c>
      <c r="L2314" s="9" t="s">
        <v>48</v>
      </c>
      <c r="M2314" s="9" t="s">
        <v>1943</v>
      </c>
      <c r="N2314" s="9" t="s">
        <v>50</v>
      </c>
      <c r="O2314" s="9" t="s">
        <v>51</v>
      </c>
      <c r="P2314" s="9"/>
      <c r="Q2314" s="9"/>
      <c r="R2314" s="9"/>
      <c r="S2314" s="14" t="s">
        <v>8046</v>
      </c>
      <c r="T2314" s="9" t="s">
        <v>8047</v>
      </c>
      <c r="U2314" s="9" t="s">
        <v>54</v>
      </c>
      <c r="V2314" s="9" t="s">
        <v>55</v>
      </c>
      <c r="W2314" s="9" t="s">
        <v>55</v>
      </c>
      <c r="X2314" s="12"/>
      <c r="Y2314" s="9" t="s">
        <v>55</v>
      </c>
      <c r="Z2314" s="13"/>
    </row>
    <row r="2315" spans="1:26" ht="32.25" hidden="1" customHeight="1">
      <c r="A2315" s="8">
        <v>2305452</v>
      </c>
      <c r="B2315" s="9" t="s">
        <v>8048</v>
      </c>
      <c r="C2315" s="10">
        <v>45136</v>
      </c>
      <c r="D2315" s="9" t="s">
        <v>301</v>
      </c>
      <c r="E2315" s="9" t="s">
        <v>153</v>
      </c>
      <c r="F2315" s="9" t="s">
        <v>42</v>
      </c>
      <c r="G2315" s="9" t="s">
        <v>43</v>
      </c>
      <c r="H2315" s="9" t="s">
        <v>44</v>
      </c>
      <c r="I2315" s="11" t="s">
        <v>154</v>
      </c>
      <c r="J2315" s="9" t="s">
        <v>155</v>
      </c>
      <c r="K2315" s="9" t="s">
        <v>47</v>
      </c>
      <c r="L2315" s="9" t="s">
        <v>226</v>
      </c>
      <c r="M2315" s="9" t="s">
        <v>1049</v>
      </c>
      <c r="N2315" s="9" t="s">
        <v>84</v>
      </c>
      <c r="O2315" s="9" t="s">
        <v>51</v>
      </c>
      <c r="P2315" s="9"/>
      <c r="Q2315" s="9"/>
      <c r="R2315" s="9" t="s">
        <v>61</v>
      </c>
      <c r="S2315" s="9" t="s">
        <v>8049</v>
      </c>
      <c r="T2315" s="9" t="s">
        <v>8050</v>
      </c>
      <c r="U2315" s="9" t="s">
        <v>54</v>
      </c>
      <c r="V2315" s="9" t="s">
        <v>55</v>
      </c>
      <c r="W2315" s="9" t="s">
        <v>55</v>
      </c>
      <c r="X2315" s="12" t="s">
        <v>171</v>
      </c>
      <c r="Y2315" s="9" t="s">
        <v>172</v>
      </c>
      <c r="Z2315" s="13"/>
    </row>
    <row r="2316" spans="1:26" ht="32.25" hidden="1" customHeight="1">
      <c r="A2316" s="8">
        <v>2311020</v>
      </c>
      <c r="B2316" s="9" t="s">
        <v>8051</v>
      </c>
      <c r="C2316" s="10">
        <v>45156</v>
      </c>
      <c r="D2316" s="9" t="s">
        <v>79</v>
      </c>
      <c r="E2316" s="9" t="s">
        <v>41</v>
      </c>
      <c r="F2316" s="9" t="s">
        <v>80</v>
      </c>
      <c r="G2316" s="9" t="s">
        <v>43</v>
      </c>
      <c r="H2316" s="9" t="s">
        <v>44</v>
      </c>
      <c r="I2316" s="11" t="s">
        <v>478</v>
      </c>
      <c r="J2316" s="9" t="s">
        <v>479</v>
      </c>
      <c r="K2316" s="9" t="s">
        <v>47</v>
      </c>
      <c r="L2316" s="9" t="s">
        <v>48</v>
      </c>
      <c r="M2316" s="9" t="s">
        <v>1283</v>
      </c>
      <c r="N2316" s="9" t="s">
        <v>50</v>
      </c>
      <c r="O2316" s="9" t="s">
        <v>51</v>
      </c>
      <c r="P2316" s="9" t="s">
        <v>482</v>
      </c>
      <c r="Q2316" s="9"/>
      <c r="R2316" s="9"/>
      <c r="S2316" s="14" t="s">
        <v>8052</v>
      </c>
      <c r="T2316" s="9" t="s">
        <v>8053</v>
      </c>
      <c r="U2316" s="9" t="s">
        <v>54</v>
      </c>
      <c r="V2316" s="9" t="s">
        <v>55</v>
      </c>
      <c r="W2316" s="9" t="s">
        <v>55</v>
      </c>
      <c r="X2316" s="12"/>
      <c r="Y2316" s="9" t="s">
        <v>55</v>
      </c>
      <c r="Z2316" s="13"/>
    </row>
    <row r="2317" spans="1:26" ht="32.25" hidden="1" customHeight="1">
      <c r="A2317" s="8">
        <v>2315549</v>
      </c>
      <c r="B2317" s="9" t="s">
        <v>8054</v>
      </c>
      <c r="C2317" s="10">
        <v>45155</v>
      </c>
      <c r="D2317" s="9" t="s">
        <v>392</v>
      </c>
      <c r="E2317" s="9" t="s">
        <v>153</v>
      </c>
      <c r="F2317" s="9" t="s">
        <v>80</v>
      </c>
      <c r="G2317" s="9" t="s">
        <v>43</v>
      </c>
      <c r="H2317" s="9" t="s">
        <v>44</v>
      </c>
      <c r="I2317" s="11" t="s">
        <v>1588</v>
      </c>
      <c r="J2317" s="9" t="s">
        <v>155</v>
      </c>
      <c r="K2317" s="9" t="s">
        <v>2707</v>
      </c>
      <c r="L2317" s="9"/>
      <c r="M2317" s="9" t="s">
        <v>8055</v>
      </c>
      <c r="N2317" s="9" t="s">
        <v>50</v>
      </c>
      <c r="O2317" s="9" t="s">
        <v>187</v>
      </c>
      <c r="P2317" s="9" t="s">
        <v>1589</v>
      </c>
      <c r="Q2317" s="9"/>
      <c r="R2317" s="9" t="s">
        <v>61</v>
      </c>
      <c r="S2317" s="14" t="s">
        <v>641</v>
      </c>
      <c r="T2317" s="9" t="s">
        <v>8056</v>
      </c>
      <c r="U2317" s="9" t="s">
        <v>54</v>
      </c>
      <c r="V2317" s="9" t="s">
        <v>55</v>
      </c>
      <c r="W2317" s="9" t="s">
        <v>55</v>
      </c>
      <c r="X2317" s="12" t="s">
        <v>319</v>
      </c>
      <c r="Y2317" s="9" t="s">
        <v>320</v>
      </c>
      <c r="Z2317" s="13"/>
    </row>
    <row r="2318" spans="1:26" ht="32.25" hidden="1" customHeight="1">
      <c r="A2318" s="8">
        <v>2304375</v>
      </c>
      <c r="B2318" s="9" t="s">
        <v>8057</v>
      </c>
      <c r="C2318" s="10">
        <v>45149</v>
      </c>
      <c r="D2318" s="9" t="s">
        <v>57</v>
      </c>
      <c r="E2318" s="9" t="s">
        <v>295</v>
      </c>
      <c r="F2318" s="9" t="s">
        <v>42</v>
      </c>
      <c r="G2318" s="9" t="s">
        <v>43</v>
      </c>
      <c r="H2318" s="9" t="s">
        <v>58</v>
      </c>
      <c r="I2318" s="11" t="s">
        <v>406</v>
      </c>
      <c r="J2318" s="9" t="s">
        <v>407</v>
      </c>
      <c r="K2318" s="9" t="s">
        <v>47</v>
      </c>
      <c r="L2318" s="9" t="s">
        <v>156</v>
      </c>
      <c r="M2318" s="9"/>
      <c r="N2318" s="9" t="s">
        <v>84</v>
      </c>
      <c r="O2318" s="9" t="s">
        <v>51</v>
      </c>
      <c r="P2318" s="9"/>
      <c r="Q2318" s="9"/>
      <c r="R2318" s="9"/>
      <c r="S2318" s="14" t="s">
        <v>8058</v>
      </c>
      <c r="T2318" s="9" t="s">
        <v>8059</v>
      </c>
      <c r="U2318" s="9" t="s">
        <v>54</v>
      </c>
      <c r="V2318" s="9" t="s">
        <v>55</v>
      </c>
      <c r="W2318" s="9" t="s">
        <v>55</v>
      </c>
      <c r="X2318" s="12"/>
      <c r="Y2318" s="9" t="s">
        <v>55</v>
      </c>
      <c r="Z2318" s="13"/>
    </row>
    <row r="2319" spans="1:26" ht="32.25" hidden="1" customHeight="1">
      <c r="A2319" s="8">
        <v>2309998</v>
      </c>
      <c r="B2319" s="9" t="s">
        <v>8060</v>
      </c>
      <c r="C2319" s="10">
        <v>45156</v>
      </c>
      <c r="D2319" s="9" t="s">
        <v>79</v>
      </c>
      <c r="E2319" s="9" t="s">
        <v>68</v>
      </c>
      <c r="F2319" s="9" t="s">
        <v>80</v>
      </c>
      <c r="G2319" s="9" t="s">
        <v>43</v>
      </c>
      <c r="H2319" s="9" t="s">
        <v>44</v>
      </c>
      <c r="I2319" s="11" t="s">
        <v>696</v>
      </c>
      <c r="J2319" s="9" t="s">
        <v>70</v>
      </c>
      <c r="K2319" s="9" t="s">
        <v>416</v>
      </c>
      <c r="L2319" s="9"/>
      <c r="M2319" s="9" t="s">
        <v>4814</v>
      </c>
      <c r="N2319" s="9" t="s">
        <v>50</v>
      </c>
      <c r="O2319" s="9" t="s">
        <v>51</v>
      </c>
      <c r="P2319" s="9" t="s">
        <v>698</v>
      </c>
      <c r="Q2319" s="9"/>
      <c r="R2319" s="9" t="s">
        <v>61</v>
      </c>
      <c r="S2319" s="14" t="s">
        <v>8061</v>
      </c>
      <c r="T2319" s="9" t="s">
        <v>8062</v>
      </c>
      <c r="U2319" s="9" t="s">
        <v>54</v>
      </c>
      <c r="V2319" s="9" t="s">
        <v>55</v>
      </c>
      <c r="W2319" s="9" t="s">
        <v>115</v>
      </c>
      <c r="X2319" s="12" t="s">
        <v>76</v>
      </c>
      <c r="Y2319" s="9" t="s">
        <v>77</v>
      </c>
      <c r="Z2319" s="13"/>
    </row>
    <row r="2320" spans="1:26" ht="32.25" hidden="1" customHeight="1">
      <c r="A2320" s="8">
        <v>2309838</v>
      </c>
      <c r="B2320" s="9" t="s">
        <v>8063</v>
      </c>
      <c r="C2320" s="10">
        <v>45149</v>
      </c>
      <c r="D2320" s="9" t="s">
        <v>261</v>
      </c>
      <c r="E2320" s="9" t="s">
        <v>143</v>
      </c>
      <c r="F2320" s="9" t="s">
        <v>262</v>
      </c>
      <c r="G2320" s="9" t="s">
        <v>43</v>
      </c>
      <c r="H2320" s="9" t="s">
        <v>44</v>
      </c>
      <c r="I2320" s="11" t="s">
        <v>1620</v>
      </c>
      <c r="J2320" s="9" t="s">
        <v>1621</v>
      </c>
      <c r="K2320" s="9" t="s">
        <v>47</v>
      </c>
      <c r="L2320" s="9" t="s">
        <v>437</v>
      </c>
      <c r="M2320" s="9" t="s">
        <v>8064</v>
      </c>
      <c r="N2320" s="9" t="s">
        <v>50</v>
      </c>
      <c r="O2320" s="9" t="s">
        <v>51</v>
      </c>
      <c r="P2320" s="9"/>
      <c r="Q2320" s="9"/>
      <c r="R2320" s="9"/>
      <c r="S2320" s="14" t="s">
        <v>8065</v>
      </c>
      <c r="T2320" s="9" t="s">
        <v>8066</v>
      </c>
      <c r="U2320" s="9" t="s">
        <v>262</v>
      </c>
      <c r="V2320" s="9" t="s">
        <v>55</v>
      </c>
      <c r="W2320" s="9" t="s">
        <v>115</v>
      </c>
      <c r="X2320" s="12"/>
      <c r="Y2320" s="9" t="s">
        <v>55</v>
      </c>
      <c r="Z2320" s="13"/>
    </row>
    <row r="2321" spans="1:26" ht="32.25" hidden="1" customHeight="1">
      <c r="A2321" s="8">
        <v>2301389</v>
      </c>
      <c r="B2321" s="9" t="s">
        <v>8067</v>
      </c>
      <c r="C2321" s="10">
        <v>45136</v>
      </c>
      <c r="D2321" s="9" t="s">
        <v>40</v>
      </c>
      <c r="E2321" s="9" t="s">
        <v>41</v>
      </c>
      <c r="F2321" s="9" t="s">
        <v>42</v>
      </c>
      <c r="G2321" s="9" t="s">
        <v>43</v>
      </c>
      <c r="H2321" s="9" t="s">
        <v>44</v>
      </c>
      <c r="I2321" s="11" t="s">
        <v>45</v>
      </c>
      <c r="J2321" s="9" t="s">
        <v>46</v>
      </c>
      <c r="K2321" s="9" t="s">
        <v>47</v>
      </c>
      <c r="L2321" s="9" t="s">
        <v>1333</v>
      </c>
      <c r="M2321" s="9" t="s">
        <v>1334</v>
      </c>
      <c r="N2321" s="9" t="s">
        <v>50</v>
      </c>
      <c r="O2321" s="9" t="s">
        <v>51</v>
      </c>
      <c r="P2321" s="9"/>
      <c r="Q2321" s="9"/>
      <c r="R2321" s="9" t="s">
        <v>61</v>
      </c>
      <c r="S2321" s="9" t="s">
        <v>8068</v>
      </c>
      <c r="T2321" s="9" t="s">
        <v>8069</v>
      </c>
      <c r="U2321" s="9" t="s">
        <v>54</v>
      </c>
      <c r="V2321" s="9" t="s">
        <v>55</v>
      </c>
      <c r="W2321" s="9" t="s">
        <v>55</v>
      </c>
      <c r="X2321" s="9" t="s">
        <v>64</v>
      </c>
      <c r="Y2321" s="9" t="s">
        <v>65</v>
      </c>
      <c r="Z2321" s="13"/>
    </row>
    <row r="2322" spans="1:26" ht="32.25" hidden="1" customHeight="1">
      <c r="A2322" s="8">
        <v>2310033</v>
      </c>
      <c r="B2322" s="9" t="s">
        <v>8070</v>
      </c>
      <c r="C2322" s="10">
        <v>45142</v>
      </c>
      <c r="D2322" s="9" t="s">
        <v>67</v>
      </c>
      <c r="E2322" s="9" t="s">
        <v>143</v>
      </c>
      <c r="F2322" s="9" t="s">
        <v>42</v>
      </c>
      <c r="G2322" s="9" t="s">
        <v>43</v>
      </c>
      <c r="H2322" s="9" t="s">
        <v>44</v>
      </c>
      <c r="I2322" s="11" t="s">
        <v>334</v>
      </c>
      <c r="J2322" s="9" t="s">
        <v>327</v>
      </c>
      <c r="K2322" s="9" t="s">
        <v>47</v>
      </c>
      <c r="L2322" s="9" t="s">
        <v>1378</v>
      </c>
      <c r="M2322" s="9" t="s">
        <v>8071</v>
      </c>
      <c r="N2322" s="9" t="s">
        <v>50</v>
      </c>
      <c r="O2322" s="9" t="s">
        <v>51</v>
      </c>
      <c r="P2322" s="9" t="s">
        <v>336</v>
      </c>
      <c r="Q2322" s="9"/>
      <c r="R2322" s="9" t="s">
        <v>61</v>
      </c>
      <c r="S2322" s="9" t="s">
        <v>8072</v>
      </c>
      <c r="T2322" s="9" t="s">
        <v>8073</v>
      </c>
      <c r="U2322" s="9" t="s">
        <v>54</v>
      </c>
      <c r="V2322" s="9" t="s">
        <v>55</v>
      </c>
      <c r="W2322" s="9" t="s">
        <v>55</v>
      </c>
      <c r="X2322" s="12" t="s">
        <v>150</v>
      </c>
      <c r="Y2322" s="9" t="s">
        <v>151</v>
      </c>
      <c r="Z2322" s="13"/>
    </row>
    <row r="2323" spans="1:26" ht="32.25" hidden="1" customHeight="1">
      <c r="A2323" s="8">
        <v>2311180</v>
      </c>
      <c r="B2323" s="9" t="s">
        <v>8074</v>
      </c>
      <c r="C2323" s="10">
        <v>45156</v>
      </c>
      <c r="D2323" s="9" t="s">
        <v>79</v>
      </c>
      <c r="E2323" s="9" t="s">
        <v>68</v>
      </c>
      <c r="F2323" s="9" t="s">
        <v>80</v>
      </c>
      <c r="G2323" s="9" t="s">
        <v>43</v>
      </c>
      <c r="H2323" s="9" t="s">
        <v>44</v>
      </c>
      <c r="I2323" s="11" t="s">
        <v>101</v>
      </c>
      <c r="J2323" s="9" t="s">
        <v>102</v>
      </c>
      <c r="K2323" s="9" t="s">
        <v>110</v>
      </c>
      <c r="L2323" s="9"/>
      <c r="M2323" s="9" t="s">
        <v>3623</v>
      </c>
      <c r="N2323" s="9" t="s">
        <v>50</v>
      </c>
      <c r="O2323" s="9" t="s">
        <v>51</v>
      </c>
      <c r="P2323" s="9" t="s">
        <v>379</v>
      </c>
      <c r="Q2323" s="9"/>
      <c r="R2323" s="9" t="s">
        <v>61</v>
      </c>
      <c r="S2323" s="14" t="s">
        <v>8075</v>
      </c>
      <c r="T2323" s="9" t="s">
        <v>8076</v>
      </c>
      <c r="U2323" s="9" t="s">
        <v>54</v>
      </c>
      <c r="V2323" s="9" t="s">
        <v>55</v>
      </c>
      <c r="W2323" s="9" t="s">
        <v>55</v>
      </c>
      <c r="X2323" s="12" t="s">
        <v>196</v>
      </c>
      <c r="Y2323" s="9" t="s">
        <v>197</v>
      </c>
      <c r="Z2323" s="13"/>
    </row>
    <row r="2324" spans="1:26" ht="32.25" hidden="1" customHeight="1">
      <c r="A2324" s="8">
        <v>2306686</v>
      </c>
      <c r="B2324" s="9" t="s">
        <v>8077</v>
      </c>
      <c r="C2324" s="10">
        <v>45156</v>
      </c>
      <c r="D2324" s="9" t="s">
        <v>565</v>
      </c>
      <c r="E2324" s="9" t="s">
        <v>153</v>
      </c>
      <c r="F2324" s="9" t="s">
        <v>42</v>
      </c>
      <c r="G2324" s="9" t="s">
        <v>43</v>
      </c>
      <c r="H2324" s="9" t="s">
        <v>58</v>
      </c>
      <c r="I2324" s="11" t="s">
        <v>154</v>
      </c>
      <c r="J2324" s="9" t="s">
        <v>155</v>
      </c>
      <c r="K2324" s="9" t="s">
        <v>47</v>
      </c>
      <c r="L2324" s="9" t="s">
        <v>764</v>
      </c>
      <c r="M2324" s="9"/>
      <c r="N2324" s="9" t="s">
        <v>84</v>
      </c>
      <c r="O2324" s="9" t="s">
        <v>51</v>
      </c>
      <c r="P2324" s="9"/>
      <c r="Q2324" s="9"/>
      <c r="R2324" s="9" t="s">
        <v>61</v>
      </c>
      <c r="S2324" s="14" t="s">
        <v>8078</v>
      </c>
      <c r="T2324" s="9" t="s">
        <v>8079</v>
      </c>
      <c r="U2324" s="9" t="s">
        <v>54</v>
      </c>
      <c r="V2324" s="9" t="s">
        <v>55</v>
      </c>
      <c r="W2324" s="9" t="s">
        <v>55</v>
      </c>
      <c r="X2324" s="12" t="s">
        <v>171</v>
      </c>
      <c r="Y2324" s="9" t="s">
        <v>172</v>
      </c>
      <c r="Z2324" s="13"/>
    </row>
    <row r="2325" spans="1:26" ht="32.25" hidden="1" customHeight="1">
      <c r="A2325" s="8">
        <v>2306342</v>
      </c>
      <c r="B2325" s="9" t="s">
        <v>8080</v>
      </c>
      <c r="C2325" s="10">
        <v>45156</v>
      </c>
      <c r="D2325" s="9" t="s">
        <v>79</v>
      </c>
      <c r="E2325" s="9" t="s">
        <v>41</v>
      </c>
      <c r="F2325" s="9" t="s">
        <v>80</v>
      </c>
      <c r="G2325" s="9" t="s">
        <v>43</v>
      </c>
      <c r="H2325" s="9" t="s">
        <v>44</v>
      </c>
      <c r="I2325" s="11" t="s">
        <v>233</v>
      </c>
      <c r="J2325" s="9" t="s">
        <v>200</v>
      </c>
      <c r="K2325" s="9" t="s">
        <v>47</v>
      </c>
      <c r="L2325" s="9" t="s">
        <v>156</v>
      </c>
      <c r="M2325" s="9"/>
      <c r="N2325" s="9" t="s">
        <v>50</v>
      </c>
      <c r="O2325" s="9" t="s">
        <v>51</v>
      </c>
      <c r="P2325" s="9" t="s">
        <v>443</v>
      </c>
      <c r="Q2325" s="9"/>
      <c r="R2325" s="9"/>
      <c r="S2325" s="14" t="s">
        <v>8081</v>
      </c>
      <c r="T2325" s="9" t="s">
        <v>8082</v>
      </c>
      <c r="U2325" s="9" t="s">
        <v>54</v>
      </c>
      <c r="V2325" s="9"/>
      <c r="W2325" s="9" t="s">
        <v>115</v>
      </c>
      <c r="X2325" s="12"/>
      <c r="Y2325" s="9" t="s">
        <v>55</v>
      </c>
      <c r="Z2325" s="13"/>
    </row>
    <row r="2326" spans="1:26" ht="32.25" hidden="1" customHeight="1">
      <c r="A2326" s="8">
        <v>2309921</v>
      </c>
      <c r="B2326" s="9" t="s">
        <v>8083</v>
      </c>
      <c r="C2326" s="10">
        <v>45136</v>
      </c>
      <c r="D2326" s="9" t="s">
        <v>40</v>
      </c>
      <c r="E2326" s="9" t="s">
        <v>295</v>
      </c>
      <c r="F2326" s="9" t="s">
        <v>42</v>
      </c>
      <c r="G2326" s="9" t="s">
        <v>43</v>
      </c>
      <c r="H2326" s="9" t="s">
        <v>44</v>
      </c>
      <c r="I2326" s="11" t="s">
        <v>406</v>
      </c>
      <c r="J2326" s="9" t="s">
        <v>407</v>
      </c>
      <c r="K2326" s="9" t="s">
        <v>47</v>
      </c>
      <c r="L2326" s="9" t="s">
        <v>598</v>
      </c>
      <c r="M2326" s="9" t="s">
        <v>599</v>
      </c>
      <c r="N2326" s="9" t="s">
        <v>84</v>
      </c>
      <c r="O2326" s="9" t="s">
        <v>51</v>
      </c>
      <c r="P2326" s="9"/>
      <c r="Q2326" s="9"/>
      <c r="R2326" s="9" t="s">
        <v>61</v>
      </c>
      <c r="S2326" s="9" t="s">
        <v>8084</v>
      </c>
      <c r="T2326" s="9" t="s">
        <v>8085</v>
      </c>
      <c r="U2326" s="9" t="s">
        <v>54</v>
      </c>
      <c r="V2326" s="9" t="s">
        <v>55</v>
      </c>
      <c r="W2326" s="9" t="s">
        <v>55</v>
      </c>
      <c r="X2326" s="9" t="s">
        <v>319</v>
      </c>
      <c r="Y2326" s="9" t="s">
        <v>320</v>
      </c>
      <c r="Z2326" s="13"/>
    </row>
    <row r="2327" spans="1:26" ht="32.25" hidden="1" customHeight="1">
      <c r="A2327" s="8">
        <v>2303862</v>
      </c>
      <c r="B2327" s="9" t="s">
        <v>8086</v>
      </c>
      <c r="C2327" s="10">
        <v>45156</v>
      </c>
      <c r="D2327" s="9" t="s">
        <v>79</v>
      </c>
      <c r="E2327" s="9" t="s">
        <v>41</v>
      </c>
      <c r="F2327" s="9" t="s">
        <v>80</v>
      </c>
      <c r="G2327" s="9" t="s">
        <v>43</v>
      </c>
      <c r="H2327" s="9" t="s">
        <v>44</v>
      </c>
      <c r="I2327" s="11" t="s">
        <v>478</v>
      </c>
      <c r="J2327" s="9" t="s">
        <v>479</v>
      </c>
      <c r="K2327" s="9" t="s">
        <v>47</v>
      </c>
      <c r="L2327" s="9" t="s">
        <v>2233</v>
      </c>
      <c r="M2327" s="9" t="s">
        <v>2234</v>
      </c>
      <c r="N2327" s="9" t="s">
        <v>50</v>
      </c>
      <c r="O2327" s="9" t="s">
        <v>51</v>
      </c>
      <c r="P2327" s="9" t="s">
        <v>482</v>
      </c>
      <c r="Q2327" s="9"/>
      <c r="R2327" s="9" t="s">
        <v>61</v>
      </c>
      <c r="S2327" s="14" t="s">
        <v>8087</v>
      </c>
      <c r="T2327" s="9" t="s">
        <v>8088</v>
      </c>
      <c r="U2327" s="9" t="s">
        <v>54</v>
      </c>
      <c r="V2327" s="9" t="s">
        <v>55</v>
      </c>
      <c r="W2327" s="9" t="s">
        <v>55</v>
      </c>
      <c r="X2327" s="12" t="s">
        <v>150</v>
      </c>
      <c r="Y2327" s="9" t="s">
        <v>151</v>
      </c>
      <c r="Z2327" s="13"/>
    </row>
    <row r="2328" spans="1:26" ht="32.25" hidden="1" customHeight="1">
      <c r="A2328" s="8">
        <v>2309906</v>
      </c>
      <c r="B2328" s="9" t="s">
        <v>8089</v>
      </c>
      <c r="C2328" s="10">
        <v>45142</v>
      </c>
      <c r="D2328" s="9" t="s">
        <v>67</v>
      </c>
      <c r="E2328" s="9" t="s">
        <v>41</v>
      </c>
      <c r="F2328" s="9" t="s">
        <v>42</v>
      </c>
      <c r="G2328" s="9" t="s">
        <v>43</v>
      </c>
      <c r="H2328" s="9" t="s">
        <v>44</v>
      </c>
      <c r="I2328" s="11" t="s">
        <v>129</v>
      </c>
      <c r="J2328" s="9" t="s">
        <v>130</v>
      </c>
      <c r="K2328" s="9" t="s">
        <v>47</v>
      </c>
      <c r="L2328" s="9" t="s">
        <v>2602</v>
      </c>
      <c r="M2328" s="9" t="s">
        <v>2661</v>
      </c>
      <c r="N2328" s="9" t="s">
        <v>84</v>
      </c>
      <c r="O2328" s="9" t="s">
        <v>51</v>
      </c>
      <c r="P2328" s="9"/>
      <c r="Q2328" s="9"/>
      <c r="R2328" s="9"/>
      <c r="S2328" s="9" t="s">
        <v>8090</v>
      </c>
      <c r="T2328" s="9" t="s">
        <v>8091</v>
      </c>
      <c r="U2328" s="9" t="s">
        <v>54</v>
      </c>
      <c r="V2328" s="9" t="s">
        <v>55</v>
      </c>
      <c r="W2328" s="9" t="s">
        <v>55</v>
      </c>
      <c r="X2328" s="12"/>
      <c r="Y2328" s="9" t="s">
        <v>55</v>
      </c>
      <c r="Z2328" s="13"/>
    </row>
    <row r="2329" spans="1:26" ht="32.25" hidden="1" customHeight="1">
      <c r="A2329" s="8">
        <v>2315054</v>
      </c>
      <c r="B2329" s="9" t="s">
        <v>8092</v>
      </c>
      <c r="C2329" s="10">
        <v>45156</v>
      </c>
      <c r="D2329" s="9" t="s">
        <v>79</v>
      </c>
      <c r="E2329" s="9" t="s">
        <v>153</v>
      </c>
      <c r="F2329" s="9" t="s">
        <v>80</v>
      </c>
      <c r="G2329" s="9" t="s">
        <v>43</v>
      </c>
      <c r="H2329" s="9" t="s">
        <v>44</v>
      </c>
      <c r="I2329" s="11" t="s">
        <v>1588</v>
      </c>
      <c r="J2329" s="9" t="s">
        <v>155</v>
      </c>
      <c r="K2329" s="9" t="s">
        <v>47</v>
      </c>
      <c r="L2329" s="9" t="s">
        <v>746</v>
      </c>
      <c r="M2329" s="9" t="s">
        <v>2941</v>
      </c>
      <c r="N2329" s="9" t="s">
        <v>84</v>
      </c>
      <c r="O2329" s="9" t="s">
        <v>51</v>
      </c>
      <c r="P2329" s="9" t="s">
        <v>1589</v>
      </c>
      <c r="Q2329" s="9"/>
      <c r="R2329" s="9" t="s">
        <v>61</v>
      </c>
      <c r="S2329" s="14" t="s">
        <v>8093</v>
      </c>
      <c r="T2329" s="9" t="s">
        <v>8094</v>
      </c>
      <c r="U2329" s="9" t="s">
        <v>54</v>
      </c>
      <c r="V2329" s="9" t="s">
        <v>55</v>
      </c>
      <c r="W2329" s="9" t="s">
        <v>55</v>
      </c>
      <c r="X2329" s="12" t="s">
        <v>319</v>
      </c>
      <c r="Y2329" s="9" t="s">
        <v>320</v>
      </c>
      <c r="Z2329" s="13"/>
    </row>
    <row r="2330" spans="1:26" ht="32.25" hidden="1" customHeight="1">
      <c r="A2330" s="8">
        <v>2300160</v>
      </c>
      <c r="B2330" s="9" t="s">
        <v>8095</v>
      </c>
      <c r="C2330" s="10">
        <v>45149</v>
      </c>
      <c r="D2330" s="9" t="s">
        <v>261</v>
      </c>
      <c r="E2330" s="9" t="s">
        <v>68</v>
      </c>
      <c r="F2330" s="9" t="s">
        <v>262</v>
      </c>
      <c r="G2330" s="9" t="s">
        <v>43</v>
      </c>
      <c r="H2330" s="9" t="s">
        <v>44</v>
      </c>
      <c r="I2330" s="11" t="s">
        <v>1020</v>
      </c>
      <c r="J2330" s="9" t="s">
        <v>1021</v>
      </c>
      <c r="K2330" s="9" t="s">
        <v>47</v>
      </c>
      <c r="L2330" s="9" t="s">
        <v>156</v>
      </c>
      <c r="M2330" s="9"/>
      <c r="N2330" s="9" t="s">
        <v>50</v>
      </c>
      <c r="O2330" s="9" t="s">
        <v>51</v>
      </c>
      <c r="P2330" s="9"/>
      <c r="Q2330" s="9"/>
      <c r="R2330" s="9"/>
      <c r="S2330" s="14" t="s">
        <v>8096</v>
      </c>
      <c r="T2330" s="9" t="s">
        <v>8097</v>
      </c>
      <c r="U2330" s="9" t="s">
        <v>262</v>
      </c>
      <c r="V2330" s="9" t="s">
        <v>55</v>
      </c>
      <c r="W2330" s="9" t="s">
        <v>115</v>
      </c>
      <c r="X2330" s="12"/>
      <c r="Y2330" s="9" t="s">
        <v>55</v>
      </c>
      <c r="Z2330" s="13"/>
    </row>
    <row r="2331" spans="1:26" ht="32.25" hidden="1" customHeight="1">
      <c r="A2331" s="8">
        <v>2309537</v>
      </c>
      <c r="B2331" s="9" t="s">
        <v>8098</v>
      </c>
      <c r="C2331" s="10">
        <v>45149</v>
      </c>
      <c r="D2331" s="9" t="s">
        <v>57</v>
      </c>
      <c r="E2331" s="9" t="s">
        <v>41</v>
      </c>
      <c r="F2331" s="9" t="s">
        <v>42</v>
      </c>
      <c r="G2331" s="9" t="s">
        <v>43</v>
      </c>
      <c r="H2331" s="9" t="s">
        <v>58</v>
      </c>
      <c r="I2331" s="11" t="s">
        <v>129</v>
      </c>
      <c r="J2331" s="9" t="s">
        <v>130</v>
      </c>
      <c r="K2331" s="9" t="s">
        <v>47</v>
      </c>
      <c r="L2331" s="9" t="s">
        <v>1839</v>
      </c>
      <c r="M2331" s="9" t="s">
        <v>4893</v>
      </c>
      <c r="N2331" s="9" t="s">
        <v>84</v>
      </c>
      <c r="O2331" s="9" t="s">
        <v>51</v>
      </c>
      <c r="P2331" s="9"/>
      <c r="Q2331" s="9"/>
      <c r="R2331" s="9" t="s">
        <v>61</v>
      </c>
      <c r="S2331" s="14" t="s">
        <v>8099</v>
      </c>
      <c r="T2331" s="9" t="s">
        <v>8100</v>
      </c>
      <c r="U2331" s="9" t="s">
        <v>54</v>
      </c>
      <c r="V2331" s="9" t="s">
        <v>55</v>
      </c>
      <c r="W2331" s="9" t="s">
        <v>55</v>
      </c>
      <c r="X2331" s="9" t="s">
        <v>196</v>
      </c>
      <c r="Y2331" s="9" t="s">
        <v>197</v>
      </c>
      <c r="Z2331" s="13" t="s">
        <v>230</v>
      </c>
    </row>
    <row r="2332" spans="1:26" ht="32.25" hidden="1" customHeight="1">
      <c r="A2332" s="8">
        <v>2311577</v>
      </c>
      <c r="B2332" s="9" t="s">
        <v>8101</v>
      </c>
      <c r="C2332" s="10">
        <v>45142</v>
      </c>
      <c r="D2332" s="9" t="s">
        <v>67</v>
      </c>
      <c r="E2332" s="9" t="s">
        <v>295</v>
      </c>
      <c r="F2332" s="9" t="s">
        <v>42</v>
      </c>
      <c r="G2332" s="9" t="s">
        <v>43</v>
      </c>
      <c r="H2332" s="9" t="s">
        <v>44</v>
      </c>
      <c r="I2332" s="11" t="s">
        <v>296</v>
      </c>
      <c r="J2332" s="9" t="s">
        <v>297</v>
      </c>
      <c r="K2332" s="9" t="s">
        <v>47</v>
      </c>
      <c r="L2332" s="9" t="s">
        <v>799</v>
      </c>
      <c r="M2332" s="9" t="s">
        <v>1806</v>
      </c>
      <c r="N2332" s="9" t="s">
        <v>84</v>
      </c>
      <c r="O2332" s="9" t="s">
        <v>51</v>
      </c>
      <c r="P2332" s="9"/>
      <c r="Q2332" s="9"/>
      <c r="R2332" s="9" t="s">
        <v>61</v>
      </c>
      <c r="S2332" s="9" t="s">
        <v>8102</v>
      </c>
      <c r="T2332" s="9" t="s">
        <v>8103</v>
      </c>
      <c r="U2332" s="9" t="s">
        <v>54</v>
      </c>
      <c r="V2332" s="9" t="s">
        <v>55</v>
      </c>
      <c r="W2332" s="9" t="s">
        <v>55</v>
      </c>
      <c r="X2332" s="9" t="s">
        <v>319</v>
      </c>
      <c r="Y2332" s="9" t="s">
        <v>320</v>
      </c>
      <c r="Z2332" s="13"/>
    </row>
    <row r="2333" spans="1:26" ht="32.25" hidden="1" customHeight="1">
      <c r="A2333" s="8">
        <v>2311554</v>
      </c>
      <c r="B2333" s="9" t="s">
        <v>8104</v>
      </c>
      <c r="C2333" s="10">
        <v>45156</v>
      </c>
      <c r="D2333" s="9" t="s">
        <v>79</v>
      </c>
      <c r="E2333" s="9" t="s">
        <v>89</v>
      </c>
      <c r="F2333" s="9" t="s">
        <v>80</v>
      </c>
      <c r="G2333" s="9" t="s">
        <v>43</v>
      </c>
      <c r="H2333" s="9" t="s">
        <v>44</v>
      </c>
      <c r="I2333" s="11" t="s">
        <v>101</v>
      </c>
      <c r="J2333" s="9" t="s">
        <v>102</v>
      </c>
      <c r="K2333" s="9" t="s">
        <v>47</v>
      </c>
      <c r="L2333" s="9" t="s">
        <v>174</v>
      </c>
      <c r="M2333" s="9" t="s">
        <v>1190</v>
      </c>
      <c r="N2333" s="9" t="s">
        <v>84</v>
      </c>
      <c r="O2333" s="9" t="s">
        <v>51</v>
      </c>
      <c r="P2333" s="9" t="s">
        <v>1229</v>
      </c>
      <c r="Q2333" s="9"/>
      <c r="R2333" s="9" t="s">
        <v>61</v>
      </c>
      <c r="S2333" s="14" t="s">
        <v>8105</v>
      </c>
      <c r="T2333" s="9" t="s">
        <v>8106</v>
      </c>
      <c r="U2333" s="9" t="s">
        <v>54</v>
      </c>
      <c r="V2333" s="9" t="s">
        <v>55</v>
      </c>
      <c r="W2333" s="9" t="s">
        <v>55</v>
      </c>
      <c r="X2333" s="12" t="s">
        <v>98</v>
      </c>
      <c r="Y2333" s="9" t="s">
        <v>99</v>
      </c>
      <c r="Z2333" s="13"/>
    </row>
    <row r="2334" spans="1:26" ht="32.25" hidden="1" customHeight="1">
      <c r="A2334" s="8">
        <v>2303322</v>
      </c>
      <c r="B2334" s="9" t="s">
        <v>8107</v>
      </c>
      <c r="C2334" s="10">
        <v>45156</v>
      </c>
      <c r="D2334" s="9" t="s">
        <v>79</v>
      </c>
      <c r="E2334" s="9" t="s">
        <v>143</v>
      </c>
      <c r="F2334" s="9" t="s">
        <v>80</v>
      </c>
      <c r="G2334" s="9" t="s">
        <v>43</v>
      </c>
      <c r="H2334" s="9" t="s">
        <v>44</v>
      </c>
      <c r="I2334" s="11" t="s">
        <v>399</v>
      </c>
      <c r="J2334" s="9" t="s">
        <v>400</v>
      </c>
      <c r="K2334" s="9" t="s">
        <v>47</v>
      </c>
      <c r="L2334" s="9" t="s">
        <v>1378</v>
      </c>
      <c r="M2334" s="9" t="s">
        <v>8108</v>
      </c>
      <c r="N2334" s="9" t="s">
        <v>50</v>
      </c>
      <c r="O2334" s="9" t="s">
        <v>51</v>
      </c>
      <c r="P2334" s="9" t="s">
        <v>1617</v>
      </c>
      <c r="Q2334" s="9"/>
      <c r="R2334" s="9" t="s">
        <v>61</v>
      </c>
      <c r="S2334" s="14" t="s">
        <v>8109</v>
      </c>
      <c r="T2334" s="9" t="s">
        <v>8110</v>
      </c>
      <c r="U2334" s="9" t="s">
        <v>54</v>
      </c>
      <c r="V2334" s="9" t="s">
        <v>251</v>
      </c>
      <c r="W2334" s="9" t="s">
        <v>115</v>
      </c>
      <c r="X2334" s="12" t="s">
        <v>171</v>
      </c>
      <c r="Y2334" s="9" t="s">
        <v>172</v>
      </c>
      <c r="Z2334" s="13"/>
    </row>
    <row r="2335" spans="1:26" ht="32.25" hidden="1" customHeight="1">
      <c r="A2335" s="8">
        <v>2306778</v>
      </c>
      <c r="B2335" s="9" t="s">
        <v>8111</v>
      </c>
      <c r="C2335" s="10">
        <v>45142</v>
      </c>
      <c r="D2335" s="9" t="s">
        <v>67</v>
      </c>
      <c r="E2335" s="9" t="s">
        <v>143</v>
      </c>
      <c r="F2335" s="9" t="s">
        <v>42</v>
      </c>
      <c r="G2335" s="9" t="s">
        <v>43</v>
      </c>
      <c r="H2335" s="9" t="s">
        <v>44</v>
      </c>
      <c r="I2335" s="11" t="s">
        <v>460</v>
      </c>
      <c r="J2335" s="9" t="s">
        <v>400</v>
      </c>
      <c r="K2335" s="9" t="s">
        <v>47</v>
      </c>
      <c r="L2335" s="9" t="s">
        <v>156</v>
      </c>
      <c r="M2335" s="9"/>
      <c r="N2335" s="9" t="s">
        <v>50</v>
      </c>
      <c r="O2335" s="9" t="s">
        <v>51</v>
      </c>
      <c r="P2335" s="9"/>
      <c r="Q2335" s="9"/>
      <c r="R2335" s="9"/>
      <c r="S2335" s="9" t="s">
        <v>8112</v>
      </c>
      <c r="T2335" s="9" t="s">
        <v>8113</v>
      </c>
      <c r="U2335" s="9" t="s">
        <v>54</v>
      </c>
      <c r="V2335" s="9" t="s">
        <v>55</v>
      </c>
      <c r="W2335" s="9" t="s">
        <v>55</v>
      </c>
      <c r="X2335" s="12"/>
      <c r="Y2335" s="9" t="s">
        <v>55</v>
      </c>
      <c r="Z2335" s="13"/>
    </row>
    <row r="2336" spans="1:26" ht="32.25" hidden="1" customHeight="1">
      <c r="A2336" s="8">
        <v>2307358</v>
      </c>
      <c r="B2336" s="9" t="s">
        <v>8114</v>
      </c>
      <c r="C2336" s="10">
        <v>45149</v>
      </c>
      <c r="D2336" s="9" t="s">
        <v>261</v>
      </c>
      <c r="E2336" s="9" t="s">
        <v>41</v>
      </c>
      <c r="F2336" s="9" t="s">
        <v>262</v>
      </c>
      <c r="G2336" s="9" t="s">
        <v>43</v>
      </c>
      <c r="H2336" s="9" t="s">
        <v>44</v>
      </c>
      <c r="I2336" s="11" t="s">
        <v>1553</v>
      </c>
      <c r="J2336" s="9" t="s">
        <v>1554</v>
      </c>
      <c r="K2336" s="9" t="s">
        <v>47</v>
      </c>
      <c r="L2336" s="9" t="s">
        <v>48</v>
      </c>
      <c r="M2336" s="9" t="s">
        <v>1366</v>
      </c>
      <c r="N2336" s="9" t="s">
        <v>50</v>
      </c>
      <c r="O2336" s="9" t="s">
        <v>51</v>
      </c>
      <c r="P2336" s="9"/>
      <c r="Q2336" s="9"/>
      <c r="R2336" s="9"/>
      <c r="S2336" s="14" t="s">
        <v>8115</v>
      </c>
      <c r="T2336" s="9" t="s">
        <v>8116</v>
      </c>
      <c r="U2336" s="9" t="s">
        <v>262</v>
      </c>
      <c r="V2336" s="9" t="s">
        <v>711</v>
      </c>
      <c r="W2336" s="9" t="s">
        <v>115</v>
      </c>
      <c r="X2336" s="12"/>
      <c r="Y2336" s="9" t="s">
        <v>55</v>
      </c>
      <c r="Z2336" s="13"/>
    </row>
    <row r="2337" spans="1:26" ht="32.25" hidden="1" customHeight="1">
      <c r="A2337" s="8">
        <v>2312903</v>
      </c>
      <c r="B2337" s="9" t="s">
        <v>8117</v>
      </c>
      <c r="C2337" s="10">
        <v>45156</v>
      </c>
      <c r="D2337" s="9" t="s">
        <v>79</v>
      </c>
      <c r="E2337" s="9" t="s">
        <v>68</v>
      </c>
      <c r="F2337" s="9" t="s">
        <v>80</v>
      </c>
      <c r="G2337" s="9" t="s">
        <v>43</v>
      </c>
      <c r="H2337" s="9" t="s">
        <v>44</v>
      </c>
      <c r="I2337" s="11" t="s">
        <v>696</v>
      </c>
      <c r="J2337" s="9" t="s">
        <v>70</v>
      </c>
      <c r="K2337" s="9" t="s">
        <v>47</v>
      </c>
      <c r="L2337" s="9" t="s">
        <v>156</v>
      </c>
      <c r="M2337" s="9"/>
      <c r="N2337" s="9" t="s">
        <v>50</v>
      </c>
      <c r="O2337" s="9" t="s">
        <v>51</v>
      </c>
      <c r="P2337" s="9" t="s">
        <v>698</v>
      </c>
      <c r="Q2337" s="9"/>
      <c r="R2337" s="9"/>
      <c r="S2337" s="14" t="s">
        <v>8118</v>
      </c>
      <c r="T2337" s="9" t="s">
        <v>8119</v>
      </c>
      <c r="U2337" s="9" t="s">
        <v>54</v>
      </c>
      <c r="V2337" s="9" t="s">
        <v>55</v>
      </c>
      <c r="W2337" s="9" t="s">
        <v>55</v>
      </c>
      <c r="X2337" s="12"/>
      <c r="Y2337" s="9" t="s">
        <v>55</v>
      </c>
      <c r="Z2337" s="13"/>
    </row>
    <row r="2338" spans="1:26" ht="32.25" hidden="1" customHeight="1">
      <c r="A2338" s="8">
        <v>2310958</v>
      </c>
      <c r="B2338" s="9" t="s">
        <v>8120</v>
      </c>
      <c r="C2338" s="10">
        <v>45136</v>
      </c>
      <c r="D2338" s="9" t="s">
        <v>40</v>
      </c>
      <c r="E2338" s="9" t="s">
        <v>41</v>
      </c>
      <c r="F2338" s="9" t="s">
        <v>42</v>
      </c>
      <c r="G2338" s="9" t="s">
        <v>43</v>
      </c>
      <c r="H2338" s="9" t="s">
        <v>44</v>
      </c>
      <c r="I2338" s="11" t="s">
        <v>661</v>
      </c>
      <c r="J2338" s="9" t="s">
        <v>662</v>
      </c>
      <c r="K2338" s="9" t="s">
        <v>47</v>
      </c>
      <c r="L2338" s="9" t="s">
        <v>553</v>
      </c>
      <c r="M2338" s="9" t="s">
        <v>933</v>
      </c>
      <c r="N2338" s="9" t="s">
        <v>50</v>
      </c>
      <c r="O2338" s="9" t="s">
        <v>51</v>
      </c>
      <c r="P2338" s="9"/>
      <c r="Q2338" s="9"/>
      <c r="R2338" s="9" t="s">
        <v>61</v>
      </c>
      <c r="S2338" s="9" t="s">
        <v>8121</v>
      </c>
      <c r="T2338" s="9" t="s">
        <v>8122</v>
      </c>
      <c r="U2338" s="9" t="s">
        <v>54</v>
      </c>
      <c r="V2338" s="9" t="s">
        <v>55</v>
      </c>
      <c r="W2338" s="9" t="s">
        <v>55</v>
      </c>
      <c r="X2338" s="9" t="s">
        <v>64</v>
      </c>
      <c r="Y2338" s="9" t="s">
        <v>65</v>
      </c>
      <c r="Z2338" s="13"/>
    </row>
    <row r="2339" spans="1:26" ht="32.25" hidden="1" customHeight="1">
      <c r="A2339" s="8">
        <v>2304217</v>
      </c>
      <c r="B2339" s="9" t="s">
        <v>8123</v>
      </c>
      <c r="C2339" s="10">
        <v>45156</v>
      </c>
      <c r="D2339" s="9" t="s">
        <v>79</v>
      </c>
      <c r="E2339" s="9" t="s">
        <v>89</v>
      </c>
      <c r="F2339" s="9" t="s">
        <v>80</v>
      </c>
      <c r="G2339" s="9" t="s">
        <v>43</v>
      </c>
      <c r="H2339" s="9" t="s">
        <v>44</v>
      </c>
      <c r="I2339" s="11" t="s">
        <v>101</v>
      </c>
      <c r="J2339" s="9" t="s">
        <v>102</v>
      </c>
      <c r="K2339" s="9" t="s">
        <v>47</v>
      </c>
      <c r="L2339" s="9" t="s">
        <v>863</v>
      </c>
      <c r="M2339" s="9" t="s">
        <v>1396</v>
      </c>
      <c r="N2339" s="9" t="s">
        <v>50</v>
      </c>
      <c r="O2339" s="9" t="s">
        <v>51</v>
      </c>
      <c r="P2339" s="9" t="s">
        <v>1402</v>
      </c>
      <c r="Q2339" s="9"/>
      <c r="R2339" s="9" t="s">
        <v>61</v>
      </c>
      <c r="S2339" s="14" t="s">
        <v>8124</v>
      </c>
      <c r="T2339" s="9" t="s">
        <v>8125</v>
      </c>
      <c r="U2339" s="9" t="s">
        <v>54</v>
      </c>
      <c r="V2339" s="9" t="s">
        <v>55</v>
      </c>
      <c r="W2339" s="9" t="s">
        <v>55</v>
      </c>
      <c r="X2339" s="12" t="s">
        <v>98</v>
      </c>
      <c r="Y2339" s="9" t="s">
        <v>99</v>
      </c>
      <c r="Z2339" s="13"/>
    </row>
    <row r="2340" spans="1:26" ht="32.25" hidden="1" customHeight="1">
      <c r="A2340" s="8">
        <v>2300301</v>
      </c>
      <c r="B2340" s="9" t="s">
        <v>8126</v>
      </c>
      <c r="C2340" s="10">
        <v>45142</v>
      </c>
      <c r="D2340" s="9" t="s">
        <v>232</v>
      </c>
      <c r="E2340" s="9" t="s">
        <v>89</v>
      </c>
      <c r="F2340" s="9" t="s">
        <v>80</v>
      </c>
      <c r="G2340" s="9" t="s">
        <v>43</v>
      </c>
      <c r="H2340" s="9" t="s">
        <v>44</v>
      </c>
      <c r="I2340" s="11" t="s">
        <v>90</v>
      </c>
      <c r="J2340" s="9" t="s">
        <v>91</v>
      </c>
      <c r="K2340" s="9" t="s">
        <v>2036</v>
      </c>
      <c r="L2340" s="9"/>
      <c r="M2340" s="9" t="s">
        <v>8127</v>
      </c>
      <c r="N2340" s="9" t="s">
        <v>50</v>
      </c>
      <c r="O2340" s="9" t="s">
        <v>187</v>
      </c>
      <c r="P2340" s="9" t="s">
        <v>498</v>
      </c>
      <c r="Q2340" s="9"/>
      <c r="R2340" s="9" t="s">
        <v>61</v>
      </c>
      <c r="S2340" s="9" t="s">
        <v>8128</v>
      </c>
      <c r="T2340" s="9" t="s">
        <v>8129</v>
      </c>
      <c r="U2340" s="9" t="s">
        <v>54</v>
      </c>
      <c r="V2340" s="9" t="s">
        <v>276</v>
      </c>
      <c r="W2340" s="9" t="s">
        <v>55</v>
      </c>
      <c r="X2340" s="12" t="s">
        <v>98</v>
      </c>
      <c r="Y2340" s="9" t="s">
        <v>99</v>
      </c>
      <c r="Z2340" s="13" t="s">
        <v>240</v>
      </c>
    </row>
    <row r="2341" spans="1:26" ht="32.25" hidden="1" customHeight="1">
      <c r="A2341" s="8">
        <v>2312314</v>
      </c>
      <c r="B2341" s="9" t="s">
        <v>8130</v>
      </c>
      <c r="C2341" s="10">
        <v>45149</v>
      </c>
      <c r="D2341" s="9" t="s">
        <v>57</v>
      </c>
      <c r="E2341" s="9" t="s">
        <v>41</v>
      </c>
      <c r="F2341" s="9" t="s">
        <v>42</v>
      </c>
      <c r="G2341" s="9" t="s">
        <v>43</v>
      </c>
      <c r="H2341" s="9" t="s">
        <v>58</v>
      </c>
      <c r="I2341" s="11" t="s">
        <v>45</v>
      </c>
      <c r="J2341" s="9" t="s">
        <v>46</v>
      </c>
      <c r="K2341" s="9" t="s">
        <v>47</v>
      </c>
      <c r="L2341" s="9" t="s">
        <v>741</v>
      </c>
      <c r="M2341" s="9" t="s">
        <v>742</v>
      </c>
      <c r="N2341" s="9" t="s">
        <v>50</v>
      </c>
      <c r="O2341" s="9" t="s">
        <v>51</v>
      </c>
      <c r="P2341" s="9"/>
      <c r="Q2341" s="9"/>
      <c r="R2341" s="9"/>
      <c r="S2341" s="14" t="s">
        <v>8131</v>
      </c>
      <c r="T2341" s="9" t="s">
        <v>8132</v>
      </c>
      <c r="U2341" s="9" t="s">
        <v>54</v>
      </c>
      <c r="V2341" s="9" t="s">
        <v>55</v>
      </c>
      <c r="W2341" s="9" t="s">
        <v>55</v>
      </c>
      <c r="X2341" s="12"/>
      <c r="Y2341" s="9" t="s">
        <v>55</v>
      </c>
      <c r="Z2341" s="13"/>
    </row>
    <row r="2342" spans="1:26" ht="32.25" hidden="1" customHeight="1">
      <c r="A2342" s="8">
        <v>2302622</v>
      </c>
      <c r="B2342" s="9" t="s">
        <v>8133</v>
      </c>
      <c r="C2342" s="10">
        <v>45156</v>
      </c>
      <c r="D2342" s="9" t="s">
        <v>79</v>
      </c>
      <c r="E2342" s="9" t="s">
        <v>89</v>
      </c>
      <c r="F2342" s="9" t="s">
        <v>80</v>
      </c>
      <c r="G2342" s="9" t="s">
        <v>43</v>
      </c>
      <c r="H2342" s="9" t="s">
        <v>44</v>
      </c>
      <c r="I2342" s="11" t="s">
        <v>90</v>
      </c>
      <c r="J2342" s="9" t="s">
        <v>91</v>
      </c>
      <c r="K2342" s="9" t="s">
        <v>47</v>
      </c>
      <c r="L2342" s="9" t="s">
        <v>741</v>
      </c>
      <c r="M2342" s="9" t="s">
        <v>742</v>
      </c>
      <c r="N2342" s="9" t="s">
        <v>84</v>
      </c>
      <c r="O2342" s="9" t="s">
        <v>51</v>
      </c>
      <c r="P2342" s="9" t="s">
        <v>865</v>
      </c>
      <c r="Q2342" s="9"/>
      <c r="R2342" s="9" t="s">
        <v>61</v>
      </c>
      <c r="S2342" s="14" t="s">
        <v>8134</v>
      </c>
      <c r="T2342" s="9" t="s">
        <v>8135</v>
      </c>
      <c r="U2342" s="9" t="s">
        <v>54</v>
      </c>
      <c r="V2342" s="9" t="s">
        <v>55</v>
      </c>
      <c r="W2342" s="9" t="s">
        <v>55</v>
      </c>
      <c r="X2342" s="12" t="s">
        <v>98</v>
      </c>
      <c r="Y2342" s="9" t="s">
        <v>99</v>
      </c>
      <c r="Z2342" s="13"/>
    </row>
    <row r="2343" spans="1:26" ht="32.25" hidden="1" customHeight="1">
      <c r="A2343" s="8">
        <v>2309892</v>
      </c>
      <c r="B2343" s="9" t="s">
        <v>8136</v>
      </c>
      <c r="C2343" s="10">
        <v>45149</v>
      </c>
      <c r="D2343" s="9" t="s">
        <v>57</v>
      </c>
      <c r="E2343" s="9" t="s">
        <v>41</v>
      </c>
      <c r="F2343" s="9" t="s">
        <v>42</v>
      </c>
      <c r="G2343" s="9" t="s">
        <v>43</v>
      </c>
      <c r="H2343" s="9" t="s">
        <v>58</v>
      </c>
      <c r="I2343" s="11" t="s">
        <v>199</v>
      </c>
      <c r="J2343" s="9" t="s">
        <v>200</v>
      </c>
      <c r="K2343" s="9" t="s">
        <v>47</v>
      </c>
      <c r="L2343" s="9" t="s">
        <v>156</v>
      </c>
      <c r="M2343" s="9"/>
      <c r="N2343" s="9" t="s">
        <v>84</v>
      </c>
      <c r="O2343" s="9" t="s">
        <v>51</v>
      </c>
      <c r="P2343" s="9"/>
      <c r="Q2343" s="9"/>
      <c r="R2343" s="9"/>
      <c r="S2343" s="14" t="s">
        <v>8137</v>
      </c>
      <c r="T2343" s="9" t="s">
        <v>8138</v>
      </c>
      <c r="U2343" s="9" t="s">
        <v>54</v>
      </c>
      <c r="V2343" s="9" t="s">
        <v>55</v>
      </c>
      <c r="W2343" s="9" t="s">
        <v>55</v>
      </c>
      <c r="X2343" s="12"/>
      <c r="Y2343" s="9" t="s">
        <v>55</v>
      </c>
      <c r="Z2343" s="13"/>
    </row>
    <row r="2344" spans="1:26" ht="32.25" hidden="1" customHeight="1">
      <c r="A2344" s="8">
        <v>2306367</v>
      </c>
      <c r="B2344" s="9" t="s">
        <v>8139</v>
      </c>
      <c r="C2344" s="10">
        <v>45156</v>
      </c>
      <c r="D2344" s="9" t="s">
        <v>79</v>
      </c>
      <c r="E2344" s="9" t="s">
        <v>143</v>
      </c>
      <c r="F2344" s="9" t="s">
        <v>80</v>
      </c>
      <c r="G2344" s="9" t="s">
        <v>43</v>
      </c>
      <c r="H2344" s="9" t="s">
        <v>44</v>
      </c>
      <c r="I2344" s="11" t="s">
        <v>326</v>
      </c>
      <c r="J2344" s="9" t="s">
        <v>327</v>
      </c>
      <c r="K2344" s="9" t="s">
        <v>47</v>
      </c>
      <c r="L2344" s="9" t="s">
        <v>741</v>
      </c>
      <c r="M2344" s="9" t="s">
        <v>2116</v>
      </c>
      <c r="N2344" s="9" t="s">
        <v>50</v>
      </c>
      <c r="O2344" s="9" t="s">
        <v>51</v>
      </c>
      <c r="P2344" s="9" t="s">
        <v>1029</v>
      </c>
      <c r="Q2344" s="9"/>
      <c r="R2344" s="9" t="s">
        <v>61</v>
      </c>
      <c r="S2344" s="14" t="s">
        <v>8140</v>
      </c>
      <c r="T2344" s="9" t="s">
        <v>8141</v>
      </c>
      <c r="U2344" s="9" t="s">
        <v>54</v>
      </c>
      <c r="V2344" s="9" t="s">
        <v>370</v>
      </c>
      <c r="W2344" s="9" t="s">
        <v>115</v>
      </c>
      <c r="X2344" s="12" t="s">
        <v>150</v>
      </c>
      <c r="Y2344" s="9" t="s">
        <v>151</v>
      </c>
      <c r="Z2344" s="13"/>
    </row>
    <row r="2345" spans="1:26" ht="32.25" hidden="1" customHeight="1">
      <c r="A2345" s="8">
        <v>2303157</v>
      </c>
      <c r="B2345" s="9" t="s">
        <v>8142</v>
      </c>
      <c r="C2345" s="10">
        <v>45149</v>
      </c>
      <c r="D2345" s="9" t="s">
        <v>57</v>
      </c>
      <c r="E2345" s="9" t="s">
        <v>295</v>
      </c>
      <c r="F2345" s="9" t="s">
        <v>42</v>
      </c>
      <c r="G2345" s="9" t="s">
        <v>43</v>
      </c>
      <c r="H2345" s="9" t="s">
        <v>58</v>
      </c>
      <c r="I2345" s="11" t="s">
        <v>406</v>
      </c>
      <c r="J2345" s="9" t="s">
        <v>407</v>
      </c>
      <c r="K2345" s="9" t="s">
        <v>47</v>
      </c>
      <c r="L2345" s="9" t="s">
        <v>156</v>
      </c>
      <c r="M2345" s="9"/>
      <c r="N2345" s="9" t="s">
        <v>50</v>
      </c>
      <c r="O2345" s="9" t="s">
        <v>51</v>
      </c>
      <c r="P2345" s="9"/>
      <c r="Q2345" s="9"/>
      <c r="R2345" s="9"/>
      <c r="S2345" s="14" t="s">
        <v>8143</v>
      </c>
      <c r="T2345" s="9" t="s">
        <v>8144</v>
      </c>
      <c r="U2345" s="9" t="s">
        <v>54</v>
      </c>
      <c r="V2345" s="9" t="s">
        <v>55</v>
      </c>
      <c r="W2345" s="9" t="s">
        <v>55</v>
      </c>
      <c r="X2345" s="12"/>
      <c r="Y2345" s="9" t="s">
        <v>55</v>
      </c>
      <c r="Z2345" s="13"/>
    </row>
    <row r="2346" spans="1:26" ht="32.25" hidden="1" customHeight="1">
      <c r="A2346" s="8">
        <v>2304933</v>
      </c>
      <c r="B2346" s="9" t="s">
        <v>8145</v>
      </c>
      <c r="C2346" s="10">
        <v>45149</v>
      </c>
      <c r="D2346" s="9" t="s">
        <v>57</v>
      </c>
      <c r="E2346" s="9" t="s">
        <v>41</v>
      </c>
      <c r="F2346" s="9" t="s">
        <v>42</v>
      </c>
      <c r="G2346" s="9" t="s">
        <v>43</v>
      </c>
      <c r="H2346" s="9" t="s">
        <v>58</v>
      </c>
      <c r="I2346" s="11" t="s">
        <v>45</v>
      </c>
      <c r="J2346" s="9" t="s">
        <v>46</v>
      </c>
      <c r="K2346" s="9" t="s">
        <v>47</v>
      </c>
      <c r="L2346" s="9" t="s">
        <v>598</v>
      </c>
      <c r="M2346" s="9" t="s">
        <v>697</v>
      </c>
      <c r="N2346" s="9" t="s">
        <v>50</v>
      </c>
      <c r="O2346" s="9" t="s">
        <v>51</v>
      </c>
      <c r="P2346" s="9"/>
      <c r="Q2346" s="9"/>
      <c r="R2346" s="9"/>
      <c r="S2346" s="14" t="s">
        <v>8146</v>
      </c>
      <c r="T2346" s="9" t="s">
        <v>8147</v>
      </c>
      <c r="U2346" s="9" t="s">
        <v>54</v>
      </c>
      <c r="V2346" s="9" t="s">
        <v>55</v>
      </c>
      <c r="W2346" s="9" t="s">
        <v>55</v>
      </c>
      <c r="X2346" s="12"/>
      <c r="Y2346" s="9" t="s">
        <v>55</v>
      </c>
      <c r="Z2346" s="13"/>
    </row>
    <row r="2347" spans="1:26" ht="32.25" hidden="1" customHeight="1">
      <c r="A2347" s="8">
        <v>2306155</v>
      </c>
      <c r="B2347" s="9" t="s">
        <v>8148</v>
      </c>
      <c r="C2347" s="10">
        <v>45149</v>
      </c>
      <c r="D2347" s="9" t="s">
        <v>57</v>
      </c>
      <c r="E2347" s="9" t="s">
        <v>295</v>
      </c>
      <c r="F2347" s="9" t="s">
        <v>42</v>
      </c>
      <c r="G2347" s="9" t="s">
        <v>43</v>
      </c>
      <c r="H2347" s="9" t="s">
        <v>58</v>
      </c>
      <c r="I2347" s="11" t="s">
        <v>296</v>
      </c>
      <c r="J2347" s="9" t="s">
        <v>297</v>
      </c>
      <c r="K2347" s="9" t="s">
        <v>47</v>
      </c>
      <c r="L2347" s="9" t="s">
        <v>48</v>
      </c>
      <c r="M2347" s="9" t="s">
        <v>1985</v>
      </c>
      <c r="N2347" s="9" t="s">
        <v>50</v>
      </c>
      <c r="O2347" s="9" t="s">
        <v>51</v>
      </c>
      <c r="P2347" s="9"/>
      <c r="Q2347" s="9"/>
      <c r="R2347" s="9"/>
      <c r="S2347" s="14" t="s">
        <v>8149</v>
      </c>
      <c r="T2347" s="9" t="s">
        <v>8150</v>
      </c>
      <c r="U2347" s="9" t="s">
        <v>54</v>
      </c>
      <c r="V2347" s="9" t="s">
        <v>55</v>
      </c>
      <c r="W2347" s="9" t="s">
        <v>55</v>
      </c>
      <c r="X2347" s="12"/>
      <c r="Y2347" s="9" t="s">
        <v>55</v>
      </c>
      <c r="Z2347" s="13"/>
    </row>
    <row r="2348" spans="1:26" ht="32.25" hidden="1" customHeight="1">
      <c r="A2348" s="8">
        <v>2310376</v>
      </c>
      <c r="B2348" s="9" t="s">
        <v>8151</v>
      </c>
      <c r="C2348" s="10">
        <v>45156</v>
      </c>
      <c r="D2348" s="9" t="s">
        <v>79</v>
      </c>
      <c r="E2348" s="9" t="s">
        <v>41</v>
      </c>
      <c r="F2348" s="9" t="s">
        <v>80</v>
      </c>
      <c r="G2348" s="9" t="s">
        <v>43</v>
      </c>
      <c r="H2348" s="9" t="s">
        <v>44</v>
      </c>
      <c r="I2348" s="11" t="s">
        <v>478</v>
      </c>
      <c r="J2348" s="9" t="s">
        <v>479</v>
      </c>
      <c r="K2348" s="9" t="s">
        <v>47</v>
      </c>
      <c r="L2348" s="9" t="s">
        <v>2632</v>
      </c>
      <c r="M2348" s="9" t="s">
        <v>3293</v>
      </c>
      <c r="N2348" s="9" t="s">
        <v>50</v>
      </c>
      <c r="O2348" s="9" t="s">
        <v>51</v>
      </c>
      <c r="P2348" s="9" t="s">
        <v>1414</v>
      </c>
      <c r="Q2348" s="9"/>
      <c r="R2348" s="9" t="s">
        <v>61</v>
      </c>
      <c r="S2348" s="14" t="s">
        <v>8152</v>
      </c>
      <c r="T2348" s="9" t="s">
        <v>8153</v>
      </c>
      <c r="U2348" s="9" t="s">
        <v>54</v>
      </c>
      <c r="V2348" s="9" t="s">
        <v>1916</v>
      </c>
      <c r="W2348" s="9" t="s">
        <v>115</v>
      </c>
      <c r="X2348" s="12" t="s">
        <v>389</v>
      </c>
      <c r="Y2348" s="9" t="s">
        <v>390</v>
      </c>
      <c r="Z2348" s="13" t="s">
        <v>2823</v>
      </c>
    </row>
    <row r="2349" spans="1:26" ht="32.25" hidden="1" customHeight="1">
      <c r="A2349" s="8">
        <v>2310323</v>
      </c>
      <c r="B2349" s="9" t="s">
        <v>8154</v>
      </c>
      <c r="C2349" s="10">
        <v>45142</v>
      </c>
      <c r="D2349" s="9" t="s">
        <v>67</v>
      </c>
      <c r="E2349" s="9" t="s">
        <v>143</v>
      </c>
      <c r="F2349" s="9" t="s">
        <v>42</v>
      </c>
      <c r="G2349" s="9" t="s">
        <v>43</v>
      </c>
      <c r="H2349" s="9" t="s">
        <v>44</v>
      </c>
      <c r="I2349" s="11" t="s">
        <v>219</v>
      </c>
      <c r="J2349" s="9" t="s">
        <v>220</v>
      </c>
      <c r="K2349" s="9" t="s">
        <v>47</v>
      </c>
      <c r="L2349" s="9" t="s">
        <v>425</v>
      </c>
      <c r="M2349" s="9" t="s">
        <v>8155</v>
      </c>
      <c r="N2349" s="9" t="s">
        <v>50</v>
      </c>
      <c r="O2349" s="9" t="s">
        <v>51</v>
      </c>
      <c r="P2349" s="9"/>
      <c r="Q2349" s="9"/>
      <c r="R2349" s="9" t="s">
        <v>61</v>
      </c>
      <c r="S2349" s="9" t="s">
        <v>8156</v>
      </c>
      <c r="T2349" s="9" t="s">
        <v>8157</v>
      </c>
      <c r="U2349" s="9" t="s">
        <v>54</v>
      </c>
      <c r="V2349" s="9" t="s">
        <v>55</v>
      </c>
      <c r="W2349" s="9" t="s">
        <v>55</v>
      </c>
      <c r="X2349" s="12" t="s">
        <v>171</v>
      </c>
      <c r="Y2349" s="9" t="s">
        <v>172</v>
      </c>
      <c r="Z2349" s="13"/>
    </row>
    <row r="2350" spans="1:26" ht="32.25" hidden="1" customHeight="1">
      <c r="A2350" s="8">
        <v>2307238</v>
      </c>
      <c r="B2350" s="9" t="s">
        <v>8158</v>
      </c>
      <c r="C2350" s="10">
        <v>45149</v>
      </c>
      <c r="D2350" s="9" t="s">
        <v>57</v>
      </c>
      <c r="E2350" s="9" t="s">
        <v>295</v>
      </c>
      <c r="F2350" s="9" t="s">
        <v>42</v>
      </c>
      <c r="G2350" s="9" t="s">
        <v>43</v>
      </c>
      <c r="H2350" s="9" t="s">
        <v>58</v>
      </c>
      <c r="I2350" s="11" t="s">
        <v>406</v>
      </c>
      <c r="J2350" s="9" t="s">
        <v>407</v>
      </c>
      <c r="K2350" s="9" t="s">
        <v>47</v>
      </c>
      <c r="L2350" s="9" t="s">
        <v>1040</v>
      </c>
      <c r="M2350" s="9" t="s">
        <v>8159</v>
      </c>
      <c r="N2350" s="9" t="s">
        <v>84</v>
      </c>
      <c r="O2350" s="9" t="s">
        <v>51</v>
      </c>
      <c r="P2350" s="9"/>
      <c r="Q2350" s="9"/>
      <c r="R2350" s="9" t="s">
        <v>61</v>
      </c>
      <c r="S2350" s="14" t="s">
        <v>8160</v>
      </c>
      <c r="T2350" s="9" t="s">
        <v>8161</v>
      </c>
      <c r="U2350" s="9" t="s">
        <v>54</v>
      </c>
      <c r="V2350" s="9" t="s">
        <v>55</v>
      </c>
      <c r="W2350" s="9" t="s">
        <v>55</v>
      </c>
      <c r="X2350" s="9" t="s">
        <v>319</v>
      </c>
      <c r="Y2350" s="9" t="s">
        <v>320</v>
      </c>
      <c r="Z2350" s="13"/>
    </row>
    <row r="2351" spans="1:26" ht="32.25" hidden="1" customHeight="1">
      <c r="A2351" s="8">
        <v>2309978</v>
      </c>
      <c r="B2351" s="9" t="s">
        <v>8162</v>
      </c>
      <c r="C2351" s="10">
        <v>45156</v>
      </c>
      <c r="D2351" s="9" t="s">
        <v>79</v>
      </c>
      <c r="E2351" s="9" t="s">
        <v>295</v>
      </c>
      <c r="F2351" s="9" t="s">
        <v>80</v>
      </c>
      <c r="G2351" s="9" t="s">
        <v>43</v>
      </c>
      <c r="H2351" s="9" t="s">
        <v>44</v>
      </c>
      <c r="I2351" s="11" t="s">
        <v>1972</v>
      </c>
      <c r="J2351" s="9" t="s">
        <v>297</v>
      </c>
      <c r="K2351" s="9" t="s">
        <v>47</v>
      </c>
      <c r="L2351" s="9"/>
      <c r="M2351" s="9"/>
      <c r="N2351" s="9" t="s">
        <v>84</v>
      </c>
      <c r="O2351" s="9" t="s">
        <v>51</v>
      </c>
      <c r="P2351" s="9" t="s">
        <v>5943</v>
      </c>
      <c r="Q2351" s="9"/>
      <c r="R2351" s="9" t="s">
        <v>61</v>
      </c>
      <c r="S2351" s="14" t="s">
        <v>8163</v>
      </c>
      <c r="T2351" s="9" t="s">
        <v>8164</v>
      </c>
      <c r="U2351" s="9" t="s">
        <v>54</v>
      </c>
      <c r="V2351" s="9"/>
      <c r="W2351" s="9" t="s">
        <v>115</v>
      </c>
      <c r="X2351" s="12" t="s">
        <v>319</v>
      </c>
      <c r="Y2351" s="9" t="s">
        <v>320</v>
      </c>
      <c r="Z2351" s="13"/>
    </row>
    <row r="2352" spans="1:26" ht="32.25" hidden="1" customHeight="1">
      <c r="A2352" s="8">
        <v>2303958</v>
      </c>
      <c r="B2352" s="9" t="s">
        <v>8165</v>
      </c>
      <c r="C2352" s="10">
        <v>45142</v>
      </c>
      <c r="D2352" s="9" t="s">
        <v>67</v>
      </c>
      <c r="E2352" s="9" t="s">
        <v>89</v>
      </c>
      <c r="F2352" s="9" t="s">
        <v>42</v>
      </c>
      <c r="G2352" s="9" t="s">
        <v>43</v>
      </c>
      <c r="H2352" s="9" t="s">
        <v>44</v>
      </c>
      <c r="I2352" s="11" t="s">
        <v>354</v>
      </c>
      <c r="J2352" s="9" t="s">
        <v>91</v>
      </c>
      <c r="K2352" s="9" t="s">
        <v>47</v>
      </c>
      <c r="L2352" s="9" t="s">
        <v>156</v>
      </c>
      <c r="M2352" s="9"/>
      <c r="N2352" s="9" t="s">
        <v>50</v>
      </c>
      <c r="O2352" s="9" t="s">
        <v>51</v>
      </c>
      <c r="P2352" s="9" t="s">
        <v>356</v>
      </c>
      <c r="Q2352" s="9"/>
      <c r="R2352" s="9"/>
      <c r="S2352" s="9" t="s">
        <v>8166</v>
      </c>
      <c r="T2352" s="9" t="s">
        <v>8167</v>
      </c>
      <c r="U2352" s="9" t="s">
        <v>54</v>
      </c>
      <c r="V2352" s="9" t="s">
        <v>55</v>
      </c>
      <c r="W2352" s="9" t="s">
        <v>55</v>
      </c>
      <c r="X2352" s="12"/>
      <c r="Y2352" s="9" t="s">
        <v>55</v>
      </c>
      <c r="Z2352" s="13"/>
    </row>
    <row r="2353" spans="1:26" ht="32.25" hidden="1" customHeight="1">
      <c r="A2353" s="8">
        <v>2312466</v>
      </c>
      <c r="B2353" s="9" t="s">
        <v>8168</v>
      </c>
      <c r="C2353" s="10">
        <v>45149</v>
      </c>
      <c r="D2353" s="9" t="s">
        <v>261</v>
      </c>
      <c r="E2353" s="9" t="s">
        <v>89</v>
      </c>
      <c r="F2353" s="9" t="s">
        <v>262</v>
      </c>
      <c r="G2353" s="9" t="s">
        <v>43</v>
      </c>
      <c r="H2353" s="9" t="s">
        <v>44</v>
      </c>
      <c r="I2353" s="11" t="s">
        <v>1889</v>
      </c>
      <c r="J2353" s="9" t="s">
        <v>1890</v>
      </c>
      <c r="K2353" s="9" t="s">
        <v>47</v>
      </c>
      <c r="L2353" s="9" t="s">
        <v>156</v>
      </c>
      <c r="M2353" s="9"/>
      <c r="N2353" s="9" t="s">
        <v>50</v>
      </c>
      <c r="O2353" s="9" t="s">
        <v>51</v>
      </c>
      <c r="P2353" s="9"/>
      <c r="Q2353" s="9"/>
      <c r="R2353" s="9"/>
      <c r="S2353" s="14" t="s">
        <v>8169</v>
      </c>
      <c r="T2353" s="9" t="s">
        <v>8170</v>
      </c>
      <c r="U2353" s="9" t="s">
        <v>262</v>
      </c>
      <c r="V2353" s="9"/>
      <c r="W2353" s="9" t="s">
        <v>115</v>
      </c>
      <c r="X2353" s="12"/>
      <c r="Y2353" s="9" t="s">
        <v>55</v>
      </c>
      <c r="Z2353" s="13"/>
    </row>
    <row r="2354" spans="1:26" ht="32.25" hidden="1" customHeight="1">
      <c r="A2354" s="8">
        <v>2312662</v>
      </c>
      <c r="B2354" s="9" t="s">
        <v>8171</v>
      </c>
      <c r="C2354" s="10">
        <v>45149</v>
      </c>
      <c r="D2354" s="9" t="s">
        <v>261</v>
      </c>
      <c r="E2354" s="9" t="s">
        <v>89</v>
      </c>
      <c r="F2354" s="9" t="s">
        <v>262</v>
      </c>
      <c r="G2354" s="9" t="s">
        <v>43</v>
      </c>
      <c r="H2354" s="9" t="s">
        <v>44</v>
      </c>
      <c r="I2354" s="11" t="s">
        <v>1773</v>
      </c>
      <c r="J2354" s="9" t="s">
        <v>1774</v>
      </c>
      <c r="K2354" s="9" t="s">
        <v>47</v>
      </c>
      <c r="L2354" s="9" t="s">
        <v>156</v>
      </c>
      <c r="M2354" s="9"/>
      <c r="N2354" s="9" t="s">
        <v>50</v>
      </c>
      <c r="O2354" s="9" t="s">
        <v>51</v>
      </c>
      <c r="P2354" s="9"/>
      <c r="Q2354" s="9"/>
      <c r="R2354" s="9"/>
      <c r="S2354" s="14" t="s">
        <v>8172</v>
      </c>
      <c r="T2354" s="9" t="s">
        <v>8173</v>
      </c>
      <c r="U2354" s="9" t="s">
        <v>262</v>
      </c>
      <c r="V2354" s="9"/>
      <c r="W2354" s="9" t="s">
        <v>115</v>
      </c>
      <c r="X2354" s="12"/>
      <c r="Y2354" s="9" t="s">
        <v>55</v>
      </c>
      <c r="Z2354" s="13"/>
    </row>
    <row r="2355" spans="1:26" ht="32.25" hidden="1" customHeight="1">
      <c r="A2355" s="8">
        <v>2302578</v>
      </c>
      <c r="B2355" s="9" t="s">
        <v>8174</v>
      </c>
      <c r="C2355" s="10">
        <v>45156</v>
      </c>
      <c r="D2355" s="9" t="s">
        <v>79</v>
      </c>
      <c r="E2355" s="9" t="s">
        <v>143</v>
      </c>
      <c r="F2355" s="9" t="s">
        <v>80</v>
      </c>
      <c r="G2355" s="9" t="s">
        <v>43</v>
      </c>
      <c r="H2355" s="9" t="s">
        <v>44</v>
      </c>
      <c r="I2355" s="11" t="s">
        <v>399</v>
      </c>
      <c r="J2355" s="9" t="s">
        <v>400</v>
      </c>
      <c r="K2355" s="9" t="s">
        <v>47</v>
      </c>
      <c r="L2355" s="9" t="s">
        <v>162</v>
      </c>
      <c r="M2355" s="9" t="s">
        <v>163</v>
      </c>
      <c r="N2355" s="9" t="s">
        <v>50</v>
      </c>
      <c r="O2355" s="9" t="s">
        <v>51</v>
      </c>
      <c r="P2355" s="9" t="s">
        <v>1617</v>
      </c>
      <c r="Q2355" s="9"/>
      <c r="R2355" s="9" t="s">
        <v>61</v>
      </c>
      <c r="S2355" s="14" t="s">
        <v>8175</v>
      </c>
      <c r="T2355" s="9" t="s">
        <v>8176</v>
      </c>
      <c r="U2355" s="9" t="s">
        <v>54</v>
      </c>
      <c r="V2355" s="9" t="s">
        <v>251</v>
      </c>
      <c r="W2355" s="9" t="s">
        <v>115</v>
      </c>
      <c r="X2355" s="12" t="s">
        <v>171</v>
      </c>
      <c r="Y2355" s="9" t="s">
        <v>172</v>
      </c>
      <c r="Z2355" s="13"/>
    </row>
    <row r="2356" spans="1:26" ht="32.25" hidden="1" customHeight="1">
      <c r="A2356" s="8">
        <v>2302785</v>
      </c>
      <c r="B2356" s="9" t="s">
        <v>8177</v>
      </c>
      <c r="C2356" s="10">
        <v>45149</v>
      </c>
      <c r="D2356" s="9" t="s">
        <v>57</v>
      </c>
      <c r="E2356" s="9" t="s">
        <v>295</v>
      </c>
      <c r="F2356" s="9" t="s">
        <v>42</v>
      </c>
      <c r="G2356" s="9" t="s">
        <v>43</v>
      </c>
      <c r="H2356" s="9" t="s">
        <v>58</v>
      </c>
      <c r="I2356" s="11" t="s">
        <v>406</v>
      </c>
      <c r="J2356" s="9" t="s">
        <v>407</v>
      </c>
      <c r="K2356" s="9" t="s">
        <v>47</v>
      </c>
      <c r="L2356" s="9" t="s">
        <v>48</v>
      </c>
      <c r="M2356" s="9" t="s">
        <v>8178</v>
      </c>
      <c r="N2356" s="9" t="s">
        <v>84</v>
      </c>
      <c r="O2356" s="9" t="s">
        <v>51</v>
      </c>
      <c r="P2356" s="9"/>
      <c r="Q2356" s="9"/>
      <c r="R2356" s="9"/>
      <c r="S2356" s="14" t="s">
        <v>8179</v>
      </c>
      <c r="T2356" s="9" t="s">
        <v>8180</v>
      </c>
      <c r="U2356" s="9" t="s">
        <v>54</v>
      </c>
      <c r="V2356" s="9" t="s">
        <v>55</v>
      </c>
      <c r="W2356" s="9" t="s">
        <v>55</v>
      </c>
      <c r="X2356" s="12"/>
      <c r="Y2356" s="9" t="s">
        <v>55</v>
      </c>
      <c r="Z2356" s="13"/>
    </row>
    <row r="2357" spans="1:26" ht="32.25" hidden="1" customHeight="1">
      <c r="A2357" s="8">
        <v>2300758</v>
      </c>
      <c r="B2357" s="9" t="s">
        <v>8181</v>
      </c>
      <c r="C2357" s="10">
        <v>45142</v>
      </c>
      <c r="D2357" s="9" t="s">
        <v>67</v>
      </c>
      <c r="E2357" s="9" t="s">
        <v>89</v>
      </c>
      <c r="F2357" s="9" t="s">
        <v>42</v>
      </c>
      <c r="G2357" s="9" t="s">
        <v>43</v>
      </c>
      <c r="H2357" s="9" t="s">
        <v>44</v>
      </c>
      <c r="I2357" s="11" t="s">
        <v>360</v>
      </c>
      <c r="J2357" s="9" t="s">
        <v>102</v>
      </c>
      <c r="K2357" s="9" t="s">
        <v>47</v>
      </c>
      <c r="L2357" s="9" t="s">
        <v>48</v>
      </c>
      <c r="M2357" s="9" t="s">
        <v>674</v>
      </c>
      <c r="N2357" s="9" t="s">
        <v>84</v>
      </c>
      <c r="O2357" s="9" t="s">
        <v>51</v>
      </c>
      <c r="P2357" s="9" t="s">
        <v>361</v>
      </c>
      <c r="Q2357" s="9"/>
      <c r="R2357" s="9" t="s">
        <v>61</v>
      </c>
      <c r="S2357" s="9" t="s">
        <v>8182</v>
      </c>
      <c r="T2357" s="9" t="s">
        <v>8183</v>
      </c>
      <c r="U2357" s="9" t="s">
        <v>54</v>
      </c>
      <c r="V2357" s="9" t="s">
        <v>55</v>
      </c>
      <c r="W2357" s="9" t="s">
        <v>55</v>
      </c>
      <c r="X2357" s="12" t="s">
        <v>98</v>
      </c>
      <c r="Y2357" s="9" t="s">
        <v>99</v>
      </c>
      <c r="Z2357" s="13"/>
    </row>
    <row r="2358" spans="1:26" ht="32.25" hidden="1" customHeight="1">
      <c r="A2358" s="8">
        <v>2308242</v>
      </c>
      <c r="B2358" s="9" t="s">
        <v>8184</v>
      </c>
      <c r="C2358" s="10">
        <v>45142</v>
      </c>
      <c r="D2358" s="9" t="s">
        <v>67</v>
      </c>
      <c r="E2358" s="9" t="s">
        <v>41</v>
      </c>
      <c r="F2358" s="9" t="s">
        <v>42</v>
      </c>
      <c r="G2358" s="9" t="s">
        <v>43</v>
      </c>
      <c r="H2358" s="9" t="s">
        <v>44</v>
      </c>
      <c r="I2358" s="11" t="s">
        <v>661</v>
      </c>
      <c r="J2358" s="9" t="s">
        <v>662</v>
      </c>
      <c r="K2358" s="9" t="s">
        <v>47</v>
      </c>
      <c r="L2358" s="9" t="s">
        <v>340</v>
      </c>
      <c r="M2358" s="9" t="s">
        <v>8185</v>
      </c>
      <c r="N2358" s="9" t="s">
        <v>50</v>
      </c>
      <c r="O2358" s="9" t="s">
        <v>51</v>
      </c>
      <c r="P2358" s="9"/>
      <c r="Q2358" s="9"/>
      <c r="R2358" s="9" t="s">
        <v>61</v>
      </c>
      <c r="S2358" s="9" t="s">
        <v>8186</v>
      </c>
      <c r="T2358" s="9" t="s">
        <v>8187</v>
      </c>
      <c r="U2358" s="9" t="s">
        <v>54</v>
      </c>
      <c r="V2358" s="9" t="s">
        <v>55</v>
      </c>
      <c r="W2358" s="9" t="s">
        <v>55</v>
      </c>
      <c r="X2358" s="9" t="s">
        <v>64</v>
      </c>
      <c r="Y2358" s="9" t="s">
        <v>65</v>
      </c>
      <c r="Z2358" s="13"/>
    </row>
    <row r="2359" spans="1:26" ht="32.25" hidden="1" customHeight="1">
      <c r="A2359" s="8">
        <v>2311003</v>
      </c>
      <c r="B2359" s="9" t="s">
        <v>8188</v>
      </c>
      <c r="C2359" s="10">
        <v>45149</v>
      </c>
      <c r="D2359" s="9" t="s">
        <v>57</v>
      </c>
      <c r="E2359" s="9" t="s">
        <v>41</v>
      </c>
      <c r="F2359" s="9" t="s">
        <v>42</v>
      </c>
      <c r="G2359" s="9" t="s">
        <v>43</v>
      </c>
      <c r="H2359" s="9" t="s">
        <v>58</v>
      </c>
      <c r="I2359" s="11" t="s">
        <v>129</v>
      </c>
      <c r="J2359" s="9" t="s">
        <v>130</v>
      </c>
      <c r="K2359" s="9" t="s">
        <v>47</v>
      </c>
      <c r="L2359" s="9" t="s">
        <v>221</v>
      </c>
      <c r="M2359" s="9" t="s">
        <v>1142</v>
      </c>
      <c r="N2359" s="9" t="s">
        <v>50</v>
      </c>
      <c r="O2359" s="9" t="s">
        <v>51</v>
      </c>
      <c r="P2359" s="9"/>
      <c r="Q2359" s="9"/>
      <c r="R2359" s="9" t="s">
        <v>61</v>
      </c>
      <c r="S2359" s="14" t="s">
        <v>8189</v>
      </c>
      <c r="T2359" s="9" t="s">
        <v>8190</v>
      </c>
      <c r="U2359" s="9" t="s">
        <v>54</v>
      </c>
      <c r="V2359" s="9" t="s">
        <v>55</v>
      </c>
      <c r="W2359" s="9" t="s">
        <v>55</v>
      </c>
      <c r="X2359" s="9" t="s">
        <v>319</v>
      </c>
      <c r="Y2359" s="9" t="s">
        <v>320</v>
      </c>
      <c r="Z2359" s="13" t="s">
        <v>230</v>
      </c>
    </row>
    <row r="2360" spans="1:26" ht="32.25" hidden="1" customHeight="1">
      <c r="A2360" s="8">
        <v>2312343</v>
      </c>
      <c r="B2360" s="9" t="s">
        <v>8191</v>
      </c>
      <c r="C2360" s="10">
        <v>45142</v>
      </c>
      <c r="D2360" s="9" t="s">
        <v>67</v>
      </c>
      <c r="E2360" s="9" t="s">
        <v>295</v>
      </c>
      <c r="F2360" s="9" t="s">
        <v>42</v>
      </c>
      <c r="G2360" s="9" t="s">
        <v>43</v>
      </c>
      <c r="H2360" s="9" t="s">
        <v>44</v>
      </c>
      <c r="I2360" s="11" t="s">
        <v>406</v>
      </c>
      <c r="J2360" s="9" t="s">
        <v>407</v>
      </c>
      <c r="K2360" s="9" t="s">
        <v>47</v>
      </c>
      <c r="L2360" s="9" t="s">
        <v>221</v>
      </c>
      <c r="M2360" s="9" t="s">
        <v>222</v>
      </c>
      <c r="N2360" s="9" t="s">
        <v>50</v>
      </c>
      <c r="O2360" s="9" t="s">
        <v>51</v>
      </c>
      <c r="P2360" s="9"/>
      <c r="Q2360" s="9"/>
      <c r="R2360" s="9" t="s">
        <v>61</v>
      </c>
      <c r="S2360" s="9" t="s">
        <v>8192</v>
      </c>
      <c r="T2360" s="9" t="s">
        <v>8193</v>
      </c>
      <c r="U2360" s="9" t="s">
        <v>54</v>
      </c>
      <c r="V2360" s="9" t="s">
        <v>55</v>
      </c>
      <c r="W2360" s="9" t="s">
        <v>55</v>
      </c>
      <c r="X2360" s="9" t="s">
        <v>319</v>
      </c>
      <c r="Y2360" s="9" t="s">
        <v>320</v>
      </c>
      <c r="Z2360" s="13"/>
    </row>
    <row r="2361" spans="1:26" ht="32.25" hidden="1" customHeight="1">
      <c r="A2361" s="8">
        <v>2312031</v>
      </c>
      <c r="B2361" s="9" t="s">
        <v>8194</v>
      </c>
      <c r="C2361" s="10">
        <v>45149</v>
      </c>
      <c r="D2361" s="9" t="s">
        <v>57</v>
      </c>
      <c r="E2361" s="9" t="s">
        <v>41</v>
      </c>
      <c r="F2361" s="9" t="s">
        <v>42</v>
      </c>
      <c r="G2361" s="9" t="s">
        <v>43</v>
      </c>
      <c r="H2361" s="9" t="s">
        <v>58</v>
      </c>
      <c r="I2361" s="11" t="s">
        <v>661</v>
      </c>
      <c r="J2361" s="9" t="s">
        <v>662</v>
      </c>
      <c r="K2361" s="9" t="s">
        <v>47</v>
      </c>
      <c r="L2361" s="9" t="s">
        <v>204</v>
      </c>
      <c r="M2361" s="9" t="s">
        <v>2928</v>
      </c>
      <c r="N2361" s="9" t="s">
        <v>50</v>
      </c>
      <c r="O2361" s="9" t="s">
        <v>51</v>
      </c>
      <c r="P2361" s="9"/>
      <c r="Q2361" s="9"/>
      <c r="R2361" s="9" t="s">
        <v>61</v>
      </c>
      <c r="S2361" s="14" t="s">
        <v>8195</v>
      </c>
      <c r="T2361" s="9" t="s">
        <v>8196</v>
      </c>
      <c r="U2361" s="9" t="s">
        <v>54</v>
      </c>
      <c r="V2361" s="9" t="s">
        <v>55</v>
      </c>
      <c r="W2361" s="9" t="s">
        <v>55</v>
      </c>
      <c r="X2361" s="9" t="s">
        <v>64</v>
      </c>
      <c r="Y2361" s="9" t="s">
        <v>65</v>
      </c>
      <c r="Z2361" s="13"/>
    </row>
    <row r="2362" spans="1:26" ht="32.25" hidden="1" customHeight="1">
      <c r="A2362" s="8">
        <v>2311505</v>
      </c>
      <c r="B2362" s="9" t="s">
        <v>8197</v>
      </c>
      <c r="C2362" s="10">
        <v>45142</v>
      </c>
      <c r="D2362" s="9" t="s">
        <v>67</v>
      </c>
      <c r="E2362" s="9" t="s">
        <v>41</v>
      </c>
      <c r="F2362" s="9" t="s">
        <v>42</v>
      </c>
      <c r="G2362" s="9" t="s">
        <v>43</v>
      </c>
      <c r="H2362" s="9" t="s">
        <v>44</v>
      </c>
      <c r="I2362" s="11" t="s">
        <v>661</v>
      </c>
      <c r="J2362" s="9" t="s">
        <v>662</v>
      </c>
      <c r="K2362" s="9" t="s">
        <v>47</v>
      </c>
      <c r="L2362" s="9"/>
      <c r="M2362" s="9"/>
      <c r="N2362" s="9" t="s">
        <v>50</v>
      </c>
      <c r="O2362" s="9" t="s">
        <v>51</v>
      </c>
      <c r="P2362" s="9"/>
      <c r="Q2362" s="9"/>
      <c r="R2362" s="9" t="s">
        <v>61</v>
      </c>
      <c r="S2362" s="9" t="s">
        <v>8198</v>
      </c>
      <c r="T2362" s="9" t="s">
        <v>8199</v>
      </c>
      <c r="U2362" s="9" t="s">
        <v>54</v>
      </c>
      <c r="V2362" s="9" t="s">
        <v>55</v>
      </c>
      <c r="W2362" s="9" t="s">
        <v>55</v>
      </c>
      <c r="X2362" s="9" t="s">
        <v>64</v>
      </c>
      <c r="Y2362" s="9" t="s">
        <v>65</v>
      </c>
      <c r="Z2362" s="13"/>
    </row>
    <row r="2363" spans="1:26" ht="32.25" hidden="1" customHeight="1">
      <c r="A2363" s="8">
        <v>2301904</v>
      </c>
      <c r="B2363" s="9" t="s">
        <v>8200</v>
      </c>
      <c r="C2363" s="10">
        <v>45156</v>
      </c>
      <c r="D2363" s="9" t="s">
        <v>79</v>
      </c>
      <c r="E2363" s="9" t="s">
        <v>143</v>
      </c>
      <c r="F2363" s="9" t="s">
        <v>80</v>
      </c>
      <c r="G2363" s="9" t="s">
        <v>43</v>
      </c>
      <c r="H2363" s="9" t="s">
        <v>44</v>
      </c>
      <c r="I2363" s="11" t="s">
        <v>725</v>
      </c>
      <c r="J2363" s="9" t="s">
        <v>145</v>
      </c>
      <c r="K2363" s="9" t="s">
        <v>47</v>
      </c>
      <c r="L2363" s="9" t="s">
        <v>1040</v>
      </c>
      <c r="M2363" s="9" t="s">
        <v>1147</v>
      </c>
      <c r="N2363" s="9" t="s">
        <v>84</v>
      </c>
      <c r="O2363" s="9" t="s">
        <v>51</v>
      </c>
      <c r="P2363" s="9" t="s">
        <v>727</v>
      </c>
      <c r="Q2363" s="9"/>
      <c r="R2363" s="9" t="s">
        <v>61</v>
      </c>
      <c r="S2363" s="14" t="s">
        <v>8201</v>
      </c>
      <c r="T2363" s="9" t="s">
        <v>8202</v>
      </c>
      <c r="U2363" s="9" t="s">
        <v>54</v>
      </c>
      <c r="V2363" s="9" t="s">
        <v>251</v>
      </c>
      <c r="W2363" s="9" t="s">
        <v>115</v>
      </c>
      <c r="X2363" s="12" t="s">
        <v>171</v>
      </c>
      <c r="Y2363" s="9" t="s">
        <v>172</v>
      </c>
      <c r="Z2363" s="13"/>
    </row>
    <row r="2364" spans="1:26" ht="32.25" hidden="1" customHeight="1">
      <c r="A2364" s="8">
        <v>2302324</v>
      </c>
      <c r="B2364" s="9" t="s">
        <v>8203</v>
      </c>
      <c r="C2364" s="10">
        <v>45156</v>
      </c>
      <c r="D2364" s="9" t="s">
        <v>79</v>
      </c>
      <c r="E2364" s="9" t="s">
        <v>41</v>
      </c>
      <c r="F2364" s="9" t="s">
        <v>80</v>
      </c>
      <c r="G2364" s="9" t="s">
        <v>43</v>
      </c>
      <c r="H2364" s="9" t="s">
        <v>44</v>
      </c>
      <c r="I2364" s="11" t="s">
        <v>527</v>
      </c>
      <c r="J2364" s="9" t="s">
        <v>130</v>
      </c>
      <c r="K2364" s="9" t="s">
        <v>47</v>
      </c>
      <c r="L2364" s="9" t="s">
        <v>713</v>
      </c>
      <c r="M2364" s="9" t="s">
        <v>3213</v>
      </c>
      <c r="N2364" s="9" t="s">
        <v>84</v>
      </c>
      <c r="O2364" s="9" t="s">
        <v>51</v>
      </c>
      <c r="P2364" s="9" t="s">
        <v>529</v>
      </c>
      <c r="Q2364" s="9"/>
      <c r="R2364" s="9" t="s">
        <v>61</v>
      </c>
      <c r="S2364" s="14" t="s">
        <v>8204</v>
      </c>
      <c r="T2364" s="9" t="s">
        <v>8205</v>
      </c>
      <c r="U2364" s="9" t="s">
        <v>54</v>
      </c>
      <c r="V2364" s="9" t="s">
        <v>318</v>
      </c>
      <c r="W2364" s="9" t="s">
        <v>115</v>
      </c>
      <c r="X2364" s="12" t="s">
        <v>319</v>
      </c>
      <c r="Y2364" s="9" t="s">
        <v>320</v>
      </c>
      <c r="Z2364" s="13"/>
    </row>
    <row r="2365" spans="1:26" ht="32.25" hidden="1" customHeight="1">
      <c r="A2365" s="8">
        <v>2302091</v>
      </c>
      <c r="B2365" s="9" t="s">
        <v>8206</v>
      </c>
      <c r="C2365" s="10">
        <v>45156</v>
      </c>
      <c r="D2365" s="9" t="s">
        <v>79</v>
      </c>
      <c r="E2365" s="9" t="s">
        <v>41</v>
      </c>
      <c r="F2365" s="9" t="s">
        <v>80</v>
      </c>
      <c r="G2365" s="9" t="s">
        <v>43</v>
      </c>
      <c r="H2365" s="9" t="s">
        <v>44</v>
      </c>
      <c r="I2365" s="11" t="s">
        <v>81</v>
      </c>
      <c r="J2365" s="9" t="s">
        <v>46</v>
      </c>
      <c r="K2365" s="9" t="s">
        <v>47</v>
      </c>
      <c r="L2365" s="9" t="s">
        <v>156</v>
      </c>
      <c r="M2365" s="9"/>
      <c r="N2365" s="9" t="s">
        <v>50</v>
      </c>
      <c r="O2365" s="9" t="s">
        <v>51</v>
      </c>
      <c r="P2365" s="9" t="s">
        <v>503</v>
      </c>
      <c r="Q2365" s="9"/>
      <c r="R2365" s="9"/>
      <c r="S2365" s="14" t="s">
        <v>8207</v>
      </c>
      <c r="T2365" s="9" t="s">
        <v>8208</v>
      </c>
      <c r="U2365" s="9" t="s">
        <v>54</v>
      </c>
      <c r="V2365" s="9"/>
      <c r="W2365" s="9" t="s">
        <v>115</v>
      </c>
      <c r="X2365" s="12"/>
      <c r="Y2365" s="9" t="s">
        <v>55</v>
      </c>
      <c r="Z2365" s="13"/>
    </row>
    <row r="2366" spans="1:26" ht="32.25" hidden="1" customHeight="1">
      <c r="A2366" s="8">
        <v>2306563</v>
      </c>
      <c r="B2366" s="9" t="s">
        <v>8209</v>
      </c>
      <c r="C2366" s="10">
        <v>45142</v>
      </c>
      <c r="D2366" s="9" t="s">
        <v>67</v>
      </c>
      <c r="E2366" s="9" t="s">
        <v>143</v>
      </c>
      <c r="F2366" s="9" t="s">
        <v>42</v>
      </c>
      <c r="G2366" s="9" t="s">
        <v>43</v>
      </c>
      <c r="H2366" s="9" t="s">
        <v>44</v>
      </c>
      <c r="I2366" s="11" t="s">
        <v>144</v>
      </c>
      <c r="J2366" s="9" t="s">
        <v>145</v>
      </c>
      <c r="K2366" s="9" t="s">
        <v>47</v>
      </c>
      <c r="L2366" s="9" t="s">
        <v>713</v>
      </c>
      <c r="M2366" s="9" t="s">
        <v>714</v>
      </c>
      <c r="N2366" s="9" t="s">
        <v>84</v>
      </c>
      <c r="O2366" s="9" t="s">
        <v>51</v>
      </c>
      <c r="P2366" s="9" t="s">
        <v>147</v>
      </c>
      <c r="Q2366" s="9"/>
      <c r="R2366" s="9" t="s">
        <v>61</v>
      </c>
      <c r="S2366" s="9" t="s">
        <v>8210</v>
      </c>
      <c r="T2366" s="9" t="s">
        <v>8211</v>
      </c>
      <c r="U2366" s="9" t="s">
        <v>54</v>
      </c>
      <c r="V2366" s="9" t="s">
        <v>55</v>
      </c>
      <c r="W2366" s="9" t="s">
        <v>55</v>
      </c>
      <c r="X2366" s="12" t="s">
        <v>150</v>
      </c>
      <c r="Y2366" s="9" t="s">
        <v>151</v>
      </c>
      <c r="Z2366" s="13"/>
    </row>
    <row r="2367" spans="1:26" ht="32.25" hidden="1" customHeight="1">
      <c r="A2367" s="8">
        <v>2308412</v>
      </c>
      <c r="B2367" s="9" t="s">
        <v>8212</v>
      </c>
      <c r="C2367" s="10">
        <v>45156</v>
      </c>
      <c r="D2367" s="9" t="s">
        <v>79</v>
      </c>
      <c r="E2367" s="9" t="s">
        <v>68</v>
      </c>
      <c r="F2367" s="9" t="s">
        <v>80</v>
      </c>
      <c r="G2367" s="9" t="s">
        <v>43</v>
      </c>
      <c r="H2367" s="9" t="s">
        <v>44</v>
      </c>
      <c r="I2367" s="11" t="s">
        <v>90</v>
      </c>
      <c r="J2367" s="9" t="s">
        <v>91</v>
      </c>
      <c r="K2367" s="9" t="s">
        <v>47</v>
      </c>
      <c r="L2367" s="9" t="s">
        <v>156</v>
      </c>
      <c r="M2367" s="9"/>
      <c r="N2367" s="9" t="s">
        <v>84</v>
      </c>
      <c r="O2367" s="9" t="s">
        <v>51</v>
      </c>
      <c r="P2367" s="9" t="s">
        <v>670</v>
      </c>
      <c r="Q2367" s="9"/>
      <c r="R2367" s="9"/>
      <c r="S2367" s="14" t="s">
        <v>8213</v>
      </c>
      <c r="T2367" s="9" t="s">
        <v>8214</v>
      </c>
      <c r="U2367" s="9" t="s">
        <v>54</v>
      </c>
      <c r="V2367" s="9"/>
      <c r="W2367" s="9" t="s">
        <v>115</v>
      </c>
      <c r="X2367" s="12"/>
      <c r="Y2367" s="9" t="s">
        <v>55</v>
      </c>
      <c r="Z2367" s="13"/>
    </row>
    <row r="2368" spans="1:26" ht="32.25" hidden="1" customHeight="1">
      <c r="A2368" s="8">
        <v>2312844</v>
      </c>
      <c r="B2368" s="9" t="s">
        <v>8215</v>
      </c>
      <c r="C2368" s="10">
        <v>45156</v>
      </c>
      <c r="D2368" s="9" t="s">
        <v>79</v>
      </c>
      <c r="E2368" s="9" t="s">
        <v>41</v>
      </c>
      <c r="F2368" s="9" t="s">
        <v>80</v>
      </c>
      <c r="G2368" s="9" t="s">
        <v>43</v>
      </c>
      <c r="H2368" s="9" t="s">
        <v>44</v>
      </c>
      <c r="I2368" s="11" t="s">
        <v>478</v>
      </c>
      <c r="J2368" s="9" t="s">
        <v>479</v>
      </c>
      <c r="K2368" s="9" t="s">
        <v>47</v>
      </c>
      <c r="L2368" s="9" t="s">
        <v>156</v>
      </c>
      <c r="M2368" s="9"/>
      <c r="N2368" s="9" t="s">
        <v>84</v>
      </c>
      <c r="O2368" s="9" t="s">
        <v>51</v>
      </c>
      <c r="P2368" s="9" t="s">
        <v>1414</v>
      </c>
      <c r="Q2368" s="9"/>
      <c r="R2368" s="9"/>
      <c r="S2368" s="14" t="s">
        <v>8216</v>
      </c>
      <c r="T2368" s="9" t="s">
        <v>8217</v>
      </c>
      <c r="U2368" s="9" t="s">
        <v>54</v>
      </c>
      <c r="V2368" s="9"/>
      <c r="W2368" s="9" t="s">
        <v>115</v>
      </c>
      <c r="X2368" s="12"/>
      <c r="Y2368" s="9" t="s">
        <v>55</v>
      </c>
      <c r="Z2368" s="13"/>
    </row>
    <row r="2369" spans="1:26" ht="32.25" hidden="1" customHeight="1">
      <c r="A2369" s="8">
        <v>2313894</v>
      </c>
      <c r="B2369" s="9" t="s">
        <v>8218</v>
      </c>
      <c r="C2369" s="10">
        <v>45156</v>
      </c>
      <c r="D2369" s="9" t="s">
        <v>79</v>
      </c>
      <c r="E2369" s="9" t="s">
        <v>41</v>
      </c>
      <c r="F2369" s="9" t="s">
        <v>80</v>
      </c>
      <c r="G2369" s="9" t="s">
        <v>43</v>
      </c>
      <c r="H2369" s="9" t="s">
        <v>44</v>
      </c>
      <c r="I2369" s="11" t="s">
        <v>81</v>
      </c>
      <c r="J2369" s="9" t="s">
        <v>46</v>
      </c>
      <c r="K2369" s="9" t="s">
        <v>47</v>
      </c>
      <c r="L2369" s="9" t="s">
        <v>156</v>
      </c>
      <c r="M2369" s="9"/>
      <c r="N2369" s="9" t="s">
        <v>84</v>
      </c>
      <c r="O2369" s="9" t="s">
        <v>51</v>
      </c>
      <c r="P2369" s="9" t="s">
        <v>1263</v>
      </c>
      <c r="Q2369" s="9"/>
      <c r="R2369" s="9"/>
      <c r="S2369" s="14" t="s">
        <v>8219</v>
      </c>
      <c r="T2369" s="9" t="s">
        <v>8220</v>
      </c>
      <c r="U2369" s="9" t="s">
        <v>54</v>
      </c>
      <c r="V2369" s="9" t="s">
        <v>55</v>
      </c>
      <c r="W2369" s="9" t="s">
        <v>55</v>
      </c>
      <c r="X2369" s="12"/>
      <c r="Y2369" s="9" t="s">
        <v>55</v>
      </c>
      <c r="Z2369" s="13"/>
    </row>
    <row r="2370" spans="1:26" ht="32.25" hidden="1" customHeight="1">
      <c r="A2370" s="8">
        <v>2314059</v>
      </c>
      <c r="B2370" s="9" t="s">
        <v>8221</v>
      </c>
      <c r="C2370" s="10">
        <v>45156</v>
      </c>
      <c r="D2370" s="9" t="s">
        <v>79</v>
      </c>
      <c r="E2370" s="9" t="s">
        <v>89</v>
      </c>
      <c r="F2370" s="9" t="s">
        <v>80</v>
      </c>
      <c r="G2370" s="9" t="s">
        <v>43</v>
      </c>
      <c r="H2370" s="9" t="s">
        <v>44</v>
      </c>
      <c r="I2370" s="11" t="s">
        <v>101</v>
      </c>
      <c r="J2370" s="9" t="s">
        <v>102</v>
      </c>
      <c r="K2370" s="9" t="s">
        <v>47</v>
      </c>
      <c r="L2370" s="9" t="s">
        <v>48</v>
      </c>
      <c r="M2370" s="9" t="s">
        <v>1366</v>
      </c>
      <c r="N2370" s="9" t="s">
        <v>50</v>
      </c>
      <c r="O2370" s="9" t="s">
        <v>51</v>
      </c>
      <c r="P2370" s="9" t="s">
        <v>1229</v>
      </c>
      <c r="Q2370" s="9"/>
      <c r="R2370" s="9"/>
      <c r="S2370" s="14" t="s">
        <v>8222</v>
      </c>
      <c r="T2370" s="9" t="s">
        <v>8223</v>
      </c>
      <c r="U2370" s="9" t="s">
        <v>54</v>
      </c>
      <c r="V2370" s="9" t="s">
        <v>55</v>
      </c>
      <c r="W2370" s="9" t="s">
        <v>55</v>
      </c>
      <c r="X2370" s="12"/>
      <c r="Y2370" s="9" t="s">
        <v>55</v>
      </c>
      <c r="Z2370" s="13"/>
    </row>
    <row r="2371" spans="1:26" ht="32.25" hidden="1" customHeight="1">
      <c r="A2371" s="8">
        <v>2312951</v>
      </c>
      <c r="B2371" s="9" t="s">
        <v>8224</v>
      </c>
      <c r="C2371" s="10">
        <v>45136</v>
      </c>
      <c r="D2371" s="9" t="s">
        <v>40</v>
      </c>
      <c r="E2371" s="9" t="s">
        <v>153</v>
      </c>
      <c r="F2371" s="9" t="s">
        <v>42</v>
      </c>
      <c r="G2371" s="9" t="s">
        <v>43</v>
      </c>
      <c r="H2371" s="9" t="s">
        <v>44</v>
      </c>
      <c r="I2371" s="11" t="s">
        <v>154</v>
      </c>
      <c r="J2371" s="9" t="s">
        <v>155</v>
      </c>
      <c r="K2371" s="9" t="s">
        <v>47</v>
      </c>
      <c r="L2371" s="9" t="s">
        <v>156</v>
      </c>
      <c r="M2371" s="9"/>
      <c r="N2371" s="9" t="s">
        <v>50</v>
      </c>
      <c r="O2371" s="9" t="s">
        <v>51</v>
      </c>
      <c r="P2371" s="9"/>
      <c r="Q2371" s="9"/>
      <c r="R2371" s="9"/>
      <c r="S2371" s="9" t="s">
        <v>8225</v>
      </c>
      <c r="T2371" s="9" t="s">
        <v>8226</v>
      </c>
      <c r="U2371" s="9" t="s">
        <v>54</v>
      </c>
      <c r="V2371" s="9" t="s">
        <v>55</v>
      </c>
      <c r="W2371" s="9" t="s">
        <v>55</v>
      </c>
      <c r="X2371" s="12"/>
      <c r="Y2371" s="9" t="s">
        <v>55</v>
      </c>
      <c r="Z2371" s="13"/>
    </row>
    <row r="2372" spans="1:26" ht="32.25" hidden="1" customHeight="1">
      <c r="A2372" s="8">
        <v>2308336</v>
      </c>
      <c r="B2372" s="9" t="s">
        <v>8227</v>
      </c>
      <c r="C2372" s="10">
        <v>45149</v>
      </c>
      <c r="D2372" s="9" t="s">
        <v>57</v>
      </c>
      <c r="E2372" s="9" t="s">
        <v>153</v>
      </c>
      <c r="F2372" s="9" t="s">
        <v>42</v>
      </c>
      <c r="G2372" s="9" t="s">
        <v>43</v>
      </c>
      <c r="H2372" s="9" t="s">
        <v>58</v>
      </c>
      <c r="I2372" s="11" t="s">
        <v>154</v>
      </c>
      <c r="J2372" s="9" t="s">
        <v>155</v>
      </c>
      <c r="K2372" s="9" t="s">
        <v>47</v>
      </c>
      <c r="L2372" s="9" t="s">
        <v>1542</v>
      </c>
      <c r="M2372" s="9" t="s">
        <v>1810</v>
      </c>
      <c r="N2372" s="9" t="s">
        <v>84</v>
      </c>
      <c r="O2372" s="9" t="s">
        <v>51</v>
      </c>
      <c r="P2372" s="9"/>
      <c r="Q2372" s="9"/>
      <c r="R2372" s="9"/>
      <c r="S2372" s="14" t="s">
        <v>8228</v>
      </c>
      <c r="T2372" s="9" t="s">
        <v>8229</v>
      </c>
      <c r="U2372" s="9" t="s">
        <v>54</v>
      </c>
      <c r="V2372" s="9" t="s">
        <v>55</v>
      </c>
      <c r="W2372" s="9" t="s">
        <v>55</v>
      </c>
      <c r="X2372" s="12"/>
      <c r="Y2372" s="9" t="s">
        <v>55</v>
      </c>
      <c r="Z2372" s="13"/>
    </row>
    <row r="2373" spans="1:26" ht="32.25" hidden="1" customHeight="1">
      <c r="A2373" s="8">
        <v>2313133</v>
      </c>
      <c r="B2373" s="9" t="s">
        <v>8230</v>
      </c>
      <c r="C2373" s="10">
        <v>45142</v>
      </c>
      <c r="D2373" s="9" t="s">
        <v>67</v>
      </c>
      <c r="E2373" s="9" t="s">
        <v>143</v>
      </c>
      <c r="F2373" s="9" t="s">
        <v>42</v>
      </c>
      <c r="G2373" s="9" t="s">
        <v>43</v>
      </c>
      <c r="H2373" s="9" t="s">
        <v>44</v>
      </c>
      <c r="I2373" s="11" t="s">
        <v>219</v>
      </c>
      <c r="J2373" s="9" t="s">
        <v>220</v>
      </c>
      <c r="K2373" s="9" t="s">
        <v>47</v>
      </c>
      <c r="L2373" s="9" t="s">
        <v>425</v>
      </c>
      <c r="M2373" s="9" t="s">
        <v>2244</v>
      </c>
      <c r="N2373" s="9" t="s">
        <v>50</v>
      </c>
      <c r="O2373" s="9" t="s">
        <v>51</v>
      </c>
      <c r="P2373" s="9"/>
      <c r="Q2373" s="9"/>
      <c r="R2373" s="9" t="s">
        <v>61</v>
      </c>
      <c r="S2373" s="9" t="s">
        <v>8231</v>
      </c>
      <c r="T2373" s="9" t="s">
        <v>8232</v>
      </c>
      <c r="U2373" s="9" t="s">
        <v>54</v>
      </c>
      <c r="V2373" s="9" t="s">
        <v>55</v>
      </c>
      <c r="W2373" s="9" t="s">
        <v>55</v>
      </c>
      <c r="X2373" s="12" t="s">
        <v>171</v>
      </c>
      <c r="Y2373" s="9" t="s">
        <v>172</v>
      </c>
      <c r="Z2373" s="13"/>
    </row>
    <row r="2374" spans="1:26" ht="32.25" hidden="1" customHeight="1">
      <c r="A2374" s="8">
        <v>2312418</v>
      </c>
      <c r="B2374" s="9" t="s">
        <v>8233</v>
      </c>
      <c r="C2374" s="10">
        <v>45149</v>
      </c>
      <c r="D2374" s="9" t="s">
        <v>261</v>
      </c>
      <c r="E2374" s="9" t="s">
        <v>153</v>
      </c>
      <c r="F2374" s="9" t="s">
        <v>262</v>
      </c>
      <c r="G2374" s="9" t="s">
        <v>43</v>
      </c>
      <c r="H2374" s="9" t="s">
        <v>44</v>
      </c>
      <c r="I2374" s="11" t="s">
        <v>1136</v>
      </c>
      <c r="J2374" s="9" t="s">
        <v>1137</v>
      </c>
      <c r="K2374" s="9" t="s">
        <v>47</v>
      </c>
      <c r="L2374" s="9" t="s">
        <v>156</v>
      </c>
      <c r="M2374" s="9"/>
      <c r="N2374" s="9" t="s">
        <v>50</v>
      </c>
      <c r="O2374" s="9" t="s">
        <v>51</v>
      </c>
      <c r="P2374" s="9"/>
      <c r="Q2374" s="9"/>
      <c r="R2374" s="9"/>
      <c r="S2374" s="14" t="s">
        <v>8234</v>
      </c>
      <c r="T2374" s="9" t="s">
        <v>8235</v>
      </c>
      <c r="U2374" s="9" t="s">
        <v>262</v>
      </c>
      <c r="V2374" s="9" t="s">
        <v>55</v>
      </c>
      <c r="W2374" s="9" t="s">
        <v>55</v>
      </c>
      <c r="X2374" s="12"/>
      <c r="Y2374" s="9" t="s">
        <v>55</v>
      </c>
      <c r="Z2374" s="13"/>
    </row>
    <row r="2375" spans="1:26" ht="32.25" hidden="1" customHeight="1">
      <c r="A2375" s="8">
        <v>2302284</v>
      </c>
      <c r="B2375" s="9" t="s">
        <v>8236</v>
      </c>
      <c r="C2375" s="10">
        <v>45156</v>
      </c>
      <c r="D2375" s="9" t="s">
        <v>79</v>
      </c>
      <c r="E2375" s="9" t="s">
        <v>89</v>
      </c>
      <c r="F2375" s="9" t="s">
        <v>80</v>
      </c>
      <c r="G2375" s="9" t="s">
        <v>43</v>
      </c>
      <c r="H2375" s="9" t="s">
        <v>44</v>
      </c>
      <c r="I2375" s="11" t="s">
        <v>101</v>
      </c>
      <c r="J2375" s="9" t="s">
        <v>102</v>
      </c>
      <c r="K2375" s="9" t="s">
        <v>47</v>
      </c>
      <c r="L2375" s="9" t="s">
        <v>411</v>
      </c>
      <c r="M2375" s="9" t="s">
        <v>8237</v>
      </c>
      <c r="N2375" s="9" t="s">
        <v>50</v>
      </c>
      <c r="O2375" s="9" t="s">
        <v>51</v>
      </c>
      <c r="P2375" s="9" t="s">
        <v>125</v>
      </c>
      <c r="Q2375" s="9"/>
      <c r="R2375" s="9" t="s">
        <v>61</v>
      </c>
      <c r="S2375" s="14" t="s">
        <v>8238</v>
      </c>
      <c r="T2375" s="9" t="s">
        <v>8239</v>
      </c>
      <c r="U2375" s="9" t="s">
        <v>54</v>
      </c>
      <c r="V2375" s="9" t="s">
        <v>711</v>
      </c>
      <c r="W2375" s="9" t="s">
        <v>115</v>
      </c>
      <c r="X2375" s="12" t="s">
        <v>98</v>
      </c>
      <c r="Y2375" s="9" t="s">
        <v>99</v>
      </c>
      <c r="Z2375" s="13"/>
    </row>
    <row r="2376" spans="1:26" ht="32.25" hidden="1" customHeight="1">
      <c r="A2376" s="8">
        <v>2306922</v>
      </c>
      <c r="B2376" s="9" t="s">
        <v>8240</v>
      </c>
      <c r="C2376" s="10">
        <v>45149</v>
      </c>
      <c r="D2376" s="9" t="s">
        <v>57</v>
      </c>
      <c r="E2376" s="9" t="s">
        <v>295</v>
      </c>
      <c r="F2376" s="9" t="s">
        <v>42</v>
      </c>
      <c r="G2376" s="9" t="s">
        <v>43</v>
      </c>
      <c r="H2376" s="9" t="s">
        <v>58</v>
      </c>
      <c r="I2376" s="11" t="s">
        <v>406</v>
      </c>
      <c r="J2376" s="9" t="s">
        <v>407</v>
      </c>
      <c r="K2376" s="9" t="s">
        <v>47</v>
      </c>
      <c r="L2376" s="9" t="s">
        <v>156</v>
      </c>
      <c r="M2376" s="9"/>
      <c r="N2376" s="9" t="s">
        <v>50</v>
      </c>
      <c r="O2376" s="9" t="s">
        <v>51</v>
      </c>
      <c r="P2376" s="9"/>
      <c r="Q2376" s="9"/>
      <c r="R2376" s="9"/>
      <c r="S2376" s="14" t="s">
        <v>8241</v>
      </c>
      <c r="T2376" s="9" t="s">
        <v>8242</v>
      </c>
      <c r="U2376" s="9" t="s">
        <v>54</v>
      </c>
      <c r="V2376" s="9" t="s">
        <v>55</v>
      </c>
      <c r="W2376" s="9" t="s">
        <v>55</v>
      </c>
      <c r="X2376" s="12"/>
      <c r="Y2376" s="9" t="s">
        <v>55</v>
      </c>
      <c r="Z2376" s="13"/>
    </row>
    <row r="2377" spans="1:26" ht="32.25" hidden="1" customHeight="1">
      <c r="A2377" s="8">
        <v>2311732</v>
      </c>
      <c r="B2377" s="9" t="s">
        <v>8243</v>
      </c>
      <c r="C2377" s="10">
        <v>45156</v>
      </c>
      <c r="D2377" s="9" t="s">
        <v>79</v>
      </c>
      <c r="E2377" s="9" t="s">
        <v>143</v>
      </c>
      <c r="F2377" s="9" t="s">
        <v>80</v>
      </c>
      <c r="G2377" s="9" t="s">
        <v>43</v>
      </c>
      <c r="H2377" s="9" t="s">
        <v>44</v>
      </c>
      <c r="I2377" s="11" t="s">
        <v>326</v>
      </c>
      <c r="J2377" s="9" t="s">
        <v>327</v>
      </c>
      <c r="K2377" s="9" t="s">
        <v>47</v>
      </c>
      <c r="L2377" s="9" t="s">
        <v>156</v>
      </c>
      <c r="M2377" s="9"/>
      <c r="N2377" s="9" t="s">
        <v>84</v>
      </c>
      <c r="O2377" s="9" t="s">
        <v>51</v>
      </c>
      <c r="P2377" s="9" t="s">
        <v>1646</v>
      </c>
      <c r="Q2377" s="9"/>
      <c r="R2377" s="9"/>
      <c r="S2377" s="14" t="s">
        <v>8244</v>
      </c>
      <c r="T2377" s="9" t="s">
        <v>8245</v>
      </c>
      <c r="U2377" s="9" t="s">
        <v>54</v>
      </c>
      <c r="V2377" s="9" t="s">
        <v>55</v>
      </c>
      <c r="W2377" s="9" t="s">
        <v>55</v>
      </c>
      <c r="X2377" s="12"/>
      <c r="Y2377" s="9" t="s">
        <v>55</v>
      </c>
      <c r="Z2377" s="13"/>
    </row>
    <row r="2378" spans="1:26" ht="32.25" hidden="1" customHeight="1">
      <c r="A2378" s="8">
        <v>2305179</v>
      </c>
      <c r="B2378" s="9" t="s">
        <v>8246</v>
      </c>
      <c r="C2378" s="10">
        <v>45142</v>
      </c>
      <c r="D2378" s="9" t="s">
        <v>67</v>
      </c>
      <c r="E2378" s="9" t="s">
        <v>143</v>
      </c>
      <c r="F2378" s="9" t="s">
        <v>42</v>
      </c>
      <c r="G2378" s="9" t="s">
        <v>43</v>
      </c>
      <c r="H2378" s="9" t="s">
        <v>44</v>
      </c>
      <c r="I2378" s="11" t="s">
        <v>334</v>
      </c>
      <c r="J2378" s="9" t="s">
        <v>327</v>
      </c>
      <c r="K2378" s="9" t="s">
        <v>47</v>
      </c>
      <c r="L2378" s="9" t="s">
        <v>156</v>
      </c>
      <c r="M2378" s="9"/>
      <c r="N2378" s="9" t="s">
        <v>84</v>
      </c>
      <c r="O2378" s="9" t="s">
        <v>51</v>
      </c>
      <c r="P2378" s="9" t="s">
        <v>336</v>
      </c>
      <c r="Q2378" s="9"/>
      <c r="R2378" s="9"/>
      <c r="S2378" s="9" t="s">
        <v>8247</v>
      </c>
      <c r="T2378" s="9" t="s">
        <v>8248</v>
      </c>
      <c r="U2378" s="9" t="s">
        <v>54</v>
      </c>
      <c r="V2378" s="9" t="s">
        <v>55</v>
      </c>
      <c r="W2378" s="9" t="s">
        <v>55</v>
      </c>
      <c r="X2378" s="12"/>
      <c r="Y2378" s="9" t="s">
        <v>55</v>
      </c>
      <c r="Z2378" s="13"/>
    </row>
    <row r="2379" spans="1:26" ht="32.25" hidden="1" customHeight="1">
      <c r="A2379" s="8">
        <v>2309135</v>
      </c>
      <c r="B2379" s="9" t="s">
        <v>8249</v>
      </c>
      <c r="C2379" s="10">
        <v>45149</v>
      </c>
      <c r="D2379" s="9" t="s">
        <v>57</v>
      </c>
      <c r="E2379" s="9" t="s">
        <v>295</v>
      </c>
      <c r="F2379" s="9" t="s">
        <v>42</v>
      </c>
      <c r="G2379" s="9" t="s">
        <v>43</v>
      </c>
      <c r="H2379" s="9" t="s">
        <v>58</v>
      </c>
      <c r="I2379" s="11" t="s">
        <v>406</v>
      </c>
      <c r="J2379" s="9" t="s">
        <v>407</v>
      </c>
      <c r="K2379" s="9" t="s">
        <v>47</v>
      </c>
      <c r="L2379" s="9" t="s">
        <v>156</v>
      </c>
      <c r="M2379" s="9"/>
      <c r="N2379" s="9" t="s">
        <v>84</v>
      </c>
      <c r="O2379" s="9" t="s">
        <v>51</v>
      </c>
      <c r="P2379" s="9"/>
      <c r="Q2379" s="9"/>
      <c r="R2379" s="9"/>
      <c r="S2379" s="14" t="s">
        <v>8250</v>
      </c>
      <c r="T2379" s="9" t="s">
        <v>8251</v>
      </c>
      <c r="U2379" s="9" t="s">
        <v>54</v>
      </c>
      <c r="V2379" s="9" t="s">
        <v>55</v>
      </c>
      <c r="W2379" s="9" t="s">
        <v>55</v>
      </c>
      <c r="X2379" s="12"/>
      <c r="Y2379" s="9" t="s">
        <v>55</v>
      </c>
      <c r="Z2379" s="13"/>
    </row>
    <row r="2380" spans="1:26" ht="32.25" hidden="1" customHeight="1">
      <c r="A2380" s="8">
        <v>2305298</v>
      </c>
      <c r="B2380" s="9" t="s">
        <v>8252</v>
      </c>
      <c r="C2380" s="10">
        <v>45149</v>
      </c>
      <c r="D2380" s="9" t="s">
        <v>57</v>
      </c>
      <c r="E2380" s="9" t="s">
        <v>295</v>
      </c>
      <c r="F2380" s="9" t="s">
        <v>42</v>
      </c>
      <c r="G2380" s="9" t="s">
        <v>43</v>
      </c>
      <c r="H2380" s="9" t="s">
        <v>58</v>
      </c>
      <c r="I2380" s="11" t="s">
        <v>406</v>
      </c>
      <c r="J2380" s="9" t="s">
        <v>407</v>
      </c>
      <c r="K2380" s="9" t="s">
        <v>47</v>
      </c>
      <c r="L2380" s="9" t="s">
        <v>156</v>
      </c>
      <c r="M2380" s="9"/>
      <c r="N2380" s="9" t="s">
        <v>50</v>
      </c>
      <c r="O2380" s="9" t="s">
        <v>51</v>
      </c>
      <c r="P2380" s="9"/>
      <c r="Q2380" s="9"/>
      <c r="R2380" s="9"/>
      <c r="S2380" s="14" t="s">
        <v>8253</v>
      </c>
      <c r="T2380" s="9" t="s">
        <v>8254</v>
      </c>
      <c r="U2380" s="9" t="s">
        <v>54</v>
      </c>
      <c r="V2380" s="9" t="s">
        <v>55</v>
      </c>
      <c r="W2380" s="9" t="s">
        <v>55</v>
      </c>
      <c r="X2380" s="12"/>
      <c r="Y2380" s="9" t="s">
        <v>55</v>
      </c>
      <c r="Z2380" s="13"/>
    </row>
    <row r="2381" spans="1:26" ht="32.25" hidden="1" customHeight="1">
      <c r="A2381" s="8">
        <v>2311236</v>
      </c>
      <c r="B2381" s="9" t="s">
        <v>8255</v>
      </c>
      <c r="C2381" s="10">
        <v>45142</v>
      </c>
      <c r="D2381" s="9" t="s">
        <v>67</v>
      </c>
      <c r="E2381" s="9" t="s">
        <v>143</v>
      </c>
      <c r="F2381" s="9" t="s">
        <v>42</v>
      </c>
      <c r="G2381" s="9" t="s">
        <v>43</v>
      </c>
      <c r="H2381" s="9" t="s">
        <v>44</v>
      </c>
      <c r="I2381" s="11" t="s">
        <v>144</v>
      </c>
      <c r="J2381" s="9" t="s">
        <v>145</v>
      </c>
      <c r="K2381" s="9" t="s">
        <v>47</v>
      </c>
      <c r="L2381" s="9" t="s">
        <v>48</v>
      </c>
      <c r="M2381" s="9" t="s">
        <v>3053</v>
      </c>
      <c r="N2381" s="9" t="s">
        <v>50</v>
      </c>
      <c r="O2381" s="9" t="s">
        <v>51</v>
      </c>
      <c r="P2381" s="9" t="s">
        <v>147</v>
      </c>
      <c r="Q2381" s="9"/>
      <c r="R2381" s="9" t="s">
        <v>61</v>
      </c>
      <c r="S2381" s="9" t="s">
        <v>8256</v>
      </c>
      <c r="T2381" s="9" t="s">
        <v>8257</v>
      </c>
      <c r="U2381" s="9" t="s">
        <v>54</v>
      </c>
      <c r="V2381" s="9" t="s">
        <v>55</v>
      </c>
      <c r="W2381" s="9" t="s">
        <v>55</v>
      </c>
      <c r="X2381" s="12" t="s">
        <v>150</v>
      </c>
      <c r="Y2381" s="9" t="s">
        <v>151</v>
      </c>
      <c r="Z2381" s="13"/>
    </row>
    <row r="2382" spans="1:26" ht="32.25" hidden="1" customHeight="1">
      <c r="A2382" s="8">
        <v>2305961</v>
      </c>
      <c r="B2382" s="9" t="s">
        <v>8258</v>
      </c>
      <c r="C2382" s="10">
        <v>45149</v>
      </c>
      <c r="D2382" s="9" t="s">
        <v>57</v>
      </c>
      <c r="E2382" s="9" t="s">
        <v>41</v>
      </c>
      <c r="F2382" s="9" t="s">
        <v>42</v>
      </c>
      <c r="G2382" s="9" t="s">
        <v>43</v>
      </c>
      <c r="H2382" s="9" t="s">
        <v>58</v>
      </c>
      <c r="I2382" s="11" t="s">
        <v>661</v>
      </c>
      <c r="J2382" s="9" t="s">
        <v>662</v>
      </c>
      <c r="K2382" s="9" t="s">
        <v>47</v>
      </c>
      <c r="L2382" s="9" t="s">
        <v>156</v>
      </c>
      <c r="M2382" s="9"/>
      <c r="N2382" s="9" t="s">
        <v>50</v>
      </c>
      <c r="O2382" s="9" t="s">
        <v>51</v>
      </c>
      <c r="P2382" s="9"/>
      <c r="Q2382" s="9"/>
      <c r="R2382" s="9"/>
      <c r="S2382" s="14" t="s">
        <v>8259</v>
      </c>
      <c r="T2382" s="9" t="s">
        <v>8260</v>
      </c>
      <c r="U2382" s="9" t="s">
        <v>54</v>
      </c>
      <c r="V2382" s="9" t="s">
        <v>55</v>
      </c>
      <c r="W2382" s="9" t="s">
        <v>55</v>
      </c>
      <c r="X2382" s="12"/>
      <c r="Y2382" s="9" t="s">
        <v>55</v>
      </c>
      <c r="Z2382" s="13"/>
    </row>
    <row r="2383" spans="1:26" ht="32.25" hidden="1" customHeight="1">
      <c r="A2383" s="8">
        <v>2311725</v>
      </c>
      <c r="B2383" s="9" t="s">
        <v>8261</v>
      </c>
      <c r="C2383" s="10">
        <v>45156</v>
      </c>
      <c r="D2383" s="9" t="s">
        <v>79</v>
      </c>
      <c r="E2383" s="9" t="s">
        <v>68</v>
      </c>
      <c r="F2383" s="9" t="s">
        <v>80</v>
      </c>
      <c r="G2383" s="9" t="s">
        <v>43</v>
      </c>
      <c r="H2383" s="9" t="s">
        <v>44</v>
      </c>
      <c r="I2383" s="11" t="s">
        <v>117</v>
      </c>
      <c r="J2383" s="9" t="s">
        <v>118</v>
      </c>
      <c r="K2383" s="9" t="s">
        <v>47</v>
      </c>
      <c r="L2383" s="9" t="s">
        <v>156</v>
      </c>
      <c r="M2383" s="9"/>
      <c r="N2383" s="9" t="s">
        <v>84</v>
      </c>
      <c r="O2383" s="9" t="s">
        <v>51</v>
      </c>
      <c r="P2383" s="9" t="s">
        <v>285</v>
      </c>
      <c r="Q2383" s="9"/>
      <c r="R2383" s="9"/>
      <c r="S2383" s="14" t="s">
        <v>8262</v>
      </c>
      <c r="T2383" s="9" t="s">
        <v>8263</v>
      </c>
      <c r="U2383" s="9" t="s">
        <v>54</v>
      </c>
      <c r="V2383" s="9" t="s">
        <v>55</v>
      </c>
      <c r="W2383" s="9" t="s">
        <v>55</v>
      </c>
      <c r="X2383" s="12"/>
      <c r="Y2383" s="9" t="s">
        <v>55</v>
      </c>
      <c r="Z2383" s="13"/>
    </row>
    <row r="2384" spans="1:26" ht="32.25" hidden="1" customHeight="1">
      <c r="A2384" s="8">
        <v>2313305</v>
      </c>
      <c r="B2384" s="9" t="s">
        <v>8264</v>
      </c>
      <c r="C2384" s="10">
        <v>45136</v>
      </c>
      <c r="D2384" s="9" t="s">
        <v>40</v>
      </c>
      <c r="E2384" s="9" t="s">
        <v>41</v>
      </c>
      <c r="F2384" s="9" t="s">
        <v>42</v>
      </c>
      <c r="G2384" s="9" t="s">
        <v>43</v>
      </c>
      <c r="H2384" s="9" t="s">
        <v>44</v>
      </c>
      <c r="I2384" s="11" t="s">
        <v>1073</v>
      </c>
      <c r="J2384" s="9" t="s">
        <v>479</v>
      </c>
      <c r="K2384" s="9" t="s">
        <v>47</v>
      </c>
      <c r="L2384" s="9" t="s">
        <v>1040</v>
      </c>
      <c r="M2384" s="9" t="s">
        <v>1041</v>
      </c>
      <c r="N2384" s="9" t="s">
        <v>50</v>
      </c>
      <c r="O2384" s="9" t="s">
        <v>51</v>
      </c>
      <c r="P2384" s="9"/>
      <c r="Q2384" s="9"/>
      <c r="R2384" s="9" t="s">
        <v>61</v>
      </c>
      <c r="S2384" s="9" t="s">
        <v>8265</v>
      </c>
      <c r="T2384" s="9" t="s">
        <v>8266</v>
      </c>
      <c r="U2384" s="9" t="s">
        <v>54</v>
      </c>
      <c r="V2384" s="9" t="s">
        <v>55</v>
      </c>
      <c r="W2384" s="9" t="s">
        <v>55</v>
      </c>
      <c r="X2384" s="9" t="s">
        <v>196</v>
      </c>
      <c r="Y2384" s="9" t="s">
        <v>197</v>
      </c>
      <c r="Z2384" s="13"/>
    </row>
    <row r="2385" spans="1:26" ht="32.25" hidden="1" customHeight="1">
      <c r="A2385" s="8">
        <v>2300540</v>
      </c>
      <c r="B2385" s="9" t="s">
        <v>8267</v>
      </c>
      <c r="C2385" s="10">
        <v>45156</v>
      </c>
      <c r="D2385" s="9" t="s">
        <v>79</v>
      </c>
      <c r="E2385" s="9" t="s">
        <v>89</v>
      </c>
      <c r="F2385" s="9" t="s">
        <v>80</v>
      </c>
      <c r="G2385" s="9" t="s">
        <v>43</v>
      </c>
      <c r="H2385" s="9" t="s">
        <v>44</v>
      </c>
      <c r="I2385" s="11" t="s">
        <v>90</v>
      </c>
      <c r="J2385" s="9" t="s">
        <v>91</v>
      </c>
      <c r="K2385" s="9" t="s">
        <v>47</v>
      </c>
      <c r="L2385" s="9" t="s">
        <v>156</v>
      </c>
      <c r="M2385" s="9" t="s">
        <v>157</v>
      </c>
      <c r="N2385" s="9" t="s">
        <v>50</v>
      </c>
      <c r="O2385" s="9" t="s">
        <v>51</v>
      </c>
      <c r="P2385" s="9" t="s">
        <v>546</v>
      </c>
      <c r="Q2385" s="9"/>
      <c r="R2385" s="9"/>
      <c r="S2385" s="14" t="s">
        <v>8268</v>
      </c>
      <c r="T2385" s="9" t="s">
        <v>8269</v>
      </c>
      <c r="U2385" s="9" t="s">
        <v>54</v>
      </c>
      <c r="V2385" s="9" t="s">
        <v>55</v>
      </c>
      <c r="W2385" s="9" t="s">
        <v>55</v>
      </c>
      <c r="X2385" s="12"/>
      <c r="Y2385" s="9" t="s">
        <v>55</v>
      </c>
      <c r="Z2385" s="13"/>
    </row>
    <row r="2386" spans="1:26" ht="32.25" hidden="1" customHeight="1">
      <c r="A2386" s="8">
        <v>2300443</v>
      </c>
      <c r="B2386" s="9" t="s">
        <v>8270</v>
      </c>
      <c r="C2386" s="10">
        <v>45156</v>
      </c>
      <c r="D2386" s="9" t="s">
        <v>79</v>
      </c>
      <c r="E2386" s="9" t="s">
        <v>41</v>
      </c>
      <c r="F2386" s="9" t="s">
        <v>80</v>
      </c>
      <c r="G2386" s="9" t="s">
        <v>43</v>
      </c>
      <c r="H2386" s="9" t="s">
        <v>44</v>
      </c>
      <c r="I2386" s="11" t="s">
        <v>233</v>
      </c>
      <c r="J2386" s="9" t="s">
        <v>200</v>
      </c>
      <c r="K2386" s="9" t="s">
        <v>47</v>
      </c>
      <c r="L2386" s="9" t="s">
        <v>156</v>
      </c>
      <c r="M2386" s="9"/>
      <c r="N2386" s="9" t="s">
        <v>84</v>
      </c>
      <c r="O2386" s="9" t="s">
        <v>51</v>
      </c>
      <c r="P2386" s="9" t="s">
        <v>443</v>
      </c>
      <c r="Q2386" s="9"/>
      <c r="R2386" s="9"/>
      <c r="S2386" s="14" t="s">
        <v>8271</v>
      </c>
      <c r="T2386" s="9" t="s">
        <v>8272</v>
      </c>
      <c r="U2386" s="9" t="s">
        <v>54</v>
      </c>
      <c r="V2386" s="9" t="s">
        <v>55</v>
      </c>
      <c r="W2386" s="9" t="s">
        <v>55</v>
      </c>
      <c r="X2386" s="12"/>
      <c r="Y2386" s="9" t="s">
        <v>55</v>
      </c>
      <c r="Z2386" s="13"/>
    </row>
    <row r="2387" spans="1:26" ht="32.25" hidden="1" customHeight="1">
      <c r="A2387" s="8">
        <v>2302075</v>
      </c>
      <c r="B2387" s="9" t="s">
        <v>8273</v>
      </c>
      <c r="C2387" s="10">
        <v>45156</v>
      </c>
      <c r="D2387" s="9" t="s">
        <v>79</v>
      </c>
      <c r="E2387" s="9" t="s">
        <v>89</v>
      </c>
      <c r="F2387" s="9" t="s">
        <v>80</v>
      </c>
      <c r="G2387" s="9" t="s">
        <v>43</v>
      </c>
      <c r="H2387" s="9" t="s">
        <v>44</v>
      </c>
      <c r="I2387" s="11" t="s">
        <v>101</v>
      </c>
      <c r="J2387" s="9" t="s">
        <v>102</v>
      </c>
      <c r="K2387" s="9" t="s">
        <v>47</v>
      </c>
      <c r="L2387" s="9" t="s">
        <v>340</v>
      </c>
      <c r="M2387" s="9" t="s">
        <v>2384</v>
      </c>
      <c r="N2387" s="9" t="s">
        <v>84</v>
      </c>
      <c r="O2387" s="9" t="s">
        <v>51</v>
      </c>
      <c r="P2387" s="9" t="s">
        <v>104</v>
      </c>
      <c r="Q2387" s="9"/>
      <c r="R2387" s="9" t="s">
        <v>61</v>
      </c>
      <c r="S2387" s="14" t="s">
        <v>8274</v>
      </c>
      <c r="T2387" s="9" t="s">
        <v>8275</v>
      </c>
      <c r="U2387" s="9" t="s">
        <v>54</v>
      </c>
      <c r="V2387" s="9" t="s">
        <v>318</v>
      </c>
      <c r="W2387" s="9" t="s">
        <v>115</v>
      </c>
      <c r="X2387" s="12" t="s">
        <v>319</v>
      </c>
      <c r="Y2387" s="9" t="s">
        <v>320</v>
      </c>
      <c r="Z2387" s="13"/>
    </row>
    <row r="2388" spans="1:26" ht="32.25" hidden="1" customHeight="1">
      <c r="A2388" s="8">
        <v>2303268</v>
      </c>
      <c r="B2388" s="9" t="s">
        <v>8276</v>
      </c>
      <c r="C2388" s="10">
        <v>45149</v>
      </c>
      <c r="D2388" s="9" t="s">
        <v>57</v>
      </c>
      <c r="E2388" s="9" t="s">
        <v>41</v>
      </c>
      <c r="F2388" s="9" t="s">
        <v>42</v>
      </c>
      <c r="G2388" s="9" t="s">
        <v>43</v>
      </c>
      <c r="H2388" s="9" t="s">
        <v>58</v>
      </c>
      <c r="I2388" s="11" t="s">
        <v>199</v>
      </c>
      <c r="J2388" s="9" t="s">
        <v>200</v>
      </c>
      <c r="K2388" s="9" t="s">
        <v>47</v>
      </c>
      <c r="L2388" s="9" t="s">
        <v>48</v>
      </c>
      <c r="M2388" s="9" t="s">
        <v>2159</v>
      </c>
      <c r="N2388" s="9" t="s">
        <v>50</v>
      </c>
      <c r="O2388" s="9" t="s">
        <v>51</v>
      </c>
      <c r="P2388" s="9"/>
      <c r="Q2388" s="9"/>
      <c r="R2388" s="9"/>
      <c r="S2388" s="14" t="s">
        <v>8277</v>
      </c>
      <c r="T2388" s="9" t="s">
        <v>8278</v>
      </c>
      <c r="U2388" s="9" t="s">
        <v>54</v>
      </c>
      <c r="V2388" s="9" t="s">
        <v>55</v>
      </c>
      <c r="W2388" s="9" t="s">
        <v>55</v>
      </c>
      <c r="X2388" s="12"/>
      <c r="Y2388" s="9" t="s">
        <v>55</v>
      </c>
      <c r="Z2388" s="13"/>
    </row>
    <row r="2389" spans="1:26" ht="32.25" hidden="1" customHeight="1">
      <c r="A2389" s="8">
        <v>2300463</v>
      </c>
      <c r="B2389" s="9" t="s">
        <v>8279</v>
      </c>
      <c r="C2389" s="10">
        <v>45142</v>
      </c>
      <c r="D2389" s="9" t="s">
        <v>67</v>
      </c>
      <c r="E2389" s="9" t="s">
        <v>89</v>
      </c>
      <c r="F2389" s="9" t="s">
        <v>42</v>
      </c>
      <c r="G2389" s="9" t="s">
        <v>43</v>
      </c>
      <c r="H2389" s="9" t="s">
        <v>44</v>
      </c>
      <c r="I2389" s="11" t="s">
        <v>354</v>
      </c>
      <c r="J2389" s="9" t="s">
        <v>91</v>
      </c>
      <c r="K2389" s="9" t="s">
        <v>416</v>
      </c>
      <c r="L2389" s="9" t="s">
        <v>3041</v>
      </c>
      <c r="M2389" s="9" t="s">
        <v>3042</v>
      </c>
      <c r="N2389" s="9" t="s">
        <v>50</v>
      </c>
      <c r="O2389" s="9" t="s">
        <v>51</v>
      </c>
      <c r="P2389" s="9" t="s">
        <v>356</v>
      </c>
      <c r="Q2389" s="9"/>
      <c r="R2389" s="9" t="s">
        <v>61</v>
      </c>
      <c r="S2389" s="9" t="s">
        <v>8280</v>
      </c>
      <c r="T2389" s="9" t="s">
        <v>8281</v>
      </c>
      <c r="U2389" s="9" t="s">
        <v>54</v>
      </c>
      <c r="V2389" s="9" t="s">
        <v>55</v>
      </c>
      <c r="W2389" s="9" t="s">
        <v>55</v>
      </c>
      <c r="X2389" s="12" t="s">
        <v>98</v>
      </c>
      <c r="Y2389" s="9" t="s">
        <v>99</v>
      </c>
      <c r="Z2389" s="13"/>
    </row>
    <row r="2390" spans="1:26" ht="32.25" hidden="1" customHeight="1">
      <c r="A2390" s="8">
        <v>2315395</v>
      </c>
      <c r="B2390" s="9" t="s">
        <v>8282</v>
      </c>
      <c r="C2390" s="10">
        <v>45152</v>
      </c>
      <c r="D2390" s="9" t="s">
        <v>185</v>
      </c>
      <c r="E2390" s="9" t="s">
        <v>41</v>
      </c>
      <c r="F2390" s="9" t="s">
        <v>42</v>
      </c>
      <c r="G2390" s="9" t="s">
        <v>43</v>
      </c>
      <c r="H2390" s="9" t="s">
        <v>44</v>
      </c>
      <c r="I2390" s="11" t="s">
        <v>199</v>
      </c>
      <c r="J2390" s="9" t="s">
        <v>200</v>
      </c>
      <c r="K2390" s="9" t="s">
        <v>1158</v>
      </c>
      <c r="L2390" s="9"/>
      <c r="M2390" s="9" t="s">
        <v>1580</v>
      </c>
      <c r="N2390" s="9" t="s">
        <v>50</v>
      </c>
      <c r="O2390" s="9" t="s">
        <v>187</v>
      </c>
      <c r="P2390" s="9"/>
      <c r="Q2390" s="9"/>
      <c r="R2390" s="9" t="s">
        <v>61</v>
      </c>
      <c r="S2390" s="14" t="s">
        <v>641</v>
      </c>
      <c r="T2390" s="9" t="s">
        <v>8283</v>
      </c>
      <c r="U2390" s="9" t="s">
        <v>54</v>
      </c>
      <c r="V2390" s="9" t="s">
        <v>55</v>
      </c>
      <c r="W2390" s="9" t="s">
        <v>55</v>
      </c>
      <c r="X2390" s="12" t="s">
        <v>196</v>
      </c>
      <c r="Y2390" s="9" t="s">
        <v>197</v>
      </c>
      <c r="Z2390" s="13"/>
    </row>
    <row r="2391" spans="1:26" ht="32.25" hidden="1" customHeight="1">
      <c r="A2391" s="8">
        <v>2314313</v>
      </c>
      <c r="B2391" s="9" t="s">
        <v>8284</v>
      </c>
      <c r="C2391" s="10">
        <v>45156</v>
      </c>
      <c r="D2391" s="9" t="s">
        <v>79</v>
      </c>
      <c r="E2391" s="9" t="s">
        <v>143</v>
      </c>
      <c r="F2391" s="9" t="s">
        <v>80</v>
      </c>
      <c r="G2391" s="9" t="s">
        <v>43</v>
      </c>
      <c r="H2391" s="9" t="s">
        <v>44</v>
      </c>
      <c r="I2391" s="11" t="s">
        <v>326</v>
      </c>
      <c r="J2391" s="9" t="s">
        <v>327</v>
      </c>
      <c r="K2391" s="9" t="s">
        <v>47</v>
      </c>
      <c r="L2391" s="9" t="s">
        <v>340</v>
      </c>
      <c r="M2391" s="9" t="s">
        <v>2984</v>
      </c>
      <c r="N2391" s="9" t="s">
        <v>50</v>
      </c>
      <c r="O2391" s="9" t="s">
        <v>51</v>
      </c>
      <c r="P2391" s="9" t="s">
        <v>654</v>
      </c>
      <c r="Q2391" s="9"/>
      <c r="R2391" s="9" t="s">
        <v>61</v>
      </c>
      <c r="S2391" s="14" t="s">
        <v>8285</v>
      </c>
      <c r="T2391" s="9" t="s">
        <v>8286</v>
      </c>
      <c r="U2391" s="9" t="s">
        <v>54</v>
      </c>
      <c r="V2391" s="9" t="s">
        <v>55</v>
      </c>
      <c r="W2391" s="9" t="s">
        <v>55</v>
      </c>
      <c r="X2391" s="12" t="s">
        <v>150</v>
      </c>
      <c r="Y2391" s="9" t="s">
        <v>151</v>
      </c>
      <c r="Z2391" s="13"/>
    </row>
    <row r="2392" spans="1:26" ht="32.25" hidden="1" customHeight="1">
      <c r="A2392" s="8">
        <v>2310954</v>
      </c>
      <c r="B2392" s="9" t="s">
        <v>8287</v>
      </c>
      <c r="C2392" s="10">
        <v>45156</v>
      </c>
      <c r="D2392" s="9" t="s">
        <v>79</v>
      </c>
      <c r="E2392" s="9" t="s">
        <v>89</v>
      </c>
      <c r="F2392" s="9" t="s">
        <v>80</v>
      </c>
      <c r="G2392" s="9" t="s">
        <v>43</v>
      </c>
      <c r="H2392" s="9" t="s">
        <v>44</v>
      </c>
      <c r="I2392" s="11" t="s">
        <v>117</v>
      </c>
      <c r="J2392" s="9" t="s">
        <v>118</v>
      </c>
      <c r="K2392" s="9" t="s">
        <v>47</v>
      </c>
      <c r="L2392" s="9" t="s">
        <v>48</v>
      </c>
      <c r="M2392" s="9" t="s">
        <v>674</v>
      </c>
      <c r="N2392" s="9" t="s">
        <v>84</v>
      </c>
      <c r="O2392" s="9" t="s">
        <v>51</v>
      </c>
      <c r="P2392" s="9" t="s">
        <v>121</v>
      </c>
      <c r="Q2392" s="9"/>
      <c r="R2392" s="9"/>
      <c r="S2392" s="14" t="s">
        <v>8288</v>
      </c>
      <c r="T2392" s="9" t="s">
        <v>8289</v>
      </c>
      <c r="U2392" s="9" t="s">
        <v>54</v>
      </c>
      <c r="V2392" s="9" t="s">
        <v>55</v>
      </c>
      <c r="W2392" s="9" t="s">
        <v>55</v>
      </c>
      <c r="X2392" s="12"/>
      <c r="Y2392" s="9" t="s">
        <v>55</v>
      </c>
      <c r="Z2392" s="13"/>
    </row>
    <row r="2393" spans="1:26" ht="32.25" hidden="1" customHeight="1">
      <c r="A2393" s="8">
        <v>2305844</v>
      </c>
      <c r="B2393" s="9" t="s">
        <v>8290</v>
      </c>
      <c r="C2393" s="10">
        <v>45149</v>
      </c>
      <c r="D2393" s="9" t="s">
        <v>57</v>
      </c>
      <c r="E2393" s="9" t="s">
        <v>41</v>
      </c>
      <c r="F2393" s="9" t="s">
        <v>42</v>
      </c>
      <c r="G2393" s="9" t="s">
        <v>43</v>
      </c>
      <c r="H2393" s="9" t="s">
        <v>58</v>
      </c>
      <c r="I2393" s="11" t="s">
        <v>45</v>
      </c>
      <c r="J2393" s="9" t="s">
        <v>46</v>
      </c>
      <c r="K2393" s="9" t="s">
        <v>47</v>
      </c>
      <c r="L2393" s="9" t="s">
        <v>156</v>
      </c>
      <c r="M2393" s="9"/>
      <c r="N2393" s="9" t="s">
        <v>50</v>
      </c>
      <c r="O2393" s="9" t="s">
        <v>51</v>
      </c>
      <c r="P2393" s="9"/>
      <c r="Q2393" s="9"/>
      <c r="R2393" s="9"/>
      <c r="S2393" s="14" t="s">
        <v>8291</v>
      </c>
      <c r="T2393" s="9" t="s">
        <v>8292</v>
      </c>
      <c r="U2393" s="9" t="s">
        <v>54</v>
      </c>
      <c r="V2393" s="9" t="s">
        <v>55</v>
      </c>
      <c r="W2393" s="9" t="s">
        <v>55</v>
      </c>
      <c r="X2393" s="12"/>
      <c r="Y2393" s="9" t="s">
        <v>55</v>
      </c>
      <c r="Z2393" s="13"/>
    </row>
    <row r="2394" spans="1:26" ht="32.25" hidden="1" customHeight="1">
      <c r="A2394" s="8">
        <v>2304921</v>
      </c>
      <c r="B2394" s="9" t="s">
        <v>8293</v>
      </c>
      <c r="C2394" s="10">
        <v>45149</v>
      </c>
      <c r="D2394" s="9" t="s">
        <v>261</v>
      </c>
      <c r="E2394" s="9" t="s">
        <v>68</v>
      </c>
      <c r="F2394" s="9" t="s">
        <v>262</v>
      </c>
      <c r="G2394" s="9" t="s">
        <v>43</v>
      </c>
      <c r="H2394" s="9" t="s">
        <v>44</v>
      </c>
      <c r="I2394" s="11" t="s">
        <v>263</v>
      </c>
      <c r="J2394" s="9" t="s">
        <v>264</v>
      </c>
      <c r="K2394" s="9" t="s">
        <v>47</v>
      </c>
      <c r="L2394" s="9" t="s">
        <v>290</v>
      </c>
      <c r="M2394" s="9" t="s">
        <v>8294</v>
      </c>
      <c r="N2394" s="9" t="s">
        <v>50</v>
      </c>
      <c r="O2394" s="9" t="s">
        <v>51</v>
      </c>
      <c r="P2394" s="9"/>
      <c r="Q2394" s="9"/>
      <c r="R2394" s="9" t="s">
        <v>61</v>
      </c>
      <c r="S2394" s="14" t="s">
        <v>8295</v>
      </c>
      <c r="T2394" s="9" t="s">
        <v>8296</v>
      </c>
      <c r="U2394" s="9" t="s">
        <v>262</v>
      </c>
      <c r="V2394" s="9" t="s">
        <v>711</v>
      </c>
      <c r="W2394" s="9" t="s">
        <v>115</v>
      </c>
      <c r="X2394" s="12" t="s">
        <v>389</v>
      </c>
      <c r="Y2394" s="9" t="s">
        <v>390</v>
      </c>
      <c r="Z2394" s="13"/>
    </row>
    <row r="2395" spans="1:26" ht="32.25" hidden="1" customHeight="1">
      <c r="A2395" s="8">
        <v>2301371</v>
      </c>
      <c r="B2395" s="9" t="s">
        <v>8297</v>
      </c>
      <c r="C2395" s="10">
        <v>45149</v>
      </c>
      <c r="D2395" s="9" t="s">
        <v>57</v>
      </c>
      <c r="E2395" s="9" t="s">
        <v>41</v>
      </c>
      <c r="F2395" s="9" t="s">
        <v>42</v>
      </c>
      <c r="G2395" s="9" t="s">
        <v>43</v>
      </c>
      <c r="H2395" s="9" t="s">
        <v>58</v>
      </c>
      <c r="I2395" s="11" t="s">
        <v>199</v>
      </c>
      <c r="J2395" s="9" t="s">
        <v>200</v>
      </c>
      <c r="K2395" s="9" t="s">
        <v>47</v>
      </c>
      <c r="L2395" s="9" t="s">
        <v>156</v>
      </c>
      <c r="M2395" s="9"/>
      <c r="N2395" s="9" t="s">
        <v>50</v>
      </c>
      <c r="O2395" s="9" t="s">
        <v>51</v>
      </c>
      <c r="P2395" s="9"/>
      <c r="Q2395" s="9"/>
      <c r="R2395" s="9"/>
      <c r="S2395" s="14" t="s">
        <v>8298</v>
      </c>
      <c r="T2395" s="9" t="s">
        <v>8299</v>
      </c>
      <c r="U2395" s="9" t="s">
        <v>54</v>
      </c>
      <c r="V2395" s="9" t="s">
        <v>55</v>
      </c>
      <c r="W2395" s="9" t="s">
        <v>55</v>
      </c>
      <c r="X2395" s="12"/>
      <c r="Y2395" s="9" t="s">
        <v>55</v>
      </c>
      <c r="Z2395" s="13"/>
    </row>
    <row r="2396" spans="1:26" ht="32.25" hidden="1" customHeight="1">
      <c r="A2396" s="8">
        <v>2314578</v>
      </c>
      <c r="B2396" s="9" t="s">
        <v>8300</v>
      </c>
      <c r="C2396" s="10">
        <v>45156</v>
      </c>
      <c r="D2396" s="9" t="s">
        <v>79</v>
      </c>
      <c r="E2396" s="9" t="s">
        <v>89</v>
      </c>
      <c r="F2396" s="9" t="s">
        <v>80</v>
      </c>
      <c r="G2396" s="9" t="s">
        <v>43</v>
      </c>
      <c r="H2396" s="9" t="s">
        <v>44</v>
      </c>
      <c r="I2396" s="11" t="s">
        <v>101</v>
      </c>
      <c r="J2396" s="9" t="s">
        <v>102</v>
      </c>
      <c r="K2396" s="9" t="s">
        <v>92</v>
      </c>
      <c r="L2396" s="9" t="s">
        <v>1301</v>
      </c>
      <c r="M2396" s="9" t="s">
        <v>8301</v>
      </c>
      <c r="N2396" s="9" t="s">
        <v>50</v>
      </c>
      <c r="O2396" s="9" t="s">
        <v>51</v>
      </c>
      <c r="P2396" s="9" t="s">
        <v>104</v>
      </c>
      <c r="Q2396" s="9"/>
      <c r="R2396" s="9" t="s">
        <v>61</v>
      </c>
      <c r="S2396" s="14" t="s">
        <v>8302</v>
      </c>
      <c r="T2396" s="9" t="s">
        <v>8303</v>
      </c>
      <c r="U2396" s="9" t="s">
        <v>54</v>
      </c>
      <c r="V2396" s="9" t="s">
        <v>55</v>
      </c>
      <c r="W2396" s="9" t="s">
        <v>55</v>
      </c>
      <c r="X2396" s="12" t="s">
        <v>98</v>
      </c>
      <c r="Y2396" s="9" t="s">
        <v>99</v>
      </c>
      <c r="Z2396" s="13"/>
    </row>
    <row r="2397" spans="1:26" ht="32.25" hidden="1" customHeight="1">
      <c r="A2397" s="8">
        <v>2312965</v>
      </c>
      <c r="B2397" s="9" t="s">
        <v>8304</v>
      </c>
      <c r="C2397" s="10">
        <v>45149</v>
      </c>
      <c r="D2397" s="9" t="s">
        <v>261</v>
      </c>
      <c r="E2397" s="9" t="s">
        <v>143</v>
      </c>
      <c r="F2397" s="9" t="s">
        <v>262</v>
      </c>
      <c r="G2397" s="9" t="s">
        <v>43</v>
      </c>
      <c r="H2397" s="9" t="s">
        <v>44</v>
      </c>
      <c r="I2397" s="11" t="s">
        <v>1291</v>
      </c>
      <c r="J2397" s="9" t="s">
        <v>1292</v>
      </c>
      <c r="K2397" s="9" t="s">
        <v>110</v>
      </c>
      <c r="L2397" s="9"/>
      <c r="M2397" s="9" t="s">
        <v>8305</v>
      </c>
      <c r="N2397" s="9" t="s">
        <v>50</v>
      </c>
      <c r="O2397" s="9" t="s">
        <v>51</v>
      </c>
      <c r="P2397" s="9"/>
      <c r="Q2397" s="9"/>
      <c r="R2397" s="9" t="s">
        <v>61</v>
      </c>
      <c r="S2397" s="14" t="s">
        <v>8306</v>
      </c>
      <c r="T2397" s="9" t="s">
        <v>8307</v>
      </c>
      <c r="U2397" s="9" t="s">
        <v>262</v>
      </c>
      <c r="V2397" s="9" t="s">
        <v>370</v>
      </c>
      <c r="W2397" s="9" t="s">
        <v>115</v>
      </c>
      <c r="X2397" s="12" t="s">
        <v>389</v>
      </c>
      <c r="Y2397" s="9" t="s">
        <v>390</v>
      </c>
      <c r="Z2397" s="13"/>
    </row>
    <row r="2398" spans="1:26" ht="32.25" hidden="1" customHeight="1">
      <c r="A2398" s="8">
        <v>2315336</v>
      </c>
      <c r="B2398" s="9" t="s">
        <v>8308</v>
      </c>
      <c r="C2398" s="10">
        <v>45156</v>
      </c>
      <c r="D2398" s="9" t="s">
        <v>565</v>
      </c>
      <c r="E2398" s="9" t="s">
        <v>41</v>
      </c>
      <c r="F2398" s="9" t="s">
        <v>42</v>
      </c>
      <c r="G2398" s="9" t="s">
        <v>43</v>
      </c>
      <c r="H2398" s="9" t="s">
        <v>58</v>
      </c>
      <c r="I2398" s="11" t="s">
        <v>661</v>
      </c>
      <c r="J2398" s="9" t="s">
        <v>662</v>
      </c>
      <c r="K2398" s="9" t="s">
        <v>47</v>
      </c>
      <c r="L2398" s="9" t="s">
        <v>741</v>
      </c>
      <c r="M2398" s="9" t="s">
        <v>8309</v>
      </c>
      <c r="N2398" s="9" t="s">
        <v>50</v>
      </c>
      <c r="O2398" s="9" t="s">
        <v>51</v>
      </c>
      <c r="P2398" s="9"/>
      <c r="Q2398" s="9"/>
      <c r="R2398" s="9" t="s">
        <v>61</v>
      </c>
      <c r="S2398" s="14" t="s">
        <v>8310</v>
      </c>
      <c r="T2398" s="9" t="s">
        <v>8311</v>
      </c>
      <c r="U2398" s="9" t="s">
        <v>54</v>
      </c>
      <c r="V2398" s="9" t="s">
        <v>55</v>
      </c>
      <c r="W2398" s="9" t="s">
        <v>55</v>
      </c>
      <c r="X2398" s="9" t="s">
        <v>64</v>
      </c>
      <c r="Y2398" s="9" t="s">
        <v>65</v>
      </c>
      <c r="Z2398" s="13"/>
    </row>
    <row r="2399" spans="1:26" ht="32.25" hidden="1" customHeight="1">
      <c r="A2399" s="8">
        <v>2301201</v>
      </c>
      <c r="B2399" s="9" t="s">
        <v>8312</v>
      </c>
      <c r="C2399" s="10">
        <v>45149</v>
      </c>
      <c r="D2399" s="9" t="s">
        <v>57</v>
      </c>
      <c r="E2399" s="9" t="s">
        <v>41</v>
      </c>
      <c r="F2399" s="9" t="s">
        <v>42</v>
      </c>
      <c r="G2399" s="9" t="s">
        <v>43</v>
      </c>
      <c r="H2399" s="9" t="s">
        <v>58</v>
      </c>
      <c r="I2399" s="11" t="s">
        <v>45</v>
      </c>
      <c r="J2399" s="9" t="s">
        <v>46</v>
      </c>
      <c r="K2399" s="9" t="s">
        <v>47</v>
      </c>
      <c r="L2399" s="9" t="s">
        <v>822</v>
      </c>
      <c r="M2399" s="9" t="s">
        <v>823</v>
      </c>
      <c r="N2399" s="9" t="s">
        <v>50</v>
      </c>
      <c r="O2399" s="9" t="s">
        <v>51</v>
      </c>
      <c r="P2399" s="9"/>
      <c r="Q2399" s="9"/>
      <c r="R2399" s="9" t="s">
        <v>61</v>
      </c>
      <c r="S2399" s="14" t="s">
        <v>8313</v>
      </c>
      <c r="T2399" s="9" t="s">
        <v>8314</v>
      </c>
      <c r="U2399" s="9" t="s">
        <v>54</v>
      </c>
      <c r="V2399" s="9" t="s">
        <v>55</v>
      </c>
      <c r="W2399" s="9" t="s">
        <v>55</v>
      </c>
      <c r="X2399" s="9" t="s">
        <v>64</v>
      </c>
      <c r="Y2399" s="9" t="s">
        <v>65</v>
      </c>
      <c r="Z2399" s="13"/>
    </row>
    <row r="2400" spans="1:26" ht="32.25" hidden="1" customHeight="1">
      <c r="A2400" s="8">
        <v>2314968</v>
      </c>
      <c r="B2400" s="9" t="s">
        <v>8315</v>
      </c>
      <c r="C2400" s="10">
        <v>45156</v>
      </c>
      <c r="D2400" s="9" t="s">
        <v>79</v>
      </c>
      <c r="E2400" s="9" t="s">
        <v>89</v>
      </c>
      <c r="F2400" s="9" t="s">
        <v>80</v>
      </c>
      <c r="G2400" s="9" t="s">
        <v>43</v>
      </c>
      <c r="H2400" s="9" t="s">
        <v>44</v>
      </c>
      <c r="I2400" s="11" t="s">
        <v>101</v>
      </c>
      <c r="J2400" s="9" t="s">
        <v>102</v>
      </c>
      <c r="K2400" s="9" t="s">
        <v>7154</v>
      </c>
      <c r="L2400" s="9"/>
      <c r="M2400" s="9" t="s">
        <v>8316</v>
      </c>
      <c r="N2400" s="9" t="s">
        <v>50</v>
      </c>
      <c r="O2400" s="9" t="s">
        <v>51</v>
      </c>
      <c r="P2400" s="9" t="s">
        <v>104</v>
      </c>
      <c r="Q2400" s="9"/>
      <c r="R2400" s="9" t="s">
        <v>61</v>
      </c>
      <c r="S2400" s="14" t="s">
        <v>8317</v>
      </c>
      <c r="T2400" s="9" t="s">
        <v>8318</v>
      </c>
      <c r="U2400" s="9" t="s">
        <v>54</v>
      </c>
      <c r="V2400" s="9" t="s">
        <v>55</v>
      </c>
      <c r="W2400" s="9" t="s">
        <v>55</v>
      </c>
      <c r="X2400" s="12" t="s">
        <v>98</v>
      </c>
      <c r="Y2400" s="9" t="s">
        <v>99</v>
      </c>
      <c r="Z2400" s="13"/>
    </row>
    <row r="2401" spans="1:26" ht="32.25" hidden="1" customHeight="1">
      <c r="A2401" s="8">
        <v>2314437</v>
      </c>
      <c r="B2401" s="9" t="s">
        <v>8319</v>
      </c>
      <c r="C2401" s="10">
        <v>45156</v>
      </c>
      <c r="D2401" s="9" t="s">
        <v>79</v>
      </c>
      <c r="E2401" s="9" t="s">
        <v>89</v>
      </c>
      <c r="F2401" s="9" t="s">
        <v>80</v>
      </c>
      <c r="G2401" s="9" t="s">
        <v>43</v>
      </c>
      <c r="H2401" s="9" t="s">
        <v>44</v>
      </c>
      <c r="I2401" s="11" t="s">
        <v>101</v>
      </c>
      <c r="J2401" s="9" t="s">
        <v>102</v>
      </c>
      <c r="K2401" s="9" t="s">
        <v>47</v>
      </c>
      <c r="L2401" s="9" t="s">
        <v>221</v>
      </c>
      <c r="M2401" s="9" t="s">
        <v>1142</v>
      </c>
      <c r="N2401" s="9" t="s">
        <v>84</v>
      </c>
      <c r="O2401" s="9" t="s">
        <v>51</v>
      </c>
      <c r="P2401" s="9" t="s">
        <v>104</v>
      </c>
      <c r="Q2401" s="9"/>
      <c r="R2401" s="9" t="s">
        <v>61</v>
      </c>
      <c r="S2401" s="14" t="s">
        <v>8320</v>
      </c>
      <c r="T2401" s="9" t="s">
        <v>8321</v>
      </c>
      <c r="U2401" s="9" t="s">
        <v>54</v>
      </c>
      <c r="V2401" s="9" t="s">
        <v>55</v>
      </c>
      <c r="W2401" s="9" t="s">
        <v>55</v>
      </c>
      <c r="X2401" s="12" t="s">
        <v>98</v>
      </c>
      <c r="Y2401" s="9" t="s">
        <v>99</v>
      </c>
      <c r="Z2401" s="13"/>
    </row>
    <row r="2402" spans="1:26" ht="32.25" hidden="1" customHeight="1">
      <c r="A2402" s="8">
        <v>2303003</v>
      </c>
      <c r="B2402" s="9" t="s">
        <v>8322</v>
      </c>
      <c r="C2402" s="10">
        <v>45142</v>
      </c>
      <c r="D2402" s="9" t="s">
        <v>67</v>
      </c>
      <c r="E2402" s="9" t="s">
        <v>89</v>
      </c>
      <c r="F2402" s="9" t="s">
        <v>42</v>
      </c>
      <c r="G2402" s="9" t="s">
        <v>43</v>
      </c>
      <c r="H2402" s="9" t="s">
        <v>44</v>
      </c>
      <c r="I2402" s="11" t="s">
        <v>354</v>
      </c>
      <c r="J2402" s="9" t="s">
        <v>91</v>
      </c>
      <c r="K2402" s="9" t="s">
        <v>47</v>
      </c>
      <c r="L2402" s="9" t="s">
        <v>156</v>
      </c>
      <c r="M2402" s="9"/>
      <c r="N2402" s="9" t="s">
        <v>50</v>
      </c>
      <c r="O2402" s="9" t="s">
        <v>51</v>
      </c>
      <c r="P2402" s="9" t="s">
        <v>356</v>
      </c>
      <c r="Q2402" s="9"/>
      <c r="R2402" s="9"/>
      <c r="S2402" s="9" t="s">
        <v>8323</v>
      </c>
      <c r="T2402" s="9" t="s">
        <v>8324</v>
      </c>
      <c r="U2402" s="9" t="s">
        <v>54</v>
      </c>
      <c r="V2402" s="9" t="s">
        <v>55</v>
      </c>
      <c r="W2402" s="9" t="s">
        <v>55</v>
      </c>
      <c r="X2402" s="12"/>
      <c r="Y2402" s="9" t="s">
        <v>55</v>
      </c>
      <c r="Z2402" s="13"/>
    </row>
    <row r="2403" spans="1:26" ht="32.25" hidden="1" customHeight="1">
      <c r="A2403" s="8">
        <v>2314679</v>
      </c>
      <c r="B2403" s="9" t="s">
        <v>8325</v>
      </c>
      <c r="C2403" s="10">
        <v>45156</v>
      </c>
      <c r="D2403" s="9" t="s">
        <v>79</v>
      </c>
      <c r="E2403" s="9" t="s">
        <v>68</v>
      </c>
      <c r="F2403" s="9" t="s">
        <v>80</v>
      </c>
      <c r="G2403" s="9" t="s">
        <v>43</v>
      </c>
      <c r="H2403" s="9" t="s">
        <v>44</v>
      </c>
      <c r="I2403" s="11" t="s">
        <v>696</v>
      </c>
      <c r="J2403" s="9" t="s">
        <v>70</v>
      </c>
      <c r="K2403" s="9" t="s">
        <v>92</v>
      </c>
      <c r="L2403" s="9"/>
      <c r="M2403" s="9"/>
      <c r="N2403" s="9" t="s">
        <v>50</v>
      </c>
      <c r="O2403" s="9" t="s">
        <v>51</v>
      </c>
      <c r="P2403" s="9" t="s">
        <v>1841</v>
      </c>
      <c r="Q2403" s="9"/>
      <c r="R2403" s="9" t="s">
        <v>61</v>
      </c>
      <c r="S2403" s="14" t="s">
        <v>1403</v>
      </c>
      <c r="T2403" s="9" t="s">
        <v>1404</v>
      </c>
      <c r="U2403" s="9" t="s">
        <v>54</v>
      </c>
      <c r="V2403" s="9" t="s">
        <v>55</v>
      </c>
      <c r="W2403" s="9" t="s">
        <v>55</v>
      </c>
      <c r="X2403" s="12" t="s">
        <v>76</v>
      </c>
      <c r="Y2403" s="9" t="s">
        <v>77</v>
      </c>
      <c r="Z2403" s="13" t="s">
        <v>288</v>
      </c>
    </row>
    <row r="2404" spans="1:26" ht="32.25" hidden="1" customHeight="1">
      <c r="A2404" s="8">
        <v>2310348</v>
      </c>
      <c r="B2404" s="9" t="s">
        <v>8326</v>
      </c>
      <c r="C2404" s="10">
        <v>45149</v>
      </c>
      <c r="D2404" s="9" t="s">
        <v>261</v>
      </c>
      <c r="E2404" s="9" t="s">
        <v>143</v>
      </c>
      <c r="F2404" s="9" t="s">
        <v>262</v>
      </c>
      <c r="G2404" s="9" t="s">
        <v>43</v>
      </c>
      <c r="H2404" s="9" t="s">
        <v>44</v>
      </c>
      <c r="I2404" s="11" t="s">
        <v>1291</v>
      </c>
      <c r="J2404" s="9" t="s">
        <v>1292</v>
      </c>
      <c r="K2404" s="9" t="s">
        <v>47</v>
      </c>
      <c r="L2404" s="9" t="s">
        <v>156</v>
      </c>
      <c r="M2404" s="9"/>
      <c r="N2404" s="9" t="s">
        <v>50</v>
      </c>
      <c r="O2404" s="9" t="s">
        <v>51</v>
      </c>
      <c r="P2404" s="9"/>
      <c r="Q2404" s="9"/>
      <c r="R2404" s="9"/>
      <c r="S2404" s="14" t="s">
        <v>8327</v>
      </c>
      <c r="T2404" s="9" t="s">
        <v>8328</v>
      </c>
      <c r="U2404" s="9" t="s">
        <v>262</v>
      </c>
      <c r="V2404" s="9"/>
      <c r="W2404" s="9" t="s">
        <v>115</v>
      </c>
      <c r="X2404" s="12"/>
      <c r="Y2404" s="9" t="s">
        <v>55</v>
      </c>
      <c r="Z2404" s="13"/>
    </row>
    <row r="2405" spans="1:26" ht="32.25" hidden="1" customHeight="1">
      <c r="A2405" s="8">
        <v>2307257</v>
      </c>
      <c r="B2405" s="9" t="s">
        <v>8329</v>
      </c>
      <c r="C2405" s="10">
        <v>45136</v>
      </c>
      <c r="D2405" s="9" t="s">
        <v>40</v>
      </c>
      <c r="E2405" s="9" t="s">
        <v>41</v>
      </c>
      <c r="F2405" s="9" t="s">
        <v>42</v>
      </c>
      <c r="G2405" s="9" t="s">
        <v>43</v>
      </c>
      <c r="H2405" s="9" t="s">
        <v>44</v>
      </c>
      <c r="I2405" s="11" t="s">
        <v>45</v>
      </c>
      <c r="J2405" s="9" t="s">
        <v>46</v>
      </c>
      <c r="K2405" s="9" t="s">
        <v>47</v>
      </c>
      <c r="L2405" s="9" t="s">
        <v>162</v>
      </c>
      <c r="M2405" s="9" t="s">
        <v>163</v>
      </c>
      <c r="N2405" s="9" t="s">
        <v>84</v>
      </c>
      <c r="O2405" s="9" t="s">
        <v>51</v>
      </c>
      <c r="P2405" s="9"/>
      <c r="Q2405" s="9"/>
      <c r="R2405" s="9"/>
      <c r="S2405" s="9" t="s">
        <v>8330</v>
      </c>
      <c r="T2405" s="9" t="s">
        <v>8331</v>
      </c>
      <c r="U2405" s="9" t="s">
        <v>54</v>
      </c>
      <c r="V2405" s="9" t="s">
        <v>55</v>
      </c>
      <c r="W2405" s="9" t="s">
        <v>55</v>
      </c>
      <c r="X2405" s="12"/>
      <c r="Y2405" s="9" t="s">
        <v>55</v>
      </c>
      <c r="Z2405" s="13"/>
    </row>
    <row r="2406" spans="1:26" ht="32.25" hidden="1" customHeight="1">
      <c r="A2406" s="8">
        <v>2309995</v>
      </c>
      <c r="B2406" s="9" t="s">
        <v>8332</v>
      </c>
      <c r="C2406" s="10">
        <v>45149</v>
      </c>
      <c r="D2406" s="9" t="s">
        <v>261</v>
      </c>
      <c r="E2406" s="9" t="s">
        <v>143</v>
      </c>
      <c r="F2406" s="9" t="s">
        <v>262</v>
      </c>
      <c r="G2406" s="9" t="s">
        <v>43</v>
      </c>
      <c r="H2406" s="9" t="s">
        <v>44</v>
      </c>
      <c r="I2406" s="11" t="s">
        <v>1136</v>
      </c>
      <c r="J2406" s="9" t="s">
        <v>1137</v>
      </c>
      <c r="K2406" s="9" t="s">
        <v>47</v>
      </c>
      <c r="L2406" s="9" t="s">
        <v>156</v>
      </c>
      <c r="M2406" s="9"/>
      <c r="N2406" s="9" t="s">
        <v>84</v>
      </c>
      <c r="O2406" s="9" t="s">
        <v>51</v>
      </c>
      <c r="P2406" s="9"/>
      <c r="Q2406" s="9"/>
      <c r="R2406" s="9"/>
      <c r="S2406" s="14" t="s">
        <v>8333</v>
      </c>
      <c r="T2406" s="9" t="s">
        <v>8334</v>
      </c>
      <c r="U2406" s="9" t="s">
        <v>262</v>
      </c>
      <c r="V2406" s="9"/>
      <c r="W2406" s="9" t="s">
        <v>115</v>
      </c>
      <c r="X2406" s="12"/>
      <c r="Y2406" s="9" t="s">
        <v>55</v>
      </c>
      <c r="Z2406" s="13"/>
    </row>
    <row r="2407" spans="1:26" ht="32.25" hidden="1" customHeight="1">
      <c r="A2407" s="8">
        <v>2308223</v>
      </c>
      <c r="B2407" s="9" t="s">
        <v>8335</v>
      </c>
      <c r="C2407" s="10">
        <v>45142</v>
      </c>
      <c r="D2407" s="9" t="s">
        <v>67</v>
      </c>
      <c r="E2407" s="9" t="s">
        <v>143</v>
      </c>
      <c r="F2407" s="9" t="s">
        <v>42</v>
      </c>
      <c r="G2407" s="9" t="s">
        <v>43</v>
      </c>
      <c r="H2407" s="9" t="s">
        <v>44</v>
      </c>
      <c r="I2407" s="11" t="s">
        <v>334</v>
      </c>
      <c r="J2407" s="9" t="s">
        <v>327</v>
      </c>
      <c r="K2407" s="9" t="s">
        <v>47</v>
      </c>
      <c r="L2407" s="9" t="s">
        <v>437</v>
      </c>
      <c r="M2407" s="9" t="s">
        <v>8336</v>
      </c>
      <c r="N2407" s="9" t="s">
        <v>84</v>
      </c>
      <c r="O2407" s="9" t="s">
        <v>51</v>
      </c>
      <c r="P2407" s="9" t="s">
        <v>336</v>
      </c>
      <c r="Q2407" s="9"/>
      <c r="R2407" s="9" t="s">
        <v>61</v>
      </c>
      <c r="S2407" s="9" t="s">
        <v>8337</v>
      </c>
      <c r="T2407" s="9" t="s">
        <v>8338</v>
      </c>
      <c r="U2407" s="9" t="s">
        <v>54</v>
      </c>
      <c r="V2407" s="9" t="s">
        <v>55</v>
      </c>
      <c r="W2407" s="9" t="s">
        <v>55</v>
      </c>
      <c r="X2407" s="12" t="s">
        <v>150</v>
      </c>
      <c r="Y2407" s="9" t="s">
        <v>151</v>
      </c>
      <c r="Z2407" s="13"/>
    </row>
    <row r="2408" spans="1:26" ht="32.25" hidden="1" customHeight="1">
      <c r="A2408" s="8">
        <v>2314526</v>
      </c>
      <c r="B2408" s="9" t="s">
        <v>8339</v>
      </c>
      <c r="C2408" s="10">
        <v>45156</v>
      </c>
      <c r="D2408" s="9" t="s">
        <v>79</v>
      </c>
      <c r="E2408" s="9" t="s">
        <v>89</v>
      </c>
      <c r="F2408" s="9" t="s">
        <v>80</v>
      </c>
      <c r="G2408" s="9" t="s">
        <v>43</v>
      </c>
      <c r="H2408" s="9" t="s">
        <v>44</v>
      </c>
      <c r="I2408" s="11" t="s">
        <v>90</v>
      </c>
      <c r="J2408" s="9" t="s">
        <v>91</v>
      </c>
      <c r="K2408" s="9" t="s">
        <v>110</v>
      </c>
      <c r="L2408" s="9" t="s">
        <v>111</v>
      </c>
      <c r="M2408" s="9" t="s">
        <v>3623</v>
      </c>
      <c r="N2408" s="9" t="s">
        <v>84</v>
      </c>
      <c r="O2408" s="9" t="s">
        <v>51</v>
      </c>
      <c r="P2408" s="9" t="s">
        <v>95</v>
      </c>
      <c r="Q2408" s="9"/>
      <c r="R2408" s="9" t="s">
        <v>61</v>
      </c>
      <c r="S2408" s="14" t="s">
        <v>8340</v>
      </c>
      <c r="T2408" s="9" t="s">
        <v>8341</v>
      </c>
      <c r="U2408" s="9" t="s">
        <v>54</v>
      </c>
      <c r="V2408" s="9" t="s">
        <v>55</v>
      </c>
      <c r="W2408" s="9" t="s">
        <v>55</v>
      </c>
      <c r="X2408" s="12" t="s">
        <v>98</v>
      </c>
      <c r="Y2408" s="9" t="s">
        <v>99</v>
      </c>
      <c r="Z2408" s="13"/>
    </row>
    <row r="2409" spans="1:26" ht="32.25" hidden="1" customHeight="1">
      <c r="A2409" s="8">
        <v>2313449</v>
      </c>
      <c r="B2409" s="9" t="s">
        <v>8342</v>
      </c>
      <c r="C2409" s="10">
        <v>45156</v>
      </c>
      <c r="D2409" s="9" t="s">
        <v>79</v>
      </c>
      <c r="E2409" s="9" t="s">
        <v>89</v>
      </c>
      <c r="F2409" s="9" t="s">
        <v>80</v>
      </c>
      <c r="G2409" s="9" t="s">
        <v>43</v>
      </c>
      <c r="H2409" s="9" t="s">
        <v>44</v>
      </c>
      <c r="I2409" s="11" t="s">
        <v>101</v>
      </c>
      <c r="J2409" s="9" t="s">
        <v>102</v>
      </c>
      <c r="K2409" s="9" t="s">
        <v>47</v>
      </c>
      <c r="L2409" s="9" t="s">
        <v>156</v>
      </c>
      <c r="M2409" s="9"/>
      <c r="N2409" s="9" t="s">
        <v>50</v>
      </c>
      <c r="O2409" s="9" t="s">
        <v>51</v>
      </c>
      <c r="P2409" s="9" t="s">
        <v>104</v>
      </c>
      <c r="Q2409" s="9"/>
      <c r="R2409" s="9"/>
      <c r="S2409" s="14" t="s">
        <v>8343</v>
      </c>
      <c r="T2409" s="9" t="s">
        <v>8344</v>
      </c>
      <c r="U2409" s="9" t="s">
        <v>54</v>
      </c>
      <c r="V2409" s="9"/>
      <c r="W2409" s="9" t="s">
        <v>115</v>
      </c>
      <c r="X2409" s="12"/>
      <c r="Y2409" s="9" t="s">
        <v>55</v>
      </c>
      <c r="Z2409" s="13"/>
    </row>
    <row r="2410" spans="1:26" ht="32.25" hidden="1" customHeight="1">
      <c r="A2410" s="8">
        <v>2300299</v>
      </c>
      <c r="B2410" s="9" t="s">
        <v>8345</v>
      </c>
      <c r="C2410" s="10">
        <v>45142</v>
      </c>
      <c r="D2410" s="9" t="s">
        <v>67</v>
      </c>
      <c r="E2410" s="9" t="s">
        <v>89</v>
      </c>
      <c r="F2410" s="9" t="s">
        <v>42</v>
      </c>
      <c r="G2410" s="9" t="s">
        <v>43</v>
      </c>
      <c r="H2410" s="9" t="s">
        <v>44</v>
      </c>
      <c r="I2410" s="11" t="s">
        <v>354</v>
      </c>
      <c r="J2410" s="9" t="s">
        <v>91</v>
      </c>
      <c r="K2410" s="9" t="s">
        <v>92</v>
      </c>
      <c r="L2410" s="9"/>
      <c r="M2410" s="9" t="s">
        <v>3903</v>
      </c>
      <c r="N2410" s="9" t="s">
        <v>50</v>
      </c>
      <c r="O2410" s="9" t="s">
        <v>51</v>
      </c>
      <c r="P2410" s="9" t="s">
        <v>356</v>
      </c>
      <c r="Q2410" s="9"/>
      <c r="R2410" s="9" t="s">
        <v>61</v>
      </c>
      <c r="S2410" s="9" t="s">
        <v>8346</v>
      </c>
      <c r="T2410" s="9" t="s">
        <v>8347</v>
      </c>
      <c r="U2410" s="9" t="s">
        <v>54</v>
      </c>
      <c r="V2410" s="9" t="s">
        <v>55</v>
      </c>
      <c r="W2410" s="9" t="s">
        <v>55</v>
      </c>
      <c r="X2410" s="12" t="s">
        <v>98</v>
      </c>
      <c r="Y2410" s="9" t="s">
        <v>99</v>
      </c>
      <c r="Z2410" s="13"/>
    </row>
    <row r="2411" spans="1:26" ht="32.25" hidden="1" customHeight="1">
      <c r="A2411" s="8">
        <v>2304327</v>
      </c>
      <c r="B2411" s="9" t="s">
        <v>8348</v>
      </c>
      <c r="C2411" s="10">
        <v>45156</v>
      </c>
      <c r="D2411" s="9" t="s">
        <v>79</v>
      </c>
      <c r="E2411" s="9" t="s">
        <v>89</v>
      </c>
      <c r="F2411" s="9" t="s">
        <v>80</v>
      </c>
      <c r="G2411" s="9" t="s">
        <v>43</v>
      </c>
      <c r="H2411" s="9" t="s">
        <v>44</v>
      </c>
      <c r="I2411" s="11" t="s">
        <v>101</v>
      </c>
      <c r="J2411" s="9" t="s">
        <v>102</v>
      </c>
      <c r="K2411" s="9" t="s">
        <v>47</v>
      </c>
      <c r="L2411" s="9" t="s">
        <v>156</v>
      </c>
      <c r="M2411" s="9"/>
      <c r="N2411" s="9" t="s">
        <v>84</v>
      </c>
      <c r="O2411" s="9" t="s">
        <v>51</v>
      </c>
      <c r="P2411" s="9" t="s">
        <v>104</v>
      </c>
      <c r="Q2411" s="9"/>
      <c r="R2411" s="9"/>
      <c r="S2411" s="14" t="s">
        <v>8349</v>
      </c>
      <c r="T2411" s="9" t="s">
        <v>8350</v>
      </c>
      <c r="U2411" s="9" t="s">
        <v>54</v>
      </c>
      <c r="V2411" s="9"/>
      <c r="W2411" s="9" t="s">
        <v>115</v>
      </c>
      <c r="X2411" s="12"/>
      <c r="Y2411" s="9" t="s">
        <v>55</v>
      </c>
      <c r="Z2411" s="13"/>
    </row>
    <row r="2412" spans="1:26" ht="32.25" hidden="1" customHeight="1">
      <c r="A2412" s="8">
        <v>2304378</v>
      </c>
      <c r="B2412" s="9" t="s">
        <v>8351</v>
      </c>
      <c r="C2412" s="10">
        <v>45142</v>
      </c>
      <c r="D2412" s="9" t="s">
        <v>67</v>
      </c>
      <c r="E2412" s="9" t="s">
        <v>68</v>
      </c>
      <c r="F2412" s="9" t="s">
        <v>135</v>
      </c>
      <c r="G2412" s="9" t="s">
        <v>43</v>
      </c>
      <c r="H2412" s="9" t="s">
        <v>44</v>
      </c>
      <c r="I2412" s="11" t="s">
        <v>136</v>
      </c>
      <c r="J2412" s="9" t="s">
        <v>137</v>
      </c>
      <c r="K2412" s="9" t="s">
        <v>92</v>
      </c>
      <c r="L2412" s="9"/>
      <c r="M2412" s="9" t="s">
        <v>8352</v>
      </c>
      <c r="N2412" s="9" t="s">
        <v>50</v>
      </c>
      <c r="O2412" s="9" t="s">
        <v>51</v>
      </c>
      <c r="P2412" s="9"/>
      <c r="Q2412" s="9"/>
      <c r="R2412" s="9" t="s">
        <v>61</v>
      </c>
      <c r="S2412" s="9" t="s">
        <v>1403</v>
      </c>
      <c r="T2412" s="9" t="s">
        <v>1404</v>
      </c>
      <c r="U2412" s="9" t="s">
        <v>54</v>
      </c>
      <c r="V2412" s="9" t="s">
        <v>55</v>
      </c>
      <c r="W2412" s="9" t="s">
        <v>55</v>
      </c>
      <c r="X2412" s="12" t="s">
        <v>76</v>
      </c>
      <c r="Y2412" s="9" t="s">
        <v>77</v>
      </c>
      <c r="Z2412" s="13"/>
    </row>
    <row r="2413" spans="1:26" ht="32.25" hidden="1" customHeight="1">
      <c r="A2413" s="8">
        <v>2300767</v>
      </c>
      <c r="B2413" s="9" t="s">
        <v>8353</v>
      </c>
      <c r="C2413" s="10">
        <v>45142</v>
      </c>
      <c r="D2413" s="9" t="s">
        <v>67</v>
      </c>
      <c r="E2413" s="9" t="s">
        <v>68</v>
      </c>
      <c r="F2413" s="9" t="s">
        <v>135</v>
      </c>
      <c r="G2413" s="9" t="s">
        <v>43</v>
      </c>
      <c r="H2413" s="9" t="s">
        <v>44</v>
      </c>
      <c r="I2413" s="11" t="s">
        <v>136</v>
      </c>
      <c r="J2413" s="9" t="s">
        <v>137</v>
      </c>
      <c r="K2413" s="9" t="s">
        <v>416</v>
      </c>
      <c r="L2413" s="9"/>
      <c r="M2413" s="9" t="s">
        <v>417</v>
      </c>
      <c r="N2413" s="9" t="s">
        <v>50</v>
      </c>
      <c r="O2413" s="9" t="s">
        <v>51</v>
      </c>
      <c r="P2413" s="9"/>
      <c r="Q2413" s="9"/>
      <c r="R2413" s="9" t="s">
        <v>61</v>
      </c>
      <c r="S2413" s="9" t="s">
        <v>8354</v>
      </c>
      <c r="T2413" s="9" t="s">
        <v>8355</v>
      </c>
      <c r="U2413" s="9" t="s">
        <v>54</v>
      </c>
      <c r="V2413" s="9" t="s">
        <v>55</v>
      </c>
      <c r="W2413" s="9" t="s">
        <v>55</v>
      </c>
      <c r="X2413" s="12" t="s">
        <v>76</v>
      </c>
      <c r="Y2413" s="9" t="s">
        <v>77</v>
      </c>
      <c r="Z2413" s="13"/>
    </row>
    <row r="2414" spans="1:26" ht="32.25" hidden="1" customHeight="1">
      <c r="A2414" s="8">
        <v>2301222</v>
      </c>
      <c r="B2414" s="9" t="s">
        <v>8356</v>
      </c>
      <c r="C2414" s="10">
        <v>45142</v>
      </c>
      <c r="D2414" s="9" t="s">
        <v>67</v>
      </c>
      <c r="E2414" s="9" t="s">
        <v>89</v>
      </c>
      <c r="F2414" s="9" t="s">
        <v>42</v>
      </c>
      <c r="G2414" s="9" t="s">
        <v>43</v>
      </c>
      <c r="H2414" s="9" t="s">
        <v>44</v>
      </c>
      <c r="I2414" s="11" t="s">
        <v>360</v>
      </c>
      <c r="J2414" s="9" t="s">
        <v>102</v>
      </c>
      <c r="K2414" s="9" t="s">
        <v>92</v>
      </c>
      <c r="L2414" s="9"/>
      <c r="M2414" s="9"/>
      <c r="N2414" s="9" t="s">
        <v>50</v>
      </c>
      <c r="O2414" s="9" t="s">
        <v>51</v>
      </c>
      <c r="P2414" s="9" t="s">
        <v>361</v>
      </c>
      <c r="Q2414" s="9"/>
      <c r="R2414" s="9" t="s">
        <v>61</v>
      </c>
      <c r="S2414" s="9" t="s">
        <v>8357</v>
      </c>
      <c r="T2414" s="9" t="s">
        <v>8358</v>
      </c>
      <c r="U2414" s="9" t="s">
        <v>54</v>
      </c>
      <c r="V2414" s="9" t="s">
        <v>55</v>
      </c>
      <c r="W2414" s="9" t="s">
        <v>55</v>
      </c>
      <c r="X2414" s="12" t="s">
        <v>98</v>
      </c>
      <c r="Y2414" s="9" t="s">
        <v>99</v>
      </c>
      <c r="Z2414" s="13"/>
    </row>
    <row r="2415" spans="1:26" ht="32.25" hidden="1" customHeight="1">
      <c r="A2415" s="8">
        <v>2308650</v>
      </c>
      <c r="B2415" s="9" t="s">
        <v>8359</v>
      </c>
      <c r="C2415" s="10">
        <v>45156</v>
      </c>
      <c r="D2415" s="9" t="s">
        <v>79</v>
      </c>
      <c r="E2415" s="9" t="s">
        <v>89</v>
      </c>
      <c r="F2415" s="9" t="s">
        <v>80</v>
      </c>
      <c r="G2415" s="9" t="s">
        <v>43</v>
      </c>
      <c r="H2415" s="9" t="s">
        <v>44</v>
      </c>
      <c r="I2415" s="11" t="s">
        <v>4023</v>
      </c>
      <c r="J2415" s="9" t="s">
        <v>4024</v>
      </c>
      <c r="K2415" s="9" t="s">
        <v>47</v>
      </c>
      <c r="L2415" s="9" t="s">
        <v>517</v>
      </c>
      <c r="M2415" s="9" t="s">
        <v>7166</v>
      </c>
      <c r="N2415" s="9" t="s">
        <v>50</v>
      </c>
      <c r="O2415" s="9" t="s">
        <v>51</v>
      </c>
      <c r="P2415" s="9" t="s">
        <v>4026</v>
      </c>
      <c r="Q2415" s="9"/>
      <c r="R2415" s="9"/>
      <c r="S2415" s="14" t="s">
        <v>8360</v>
      </c>
      <c r="T2415" s="9" t="s">
        <v>8361</v>
      </c>
      <c r="U2415" s="9" t="s">
        <v>54</v>
      </c>
      <c r="V2415" s="9" t="s">
        <v>55</v>
      </c>
      <c r="W2415" s="9" t="s">
        <v>55</v>
      </c>
      <c r="X2415" s="12"/>
      <c r="Y2415" s="9" t="s">
        <v>55</v>
      </c>
      <c r="Z2415" s="13"/>
    </row>
    <row r="2416" spans="1:26" ht="32.25" hidden="1" customHeight="1">
      <c r="A2416" s="8">
        <v>2303314</v>
      </c>
      <c r="B2416" s="9" t="s">
        <v>8362</v>
      </c>
      <c r="C2416" s="10">
        <v>45142</v>
      </c>
      <c r="D2416" s="9" t="s">
        <v>67</v>
      </c>
      <c r="E2416" s="9" t="s">
        <v>68</v>
      </c>
      <c r="F2416" s="9" t="s">
        <v>135</v>
      </c>
      <c r="G2416" s="9" t="s">
        <v>43</v>
      </c>
      <c r="H2416" s="9" t="s">
        <v>44</v>
      </c>
      <c r="I2416" s="11" t="s">
        <v>136</v>
      </c>
      <c r="J2416" s="9" t="s">
        <v>137</v>
      </c>
      <c r="K2416" s="9" t="s">
        <v>47</v>
      </c>
      <c r="L2416" s="9" t="s">
        <v>48</v>
      </c>
      <c r="M2416" s="9" t="s">
        <v>1447</v>
      </c>
      <c r="N2416" s="9" t="s">
        <v>84</v>
      </c>
      <c r="O2416" s="9" t="s">
        <v>51</v>
      </c>
      <c r="P2416" s="9"/>
      <c r="Q2416" s="9"/>
      <c r="R2416" s="9"/>
      <c r="S2416" s="9" t="s">
        <v>8363</v>
      </c>
      <c r="T2416" s="9" t="s">
        <v>8364</v>
      </c>
      <c r="U2416" s="9" t="s">
        <v>54</v>
      </c>
      <c r="V2416" s="9" t="s">
        <v>55</v>
      </c>
      <c r="W2416" s="9" t="s">
        <v>55</v>
      </c>
      <c r="X2416" s="12"/>
      <c r="Y2416" s="9" t="s">
        <v>55</v>
      </c>
      <c r="Z2416" s="13"/>
    </row>
    <row r="2417" spans="1:26" ht="32.25" hidden="1" customHeight="1">
      <c r="A2417" s="8">
        <v>2301250</v>
      </c>
      <c r="B2417" s="9" t="s">
        <v>8365</v>
      </c>
      <c r="C2417" s="10">
        <v>45156</v>
      </c>
      <c r="D2417" s="9" t="s">
        <v>79</v>
      </c>
      <c r="E2417" s="9" t="s">
        <v>68</v>
      </c>
      <c r="F2417" s="9" t="s">
        <v>80</v>
      </c>
      <c r="G2417" s="9" t="s">
        <v>43</v>
      </c>
      <c r="H2417" s="9" t="s">
        <v>44</v>
      </c>
      <c r="I2417" s="11" t="s">
        <v>90</v>
      </c>
      <c r="J2417" s="9" t="s">
        <v>91</v>
      </c>
      <c r="K2417" s="9" t="s">
        <v>47</v>
      </c>
      <c r="L2417" s="9" t="s">
        <v>156</v>
      </c>
      <c r="M2417" s="9"/>
      <c r="N2417" s="9" t="s">
        <v>50</v>
      </c>
      <c r="O2417" s="9" t="s">
        <v>51</v>
      </c>
      <c r="P2417" s="9" t="s">
        <v>670</v>
      </c>
      <c r="Q2417" s="9"/>
      <c r="R2417" s="9" t="s">
        <v>61</v>
      </c>
      <c r="S2417" s="14" t="s">
        <v>8366</v>
      </c>
      <c r="T2417" s="9" t="s">
        <v>8367</v>
      </c>
      <c r="U2417" s="9" t="s">
        <v>54</v>
      </c>
      <c r="V2417" s="9" t="s">
        <v>55</v>
      </c>
      <c r="W2417" s="9" t="s">
        <v>55</v>
      </c>
      <c r="X2417" s="12"/>
      <c r="Y2417" s="9" t="s">
        <v>55</v>
      </c>
      <c r="Z2417" s="13" t="s">
        <v>1220</v>
      </c>
    </row>
    <row r="2418" spans="1:26" ht="32.25" hidden="1" customHeight="1">
      <c r="A2418" s="8">
        <v>2315161</v>
      </c>
      <c r="B2418" s="9" t="s">
        <v>8368</v>
      </c>
      <c r="C2418" s="10">
        <v>45152</v>
      </c>
      <c r="D2418" s="9" t="s">
        <v>755</v>
      </c>
      <c r="E2418" s="9" t="s">
        <v>89</v>
      </c>
      <c r="F2418" s="9" t="s">
        <v>262</v>
      </c>
      <c r="G2418" s="9" t="s">
        <v>43</v>
      </c>
      <c r="H2418" s="9" t="s">
        <v>44</v>
      </c>
      <c r="I2418" s="11" t="s">
        <v>435</v>
      </c>
      <c r="J2418" s="9" t="s">
        <v>436</v>
      </c>
      <c r="K2418" s="9" t="s">
        <v>271</v>
      </c>
      <c r="L2418" s="9"/>
      <c r="M2418" s="9"/>
      <c r="N2418" s="9" t="s">
        <v>50</v>
      </c>
      <c r="O2418" s="9" t="s">
        <v>187</v>
      </c>
      <c r="P2418" s="9"/>
      <c r="Q2418" s="9"/>
      <c r="R2418" s="9" t="s">
        <v>61</v>
      </c>
      <c r="S2418" s="14" t="s">
        <v>8369</v>
      </c>
      <c r="T2418" s="9" t="s">
        <v>8370</v>
      </c>
      <c r="U2418" s="9" t="s">
        <v>262</v>
      </c>
      <c r="V2418" s="9" t="s">
        <v>370</v>
      </c>
      <c r="W2418" s="9" t="s">
        <v>115</v>
      </c>
      <c r="X2418" s="12" t="s">
        <v>389</v>
      </c>
      <c r="Y2418" s="9" t="s">
        <v>390</v>
      </c>
      <c r="Z2418" s="13"/>
    </row>
    <row r="2419" spans="1:26" ht="32.25" hidden="1" customHeight="1">
      <c r="A2419" s="8">
        <v>2309700</v>
      </c>
      <c r="B2419" s="9" t="s">
        <v>8371</v>
      </c>
      <c r="C2419" s="10">
        <v>45156</v>
      </c>
      <c r="D2419" s="9" t="s">
        <v>79</v>
      </c>
      <c r="E2419" s="9" t="s">
        <v>89</v>
      </c>
      <c r="F2419" s="9" t="s">
        <v>80</v>
      </c>
      <c r="G2419" s="9" t="s">
        <v>43</v>
      </c>
      <c r="H2419" s="9" t="s">
        <v>44</v>
      </c>
      <c r="I2419" s="11" t="s">
        <v>90</v>
      </c>
      <c r="J2419" s="9" t="s">
        <v>91</v>
      </c>
      <c r="K2419" s="9" t="s">
        <v>110</v>
      </c>
      <c r="L2419" s="9" t="s">
        <v>4232</v>
      </c>
      <c r="M2419" s="9" t="s">
        <v>4233</v>
      </c>
      <c r="N2419" s="9" t="s">
        <v>50</v>
      </c>
      <c r="O2419" s="9" t="s">
        <v>51</v>
      </c>
      <c r="P2419" s="9" t="s">
        <v>498</v>
      </c>
      <c r="Q2419" s="9"/>
      <c r="R2419" s="9" t="s">
        <v>61</v>
      </c>
      <c r="S2419" s="14" t="s">
        <v>8372</v>
      </c>
      <c r="T2419" s="9" t="s">
        <v>8373</v>
      </c>
      <c r="U2419" s="9" t="s">
        <v>54</v>
      </c>
      <c r="V2419" s="9" t="s">
        <v>55</v>
      </c>
      <c r="W2419" s="9" t="s">
        <v>55</v>
      </c>
      <c r="X2419" s="12" t="s">
        <v>98</v>
      </c>
      <c r="Y2419" s="9" t="s">
        <v>99</v>
      </c>
      <c r="Z2419" s="13"/>
    </row>
    <row r="2420" spans="1:26" ht="32.25" hidden="1" customHeight="1">
      <c r="A2420" s="8">
        <v>2305024</v>
      </c>
      <c r="B2420" s="9" t="s">
        <v>8374</v>
      </c>
      <c r="C2420" s="10">
        <v>45149</v>
      </c>
      <c r="D2420" s="9" t="s">
        <v>57</v>
      </c>
      <c r="E2420" s="9" t="s">
        <v>153</v>
      </c>
      <c r="F2420" s="9" t="s">
        <v>42</v>
      </c>
      <c r="G2420" s="9" t="s">
        <v>43</v>
      </c>
      <c r="H2420" s="9" t="s">
        <v>58</v>
      </c>
      <c r="I2420" s="11" t="s">
        <v>154</v>
      </c>
      <c r="J2420" s="9" t="s">
        <v>155</v>
      </c>
      <c r="K2420" s="9" t="s">
        <v>47</v>
      </c>
      <c r="L2420" s="9" t="s">
        <v>1378</v>
      </c>
      <c r="M2420" s="9" t="s">
        <v>1664</v>
      </c>
      <c r="N2420" s="9" t="s">
        <v>84</v>
      </c>
      <c r="O2420" s="9" t="s">
        <v>51</v>
      </c>
      <c r="P2420" s="9"/>
      <c r="Q2420" s="9"/>
      <c r="R2420" s="9"/>
      <c r="S2420" s="14" t="s">
        <v>8375</v>
      </c>
      <c r="T2420" s="9" t="s">
        <v>8376</v>
      </c>
      <c r="U2420" s="9" t="s">
        <v>54</v>
      </c>
      <c r="V2420" s="9" t="s">
        <v>55</v>
      </c>
      <c r="W2420" s="9" t="s">
        <v>55</v>
      </c>
      <c r="X2420" s="12"/>
      <c r="Y2420" s="9" t="s">
        <v>55</v>
      </c>
      <c r="Z2420" s="13"/>
    </row>
    <row r="2421" spans="1:26" ht="32.25" hidden="1" customHeight="1">
      <c r="A2421" s="8">
        <v>2310138</v>
      </c>
      <c r="B2421" s="9" t="s">
        <v>8377</v>
      </c>
      <c r="C2421" s="10">
        <v>45156</v>
      </c>
      <c r="D2421" s="9" t="s">
        <v>79</v>
      </c>
      <c r="E2421" s="9" t="s">
        <v>89</v>
      </c>
      <c r="F2421" s="9" t="s">
        <v>80</v>
      </c>
      <c r="G2421" s="9" t="s">
        <v>43</v>
      </c>
      <c r="H2421" s="9" t="s">
        <v>44</v>
      </c>
      <c r="I2421" s="11" t="s">
        <v>101</v>
      </c>
      <c r="J2421" s="9" t="s">
        <v>102</v>
      </c>
      <c r="K2421" s="9" t="s">
        <v>92</v>
      </c>
      <c r="L2421" s="9" t="s">
        <v>103</v>
      </c>
      <c r="M2421" s="9" t="s">
        <v>103</v>
      </c>
      <c r="N2421" s="9" t="s">
        <v>50</v>
      </c>
      <c r="O2421" s="9" t="s">
        <v>51</v>
      </c>
      <c r="P2421" s="9" t="s">
        <v>125</v>
      </c>
      <c r="Q2421" s="9"/>
      <c r="R2421" s="9" t="s">
        <v>61</v>
      </c>
      <c r="S2421" s="14" t="s">
        <v>8378</v>
      </c>
      <c r="T2421" s="9" t="s">
        <v>8379</v>
      </c>
      <c r="U2421" s="9" t="s">
        <v>54</v>
      </c>
      <c r="V2421" s="9" t="s">
        <v>55</v>
      </c>
      <c r="W2421" s="9" t="s">
        <v>55</v>
      </c>
      <c r="X2421" s="12" t="s">
        <v>98</v>
      </c>
      <c r="Y2421" s="9" t="s">
        <v>99</v>
      </c>
      <c r="Z2421" s="13"/>
    </row>
    <row r="2422" spans="1:26" ht="32.25" hidden="1" customHeight="1">
      <c r="A2422" s="8">
        <v>2303346</v>
      </c>
      <c r="B2422" s="9" t="s">
        <v>8380</v>
      </c>
      <c r="C2422" s="10">
        <v>45156</v>
      </c>
      <c r="D2422" s="9" t="s">
        <v>79</v>
      </c>
      <c r="E2422" s="9" t="s">
        <v>89</v>
      </c>
      <c r="F2422" s="9" t="s">
        <v>80</v>
      </c>
      <c r="G2422" s="9" t="s">
        <v>43</v>
      </c>
      <c r="H2422" s="9" t="s">
        <v>44</v>
      </c>
      <c r="I2422" s="11" t="s">
        <v>101</v>
      </c>
      <c r="J2422" s="9" t="s">
        <v>102</v>
      </c>
      <c r="K2422" s="9" t="s">
        <v>47</v>
      </c>
      <c r="L2422" s="9" t="s">
        <v>411</v>
      </c>
      <c r="M2422" s="9" t="s">
        <v>412</v>
      </c>
      <c r="N2422" s="9" t="s">
        <v>50</v>
      </c>
      <c r="O2422" s="9" t="s">
        <v>51</v>
      </c>
      <c r="P2422" s="9" t="s">
        <v>1907</v>
      </c>
      <c r="Q2422" s="9"/>
      <c r="R2422" s="9" t="s">
        <v>61</v>
      </c>
      <c r="S2422" s="14" t="s">
        <v>8381</v>
      </c>
      <c r="T2422" s="9" t="s">
        <v>8382</v>
      </c>
      <c r="U2422" s="9" t="s">
        <v>54</v>
      </c>
      <c r="V2422" s="9" t="s">
        <v>711</v>
      </c>
      <c r="W2422" s="9" t="s">
        <v>115</v>
      </c>
      <c r="X2422" s="12" t="s">
        <v>98</v>
      </c>
      <c r="Y2422" s="9" t="s">
        <v>99</v>
      </c>
      <c r="Z2422" s="13"/>
    </row>
    <row r="2423" spans="1:26" ht="32.25" hidden="1" customHeight="1">
      <c r="A2423" s="8">
        <v>2311743</v>
      </c>
      <c r="B2423" s="9" t="s">
        <v>8383</v>
      </c>
      <c r="C2423" s="10">
        <v>45149</v>
      </c>
      <c r="D2423" s="9" t="s">
        <v>261</v>
      </c>
      <c r="E2423" s="9" t="s">
        <v>89</v>
      </c>
      <c r="F2423" s="9" t="s">
        <v>262</v>
      </c>
      <c r="G2423" s="9" t="s">
        <v>43</v>
      </c>
      <c r="H2423" s="9" t="s">
        <v>44</v>
      </c>
      <c r="I2423" s="11" t="s">
        <v>685</v>
      </c>
      <c r="J2423" s="9" t="s">
        <v>686</v>
      </c>
      <c r="K2423" s="9" t="s">
        <v>47</v>
      </c>
      <c r="L2423" s="9" t="s">
        <v>340</v>
      </c>
      <c r="M2423" s="9" t="s">
        <v>8384</v>
      </c>
      <c r="N2423" s="9" t="s">
        <v>50</v>
      </c>
      <c r="O2423" s="9" t="s">
        <v>51</v>
      </c>
      <c r="P2423" s="9"/>
      <c r="Q2423" s="9"/>
      <c r="R2423" s="9" t="s">
        <v>61</v>
      </c>
      <c r="S2423" s="14" t="s">
        <v>8385</v>
      </c>
      <c r="T2423" s="9" t="s">
        <v>8386</v>
      </c>
      <c r="U2423" s="9" t="s">
        <v>262</v>
      </c>
      <c r="V2423" s="9" t="s">
        <v>711</v>
      </c>
      <c r="W2423" s="9" t="s">
        <v>115</v>
      </c>
      <c r="X2423" s="12" t="s">
        <v>98</v>
      </c>
      <c r="Y2423" s="9" t="s">
        <v>99</v>
      </c>
      <c r="Z2423" s="13" t="s">
        <v>6275</v>
      </c>
    </row>
    <row r="2424" spans="1:26" ht="32.25" hidden="1" customHeight="1">
      <c r="A2424" s="8">
        <v>2308444</v>
      </c>
      <c r="B2424" s="9" t="s">
        <v>8387</v>
      </c>
      <c r="C2424" s="10">
        <v>45136</v>
      </c>
      <c r="D2424" s="9" t="s">
        <v>40</v>
      </c>
      <c r="E2424" s="9" t="s">
        <v>41</v>
      </c>
      <c r="F2424" s="9" t="s">
        <v>42</v>
      </c>
      <c r="G2424" s="9" t="s">
        <v>43</v>
      </c>
      <c r="H2424" s="9" t="s">
        <v>44</v>
      </c>
      <c r="I2424" s="11" t="s">
        <v>45</v>
      </c>
      <c r="J2424" s="9" t="s">
        <v>46</v>
      </c>
      <c r="K2424" s="9" t="s">
        <v>47</v>
      </c>
      <c r="L2424" s="9" t="s">
        <v>2632</v>
      </c>
      <c r="M2424" s="9" t="s">
        <v>8388</v>
      </c>
      <c r="N2424" s="9" t="s">
        <v>50</v>
      </c>
      <c r="O2424" s="9" t="s">
        <v>51</v>
      </c>
      <c r="P2424" s="9"/>
      <c r="Q2424" s="9"/>
      <c r="R2424" s="9" t="s">
        <v>61</v>
      </c>
      <c r="S2424" s="9" t="s">
        <v>8389</v>
      </c>
      <c r="T2424" s="9" t="s">
        <v>8390</v>
      </c>
      <c r="U2424" s="9" t="s">
        <v>54</v>
      </c>
      <c r="V2424" s="9" t="s">
        <v>55</v>
      </c>
      <c r="W2424" s="9" t="s">
        <v>55</v>
      </c>
      <c r="X2424" s="9" t="s">
        <v>64</v>
      </c>
      <c r="Y2424" s="9" t="s">
        <v>65</v>
      </c>
      <c r="Z2424" s="13"/>
    </row>
    <row r="2425" spans="1:26" ht="32.25" hidden="1" customHeight="1">
      <c r="A2425" s="8">
        <v>2308507</v>
      </c>
      <c r="B2425" s="9" t="s">
        <v>8391</v>
      </c>
      <c r="C2425" s="10">
        <v>45149</v>
      </c>
      <c r="D2425" s="9" t="s">
        <v>57</v>
      </c>
      <c r="E2425" s="9" t="s">
        <v>41</v>
      </c>
      <c r="F2425" s="9" t="s">
        <v>42</v>
      </c>
      <c r="G2425" s="9" t="s">
        <v>43</v>
      </c>
      <c r="H2425" s="9" t="s">
        <v>58</v>
      </c>
      <c r="I2425" s="11" t="s">
        <v>129</v>
      </c>
      <c r="J2425" s="9" t="s">
        <v>130</v>
      </c>
      <c r="K2425" s="9" t="s">
        <v>47</v>
      </c>
      <c r="L2425" s="9" t="s">
        <v>746</v>
      </c>
      <c r="M2425" s="9" t="s">
        <v>747</v>
      </c>
      <c r="N2425" s="9" t="s">
        <v>84</v>
      </c>
      <c r="O2425" s="9" t="s">
        <v>51</v>
      </c>
      <c r="P2425" s="9"/>
      <c r="Q2425" s="9"/>
      <c r="R2425" s="9" t="s">
        <v>61</v>
      </c>
      <c r="S2425" s="14" t="s">
        <v>8392</v>
      </c>
      <c r="T2425" s="9" t="s">
        <v>8393</v>
      </c>
      <c r="U2425" s="9" t="s">
        <v>54</v>
      </c>
      <c r="V2425" s="9" t="s">
        <v>55</v>
      </c>
      <c r="W2425" s="9" t="s">
        <v>55</v>
      </c>
      <c r="X2425" s="9" t="s">
        <v>196</v>
      </c>
      <c r="Y2425" s="9" t="s">
        <v>197</v>
      </c>
      <c r="Z2425" s="13" t="s">
        <v>230</v>
      </c>
    </row>
    <row r="2426" spans="1:26" ht="32.25" hidden="1" customHeight="1">
      <c r="A2426" s="8">
        <v>2310186</v>
      </c>
      <c r="B2426" s="9" t="s">
        <v>8394</v>
      </c>
      <c r="C2426" s="10">
        <v>45156</v>
      </c>
      <c r="D2426" s="9" t="s">
        <v>79</v>
      </c>
      <c r="E2426" s="9" t="s">
        <v>41</v>
      </c>
      <c r="F2426" s="9" t="s">
        <v>80</v>
      </c>
      <c r="G2426" s="9" t="s">
        <v>43</v>
      </c>
      <c r="H2426" s="9" t="s">
        <v>44</v>
      </c>
      <c r="I2426" s="11" t="s">
        <v>81</v>
      </c>
      <c r="J2426" s="9" t="s">
        <v>46</v>
      </c>
      <c r="K2426" s="9" t="s">
        <v>47</v>
      </c>
      <c r="L2426" s="9" t="s">
        <v>310</v>
      </c>
      <c r="M2426" s="9" t="s">
        <v>311</v>
      </c>
      <c r="N2426" s="9" t="s">
        <v>84</v>
      </c>
      <c r="O2426" s="9" t="s">
        <v>51</v>
      </c>
      <c r="P2426" s="9" t="s">
        <v>503</v>
      </c>
      <c r="Q2426" s="9"/>
      <c r="R2426" s="9" t="s">
        <v>61</v>
      </c>
      <c r="S2426" s="14" t="s">
        <v>8395</v>
      </c>
      <c r="T2426" s="9" t="s">
        <v>8396</v>
      </c>
      <c r="U2426" s="9" t="s">
        <v>54</v>
      </c>
      <c r="V2426" s="9" t="s">
        <v>55</v>
      </c>
      <c r="W2426" s="9" t="s">
        <v>55</v>
      </c>
      <c r="X2426" s="9" t="s">
        <v>64</v>
      </c>
      <c r="Y2426" s="9" t="s">
        <v>65</v>
      </c>
      <c r="Z2426" s="13"/>
    </row>
    <row r="2427" spans="1:26" ht="32.25" hidden="1" customHeight="1">
      <c r="A2427" s="8">
        <v>2310507</v>
      </c>
      <c r="B2427" s="9" t="s">
        <v>8397</v>
      </c>
      <c r="C2427" s="10">
        <v>45156</v>
      </c>
      <c r="D2427" s="9" t="s">
        <v>79</v>
      </c>
      <c r="E2427" s="9" t="s">
        <v>143</v>
      </c>
      <c r="F2427" s="9" t="s">
        <v>80</v>
      </c>
      <c r="G2427" s="9" t="s">
        <v>43</v>
      </c>
      <c r="H2427" s="9" t="s">
        <v>44</v>
      </c>
      <c r="I2427" s="11" t="s">
        <v>326</v>
      </c>
      <c r="J2427" s="9" t="s">
        <v>327</v>
      </c>
      <c r="K2427" s="9" t="s">
        <v>47</v>
      </c>
      <c r="L2427" s="9" t="s">
        <v>480</v>
      </c>
      <c r="M2427" s="9" t="s">
        <v>606</v>
      </c>
      <c r="N2427" s="9" t="s">
        <v>50</v>
      </c>
      <c r="O2427" s="9" t="s">
        <v>51</v>
      </c>
      <c r="P2427" s="9" t="s">
        <v>1143</v>
      </c>
      <c r="Q2427" s="9"/>
      <c r="R2427" s="9" t="s">
        <v>61</v>
      </c>
      <c r="S2427" s="14" t="s">
        <v>8398</v>
      </c>
      <c r="T2427" s="9" t="s">
        <v>8399</v>
      </c>
      <c r="U2427" s="9" t="s">
        <v>54</v>
      </c>
      <c r="V2427" s="9" t="s">
        <v>55</v>
      </c>
      <c r="W2427" s="9" t="s">
        <v>55</v>
      </c>
      <c r="X2427" s="12" t="s">
        <v>150</v>
      </c>
      <c r="Y2427" s="9" t="s">
        <v>151</v>
      </c>
      <c r="Z2427" s="13"/>
    </row>
    <row r="2428" spans="1:26" ht="32.25" hidden="1" customHeight="1">
      <c r="A2428" s="8">
        <v>2300382</v>
      </c>
      <c r="B2428" s="9" t="s">
        <v>8400</v>
      </c>
      <c r="C2428" s="10">
        <v>45142</v>
      </c>
      <c r="D2428" s="9" t="s">
        <v>67</v>
      </c>
      <c r="E2428" s="9" t="s">
        <v>143</v>
      </c>
      <c r="F2428" s="9" t="s">
        <v>42</v>
      </c>
      <c r="G2428" s="9" t="s">
        <v>43</v>
      </c>
      <c r="H2428" s="9" t="s">
        <v>44</v>
      </c>
      <c r="I2428" s="11" t="s">
        <v>596</v>
      </c>
      <c r="J2428" s="9" t="s">
        <v>597</v>
      </c>
      <c r="K2428" s="9" t="s">
        <v>47</v>
      </c>
      <c r="L2428" s="9" t="s">
        <v>1992</v>
      </c>
      <c r="M2428" s="9" t="s">
        <v>3272</v>
      </c>
      <c r="N2428" s="9" t="s">
        <v>84</v>
      </c>
      <c r="O2428" s="9" t="s">
        <v>51</v>
      </c>
      <c r="P2428" s="9"/>
      <c r="Q2428" s="9"/>
      <c r="R2428" s="9" t="s">
        <v>61</v>
      </c>
      <c r="S2428" s="9" t="s">
        <v>8401</v>
      </c>
      <c r="T2428" s="9" t="s">
        <v>8402</v>
      </c>
      <c r="U2428" s="9" t="s">
        <v>54</v>
      </c>
      <c r="V2428" s="9" t="s">
        <v>55</v>
      </c>
      <c r="W2428" s="9" t="s">
        <v>55</v>
      </c>
      <c r="X2428" s="12" t="s">
        <v>171</v>
      </c>
      <c r="Y2428" s="9" t="s">
        <v>172</v>
      </c>
      <c r="Z2428" s="13"/>
    </row>
    <row r="2429" spans="1:26" ht="32.25" hidden="1" customHeight="1">
      <c r="A2429" s="8">
        <v>2305701</v>
      </c>
      <c r="B2429" s="9" t="s">
        <v>8403</v>
      </c>
      <c r="C2429" s="10">
        <v>45136</v>
      </c>
      <c r="D2429" s="9" t="s">
        <v>40</v>
      </c>
      <c r="E2429" s="9" t="s">
        <v>41</v>
      </c>
      <c r="F2429" s="9" t="s">
        <v>42</v>
      </c>
      <c r="G2429" s="9" t="s">
        <v>43</v>
      </c>
      <c r="H2429" s="9" t="s">
        <v>44</v>
      </c>
      <c r="I2429" s="11" t="s">
        <v>661</v>
      </c>
      <c r="J2429" s="9" t="s">
        <v>662</v>
      </c>
      <c r="K2429" s="9" t="s">
        <v>47</v>
      </c>
      <c r="L2429" s="9" t="s">
        <v>822</v>
      </c>
      <c r="M2429" s="9" t="s">
        <v>2595</v>
      </c>
      <c r="N2429" s="9" t="s">
        <v>50</v>
      </c>
      <c r="O2429" s="9" t="s">
        <v>51</v>
      </c>
      <c r="P2429" s="9"/>
      <c r="Q2429" s="9"/>
      <c r="R2429" s="9" t="s">
        <v>61</v>
      </c>
      <c r="S2429" s="9" t="s">
        <v>8404</v>
      </c>
      <c r="T2429" s="9" t="s">
        <v>8405</v>
      </c>
      <c r="U2429" s="9" t="s">
        <v>54</v>
      </c>
      <c r="V2429" s="9" t="s">
        <v>55</v>
      </c>
      <c r="W2429" s="9" t="s">
        <v>55</v>
      </c>
      <c r="X2429" s="9" t="s">
        <v>64</v>
      </c>
      <c r="Y2429" s="9" t="s">
        <v>65</v>
      </c>
      <c r="Z2429" s="13"/>
    </row>
    <row r="2430" spans="1:26" ht="32.25" hidden="1" customHeight="1">
      <c r="A2430" s="8">
        <v>2304310</v>
      </c>
      <c r="B2430" s="9" t="s">
        <v>8406</v>
      </c>
      <c r="C2430" s="10">
        <v>45142</v>
      </c>
      <c r="D2430" s="9" t="s">
        <v>67</v>
      </c>
      <c r="E2430" s="9" t="s">
        <v>68</v>
      </c>
      <c r="F2430" s="9" t="s">
        <v>135</v>
      </c>
      <c r="G2430" s="9" t="s">
        <v>43</v>
      </c>
      <c r="H2430" s="9" t="s">
        <v>44</v>
      </c>
      <c r="I2430" s="11" t="s">
        <v>136</v>
      </c>
      <c r="J2430" s="9" t="s">
        <v>137</v>
      </c>
      <c r="K2430" s="9" t="s">
        <v>47</v>
      </c>
      <c r="L2430" s="9" t="s">
        <v>569</v>
      </c>
      <c r="M2430" s="9" t="s">
        <v>8407</v>
      </c>
      <c r="N2430" s="9" t="s">
        <v>50</v>
      </c>
      <c r="O2430" s="9" t="s">
        <v>51</v>
      </c>
      <c r="P2430" s="9"/>
      <c r="Q2430" s="9"/>
      <c r="R2430" s="9" t="s">
        <v>61</v>
      </c>
      <c r="S2430" s="9" t="s">
        <v>8408</v>
      </c>
      <c r="T2430" s="9" t="s">
        <v>8409</v>
      </c>
      <c r="U2430" s="9" t="s">
        <v>54</v>
      </c>
      <c r="V2430" s="9" t="s">
        <v>55</v>
      </c>
      <c r="W2430" s="9" t="s">
        <v>55</v>
      </c>
      <c r="X2430" s="12" t="s">
        <v>76</v>
      </c>
      <c r="Y2430" s="9" t="s">
        <v>77</v>
      </c>
      <c r="Z2430" s="13"/>
    </row>
    <row r="2431" spans="1:26" ht="32.25" hidden="1" customHeight="1">
      <c r="A2431" s="8">
        <v>2301863</v>
      </c>
      <c r="B2431" s="9" t="s">
        <v>8410</v>
      </c>
      <c r="C2431" s="10">
        <v>45142</v>
      </c>
      <c r="D2431" s="9" t="s">
        <v>67</v>
      </c>
      <c r="E2431" s="9" t="s">
        <v>41</v>
      </c>
      <c r="F2431" s="9" t="s">
        <v>42</v>
      </c>
      <c r="G2431" s="9" t="s">
        <v>43</v>
      </c>
      <c r="H2431" s="9" t="s">
        <v>44</v>
      </c>
      <c r="I2431" s="11" t="s">
        <v>45</v>
      </c>
      <c r="J2431" s="9" t="s">
        <v>46</v>
      </c>
      <c r="K2431" s="9" t="s">
        <v>47</v>
      </c>
      <c r="L2431" s="9" t="s">
        <v>1924</v>
      </c>
      <c r="M2431" s="9" t="s">
        <v>8411</v>
      </c>
      <c r="N2431" s="9" t="s">
        <v>50</v>
      </c>
      <c r="O2431" s="9" t="s">
        <v>51</v>
      </c>
      <c r="P2431" s="9"/>
      <c r="Q2431" s="9"/>
      <c r="R2431" s="9" t="s">
        <v>61</v>
      </c>
      <c r="S2431" s="9" t="s">
        <v>8412</v>
      </c>
      <c r="T2431" s="9" t="s">
        <v>8413</v>
      </c>
      <c r="U2431" s="9" t="s">
        <v>54</v>
      </c>
      <c r="V2431" s="9" t="s">
        <v>55</v>
      </c>
      <c r="W2431" s="9" t="s">
        <v>55</v>
      </c>
      <c r="X2431" s="9" t="s">
        <v>196</v>
      </c>
      <c r="Y2431" s="9" t="s">
        <v>197</v>
      </c>
      <c r="Z2431" s="13"/>
    </row>
    <row r="2432" spans="1:26" ht="32.25" hidden="1" customHeight="1">
      <c r="A2432" s="8">
        <v>2306891</v>
      </c>
      <c r="B2432" s="9" t="s">
        <v>8414</v>
      </c>
      <c r="C2432" s="10">
        <v>45136</v>
      </c>
      <c r="D2432" s="9" t="s">
        <v>40</v>
      </c>
      <c r="E2432" s="9" t="s">
        <v>41</v>
      </c>
      <c r="F2432" s="9" t="s">
        <v>42</v>
      </c>
      <c r="G2432" s="9" t="s">
        <v>43</v>
      </c>
      <c r="H2432" s="9" t="s">
        <v>44</v>
      </c>
      <c r="I2432" s="11" t="s">
        <v>661</v>
      </c>
      <c r="J2432" s="9" t="s">
        <v>662</v>
      </c>
      <c r="K2432" s="9" t="s">
        <v>47</v>
      </c>
      <c r="L2432" s="9" t="s">
        <v>2637</v>
      </c>
      <c r="M2432" s="9" t="s">
        <v>2638</v>
      </c>
      <c r="N2432" s="9" t="s">
        <v>50</v>
      </c>
      <c r="O2432" s="9" t="s">
        <v>51</v>
      </c>
      <c r="P2432" s="9"/>
      <c r="Q2432" s="9"/>
      <c r="R2432" s="9" t="s">
        <v>61</v>
      </c>
      <c r="S2432" s="9" t="s">
        <v>8415</v>
      </c>
      <c r="T2432" s="9" t="s">
        <v>8416</v>
      </c>
      <c r="U2432" s="9" t="s">
        <v>54</v>
      </c>
      <c r="V2432" s="9" t="s">
        <v>55</v>
      </c>
      <c r="W2432" s="9" t="s">
        <v>55</v>
      </c>
      <c r="X2432" s="9" t="s">
        <v>64</v>
      </c>
      <c r="Y2432" s="9" t="s">
        <v>65</v>
      </c>
      <c r="Z2432" s="13"/>
    </row>
    <row r="2433" spans="1:26" ht="32.25" hidden="1" customHeight="1">
      <c r="A2433" s="8">
        <v>2311692</v>
      </c>
      <c r="B2433" s="9" t="s">
        <v>8417</v>
      </c>
      <c r="C2433" s="10">
        <v>45149</v>
      </c>
      <c r="D2433" s="9" t="s">
        <v>261</v>
      </c>
      <c r="E2433" s="9" t="s">
        <v>89</v>
      </c>
      <c r="F2433" s="9" t="s">
        <v>262</v>
      </c>
      <c r="G2433" s="9" t="s">
        <v>43</v>
      </c>
      <c r="H2433" s="9" t="s">
        <v>44</v>
      </c>
      <c r="I2433" s="11" t="s">
        <v>8418</v>
      </c>
      <c r="J2433" s="9" t="s">
        <v>8419</v>
      </c>
      <c r="K2433" s="9" t="s">
        <v>47</v>
      </c>
      <c r="L2433" s="9" t="s">
        <v>226</v>
      </c>
      <c r="M2433" s="9" t="s">
        <v>8420</v>
      </c>
      <c r="N2433" s="9" t="s">
        <v>84</v>
      </c>
      <c r="O2433" s="9" t="s">
        <v>51</v>
      </c>
      <c r="P2433" s="9"/>
      <c r="Q2433" s="9"/>
      <c r="R2433" s="9" t="s">
        <v>61</v>
      </c>
      <c r="S2433" s="14" t="s">
        <v>8421</v>
      </c>
      <c r="T2433" s="9" t="s">
        <v>8422</v>
      </c>
      <c r="U2433" s="9" t="s">
        <v>262</v>
      </c>
      <c r="V2433" s="9" t="s">
        <v>55</v>
      </c>
      <c r="W2433" s="9" t="s">
        <v>55</v>
      </c>
      <c r="X2433" s="12" t="s">
        <v>389</v>
      </c>
      <c r="Y2433" s="9" t="s">
        <v>390</v>
      </c>
      <c r="Z2433" s="13"/>
    </row>
    <row r="2434" spans="1:26" ht="32.25" hidden="1" customHeight="1">
      <c r="A2434" s="8">
        <v>2300446</v>
      </c>
      <c r="B2434" s="9" t="s">
        <v>8423</v>
      </c>
      <c r="C2434" s="10">
        <v>45156</v>
      </c>
      <c r="D2434" s="9" t="s">
        <v>79</v>
      </c>
      <c r="E2434" s="9" t="s">
        <v>89</v>
      </c>
      <c r="F2434" s="9" t="s">
        <v>80</v>
      </c>
      <c r="G2434" s="9" t="s">
        <v>43</v>
      </c>
      <c r="H2434" s="9" t="s">
        <v>44</v>
      </c>
      <c r="I2434" s="11" t="s">
        <v>101</v>
      </c>
      <c r="J2434" s="9" t="s">
        <v>102</v>
      </c>
      <c r="K2434" s="9" t="s">
        <v>92</v>
      </c>
      <c r="L2434" s="9" t="s">
        <v>156</v>
      </c>
      <c r="M2434" s="9"/>
      <c r="N2434" s="9" t="s">
        <v>50</v>
      </c>
      <c r="O2434" s="9" t="s">
        <v>51</v>
      </c>
      <c r="P2434" s="9" t="s">
        <v>104</v>
      </c>
      <c r="Q2434" s="9"/>
      <c r="R2434" s="9" t="s">
        <v>61</v>
      </c>
      <c r="S2434" s="14" t="s">
        <v>8424</v>
      </c>
      <c r="T2434" s="9" t="s">
        <v>8425</v>
      </c>
      <c r="U2434" s="9" t="s">
        <v>54</v>
      </c>
      <c r="V2434" s="9" t="s">
        <v>55</v>
      </c>
      <c r="W2434" s="9" t="s">
        <v>55</v>
      </c>
      <c r="X2434" s="12" t="s">
        <v>98</v>
      </c>
      <c r="Y2434" s="9" t="s">
        <v>99</v>
      </c>
      <c r="Z2434" s="13"/>
    </row>
    <row r="2435" spans="1:26" ht="32.25" hidden="1" customHeight="1">
      <c r="A2435" s="8">
        <v>2314597</v>
      </c>
      <c r="B2435" s="9" t="s">
        <v>8426</v>
      </c>
      <c r="C2435" s="10">
        <v>45156</v>
      </c>
      <c r="D2435" s="9" t="s">
        <v>79</v>
      </c>
      <c r="E2435" s="9" t="s">
        <v>89</v>
      </c>
      <c r="F2435" s="9" t="s">
        <v>80</v>
      </c>
      <c r="G2435" s="9" t="s">
        <v>43</v>
      </c>
      <c r="H2435" s="9" t="s">
        <v>44</v>
      </c>
      <c r="I2435" s="11" t="s">
        <v>90</v>
      </c>
      <c r="J2435" s="9" t="s">
        <v>91</v>
      </c>
      <c r="K2435" s="9" t="s">
        <v>92</v>
      </c>
      <c r="L2435" s="9" t="s">
        <v>8427</v>
      </c>
      <c r="M2435" s="9" t="s">
        <v>3882</v>
      </c>
      <c r="N2435" s="9" t="s">
        <v>84</v>
      </c>
      <c r="O2435" s="9" t="s">
        <v>51</v>
      </c>
      <c r="P2435" s="9" t="s">
        <v>498</v>
      </c>
      <c r="Q2435" s="9"/>
      <c r="R2435" s="9" t="s">
        <v>61</v>
      </c>
      <c r="S2435" s="14" t="s">
        <v>8428</v>
      </c>
      <c r="T2435" s="9" t="s">
        <v>8429</v>
      </c>
      <c r="U2435" s="9" t="s">
        <v>54</v>
      </c>
      <c r="V2435" s="9" t="s">
        <v>55</v>
      </c>
      <c r="W2435" s="9" t="s">
        <v>55</v>
      </c>
      <c r="X2435" s="12" t="s">
        <v>98</v>
      </c>
      <c r="Y2435" s="9" t="s">
        <v>99</v>
      </c>
      <c r="Z2435" s="13"/>
    </row>
    <row r="2436" spans="1:26" ht="32.25" hidden="1" customHeight="1">
      <c r="A2436" s="8">
        <v>2302486</v>
      </c>
      <c r="B2436" s="9" t="s">
        <v>8430</v>
      </c>
      <c r="C2436" s="10">
        <v>45149</v>
      </c>
      <c r="D2436" s="9" t="s">
        <v>57</v>
      </c>
      <c r="E2436" s="9" t="s">
        <v>41</v>
      </c>
      <c r="F2436" s="9" t="s">
        <v>42</v>
      </c>
      <c r="G2436" s="9" t="s">
        <v>43</v>
      </c>
      <c r="H2436" s="9" t="s">
        <v>58</v>
      </c>
      <c r="I2436" s="11" t="s">
        <v>129</v>
      </c>
      <c r="J2436" s="9" t="s">
        <v>130</v>
      </c>
      <c r="K2436" s="9" t="s">
        <v>47</v>
      </c>
      <c r="L2436" s="9" t="s">
        <v>1924</v>
      </c>
      <c r="M2436" s="9" t="s">
        <v>6457</v>
      </c>
      <c r="N2436" s="9" t="s">
        <v>84</v>
      </c>
      <c r="O2436" s="9" t="s">
        <v>51</v>
      </c>
      <c r="P2436" s="9"/>
      <c r="Q2436" s="9"/>
      <c r="R2436" s="9" t="s">
        <v>61</v>
      </c>
      <c r="S2436" s="14" t="s">
        <v>8431</v>
      </c>
      <c r="T2436" s="9" t="s">
        <v>8432</v>
      </c>
      <c r="U2436" s="9" t="s">
        <v>54</v>
      </c>
      <c r="V2436" s="9" t="s">
        <v>55</v>
      </c>
      <c r="W2436" s="9" t="s">
        <v>55</v>
      </c>
      <c r="X2436" s="9" t="s">
        <v>196</v>
      </c>
      <c r="Y2436" s="9" t="s">
        <v>197</v>
      </c>
      <c r="Z2436" s="13" t="s">
        <v>230</v>
      </c>
    </row>
    <row r="2437" spans="1:26" ht="32.25" hidden="1" customHeight="1">
      <c r="A2437" s="8">
        <v>2315495</v>
      </c>
      <c r="B2437" s="9" t="s">
        <v>8433</v>
      </c>
      <c r="C2437" s="10">
        <v>45152</v>
      </c>
      <c r="D2437" s="9" t="s">
        <v>755</v>
      </c>
      <c r="E2437" s="9" t="s">
        <v>143</v>
      </c>
      <c r="F2437" s="9" t="s">
        <v>262</v>
      </c>
      <c r="G2437" s="9" t="s">
        <v>43</v>
      </c>
      <c r="H2437" s="9" t="s">
        <v>44</v>
      </c>
      <c r="I2437" s="11" t="s">
        <v>1136</v>
      </c>
      <c r="J2437" s="9" t="s">
        <v>1137</v>
      </c>
      <c r="K2437" s="9" t="s">
        <v>393</v>
      </c>
      <c r="L2437" s="9" t="s">
        <v>822</v>
      </c>
      <c r="M2437" s="9" t="s">
        <v>823</v>
      </c>
      <c r="N2437" s="9" t="s">
        <v>50</v>
      </c>
      <c r="O2437" s="9" t="s">
        <v>187</v>
      </c>
      <c r="P2437" s="9"/>
      <c r="Q2437" s="9"/>
      <c r="R2437" s="9" t="s">
        <v>61</v>
      </c>
      <c r="S2437" s="14" t="s">
        <v>8434</v>
      </c>
      <c r="T2437" s="9" t="s">
        <v>8435</v>
      </c>
      <c r="U2437" s="9" t="s">
        <v>262</v>
      </c>
      <c r="V2437" s="9" t="s">
        <v>55</v>
      </c>
      <c r="W2437" s="9" t="s">
        <v>55</v>
      </c>
      <c r="X2437" s="12" t="s">
        <v>389</v>
      </c>
      <c r="Y2437" s="9" t="s">
        <v>390</v>
      </c>
      <c r="Z2437" s="13"/>
    </row>
    <row r="2438" spans="1:26" ht="32.25" hidden="1" customHeight="1">
      <c r="A2438" s="8">
        <v>2306654</v>
      </c>
      <c r="B2438" s="9" t="s">
        <v>8436</v>
      </c>
      <c r="C2438" s="10">
        <v>45142</v>
      </c>
      <c r="D2438" s="9" t="s">
        <v>67</v>
      </c>
      <c r="E2438" s="9" t="s">
        <v>89</v>
      </c>
      <c r="F2438" s="9" t="s">
        <v>42</v>
      </c>
      <c r="G2438" s="9" t="s">
        <v>43</v>
      </c>
      <c r="H2438" s="9" t="s">
        <v>44</v>
      </c>
      <c r="I2438" s="11" t="s">
        <v>354</v>
      </c>
      <c r="J2438" s="9" t="s">
        <v>91</v>
      </c>
      <c r="K2438" s="9" t="s">
        <v>47</v>
      </c>
      <c r="L2438" s="9" t="s">
        <v>8437</v>
      </c>
      <c r="M2438" s="9" t="s">
        <v>94</v>
      </c>
      <c r="N2438" s="9" t="s">
        <v>50</v>
      </c>
      <c r="O2438" s="9" t="s">
        <v>51</v>
      </c>
      <c r="P2438" s="9" t="s">
        <v>356</v>
      </c>
      <c r="Q2438" s="9"/>
      <c r="R2438" s="9" t="s">
        <v>61</v>
      </c>
      <c r="S2438" s="9" t="s">
        <v>8438</v>
      </c>
      <c r="T2438" s="9" t="s">
        <v>8439</v>
      </c>
      <c r="U2438" s="9" t="s">
        <v>54</v>
      </c>
      <c r="V2438" s="9" t="s">
        <v>55</v>
      </c>
      <c r="W2438" s="9" t="s">
        <v>55</v>
      </c>
      <c r="X2438" s="12" t="s">
        <v>98</v>
      </c>
      <c r="Y2438" s="9" t="s">
        <v>99</v>
      </c>
      <c r="Z2438" s="13"/>
    </row>
    <row r="2439" spans="1:26" ht="32.25" hidden="1" customHeight="1">
      <c r="A2439" s="8">
        <v>2310191</v>
      </c>
      <c r="B2439" s="9" t="s">
        <v>8440</v>
      </c>
      <c r="C2439" s="10">
        <v>45149</v>
      </c>
      <c r="D2439" s="9" t="s">
        <v>57</v>
      </c>
      <c r="E2439" s="9" t="s">
        <v>153</v>
      </c>
      <c r="F2439" s="9" t="s">
        <v>42</v>
      </c>
      <c r="G2439" s="9" t="s">
        <v>43</v>
      </c>
      <c r="H2439" s="9" t="s">
        <v>58</v>
      </c>
      <c r="I2439" s="11" t="s">
        <v>154</v>
      </c>
      <c r="J2439" s="9" t="s">
        <v>155</v>
      </c>
      <c r="K2439" s="9" t="s">
        <v>47</v>
      </c>
      <c r="L2439" s="9" t="s">
        <v>863</v>
      </c>
      <c r="M2439" s="9" t="s">
        <v>1258</v>
      </c>
      <c r="N2439" s="9" t="s">
        <v>84</v>
      </c>
      <c r="O2439" s="9" t="s">
        <v>51</v>
      </c>
      <c r="P2439" s="9"/>
      <c r="Q2439" s="9"/>
      <c r="R2439" s="9" t="s">
        <v>61</v>
      </c>
      <c r="S2439" s="14" t="s">
        <v>8441</v>
      </c>
      <c r="T2439" s="9" t="s">
        <v>8442</v>
      </c>
      <c r="U2439" s="9" t="s">
        <v>54</v>
      </c>
      <c r="V2439" s="9" t="s">
        <v>55</v>
      </c>
      <c r="W2439" s="9" t="s">
        <v>55</v>
      </c>
      <c r="X2439" s="12" t="s">
        <v>171</v>
      </c>
      <c r="Y2439" s="9" t="s">
        <v>172</v>
      </c>
      <c r="Z2439" s="13"/>
    </row>
    <row r="2440" spans="1:26" ht="32.25" hidden="1" customHeight="1">
      <c r="A2440" s="8">
        <v>2305706</v>
      </c>
      <c r="B2440" s="9" t="s">
        <v>8443</v>
      </c>
      <c r="C2440" s="10">
        <v>45136</v>
      </c>
      <c r="D2440" s="9" t="s">
        <v>940</v>
      </c>
      <c r="E2440" s="9" t="s">
        <v>68</v>
      </c>
      <c r="F2440" s="9" t="s">
        <v>135</v>
      </c>
      <c r="G2440" s="9" t="s">
        <v>43</v>
      </c>
      <c r="H2440" s="9" t="s">
        <v>44</v>
      </c>
      <c r="I2440" s="11" t="s">
        <v>136</v>
      </c>
      <c r="J2440" s="9" t="s">
        <v>137</v>
      </c>
      <c r="K2440" s="9" t="s">
        <v>47</v>
      </c>
      <c r="L2440" s="9" t="s">
        <v>180</v>
      </c>
      <c r="M2440" s="9" t="s">
        <v>181</v>
      </c>
      <c r="N2440" s="9" t="s">
        <v>84</v>
      </c>
      <c r="O2440" s="9" t="s">
        <v>51</v>
      </c>
      <c r="P2440" s="9"/>
      <c r="Q2440" s="9" t="s">
        <v>941</v>
      </c>
      <c r="R2440" s="9" t="s">
        <v>61</v>
      </c>
      <c r="S2440" s="9" t="s">
        <v>8444</v>
      </c>
      <c r="T2440" s="9" t="s">
        <v>8445</v>
      </c>
      <c r="U2440" s="9" t="s">
        <v>54</v>
      </c>
      <c r="V2440" s="9" t="s">
        <v>55</v>
      </c>
      <c r="W2440" s="9" t="s">
        <v>55</v>
      </c>
      <c r="X2440" s="12" t="s">
        <v>76</v>
      </c>
      <c r="Y2440" s="9" t="s">
        <v>77</v>
      </c>
      <c r="Z2440" s="13"/>
    </row>
    <row r="2441" spans="1:26" ht="32.25" hidden="1" customHeight="1">
      <c r="A2441" s="8">
        <v>2314977</v>
      </c>
      <c r="B2441" s="9" t="s">
        <v>8446</v>
      </c>
      <c r="C2441" s="10">
        <v>45156</v>
      </c>
      <c r="D2441" s="9" t="s">
        <v>79</v>
      </c>
      <c r="E2441" s="9" t="s">
        <v>89</v>
      </c>
      <c r="F2441" s="9" t="s">
        <v>80</v>
      </c>
      <c r="G2441" s="9" t="s">
        <v>43</v>
      </c>
      <c r="H2441" s="9" t="s">
        <v>44</v>
      </c>
      <c r="I2441" s="11" t="s">
        <v>101</v>
      </c>
      <c r="J2441" s="9" t="s">
        <v>102</v>
      </c>
      <c r="K2441" s="9" t="s">
        <v>92</v>
      </c>
      <c r="L2441" s="9" t="s">
        <v>2971</v>
      </c>
      <c r="M2441" s="9" t="s">
        <v>8447</v>
      </c>
      <c r="N2441" s="9" t="s">
        <v>50</v>
      </c>
      <c r="O2441" s="9" t="s">
        <v>51</v>
      </c>
      <c r="P2441" s="9" t="s">
        <v>2771</v>
      </c>
      <c r="Q2441" s="9"/>
      <c r="R2441" s="9" t="s">
        <v>61</v>
      </c>
      <c r="S2441" s="14" t="s">
        <v>8448</v>
      </c>
      <c r="T2441" s="9" t="s">
        <v>8449</v>
      </c>
      <c r="U2441" s="9" t="s">
        <v>54</v>
      </c>
      <c r="V2441" s="9" t="s">
        <v>55</v>
      </c>
      <c r="W2441" s="9" t="s">
        <v>55</v>
      </c>
      <c r="X2441" s="12" t="s">
        <v>98</v>
      </c>
      <c r="Y2441" s="9" t="s">
        <v>99</v>
      </c>
      <c r="Z2441" s="13"/>
    </row>
    <row r="2442" spans="1:26" ht="32.25" hidden="1" customHeight="1">
      <c r="A2442" s="8">
        <v>2309783</v>
      </c>
      <c r="B2442" s="9" t="s">
        <v>8450</v>
      </c>
      <c r="C2442" s="10">
        <v>45156</v>
      </c>
      <c r="D2442" s="9" t="s">
        <v>79</v>
      </c>
      <c r="E2442" s="9" t="s">
        <v>68</v>
      </c>
      <c r="F2442" s="9" t="s">
        <v>80</v>
      </c>
      <c r="G2442" s="9" t="s">
        <v>43</v>
      </c>
      <c r="H2442" s="9" t="s">
        <v>44</v>
      </c>
      <c r="I2442" s="11" t="s">
        <v>101</v>
      </c>
      <c r="J2442" s="9" t="s">
        <v>102</v>
      </c>
      <c r="K2442" s="9" t="s">
        <v>110</v>
      </c>
      <c r="L2442" s="9"/>
      <c r="M2442" s="9"/>
      <c r="N2442" s="9" t="s">
        <v>50</v>
      </c>
      <c r="O2442" s="9" t="s">
        <v>51</v>
      </c>
      <c r="P2442" s="9" t="s">
        <v>379</v>
      </c>
      <c r="Q2442" s="9"/>
      <c r="R2442" s="9" t="s">
        <v>61</v>
      </c>
      <c r="S2442" s="14" t="s">
        <v>8451</v>
      </c>
      <c r="T2442" s="9" t="s">
        <v>8452</v>
      </c>
      <c r="U2442" s="9" t="s">
        <v>54</v>
      </c>
      <c r="V2442" s="9" t="s">
        <v>55</v>
      </c>
      <c r="W2442" s="9" t="s">
        <v>115</v>
      </c>
      <c r="X2442" s="12" t="s">
        <v>196</v>
      </c>
      <c r="Y2442" s="9" t="s">
        <v>197</v>
      </c>
      <c r="Z2442" s="13"/>
    </row>
    <row r="2443" spans="1:26" ht="32.25" hidden="1" customHeight="1">
      <c r="A2443" s="8">
        <v>2314780</v>
      </c>
      <c r="B2443" s="9" t="s">
        <v>8453</v>
      </c>
      <c r="C2443" s="10">
        <v>45156</v>
      </c>
      <c r="D2443" s="9" t="s">
        <v>79</v>
      </c>
      <c r="E2443" s="9" t="s">
        <v>41</v>
      </c>
      <c r="F2443" s="9" t="s">
        <v>80</v>
      </c>
      <c r="G2443" s="9" t="s">
        <v>43</v>
      </c>
      <c r="H2443" s="9" t="s">
        <v>44</v>
      </c>
      <c r="I2443" s="11" t="s">
        <v>81</v>
      </c>
      <c r="J2443" s="9" t="s">
        <v>46</v>
      </c>
      <c r="K2443" s="9" t="s">
        <v>92</v>
      </c>
      <c r="L2443" s="9" t="s">
        <v>8454</v>
      </c>
      <c r="M2443" s="9" t="s">
        <v>1242</v>
      </c>
      <c r="N2443" s="9" t="s">
        <v>84</v>
      </c>
      <c r="O2443" s="9" t="s">
        <v>51</v>
      </c>
      <c r="P2443" s="9" t="s">
        <v>582</v>
      </c>
      <c r="Q2443" s="9"/>
      <c r="R2443" s="9" t="s">
        <v>61</v>
      </c>
      <c r="S2443" s="14" t="s">
        <v>8455</v>
      </c>
      <c r="T2443" s="9" t="s">
        <v>8456</v>
      </c>
      <c r="U2443" s="9" t="s">
        <v>54</v>
      </c>
      <c r="V2443" s="9" t="s">
        <v>55</v>
      </c>
      <c r="W2443" s="9" t="s">
        <v>55</v>
      </c>
      <c r="X2443" s="9" t="s">
        <v>64</v>
      </c>
      <c r="Y2443" s="9" t="s">
        <v>65</v>
      </c>
      <c r="Z2443" s="13"/>
    </row>
    <row r="2444" spans="1:26" ht="32.25" hidden="1" customHeight="1">
      <c r="A2444" s="8">
        <v>2315483</v>
      </c>
      <c r="B2444" s="9" t="s">
        <v>8457</v>
      </c>
      <c r="C2444" s="10">
        <v>45152</v>
      </c>
      <c r="D2444" s="9" t="s">
        <v>185</v>
      </c>
      <c r="E2444" s="9" t="s">
        <v>295</v>
      </c>
      <c r="F2444" s="9" t="s">
        <v>42</v>
      </c>
      <c r="G2444" s="9" t="s">
        <v>43</v>
      </c>
      <c r="H2444" s="9" t="s">
        <v>44</v>
      </c>
      <c r="I2444" s="11" t="s">
        <v>296</v>
      </c>
      <c r="J2444" s="9" t="s">
        <v>297</v>
      </c>
      <c r="K2444" s="9" t="s">
        <v>92</v>
      </c>
      <c r="L2444" s="9"/>
      <c r="M2444" s="9" t="s">
        <v>103</v>
      </c>
      <c r="N2444" s="9" t="s">
        <v>84</v>
      </c>
      <c r="O2444" s="9" t="s">
        <v>187</v>
      </c>
      <c r="P2444" s="9"/>
      <c r="Q2444" s="9"/>
      <c r="R2444" s="9" t="s">
        <v>61</v>
      </c>
      <c r="S2444" s="14" t="s">
        <v>8458</v>
      </c>
      <c r="T2444" s="9" t="s">
        <v>8459</v>
      </c>
      <c r="U2444" s="9" t="s">
        <v>54</v>
      </c>
      <c r="V2444" s="9" t="s">
        <v>55</v>
      </c>
      <c r="W2444" s="9" t="s">
        <v>55</v>
      </c>
      <c r="X2444" s="9" t="s">
        <v>319</v>
      </c>
      <c r="Y2444" s="9" t="s">
        <v>320</v>
      </c>
      <c r="Z2444" s="13"/>
    </row>
    <row r="2445" spans="1:26" ht="32.25" hidden="1" customHeight="1">
      <c r="A2445" s="8">
        <v>2308098</v>
      </c>
      <c r="B2445" s="9" t="s">
        <v>8460</v>
      </c>
      <c r="C2445" s="10">
        <v>45156</v>
      </c>
      <c r="D2445" s="9" t="s">
        <v>79</v>
      </c>
      <c r="E2445" s="9" t="s">
        <v>41</v>
      </c>
      <c r="F2445" s="9" t="s">
        <v>80</v>
      </c>
      <c r="G2445" s="9" t="s">
        <v>43</v>
      </c>
      <c r="H2445" s="9" t="s">
        <v>44</v>
      </c>
      <c r="I2445" s="11" t="s">
        <v>81</v>
      </c>
      <c r="J2445" s="9" t="s">
        <v>46</v>
      </c>
      <c r="K2445" s="9" t="s">
        <v>47</v>
      </c>
      <c r="L2445" s="9" t="s">
        <v>156</v>
      </c>
      <c r="M2445" s="9"/>
      <c r="N2445" s="9" t="s">
        <v>84</v>
      </c>
      <c r="O2445" s="9" t="s">
        <v>51</v>
      </c>
      <c r="P2445" s="9" t="s">
        <v>582</v>
      </c>
      <c r="Q2445" s="9"/>
      <c r="R2445" s="9"/>
      <c r="S2445" s="14" t="s">
        <v>8461</v>
      </c>
      <c r="T2445" s="9" t="s">
        <v>8462</v>
      </c>
      <c r="U2445" s="9" t="s">
        <v>54</v>
      </c>
      <c r="V2445" s="9" t="s">
        <v>55</v>
      </c>
      <c r="W2445" s="9" t="s">
        <v>55</v>
      </c>
      <c r="X2445" s="12"/>
      <c r="Y2445" s="9" t="s">
        <v>55</v>
      </c>
      <c r="Z2445" s="13"/>
    </row>
    <row r="2446" spans="1:26" ht="32.25" hidden="1" customHeight="1">
      <c r="A2446" s="8">
        <v>2303364</v>
      </c>
      <c r="B2446" s="9" t="s">
        <v>8463</v>
      </c>
      <c r="C2446" s="10">
        <v>45149</v>
      </c>
      <c r="D2446" s="9" t="s">
        <v>57</v>
      </c>
      <c r="E2446" s="9" t="s">
        <v>41</v>
      </c>
      <c r="F2446" s="9" t="s">
        <v>42</v>
      </c>
      <c r="G2446" s="9" t="s">
        <v>43</v>
      </c>
      <c r="H2446" s="9" t="s">
        <v>58</v>
      </c>
      <c r="I2446" s="11" t="s">
        <v>45</v>
      </c>
      <c r="J2446" s="9" t="s">
        <v>46</v>
      </c>
      <c r="K2446" s="9" t="s">
        <v>47</v>
      </c>
      <c r="L2446" s="9" t="s">
        <v>156</v>
      </c>
      <c r="M2446" s="9"/>
      <c r="N2446" s="9" t="s">
        <v>50</v>
      </c>
      <c r="O2446" s="9" t="s">
        <v>51</v>
      </c>
      <c r="P2446" s="9"/>
      <c r="Q2446" s="9"/>
      <c r="R2446" s="9"/>
      <c r="S2446" s="14" t="s">
        <v>8464</v>
      </c>
      <c r="T2446" s="9" t="s">
        <v>8465</v>
      </c>
      <c r="U2446" s="9" t="s">
        <v>54</v>
      </c>
      <c r="V2446" s="9" t="s">
        <v>55</v>
      </c>
      <c r="W2446" s="9" t="s">
        <v>55</v>
      </c>
      <c r="X2446" s="12"/>
      <c r="Y2446" s="9" t="s">
        <v>55</v>
      </c>
      <c r="Z2446" s="13"/>
    </row>
    <row r="2447" spans="1:26" ht="32.25" hidden="1" customHeight="1">
      <c r="A2447" s="8">
        <v>2303495</v>
      </c>
      <c r="B2447" s="9" t="s">
        <v>8466</v>
      </c>
      <c r="C2447" s="10">
        <v>45156</v>
      </c>
      <c r="D2447" s="9" t="s">
        <v>79</v>
      </c>
      <c r="E2447" s="9" t="s">
        <v>41</v>
      </c>
      <c r="F2447" s="9" t="s">
        <v>80</v>
      </c>
      <c r="G2447" s="9" t="s">
        <v>43</v>
      </c>
      <c r="H2447" s="9" t="s">
        <v>44</v>
      </c>
      <c r="I2447" s="11" t="s">
        <v>233</v>
      </c>
      <c r="J2447" s="9" t="s">
        <v>200</v>
      </c>
      <c r="K2447" s="9" t="s">
        <v>47</v>
      </c>
      <c r="L2447" s="9" t="s">
        <v>48</v>
      </c>
      <c r="M2447" s="9" t="s">
        <v>8467</v>
      </c>
      <c r="N2447" s="9" t="s">
        <v>50</v>
      </c>
      <c r="O2447" s="9" t="s">
        <v>51</v>
      </c>
      <c r="P2447" s="9" t="s">
        <v>443</v>
      </c>
      <c r="Q2447" s="9"/>
      <c r="R2447" s="9"/>
      <c r="S2447" s="14" t="s">
        <v>8468</v>
      </c>
      <c r="T2447" s="9" t="s">
        <v>8469</v>
      </c>
      <c r="U2447" s="9" t="s">
        <v>54</v>
      </c>
      <c r="V2447" s="9"/>
      <c r="W2447" s="9" t="s">
        <v>115</v>
      </c>
      <c r="X2447" s="12"/>
      <c r="Y2447" s="9" t="s">
        <v>55</v>
      </c>
      <c r="Z2447" s="13"/>
    </row>
    <row r="2448" spans="1:26" ht="32.25" hidden="1" customHeight="1">
      <c r="A2448" s="8">
        <v>2304485</v>
      </c>
      <c r="B2448" s="9" t="s">
        <v>8470</v>
      </c>
      <c r="C2448" s="10">
        <v>45149</v>
      </c>
      <c r="D2448" s="9" t="s">
        <v>57</v>
      </c>
      <c r="E2448" s="9" t="s">
        <v>41</v>
      </c>
      <c r="F2448" s="9" t="s">
        <v>42</v>
      </c>
      <c r="G2448" s="9" t="s">
        <v>43</v>
      </c>
      <c r="H2448" s="9" t="s">
        <v>58</v>
      </c>
      <c r="I2448" s="11" t="s">
        <v>45</v>
      </c>
      <c r="J2448" s="9" t="s">
        <v>46</v>
      </c>
      <c r="K2448" s="9" t="s">
        <v>47</v>
      </c>
      <c r="L2448" s="9" t="s">
        <v>799</v>
      </c>
      <c r="M2448" s="9" t="s">
        <v>1806</v>
      </c>
      <c r="N2448" s="9" t="s">
        <v>50</v>
      </c>
      <c r="O2448" s="9" t="s">
        <v>51</v>
      </c>
      <c r="P2448" s="9"/>
      <c r="Q2448" s="9"/>
      <c r="R2448" s="9" t="s">
        <v>61</v>
      </c>
      <c r="S2448" s="14" t="s">
        <v>8471</v>
      </c>
      <c r="T2448" s="9" t="s">
        <v>8472</v>
      </c>
      <c r="U2448" s="9" t="s">
        <v>54</v>
      </c>
      <c r="V2448" s="9" t="s">
        <v>55</v>
      </c>
      <c r="W2448" s="9" t="s">
        <v>55</v>
      </c>
      <c r="X2448" s="9" t="s">
        <v>64</v>
      </c>
      <c r="Y2448" s="9" t="s">
        <v>65</v>
      </c>
      <c r="Z2448" s="13"/>
    </row>
    <row r="2449" spans="1:26" ht="32.25" hidden="1" customHeight="1">
      <c r="A2449" s="8">
        <v>2302573</v>
      </c>
      <c r="B2449" s="9" t="s">
        <v>8473</v>
      </c>
      <c r="C2449" s="10">
        <v>45149</v>
      </c>
      <c r="D2449" s="9" t="s">
        <v>57</v>
      </c>
      <c r="E2449" s="9" t="s">
        <v>41</v>
      </c>
      <c r="F2449" s="9" t="s">
        <v>42</v>
      </c>
      <c r="G2449" s="9" t="s">
        <v>43</v>
      </c>
      <c r="H2449" s="9" t="s">
        <v>58</v>
      </c>
      <c r="I2449" s="11" t="s">
        <v>45</v>
      </c>
      <c r="J2449" s="9" t="s">
        <v>46</v>
      </c>
      <c r="K2449" s="9" t="s">
        <v>47</v>
      </c>
      <c r="L2449" s="9" t="s">
        <v>156</v>
      </c>
      <c r="M2449" s="9"/>
      <c r="N2449" s="9" t="s">
        <v>50</v>
      </c>
      <c r="O2449" s="9" t="s">
        <v>51</v>
      </c>
      <c r="P2449" s="9"/>
      <c r="Q2449" s="9"/>
      <c r="R2449" s="9"/>
      <c r="S2449" s="14" t="s">
        <v>8474</v>
      </c>
      <c r="T2449" s="9" t="s">
        <v>8475</v>
      </c>
      <c r="U2449" s="9" t="s">
        <v>54</v>
      </c>
      <c r="V2449" s="9" t="s">
        <v>55</v>
      </c>
      <c r="W2449" s="9" t="s">
        <v>55</v>
      </c>
      <c r="X2449" s="12"/>
      <c r="Y2449" s="9" t="s">
        <v>55</v>
      </c>
      <c r="Z2449" s="13"/>
    </row>
    <row r="2450" spans="1:26" ht="32.25" hidden="1" customHeight="1">
      <c r="A2450" s="8">
        <v>2305587</v>
      </c>
      <c r="B2450" s="9" t="s">
        <v>8476</v>
      </c>
      <c r="C2450" s="10">
        <v>45136</v>
      </c>
      <c r="D2450" s="9" t="s">
        <v>301</v>
      </c>
      <c r="E2450" s="9" t="s">
        <v>68</v>
      </c>
      <c r="F2450" s="9" t="s">
        <v>135</v>
      </c>
      <c r="G2450" s="9" t="s">
        <v>43</v>
      </c>
      <c r="H2450" s="9" t="s">
        <v>44</v>
      </c>
      <c r="I2450" s="11" t="s">
        <v>136</v>
      </c>
      <c r="J2450" s="9" t="s">
        <v>137</v>
      </c>
      <c r="K2450" s="9" t="s">
        <v>47</v>
      </c>
      <c r="L2450" s="9" t="s">
        <v>569</v>
      </c>
      <c r="M2450" s="9" t="s">
        <v>8477</v>
      </c>
      <c r="N2450" s="9" t="s">
        <v>50</v>
      </c>
      <c r="O2450" s="9" t="s">
        <v>51</v>
      </c>
      <c r="P2450" s="9"/>
      <c r="Q2450" s="9"/>
      <c r="R2450" s="9" t="s">
        <v>61</v>
      </c>
      <c r="S2450" s="9" t="s">
        <v>8478</v>
      </c>
      <c r="T2450" s="9" t="s">
        <v>8479</v>
      </c>
      <c r="U2450" s="9" t="s">
        <v>54</v>
      </c>
      <c r="V2450" s="9" t="s">
        <v>55</v>
      </c>
      <c r="W2450" s="9" t="s">
        <v>55</v>
      </c>
      <c r="X2450" s="12" t="s">
        <v>76</v>
      </c>
      <c r="Y2450" s="9" t="s">
        <v>77</v>
      </c>
      <c r="Z2450" s="13"/>
    </row>
    <row r="2451" spans="1:26" ht="32.25" hidden="1" customHeight="1">
      <c r="A2451" s="8">
        <v>2313483</v>
      </c>
      <c r="B2451" s="9" t="s">
        <v>8480</v>
      </c>
      <c r="C2451" s="10">
        <v>45142</v>
      </c>
      <c r="D2451" s="9" t="s">
        <v>67</v>
      </c>
      <c r="E2451" s="9" t="s">
        <v>143</v>
      </c>
      <c r="F2451" s="9" t="s">
        <v>42</v>
      </c>
      <c r="G2451" s="9" t="s">
        <v>43</v>
      </c>
      <c r="H2451" s="9" t="s">
        <v>44</v>
      </c>
      <c r="I2451" s="11" t="s">
        <v>334</v>
      </c>
      <c r="J2451" s="9" t="s">
        <v>327</v>
      </c>
      <c r="K2451" s="9" t="s">
        <v>47</v>
      </c>
      <c r="L2451" s="9" t="s">
        <v>162</v>
      </c>
      <c r="M2451" s="9" t="s">
        <v>163</v>
      </c>
      <c r="N2451" s="9" t="s">
        <v>84</v>
      </c>
      <c r="O2451" s="9" t="s">
        <v>51</v>
      </c>
      <c r="P2451" s="9" t="s">
        <v>336</v>
      </c>
      <c r="Q2451" s="9"/>
      <c r="R2451" s="9" t="s">
        <v>61</v>
      </c>
      <c r="S2451" s="9" t="s">
        <v>8481</v>
      </c>
      <c r="T2451" s="9" t="s">
        <v>8482</v>
      </c>
      <c r="U2451" s="9" t="s">
        <v>54</v>
      </c>
      <c r="V2451" s="9" t="s">
        <v>55</v>
      </c>
      <c r="W2451" s="9" t="s">
        <v>55</v>
      </c>
      <c r="X2451" s="12" t="s">
        <v>150</v>
      </c>
      <c r="Y2451" s="9" t="s">
        <v>151</v>
      </c>
      <c r="Z2451" s="13"/>
    </row>
    <row r="2452" spans="1:26" ht="32.25" hidden="1" customHeight="1">
      <c r="A2452" s="8">
        <v>2301263</v>
      </c>
      <c r="B2452" s="9" t="s">
        <v>8483</v>
      </c>
      <c r="C2452" s="10">
        <v>45142</v>
      </c>
      <c r="D2452" s="9" t="s">
        <v>67</v>
      </c>
      <c r="E2452" s="9" t="s">
        <v>68</v>
      </c>
      <c r="F2452" s="9" t="s">
        <v>135</v>
      </c>
      <c r="G2452" s="9" t="s">
        <v>43</v>
      </c>
      <c r="H2452" s="9" t="s">
        <v>44</v>
      </c>
      <c r="I2452" s="11" t="s">
        <v>136</v>
      </c>
      <c r="J2452" s="9" t="s">
        <v>137</v>
      </c>
      <c r="K2452" s="9" t="s">
        <v>47</v>
      </c>
      <c r="L2452" s="9" t="s">
        <v>48</v>
      </c>
      <c r="M2452" s="9" t="s">
        <v>1985</v>
      </c>
      <c r="N2452" s="9" t="s">
        <v>50</v>
      </c>
      <c r="O2452" s="9" t="s">
        <v>51</v>
      </c>
      <c r="P2452" s="9"/>
      <c r="Q2452" s="9"/>
      <c r="R2452" s="9"/>
      <c r="S2452" s="9" t="s">
        <v>8484</v>
      </c>
      <c r="T2452" s="9" t="s">
        <v>8485</v>
      </c>
      <c r="U2452" s="9" t="s">
        <v>54</v>
      </c>
      <c r="V2452" s="9" t="s">
        <v>55</v>
      </c>
      <c r="W2452" s="9" t="s">
        <v>55</v>
      </c>
      <c r="X2452" s="12"/>
      <c r="Y2452" s="9" t="s">
        <v>55</v>
      </c>
      <c r="Z2452" s="13"/>
    </row>
    <row r="2453" spans="1:26" ht="32.25" hidden="1" customHeight="1">
      <c r="A2453" s="8">
        <v>2315216</v>
      </c>
      <c r="B2453" s="9" t="s">
        <v>8486</v>
      </c>
      <c r="C2453" s="10">
        <v>45149</v>
      </c>
      <c r="D2453" s="9" t="s">
        <v>57</v>
      </c>
      <c r="E2453" s="9" t="s">
        <v>41</v>
      </c>
      <c r="F2453" s="9" t="s">
        <v>42</v>
      </c>
      <c r="G2453" s="9" t="s">
        <v>43</v>
      </c>
      <c r="H2453" s="9" t="s">
        <v>58</v>
      </c>
      <c r="I2453" s="11" t="s">
        <v>45</v>
      </c>
      <c r="J2453" s="9" t="s">
        <v>46</v>
      </c>
      <c r="K2453" s="9" t="s">
        <v>47</v>
      </c>
      <c r="L2453" s="9" t="s">
        <v>156</v>
      </c>
      <c r="M2453" s="9"/>
      <c r="N2453" s="9" t="s">
        <v>50</v>
      </c>
      <c r="O2453" s="9" t="s">
        <v>51</v>
      </c>
      <c r="P2453" s="9"/>
      <c r="Q2453" s="9"/>
      <c r="R2453" s="9"/>
      <c r="S2453" s="14" t="s">
        <v>8487</v>
      </c>
      <c r="T2453" s="9" t="s">
        <v>8488</v>
      </c>
      <c r="U2453" s="9" t="s">
        <v>54</v>
      </c>
      <c r="V2453" s="9" t="s">
        <v>55</v>
      </c>
      <c r="W2453" s="9" t="s">
        <v>55</v>
      </c>
      <c r="X2453" s="12"/>
      <c r="Y2453" s="9" t="s">
        <v>55</v>
      </c>
      <c r="Z2453" s="13"/>
    </row>
    <row r="2454" spans="1:26" ht="32.25" hidden="1" customHeight="1">
      <c r="A2454" s="8">
        <v>2311711</v>
      </c>
      <c r="B2454" s="9" t="s">
        <v>8489</v>
      </c>
      <c r="C2454" s="10">
        <v>45149</v>
      </c>
      <c r="D2454" s="9" t="s">
        <v>261</v>
      </c>
      <c r="E2454" s="9" t="s">
        <v>143</v>
      </c>
      <c r="F2454" s="9" t="s">
        <v>262</v>
      </c>
      <c r="G2454" s="9" t="s">
        <v>43</v>
      </c>
      <c r="H2454" s="9" t="s">
        <v>44</v>
      </c>
      <c r="I2454" s="11" t="s">
        <v>1136</v>
      </c>
      <c r="J2454" s="9" t="s">
        <v>1137</v>
      </c>
      <c r="K2454" s="9" t="s">
        <v>47</v>
      </c>
      <c r="L2454" s="9" t="s">
        <v>340</v>
      </c>
      <c r="M2454" s="9" t="s">
        <v>1297</v>
      </c>
      <c r="N2454" s="9" t="s">
        <v>50</v>
      </c>
      <c r="O2454" s="9" t="s">
        <v>51</v>
      </c>
      <c r="P2454" s="9"/>
      <c r="Q2454" s="9"/>
      <c r="R2454" s="9" t="s">
        <v>61</v>
      </c>
      <c r="S2454" s="14" t="s">
        <v>8490</v>
      </c>
      <c r="T2454" s="9" t="s">
        <v>8491</v>
      </c>
      <c r="U2454" s="9" t="s">
        <v>262</v>
      </c>
      <c r="V2454" s="9" t="s">
        <v>251</v>
      </c>
      <c r="W2454" s="9" t="s">
        <v>115</v>
      </c>
      <c r="X2454" s="12" t="s">
        <v>389</v>
      </c>
      <c r="Y2454" s="9" t="s">
        <v>390</v>
      </c>
      <c r="Z2454" s="13"/>
    </row>
    <row r="2455" spans="1:26" ht="32.25" hidden="1" customHeight="1">
      <c r="A2455" s="8">
        <v>2312771</v>
      </c>
      <c r="B2455" s="9" t="s">
        <v>8492</v>
      </c>
      <c r="C2455" s="10">
        <v>45149</v>
      </c>
      <c r="D2455" s="9" t="s">
        <v>261</v>
      </c>
      <c r="E2455" s="9" t="s">
        <v>153</v>
      </c>
      <c r="F2455" s="9" t="s">
        <v>262</v>
      </c>
      <c r="G2455" s="9" t="s">
        <v>43</v>
      </c>
      <c r="H2455" s="9" t="s">
        <v>44</v>
      </c>
      <c r="I2455" s="11" t="s">
        <v>1136</v>
      </c>
      <c r="J2455" s="9" t="s">
        <v>1137</v>
      </c>
      <c r="K2455" s="9" t="s">
        <v>47</v>
      </c>
      <c r="L2455" s="9" t="s">
        <v>2729</v>
      </c>
      <c r="M2455" s="9" t="s">
        <v>4282</v>
      </c>
      <c r="N2455" s="9" t="s">
        <v>50</v>
      </c>
      <c r="O2455" s="9" t="s">
        <v>51</v>
      </c>
      <c r="P2455" s="9"/>
      <c r="Q2455" s="9"/>
      <c r="R2455" s="9" t="s">
        <v>61</v>
      </c>
      <c r="S2455" s="14" t="s">
        <v>8493</v>
      </c>
      <c r="T2455" s="9" t="s">
        <v>8494</v>
      </c>
      <c r="U2455" s="9" t="s">
        <v>262</v>
      </c>
      <c r="V2455" s="9" t="s">
        <v>1916</v>
      </c>
      <c r="W2455" s="9" t="s">
        <v>115</v>
      </c>
      <c r="X2455" s="12" t="s">
        <v>389</v>
      </c>
      <c r="Y2455" s="9" t="s">
        <v>390</v>
      </c>
      <c r="Z2455" s="13"/>
    </row>
    <row r="2456" spans="1:26" ht="32.25" hidden="1" customHeight="1">
      <c r="A2456" s="8">
        <v>2300790</v>
      </c>
      <c r="B2456" s="9" t="s">
        <v>8495</v>
      </c>
      <c r="C2456" s="10">
        <v>45142</v>
      </c>
      <c r="D2456" s="9" t="s">
        <v>67</v>
      </c>
      <c r="E2456" s="9" t="s">
        <v>68</v>
      </c>
      <c r="F2456" s="9" t="s">
        <v>135</v>
      </c>
      <c r="G2456" s="9" t="s">
        <v>43</v>
      </c>
      <c r="H2456" s="9" t="s">
        <v>44</v>
      </c>
      <c r="I2456" s="11" t="s">
        <v>136</v>
      </c>
      <c r="J2456" s="9" t="s">
        <v>137</v>
      </c>
      <c r="K2456" s="9" t="s">
        <v>416</v>
      </c>
      <c r="L2456" s="9" t="s">
        <v>8496</v>
      </c>
      <c r="M2456" s="9" t="s">
        <v>8497</v>
      </c>
      <c r="N2456" s="9" t="s">
        <v>84</v>
      </c>
      <c r="O2456" s="9" t="s">
        <v>51</v>
      </c>
      <c r="P2456" s="9"/>
      <c r="Q2456" s="9"/>
      <c r="R2456" s="9" t="s">
        <v>61</v>
      </c>
      <c r="S2456" s="9" t="s">
        <v>8498</v>
      </c>
      <c r="T2456" s="9" t="s">
        <v>8499</v>
      </c>
      <c r="U2456" s="9" t="s">
        <v>54</v>
      </c>
      <c r="V2456" s="9" t="s">
        <v>55</v>
      </c>
      <c r="W2456" s="9" t="s">
        <v>55</v>
      </c>
      <c r="X2456" s="12" t="s">
        <v>76</v>
      </c>
      <c r="Y2456" s="9" t="s">
        <v>77</v>
      </c>
      <c r="Z2456" s="13"/>
    </row>
    <row r="2457" spans="1:26" ht="32.25" hidden="1" customHeight="1">
      <c r="A2457" s="8">
        <v>2304488</v>
      </c>
      <c r="B2457" s="9" t="s">
        <v>8500</v>
      </c>
      <c r="C2457" s="10">
        <v>45149</v>
      </c>
      <c r="D2457" s="9" t="s">
        <v>57</v>
      </c>
      <c r="E2457" s="9" t="s">
        <v>153</v>
      </c>
      <c r="F2457" s="9" t="s">
        <v>42</v>
      </c>
      <c r="G2457" s="9" t="s">
        <v>43</v>
      </c>
      <c r="H2457" s="9" t="s">
        <v>58</v>
      </c>
      <c r="I2457" s="11" t="s">
        <v>154</v>
      </c>
      <c r="J2457" s="9" t="s">
        <v>155</v>
      </c>
      <c r="K2457" s="9" t="s">
        <v>47</v>
      </c>
      <c r="L2457" s="9" t="s">
        <v>863</v>
      </c>
      <c r="M2457" s="9" t="s">
        <v>2570</v>
      </c>
      <c r="N2457" s="9" t="s">
        <v>84</v>
      </c>
      <c r="O2457" s="9" t="s">
        <v>51</v>
      </c>
      <c r="P2457" s="9"/>
      <c r="Q2457" s="9"/>
      <c r="R2457" s="9" t="s">
        <v>61</v>
      </c>
      <c r="S2457" s="14" t="s">
        <v>8501</v>
      </c>
      <c r="T2457" s="9" t="s">
        <v>8502</v>
      </c>
      <c r="U2457" s="9" t="s">
        <v>54</v>
      </c>
      <c r="V2457" s="9" t="s">
        <v>55</v>
      </c>
      <c r="W2457" s="9" t="s">
        <v>55</v>
      </c>
      <c r="X2457" s="12" t="s">
        <v>171</v>
      </c>
      <c r="Y2457" s="9" t="s">
        <v>172</v>
      </c>
      <c r="Z2457" s="13"/>
    </row>
    <row r="2458" spans="1:26" ht="32.25" hidden="1" customHeight="1">
      <c r="A2458" s="8">
        <v>2311307</v>
      </c>
      <c r="B2458" s="9" t="s">
        <v>8503</v>
      </c>
      <c r="C2458" s="10">
        <v>45156</v>
      </c>
      <c r="D2458" s="9" t="s">
        <v>79</v>
      </c>
      <c r="E2458" s="9" t="s">
        <v>89</v>
      </c>
      <c r="F2458" s="9" t="s">
        <v>80</v>
      </c>
      <c r="G2458" s="9" t="s">
        <v>43</v>
      </c>
      <c r="H2458" s="9" t="s">
        <v>44</v>
      </c>
      <c r="I2458" s="11" t="s">
        <v>4023</v>
      </c>
      <c r="J2458" s="9" t="s">
        <v>4024</v>
      </c>
      <c r="K2458" s="9" t="s">
        <v>110</v>
      </c>
      <c r="L2458" s="9" t="s">
        <v>8504</v>
      </c>
      <c r="M2458" s="9" t="s">
        <v>7093</v>
      </c>
      <c r="N2458" s="9" t="s">
        <v>50</v>
      </c>
      <c r="O2458" s="9" t="s">
        <v>51</v>
      </c>
      <c r="P2458" s="9" t="s">
        <v>4026</v>
      </c>
      <c r="Q2458" s="9"/>
      <c r="R2458" s="9" t="s">
        <v>61</v>
      </c>
      <c r="S2458" s="14" t="s">
        <v>8505</v>
      </c>
      <c r="T2458" s="9" t="s">
        <v>8506</v>
      </c>
      <c r="U2458" s="9" t="s">
        <v>54</v>
      </c>
      <c r="V2458" s="9" t="s">
        <v>55</v>
      </c>
      <c r="W2458" s="9" t="s">
        <v>115</v>
      </c>
      <c r="X2458" s="12" t="s">
        <v>98</v>
      </c>
      <c r="Y2458" s="9" t="s">
        <v>99</v>
      </c>
      <c r="Z2458" s="13"/>
    </row>
    <row r="2459" spans="1:26" ht="32.25" hidden="1" customHeight="1">
      <c r="A2459" s="8">
        <v>2300319</v>
      </c>
      <c r="B2459" s="9" t="s">
        <v>8507</v>
      </c>
      <c r="C2459" s="10">
        <v>45142</v>
      </c>
      <c r="D2459" s="9" t="s">
        <v>232</v>
      </c>
      <c r="E2459" s="9" t="s">
        <v>89</v>
      </c>
      <c r="F2459" s="9" t="s">
        <v>80</v>
      </c>
      <c r="G2459" s="9" t="s">
        <v>43</v>
      </c>
      <c r="H2459" s="9" t="s">
        <v>44</v>
      </c>
      <c r="I2459" s="11" t="s">
        <v>117</v>
      </c>
      <c r="J2459" s="9" t="s">
        <v>118</v>
      </c>
      <c r="K2459" s="9" t="s">
        <v>2036</v>
      </c>
      <c r="L2459" s="9"/>
      <c r="M2459" s="9" t="s">
        <v>8508</v>
      </c>
      <c r="N2459" s="9" t="s">
        <v>50</v>
      </c>
      <c r="O2459" s="9" t="s">
        <v>187</v>
      </c>
      <c r="P2459" s="9" t="s">
        <v>121</v>
      </c>
      <c r="Q2459" s="9"/>
      <c r="R2459" s="9" t="s">
        <v>61</v>
      </c>
      <c r="S2459" s="9" t="s">
        <v>8509</v>
      </c>
      <c r="T2459" s="9" t="s">
        <v>8510</v>
      </c>
      <c r="U2459" s="9" t="s">
        <v>54</v>
      </c>
      <c r="V2459" s="9" t="s">
        <v>276</v>
      </c>
      <c r="W2459" s="9" t="s">
        <v>55</v>
      </c>
      <c r="X2459" s="12" t="s">
        <v>98</v>
      </c>
      <c r="Y2459" s="9" t="s">
        <v>99</v>
      </c>
      <c r="Z2459" s="13" t="s">
        <v>240</v>
      </c>
    </row>
    <row r="2460" spans="1:26" ht="32.25" hidden="1" customHeight="1">
      <c r="A2460" s="8">
        <v>2301776</v>
      </c>
      <c r="B2460" s="9" t="s">
        <v>8511</v>
      </c>
      <c r="C2460" s="10">
        <v>45156</v>
      </c>
      <c r="D2460" s="9" t="s">
        <v>79</v>
      </c>
      <c r="E2460" s="9" t="s">
        <v>68</v>
      </c>
      <c r="F2460" s="9" t="s">
        <v>80</v>
      </c>
      <c r="G2460" s="9" t="s">
        <v>43</v>
      </c>
      <c r="H2460" s="9" t="s">
        <v>44</v>
      </c>
      <c r="I2460" s="11" t="s">
        <v>90</v>
      </c>
      <c r="J2460" s="9" t="s">
        <v>91</v>
      </c>
      <c r="K2460" s="9" t="s">
        <v>47</v>
      </c>
      <c r="L2460" s="9" t="s">
        <v>156</v>
      </c>
      <c r="M2460" s="9"/>
      <c r="N2460" s="9" t="s">
        <v>50</v>
      </c>
      <c r="O2460" s="9" t="s">
        <v>51</v>
      </c>
      <c r="P2460" s="9" t="s">
        <v>273</v>
      </c>
      <c r="Q2460" s="9"/>
      <c r="R2460" s="9"/>
      <c r="S2460" s="14" t="s">
        <v>8512</v>
      </c>
      <c r="T2460" s="9" t="s">
        <v>8513</v>
      </c>
      <c r="U2460" s="9" t="s">
        <v>54</v>
      </c>
      <c r="V2460" s="9" t="s">
        <v>55</v>
      </c>
      <c r="W2460" s="9" t="s">
        <v>55</v>
      </c>
      <c r="X2460" s="12"/>
      <c r="Y2460" s="9" t="s">
        <v>55</v>
      </c>
      <c r="Z2460" s="13"/>
    </row>
    <row r="2461" spans="1:26" ht="32.25" hidden="1" customHeight="1">
      <c r="A2461" s="8">
        <v>2311465</v>
      </c>
      <c r="B2461" s="9" t="s">
        <v>8514</v>
      </c>
      <c r="C2461" s="10">
        <v>45156</v>
      </c>
      <c r="D2461" s="9" t="s">
        <v>79</v>
      </c>
      <c r="E2461" s="9" t="s">
        <v>68</v>
      </c>
      <c r="F2461" s="9" t="s">
        <v>80</v>
      </c>
      <c r="G2461" s="9" t="s">
        <v>43</v>
      </c>
      <c r="H2461" s="9" t="s">
        <v>44</v>
      </c>
      <c r="I2461" s="11" t="s">
        <v>696</v>
      </c>
      <c r="J2461" s="9" t="s">
        <v>70</v>
      </c>
      <c r="K2461" s="9" t="s">
        <v>47</v>
      </c>
      <c r="L2461" s="9" t="s">
        <v>167</v>
      </c>
      <c r="M2461" s="9" t="s">
        <v>168</v>
      </c>
      <c r="N2461" s="9" t="s">
        <v>50</v>
      </c>
      <c r="O2461" s="9" t="s">
        <v>51</v>
      </c>
      <c r="P2461" s="9" t="s">
        <v>698</v>
      </c>
      <c r="Q2461" s="9"/>
      <c r="R2461" s="9" t="s">
        <v>61</v>
      </c>
      <c r="S2461" s="14" t="s">
        <v>8515</v>
      </c>
      <c r="T2461" s="9" t="s">
        <v>8516</v>
      </c>
      <c r="U2461" s="9" t="s">
        <v>54</v>
      </c>
      <c r="V2461" s="9" t="s">
        <v>3207</v>
      </c>
      <c r="W2461" s="9" t="s">
        <v>115</v>
      </c>
      <c r="X2461" s="12" t="s">
        <v>76</v>
      </c>
      <c r="Y2461" s="9" t="s">
        <v>77</v>
      </c>
      <c r="Z2461" s="13"/>
    </row>
    <row r="2462" spans="1:26" ht="32.25" hidden="1" customHeight="1">
      <c r="A2462" s="8">
        <v>2307455</v>
      </c>
      <c r="B2462" s="9" t="s">
        <v>8517</v>
      </c>
      <c r="C2462" s="10">
        <v>45142</v>
      </c>
      <c r="D2462" s="9" t="s">
        <v>67</v>
      </c>
      <c r="E2462" s="9" t="s">
        <v>295</v>
      </c>
      <c r="F2462" s="9" t="s">
        <v>42</v>
      </c>
      <c r="G2462" s="9" t="s">
        <v>43</v>
      </c>
      <c r="H2462" s="9" t="s">
        <v>44</v>
      </c>
      <c r="I2462" s="11" t="s">
        <v>406</v>
      </c>
      <c r="J2462" s="9" t="s">
        <v>407</v>
      </c>
      <c r="K2462" s="9" t="s">
        <v>47</v>
      </c>
      <c r="L2462" s="9" t="s">
        <v>156</v>
      </c>
      <c r="M2462" s="9"/>
      <c r="N2462" s="9" t="s">
        <v>50</v>
      </c>
      <c r="O2462" s="9" t="s">
        <v>51</v>
      </c>
      <c r="P2462" s="9"/>
      <c r="Q2462" s="9"/>
      <c r="R2462" s="9"/>
      <c r="S2462" s="9" t="s">
        <v>8518</v>
      </c>
      <c r="T2462" s="9" t="s">
        <v>8519</v>
      </c>
      <c r="U2462" s="9" t="s">
        <v>54</v>
      </c>
      <c r="V2462" s="9" t="s">
        <v>55</v>
      </c>
      <c r="W2462" s="9" t="s">
        <v>55</v>
      </c>
      <c r="X2462" s="12"/>
      <c r="Y2462" s="9" t="s">
        <v>55</v>
      </c>
      <c r="Z2462" s="13"/>
    </row>
    <row r="2463" spans="1:26" ht="32.25" hidden="1" customHeight="1">
      <c r="A2463" s="8">
        <v>2303165</v>
      </c>
      <c r="B2463" s="9" t="s">
        <v>8520</v>
      </c>
      <c r="C2463" s="10">
        <v>45142</v>
      </c>
      <c r="D2463" s="9" t="s">
        <v>67</v>
      </c>
      <c r="E2463" s="9" t="s">
        <v>295</v>
      </c>
      <c r="F2463" s="9" t="s">
        <v>42</v>
      </c>
      <c r="G2463" s="9" t="s">
        <v>43</v>
      </c>
      <c r="H2463" s="9" t="s">
        <v>44</v>
      </c>
      <c r="I2463" s="11" t="s">
        <v>406</v>
      </c>
      <c r="J2463" s="9" t="s">
        <v>407</v>
      </c>
      <c r="K2463" s="9" t="s">
        <v>47</v>
      </c>
      <c r="L2463" s="9" t="s">
        <v>48</v>
      </c>
      <c r="M2463" s="9" t="s">
        <v>1943</v>
      </c>
      <c r="N2463" s="9" t="s">
        <v>84</v>
      </c>
      <c r="O2463" s="9" t="s">
        <v>51</v>
      </c>
      <c r="P2463" s="9"/>
      <c r="Q2463" s="9"/>
      <c r="R2463" s="9"/>
      <c r="S2463" s="9" t="s">
        <v>8521</v>
      </c>
      <c r="T2463" s="9" t="s">
        <v>8522</v>
      </c>
      <c r="U2463" s="9" t="s">
        <v>54</v>
      </c>
      <c r="V2463" s="9" t="s">
        <v>55</v>
      </c>
      <c r="W2463" s="9" t="s">
        <v>55</v>
      </c>
      <c r="X2463" s="12"/>
      <c r="Y2463" s="9" t="s">
        <v>55</v>
      </c>
      <c r="Z2463" s="13"/>
    </row>
    <row r="2464" spans="1:26" ht="32.25" hidden="1" customHeight="1">
      <c r="A2464" s="8">
        <v>2315492</v>
      </c>
      <c r="B2464" s="9" t="s">
        <v>8520</v>
      </c>
      <c r="C2464" s="10">
        <v>45149</v>
      </c>
      <c r="D2464" s="9" t="s">
        <v>57</v>
      </c>
      <c r="E2464" s="9" t="s">
        <v>41</v>
      </c>
      <c r="F2464" s="9" t="s">
        <v>42</v>
      </c>
      <c r="G2464" s="9" t="s">
        <v>43</v>
      </c>
      <c r="H2464" s="9" t="s">
        <v>58</v>
      </c>
      <c r="I2464" s="11" t="s">
        <v>199</v>
      </c>
      <c r="J2464" s="9" t="s">
        <v>200</v>
      </c>
      <c r="K2464" s="9" t="s">
        <v>47</v>
      </c>
      <c r="L2464" s="9" t="s">
        <v>48</v>
      </c>
      <c r="M2464" s="9" t="s">
        <v>1943</v>
      </c>
      <c r="N2464" s="9" t="s">
        <v>84</v>
      </c>
      <c r="O2464" s="9" t="s">
        <v>51</v>
      </c>
      <c r="P2464" s="9"/>
      <c r="Q2464" s="9"/>
      <c r="R2464" s="9"/>
      <c r="S2464" s="14" t="s">
        <v>8521</v>
      </c>
      <c r="T2464" s="9" t="s">
        <v>8522</v>
      </c>
      <c r="U2464" s="9" t="s">
        <v>54</v>
      </c>
      <c r="V2464" s="9" t="s">
        <v>55</v>
      </c>
      <c r="W2464" s="9" t="s">
        <v>55</v>
      </c>
      <c r="X2464" s="12"/>
      <c r="Y2464" s="9" t="s">
        <v>55</v>
      </c>
      <c r="Z2464" s="13"/>
    </row>
    <row r="2465" spans="1:26" ht="32.25" hidden="1" customHeight="1">
      <c r="A2465" s="8">
        <v>2302190</v>
      </c>
      <c r="B2465" s="9" t="s">
        <v>8523</v>
      </c>
      <c r="C2465" s="10">
        <v>45149</v>
      </c>
      <c r="D2465" s="9" t="s">
        <v>57</v>
      </c>
      <c r="E2465" s="9" t="s">
        <v>41</v>
      </c>
      <c r="F2465" s="9" t="s">
        <v>42</v>
      </c>
      <c r="G2465" s="9" t="s">
        <v>43</v>
      </c>
      <c r="H2465" s="9" t="s">
        <v>58</v>
      </c>
      <c r="I2465" s="11" t="s">
        <v>199</v>
      </c>
      <c r="J2465" s="9" t="s">
        <v>200</v>
      </c>
      <c r="K2465" s="9" t="s">
        <v>47</v>
      </c>
      <c r="L2465" s="9" t="s">
        <v>156</v>
      </c>
      <c r="M2465" s="9"/>
      <c r="N2465" s="9" t="s">
        <v>84</v>
      </c>
      <c r="O2465" s="9" t="s">
        <v>51</v>
      </c>
      <c r="P2465" s="9"/>
      <c r="Q2465" s="9"/>
      <c r="R2465" s="9"/>
      <c r="S2465" s="14" t="s">
        <v>8524</v>
      </c>
      <c r="T2465" s="9" t="s">
        <v>8525</v>
      </c>
      <c r="U2465" s="9" t="s">
        <v>54</v>
      </c>
      <c r="V2465" s="9" t="s">
        <v>55</v>
      </c>
      <c r="W2465" s="9" t="s">
        <v>55</v>
      </c>
      <c r="X2465" s="12"/>
      <c r="Y2465" s="9" t="s">
        <v>55</v>
      </c>
      <c r="Z2465" s="13"/>
    </row>
    <row r="2466" spans="1:26" ht="32.25" hidden="1" customHeight="1">
      <c r="A2466" s="8">
        <v>2314369</v>
      </c>
      <c r="B2466" s="9" t="s">
        <v>8526</v>
      </c>
      <c r="C2466" s="10">
        <v>45156</v>
      </c>
      <c r="D2466" s="9" t="s">
        <v>79</v>
      </c>
      <c r="E2466" s="9" t="s">
        <v>89</v>
      </c>
      <c r="F2466" s="9" t="s">
        <v>80</v>
      </c>
      <c r="G2466" s="9" t="s">
        <v>43</v>
      </c>
      <c r="H2466" s="9" t="s">
        <v>44</v>
      </c>
      <c r="I2466" s="11" t="s">
        <v>101</v>
      </c>
      <c r="J2466" s="9" t="s">
        <v>102</v>
      </c>
      <c r="K2466" s="9" t="s">
        <v>47</v>
      </c>
      <c r="L2466" s="9" t="s">
        <v>156</v>
      </c>
      <c r="M2466" s="9"/>
      <c r="N2466" s="9" t="s">
        <v>50</v>
      </c>
      <c r="O2466" s="9" t="s">
        <v>51</v>
      </c>
      <c r="P2466" s="9" t="s">
        <v>212</v>
      </c>
      <c r="Q2466" s="9"/>
      <c r="R2466" s="9"/>
      <c r="S2466" s="14" t="s">
        <v>8527</v>
      </c>
      <c r="T2466" s="9" t="s">
        <v>8528</v>
      </c>
      <c r="U2466" s="9" t="s">
        <v>54</v>
      </c>
      <c r="V2466" s="9" t="s">
        <v>55</v>
      </c>
      <c r="W2466" s="9" t="s">
        <v>55</v>
      </c>
      <c r="X2466" s="12"/>
      <c r="Y2466" s="9" t="s">
        <v>55</v>
      </c>
      <c r="Z2466" s="13"/>
    </row>
    <row r="2467" spans="1:26" ht="32.25" hidden="1" customHeight="1">
      <c r="A2467" s="8">
        <v>2309827</v>
      </c>
      <c r="B2467" s="9" t="s">
        <v>8529</v>
      </c>
      <c r="C2467" s="10">
        <v>45149</v>
      </c>
      <c r="D2467" s="9" t="s">
        <v>57</v>
      </c>
      <c r="E2467" s="9" t="s">
        <v>41</v>
      </c>
      <c r="F2467" s="9" t="s">
        <v>42</v>
      </c>
      <c r="G2467" s="9" t="s">
        <v>43</v>
      </c>
      <c r="H2467" s="9" t="s">
        <v>58</v>
      </c>
      <c r="I2467" s="11" t="s">
        <v>45</v>
      </c>
      <c r="J2467" s="9" t="s">
        <v>46</v>
      </c>
      <c r="K2467" s="9" t="s">
        <v>47</v>
      </c>
      <c r="L2467" s="9" t="s">
        <v>48</v>
      </c>
      <c r="M2467" s="9" t="s">
        <v>1447</v>
      </c>
      <c r="N2467" s="9" t="s">
        <v>50</v>
      </c>
      <c r="O2467" s="9" t="s">
        <v>51</v>
      </c>
      <c r="P2467" s="9"/>
      <c r="Q2467" s="9"/>
      <c r="R2467" s="9" t="s">
        <v>61</v>
      </c>
      <c r="S2467" s="14" t="s">
        <v>8530</v>
      </c>
      <c r="T2467" s="9" t="s">
        <v>8531</v>
      </c>
      <c r="U2467" s="9" t="s">
        <v>54</v>
      </c>
      <c r="V2467" s="9" t="s">
        <v>55</v>
      </c>
      <c r="W2467" s="9" t="s">
        <v>55</v>
      </c>
      <c r="X2467" s="9"/>
      <c r="Y2467" s="9" t="s">
        <v>55</v>
      </c>
      <c r="Z2467" s="13" t="s">
        <v>8532</v>
      </c>
    </row>
    <row r="2468" spans="1:26" ht="32.25" hidden="1" customHeight="1">
      <c r="A2468" s="8">
        <v>2303466</v>
      </c>
      <c r="B2468" s="9" t="s">
        <v>8533</v>
      </c>
      <c r="C2468" s="10">
        <v>45156</v>
      </c>
      <c r="D2468" s="9" t="s">
        <v>79</v>
      </c>
      <c r="E2468" s="9" t="s">
        <v>143</v>
      </c>
      <c r="F2468" s="9" t="s">
        <v>80</v>
      </c>
      <c r="G2468" s="9" t="s">
        <v>43</v>
      </c>
      <c r="H2468" s="9" t="s">
        <v>44</v>
      </c>
      <c r="I2468" s="11" t="s">
        <v>399</v>
      </c>
      <c r="J2468" s="9" t="s">
        <v>400</v>
      </c>
      <c r="K2468" s="9" t="s">
        <v>47</v>
      </c>
      <c r="L2468" s="9" t="s">
        <v>846</v>
      </c>
      <c r="M2468" s="9" t="s">
        <v>1535</v>
      </c>
      <c r="N2468" s="9" t="s">
        <v>84</v>
      </c>
      <c r="O2468" s="9" t="s">
        <v>51</v>
      </c>
      <c r="P2468" s="9" t="s">
        <v>1617</v>
      </c>
      <c r="Q2468" s="9"/>
      <c r="R2468" s="9" t="s">
        <v>61</v>
      </c>
      <c r="S2468" s="14" t="s">
        <v>8534</v>
      </c>
      <c r="T2468" s="9" t="s">
        <v>8535</v>
      </c>
      <c r="U2468" s="9" t="s">
        <v>54</v>
      </c>
      <c r="V2468" s="9" t="s">
        <v>251</v>
      </c>
      <c r="W2468" s="9" t="s">
        <v>115</v>
      </c>
      <c r="X2468" s="12" t="s">
        <v>171</v>
      </c>
      <c r="Y2468" s="9" t="s">
        <v>172</v>
      </c>
      <c r="Z2468" s="13"/>
    </row>
    <row r="2469" spans="1:26" ht="32.25" hidden="1" customHeight="1">
      <c r="A2469" s="8">
        <v>2305137</v>
      </c>
      <c r="B2469" s="9" t="s">
        <v>8536</v>
      </c>
      <c r="C2469" s="10">
        <v>45149</v>
      </c>
      <c r="D2469" s="9" t="s">
        <v>57</v>
      </c>
      <c r="E2469" s="9" t="s">
        <v>153</v>
      </c>
      <c r="F2469" s="9" t="s">
        <v>42</v>
      </c>
      <c r="G2469" s="9" t="s">
        <v>43</v>
      </c>
      <c r="H2469" s="9" t="s">
        <v>58</v>
      </c>
      <c r="I2469" s="11" t="s">
        <v>154</v>
      </c>
      <c r="J2469" s="9" t="s">
        <v>155</v>
      </c>
      <c r="K2469" s="9" t="s">
        <v>47</v>
      </c>
      <c r="L2469" s="9" t="s">
        <v>598</v>
      </c>
      <c r="M2469" s="9" t="s">
        <v>599</v>
      </c>
      <c r="N2469" s="9" t="s">
        <v>84</v>
      </c>
      <c r="O2469" s="9" t="s">
        <v>51</v>
      </c>
      <c r="P2469" s="9"/>
      <c r="Q2469" s="9"/>
      <c r="R2469" s="9" t="s">
        <v>61</v>
      </c>
      <c r="S2469" s="14" t="s">
        <v>8537</v>
      </c>
      <c r="T2469" s="9" t="s">
        <v>8538</v>
      </c>
      <c r="U2469" s="9" t="s">
        <v>54</v>
      </c>
      <c r="V2469" s="9" t="s">
        <v>55</v>
      </c>
      <c r="W2469" s="9" t="s">
        <v>55</v>
      </c>
      <c r="X2469" s="12" t="s">
        <v>171</v>
      </c>
      <c r="Y2469" s="9" t="s">
        <v>172</v>
      </c>
      <c r="Z2469" s="13"/>
    </row>
    <row r="2470" spans="1:26" ht="32.25" hidden="1" customHeight="1">
      <c r="A2470" s="8">
        <v>2309312</v>
      </c>
      <c r="B2470" s="9" t="s">
        <v>8539</v>
      </c>
      <c r="C2470" s="10">
        <v>45149</v>
      </c>
      <c r="D2470" s="9" t="s">
        <v>57</v>
      </c>
      <c r="E2470" s="9" t="s">
        <v>41</v>
      </c>
      <c r="F2470" s="9" t="s">
        <v>42</v>
      </c>
      <c r="G2470" s="9" t="s">
        <v>43</v>
      </c>
      <c r="H2470" s="9" t="s">
        <v>58</v>
      </c>
      <c r="I2470" s="11" t="s">
        <v>45</v>
      </c>
      <c r="J2470" s="9" t="s">
        <v>46</v>
      </c>
      <c r="K2470" s="9" t="s">
        <v>47</v>
      </c>
      <c r="L2470" s="9" t="s">
        <v>156</v>
      </c>
      <c r="M2470" s="9"/>
      <c r="N2470" s="9" t="s">
        <v>50</v>
      </c>
      <c r="O2470" s="9" t="s">
        <v>51</v>
      </c>
      <c r="P2470" s="9"/>
      <c r="Q2470" s="9"/>
      <c r="R2470" s="9"/>
      <c r="S2470" s="14" t="s">
        <v>8540</v>
      </c>
      <c r="T2470" s="9" t="s">
        <v>8541</v>
      </c>
      <c r="U2470" s="9" t="s">
        <v>54</v>
      </c>
      <c r="V2470" s="9" t="s">
        <v>55</v>
      </c>
      <c r="W2470" s="9" t="s">
        <v>55</v>
      </c>
      <c r="X2470" s="12"/>
      <c r="Y2470" s="9" t="s">
        <v>55</v>
      </c>
      <c r="Z2470" s="13"/>
    </row>
    <row r="2471" spans="1:26" ht="32.25" hidden="1" customHeight="1">
      <c r="A2471" s="8">
        <v>2304843</v>
      </c>
      <c r="B2471" s="9" t="s">
        <v>8542</v>
      </c>
      <c r="C2471" s="10">
        <v>45142</v>
      </c>
      <c r="D2471" s="9" t="s">
        <v>67</v>
      </c>
      <c r="E2471" s="9" t="s">
        <v>41</v>
      </c>
      <c r="F2471" s="9" t="s">
        <v>42</v>
      </c>
      <c r="G2471" s="9" t="s">
        <v>43</v>
      </c>
      <c r="H2471" s="9" t="s">
        <v>44</v>
      </c>
      <c r="I2471" s="11" t="s">
        <v>45</v>
      </c>
      <c r="J2471" s="9" t="s">
        <v>46</v>
      </c>
      <c r="K2471" s="9" t="s">
        <v>47</v>
      </c>
      <c r="L2471" s="9" t="s">
        <v>349</v>
      </c>
      <c r="M2471" s="9" t="s">
        <v>8543</v>
      </c>
      <c r="N2471" s="9" t="s">
        <v>50</v>
      </c>
      <c r="O2471" s="9" t="s">
        <v>51</v>
      </c>
      <c r="P2471" s="9"/>
      <c r="Q2471" s="9"/>
      <c r="R2471" s="9" t="s">
        <v>61</v>
      </c>
      <c r="S2471" s="9" t="s">
        <v>8544</v>
      </c>
      <c r="T2471" s="9" t="s">
        <v>8545</v>
      </c>
      <c r="U2471" s="9" t="s">
        <v>54</v>
      </c>
      <c r="V2471" s="9" t="s">
        <v>55</v>
      </c>
      <c r="W2471" s="9" t="s">
        <v>55</v>
      </c>
      <c r="X2471" s="9" t="s">
        <v>64</v>
      </c>
      <c r="Y2471" s="9" t="s">
        <v>65</v>
      </c>
      <c r="Z2471" s="13"/>
    </row>
    <row r="2472" spans="1:26" ht="32.25" hidden="1" customHeight="1">
      <c r="A2472" s="8">
        <v>2307731</v>
      </c>
      <c r="B2472" s="9" t="s">
        <v>8546</v>
      </c>
      <c r="C2472" s="10">
        <v>45149</v>
      </c>
      <c r="D2472" s="9" t="s">
        <v>57</v>
      </c>
      <c r="E2472" s="9" t="s">
        <v>41</v>
      </c>
      <c r="F2472" s="9" t="s">
        <v>42</v>
      </c>
      <c r="G2472" s="9" t="s">
        <v>43</v>
      </c>
      <c r="H2472" s="9" t="s">
        <v>58</v>
      </c>
      <c r="I2472" s="11" t="s">
        <v>45</v>
      </c>
      <c r="J2472" s="9" t="s">
        <v>46</v>
      </c>
      <c r="K2472" s="9" t="s">
        <v>47</v>
      </c>
      <c r="L2472" s="9" t="s">
        <v>156</v>
      </c>
      <c r="M2472" s="9"/>
      <c r="N2472" s="9" t="s">
        <v>50</v>
      </c>
      <c r="O2472" s="9" t="s">
        <v>51</v>
      </c>
      <c r="P2472" s="9"/>
      <c r="Q2472" s="9"/>
      <c r="R2472" s="9"/>
      <c r="S2472" s="14" t="s">
        <v>8547</v>
      </c>
      <c r="T2472" s="9" t="s">
        <v>8548</v>
      </c>
      <c r="U2472" s="9" t="s">
        <v>54</v>
      </c>
      <c r="V2472" s="9" t="s">
        <v>55</v>
      </c>
      <c r="W2472" s="9" t="s">
        <v>55</v>
      </c>
      <c r="X2472" s="12"/>
      <c r="Y2472" s="9" t="s">
        <v>55</v>
      </c>
      <c r="Z2472" s="13"/>
    </row>
    <row r="2473" spans="1:26" ht="32.25" hidden="1" customHeight="1">
      <c r="A2473" s="8">
        <v>2313217</v>
      </c>
      <c r="B2473" s="9" t="s">
        <v>8549</v>
      </c>
      <c r="C2473" s="10">
        <v>45156</v>
      </c>
      <c r="D2473" s="9" t="s">
        <v>79</v>
      </c>
      <c r="E2473" s="9" t="s">
        <v>89</v>
      </c>
      <c r="F2473" s="9" t="s">
        <v>80</v>
      </c>
      <c r="G2473" s="9" t="s">
        <v>43</v>
      </c>
      <c r="H2473" s="9" t="s">
        <v>44</v>
      </c>
      <c r="I2473" s="11" t="s">
        <v>365</v>
      </c>
      <c r="J2473" s="9" t="s">
        <v>366</v>
      </c>
      <c r="K2473" s="9" t="s">
        <v>47</v>
      </c>
      <c r="L2473" s="9"/>
      <c r="M2473" s="9"/>
      <c r="N2473" s="9" t="s">
        <v>84</v>
      </c>
      <c r="O2473" s="9" t="s">
        <v>51</v>
      </c>
      <c r="P2473" s="9" t="s">
        <v>367</v>
      </c>
      <c r="Q2473" s="9"/>
      <c r="R2473" s="9"/>
      <c r="S2473" s="14" t="s">
        <v>8550</v>
      </c>
      <c r="T2473" s="9" t="s">
        <v>8551</v>
      </c>
      <c r="U2473" s="9" t="s">
        <v>54</v>
      </c>
      <c r="V2473" s="9" t="s">
        <v>370</v>
      </c>
      <c r="W2473" s="9" t="s">
        <v>115</v>
      </c>
      <c r="X2473" s="12"/>
      <c r="Y2473" s="9" t="s">
        <v>55</v>
      </c>
      <c r="Z2473" s="13"/>
    </row>
    <row r="2474" spans="1:26" ht="32.25" hidden="1" customHeight="1">
      <c r="A2474" s="8">
        <v>2311990</v>
      </c>
      <c r="B2474" s="9" t="s">
        <v>8552</v>
      </c>
      <c r="C2474" s="10">
        <v>45149</v>
      </c>
      <c r="D2474" s="9" t="s">
        <v>57</v>
      </c>
      <c r="E2474" s="9" t="s">
        <v>153</v>
      </c>
      <c r="F2474" s="9" t="s">
        <v>42</v>
      </c>
      <c r="G2474" s="9" t="s">
        <v>43</v>
      </c>
      <c r="H2474" s="9" t="s">
        <v>58</v>
      </c>
      <c r="I2474" s="11" t="s">
        <v>154</v>
      </c>
      <c r="J2474" s="9" t="s">
        <v>155</v>
      </c>
      <c r="K2474" s="9" t="s">
        <v>47</v>
      </c>
      <c r="L2474" s="9" t="s">
        <v>706</v>
      </c>
      <c r="M2474" s="9" t="s">
        <v>1262</v>
      </c>
      <c r="N2474" s="9" t="s">
        <v>84</v>
      </c>
      <c r="O2474" s="9" t="s">
        <v>51</v>
      </c>
      <c r="P2474" s="9"/>
      <c r="Q2474" s="9"/>
      <c r="R2474" s="9" t="s">
        <v>61</v>
      </c>
      <c r="S2474" s="14" t="s">
        <v>8553</v>
      </c>
      <c r="T2474" s="9" t="s">
        <v>8554</v>
      </c>
      <c r="U2474" s="9" t="s">
        <v>54</v>
      </c>
      <c r="V2474" s="9" t="s">
        <v>55</v>
      </c>
      <c r="W2474" s="9" t="s">
        <v>55</v>
      </c>
      <c r="X2474" s="12" t="s">
        <v>171</v>
      </c>
      <c r="Y2474" s="9" t="s">
        <v>172</v>
      </c>
      <c r="Z2474" s="13"/>
    </row>
    <row r="2475" spans="1:26" ht="32.25" hidden="1" customHeight="1">
      <c r="A2475" s="8">
        <v>2308907</v>
      </c>
      <c r="B2475" s="9" t="s">
        <v>8555</v>
      </c>
      <c r="C2475" s="10">
        <v>45142</v>
      </c>
      <c r="D2475" s="9" t="s">
        <v>67</v>
      </c>
      <c r="E2475" s="9" t="s">
        <v>68</v>
      </c>
      <c r="F2475" s="9" t="s">
        <v>135</v>
      </c>
      <c r="G2475" s="9" t="s">
        <v>43</v>
      </c>
      <c r="H2475" s="9" t="s">
        <v>44</v>
      </c>
      <c r="I2475" s="11" t="s">
        <v>136</v>
      </c>
      <c r="J2475" s="9" t="s">
        <v>137</v>
      </c>
      <c r="K2475" s="9" t="s">
        <v>47</v>
      </c>
      <c r="L2475" s="9" t="s">
        <v>569</v>
      </c>
      <c r="M2475" s="9" t="s">
        <v>975</v>
      </c>
      <c r="N2475" s="9" t="s">
        <v>50</v>
      </c>
      <c r="O2475" s="9" t="s">
        <v>51</v>
      </c>
      <c r="P2475" s="9"/>
      <c r="Q2475" s="9"/>
      <c r="R2475" s="9" t="s">
        <v>61</v>
      </c>
      <c r="S2475" s="9" t="s">
        <v>8556</v>
      </c>
      <c r="T2475" s="9" t="s">
        <v>8557</v>
      </c>
      <c r="U2475" s="9" t="s">
        <v>54</v>
      </c>
      <c r="V2475" s="9" t="s">
        <v>55</v>
      </c>
      <c r="W2475" s="9" t="s">
        <v>55</v>
      </c>
      <c r="X2475" s="12" t="s">
        <v>76</v>
      </c>
      <c r="Y2475" s="9" t="s">
        <v>77</v>
      </c>
      <c r="Z2475" s="13"/>
    </row>
    <row r="2476" spans="1:26" ht="32.25" hidden="1" customHeight="1">
      <c r="A2476" s="8">
        <v>2305426</v>
      </c>
      <c r="B2476" s="9" t="s">
        <v>8558</v>
      </c>
      <c r="C2476" s="10">
        <v>45156</v>
      </c>
      <c r="D2476" s="9" t="s">
        <v>79</v>
      </c>
      <c r="E2476" s="9" t="s">
        <v>68</v>
      </c>
      <c r="F2476" s="9" t="s">
        <v>80</v>
      </c>
      <c r="G2476" s="9" t="s">
        <v>43</v>
      </c>
      <c r="H2476" s="9" t="s">
        <v>44</v>
      </c>
      <c r="I2476" s="11" t="s">
        <v>90</v>
      </c>
      <c r="J2476" s="9" t="s">
        <v>91</v>
      </c>
      <c r="K2476" s="9" t="s">
        <v>47</v>
      </c>
      <c r="L2476" s="9" t="s">
        <v>425</v>
      </c>
      <c r="M2476" s="9" t="s">
        <v>2244</v>
      </c>
      <c r="N2476" s="9" t="s">
        <v>84</v>
      </c>
      <c r="O2476" s="9" t="s">
        <v>51</v>
      </c>
      <c r="P2476" s="9" t="s">
        <v>273</v>
      </c>
      <c r="Q2476" s="9"/>
      <c r="R2476" s="9" t="s">
        <v>61</v>
      </c>
      <c r="S2476" s="14" t="s">
        <v>8559</v>
      </c>
      <c r="T2476" s="9" t="s">
        <v>8560</v>
      </c>
      <c r="U2476" s="9" t="s">
        <v>54</v>
      </c>
      <c r="V2476" s="9" t="s">
        <v>370</v>
      </c>
      <c r="W2476" s="9" t="s">
        <v>115</v>
      </c>
      <c r="X2476" s="12" t="s">
        <v>150</v>
      </c>
      <c r="Y2476" s="9" t="s">
        <v>151</v>
      </c>
      <c r="Z2476" s="13"/>
    </row>
    <row r="2477" spans="1:26" ht="32.25" hidden="1" customHeight="1">
      <c r="A2477" s="8">
        <v>2311954</v>
      </c>
      <c r="B2477" s="9" t="s">
        <v>8561</v>
      </c>
      <c r="C2477" s="10">
        <v>45149</v>
      </c>
      <c r="D2477" s="9" t="s">
        <v>57</v>
      </c>
      <c r="E2477" s="9" t="s">
        <v>41</v>
      </c>
      <c r="F2477" s="9" t="s">
        <v>42</v>
      </c>
      <c r="G2477" s="9" t="s">
        <v>43</v>
      </c>
      <c r="H2477" s="9" t="s">
        <v>58</v>
      </c>
      <c r="I2477" s="11" t="s">
        <v>45</v>
      </c>
      <c r="J2477" s="9" t="s">
        <v>46</v>
      </c>
      <c r="K2477" s="9" t="s">
        <v>47</v>
      </c>
      <c r="L2477" s="9" t="s">
        <v>569</v>
      </c>
      <c r="M2477" s="9" t="s">
        <v>975</v>
      </c>
      <c r="N2477" s="9" t="s">
        <v>50</v>
      </c>
      <c r="O2477" s="9" t="s">
        <v>51</v>
      </c>
      <c r="P2477" s="9"/>
      <c r="Q2477" s="9"/>
      <c r="R2477" s="9" t="s">
        <v>61</v>
      </c>
      <c r="S2477" s="14" t="s">
        <v>8562</v>
      </c>
      <c r="T2477" s="9" t="s">
        <v>8563</v>
      </c>
      <c r="U2477" s="9" t="s">
        <v>54</v>
      </c>
      <c r="V2477" s="9" t="s">
        <v>55</v>
      </c>
      <c r="W2477" s="9" t="s">
        <v>55</v>
      </c>
      <c r="X2477" s="9" t="s">
        <v>64</v>
      </c>
      <c r="Y2477" s="9" t="s">
        <v>65</v>
      </c>
      <c r="Z2477" s="13"/>
    </row>
    <row r="2478" spans="1:26" ht="32.25" hidden="1" customHeight="1">
      <c r="A2478" s="8">
        <v>2302265</v>
      </c>
      <c r="B2478" s="9" t="s">
        <v>8564</v>
      </c>
      <c r="C2478" s="10">
        <v>45149</v>
      </c>
      <c r="D2478" s="9" t="s">
        <v>57</v>
      </c>
      <c r="E2478" s="9" t="s">
        <v>41</v>
      </c>
      <c r="F2478" s="9" t="s">
        <v>42</v>
      </c>
      <c r="G2478" s="9" t="s">
        <v>43</v>
      </c>
      <c r="H2478" s="9" t="s">
        <v>58</v>
      </c>
      <c r="I2478" s="11" t="s">
        <v>1073</v>
      </c>
      <c r="J2478" s="9" t="s">
        <v>479</v>
      </c>
      <c r="K2478" s="9" t="s">
        <v>47</v>
      </c>
      <c r="L2478" s="9" t="s">
        <v>156</v>
      </c>
      <c r="M2478" s="9"/>
      <c r="N2478" s="9" t="s">
        <v>50</v>
      </c>
      <c r="O2478" s="9" t="s">
        <v>51</v>
      </c>
      <c r="P2478" s="9"/>
      <c r="Q2478" s="9"/>
      <c r="R2478" s="9"/>
      <c r="S2478" s="14" t="s">
        <v>8565</v>
      </c>
      <c r="T2478" s="9" t="s">
        <v>8566</v>
      </c>
      <c r="U2478" s="9" t="s">
        <v>54</v>
      </c>
      <c r="V2478" s="9" t="s">
        <v>55</v>
      </c>
      <c r="W2478" s="9" t="s">
        <v>55</v>
      </c>
      <c r="X2478" s="12"/>
      <c r="Y2478" s="9" t="s">
        <v>55</v>
      </c>
      <c r="Z2478" s="13"/>
    </row>
    <row r="2479" spans="1:26" ht="32.25" hidden="1" customHeight="1">
      <c r="A2479" s="8">
        <v>2304543</v>
      </c>
      <c r="B2479" s="9" t="s">
        <v>8567</v>
      </c>
      <c r="C2479" s="10">
        <v>45156</v>
      </c>
      <c r="D2479" s="9" t="s">
        <v>565</v>
      </c>
      <c r="E2479" s="9" t="s">
        <v>41</v>
      </c>
      <c r="F2479" s="9" t="s">
        <v>42</v>
      </c>
      <c r="G2479" s="9" t="s">
        <v>43</v>
      </c>
      <c r="H2479" s="9" t="s">
        <v>58</v>
      </c>
      <c r="I2479" s="11" t="s">
        <v>129</v>
      </c>
      <c r="J2479" s="9" t="s">
        <v>130</v>
      </c>
      <c r="K2479" s="9" t="s">
        <v>47</v>
      </c>
      <c r="L2479" s="9" t="s">
        <v>156</v>
      </c>
      <c r="M2479" s="9"/>
      <c r="N2479" s="9" t="s">
        <v>50</v>
      </c>
      <c r="O2479" s="9" t="s">
        <v>51</v>
      </c>
      <c r="P2479" s="9"/>
      <c r="Q2479" s="9"/>
      <c r="R2479" s="9" t="s">
        <v>61</v>
      </c>
      <c r="S2479" s="14" t="s">
        <v>8568</v>
      </c>
      <c r="T2479" s="9" t="s">
        <v>8569</v>
      </c>
      <c r="U2479" s="9" t="s">
        <v>54</v>
      </c>
      <c r="V2479" s="9" t="s">
        <v>55</v>
      </c>
      <c r="W2479" s="9" t="s">
        <v>55</v>
      </c>
      <c r="X2479" s="9"/>
      <c r="Y2479" s="9" t="s">
        <v>55</v>
      </c>
      <c r="Z2479" s="13" t="s">
        <v>1220</v>
      </c>
    </row>
    <row r="2480" spans="1:26" ht="32.25" hidden="1" customHeight="1">
      <c r="A2480" s="8">
        <v>2312686</v>
      </c>
      <c r="B2480" s="9" t="s">
        <v>8570</v>
      </c>
      <c r="C2480" s="10">
        <v>45156</v>
      </c>
      <c r="D2480" s="9" t="s">
        <v>79</v>
      </c>
      <c r="E2480" s="9" t="s">
        <v>68</v>
      </c>
      <c r="F2480" s="9" t="s">
        <v>80</v>
      </c>
      <c r="G2480" s="9" t="s">
        <v>43</v>
      </c>
      <c r="H2480" s="9" t="s">
        <v>44</v>
      </c>
      <c r="I2480" s="11" t="s">
        <v>696</v>
      </c>
      <c r="J2480" s="9" t="s">
        <v>70</v>
      </c>
      <c r="K2480" s="9" t="s">
        <v>47</v>
      </c>
      <c r="L2480" s="9" t="s">
        <v>226</v>
      </c>
      <c r="M2480" s="9" t="s">
        <v>227</v>
      </c>
      <c r="N2480" s="9" t="s">
        <v>50</v>
      </c>
      <c r="O2480" s="9" t="s">
        <v>51</v>
      </c>
      <c r="P2480" s="9" t="s">
        <v>698</v>
      </c>
      <c r="Q2480" s="9"/>
      <c r="R2480" s="9" t="s">
        <v>61</v>
      </c>
      <c r="S2480" s="14" t="s">
        <v>8571</v>
      </c>
      <c r="T2480" s="9" t="s">
        <v>8572</v>
      </c>
      <c r="U2480" s="9" t="s">
        <v>54</v>
      </c>
      <c r="V2480" s="9" t="s">
        <v>55</v>
      </c>
      <c r="W2480" s="9" t="s">
        <v>55</v>
      </c>
      <c r="X2480" s="12" t="s">
        <v>76</v>
      </c>
      <c r="Y2480" s="9" t="s">
        <v>77</v>
      </c>
      <c r="Z2480" s="13"/>
    </row>
    <row r="2481" spans="1:26" ht="32.25" hidden="1" customHeight="1">
      <c r="A2481" s="8">
        <v>2314616</v>
      </c>
      <c r="B2481" s="9" t="s">
        <v>8573</v>
      </c>
      <c r="C2481" s="10">
        <v>45142</v>
      </c>
      <c r="D2481" s="9" t="s">
        <v>232</v>
      </c>
      <c r="E2481" s="9" t="s">
        <v>143</v>
      </c>
      <c r="F2481" s="9" t="s">
        <v>80</v>
      </c>
      <c r="G2481" s="9" t="s">
        <v>43</v>
      </c>
      <c r="H2481" s="9" t="s">
        <v>44</v>
      </c>
      <c r="I2481" s="11" t="s">
        <v>399</v>
      </c>
      <c r="J2481" s="9" t="s">
        <v>400</v>
      </c>
      <c r="K2481" s="9" t="s">
        <v>8574</v>
      </c>
      <c r="L2481" s="9"/>
      <c r="M2481" s="9" t="s">
        <v>8575</v>
      </c>
      <c r="N2481" s="9" t="s">
        <v>50</v>
      </c>
      <c r="O2481" s="9" t="s">
        <v>187</v>
      </c>
      <c r="P2481" s="9" t="s">
        <v>1137</v>
      </c>
      <c r="Q2481" s="9"/>
      <c r="R2481" s="9" t="s">
        <v>61</v>
      </c>
      <c r="S2481" s="9" t="s">
        <v>641</v>
      </c>
      <c r="T2481" s="9"/>
      <c r="U2481" s="9" t="s">
        <v>54</v>
      </c>
      <c r="V2481" s="9" t="s">
        <v>55</v>
      </c>
      <c r="W2481" s="9" t="s">
        <v>55</v>
      </c>
      <c r="X2481" s="12" t="s">
        <v>150</v>
      </c>
      <c r="Y2481" s="9" t="s">
        <v>151</v>
      </c>
      <c r="Z2481" s="13"/>
    </row>
    <row r="2482" spans="1:26" ht="32.25" hidden="1" customHeight="1">
      <c r="A2482" s="8">
        <v>2309676</v>
      </c>
      <c r="B2482" s="9" t="s">
        <v>8576</v>
      </c>
      <c r="C2482" s="10">
        <v>45156</v>
      </c>
      <c r="D2482" s="9" t="s">
        <v>79</v>
      </c>
      <c r="E2482" s="9" t="s">
        <v>89</v>
      </c>
      <c r="F2482" s="9" t="s">
        <v>80</v>
      </c>
      <c r="G2482" s="9" t="s">
        <v>43</v>
      </c>
      <c r="H2482" s="9" t="s">
        <v>44</v>
      </c>
      <c r="I2482" s="11" t="s">
        <v>117</v>
      </c>
      <c r="J2482" s="9" t="s">
        <v>118</v>
      </c>
      <c r="K2482" s="9" t="s">
        <v>110</v>
      </c>
      <c r="L2482" s="9" t="s">
        <v>119</v>
      </c>
      <c r="M2482" s="9" t="s">
        <v>3623</v>
      </c>
      <c r="N2482" s="9" t="s">
        <v>50</v>
      </c>
      <c r="O2482" s="9" t="s">
        <v>51</v>
      </c>
      <c r="P2482" s="9" t="s">
        <v>121</v>
      </c>
      <c r="Q2482" s="9"/>
      <c r="R2482" s="9" t="s">
        <v>61</v>
      </c>
      <c r="S2482" s="14" t="s">
        <v>8577</v>
      </c>
      <c r="T2482" s="9" t="s">
        <v>8578</v>
      </c>
      <c r="U2482" s="9" t="s">
        <v>54</v>
      </c>
      <c r="V2482" s="9" t="s">
        <v>55</v>
      </c>
      <c r="W2482" s="9" t="s">
        <v>115</v>
      </c>
      <c r="X2482" s="12" t="s">
        <v>98</v>
      </c>
      <c r="Y2482" s="9" t="s">
        <v>99</v>
      </c>
      <c r="Z2482" s="13"/>
    </row>
    <row r="2483" spans="1:26" ht="32.25" hidden="1" customHeight="1">
      <c r="A2483" s="8">
        <v>2302499</v>
      </c>
      <c r="B2483" s="9" t="s">
        <v>8579</v>
      </c>
      <c r="C2483" s="10">
        <v>45149</v>
      </c>
      <c r="D2483" s="9" t="s">
        <v>57</v>
      </c>
      <c r="E2483" s="9" t="s">
        <v>295</v>
      </c>
      <c r="F2483" s="9" t="s">
        <v>42</v>
      </c>
      <c r="G2483" s="9" t="s">
        <v>43</v>
      </c>
      <c r="H2483" s="9" t="s">
        <v>58</v>
      </c>
      <c r="I2483" s="11" t="s">
        <v>406</v>
      </c>
      <c r="J2483" s="9" t="s">
        <v>407</v>
      </c>
      <c r="K2483" s="9" t="s">
        <v>47</v>
      </c>
      <c r="L2483" s="9" t="s">
        <v>156</v>
      </c>
      <c r="M2483" s="9" t="s">
        <v>1352</v>
      </c>
      <c r="N2483" s="9" t="s">
        <v>84</v>
      </c>
      <c r="O2483" s="9" t="s">
        <v>51</v>
      </c>
      <c r="P2483" s="9"/>
      <c r="Q2483" s="9"/>
      <c r="R2483" s="9"/>
      <c r="S2483" s="14" t="s">
        <v>8580</v>
      </c>
      <c r="T2483" s="9" t="s">
        <v>8581</v>
      </c>
      <c r="U2483" s="9" t="s">
        <v>54</v>
      </c>
      <c r="V2483" s="9" t="s">
        <v>55</v>
      </c>
      <c r="W2483" s="9" t="s">
        <v>55</v>
      </c>
      <c r="X2483" s="12"/>
      <c r="Y2483" s="9" t="s">
        <v>55</v>
      </c>
      <c r="Z2483" s="13"/>
    </row>
    <row r="2484" spans="1:26" ht="32.25" hidden="1" customHeight="1">
      <c r="A2484" s="8">
        <v>2315509</v>
      </c>
      <c r="B2484" s="9" t="s">
        <v>8582</v>
      </c>
      <c r="C2484" s="10">
        <v>45152</v>
      </c>
      <c r="D2484" s="9" t="s">
        <v>639</v>
      </c>
      <c r="E2484" s="9" t="s">
        <v>68</v>
      </c>
      <c r="F2484" s="9" t="s">
        <v>80</v>
      </c>
      <c r="G2484" s="9" t="s">
        <v>43</v>
      </c>
      <c r="H2484" s="9" t="s">
        <v>44</v>
      </c>
      <c r="I2484" s="11" t="s">
        <v>696</v>
      </c>
      <c r="J2484" s="9" t="s">
        <v>70</v>
      </c>
      <c r="K2484" s="9" t="s">
        <v>8583</v>
      </c>
      <c r="L2484" s="9"/>
      <c r="M2484" s="9" t="s">
        <v>8584</v>
      </c>
      <c r="N2484" s="9" t="s">
        <v>84</v>
      </c>
      <c r="O2484" s="9" t="s">
        <v>187</v>
      </c>
      <c r="P2484" s="9" t="s">
        <v>698</v>
      </c>
      <c r="Q2484" s="9"/>
      <c r="R2484" s="9" t="s">
        <v>61</v>
      </c>
      <c r="S2484" s="14" t="s">
        <v>8585</v>
      </c>
      <c r="T2484" s="9" t="s">
        <v>8586</v>
      </c>
      <c r="U2484" s="9" t="s">
        <v>54</v>
      </c>
      <c r="V2484" s="9" t="s">
        <v>891</v>
      </c>
      <c r="W2484" s="9" t="s">
        <v>115</v>
      </c>
      <c r="X2484" s="12" t="s">
        <v>76</v>
      </c>
      <c r="Y2484" s="9" t="s">
        <v>77</v>
      </c>
      <c r="Z2484" s="13"/>
    </row>
    <row r="2485" spans="1:26" ht="32.25" hidden="1" customHeight="1">
      <c r="A2485" s="8">
        <v>2312294</v>
      </c>
      <c r="B2485" s="9" t="s">
        <v>8587</v>
      </c>
      <c r="C2485" s="10">
        <v>45156</v>
      </c>
      <c r="D2485" s="9" t="s">
        <v>79</v>
      </c>
      <c r="E2485" s="9" t="s">
        <v>68</v>
      </c>
      <c r="F2485" s="9" t="s">
        <v>80</v>
      </c>
      <c r="G2485" s="9" t="s">
        <v>43</v>
      </c>
      <c r="H2485" s="9" t="s">
        <v>44</v>
      </c>
      <c r="I2485" s="11" t="s">
        <v>117</v>
      </c>
      <c r="J2485" s="9" t="s">
        <v>118</v>
      </c>
      <c r="K2485" s="9" t="s">
        <v>47</v>
      </c>
      <c r="L2485" s="9" t="s">
        <v>156</v>
      </c>
      <c r="M2485" s="9"/>
      <c r="N2485" s="9" t="s">
        <v>84</v>
      </c>
      <c r="O2485" s="9" t="s">
        <v>51</v>
      </c>
      <c r="P2485" s="9" t="s">
        <v>285</v>
      </c>
      <c r="Q2485" s="9"/>
      <c r="R2485" s="9"/>
      <c r="S2485" s="14" t="s">
        <v>8588</v>
      </c>
      <c r="T2485" s="9" t="s">
        <v>8589</v>
      </c>
      <c r="U2485" s="9" t="s">
        <v>54</v>
      </c>
      <c r="V2485" s="9" t="s">
        <v>55</v>
      </c>
      <c r="W2485" s="9" t="s">
        <v>55</v>
      </c>
      <c r="X2485" s="12"/>
      <c r="Y2485" s="9" t="s">
        <v>55</v>
      </c>
      <c r="Z2485" s="13"/>
    </row>
    <row r="2486" spans="1:26" ht="32.25" hidden="1" customHeight="1">
      <c r="A2486" s="8">
        <v>2314381</v>
      </c>
      <c r="B2486" s="9" t="s">
        <v>8590</v>
      </c>
      <c r="C2486" s="10">
        <v>45142</v>
      </c>
      <c r="D2486" s="9" t="s">
        <v>232</v>
      </c>
      <c r="E2486" s="9" t="s">
        <v>143</v>
      </c>
      <c r="F2486" s="9" t="s">
        <v>80</v>
      </c>
      <c r="G2486" s="9" t="s">
        <v>43</v>
      </c>
      <c r="H2486" s="9" t="s">
        <v>44</v>
      </c>
      <c r="I2486" s="11" t="s">
        <v>8591</v>
      </c>
      <c r="J2486" s="9" t="s">
        <v>220</v>
      </c>
      <c r="K2486" s="9" t="s">
        <v>758</v>
      </c>
      <c r="L2486" s="9" t="s">
        <v>156</v>
      </c>
      <c r="M2486" s="9"/>
      <c r="N2486" s="9" t="s">
        <v>84</v>
      </c>
      <c r="O2486" s="9" t="s">
        <v>187</v>
      </c>
      <c r="P2486" s="9" t="s">
        <v>8592</v>
      </c>
      <c r="Q2486" s="9"/>
      <c r="R2486" s="9" t="s">
        <v>61</v>
      </c>
      <c r="S2486" s="9" t="s">
        <v>8593</v>
      </c>
      <c r="T2486" s="9" t="s">
        <v>8594</v>
      </c>
      <c r="U2486" s="9" t="s">
        <v>54</v>
      </c>
      <c r="V2486" s="9" t="s">
        <v>55</v>
      </c>
      <c r="W2486" s="9" t="s">
        <v>55</v>
      </c>
      <c r="X2486" s="12" t="s">
        <v>150</v>
      </c>
      <c r="Y2486" s="9" t="s">
        <v>151</v>
      </c>
      <c r="Z2486" s="13"/>
    </row>
    <row r="2487" spans="1:26" ht="32.25" hidden="1" customHeight="1">
      <c r="A2487" s="8">
        <v>2313084</v>
      </c>
      <c r="B2487" s="9" t="s">
        <v>8595</v>
      </c>
      <c r="C2487" s="10">
        <v>45136</v>
      </c>
      <c r="D2487" s="9" t="s">
        <v>40</v>
      </c>
      <c r="E2487" s="9" t="s">
        <v>41</v>
      </c>
      <c r="F2487" s="9" t="s">
        <v>42</v>
      </c>
      <c r="G2487" s="9" t="s">
        <v>43</v>
      </c>
      <c r="H2487" s="9" t="s">
        <v>44</v>
      </c>
      <c r="I2487" s="11" t="s">
        <v>45</v>
      </c>
      <c r="J2487" s="9" t="s">
        <v>46</v>
      </c>
      <c r="K2487" s="9" t="s">
        <v>47</v>
      </c>
      <c r="L2487" s="9" t="s">
        <v>226</v>
      </c>
      <c r="M2487" s="9" t="s">
        <v>1374</v>
      </c>
      <c r="N2487" s="9" t="s">
        <v>50</v>
      </c>
      <c r="O2487" s="9" t="s">
        <v>51</v>
      </c>
      <c r="P2487" s="9"/>
      <c r="Q2487" s="9"/>
      <c r="R2487" s="9" t="s">
        <v>61</v>
      </c>
      <c r="S2487" s="9" t="s">
        <v>8596</v>
      </c>
      <c r="T2487" s="9" t="s">
        <v>8597</v>
      </c>
      <c r="U2487" s="9" t="s">
        <v>54</v>
      </c>
      <c r="V2487" s="9" t="s">
        <v>55</v>
      </c>
      <c r="W2487" s="9" t="s">
        <v>55</v>
      </c>
      <c r="X2487" s="9" t="s">
        <v>64</v>
      </c>
      <c r="Y2487" s="9" t="s">
        <v>65</v>
      </c>
      <c r="Z2487" s="13"/>
    </row>
    <row r="2488" spans="1:26" ht="32.25" hidden="1" customHeight="1">
      <c r="A2488" s="8">
        <v>2315242</v>
      </c>
      <c r="B2488" s="9" t="s">
        <v>8598</v>
      </c>
      <c r="C2488" s="10">
        <v>45156</v>
      </c>
      <c r="D2488" s="9" t="s">
        <v>565</v>
      </c>
      <c r="E2488" s="9" t="s">
        <v>41</v>
      </c>
      <c r="F2488" s="9" t="s">
        <v>42</v>
      </c>
      <c r="G2488" s="9" t="s">
        <v>43</v>
      </c>
      <c r="H2488" s="9" t="s">
        <v>58</v>
      </c>
      <c r="I2488" s="11" t="s">
        <v>199</v>
      </c>
      <c r="J2488" s="9" t="s">
        <v>200</v>
      </c>
      <c r="K2488" s="9" t="s">
        <v>47</v>
      </c>
      <c r="L2488" s="9" t="s">
        <v>713</v>
      </c>
      <c r="M2488" s="9" t="s">
        <v>3213</v>
      </c>
      <c r="N2488" s="9" t="s">
        <v>50</v>
      </c>
      <c r="O2488" s="9" t="s">
        <v>51</v>
      </c>
      <c r="P2488" s="9"/>
      <c r="Q2488" s="9"/>
      <c r="R2488" s="9" t="s">
        <v>61</v>
      </c>
      <c r="S2488" s="14" t="s">
        <v>8599</v>
      </c>
      <c r="T2488" s="9" t="s">
        <v>8600</v>
      </c>
      <c r="U2488" s="9" t="s">
        <v>54</v>
      </c>
      <c r="V2488" s="9" t="s">
        <v>55</v>
      </c>
      <c r="W2488" s="9" t="s">
        <v>55</v>
      </c>
      <c r="X2488" s="12" t="s">
        <v>196</v>
      </c>
      <c r="Y2488" s="9" t="s">
        <v>197</v>
      </c>
      <c r="Z2488" s="13"/>
    </row>
    <row r="2489" spans="1:26" ht="32.25" hidden="1" customHeight="1">
      <c r="A2489" s="8">
        <v>2307292</v>
      </c>
      <c r="B2489" s="9" t="s">
        <v>8601</v>
      </c>
      <c r="C2489" s="10">
        <v>45142</v>
      </c>
      <c r="D2489" s="9" t="s">
        <v>67</v>
      </c>
      <c r="E2489" s="9" t="s">
        <v>41</v>
      </c>
      <c r="F2489" s="9" t="s">
        <v>42</v>
      </c>
      <c r="G2489" s="9" t="s">
        <v>43</v>
      </c>
      <c r="H2489" s="9" t="s">
        <v>44</v>
      </c>
      <c r="I2489" s="11" t="s">
        <v>661</v>
      </c>
      <c r="J2489" s="9" t="s">
        <v>662</v>
      </c>
      <c r="K2489" s="9" t="s">
        <v>47</v>
      </c>
      <c r="L2489" s="9" t="s">
        <v>156</v>
      </c>
      <c r="M2489" s="9"/>
      <c r="N2489" s="9" t="s">
        <v>50</v>
      </c>
      <c r="O2489" s="9" t="s">
        <v>51</v>
      </c>
      <c r="P2489" s="9"/>
      <c r="Q2489" s="9"/>
      <c r="R2489" s="9"/>
      <c r="S2489" s="9" t="s">
        <v>8602</v>
      </c>
      <c r="T2489" s="9" t="s">
        <v>8603</v>
      </c>
      <c r="U2489" s="9" t="s">
        <v>54</v>
      </c>
      <c r="V2489" s="9" t="s">
        <v>55</v>
      </c>
      <c r="W2489" s="9" t="s">
        <v>55</v>
      </c>
      <c r="X2489" s="12"/>
      <c r="Y2489" s="9" t="s">
        <v>55</v>
      </c>
      <c r="Z2489" s="13"/>
    </row>
    <row r="2490" spans="1:26" ht="32.25" hidden="1" customHeight="1">
      <c r="A2490" s="8">
        <v>2311065</v>
      </c>
      <c r="B2490" s="9" t="s">
        <v>8604</v>
      </c>
      <c r="C2490" s="10">
        <v>45136</v>
      </c>
      <c r="D2490" s="9" t="s">
        <v>1072</v>
      </c>
      <c r="E2490" s="9" t="s">
        <v>41</v>
      </c>
      <c r="F2490" s="9" t="s">
        <v>42</v>
      </c>
      <c r="G2490" s="9" t="s">
        <v>43</v>
      </c>
      <c r="H2490" s="9" t="s">
        <v>44</v>
      </c>
      <c r="I2490" s="11" t="s">
        <v>45</v>
      </c>
      <c r="J2490" s="9" t="s">
        <v>46</v>
      </c>
      <c r="K2490" s="9" t="s">
        <v>47</v>
      </c>
      <c r="L2490" s="9" t="s">
        <v>2602</v>
      </c>
      <c r="M2490" s="9" t="s">
        <v>2661</v>
      </c>
      <c r="N2490" s="9" t="s">
        <v>50</v>
      </c>
      <c r="O2490" s="9" t="s">
        <v>51</v>
      </c>
      <c r="P2490" s="9"/>
      <c r="Q2490" s="9"/>
      <c r="R2490" s="9" t="s">
        <v>61</v>
      </c>
      <c r="S2490" s="9" t="s">
        <v>8605</v>
      </c>
      <c r="T2490" s="9" t="s">
        <v>8606</v>
      </c>
      <c r="U2490" s="9" t="s">
        <v>54</v>
      </c>
      <c r="V2490" s="9" t="s">
        <v>55</v>
      </c>
      <c r="W2490" s="9" t="s">
        <v>55</v>
      </c>
      <c r="X2490" s="9" t="s">
        <v>64</v>
      </c>
      <c r="Y2490" s="9" t="s">
        <v>65</v>
      </c>
      <c r="Z2490" s="13"/>
    </row>
    <row r="2491" spans="1:26" ht="32.25" hidden="1" customHeight="1">
      <c r="A2491" s="8">
        <v>2305033</v>
      </c>
      <c r="B2491" s="9" t="s">
        <v>8607</v>
      </c>
      <c r="C2491" s="10">
        <v>45136</v>
      </c>
      <c r="D2491" s="9" t="s">
        <v>1072</v>
      </c>
      <c r="E2491" s="9" t="s">
        <v>153</v>
      </c>
      <c r="F2491" s="9" t="s">
        <v>42</v>
      </c>
      <c r="G2491" s="9" t="s">
        <v>43</v>
      </c>
      <c r="H2491" s="9" t="s">
        <v>44</v>
      </c>
      <c r="I2491" s="11" t="s">
        <v>154</v>
      </c>
      <c r="J2491" s="9" t="s">
        <v>155</v>
      </c>
      <c r="K2491" s="9" t="s">
        <v>47</v>
      </c>
      <c r="L2491" s="9" t="s">
        <v>3005</v>
      </c>
      <c r="M2491" s="9" t="s">
        <v>8608</v>
      </c>
      <c r="N2491" s="9" t="s">
        <v>84</v>
      </c>
      <c r="O2491" s="9" t="s">
        <v>51</v>
      </c>
      <c r="P2491" s="9"/>
      <c r="Q2491" s="9"/>
      <c r="R2491" s="9" t="s">
        <v>61</v>
      </c>
      <c r="S2491" s="9" t="s">
        <v>8609</v>
      </c>
      <c r="T2491" s="9" t="s">
        <v>8610</v>
      </c>
      <c r="U2491" s="9" t="s">
        <v>54</v>
      </c>
      <c r="V2491" s="9" t="s">
        <v>55</v>
      </c>
      <c r="W2491" s="9" t="s">
        <v>55</v>
      </c>
      <c r="X2491" s="12" t="s">
        <v>171</v>
      </c>
      <c r="Y2491" s="9" t="s">
        <v>172</v>
      </c>
      <c r="Z2491" s="13"/>
    </row>
    <row r="2492" spans="1:26" ht="32.25" hidden="1" customHeight="1">
      <c r="A2492" s="8">
        <v>2302955</v>
      </c>
      <c r="B2492" s="9" t="s">
        <v>8611</v>
      </c>
      <c r="C2492" s="10">
        <v>45142</v>
      </c>
      <c r="D2492" s="9" t="s">
        <v>67</v>
      </c>
      <c r="E2492" s="9" t="s">
        <v>143</v>
      </c>
      <c r="F2492" s="9" t="s">
        <v>42</v>
      </c>
      <c r="G2492" s="9" t="s">
        <v>43</v>
      </c>
      <c r="H2492" s="9" t="s">
        <v>44</v>
      </c>
      <c r="I2492" s="11" t="s">
        <v>219</v>
      </c>
      <c r="J2492" s="9" t="s">
        <v>220</v>
      </c>
      <c r="K2492" s="9" t="s">
        <v>47</v>
      </c>
      <c r="L2492" s="9" t="s">
        <v>156</v>
      </c>
      <c r="M2492" s="9"/>
      <c r="N2492" s="9" t="s">
        <v>50</v>
      </c>
      <c r="O2492" s="9" t="s">
        <v>51</v>
      </c>
      <c r="P2492" s="9"/>
      <c r="Q2492" s="9"/>
      <c r="R2492" s="9"/>
      <c r="S2492" s="9" t="s">
        <v>8612</v>
      </c>
      <c r="T2492" s="9" t="s">
        <v>8613</v>
      </c>
      <c r="U2492" s="9" t="s">
        <v>54</v>
      </c>
      <c r="V2492" s="9" t="s">
        <v>55</v>
      </c>
      <c r="W2492" s="9" t="s">
        <v>55</v>
      </c>
      <c r="X2492" s="12"/>
      <c r="Y2492" s="9" t="s">
        <v>55</v>
      </c>
      <c r="Z2492" s="13"/>
    </row>
    <row r="2493" spans="1:26" ht="32.25" hidden="1" customHeight="1">
      <c r="A2493" s="8">
        <v>2309924</v>
      </c>
      <c r="B2493" s="9" t="s">
        <v>8614</v>
      </c>
      <c r="C2493" s="10">
        <v>45149</v>
      </c>
      <c r="D2493" s="9" t="s">
        <v>57</v>
      </c>
      <c r="E2493" s="9" t="s">
        <v>295</v>
      </c>
      <c r="F2493" s="9" t="s">
        <v>42</v>
      </c>
      <c r="G2493" s="9" t="s">
        <v>43</v>
      </c>
      <c r="H2493" s="9" t="s">
        <v>58</v>
      </c>
      <c r="I2493" s="11" t="s">
        <v>406</v>
      </c>
      <c r="J2493" s="9" t="s">
        <v>407</v>
      </c>
      <c r="K2493" s="9" t="s">
        <v>47</v>
      </c>
      <c r="L2493" s="9" t="s">
        <v>799</v>
      </c>
      <c r="M2493" s="9" t="s">
        <v>800</v>
      </c>
      <c r="N2493" s="9" t="s">
        <v>50</v>
      </c>
      <c r="O2493" s="9" t="s">
        <v>51</v>
      </c>
      <c r="P2493" s="9"/>
      <c r="Q2493" s="9"/>
      <c r="R2493" s="9" t="s">
        <v>61</v>
      </c>
      <c r="S2493" s="14" t="s">
        <v>8615</v>
      </c>
      <c r="T2493" s="9" t="s">
        <v>8616</v>
      </c>
      <c r="U2493" s="9" t="s">
        <v>54</v>
      </c>
      <c r="V2493" s="9" t="s">
        <v>55</v>
      </c>
      <c r="W2493" s="9" t="s">
        <v>55</v>
      </c>
      <c r="X2493" s="9" t="s">
        <v>319</v>
      </c>
      <c r="Y2493" s="9" t="s">
        <v>320</v>
      </c>
      <c r="Z2493" s="13"/>
    </row>
    <row r="2494" spans="1:26" ht="32.25" hidden="1" customHeight="1">
      <c r="A2494" s="8">
        <v>2302651</v>
      </c>
      <c r="B2494" s="9" t="s">
        <v>8617</v>
      </c>
      <c r="C2494" s="10">
        <v>45149</v>
      </c>
      <c r="D2494" s="9" t="s">
        <v>57</v>
      </c>
      <c r="E2494" s="9" t="s">
        <v>153</v>
      </c>
      <c r="F2494" s="9" t="s">
        <v>42</v>
      </c>
      <c r="G2494" s="9" t="s">
        <v>43</v>
      </c>
      <c r="H2494" s="9" t="s">
        <v>58</v>
      </c>
      <c r="I2494" s="11" t="s">
        <v>154</v>
      </c>
      <c r="J2494" s="9" t="s">
        <v>155</v>
      </c>
      <c r="K2494" s="9" t="s">
        <v>47</v>
      </c>
      <c r="L2494" s="9" t="s">
        <v>156</v>
      </c>
      <c r="M2494" s="9"/>
      <c r="N2494" s="9" t="s">
        <v>84</v>
      </c>
      <c r="O2494" s="9" t="s">
        <v>51</v>
      </c>
      <c r="P2494" s="9"/>
      <c r="Q2494" s="9"/>
      <c r="R2494" s="9"/>
      <c r="S2494" s="14" t="s">
        <v>8618</v>
      </c>
      <c r="T2494" s="9" t="s">
        <v>8619</v>
      </c>
      <c r="U2494" s="9" t="s">
        <v>54</v>
      </c>
      <c r="V2494" s="9" t="s">
        <v>55</v>
      </c>
      <c r="W2494" s="9" t="s">
        <v>55</v>
      </c>
      <c r="X2494" s="12"/>
      <c r="Y2494" s="9" t="s">
        <v>55</v>
      </c>
      <c r="Z2494" s="13"/>
    </row>
    <row r="2495" spans="1:26" ht="32.25" hidden="1" customHeight="1">
      <c r="A2495" s="8">
        <v>2304079</v>
      </c>
      <c r="B2495" s="9" t="s">
        <v>8620</v>
      </c>
      <c r="C2495" s="10">
        <v>45136</v>
      </c>
      <c r="D2495" s="9" t="s">
        <v>40</v>
      </c>
      <c r="E2495" s="9" t="s">
        <v>41</v>
      </c>
      <c r="F2495" s="9" t="s">
        <v>42</v>
      </c>
      <c r="G2495" s="9" t="s">
        <v>43</v>
      </c>
      <c r="H2495" s="9" t="s">
        <v>44</v>
      </c>
      <c r="I2495" s="11" t="s">
        <v>45</v>
      </c>
      <c r="J2495" s="9" t="s">
        <v>46</v>
      </c>
      <c r="K2495" s="9" t="s">
        <v>47</v>
      </c>
      <c r="L2495" s="9" t="s">
        <v>156</v>
      </c>
      <c r="M2495" s="9"/>
      <c r="N2495" s="9" t="s">
        <v>50</v>
      </c>
      <c r="O2495" s="9" t="s">
        <v>51</v>
      </c>
      <c r="P2495" s="9"/>
      <c r="Q2495" s="9"/>
      <c r="R2495" s="9"/>
      <c r="S2495" s="9" t="s">
        <v>8621</v>
      </c>
      <c r="T2495" s="9" t="s">
        <v>8622</v>
      </c>
      <c r="U2495" s="9" t="s">
        <v>54</v>
      </c>
      <c r="V2495" s="9" t="s">
        <v>55</v>
      </c>
      <c r="W2495" s="9" t="s">
        <v>55</v>
      </c>
      <c r="X2495" s="12"/>
      <c r="Y2495" s="9" t="s">
        <v>55</v>
      </c>
      <c r="Z2495" s="13"/>
    </row>
    <row r="2496" spans="1:26" ht="32.25" hidden="1" customHeight="1">
      <c r="A2496" s="8">
        <v>2308749</v>
      </c>
      <c r="B2496" s="9" t="s">
        <v>8623</v>
      </c>
      <c r="C2496" s="10">
        <v>45149</v>
      </c>
      <c r="D2496" s="9" t="s">
        <v>57</v>
      </c>
      <c r="E2496" s="9" t="s">
        <v>41</v>
      </c>
      <c r="F2496" s="9" t="s">
        <v>42</v>
      </c>
      <c r="G2496" s="9" t="s">
        <v>43</v>
      </c>
      <c r="H2496" s="9" t="s">
        <v>58</v>
      </c>
      <c r="I2496" s="11" t="s">
        <v>199</v>
      </c>
      <c r="J2496" s="9" t="s">
        <v>200</v>
      </c>
      <c r="K2496" s="9" t="s">
        <v>47</v>
      </c>
      <c r="L2496" s="9" t="s">
        <v>846</v>
      </c>
      <c r="M2496" s="9" t="s">
        <v>8624</v>
      </c>
      <c r="N2496" s="9" t="s">
        <v>84</v>
      </c>
      <c r="O2496" s="9" t="s">
        <v>51</v>
      </c>
      <c r="P2496" s="9"/>
      <c r="Q2496" s="9"/>
      <c r="R2496" s="9" t="s">
        <v>61</v>
      </c>
      <c r="S2496" s="14" t="s">
        <v>8625</v>
      </c>
      <c r="T2496" s="9" t="s">
        <v>8626</v>
      </c>
      <c r="U2496" s="9" t="s">
        <v>54</v>
      </c>
      <c r="V2496" s="9" t="s">
        <v>55</v>
      </c>
      <c r="W2496" s="9" t="s">
        <v>55</v>
      </c>
      <c r="X2496" s="12" t="s">
        <v>196</v>
      </c>
      <c r="Y2496" s="9" t="s">
        <v>197</v>
      </c>
      <c r="Z2496" s="13"/>
    </row>
    <row r="2497" spans="1:26" ht="32.25" hidden="1" customHeight="1">
      <c r="A2497" s="8">
        <v>2302153</v>
      </c>
      <c r="B2497" s="9" t="s">
        <v>8627</v>
      </c>
      <c r="C2497" s="10">
        <v>45149</v>
      </c>
      <c r="D2497" s="9" t="s">
        <v>57</v>
      </c>
      <c r="E2497" s="9" t="s">
        <v>153</v>
      </c>
      <c r="F2497" s="9" t="s">
        <v>42</v>
      </c>
      <c r="G2497" s="9" t="s">
        <v>43</v>
      </c>
      <c r="H2497" s="9" t="s">
        <v>58</v>
      </c>
      <c r="I2497" s="11" t="s">
        <v>154</v>
      </c>
      <c r="J2497" s="9" t="s">
        <v>155</v>
      </c>
      <c r="K2497" s="9" t="s">
        <v>47</v>
      </c>
      <c r="L2497" s="9" t="s">
        <v>156</v>
      </c>
      <c r="M2497" s="9"/>
      <c r="N2497" s="9" t="s">
        <v>84</v>
      </c>
      <c r="O2497" s="9" t="s">
        <v>51</v>
      </c>
      <c r="P2497" s="9"/>
      <c r="Q2497" s="9"/>
      <c r="R2497" s="9"/>
      <c r="S2497" s="14" t="s">
        <v>8628</v>
      </c>
      <c r="T2497" s="9" t="s">
        <v>8629</v>
      </c>
      <c r="U2497" s="9" t="s">
        <v>54</v>
      </c>
      <c r="V2497" s="9" t="s">
        <v>55</v>
      </c>
      <c r="W2497" s="9" t="s">
        <v>55</v>
      </c>
      <c r="X2497" s="12"/>
      <c r="Y2497" s="9" t="s">
        <v>55</v>
      </c>
      <c r="Z2497" s="13"/>
    </row>
    <row r="2498" spans="1:26" ht="32.25" hidden="1" customHeight="1">
      <c r="A2498" s="8">
        <v>2314111</v>
      </c>
      <c r="B2498" s="9" t="s">
        <v>8630</v>
      </c>
      <c r="C2498" s="10">
        <v>45156</v>
      </c>
      <c r="D2498" s="9" t="s">
        <v>565</v>
      </c>
      <c r="E2498" s="9" t="s">
        <v>41</v>
      </c>
      <c r="F2498" s="9" t="s">
        <v>42</v>
      </c>
      <c r="G2498" s="9" t="s">
        <v>43</v>
      </c>
      <c r="H2498" s="9" t="s">
        <v>58</v>
      </c>
      <c r="I2498" s="11" t="s">
        <v>129</v>
      </c>
      <c r="J2498" s="9" t="s">
        <v>130</v>
      </c>
      <c r="K2498" s="9" t="s">
        <v>47</v>
      </c>
      <c r="L2498" s="9" t="s">
        <v>221</v>
      </c>
      <c r="M2498" s="9" t="s">
        <v>1451</v>
      </c>
      <c r="N2498" s="9" t="s">
        <v>84</v>
      </c>
      <c r="O2498" s="9" t="s">
        <v>51</v>
      </c>
      <c r="P2498" s="9"/>
      <c r="Q2498" s="9"/>
      <c r="R2498" s="9" t="s">
        <v>61</v>
      </c>
      <c r="S2498" s="14" t="s">
        <v>8631</v>
      </c>
      <c r="T2498" s="9" t="s">
        <v>8632</v>
      </c>
      <c r="U2498" s="9" t="s">
        <v>54</v>
      </c>
      <c r="V2498" s="9" t="s">
        <v>55</v>
      </c>
      <c r="W2498" s="9" t="s">
        <v>55</v>
      </c>
      <c r="X2498" s="9" t="s">
        <v>319</v>
      </c>
      <c r="Y2498" s="9" t="s">
        <v>320</v>
      </c>
      <c r="Z2498" s="13" t="s">
        <v>230</v>
      </c>
    </row>
    <row r="2499" spans="1:26" ht="32.25" hidden="1" customHeight="1">
      <c r="A2499" s="8">
        <v>2303607</v>
      </c>
      <c r="B2499" s="9" t="s">
        <v>8633</v>
      </c>
      <c r="C2499" s="10">
        <v>45156</v>
      </c>
      <c r="D2499" s="9" t="s">
        <v>565</v>
      </c>
      <c r="E2499" s="9" t="s">
        <v>153</v>
      </c>
      <c r="F2499" s="9" t="s">
        <v>42</v>
      </c>
      <c r="G2499" s="9" t="s">
        <v>43</v>
      </c>
      <c r="H2499" s="9" t="s">
        <v>58</v>
      </c>
      <c r="I2499" s="11" t="s">
        <v>154</v>
      </c>
      <c r="J2499" s="9" t="s">
        <v>155</v>
      </c>
      <c r="K2499" s="9" t="s">
        <v>47</v>
      </c>
      <c r="L2499" s="9" t="s">
        <v>156</v>
      </c>
      <c r="M2499" s="9"/>
      <c r="N2499" s="9" t="s">
        <v>84</v>
      </c>
      <c r="O2499" s="9" t="s">
        <v>51</v>
      </c>
      <c r="P2499" s="9"/>
      <c r="Q2499" s="9"/>
      <c r="R2499" s="9"/>
      <c r="S2499" s="14" t="s">
        <v>8634</v>
      </c>
      <c r="T2499" s="9" t="s">
        <v>8635</v>
      </c>
      <c r="U2499" s="9" t="s">
        <v>54</v>
      </c>
      <c r="V2499" s="9" t="s">
        <v>55</v>
      </c>
      <c r="W2499" s="9" t="s">
        <v>55</v>
      </c>
      <c r="X2499" s="12"/>
      <c r="Y2499" s="9" t="s">
        <v>55</v>
      </c>
      <c r="Z2499" s="13"/>
    </row>
    <row r="2500" spans="1:26" ht="32.25" hidden="1" customHeight="1">
      <c r="A2500" s="8">
        <v>2309940</v>
      </c>
      <c r="B2500" s="9" t="s">
        <v>8636</v>
      </c>
      <c r="C2500" s="10">
        <v>45142</v>
      </c>
      <c r="D2500" s="9" t="s">
        <v>67</v>
      </c>
      <c r="E2500" s="9" t="s">
        <v>41</v>
      </c>
      <c r="F2500" s="9" t="s">
        <v>42</v>
      </c>
      <c r="G2500" s="9" t="s">
        <v>43</v>
      </c>
      <c r="H2500" s="9" t="s">
        <v>44</v>
      </c>
      <c r="I2500" s="11" t="s">
        <v>1073</v>
      </c>
      <c r="J2500" s="9" t="s">
        <v>479</v>
      </c>
      <c r="K2500" s="9" t="s">
        <v>47</v>
      </c>
      <c r="L2500" s="9" t="s">
        <v>2729</v>
      </c>
      <c r="M2500" s="9" t="s">
        <v>8637</v>
      </c>
      <c r="N2500" s="9" t="s">
        <v>84</v>
      </c>
      <c r="O2500" s="9" t="s">
        <v>51</v>
      </c>
      <c r="P2500" s="9"/>
      <c r="Q2500" s="9"/>
      <c r="R2500" s="9" t="s">
        <v>61</v>
      </c>
      <c r="S2500" s="9" t="s">
        <v>8638</v>
      </c>
      <c r="T2500" s="9" t="s">
        <v>8639</v>
      </c>
      <c r="U2500" s="9" t="s">
        <v>54</v>
      </c>
      <c r="V2500" s="9" t="s">
        <v>55</v>
      </c>
      <c r="W2500" s="9" t="s">
        <v>55</v>
      </c>
      <c r="X2500" s="9" t="s">
        <v>196</v>
      </c>
      <c r="Y2500" s="9" t="s">
        <v>197</v>
      </c>
      <c r="Z2500" s="13"/>
    </row>
    <row r="2501" spans="1:26" ht="32.25" hidden="1" customHeight="1">
      <c r="A2501" s="8">
        <v>2303511</v>
      </c>
      <c r="B2501" s="9" t="s">
        <v>8640</v>
      </c>
      <c r="C2501" s="10">
        <v>45142</v>
      </c>
      <c r="D2501" s="9" t="s">
        <v>67</v>
      </c>
      <c r="E2501" s="9" t="s">
        <v>89</v>
      </c>
      <c r="F2501" s="9" t="s">
        <v>42</v>
      </c>
      <c r="G2501" s="9" t="s">
        <v>43</v>
      </c>
      <c r="H2501" s="9" t="s">
        <v>44</v>
      </c>
      <c r="I2501" s="11" t="s">
        <v>354</v>
      </c>
      <c r="J2501" s="9" t="s">
        <v>91</v>
      </c>
      <c r="K2501" s="9" t="s">
        <v>416</v>
      </c>
      <c r="L2501" s="9" t="s">
        <v>814</v>
      </c>
      <c r="M2501" s="9" t="s">
        <v>814</v>
      </c>
      <c r="N2501" s="9" t="s">
        <v>84</v>
      </c>
      <c r="O2501" s="9" t="s">
        <v>51</v>
      </c>
      <c r="P2501" s="9" t="s">
        <v>356</v>
      </c>
      <c r="Q2501" s="9"/>
      <c r="R2501" s="9" t="s">
        <v>61</v>
      </c>
      <c r="S2501" s="9" t="s">
        <v>8641</v>
      </c>
      <c r="T2501" s="9" t="s">
        <v>8642</v>
      </c>
      <c r="U2501" s="9" t="s">
        <v>54</v>
      </c>
      <c r="V2501" s="9" t="s">
        <v>55</v>
      </c>
      <c r="W2501" s="9" t="s">
        <v>55</v>
      </c>
      <c r="X2501" s="12" t="s">
        <v>98</v>
      </c>
      <c r="Y2501" s="9" t="s">
        <v>99</v>
      </c>
      <c r="Z2501" s="13"/>
    </row>
    <row r="2502" spans="1:26" ht="32.25" hidden="1" customHeight="1">
      <c r="A2502" s="8">
        <v>2302678</v>
      </c>
      <c r="B2502" s="9" t="s">
        <v>8643</v>
      </c>
      <c r="C2502" s="10">
        <v>45156</v>
      </c>
      <c r="D2502" s="9" t="s">
        <v>79</v>
      </c>
      <c r="E2502" s="9" t="s">
        <v>143</v>
      </c>
      <c r="F2502" s="9" t="s">
        <v>80</v>
      </c>
      <c r="G2502" s="9" t="s">
        <v>43</v>
      </c>
      <c r="H2502" s="9" t="s">
        <v>44</v>
      </c>
      <c r="I2502" s="11" t="s">
        <v>725</v>
      </c>
      <c r="J2502" s="9" t="s">
        <v>145</v>
      </c>
      <c r="K2502" s="9" t="s">
        <v>47</v>
      </c>
      <c r="L2502" s="9" t="s">
        <v>156</v>
      </c>
      <c r="M2502" s="9"/>
      <c r="N2502" s="9" t="s">
        <v>50</v>
      </c>
      <c r="O2502" s="9" t="s">
        <v>51</v>
      </c>
      <c r="P2502" s="9" t="s">
        <v>2924</v>
      </c>
      <c r="Q2502" s="9"/>
      <c r="R2502" s="9"/>
      <c r="S2502" s="14" t="s">
        <v>8644</v>
      </c>
      <c r="T2502" s="9" t="s">
        <v>8645</v>
      </c>
      <c r="U2502" s="9" t="s">
        <v>54</v>
      </c>
      <c r="V2502" s="9"/>
      <c r="W2502" s="9" t="s">
        <v>115</v>
      </c>
      <c r="X2502" s="12"/>
      <c r="Y2502" s="9" t="s">
        <v>55</v>
      </c>
      <c r="Z2502" s="13"/>
    </row>
    <row r="2503" spans="1:26" ht="32.25" hidden="1" customHeight="1">
      <c r="A2503" s="8">
        <v>2304465</v>
      </c>
      <c r="B2503" s="9" t="s">
        <v>8646</v>
      </c>
      <c r="C2503" s="10">
        <v>45156</v>
      </c>
      <c r="D2503" s="9" t="s">
        <v>79</v>
      </c>
      <c r="E2503" s="9" t="s">
        <v>89</v>
      </c>
      <c r="F2503" s="9" t="s">
        <v>80</v>
      </c>
      <c r="G2503" s="9" t="s">
        <v>43</v>
      </c>
      <c r="H2503" s="9" t="s">
        <v>44</v>
      </c>
      <c r="I2503" s="11" t="s">
        <v>101</v>
      </c>
      <c r="J2503" s="9" t="s">
        <v>102</v>
      </c>
      <c r="K2503" s="9" t="s">
        <v>47</v>
      </c>
      <c r="L2503" s="9" t="s">
        <v>156</v>
      </c>
      <c r="M2503" s="9"/>
      <c r="N2503" s="9" t="s">
        <v>50</v>
      </c>
      <c r="O2503" s="9" t="s">
        <v>51</v>
      </c>
      <c r="P2503" s="9" t="s">
        <v>125</v>
      </c>
      <c r="Q2503" s="9"/>
      <c r="R2503" s="9"/>
      <c r="S2503" s="14" t="s">
        <v>8647</v>
      </c>
      <c r="T2503" s="9" t="s">
        <v>8648</v>
      </c>
      <c r="U2503" s="9" t="s">
        <v>54</v>
      </c>
      <c r="V2503" s="9"/>
      <c r="W2503" s="9" t="s">
        <v>115</v>
      </c>
      <c r="X2503" s="12"/>
      <c r="Y2503" s="9" t="s">
        <v>55</v>
      </c>
      <c r="Z2503" s="13"/>
    </row>
    <row r="2504" spans="1:26" ht="32.25" hidden="1" customHeight="1">
      <c r="A2504" s="8">
        <v>2302126</v>
      </c>
      <c r="B2504" s="9" t="s">
        <v>8649</v>
      </c>
      <c r="C2504" s="10">
        <v>45149</v>
      </c>
      <c r="D2504" s="9" t="s">
        <v>57</v>
      </c>
      <c r="E2504" s="9" t="s">
        <v>41</v>
      </c>
      <c r="F2504" s="9" t="s">
        <v>42</v>
      </c>
      <c r="G2504" s="9" t="s">
        <v>43</v>
      </c>
      <c r="H2504" s="9" t="s">
        <v>58</v>
      </c>
      <c r="I2504" s="11" t="s">
        <v>199</v>
      </c>
      <c r="J2504" s="9" t="s">
        <v>200</v>
      </c>
      <c r="K2504" s="9" t="s">
        <v>47</v>
      </c>
      <c r="L2504" s="9" t="s">
        <v>156</v>
      </c>
      <c r="M2504" s="9"/>
      <c r="N2504" s="9" t="s">
        <v>50</v>
      </c>
      <c r="O2504" s="9" t="s">
        <v>51</v>
      </c>
      <c r="P2504" s="9"/>
      <c r="Q2504" s="9"/>
      <c r="R2504" s="9"/>
      <c r="S2504" s="14" t="s">
        <v>8650</v>
      </c>
      <c r="T2504" s="9" t="s">
        <v>8651</v>
      </c>
      <c r="U2504" s="9" t="s">
        <v>54</v>
      </c>
      <c r="V2504" s="9" t="s">
        <v>55</v>
      </c>
      <c r="W2504" s="9" t="s">
        <v>55</v>
      </c>
      <c r="X2504" s="12"/>
      <c r="Y2504" s="9" t="s">
        <v>55</v>
      </c>
      <c r="Z2504" s="13"/>
    </row>
    <row r="2505" spans="1:26" ht="32.25" hidden="1" customHeight="1">
      <c r="A2505" s="8">
        <v>2312287</v>
      </c>
      <c r="B2505" s="9" t="s">
        <v>8652</v>
      </c>
      <c r="C2505" s="10">
        <v>45156</v>
      </c>
      <c r="D2505" s="9" t="s">
        <v>79</v>
      </c>
      <c r="E2505" s="9" t="s">
        <v>89</v>
      </c>
      <c r="F2505" s="9" t="s">
        <v>80</v>
      </c>
      <c r="G2505" s="9" t="s">
        <v>43</v>
      </c>
      <c r="H2505" s="9" t="s">
        <v>44</v>
      </c>
      <c r="I2505" s="11" t="s">
        <v>101</v>
      </c>
      <c r="J2505" s="9" t="s">
        <v>102</v>
      </c>
      <c r="K2505" s="9" t="s">
        <v>47</v>
      </c>
      <c r="L2505" s="9" t="s">
        <v>437</v>
      </c>
      <c r="M2505" s="9" t="s">
        <v>1882</v>
      </c>
      <c r="N2505" s="9" t="s">
        <v>84</v>
      </c>
      <c r="O2505" s="9" t="s">
        <v>51</v>
      </c>
      <c r="P2505" s="9" t="s">
        <v>104</v>
      </c>
      <c r="Q2505" s="9"/>
      <c r="R2505" s="9" t="s">
        <v>61</v>
      </c>
      <c r="S2505" s="14" t="s">
        <v>8653</v>
      </c>
      <c r="T2505" s="9" t="s">
        <v>8654</v>
      </c>
      <c r="U2505" s="9" t="s">
        <v>54</v>
      </c>
      <c r="V2505" s="9" t="s">
        <v>331</v>
      </c>
      <c r="W2505" s="9" t="s">
        <v>115</v>
      </c>
      <c r="X2505" s="9" t="s">
        <v>64</v>
      </c>
      <c r="Y2505" s="9" t="s">
        <v>65</v>
      </c>
      <c r="Z2505" s="13"/>
    </row>
    <row r="2506" spans="1:26" ht="32.25" hidden="1" customHeight="1">
      <c r="A2506" s="8">
        <v>2309596</v>
      </c>
      <c r="B2506" s="9" t="s">
        <v>8655</v>
      </c>
      <c r="C2506" s="10">
        <v>45156</v>
      </c>
      <c r="D2506" s="9" t="s">
        <v>79</v>
      </c>
      <c r="E2506" s="9" t="s">
        <v>89</v>
      </c>
      <c r="F2506" s="9" t="s">
        <v>80</v>
      </c>
      <c r="G2506" s="9" t="s">
        <v>43</v>
      </c>
      <c r="H2506" s="9" t="s">
        <v>44</v>
      </c>
      <c r="I2506" s="11" t="s">
        <v>101</v>
      </c>
      <c r="J2506" s="9" t="s">
        <v>102</v>
      </c>
      <c r="K2506" s="9" t="s">
        <v>47</v>
      </c>
      <c r="L2506" s="9" t="s">
        <v>1040</v>
      </c>
      <c r="M2506" s="9" t="s">
        <v>1041</v>
      </c>
      <c r="N2506" s="9" t="s">
        <v>50</v>
      </c>
      <c r="O2506" s="9" t="s">
        <v>51</v>
      </c>
      <c r="P2506" s="9" t="s">
        <v>447</v>
      </c>
      <c r="Q2506" s="9"/>
      <c r="R2506" s="9"/>
      <c r="S2506" s="14" t="s">
        <v>8656</v>
      </c>
      <c r="T2506" s="9" t="s">
        <v>8657</v>
      </c>
      <c r="U2506" s="9" t="s">
        <v>54</v>
      </c>
      <c r="V2506" s="9" t="s">
        <v>55</v>
      </c>
      <c r="W2506" s="9" t="s">
        <v>55</v>
      </c>
      <c r="X2506" s="12"/>
      <c r="Y2506" s="9" t="s">
        <v>55</v>
      </c>
      <c r="Z2506" s="13"/>
    </row>
    <row r="2507" spans="1:26" ht="32.25" hidden="1" customHeight="1">
      <c r="A2507" s="8">
        <v>2306838</v>
      </c>
      <c r="B2507" s="9" t="s">
        <v>8658</v>
      </c>
      <c r="C2507" s="10">
        <v>45142</v>
      </c>
      <c r="D2507" s="9" t="s">
        <v>67</v>
      </c>
      <c r="E2507" s="9" t="s">
        <v>89</v>
      </c>
      <c r="F2507" s="9" t="s">
        <v>42</v>
      </c>
      <c r="G2507" s="9" t="s">
        <v>43</v>
      </c>
      <c r="H2507" s="9" t="s">
        <v>44</v>
      </c>
      <c r="I2507" s="11" t="s">
        <v>360</v>
      </c>
      <c r="J2507" s="9" t="s">
        <v>102</v>
      </c>
      <c r="K2507" s="9" t="s">
        <v>47</v>
      </c>
      <c r="L2507" s="9" t="s">
        <v>1542</v>
      </c>
      <c r="M2507" s="9" t="s">
        <v>3414</v>
      </c>
      <c r="N2507" s="9" t="s">
        <v>84</v>
      </c>
      <c r="O2507" s="9" t="s">
        <v>51</v>
      </c>
      <c r="P2507" s="9" t="s">
        <v>361</v>
      </c>
      <c r="Q2507" s="9"/>
      <c r="R2507" s="9" t="s">
        <v>61</v>
      </c>
      <c r="S2507" s="9" t="s">
        <v>8659</v>
      </c>
      <c r="T2507" s="9" t="s">
        <v>8660</v>
      </c>
      <c r="U2507" s="9" t="s">
        <v>54</v>
      </c>
      <c r="V2507" s="9" t="s">
        <v>55</v>
      </c>
      <c r="W2507" s="9" t="s">
        <v>55</v>
      </c>
      <c r="X2507" s="12" t="s">
        <v>98</v>
      </c>
      <c r="Y2507" s="9" t="s">
        <v>99</v>
      </c>
      <c r="Z2507" s="13"/>
    </row>
    <row r="2508" spans="1:26" ht="32.25" hidden="1" customHeight="1">
      <c r="A2508" s="8">
        <v>2300574</v>
      </c>
      <c r="B2508" s="9" t="s">
        <v>8661</v>
      </c>
      <c r="C2508" s="10">
        <v>45142</v>
      </c>
      <c r="D2508" s="9" t="s">
        <v>67</v>
      </c>
      <c r="E2508" s="9" t="s">
        <v>68</v>
      </c>
      <c r="F2508" s="9" t="s">
        <v>135</v>
      </c>
      <c r="G2508" s="9" t="s">
        <v>43</v>
      </c>
      <c r="H2508" s="9" t="s">
        <v>44</v>
      </c>
      <c r="I2508" s="11" t="s">
        <v>136</v>
      </c>
      <c r="J2508" s="9" t="s">
        <v>137</v>
      </c>
      <c r="K2508" s="9" t="s">
        <v>47</v>
      </c>
      <c r="L2508" s="9" t="s">
        <v>3693</v>
      </c>
      <c r="M2508" s="9" t="s">
        <v>3694</v>
      </c>
      <c r="N2508" s="9" t="s">
        <v>50</v>
      </c>
      <c r="O2508" s="9" t="s">
        <v>51</v>
      </c>
      <c r="P2508" s="9"/>
      <c r="Q2508" s="9"/>
      <c r="R2508" s="9" t="s">
        <v>61</v>
      </c>
      <c r="S2508" s="9" t="s">
        <v>8662</v>
      </c>
      <c r="T2508" s="9" t="s">
        <v>8663</v>
      </c>
      <c r="U2508" s="9" t="s">
        <v>54</v>
      </c>
      <c r="V2508" s="9" t="s">
        <v>55</v>
      </c>
      <c r="W2508" s="9" t="s">
        <v>55</v>
      </c>
      <c r="X2508" s="12" t="s">
        <v>76</v>
      </c>
      <c r="Y2508" s="9" t="s">
        <v>77</v>
      </c>
      <c r="Z2508" s="13"/>
    </row>
    <row r="2509" spans="1:26" ht="32.25" hidden="1" customHeight="1">
      <c r="A2509" s="8">
        <v>2307205</v>
      </c>
      <c r="B2509" s="9" t="s">
        <v>8664</v>
      </c>
      <c r="C2509" s="10">
        <v>45149</v>
      </c>
      <c r="D2509" s="9" t="s">
        <v>57</v>
      </c>
      <c r="E2509" s="9" t="s">
        <v>41</v>
      </c>
      <c r="F2509" s="9" t="s">
        <v>42</v>
      </c>
      <c r="G2509" s="9" t="s">
        <v>43</v>
      </c>
      <c r="H2509" s="9" t="s">
        <v>58</v>
      </c>
      <c r="I2509" s="11" t="s">
        <v>129</v>
      </c>
      <c r="J2509" s="9" t="s">
        <v>130</v>
      </c>
      <c r="K2509" s="9" t="s">
        <v>47</v>
      </c>
      <c r="L2509" s="9" t="s">
        <v>156</v>
      </c>
      <c r="M2509" s="9" t="s">
        <v>832</v>
      </c>
      <c r="N2509" s="9" t="s">
        <v>50</v>
      </c>
      <c r="O2509" s="9" t="s">
        <v>51</v>
      </c>
      <c r="P2509" s="9"/>
      <c r="Q2509" s="9"/>
      <c r="R2509" s="9"/>
      <c r="S2509" s="14" t="s">
        <v>8665</v>
      </c>
      <c r="T2509" s="9" t="s">
        <v>8666</v>
      </c>
      <c r="U2509" s="9" t="s">
        <v>54</v>
      </c>
      <c r="V2509" s="9" t="s">
        <v>55</v>
      </c>
      <c r="W2509" s="9" t="s">
        <v>55</v>
      </c>
      <c r="X2509" s="12"/>
      <c r="Y2509" s="9" t="s">
        <v>55</v>
      </c>
      <c r="Z2509" s="13"/>
    </row>
    <row r="2510" spans="1:26" ht="32.25" hidden="1" customHeight="1">
      <c r="A2510" s="8">
        <v>2308162</v>
      </c>
      <c r="B2510" s="9" t="s">
        <v>8667</v>
      </c>
      <c r="C2510" s="10">
        <v>45149</v>
      </c>
      <c r="D2510" s="9" t="s">
        <v>57</v>
      </c>
      <c r="E2510" s="9" t="s">
        <v>41</v>
      </c>
      <c r="F2510" s="9" t="s">
        <v>42</v>
      </c>
      <c r="G2510" s="9" t="s">
        <v>43</v>
      </c>
      <c r="H2510" s="9" t="s">
        <v>58</v>
      </c>
      <c r="I2510" s="11" t="s">
        <v>199</v>
      </c>
      <c r="J2510" s="9" t="s">
        <v>200</v>
      </c>
      <c r="K2510" s="9" t="s">
        <v>47</v>
      </c>
      <c r="L2510" s="9" t="s">
        <v>2233</v>
      </c>
      <c r="M2510" s="9" t="s">
        <v>8668</v>
      </c>
      <c r="N2510" s="9" t="s">
        <v>50</v>
      </c>
      <c r="O2510" s="9" t="s">
        <v>51</v>
      </c>
      <c r="P2510" s="9"/>
      <c r="Q2510" s="9"/>
      <c r="R2510" s="9" t="s">
        <v>61</v>
      </c>
      <c r="S2510" s="14" t="s">
        <v>8669</v>
      </c>
      <c r="T2510" s="9" t="s">
        <v>8670</v>
      </c>
      <c r="U2510" s="9" t="s">
        <v>54</v>
      </c>
      <c r="V2510" s="9" t="s">
        <v>55</v>
      </c>
      <c r="W2510" s="9" t="s">
        <v>55</v>
      </c>
      <c r="X2510" s="12" t="s">
        <v>196</v>
      </c>
      <c r="Y2510" s="9" t="s">
        <v>197</v>
      </c>
      <c r="Z2510" s="13"/>
    </row>
    <row r="2511" spans="1:26" ht="32.25" hidden="1" customHeight="1">
      <c r="A2511" s="8">
        <v>2305506</v>
      </c>
      <c r="B2511" s="9" t="s">
        <v>8671</v>
      </c>
      <c r="C2511" s="10">
        <v>45142</v>
      </c>
      <c r="D2511" s="9" t="s">
        <v>67</v>
      </c>
      <c r="E2511" s="9" t="s">
        <v>41</v>
      </c>
      <c r="F2511" s="9" t="s">
        <v>42</v>
      </c>
      <c r="G2511" s="9" t="s">
        <v>43</v>
      </c>
      <c r="H2511" s="9" t="s">
        <v>44</v>
      </c>
      <c r="I2511" s="11" t="s">
        <v>45</v>
      </c>
      <c r="J2511" s="9" t="s">
        <v>46</v>
      </c>
      <c r="K2511" s="9" t="s">
        <v>47</v>
      </c>
      <c r="L2511" s="9" t="s">
        <v>1315</v>
      </c>
      <c r="M2511" s="9" t="s">
        <v>1316</v>
      </c>
      <c r="N2511" s="9" t="s">
        <v>50</v>
      </c>
      <c r="O2511" s="9" t="s">
        <v>51</v>
      </c>
      <c r="P2511" s="9"/>
      <c r="Q2511" s="9"/>
      <c r="R2511" s="9" t="s">
        <v>61</v>
      </c>
      <c r="S2511" s="9" t="s">
        <v>8672</v>
      </c>
      <c r="T2511" s="9" t="s">
        <v>8673</v>
      </c>
      <c r="U2511" s="9" t="s">
        <v>54</v>
      </c>
      <c r="V2511" s="9" t="s">
        <v>55</v>
      </c>
      <c r="W2511" s="9" t="s">
        <v>55</v>
      </c>
      <c r="X2511" s="9" t="s">
        <v>64</v>
      </c>
      <c r="Y2511" s="9" t="s">
        <v>65</v>
      </c>
      <c r="Z2511" s="13"/>
    </row>
    <row r="2512" spans="1:26" ht="32.25" hidden="1" customHeight="1">
      <c r="A2512" s="8">
        <v>2301394</v>
      </c>
      <c r="B2512" s="9" t="s">
        <v>8674</v>
      </c>
      <c r="C2512" s="10">
        <v>45136</v>
      </c>
      <c r="D2512" s="9" t="s">
        <v>2840</v>
      </c>
      <c r="E2512" s="9" t="s">
        <v>295</v>
      </c>
      <c r="F2512" s="9" t="s">
        <v>42</v>
      </c>
      <c r="G2512" s="9" t="s">
        <v>43</v>
      </c>
      <c r="H2512" s="9" t="s">
        <v>44</v>
      </c>
      <c r="I2512" s="11" t="s">
        <v>296</v>
      </c>
      <c r="J2512" s="9" t="s">
        <v>297</v>
      </c>
      <c r="K2512" s="9" t="s">
        <v>47</v>
      </c>
      <c r="L2512" s="9" t="s">
        <v>305</v>
      </c>
      <c r="M2512" s="9" t="s">
        <v>8675</v>
      </c>
      <c r="N2512" s="9" t="s">
        <v>84</v>
      </c>
      <c r="O2512" s="9" t="s">
        <v>51</v>
      </c>
      <c r="P2512" s="9"/>
      <c r="Q2512" s="9"/>
      <c r="R2512" s="9" t="s">
        <v>61</v>
      </c>
      <c r="S2512" s="9" t="s">
        <v>8676</v>
      </c>
      <c r="T2512" s="9" t="s">
        <v>8677</v>
      </c>
      <c r="U2512" s="9" t="s">
        <v>54</v>
      </c>
      <c r="V2512" s="9" t="s">
        <v>55</v>
      </c>
      <c r="W2512" s="9" t="s">
        <v>55</v>
      </c>
      <c r="X2512" s="9" t="s">
        <v>319</v>
      </c>
      <c r="Y2512" s="9" t="s">
        <v>320</v>
      </c>
      <c r="Z2512" s="13"/>
    </row>
    <row r="2513" spans="1:26" ht="32.25" hidden="1" customHeight="1">
      <c r="A2513" s="8">
        <v>2310670</v>
      </c>
      <c r="B2513" s="9" t="s">
        <v>8678</v>
      </c>
      <c r="C2513" s="10">
        <v>45156</v>
      </c>
      <c r="D2513" s="9" t="s">
        <v>79</v>
      </c>
      <c r="E2513" s="9" t="s">
        <v>41</v>
      </c>
      <c r="F2513" s="9" t="s">
        <v>80</v>
      </c>
      <c r="G2513" s="9" t="s">
        <v>43</v>
      </c>
      <c r="H2513" s="9" t="s">
        <v>44</v>
      </c>
      <c r="I2513" s="11" t="s">
        <v>233</v>
      </c>
      <c r="J2513" s="9" t="s">
        <v>200</v>
      </c>
      <c r="K2513" s="9" t="s">
        <v>47</v>
      </c>
      <c r="L2513" s="9" t="s">
        <v>746</v>
      </c>
      <c r="M2513" s="9" t="s">
        <v>747</v>
      </c>
      <c r="N2513" s="9" t="s">
        <v>84</v>
      </c>
      <c r="O2513" s="9" t="s">
        <v>51</v>
      </c>
      <c r="P2513" s="9" t="s">
        <v>236</v>
      </c>
      <c r="Q2513" s="9"/>
      <c r="R2513" s="9"/>
      <c r="S2513" s="14" t="s">
        <v>8679</v>
      </c>
      <c r="T2513" s="9" t="s">
        <v>8680</v>
      </c>
      <c r="U2513" s="9" t="s">
        <v>54</v>
      </c>
      <c r="V2513" s="9" t="s">
        <v>55</v>
      </c>
      <c r="W2513" s="9" t="s">
        <v>55</v>
      </c>
      <c r="X2513" s="12"/>
      <c r="Y2513" s="9" t="s">
        <v>55</v>
      </c>
      <c r="Z2513" s="13"/>
    </row>
    <row r="2514" spans="1:26" ht="32.25" hidden="1" customHeight="1">
      <c r="A2514" s="8">
        <v>2314183</v>
      </c>
      <c r="B2514" s="9" t="s">
        <v>8681</v>
      </c>
      <c r="C2514" s="10">
        <v>45156</v>
      </c>
      <c r="D2514" s="9" t="s">
        <v>79</v>
      </c>
      <c r="E2514" s="9" t="s">
        <v>89</v>
      </c>
      <c r="F2514" s="9" t="s">
        <v>80</v>
      </c>
      <c r="G2514" s="9" t="s">
        <v>43</v>
      </c>
      <c r="H2514" s="9" t="s">
        <v>44</v>
      </c>
      <c r="I2514" s="11" t="s">
        <v>101</v>
      </c>
      <c r="J2514" s="9" t="s">
        <v>102</v>
      </c>
      <c r="K2514" s="9" t="s">
        <v>47</v>
      </c>
      <c r="L2514" s="9" t="s">
        <v>156</v>
      </c>
      <c r="M2514" s="9"/>
      <c r="N2514" s="9" t="s">
        <v>50</v>
      </c>
      <c r="O2514" s="9" t="s">
        <v>51</v>
      </c>
      <c r="P2514" s="9" t="s">
        <v>447</v>
      </c>
      <c r="Q2514" s="9"/>
      <c r="R2514" s="9"/>
      <c r="S2514" s="14" t="s">
        <v>8682</v>
      </c>
      <c r="T2514" s="9" t="s">
        <v>8683</v>
      </c>
      <c r="U2514" s="9" t="s">
        <v>54</v>
      </c>
      <c r="V2514" s="9" t="s">
        <v>55</v>
      </c>
      <c r="W2514" s="9" t="s">
        <v>55</v>
      </c>
      <c r="X2514" s="12"/>
      <c r="Y2514" s="9" t="s">
        <v>55</v>
      </c>
      <c r="Z2514" s="13"/>
    </row>
    <row r="2515" spans="1:26" ht="32.25" hidden="1" customHeight="1">
      <c r="A2515" s="8">
        <v>2312645</v>
      </c>
      <c r="B2515" s="9" t="s">
        <v>8684</v>
      </c>
      <c r="C2515" s="10">
        <v>45142</v>
      </c>
      <c r="D2515" s="9" t="s">
        <v>383</v>
      </c>
      <c r="E2515" s="9" t="s">
        <v>143</v>
      </c>
      <c r="F2515" s="9" t="s">
        <v>262</v>
      </c>
      <c r="G2515" s="9" t="s">
        <v>43</v>
      </c>
      <c r="H2515" s="9" t="s">
        <v>44</v>
      </c>
      <c r="I2515" s="11" t="s">
        <v>384</v>
      </c>
      <c r="J2515" s="9" t="s">
        <v>385</v>
      </c>
      <c r="K2515" s="9" t="s">
        <v>8574</v>
      </c>
      <c r="L2515" s="9"/>
      <c r="M2515" s="9"/>
      <c r="N2515" s="9" t="s">
        <v>50</v>
      </c>
      <c r="O2515" s="9" t="s">
        <v>187</v>
      </c>
      <c r="P2515" s="9"/>
      <c r="Q2515" s="9"/>
      <c r="R2515" s="9" t="s">
        <v>61</v>
      </c>
      <c r="S2515" s="9" t="s">
        <v>8685</v>
      </c>
      <c r="T2515" s="9" t="s">
        <v>8686</v>
      </c>
      <c r="U2515" s="9" t="s">
        <v>262</v>
      </c>
      <c r="V2515" s="9" t="s">
        <v>711</v>
      </c>
      <c r="W2515" s="9" t="s">
        <v>115</v>
      </c>
      <c r="X2515" s="12" t="s">
        <v>98</v>
      </c>
      <c r="Y2515" s="9" t="s">
        <v>99</v>
      </c>
      <c r="Z2515" s="13" t="s">
        <v>8687</v>
      </c>
    </row>
    <row r="2516" spans="1:26" ht="32.25" hidden="1" customHeight="1">
      <c r="A2516" s="8">
        <v>2312321</v>
      </c>
      <c r="B2516" s="9" t="s">
        <v>8688</v>
      </c>
      <c r="C2516" s="10">
        <v>45156</v>
      </c>
      <c r="D2516" s="9" t="s">
        <v>79</v>
      </c>
      <c r="E2516" s="9" t="s">
        <v>68</v>
      </c>
      <c r="F2516" s="9" t="s">
        <v>80</v>
      </c>
      <c r="G2516" s="9" t="s">
        <v>43</v>
      </c>
      <c r="H2516" s="9" t="s">
        <v>44</v>
      </c>
      <c r="I2516" s="11" t="s">
        <v>90</v>
      </c>
      <c r="J2516" s="9" t="s">
        <v>91</v>
      </c>
      <c r="K2516" s="9" t="s">
        <v>47</v>
      </c>
      <c r="L2516" s="9" t="s">
        <v>741</v>
      </c>
      <c r="M2516" s="9" t="s">
        <v>2112</v>
      </c>
      <c r="N2516" s="9" t="s">
        <v>50</v>
      </c>
      <c r="O2516" s="9" t="s">
        <v>51</v>
      </c>
      <c r="P2516" s="9" t="s">
        <v>273</v>
      </c>
      <c r="Q2516" s="9"/>
      <c r="R2516" s="9" t="s">
        <v>61</v>
      </c>
      <c r="S2516" s="14" t="s">
        <v>8689</v>
      </c>
      <c r="T2516" s="9" t="s">
        <v>8690</v>
      </c>
      <c r="U2516" s="9" t="s">
        <v>54</v>
      </c>
      <c r="V2516" s="9" t="s">
        <v>55</v>
      </c>
      <c r="W2516" s="9" t="s">
        <v>55</v>
      </c>
      <c r="X2516" s="12" t="s">
        <v>196</v>
      </c>
      <c r="Y2516" s="9" t="s">
        <v>197</v>
      </c>
      <c r="Z2516" s="13"/>
    </row>
    <row r="2517" spans="1:26" ht="32.25" hidden="1" customHeight="1">
      <c r="A2517" s="8">
        <v>2301429</v>
      </c>
      <c r="B2517" s="9" t="s">
        <v>8691</v>
      </c>
      <c r="C2517" s="10">
        <v>45149</v>
      </c>
      <c r="D2517" s="9" t="s">
        <v>57</v>
      </c>
      <c r="E2517" s="9" t="s">
        <v>295</v>
      </c>
      <c r="F2517" s="9" t="s">
        <v>42</v>
      </c>
      <c r="G2517" s="9" t="s">
        <v>43</v>
      </c>
      <c r="H2517" s="9" t="s">
        <v>58</v>
      </c>
      <c r="I2517" s="11" t="s">
        <v>406</v>
      </c>
      <c r="J2517" s="9" t="s">
        <v>407</v>
      </c>
      <c r="K2517" s="9" t="s">
        <v>47</v>
      </c>
      <c r="L2517" s="9" t="s">
        <v>156</v>
      </c>
      <c r="M2517" s="9" t="s">
        <v>1352</v>
      </c>
      <c r="N2517" s="9" t="s">
        <v>84</v>
      </c>
      <c r="O2517" s="9" t="s">
        <v>51</v>
      </c>
      <c r="P2517" s="9"/>
      <c r="Q2517" s="9"/>
      <c r="R2517" s="9"/>
      <c r="S2517" s="14" t="s">
        <v>8692</v>
      </c>
      <c r="T2517" s="9" t="s">
        <v>8693</v>
      </c>
      <c r="U2517" s="9" t="s">
        <v>54</v>
      </c>
      <c r="V2517" s="9" t="s">
        <v>55</v>
      </c>
      <c r="W2517" s="9" t="s">
        <v>55</v>
      </c>
      <c r="X2517" s="12"/>
      <c r="Y2517" s="9" t="s">
        <v>55</v>
      </c>
      <c r="Z2517" s="13"/>
    </row>
    <row r="2518" spans="1:26" ht="32.25" hidden="1" customHeight="1">
      <c r="A2518" s="8">
        <v>2311569</v>
      </c>
      <c r="B2518" s="9" t="s">
        <v>8694</v>
      </c>
      <c r="C2518" s="10">
        <v>45156</v>
      </c>
      <c r="D2518" s="9" t="s">
        <v>79</v>
      </c>
      <c r="E2518" s="9" t="s">
        <v>89</v>
      </c>
      <c r="F2518" s="9" t="s">
        <v>80</v>
      </c>
      <c r="G2518" s="9" t="s">
        <v>43</v>
      </c>
      <c r="H2518" s="9" t="s">
        <v>44</v>
      </c>
      <c r="I2518" s="11" t="s">
        <v>117</v>
      </c>
      <c r="J2518" s="9" t="s">
        <v>118</v>
      </c>
      <c r="K2518" s="9" t="s">
        <v>47</v>
      </c>
      <c r="L2518" s="9" t="s">
        <v>2729</v>
      </c>
      <c r="M2518" s="9" t="s">
        <v>4282</v>
      </c>
      <c r="N2518" s="9" t="s">
        <v>50</v>
      </c>
      <c r="O2518" s="9" t="s">
        <v>51</v>
      </c>
      <c r="P2518" s="9" t="s">
        <v>121</v>
      </c>
      <c r="Q2518" s="9"/>
      <c r="R2518" s="9" t="s">
        <v>61</v>
      </c>
      <c r="S2518" s="14" t="s">
        <v>8695</v>
      </c>
      <c r="T2518" s="9" t="s">
        <v>8696</v>
      </c>
      <c r="U2518" s="9" t="s">
        <v>54</v>
      </c>
      <c r="V2518" s="9" t="s">
        <v>55</v>
      </c>
      <c r="W2518" s="9" t="s">
        <v>55</v>
      </c>
      <c r="X2518" s="12" t="s">
        <v>98</v>
      </c>
      <c r="Y2518" s="9" t="s">
        <v>99</v>
      </c>
      <c r="Z2518" s="13"/>
    </row>
    <row r="2519" spans="1:26" ht="32.25" hidden="1" customHeight="1">
      <c r="A2519" s="8">
        <v>2315125</v>
      </c>
      <c r="B2519" s="9" t="s">
        <v>8697</v>
      </c>
      <c r="C2519" s="10">
        <v>45152</v>
      </c>
      <c r="D2519" s="9" t="s">
        <v>639</v>
      </c>
      <c r="E2519" s="9" t="s">
        <v>89</v>
      </c>
      <c r="F2519" s="9" t="s">
        <v>80</v>
      </c>
      <c r="G2519" s="9" t="s">
        <v>43</v>
      </c>
      <c r="H2519" s="9" t="s">
        <v>44</v>
      </c>
      <c r="I2519" s="11" t="s">
        <v>90</v>
      </c>
      <c r="J2519" s="9" t="s">
        <v>91</v>
      </c>
      <c r="K2519" s="9" t="s">
        <v>3203</v>
      </c>
      <c r="L2519" s="9"/>
      <c r="M2519" s="9"/>
      <c r="N2519" s="9" t="s">
        <v>50</v>
      </c>
      <c r="O2519" s="9" t="s">
        <v>187</v>
      </c>
      <c r="P2519" s="9" t="s">
        <v>498</v>
      </c>
      <c r="Q2519" s="9"/>
      <c r="R2519" s="9" t="s">
        <v>61</v>
      </c>
      <c r="S2519" s="14" t="s">
        <v>8698</v>
      </c>
      <c r="T2519" s="9" t="s">
        <v>8699</v>
      </c>
      <c r="U2519" s="9" t="s">
        <v>54</v>
      </c>
      <c r="V2519" s="9" t="s">
        <v>55</v>
      </c>
      <c r="W2519" s="9" t="s">
        <v>55</v>
      </c>
      <c r="X2519" s="12" t="s">
        <v>98</v>
      </c>
      <c r="Y2519" s="9" t="s">
        <v>99</v>
      </c>
      <c r="Z2519" s="13"/>
    </row>
    <row r="2520" spans="1:26" ht="32.25" hidden="1" customHeight="1">
      <c r="A2520" s="8">
        <v>2312892</v>
      </c>
      <c r="B2520" s="9" t="s">
        <v>8700</v>
      </c>
      <c r="C2520" s="10">
        <v>45142</v>
      </c>
      <c r="D2520" s="9" t="s">
        <v>232</v>
      </c>
      <c r="E2520" s="9" t="s">
        <v>41</v>
      </c>
      <c r="F2520" s="9" t="s">
        <v>80</v>
      </c>
      <c r="G2520" s="9" t="s">
        <v>43</v>
      </c>
      <c r="H2520" s="9" t="s">
        <v>44</v>
      </c>
      <c r="I2520" s="11" t="s">
        <v>233</v>
      </c>
      <c r="J2520" s="9" t="s">
        <v>200</v>
      </c>
      <c r="K2520" s="9" t="s">
        <v>2036</v>
      </c>
      <c r="L2520" s="9" t="s">
        <v>777</v>
      </c>
      <c r="M2520" s="9"/>
      <c r="N2520" s="9" t="s">
        <v>50</v>
      </c>
      <c r="O2520" s="9" t="s">
        <v>187</v>
      </c>
      <c r="P2520" s="9" t="s">
        <v>236</v>
      </c>
      <c r="Q2520" s="9"/>
      <c r="R2520" s="9" t="s">
        <v>61</v>
      </c>
      <c r="S2520" s="14" t="s">
        <v>8701</v>
      </c>
      <c r="T2520" s="9" t="s">
        <v>8702</v>
      </c>
      <c r="U2520" s="9" t="s">
        <v>54</v>
      </c>
      <c r="V2520" s="9" t="s">
        <v>55</v>
      </c>
      <c r="W2520" s="9" t="s">
        <v>55</v>
      </c>
      <c r="X2520" s="9" t="s">
        <v>64</v>
      </c>
      <c r="Y2520" s="9" t="s">
        <v>65</v>
      </c>
      <c r="Z2520" s="13"/>
    </row>
    <row r="2521" spans="1:26" ht="32.25" hidden="1" customHeight="1">
      <c r="A2521" s="8">
        <v>2314448</v>
      </c>
      <c r="B2521" s="9" t="s">
        <v>8703</v>
      </c>
      <c r="C2521" s="10">
        <v>45142</v>
      </c>
      <c r="D2521" s="9" t="s">
        <v>232</v>
      </c>
      <c r="E2521" s="9" t="s">
        <v>89</v>
      </c>
      <c r="F2521" s="9" t="s">
        <v>80</v>
      </c>
      <c r="G2521" s="9" t="s">
        <v>43</v>
      </c>
      <c r="H2521" s="9" t="s">
        <v>44</v>
      </c>
      <c r="I2521" s="11" t="s">
        <v>90</v>
      </c>
      <c r="J2521" s="9" t="s">
        <v>91</v>
      </c>
      <c r="K2521" s="9" t="s">
        <v>758</v>
      </c>
      <c r="L2521" s="9"/>
      <c r="M2521" s="9"/>
      <c r="N2521" s="9" t="s">
        <v>50</v>
      </c>
      <c r="O2521" s="9" t="s">
        <v>187</v>
      </c>
      <c r="P2521" s="9" t="s">
        <v>546</v>
      </c>
      <c r="Q2521" s="9"/>
      <c r="R2521" s="9" t="s">
        <v>61</v>
      </c>
      <c r="S2521" s="9" t="s">
        <v>8704</v>
      </c>
      <c r="T2521" s="9" t="s">
        <v>8705</v>
      </c>
      <c r="U2521" s="9" t="s">
        <v>54</v>
      </c>
      <c r="V2521" s="9" t="s">
        <v>55</v>
      </c>
      <c r="W2521" s="9" t="s">
        <v>55</v>
      </c>
      <c r="X2521" s="12" t="s">
        <v>98</v>
      </c>
      <c r="Y2521" s="9" t="s">
        <v>99</v>
      </c>
      <c r="Z2521" s="13"/>
    </row>
    <row r="2522" spans="1:26" ht="32.25" hidden="1" customHeight="1">
      <c r="A2522" s="8">
        <v>2308281</v>
      </c>
      <c r="B2522" s="9" t="s">
        <v>8706</v>
      </c>
      <c r="C2522" s="10">
        <v>45149</v>
      </c>
      <c r="D2522" s="9" t="s">
        <v>57</v>
      </c>
      <c r="E2522" s="9" t="s">
        <v>153</v>
      </c>
      <c r="F2522" s="9" t="s">
        <v>42</v>
      </c>
      <c r="G2522" s="9" t="s">
        <v>43</v>
      </c>
      <c r="H2522" s="9" t="s">
        <v>58</v>
      </c>
      <c r="I2522" s="11" t="s">
        <v>154</v>
      </c>
      <c r="J2522" s="9" t="s">
        <v>155</v>
      </c>
      <c r="K2522" s="9" t="s">
        <v>47</v>
      </c>
      <c r="L2522" s="9" t="s">
        <v>48</v>
      </c>
      <c r="M2522" s="9" t="s">
        <v>1872</v>
      </c>
      <c r="N2522" s="9" t="s">
        <v>84</v>
      </c>
      <c r="O2522" s="9" t="s">
        <v>51</v>
      </c>
      <c r="P2522" s="9"/>
      <c r="Q2522" s="9"/>
      <c r="R2522" s="9"/>
      <c r="S2522" s="14" t="s">
        <v>8707</v>
      </c>
      <c r="T2522" s="9" t="s">
        <v>8708</v>
      </c>
      <c r="U2522" s="9" t="s">
        <v>54</v>
      </c>
      <c r="V2522" s="9" t="s">
        <v>55</v>
      </c>
      <c r="W2522" s="9" t="s">
        <v>55</v>
      </c>
      <c r="X2522" s="12"/>
      <c r="Y2522" s="9" t="s">
        <v>55</v>
      </c>
      <c r="Z2522" s="13"/>
    </row>
    <row r="2523" spans="1:26" ht="32.25" hidden="1" customHeight="1">
      <c r="A2523" s="8">
        <v>2304251</v>
      </c>
      <c r="B2523" s="9" t="s">
        <v>8709</v>
      </c>
      <c r="C2523" s="10">
        <v>45136</v>
      </c>
      <c r="D2523" s="9" t="s">
        <v>40</v>
      </c>
      <c r="E2523" s="9" t="s">
        <v>41</v>
      </c>
      <c r="F2523" s="9" t="s">
        <v>42</v>
      </c>
      <c r="G2523" s="9" t="s">
        <v>43</v>
      </c>
      <c r="H2523" s="9" t="s">
        <v>44</v>
      </c>
      <c r="I2523" s="11" t="s">
        <v>45</v>
      </c>
      <c r="J2523" s="9" t="s">
        <v>46</v>
      </c>
      <c r="K2523" s="9" t="s">
        <v>47</v>
      </c>
      <c r="L2523" s="9" t="s">
        <v>156</v>
      </c>
      <c r="M2523" s="9"/>
      <c r="N2523" s="9" t="s">
        <v>50</v>
      </c>
      <c r="O2523" s="9" t="s">
        <v>51</v>
      </c>
      <c r="P2523" s="9"/>
      <c r="Q2523" s="9"/>
      <c r="R2523" s="9"/>
      <c r="S2523" s="9" t="s">
        <v>8710</v>
      </c>
      <c r="T2523" s="9" t="s">
        <v>8711</v>
      </c>
      <c r="U2523" s="9" t="s">
        <v>54</v>
      </c>
      <c r="V2523" s="9" t="s">
        <v>55</v>
      </c>
      <c r="W2523" s="9" t="s">
        <v>55</v>
      </c>
      <c r="X2523" s="12"/>
      <c r="Y2523" s="9" t="s">
        <v>55</v>
      </c>
      <c r="Z2523" s="13"/>
    </row>
    <row r="2524" spans="1:26" ht="32.25" hidden="1" customHeight="1">
      <c r="A2524" s="8">
        <v>2305432</v>
      </c>
      <c r="B2524" s="9" t="s">
        <v>8712</v>
      </c>
      <c r="C2524" s="10">
        <v>45156</v>
      </c>
      <c r="D2524" s="9" t="s">
        <v>79</v>
      </c>
      <c r="E2524" s="9" t="s">
        <v>143</v>
      </c>
      <c r="F2524" s="9" t="s">
        <v>80</v>
      </c>
      <c r="G2524" s="9" t="s">
        <v>43</v>
      </c>
      <c r="H2524" s="9" t="s">
        <v>44</v>
      </c>
      <c r="I2524" s="11" t="s">
        <v>725</v>
      </c>
      <c r="J2524" s="9" t="s">
        <v>145</v>
      </c>
      <c r="K2524" s="9" t="s">
        <v>47</v>
      </c>
      <c r="L2524" s="9" t="s">
        <v>2729</v>
      </c>
      <c r="M2524" s="9" t="s">
        <v>4282</v>
      </c>
      <c r="N2524" s="9" t="s">
        <v>50</v>
      </c>
      <c r="O2524" s="9" t="s">
        <v>51</v>
      </c>
      <c r="P2524" s="9" t="s">
        <v>727</v>
      </c>
      <c r="Q2524" s="9"/>
      <c r="R2524" s="9" t="s">
        <v>61</v>
      </c>
      <c r="S2524" s="14" t="s">
        <v>8713</v>
      </c>
      <c r="T2524" s="9" t="s">
        <v>8714</v>
      </c>
      <c r="U2524" s="9" t="s">
        <v>54</v>
      </c>
      <c r="V2524" s="9"/>
      <c r="W2524" s="9" t="s">
        <v>115</v>
      </c>
      <c r="X2524" s="12" t="s">
        <v>150</v>
      </c>
      <c r="Y2524" s="9" t="s">
        <v>151</v>
      </c>
      <c r="Z2524" s="13"/>
    </row>
    <row r="2525" spans="1:26" ht="32.25" hidden="1" customHeight="1">
      <c r="A2525" s="8">
        <v>2302394</v>
      </c>
      <c r="B2525" s="9" t="s">
        <v>8715</v>
      </c>
      <c r="C2525" s="10">
        <v>45149</v>
      </c>
      <c r="D2525" s="9" t="s">
        <v>57</v>
      </c>
      <c r="E2525" s="9" t="s">
        <v>41</v>
      </c>
      <c r="F2525" s="9" t="s">
        <v>42</v>
      </c>
      <c r="G2525" s="9" t="s">
        <v>43</v>
      </c>
      <c r="H2525" s="9" t="s">
        <v>58</v>
      </c>
      <c r="I2525" s="11" t="s">
        <v>129</v>
      </c>
      <c r="J2525" s="9" t="s">
        <v>130</v>
      </c>
      <c r="K2525" s="9" t="s">
        <v>47</v>
      </c>
      <c r="L2525" s="9" t="s">
        <v>48</v>
      </c>
      <c r="M2525" s="9" t="s">
        <v>4848</v>
      </c>
      <c r="N2525" s="9" t="s">
        <v>84</v>
      </c>
      <c r="O2525" s="9" t="s">
        <v>51</v>
      </c>
      <c r="P2525" s="9"/>
      <c r="Q2525" s="9"/>
      <c r="R2525" s="9"/>
      <c r="S2525" s="14" t="s">
        <v>8716</v>
      </c>
      <c r="T2525" s="9" t="s">
        <v>8717</v>
      </c>
      <c r="U2525" s="9" t="s">
        <v>54</v>
      </c>
      <c r="V2525" s="9" t="s">
        <v>55</v>
      </c>
      <c r="W2525" s="9" t="s">
        <v>55</v>
      </c>
      <c r="X2525" s="12"/>
      <c r="Y2525" s="9" t="s">
        <v>55</v>
      </c>
      <c r="Z2525" s="13"/>
    </row>
    <row r="2526" spans="1:26" ht="32.25" hidden="1" customHeight="1">
      <c r="A2526" s="8">
        <v>2314477</v>
      </c>
      <c r="B2526" s="9" t="s">
        <v>8718</v>
      </c>
      <c r="C2526" s="10">
        <v>45156</v>
      </c>
      <c r="D2526" s="9" t="s">
        <v>79</v>
      </c>
      <c r="E2526" s="9" t="s">
        <v>68</v>
      </c>
      <c r="F2526" s="9" t="s">
        <v>80</v>
      </c>
      <c r="G2526" s="9" t="s">
        <v>43</v>
      </c>
      <c r="H2526" s="9" t="s">
        <v>44</v>
      </c>
      <c r="I2526" s="11" t="s">
        <v>117</v>
      </c>
      <c r="J2526" s="9" t="s">
        <v>118</v>
      </c>
      <c r="K2526" s="9" t="s">
        <v>47</v>
      </c>
      <c r="L2526" s="9" t="s">
        <v>48</v>
      </c>
      <c r="M2526" s="9" t="s">
        <v>146</v>
      </c>
      <c r="N2526" s="9" t="s">
        <v>50</v>
      </c>
      <c r="O2526" s="9" t="s">
        <v>51</v>
      </c>
      <c r="P2526" s="9" t="s">
        <v>285</v>
      </c>
      <c r="Q2526" s="9"/>
      <c r="R2526" s="9"/>
      <c r="S2526" s="14" t="s">
        <v>8719</v>
      </c>
      <c r="T2526" s="9" t="s">
        <v>8720</v>
      </c>
      <c r="U2526" s="9" t="s">
        <v>54</v>
      </c>
      <c r="V2526" s="9" t="s">
        <v>55</v>
      </c>
      <c r="W2526" s="9" t="s">
        <v>55</v>
      </c>
      <c r="X2526" s="12"/>
      <c r="Y2526" s="9" t="s">
        <v>55</v>
      </c>
      <c r="Z2526" s="13"/>
    </row>
    <row r="2527" spans="1:26" ht="32.25" hidden="1" customHeight="1">
      <c r="A2527" s="8">
        <v>2300396</v>
      </c>
      <c r="B2527" s="9" t="s">
        <v>8721</v>
      </c>
      <c r="C2527" s="10">
        <v>45149</v>
      </c>
      <c r="D2527" s="9" t="s">
        <v>261</v>
      </c>
      <c r="E2527" s="9" t="s">
        <v>68</v>
      </c>
      <c r="F2527" s="9" t="s">
        <v>262</v>
      </c>
      <c r="G2527" s="9" t="s">
        <v>43</v>
      </c>
      <c r="H2527" s="9" t="s">
        <v>44</v>
      </c>
      <c r="I2527" s="11" t="s">
        <v>263</v>
      </c>
      <c r="J2527" s="9" t="s">
        <v>264</v>
      </c>
      <c r="K2527" s="9" t="s">
        <v>416</v>
      </c>
      <c r="L2527" s="9"/>
      <c r="M2527" s="9"/>
      <c r="N2527" s="9" t="s">
        <v>50</v>
      </c>
      <c r="O2527" s="9" t="s">
        <v>51</v>
      </c>
      <c r="P2527" s="9"/>
      <c r="Q2527" s="9"/>
      <c r="R2527" s="9" t="s">
        <v>61</v>
      </c>
      <c r="S2527" s="14" t="s">
        <v>8722</v>
      </c>
      <c r="T2527" s="9" t="s">
        <v>8723</v>
      </c>
      <c r="U2527" s="9" t="s">
        <v>262</v>
      </c>
      <c r="V2527" s="9" t="s">
        <v>55</v>
      </c>
      <c r="W2527" s="9" t="s">
        <v>115</v>
      </c>
      <c r="X2527" s="12" t="s">
        <v>64</v>
      </c>
      <c r="Y2527" s="9" t="s">
        <v>65</v>
      </c>
      <c r="Z2527" s="13" t="s">
        <v>8724</v>
      </c>
    </row>
    <row r="2528" spans="1:26" ht="32.25" hidden="1" customHeight="1">
      <c r="A2528" s="8">
        <v>2312618</v>
      </c>
      <c r="B2528" s="9" t="s">
        <v>8725</v>
      </c>
      <c r="C2528" s="10">
        <v>45142</v>
      </c>
      <c r="D2528" s="9" t="s">
        <v>232</v>
      </c>
      <c r="E2528" s="9" t="s">
        <v>41</v>
      </c>
      <c r="F2528" s="9" t="s">
        <v>80</v>
      </c>
      <c r="G2528" s="9" t="s">
        <v>43</v>
      </c>
      <c r="H2528" s="9" t="s">
        <v>44</v>
      </c>
      <c r="I2528" s="11" t="s">
        <v>81</v>
      </c>
      <c r="J2528" s="9" t="s">
        <v>46</v>
      </c>
      <c r="K2528" s="9" t="s">
        <v>8583</v>
      </c>
      <c r="L2528" s="9"/>
      <c r="M2528" s="9" t="s">
        <v>8726</v>
      </c>
      <c r="N2528" s="9" t="s">
        <v>50</v>
      </c>
      <c r="O2528" s="9" t="s">
        <v>187</v>
      </c>
      <c r="P2528" s="9" t="s">
        <v>395</v>
      </c>
      <c r="Q2528" s="9"/>
      <c r="R2528" s="9" t="s">
        <v>61</v>
      </c>
      <c r="S2528" s="9" t="s">
        <v>8727</v>
      </c>
      <c r="T2528" s="9"/>
      <c r="U2528" s="9" t="s">
        <v>54</v>
      </c>
      <c r="V2528" s="9" t="s">
        <v>891</v>
      </c>
      <c r="W2528" s="9" t="s">
        <v>115</v>
      </c>
      <c r="X2528" s="9" t="s">
        <v>76</v>
      </c>
      <c r="Y2528" s="9" t="s">
        <v>77</v>
      </c>
      <c r="Z2528" s="13"/>
    </row>
    <row r="2529" spans="1:26" ht="32.25" hidden="1" customHeight="1">
      <c r="A2529" s="8">
        <v>2303800</v>
      </c>
      <c r="B2529" s="9" t="s">
        <v>8728</v>
      </c>
      <c r="C2529" s="10">
        <v>45149</v>
      </c>
      <c r="D2529" s="9" t="s">
        <v>57</v>
      </c>
      <c r="E2529" s="9" t="s">
        <v>41</v>
      </c>
      <c r="F2529" s="9" t="s">
        <v>42</v>
      </c>
      <c r="G2529" s="9" t="s">
        <v>43</v>
      </c>
      <c r="H2529" s="9" t="s">
        <v>58</v>
      </c>
      <c r="I2529" s="11" t="s">
        <v>45</v>
      </c>
      <c r="J2529" s="9" t="s">
        <v>46</v>
      </c>
      <c r="K2529" s="9" t="s">
        <v>47</v>
      </c>
      <c r="L2529" s="9" t="s">
        <v>4790</v>
      </c>
      <c r="M2529" s="9" t="s">
        <v>4791</v>
      </c>
      <c r="N2529" s="9" t="s">
        <v>84</v>
      </c>
      <c r="O2529" s="9" t="s">
        <v>51</v>
      </c>
      <c r="P2529" s="9"/>
      <c r="Q2529" s="9"/>
      <c r="R2529" s="9"/>
      <c r="S2529" s="14" t="s">
        <v>8729</v>
      </c>
      <c r="T2529" s="9" t="s">
        <v>8730</v>
      </c>
      <c r="U2529" s="9" t="s">
        <v>54</v>
      </c>
      <c r="V2529" s="9" t="s">
        <v>55</v>
      </c>
      <c r="W2529" s="9" t="s">
        <v>55</v>
      </c>
      <c r="X2529" s="12"/>
      <c r="Y2529" s="9" t="s">
        <v>55</v>
      </c>
      <c r="Z2529" s="13"/>
    </row>
    <row r="2530" spans="1:26" ht="32.25" hidden="1" customHeight="1">
      <c r="A2530" s="8">
        <v>2311646</v>
      </c>
      <c r="B2530" s="9" t="s">
        <v>8731</v>
      </c>
      <c r="C2530" s="10">
        <v>45136</v>
      </c>
      <c r="D2530" s="9" t="s">
        <v>1072</v>
      </c>
      <c r="E2530" s="9" t="s">
        <v>41</v>
      </c>
      <c r="F2530" s="9" t="s">
        <v>42</v>
      </c>
      <c r="G2530" s="9" t="s">
        <v>43</v>
      </c>
      <c r="H2530" s="9" t="s">
        <v>44</v>
      </c>
      <c r="I2530" s="11" t="s">
        <v>45</v>
      </c>
      <c r="J2530" s="9" t="s">
        <v>46</v>
      </c>
      <c r="K2530" s="9" t="s">
        <v>47</v>
      </c>
      <c r="L2530" s="9" t="s">
        <v>706</v>
      </c>
      <c r="M2530" s="9" t="s">
        <v>5851</v>
      </c>
      <c r="N2530" s="9" t="s">
        <v>84</v>
      </c>
      <c r="O2530" s="9" t="s">
        <v>51</v>
      </c>
      <c r="P2530" s="9"/>
      <c r="Q2530" s="9"/>
      <c r="R2530" s="9" t="s">
        <v>61</v>
      </c>
      <c r="S2530" s="9" t="s">
        <v>8732</v>
      </c>
      <c r="T2530" s="9" t="s">
        <v>8733</v>
      </c>
      <c r="U2530" s="9" t="s">
        <v>54</v>
      </c>
      <c r="V2530" s="9" t="s">
        <v>55</v>
      </c>
      <c r="W2530" s="9" t="s">
        <v>55</v>
      </c>
      <c r="X2530" s="9" t="s">
        <v>64</v>
      </c>
      <c r="Y2530" s="9" t="s">
        <v>65</v>
      </c>
      <c r="Z2530" s="13"/>
    </row>
    <row r="2531" spans="1:26" ht="32.25" hidden="1" customHeight="1">
      <c r="A2531" s="8">
        <v>2305536</v>
      </c>
      <c r="B2531" s="9" t="s">
        <v>8734</v>
      </c>
      <c r="C2531" s="10">
        <v>45142</v>
      </c>
      <c r="D2531" s="9" t="s">
        <v>67</v>
      </c>
      <c r="E2531" s="9" t="s">
        <v>68</v>
      </c>
      <c r="F2531" s="9" t="s">
        <v>135</v>
      </c>
      <c r="G2531" s="9" t="s">
        <v>43</v>
      </c>
      <c r="H2531" s="9" t="s">
        <v>44</v>
      </c>
      <c r="I2531" s="11" t="s">
        <v>3024</v>
      </c>
      <c r="J2531" s="9" t="s">
        <v>3025</v>
      </c>
      <c r="K2531" s="9" t="s">
        <v>47</v>
      </c>
      <c r="L2531" s="9" t="s">
        <v>574</v>
      </c>
      <c r="M2531" s="9" t="s">
        <v>8735</v>
      </c>
      <c r="N2531" s="9" t="s">
        <v>84</v>
      </c>
      <c r="O2531" s="9" t="s">
        <v>51</v>
      </c>
      <c r="P2531" s="9"/>
      <c r="Q2531" s="9"/>
      <c r="R2531" s="9" t="s">
        <v>61</v>
      </c>
      <c r="S2531" s="9" t="s">
        <v>8736</v>
      </c>
      <c r="T2531" s="9" t="s">
        <v>8737</v>
      </c>
      <c r="U2531" s="9" t="s">
        <v>54</v>
      </c>
      <c r="V2531" s="9" t="s">
        <v>55</v>
      </c>
      <c r="W2531" s="9" t="s">
        <v>55</v>
      </c>
      <c r="X2531" s="12" t="s">
        <v>76</v>
      </c>
      <c r="Y2531" s="9" t="s">
        <v>77</v>
      </c>
      <c r="Z2531" s="13"/>
    </row>
    <row r="2532" spans="1:26" ht="32.25" hidden="1" customHeight="1">
      <c r="A2532" s="8">
        <v>2303070</v>
      </c>
      <c r="B2532" s="9" t="s">
        <v>8738</v>
      </c>
      <c r="C2532" s="10">
        <v>45142</v>
      </c>
      <c r="D2532" s="9" t="s">
        <v>67</v>
      </c>
      <c r="E2532" s="9" t="s">
        <v>89</v>
      </c>
      <c r="F2532" s="9" t="s">
        <v>42</v>
      </c>
      <c r="G2532" s="9" t="s">
        <v>43</v>
      </c>
      <c r="H2532" s="9" t="s">
        <v>44</v>
      </c>
      <c r="I2532" s="11" t="s">
        <v>360</v>
      </c>
      <c r="J2532" s="9" t="s">
        <v>102</v>
      </c>
      <c r="K2532" s="9" t="s">
        <v>47</v>
      </c>
      <c r="L2532" s="9" t="s">
        <v>156</v>
      </c>
      <c r="M2532" s="9"/>
      <c r="N2532" s="9" t="s">
        <v>50</v>
      </c>
      <c r="O2532" s="9" t="s">
        <v>51</v>
      </c>
      <c r="P2532" s="9" t="s">
        <v>361</v>
      </c>
      <c r="Q2532" s="9"/>
      <c r="R2532" s="9"/>
      <c r="S2532" s="9" t="s">
        <v>8739</v>
      </c>
      <c r="T2532" s="9" t="s">
        <v>8740</v>
      </c>
      <c r="U2532" s="9" t="s">
        <v>54</v>
      </c>
      <c r="V2532" s="9" t="s">
        <v>55</v>
      </c>
      <c r="W2532" s="9" t="s">
        <v>55</v>
      </c>
      <c r="X2532" s="12"/>
      <c r="Y2532" s="9" t="s">
        <v>55</v>
      </c>
      <c r="Z2532" s="13"/>
    </row>
    <row r="2533" spans="1:26" ht="32.25" hidden="1" customHeight="1">
      <c r="A2533" s="8">
        <v>2305939</v>
      </c>
      <c r="B2533" s="9" t="s">
        <v>8741</v>
      </c>
      <c r="C2533" s="10">
        <v>45142</v>
      </c>
      <c r="D2533" s="9" t="s">
        <v>67</v>
      </c>
      <c r="E2533" s="9" t="s">
        <v>68</v>
      </c>
      <c r="F2533" s="9" t="s">
        <v>135</v>
      </c>
      <c r="G2533" s="9" t="s">
        <v>43</v>
      </c>
      <c r="H2533" s="9" t="s">
        <v>44</v>
      </c>
      <c r="I2533" s="11" t="s">
        <v>136</v>
      </c>
      <c r="J2533" s="9" t="s">
        <v>137</v>
      </c>
      <c r="K2533" s="9" t="s">
        <v>47</v>
      </c>
      <c r="L2533" s="9" t="s">
        <v>569</v>
      </c>
      <c r="M2533" s="9" t="s">
        <v>975</v>
      </c>
      <c r="N2533" s="9" t="s">
        <v>50</v>
      </c>
      <c r="O2533" s="9" t="s">
        <v>51</v>
      </c>
      <c r="P2533" s="9"/>
      <c r="Q2533" s="9"/>
      <c r="R2533" s="9" t="s">
        <v>61</v>
      </c>
      <c r="S2533" s="9" t="s">
        <v>8742</v>
      </c>
      <c r="T2533" s="9"/>
      <c r="U2533" s="9" t="s">
        <v>54</v>
      </c>
      <c r="V2533" s="9" t="s">
        <v>55</v>
      </c>
      <c r="W2533" s="9" t="s">
        <v>55</v>
      </c>
      <c r="X2533" s="12" t="s">
        <v>76</v>
      </c>
      <c r="Y2533" s="9" t="s">
        <v>77</v>
      </c>
      <c r="Z2533" s="13"/>
    </row>
    <row r="2534" spans="1:26" ht="32.25" hidden="1" customHeight="1">
      <c r="A2534" s="8">
        <v>2302066</v>
      </c>
      <c r="B2534" s="9" t="s">
        <v>8743</v>
      </c>
      <c r="C2534" s="10">
        <v>45142</v>
      </c>
      <c r="D2534" s="9" t="s">
        <v>67</v>
      </c>
      <c r="E2534" s="9" t="s">
        <v>68</v>
      </c>
      <c r="F2534" s="9" t="s">
        <v>135</v>
      </c>
      <c r="G2534" s="9" t="s">
        <v>43</v>
      </c>
      <c r="H2534" s="9" t="s">
        <v>44</v>
      </c>
      <c r="I2534" s="11" t="s">
        <v>136</v>
      </c>
      <c r="J2534" s="9" t="s">
        <v>137</v>
      </c>
      <c r="K2534" s="9" t="s">
        <v>47</v>
      </c>
      <c r="L2534" s="9" t="s">
        <v>411</v>
      </c>
      <c r="M2534" s="9" t="s">
        <v>412</v>
      </c>
      <c r="N2534" s="9" t="s">
        <v>84</v>
      </c>
      <c r="O2534" s="9" t="s">
        <v>51</v>
      </c>
      <c r="P2534" s="9"/>
      <c r="Q2534" s="9"/>
      <c r="R2534" s="9" t="s">
        <v>61</v>
      </c>
      <c r="S2534" s="9" t="s">
        <v>8744</v>
      </c>
      <c r="T2534" s="9" t="s">
        <v>8745</v>
      </c>
      <c r="U2534" s="9" t="s">
        <v>54</v>
      </c>
      <c r="V2534" s="9" t="s">
        <v>55</v>
      </c>
      <c r="W2534" s="9" t="s">
        <v>55</v>
      </c>
      <c r="X2534" s="12" t="s">
        <v>76</v>
      </c>
      <c r="Y2534" s="9" t="s">
        <v>77</v>
      </c>
      <c r="Z2534" s="13"/>
    </row>
    <row r="2535" spans="1:26" ht="32.25" hidden="1" customHeight="1">
      <c r="A2535" s="8">
        <v>2308892</v>
      </c>
      <c r="B2535" s="9" t="s">
        <v>8746</v>
      </c>
      <c r="C2535" s="10">
        <v>45142</v>
      </c>
      <c r="D2535" s="9" t="s">
        <v>67</v>
      </c>
      <c r="E2535" s="9" t="s">
        <v>89</v>
      </c>
      <c r="F2535" s="9" t="s">
        <v>42</v>
      </c>
      <c r="G2535" s="9" t="s">
        <v>43</v>
      </c>
      <c r="H2535" s="9" t="s">
        <v>44</v>
      </c>
      <c r="I2535" s="11" t="s">
        <v>354</v>
      </c>
      <c r="J2535" s="9" t="s">
        <v>91</v>
      </c>
      <c r="K2535" s="9" t="s">
        <v>47</v>
      </c>
      <c r="L2535" s="9" t="s">
        <v>1227</v>
      </c>
      <c r="M2535" s="9" t="s">
        <v>1820</v>
      </c>
      <c r="N2535" s="9" t="s">
        <v>50</v>
      </c>
      <c r="O2535" s="9" t="s">
        <v>51</v>
      </c>
      <c r="P2535" s="9" t="s">
        <v>356</v>
      </c>
      <c r="Q2535" s="9"/>
      <c r="R2535" s="9" t="s">
        <v>61</v>
      </c>
      <c r="S2535" s="9" t="s">
        <v>8747</v>
      </c>
      <c r="T2535" s="9" t="s">
        <v>8748</v>
      </c>
      <c r="U2535" s="9" t="s">
        <v>54</v>
      </c>
      <c r="V2535" s="9" t="s">
        <v>55</v>
      </c>
      <c r="W2535" s="9" t="s">
        <v>55</v>
      </c>
      <c r="X2535" s="12" t="s">
        <v>98</v>
      </c>
      <c r="Y2535" s="9" t="s">
        <v>99</v>
      </c>
      <c r="Z2535" s="13"/>
    </row>
    <row r="2536" spans="1:26" ht="32.25" hidden="1" customHeight="1">
      <c r="A2536" s="8">
        <v>2309417</v>
      </c>
      <c r="B2536" s="9" t="s">
        <v>8749</v>
      </c>
      <c r="C2536" s="10">
        <v>45156</v>
      </c>
      <c r="D2536" s="9" t="s">
        <v>565</v>
      </c>
      <c r="E2536" s="9" t="s">
        <v>295</v>
      </c>
      <c r="F2536" s="9" t="s">
        <v>42</v>
      </c>
      <c r="G2536" s="9" t="s">
        <v>43</v>
      </c>
      <c r="H2536" s="9" t="s">
        <v>58</v>
      </c>
      <c r="I2536" s="11" t="s">
        <v>406</v>
      </c>
      <c r="J2536" s="9" t="s">
        <v>407</v>
      </c>
      <c r="K2536" s="9" t="s">
        <v>47</v>
      </c>
      <c r="L2536" s="9" t="s">
        <v>799</v>
      </c>
      <c r="M2536" s="9" t="s">
        <v>8750</v>
      </c>
      <c r="N2536" s="9" t="s">
        <v>84</v>
      </c>
      <c r="O2536" s="9" t="s">
        <v>51</v>
      </c>
      <c r="P2536" s="9"/>
      <c r="Q2536" s="9"/>
      <c r="R2536" s="9" t="s">
        <v>61</v>
      </c>
      <c r="S2536" s="14" t="s">
        <v>8751</v>
      </c>
      <c r="T2536" s="9" t="s">
        <v>8752</v>
      </c>
      <c r="U2536" s="9" t="s">
        <v>54</v>
      </c>
      <c r="V2536" s="9" t="s">
        <v>55</v>
      </c>
      <c r="W2536" s="9" t="s">
        <v>55</v>
      </c>
      <c r="X2536" s="9" t="s">
        <v>319</v>
      </c>
      <c r="Y2536" s="9" t="s">
        <v>320</v>
      </c>
      <c r="Z2536" s="13"/>
    </row>
    <row r="2537" spans="1:26" ht="32.25" hidden="1" customHeight="1">
      <c r="A2537" s="8">
        <v>2304999</v>
      </c>
      <c r="B2537" s="9" t="s">
        <v>8753</v>
      </c>
      <c r="C2537" s="10">
        <v>45156</v>
      </c>
      <c r="D2537" s="9" t="s">
        <v>79</v>
      </c>
      <c r="E2537" s="9" t="s">
        <v>89</v>
      </c>
      <c r="F2537" s="9" t="s">
        <v>80</v>
      </c>
      <c r="G2537" s="9" t="s">
        <v>43</v>
      </c>
      <c r="H2537" s="9" t="s">
        <v>44</v>
      </c>
      <c r="I2537" s="11" t="s">
        <v>90</v>
      </c>
      <c r="J2537" s="9" t="s">
        <v>91</v>
      </c>
      <c r="K2537" s="9" t="s">
        <v>416</v>
      </c>
      <c r="L2537" s="9"/>
      <c r="M2537" s="9"/>
      <c r="N2537" s="9" t="s">
        <v>50</v>
      </c>
      <c r="O2537" s="9" t="s">
        <v>51</v>
      </c>
      <c r="P2537" s="9" t="s">
        <v>546</v>
      </c>
      <c r="Q2537" s="9"/>
      <c r="R2537" s="9" t="s">
        <v>61</v>
      </c>
      <c r="S2537" s="14" t="s">
        <v>8754</v>
      </c>
      <c r="T2537" s="9" t="s">
        <v>8755</v>
      </c>
      <c r="U2537" s="9" t="s">
        <v>54</v>
      </c>
      <c r="V2537" s="9" t="s">
        <v>711</v>
      </c>
      <c r="W2537" s="9" t="s">
        <v>115</v>
      </c>
      <c r="X2537" s="12" t="s">
        <v>98</v>
      </c>
      <c r="Y2537" s="9" t="s">
        <v>99</v>
      </c>
      <c r="Z2537" s="13"/>
    </row>
    <row r="2538" spans="1:26" ht="32.25" hidden="1" customHeight="1">
      <c r="A2538" s="8">
        <v>2306166</v>
      </c>
      <c r="B2538" s="9" t="s">
        <v>8756</v>
      </c>
      <c r="C2538" s="10">
        <v>45142</v>
      </c>
      <c r="D2538" s="9" t="s">
        <v>67</v>
      </c>
      <c r="E2538" s="9" t="s">
        <v>295</v>
      </c>
      <c r="F2538" s="9" t="s">
        <v>42</v>
      </c>
      <c r="G2538" s="9" t="s">
        <v>43</v>
      </c>
      <c r="H2538" s="9" t="s">
        <v>44</v>
      </c>
      <c r="I2538" s="11" t="s">
        <v>296</v>
      </c>
      <c r="J2538" s="9" t="s">
        <v>297</v>
      </c>
      <c r="K2538" s="9" t="s">
        <v>47</v>
      </c>
      <c r="L2538" s="9" t="s">
        <v>1924</v>
      </c>
      <c r="M2538" s="9" t="s">
        <v>1925</v>
      </c>
      <c r="N2538" s="9" t="s">
        <v>84</v>
      </c>
      <c r="O2538" s="9" t="s">
        <v>51</v>
      </c>
      <c r="P2538" s="9"/>
      <c r="Q2538" s="9"/>
      <c r="R2538" s="9" t="s">
        <v>61</v>
      </c>
      <c r="S2538" s="9" t="s">
        <v>8757</v>
      </c>
      <c r="T2538" s="9" t="s">
        <v>8758</v>
      </c>
      <c r="U2538" s="9" t="s">
        <v>54</v>
      </c>
      <c r="V2538" s="9" t="s">
        <v>55</v>
      </c>
      <c r="W2538" s="9" t="s">
        <v>55</v>
      </c>
      <c r="X2538" s="9" t="s">
        <v>319</v>
      </c>
      <c r="Y2538" s="9" t="s">
        <v>320</v>
      </c>
      <c r="Z2538" s="13"/>
    </row>
    <row r="2539" spans="1:26" ht="32.25" hidden="1" customHeight="1">
      <c r="A2539" s="8">
        <v>2315493</v>
      </c>
      <c r="B2539" s="9" t="s">
        <v>8756</v>
      </c>
      <c r="C2539" s="10">
        <v>45149</v>
      </c>
      <c r="D2539" s="9" t="s">
        <v>57</v>
      </c>
      <c r="E2539" s="9" t="s">
        <v>41</v>
      </c>
      <c r="F2539" s="9" t="s">
        <v>42</v>
      </c>
      <c r="G2539" s="9" t="s">
        <v>43</v>
      </c>
      <c r="H2539" s="9" t="s">
        <v>58</v>
      </c>
      <c r="I2539" s="11" t="s">
        <v>129</v>
      </c>
      <c r="J2539" s="9" t="s">
        <v>130</v>
      </c>
      <c r="K2539" s="9" t="s">
        <v>47</v>
      </c>
      <c r="L2539" s="9" t="s">
        <v>1924</v>
      </c>
      <c r="M2539" s="9" t="s">
        <v>1925</v>
      </c>
      <c r="N2539" s="9" t="s">
        <v>84</v>
      </c>
      <c r="O2539" s="9" t="s">
        <v>51</v>
      </c>
      <c r="P2539" s="9"/>
      <c r="Q2539" s="9"/>
      <c r="R2539" s="9" t="s">
        <v>61</v>
      </c>
      <c r="S2539" s="14" t="s">
        <v>8757</v>
      </c>
      <c r="T2539" s="9" t="s">
        <v>8758</v>
      </c>
      <c r="U2539" s="9" t="s">
        <v>54</v>
      </c>
      <c r="V2539" s="9" t="s">
        <v>55</v>
      </c>
      <c r="W2539" s="9" t="s">
        <v>55</v>
      </c>
      <c r="X2539" s="9" t="s">
        <v>196</v>
      </c>
      <c r="Y2539" s="9" t="s">
        <v>197</v>
      </c>
      <c r="Z2539" s="13" t="s">
        <v>230</v>
      </c>
    </row>
    <row r="2540" spans="1:26" ht="32.25" hidden="1" customHeight="1">
      <c r="A2540" s="8">
        <v>2311087</v>
      </c>
      <c r="B2540" s="9" t="s">
        <v>8759</v>
      </c>
      <c r="C2540" s="10">
        <v>45156</v>
      </c>
      <c r="D2540" s="9" t="s">
        <v>79</v>
      </c>
      <c r="E2540" s="9" t="s">
        <v>143</v>
      </c>
      <c r="F2540" s="9" t="s">
        <v>80</v>
      </c>
      <c r="G2540" s="9" t="s">
        <v>43</v>
      </c>
      <c r="H2540" s="9" t="s">
        <v>44</v>
      </c>
      <c r="I2540" s="11" t="s">
        <v>326</v>
      </c>
      <c r="J2540" s="9" t="s">
        <v>327</v>
      </c>
      <c r="K2540" s="9" t="s">
        <v>47</v>
      </c>
      <c r="L2540" s="9" t="s">
        <v>305</v>
      </c>
      <c r="M2540" s="9" t="s">
        <v>1013</v>
      </c>
      <c r="N2540" s="9" t="s">
        <v>84</v>
      </c>
      <c r="O2540" s="9" t="s">
        <v>51</v>
      </c>
      <c r="P2540" s="9" t="s">
        <v>654</v>
      </c>
      <c r="Q2540" s="9"/>
      <c r="R2540" s="9" t="s">
        <v>61</v>
      </c>
      <c r="S2540" s="14" t="s">
        <v>8760</v>
      </c>
      <c r="T2540" s="9" t="s">
        <v>8761</v>
      </c>
      <c r="U2540" s="9" t="s">
        <v>54</v>
      </c>
      <c r="V2540" s="9" t="s">
        <v>370</v>
      </c>
      <c r="W2540" s="9" t="s">
        <v>115</v>
      </c>
      <c r="X2540" s="12" t="s">
        <v>150</v>
      </c>
      <c r="Y2540" s="9" t="s">
        <v>151</v>
      </c>
      <c r="Z2540" s="13"/>
    </row>
    <row r="2541" spans="1:26" ht="32.25" hidden="1" customHeight="1">
      <c r="A2541" s="8">
        <v>2310055</v>
      </c>
      <c r="B2541" s="9" t="s">
        <v>8762</v>
      </c>
      <c r="C2541" s="10">
        <v>45149</v>
      </c>
      <c r="D2541" s="9" t="s">
        <v>261</v>
      </c>
      <c r="E2541" s="9" t="s">
        <v>143</v>
      </c>
      <c r="F2541" s="9" t="s">
        <v>262</v>
      </c>
      <c r="G2541" s="9" t="s">
        <v>43</v>
      </c>
      <c r="H2541" s="9" t="s">
        <v>44</v>
      </c>
      <c r="I2541" s="11" t="s">
        <v>384</v>
      </c>
      <c r="J2541" s="9" t="s">
        <v>385</v>
      </c>
      <c r="K2541" s="9" t="s">
        <v>47</v>
      </c>
      <c r="L2541" s="9" t="s">
        <v>822</v>
      </c>
      <c r="M2541" s="9" t="s">
        <v>8763</v>
      </c>
      <c r="N2541" s="9" t="s">
        <v>84</v>
      </c>
      <c r="O2541" s="9" t="s">
        <v>51</v>
      </c>
      <c r="P2541" s="9"/>
      <c r="Q2541" s="9"/>
      <c r="R2541" s="9" t="s">
        <v>61</v>
      </c>
      <c r="S2541" s="14" t="s">
        <v>8764</v>
      </c>
      <c r="T2541" s="9" t="s">
        <v>8765</v>
      </c>
      <c r="U2541" s="9" t="s">
        <v>262</v>
      </c>
      <c r="V2541" s="9" t="s">
        <v>370</v>
      </c>
      <c r="W2541" s="9" t="s">
        <v>115</v>
      </c>
      <c r="X2541" s="12" t="s">
        <v>389</v>
      </c>
      <c r="Y2541" s="9" t="s">
        <v>390</v>
      </c>
      <c r="Z2541" s="13"/>
    </row>
    <row r="2542" spans="1:26" ht="32.25" hidden="1" customHeight="1">
      <c r="A2542" s="8">
        <v>2303965</v>
      </c>
      <c r="B2542" s="9" t="s">
        <v>8766</v>
      </c>
      <c r="C2542" s="10">
        <v>45136</v>
      </c>
      <c r="D2542" s="9" t="s">
        <v>40</v>
      </c>
      <c r="E2542" s="9" t="s">
        <v>41</v>
      </c>
      <c r="F2542" s="9" t="s">
        <v>42</v>
      </c>
      <c r="G2542" s="9" t="s">
        <v>43</v>
      </c>
      <c r="H2542" s="9" t="s">
        <v>44</v>
      </c>
      <c r="I2542" s="11" t="s">
        <v>129</v>
      </c>
      <c r="J2542" s="9" t="s">
        <v>130</v>
      </c>
      <c r="K2542" s="9" t="s">
        <v>47</v>
      </c>
      <c r="L2542" s="9" t="s">
        <v>48</v>
      </c>
      <c r="M2542" s="9" t="s">
        <v>4304</v>
      </c>
      <c r="N2542" s="9" t="s">
        <v>84</v>
      </c>
      <c r="O2542" s="9" t="s">
        <v>51</v>
      </c>
      <c r="P2542" s="9"/>
      <c r="Q2542" s="9"/>
      <c r="R2542" s="9"/>
      <c r="S2542" s="9" t="s">
        <v>8767</v>
      </c>
      <c r="T2542" s="9" t="s">
        <v>8768</v>
      </c>
      <c r="U2542" s="9" t="s">
        <v>54</v>
      </c>
      <c r="V2542" s="9" t="s">
        <v>55</v>
      </c>
      <c r="W2542" s="9" t="s">
        <v>55</v>
      </c>
      <c r="X2542" s="12"/>
      <c r="Y2542" s="9" t="s">
        <v>55</v>
      </c>
      <c r="Z2542" s="13"/>
    </row>
    <row r="2543" spans="1:26" ht="32.25" hidden="1" customHeight="1">
      <c r="A2543" s="8">
        <v>2310231</v>
      </c>
      <c r="B2543" s="9" t="s">
        <v>8769</v>
      </c>
      <c r="C2543" s="10">
        <v>45142</v>
      </c>
      <c r="D2543" s="9" t="s">
        <v>67</v>
      </c>
      <c r="E2543" s="9" t="s">
        <v>143</v>
      </c>
      <c r="F2543" s="9" t="s">
        <v>42</v>
      </c>
      <c r="G2543" s="9" t="s">
        <v>43</v>
      </c>
      <c r="H2543" s="9" t="s">
        <v>44</v>
      </c>
      <c r="I2543" s="11" t="s">
        <v>144</v>
      </c>
      <c r="J2543" s="9" t="s">
        <v>145</v>
      </c>
      <c r="K2543" s="9" t="s">
        <v>47</v>
      </c>
      <c r="L2543" s="9" t="s">
        <v>290</v>
      </c>
      <c r="M2543" s="9" t="s">
        <v>1787</v>
      </c>
      <c r="N2543" s="9" t="s">
        <v>84</v>
      </c>
      <c r="O2543" s="9" t="s">
        <v>51</v>
      </c>
      <c r="P2543" s="9" t="s">
        <v>147</v>
      </c>
      <c r="Q2543" s="9"/>
      <c r="R2543" s="9" t="s">
        <v>61</v>
      </c>
      <c r="S2543" s="9" t="s">
        <v>8770</v>
      </c>
      <c r="T2543" s="9" t="s">
        <v>8771</v>
      </c>
      <c r="U2543" s="9" t="s">
        <v>54</v>
      </c>
      <c r="V2543" s="9" t="s">
        <v>55</v>
      </c>
      <c r="W2543" s="9" t="s">
        <v>55</v>
      </c>
      <c r="X2543" s="12" t="s">
        <v>150</v>
      </c>
      <c r="Y2543" s="9" t="s">
        <v>151</v>
      </c>
      <c r="Z2543" s="13"/>
    </row>
    <row r="2544" spans="1:26" ht="32.25" hidden="1" customHeight="1">
      <c r="A2544" s="8">
        <v>2302132</v>
      </c>
      <c r="B2544" s="9" t="s">
        <v>8772</v>
      </c>
      <c r="C2544" s="10">
        <v>45149</v>
      </c>
      <c r="D2544" s="9" t="s">
        <v>57</v>
      </c>
      <c r="E2544" s="9" t="s">
        <v>153</v>
      </c>
      <c r="F2544" s="9" t="s">
        <v>42</v>
      </c>
      <c r="G2544" s="9" t="s">
        <v>43</v>
      </c>
      <c r="H2544" s="9" t="s">
        <v>58</v>
      </c>
      <c r="I2544" s="11" t="s">
        <v>154</v>
      </c>
      <c r="J2544" s="9" t="s">
        <v>155</v>
      </c>
      <c r="K2544" s="9" t="s">
        <v>47</v>
      </c>
      <c r="L2544" s="9" t="s">
        <v>48</v>
      </c>
      <c r="M2544" s="9" t="s">
        <v>1824</v>
      </c>
      <c r="N2544" s="9" t="s">
        <v>84</v>
      </c>
      <c r="O2544" s="9" t="s">
        <v>51</v>
      </c>
      <c r="P2544" s="9"/>
      <c r="Q2544" s="9"/>
      <c r="R2544" s="9" t="s">
        <v>61</v>
      </c>
      <c r="S2544" s="14" t="s">
        <v>8773</v>
      </c>
      <c r="T2544" s="9" t="s">
        <v>8774</v>
      </c>
      <c r="U2544" s="9" t="s">
        <v>54</v>
      </c>
      <c r="V2544" s="9" t="s">
        <v>55</v>
      </c>
      <c r="W2544" s="9" t="s">
        <v>55</v>
      </c>
      <c r="X2544" s="12" t="s">
        <v>171</v>
      </c>
      <c r="Y2544" s="9" t="s">
        <v>172</v>
      </c>
      <c r="Z2544" s="13"/>
    </row>
    <row r="2545" spans="1:26" ht="32.25" hidden="1" customHeight="1">
      <c r="A2545" s="8">
        <v>2311203</v>
      </c>
      <c r="B2545" s="9" t="s">
        <v>8775</v>
      </c>
      <c r="C2545" s="10">
        <v>45149</v>
      </c>
      <c r="D2545" s="9" t="s">
        <v>57</v>
      </c>
      <c r="E2545" s="9" t="s">
        <v>41</v>
      </c>
      <c r="F2545" s="9" t="s">
        <v>42</v>
      </c>
      <c r="G2545" s="9" t="s">
        <v>43</v>
      </c>
      <c r="H2545" s="9" t="s">
        <v>58</v>
      </c>
      <c r="I2545" s="11" t="s">
        <v>129</v>
      </c>
      <c r="J2545" s="9" t="s">
        <v>130</v>
      </c>
      <c r="K2545" s="9" t="s">
        <v>47</v>
      </c>
      <c r="L2545" s="9" t="s">
        <v>156</v>
      </c>
      <c r="M2545" s="9"/>
      <c r="N2545" s="9" t="s">
        <v>50</v>
      </c>
      <c r="O2545" s="9" t="s">
        <v>51</v>
      </c>
      <c r="P2545" s="9"/>
      <c r="Q2545" s="9"/>
      <c r="R2545" s="9"/>
      <c r="S2545" s="14" t="s">
        <v>8776</v>
      </c>
      <c r="T2545" s="9" t="s">
        <v>8777</v>
      </c>
      <c r="U2545" s="9" t="s">
        <v>54</v>
      </c>
      <c r="V2545" s="9" t="s">
        <v>55</v>
      </c>
      <c r="W2545" s="9" t="s">
        <v>55</v>
      </c>
      <c r="X2545" s="12"/>
      <c r="Y2545" s="9" t="s">
        <v>55</v>
      </c>
      <c r="Z2545" s="13"/>
    </row>
    <row r="2546" spans="1:26" ht="32.25" hidden="1" customHeight="1">
      <c r="A2546" s="8">
        <v>2305054</v>
      </c>
      <c r="B2546" s="9" t="s">
        <v>8778</v>
      </c>
      <c r="C2546" s="10">
        <v>45136</v>
      </c>
      <c r="D2546" s="9" t="s">
        <v>40</v>
      </c>
      <c r="E2546" s="9" t="s">
        <v>41</v>
      </c>
      <c r="F2546" s="9" t="s">
        <v>42</v>
      </c>
      <c r="G2546" s="9" t="s">
        <v>43</v>
      </c>
      <c r="H2546" s="9" t="s">
        <v>44</v>
      </c>
      <c r="I2546" s="11" t="s">
        <v>661</v>
      </c>
      <c r="J2546" s="9" t="s">
        <v>662</v>
      </c>
      <c r="K2546" s="9" t="s">
        <v>47</v>
      </c>
      <c r="L2546" s="9" t="s">
        <v>48</v>
      </c>
      <c r="M2546" s="9" t="s">
        <v>242</v>
      </c>
      <c r="N2546" s="9" t="s">
        <v>50</v>
      </c>
      <c r="O2546" s="9" t="s">
        <v>51</v>
      </c>
      <c r="P2546" s="9"/>
      <c r="Q2546" s="9"/>
      <c r="R2546" s="9"/>
      <c r="S2546" s="9" t="s">
        <v>8779</v>
      </c>
      <c r="T2546" s="9" t="s">
        <v>8780</v>
      </c>
      <c r="U2546" s="9" t="s">
        <v>54</v>
      </c>
      <c r="V2546" s="9" t="s">
        <v>55</v>
      </c>
      <c r="W2546" s="9" t="s">
        <v>55</v>
      </c>
      <c r="X2546" s="12"/>
      <c r="Y2546" s="9" t="s">
        <v>55</v>
      </c>
      <c r="Z2546" s="13"/>
    </row>
    <row r="2547" spans="1:26" ht="32.25" hidden="1" customHeight="1">
      <c r="A2547" s="8">
        <v>2304561</v>
      </c>
      <c r="B2547" s="9" t="s">
        <v>8781</v>
      </c>
      <c r="C2547" s="10">
        <v>45142</v>
      </c>
      <c r="D2547" s="9" t="s">
        <v>67</v>
      </c>
      <c r="E2547" s="9" t="s">
        <v>68</v>
      </c>
      <c r="F2547" s="9" t="s">
        <v>135</v>
      </c>
      <c r="G2547" s="9" t="s">
        <v>43</v>
      </c>
      <c r="H2547" s="9" t="s">
        <v>44</v>
      </c>
      <c r="I2547" s="11" t="s">
        <v>136</v>
      </c>
      <c r="J2547" s="9" t="s">
        <v>137</v>
      </c>
      <c r="K2547" s="9" t="s">
        <v>47</v>
      </c>
      <c r="L2547" s="9" t="s">
        <v>425</v>
      </c>
      <c r="M2547" s="9" t="s">
        <v>2356</v>
      </c>
      <c r="N2547" s="9" t="s">
        <v>84</v>
      </c>
      <c r="O2547" s="9" t="s">
        <v>51</v>
      </c>
      <c r="P2547" s="9"/>
      <c r="Q2547" s="9"/>
      <c r="R2547" s="9" t="s">
        <v>61</v>
      </c>
      <c r="S2547" s="9" t="s">
        <v>8782</v>
      </c>
      <c r="T2547" s="9" t="s">
        <v>8783</v>
      </c>
      <c r="U2547" s="9" t="s">
        <v>54</v>
      </c>
      <c r="V2547" s="9" t="s">
        <v>55</v>
      </c>
      <c r="W2547" s="9" t="s">
        <v>55</v>
      </c>
      <c r="X2547" s="12" t="s">
        <v>76</v>
      </c>
      <c r="Y2547" s="9" t="s">
        <v>77</v>
      </c>
      <c r="Z2547" s="13"/>
    </row>
    <row r="2548" spans="1:26" ht="32.25" hidden="1" customHeight="1">
      <c r="A2548" s="8">
        <v>2300747</v>
      </c>
      <c r="B2548" s="9" t="s">
        <v>8784</v>
      </c>
      <c r="C2548" s="10">
        <v>45142</v>
      </c>
      <c r="D2548" s="9" t="s">
        <v>67</v>
      </c>
      <c r="E2548" s="9" t="s">
        <v>41</v>
      </c>
      <c r="F2548" s="9" t="s">
        <v>42</v>
      </c>
      <c r="G2548" s="9" t="s">
        <v>43</v>
      </c>
      <c r="H2548" s="9" t="s">
        <v>44</v>
      </c>
      <c r="I2548" s="11" t="s">
        <v>45</v>
      </c>
      <c r="J2548" s="9" t="s">
        <v>46</v>
      </c>
      <c r="K2548" s="9" t="s">
        <v>47</v>
      </c>
      <c r="L2548" s="9" t="s">
        <v>553</v>
      </c>
      <c r="M2548" s="9" t="s">
        <v>554</v>
      </c>
      <c r="N2548" s="9" t="s">
        <v>84</v>
      </c>
      <c r="O2548" s="9" t="s">
        <v>51</v>
      </c>
      <c r="P2548" s="9"/>
      <c r="Q2548" s="9"/>
      <c r="R2548" s="9" t="s">
        <v>61</v>
      </c>
      <c r="S2548" s="9" t="s">
        <v>8785</v>
      </c>
      <c r="T2548" s="9" t="s">
        <v>8786</v>
      </c>
      <c r="U2548" s="9" t="s">
        <v>54</v>
      </c>
      <c r="V2548" s="9" t="s">
        <v>55</v>
      </c>
      <c r="W2548" s="9" t="s">
        <v>55</v>
      </c>
      <c r="X2548" s="9" t="s">
        <v>64</v>
      </c>
      <c r="Y2548" s="9" t="s">
        <v>65</v>
      </c>
      <c r="Z2548" s="13"/>
    </row>
    <row r="2549" spans="1:26" ht="32.25" hidden="1" customHeight="1">
      <c r="A2549" s="8">
        <v>2302264</v>
      </c>
      <c r="B2549" s="9" t="s">
        <v>8787</v>
      </c>
      <c r="C2549" s="10">
        <v>45156</v>
      </c>
      <c r="D2549" s="9" t="s">
        <v>565</v>
      </c>
      <c r="E2549" s="9" t="s">
        <v>41</v>
      </c>
      <c r="F2549" s="9" t="s">
        <v>42</v>
      </c>
      <c r="G2549" s="9" t="s">
        <v>43</v>
      </c>
      <c r="H2549" s="9" t="s">
        <v>58</v>
      </c>
      <c r="I2549" s="11" t="s">
        <v>199</v>
      </c>
      <c r="J2549" s="9" t="s">
        <v>200</v>
      </c>
      <c r="K2549" s="9" t="s">
        <v>47</v>
      </c>
      <c r="L2549" s="9" t="s">
        <v>156</v>
      </c>
      <c r="M2549" s="9"/>
      <c r="N2549" s="9" t="s">
        <v>84</v>
      </c>
      <c r="O2549" s="9" t="s">
        <v>51</v>
      </c>
      <c r="P2549" s="9"/>
      <c r="Q2549" s="9"/>
      <c r="R2549" s="9"/>
      <c r="S2549" s="14" t="s">
        <v>8788</v>
      </c>
      <c r="T2549" s="9" t="s">
        <v>8789</v>
      </c>
      <c r="U2549" s="9" t="s">
        <v>54</v>
      </c>
      <c r="V2549" s="9" t="s">
        <v>55</v>
      </c>
      <c r="W2549" s="9" t="s">
        <v>55</v>
      </c>
      <c r="X2549" s="12"/>
      <c r="Y2549" s="9" t="s">
        <v>55</v>
      </c>
      <c r="Z2549" s="13"/>
    </row>
    <row r="2550" spans="1:26" ht="32.25" hidden="1" customHeight="1">
      <c r="A2550" s="8">
        <v>2302243</v>
      </c>
      <c r="B2550" s="9" t="s">
        <v>8790</v>
      </c>
      <c r="C2550" s="10">
        <v>45156</v>
      </c>
      <c r="D2550" s="9" t="s">
        <v>565</v>
      </c>
      <c r="E2550" s="9" t="s">
        <v>41</v>
      </c>
      <c r="F2550" s="9" t="s">
        <v>42</v>
      </c>
      <c r="G2550" s="9" t="s">
        <v>43</v>
      </c>
      <c r="H2550" s="9" t="s">
        <v>58</v>
      </c>
      <c r="I2550" s="11" t="s">
        <v>199</v>
      </c>
      <c r="J2550" s="9" t="s">
        <v>200</v>
      </c>
      <c r="K2550" s="9" t="s">
        <v>47</v>
      </c>
      <c r="L2550" s="9" t="s">
        <v>156</v>
      </c>
      <c r="M2550" s="9"/>
      <c r="N2550" s="9" t="s">
        <v>84</v>
      </c>
      <c r="O2550" s="9" t="s">
        <v>51</v>
      </c>
      <c r="P2550" s="9"/>
      <c r="Q2550" s="9"/>
      <c r="R2550" s="9"/>
      <c r="S2550" s="14" t="s">
        <v>8791</v>
      </c>
      <c r="T2550" s="9" t="s">
        <v>8792</v>
      </c>
      <c r="U2550" s="9" t="s">
        <v>54</v>
      </c>
      <c r="V2550" s="9" t="s">
        <v>55</v>
      </c>
      <c r="W2550" s="9" t="s">
        <v>55</v>
      </c>
      <c r="X2550" s="12"/>
      <c r="Y2550" s="9" t="s">
        <v>55</v>
      </c>
      <c r="Z2550" s="13"/>
    </row>
    <row r="2551" spans="1:26" ht="32.25" hidden="1" customHeight="1">
      <c r="A2551" s="8">
        <v>2301127</v>
      </c>
      <c r="B2551" s="9" t="s">
        <v>8793</v>
      </c>
      <c r="C2551" s="10">
        <v>45142</v>
      </c>
      <c r="D2551" s="9" t="s">
        <v>67</v>
      </c>
      <c r="E2551" s="9" t="s">
        <v>143</v>
      </c>
      <c r="F2551" s="9" t="s">
        <v>42</v>
      </c>
      <c r="G2551" s="9" t="s">
        <v>43</v>
      </c>
      <c r="H2551" s="9" t="s">
        <v>44</v>
      </c>
      <c r="I2551" s="11" t="s">
        <v>334</v>
      </c>
      <c r="J2551" s="9" t="s">
        <v>327</v>
      </c>
      <c r="K2551" s="9" t="s">
        <v>47</v>
      </c>
      <c r="L2551" s="9" t="s">
        <v>156</v>
      </c>
      <c r="M2551" s="9"/>
      <c r="N2551" s="9" t="s">
        <v>84</v>
      </c>
      <c r="O2551" s="9" t="s">
        <v>51</v>
      </c>
      <c r="P2551" s="9" t="s">
        <v>336</v>
      </c>
      <c r="Q2551" s="9"/>
      <c r="R2551" s="9"/>
      <c r="S2551" s="9" t="s">
        <v>8794</v>
      </c>
      <c r="T2551" s="9" t="s">
        <v>8795</v>
      </c>
      <c r="U2551" s="9" t="s">
        <v>54</v>
      </c>
      <c r="V2551" s="9" t="s">
        <v>55</v>
      </c>
      <c r="W2551" s="9" t="s">
        <v>55</v>
      </c>
      <c r="X2551" s="12"/>
      <c r="Y2551" s="9" t="s">
        <v>55</v>
      </c>
      <c r="Z2551" s="13"/>
    </row>
    <row r="2552" spans="1:26" ht="32.25" hidden="1" customHeight="1">
      <c r="A2552" s="8">
        <v>2306906</v>
      </c>
      <c r="B2552" s="9" t="s">
        <v>8796</v>
      </c>
      <c r="C2552" s="10">
        <v>45156</v>
      </c>
      <c r="D2552" s="9" t="s">
        <v>79</v>
      </c>
      <c r="E2552" s="9" t="s">
        <v>143</v>
      </c>
      <c r="F2552" s="9" t="s">
        <v>80</v>
      </c>
      <c r="G2552" s="9" t="s">
        <v>43</v>
      </c>
      <c r="H2552" s="9" t="s">
        <v>44</v>
      </c>
      <c r="I2552" s="11" t="s">
        <v>326</v>
      </c>
      <c r="J2552" s="9" t="s">
        <v>327</v>
      </c>
      <c r="K2552" s="9" t="s">
        <v>47</v>
      </c>
      <c r="L2552" s="9" t="s">
        <v>863</v>
      </c>
      <c r="M2552" s="9" t="s">
        <v>1396</v>
      </c>
      <c r="N2552" s="9" t="s">
        <v>50</v>
      </c>
      <c r="O2552" s="9" t="s">
        <v>51</v>
      </c>
      <c r="P2552" s="9" t="s">
        <v>953</v>
      </c>
      <c r="Q2552" s="9"/>
      <c r="R2552" s="9" t="s">
        <v>61</v>
      </c>
      <c r="S2552" s="14" t="s">
        <v>8797</v>
      </c>
      <c r="T2552" s="9" t="s">
        <v>8798</v>
      </c>
      <c r="U2552" s="9" t="s">
        <v>54</v>
      </c>
      <c r="V2552" s="9" t="s">
        <v>370</v>
      </c>
      <c r="W2552" s="9" t="s">
        <v>115</v>
      </c>
      <c r="X2552" s="12" t="s">
        <v>150</v>
      </c>
      <c r="Y2552" s="9" t="s">
        <v>151</v>
      </c>
      <c r="Z2552" s="13"/>
    </row>
    <row r="2553" spans="1:26" ht="32.25" hidden="1" customHeight="1">
      <c r="A2553" s="8">
        <v>2302728</v>
      </c>
      <c r="B2553" s="9" t="s">
        <v>8799</v>
      </c>
      <c r="C2553" s="10">
        <v>45149</v>
      </c>
      <c r="D2553" s="9" t="s">
        <v>57</v>
      </c>
      <c r="E2553" s="9" t="s">
        <v>41</v>
      </c>
      <c r="F2553" s="9" t="s">
        <v>42</v>
      </c>
      <c r="G2553" s="9" t="s">
        <v>43</v>
      </c>
      <c r="H2553" s="9" t="s">
        <v>58</v>
      </c>
      <c r="I2553" s="11" t="s">
        <v>129</v>
      </c>
      <c r="J2553" s="9" t="s">
        <v>130</v>
      </c>
      <c r="K2553" s="9" t="s">
        <v>47</v>
      </c>
      <c r="L2553" s="9" t="s">
        <v>156</v>
      </c>
      <c r="M2553" s="9"/>
      <c r="N2553" s="9" t="s">
        <v>84</v>
      </c>
      <c r="O2553" s="9" t="s">
        <v>51</v>
      </c>
      <c r="P2553" s="9"/>
      <c r="Q2553" s="9"/>
      <c r="R2553" s="9"/>
      <c r="S2553" s="14" t="s">
        <v>8800</v>
      </c>
      <c r="T2553" s="9" t="s">
        <v>8801</v>
      </c>
      <c r="U2553" s="9" t="s">
        <v>54</v>
      </c>
      <c r="V2553" s="9" t="s">
        <v>55</v>
      </c>
      <c r="W2553" s="9" t="s">
        <v>55</v>
      </c>
      <c r="X2553" s="12"/>
      <c r="Y2553" s="9" t="s">
        <v>55</v>
      </c>
      <c r="Z2553" s="13"/>
    </row>
    <row r="2554" spans="1:26" ht="32.25" hidden="1" customHeight="1">
      <c r="A2554" s="8">
        <v>2300661</v>
      </c>
      <c r="B2554" s="9" t="s">
        <v>8802</v>
      </c>
      <c r="C2554" s="10">
        <v>45136</v>
      </c>
      <c r="D2554" s="9" t="s">
        <v>40</v>
      </c>
      <c r="E2554" s="9" t="s">
        <v>143</v>
      </c>
      <c r="F2554" s="9" t="s">
        <v>42</v>
      </c>
      <c r="G2554" s="9" t="s">
        <v>43</v>
      </c>
      <c r="H2554" s="9" t="s">
        <v>44</v>
      </c>
      <c r="I2554" s="11" t="s">
        <v>596</v>
      </c>
      <c r="J2554" s="9" t="s">
        <v>597</v>
      </c>
      <c r="K2554" s="9" t="s">
        <v>47</v>
      </c>
      <c r="L2554" s="9" t="s">
        <v>138</v>
      </c>
      <c r="M2554" s="9" t="s">
        <v>3938</v>
      </c>
      <c r="N2554" s="9" t="s">
        <v>84</v>
      </c>
      <c r="O2554" s="9" t="s">
        <v>51</v>
      </c>
      <c r="P2554" s="9"/>
      <c r="Q2554" s="9"/>
      <c r="R2554" s="9" t="s">
        <v>61</v>
      </c>
      <c r="S2554" s="9" t="s">
        <v>8803</v>
      </c>
      <c r="T2554" s="9" t="s">
        <v>8804</v>
      </c>
      <c r="U2554" s="9" t="s">
        <v>54</v>
      </c>
      <c r="V2554" s="9" t="s">
        <v>55</v>
      </c>
      <c r="W2554" s="9" t="s">
        <v>55</v>
      </c>
      <c r="X2554" s="12" t="s">
        <v>171</v>
      </c>
      <c r="Y2554" s="9" t="s">
        <v>172</v>
      </c>
      <c r="Z2554" s="13"/>
    </row>
    <row r="2555" spans="1:26" ht="32.25" hidden="1" customHeight="1">
      <c r="A2555" s="8">
        <v>2305933</v>
      </c>
      <c r="B2555" s="9" t="s">
        <v>8805</v>
      </c>
      <c r="C2555" s="10">
        <v>45142</v>
      </c>
      <c r="D2555" s="9" t="s">
        <v>67</v>
      </c>
      <c r="E2555" s="9" t="s">
        <v>295</v>
      </c>
      <c r="F2555" s="9" t="s">
        <v>42</v>
      </c>
      <c r="G2555" s="9" t="s">
        <v>43</v>
      </c>
      <c r="H2555" s="9" t="s">
        <v>44</v>
      </c>
      <c r="I2555" s="11" t="s">
        <v>296</v>
      </c>
      <c r="J2555" s="9" t="s">
        <v>297</v>
      </c>
      <c r="K2555" s="9" t="s">
        <v>47</v>
      </c>
      <c r="L2555" s="9" t="s">
        <v>167</v>
      </c>
      <c r="M2555" s="9" t="s">
        <v>168</v>
      </c>
      <c r="N2555" s="9" t="s">
        <v>84</v>
      </c>
      <c r="O2555" s="9" t="s">
        <v>51</v>
      </c>
      <c r="P2555" s="9"/>
      <c r="Q2555" s="9"/>
      <c r="R2555" s="9" t="s">
        <v>61</v>
      </c>
      <c r="S2555" s="9" t="s">
        <v>8806</v>
      </c>
      <c r="T2555" s="9" t="s">
        <v>8807</v>
      </c>
      <c r="U2555" s="9" t="s">
        <v>54</v>
      </c>
      <c r="V2555" s="9" t="s">
        <v>55</v>
      </c>
      <c r="W2555" s="9" t="s">
        <v>55</v>
      </c>
      <c r="X2555" s="9" t="s">
        <v>319</v>
      </c>
      <c r="Y2555" s="9" t="s">
        <v>320</v>
      </c>
      <c r="Z2555" s="13"/>
    </row>
    <row r="2556" spans="1:26" ht="32.25" hidden="1" customHeight="1">
      <c r="A2556" s="8">
        <v>2314614</v>
      </c>
      <c r="B2556" s="9" t="s">
        <v>8808</v>
      </c>
      <c r="C2556" s="10">
        <v>45156</v>
      </c>
      <c r="D2556" s="9" t="s">
        <v>79</v>
      </c>
      <c r="E2556" s="9" t="s">
        <v>89</v>
      </c>
      <c r="F2556" s="9" t="s">
        <v>80</v>
      </c>
      <c r="G2556" s="9" t="s">
        <v>43</v>
      </c>
      <c r="H2556" s="9" t="s">
        <v>44</v>
      </c>
      <c r="I2556" s="11" t="s">
        <v>101</v>
      </c>
      <c r="J2556" s="9" t="s">
        <v>102</v>
      </c>
      <c r="K2556" s="9" t="s">
        <v>47</v>
      </c>
      <c r="L2556" s="9" t="s">
        <v>48</v>
      </c>
      <c r="M2556" s="9" t="s">
        <v>1366</v>
      </c>
      <c r="N2556" s="9" t="s">
        <v>50</v>
      </c>
      <c r="O2556" s="9" t="s">
        <v>51</v>
      </c>
      <c r="P2556" s="9" t="s">
        <v>104</v>
      </c>
      <c r="Q2556" s="9"/>
      <c r="R2556" s="9"/>
      <c r="S2556" s="14" t="s">
        <v>8809</v>
      </c>
      <c r="T2556" s="9" t="s">
        <v>8810</v>
      </c>
      <c r="U2556" s="9" t="s">
        <v>54</v>
      </c>
      <c r="V2556" s="9" t="s">
        <v>55</v>
      </c>
      <c r="W2556" s="9" t="s">
        <v>115</v>
      </c>
      <c r="X2556" s="12"/>
      <c r="Y2556" s="9" t="s">
        <v>55</v>
      </c>
      <c r="Z2556" s="13"/>
    </row>
    <row r="2557" spans="1:26" ht="32.25" hidden="1" customHeight="1">
      <c r="A2557" s="8">
        <v>2311257</v>
      </c>
      <c r="B2557" s="9" t="s">
        <v>8811</v>
      </c>
      <c r="C2557" s="10">
        <v>45136</v>
      </c>
      <c r="D2557" s="9" t="s">
        <v>1072</v>
      </c>
      <c r="E2557" s="9" t="s">
        <v>41</v>
      </c>
      <c r="F2557" s="9" t="s">
        <v>42</v>
      </c>
      <c r="G2557" s="9" t="s">
        <v>43</v>
      </c>
      <c r="H2557" s="9" t="s">
        <v>44</v>
      </c>
      <c r="I2557" s="11" t="s">
        <v>45</v>
      </c>
      <c r="J2557" s="9" t="s">
        <v>46</v>
      </c>
      <c r="K2557" s="9" t="s">
        <v>47</v>
      </c>
      <c r="L2557" s="9" t="s">
        <v>156</v>
      </c>
      <c r="M2557" s="9"/>
      <c r="N2557" s="9" t="s">
        <v>84</v>
      </c>
      <c r="O2557" s="9" t="s">
        <v>51</v>
      </c>
      <c r="P2557" s="9"/>
      <c r="Q2557" s="9"/>
      <c r="R2557" s="9"/>
      <c r="S2557" s="9" t="s">
        <v>8812</v>
      </c>
      <c r="T2557" s="9" t="s">
        <v>8813</v>
      </c>
      <c r="U2557" s="9" t="s">
        <v>54</v>
      </c>
      <c r="V2557" s="9" t="s">
        <v>55</v>
      </c>
      <c r="W2557" s="9" t="s">
        <v>55</v>
      </c>
      <c r="X2557" s="12"/>
      <c r="Y2557" s="9" t="s">
        <v>55</v>
      </c>
      <c r="Z2557" s="13"/>
    </row>
    <row r="2558" spans="1:26" ht="32.25" hidden="1" customHeight="1">
      <c r="A2558" s="8">
        <v>2311224</v>
      </c>
      <c r="B2558" s="9" t="s">
        <v>8814</v>
      </c>
      <c r="C2558" s="10">
        <v>45149</v>
      </c>
      <c r="D2558" s="9" t="s">
        <v>57</v>
      </c>
      <c r="E2558" s="9" t="s">
        <v>41</v>
      </c>
      <c r="F2558" s="9" t="s">
        <v>42</v>
      </c>
      <c r="G2558" s="9" t="s">
        <v>43</v>
      </c>
      <c r="H2558" s="9" t="s">
        <v>58</v>
      </c>
      <c r="I2558" s="11" t="s">
        <v>1073</v>
      </c>
      <c r="J2558" s="9" t="s">
        <v>479</v>
      </c>
      <c r="K2558" s="9" t="s">
        <v>47</v>
      </c>
      <c r="L2558" s="9" t="s">
        <v>305</v>
      </c>
      <c r="M2558" s="9" t="s">
        <v>8815</v>
      </c>
      <c r="N2558" s="9" t="s">
        <v>50</v>
      </c>
      <c r="O2558" s="9" t="s">
        <v>51</v>
      </c>
      <c r="P2558" s="9"/>
      <c r="Q2558" s="9"/>
      <c r="R2558" s="9" t="s">
        <v>61</v>
      </c>
      <c r="S2558" s="14" t="s">
        <v>8816</v>
      </c>
      <c r="T2558" s="9" t="s">
        <v>8817</v>
      </c>
      <c r="U2558" s="9" t="s">
        <v>54</v>
      </c>
      <c r="V2558" s="9" t="s">
        <v>55</v>
      </c>
      <c r="W2558" s="9" t="s">
        <v>55</v>
      </c>
      <c r="X2558" s="9" t="s">
        <v>196</v>
      </c>
      <c r="Y2558" s="9" t="s">
        <v>197</v>
      </c>
      <c r="Z2558" s="13"/>
    </row>
    <row r="2559" spans="1:26" ht="32.25" hidden="1" customHeight="1">
      <c r="A2559" s="8">
        <v>2301696</v>
      </c>
      <c r="B2559" s="9" t="s">
        <v>8818</v>
      </c>
      <c r="C2559" s="10">
        <v>45142</v>
      </c>
      <c r="D2559" s="9" t="s">
        <v>67</v>
      </c>
      <c r="E2559" s="9" t="s">
        <v>143</v>
      </c>
      <c r="F2559" s="9" t="s">
        <v>42</v>
      </c>
      <c r="G2559" s="9" t="s">
        <v>43</v>
      </c>
      <c r="H2559" s="9" t="s">
        <v>44</v>
      </c>
      <c r="I2559" s="11" t="s">
        <v>219</v>
      </c>
      <c r="J2559" s="9" t="s">
        <v>220</v>
      </c>
      <c r="K2559" s="9" t="s">
        <v>47</v>
      </c>
      <c r="L2559" s="9" t="s">
        <v>138</v>
      </c>
      <c r="M2559" s="9" t="s">
        <v>2607</v>
      </c>
      <c r="N2559" s="9" t="s">
        <v>84</v>
      </c>
      <c r="O2559" s="9" t="s">
        <v>51</v>
      </c>
      <c r="P2559" s="9"/>
      <c r="Q2559" s="9"/>
      <c r="R2559" s="9" t="s">
        <v>61</v>
      </c>
      <c r="S2559" s="9" t="s">
        <v>8819</v>
      </c>
      <c r="T2559" s="9" t="s">
        <v>8820</v>
      </c>
      <c r="U2559" s="9" t="s">
        <v>54</v>
      </c>
      <c r="V2559" s="9" t="s">
        <v>55</v>
      </c>
      <c r="W2559" s="9" t="s">
        <v>55</v>
      </c>
      <c r="X2559" s="12" t="s">
        <v>171</v>
      </c>
      <c r="Y2559" s="9" t="s">
        <v>172</v>
      </c>
      <c r="Z2559" s="13"/>
    </row>
    <row r="2560" spans="1:26" ht="32.25" hidden="1" customHeight="1">
      <c r="A2560" s="8">
        <v>2302442</v>
      </c>
      <c r="B2560" s="9" t="s">
        <v>8821</v>
      </c>
      <c r="C2560" s="10">
        <v>45156</v>
      </c>
      <c r="D2560" s="9" t="s">
        <v>79</v>
      </c>
      <c r="E2560" s="9" t="s">
        <v>143</v>
      </c>
      <c r="F2560" s="9" t="s">
        <v>80</v>
      </c>
      <c r="G2560" s="9" t="s">
        <v>43</v>
      </c>
      <c r="H2560" s="9" t="s">
        <v>44</v>
      </c>
      <c r="I2560" s="11" t="s">
        <v>326</v>
      </c>
      <c r="J2560" s="9" t="s">
        <v>327</v>
      </c>
      <c r="K2560" s="9" t="s">
        <v>47</v>
      </c>
      <c r="L2560" s="9" t="s">
        <v>586</v>
      </c>
      <c r="M2560" s="9" t="s">
        <v>918</v>
      </c>
      <c r="N2560" s="9" t="s">
        <v>84</v>
      </c>
      <c r="O2560" s="9" t="s">
        <v>51</v>
      </c>
      <c r="P2560" s="9" t="s">
        <v>1029</v>
      </c>
      <c r="Q2560" s="9"/>
      <c r="R2560" s="9" t="s">
        <v>61</v>
      </c>
      <c r="S2560" s="14" t="s">
        <v>8822</v>
      </c>
      <c r="T2560" s="9" t="s">
        <v>8823</v>
      </c>
      <c r="U2560" s="9" t="s">
        <v>54</v>
      </c>
      <c r="V2560" s="9" t="s">
        <v>370</v>
      </c>
      <c r="W2560" s="9" t="s">
        <v>115</v>
      </c>
      <c r="X2560" s="12" t="s">
        <v>150</v>
      </c>
      <c r="Y2560" s="9" t="s">
        <v>151</v>
      </c>
      <c r="Z2560" s="13"/>
    </row>
    <row r="2561" spans="1:26" ht="32.25" hidden="1" customHeight="1">
      <c r="A2561" s="8">
        <v>2308776</v>
      </c>
      <c r="B2561" s="9" t="s">
        <v>8824</v>
      </c>
      <c r="C2561" s="10">
        <v>45156</v>
      </c>
      <c r="D2561" s="9" t="s">
        <v>79</v>
      </c>
      <c r="E2561" s="9" t="s">
        <v>89</v>
      </c>
      <c r="F2561" s="9" t="s">
        <v>80</v>
      </c>
      <c r="G2561" s="9" t="s">
        <v>43</v>
      </c>
      <c r="H2561" s="9" t="s">
        <v>44</v>
      </c>
      <c r="I2561" s="11" t="s">
        <v>101</v>
      </c>
      <c r="J2561" s="9" t="s">
        <v>102</v>
      </c>
      <c r="K2561" s="9" t="s">
        <v>47</v>
      </c>
      <c r="L2561" s="9" t="s">
        <v>82</v>
      </c>
      <c r="M2561" s="9" t="s">
        <v>257</v>
      </c>
      <c r="N2561" s="9" t="s">
        <v>50</v>
      </c>
      <c r="O2561" s="9" t="s">
        <v>51</v>
      </c>
      <c r="P2561" s="9" t="s">
        <v>104</v>
      </c>
      <c r="Q2561" s="9"/>
      <c r="R2561" s="9" t="s">
        <v>61</v>
      </c>
      <c r="S2561" s="14" t="s">
        <v>8825</v>
      </c>
      <c r="T2561" s="9" t="s">
        <v>8826</v>
      </c>
      <c r="U2561" s="9" t="s">
        <v>54</v>
      </c>
      <c r="V2561" s="9" t="s">
        <v>318</v>
      </c>
      <c r="W2561" s="9" t="s">
        <v>115</v>
      </c>
      <c r="X2561" s="12" t="s">
        <v>319</v>
      </c>
      <c r="Y2561" s="9" t="s">
        <v>320</v>
      </c>
      <c r="Z2561" s="13"/>
    </row>
    <row r="2562" spans="1:26" ht="32.25" hidden="1" customHeight="1">
      <c r="A2562" s="8">
        <v>2312614</v>
      </c>
      <c r="B2562" s="9" t="s">
        <v>8827</v>
      </c>
      <c r="C2562" s="10">
        <v>45156</v>
      </c>
      <c r="D2562" s="9" t="s">
        <v>79</v>
      </c>
      <c r="E2562" s="9" t="s">
        <v>41</v>
      </c>
      <c r="F2562" s="9" t="s">
        <v>80</v>
      </c>
      <c r="G2562" s="9" t="s">
        <v>43</v>
      </c>
      <c r="H2562" s="9" t="s">
        <v>44</v>
      </c>
      <c r="I2562" s="11" t="s">
        <v>478</v>
      </c>
      <c r="J2562" s="9" t="s">
        <v>479</v>
      </c>
      <c r="K2562" s="9" t="s">
        <v>47</v>
      </c>
      <c r="L2562" s="9" t="s">
        <v>799</v>
      </c>
      <c r="M2562" s="9" t="s">
        <v>1490</v>
      </c>
      <c r="N2562" s="9" t="s">
        <v>50</v>
      </c>
      <c r="O2562" s="9" t="s">
        <v>51</v>
      </c>
      <c r="P2562" s="9" t="s">
        <v>1414</v>
      </c>
      <c r="Q2562" s="9"/>
      <c r="R2562" s="9"/>
      <c r="S2562" s="14" t="s">
        <v>8828</v>
      </c>
      <c r="T2562" s="9" t="s">
        <v>8829</v>
      </c>
      <c r="U2562" s="9" t="s">
        <v>54</v>
      </c>
      <c r="V2562" s="9" t="s">
        <v>55</v>
      </c>
      <c r="W2562" s="9" t="s">
        <v>55</v>
      </c>
      <c r="X2562" s="12"/>
      <c r="Y2562" s="9" t="s">
        <v>55</v>
      </c>
      <c r="Z2562" s="13"/>
    </row>
    <row r="2563" spans="1:26" ht="32.25" hidden="1" customHeight="1">
      <c r="A2563" s="8">
        <v>2304153</v>
      </c>
      <c r="B2563" s="9" t="s">
        <v>8830</v>
      </c>
      <c r="C2563" s="10">
        <v>45156</v>
      </c>
      <c r="D2563" s="9" t="s">
        <v>79</v>
      </c>
      <c r="E2563" s="9" t="s">
        <v>295</v>
      </c>
      <c r="F2563" s="9" t="s">
        <v>80</v>
      </c>
      <c r="G2563" s="9" t="s">
        <v>43</v>
      </c>
      <c r="H2563" s="9" t="s">
        <v>44</v>
      </c>
      <c r="I2563" s="11" t="s">
        <v>1600</v>
      </c>
      <c r="J2563" s="9" t="s">
        <v>407</v>
      </c>
      <c r="K2563" s="9" t="s">
        <v>47</v>
      </c>
      <c r="L2563" s="9" t="s">
        <v>156</v>
      </c>
      <c r="M2563" s="9"/>
      <c r="N2563" s="9" t="s">
        <v>50</v>
      </c>
      <c r="O2563" s="9" t="s">
        <v>51</v>
      </c>
      <c r="P2563" s="9" t="s">
        <v>3946</v>
      </c>
      <c r="Q2563" s="9"/>
      <c r="R2563" s="9"/>
      <c r="S2563" s="14" t="s">
        <v>8831</v>
      </c>
      <c r="T2563" s="9" t="s">
        <v>8832</v>
      </c>
      <c r="U2563" s="9" t="s">
        <v>54</v>
      </c>
      <c r="V2563" s="9"/>
      <c r="W2563" s="9" t="s">
        <v>115</v>
      </c>
      <c r="X2563" s="12"/>
      <c r="Y2563" s="9" t="s">
        <v>55</v>
      </c>
      <c r="Z2563" s="13"/>
    </row>
    <row r="2564" spans="1:26" ht="32.25" hidden="1" customHeight="1">
      <c r="A2564" s="8">
        <v>2303811</v>
      </c>
      <c r="B2564" s="9" t="s">
        <v>8833</v>
      </c>
      <c r="C2564" s="10">
        <v>45149</v>
      </c>
      <c r="D2564" s="9" t="s">
        <v>261</v>
      </c>
      <c r="E2564" s="9" t="s">
        <v>143</v>
      </c>
      <c r="F2564" s="9" t="s">
        <v>262</v>
      </c>
      <c r="G2564" s="9" t="s">
        <v>43</v>
      </c>
      <c r="H2564" s="9" t="s">
        <v>44</v>
      </c>
      <c r="I2564" s="11" t="s">
        <v>384</v>
      </c>
      <c r="J2564" s="9" t="s">
        <v>385</v>
      </c>
      <c r="K2564" s="9" t="s">
        <v>47</v>
      </c>
      <c r="L2564" s="9" t="s">
        <v>156</v>
      </c>
      <c r="M2564" s="9"/>
      <c r="N2564" s="9" t="s">
        <v>50</v>
      </c>
      <c r="O2564" s="9" t="s">
        <v>51</v>
      </c>
      <c r="P2564" s="9"/>
      <c r="Q2564" s="9"/>
      <c r="R2564" s="9"/>
      <c r="S2564" s="14" t="s">
        <v>8834</v>
      </c>
      <c r="T2564" s="9" t="s">
        <v>8835</v>
      </c>
      <c r="U2564" s="9" t="s">
        <v>262</v>
      </c>
      <c r="V2564" s="9"/>
      <c r="W2564" s="9" t="s">
        <v>115</v>
      </c>
      <c r="X2564" s="12"/>
      <c r="Y2564" s="9" t="s">
        <v>55</v>
      </c>
      <c r="Z2564" s="13"/>
    </row>
    <row r="2565" spans="1:26" ht="32.25" hidden="1" customHeight="1">
      <c r="A2565" s="8">
        <v>2306174</v>
      </c>
      <c r="B2565" s="9" t="s">
        <v>8836</v>
      </c>
      <c r="C2565" s="10">
        <v>45149</v>
      </c>
      <c r="D2565" s="9" t="s">
        <v>57</v>
      </c>
      <c r="E2565" s="9" t="s">
        <v>153</v>
      </c>
      <c r="F2565" s="9" t="s">
        <v>42</v>
      </c>
      <c r="G2565" s="9" t="s">
        <v>43</v>
      </c>
      <c r="H2565" s="9" t="s">
        <v>58</v>
      </c>
      <c r="I2565" s="11" t="s">
        <v>154</v>
      </c>
      <c r="J2565" s="9" t="s">
        <v>155</v>
      </c>
      <c r="K2565" s="9" t="s">
        <v>47</v>
      </c>
      <c r="L2565" s="9" t="s">
        <v>846</v>
      </c>
      <c r="M2565" s="9" t="s">
        <v>1081</v>
      </c>
      <c r="N2565" s="9" t="s">
        <v>50</v>
      </c>
      <c r="O2565" s="9" t="s">
        <v>51</v>
      </c>
      <c r="P2565" s="9"/>
      <c r="Q2565" s="9"/>
      <c r="R2565" s="9" t="s">
        <v>61</v>
      </c>
      <c r="S2565" s="14" t="s">
        <v>8837</v>
      </c>
      <c r="T2565" s="9" t="s">
        <v>8838</v>
      </c>
      <c r="U2565" s="9" t="s">
        <v>54</v>
      </c>
      <c r="V2565" s="9" t="s">
        <v>55</v>
      </c>
      <c r="W2565" s="9" t="s">
        <v>55</v>
      </c>
      <c r="X2565" s="12" t="s">
        <v>171</v>
      </c>
      <c r="Y2565" s="9" t="s">
        <v>172</v>
      </c>
      <c r="Z2565" s="13"/>
    </row>
    <row r="2566" spans="1:26" ht="32.25" hidden="1" customHeight="1">
      <c r="A2566" s="8">
        <v>2307514</v>
      </c>
      <c r="B2566" s="9" t="s">
        <v>8839</v>
      </c>
      <c r="C2566" s="10">
        <v>45142</v>
      </c>
      <c r="D2566" s="9" t="s">
        <v>67</v>
      </c>
      <c r="E2566" s="9" t="s">
        <v>295</v>
      </c>
      <c r="F2566" s="9" t="s">
        <v>42</v>
      </c>
      <c r="G2566" s="9" t="s">
        <v>43</v>
      </c>
      <c r="H2566" s="9" t="s">
        <v>44</v>
      </c>
      <c r="I2566" s="11" t="s">
        <v>406</v>
      </c>
      <c r="J2566" s="9" t="s">
        <v>407</v>
      </c>
      <c r="K2566" s="9" t="s">
        <v>47</v>
      </c>
      <c r="L2566" s="9" t="s">
        <v>340</v>
      </c>
      <c r="M2566" s="9" t="s">
        <v>1297</v>
      </c>
      <c r="N2566" s="9" t="s">
        <v>84</v>
      </c>
      <c r="O2566" s="9" t="s">
        <v>51</v>
      </c>
      <c r="P2566" s="9"/>
      <c r="Q2566" s="9"/>
      <c r="R2566" s="9" t="s">
        <v>61</v>
      </c>
      <c r="S2566" s="9" t="s">
        <v>8840</v>
      </c>
      <c r="T2566" s="9" t="s">
        <v>8841</v>
      </c>
      <c r="U2566" s="9" t="s">
        <v>54</v>
      </c>
      <c r="V2566" s="9" t="s">
        <v>55</v>
      </c>
      <c r="W2566" s="9" t="s">
        <v>55</v>
      </c>
      <c r="X2566" s="9" t="s">
        <v>319</v>
      </c>
      <c r="Y2566" s="9" t="s">
        <v>320</v>
      </c>
      <c r="Z2566" s="13"/>
    </row>
    <row r="2567" spans="1:26" ht="32.25" hidden="1" customHeight="1">
      <c r="A2567" s="8">
        <v>2300353</v>
      </c>
      <c r="B2567" s="9" t="s">
        <v>8842</v>
      </c>
      <c r="C2567" s="10">
        <v>45149</v>
      </c>
      <c r="D2567" s="9" t="s">
        <v>57</v>
      </c>
      <c r="E2567" s="9" t="s">
        <v>41</v>
      </c>
      <c r="F2567" s="9" t="s">
        <v>42</v>
      </c>
      <c r="G2567" s="9" t="s">
        <v>43</v>
      </c>
      <c r="H2567" s="9" t="s">
        <v>58</v>
      </c>
      <c r="I2567" s="11" t="s">
        <v>199</v>
      </c>
      <c r="J2567" s="9" t="s">
        <v>200</v>
      </c>
      <c r="K2567" s="9" t="s">
        <v>47</v>
      </c>
      <c r="L2567" s="9" t="s">
        <v>48</v>
      </c>
      <c r="M2567" s="9" t="s">
        <v>242</v>
      </c>
      <c r="N2567" s="9" t="s">
        <v>84</v>
      </c>
      <c r="O2567" s="9" t="s">
        <v>51</v>
      </c>
      <c r="P2567" s="9"/>
      <c r="Q2567" s="9"/>
      <c r="R2567" s="9"/>
      <c r="S2567" s="14" t="s">
        <v>8843</v>
      </c>
      <c r="T2567" s="9" t="s">
        <v>8844</v>
      </c>
      <c r="U2567" s="9" t="s">
        <v>54</v>
      </c>
      <c r="V2567" s="9" t="s">
        <v>55</v>
      </c>
      <c r="W2567" s="9" t="s">
        <v>55</v>
      </c>
      <c r="X2567" s="12"/>
      <c r="Y2567" s="9" t="s">
        <v>55</v>
      </c>
      <c r="Z2567" s="13"/>
    </row>
    <row r="2568" spans="1:26" ht="32.25" hidden="1" customHeight="1">
      <c r="A2568" s="8">
        <v>2315034</v>
      </c>
      <c r="B2568" s="9" t="s">
        <v>8845</v>
      </c>
      <c r="C2568" s="10">
        <v>45156</v>
      </c>
      <c r="D2568" s="9" t="s">
        <v>79</v>
      </c>
      <c r="E2568" s="9" t="s">
        <v>41</v>
      </c>
      <c r="F2568" s="9" t="s">
        <v>80</v>
      </c>
      <c r="G2568" s="9" t="s">
        <v>43</v>
      </c>
      <c r="H2568" s="9" t="s">
        <v>44</v>
      </c>
      <c r="I2568" s="11" t="s">
        <v>81</v>
      </c>
      <c r="J2568" s="9" t="s">
        <v>46</v>
      </c>
      <c r="K2568" s="9" t="s">
        <v>92</v>
      </c>
      <c r="L2568" s="9"/>
      <c r="M2568" s="9" t="s">
        <v>103</v>
      </c>
      <c r="N2568" s="9" t="s">
        <v>50</v>
      </c>
      <c r="O2568" s="9" t="s">
        <v>51</v>
      </c>
      <c r="P2568" s="9" t="s">
        <v>503</v>
      </c>
      <c r="Q2568" s="9"/>
      <c r="R2568" s="9" t="s">
        <v>61</v>
      </c>
      <c r="S2568" s="14" t="s">
        <v>8846</v>
      </c>
      <c r="T2568" s="9" t="s">
        <v>8847</v>
      </c>
      <c r="U2568" s="9" t="s">
        <v>54</v>
      </c>
      <c r="V2568" s="9" t="s">
        <v>55</v>
      </c>
      <c r="W2568" s="9" t="s">
        <v>55</v>
      </c>
      <c r="X2568" s="9" t="s">
        <v>64</v>
      </c>
      <c r="Y2568" s="9" t="s">
        <v>65</v>
      </c>
      <c r="Z2568" s="13"/>
    </row>
    <row r="2569" spans="1:26" ht="32.25" hidden="1" customHeight="1">
      <c r="A2569" s="8">
        <v>2314765</v>
      </c>
      <c r="B2569" s="9" t="s">
        <v>8848</v>
      </c>
      <c r="C2569" s="10">
        <v>45156</v>
      </c>
      <c r="D2569" s="9" t="s">
        <v>79</v>
      </c>
      <c r="E2569" s="9" t="s">
        <v>41</v>
      </c>
      <c r="F2569" s="9" t="s">
        <v>80</v>
      </c>
      <c r="G2569" s="9" t="s">
        <v>43</v>
      </c>
      <c r="H2569" s="9" t="s">
        <v>44</v>
      </c>
      <c r="I2569" s="11" t="s">
        <v>81</v>
      </c>
      <c r="J2569" s="9" t="s">
        <v>46</v>
      </c>
      <c r="K2569" s="9" t="s">
        <v>92</v>
      </c>
      <c r="L2569" s="9"/>
      <c r="M2569" s="9" t="s">
        <v>8849</v>
      </c>
      <c r="N2569" s="9" t="s">
        <v>84</v>
      </c>
      <c r="O2569" s="9" t="s">
        <v>51</v>
      </c>
      <c r="P2569" s="9" t="s">
        <v>503</v>
      </c>
      <c r="Q2569" s="9"/>
      <c r="R2569" s="9" t="s">
        <v>61</v>
      </c>
      <c r="S2569" s="14" t="s">
        <v>8850</v>
      </c>
      <c r="T2569" s="9" t="s">
        <v>8851</v>
      </c>
      <c r="U2569" s="9" t="s">
        <v>54</v>
      </c>
      <c r="V2569" s="9" t="s">
        <v>55</v>
      </c>
      <c r="W2569" s="9" t="s">
        <v>55</v>
      </c>
      <c r="X2569" s="9" t="s">
        <v>64</v>
      </c>
      <c r="Y2569" s="9" t="s">
        <v>65</v>
      </c>
      <c r="Z2569" s="13"/>
    </row>
    <row r="2570" spans="1:26" ht="32.25" hidden="1" customHeight="1">
      <c r="A2570" s="8">
        <v>2308983</v>
      </c>
      <c r="B2570" s="9" t="s">
        <v>8852</v>
      </c>
      <c r="C2570" s="10">
        <v>45156</v>
      </c>
      <c r="D2570" s="9" t="s">
        <v>565</v>
      </c>
      <c r="E2570" s="9" t="s">
        <v>295</v>
      </c>
      <c r="F2570" s="9" t="s">
        <v>42</v>
      </c>
      <c r="G2570" s="9" t="s">
        <v>43</v>
      </c>
      <c r="H2570" s="9" t="s">
        <v>58</v>
      </c>
      <c r="I2570" s="11" t="s">
        <v>406</v>
      </c>
      <c r="J2570" s="9" t="s">
        <v>407</v>
      </c>
      <c r="K2570" s="9" t="s">
        <v>47</v>
      </c>
      <c r="L2570" s="9" t="s">
        <v>1378</v>
      </c>
      <c r="M2570" s="9" t="s">
        <v>8853</v>
      </c>
      <c r="N2570" s="9" t="s">
        <v>50</v>
      </c>
      <c r="O2570" s="9" t="s">
        <v>51</v>
      </c>
      <c r="P2570" s="9"/>
      <c r="Q2570" s="9"/>
      <c r="R2570" s="9" t="s">
        <v>61</v>
      </c>
      <c r="S2570" s="14" t="s">
        <v>8854</v>
      </c>
      <c r="T2570" s="9" t="s">
        <v>8855</v>
      </c>
      <c r="U2570" s="9" t="s">
        <v>54</v>
      </c>
      <c r="V2570" s="9" t="s">
        <v>55</v>
      </c>
      <c r="W2570" s="9" t="s">
        <v>55</v>
      </c>
      <c r="X2570" s="9" t="s">
        <v>319</v>
      </c>
      <c r="Y2570" s="9" t="s">
        <v>320</v>
      </c>
      <c r="Z2570" s="13"/>
    </row>
    <row r="2571" spans="1:26" ht="32.25" hidden="1" customHeight="1">
      <c r="A2571" s="8">
        <v>2305458</v>
      </c>
      <c r="B2571" s="9" t="s">
        <v>8856</v>
      </c>
      <c r="C2571" s="10">
        <v>45142</v>
      </c>
      <c r="D2571" s="9" t="s">
        <v>67</v>
      </c>
      <c r="E2571" s="9" t="s">
        <v>41</v>
      </c>
      <c r="F2571" s="9" t="s">
        <v>42</v>
      </c>
      <c r="G2571" s="9" t="s">
        <v>43</v>
      </c>
      <c r="H2571" s="9" t="s">
        <v>44</v>
      </c>
      <c r="I2571" s="11" t="s">
        <v>199</v>
      </c>
      <c r="J2571" s="9" t="s">
        <v>200</v>
      </c>
      <c r="K2571" s="9" t="s">
        <v>47</v>
      </c>
      <c r="L2571" s="9" t="s">
        <v>48</v>
      </c>
      <c r="M2571" s="9" t="s">
        <v>242</v>
      </c>
      <c r="N2571" s="9" t="s">
        <v>50</v>
      </c>
      <c r="O2571" s="9" t="s">
        <v>51</v>
      </c>
      <c r="P2571" s="9"/>
      <c r="Q2571" s="9"/>
      <c r="R2571" s="9" t="s">
        <v>61</v>
      </c>
      <c r="S2571" s="9" t="s">
        <v>8857</v>
      </c>
      <c r="T2571" s="9" t="s">
        <v>8858</v>
      </c>
      <c r="U2571" s="9" t="s">
        <v>54</v>
      </c>
      <c r="V2571" s="9" t="s">
        <v>55</v>
      </c>
      <c r="W2571" s="9" t="s">
        <v>55</v>
      </c>
      <c r="X2571" s="12" t="s">
        <v>196</v>
      </c>
      <c r="Y2571" s="9" t="s">
        <v>197</v>
      </c>
      <c r="Z2571" s="13"/>
    </row>
    <row r="2572" spans="1:26" ht="32.25" hidden="1" customHeight="1">
      <c r="A2572" s="8">
        <v>2313442</v>
      </c>
      <c r="B2572" s="9" t="s">
        <v>8859</v>
      </c>
      <c r="C2572" s="10">
        <v>45149</v>
      </c>
      <c r="D2572" s="9" t="s">
        <v>57</v>
      </c>
      <c r="E2572" s="9" t="s">
        <v>41</v>
      </c>
      <c r="F2572" s="9" t="s">
        <v>42</v>
      </c>
      <c r="G2572" s="9" t="s">
        <v>43</v>
      </c>
      <c r="H2572" s="9" t="s">
        <v>58</v>
      </c>
      <c r="I2572" s="11" t="s">
        <v>1073</v>
      </c>
      <c r="J2572" s="9" t="s">
        <v>479</v>
      </c>
      <c r="K2572" s="9" t="s">
        <v>47</v>
      </c>
      <c r="L2572" s="9" t="s">
        <v>156</v>
      </c>
      <c r="M2572" s="9"/>
      <c r="N2572" s="9" t="s">
        <v>50</v>
      </c>
      <c r="O2572" s="9" t="s">
        <v>51</v>
      </c>
      <c r="P2572" s="9"/>
      <c r="Q2572" s="9"/>
      <c r="R2572" s="9"/>
      <c r="S2572" s="14" t="s">
        <v>8860</v>
      </c>
      <c r="T2572" s="9" t="s">
        <v>8861</v>
      </c>
      <c r="U2572" s="9" t="s">
        <v>54</v>
      </c>
      <c r="V2572" s="9" t="s">
        <v>55</v>
      </c>
      <c r="W2572" s="9" t="s">
        <v>55</v>
      </c>
      <c r="X2572" s="12"/>
      <c r="Y2572" s="9" t="s">
        <v>55</v>
      </c>
      <c r="Z2572" s="13"/>
    </row>
    <row r="2573" spans="1:26" ht="32.25" hidden="1" customHeight="1">
      <c r="A2573" s="8">
        <v>2314159</v>
      </c>
      <c r="B2573" s="9" t="s">
        <v>8862</v>
      </c>
      <c r="C2573" s="10">
        <v>45149</v>
      </c>
      <c r="D2573" s="9" t="s">
        <v>57</v>
      </c>
      <c r="E2573" s="9" t="s">
        <v>41</v>
      </c>
      <c r="F2573" s="9" t="s">
        <v>42</v>
      </c>
      <c r="G2573" s="9" t="s">
        <v>43</v>
      </c>
      <c r="H2573" s="9" t="s">
        <v>58</v>
      </c>
      <c r="I2573" s="11" t="s">
        <v>45</v>
      </c>
      <c r="J2573" s="9" t="s">
        <v>46</v>
      </c>
      <c r="K2573" s="9" t="s">
        <v>47</v>
      </c>
      <c r="L2573" s="9" t="s">
        <v>156</v>
      </c>
      <c r="M2573" s="9"/>
      <c r="N2573" s="9" t="s">
        <v>50</v>
      </c>
      <c r="O2573" s="9" t="s">
        <v>51</v>
      </c>
      <c r="P2573" s="9"/>
      <c r="Q2573" s="9"/>
      <c r="R2573" s="9"/>
      <c r="S2573" s="14" t="s">
        <v>8863</v>
      </c>
      <c r="T2573" s="9" t="s">
        <v>8864</v>
      </c>
      <c r="U2573" s="9" t="s">
        <v>54</v>
      </c>
      <c r="V2573" s="9" t="s">
        <v>55</v>
      </c>
      <c r="W2573" s="9" t="s">
        <v>55</v>
      </c>
      <c r="X2573" s="12"/>
      <c r="Y2573" s="9" t="s">
        <v>55</v>
      </c>
      <c r="Z2573" s="13"/>
    </row>
    <row r="2574" spans="1:26" ht="32.25" hidden="1" customHeight="1">
      <c r="A2574" s="8">
        <v>2306319</v>
      </c>
      <c r="B2574" s="9" t="s">
        <v>8865</v>
      </c>
      <c r="C2574" s="10">
        <v>45142</v>
      </c>
      <c r="D2574" s="9" t="s">
        <v>67</v>
      </c>
      <c r="E2574" s="9" t="s">
        <v>68</v>
      </c>
      <c r="F2574" s="9" t="s">
        <v>135</v>
      </c>
      <c r="G2574" s="9" t="s">
        <v>43</v>
      </c>
      <c r="H2574" s="9" t="s">
        <v>44</v>
      </c>
      <c r="I2574" s="11" t="s">
        <v>136</v>
      </c>
      <c r="J2574" s="9" t="s">
        <v>137</v>
      </c>
      <c r="K2574" s="9" t="s">
        <v>47</v>
      </c>
      <c r="L2574" s="9" t="s">
        <v>174</v>
      </c>
      <c r="M2574" s="9" t="s">
        <v>1190</v>
      </c>
      <c r="N2574" s="9" t="s">
        <v>84</v>
      </c>
      <c r="O2574" s="9" t="s">
        <v>51</v>
      </c>
      <c r="P2574" s="9"/>
      <c r="Q2574" s="9"/>
      <c r="R2574" s="9" t="s">
        <v>61</v>
      </c>
      <c r="S2574" s="9" t="s">
        <v>8866</v>
      </c>
      <c r="T2574" s="9" t="s">
        <v>8867</v>
      </c>
      <c r="U2574" s="9" t="s">
        <v>54</v>
      </c>
      <c r="V2574" s="9" t="s">
        <v>55</v>
      </c>
      <c r="W2574" s="9" t="s">
        <v>55</v>
      </c>
      <c r="X2574" s="12" t="s">
        <v>196</v>
      </c>
      <c r="Y2574" s="9" t="s">
        <v>197</v>
      </c>
      <c r="Z2574" s="13" t="s">
        <v>13286</v>
      </c>
    </row>
    <row r="2575" spans="1:26" ht="32.25" hidden="1" customHeight="1">
      <c r="A2575" s="8">
        <v>2309555</v>
      </c>
      <c r="B2575" s="9" t="s">
        <v>8868</v>
      </c>
      <c r="C2575" s="10">
        <v>45149</v>
      </c>
      <c r="D2575" s="9" t="s">
        <v>261</v>
      </c>
      <c r="E2575" s="9" t="s">
        <v>153</v>
      </c>
      <c r="F2575" s="9" t="s">
        <v>262</v>
      </c>
      <c r="G2575" s="9" t="s">
        <v>43</v>
      </c>
      <c r="H2575" s="9" t="s">
        <v>44</v>
      </c>
      <c r="I2575" s="11" t="s">
        <v>1136</v>
      </c>
      <c r="J2575" s="9" t="s">
        <v>1137</v>
      </c>
      <c r="K2575" s="9" t="s">
        <v>47</v>
      </c>
      <c r="L2575" s="9" t="s">
        <v>822</v>
      </c>
      <c r="M2575" s="9" t="s">
        <v>8869</v>
      </c>
      <c r="N2575" s="9" t="s">
        <v>84</v>
      </c>
      <c r="O2575" s="9" t="s">
        <v>51</v>
      </c>
      <c r="P2575" s="9"/>
      <c r="Q2575" s="9"/>
      <c r="R2575" s="9" t="s">
        <v>61</v>
      </c>
      <c r="S2575" s="14" t="s">
        <v>8870</v>
      </c>
      <c r="T2575" s="9" t="s">
        <v>8871</v>
      </c>
      <c r="U2575" s="9" t="s">
        <v>262</v>
      </c>
      <c r="V2575" s="9" t="s">
        <v>251</v>
      </c>
      <c r="W2575" s="9" t="s">
        <v>115</v>
      </c>
      <c r="X2575" s="12" t="s">
        <v>171</v>
      </c>
      <c r="Y2575" s="9" t="s">
        <v>172</v>
      </c>
      <c r="Z2575" s="13" t="s">
        <v>8872</v>
      </c>
    </row>
    <row r="2576" spans="1:26" ht="32.25" hidden="1" customHeight="1">
      <c r="A2576" s="8">
        <v>2303475</v>
      </c>
      <c r="B2576" s="9" t="s">
        <v>8873</v>
      </c>
      <c r="C2576" s="10">
        <v>45142</v>
      </c>
      <c r="D2576" s="9" t="s">
        <v>383</v>
      </c>
      <c r="E2576" s="9" t="s">
        <v>143</v>
      </c>
      <c r="F2576" s="9" t="s">
        <v>262</v>
      </c>
      <c r="G2576" s="9" t="s">
        <v>43</v>
      </c>
      <c r="H2576" s="9" t="s">
        <v>44</v>
      </c>
      <c r="I2576" s="11" t="s">
        <v>6461</v>
      </c>
      <c r="J2576" s="9" t="s">
        <v>6462</v>
      </c>
      <c r="K2576" s="9" t="s">
        <v>271</v>
      </c>
      <c r="L2576" s="9"/>
      <c r="M2576" s="9"/>
      <c r="N2576" s="9" t="s">
        <v>84</v>
      </c>
      <c r="O2576" s="9" t="s">
        <v>187</v>
      </c>
      <c r="P2576" s="9"/>
      <c r="Q2576" s="9"/>
      <c r="R2576" s="9" t="s">
        <v>61</v>
      </c>
      <c r="S2576" s="9" t="s">
        <v>8874</v>
      </c>
      <c r="T2576" s="9" t="s">
        <v>8875</v>
      </c>
      <c r="U2576" s="9" t="s">
        <v>262</v>
      </c>
      <c r="V2576" s="9" t="s">
        <v>711</v>
      </c>
      <c r="W2576" s="9" t="s">
        <v>115</v>
      </c>
      <c r="X2576" s="12" t="s">
        <v>389</v>
      </c>
      <c r="Y2576" s="9" t="s">
        <v>390</v>
      </c>
      <c r="Z2576" s="13"/>
    </row>
    <row r="2577" spans="1:26" ht="32.25" hidden="1" customHeight="1">
      <c r="A2577" s="8">
        <v>2306444</v>
      </c>
      <c r="B2577" s="9" t="s">
        <v>8876</v>
      </c>
      <c r="C2577" s="10">
        <v>45149</v>
      </c>
      <c r="D2577" s="9" t="s">
        <v>57</v>
      </c>
      <c r="E2577" s="9" t="s">
        <v>41</v>
      </c>
      <c r="F2577" s="9" t="s">
        <v>42</v>
      </c>
      <c r="G2577" s="9" t="s">
        <v>43</v>
      </c>
      <c r="H2577" s="9" t="s">
        <v>58</v>
      </c>
      <c r="I2577" s="11" t="s">
        <v>661</v>
      </c>
      <c r="J2577" s="9" t="s">
        <v>662</v>
      </c>
      <c r="K2577" s="9" t="s">
        <v>47</v>
      </c>
      <c r="L2577" s="9" t="s">
        <v>156</v>
      </c>
      <c r="M2577" s="9"/>
      <c r="N2577" s="9" t="s">
        <v>50</v>
      </c>
      <c r="O2577" s="9" t="s">
        <v>51</v>
      </c>
      <c r="P2577" s="9"/>
      <c r="Q2577" s="9"/>
      <c r="R2577" s="9"/>
      <c r="S2577" s="14" t="s">
        <v>8877</v>
      </c>
      <c r="T2577" s="9" t="s">
        <v>8878</v>
      </c>
      <c r="U2577" s="9" t="s">
        <v>54</v>
      </c>
      <c r="V2577" s="9" t="s">
        <v>55</v>
      </c>
      <c r="W2577" s="9" t="s">
        <v>55</v>
      </c>
      <c r="X2577" s="12"/>
      <c r="Y2577" s="9" t="s">
        <v>55</v>
      </c>
      <c r="Z2577" s="13"/>
    </row>
    <row r="2578" spans="1:26" ht="32.25" hidden="1" customHeight="1">
      <c r="A2578" s="8">
        <v>2302261</v>
      </c>
      <c r="B2578" s="9" t="s">
        <v>8879</v>
      </c>
      <c r="C2578" s="10">
        <v>45136</v>
      </c>
      <c r="D2578" s="9" t="s">
        <v>40</v>
      </c>
      <c r="E2578" s="9" t="s">
        <v>41</v>
      </c>
      <c r="F2578" s="9" t="s">
        <v>42</v>
      </c>
      <c r="G2578" s="9" t="s">
        <v>43</v>
      </c>
      <c r="H2578" s="9" t="s">
        <v>44</v>
      </c>
      <c r="I2578" s="11" t="s">
        <v>45</v>
      </c>
      <c r="J2578" s="9" t="s">
        <v>46</v>
      </c>
      <c r="K2578" s="9" t="s">
        <v>47</v>
      </c>
      <c r="L2578" s="9" t="s">
        <v>162</v>
      </c>
      <c r="M2578" s="9" t="s">
        <v>163</v>
      </c>
      <c r="N2578" s="9" t="s">
        <v>50</v>
      </c>
      <c r="O2578" s="9" t="s">
        <v>51</v>
      </c>
      <c r="P2578" s="9"/>
      <c r="Q2578" s="9"/>
      <c r="R2578" s="9"/>
      <c r="S2578" s="9" t="s">
        <v>8880</v>
      </c>
      <c r="T2578" s="9" t="s">
        <v>8881</v>
      </c>
      <c r="U2578" s="9" t="s">
        <v>54</v>
      </c>
      <c r="V2578" s="9" t="s">
        <v>55</v>
      </c>
      <c r="W2578" s="9" t="s">
        <v>55</v>
      </c>
      <c r="X2578" s="12"/>
      <c r="Y2578" s="9" t="s">
        <v>55</v>
      </c>
      <c r="Z2578" s="13"/>
    </row>
    <row r="2579" spans="1:26" ht="32.25" hidden="1" customHeight="1">
      <c r="A2579" s="8">
        <v>2315414</v>
      </c>
      <c r="B2579" s="9" t="s">
        <v>8882</v>
      </c>
      <c r="C2579" s="10">
        <v>45152</v>
      </c>
      <c r="D2579" s="9" t="s">
        <v>185</v>
      </c>
      <c r="E2579" s="9" t="s">
        <v>295</v>
      </c>
      <c r="F2579" s="9" t="s">
        <v>42</v>
      </c>
      <c r="G2579" s="9" t="s">
        <v>43</v>
      </c>
      <c r="H2579" s="9" t="s">
        <v>44</v>
      </c>
      <c r="I2579" s="11" t="s">
        <v>406</v>
      </c>
      <c r="J2579" s="9" t="s">
        <v>407</v>
      </c>
      <c r="K2579" s="9" t="s">
        <v>92</v>
      </c>
      <c r="L2579" s="9"/>
      <c r="M2579" s="9" t="s">
        <v>103</v>
      </c>
      <c r="N2579" s="9" t="s">
        <v>84</v>
      </c>
      <c r="O2579" s="9" t="s">
        <v>187</v>
      </c>
      <c r="P2579" s="9"/>
      <c r="Q2579" s="9"/>
      <c r="R2579" s="9" t="s">
        <v>61</v>
      </c>
      <c r="S2579" s="14" t="s">
        <v>641</v>
      </c>
      <c r="T2579" s="9"/>
      <c r="U2579" s="9" t="s">
        <v>54</v>
      </c>
      <c r="V2579" s="9" t="s">
        <v>55</v>
      </c>
      <c r="W2579" s="9" t="s">
        <v>55</v>
      </c>
      <c r="X2579" s="9" t="s">
        <v>319</v>
      </c>
      <c r="Y2579" s="9" t="s">
        <v>320</v>
      </c>
      <c r="Z2579" s="13"/>
    </row>
    <row r="2580" spans="1:26" ht="32.25" hidden="1" customHeight="1">
      <c r="A2580" s="8">
        <v>2304164</v>
      </c>
      <c r="B2580" s="9" t="s">
        <v>8883</v>
      </c>
      <c r="C2580" s="10">
        <v>45149</v>
      </c>
      <c r="D2580" s="9" t="s">
        <v>57</v>
      </c>
      <c r="E2580" s="9" t="s">
        <v>41</v>
      </c>
      <c r="F2580" s="9" t="s">
        <v>42</v>
      </c>
      <c r="G2580" s="9" t="s">
        <v>43</v>
      </c>
      <c r="H2580" s="9" t="s">
        <v>58</v>
      </c>
      <c r="I2580" s="11" t="s">
        <v>129</v>
      </c>
      <c r="J2580" s="9" t="s">
        <v>130</v>
      </c>
      <c r="K2580" s="9" t="s">
        <v>47</v>
      </c>
      <c r="L2580" s="9" t="s">
        <v>156</v>
      </c>
      <c r="M2580" s="9"/>
      <c r="N2580" s="9" t="s">
        <v>84</v>
      </c>
      <c r="O2580" s="9" t="s">
        <v>51</v>
      </c>
      <c r="P2580" s="9"/>
      <c r="Q2580" s="9"/>
      <c r="R2580" s="9"/>
      <c r="S2580" s="14" t="s">
        <v>8884</v>
      </c>
      <c r="T2580" s="9" t="s">
        <v>8885</v>
      </c>
      <c r="U2580" s="9" t="s">
        <v>54</v>
      </c>
      <c r="V2580" s="9" t="s">
        <v>55</v>
      </c>
      <c r="W2580" s="9" t="s">
        <v>55</v>
      </c>
      <c r="X2580" s="12"/>
      <c r="Y2580" s="9" t="s">
        <v>55</v>
      </c>
      <c r="Z2580" s="13"/>
    </row>
    <row r="2581" spans="1:26" ht="32.25" hidden="1" customHeight="1">
      <c r="A2581" s="8">
        <v>2304767</v>
      </c>
      <c r="B2581" s="9" t="s">
        <v>8886</v>
      </c>
      <c r="C2581" s="10">
        <v>45136</v>
      </c>
      <c r="D2581" s="9" t="s">
        <v>40</v>
      </c>
      <c r="E2581" s="9" t="s">
        <v>41</v>
      </c>
      <c r="F2581" s="9" t="s">
        <v>42</v>
      </c>
      <c r="G2581" s="9" t="s">
        <v>43</v>
      </c>
      <c r="H2581" s="9" t="s">
        <v>44</v>
      </c>
      <c r="I2581" s="11" t="s">
        <v>199</v>
      </c>
      <c r="J2581" s="9" t="s">
        <v>200</v>
      </c>
      <c r="K2581" s="9" t="s">
        <v>47</v>
      </c>
      <c r="L2581" s="9" t="s">
        <v>162</v>
      </c>
      <c r="M2581" s="9" t="s">
        <v>345</v>
      </c>
      <c r="N2581" s="9" t="s">
        <v>50</v>
      </c>
      <c r="O2581" s="9" t="s">
        <v>51</v>
      </c>
      <c r="P2581" s="9"/>
      <c r="Q2581" s="9"/>
      <c r="R2581" s="9" t="s">
        <v>61</v>
      </c>
      <c r="S2581" s="9" t="s">
        <v>8887</v>
      </c>
      <c r="T2581" s="9" t="s">
        <v>8888</v>
      </c>
      <c r="U2581" s="9" t="s">
        <v>54</v>
      </c>
      <c r="V2581" s="9" t="s">
        <v>55</v>
      </c>
      <c r="W2581" s="9" t="s">
        <v>55</v>
      </c>
      <c r="X2581" s="12" t="s">
        <v>196</v>
      </c>
      <c r="Y2581" s="9" t="s">
        <v>197</v>
      </c>
      <c r="Z2581" s="13"/>
    </row>
    <row r="2582" spans="1:26" ht="32.25" hidden="1" customHeight="1">
      <c r="A2582" s="8">
        <v>2308899</v>
      </c>
      <c r="B2582" s="9" t="s">
        <v>8889</v>
      </c>
      <c r="C2582" s="10">
        <v>45142</v>
      </c>
      <c r="D2582" s="9" t="s">
        <v>67</v>
      </c>
      <c r="E2582" s="9" t="s">
        <v>41</v>
      </c>
      <c r="F2582" s="9" t="s">
        <v>42</v>
      </c>
      <c r="G2582" s="9" t="s">
        <v>43</v>
      </c>
      <c r="H2582" s="9" t="s">
        <v>44</v>
      </c>
      <c r="I2582" s="11" t="s">
        <v>45</v>
      </c>
      <c r="J2582" s="9" t="s">
        <v>46</v>
      </c>
      <c r="K2582" s="9" t="s">
        <v>47</v>
      </c>
      <c r="L2582" s="9" t="s">
        <v>437</v>
      </c>
      <c r="M2582" s="9" t="s">
        <v>1707</v>
      </c>
      <c r="N2582" s="9" t="s">
        <v>84</v>
      </c>
      <c r="O2582" s="9" t="s">
        <v>51</v>
      </c>
      <c r="P2582" s="9"/>
      <c r="Q2582" s="9"/>
      <c r="R2582" s="9" t="s">
        <v>61</v>
      </c>
      <c r="S2582" s="9" t="s">
        <v>8890</v>
      </c>
      <c r="T2582" s="9" t="s">
        <v>8891</v>
      </c>
      <c r="U2582" s="9" t="s">
        <v>54</v>
      </c>
      <c r="V2582" s="9" t="s">
        <v>55</v>
      </c>
      <c r="W2582" s="9" t="s">
        <v>55</v>
      </c>
      <c r="X2582" s="9" t="s">
        <v>64</v>
      </c>
      <c r="Y2582" s="9" t="s">
        <v>65</v>
      </c>
      <c r="Z2582" s="13"/>
    </row>
    <row r="2583" spans="1:26" ht="32.25" hidden="1" customHeight="1">
      <c r="A2583" s="8">
        <v>2304630</v>
      </c>
      <c r="B2583" s="9" t="s">
        <v>8892</v>
      </c>
      <c r="C2583" s="10">
        <v>45136</v>
      </c>
      <c r="D2583" s="9" t="s">
        <v>2840</v>
      </c>
      <c r="E2583" s="9" t="s">
        <v>41</v>
      </c>
      <c r="F2583" s="9" t="s">
        <v>42</v>
      </c>
      <c r="G2583" s="9" t="s">
        <v>43</v>
      </c>
      <c r="H2583" s="9" t="s">
        <v>44</v>
      </c>
      <c r="I2583" s="11" t="s">
        <v>45</v>
      </c>
      <c r="J2583" s="9" t="s">
        <v>46</v>
      </c>
      <c r="K2583" s="9" t="s">
        <v>47</v>
      </c>
      <c r="L2583" s="9" t="s">
        <v>1612</v>
      </c>
      <c r="M2583" s="9" t="s">
        <v>8893</v>
      </c>
      <c r="N2583" s="9" t="s">
        <v>50</v>
      </c>
      <c r="O2583" s="9" t="s">
        <v>51</v>
      </c>
      <c r="P2583" s="9"/>
      <c r="Q2583" s="9"/>
      <c r="R2583" s="9" t="s">
        <v>61</v>
      </c>
      <c r="S2583" s="9" t="s">
        <v>8894</v>
      </c>
      <c r="T2583" s="9" t="s">
        <v>8895</v>
      </c>
      <c r="U2583" s="9" t="s">
        <v>54</v>
      </c>
      <c r="V2583" s="9" t="s">
        <v>55</v>
      </c>
      <c r="W2583" s="9" t="s">
        <v>55</v>
      </c>
      <c r="X2583" s="9" t="s">
        <v>64</v>
      </c>
      <c r="Y2583" s="9" t="s">
        <v>65</v>
      </c>
      <c r="Z2583" s="13"/>
    </row>
    <row r="2584" spans="1:26" ht="32.25" hidden="1" customHeight="1">
      <c r="A2584" s="8">
        <v>2302198</v>
      </c>
      <c r="B2584" s="9" t="s">
        <v>8896</v>
      </c>
      <c r="C2584" s="10">
        <v>45156</v>
      </c>
      <c r="D2584" s="9" t="s">
        <v>79</v>
      </c>
      <c r="E2584" s="9" t="s">
        <v>143</v>
      </c>
      <c r="F2584" s="9" t="s">
        <v>80</v>
      </c>
      <c r="G2584" s="9" t="s">
        <v>43</v>
      </c>
      <c r="H2584" s="9" t="s">
        <v>44</v>
      </c>
      <c r="I2584" s="11" t="s">
        <v>725</v>
      </c>
      <c r="J2584" s="9" t="s">
        <v>145</v>
      </c>
      <c r="K2584" s="9" t="s">
        <v>47</v>
      </c>
      <c r="L2584" s="9" t="s">
        <v>156</v>
      </c>
      <c r="M2584" s="9"/>
      <c r="N2584" s="9" t="s">
        <v>50</v>
      </c>
      <c r="O2584" s="9" t="s">
        <v>51</v>
      </c>
      <c r="P2584" s="9" t="s">
        <v>1520</v>
      </c>
      <c r="Q2584" s="9"/>
      <c r="R2584" s="9" t="s">
        <v>61</v>
      </c>
      <c r="S2584" s="14" t="s">
        <v>8897</v>
      </c>
      <c r="T2584" s="9" t="s">
        <v>8898</v>
      </c>
      <c r="U2584" s="9" t="s">
        <v>54</v>
      </c>
      <c r="V2584" s="9" t="s">
        <v>251</v>
      </c>
      <c r="W2584" s="9" t="s">
        <v>115</v>
      </c>
      <c r="X2584" s="12" t="s">
        <v>171</v>
      </c>
      <c r="Y2584" s="9" t="s">
        <v>172</v>
      </c>
      <c r="Z2584" s="13" t="s">
        <v>8899</v>
      </c>
    </row>
    <row r="2585" spans="1:26" ht="32.25" hidden="1" customHeight="1">
      <c r="A2585" s="8">
        <v>2309817</v>
      </c>
      <c r="B2585" s="9" t="s">
        <v>8900</v>
      </c>
      <c r="C2585" s="10">
        <v>45156</v>
      </c>
      <c r="D2585" s="9" t="s">
        <v>79</v>
      </c>
      <c r="E2585" s="9" t="s">
        <v>89</v>
      </c>
      <c r="F2585" s="9" t="s">
        <v>80</v>
      </c>
      <c r="G2585" s="9" t="s">
        <v>43</v>
      </c>
      <c r="H2585" s="9" t="s">
        <v>44</v>
      </c>
      <c r="I2585" s="11" t="s">
        <v>4023</v>
      </c>
      <c r="J2585" s="9" t="s">
        <v>4024</v>
      </c>
      <c r="K2585" s="9" t="s">
        <v>47</v>
      </c>
      <c r="L2585" s="9" t="s">
        <v>2729</v>
      </c>
      <c r="M2585" s="9" t="s">
        <v>8901</v>
      </c>
      <c r="N2585" s="9" t="s">
        <v>84</v>
      </c>
      <c r="O2585" s="9" t="s">
        <v>51</v>
      </c>
      <c r="P2585" s="9" t="s">
        <v>4026</v>
      </c>
      <c r="Q2585" s="9"/>
      <c r="R2585" s="9" t="s">
        <v>61</v>
      </c>
      <c r="S2585" s="14" t="s">
        <v>8902</v>
      </c>
      <c r="T2585" s="9" t="s">
        <v>8903</v>
      </c>
      <c r="U2585" s="9" t="s">
        <v>54</v>
      </c>
      <c r="V2585" s="9" t="s">
        <v>55</v>
      </c>
      <c r="W2585" s="9" t="s">
        <v>55</v>
      </c>
      <c r="X2585" s="12" t="s">
        <v>98</v>
      </c>
      <c r="Y2585" s="9" t="s">
        <v>99</v>
      </c>
      <c r="Z2585" s="13"/>
    </row>
    <row r="2586" spans="1:26" ht="32.25" hidden="1" customHeight="1">
      <c r="A2586" s="8">
        <v>2305572</v>
      </c>
      <c r="B2586" s="9" t="s">
        <v>8904</v>
      </c>
      <c r="C2586" s="10">
        <v>45142</v>
      </c>
      <c r="D2586" s="9" t="s">
        <v>67</v>
      </c>
      <c r="E2586" s="9" t="s">
        <v>143</v>
      </c>
      <c r="F2586" s="9" t="s">
        <v>42</v>
      </c>
      <c r="G2586" s="9" t="s">
        <v>43</v>
      </c>
      <c r="H2586" s="9" t="s">
        <v>44</v>
      </c>
      <c r="I2586" s="11" t="s">
        <v>219</v>
      </c>
      <c r="J2586" s="9" t="s">
        <v>220</v>
      </c>
      <c r="K2586" s="9" t="s">
        <v>47</v>
      </c>
      <c r="L2586" s="9" t="s">
        <v>706</v>
      </c>
      <c r="M2586" s="9" t="s">
        <v>7780</v>
      </c>
      <c r="N2586" s="9" t="s">
        <v>84</v>
      </c>
      <c r="O2586" s="9" t="s">
        <v>51</v>
      </c>
      <c r="P2586" s="9"/>
      <c r="Q2586" s="9"/>
      <c r="R2586" s="9" t="s">
        <v>61</v>
      </c>
      <c r="S2586" s="9" t="s">
        <v>8905</v>
      </c>
      <c r="T2586" s="9" t="s">
        <v>8906</v>
      </c>
      <c r="U2586" s="9" t="s">
        <v>54</v>
      </c>
      <c r="V2586" s="9" t="s">
        <v>55</v>
      </c>
      <c r="W2586" s="9" t="s">
        <v>55</v>
      </c>
      <c r="X2586" s="12" t="s">
        <v>171</v>
      </c>
      <c r="Y2586" s="9" t="s">
        <v>172</v>
      </c>
      <c r="Z2586" s="13"/>
    </row>
    <row r="2587" spans="1:26" ht="32.25" hidden="1" customHeight="1">
      <c r="A2587" s="8">
        <v>2315095</v>
      </c>
      <c r="B2587" s="9" t="s">
        <v>8907</v>
      </c>
      <c r="C2587" s="10">
        <v>45156</v>
      </c>
      <c r="D2587" s="9" t="s">
        <v>79</v>
      </c>
      <c r="E2587" s="9" t="s">
        <v>89</v>
      </c>
      <c r="F2587" s="9" t="s">
        <v>80</v>
      </c>
      <c r="G2587" s="9" t="s">
        <v>43</v>
      </c>
      <c r="H2587" s="9" t="s">
        <v>44</v>
      </c>
      <c r="I2587" s="11" t="s">
        <v>101</v>
      </c>
      <c r="J2587" s="9" t="s">
        <v>102</v>
      </c>
      <c r="K2587" s="9" t="s">
        <v>47</v>
      </c>
      <c r="L2587" s="9" t="s">
        <v>1542</v>
      </c>
      <c r="M2587" s="9" t="s">
        <v>1810</v>
      </c>
      <c r="N2587" s="9" t="s">
        <v>84</v>
      </c>
      <c r="O2587" s="9" t="s">
        <v>51</v>
      </c>
      <c r="P2587" s="9" t="s">
        <v>104</v>
      </c>
      <c r="Q2587" s="9"/>
      <c r="R2587" s="9"/>
      <c r="S2587" s="14" t="s">
        <v>8908</v>
      </c>
      <c r="T2587" s="9" t="s">
        <v>8909</v>
      </c>
      <c r="U2587" s="9" t="s">
        <v>54</v>
      </c>
      <c r="V2587" s="9" t="s">
        <v>55</v>
      </c>
      <c r="W2587" s="9" t="s">
        <v>55</v>
      </c>
      <c r="X2587" s="12"/>
      <c r="Y2587" s="9" t="s">
        <v>55</v>
      </c>
      <c r="Z2587" s="13"/>
    </row>
    <row r="2588" spans="1:26" ht="32.25" hidden="1" customHeight="1">
      <c r="A2588" s="8">
        <v>2304774</v>
      </c>
      <c r="B2588" s="9" t="s">
        <v>8910</v>
      </c>
      <c r="C2588" s="10">
        <v>45149</v>
      </c>
      <c r="D2588" s="9" t="s">
        <v>57</v>
      </c>
      <c r="E2588" s="9" t="s">
        <v>153</v>
      </c>
      <c r="F2588" s="9" t="s">
        <v>42</v>
      </c>
      <c r="G2588" s="9" t="s">
        <v>43</v>
      </c>
      <c r="H2588" s="9" t="s">
        <v>58</v>
      </c>
      <c r="I2588" s="11" t="s">
        <v>154</v>
      </c>
      <c r="J2588" s="9" t="s">
        <v>155</v>
      </c>
      <c r="K2588" s="9" t="s">
        <v>47</v>
      </c>
      <c r="L2588" s="9" t="s">
        <v>156</v>
      </c>
      <c r="M2588" s="9"/>
      <c r="N2588" s="9" t="s">
        <v>84</v>
      </c>
      <c r="O2588" s="9" t="s">
        <v>51</v>
      </c>
      <c r="P2588" s="9"/>
      <c r="Q2588" s="9"/>
      <c r="R2588" s="9"/>
      <c r="S2588" s="14" t="s">
        <v>8911</v>
      </c>
      <c r="T2588" s="9" t="s">
        <v>8912</v>
      </c>
      <c r="U2588" s="9" t="s">
        <v>54</v>
      </c>
      <c r="V2588" s="9" t="s">
        <v>55</v>
      </c>
      <c r="W2588" s="9" t="s">
        <v>55</v>
      </c>
      <c r="X2588" s="12"/>
      <c r="Y2588" s="9" t="s">
        <v>55</v>
      </c>
      <c r="Z2588" s="13"/>
    </row>
    <row r="2589" spans="1:26" ht="32.25" hidden="1" customHeight="1">
      <c r="A2589" s="8">
        <v>2310129</v>
      </c>
      <c r="B2589" s="9" t="s">
        <v>8913</v>
      </c>
      <c r="C2589" s="10">
        <v>45142</v>
      </c>
      <c r="D2589" s="9" t="s">
        <v>67</v>
      </c>
      <c r="E2589" s="9" t="s">
        <v>143</v>
      </c>
      <c r="F2589" s="9" t="s">
        <v>42</v>
      </c>
      <c r="G2589" s="9" t="s">
        <v>43</v>
      </c>
      <c r="H2589" s="9" t="s">
        <v>44</v>
      </c>
      <c r="I2589" s="11" t="s">
        <v>460</v>
      </c>
      <c r="J2589" s="9" t="s">
        <v>400</v>
      </c>
      <c r="K2589" s="9" t="s">
        <v>47</v>
      </c>
      <c r="L2589" s="9" t="s">
        <v>221</v>
      </c>
      <c r="M2589" s="9" t="s">
        <v>1451</v>
      </c>
      <c r="N2589" s="9" t="s">
        <v>50</v>
      </c>
      <c r="O2589" s="9" t="s">
        <v>51</v>
      </c>
      <c r="P2589" s="9"/>
      <c r="Q2589" s="9"/>
      <c r="R2589" s="9" t="s">
        <v>61</v>
      </c>
      <c r="S2589" s="9" t="s">
        <v>8914</v>
      </c>
      <c r="T2589" s="9" t="s">
        <v>8915</v>
      </c>
      <c r="U2589" s="9" t="s">
        <v>54</v>
      </c>
      <c r="V2589" s="9" t="s">
        <v>55</v>
      </c>
      <c r="W2589" s="9" t="s">
        <v>55</v>
      </c>
      <c r="X2589" s="12" t="s">
        <v>150</v>
      </c>
      <c r="Y2589" s="9" t="s">
        <v>151</v>
      </c>
      <c r="Z2589" s="13"/>
    </row>
    <row r="2590" spans="1:26" ht="32.25" hidden="1" customHeight="1">
      <c r="A2590" s="8">
        <v>2309722</v>
      </c>
      <c r="B2590" s="9" t="s">
        <v>8916</v>
      </c>
      <c r="C2590" s="10">
        <v>45156</v>
      </c>
      <c r="D2590" s="9" t="s">
        <v>79</v>
      </c>
      <c r="E2590" s="9" t="s">
        <v>41</v>
      </c>
      <c r="F2590" s="9" t="s">
        <v>80</v>
      </c>
      <c r="G2590" s="9" t="s">
        <v>43</v>
      </c>
      <c r="H2590" s="9" t="s">
        <v>44</v>
      </c>
      <c r="I2590" s="11" t="s">
        <v>81</v>
      </c>
      <c r="J2590" s="9" t="s">
        <v>46</v>
      </c>
      <c r="K2590" s="9" t="s">
        <v>47</v>
      </c>
      <c r="L2590" s="9" t="s">
        <v>156</v>
      </c>
      <c r="M2590" s="9"/>
      <c r="N2590" s="9" t="s">
        <v>84</v>
      </c>
      <c r="O2590" s="9" t="s">
        <v>51</v>
      </c>
      <c r="P2590" s="9" t="s">
        <v>503</v>
      </c>
      <c r="Q2590" s="9"/>
      <c r="R2590" s="9"/>
      <c r="S2590" s="14" t="s">
        <v>8917</v>
      </c>
      <c r="T2590" s="9" t="s">
        <v>8918</v>
      </c>
      <c r="U2590" s="9" t="s">
        <v>54</v>
      </c>
      <c r="V2590" s="9"/>
      <c r="W2590" s="9" t="s">
        <v>115</v>
      </c>
      <c r="X2590" s="12"/>
      <c r="Y2590" s="9" t="s">
        <v>55</v>
      </c>
      <c r="Z2590" s="13"/>
    </row>
    <row r="2591" spans="1:26" ht="32.25" hidden="1" customHeight="1">
      <c r="A2591" s="8">
        <v>2306061</v>
      </c>
      <c r="B2591" s="9" t="s">
        <v>8919</v>
      </c>
      <c r="C2591" s="10">
        <v>45136</v>
      </c>
      <c r="D2591" s="9" t="s">
        <v>2840</v>
      </c>
      <c r="E2591" s="9" t="s">
        <v>68</v>
      </c>
      <c r="F2591" s="9" t="s">
        <v>135</v>
      </c>
      <c r="G2591" s="9" t="s">
        <v>43</v>
      </c>
      <c r="H2591" s="9" t="s">
        <v>44</v>
      </c>
      <c r="I2591" s="11" t="s">
        <v>136</v>
      </c>
      <c r="J2591" s="9" t="s">
        <v>137</v>
      </c>
      <c r="K2591" s="9" t="s">
        <v>47</v>
      </c>
      <c r="L2591" s="9" t="s">
        <v>174</v>
      </c>
      <c r="M2591" s="9" t="s">
        <v>5822</v>
      </c>
      <c r="N2591" s="9" t="s">
        <v>84</v>
      </c>
      <c r="O2591" s="9" t="s">
        <v>51</v>
      </c>
      <c r="P2591" s="9"/>
      <c r="Q2591" s="9"/>
      <c r="R2591" s="9" t="s">
        <v>61</v>
      </c>
      <c r="S2591" s="9" t="s">
        <v>8920</v>
      </c>
      <c r="T2591" s="9" t="s">
        <v>8921</v>
      </c>
      <c r="U2591" s="9" t="s">
        <v>54</v>
      </c>
      <c r="V2591" s="9" t="s">
        <v>55</v>
      </c>
      <c r="W2591" s="9" t="s">
        <v>55</v>
      </c>
      <c r="X2591" s="12" t="s">
        <v>76</v>
      </c>
      <c r="Y2591" s="9" t="s">
        <v>77</v>
      </c>
      <c r="Z2591" s="13"/>
    </row>
    <row r="2592" spans="1:26" ht="32.25" hidden="1" customHeight="1">
      <c r="A2592" s="8">
        <v>2311598</v>
      </c>
      <c r="B2592" s="9" t="s">
        <v>8922</v>
      </c>
      <c r="C2592" s="10">
        <v>45156</v>
      </c>
      <c r="D2592" s="9" t="s">
        <v>79</v>
      </c>
      <c r="E2592" s="9" t="s">
        <v>143</v>
      </c>
      <c r="F2592" s="9" t="s">
        <v>80</v>
      </c>
      <c r="G2592" s="9" t="s">
        <v>43</v>
      </c>
      <c r="H2592" s="9" t="s">
        <v>44</v>
      </c>
      <c r="I2592" s="11" t="s">
        <v>326</v>
      </c>
      <c r="J2592" s="9" t="s">
        <v>327</v>
      </c>
      <c r="K2592" s="9" t="s">
        <v>47</v>
      </c>
      <c r="L2592" s="9" t="s">
        <v>1542</v>
      </c>
      <c r="M2592" s="9" t="s">
        <v>1543</v>
      </c>
      <c r="N2592" s="9" t="s">
        <v>84</v>
      </c>
      <c r="O2592" s="9" t="s">
        <v>51</v>
      </c>
      <c r="P2592" s="9" t="s">
        <v>1646</v>
      </c>
      <c r="Q2592" s="9"/>
      <c r="R2592" s="9" t="s">
        <v>61</v>
      </c>
      <c r="S2592" s="14" t="s">
        <v>8923</v>
      </c>
      <c r="T2592" s="9" t="s">
        <v>8924</v>
      </c>
      <c r="U2592" s="9" t="s">
        <v>54</v>
      </c>
      <c r="V2592" s="9" t="s">
        <v>55</v>
      </c>
      <c r="W2592" s="9" t="s">
        <v>55</v>
      </c>
      <c r="X2592" s="12" t="s">
        <v>150</v>
      </c>
      <c r="Y2592" s="9" t="s">
        <v>151</v>
      </c>
      <c r="Z2592" s="13"/>
    </row>
    <row r="2593" spans="1:26" ht="32.25" hidden="1" customHeight="1">
      <c r="A2593" s="8">
        <v>2310894</v>
      </c>
      <c r="B2593" s="9" t="s">
        <v>8925</v>
      </c>
      <c r="C2593" s="10">
        <v>45156</v>
      </c>
      <c r="D2593" s="9" t="s">
        <v>79</v>
      </c>
      <c r="E2593" s="9" t="s">
        <v>143</v>
      </c>
      <c r="F2593" s="9" t="s">
        <v>80</v>
      </c>
      <c r="G2593" s="9" t="s">
        <v>43</v>
      </c>
      <c r="H2593" s="9" t="s">
        <v>44</v>
      </c>
      <c r="I2593" s="11" t="s">
        <v>725</v>
      </c>
      <c r="J2593" s="9" t="s">
        <v>145</v>
      </c>
      <c r="K2593" s="9" t="s">
        <v>47</v>
      </c>
      <c r="L2593" s="9" t="s">
        <v>437</v>
      </c>
      <c r="M2593" s="9" t="s">
        <v>1882</v>
      </c>
      <c r="N2593" s="9" t="s">
        <v>50</v>
      </c>
      <c r="O2593" s="9" t="s">
        <v>51</v>
      </c>
      <c r="P2593" s="9" t="s">
        <v>727</v>
      </c>
      <c r="Q2593" s="9"/>
      <c r="R2593" s="9" t="s">
        <v>61</v>
      </c>
      <c r="S2593" s="14" t="s">
        <v>8926</v>
      </c>
      <c r="T2593" s="9" t="s">
        <v>8927</v>
      </c>
      <c r="U2593" s="9" t="s">
        <v>54</v>
      </c>
      <c r="V2593" s="9" t="s">
        <v>251</v>
      </c>
      <c r="W2593" s="9" t="s">
        <v>115</v>
      </c>
      <c r="X2593" s="12" t="s">
        <v>171</v>
      </c>
      <c r="Y2593" s="9" t="s">
        <v>172</v>
      </c>
      <c r="Z2593" s="13"/>
    </row>
    <row r="2594" spans="1:26" ht="32.25" hidden="1" customHeight="1">
      <c r="A2594" s="8">
        <v>2309699</v>
      </c>
      <c r="B2594" s="9" t="s">
        <v>8928</v>
      </c>
      <c r="C2594" s="10">
        <v>45156</v>
      </c>
      <c r="D2594" s="9" t="s">
        <v>79</v>
      </c>
      <c r="E2594" s="9" t="s">
        <v>89</v>
      </c>
      <c r="F2594" s="9" t="s">
        <v>80</v>
      </c>
      <c r="G2594" s="9" t="s">
        <v>43</v>
      </c>
      <c r="H2594" s="9" t="s">
        <v>44</v>
      </c>
      <c r="I2594" s="11" t="s">
        <v>101</v>
      </c>
      <c r="J2594" s="9" t="s">
        <v>102</v>
      </c>
      <c r="K2594" s="9" t="s">
        <v>47</v>
      </c>
      <c r="L2594" s="9" t="s">
        <v>1040</v>
      </c>
      <c r="M2594" s="9" t="s">
        <v>1041</v>
      </c>
      <c r="N2594" s="9" t="s">
        <v>84</v>
      </c>
      <c r="O2594" s="9" t="s">
        <v>51</v>
      </c>
      <c r="P2594" s="9" t="s">
        <v>447</v>
      </c>
      <c r="Q2594" s="9"/>
      <c r="R2594" s="9"/>
      <c r="S2594" s="14" t="s">
        <v>8929</v>
      </c>
      <c r="T2594" s="9" t="s">
        <v>8930</v>
      </c>
      <c r="U2594" s="9" t="s">
        <v>54</v>
      </c>
      <c r="V2594" s="9" t="s">
        <v>55</v>
      </c>
      <c r="W2594" s="9" t="s">
        <v>55</v>
      </c>
      <c r="X2594" s="12"/>
      <c r="Y2594" s="9" t="s">
        <v>55</v>
      </c>
      <c r="Z2594" s="13"/>
    </row>
    <row r="2595" spans="1:26" ht="32.25" hidden="1" customHeight="1">
      <c r="A2595" s="8">
        <v>2311845</v>
      </c>
      <c r="B2595" s="9" t="s">
        <v>8931</v>
      </c>
      <c r="C2595" s="10">
        <v>45149</v>
      </c>
      <c r="D2595" s="9" t="s">
        <v>261</v>
      </c>
      <c r="E2595" s="9" t="s">
        <v>68</v>
      </c>
      <c r="F2595" s="9" t="s">
        <v>262</v>
      </c>
      <c r="G2595" s="9" t="s">
        <v>43</v>
      </c>
      <c r="H2595" s="9" t="s">
        <v>44</v>
      </c>
      <c r="I2595" s="11" t="s">
        <v>1338</v>
      </c>
      <c r="J2595" s="9" t="s">
        <v>1339</v>
      </c>
      <c r="K2595" s="9" t="s">
        <v>47</v>
      </c>
      <c r="L2595" s="9" t="s">
        <v>221</v>
      </c>
      <c r="M2595" s="9" t="s">
        <v>2830</v>
      </c>
      <c r="N2595" s="9" t="s">
        <v>50</v>
      </c>
      <c r="O2595" s="9" t="s">
        <v>51</v>
      </c>
      <c r="P2595" s="9"/>
      <c r="Q2595" s="9"/>
      <c r="R2595" s="9"/>
      <c r="S2595" s="14" t="s">
        <v>8932</v>
      </c>
      <c r="T2595" s="9" t="s">
        <v>8933</v>
      </c>
      <c r="U2595" s="9" t="s">
        <v>262</v>
      </c>
      <c r="V2595" s="9" t="s">
        <v>701</v>
      </c>
      <c r="W2595" s="9" t="s">
        <v>55</v>
      </c>
      <c r="X2595" s="12"/>
      <c r="Y2595" s="9" t="s">
        <v>55</v>
      </c>
      <c r="Z2595" s="13"/>
    </row>
    <row r="2596" spans="1:26" ht="32.25" hidden="1" customHeight="1">
      <c r="A2596" s="8">
        <v>2311473</v>
      </c>
      <c r="B2596" s="9" t="s">
        <v>8934</v>
      </c>
      <c r="C2596" s="10">
        <v>45149</v>
      </c>
      <c r="D2596" s="9" t="s">
        <v>57</v>
      </c>
      <c r="E2596" s="9" t="s">
        <v>41</v>
      </c>
      <c r="F2596" s="9" t="s">
        <v>42</v>
      </c>
      <c r="G2596" s="9" t="s">
        <v>43</v>
      </c>
      <c r="H2596" s="9" t="s">
        <v>58</v>
      </c>
      <c r="I2596" s="11" t="s">
        <v>661</v>
      </c>
      <c r="J2596" s="9" t="s">
        <v>662</v>
      </c>
      <c r="K2596" s="9" t="s">
        <v>47</v>
      </c>
      <c r="L2596" s="9" t="s">
        <v>221</v>
      </c>
      <c r="M2596" s="9" t="s">
        <v>1451</v>
      </c>
      <c r="N2596" s="9" t="s">
        <v>50</v>
      </c>
      <c r="O2596" s="9" t="s">
        <v>51</v>
      </c>
      <c r="P2596" s="9"/>
      <c r="Q2596" s="9"/>
      <c r="R2596" s="9" t="s">
        <v>61</v>
      </c>
      <c r="S2596" s="14" t="s">
        <v>8935</v>
      </c>
      <c r="T2596" s="9" t="s">
        <v>8936</v>
      </c>
      <c r="U2596" s="9" t="s">
        <v>54</v>
      </c>
      <c r="V2596" s="9" t="s">
        <v>55</v>
      </c>
      <c r="W2596" s="9" t="s">
        <v>55</v>
      </c>
      <c r="X2596" s="9" t="s">
        <v>64</v>
      </c>
      <c r="Y2596" s="9" t="s">
        <v>65</v>
      </c>
      <c r="Z2596" s="13"/>
    </row>
    <row r="2597" spans="1:26" ht="32.25" hidden="1" customHeight="1">
      <c r="A2597" s="8">
        <v>2302560</v>
      </c>
      <c r="B2597" s="9" t="s">
        <v>8937</v>
      </c>
      <c r="C2597" s="10">
        <v>45156</v>
      </c>
      <c r="D2597" s="9" t="s">
        <v>79</v>
      </c>
      <c r="E2597" s="9" t="s">
        <v>89</v>
      </c>
      <c r="F2597" s="9" t="s">
        <v>80</v>
      </c>
      <c r="G2597" s="9" t="s">
        <v>43</v>
      </c>
      <c r="H2597" s="9" t="s">
        <v>44</v>
      </c>
      <c r="I2597" s="11" t="s">
        <v>101</v>
      </c>
      <c r="J2597" s="9" t="s">
        <v>102</v>
      </c>
      <c r="K2597" s="9" t="s">
        <v>416</v>
      </c>
      <c r="L2597" s="9"/>
      <c r="M2597" s="9"/>
      <c r="N2597" s="9" t="s">
        <v>84</v>
      </c>
      <c r="O2597" s="9" t="s">
        <v>51</v>
      </c>
      <c r="P2597" s="9" t="s">
        <v>1402</v>
      </c>
      <c r="Q2597" s="9"/>
      <c r="R2597" s="9" t="s">
        <v>61</v>
      </c>
      <c r="S2597" s="14" t="s">
        <v>8938</v>
      </c>
      <c r="T2597" s="9" t="s">
        <v>8939</v>
      </c>
      <c r="U2597" s="9" t="s">
        <v>54</v>
      </c>
      <c r="V2597" s="9" t="s">
        <v>711</v>
      </c>
      <c r="W2597" s="9" t="s">
        <v>115</v>
      </c>
      <c r="X2597" s="12" t="s">
        <v>98</v>
      </c>
      <c r="Y2597" s="9" t="s">
        <v>99</v>
      </c>
      <c r="Z2597" s="13"/>
    </row>
    <row r="2598" spans="1:26" ht="32.25" hidden="1" customHeight="1">
      <c r="A2598" s="8">
        <v>2315435</v>
      </c>
      <c r="B2598" s="9" t="s">
        <v>8940</v>
      </c>
      <c r="C2598" s="10">
        <v>45152</v>
      </c>
      <c r="D2598" s="9" t="s">
        <v>185</v>
      </c>
      <c r="E2598" s="9" t="s">
        <v>41</v>
      </c>
      <c r="F2598" s="9" t="s">
        <v>42</v>
      </c>
      <c r="G2598" s="9" t="s">
        <v>43</v>
      </c>
      <c r="H2598" s="9" t="s">
        <v>44</v>
      </c>
      <c r="I2598" s="11" t="s">
        <v>1073</v>
      </c>
      <c r="J2598" s="9" t="s">
        <v>479</v>
      </c>
      <c r="K2598" s="9" t="s">
        <v>496</v>
      </c>
      <c r="L2598" s="9"/>
      <c r="M2598" s="9" t="s">
        <v>8941</v>
      </c>
      <c r="N2598" s="9" t="s">
        <v>50</v>
      </c>
      <c r="O2598" s="9" t="s">
        <v>187</v>
      </c>
      <c r="P2598" s="9"/>
      <c r="Q2598" s="9"/>
      <c r="R2598" s="9" t="s">
        <v>61</v>
      </c>
      <c r="S2598" s="14" t="s">
        <v>8942</v>
      </c>
      <c r="T2598" s="9" t="s">
        <v>8943</v>
      </c>
      <c r="U2598" s="9" t="s">
        <v>54</v>
      </c>
      <c r="V2598" s="9" t="s">
        <v>55</v>
      </c>
      <c r="W2598" s="9" t="s">
        <v>55</v>
      </c>
      <c r="X2598" s="9" t="s">
        <v>196</v>
      </c>
      <c r="Y2598" s="9" t="s">
        <v>197</v>
      </c>
      <c r="Z2598" s="13"/>
    </row>
    <row r="2599" spans="1:26" ht="32.25" hidden="1" customHeight="1">
      <c r="A2599" s="8">
        <v>2303411</v>
      </c>
      <c r="B2599" s="9" t="s">
        <v>8944</v>
      </c>
      <c r="C2599" s="10">
        <v>45142</v>
      </c>
      <c r="D2599" s="9" t="s">
        <v>67</v>
      </c>
      <c r="E2599" s="9" t="s">
        <v>89</v>
      </c>
      <c r="F2599" s="9" t="s">
        <v>42</v>
      </c>
      <c r="G2599" s="9" t="s">
        <v>43</v>
      </c>
      <c r="H2599" s="9" t="s">
        <v>44</v>
      </c>
      <c r="I2599" s="11" t="s">
        <v>354</v>
      </c>
      <c r="J2599" s="9" t="s">
        <v>91</v>
      </c>
      <c r="K2599" s="9" t="s">
        <v>47</v>
      </c>
      <c r="L2599" s="9" t="s">
        <v>156</v>
      </c>
      <c r="M2599" s="9"/>
      <c r="N2599" s="9" t="s">
        <v>50</v>
      </c>
      <c r="O2599" s="9" t="s">
        <v>51</v>
      </c>
      <c r="P2599" s="9" t="s">
        <v>356</v>
      </c>
      <c r="Q2599" s="9"/>
      <c r="R2599" s="9"/>
      <c r="S2599" s="9" t="s">
        <v>8945</v>
      </c>
      <c r="T2599" s="9" t="s">
        <v>8946</v>
      </c>
      <c r="U2599" s="9" t="s">
        <v>54</v>
      </c>
      <c r="V2599" s="9" t="s">
        <v>55</v>
      </c>
      <c r="W2599" s="9" t="s">
        <v>55</v>
      </c>
      <c r="X2599" s="12"/>
      <c r="Y2599" s="9" t="s">
        <v>55</v>
      </c>
      <c r="Z2599" s="13"/>
    </row>
    <row r="2600" spans="1:26" ht="32.25" hidden="1" customHeight="1">
      <c r="A2600" s="8">
        <v>2300343</v>
      </c>
      <c r="B2600" s="9" t="s">
        <v>8947</v>
      </c>
      <c r="C2600" s="10">
        <v>45142</v>
      </c>
      <c r="D2600" s="9" t="s">
        <v>232</v>
      </c>
      <c r="E2600" s="9" t="s">
        <v>143</v>
      </c>
      <c r="F2600" s="9" t="s">
        <v>80</v>
      </c>
      <c r="G2600" s="9" t="s">
        <v>43</v>
      </c>
      <c r="H2600" s="9" t="s">
        <v>44</v>
      </c>
      <c r="I2600" s="11" t="s">
        <v>326</v>
      </c>
      <c r="J2600" s="9" t="s">
        <v>327</v>
      </c>
      <c r="K2600" s="9" t="s">
        <v>271</v>
      </c>
      <c r="L2600" s="9"/>
      <c r="M2600" s="9" t="s">
        <v>8948</v>
      </c>
      <c r="N2600" s="9" t="s">
        <v>84</v>
      </c>
      <c r="O2600" s="9" t="s">
        <v>187</v>
      </c>
      <c r="P2600" s="9" t="s">
        <v>522</v>
      </c>
      <c r="Q2600" s="9"/>
      <c r="R2600" s="9" t="s">
        <v>61</v>
      </c>
      <c r="S2600" s="9" t="s">
        <v>8949</v>
      </c>
      <c r="T2600" s="9" t="s">
        <v>8950</v>
      </c>
      <c r="U2600" s="9" t="s">
        <v>54</v>
      </c>
      <c r="V2600" s="9" t="s">
        <v>525</v>
      </c>
      <c r="W2600" s="9" t="s">
        <v>55</v>
      </c>
      <c r="X2600" s="12" t="s">
        <v>150</v>
      </c>
      <c r="Y2600" s="9" t="s">
        <v>151</v>
      </c>
      <c r="Z2600" s="13" t="s">
        <v>240</v>
      </c>
    </row>
    <row r="2601" spans="1:26" ht="32.25" hidden="1" customHeight="1">
      <c r="A2601" s="8">
        <v>2315159</v>
      </c>
      <c r="B2601" s="9" t="s">
        <v>8951</v>
      </c>
      <c r="C2601" s="10">
        <v>45152</v>
      </c>
      <c r="D2601" s="9" t="s">
        <v>639</v>
      </c>
      <c r="E2601" s="9" t="s">
        <v>41</v>
      </c>
      <c r="F2601" s="9" t="s">
        <v>80</v>
      </c>
      <c r="G2601" s="9" t="s">
        <v>43</v>
      </c>
      <c r="H2601" s="9" t="s">
        <v>44</v>
      </c>
      <c r="I2601" s="11" t="s">
        <v>81</v>
      </c>
      <c r="J2601" s="9" t="s">
        <v>46</v>
      </c>
      <c r="K2601" s="9" t="s">
        <v>250</v>
      </c>
      <c r="L2601" s="9"/>
      <c r="M2601" s="9" t="s">
        <v>8952</v>
      </c>
      <c r="N2601" s="9" t="s">
        <v>50</v>
      </c>
      <c r="O2601" s="9" t="s">
        <v>187</v>
      </c>
      <c r="P2601" s="9" t="s">
        <v>253</v>
      </c>
      <c r="Q2601" s="9"/>
      <c r="R2601" s="9" t="s">
        <v>61</v>
      </c>
      <c r="S2601" s="14" t="s">
        <v>8953</v>
      </c>
      <c r="T2601" s="9" t="s">
        <v>8954</v>
      </c>
      <c r="U2601" s="9" t="s">
        <v>54</v>
      </c>
      <c r="V2601" s="9" t="s">
        <v>55</v>
      </c>
      <c r="W2601" s="9" t="s">
        <v>55</v>
      </c>
      <c r="X2601" s="9" t="s">
        <v>64</v>
      </c>
      <c r="Y2601" s="9" t="s">
        <v>65</v>
      </c>
      <c r="Z2601" s="13"/>
    </row>
    <row r="2602" spans="1:26" ht="32.25" hidden="1" customHeight="1">
      <c r="A2602" s="8">
        <v>2309633</v>
      </c>
      <c r="B2602" s="9" t="s">
        <v>8955</v>
      </c>
      <c r="C2602" s="10">
        <v>45149</v>
      </c>
      <c r="D2602" s="9" t="s">
        <v>261</v>
      </c>
      <c r="E2602" s="9" t="s">
        <v>89</v>
      </c>
      <c r="F2602" s="9" t="s">
        <v>262</v>
      </c>
      <c r="G2602" s="9" t="s">
        <v>43</v>
      </c>
      <c r="H2602" s="9" t="s">
        <v>44</v>
      </c>
      <c r="I2602" s="11" t="s">
        <v>1561</v>
      </c>
      <c r="J2602" s="9" t="s">
        <v>1562</v>
      </c>
      <c r="K2602" s="9" t="s">
        <v>47</v>
      </c>
      <c r="L2602" s="9" t="s">
        <v>799</v>
      </c>
      <c r="M2602" s="9" t="s">
        <v>8956</v>
      </c>
      <c r="N2602" s="9" t="s">
        <v>50</v>
      </c>
      <c r="O2602" s="9" t="s">
        <v>51</v>
      </c>
      <c r="P2602" s="9"/>
      <c r="Q2602" s="9"/>
      <c r="R2602" s="9" t="s">
        <v>61</v>
      </c>
      <c r="S2602" s="14" t="s">
        <v>8957</v>
      </c>
      <c r="T2602" s="9" t="s">
        <v>8958</v>
      </c>
      <c r="U2602" s="9" t="s">
        <v>262</v>
      </c>
      <c r="V2602" s="9" t="s">
        <v>711</v>
      </c>
      <c r="W2602" s="9" t="s">
        <v>115</v>
      </c>
      <c r="X2602" s="12" t="s">
        <v>389</v>
      </c>
      <c r="Y2602" s="9" t="s">
        <v>390</v>
      </c>
      <c r="Z2602" s="13"/>
    </row>
    <row r="2603" spans="1:26" ht="32.25" hidden="1" customHeight="1">
      <c r="A2603" s="8">
        <v>2309873</v>
      </c>
      <c r="B2603" s="9" t="s">
        <v>8959</v>
      </c>
      <c r="C2603" s="10">
        <v>45156</v>
      </c>
      <c r="D2603" s="9" t="s">
        <v>79</v>
      </c>
      <c r="E2603" s="9" t="s">
        <v>41</v>
      </c>
      <c r="F2603" s="9" t="s">
        <v>80</v>
      </c>
      <c r="G2603" s="9" t="s">
        <v>43</v>
      </c>
      <c r="H2603" s="9" t="s">
        <v>44</v>
      </c>
      <c r="I2603" s="11" t="s">
        <v>478</v>
      </c>
      <c r="J2603" s="9" t="s">
        <v>479</v>
      </c>
      <c r="K2603" s="9" t="s">
        <v>47</v>
      </c>
      <c r="L2603" s="9" t="s">
        <v>162</v>
      </c>
      <c r="M2603" s="9" t="s">
        <v>163</v>
      </c>
      <c r="N2603" s="9" t="s">
        <v>50</v>
      </c>
      <c r="O2603" s="9" t="s">
        <v>51</v>
      </c>
      <c r="P2603" s="9" t="s">
        <v>482</v>
      </c>
      <c r="Q2603" s="9"/>
      <c r="R2603" s="9"/>
      <c r="S2603" s="14" t="s">
        <v>8960</v>
      </c>
      <c r="T2603" s="9" t="s">
        <v>8961</v>
      </c>
      <c r="U2603" s="9" t="s">
        <v>54</v>
      </c>
      <c r="V2603" s="9" t="s">
        <v>55</v>
      </c>
      <c r="W2603" s="9" t="s">
        <v>55</v>
      </c>
      <c r="X2603" s="12"/>
      <c r="Y2603" s="9" t="s">
        <v>55</v>
      </c>
      <c r="Z2603" s="13"/>
    </row>
    <row r="2604" spans="1:26" ht="32.25" hidden="1" customHeight="1">
      <c r="A2604" s="8">
        <v>2306723</v>
      </c>
      <c r="B2604" s="9" t="s">
        <v>8962</v>
      </c>
      <c r="C2604" s="10">
        <v>45149</v>
      </c>
      <c r="D2604" s="9" t="s">
        <v>57</v>
      </c>
      <c r="E2604" s="9" t="s">
        <v>295</v>
      </c>
      <c r="F2604" s="9" t="s">
        <v>42</v>
      </c>
      <c r="G2604" s="9" t="s">
        <v>43</v>
      </c>
      <c r="H2604" s="9" t="s">
        <v>58</v>
      </c>
      <c r="I2604" s="11" t="s">
        <v>296</v>
      </c>
      <c r="J2604" s="9" t="s">
        <v>297</v>
      </c>
      <c r="K2604" s="9" t="s">
        <v>47</v>
      </c>
      <c r="L2604" s="9" t="s">
        <v>167</v>
      </c>
      <c r="M2604" s="9" t="s">
        <v>168</v>
      </c>
      <c r="N2604" s="9" t="s">
        <v>84</v>
      </c>
      <c r="O2604" s="9" t="s">
        <v>51</v>
      </c>
      <c r="P2604" s="9"/>
      <c r="Q2604" s="9"/>
      <c r="R2604" s="9" t="s">
        <v>61</v>
      </c>
      <c r="S2604" s="14" t="s">
        <v>8963</v>
      </c>
      <c r="T2604" s="9" t="s">
        <v>8964</v>
      </c>
      <c r="U2604" s="9" t="s">
        <v>54</v>
      </c>
      <c r="V2604" s="9" t="s">
        <v>55</v>
      </c>
      <c r="W2604" s="9" t="s">
        <v>55</v>
      </c>
      <c r="X2604" s="9" t="s">
        <v>319</v>
      </c>
      <c r="Y2604" s="9" t="s">
        <v>320</v>
      </c>
      <c r="Z2604" s="13"/>
    </row>
    <row r="2605" spans="1:26" ht="32.25" hidden="1" customHeight="1">
      <c r="A2605" s="8">
        <v>2303056</v>
      </c>
      <c r="B2605" s="9" t="s">
        <v>8965</v>
      </c>
      <c r="C2605" s="10">
        <v>45142</v>
      </c>
      <c r="D2605" s="9" t="s">
        <v>67</v>
      </c>
      <c r="E2605" s="9" t="s">
        <v>41</v>
      </c>
      <c r="F2605" s="9" t="s">
        <v>42</v>
      </c>
      <c r="G2605" s="9" t="s">
        <v>43</v>
      </c>
      <c r="H2605" s="9" t="s">
        <v>44</v>
      </c>
      <c r="I2605" s="11" t="s">
        <v>199</v>
      </c>
      <c r="J2605" s="9" t="s">
        <v>200</v>
      </c>
      <c r="K2605" s="9" t="s">
        <v>47</v>
      </c>
      <c r="L2605" s="9" t="s">
        <v>156</v>
      </c>
      <c r="M2605" s="9"/>
      <c r="N2605" s="9" t="s">
        <v>84</v>
      </c>
      <c r="O2605" s="9" t="s">
        <v>51</v>
      </c>
      <c r="P2605" s="9"/>
      <c r="Q2605" s="9"/>
      <c r="R2605" s="9"/>
      <c r="S2605" s="9" t="s">
        <v>8966</v>
      </c>
      <c r="T2605" s="9" t="s">
        <v>8967</v>
      </c>
      <c r="U2605" s="9" t="s">
        <v>54</v>
      </c>
      <c r="V2605" s="9" t="s">
        <v>55</v>
      </c>
      <c r="W2605" s="9" t="s">
        <v>55</v>
      </c>
      <c r="X2605" s="12"/>
      <c r="Y2605" s="9" t="s">
        <v>55</v>
      </c>
      <c r="Z2605" s="13"/>
    </row>
    <row r="2606" spans="1:26" ht="32.25" hidden="1" customHeight="1">
      <c r="A2606" s="8">
        <v>2311001</v>
      </c>
      <c r="B2606" s="9" t="s">
        <v>8968</v>
      </c>
      <c r="C2606" s="10">
        <v>45156</v>
      </c>
      <c r="D2606" s="9" t="s">
        <v>79</v>
      </c>
      <c r="E2606" s="9" t="s">
        <v>295</v>
      </c>
      <c r="F2606" s="9" t="s">
        <v>80</v>
      </c>
      <c r="G2606" s="9" t="s">
        <v>43</v>
      </c>
      <c r="H2606" s="9" t="s">
        <v>44</v>
      </c>
      <c r="I2606" s="11" t="s">
        <v>1600</v>
      </c>
      <c r="J2606" s="9" t="s">
        <v>407</v>
      </c>
      <c r="K2606" s="9" t="s">
        <v>47</v>
      </c>
      <c r="L2606" s="9" t="s">
        <v>156</v>
      </c>
      <c r="M2606" s="9"/>
      <c r="N2606" s="9" t="s">
        <v>84</v>
      </c>
      <c r="O2606" s="9" t="s">
        <v>51</v>
      </c>
      <c r="P2606" s="9" t="s">
        <v>3946</v>
      </c>
      <c r="Q2606" s="9"/>
      <c r="R2606" s="9"/>
      <c r="S2606" s="14" t="s">
        <v>8969</v>
      </c>
      <c r="T2606" s="9" t="s">
        <v>8970</v>
      </c>
      <c r="U2606" s="9" t="s">
        <v>54</v>
      </c>
      <c r="V2606" s="9" t="s">
        <v>318</v>
      </c>
      <c r="W2606" s="9" t="s">
        <v>115</v>
      </c>
      <c r="X2606" s="12"/>
      <c r="Y2606" s="9" t="s">
        <v>55</v>
      </c>
      <c r="Z2606" s="13"/>
    </row>
    <row r="2607" spans="1:26" ht="32.25" hidden="1" customHeight="1">
      <c r="A2607" s="8">
        <v>2305816</v>
      </c>
      <c r="B2607" s="9" t="s">
        <v>8971</v>
      </c>
      <c r="C2607" s="10">
        <v>45142</v>
      </c>
      <c r="D2607" s="9" t="s">
        <v>67</v>
      </c>
      <c r="E2607" s="9" t="s">
        <v>143</v>
      </c>
      <c r="F2607" s="9" t="s">
        <v>42</v>
      </c>
      <c r="G2607" s="9" t="s">
        <v>43</v>
      </c>
      <c r="H2607" s="9" t="s">
        <v>44</v>
      </c>
      <c r="I2607" s="11" t="s">
        <v>334</v>
      </c>
      <c r="J2607" s="9" t="s">
        <v>327</v>
      </c>
      <c r="K2607" s="9" t="s">
        <v>47</v>
      </c>
      <c r="L2607" s="9" t="s">
        <v>451</v>
      </c>
      <c r="M2607" s="9" t="s">
        <v>452</v>
      </c>
      <c r="N2607" s="9" t="s">
        <v>50</v>
      </c>
      <c r="O2607" s="9" t="s">
        <v>51</v>
      </c>
      <c r="P2607" s="9" t="s">
        <v>336</v>
      </c>
      <c r="Q2607" s="9"/>
      <c r="R2607" s="9" t="s">
        <v>61</v>
      </c>
      <c r="S2607" s="9" t="s">
        <v>8972</v>
      </c>
      <c r="T2607" s="9" t="s">
        <v>8973</v>
      </c>
      <c r="U2607" s="9" t="s">
        <v>54</v>
      </c>
      <c r="V2607" s="9" t="s">
        <v>55</v>
      </c>
      <c r="W2607" s="9" t="s">
        <v>55</v>
      </c>
      <c r="X2607" s="12" t="s">
        <v>150</v>
      </c>
      <c r="Y2607" s="9" t="s">
        <v>151</v>
      </c>
      <c r="Z2607" s="13"/>
    </row>
    <row r="2608" spans="1:26" ht="32.25" hidden="1" customHeight="1">
      <c r="A2608" s="8">
        <v>2308248</v>
      </c>
      <c r="B2608" s="9" t="s">
        <v>8974</v>
      </c>
      <c r="C2608" s="10">
        <v>45149</v>
      </c>
      <c r="D2608" s="9" t="s">
        <v>57</v>
      </c>
      <c r="E2608" s="9" t="s">
        <v>41</v>
      </c>
      <c r="F2608" s="9" t="s">
        <v>42</v>
      </c>
      <c r="G2608" s="9" t="s">
        <v>43</v>
      </c>
      <c r="H2608" s="9" t="s">
        <v>58</v>
      </c>
      <c r="I2608" s="11" t="s">
        <v>45</v>
      </c>
      <c r="J2608" s="9" t="s">
        <v>46</v>
      </c>
      <c r="K2608" s="9" t="s">
        <v>47</v>
      </c>
      <c r="L2608" s="9" t="s">
        <v>156</v>
      </c>
      <c r="M2608" s="9"/>
      <c r="N2608" s="9" t="s">
        <v>50</v>
      </c>
      <c r="O2608" s="9" t="s">
        <v>51</v>
      </c>
      <c r="P2608" s="9"/>
      <c r="Q2608" s="9"/>
      <c r="R2608" s="9"/>
      <c r="S2608" s="14" t="s">
        <v>8975</v>
      </c>
      <c r="T2608" s="9" t="s">
        <v>8976</v>
      </c>
      <c r="U2608" s="9" t="s">
        <v>54</v>
      </c>
      <c r="V2608" s="9" t="s">
        <v>55</v>
      </c>
      <c r="W2608" s="9" t="s">
        <v>55</v>
      </c>
      <c r="X2608" s="12"/>
      <c r="Y2608" s="9" t="s">
        <v>55</v>
      </c>
      <c r="Z2608" s="13"/>
    </row>
    <row r="2609" spans="1:26" ht="32.25" hidden="1" customHeight="1">
      <c r="A2609" s="8">
        <v>2300802</v>
      </c>
      <c r="B2609" s="9" t="s">
        <v>8977</v>
      </c>
      <c r="C2609" s="10">
        <v>45149</v>
      </c>
      <c r="D2609" s="9" t="s">
        <v>57</v>
      </c>
      <c r="E2609" s="9" t="s">
        <v>41</v>
      </c>
      <c r="F2609" s="9" t="s">
        <v>42</v>
      </c>
      <c r="G2609" s="9" t="s">
        <v>43</v>
      </c>
      <c r="H2609" s="9" t="s">
        <v>58</v>
      </c>
      <c r="I2609" s="11" t="s">
        <v>45</v>
      </c>
      <c r="J2609" s="9" t="s">
        <v>46</v>
      </c>
      <c r="K2609" s="9" t="s">
        <v>47</v>
      </c>
      <c r="L2609" s="9" t="s">
        <v>156</v>
      </c>
      <c r="M2609" s="9"/>
      <c r="N2609" s="9" t="s">
        <v>50</v>
      </c>
      <c r="O2609" s="9" t="s">
        <v>51</v>
      </c>
      <c r="P2609" s="9"/>
      <c r="Q2609" s="9"/>
      <c r="R2609" s="9"/>
      <c r="S2609" s="14" t="s">
        <v>8978</v>
      </c>
      <c r="T2609" s="9" t="s">
        <v>8979</v>
      </c>
      <c r="U2609" s="9" t="s">
        <v>54</v>
      </c>
      <c r="V2609" s="9" t="s">
        <v>55</v>
      </c>
      <c r="W2609" s="9" t="s">
        <v>55</v>
      </c>
      <c r="X2609" s="12"/>
      <c r="Y2609" s="9" t="s">
        <v>55</v>
      </c>
      <c r="Z2609" s="13"/>
    </row>
    <row r="2610" spans="1:26" ht="32.25" hidden="1" customHeight="1">
      <c r="A2610" s="8">
        <v>2315044</v>
      </c>
      <c r="B2610" s="9" t="s">
        <v>8980</v>
      </c>
      <c r="C2610" s="10">
        <v>45156</v>
      </c>
      <c r="D2610" s="9" t="s">
        <v>79</v>
      </c>
      <c r="E2610" s="9" t="s">
        <v>89</v>
      </c>
      <c r="F2610" s="9" t="s">
        <v>80</v>
      </c>
      <c r="G2610" s="9" t="s">
        <v>43</v>
      </c>
      <c r="H2610" s="9" t="s">
        <v>44</v>
      </c>
      <c r="I2610" s="11" t="s">
        <v>101</v>
      </c>
      <c r="J2610" s="9" t="s">
        <v>102</v>
      </c>
      <c r="K2610" s="9" t="s">
        <v>47</v>
      </c>
      <c r="L2610" s="9" t="s">
        <v>777</v>
      </c>
      <c r="M2610" s="9" t="s">
        <v>781</v>
      </c>
      <c r="N2610" s="9" t="s">
        <v>50</v>
      </c>
      <c r="O2610" s="9" t="s">
        <v>51</v>
      </c>
      <c r="P2610" s="9" t="s">
        <v>715</v>
      </c>
      <c r="Q2610" s="9"/>
      <c r="R2610" s="9"/>
      <c r="S2610" s="14" t="s">
        <v>8981</v>
      </c>
      <c r="T2610" s="9" t="s">
        <v>8982</v>
      </c>
      <c r="U2610" s="9" t="s">
        <v>54</v>
      </c>
      <c r="V2610" s="9" t="s">
        <v>55</v>
      </c>
      <c r="W2610" s="9" t="s">
        <v>55</v>
      </c>
      <c r="X2610" s="12"/>
      <c r="Y2610" s="9" t="s">
        <v>55</v>
      </c>
      <c r="Z2610" s="13"/>
    </row>
    <row r="2611" spans="1:26" ht="32.25" hidden="1" customHeight="1">
      <c r="A2611" s="8">
        <v>2311319</v>
      </c>
      <c r="B2611" s="9" t="s">
        <v>8983</v>
      </c>
      <c r="C2611" s="10">
        <v>45149</v>
      </c>
      <c r="D2611" s="9" t="s">
        <v>57</v>
      </c>
      <c r="E2611" s="9" t="s">
        <v>41</v>
      </c>
      <c r="F2611" s="9" t="s">
        <v>42</v>
      </c>
      <c r="G2611" s="9" t="s">
        <v>43</v>
      </c>
      <c r="H2611" s="9" t="s">
        <v>58</v>
      </c>
      <c r="I2611" s="11" t="s">
        <v>45</v>
      </c>
      <c r="J2611" s="9" t="s">
        <v>46</v>
      </c>
      <c r="K2611" s="9" t="s">
        <v>47</v>
      </c>
      <c r="L2611" s="9" t="s">
        <v>156</v>
      </c>
      <c r="M2611" s="9"/>
      <c r="N2611" s="9" t="s">
        <v>50</v>
      </c>
      <c r="O2611" s="9" t="s">
        <v>51</v>
      </c>
      <c r="P2611" s="9"/>
      <c r="Q2611" s="9"/>
      <c r="R2611" s="9"/>
      <c r="S2611" s="14" t="s">
        <v>8984</v>
      </c>
      <c r="T2611" s="9" t="s">
        <v>8985</v>
      </c>
      <c r="U2611" s="9" t="s">
        <v>54</v>
      </c>
      <c r="V2611" s="9" t="s">
        <v>55</v>
      </c>
      <c r="W2611" s="9" t="s">
        <v>55</v>
      </c>
      <c r="X2611" s="12"/>
      <c r="Y2611" s="9" t="s">
        <v>55</v>
      </c>
      <c r="Z2611" s="13"/>
    </row>
    <row r="2612" spans="1:26" ht="32.25" hidden="1" customHeight="1">
      <c r="A2612" s="8">
        <v>2300437</v>
      </c>
      <c r="B2612" s="9" t="s">
        <v>8986</v>
      </c>
      <c r="C2612" s="10">
        <v>45142</v>
      </c>
      <c r="D2612" s="9" t="s">
        <v>67</v>
      </c>
      <c r="E2612" s="9" t="s">
        <v>143</v>
      </c>
      <c r="F2612" s="9" t="s">
        <v>42</v>
      </c>
      <c r="G2612" s="9" t="s">
        <v>43</v>
      </c>
      <c r="H2612" s="9" t="s">
        <v>44</v>
      </c>
      <c r="I2612" s="11" t="s">
        <v>596</v>
      </c>
      <c r="J2612" s="9" t="s">
        <v>597</v>
      </c>
      <c r="K2612" s="9" t="s">
        <v>47</v>
      </c>
      <c r="L2612" s="9" t="s">
        <v>1333</v>
      </c>
      <c r="M2612" s="9" t="s">
        <v>8987</v>
      </c>
      <c r="N2612" s="9" t="s">
        <v>50</v>
      </c>
      <c r="O2612" s="9" t="s">
        <v>51</v>
      </c>
      <c r="P2612" s="9"/>
      <c r="Q2612" s="9"/>
      <c r="R2612" s="9" t="s">
        <v>61</v>
      </c>
      <c r="S2612" s="9" t="s">
        <v>8988</v>
      </c>
      <c r="T2612" s="9" t="s">
        <v>8989</v>
      </c>
      <c r="U2612" s="9" t="s">
        <v>54</v>
      </c>
      <c r="V2612" s="9" t="s">
        <v>55</v>
      </c>
      <c r="W2612" s="9" t="s">
        <v>55</v>
      </c>
      <c r="X2612" s="12" t="s">
        <v>171</v>
      </c>
      <c r="Y2612" s="9" t="s">
        <v>172</v>
      </c>
      <c r="Z2612" s="13"/>
    </row>
    <row r="2613" spans="1:26" ht="32.25" hidden="1" customHeight="1">
      <c r="A2613" s="8">
        <v>2302964</v>
      </c>
      <c r="B2613" s="9" t="s">
        <v>8990</v>
      </c>
      <c r="C2613" s="10">
        <v>45149</v>
      </c>
      <c r="D2613" s="9" t="s">
        <v>57</v>
      </c>
      <c r="E2613" s="9" t="s">
        <v>41</v>
      </c>
      <c r="F2613" s="9" t="s">
        <v>42</v>
      </c>
      <c r="G2613" s="9" t="s">
        <v>43</v>
      </c>
      <c r="H2613" s="9" t="s">
        <v>58</v>
      </c>
      <c r="I2613" s="11" t="s">
        <v>661</v>
      </c>
      <c r="J2613" s="9" t="s">
        <v>662</v>
      </c>
      <c r="K2613" s="9" t="s">
        <v>47</v>
      </c>
      <c r="L2613" s="9" t="s">
        <v>156</v>
      </c>
      <c r="M2613" s="9"/>
      <c r="N2613" s="9" t="s">
        <v>84</v>
      </c>
      <c r="O2613" s="9" t="s">
        <v>51</v>
      </c>
      <c r="P2613" s="9"/>
      <c r="Q2613" s="9"/>
      <c r="R2613" s="9"/>
      <c r="S2613" s="14" t="s">
        <v>8991</v>
      </c>
      <c r="T2613" s="9" t="s">
        <v>8992</v>
      </c>
      <c r="U2613" s="9" t="s">
        <v>54</v>
      </c>
      <c r="V2613" s="9" t="s">
        <v>55</v>
      </c>
      <c r="W2613" s="9" t="s">
        <v>55</v>
      </c>
      <c r="X2613" s="12"/>
      <c r="Y2613" s="9" t="s">
        <v>55</v>
      </c>
      <c r="Z2613" s="13"/>
    </row>
    <row r="2614" spans="1:26" ht="32.25" hidden="1" customHeight="1">
      <c r="A2614" s="8">
        <v>2309999</v>
      </c>
      <c r="B2614" s="9" t="s">
        <v>8993</v>
      </c>
      <c r="C2614" s="10">
        <v>45149</v>
      </c>
      <c r="D2614" s="9" t="s">
        <v>57</v>
      </c>
      <c r="E2614" s="9" t="s">
        <v>295</v>
      </c>
      <c r="F2614" s="9" t="s">
        <v>42</v>
      </c>
      <c r="G2614" s="9" t="s">
        <v>43</v>
      </c>
      <c r="H2614" s="9" t="s">
        <v>58</v>
      </c>
      <c r="I2614" s="11" t="s">
        <v>296</v>
      </c>
      <c r="J2614" s="9" t="s">
        <v>297</v>
      </c>
      <c r="K2614" s="9" t="s">
        <v>47</v>
      </c>
      <c r="L2614" s="9" t="s">
        <v>1992</v>
      </c>
      <c r="M2614" s="9" t="s">
        <v>1993</v>
      </c>
      <c r="N2614" s="9" t="s">
        <v>84</v>
      </c>
      <c r="O2614" s="9" t="s">
        <v>51</v>
      </c>
      <c r="P2614" s="9"/>
      <c r="Q2614" s="9"/>
      <c r="R2614" s="9" t="s">
        <v>61</v>
      </c>
      <c r="S2614" s="14" t="s">
        <v>8994</v>
      </c>
      <c r="T2614" s="9" t="s">
        <v>8995</v>
      </c>
      <c r="U2614" s="9" t="s">
        <v>54</v>
      </c>
      <c r="V2614" s="9" t="s">
        <v>55</v>
      </c>
      <c r="W2614" s="9" t="s">
        <v>55</v>
      </c>
      <c r="X2614" s="9" t="s">
        <v>319</v>
      </c>
      <c r="Y2614" s="9" t="s">
        <v>320</v>
      </c>
      <c r="Z2614" s="13"/>
    </row>
    <row r="2615" spans="1:26" ht="32.25" hidden="1" customHeight="1">
      <c r="A2615" s="8">
        <v>2312539</v>
      </c>
      <c r="B2615" s="9" t="s">
        <v>8996</v>
      </c>
      <c r="C2615" s="10">
        <v>45136</v>
      </c>
      <c r="D2615" s="9" t="s">
        <v>40</v>
      </c>
      <c r="E2615" s="9" t="s">
        <v>41</v>
      </c>
      <c r="F2615" s="9" t="s">
        <v>42</v>
      </c>
      <c r="G2615" s="9" t="s">
        <v>43</v>
      </c>
      <c r="H2615" s="9" t="s">
        <v>44</v>
      </c>
      <c r="I2615" s="11" t="s">
        <v>45</v>
      </c>
      <c r="J2615" s="9" t="s">
        <v>46</v>
      </c>
      <c r="K2615" s="9" t="s">
        <v>47</v>
      </c>
      <c r="L2615" s="9" t="s">
        <v>1924</v>
      </c>
      <c r="M2615" s="9" t="s">
        <v>6457</v>
      </c>
      <c r="N2615" s="9" t="s">
        <v>50</v>
      </c>
      <c r="O2615" s="9" t="s">
        <v>51</v>
      </c>
      <c r="P2615" s="9"/>
      <c r="Q2615" s="9"/>
      <c r="R2615" s="9" t="s">
        <v>61</v>
      </c>
      <c r="S2615" s="9" t="s">
        <v>8997</v>
      </c>
      <c r="T2615" s="9" t="s">
        <v>8998</v>
      </c>
      <c r="U2615" s="9" t="s">
        <v>54</v>
      </c>
      <c r="V2615" s="9" t="s">
        <v>55</v>
      </c>
      <c r="W2615" s="9" t="s">
        <v>55</v>
      </c>
      <c r="X2615" s="9" t="s">
        <v>196</v>
      </c>
      <c r="Y2615" s="9" t="s">
        <v>197</v>
      </c>
      <c r="Z2615" s="13"/>
    </row>
    <row r="2616" spans="1:26" ht="32.25" hidden="1" customHeight="1">
      <c r="A2616" s="8">
        <v>2310748</v>
      </c>
      <c r="B2616" s="9" t="s">
        <v>8999</v>
      </c>
      <c r="C2616" s="10">
        <v>45142</v>
      </c>
      <c r="D2616" s="9" t="s">
        <v>67</v>
      </c>
      <c r="E2616" s="9" t="s">
        <v>68</v>
      </c>
      <c r="F2616" s="9" t="s">
        <v>42</v>
      </c>
      <c r="G2616" s="9" t="s">
        <v>43</v>
      </c>
      <c r="H2616" s="9" t="s">
        <v>44</v>
      </c>
      <c r="I2616" s="11" t="s">
        <v>69</v>
      </c>
      <c r="J2616" s="9" t="s">
        <v>70</v>
      </c>
      <c r="K2616" s="9" t="s">
        <v>47</v>
      </c>
      <c r="L2616" s="9" t="s">
        <v>1056</v>
      </c>
      <c r="M2616" s="9" t="s">
        <v>9000</v>
      </c>
      <c r="N2616" s="9" t="s">
        <v>84</v>
      </c>
      <c r="O2616" s="9" t="s">
        <v>51</v>
      </c>
      <c r="P2616" s="9" t="s">
        <v>73</v>
      </c>
      <c r="Q2616" s="9"/>
      <c r="R2616" s="9" t="s">
        <v>61</v>
      </c>
      <c r="S2616" s="9" t="s">
        <v>9001</v>
      </c>
      <c r="T2616" s="9" t="s">
        <v>9002</v>
      </c>
      <c r="U2616" s="9" t="s">
        <v>54</v>
      </c>
      <c r="V2616" s="9" t="s">
        <v>55</v>
      </c>
      <c r="W2616" s="9" t="s">
        <v>55</v>
      </c>
      <c r="X2616" s="12" t="s">
        <v>76</v>
      </c>
      <c r="Y2616" s="9" t="s">
        <v>77</v>
      </c>
      <c r="Z2616" s="13"/>
    </row>
    <row r="2617" spans="1:26" ht="32.25" hidden="1" customHeight="1">
      <c r="A2617" s="8">
        <v>2308355</v>
      </c>
      <c r="B2617" s="9" t="s">
        <v>9003</v>
      </c>
      <c r="C2617" s="10">
        <v>45149</v>
      </c>
      <c r="D2617" s="9" t="s">
        <v>57</v>
      </c>
      <c r="E2617" s="9" t="s">
        <v>153</v>
      </c>
      <c r="F2617" s="9" t="s">
        <v>42</v>
      </c>
      <c r="G2617" s="9" t="s">
        <v>43</v>
      </c>
      <c r="H2617" s="9" t="s">
        <v>58</v>
      </c>
      <c r="I2617" s="11" t="s">
        <v>154</v>
      </c>
      <c r="J2617" s="9" t="s">
        <v>155</v>
      </c>
      <c r="K2617" s="9" t="s">
        <v>47</v>
      </c>
      <c r="L2617" s="9" t="s">
        <v>48</v>
      </c>
      <c r="M2617" s="9" t="s">
        <v>421</v>
      </c>
      <c r="N2617" s="9" t="s">
        <v>84</v>
      </c>
      <c r="O2617" s="9" t="s">
        <v>51</v>
      </c>
      <c r="P2617" s="9"/>
      <c r="Q2617" s="9"/>
      <c r="R2617" s="9" t="s">
        <v>61</v>
      </c>
      <c r="S2617" s="14" t="s">
        <v>9004</v>
      </c>
      <c r="T2617" s="9" t="s">
        <v>9005</v>
      </c>
      <c r="U2617" s="9" t="s">
        <v>54</v>
      </c>
      <c r="V2617" s="9" t="s">
        <v>55</v>
      </c>
      <c r="W2617" s="9" t="s">
        <v>55</v>
      </c>
      <c r="X2617" s="12" t="s">
        <v>171</v>
      </c>
      <c r="Y2617" s="9" t="s">
        <v>172</v>
      </c>
      <c r="Z2617" s="13"/>
    </row>
    <row r="2618" spans="1:26" ht="32.25" hidden="1" customHeight="1">
      <c r="A2618" s="8">
        <v>2313026</v>
      </c>
      <c r="B2618" s="9" t="s">
        <v>9006</v>
      </c>
      <c r="C2618" s="10">
        <v>45149</v>
      </c>
      <c r="D2618" s="9" t="s">
        <v>57</v>
      </c>
      <c r="E2618" s="9" t="s">
        <v>41</v>
      </c>
      <c r="F2618" s="9" t="s">
        <v>42</v>
      </c>
      <c r="G2618" s="9" t="s">
        <v>43</v>
      </c>
      <c r="H2618" s="9" t="s">
        <v>58</v>
      </c>
      <c r="I2618" s="11" t="s">
        <v>45</v>
      </c>
      <c r="J2618" s="9" t="s">
        <v>46</v>
      </c>
      <c r="K2618" s="9" t="s">
        <v>47</v>
      </c>
      <c r="L2618" s="9" t="s">
        <v>3693</v>
      </c>
      <c r="M2618" s="9" t="s">
        <v>3694</v>
      </c>
      <c r="N2618" s="9" t="s">
        <v>50</v>
      </c>
      <c r="O2618" s="9" t="s">
        <v>51</v>
      </c>
      <c r="P2618" s="9"/>
      <c r="Q2618" s="9"/>
      <c r="R2618" s="9" t="s">
        <v>61</v>
      </c>
      <c r="S2618" s="14" t="s">
        <v>9007</v>
      </c>
      <c r="T2618" s="9" t="s">
        <v>9008</v>
      </c>
      <c r="U2618" s="9" t="s">
        <v>54</v>
      </c>
      <c r="V2618" s="9" t="s">
        <v>55</v>
      </c>
      <c r="W2618" s="9" t="s">
        <v>55</v>
      </c>
      <c r="X2618" s="9" t="s">
        <v>64</v>
      </c>
      <c r="Y2618" s="9" t="s">
        <v>65</v>
      </c>
      <c r="Z2618" s="13" t="s">
        <v>9009</v>
      </c>
    </row>
    <row r="2619" spans="1:26" ht="32.25" hidden="1" customHeight="1">
      <c r="A2619" s="8">
        <v>2315386</v>
      </c>
      <c r="B2619" s="9" t="s">
        <v>9010</v>
      </c>
      <c r="C2619" s="10">
        <v>45152</v>
      </c>
      <c r="D2619" s="9" t="s">
        <v>185</v>
      </c>
      <c r="E2619" s="9" t="s">
        <v>41</v>
      </c>
      <c r="F2619" s="9" t="s">
        <v>42</v>
      </c>
      <c r="G2619" s="9" t="s">
        <v>43</v>
      </c>
      <c r="H2619" s="9" t="s">
        <v>44</v>
      </c>
      <c r="I2619" s="11" t="s">
        <v>45</v>
      </c>
      <c r="J2619" s="9" t="s">
        <v>46</v>
      </c>
      <c r="K2619" s="9" t="s">
        <v>1158</v>
      </c>
      <c r="L2619" s="9"/>
      <c r="M2619" s="9" t="s">
        <v>2442</v>
      </c>
      <c r="N2619" s="9" t="s">
        <v>50</v>
      </c>
      <c r="O2619" s="9" t="s">
        <v>187</v>
      </c>
      <c r="P2619" s="9"/>
      <c r="Q2619" s="9"/>
      <c r="R2619" s="9" t="s">
        <v>61</v>
      </c>
      <c r="S2619" s="14" t="s">
        <v>641</v>
      </c>
      <c r="T2619" s="9" t="s">
        <v>9011</v>
      </c>
      <c r="U2619" s="9" t="s">
        <v>54</v>
      </c>
      <c r="V2619" s="9" t="s">
        <v>55</v>
      </c>
      <c r="W2619" s="9" t="s">
        <v>55</v>
      </c>
      <c r="X2619" s="9" t="s">
        <v>196</v>
      </c>
      <c r="Y2619" s="9" t="s">
        <v>197</v>
      </c>
      <c r="Z2619" s="13"/>
    </row>
    <row r="2620" spans="1:26" ht="32.25" hidden="1" customHeight="1">
      <c r="A2620" s="8">
        <v>2302072</v>
      </c>
      <c r="B2620" s="9" t="s">
        <v>9012</v>
      </c>
      <c r="C2620" s="10">
        <v>45136</v>
      </c>
      <c r="D2620" s="9" t="s">
        <v>40</v>
      </c>
      <c r="E2620" s="9" t="s">
        <v>143</v>
      </c>
      <c r="F2620" s="9" t="s">
        <v>42</v>
      </c>
      <c r="G2620" s="9" t="s">
        <v>43</v>
      </c>
      <c r="H2620" s="9" t="s">
        <v>44</v>
      </c>
      <c r="I2620" s="11" t="s">
        <v>334</v>
      </c>
      <c r="J2620" s="9" t="s">
        <v>327</v>
      </c>
      <c r="K2620" s="9" t="s">
        <v>47</v>
      </c>
      <c r="L2620" s="9" t="s">
        <v>349</v>
      </c>
      <c r="M2620" s="9" t="s">
        <v>785</v>
      </c>
      <c r="N2620" s="9" t="s">
        <v>84</v>
      </c>
      <c r="O2620" s="9" t="s">
        <v>51</v>
      </c>
      <c r="P2620" s="9" t="s">
        <v>336</v>
      </c>
      <c r="Q2620" s="9"/>
      <c r="R2620" s="9" t="s">
        <v>61</v>
      </c>
      <c r="S2620" s="9" t="s">
        <v>9013</v>
      </c>
      <c r="T2620" s="9" t="s">
        <v>9014</v>
      </c>
      <c r="U2620" s="9" t="s">
        <v>54</v>
      </c>
      <c r="V2620" s="9" t="s">
        <v>55</v>
      </c>
      <c r="W2620" s="9" t="s">
        <v>55</v>
      </c>
      <c r="X2620" s="12" t="s">
        <v>150</v>
      </c>
      <c r="Y2620" s="9" t="s">
        <v>151</v>
      </c>
      <c r="Z2620" s="13"/>
    </row>
    <row r="2621" spans="1:26" ht="32.25" hidden="1" customHeight="1">
      <c r="A2621" s="8">
        <v>2300951</v>
      </c>
      <c r="B2621" s="9" t="s">
        <v>9015</v>
      </c>
      <c r="C2621" s="10">
        <v>45149</v>
      </c>
      <c r="D2621" s="9" t="s">
        <v>57</v>
      </c>
      <c r="E2621" s="9" t="s">
        <v>41</v>
      </c>
      <c r="F2621" s="9" t="s">
        <v>42</v>
      </c>
      <c r="G2621" s="9" t="s">
        <v>43</v>
      </c>
      <c r="H2621" s="9" t="s">
        <v>58</v>
      </c>
      <c r="I2621" s="11" t="s">
        <v>129</v>
      </c>
      <c r="J2621" s="9" t="s">
        <v>130</v>
      </c>
      <c r="K2621" s="9" t="s">
        <v>47</v>
      </c>
      <c r="L2621" s="9" t="s">
        <v>156</v>
      </c>
      <c r="M2621" s="9"/>
      <c r="N2621" s="9" t="s">
        <v>84</v>
      </c>
      <c r="O2621" s="9" t="s">
        <v>51</v>
      </c>
      <c r="P2621" s="9"/>
      <c r="Q2621" s="9"/>
      <c r="R2621" s="9"/>
      <c r="S2621" s="14" t="s">
        <v>9016</v>
      </c>
      <c r="T2621" s="9" t="s">
        <v>9017</v>
      </c>
      <c r="U2621" s="9" t="s">
        <v>54</v>
      </c>
      <c r="V2621" s="9" t="s">
        <v>55</v>
      </c>
      <c r="W2621" s="9" t="s">
        <v>55</v>
      </c>
      <c r="X2621" s="12"/>
      <c r="Y2621" s="9" t="s">
        <v>55</v>
      </c>
      <c r="Z2621" s="13"/>
    </row>
    <row r="2622" spans="1:26" ht="32.25" hidden="1" customHeight="1">
      <c r="A2622" s="8">
        <v>2311894</v>
      </c>
      <c r="B2622" s="9" t="s">
        <v>9018</v>
      </c>
      <c r="C2622" s="10">
        <v>45156</v>
      </c>
      <c r="D2622" s="9" t="s">
        <v>565</v>
      </c>
      <c r="E2622" s="9" t="s">
        <v>295</v>
      </c>
      <c r="F2622" s="9" t="s">
        <v>42</v>
      </c>
      <c r="G2622" s="9" t="s">
        <v>43</v>
      </c>
      <c r="H2622" s="9" t="s">
        <v>58</v>
      </c>
      <c r="I2622" s="11" t="s">
        <v>296</v>
      </c>
      <c r="J2622" s="9" t="s">
        <v>297</v>
      </c>
      <c r="K2622" s="9" t="s">
        <v>47</v>
      </c>
      <c r="L2622" s="9" t="s">
        <v>156</v>
      </c>
      <c r="M2622" s="9"/>
      <c r="N2622" s="9" t="s">
        <v>50</v>
      </c>
      <c r="O2622" s="9" t="s">
        <v>51</v>
      </c>
      <c r="P2622" s="9"/>
      <c r="Q2622" s="9"/>
      <c r="R2622" s="9"/>
      <c r="S2622" s="14" t="s">
        <v>9019</v>
      </c>
      <c r="T2622" s="9" t="s">
        <v>9020</v>
      </c>
      <c r="U2622" s="9" t="s">
        <v>54</v>
      </c>
      <c r="V2622" s="9" t="s">
        <v>55</v>
      </c>
      <c r="W2622" s="9" t="s">
        <v>55</v>
      </c>
      <c r="X2622" s="12"/>
      <c r="Y2622" s="9" t="s">
        <v>55</v>
      </c>
      <c r="Z2622" s="13"/>
    </row>
    <row r="2623" spans="1:26" ht="32.25" hidden="1" customHeight="1">
      <c r="A2623" s="8">
        <v>2300803</v>
      </c>
      <c r="B2623" s="9" t="s">
        <v>9021</v>
      </c>
      <c r="C2623" s="10">
        <v>45142</v>
      </c>
      <c r="D2623" s="9" t="s">
        <v>67</v>
      </c>
      <c r="E2623" s="9" t="s">
        <v>143</v>
      </c>
      <c r="F2623" s="9" t="s">
        <v>42</v>
      </c>
      <c r="G2623" s="9" t="s">
        <v>43</v>
      </c>
      <c r="H2623" s="9" t="s">
        <v>44</v>
      </c>
      <c r="I2623" s="11" t="s">
        <v>334</v>
      </c>
      <c r="J2623" s="9" t="s">
        <v>327</v>
      </c>
      <c r="K2623" s="9" t="s">
        <v>47</v>
      </c>
      <c r="L2623" s="9" t="s">
        <v>290</v>
      </c>
      <c r="M2623" s="9" t="s">
        <v>999</v>
      </c>
      <c r="N2623" s="9" t="s">
        <v>84</v>
      </c>
      <c r="O2623" s="9" t="s">
        <v>51</v>
      </c>
      <c r="P2623" s="9" t="s">
        <v>336</v>
      </c>
      <c r="Q2623" s="9"/>
      <c r="R2623" s="9" t="s">
        <v>61</v>
      </c>
      <c r="S2623" s="9" t="s">
        <v>9022</v>
      </c>
      <c r="T2623" s="9" t="s">
        <v>9023</v>
      </c>
      <c r="U2623" s="9" t="s">
        <v>54</v>
      </c>
      <c r="V2623" s="9" t="s">
        <v>55</v>
      </c>
      <c r="W2623" s="9" t="s">
        <v>55</v>
      </c>
      <c r="X2623" s="12" t="s">
        <v>150</v>
      </c>
      <c r="Y2623" s="9" t="s">
        <v>151</v>
      </c>
      <c r="Z2623" s="13"/>
    </row>
    <row r="2624" spans="1:26" ht="32.25" hidden="1" customHeight="1">
      <c r="A2624" s="8">
        <v>2301426</v>
      </c>
      <c r="B2624" s="9" t="s">
        <v>9024</v>
      </c>
      <c r="C2624" s="10">
        <v>45142</v>
      </c>
      <c r="D2624" s="9" t="s">
        <v>67</v>
      </c>
      <c r="E2624" s="9" t="s">
        <v>68</v>
      </c>
      <c r="F2624" s="9" t="s">
        <v>135</v>
      </c>
      <c r="G2624" s="9" t="s">
        <v>43</v>
      </c>
      <c r="H2624" s="9" t="s">
        <v>44</v>
      </c>
      <c r="I2624" s="11" t="s">
        <v>136</v>
      </c>
      <c r="J2624" s="9" t="s">
        <v>137</v>
      </c>
      <c r="K2624" s="9" t="s">
        <v>47</v>
      </c>
      <c r="L2624" s="9" t="s">
        <v>2718</v>
      </c>
      <c r="M2624" s="9" t="s">
        <v>1605</v>
      </c>
      <c r="N2624" s="9" t="s">
        <v>50</v>
      </c>
      <c r="O2624" s="9" t="s">
        <v>51</v>
      </c>
      <c r="P2624" s="9"/>
      <c r="Q2624" s="9"/>
      <c r="R2624" s="9" t="s">
        <v>61</v>
      </c>
      <c r="S2624" s="9" t="s">
        <v>9025</v>
      </c>
      <c r="T2624" s="9" t="s">
        <v>9026</v>
      </c>
      <c r="U2624" s="9" t="s">
        <v>54</v>
      </c>
      <c r="V2624" s="9" t="s">
        <v>55</v>
      </c>
      <c r="W2624" s="9" t="s">
        <v>55</v>
      </c>
      <c r="X2624" s="12" t="s">
        <v>76</v>
      </c>
      <c r="Y2624" s="9" t="s">
        <v>77</v>
      </c>
      <c r="Z2624" s="13"/>
    </row>
    <row r="2625" spans="1:26" ht="32.25" hidden="1" customHeight="1">
      <c r="A2625" s="8">
        <v>2300317</v>
      </c>
      <c r="B2625" s="9" t="s">
        <v>9027</v>
      </c>
      <c r="C2625" s="10">
        <v>45156</v>
      </c>
      <c r="D2625" s="9" t="s">
        <v>79</v>
      </c>
      <c r="E2625" s="9" t="s">
        <v>89</v>
      </c>
      <c r="F2625" s="9" t="s">
        <v>80</v>
      </c>
      <c r="G2625" s="9" t="s">
        <v>43</v>
      </c>
      <c r="H2625" s="9" t="s">
        <v>44</v>
      </c>
      <c r="I2625" s="11" t="s">
        <v>4023</v>
      </c>
      <c r="J2625" s="9" t="s">
        <v>4024</v>
      </c>
      <c r="K2625" s="9" t="s">
        <v>47</v>
      </c>
      <c r="L2625" s="9" t="s">
        <v>156</v>
      </c>
      <c r="M2625" s="9"/>
      <c r="N2625" s="9" t="s">
        <v>84</v>
      </c>
      <c r="O2625" s="9" t="s">
        <v>51</v>
      </c>
      <c r="P2625" s="9" t="s">
        <v>4026</v>
      </c>
      <c r="Q2625" s="9"/>
      <c r="R2625" s="9"/>
      <c r="S2625" s="14" t="s">
        <v>9028</v>
      </c>
      <c r="T2625" s="9" t="s">
        <v>9029</v>
      </c>
      <c r="U2625" s="9" t="s">
        <v>54</v>
      </c>
      <c r="V2625" s="9" t="s">
        <v>55</v>
      </c>
      <c r="W2625" s="9" t="s">
        <v>55</v>
      </c>
      <c r="X2625" s="12"/>
      <c r="Y2625" s="9" t="s">
        <v>55</v>
      </c>
      <c r="Z2625" s="13"/>
    </row>
    <row r="2626" spans="1:26" ht="32.25" hidden="1" customHeight="1">
      <c r="A2626" s="8">
        <v>2311611</v>
      </c>
      <c r="B2626" s="9" t="s">
        <v>9030</v>
      </c>
      <c r="C2626" s="10">
        <v>45149</v>
      </c>
      <c r="D2626" s="9" t="s">
        <v>57</v>
      </c>
      <c r="E2626" s="9" t="s">
        <v>41</v>
      </c>
      <c r="F2626" s="9" t="s">
        <v>42</v>
      </c>
      <c r="G2626" s="9" t="s">
        <v>43</v>
      </c>
      <c r="H2626" s="9" t="s">
        <v>58</v>
      </c>
      <c r="I2626" s="11" t="s">
        <v>199</v>
      </c>
      <c r="J2626" s="9" t="s">
        <v>200</v>
      </c>
      <c r="K2626" s="9" t="s">
        <v>47</v>
      </c>
      <c r="L2626" s="9" t="s">
        <v>59</v>
      </c>
      <c r="M2626" s="9" t="s">
        <v>60</v>
      </c>
      <c r="N2626" s="9" t="s">
        <v>50</v>
      </c>
      <c r="O2626" s="9" t="s">
        <v>51</v>
      </c>
      <c r="P2626" s="9"/>
      <c r="Q2626" s="9"/>
      <c r="R2626" s="9"/>
      <c r="S2626" s="14" t="s">
        <v>9031</v>
      </c>
      <c r="T2626" s="9" t="s">
        <v>9032</v>
      </c>
      <c r="U2626" s="9" t="s">
        <v>54</v>
      </c>
      <c r="V2626" s="9" t="s">
        <v>55</v>
      </c>
      <c r="W2626" s="9" t="s">
        <v>55</v>
      </c>
      <c r="X2626" s="12"/>
      <c r="Y2626" s="9" t="s">
        <v>55</v>
      </c>
      <c r="Z2626" s="13"/>
    </row>
    <row r="2627" spans="1:26" ht="32.25" hidden="1" customHeight="1">
      <c r="A2627" s="8">
        <v>2313051</v>
      </c>
      <c r="B2627" s="9" t="s">
        <v>9033</v>
      </c>
      <c r="C2627" s="10">
        <v>45156</v>
      </c>
      <c r="D2627" s="9" t="s">
        <v>79</v>
      </c>
      <c r="E2627" s="9" t="s">
        <v>143</v>
      </c>
      <c r="F2627" s="9" t="s">
        <v>80</v>
      </c>
      <c r="G2627" s="9" t="s">
        <v>43</v>
      </c>
      <c r="H2627" s="9" t="s">
        <v>44</v>
      </c>
      <c r="I2627" s="11" t="s">
        <v>326</v>
      </c>
      <c r="J2627" s="9" t="s">
        <v>327</v>
      </c>
      <c r="K2627" s="9" t="s">
        <v>47</v>
      </c>
      <c r="L2627" s="9" t="s">
        <v>586</v>
      </c>
      <c r="M2627" s="9" t="s">
        <v>587</v>
      </c>
      <c r="N2627" s="9" t="s">
        <v>84</v>
      </c>
      <c r="O2627" s="9" t="s">
        <v>51</v>
      </c>
      <c r="P2627" s="9" t="s">
        <v>654</v>
      </c>
      <c r="Q2627" s="9"/>
      <c r="R2627" s="9"/>
      <c r="S2627" s="14" t="s">
        <v>9034</v>
      </c>
      <c r="T2627" s="9" t="s">
        <v>9035</v>
      </c>
      <c r="U2627" s="9" t="s">
        <v>54</v>
      </c>
      <c r="V2627" s="9" t="s">
        <v>55</v>
      </c>
      <c r="W2627" s="9" t="s">
        <v>55</v>
      </c>
      <c r="X2627" s="12"/>
      <c r="Y2627" s="9" t="s">
        <v>55</v>
      </c>
      <c r="Z2627" s="13"/>
    </row>
    <row r="2628" spans="1:26" ht="32.25" hidden="1" customHeight="1">
      <c r="A2628" s="8">
        <v>2306903</v>
      </c>
      <c r="B2628" s="9" t="s">
        <v>9036</v>
      </c>
      <c r="C2628" s="10">
        <v>45149</v>
      </c>
      <c r="D2628" s="9" t="s">
        <v>57</v>
      </c>
      <c r="E2628" s="9" t="s">
        <v>41</v>
      </c>
      <c r="F2628" s="9" t="s">
        <v>42</v>
      </c>
      <c r="G2628" s="9" t="s">
        <v>43</v>
      </c>
      <c r="H2628" s="9" t="s">
        <v>58</v>
      </c>
      <c r="I2628" s="11" t="s">
        <v>199</v>
      </c>
      <c r="J2628" s="9" t="s">
        <v>200</v>
      </c>
      <c r="K2628" s="9" t="s">
        <v>47</v>
      </c>
      <c r="L2628" s="9" t="s">
        <v>437</v>
      </c>
      <c r="M2628" s="9" t="s">
        <v>1707</v>
      </c>
      <c r="N2628" s="9" t="s">
        <v>84</v>
      </c>
      <c r="O2628" s="9" t="s">
        <v>51</v>
      </c>
      <c r="P2628" s="9"/>
      <c r="Q2628" s="9"/>
      <c r="R2628" s="9" t="s">
        <v>61</v>
      </c>
      <c r="S2628" s="14" t="s">
        <v>9037</v>
      </c>
      <c r="T2628" s="9" t="s">
        <v>9038</v>
      </c>
      <c r="U2628" s="9" t="s">
        <v>54</v>
      </c>
      <c r="V2628" s="9" t="s">
        <v>55</v>
      </c>
      <c r="W2628" s="9" t="s">
        <v>55</v>
      </c>
      <c r="X2628" s="12" t="s">
        <v>196</v>
      </c>
      <c r="Y2628" s="9" t="s">
        <v>197</v>
      </c>
      <c r="Z2628" s="13"/>
    </row>
    <row r="2629" spans="1:26" ht="32.25" hidden="1" customHeight="1">
      <c r="A2629" s="8">
        <v>2310628</v>
      </c>
      <c r="B2629" s="9" t="s">
        <v>9039</v>
      </c>
      <c r="C2629" s="10">
        <v>45156</v>
      </c>
      <c r="D2629" s="9" t="s">
        <v>79</v>
      </c>
      <c r="E2629" s="9" t="s">
        <v>68</v>
      </c>
      <c r="F2629" s="9" t="s">
        <v>80</v>
      </c>
      <c r="G2629" s="9" t="s">
        <v>43</v>
      </c>
      <c r="H2629" s="9" t="s">
        <v>44</v>
      </c>
      <c r="I2629" s="11" t="s">
        <v>696</v>
      </c>
      <c r="J2629" s="9" t="s">
        <v>70</v>
      </c>
      <c r="K2629" s="9" t="s">
        <v>47</v>
      </c>
      <c r="L2629" s="9" t="s">
        <v>1839</v>
      </c>
      <c r="M2629" s="9" t="s">
        <v>9040</v>
      </c>
      <c r="N2629" s="9" t="s">
        <v>50</v>
      </c>
      <c r="O2629" s="9" t="s">
        <v>51</v>
      </c>
      <c r="P2629" s="9" t="s">
        <v>1841</v>
      </c>
      <c r="Q2629" s="9"/>
      <c r="R2629" s="9" t="s">
        <v>61</v>
      </c>
      <c r="S2629" s="14" t="s">
        <v>9041</v>
      </c>
      <c r="T2629" s="9" t="s">
        <v>9042</v>
      </c>
      <c r="U2629" s="9" t="s">
        <v>54</v>
      </c>
      <c r="V2629" s="9" t="s">
        <v>55</v>
      </c>
      <c r="W2629" s="9" t="s">
        <v>55</v>
      </c>
      <c r="X2629" s="12" t="s">
        <v>196</v>
      </c>
      <c r="Y2629" s="9" t="s">
        <v>197</v>
      </c>
      <c r="Z2629" s="13"/>
    </row>
    <row r="2630" spans="1:26" ht="32.25" hidden="1" customHeight="1">
      <c r="A2630" s="8">
        <v>2301213</v>
      </c>
      <c r="B2630" s="9" t="s">
        <v>9043</v>
      </c>
      <c r="C2630" s="10">
        <v>45156</v>
      </c>
      <c r="D2630" s="9" t="s">
        <v>79</v>
      </c>
      <c r="E2630" s="9" t="s">
        <v>68</v>
      </c>
      <c r="F2630" s="9" t="s">
        <v>80</v>
      </c>
      <c r="G2630" s="9" t="s">
        <v>43</v>
      </c>
      <c r="H2630" s="9" t="s">
        <v>44</v>
      </c>
      <c r="I2630" s="11" t="s">
        <v>90</v>
      </c>
      <c r="J2630" s="9" t="s">
        <v>91</v>
      </c>
      <c r="K2630" s="9" t="s">
        <v>47</v>
      </c>
      <c r="L2630" s="9" t="s">
        <v>48</v>
      </c>
      <c r="M2630" s="9" t="s">
        <v>242</v>
      </c>
      <c r="N2630" s="9" t="s">
        <v>50</v>
      </c>
      <c r="O2630" s="9" t="s">
        <v>51</v>
      </c>
      <c r="P2630" s="9" t="s">
        <v>273</v>
      </c>
      <c r="Q2630" s="9"/>
      <c r="R2630" s="9" t="s">
        <v>61</v>
      </c>
      <c r="S2630" s="14" t="s">
        <v>9044</v>
      </c>
      <c r="T2630" s="9" t="s">
        <v>9045</v>
      </c>
      <c r="U2630" s="9" t="s">
        <v>54</v>
      </c>
      <c r="V2630" s="9" t="s">
        <v>55</v>
      </c>
      <c r="W2630" s="9" t="s">
        <v>55</v>
      </c>
      <c r="X2630" s="12" t="s">
        <v>196</v>
      </c>
      <c r="Y2630" s="9" t="s">
        <v>197</v>
      </c>
      <c r="Z2630" s="13"/>
    </row>
    <row r="2631" spans="1:26" ht="32.25" hidden="1" customHeight="1">
      <c r="A2631" s="8">
        <v>2310293</v>
      </c>
      <c r="B2631" s="9" t="s">
        <v>9046</v>
      </c>
      <c r="C2631" s="10">
        <v>45142</v>
      </c>
      <c r="D2631" s="9" t="s">
        <v>67</v>
      </c>
      <c r="E2631" s="9" t="s">
        <v>41</v>
      </c>
      <c r="F2631" s="9" t="s">
        <v>42</v>
      </c>
      <c r="G2631" s="9" t="s">
        <v>43</v>
      </c>
      <c r="H2631" s="9" t="s">
        <v>44</v>
      </c>
      <c r="I2631" s="11" t="s">
        <v>45</v>
      </c>
      <c r="J2631" s="9" t="s">
        <v>46</v>
      </c>
      <c r="K2631" s="9" t="s">
        <v>47</v>
      </c>
      <c r="L2631" s="9" t="s">
        <v>1612</v>
      </c>
      <c r="M2631" s="9" t="s">
        <v>1613</v>
      </c>
      <c r="N2631" s="9" t="s">
        <v>50</v>
      </c>
      <c r="O2631" s="9" t="s">
        <v>51</v>
      </c>
      <c r="P2631" s="9"/>
      <c r="Q2631" s="9"/>
      <c r="R2631" s="9" t="s">
        <v>61</v>
      </c>
      <c r="S2631" s="9" t="s">
        <v>9047</v>
      </c>
      <c r="T2631" s="9" t="s">
        <v>9048</v>
      </c>
      <c r="U2631" s="9" t="s">
        <v>54</v>
      </c>
      <c r="V2631" s="9" t="s">
        <v>55</v>
      </c>
      <c r="W2631" s="9" t="s">
        <v>55</v>
      </c>
      <c r="X2631" s="9" t="s">
        <v>64</v>
      </c>
      <c r="Y2631" s="9" t="s">
        <v>65</v>
      </c>
      <c r="Z2631" s="13"/>
    </row>
    <row r="2632" spans="1:26" ht="32.25" hidden="1" customHeight="1">
      <c r="A2632" s="8">
        <v>2307481</v>
      </c>
      <c r="B2632" s="9" t="s">
        <v>9049</v>
      </c>
      <c r="C2632" s="10">
        <v>45156</v>
      </c>
      <c r="D2632" s="9" t="s">
        <v>79</v>
      </c>
      <c r="E2632" s="9" t="s">
        <v>68</v>
      </c>
      <c r="F2632" s="9" t="s">
        <v>80</v>
      </c>
      <c r="G2632" s="9" t="s">
        <v>43</v>
      </c>
      <c r="H2632" s="9" t="s">
        <v>44</v>
      </c>
      <c r="I2632" s="11" t="s">
        <v>117</v>
      </c>
      <c r="J2632" s="9" t="s">
        <v>118</v>
      </c>
      <c r="K2632" s="9" t="s">
        <v>47</v>
      </c>
      <c r="L2632" s="9" t="s">
        <v>156</v>
      </c>
      <c r="M2632" s="9"/>
      <c r="N2632" s="9" t="s">
        <v>50</v>
      </c>
      <c r="O2632" s="9" t="s">
        <v>51</v>
      </c>
      <c r="P2632" s="9" t="s">
        <v>285</v>
      </c>
      <c r="Q2632" s="9"/>
      <c r="R2632" s="9"/>
      <c r="S2632" s="14" t="s">
        <v>9050</v>
      </c>
      <c r="T2632" s="9" t="s">
        <v>9051</v>
      </c>
      <c r="U2632" s="9" t="s">
        <v>54</v>
      </c>
      <c r="V2632" s="9" t="s">
        <v>55</v>
      </c>
      <c r="W2632" s="9" t="s">
        <v>55</v>
      </c>
      <c r="X2632" s="12"/>
      <c r="Y2632" s="9" t="s">
        <v>55</v>
      </c>
      <c r="Z2632" s="13"/>
    </row>
    <row r="2633" spans="1:26" ht="32.25" hidden="1" customHeight="1">
      <c r="A2633" s="8">
        <v>2301525</v>
      </c>
      <c r="B2633" s="9" t="s">
        <v>9052</v>
      </c>
      <c r="C2633" s="10">
        <v>45142</v>
      </c>
      <c r="D2633" s="9" t="s">
        <v>67</v>
      </c>
      <c r="E2633" s="9" t="s">
        <v>143</v>
      </c>
      <c r="F2633" s="9" t="s">
        <v>42</v>
      </c>
      <c r="G2633" s="9" t="s">
        <v>43</v>
      </c>
      <c r="H2633" s="9" t="s">
        <v>44</v>
      </c>
      <c r="I2633" s="11" t="s">
        <v>144</v>
      </c>
      <c r="J2633" s="9" t="s">
        <v>145</v>
      </c>
      <c r="K2633" s="9" t="s">
        <v>47</v>
      </c>
      <c r="L2633" s="9" t="s">
        <v>180</v>
      </c>
      <c r="M2633" s="9" t="s">
        <v>181</v>
      </c>
      <c r="N2633" s="9" t="s">
        <v>84</v>
      </c>
      <c r="O2633" s="9" t="s">
        <v>51</v>
      </c>
      <c r="P2633" s="9" t="s">
        <v>147</v>
      </c>
      <c r="Q2633" s="9"/>
      <c r="R2633" s="9" t="s">
        <v>61</v>
      </c>
      <c r="S2633" s="9" t="s">
        <v>9053</v>
      </c>
      <c r="T2633" s="9" t="s">
        <v>9054</v>
      </c>
      <c r="U2633" s="9" t="s">
        <v>54</v>
      </c>
      <c r="V2633" s="9" t="s">
        <v>55</v>
      </c>
      <c r="W2633" s="9" t="s">
        <v>55</v>
      </c>
      <c r="X2633" s="12" t="s">
        <v>150</v>
      </c>
      <c r="Y2633" s="9" t="s">
        <v>151</v>
      </c>
      <c r="Z2633" s="13"/>
    </row>
    <row r="2634" spans="1:26" ht="32.25" hidden="1" customHeight="1">
      <c r="A2634" s="8">
        <v>2307138</v>
      </c>
      <c r="B2634" s="9" t="s">
        <v>9055</v>
      </c>
      <c r="C2634" s="10">
        <v>45142</v>
      </c>
      <c r="D2634" s="9" t="s">
        <v>67</v>
      </c>
      <c r="E2634" s="9" t="s">
        <v>143</v>
      </c>
      <c r="F2634" s="9" t="s">
        <v>42</v>
      </c>
      <c r="G2634" s="9" t="s">
        <v>43</v>
      </c>
      <c r="H2634" s="9" t="s">
        <v>44</v>
      </c>
      <c r="I2634" s="11" t="s">
        <v>460</v>
      </c>
      <c r="J2634" s="9" t="s">
        <v>400</v>
      </c>
      <c r="K2634" s="9" t="s">
        <v>47</v>
      </c>
      <c r="L2634" s="9" t="s">
        <v>827</v>
      </c>
      <c r="M2634" s="9" t="s">
        <v>9056</v>
      </c>
      <c r="N2634" s="9" t="s">
        <v>50</v>
      </c>
      <c r="O2634" s="9" t="s">
        <v>51</v>
      </c>
      <c r="P2634" s="9"/>
      <c r="Q2634" s="9"/>
      <c r="R2634" s="9" t="s">
        <v>61</v>
      </c>
      <c r="S2634" s="9" t="s">
        <v>9057</v>
      </c>
      <c r="T2634" s="9" t="s">
        <v>9058</v>
      </c>
      <c r="U2634" s="9" t="s">
        <v>54</v>
      </c>
      <c r="V2634" s="9" t="s">
        <v>55</v>
      </c>
      <c r="W2634" s="9" t="s">
        <v>55</v>
      </c>
      <c r="X2634" s="12" t="s">
        <v>150</v>
      </c>
      <c r="Y2634" s="9" t="s">
        <v>151</v>
      </c>
      <c r="Z2634" s="13"/>
    </row>
    <row r="2635" spans="1:26" ht="32.25" hidden="1" customHeight="1">
      <c r="A2635" s="8">
        <v>2311717</v>
      </c>
      <c r="B2635" s="9" t="s">
        <v>9059</v>
      </c>
      <c r="C2635" s="10">
        <v>45136</v>
      </c>
      <c r="D2635" s="9" t="s">
        <v>40</v>
      </c>
      <c r="E2635" s="9" t="s">
        <v>41</v>
      </c>
      <c r="F2635" s="9" t="s">
        <v>42</v>
      </c>
      <c r="G2635" s="9" t="s">
        <v>43</v>
      </c>
      <c r="H2635" s="9" t="s">
        <v>44</v>
      </c>
      <c r="I2635" s="11" t="s">
        <v>661</v>
      </c>
      <c r="J2635" s="9" t="s">
        <v>662</v>
      </c>
      <c r="K2635" s="9" t="s">
        <v>47</v>
      </c>
      <c r="L2635" s="9" t="s">
        <v>1333</v>
      </c>
      <c r="M2635" s="9" t="s">
        <v>1334</v>
      </c>
      <c r="N2635" s="9" t="s">
        <v>50</v>
      </c>
      <c r="O2635" s="9" t="s">
        <v>51</v>
      </c>
      <c r="P2635" s="9"/>
      <c r="Q2635" s="9"/>
      <c r="R2635" s="9" t="s">
        <v>61</v>
      </c>
      <c r="S2635" s="9" t="s">
        <v>9060</v>
      </c>
      <c r="T2635" s="9" t="s">
        <v>9061</v>
      </c>
      <c r="U2635" s="9" t="s">
        <v>54</v>
      </c>
      <c r="V2635" s="9" t="s">
        <v>55</v>
      </c>
      <c r="W2635" s="9" t="s">
        <v>55</v>
      </c>
      <c r="X2635" s="9" t="s">
        <v>64</v>
      </c>
      <c r="Y2635" s="9" t="s">
        <v>65</v>
      </c>
      <c r="Z2635" s="13"/>
    </row>
    <row r="2636" spans="1:26" ht="32.25" hidden="1" customHeight="1">
      <c r="A2636" s="8">
        <v>2312700</v>
      </c>
      <c r="B2636" s="9" t="s">
        <v>9062</v>
      </c>
      <c r="C2636" s="10">
        <v>45156</v>
      </c>
      <c r="D2636" s="9" t="s">
        <v>79</v>
      </c>
      <c r="E2636" s="9" t="s">
        <v>89</v>
      </c>
      <c r="F2636" s="9" t="s">
        <v>80</v>
      </c>
      <c r="G2636" s="9" t="s">
        <v>43</v>
      </c>
      <c r="H2636" s="9" t="s">
        <v>44</v>
      </c>
      <c r="I2636" s="11" t="s">
        <v>101</v>
      </c>
      <c r="J2636" s="9" t="s">
        <v>102</v>
      </c>
      <c r="K2636" s="9" t="s">
        <v>47</v>
      </c>
      <c r="L2636" s="9" t="s">
        <v>180</v>
      </c>
      <c r="M2636" s="9" t="s">
        <v>181</v>
      </c>
      <c r="N2636" s="9" t="s">
        <v>50</v>
      </c>
      <c r="O2636" s="9" t="s">
        <v>51</v>
      </c>
      <c r="P2636" s="9" t="s">
        <v>243</v>
      </c>
      <c r="Q2636" s="9"/>
      <c r="R2636" s="9"/>
      <c r="S2636" s="14" t="s">
        <v>9063</v>
      </c>
      <c r="T2636" s="9" t="s">
        <v>9064</v>
      </c>
      <c r="U2636" s="9" t="s">
        <v>54</v>
      </c>
      <c r="V2636" s="9" t="s">
        <v>55</v>
      </c>
      <c r="W2636" s="9" t="s">
        <v>55</v>
      </c>
      <c r="X2636" s="12"/>
      <c r="Y2636" s="9" t="s">
        <v>55</v>
      </c>
      <c r="Z2636" s="13"/>
    </row>
    <row r="2637" spans="1:26" ht="32.25" hidden="1" customHeight="1">
      <c r="A2637" s="8">
        <v>2314872</v>
      </c>
      <c r="B2637" s="9" t="s">
        <v>9065</v>
      </c>
      <c r="C2637" s="10">
        <v>45156</v>
      </c>
      <c r="D2637" s="9" t="s">
        <v>79</v>
      </c>
      <c r="E2637" s="9" t="s">
        <v>89</v>
      </c>
      <c r="F2637" s="9" t="s">
        <v>80</v>
      </c>
      <c r="G2637" s="9" t="s">
        <v>43</v>
      </c>
      <c r="H2637" s="9" t="s">
        <v>44</v>
      </c>
      <c r="I2637" s="11" t="s">
        <v>101</v>
      </c>
      <c r="J2637" s="9" t="s">
        <v>102</v>
      </c>
      <c r="K2637" s="9" t="s">
        <v>47</v>
      </c>
      <c r="L2637" s="9" t="s">
        <v>226</v>
      </c>
      <c r="M2637" s="9" t="s">
        <v>9066</v>
      </c>
      <c r="N2637" s="9" t="s">
        <v>50</v>
      </c>
      <c r="O2637" s="9" t="s">
        <v>51</v>
      </c>
      <c r="P2637" s="9" t="s">
        <v>2771</v>
      </c>
      <c r="Q2637" s="9"/>
      <c r="R2637" s="9" t="s">
        <v>61</v>
      </c>
      <c r="S2637" s="14" t="s">
        <v>9067</v>
      </c>
      <c r="T2637" s="9" t="s">
        <v>9068</v>
      </c>
      <c r="U2637" s="9" t="s">
        <v>54</v>
      </c>
      <c r="V2637" s="9" t="s">
        <v>55</v>
      </c>
      <c r="W2637" s="9" t="s">
        <v>115</v>
      </c>
      <c r="X2637" s="12" t="s">
        <v>98</v>
      </c>
      <c r="Y2637" s="9" t="s">
        <v>99</v>
      </c>
      <c r="Z2637" s="13"/>
    </row>
    <row r="2638" spans="1:26" ht="32.25" hidden="1" customHeight="1">
      <c r="A2638" s="8">
        <v>2301544</v>
      </c>
      <c r="B2638" s="9" t="s">
        <v>9069</v>
      </c>
      <c r="C2638" s="10">
        <v>45142</v>
      </c>
      <c r="D2638" s="9" t="s">
        <v>67</v>
      </c>
      <c r="E2638" s="9" t="s">
        <v>143</v>
      </c>
      <c r="F2638" s="9" t="s">
        <v>42</v>
      </c>
      <c r="G2638" s="9" t="s">
        <v>43</v>
      </c>
      <c r="H2638" s="9" t="s">
        <v>44</v>
      </c>
      <c r="I2638" s="11" t="s">
        <v>460</v>
      </c>
      <c r="J2638" s="9" t="s">
        <v>400</v>
      </c>
      <c r="K2638" s="9" t="s">
        <v>47</v>
      </c>
      <c r="L2638" s="9" t="s">
        <v>156</v>
      </c>
      <c r="M2638" s="9"/>
      <c r="N2638" s="9" t="s">
        <v>50</v>
      </c>
      <c r="O2638" s="9" t="s">
        <v>51</v>
      </c>
      <c r="P2638" s="9"/>
      <c r="Q2638" s="9"/>
      <c r="R2638" s="9"/>
      <c r="S2638" s="9" t="s">
        <v>9070</v>
      </c>
      <c r="T2638" s="9" t="s">
        <v>9071</v>
      </c>
      <c r="U2638" s="9" t="s">
        <v>54</v>
      </c>
      <c r="V2638" s="9" t="s">
        <v>55</v>
      </c>
      <c r="W2638" s="9" t="s">
        <v>55</v>
      </c>
      <c r="X2638" s="12"/>
      <c r="Y2638" s="9" t="s">
        <v>55</v>
      </c>
      <c r="Z2638" s="13"/>
    </row>
    <row r="2639" spans="1:26" ht="32.25" hidden="1" customHeight="1">
      <c r="A2639" s="8">
        <v>2314579</v>
      </c>
      <c r="B2639" s="9" t="s">
        <v>9072</v>
      </c>
      <c r="C2639" s="10">
        <v>45156</v>
      </c>
      <c r="D2639" s="9" t="s">
        <v>79</v>
      </c>
      <c r="E2639" s="9" t="s">
        <v>143</v>
      </c>
      <c r="F2639" s="9" t="s">
        <v>80</v>
      </c>
      <c r="G2639" s="9" t="s">
        <v>43</v>
      </c>
      <c r="H2639" s="9" t="s">
        <v>44</v>
      </c>
      <c r="I2639" s="11" t="s">
        <v>326</v>
      </c>
      <c r="J2639" s="9" t="s">
        <v>327</v>
      </c>
      <c r="K2639" s="9" t="s">
        <v>47</v>
      </c>
      <c r="L2639" s="9" t="s">
        <v>340</v>
      </c>
      <c r="M2639" s="9" t="s">
        <v>3410</v>
      </c>
      <c r="N2639" s="9" t="s">
        <v>50</v>
      </c>
      <c r="O2639" s="9" t="s">
        <v>51</v>
      </c>
      <c r="P2639" s="9" t="s">
        <v>1646</v>
      </c>
      <c r="Q2639" s="9"/>
      <c r="R2639" s="9" t="s">
        <v>61</v>
      </c>
      <c r="S2639" s="14" t="s">
        <v>9073</v>
      </c>
      <c r="T2639" s="9" t="s">
        <v>9074</v>
      </c>
      <c r="U2639" s="9" t="s">
        <v>54</v>
      </c>
      <c r="V2639" s="9" t="s">
        <v>370</v>
      </c>
      <c r="W2639" s="9" t="s">
        <v>115</v>
      </c>
      <c r="X2639" s="12" t="s">
        <v>150</v>
      </c>
      <c r="Y2639" s="9" t="s">
        <v>151</v>
      </c>
      <c r="Z2639" s="13"/>
    </row>
    <row r="2640" spans="1:26" ht="32.25" hidden="1" customHeight="1">
      <c r="A2640" s="8">
        <v>2304031</v>
      </c>
      <c r="B2640" s="9" t="s">
        <v>9075</v>
      </c>
      <c r="C2640" s="10">
        <v>45149</v>
      </c>
      <c r="D2640" s="9" t="s">
        <v>261</v>
      </c>
      <c r="E2640" s="9" t="s">
        <v>68</v>
      </c>
      <c r="F2640" s="9" t="s">
        <v>262</v>
      </c>
      <c r="G2640" s="9" t="s">
        <v>43</v>
      </c>
      <c r="H2640" s="9" t="s">
        <v>44</v>
      </c>
      <c r="I2640" s="11" t="s">
        <v>1455</v>
      </c>
      <c r="J2640" s="9" t="s">
        <v>1456</v>
      </c>
      <c r="K2640" s="9" t="s">
        <v>47</v>
      </c>
      <c r="L2640" s="9" t="s">
        <v>156</v>
      </c>
      <c r="M2640" s="9"/>
      <c r="N2640" s="9" t="s">
        <v>50</v>
      </c>
      <c r="O2640" s="9" t="s">
        <v>51</v>
      </c>
      <c r="P2640" s="9"/>
      <c r="Q2640" s="9"/>
      <c r="R2640" s="9"/>
      <c r="S2640" s="14" t="s">
        <v>9076</v>
      </c>
      <c r="T2640" s="9" t="s">
        <v>9077</v>
      </c>
      <c r="U2640" s="9" t="s">
        <v>262</v>
      </c>
      <c r="V2640" s="9" t="s">
        <v>55</v>
      </c>
      <c r="W2640" s="9" t="s">
        <v>55</v>
      </c>
      <c r="X2640" s="12"/>
      <c r="Y2640" s="9" t="s">
        <v>55</v>
      </c>
      <c r="Z2640" s="13"/>
    </row>
    <row r="2641" spans="1:26" ht="32.25" hidden="1" customHeight="1">
      <c r="A2641" s="8">
        <v>2303470</v>
      </c>
      <c r="B2641" s="9" t="s">
        <v>9078</v>
      </c>
      <c r="C2641" s="10">
        <v>45156</v>
      </c>
      <c r="D2641" s="9" t="s">
        <v>79</v>
      </c>
      <c r="E2641" s="9" t="s">
        <v>143</v>
      </c>
      <c r="F2641" s="9" t="s">
        <v>80</v>
      </c>
      <c r="G2641" s="9" t="s">
        <v>43</v>
      </c>
      <c r="H2641" s="9" t="s">
        <v>44</v>
      </c>
      <c r="I2641" s="11" t="s">
        <v>725</v>
      </c>
      <c r="J2641" s="9" t="s">
        <v>145</v>
      </c>
      <c r="K2641" s="9" t="s">
        <v>47</v>
      </c>
      <c r="L2641" s="9" t="s">
        <v>863</v>
      </c>
      <c r="M2641" s="9" t="s">
        <v>1258</v>
      </c>
      <c r="N2641" s="9" t="s">
        <v>84</v>
      </c>
      <c r="O2641" s="9" t="s">
        <v>51</v>
      </c>
      <c r="P2641" s="9" t="s">
        <v>2924</v>
      </c>
      <c r="Q2641" s="9"/>
      <c r="R2641" s="9" t="s">
        <v>61</v>
      </c>
      <c r="S2641" s="14" t="s">
        <v>9079</v>
      </c>
      <c r="T2641" s="9" t="s">
        <v>9080</v>
      </c>
      <c r="U2641" s="9" t="s">
        <v>54</v>
      </c>
      <c r="V2641" s="9" t="s">
        <v>251</v>
      </c>
      <c r="W2641" s="9" t="s">
        <v>115</v>
      </c>
      <c r="X2641" s="12" t="s">
        <v>171</v>
      </c>
      <c r="Y2641" s="9" t="s">
        <v>172</v>
      </c>
      <c r="Z2641" s="13"/>
    </row>
    <row r="2642" spans="1:26" ht="32.25" hidden="1" customHeight="1">
      <c r="A2642" s="8">
        <v>2309484</v>
      </c>
      <c r="B2642" s="9" t="s">
        <v>9081</v>
      </c>
      <c r="C2642" s="10">
        <v>45149</v>
      </c>
      <c r="D2642" s="9" t="s">
        <v>57</v>
      </c>
      <c r="E2642" s="9" t="s">
        <v>41</v>
      </c>
      <c r="F2642" s="9" t="s">
        <v>42</v>
      </c>
      <c r="G2642" s="9" t="s">
        <v>43</v>
      </c>
      <c r="H2642" s="9" t="s">
        <v>58</v>
      </c>
      <c r="I2642" s="11" t="s">
        <v>1073</v>
      </c>
      <c r="J2642" s="9" t="s">
        <v>479</v>
      </c>
      <c r="K2642" s="9" t="s">
        <v>47</v>
      </c>
      <c r="L2642" s="9" t="s">
        <v>156</v>
      </c>
      <c r="M2642" s="9"/>
      <c r="N2642" s="9" t="s">
        <v>50</v>
      </c>
      <c r="O2642" s="9" t="s">
        <v>51</v>
      </c>
      <c r="P2642" s="9"/>
      <c r="Q2642" s="9"/>
      <c r="R2642" s="9"/>
      <c r="S2642" s="14" t="s">
        <v>9082</v>
      </c>
      <c r="T2642" s="9" t="s">
        <v>9083</v>
      </c>
      <c r="U2642" s="9" t="s">
        <v>54</v>
      </c>
      <c r="V2642" s="9" t="s">
        <v>55</v>
      </c>
      <c r="W2642" s="9" t="s">
        <v>55</v>
      </c>
      <c r="X2642" s="12"/>
      <c r="Y2642" s="9" t="s">
        <v>55</v>
      </c>
      <c r="Z2642" s="13"/>
    </row>
    <row r="2643" spans="1:26" ht="32.25" hidden="1" customHeight="1">
      <c r="A2643" s="8">
        <v>2304570</v>
      </c>
      <c r="B2643" s="9" t="s">
        <v>9084</v>
      </c>
      <c r="C2643" s="10">
        <v>45142</v>
      </c>
      <c r="D2643" s="9" t="s">
        <v>67</v>
      </c>
      <c r="E2643" s="9" t="s">
        <v>68</v>
      </c>
      <c r="F2643" s="9" t="s">
        <v>135</v>
      </c>
      <c r="G2643" s="9" t="s">
        <v>43</v>
      </c>
      <c r="H2643" s="9" t="s">
        <v>44</v>
      </c>
      <c r="I2643" s="11" t="s">
        <v>136</v>
      </c>
      <c r="J2643" s="9" t="s">
        <v>137</v>
      </c>
      <c r="K2643" s="9" t="s">
        <v>47</v>
      </c>
      <c r="L2643" s="9" t="s">
        <v>425</v>
      </c>
      <c r="M2643" s="9" t="s">
        <v>2356</v>
      </c>
      <c r="N2643" s="9" t="s">
        <v>84</v>
      </c>
      <c r="O2643" s="9" t="s">
        <v>51</v>
      </c>
      <c r="P2643" s="9"/>
      <c r="Q2643" s="9"/>
      <c r="R2643" s="9" t="s">
        <v>61</v>
      </c>
      <c r="S2643" s="9" t="s">
        <v>9085</v>
      </c>
      <c r="T2643" s="9" t="s">
        <v>9086</v>
      </c>
      <c r="U2643" s="9" t="s">
        <v>54</v>
      </c>
      <c r="V2643" s="9" t="s">
        <v>55</v>
      </c>
      <c r="W2643" s="9" t="s">
        <v>55</v>
      </c>
      <c r="X2643" s="12" t="s">
        <v>76</v>
      </c>
      <c r="Y2643" s="9" t="s">
        <v>77</v>
      </c>
      <c r="Z2643" s="13"/>
    </row>
    <row r="2644" spans="1:26" ht="32.25" hidden="1" customHeight="1">
      <c r="A2644" s="8">
        <v>2301136</v>
      </c>
      <c r="B2644" s="9" t="s">
        <v>9087</v>
      </c>
      <c r="C2644" s="10">
        <v>45136</v>
      </c>
      <c r="D2644" s="9" t="s">
        <v>301</v>
      </c>
      <c r="E2644" s="9" t="s">
        <v>41</v>
      </c>
      <c r="F2644" s="9" t="s">
        <v>42</v>
      </c>
      <c r="G2644" s="9" t="s">
        <v>43</v>
      </c>
      <c r="H2644" s="9" t="s">
        <v>44</v>
      </c>
      <c r="I2644" s="11" t="s">
        <v>45</v>
      </c>
      <c r="J2644" s="9" t="s">
        <v>46</v>
      </c>
      <c r="K2644" s="9" t="s">
        <v>47</v>
      </c>
      <c r="L2644" s="9" t="s">
        <v>156</v>
      </c>
      <c r="M2644" s="9"/>
      <c r="N2644" s="9" t="s">
        <v>50</v>
      </c>
      <c r="O2644" s="9" t="s">
        <v>51</v>
      </c>
      <c r="P2644" s="9"/>
      <c r="Q2644" s="9"/>
      <c r="R2644" s="9"/>
      <c r="S2644" s="9" t="s">
        <v>9088</v>
      </c>
      <c r="T2644" s="9" t="s">
        <v>9089</v>
      </c>
      <c r="U2644" s="9" t="s">
        <v>54</v>
      </c>
      <c r="V2644" s="9" t="s">
        <v>55</v>
      </c>
      <c r="W2644" s="9" t="s">
        <v>55</v>
      </c>
      <c r="X2644" s="12"/>
      <c r="Y2644" s="9" t="s">
        <v>55</v>
      </c>
      <c r="Z2644" s="13"/>
    </row>
    <row r="2645" spans="1:26" ht="32.25" hidden="1" customHeight="1">
      <c r="A2645" s="8">
        <v>2308529</v>
      </c>
      <c r="B2645" s="9" t="s">
        <v>9090</v>
      </c>
      <c r="C2645" s="10">
        <v>45142</v>
      </c>
      <c r="D2645" s="9" t="s">
        <v>67</v>
      </c>
      <c r="E2645" s="9" t="s">
        <v>68</v>
      </c>
      <c r="F2645" s="9" t="s">
        <v>135</v>
      </c>
      <c r="G2645" s="9" t="s">
        <v>43</v>
      </c>
      <c r="H2645" s="9" t="s">
        <v>44</v>
      </c>
      <c r="I2645" s="11" t="s">
        <v>136</v>
      </c>
      <c r="J2645" s="9" t="s">
        <v>137</v>
      </c>
      <c r="K2645" s="9" t="s">
        <v>47</v>
      </c>
      <c r="L2645" s="9" t="s">
        <v>1227</v>
      </c>
      <c r="M2645" s="9" t="s">
        <v>1820</v>
      </c>
      <c r="N2645" s="9" t="s">
        <v>50</v>
      </c>
      <c r="O2645" s="9" t="s">
        <v>51</v>
      </c>
      <c r="P2645" s="9"/>
      <c r="Q2645" s="9"/>
      <c r="R2645" s="9" t="s">
        <v>61</v>
      </c>
      <c r="S2645" s="9" t="s">
        <v>9091</v>
      </c>
      <c r="T2645" s="9" t="s">
        <v>9092</v>
      </c>
      <c r="U2645" s="9" t="s">
        <v>54</v>
      </c>
      <c r="V2645" s="9" t="s">
        <v>55</v>
      </c>
      <c r="W2645" s="9" t="s">
        <v>55</v>
      </c>
      <c r="X2645" s="12" t="s">
        <v>76</v>
      </c>
      <c r="Y2645" s="9" t="s">
        <v>77</v>
      </c>
      <c r="Z2645" s="13"/>
    </row>
    <row r="2646" spans="1:26" ht="32.25" hidden="1" customHeight="1">
      <c r="A2646" s="8">
        <v>2311709</v>
      </c>
      <c r="B2646" s="9" t="s">
        <v>9093</v>
      </c>
      <c r="C2646" s="10">
        <v>45156</v>
      </c>
      <c r="D2646" s="9" t="s">
        <v>79</v>
      </c>
      <c r="E2646" s="9" t="s">
        <v>89</v>
      </c>
      <c r="F2646" s="9" t="s">
        <v>80</v>
      </c>
      <c r="G2646" s="9" t="s">
        <v>43</v>
      </c>
      <c r="H2646" s="9" t="s">
        <v>44</v>
      </c>
      <c r="I2646" s="11" t="s">
        <v>101</v>
      </c>
      <c r="J2646" s="9" t="s">
        <v>102</v>
      </c>
      <c r="K2646" s="9" t="s">
        <v>47</v>
      </c>
      <c r="L2646" s="9" t="s">
        <v>221</v>
      </c>
      <c r="M2646" s="9" t="s">
        <v>1451</v>
      </c>
      <c r="N2646" s="9" t="s">
        <v>84</v>
      </c>
      <c r="O2646" s="9" t="s">
        <v>51</v>
      </c>
      <c r="P2646" s="9" t="s">
        <v>1229</v>
      </c>
      <c r="Q2646" s="9"/>
      <c r="R2646" s="9" t="s">
        <v>61</v>
      </c>
      <c r="S2646" s="14" t="s">
        <v>9094</v>
      </c>
      <c r="T2646" s="9" t="s">
        <v>9095</v>
      </c>
      <c r="U2646" s="9" t="s">
        <v>54</v>
      </c>
      <c r="V2646" s="9" t="s">
        <v>55</v>
      </c>
      <c r="W2646" s="9" t="s">
        <v>55</v>
      </c>
      <c r="X2646" s="12" t="s">
        <v>98</v>
      </c>
      <c r="Y2646" s="9" t="s">
        <v>99</v>
      </c>
      <c r="Z2646" s="13"/>
    </row>
    <row r="2647" spans="1:26" ht="32.25" hidden="1" customHeight="1">
      <c r="A2647" s="8">
        <v>2306260</v>
      </c>
      <c r="B2647" s="9" t="s">
        <v>9096</v>
      </c>
      <c r="C2647" s="10">
        <v>45136</v>
      </c>
      <c r="D2647" s="9" t="s">
        <v>1072</v>
      </c>
      <c r="E2647" s="9" t="s">
        <v>89</v>
      </c>
      <c r="F2647" s="9" t="s">
        <v>42</v>
      </c>
      <c r="G2647" s="9" t="s">
        <v>43</v>
      </c>
      <c r="H2647" s="9" t="s">
        <v>44</v>
      </c>
      <c r="I2647" s="11" t="s">
        <v>360</v>
      </c>
      <c r="J2647" s="9" t="s">
        <v>102</v>
      </c>
      <c r="K2647" s="9" t="s">
        <v>47</v>
      </c>
      <c r="L2647" s="9" t="s">
        <v>713</v>
      </c>
      <c r="M2647" s="9" t="s">
        <v>714</v>
      </c>
      <c r="N2647" s="9" t="s">
        <v>50</v>
      </c>
      <c r="O2647" s="9" t="s">
        <v>51</v>
      </c>
      <c r="P2647" s="9" t="s">
        <v>361</v>
      </c>
      <c r="Q2647" s="9"/>
      <c r="R2647" s="9" t="s">
        <v>61</v>
      </c>
      <c r="S2647" s="9" t="s">
        <v>9097</v>
      </c>
      <c r="T2647" s="9" t="s">
        <v>9098</v>
      </c>
      <c r="U2647" s="9" t="s">
        <v>54</v>
      </c>
      <c r="V2647" s="9" t="s">
        <v>55</v>
      </c>
      <c r="W2647" s="9" t="s">
        <v>55</v>
      </c>
      <c r="X2647" s="12" t="s">
        <v>98</v>
      </c>
      <c r="Y2647" s="9" t="s">
        <v>99</v>
      </c>
      <c r="Z2647" s="13"/>
    </row>
    <row r="2648" spans="1:26" ht="32.25" hidden="1" customHeight="1">
      <c r="A2648" s="8">
        <v>2306122</v>
      </c>
      <c r="B2648" s="9" t="s">
        <v>9099</v>
      </c>
      <c r="C2648" s="10">
        <v>45156</v>
      </c>
      <c r="D2648" s="9" t="s">
        <v>79</v>
      </c>
      <c r="E2648" s="9" t="s">
        <v>143</v>
      </c>
      <c r="F2648" s="9" t="s">
        <v>80</v>
      </c>
      <c r="G2648" s="9" t="s">
        <v>43</v>
      </c>
      <c r="H2648" s="9" t="s">
        <v>44</v>
      </c>
      <c r="I2648" s="11" t="s">
        <v>725</v>
      </c>
      <c r="J2648" s="9" t="s">
        <v>145</v>
      </c>
      <c r="K2648" s="9" t="s">
        <v>47</v>
      </c>
      <c r="L2648" s="9" t="s">
        <v>174</v>
      </c>
      <c r="M2648" s="9" t="s">
        <v>1768</v>
      </c>
      <c r="N2648" s="9" t="s">
        <v>84</v>
      </c>
      <c r="O2648" s="9" t="s">
        <v>51</v>
      </c>
      <c r="P2648" s="9" t="s">
        <v>2924</v>
      </c>
      <c r="Q2648" s="9"/>
      <c r="R2648" s="9" t="s">
        <v>61</v>
      </c>
      <c r="S2648" s="14" t="s">
        <v>9100</v>
      </c>
      <c r="T2648" s="9" t="s">
        <v>9101</v>
      </c>
      <c r="U2648" s="9" t="s">
        <v>54</v>
      </c>
      <c r="V2648" s="9" t="s">
        <v>251</v>
      </c>
      <c r="W2648" s="9" t="s">
        <v>115</v>
      </c>
      <c r="X2648" s="12" t="s">
        <v>171</v>
      </c>
      <c r="Y2648" s="9" t="s">
        <v>172</v>
      </c>
      <c r="Z2648" s="13"/>
    </row>
    <row r="2649" spans="1:26" ht="32.25" hidden="1" customHeight="1">
      <c r="A2649" s="8">
        <v>2301158</v>
      </c>
      <c r="B2649" s="9" t="s">
        <v>9102</v>
      </c>
      <c r="C2649" s="10">
        <v>45156</v>
      </c>
      <c r="D2649" s="9" t="s">
        <v>79</v>
      </c>
      <c r="E2649" s="9" t="s">
        <v>89</v>
      </c>
      <c r="F2649" s="9" t="s">
        <v>80</v>
      </c>
      <c r="G2649" s="9" t="s">
        <v>43</v>
      </c>
      <c r="H2649" s="9" t="s">
        <v>44</v>
      </c>
      <c r="I2649" s="11" t="s">
        <v>101</v>
      </c>
      <c r="J2649" s="9" t="s">
        <v>102</v>
      </c>
      <c r="K2649" s="9" t="s">
        <v>47</v>
      </c>
      <c r="L2649" s="9" t="s">
        <v>174</v>
      </c>
      <c r="M2649" s="9" t="s">
        <v>1768</v>
      </c>
      <c r="N2649" s="9" t="s">
        <v>50</v>
      </c>
      <c r="O2649" s="9" t="s">
        <v>51</v>
      </c>
      <c r="P2649" s="9" t="s">
        <v>447</v>
      </c>
      <c r="Q2649" s="9"/>
      <c r="R2649" s="9"/>
      <c r="S2649" s="14" t="s">
        <v>9103</v>
      </c>
      <c r="T2649" s="9" t="s">
        <v>9104</v>
      </c>
      <c r="U2649" s="9" t="s">
        <v>54</v>
      </c>
      <c r="V2649" s="9" t="s">
        <v>55</v>
      </c>
      <c r="W2649" s="9" t="s">
        <v>55</v>
      </c>
      <c r="X2649" s="12"/>
      <c r="Y2649" s="9" t="s">
        <v>55</v>
      </c>
      <c r="Z2649" s="13"/>
    </row>
    <row r="2650" spans="1:26" ht="32.25" hidden="1" customHeight="1">
      <c r="A2650" s="8">
        <v>2301843</v>
      </c>
      <c r="B2650" s="9" t="s">
        <v>9105</v>
      </c>
      <c r="C2650" s="10">
        <v>45142</v>
      </c>
      <c r="D2650" s="9" t="s">
        <v>67</v>
      </c>
      <c r="E2650" s="9" t="s">
        <v>143</v>
      </c>
      <c r="F2650" s="9" t="s">
        <v>42</v>
      </c>
      <c r="G2650" s="9" t="s">
        <v>43</v>
      </c>
      <c r="H2650" s="9" t="s">
        <v>44</v>
      </c>
      <c r="I2650" s="11" t="s">
        <v>144</v>
      </c>
      <c r="J2650" s="9" t="s">
        <v>145</v>
      </c>
      <c r="K2650" s="9" t="s">
        <v>47</v>
      </c>
      <c r="L2650" s="9" t="s">
        <v>305</v>
      </c>
      <c r="M2650" s="9" t="s">
        <v>7895</v>
      </c>
      <c r="N2650" s="9" t="s">
        <v>50</v>
      </c>
      <c r="O2650" s="9" t="s">
        <v>51</v>
      </c>
      <c r="P2650" s="9" t="s">
        <v>147</v>
      </c>
      <c r="Q2650" s="9"/>
      <c r="R2650" s="9" t="s">
        <v>61</v>
      </c>
      <c r="S2650" s="9" t="s">
        <v>9106</v>
      </c>
      <c r="T2650" s="9" t="s">
        <v>9107</v>
      </c>
      <c r="U2650" s="9" t="s">
        <v>54</v>
      </c>
      <c r="V2650" s="9" t="s">
        <v>55</v>
      </c>
      <c r="W2650" s="9" t="s">
        <v>55</v>
      </c>
      <c r="X2650" s="12" t="s">
        <v>150</v>
      </c>
      <c r="Y2650" s="9" t="s">
        <v>151</v>
      </c>
      <c r="Z2650" s="13"/>
    </row>
    <row r="2651" spans="1:26" ht="32.25" hidden="1" customHeight="1">
      <c r="A2651" s="8">
        <v>2313004</v>
      </c>
      <c r="B2651" s="9" t="s">
        <v>9108</v>
      </c>
      <c r="C2651" s="10">
        <v>45156</v>
      </c>
      <c r="D2651" s="9" t="s">
        <v>565</v>
      </c>
      <c r="E2651" s="9" t="s">
        <v>295</v>
      </c>
      <c r="F2651" s="9" t="s">
        <v>42</v>
      </c>
      <c r="G2651" s="9" t="s">
        <v>43</v>
      </c>
      <c r="H2651" s="9" t="s">
        <v>58</v>
      </c>
      <c r="I2651" s="11" t="s">
        <v>296</v>
      </c>
      <c r="J2651" s="9" t="s">
        <v>297</v>
      </c>
      <c r="K2651" s="9" t="s">
        <v>47</v>
      </c>
      <c r="L2651" s="9" t="s">
        <v>221</v>
      </c>
      <c r="M2651" s="9" t="s">
        <v>1142</v>
      </c>
      <c r="N2651" s="9" t="s">
        <v>50</v>
      </c>
      <c r="O2651" s="9" t="s">
        <v>51</v>
      </c>
      <c r="P2651" s="9"/>
      <c r="Q2651" s="9"/>
      <c r="R2651" s="9" t="s">
        <v>61</v>
      </c>
      <c r="S2651" s="14" t="s">
        <v>9109</v>
      </c>
      <c r="T2651" s="9" t="s">
        <v>9110</v>
      </c>
      <c r="U2651" s="9" t="s">
        <v>54</v>
      </c>
      <c r="V2651" s="9" t="s">
        <v>55</v>
      </c>
      <c r="W2651" s="9" t="s">
        <v>55</v>
      </c>
      <c r="X2651" s="9" t="s">
        <v>319</v>
      </c>
      <c r="Y2651" s="9" t="s">
        <v>320</v>
      </c>
      <c r="Z2651" s="13"/>
    </row>
    <row r="2652" spans="1:26" ht="32.25" hidden="1" customHeight="1">
      <c r="A2652" s="8">
        <v>2311791</v>
      </c>
      <c r="B2652" s="9" t="s">
        <v>9111</v>
      </c>
      <c r="C2652" s="10">
        <v>45136</v>
      </c>
      <c r="D2652" s="9" t="s">
        <v>940</v>
      </c>
      <c r="E2652" s="9" t="s">
        <v>41</v>
      </c>
      <c r="F2652" s="9" t="s">
        <v>42</v>
      </c>
      <c r="G2652" s="9" t="s">
        <v>43</v>
      </c>
      <c r="H2652" s="9" t="s">
        <v>44</v>
      </c>
      <c r="I2652" s="11" t="s">
        <v>661</v>
      </c>
      <c r="J2652" s="9" t="s">
        <v>662</v>
      </c>
      <c r="K2652" s="9" t="s">
        <v>47</v>
      </c>
      <c r="L2652" s="9" t="s">
        <v>221</v>
      </c>
      <c r="M2652" s="9" t="s">
        <v>1451</v>
      </c>
      <c r="N2652" s="9" t="s">
        <v>50</v>
      </c>
      <c r="O2652" s="9" t="s">
        <v>51</v>
      </c>
      <c r="P2652" s="9"/>
      <c r="Q2652" s="9"/>
      <c r="R2652" s="9" t="s">
        <v>61</v>
      </c>
      <c r="S2652" s="9" t="s">
        <v>9112</v>
      </c>
      <c r="T2652" s="9" t="s">
        <v>9113</v>
      </c>
      <c r="U2652" s="9" t="s">
        <v>54</v>
      </c>
      <c r="V2652" s="9" t="s">
        <v>55</v>
      </c>
      <c r="W2652" s="9" t="s">
        <v>55</v>
      </c>
      <c r="X2652" s="9" t="s">
        <v>64</v>
      </c>
      <c r="Y2652" s="9" t="s">
        <v>65</v>
      </c>
      <c r="Z2652" s="13"/>
    </row>
    <row r="2653" spans="1:26" ht="32.25" hidden="1" customHeight="1">
      <c r="A2653" s="8">
        <v>2304481</v>
      </c>
      <c r="B2653" s="9" t="s">
        <v>9114</v>
      </c>
      <c r="C2653" s="10">
        <v>45142</v>
      </c>
      <c r="D2653" s="9" t="s">
        <v>67</v>
      </c>
      <c r="E2653" s="9" t="s">
        <v>89</v>
      </c>
      <c r="F2653" s="9" t="s">
        <v>42</v>
      </c>
      <c r="G2653" s="9" t="s">
        <v>43</v>
      </c>
      <c r="H2653" s="9" t="s">
        <v>44</v>
      </c>
      <c r="I2653" s="11" t="s">
        <v>354</v>
      </c>
      <c r="J2653" s="9" t="s">
        <v>91</v>
      </c>
      <c r="K2653" s="9" t="s">
        <v>47</v>
      </c>
      <c r="L2653" s="9" t="s">
        <v>411</v>
      </c>
      <c r="M2653" s="9" t="s">
        <v>9115</v>
      </c>
      <c r="N2653" s="9" t="s">
        <v>50</v>
      </c>
      <c r="O2653" s="9" t="s">
        <v>51</v>
      </c>
      <c r="P2653" s="9" t="s">
        <v>356</v>
      </c>
      <c r="Q2653" s="9"/>
      <c r="R2653" s="9" t="s">
        <v>61</v>
      </c>
      <c r="S2653" s="9" t="s">
        <v>9116</v>
      </c>
      <c r="T2653" s="9" t="s">
        <v>9117</v>
      </c>
      <c r="U2653" s="9" t="s">
        <v>54</v>
      </c>
      <c r="V2653" s="9" t="s">
        <v>55</v>
      </c>
      <c r="W2653" s="9" t="s">
        <v>55</v>
      </c>
      <c r="X2653" s="12" t="s">
        <v>98</v>
      </c>
      <c r="Y2653" s="9" t="s">
        <v>99</v>
      </c>
      <c r="Z2653" s="13"/>
    </row>
    <row r="2654" spans="1:26" ht="32.25" hidden="1" customHeight="1">
      <c r="A2654" s="8">
        <v>2303275</v>
      </c>
      <c r="B2654" s="9" t="s">
        <v>9118</v>
      </c>
      <c r="C2654" s="10">
        <v>45142</v>
      </c>
      <c r="D2654" s="9" t="s">
        <v>67</v>
      </c>
      <c r="E2654" s="9" t="s">
        <v>143</v>
      </c>
      <c r="F2654" s="9" t="s">
        <v>42</v>
      </c>
      <c r="G2654" s="9" t="s">
        <v>43</v>
      </c>
      <c r="H2654" s="9" t="s">
        <v>44</v>
      </c>
      <c r="I2654" s="11" t="s">
        <v>334</v>
      </c>
      <c r="J2654" s="9" t="s">
        <v>327</v>
      </c>
      <c r="K2654" s="9" t="s">
        <v>47</v>
      </c>
      <c r="L2654" s="9" t="s">
        <v>799</v>
      </c>
      <c r="M2654" s="9" t="s">
        <v>9119</v>
      </c>
      <c r="N2654" s="9" t="s">
        <v>84</v>
      </c>
      <c r="O2654" s="9" t="s">
        <v>51</v>
      </c>
      <c r="P2654" s="9" t="s">
        <v>336</v>
      </c>
      <c r="Q2654" s="9"/>
      <c r="R2654" s="9" t="s">
        <v>61</v>
      </c>
      <c r="S2654" s="9" t="s">
        <v>9120</v>
      </c>
      <c r="T2654" s="9" t="s">
        <v>9121</v>
      </c>
      <c r="U2654" s="9" t="s">
        <v>54</v>
      </c>
      <c r="V2654" s="9" t="s">
        <v>55</v>
      </c>
      <c r="W2654" s="9" t="s">
        <v>55</v>
      </c>
      <c r="X2654" s="12" t="s">
        <v>150</v>
      </c>
      <c r="Y2654" s="9" t="s">
        <v>151</v>
      </c>
      <c r="Z2654" s="13"/>
    </row>
    <row r="2655" spans="1:26" ht="32.25" hidden="1" customHeight="1">
      <c r="A2655" s="8">
        <v>2307885</v>
      </c>
      <c r="B2655" s="9" t="s">
        <v>9122</v>
      </c>
      <c r="C2655" s="10">
        <v>45149</v>
      </c>
      <c r="D2655" s="9" t="s">
        <v>57</v>
      </c>
      <c r="E2655" s="9" t="s">
        <v>153</v>
      </c>
      <c r="F2655" s="9" t="s">
        <v>42</v>
      </c>
      <c r="G2655" s="9" t="s">
        <v>43</v>
      </c>
      <c r="H2655" s="9" t="s">
        <v>58</v>
      </c>
      <c r="I2655" s="11" t="s">
        <v>154</v>
      </c>
      <c r="J2655" s="9" t="s">
        <v>155</v>
      </c>
      <c r="K2655" s="9" t="s">
        <v>47</v>
      </c>
      <c r="L2655" s="9" t="s">
        <v>437</v>
      </c>
      <c r="M2655" s="9" t="s">
        <v>1006</v>
      </c>
      <c r="N2655" s="9" t="s">
        <v>84</v>
      </c>
      <c r="O2655" s="9" t="s">
        <v>51</v>
      </c>
      <c r="P2655" s="9"/>
      <c r="Q2655" s="9"/>
      <c r="R2655" s="9" t="s">
        <v>61</v>
      </c>
      <c r="S2655" s="14" t="s">
        <v>9123</v>
      </c>
      <c r="T2655" s="9" t="s">
        <v>9124</v>
      </c>
      <c r="U2655" s="9" t="s">
        <v>54</v>
      </c>
      <c r="V2655" s="9" t="s">
        <v>55</v>
      </c>
      <c r="W2655" s="9" t="s">
        <v>55</v>
      </c>
      <c r="X2655" s="12" t="s">
        <v>171</v>
      </c>
      <c r="Y2655" s="9" t="s">
        <v>172</v>
      </c>
      <c r="Z2655" s="13"/>
    </row>
    <row r="2656" spans="1:26" ht="32.25" hidden="1" customHeight="1">
      <c r="A2656" s="8">
        <v>2315450</v>
      </c>
      <c r="B2656" s="9" t="s">
        <v>9125</v>
      </c>
      <c r="C2656" s="10">
        <v>45152</v>
      </c>
      <c r="D2656" s="9" t="s">
        <v>755</v>
      </c>
      <c r="E2656" s="9" t="s">
        <v>68</v>
      </c>
      <c r="F2656" s="9" t="s">
        <v>262</v>
      </c>
      <c r="G2656" s="9" t="s">
        <v>43</v>
      </c>
      <c r="H2656" s="9" t="s">
        <v>44</v>
      </c>
      <c r="I2656" s="11" t="s">
        <v>263</v>
      </c>
      <c r="J2656" s="9" t="s">
        <v>264</v>
      </c>
      <c r="K2656" s="9" t="s">
        <v>4519</v>
      </c>
      <c r="L2656" s="9"/>
      <c r="M2656" s="9" t="s">
        <v>9126</v>
      </c>
      <c r="N2656" s="9" t="s">
        <v>50</v>
      </c>
      <c r="O2656" s="9" t="s">
        <v>187</v>
      </c>
      <c r="P2656" s="9"/>
      <c r="Q2656" s="9"/>
      <c r="R2656" s="9" t="s">
        <v>61</v>
      </c>
      <c r="S2656" s="14" t="s">
        <v>9127</v>
      </c>
      <c r="T2656" s="9"/>
      <c r="U2656" s="9" t="s">
        <v>262</v>
      </c>
      <c r="V2656" s="9" t="s">
        <v>6852</v>
      </c>
      <c r="W2656" s="9" t="s">
        <v>55</v>
      </c>
      <c r="X2656" s="12" t="s">
        <v>389</v>
      </c>
      <c r="Y2656" s="9" t="s">
        <v>390</v>
      </c>
      <c r="Z2656" s="13"/>
    </row>
    <row r="2657" spans="1:26" ht="32.25" hidden="1" customHeight="1">
      <c r="A2657" s="8">
        <v>2312805</v>
      </c>
      <c r="B2657" s="9" t="s">
        <v>9128</v>
      </c>
      <c r="C2657" s="10">
        <v>45142</v>
      </c>
      <c r="D2657" s="9" t="s">
        <v>232</v>
      </c>
      <c r="E2657" s="9" t="s">
        <v>41</v>
      </c>
      <c r="F2657" s="9" t="s">
        <v>80</v>
      </c>
      <c r="G2657" s="9" t="s">
        <v>43</v>
      </c>
      <c r="H2657" s="9" t="s">
        <v>44</v>
      </c>
      <c r="I2657" s="11" t="s">
        <v>81</v>
      </c>
      <c r="J2657" s="9" t="s">
        <v>46</v>
      </c>
      <c r="K2657" s="9" t="s">
        <v>250</v>
      </c>
      <c r="L2657" s="9" t="s">
        <v>822</v>
      </c>
      <c r="M2657" s="9" t="s">
        <v>823</v>
      </c>
      <c r="N2657" s="9" t="s">
        <v>50</v>
      </c>
      <c r="O2657" s="9" t="s">
        <v>187</v>
      </c>
      <c r="P2657" s="9" t="s">
        <v>395</v>
      </c>
      <c r="Q2657" s="9"/>
      <c r="R2657" s="9" t="s">
        <v>61</v>
      </c>
      <c r="S2657" s="14" t="s">
        <v>13283</v>
      </c>
      <c r="T2657" s="9" t="s">
        <v>9129</v>
      </c>
      <c r="U2657" s="9" t="s">
        <v>54</v>
      </c>
      <c r="V2657" s="9" t="s">
        <v>9130</v>
      </c>
      <c r="W2657" s="9" t="s">
        <v>55</v>
      </c>
      <c r="X2657" s="9" t="s">
        <v>64</v>
      </c>
      <c r="Y2657" s="9" t="s">
        <v>65</v>
      </c>
      <c r="Z2657" s="13" t="s">
        <v>240</v>
      </c>
    </row>
    <row r="2658" spans="1:26" ht="32.25" hidden="1" customHeight="1">
      <c r="A2658" s="8">
        <v>2312782</v>
      </c>
      <c r="B2658" s="9" t="s">
        <v>9131</v>
      </c>
      <c r="C2658" s="10">
        <v>45149</v>
      </c>
      <c r="D2658" s="9" t="s">
        <v>57</v>
      </c>
      <c r="E2658" s="9" t="s">
        <v>295</v>
      </c>
      <c r="F2658" s="9" t="s">
        <v>42</v>
      </c>
      <c r="G2658" s="9" t="s">
        <v>43</v>
      </c>
      <c r="H2658" s="9" t="s">
        <v>58</v>
      </c>
      <c r="I2658" s="11" t="s">
        <v>296</v>
      </c>
      <c r="J2658" s="9" t="s">
        <v>297</v>
      </c>
      <c r="K2658" s="9" t="s">
        <v>47</v>
      </c>
      <c r="L2658" s="9" t="s">
        <v>156</v>
      </c>
      <c r="M2658" s="9"/>
      <c r="N2658" s="9" t="s">
        <v>84</v>
      </c>
      <c r="O2658" s="9" t="s">
        <v>51</v>
      </c>
      <c r="P2658" s="9"/>
      <c r="Q2658" s="9"/>
      <c r="R2658" s="9"/>
      <c r="S2658" s="14" t="s">
        <v>9132</v>
      </c>
      <c r="T2658" s="9" t="s">
        <v>9133</v>
      </c>
      <c r="U2658" s="9" t="s">
        <v>54</v>
      </c>
      <c r="V2658" s="9" t="s">
        <v>55</v>
      </c>
      <c r="W2658" s="9" t="s">
        <v>55</v>
      </c>
      <c r="X2658" s="12"/>
      <c r="Y2658" s="9" t="s">
        <v>55</v>
      </c>
      <c r="Z2658" s="13"/>
    </row>
    <row r="2659" spans="1:26" ht="32.25" hidden="1" customHeight="1">
      <c r="A2659" s="8">
        <v>2314620</v>
      </c>
      <c r="B2659" s="9" t="s">
        <v>9134</v>
      </c>
      <c r="C2659" s="10">
        <v>45142</v>
      </c>
      <c r="D2659" s="9" t="s">
        <v>232</v>
      </c>
      <c r="E2659" s="9" t="s">
        <v>143</v>
      </c>
      <c r="F2659" s="9" t="s">
        <v>80</v>
      </c>
      <c r="G2659" s="9" t="s">
        <v>43</v>
      </c>
      <c r="H2659" s="9" t="s">
        <v>44</v>
      </c>
      <c r="I2659" s="11" t="s">
        <v>326</v>
      </c>
      <c r="J2659" s="9" t="s">
        <v>327</v>
      </c>
      <c r="K2659" s="9" t="s">
        <v>250</v>
      </c>
      <c r="L2659" s="9"/>
      <c r="M2659" s="9"/>
      <c r="N2659" s="9" t="s">
        <v>50</v>
      </c>
      <c r="O2659" s="9" t="s">
        <v>187</v>
      </c>
      <c r="P2659" s="9" t="s">
        <v>953</v>
      </c>
      <c r="Q2659" s="9"/>
      <c r="R2659" s="9" t="s">
        <v>61</v>
      </c>
      <c r="S2659" s="9" t="s">
        <v>641</v>
      </c>
      <c r="T2659" s="9" t="s">
        <v>9135</v>
      </c>
      <c r="U2659" s="9" t="s">
        <v>54</v>
      </c>
      <c r="V2659" s="9" t="s">
        <v>55</v>
      </c>
      <c r="W2659" s="9" t="s">
        <v>55</v>
      </c>
      <c r="X2659" s="12" t="s">
        <v>150</v>
      </c>
      <c r="Y2659" s="9" t="s">
        <v>151</v>
      </c>
      <c r="Z2659" s="13"/>
    </row>
    <row r="2660" spans="1:26" ht="32.25" hidden="1" customHeight="1">
      <c r="A2660" s="8">
        <v>2309441</v>
      </c>
      <c r="B2660" s="9" t="s">
        <v>9136</v>
      </c>
      <c r="C2660" s="10">
        <v>45149</v>
      </c>
      <c r="D2660" s="9" t="s">
        <v>57</v>
      </c>
      <c r="E2660" s="9" t="s">
        <v>41</v>
      </c>
      <c r="F2660" s="9" t="s">
        <v>42</v>
      </c>
      <c r="G2660" s="9" t="s">
        <v>43</v>
      </c>
      <c r="H2660" s="9" t="s">
        <v>58</v>
      </c>
      <c r="I2660" s="11" t="s">
        <v>45</v>
      </c>
      <c r="J2660" s="9" t="s">
        <v>46</v>
      </c>
      <c r="K2660" s="9" t="s">
        <v>47</v>
      </c>
      <c r="L2660" s="9" t="s">
        <v>59</v>
      </c>
      <c r="M2660" s="9" t="s">
        <v>60</v>
      </c>
      <c r="N2660" s="9" t="s">
        <v>50</v>
      </c>
      <c r="O2660" s="9" t="s">
        <v>51</v>
      </c>
      <c r="P2660" s="9"/>
      <c r="Q2660" s="9"/>
      <c r="R2660" s="9"/>
      <c r="S2660" s="14" t="s">
        <v>9137</v>
      </c>
      <c r="T2660" s="9" t="s">
        <v>9138</v>
      </c>
      <c r="U2660" s="9" t="s">
        <v>54</v>
      </c>
      <c r="V2660" s="9" t="s">
        <v>55</v>
      </c>
      <c r="W2660" s="9" t="s">
        <v>55</v>
      </c>
      <c r="X2660" s="12"/>
      <c r="Y2660" s="9" t="s">
        <v>55</v>
      </c>
      <c r="Z2660" s="13"/>
    </row>
    <row r="2661" spans="1:26" ht="32.25" hidden="1" customHeight="1">
      <c r="A2661" s="8">
        <v>2315190</v>
      </c>
      <c r="B2661" s="9" t="s">
        <v>9139</v>
      </c>
      <c r="C2661" s="10">
        <v>45152</v>
      </c>
      <c r="D2661" s="9" t="s">
        <v>185</v>
      </c>
      <c r="E2661" s="9" t="s">
        <v>41</v>
      </c>
      <c r="F2661" s="9" t="s">
        <v>42</v>
      </c>
      <c r="G2661" s="9" t="s">
        <v>43</v>
      </c>
      <c r="H2661" s="9" t="s">
        <v>44</v>
      </c>
      <c r="I2661" s="11" t="s">
        <v>199</v>
      </c>
      <c r="J2661" s="9" t="s">
        <v>200</v>
      </c>
      <c r="K2661" s="9" t="s">
        <v>442</v>
      </c>
      <c r="L2661" s="9"/>
      <c r="M2661" s="9"/>
      <c r="N2661" s="9" t="s">
        <v>50</v>
      </c>
      <c r="O2661" s="9" t="s">
        <v>187</v>
      </c>
      <c r="P2661" s="9"/>
      <c r="Q2661" s="9"/>
      <c r="R2661" s="9" t="s">
        <v>61</v>
      </c>
      <c r="S2661" s="14" t="s">
        <v>9140</v>
      </c>
      <c r="T2661" s="9" t="s">
        <v>9141</v>
      </c>
      <c r="U2661" s="9" t="s">
        <v>54</v>
      </c>
      <c r="V2661" s="9" t="s">
        <v>55</v>
      </c>
      <c r="W2661" s="9" t="s">
        <v>55</v>
      </c>
      <c r="X2661" s="12" t="s">
        <v>196</v>
      </c>
      <c r="Y2661" s="9" t="s">
        <v>197</v>
      </c>
      <c r="Z2661" s="13"/>
    </row>
    <row r="2662" spans="1:26" ht="32.25" hidden="1" customHeight="1">
      <c r="A2662" s="8">
        <v>2305106</v>
      </c>
      <c r="B2662" s="9" t="s">
        <v>9142</v>
      </c>
      <c r="C2662" s="10">
        <v>45156</v>
      </c>
      <c r="D2662" s="9" t="s">
        <v>79</v>
      </c>
      <c r="E2662" s="9" t="s">
        <v>143</v>
      </c>
      <c r="F2662" s="9" t="s">
        <v>80</v>
      </c>
      <c r="G2662" s="9" t="s">
        <v>43</v>
      </c>
      <c r="H2662" s="9" t="s">
        <v>44</v>
      </c>
      <c r="I2662" s="11" t="s">
        <v>326</v>
      </c>
      <c r="J2662" s="9" t="s">
        <v>327</v>
      </c>
      <c r="K2662" s="9" t="s">
        <v>110</v>
      </c>
      <c r="L2662" s="9" t="s">
        <v>111</v>
      </c>
      <c r="M2662" s="9" t="s">
        <v>111</v>
      </c>
      <c r="N2662" s="9" t="s">
        <v>50</v>
      </c>
      <c r="O2662" s="9" t="s">
        <v>51</v>
      </c>
      <c r="P2662" s="9" t="s">
        <v>1238</v>
      </c>
      <c r="Q2662" s="9"/>
      <c r="R2662" s="9"/>
      <c r="S2662" s="14" t="s">
        <v>9143</v>
      </c>
      <c r="T2662" s="9" t="s">
        <v>9144</v>
      </c>
      <c r="U2662" s="9" t="s">
        <v>54</v>
      </c>
      <c r="V2662" s="9" t="s">
        <v>370</v>
      </c>
      <c r="W2662" s="9" t="s">
        <v>115</v>
      </c>
      <c r="X2662" s="12"/>
      <c r="Y2662" s="9" t="s">
        <v>55</v>
      </c>
      <c r="Z2662" s="13"/>
    </row>
    <row r="2663" spans="1:26" ht="32.25" hidden="1" customHeight="1">
      <c r="A2663" s="8">
        <v>2312317</v>
      </c>
      <c r="B2663" s="9" t="s">
        <v>9145</v>
      </c>
      <c r="C2663" s="10">
        <v>45156</v>
      </c>
      <c r="D2663" s="9" t="s">
        <v>565</v>
      </c>
      <c r="E2663" s="9" t="s">
        <v>41</v>
      </c>
      <c r="F2663" s="9" t="s">
        <v>42</v>
      </c>
      <c r="G2663" s="9" t="s">
        <v>43</v>
      </c>
      <c r="H2663" s="9" t="s">
        <v>58</v>
      </c>
      <c r="I2663" s="11" t="s">
        <v>129</v>
      </c>
      <c r="J2663" s="9" t="s">
        <v>130</v>
      </c>
      <c r="K2663" s="9" t="s">
        <v>47</v>
      </c>
      <c r="L2663" s="9" t="s">
        <v>1315</v>
      </c>
      <c r="M2663" s="9" t="s">
        <v>1316</v>
      </c>
      <c r="N2663" s="9" t="s">
        <v>84</v>
      </c>
      <c r="O2663" s="9" t="s">
        <v>51</v>
      </c>
      <c r="P2663" s="9"/>
      <c r="Q2663" s="9"/>
      <c r="R2663" s="9" t="s">
        <v>61</v>
      </c>
      <c r="S2663" s="14" t="s">
        <v>9146</v>
      </c>
      <c r="T2663" s="9" t="s">
        <v>9147</v>
      </c>
      <c r="U2663" s="9" t="s">
        <v>54</v>
      </c>
      <c r="V2663" s="9" t="s">
        <v>55</v>
      </c>
      <c r="W2663" s="9" t="s">
        <v>55</v>
      </c>
      <c r="X2663" s="9" t="s">
        <v>196</v>
      </c>
      <c r="Y2663" s="9" t="s">
        <v>197</v>
      </c>
      <c r="Z2663" s="13" t="s">
        <v>230</v>
      </c>
    </row>
    <row r="2664" spans="1:26" ht="32.25" hidden="1" customHeight="1">
      <c r="A2664" s="8">
        <v>2314653</v>
      </c>
      <c r="B2664" s="9" t="s">
        <v>9148</v>
      </c>
      <c r="C2664" s="10">
        <v>45156</v>
      </c>
      <c r="D2664" s="9" t="s">
        <v>79</v>
      </c>
      <c r="E2664" s="9" t="s">
        <v>68</v>
      </c>
      <c r="F2664" s="9" t="s">
        <v>80</v>
      </c>
      <c r="G2664" s="9" t="s">
        <v>43</v>
      </c>
      <c r="H2664" s="9" t="s">
        <v>44</v>
      </c>
      <c r="I2664" s="11" t="s">
        <v>696</v>
      </c>
      <c r="J2664" s="9" t="s">
        <v>70</v>
      </c>
      <c r="K2664" s="9" t="s">
        <v>92</v>
      </c>
      <c r="L2664" s="9"/>
      <c r="M2664" s="9"/>
      <c r="N2664" s="9" t="s">
        <v>50</v>
      </c>
      <c r="O2664" s="9" t="s">
        <v>51</v>
      </c>
      <c r="P2664" s="9" t="s">
        <v>1841</v>
      </c>
      <c r="Q2664" s="9"/>
      <c r="R2664" s="9" t="s">
        <v>61</v>
      </c>
      <c r="S2664" s="14" t="s">
        <v>9149</v>
      </c>
      <c r="T2664" s="9" t="s">
        <v>9150</v>
      </c>
      <c r="U2664" s="9" t="s">
        <v>54</v>
      </c>
      <c r="V2664" s="9" t="s">
        <v>55</v>
      </c>
      <c r="W2664" s="9" t="s">
        <v>55</v>
      </c>
      <c r="X2664" s="12" t="s">
        <v>76</v>
      </c>
      <c r="Y2664" s="9" t="s">
        <v>77</v>
      </c>
      <c r="Z2664" s="13" t="s">
        <v>288</v>
      </c>
    </row>
    <row r="2665" spans="1:26" ht="32.25" hidden="1" customHeight="1">
      <c r="A2665" s="8">
        <v>2302883</v>
      </c>
      <c r="B2665" s="9" t="s">
        <v>9151</v>
      </c>
      <c r="C2665" s="10">
        <v>45149</v>
      </c>
      <c r="D2665" s="9" t="s">
        <v>57</v>
      </c>
      <c r="E2665" s="9" t="s">
        <v>295</v>
      </c>
      <c r="F2665" s="9" t="s">
        <v>42</v>
      </c>
      <c r="G2665" s="9" t="s">
        <v>43</v>
      </c>
      <c r="H2665" s="9" t="s">
        <v>58</v>
      </c>
      <c r="I2665" s="11" t="s">
        <v>406</v>
      </c>
      <c r="J2665" s="9" t="s">
        <v>407</v>
      </c>
      <c r="K2665" s="9" t="s">
        <v>47</v>
      </c>
      <c r="L2665" s="9" t="s">
        <v>863</v>
      </c>
      <c r="M2665" s="9" t="s">
        <v>1396</v>
      </c>
      <c r="N2665" s="9" t="s">
        <v>50</v>
      </c>
      <c r="O2665" s="9" t="s">
        <v>51</v>
      </c>
      <c r="P2665" s="9"/>
      <c r="Q2665" s="9"/>
      <c r="R2665" s="9" t="s">
        <v>61</v>
      </c>
      <c r="S2665" s="14" t="s">
        <v>9152</v>
      </c>
      <c r="T2665" s="9" t="s">
        <v>9153</v>
      </c>
      <c r="U2665" s="9" t="s">
        <v>54</v>
      </c>
      <c r="V2665" s="9" t="s">
        <v>55</v>
      </c>
      <c r="W2665" s="9" t="s">
        <v>55</v>
      </c>
      <c r="X2665" s="9" t="s">
        <v>319</v>
      </c>
      <c r="Y2665" s="9" t="s">
        <v>320</v>
      </c>
      <c r="Z2665" s="13"/>
    </row>
    <row r="2666" spans="1:26" ht="32.25" hidden="1" customHeight="1">
      <c r="A2666" s="8">
        <v>2302022</v>
      </c>
      <c r="B2666" s="9" t="s">
        <v>9154</v>
      </c>
      <c r="C2666" s="10">
        <v>45156</v>
      </c>
      <c r="D2666" s="9" t="s">
        <v>79</v>
      </c>
      <c r="E2666" s="9" t="s">
        <v>89</v>
      </c>
      <c r="F2666" s="9" t="s">
        <v>80</v>
      </c>
      <c r="G2666" s="9" t="s">
        <v>43</v>
      </c>
      <c r="H2666" s="9" t="s">
        <v>44</v>
      </c>
      <c r="I2666" s="11" t="s">
        <v>101</v>
      </c>
      <c r="J2666" s="9" t="s">
        <v>102</v>
      </c>
      <c r="K2666" s="9" t="s">
        <v>47</v>
      </c>
      <c r="L2666" s="9" t="s">
        <v>305</v>
      </c>
      <c r="M2666" s="9" t="s">
        <v>1013</v>
      </c>
      <c r="N2666" s="9" t="s">
        <v>84</v>
      </c>
      <c r="O2666" s="9" t="s">
        <v>51</v>
      </c>
      <c r="P2666" s="9" t="s">
        <v>104</v>
      </c>
      <c r="Q2666" s="9"/>
      <c r="R2666" s="9" t="s">
        <v>61</v>
      </c>
      <c r="S2666" s="14" t="s">
        <v>9155</v>
      </c>
      <c r="T2666" s="9" t="s">
        <v>9156</v>
      </c>
      <c r="U2666" s="9" t="s">
        <v>54</v>
      </c>
      <c r="V2666" s="9" t="s">
        <v>318</v>
      </c>
      <c r="W2666" s="9" t="s">
        <v>115</v>
      </c>
      <c r="X2666" s="12" t="s">
        <v>319</v>
      </c>
      <c r="Y2666" s="9" t="s">
        <v>320</v>
      </c>
      <c r="Z2666" s="13"/>
    </row>
    <row r="2667" spans="1:26" ht="32.25" hidden="1" customHeight="1">
      <c r="A2667" s="8">
        <v>2311097</v>
      </c>
      <c r="B2667" s="9" t="s">
        <v>9157</v>
      </c>
      <c r="C2667" s="10">
        <v>45136</v>
      </c>
      <c r="D2667" s="9" t="s">
        <v>40</v>
      </c>
      <c r="E2667" s="9" t="s">
        <v>41</v>
      </c>
      <c r="F2667" s="9" t="s">
        <v>42</v>
      </c>
      <c r="G2667" s="9" t="s">
        <v>43</v>
      </c>
      <c r="H2667" s="9" t="s">
        <v>44</v>
      </c>
      <c r="I2667" s="11" t="s">
        <v>45</v>
      </c>
      <c r="J2667" s="9" t="s">
        <v>46</v>
      </c>
      <c r="K2667" s="9" t="s">
        <v>47</v>
      </c>
      <c r="L2667" s="9" t="s">
        <v>822</v>
      </c>
      <c r="M2667" s="9" t="s">
        <v>823</v>
      </c>
      <c r="N2667" s="9" t="s">
        <v>50</v>
      </c>
      <c r="O2667" s="9" t="s">
        <v>51</v>
      </c>
      <c r="P2667" s="9"/>
      <c r="Q2667" s="9"/>
      <c r="R2667" s="9"/>
      <c r="S2667" s="9" t="s">
        <v>9158</v>
      </c>
      <c r="T2667" s="9" t="s">
        <v>9159</v>
      </c>
      <c r="U2667" s="9" t="s">
        <v>54</v>
      </c>
      <c r="V2667" s="9" t="s">
        <v>55</v>
      </c>
      <c r="W2667" s="9" t="s">
        <v>55</v>
      </c>
      <c r="X2667" s="12"/>
      <c r="Y2667" s="9" t="s">
        <v>55</v>
      </c>
      <c r="Z2667" s="13"/>
    </row>
    <row r="2668" spans="1:26" ht="32.25" hidden="1" customHeight="1">
      <c r="A2668" s="8">
        <v>2302427</v>
      </c>
      <c r="B2668" s="9" t="s">
        <v>9160</v>
      </c>
      <c r="C2668" s="10">
        <v>45149</v>
      </c>
      <c r="D2668" s="9" t="s">
        <v>57</v>
      </c>
      <c r="E2668" s="9" t="s">
        <v>41</v>
      </c>
      <c r="F2668" s="9" t="s">
        <v>42</v>
      </c>
      <c r="G2668" s="9" t="s">
        <v>43</v>
      </c>
      <c r="H2668" s="9" t="s">
        <v>58</v>
      </c>
      <c r="I2668" s="11" t="s">
        <v>129</v>
      </c>
      <c r="J2668" s="9" t="s">
        <v>130</v>
      </c>
      <c r="K2668" s="9" t="s">
        <v>47</v>
      </c>
      <c r="L2668" s="9" t="s">
        <v>48</v>
      </c>
      <c r="M2668" s="9" t="s">
        <v>3276</v>
      </c>
      <c r="N2668" s="9" t="s">
        <v>84</v>
      </c>
      <c r="O2668" s="9" t="s">
        <v>51</v>
      </c>
      <c r="P2668" s="9"/>
      <c r="Q2668" s="9"/>
      <c r="R2668" s="9" t="s">
        <v>61</v>
      </c>
      <c r="S2668" s="14" t="s">
        <v>9161</v>
      </c>
      <c r="T2668" s="9" t="s">
        <v>9162</v>
      </c>
      <c r="U2668" s="9" t="s">
        <v>54</v>
      </c>
      <c r="V2668" s="9" t="s">
        <v>55</v>
      </c>
      <c r="W2668" s="9" t="s">
        <v>55</v>
      </c>
      <c r="X2668" s="9" t="s">
        <v>196</v>
      </c>
      <c r="Y2668" s="9" t="s">
        <v>197</v>
      </c>
      <c r="Z2668" s="13" t="s">
        <v>230</v>
      </c>
    </row>
    <row r="2669" spans="1:26" ht="32.25" hidden="1" customHeight="1">
      <c r="A2669" s="8">
        <v>2311103</v>
      </c>
      <c r="B2669" s="9" t="s">
        <v>9163</v>
      </c>
      <c r="C2669" s="10">
        <v>45156</v>
      </c>
      <c r="D2669" s="9" t="s">
        <v>79</v>
      </c>
      <c r="E2669" s="9" t="s">
        <v>68</v>
      </c>
      <c r="F2669" s="9" t="s">
        <v>80</v>
      </c>
      <c r="G2669" s="9" t="s">
        <v>43</v>
      </c>
      <c r="H2669" s="9" t="s">
        <v>44</v>
      </c>
      <c r="I2669" s="11" t="s">
        <v>117</v>
      </c>
      <c r="J2669" s="9" t="s">
        <v>118</v>
      </c>
      <c r="K2669" s="9" t="s">
        <v>47</v>
      </c>
      <c r="L2669" s="9" t="s">
        <v>1378</v>
      </c>
      <c r="M2669" s="9" t="s">
        <v>8071</v>
      </c>
      <c r="N2669" s="9" t="s">
        <v>50</v>
      </c>
      <c r="O2669" s="9" t="s">
        <v>51</v>
      </c>
      <c r="P2669" s="9" t="s">
        <v>2945</v>
      </c>
      <c r="Q2669" s="9"/>
      <c r="R2669" s="9"/>
      <c r="S2669" s="14" t="s">
        <v>9164</v>
      </c>
      <c r="T2669" s="9" t="s">
        <v>9165</v>
      </c>
      <c r="U2669" s="9" t="s">
        <v>54</v>
      </c>
      <c r="V2669" s="9" t="s">
        <v>55</v>
      </c>
      <c r="W2669" s="9" t="s">
        <v>55</v>
      </c>
      <c r="X2669" s="12"/>
      <c r="Y2669" s="9" t="s">
        <v>55</v>
      </c>
      <c r="Z2669" s="13"/>
    </row>
    <row r="2670" spans="1:26" ht="32.25" hidden="1" customHeight="1">
      <c r="A2670" s="8">
        <v>2315253</v>
      </c>
      <c r="B2670" s="9" t="s">
        <v>9166</v>
      </c>
      <c r="C2670" s="10">
        <v>45149</v>
      </c>
      <c r="D2670" s="9" t="s">
        <v>57</v>
      </c>
      <c r="E2670" s="9" t="s">
        <v>153</v>
      </c>
      <c r="F2670" s="9" t="s">
        <v>42</v>
      </c>
      <c r="G2670" s="9" t="s">
        <v>43</v>
      </c>
      <c r="H2670" s="9" t="s">
        <v>58</v>
      </c>
      <c r="I2670" s="11" t="s">
        <v>154</v>
      </c>
      <c r="J2670" s="9" t="s">
        <v>155</v>
      </c>
      <c r="K2670" s="9" t="s">
        <v>47</v>
      </c>
      <c r="L2670" s="9" t="s">
        <v>822</v>
      </c>
      <c r="M2670" s="9" t="s">
        <v>2104</v>
      </c>
      <c r="N2670" s="9" t="s">
        <v>50</v>
      </c>
      <c r="O2670" s="9" t="s">
        <v>51</v>
      </c>
      <c r="P2670" s="9"/>
      <c r="Q2670" s="9"/>
      <c r="R2670" s="9" t="s">
        <v>61</v>
      </c>
      <c r="S2670" s="14" t="s">
        <v>9167</v>
      </c>
      <c r="T2670" s="9" t="s">
        <v>9168</v>
      </c>
      <c r="U2670" s="9" t="s">
        <v>54</v>
      </c>
      <c r="V2670" s="9" t="s">
        <v>55</v>
      </c>
      <c r="W2670" s="9" t="s">
        <v>55</v>
      </c>
      <c r="X2670" s="12" t="s">
        <v>171</v>
      </c>
      <c r="Y2670" s="9" t="s">
        <v>172</v>
      </c>
      <c r="Z2670" s="13"/>
    </row>
    <row r="2671" spans="1:26" ht="32.25" hidden="1" customHeight="1">
      <c r="A2671" s="8">
        <v>2304050</v>
      </c>
      <c r="B2671" s="9" t="s">
        <v>9169</v>
      </c>
      <c r="C2671" s="10">
        <v>45136</v>
      </c>
      <c r="D2671" s="9" t="s">
        <v>301</v>
      </c>
      <c r="E2671" s="9" t="s">
        <v>143</v>
      </c>
      <c r="F2671" s="9" t="s">
        <v>42</v>
      </c>
      <c r="G2671" s="9" t="s">
        <v>43</v>
      </c>
      <c r="H2671" s="9" t="s">
        <v>44</v>
      </c>
      <c r="I2671" s="11" t="s">
        <v>334</v>
      </c>
      <c r="J2671" s="9" t="s">
        <v>327</v>
      </c>
      <c r="K2671" s="9" t="s">
        <v>47</v>
      </c>
      <c r="L2671" s="9" t="s">
        <v>827</v>
      </c>
      <c r="M2671" s="9" t="s">
        <v>828</v>
      </c>
      <c r="N2671" s="9" t="s">
        <v>84</v>
      </c>
      <c r="O2671" s="9" t="s">
        <v>51</v>
      </c>
      <c r="P2671" s="9" t="s">
        <v>336</v>
      </c>
      <c r="Q2671" s="9" t="s">
        <v>9170</v>
      </c>
      <c r="R2671" s="9" t="s">
        <v>61</v>
      </c>
      <c r="S2671" s="9" t="s">
        <v>9171</v>
      </c>
      <c r="T2671" s="9" t="s">
        <v>9172</v>
      </c>
      <c r="U2671" s="9" t="s">
        <v>54</v>
      </c>
      <c r="V2671" s="9" t="s">
        <v>55</v>
      </c>
      <c r="W2671" s="9" t="s">
        <v>55</v>
      </c>
      <c r="X2671" s="12" t="s">
        <v>150</v>
      </c>
      <c r="Y2671" s="9" t="s">
        <v>151</v>
      </c>
      <c r="Z2671" s="13" t="s">
        <v>9173</v>
      </c>
    </row>
    <row r="2672" spans="1:26" ht="32.25" hidden="1" customHeight="1">
      <c r="A2672" s="8">
        <v>2312810</v>
      </c>
      <c r="B2672" s="9" t="s">
        <v>9174</v>
      </c>
      <c r="C2672" s="10">
        <v>45142</v>
      </c>
      <c r="D2672" s="9" t="s">
        <v>383</v>
      </c>
      <c r="E2672" s="9" t="s">
        <v>68</v>
      </c>
      <c r="F2672" s="9" t="s">
        <v>262</v>
      </c>
      <c r="G2672" s="9" t="s">
        <v>43</v>
      </c>
      <c r="H2672" s="9" t="s">
        <v>44</v>
      </c>
      <c r="I2672" s="11" t="s">
        <v>1455</v>
      </c>
      <c r="J2672" s="9" t="s">
        <v>1456</v>
      </c>
      <c r="K2672" s="9" t="s">
        <v>250</v>
      </c>
      <c r="L2672" s="9"/>
      <c r="M2672" s="9" t="s">
        <v>9175</v>
      </c>
      <c r="N2672" s="9" t="s">
        <v>50</v>
      </c>
      <c r="O2672" s="9" t="s">
        <v>187</v>
      </c>
      <c r="P2672" s="9"/>
      <c r="Q2672" s="9"/>
      <c r="R2672" s="9" t="s">
        <v>61</v>
      </c>
      <c r="S2672" s="9" t="s">
        <v>9176</v>
      </c>
      <c r="T2672" s="9" t="s">
        <v>9177</v>
      </c>
      <c r="U2672" s="9" t="s">
        <v>262</v>
      </c>
      <c r="V2672" s="9" t="s">
        <v>55</v>
      </c>
      <c r="W2672" s="9" t="s">
        <v>55</v>
      </c>
      <c r="X2672" s="12" t="s">
        <v>389</v>
      </c>
      <c r="Y2672" s="9" t="s">
        <v>390</v>
      </c>
      <c r="Z2672" s="13" t="s">
        <v>9178</v>
      </c>
    </row>
    <row r="2673" spans="1:26" ht="32.25" hidden="1" customHeight="1">
      <c r="A2673" s="8">
        <v>2314940</v>
      </c>
      <c r="B2673" s="9" t="s">
        <v>9179</v>
      </c>
      <c r="C2673" s="10">
        <v>45156</v>
      </c>
      <c r="D2673" s="9" t="s">
        <v>79</v>
      </c>
      <c r="E2673" s="9" t="s">
        <v>68</v>
      </c>
      <c r="F2673" s="9" t="s">
        <v>80</v>
      </c>
      <c r="G2673" s="9" t="s">
        <v>43</v>
      </c>
      <c r="H2673" s="9" t="s">
        <v>44</v>
      </c>
      <c r="I2673" s="11" t="s">
        <v>696</v>
      </c>
      <c r="J2673" s="9" t="s">
        <v>70</v>
      </c>
      <c r="K2673" s="9" t="s">
        <v>110</v>
      </c>
      <c r="L2673" s="9" t="s">
        <v>119</v>
      </c>
      <c r="M2673" s="9" t="s">
        <v>3623</v>
      </c>
      <c r="N2673" s="9" t="s">
        <v>50</v>
      </c>
      <c r="O2673" s="9" t="s">
        <v>51</v>
      </c>
      <c r="P2673" s="9" t="s">
        <v>1841</v>
      </c>
      <c r="Q2673" s="9"/>
      <c r="R2673" s="9"/>
      <c r="S2673" s="14" t="s">
        <v>9180</v>
      </c>
      <c r="T2673" s="9" t="s">
        <v>9181</v>
      </c>
      <c r="U2673" s="9" t="s">
        <v>54</v>
      </c>
      <c r="V2673" s="9" t="s">
        <v>55</v>
      </c>
      <c r="W2673" s="9" t="s">
        <v>55</v>
      </c>
      <c r="X2673" s="12"/>
      <c r="Y2673" s="9" t="s">
        <v>55</v>
      </c>
      <c r="Z2673" s="13"/>
    </row>
    <row r="2674" spans="1:26" ht="32.25" hidden="1" customHeight="1">
      <c r="A2674" s="8">
        <v>2307256</v>
      </c>
      <c r="B2674" s="9" t="s">
        <v>9182</v>
      </c>
      <c r="C2674" s="10">
        <v>45142</v>
      </c>
      <c r="D2674" s="9" t="s">
        <v>67</v>
      </c>
      <c r="E2674" s="9" t="s">
        <v>89</v>
      </c>
      <c r="F2674" s="9" t="s">
        <v>42</v>
      </c>
      <c r="G2674" s="9" t="s">
        <v>43</v>
      </c>
      <c r="H2674" s="9" t="s">
        <v>44</v>
      </c>
      <c r="I2674" s="11" t="s">
        <v>360</v>
      </c>
      <c r="J2674" s="9" t="s">
        <v>102</v>
      </c>
      <c r="K2674" s="9" t="s">
        <v>47</v>
      </c>
      <c r="L2674" s="9" t="s">
        <v>1227</v>
      </c>
      <c r="M2674" s="9" t="s">
        <v>1820</v>
      </c>
      <c r="N2674" s="9" t="s">
        <v>84</v>
      </c>
      <c r="O2674" s="9" t="s">
        <v>51</v>
      </c>
      <c r="P2674" s="9" t="s">
        <v>361</v>
      </c>
      <c r="Q2674" s="9"/>
      <c r="R2674" s="9" t="s">
        <v>61</v>
      </c>
      <c r="S2674" s="9" t="s">
        <v>9183</v>
      </c>
      <c r="T2674" s="9" t="s">
        <v>9184</v>
      </c>
      <c r="U2674" s="9" t="s">
        <v>54</v>
      </c>
      <c r="V2674" s="9" t="s">
        <v>55</v>
      </c>
      <c r="W2674" s="9" t="s">
        <v>55</v>
      </c>
      <c r="X2674" s="12" t="s">
        <v>171</v>
      </c>
      <c r="Y2674" s="9" t="s">
        <v>172</v>
      </c>
      <c r="Z2674" s="13" t="s">
        <v>9185</v>
      </c>
    </row>
    <row r="2675" spans="1:26" ht="32.25" hidden="1" customHeight="1">
      <c r="A2675" s="8">
        <v>2308022</v>
      </c>
      <c r="B2675" s="9" t="s">
        <v>9186</v>
      </c>
      <c r="C2675" s="10">
        <v>45156</v>
      </c>
      <c r="D2675" s="9" t="s">
        <v>565</v>
      </c>
      <c r="E2675" s="9" t="s">
        <v>295</v>
      </c>
      <c r="F2675" s="9" t="s">
        <v>42</v>
      </c>
      <c r="G2675" s="9" t="s">
        <v>43</v>
      </c>
      <c r="H2675" s="9" t="s">
        <v>58</v>
      </c>
      <c r="I2675" s="11" t="s">
        <v>406</v>
      </c>
      <c r="J2675" s="9" t="s">
        <v>407</v>
      </c>
      <c r="K2675" s="9" t="s">
        <v>110</v>
      </c>
      <c r="L2675" s="9"/>
      <c r="M2675" s="9" t="s">
        <v>8305</v>
      </c>
      <c r="N2675" s="9" t="s">
        <v>50</v>
      </c>
      <c r="O2675" s="9" t="s">
        <v>51</v>
      </c>
      <c r="P2675" s="9"/>
      <c r="Q2675" s="9"/>
      <c r="R2675" s="9" t="s">
        <v>61</v>
      </c>
      <c r="S2675" s="14" t="s">
        <v>9187</v>
      </c>
      <c r="T2675" s="9" t="s">
        <v>9188</v>
      </c>
      <c r="U2675" s="9" t="s">
        <v>54</v>
      </c>
      <c r="V2675" s="9" t="s">
        <v>55</v>
      </c>
      <c r="W2675" s="9" t="s">
        <v>55</v>
      </c>
      <c r="X2675" s="12" t="s">
        <v>319</v>
      </c>
      <c r="Y2675" s="9" t="s">
        <v>320</v>
      </c>
      <c r="Z2675" s="13"/>
    </row>
    <row r="2676" spans="1:26" ht="32.25" hidden="1" customHeight="1">
      <c r="A2676" s="8">
        <v>2311447</v>
      </c>
      <c r="B2676" s="9" t="s">
        <v>9189</v>
      </c>
      <c r="C2676" s="10">
        <v>45156</v>
      </c>
      <c r="D2676" s="9" t="s">
        <v>79</v>
      </c>
      <c r="E2676" s="9" t="s">
        <v>41</v>
      </c>
      <c r="F2676" s="9" t="s">
        <v>80</v>
      </c>
      <c r="G2676" s="9" t="s">
        <v>43</v>
      </c>
      <c r="H2676" s="9" t="s">
        <v>44</v>
      </c>
      <c r="I2676" s="11" t="s">
        <v>81</v>
      </c>
      <c r="J2676" s="9" t="s">
        <v>46</v>
      </c>
      <c r="K2676" s="9" t="s">
        <v>47</v>
      </c>
      <c r="L2676" s="9" t="s">
        <v>4006</v>
      </c>
      <c r="M2676" s="9" t="s">
        <v>4633</v>
      </c>
      <c r="N2676" s="9" t="s">
        <v>50</v>
      </c>
      <c r="O2676" s="9" t="s">
        <v>51</v>
      </c>
      <c r="P2676" s="9" t="s">
        <v>851</v>
      </c>
      <c r="Q2676" s="9"/>
      <c r="R2676" s="9"/>
      <c r="S2676" s="14" t="s">
        <v>9190</v>
      </c>
      <c r="T2676" s="9" t="s">
        <v>9191</v>
      </c>
      <c r="U2676" s="9" t="s">
        <v>54</v>
      </c>
      <c r="V2676" s="9" t="s">
        <v>55</v>
      </c>
      <c r="W2676" s="9" t="s">
        <v>55</v>
      </c>
      <c r="X2676" s="12"/>
      <c r="Y2676" s="9" t="s">
        <v>55</v>
      </c>
      <c r="Z2676" s="13"/>
    </row>
    <row r="2677" spans="1:26" ht="32.25" hidden="1" customHeight="1">
      <c r="A2677" s="8">
        <v>2315408</v>
      </c>
      <c r="B2677" s="9" t="s">
        <v>9192</v>
      </c>
      <c r="C2677" s="10">
        <v>45152</v>
      </c>
      <c r="D2677" s="9" t="s">
        <v>185</v>
      </c>
      <c r="E2677" s="9" t="s">
        <v>295</v>
      </c>
      <c r="F2677" s="9" t="s">
        <v>42</v>
      </c>
      <c r="G2677" s="9" t="s">
        <v>43</v>
      </c>
      <c r="H2677" s="9" t="s">
        <v>44</v>
      </c>
      <c r="I2677" s="11" t="s">
        <v>406</v>
      </c>
      <c r="J2677" s="9" t="s">
        <v>407</v>
      </c>
      <c r="K2677" s="9" t="s">
        <v>1158</v>
      </c>
      <c r="L2677" s="9"/>
      <c r="M2677" s="9" t="s">
        <v>2442</v>
      </c>
      <c r="N2677" s="9" t="s">
        <v>50</v>
      </c>
      <c r="O2677" s="9" t="s">
        <v>187</v>
      </c>
      <c r="P2677" s="9"/>
      <c r="Q2677" s="9"/>
      <c r="R2677" s="9" t="s">
        <v>61</v>
      </c>
      <c r="S2677" s="14" t="s">
        <v>9193</v>
      </c>
      <c r="T2677" s="9" t="s">
        <v>9194</v>
      </c>
      <c r="U2677" s="9" t="s">
        <v>54</v>
      </c>
      <c r="V2677" s="9" t="s">
        <v>55</v>
      </c>
      <c r="W2677" s="9" t="s">
        <v>55</v>
      </c>
      <c r="X2677" s="9" t="s">
        <v>319</v>
      </c>
      <c r="Y2677" s="9" t="s">
        <v>320</v>
      </c>
      <c r="Z2677" s="13"/>
    </row>
    <row r="2678" spans="1:26" ht="32.25" hidden="1" customHeight="1">
      <c r="A2678" s="8">
        <v>2310943</v>
      </c>
      <c r="B2678" s="9" t="s">
        <v>9195</v>
      </c>
      <c r="C2678" s="10">
        <v>45149</v>
      </c>
      <c r="D2678" s="9" t="s">
        <v>57</v>
      </c>
      <c r="E2678" s="9" t="s">
        <v>295</v>
      </c>
      <c r="F2678" s="9" t="s">
        <v>42</v>
      </c>
      <c r="G2678" s="9" t="s">
        <v>43</v>
      </c>
      <c r="H2678" s="9" t="s">
        <v>58</v>
      </c>
      <c r="I2678" s="11" t="s">
        <v>296</v>
      </c>
      <c r="J2678" s="9" t="s">
        <v>297</v>
      </c>
      <c r="K2678" s="9" t="s">
        <v>47</v>
      </c>
      <c r="L2678" s="9" t="s">
        <v>156</v>
      </c>
      <c r="M2678" s="9"/>
      <c r="N2678" s="9" t="s">
        <v>84</v>
      </c>
      <c r="O2678" s="9" t="s">
        <v>51</v>
      </c>
      <c r="P2678" s="9"/>
      <c r="Q2678" s="9"/>
      <c r="R2678" s="9"/>
      <c r="S2678" s="14" t="s">
        <v>9196</v>
      </c>
      <c r="T2678" s="9" t="s">
        <v>9197</v>
      </c>
      <c r="U2678" s="9" t="s">
        <v>54</v>
      </c>
      <c r="V2678" s="9" t="s">
        <v>55</v>
      </c>
      <c r="W2678" s="9" t="s">
        <v>55</v>
      </c>
      <c r="X2678" s="12"/>
      <c r="Y2678" s="9" t="s">
        <v>55</v>
      </c>
      <c r="Z2678" s="13"/>
    </row>
    <row r="2679" spans="1:26" ht="32.25" hidden="1" customHeight="1">
      <c r="A2679" s="8">
        <v>2304781</v>
      </c>
      <c r="B2679" s="9" t="s">
        <v>9198</v>
      </c>
      <c r="C2679" s="10">
        <v>45149</v>
      </c>
      <c r="D2679" s="9" t="s">
        <v>57</v>
      </c>
      <c r="E2679" s="9" t="s">
        <v>41</v>
      </c>
      <c r="F2679" s="9" t="s">
        <v>42</v>
      </c>
      <c r="G2679" s="9" t="s">
        <v>43</v>
      </c>
      <c r="H2679" s="9" t="s">
        <v>58</v>
      </c>
      <c r="I2679" s="11" t="s">
        <v>129</v>
      </c>
      <c r="J2679" s="9" t="s">
        <v>130</v>
      </c>
      <c r="K2679" s="9" t="s">
        <v>47</v>
      </c>
      <c r="L2679" s="9" t="s">
        <v>3667</v>
      </c>
      <c r="M2679" s="9" t="s">
        <v>3672</v>
      </c>
      <c r="N2679" s="9" t="s">
        <v>50</v>
      </c>
      <c r="O2679" s="9" t="s">
        <v>51</v>
      </c>
      <c r="P2679" s="9"/>
      <c r="Q2679" s="9"/>
      <c r="R2679" s="9" t="s">
        <v>61</v>
      </c>
      <c r="S2679" s="14" t="s">
        <v>9199</v>
      </c>
      <c r="T2679" s="9" t="s">
        <v>9200</v>
      </c>
      <c r="U2679" s="9" t="s">
        <v>54</v>
      </c>
      <c r="V2679" s="9" t="s">
        <v>55</v>
      </c>
      <c r="W2679" s="9" t="s">
        <v>55</v>
      </c>
      <c r="X2679" s="9" t="s">
        <v>319</v>
      </c>
      <c r="Y2679" s="9" t="s">
        <v>320</v>
      </c>
      <c r="Z2679" s="13" t="s">
        <v>9201</v>
      </c>
    </row>
    <row r="2680" spans="1:26" ht="32.25" hidden="1" customHeight="1">
      <c r="A2680" s="8">
        <v>2313343</v>
      </c>
      <c r="B2680" s="9" t="s">
        <v>9202</v>
      </c>
      <c r="C2680" s="10">
        <v>45142</v>
      </c>
      <c r="D2680" s="9" t="s">
        <v>67</v>
      </c>
      <c r="E2680" s="9" t="s">
        <v>89</v>
      </c>
      <c r="F2680" s="9" t="s">
        <v>42</v>
      </c>
      <c r="G2680" s="9" t="s">
        <v>43</v>
      </c>
      <c r="H2680" s="9" t="s">
        <v>44</v>
      </c>
      <c r="I2680" s="11" t="s">
        <v>360</v>
      </c>
      <c r="J2680" s="9" t="s">
        <v>102</v>
      </c>
      <c r="K2680" s="9" t="s">
        <v>47</v>
      </c>
      <c r="L2680" s="9" t="s">
        <v>2637</v>
      </c>
      <c r="M2680" s="9" t="s">
        <v>2638</v>
      </c>
      <c r="N2680" s="9" t="s">
        <v>50</v>
      </c>
      <c r="O2680" s="9" t="s">
        <v>51</v>
      </c>
      <c r="P2680" s="9" t="s">
        <v>361</v>
      </c>
      <c r="Q2680" s="9"/>
      <c r="R2680" s="9" t="s">
        <v>61</v>
      </c>
      <c r="S2680" s="9" t="s">
        <v>9203</v>
      </c>
      <c r="T2680" s="9" t="s">
        <v>9204</v>
      </c>
      <c r="U2680" s="9" t="s">
        <v>54</v>
      </c>
      <c r="V2680" s="9" t="s">
        <v>55</v>
      </c>
      <c r="W2680" s="9" t="s">
        <v>55</v>
      </c>
      <c r="X2680" s="12" t="s">
        <v>98</v>
      </c>
      <c r="Y2680" s="9" t="s">
        <v>99</v>
      </c>
      <c r="Z2680" s="13"/>
    </row>
    <row r="2681" spans="1:26" ht="32.25" hidden="1" customHeight="1">
      <c r="A2681" s="8">
        <v>2304988</v>
      </c>
      <c r="B2681" s="9" t="s">
        <v>9205</v>
      </c>
      <c r="C2681" s="10">
        <v>45156</v>
      </c>
      <c r="D2681" s="9" t="s">
        <v>79</v>
      </c>
      <c r="E2681" s="9" t="s">
        <v>143</v>
      </c>
      <c r="F2681" s="9" t="s">
        <v>80</v>
      </c>
      <c r="G2681" s="9" t="s">
        <v>43</v>
      </c>
      <c r="H2681" s="9" t="s">
        <v>44</v>
      </c>
      <c r="I2681" s="11" t="s">
        <v>326</v>
      </c>
      <c r="J2681" s="9" t="s">
        <v>327</v>
      </c>
      <c r="K2681" s="9" t="s">
        <v>47</v>
      </c>
      <c r="L2681" s="9" t="s">
        <v>156</v>
      </c>
      <c r="M2681" s="9"/>
      <c r="N2681" s="9" t="s">
        <v>84</v>
      </c>
      <c r="O2681" s="9" t="s">
        <v>51</v>
      </c>
      <c r="P2681" s="9" t="s">
        <v>1117</v>
      </c>
      <c r="Q2681" s="9"/>
      <c r="R2681" s="9"/>
      <c r="S2681" s="14" t="s">
        <v>9206</v>
      </c>
      <c r="T2681" s="9" t="s">
        <v>9207</v>
      </c>
      <c r="U2681" s="9" t="s">
        <v>54</v>
      </c>
      <c r="V2681" s="9" t="s">
        <v>55</v>
      </c>
      <c r="W2681" s="9" t="s">
        <v>55</v>
      </c>
      <c r="X2681" s="12"/>
      <c r="Y2681" s="9" t="s">
        <v>55</v>
      </c>
      <c r="Z2681" s="13"/>
    </row>
    <row r="2682" spans="1:26" ht="32.25" hidden="1" customHeight="1">
      <c r="A2682" s="8">
        <v>2304691</v>
      </c>
      <c r="B2682" s="9" t="s">
        <v>9208</v>
      </c>
      <c r="C2682" s="10">
        <v>45149</v>
      </c>
      <c r="D2682" s="9" t="s">
        <v>57</v>
      </c>
      <c r="E2682" s="9" t="s">
        <v>41</v>
      </c>
      <c r="F2682" s="9" t="s">
        <v>42</v>
      </c>
      <c r="G2682" s="9" t="s">
        <v>43</v>
      </c>
      <c r="H2682" s="9" t="s">
        <v>58</v>
      </c>
      <c r="I2682" s="11" t="s">
        <v>45</v>
      </c>
      <c r="J2682" s="9" t="s">
        <v>46</v>
      </c>
      <c r="K2682" s="9" t="s">
        <v>47</v>
      </c>
      <c r="L2682" s="9" t="s">
        <v>156</v>
      </c>
      <c r="M2682" s="9" t="s">
        <v>1352</v>
      </c>
      <c r="N2682" s="9" t="s">
        <v>84</v>
      </c>
      <c r="O2682" s="9" t="s">
        <v>51</v>
      </c>
      <c r="P2682" s="9"/>
      <c r="Q2682" s="9"/>
      <c r="R2682" s="9"/>
      <c r="S2682" s="14" t="s">
        <v>9209</v>
      </c>
      <c r="T2682" s="9" t="s">
        <v>9210</v>
      </c>
      <c r="U2682" s="9" t="s">
        <v>54</v>
      </c>
      <c r="V2682" s="9" t="s">
        <v>55</v>
      </c>
      <c r="W2682" s="9" t="s">
        <v>55</v>
      </c>
      <c r="X2682" s="12"/>
      <c r="Y2682" s="9" t="s">
        <v>55</v>
      </c>
      <c r="Z2682" s="13"/>
    </row>
    <row r="2683" spans="1:26" ht="32.25" hidden="1" customHeight="1">
      <c r="A2683" s="8">
        <v>2309692</v>
      </c>
      <c r="B2683" s="9" t="s">
        <v>9211</v>
      </c>
      <c r="C2683" s="10">
        <v>45149</v>
      </c>
      <c r="D2683" s="9" t="s">
        <v>57</v>
      </c>
      <c r="E2683" s="9" t="s">
        <v>295</v>
      </c>
      <c r="F2683" s="9" t="s">
        <v>42</v>
      </c>
      <c r="G2683" s="9" t="s">
        <v>43</v>
      </c>
      <c r="H2683" s="9" t="s">
        <v>58</v>
      </c>
      <c r="I2683" s="11" t="s">
        <v>296</v>
      </c>
      <c r="J2683" s="9" t="s">
        <v>297</v>
      </c>
      <c r="K2683" s="9" t="s">
        <v>47</v>
      </c>
      <c r="L2683" s="9" t="s">
        <v>1992</v>
      </c>
      <c r="M2683" s="9" t="s">
        <v>9212</v>
      </c>
      <c r="N2683" s="9" t="s">
        <v>84</v>
      </c>
      <c r="O2683" s="9" t="s">
        <v>51</v>
      </c>
      <c r="P2683" s="9"/>
      <c r="Q2683" s="9"/>
      <c r="R2683" s="9" t="s">
        <v>61</v>
      </c>
      <c r="S2683" s="14" t="s">
        <v>9213</v>
      </c>
      <c r="T2683" s="9" t="s">
        <v>9214</v>
      </c>
      <c r="U2683" s="9" t="s">
        <v>54</v>
      </c>
      <c r="V2683" s="9" t="s">
        <v>55</v>
      </c>
      <c r="W2683" s="9" t="s">
        <v>55</v>
      </c>
      <c r="X2683" s="9" t="s">
        <v>319</v>
      </c>
      <c r="Y2683" s="9" t="s">
        <v>320</v>
      </c>
      <c r="Z2683" s="13"/>
    </row>
    <row r="2684" spans="1:26" ht="32.25" hidden="1" customHeight="1">
      <c r="A2684" s="8">
        <v>2304340</v>
      </c>
      <c r="B2684" s="9" t="s">
        <v>9215</v>
      </c>
      <c r="C2684" s="10">
        <v>45156</v>
      </c>
      <c r="D2684" s="9" t="s">
        <v>79</v>
      </c>
      <c r="E2684" s="9" t="s">
        <v>68</v>
      </c>
      <c r="F2684" s="9" t="s">
        <v>80</v>
      </c>
      <c r="G2684" s="9" t="s">
        <v>43</v>
      </c>
      <c r="H2684" s="9" t="s">
        <v>44</v>
      </c>
      <c r="I2684" s="11" t="s">
        <v>696</v>
      </c>
      <c r="J2684" s="9" t="s">
        <v>70</v>
      </c>
      <c r="K2684" s="9" t="s">
        <v>47</v>
      </c>
      <c r="L2684" s="9" t="s">
        <v>174</v>
      </c>
      <c r="M2684" s="9" t="s">
        <v>1190</v>
      </c>
      <c r="N2684" s="9" t="s">
        <v>50</v>
      </c>
      <c r="O2684" s="9" t="s">
        <v>51</v>
      </c>
      <c r="P2684" s="9" t="s">
        <v>1841</v>
      </c>
      <c r="Q2684" s="9"/>
      <c r="R2684" s="9" t="s">
        <v>61</v>
      </c>
      <c r="S2684" s="14" t="s">
        <v>9216</v>
      </c>
      <c r="T2684" s="9" t="s">
        <v>9217</v>
      </c>
      <c r="U2684" s="9" t="s">
        <v>54</v>
      </c>
      <c r="V2684" s="9" t="s">
        <v>55</v>
      </c>
      <c r="W2684" s="9" t="s">
        <v>115</v>
      </c>
      <c r="X2684" s="12" t="s">
        <v>76</v>
      </c>
      <c r="Y2684" s="9" t="s">
        <v>77</v>
      </c>
      <c r="Z2684" s="13" t="s">
        <v>288</v>
      </c>
    </row>
    <row r="2685" spans="1:26" ht="32.25" hidden="1" customHeight="1">
      <c r="A2685" s="8">
        <v>2314286</v>
      </c>
      <c r="B2685" s="9" t="s">
        <v>9218</v>
      </c>
      <c r="C2685" s="10">
        <v>45156</v>
      </c>
      <c r="D2685" s="9" t="s">
        <v>79</v>
      </c>
      <c r="E2685" s="9" t="s">
        <v>89</v>
      </c>
      <c r="F2685" s="9" t="s">
        <v>80</v>
      </c>
      <c r="G2685" s="9" t="s">
        <v>43</v>
      </c>
      <c r="H2685" s="9" t="s">
        <v>44</v>
      </c>
      <c r="I2685" s="11" t="s">
        <v>90</v>
      </c>
      <c r="J2685" s="9" t="s">
        <v>91</v>
      </c>
      <c r="K2685" s="9" t="s">
        <v>47</v>
      </c>
      <c r="L2685" s="9" t="s">
        <v>598</v>
      </c>
      <c r="M2685" s="9" t="s">
        <v>599</v>
      </c>
      <c r="N2685" s="9" t="s">
        <v>50</v>
      </c>
      <c r="O2685" s="9" t="s">
        <v>51</v>
      </c>
      <c r="P2685" s="9" t="s">
        <v>865</v>
      </c>
      <c r="Q2685" s="9"/>
      <c r="R2685" s="9" t="s">
        <v>61</v>
      </c>
      <c r="S2685" s="14" t="s">
        <v>9219</v>
      </c>
      <c r="T2685" s="9" t="s">
        <v>9220</v>
      </c>
      <c r="U2685" s="9" t="s">
        <v>54</v>
      </c>
      <c r="V2685" s="9" t="s">
        <v>55</v>
      </c>
      <c r="W2685" s="9" t="s">
        <v>55</v>
      </c>
      <c r="X2685" s="12" t="s">
        <v>98</v>
      </c>
      <c r="Y2685" s="9" t="s">
        <v>99</v>
      </c>
      <c r="Z2685" s="13"/>
    </row>
    <row r="2686" spans="1:26" ht="32.25" hidden="1" customHeight="1">
      <c r="A2686" s="8">
        <v>2302194</v>
      </c>
      <c r="B2686" s="9" t="s">
        <v>9221</v>
      </c>
      <c r="C2686" s="10">
        <v>45142</v>
      </c>
      <c r="D2686" s="9" t="s">
        <v>67</v>
      </c>
      <c r="E2686" s="9" t="s">
        <v>143</v>
      </c>
      <c r="F2686" s="9" t="s">
        <v>42</v>
      </c>
      <c r="G2686" s="9" t="s">
        <v>43</v>
      </c>
      <c r="H2686" s="9" t="s">
        <v>44</v>
      </c>
      <c r="I2686" s="11" t="s">
        <v>144</v>
      </c>
      <c r="J2686" s="9" t="s">
        <v>145</v>
      </c>
      <c r="K2686" s="9" t="s">
        <v>47</v>
      </c>
      <c r="L2686" s="9" t="s">
        <v>799</v>
      </c>
      <c r="M2686" s="9" t="s">
        <v>9222</v>
      </c>
      <c r="N2686" s="9" t="s">
        <v>50</v>
      </c>
      <c r="O2686" s="9" t="s">
        <v>51</v>
      </c>
      <c r="P2686" s="9" t="s">
        <v>147</v>
      </c>
      <c r="Q2686" s="9"/>
      <c r="R2686" s="9" t="s">
        <v>61</v>
      </c>
      <c r="S2686" s="9" t="s">
        <v>9223</v>
      </c>
      <c r="T2686" s="9" t="s">
        <v>9224</v>
      </c>
      <c r="U2686" s="9" t="s">
        <v>54</v>
      </c>
      <c r="V2686" s="9" t="s">
        <v>55</v>
      </c>
      <c r="W2686" s="9" t="s">
        <v>55</v>
      </c>
      <c r="X2686" s="12" t="s">
        <v>150</v>
      </c>
      <c r="Y2686" s="9" t="s">
        <v>151</v>
      </c>
      <c r="Z2686" s="13"/>
    </row>
    <row r="2687" spans="1:26" ht="32.25" hidden="1" customHeight="1">
      <c r="A2687" s="8">
        <v>2315256</v>
      </c>
      <c r="B2687" s="9" t="s">
        <v>9225</v>
      </c>
      <c r="C2687" s="10">
        <v>45149</v>
      </c>
      <c r="D2687" s="9" t="s">
        <v>57</v>
      </c>
      <c r="E2687" s="9" t="s">
        <v>41</v>
      </c>
      <c r="F2687" s="9" t="s">
        <v>42</v>
      </c>
      <c r="G2687" s="9" t="s">
        <v>43</v>
      </c>
      <c r="H2687" s="9" t="s">
        <v>58</v>
      </c>
      <c r="I2687" s="11" t="s">
        <v>199</v>
      </c>
      <c r="J2687" s="9" t="s">
        <v>200</v>
      </c>
      <c r="K2687" s="9" t="s">
        <v>47</v>
      </c>
      <c r="L2687" s="9" t="s">
        <v>156</v>
      </c>
      <c r="M2687" s="9"/>
      <c r="N2687" s="9" t="s">
        <v>50</v>
      </c>
      <c r="O2687" s="9" t="s">
        <v>51</v>
      </c>
      <c r="P2687" s="9"/>
      <c r="Q2687" s="9"/>
      <c r="R2687" s="9"/>
      <c r="S2687" s="14" t="s">
        <v>9226</v>
      </c>
      <c r="T2687" s="9" t="s">
        <v>9227</v>
      </c>
      <c r="U2687" s="9" t="s">
        <v>54</v>
      </c>
      <c r="V2687" s="9" t="s">
        <v>55</v>
      </c>
      <c r="W2687" s="9" t="s">
        <v>55</v>
      </c>
      <c r="X2687" s="12"/>
      <c r="Y2687" s="9" t="s">
        <v>55</v>
      </c>
      <c r="Z2687" s="13"/>
    </row>
    <row r="2688" spans="1:26" ht="32.25" hidden="1" customHeight="1">
      <c r="A2688" s="8">
        <v>2312891</v>
      </c>
      <c r="B2688" s="9" t="s">
        <v>9228</v>
      </c>
      <c r="C2688" s="10">
        <v>45156</v>
      </c>
      <c r="D2688" s="9" t="s">
        <v>79</v>
      </c>
      <c r="E2688" s="9" t="s">
        <v>89</v>
      </c>
      <c r="F2688" s="9" t="s">
        <v>80</v>
      </c>
      <c r="G2688" s="9" t="s">
        <v>43</v>
      </c>
      <c r="H2688" s="9" t="s">
        <v>44</v>
      </c>
      <c r="I2688" s="11" t="s">
        <v>4023</v>
      </c>
      <c r="J2688" s="9" t="s">
        <v>4024</v>
      </c>
      <c r="K2688" s="9" t="s">
        <v>47</v>
      </c>
      <c r="L2688" s="9" t="s">
        <v>598</v>
      </c>
      <c r="M2688" s="9" t="s">
        <v>9229</v>
      </c>
      <c r="N2688" s="9" t="s">
        <v>50</v>
      </c>
      <c r="O2688" s="9" t="s">
        <v>51</v>
      </c>
      <c r="P2688" s="9" t="s">
        <v>4026</v>
      </c>
      <c r="Q2688" s="9"/>
      <c r="R2688" s="9" t="s">
        <v>61</v>
      </c>
      <c r="S2688" s="14" t="s">
        <v>9230</v>
      </c>
      <c r="T2688" s="9" t="s">
        <v>9231</v>
      </c>
      <c r="U2688" s="9" t="s">
        <v>54</v>
      </c>
      <c r="V2688" s="9" t="s">
        <v>55</v>
      </c>
      <c r="W2688" s="9" t="s">
        <v>55</v>
      </c>
      <c r="X2688" s="12" t="s">
        <v>98</v>
      </c>
      <c r="Y2688" s="9" t="s">
        <v>99</v>
      </c>
      <c r="Z2688" s="13"/>
    </row>
    <row r="2689" spans="1:26" ht="32.25" hidden="1" customHeight="1">
      <c r="A2689" s="8">
        <v>2307490</v>
      </c>
      <c r="B2689" s="9" t="s">
        <v>9232</v>
      </c>
      <c r="C2689" s="10">
        <v>45149</v>
      </c>
      <c r="D2689" s="9" t="s">
        <v>57</v>
      </c>
      <c r="E2689" s="9" t="s">
        <v>41</v>
      </c>
      <c r="F2689" s="9" t="s">
        <v>42</v>
      </c>
      <c r="G2689" s="9" t="s">
        <v>43</v>
      </c>
      <c r="H2689" s="9" t="s">
        <v>58</v>
      </c>
      <c r="I2689" s="11" t="s">
        <v>129</v>
      </c>
      <c r="J2689" s="9" t="s">
        <v>130</v>
      </c>
      <c r="K2689" s="9" t="s">
        <v>47</v>
      </c>
      <c r="L2689" s="9" t="s">
        <v>310</v>
      </c>
      <c r="M2689" s="9" t="s">
        <v>311</v>
      </c>
      <c r="N2689" s="9" t="s">
        <v>84</v>
      </c>
      <c r="O2689" s="9" t="s">
        <v>51</v>
      </c>
      <c r="P2689" s="9"/>
      <c r="Q2689" s="9"/>
      <c r="R2689" s="9" t="s">
        <v>61</v>
      </c>
      <c r="S2689" s="14" t="s">
        <v>9233</v>
      </c>
      <c r="T2689" s="9" t="s">
        <v>9234</v>
      </c>
      <c r="U2689" s="9" t="s">
        <v>54</v>
      </c>
      <c r="V2689" s="9" t="s">
        <v>55</v>
      </c>
      <c r="W2689" s="9" t="s">
        <v>55</v>
      </c>
      <c r="X2689" s="9" t="s">
        <v>319</v>
      </c>
      <c r="Y2689" s="9" t="s">
        <v>320</v>
      </c>
      <c r="Z2689" s="13" t="s">
        <v>230</v>
      </c>
    </row>
    <row r="2690" spans="1:26" ht="32.25" hidden="1" customHeight="1">
      <c r="A2690" s="8">
        <v>2312718</v>
      </c>
      <c r="B2690" s="9" t="s">
        <v>9235</v>
      </c>
      <c r="C2690" s="10">
        <v>45142</v>
      </c>
      <c r="D2690" s="9" t="s">
        <v>232</v>
      </c>
      <c r="E2690" s="9" t="s">
        <v>41</v>
      </c>
      <c r="F2690" s="9" t="s">
        <v>80</v>
      </c>
      <c r="G2690" s="9" t="s">
        <v>43</v>
      </c>
      <c r="H2690" s="9" t="s">
        <v>44</v>
      </c>
      <c r="I2690" s="11" t="s">
        <v>81</v>
      </c>
      <c r="J2690" s="9" t="s">
        <v>46</v>
      </c>
      <c r="K2690" s="9" t="s">
        <v>9236</v>
      </c>
      <c r="L2690" s="9"/>
      <c r="M2690" s="9"/>
      <c r="N2690" s="9" t="s">
        <v>50</v>
      </c>
      <c r="O2690" s="9" t="s">
        <v>187</v>
      </c>
      <c r="P2690" s="9" t="s">
        <v>395</v>
      </c>
      <c r="Q2690" s="9"/>
      <c r="R2690" s="9" t="s">
        <v>61</v>
      </c>
      <c r="S2690" s="9" t="s">
        <v>9237</v>
      </c>
      <c r="T2690" s="9" t="s">
        <v>9238</v>
      </c>
      <c r="U2690" s="9" t="s">
        <v>54</v>
      </c>
      <c r="V2690" s="9" t="s">
        <v>331</v>
      </c>
      <c r="W2690" s="9" t="s">
        <v>115</v>
      </c>
      <c r="X2690" s="9" t="s">
        <v>64</v>
      </c>
      <c r="Y2690" s="9" t="s">
        <v>65</v>
      </c>
      <c r="Z2690" s="13"/>
    </row>
    <row r="2691" spans="1:26" ht="32.25" hidden="1" customHeight="1">
      <c r="A2691" s="8">
        <v>2309142</v>
      </c>
      <c r="B2691" s="9" t="s">
        <v>9239</v>
      </c>
      <c r="C2691" s="10">
        <v>45156</v>
      </c>
      <c r="D2691" s="9" t="s">
        <v>79</v>
      </c>
      <c r="E2691" s="9" t="s">
        <v>68</v>
      </c>
      <c r="F2691" s="9" t="s">
        <v>80</v>
      </c>
      <c r="G2691" s="9" t="s">
        <v>43</v>
      </c>
      <c r="H2691" s="9" t="s">
        <v>44</v>
      </c>
      <c r="I2691" s="11" t="s">
        <v>90</v>
      </c>
      <c r="J2691" s="9" t="s">
        <v>91</v>
      </c>
      <c r="K2691" s="9" t="s">
        <v>47</v>
      </c>
      <c r="L2691" s="9" t="s">
        <v>138</v>
      </c>
      <c r="M2691" s="9" t="s">
        <v>2607</v>
      </c>
      <c r="N2691" s="9" t="s">
        <v>50</v>
      </c>
      <c r="O2691" s="9" t="s">
        <v>51</v>
      </c>
      <c r="P2691" s="9" t="s">
        <v>670</v>
      </c>
      <c r="Q2691" s="9"/>
      <c r="R2691" s="9" t="s">
        <v>61</v>
      </c>
      <c r="S2691" s="14" t="s">
        <v>9240</v>
      </c>
      <c r="T2691" s="9" t="s">
        <v>9241</v>
      </c>
      <c r="U2691" s="9" t="s">
        <v>54</v>
      </c>
      <c r="V2691" s="9" t="s">
        <v>55</v>
      </c>
      <c r="W2691" s="9" t="s">
        <v>55</v>
      </c>
      <c r="X2691" s="12" t="s">
        <v>196</v>
      </c>
      <c r="Y2691" s="9" t="s">
        <v>197</v>
      </c>
      <c r="Z2691" s="13"/>
    </row>
    <row r="2692" spans="1:26" ht="32.25" hidden="1" customHeight="1">
      <c r="A2692" s="8">
        <v>2304562</v>
      </c>
      <c r="B2692" s="9" t="s">
        <v>9242</v>
      </c>
      <c r="C2692" s="10">
        <v>45156</v>
      </c>
      <c r="D2692" s="9" t="s">
        <v>79</v>
      </c>
      <c r="E2692" s="9" t="s">
        <v>143</v>
      </c>
      <c r="F2692" s="9" t="s">
        <v>80</v>
      </c>
      <c r="G2692" s="9" t="s">
        <v>43</v>
      </c>
      <c r="H2692" s="9" t="s">
        <v>44</v>
      </c>
      <c r="I2692" s="11" t="s">
        <v>326</v>
      </c>
      <c r="J2692" s="9" t="s">
        <v>327</v>
      </c>
      <c r="K2692" s="9" t="s">
        <v>47</v>
      </c>
      <c r="L2692" s="9" t="s">
        <v>2632</v>
      </c>
      <c r="M2692" s="9" t="s">
        <v>3293</v>
      </c>
      <c r="N2692" s="9" t="s">
        <v>50</v>
      </c>
      <c r="O2692" s="9" t="s">
        <v>51</v>
      </c>
      <c r="P2692" s="9" t="s">
        <v>1143</v>
      </c>
      <c r="Q2692" s="9"/>
      <c r="R2692" s="9" t="s">
        <v>61</v>
      </c>
      <c r="S2692" s="14" t="s">
        <v>9243</v>
      </c>
      <c r="T2692" s="9" t="s">
        <v>9244</v>
      </c>
      <c r="U2692" s="9" t="s">
        <v>54</v>
      </c>
      <c r="V2692" s="9" t="s">
        <v>370</v>
      </c>
      <c r="W2692" s="9" t="s">
        <v>115</v>
      </c>
      <c r="X2692" s="12" t="s">
        <v>150</v>
      </c>
      <c r="Y2692" s="9" t="s">
        <v>151</v>
      </c>
      <c r="Z2692" s="13"/>
    </row>
    <row r="2693" spans="1:26" ht="32.25" hidden="1" customHeight="1">
      <c r="A2693" s="8">
        <v>2310030</v>
      </c>
      <c r="B2693" s="9" t="s">
        <v>9245</v>
      </c>
      <c r="C2693" s="10">
        <v>45156</v>
      </c>
      <c r="D2693" s="9" t="s">
        <v>79</v>
      </c>
      <c r="E2693" s="9" t="s">
        <v>143</v>
      </c>
      <c r="F2693" s="9" t="s">
        <v>80</v>
      </c>
      <c r="G2693" s="9" t="s">
        <v>43</v>
      </c>
      <c r="H2693" s="9" t="s">
        <v>44</v>
      </c>
      <c r="I2693" s="11" t="s">
        <v>326</v>
      </c>
      <c r="J2693" s="9" t="s">
        <v>327</v>
      </c>
      <c r="K2693" s="9" t="s">
        <v>110</v>
      </c>
      <c r="L2693" s="9"/>
      <c r="M2693" s="9"/>
      <c r="N2693" s="9" t="s">
        <v>50</v>
      </c>
      <c r="O2693" s="9" t="s">
        <v>51</v>
      </c>
      <c r="P2693" s="9" t="s">
        <v>9246</v>
      </c>
      <c r="Q2693" s="9"/>
      <c r="R2693" s="9" t="s">
        <v>61</v>
      </c>
      <c r="S2693" s="14" t="s">
        <v>9247</v>
      </c>
      <c r="T2693" s="9" t="s">
        <v>9248</v>
      </c>
      <c r="U2693" s="9" t="s">
        <v>54</v>
      </c>
      <c r="V2693" s="9" t="s">
        <v>251</v>
      </c>
      <c r="W2693" s="9" t="s">
        <v>115</v>
      </c>
      <c r="X2693" s="12" t="s">
        <v>171</v>
      </c>
      <c r="Y2693" s="9" t="s">
        <v>172</v>
      </c>
      <c r="Z2693" s="13"/>
    </row>
    <row r="2694" spans="1:26" ht="32.25" hidden="1" customHeight="1">
      <c r="A2694" s="8">
        <v>2315059</v>
      </c>
      <c r="B2694" s="9" t="s">
        <v>9249</v>
      </c>
      <c r="C2694" s="10">
        <v>45156</v>
      </c>
      <c r="D2694" s="9" t="s">
        <v>79</v>
      </c>
      <c r="E2694" s="9" t="s">
        <v>89</v>
      </c>
      <c r="F2694" s="9" t="s">
        <v>80</v>
      </c>
      <c r="G2694" s="9" t="s">
        <v>43</v>
      </c>
      <c r="H2694" s="9" t="s">
        <v>44</v>
      </c>
      <c r="I2694" s="11" t="s">
        <v>101</v>
      </c>
      <c r="J2694" s="9" t="s">
        <v>102</v>
      </c>
      <c r="K2694" s="9" t="s">
        <v>47</v>
      </c>
      <c r="L2694" s="9" t="s">
        <v>777</v>
      </c>
      <c r="M2694" s="9" t="s">
        <v>781</v>
      </c>
      <c r="N2694" s="9" t="s">
        <v>50</v>
      </c>
      <c r="O2694" s="9" t="s">
        <v>51</v>
      </c>
      <c r="P2694" s="9" t="s">
        <v>715</v>
      </c>
      <c r="Q2694" s="9"/>
      <c r="R2694" s="9"/>
      <c r="S2694" s="14" t="s">
        <v>9250</v>
      </c>
      <c r="T2694" s="9" t="s">
        <v>9251</v>
      </c>
      <c r="U2694" s="9" t="s">
        <v>54</v>
      </c>
      <c r="V2694" s="9" t="s">
        <v>55</v>
      </c>
      <c r="W2694" s="9" t="s">
        <v>55</v>
      </c>
      <c r="X2694" s="12"/>
      <c r="Y2694" s="9" t="s">
        <v>55</v>
      </c>
      <c r="Z2694" s="13"/>
    </row>
    <row r="2695" spans="1:26" ht="32.25" hidden="1" customHeight="1">
      <c r="A2695" s="8">
        <v>2308135</v>
      </c>
      <c r="B2695" s="9" t="s">
        <v>9252</v>
      </c>
      <c r="C2695" s="10">
        <v>45156</v>
      </c>
      <c r="D2695" s="9" t="s">
        <v>565</v>
      </c>
      <c r="E2695" s="9" t="s">
        <v>153</v>
      </c>
      <c r="F2695" s="9" t="s">
        <v>42</v>
      </c>
      <c r="G2695" s="9" t="s">
        <v>43</v>
      </c>
      <c r="H2695" s="9" t="s">
        <v>58</v>
      </c>
      <c r="I2695" s="11" t="s">
        <v>154</v>
      </c>
      <c r="J2695" s="9" t="s">
        <v>155</v>
      </c>
      <c r="K2695" s="9" t="s">
        <v>47</v>
      </c>
      <c r="L2695" s="9" t="s">
        <v>1315</v>
      </c>
      <c r="M2695" s="9" t="s">
        <v>9253</v>
      </c>
      <c r="N2695" s="9" t="s">
        <v>84</v>
      </c>
      <c r="O2695" s="9" t="s">
        <v>51</v>
      </c>
      <c r="P2695" s="9"/>
      <c r="Q2695" s="9"/>
      <c r="R2695" s="9" t="s">
        <v>61</v>
      </c>
      <c r="S2695" s="14" t="s">
        <v>9254</v>
      </c>
      <c r="T2695" s="9" t="s">
        <v>9255</v>
      </c>
      <c r="U2695" s="9" t="s">
        <v>54</v>
      </c>
      <c r="V2695" s="9" t="s">
        <v>55</v>
      </c>
      <c r="W2695" s="9" t="s">
        <v>55</v>
      </c>
      <c r="X2695" s="12" t="s">
        <v>171</v>
      </c>
      <c r="Y2695" s="9" t="s">
        <v>172</v>
      </c>
      <c r="Z2695" s="13"/>
    </row>
    <row r="2696" spans="1:26" ht="32.25" hidden="1" customHeight="1">
      <c r="A2696" s="8">
        <v>2307502</v>
      </c>
      <c r="B2696" s="9" t="s">
        <v>9256</v>
      </c>
      <c r="C2696" s="10">
        <v>45142</v>
      </c>
      <c r="D2696" s="9" t="s">
        <v>67</v>
      </c>
      <c r="E2696" s="9" t="s">
        <v>68</v>
      </c>
      <c r="F2696" s="9" t="s">
        <v>135</v>
      </c>
      <c r="G2696" s="9" t="s">
        <v>43</v>
      </c>
      <c r="H2696" s="9" t="s">
        <v>44</v>
      </c>
      <c r="I2696" s="11" t="s">
        <v>136</v>
      </c>
      <c r="J2696" s="9" t="s">
        <v>137</v>
      </c>
      <c r="K2696" s="9" t="s">
        <v>47</v>
      </c>
      <c r="L2696" s="9" t="s">
        <v>2859</v>
      </c>
      <c r="M2696" s="9" t="s">
        <v>9257</v>
      </c>
      <c r="N2696" s="9" t="s">
        <v>50</v>
      </c>
      <c r="O2696" s="9" t="s">
        <v>51</v>
      </c>
      <c r="P2696" s="9"/>
      <c r="Q2696" s="9"/>
      <c r="R2696" s="9" t="s">
        <v>61</v>
      </c>
      <c r="S2696" s="9" t="s">
        <v>9258</v>
      </c>
      <c r="T2696" s="9" t="s">
        <v>9259</v>
      </c>
      <c r="U2696" s="9" t="s">
        <v>54</v>
      </c>
      <c r="V2696" s="9" t="s">
        <v>55</v>
      </c>
      <c r="W2696" s="9" t="s">
        <v>55</v>
      </c>
      <c r="X2696" s="12" t="s">
        <v>76</v>
      </c>
      <c r="Y2696" s="9" t="s">
        <v>77</v>
      </c>
      <c r="Z2696" s="13"/>
    </row>
    <row r="2697" spans="1:26" ht="32.25" hidden="1" customHeight="1">
      <c r="A2697" s="8">
        <v>2300780</v>
      </c>
      <c r="B2697" s="9" t="s">
        <v>9260</v>
      </c>
      <c r="C2697" s="10">
        <v>45142</v>
      </c>
      <c r="D2697" s="9" t="s">
        <v>67</v>
      </c>
      <c r="E2697" s="9" t="s">
        <v>68</v>
      </c>
      <c r="F2697" s="9" t="s">
        <v>135</v>
      </c>
      <c r="G2697" s="9" t="s">
        <v>43</v>
      </c>
      <c r="H2697" s="9" t="s">
        <v>44</v>
      </c>
      <c r="I2697" s="11" t="s">
        <v>136</v>
      </c>
      <c r="J2697" s="9" t="s">
        <v>137</v>
      </c>
      <c r="K2697" s="9" t="s">
        <v>416</v>
      </c>
      <c r="L2697" s="9"/>
      <c r="M2697" s="9" t="s">
        <v>417</v>
      </c>
      <c r="N2697" s="9" t="s">
        <v>50</v>
      </c>
      <c r="O2697" s="9" t="s">
        <v>51</v>
      </c>
      <c r="P2697" s="9"/>
      <c r="Q2697" s="9"/>
      <c r="R2697" s="9" t="s">
        <v>61</v>
      </c>
      <c r="S2697" s="9" t="s">
        <v>9261</v>
      </c>
      <c r="T2697" s="9" t="s">
        <v>9262</v>
      </c>
      <c r="U2697" s="9" t="s">
        <v>54</v>
      </c>
      <c r="V2697" s="9" t="s">
        <v>55</v>
      </c>
      <c r="W2697" s="9" t="s">
        <v>55</v>
      </c>
      <c r="X2697" s="12" t="s">
        <v>76</v>
      </c>
      <c r="Y2697" s="9" t="s">
        <v>77</v>
      </c>
      <c r="Z2697" s="13"/>
    </row>
    <row r="2698" spans="1:26" ht="32.25" hidden="1" customHeight="1">
      <c r="A2698" s="8">
        <v>2313168</v>
      </c>
      <c r="B2698" s="9" t="s">
        <v>9263</v>
      </c>
      <c r="C2698" s="10">
        <v>45156</v>
      </c>
      <c r="D2698" s="9" t="s">
        <v>79</v>
      </c>
      <c r="E2698" s="9" t="s">
        <v>41</v>
      </c>
      <c r="F2698" s="9" t="s">
        <v>80</v>
      </c>
      <c r="G2698" s="9" t="s">
        <v>43</v>
      </c>
      <c r="H2698" s="9" t="s">
        <v>44</v>
      </c>
      <c r="I2698" s="11" t="s">
        <v>233</v>
      </c>
      <c r="J2698" s="9" t="s">
        <v>200</v>
      </c>
      <c r="K2698" s="9" t="s">
        <v>47</v>
      </c>
      <c r="L2698" s="9" t="s">
        <v>156</v>
      </c>
      <c r="M2698" s="9"/>
      <c r="N2698" s="9" t="s">
        <v>84</v>
      </c>
      <c r="O2698" s="9" t="s">
        <v>51</v>
      </c>
      <c r="P2698" s="9" t="s">
        <v>865</v>
      </c>
      <c r="Q2698" s="9"/>
      <c r="R2698" s="9"/>
      <c r="S2698" s="14" t="s">
        <v>9264</v>
      </c>
      <c r="T2698" s="9" t="s">
        <v>9265</v>
      </c>
      <c r="U2698" s="9" t="s">
        <v>54</v>
      </c>
      <c r="V2698" s="9" t="s">
        <v>55</v>
      </c>
      <c r="W2698" s="9" t="s">
        <v>55</v>
      </c>
      <c r="X2698" s="12"/>
      <c r="Y2698" s="9" t="s">
        <v>55</v>
      </c>
      <c r="Z2698" s="13"/>
    </row>
    <row r="2699" spans="1:26" ht="32.25" hidden="1" customHeight="1">
      <c r="A2699" s="8">
        <v>2311166</v>
      </c>
      <c r="B2699" s="9" t="s">
        <v>9266</v>
      </c>
      <c r="C2699" s="10">
        <v>45142</v>
      </c>
      <c r="D2699" s="9" t="s">
        <v>67</v>
      </c>
      <c r="E2699" s="9" t="s">
        <v>143</v>
      </c>
      <c r="F2699" s="9" t="s">
        <v>42</v>
      </c>
      <c r="G2699" s="9" t="s">
        <v>43</v>
      </c>
      <c r="H2699" s="9" t="s">
        <v>44</v>
      </c>
      <c r="I2699" s="11" t="s">
        <v>144</v>
      </c>
      <c r="J2699" s="9" t="s">
        <v>145</v>
      </c>
      <c r="K2699" s="9" t="s">
        <v>47</v>
      </c>
      <c r="L2699" s="9" t="s">
        <v>437</v>
      </c>
      <c r="M2699" s="9" t="s">
        <v>1882</v>
      </c>
      <c r="N2699" s="9" t="s">
        <v>84</v>
      </c>
      <c r="O2699" s="9" t="s">
        <v>51</v>
      </c>
      <c r="P2699" s="9" t="s">
        <v>147</v>
      </c>
      <c r="Q2699" s="9"/>
      <c r="R2699" s="9" t="s">
        <v>61</v>
      </c>
      <c r="S2699" s="9" t="s">
        <v>9267</v>
      </c>
      <c r="T2699" s="9" t="s">
        <v>9268</v>
      </c>
      <c r="U2699" s="9" t="s">
        <v>54</v>
      </c>
      <c r="V2699" s="9" t="s">
        <v>55</v>
      </c>
      <c r="W2699" s="9" t="s">
        <v>55</v>
      </c>
      <c r="X2699" s="12" t="s">
        <v>150</v>
      </c>
      <c r="Y2699" s="9" t="s">
        <v>151</v>
      </c>
      <c r="Z2699" s="13"/>
    </row>
    <row r="2700" spans="1:26" ht="32.25" hidden="1" customHeight="1">
      <c r="A2700" s="8">
        <v>2301033</v>
      </c>
      <c r="B2700" s="9" t="s">
        <v>9269</v>
      </c>
      <c r="C2700" s="10">
        <v>45142</v>
      </c>
      <c r="D2700" s="9" t="s">
        <v>67</v>
      </c>
      <c r="E2700" s="9" t="s">
        <v>143</v>
      </c>
      <c r="F2700" s="9" t="s">
        <v>42</v>
      </c>
      <c r="G2700" s="9" t="s">
        <v>43</v>
      </c>
      <c r="H2700" s="9" t="s">
        <v>44</v>
      </c>
      <c r="I2700" s="11" t="s">
        <v>219</v>
      </c>
      <c r="J2700" s="9" t="s">
        <v>220</v>
      </c>
      <c r="K2700" s="9" t="s">
        <v>47</v>
      </c>
      <c r="L2700" s="9" t="s">
        <v>221</v>
      </c>
      <c r="M2700" s="9" t="s">
        <v>1142</v>
      </c>
      <c r="N2700" s="9" t="s">
        <v>84</v>
      </c>
      <c r="O2700" s="9" t="s">
        <v>51</v>
      </c>
      <c r="P2700" s="9"/>
      <c r="Q2700" s="9"/>
      <c r="R2700" s="9" t="s">
        <v>61</v>
      </c>
      <c r="S2700" s="9" t="s">
        <v>9270</v>
      </c>
      <c r="T2700" s="9" t="s">
        <v>9271</v>
      </c>
      <c r="U2700" s="9" t="s">
        <v>54</v>
      </c>
      <c r="V2700" s="9" t="s">
        <v>55</v>
      </c>
      <c r="W2700" s="9" t="s">
        <v>55</v>
      </c>
      <c r="X2700" s="12" t="s">
        <v>171</v>
      </c>
      <c r="Y2700" s="9" t="s">
        <v>172</v>
      </c>
      <c r="Z2700" s="13"/>
    </row>
    <row r="2701" spans="1:26" ht="32.25" hidden="1" customHeight="1">
      <c r="A2701" s="8">
        <v>2304430</v>
      </c>
      <c r="B2701" s="9" t="s">
        <v>9272</v>
      </c>
      <c r="C2701" s="10">
        <v>45142</v>
      </c>
      <c r="D2701" s="9" t="s">
        <v>67</v>
      </c>
      <c r="E2701" s="9" t="s">
        <v>68</v>
      </c>
      <c r="F2701" s="9" t="s">
        <v>42</v>
      </c>
      <c r="G2701" s="9" t="s">
        <v>43</v>
      </c>
      <c r="H2701" s="9" t="s">
        <v>44</v>
      </c>
      <c r="I2701" s="11" t="s">
        <v>69</v>
      </c>
      <c r="J2701" s="9" t="s">
        <v>70</v>
      </c>
      <c r="K2701" s="9" t="s">
        <v>47</v>
      </c>
      <c r="L2701" s="9" t="s">
        <v>174</v>
      </c>
      <c r="M2701" s="9" t="s">
        <v>669</v>
      </c>
      <c r="N2701" s="9" t="s">
        <v>50</v>
      </c>
      <c r="O2701" s="9" t="s">
        <v>51</v>
      </c>
      <c r="P2701" s="9" t="s">
        <v>73</v>
      </c>
      <c r="Q2701" s="9"/>
      <c r="R2701" s="9" t="s">
        <v>61</v>
      </c>
      <c r="S2701" s="9" t="s">
        <v>9273</v>
      </c>
      <c r="T2701" s="9" t="s">
        <v>9274</v>
      </c>
      <c r="U2701" s="9" t="s">
        <v>54</v>
      </c>
      <c r="V2701" s="9" t="s">
        <v>55</v>
      </c>
      <c r="W2701" s="9" t="s">
        <v>55</v>
      </c>
      <c r="X2701" s="12" t="s">
        <v>76</v>
      </c>
      <c r="Y2701" s="9" t="s">
        <v>77</v>
      </c>
      <c r="Z2701" s="13"/>
    </row>
    <row r="2702" spans="1:26" ht="32.25" hidden="1" customHeight="1">
      <c r="A2702" s="8">
        <v>2309090</v>
      </c>
      <c r="B2702" s="9" t="s">
        <v>9275</v>
      </c>
      <c r="C2702" s="10">
        <v>45142</v>
      </c>
      <c r="D2702" s="9" t="s">
        <v>67</v>
      </c>
      <c r="E2702" s="9" t="s">
        <v>143</v>
      </c>
      <c r="F2702" s="9" t="s">
        <v>42</v>
      </c>
      <c r="G2702" s="9" t="s">
        <v>43</v>
      </c>
      <c r="H2702" s="9" t="s">
        <v>44</v>
      </c>
      <c r="I2702" s="11" t="s">
        <v>334</v>
      </c>
      <c r="J2702" s="9" t="s">
        <v>327</v>
      </c>
      <c r="K2702" s="9" t="s">
        <v>47</v>
      </c>
      <c r="L2702" s="9" t="s">
        <v>305</v>
      </c>
      <c r="M2702" s="9" t="s">
        <v>9276</v>
      </c>
      <c r="N2702" s="9" t="s">
        <v>50</v>
      </c>
      <c r="O2702" s="9" t="s">
        <v>51</v>
      </c>
      <c r="P2702" s="9" t="s">
        <v>336</v>
      </c>
      <c r="Q2702" s="9"/>
      <c r="R2702" s="9"/>
      <c r="S2702" s="9" t="s">
        <v>9277</v>
      </c>
      <c r="T2702" s="9" t="s">
        <v>9278</v>
      </c>
      <c r="U2702" s="9" t="s">
        <v>54</v>
      </c>
      <c r="V2702" s="9" t="s">
        <v>55</v>
      </c>
      <c r="W2702" s="9" t="s">
        <v>55</v>
      </c>
      <c r="X2702" s="12"/>
      <c r="Y2702" s="9" t="s">
        <v>55</v>
      </c>
      <c r="Z2702" s="13"/>
    </row>
    <row r="2703" spans="1:26" ht="32.25" hidden="1" customHeight="1">
      <c r="A2703" s="8">
        <v>2304704</v>
      </c>
      <c r="B2703" s="9" t="s">
        <v>9279</v>
      </c>
      <c r="C2703" s="10">
        <v>45149</v>
      </c>
      <c r="D2703" s="9" t="s">
        <v>57</v>
      </c>
      <c r="E2703" s="9" t="s">
        <v>41</v>
      </c>
      <c r="F2703" s="9" t="s">
        <v>42</v>
      </c>
      <c r="G2703" s="9" t="s">
        <v>43</v>
      </c>
      <c r="H2703" s="9" t="s">
        <v>58</v>
      </c>
      <c r="I2703" s="11" t="s">
        <v>129</v>
      </c>
      <c r="J2703" s="9" t="s">
        <v>130</v>
      </c>
      <c r="K2703" s="9" t="s">
        <v>47</v>
      </c>
      <c r="L2703" s="9" t="s">
        <v>156</v>
      </c>
      <c r="M2703" s="9"/>
      <c r="N2703" s="9" t="s">
        <v>84</v>
      </c>
      <c r="O2703" s="9" t="s">
        <v>51</v>
      </c>
      <c r="P2703" s="9"/>
      <c r="Q2703" s="9"/>
      <c r="R2703" s="9"/>
      <c r="S2703" s="14" t="s">
        <v>9280</v>
      </c>
      <c r="T2703" s="9" t="s">
        <v>9281</v>
      </c>
      <c r="U2703" s="9" t="s">
        <v>54</v>
      </c>
      <c r="V2703" s="9" t="s">
        <v>55</v>
      </c>
      <c r="W2703" s="9" t="s">
        <v>55</v>
      </c>
      <c r="X2703" s="12"/>
      <c r="Y2703" s="9" t="s">
        <v>55</v>
      </c>
      <c r="Z2703" s="13"/>
    </row>
    <row r="2704" spans="1:26" ht="32.25" hidden="1" customHeight="1">
      <c r="A2704" s="8">
        <v>2309813</v>
      </c>
      <c r="B2704" s="9" t="s">
        <v>9282</v>
      </c>
      <c r="C2704" s="10">
        <v>45136</v>
      </c>
      <c r="D2704" s="9" t="s">
        <v>1072</v>
      </c>
      <c r="E2704" s="9" t="s">
        <v>41</v>
      </c>
      <c r="F2704" s="9" t="s">
        <v>42</v>
      </c>
      <c r="G2704" s="9" t="s">
        <v>43</v>
      </c>
      <c r="H2704" s="9" t="s">
        <v>44</v>
      </c>
      <c r="I2704" s="11" t="s">
        <v>45</v>
      </c>
      <c r="J2704" s="9" t="s">
        <v>46</v>
      </c>
      <c r="K2704" s="9" t="s">
        <v>47</v>
      </c>
      <c r="L2704" s="9" t="s">
        <v>2602</v>
      </c>
      <c r="M2704" s="9" t="s">
        <v>2661</v>
      </c>
      <c r="N2704" s="9" t="s">
        <v>84</v>
      </c>
      <c r="O2704" s="9" t="s">
        <v>51</v>
      </c>
      <c r="P2704" s="9"/>
      <c r="Q2704" s="9"/>
      <c r="R2704" s="9" t="s">
        <v>61</v>
      </c>
      <c r="S2704" s="9" t="s">
        <v>9283</v>
      </c>
      <c r="T2704" s="9" t="s">
        <v>9284</v>
      </c>
      <c r="U2704" s="9" t="s">
        <v>54</v>
      </c>
      <c r="V2704" s="9" t="s">
        <v>55</v>
      </c>
      <c r="W2704" s="9" t="s">
        <v>55</v>
      </c>
      <c r="X2704" s="9" t="s">
        <v>64</v>
      </c>
      <c r="Y2704" s="9" t="s">
        <v>65</v>
      </c>
      <c r="Z2704" s="13"/>
    </row>
    <row r="2705" spans="1:26" ht="32.25" hidden="1" customHeight="1">
      <c r="A2705" s="8">
        <v>2300141</v>
      </c>
      <c r="B2705" s="9" t="s">
        <v>9285</v>
      </c>
      <c r="C2705" s="10">
        <v>45149</v>
      </c>
      <c r="D2705" s="9" t="s">
        <v>261</v>
      </c>
      <c r="E2705" s="9" t="s">
        <v>68</v>
      </c>
      <c r="F2705" s="9" t="s">
        <v>262</v>
      </c>
      <c r="G2705" s="9" t="s">
        <v>43</v>
      </c>
      <c r="H2705" s="9" t="s">
        <v>44</v>
      </c>
      <c r="I2705" s="11" t="s">
        <v>648</v>
      </c>
      <c r="J2705" s="9" t="s">
        <v>649</v>
      </c>
      <c r="K2705" s="9" t="s">
        <v>47</v>
      </c>
      <c r="L2705" s="9" t="s">
        <v>290</v>
      </c>
      <c r="M2705" s="9" t="s">
        <v>9286</v>
      </c>
      <c r="N2705" s="9" t="s">
        <v>50</v>
      </c>
      <c r="O2705" s="9" t="s">
        <v>51</v>
      </c>
      <c r="P2705" s="9"/>
      <c r="Q2705" s="9"/>
      <c r="R2705" s="9" t="s">
        <v>61</v>
      </c>
      <c r="S2705" s="14" t="s">
        <v>9287</v>
      </c>
      <c r="T2705" s="9" t="s">
        <v>9288</v>
      </c>
      <c r="U2705" s="9" t="s">
        <v>262</v>
      </c>
      <c r="V2705" s="9" t="s">
        <v>9289</v>
      </c>
      <c r="W2705" s="9" t="s">
        <v>115</v>
      </c>
      <c r="X2705" s="12" t="s">
        <v>389</v>
      </c>
      <c r="Y2705" s="9" t="s">
        <v>390</v>
      </c>
      <c r="Z2705" s="13"/>
    </row>
    <row r="2706" spans="1:26" ht="32.25" hidden="1" customHeight="1">
      <c r="A2706" s="8">
        <v>2302623</v>
      </c>
      <c r="B2706" s="9" t="s">
        <v>9290</v>
      </c>
      <c r="C2706" s="10">
        <v>45149</v>
      </c>
      <c r="D2706" s="9" t="s">
        <v>57</v>
      </c>
      <c r="E2706" s="9" t="s">
        <v>295</v>
      </c>
      <c r="F2706" s="9" t="s">
        <v>42</v>
      </c>
      <c r="G2706" s="9" t="s">
        <v>43</v>
      </c>
      <c r="H2706" s="9" t="s">
        <v>58</v>
      </c>
      <c r="I2706" s="11" t="s">
        <v>406</v>
      </c>
      <c r="J2706" s="9" t="s">
        <v>407</v>
      </c>
      <c r="K2706" s="9" t="s">
        <v>47</v>
      </c>
      <c r="L2706" s="9" t="s">
        <v>48</v>
      </c>
      <c r="M2706" s="9" t="s">
        <v>4076</v>
      </c>
      <c r="N2706" s="9" t="s">
        <v>84</v>
      </c>
      <c r="O2706" s="9" t="s">
        <v>51</v>
      </c>
      <c r="P2706" s="9"/>
      <c r="Q2706" s="9"/>
      <c r="R2706" s="9"/>
      <c r="S2706" s="14" t="s">
        <v>9291</v>
      </c>
      <c r="T2706" s="9" t="s">
        <v>9292</v>
      </c>
      <c r="U2706" s="9" t="s">
        <v>54</v>
      </c>
      <c r="V2706" s="9" t="s">
        <v>55</v>
      </c>
      <c r="W2706" s="9" t="s">
        <v>55</v>
      </c>
      <c r="X2706" s="12"/>
      <c r="Y2706" s="9" t="s">
        <v>55</v>
      </c>
      <c r="Z2706" s="13"/>
    </row>
    <row r="2707" spans="1:26" ht="32.25" hidden="1" customHeight="1">
      <c r="A2707" s="15">
        <v>2315612</v>
      </c>
      <c r="B2707" s="9" t="s">
        <v>9293</v>
      </c>
      <c r="C2707" s="10">
        <v>45156</v>
      </c>
      <c r="D2707" s="9" t="s">
        <v>9294</v>
      </c>
      <c r="E2707" s="9" t="s">
        <v>89</v>
      </c>
      <c r="F2707" s="9" t="s">
        <v>262</v>
      </c>
      <c r="G2707" s="9" t="s">
        <v>43</v>
      </c>
      <c r="H2707" s="9" t="s">
        <v>44</v>
      </c>
      <c r="I2707" s="11" t="s">
        <v>1101</v>
      </c>
      <c r="J2707" s="9" t="s">
        <v>1102</v>
      </c>
      <c r="K2707" s="9" t="s">
        <v>2807</v>
      </c>
      <c r="L2707" s="9" t="s">
        <v>2807</v>
      </c>
      <c r="M2707" s="9" t="s">
        <v>9295</v>
      </c>
      <c r="N2707" s="9" t="s">
        <v>50</v>
      </c>
      <c r="O2707" s="9" t="s">
        <v>187</v>
      </c>
      <c r="P2707" s="9"/>
      <c r="Q2707" s="9"/>
      <c r="R2707" s="9" t="s">
        <v>61</v>
      </c>
      <c r="S2707" s="14" t="s">
        <v>9296</v>
      </c>
      <c r="T2707" s="9" t="s">
        <v>9297</v>
      </c>
      <c r="U2707" s="9" t="s">
        <v>262</v>
      </c>
      <c r="V2707" s="9" t="s">
        <v>55</v>
      </c>
      <c r="W2707" s="9" t="s">
        <v>55</v>
      </c>
      <c r="X2707" s="12" t="s">
        <v>389</v>
      </c>
      <c r="Y2707" s="9" t="s">
        <v>390</v>
      </c>
      <c r="Z2707" s="13"/>
    </row>
    <row r="2708" spans="1:26" ht="32.25" hidden="1" customHeight="1">
      <c r="A2708" s="15">
        <v>2315613</v>
      </c>
      <c r="B2708" s="9" t="s">
        <v>9298</v>
      </c>
      <c r="C2708" s="10">
        <v>45156</v>
      </c>
      <c r="D2708" s="9" t="s">
        <v>9294</v>
      </c>
      <c r="E2708" s="9" t="s">
        <v>41</v>
      </c>
      <c r="F2708" s="9" t="s">
        <v>262</v>
      </c>
      <c r="G2708" s="9" t="s">
        <v>43</v>
      </c>
      <c r="H2708" s="9" t="s">
        <v>44</v>
      </c>
      <c r="I2708" s="11" t="s">
        <v>1553</v>
      </c>
      <c r="J2708" s="9" t="s">
        <v>1554</v>
      </c>
      <c r="K2708" s="9" t="s">
        <v>2795</v>
      </c>
      <c r="L2708" s="9" t="s">
        <v>2795</v>
      </c>
      <c r="M2708" s="9" t="s">
        <v>9299</v>
      </c>
      <c r="N2708" s="9" t="s">
        <v>50</v>
      </c>
      <c r="O2708" s="9" t="s">
        <v>187</v>
      </c>
      <c r="P2708" s="9"/>
      <c r="Q2708" s="9"/>
      <c r="R2708" s="9" t="s">
        <v>61</v>
      </c>
      <c r="S2708" s="14" t="s">
        <v>9300</v>
      </c>
      <c r="T2708" s="9" t="s">
        <v>2798</v>
      </c>
      <c r="U2708" s="9" t="s">
        <v>262</v>
      </c>
      <c r="V2708" s="9" t="s">
        <v>55</v>
      </c>
      <c r="W2708" s="9" t="s">
        <v>55</v>
      </c>
      <c r="X2708" s="12" t="s">
        <v>389</v>
      </c>
      <c r="Y2708" s="9" t="s">
        <v>390</v>
      </c>
      <c r="Z2708" s="13"/>
    </row>
    <row r="2709" spans="1:26" ht="32.25" hidden="1" customHeight="1">
      <c r="A2709" s="15">
        <v>2315641</v>
      </c>
      <c r="B2709" s="9" t="s">
        <v>9301</v>
      </c>
      <c r="C2709" s="10">
        <v>45156</v>
      </c>
      <c r="D2709" s="9" t="s">
        <v>9302</v>
      </c>
      <c r="E2709" s="9" t="s">
        <v>143</v>
      </c>
      <c r="F2709" s="9" t="s">
        <v>80</v>
      </c>
      <c r="G2709" s="9" t="s">
        <v>43</v>
      </c>
      <c r="H2709" s="9" t="s">
        <v>44</v>
      </c>
      <c r="I2709" s="11" t="s">
        <v>326</v>
      </c>
      <c r="J2709" s="9" t="s">
        <v>327</v>
      </c>
      <c r="K2709" s="9" t="s">
        <v>250</v>
      </c>
      <c r="L2709" s="9" t="s">
        <v>250</v>
      </c>
      <c r="M2709" s="9" t="s">
        <v>3065</v>
      </c>
      <c r="N2709" s="9" t="s">
        <v>50</v>
      </c>
      <c r="O2709" s="9" t="s">
        <v>187</v>
      </c>
      <c r="P2709" s="9" t="s">
        <v>522</v>
      </c>
      <c r="Q2709" s="9"/>
      <c r="R2709" s="9" t="s">
        <v>61</v>
      </c>
      <c r="S2709" s="14" t="s">
        <v>9296</v>
      </c>
      <c r="T2709" s="9" t="s">
        <v>9303</v>
      </c>
      <c r="U2709" s="9" t="s">
        <v>54</v>
      </c>
      <c r="V2709" s="9" t="s">
        <v>55</v>
      </c>
      <c r="W2709" s="9" t="s">
        <v>55</v>
      </c>
      <c r="X2709" s="12" t="s">
        <v>150</v>
      </c>
      <c r="Y2709" s="9" t="s">
        <v>151</v>
      </c>
      <c r="Z2709" s="13"/>
    </row>
    <row r="2710" spans="1:26" ht="32.25" hidden="1" customHeight="1">
      <c r="A2710" s="15">
        <v>2315528</v>
      </c>
      <c r="B2710" s="9" t="s">
        <v>9304</v>
      </c>
      <c r="C2710" s="10">
        <v>45159</v>
      </c>
      <c r="D2710" s="9" t="s">
        <v>9305</v>
      </c>
      <c r="E2710" s="9" t="s">
        <v>41</v>
      </c>
      <c r="F2710" s="9" t="s">
        <v>262</v>
      </c>
      <c r="G2710" s="9" t="s">
        <v>43</v>
      </c>
      <c r="H2710" s="9" t="s">
        <v>44</v>
      </c>
      <c r="I2710" s="11" t="s">
        <v>1553</v>
      </c>
      <c r="J2710" s="9" t="s">
        <v>1554</v>
      </c>
      <c r="K2710" s="9" t="s">
        <v>9306</v>
      </c>
      <c r="L2710" s="9" t="s">
        <v>9306</v>
      </c>
      <c r="M2710" s="9" t="s">
        <v>9307</v>
      </c>
      <c r="N2710" s="9" t="s">
        <v>50</v>
      </c>
      <c r="O2710" s="9" t="s">
        <v>187</v>
      </c>
      <c r="P2710" s="9"/>
      <c r="Q2710" s="9"/>
      <c r="R2710" s="9" t="s">
        <v>61</v>
      </c>
      <c r="S2710" s="14">
        <v>79851684516</v>
      </c>
      <c r="T2710" s="16" t="s">
        <v>9308</v>
      </c>
      <c r="U2710" s="9" t="s">
        <v>262</v>
      </c>
      <c r="V2710" s="9" t="s">
        <v>55</v>
      </c>
      <c r="W2710" s="9" t="s">
        <v>55</v>
      </c>
      <c r="X2710" s="12" t="s">
        <v>389</v>
      </c>
      <c r="Y2710" s="9" t="s">
        <v>390</v>
      </c>
      <c r="Z2710" s="13"/>
    </row>
    <row r="2711" spans="1:26" ht="32.25" hidden="1" customHeight="1">
      <c r="A2711" s="15">
        <v>2315543</v>
      </c>
      <c r="B2711" s="9" t="s">
        <v>9309</v>
      </c>
      <c r="C2711" s="10">
        <v>45159</v>
      </c>
      <c r="D2711" s="9" t="s">
        <v>9305</v>
      </c>
      <c r="E2711" s="9" t="s">
        <v>68</v>
      </c>
      <c r="F2711" s="9" t="s">
        <v>262</v>
      </c>
      <c r="G2711" s="9" t="s">
        <v>43</v>
      </c>
      <c r="H2711" s="9" t="s">
        <v>44</v>
      </c>
      <c r="I2711" s="11" t="s">
        <v>648</v>
      </c>
      <c r="J2711" s="9" t="s">
        <v>649</v>
      </c>
      <c r="K2711" s="9" t="s">
        <v>9310</v>
      </c>
      <c r="L2711" s="9" t="s">
        <v>9310</v>
      </c>
      <c r="M2711" s="9" t="s">
        <v>9311</v>
      </c>
      <c r="N2711" s="9" t="s">
        <v>50</v>
      </c>
      <c r="O2711" s="9" t="s">
        <v>187</v>
      </c>
      <c r="P2711" s="9"/>
      <c r="Q2711" s="9"/>
      <c r="R2711" s="9" t="s">
        <v>61</v>
      </c>
      <c r="S2711" s="14">
        <v>79225144300</v>
      </c>
      <c r="T2711" s="16" t="s">
        <v>9312</v>
      </c>
      <c r="U2711" s="9" t="s">
        <v>262</v>
      </c>
      <c r="V2711" s="9" t="s">
        <v>55</v>
      </c>
      <c r="W2711" s="9" t="s">
        <v>55</v>
      </c>
      <c r="X2711" s="12" t="s">
        <v>389</v>
      </c>
      <c r="Y2711" s="9" t="s">
        <v>390</v>
      </c>
      <c r="Z2711" s="13"/>
    </row>
    <row r="2712" spans="1:26" ht="32.25" hidden="1" customHeight="1">
      <c r="A2712" s="15">
        <v>2315529</v>
      </c>
      <c r="B2712" s="9" t="s">
        <v>9313</v>
      </c>
      <c r="C2712" s="10">
        <v>45159</v>
      </c>
      <c r="D2712" s="9" t="s">
        <v>9305</v>
      </c>
      <c r="E2712" s="9" t="s">
        <v>41</v>
      </c>
      <c r="F2712" s="9" t="s">
        <v>262</v>
      </c>
      <c r="G2712" s="9" t="s">
        <v>43</v>
      </c>
      <c r="H2712" s="9" t="s">
        <v>44</v>
      </c>
      <c r="I2712" s="11" t="s">
        <v>2449</v>
      </c>
      <c r="J2712" s="9" t="s">
        <v>2450</v>
      </c>
      <c r="K2712" s="9" t="s">
        <v>3203</v>
      </c>
      <c r="L2712" s="9" t="s">
        <v>3203</v>
      </c>
      <c r="M2712" s="9" t="s">
        <v>9314</v>
      </c>
      <c r="N2712" s="9" t="s">
        <v>50</v>
      </c>
      <c r="O2712" s="9" t="s">
        <v>187</v>
      </c>
      <c r="P2712" s="9"/>
      <c r="Q2712" s="9"/>
      <c r="R2712" s="9" t="s">
        <v>61</v>
      </c>
      <c r="S2712" s="14">
        <v>79805272937</v>
      </c>
      <c r="T2712" s="16" t="s">
        <v>9315</v>
      </c>
      <c r="U2712" s="9" t="s">
        <v>262</v>
      </c>
      <c r="V2712" s="9" t="s">
        <v>55</v>
      </c>
      <c r="W2712" s="9" t="s">
        <v>55</v>
      </c>
      <c r="X2712" s="12" t="s">
        <v>389</v>
      </c>
      <c r="Y2712" s="9" t="s">
        <v>390</v>
      </c>
      <c r="Z2712" s="13"/>
    </row>
  </sheetData>
  <autoFilter ref="A1:AA2712" xr:uid="{00000000-0009-0000-0000-000000000000}">
    <filterColumn colId="5">
      <filters>
        <filter val="Подготовительное отделение"/>
      </filters>
    </filterColumn>
  </autoFilter>
  <dataValidations count="1">
    <dataValidation type="list" allowBlank="1" showErrorMessage="1" sqref="X2:X2712" xr:uid="{00000000-0002-0000-0000-000000000000}">
      <formula1>"Г-1,Г-2,ДК,ДСГ,М-1,М-2,М-3,М-4,ПУСТО"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74"/>
  <sheetViews>
    <sheetView workbookViewId="0">
      <pane ySplit="2" topLeftCell="A3" activePane="bottomLeft" state="frozen"/>
      <selection pane="bottomLeft" activeCell="B4" sqref="B4"/>
    </sheetView>
  </sheetViews>
  <sheetFormatPr defaultColWidth="12.5546875" defaultRowHeight="15.75" customHeight="1"/>
  <sheetData>
    <row r="1" spans="1:12" ht="13.2">
      <c r="A1" s="80" t="s">
        <v>9316</v>
      </c>
      <c r="B1" s="81"/>
      <c r="C1" s="81"/>
      <c r="D1" s="81"/>
      <c r="E1" s="81"/>
      <c r="F1" s="81"/>
      <c r="G1" s="81"/>
      <c r="H1" s="81"/>
      <c r="I1" s="81"/>
      <c r="J1" s="81"/>
      <c r="K1" s="23"/>
      <c r="L1" s="23"/>
    </row>
    <row r="2" spans="1:12" ht="26.25" customHeight="1">
      <c r="A2" s="24"/>
      <c r="B2" s="24" t="s">
        <v>196</v>
      </c>
      <c r="C2" s="24" t="s">
        <v>64</v>
      </c>
      <c r="D2" s="24" t="s">
        <v>389</v>
      </c>
      <c r="E2" s="24" t="s">
        <v>76</v>
      </c>
      <c r="F2" s="24" t="s">
        <v>98</v>
      </c>
      <c r="G2" s="24" t="s">
        <v>319</v>
      </c>
      <c r="H2" s="24" t="s">
        <v>150</v>
      </c>
      <c r="I2" s="24" t="s">
        <v>171</v>
      </c>
      <c r="J2" s="24" t="s">
        <v>9317</v>
      </c>
      <c r="K2" s="23"/>
      <c r="L2" s="23"/>
    </row>
    <row r="3" spans="1:12" ht="13.2">
      <c r="A3" s="25" t="s">
        <v>262</v>
      </c>
      <c r="B3" s="26">
        <v>3</v>
      </c>
      <c r="C3" s="26">
        <v>2</v>
      </c>
      <c r="D3" s="26">
        <v>75</v>
      </c>
      <c r="E3" s="26">
        <v>9</v>
      </c>
      <c r="F3" s="26">
        <v>4</v>
      </c>
      <c r="G3" s="26">
        <v>0</v>
      </c>
      <c r="H3" s="26">
        <v>0</v>
      </c>
      <c r="I3" s="26">
        <v>3</v>
      </c>
      <c r="J3" s="26">
        <v>96</v>
      </c>
      <c r="K3" s="23"/>
      <c r="L3" s="23"/>
    </row>
    <row r="4" spans="1:12" ht="13.2">
      <c r="A4" s="27" t="s">
        <v>68</v>
      </c>
      <c r="B4" s="28">
        <v>3</v>
      </c>
      <c r="C4" s="28">
        <v>1</v>
      </c>
      <c r="D4" s="28">
        <v>16</v>
      </c>
      <c r="E4" s="28">
        <v>9</v>
      </c>
      <c r="F4" s="28">
        <v>1</v>
      </c>
      <c r="G4" s="28">
        <v>0</v>
      </c>
      <c r="H4" s="28">
        <v>0</v>
      </c>
      <c r="I4" s="28">
        <v>0</v>
      </c>
      <c r="J4" s="29">
        <v>30</v>
      </c>
      <c r="K4" s="23"/>
      <c r="L4" s="23"/>
    </row>
    <row r="5" spans="1:12" ht="13.2">
      <c r="A5" s="30" t="s">
        <v>153</v>
      </c>
      <c r="B5" s="28">
        <v>0</v>
      </c>
      <c r="C5" s="28">
        <v>0</v>
      </c>
      <c r="D5" s="28">
        <v>2</v>
      </c>
      <c r="E5" s="28">
        <v>0</v>
      </c>
      <c r="F5" s="28">
        <v>0</v>
      </c>
      <c r="G5" s="28">
        <v>0</v>
      </c>
      <c r="H5" s="28">
        <v>0</v>
      </c>
      <c r="I5" s="28">
        <v>1</v>
      </c>
      <c r="J5" s="29">
        <v>3</v>
      </c>
      <c r="K5" s="23"/>
      <c r="L5" s="23"/>
    </row>
    <row r="6" spans="1:12" ht="13.2">
      <c r="A6" s="30" t="s">
        <v>143</v>
      </c>
      <c r="B6" s="28">
        <v>0</v>
      </c>
      <c r="C6" s="28">
        <v>0</v>
      </c>
      <c r="D6" s="28">
        <v>35</v>
      </c>
      <c r="E6" s="28">
        <v>0</v>
      </c>
      <c r="F6" s="28">
        <v>0</v>
      </c>
      <c r="G6" s="28">
        <v>0</v>
      </c>
      <c r="H6" s="28">
        <v>0</v>
      </c>
      <c r="I6" s="28">
        <v>1</v>
      </c>
      <c r="J6" s="29">
        <v>36</v>
      </c>
      <c r="K6" s="23"/>
      <c r="L6" s="23"/>
    </row>
    <row r="7" spans="1:12" ht="13.2">
      <c r="A7" s="30" t="s">
        <v>41</v>
      </c>
      <c r="B7" s="28">
        <v>0</v>
      </c>
      <c r="C7" s="28">
        <v>1</v>
      </c>
      <c r="D7" s="28">
        <v>3</v>
      </c>
      <c r="E7" s="28">
        <v>0</v>
      </c>
      <c r="F7" s="28">
        <v>0</v>
      </c>
      <c r="G7" s="28">
        <v>0</v>
      </c>
      <c r="H7" s="28">
        <v>0</v>
      </c>
      <c r="I7" s="28">
        <v>0</v>
      </c>
      <c r="J7" s="29">
        <v>4</v>
      </c>
      <c r="K7" s="23"/>
      <c r="L7" s="23"/>
    </row>
    <row r="8" spans="1:12" ht="13.2">
      <c r="A8" s="30" t="s">
        <v>89</v>
      </c>
      <c r="B8" s="28">
        <v>0</v>
      </c>
      <c r="C8" s="28">
        <v>0</v>
      </c>
      <c r="D8" s="28">
        <v>19</v>
      </c>
      <c r="E8" s="28">
        <v>0</v>
      </c>
      <c r="F8" s="28">
        <v>3</v>
      </c>
      <c r="G8" s="28">
        <v>0</v>
      </c>
      <c r="H8" s="28">
        <v>0</v>
      </c>
      <c r="I8" s="28">
        <v>1</v>
      </c>
      <c r="J8" s="29">
        <v>23</v>
      </c>
      <c r="K8" s="23"/>
      <c r="L8" s="23"/>
    </row>
    <row r="9" spans="1:12" ht="13.2">
      <c r="A9" s="30" t="s">
        <v>295</v>
      </c>
      <c r="B9" s="28">
        <v>0</v>
      </c>
      <c r="C9" s="28">
        <v>0</v>
      </c>
      <c r="D9" s="28">
        <v>0</v>
      </c>
      <c r="E9" s="28">
        <v>0</v>
      </c>
      <c r="F9" s="28">
        <v>0</v>
      </c>
      <c r="G9" s="28">
        <v>0</v>
      </c>
      <c r="H9" s="28">
        <v>0</v>
      </c>
      <c r="I9" s="28">
        <v>0</v>
      </c>
      <c r="J9" s="29">
        <v>0</v>
      </c>
      <c r="K9" s="23"/>
      <c r="L9" s="23"/>
    </row>
    <row r="10" spans="1:12" ht="13.2">
      <c r="A10" s="30" t="s">
        <v>9318</v>
      </c>
      <c r="B10" s="28">
        <v>0</v>
      </c>
      <c r="C10" s="28">
        <v>0</v>
      </c>
      <c r="D10" s="28">
        <v>0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9">
        <v>0</v>
      </c>
      <c r="K10" s="23"/>
      <c r="L10" s="23"/>
    </row>
    <row r="11" spans="1:12" ht="13.2">
      <c r="A11" s="31" t="s">
        <v>42</v>
      </c>
      <c r="B11" s="26">
        <v>119</v>
      </c>
      <c r="C11" s="26">
        <v>145</v>
      </c>
      <c r="D11" s="26">
        <v>0</v>
      </c>
      <c r="E11" s="26">
        <v>14</v>
      </c>
      <c r="F11" s="26">
        <v>65</v>
      </c>
      <c r="G11" s="26">
        <v>126</v>
      </c>
      <c r="H11" s="26">
        <v>95</v>
      </c>
      <c r="I11" s="26">
        <v>116</v>
      </c>
      <c r="J11" s="26">
        <v>680</v>
      </c>
      <c r="K11" s="23"/>
      <c r="L11" s="23"/>
    </row>
    <row r="12" spans="1:12" ht="13.2">
      <c r="A12" s="27" t="s">
        <v>68</v>
      </c>
      <c r="B12" s="28">
        <v>0</v>
      </c>
      <c r="C12" s="28">
        <v>0</v>
      </c>
      <c r="D12" s="28">
        <v>0</v>
      </c>
      <c r="E12" s="28">
        <v>14</v>
      </c>
      <c r="F12" s="28">
        <v>0</v>
      </c>
      <c r="G12" s="28">
        <v>0</v>
      </c>
      <c r="H12" s="28">
        <v>0</v>
      </c>
      <c r="I12" s="28">
        <v>0</v>
      </c>
      <c r="J12" s="29">
        <v>14</v>
      </c>
      <c r="K12" s="23"/>
      <c r="L12" s="23"/>
    </row>
    <row r="13" spans="1:12" ht="13.2">
      <c r="A13" s="27" t="s">
        <v>153</v>
      </c>
      <c r="B13" s="28">
        <v>0</v>
      </c>
      <c r="C13" s="28">
        <v>0</v>
      </c>
      <c r="D13" s="28">
        <v>0</v>
      </c>
      <c r="E13" s="28">
        <v>0</v>
      </c>
      <c r="F13" s="28">
        <v>0</v>
      </c>
      <c r="G13" s="28">
        <v>1</v>
      </c>
      <c r="H13" s="28">
        <v>0</v>
      </c>
      <c r="I13" s="28">
        <v>75</v>
      </c>
      <c r="J13" s="29">
        <v>76</v>
      </c>
      <c r="K13" s="23"/>
      <c r="L13" s="23"/>
    </row>
    <row r="14" spans="1:12" ht="13.2">
      <c r="A14" s="27" t="s">
        <v>143</v>
      </c>
      <c r="B14" s="28">
        <v>0</v>
      </c>
      <c r="C14" s="28">
        <v>0</v>
      </c>
      <c r="D14" s="28">
        <v>0</v>
      </c>
      <c r="E14" s="28">
        <v>0</v>
      </c>
      <c r="F14" s="28">
        <v>0</v>
      </c>
      <c r="G14" s="28">
        <v>2</v>
      </c>
      <c r="H14" s="28">
        <v>95</v>
      </c>
      <c r="I14" s="28">
        <v>39</v>
      </c>
      <c r="J14" s="29">
        <v>136</v>
      </c>
      <c r="K14" s="23"/>
      <c r="L14" s="23"/>
    </row>
    <row r="15" spans="1:12" ht="13.2">
      <c r="A15" s="27" t="s">
        <v>41</v>
      </c>
      <c r="B15" s="28">
        <v>119</v>
      </c>
      <c r="C15" s="28">
        <v>145</v>
      </c>
      <c r="D15" s="28">
        <v>0</v>
      </c>
      <c r="E15" s="28">
        <v>0</v>
      </c>
      <c r="F15" s="28">
        <v>6</v>
      </c>
      <c r="G15" s="28">
        <v>18</v>
      </c>
      <c r="H15" s="28">
        <v>0</v>
      </c>
      <c r="I15" s="28">
        <v>0</v>
      </c>
      <c r="J15" s="29">
        <v>288</v>
      </c>
      <c r="K15" s="23"/>
      <c r="L15" s="23"/>
    </row>
    <row r="16" spans="1:12" ht="13.2">
      <c r="A16" s="27" t="s">
        <v>89</v>
      </c>
      <c r="B16" s="28">
        <v>0</v>
      </c>
      <c r="C16" s="28">
        <v>0</v>
      </c>
      <c r="D16" s="28">
        <v>0</v>
      </c>
      <c r="E16" s="28">
        <v>0</v>
      </c>
      <c r="F16" s="28">
        <v>59</v>
      </c>
      <c r="G16" s="28">
        <v>1</v>
      </c>
      <c r="H16" s="28">
        <v>0</v>
      </c>
      <c r="I16" s="28">
        <v>2</v>
      </c>
      <c r="J16" s="29">
        <v>62</v>
      </c>
      <c r="K16" s="23"/>
      <c r="L16" s="23"/>
    </row>
    <row r="17" spans="1:12" ht="13.2">
      <c r="A17" s="27" t="s">
        <v>295</v>
      </c>
      <c r="B17" s="28">
        <v>0</v>
      </c>
      <c r="C17" s="28">
        <v>0</v>
      </c>
      <c r="D17" s="28">
        <v>0</v>
      </c>
      <c r="E17" s="28">
        <v>0</v>
      </c>
      <c r="F17" s="28">
        <v>0</v>
      </c>
      <c r="G17" s="28">
        <v>104</v>
      </c>
      <c r="H17" s="28">
        <v>0</v>
      </c>
      <c r="I17" s="28">
        <v>0</v>
      </c>
      <c r="J17" s="29">
        <v>104</v>
      </c>
      <c r="K17" s="23"/>
      <c r="L17" s="23"/>
    </row>
    <row r="18" spans="1:12" ht="13.2">
      <c r="A18" s="31" t="s">
        <v>80</v>
      </c>
      <c r="B18" s="26">
        <v>43</v>
      </c>
      <c r="C18" s="26">
        <v>70</v>
      </c>
      <c r="D18" s="26">
        <v>15</v>
      </c>
      <c r="E18" s="26">
        <v>24</v>
      </c>
      <c r="F18" s="26">
        <v>163</v>
      </c>
      <c r="G18" s="26">
        <v>40</v>
      </c>
      <c r="H18" s="26">
        <v>91</v>
      </c>
      <c r="I18" s="26">
        <v>48</v>
      </c>
      <c r="J18" s="26">
        <v>494</v>
      </c>
      <c r="K18" s="23"/>
      <c r="L18" s="23"/>
    </row>
    <row r="19" spans="1:12" ht="13.2">
      <c r="A19" s="27" t="s">
        <v>68</v>
      </c>
      <c r="B19" s="28">
        <v>42</v>
      </c>
      <c r="C19" s="28">
        <v>0</v>
      </c>
      <c r="D19" s="28">
        <v>0</v>
      </c>
      <c r="E19" s="28">
        <v>18</v>
      </c>
      <c r="F19" s="28">
        <v>1</v>
      </c>
      <c r="G19" s="28">
        <v>3</v>
      </c>
      <c r="H19" s="28">
        <v>1</v>
      </c>
      <c r="I19" s="28">
        <v>0</v>
      </c>
      <c r="J19" s="29">
        <v>65</v>
      </c>
      <c r="K19" s="23"/>
      <c r="L19" s="23"/>
    </row>
    <row r="20" spans="1:12" ht="13.2">
      <c r="A20" s="27" t="s">
        <v>153</v>
      </c>
      <c r="B20" s="28">
        <v>0</v>
      </c>
      <c r="C20" s="28">
        <v>4</v>
      </c>
      <c r="D20" s="28">
        <v>0</v>
      </c>
      <c r="E20" s="28">
        <v>1</v>
      </c>
      <c r="F20" s="28">
        <v>0</v>
      </c>
      <c r="G20" s="28">
        <v>7</v>
      </c>
      <c r="H20" s="28">
        <v>0</v>
      </c>
      <c r="I20" s="28">
        <v>0</v>
      </c>
      <c r="J20" s="29">
        <v>12</v>
      </c>
      <c r="K20" s="23"/>
      <c r="L20" s="23"/>
    </row>
    <row r="21" spans="1:12" ht="13.2">
      <c r="A21" s="27" t="s">
        <v>143</v>
      </c>
      <c r="B21" s="28">
        <v>1</v>
      </c>
      <c r="C21" s="28">
        <v>0</v>
      </c>
      <c r="D21" s="28">
        <v>10</v>
      </c>
      <c r="E21" s="28">
        <v>0</v>
      </c>
      <c r="F21" s="28">
        <v>0</v>
      </c>
      <c r="G21" s="28">
        <v>0</v>
      </c>
      <c r="H21" s="28">
        <v>70</v>
      </c>
      <c r="I21" s="28">
        <v>38</v>
      </c>
      <c r="J21" s="29">
        <v>119</v>
      </c>
      <c r="K21" s="23"/>
      <c r="L21" s="23"/>
    </row>
    <row r="22" spans="1:12" ht="13.2">
      <c r="A22" s="27" t="s">
        <v>41</v>
      </c>
      <c r="B22" s="28">
        <v>0</v>
      </c>
      <c r="C22" s="28">
        <v>64</v>
      </c>
      <c r="D22" s="28">
        <v>4</v>
      </c>
      <c r="E22" s="28">
        <v>3</v>
      </c>
      <c r="F22" s="28">
        <v>0</v>
      </c>
      <c r="G22" s="28">
        <v>5</v>
      </c>
      <c r="H22" s="28">
        <v>18</v>
      </c>
      <c r="I22" s="28">
        <v>2</v>
      </c>
      <c r="J22" s="29">
        <v>96</v>
      </c>
      <c r="K22" s="23"/>
      <c r="L22" s="23"/>
    </row>
    <row r="23" spans="1:12" ht="13.2">
      <c r="A23" s="27" t="s">
        <v>89</v>
      </c>
      <c r="B23" s="28">
        <v>0</v>
      </c>
      <c r="C23" s="28">
        <v>2</v>
      </c>
      <c r="D23" s="28">
        <v>1</v>
      </c>
      <c r="E23" s="28">
        <v>2</v>
      </c>
      <c r="F23" s="28">
        <v>162</v>
      </c>
      <c r="G23" s="28">
        <v>12</v>
      </c>
      <c r="H23" s="28">
        <v>2</v>
      </c>
      <c r="I23" s="28">
        <v>8</v>
      </c>
      <c r="J23" s="29">
        <v>189</v>
      </c>
      <c r="K23" s="23"/>
      <c r="L23" s="23"/>
    </row>
    <row r="24" spans="1:12" ht="13.2">
      <c r="A24" s="27" t="s">
        <v>295</v>
      </c>
      <c r="B24" s="28">
        <v>0</v>
      </c>
      <c r="C24" s="28">
        <v>0</v>
      </c>
      <c r="D24" s="28">
        <v>0</v>
      </c>
      <c r="E24" s="28">
        <v>0</v>
      </c>
      <c r="F24" s="28">
        <v>0</v>
      </c>
      <c r="G24" s="28">
        <v>13</v>
      </c>
      <c r="H24" s="28">
        <v>0</v>
      </c>
      <c r="I24" s="28">
        <v>0</v>
      </c>
      <c r="J24" s="29">
        <v>13</v>
      </c>
      <c r="K24" s="23"/>
      <c r="L24" s="23"/>
    </row>
    <row r="25" spans="1:12" ht="13.2">
      <c r="A25" s="31" t="s">
        <v>135</v>
      </c>
      <c r="B25" s="26">
        <v>1</v>
      </c>
      <c r="C25" s="26">
        <v>0</v>
      </c>
      <c r="D25" s="26">
        <v>0</v>
      </c>
      <c r="E25" s="26">
        <v>129</v>
      </c>
      <c r="F25" s="26">
        <v>0</v>
      </c>
      <c r="G25" s="26">
        <v>0</v>
      </c>
      <c r="H25" s="26">
        <v>0</v>
      </c>
      <c r="I25" s="26">
        <v>0</v>
      </c>
      <c r="J25" s="26">
        <v>130</v>
      </c>
      <c r="K25" s="23"/>
      <c r="L25" s="23"/>
    </row>
    <row r="26" spans="1:12" ht="13.2">
      <c r="A26" s="27" t="s">
        <v>68</v>
      </c>
      <c r="B26" s="28">
        <v>1</v>
      </c>
      <c r="C26" s="28">
        <v>0</v>
      </c>
      <c r="D26" s="28">
        <v>0</v>
      </c>
      <c r="E26" s="28">
        <v>129</v>
      </c>
      <c r="F26" s="28">
        <v>0</v>
      </c>
      <c r="G26" s="28">
        <v>0</v>
      </c>
      <c r="H26" s="28">
        <v>0</v>
      </c>
      <c r="I26" s="28">
        <v>0</v>
      </c>
      <c r="J26" s="29">
        <v>130</v>
      </c>
      <c r="K26" s="23"/>
      <c r="L26" s="23"/>
    </row>
    <row r="27" spans="1:12" ht="13.2">
      <c r="A27" s="27" t="s">
        <v>153</v>
      </c>
      <c r="B27" s="28">
        <v>0</v>
      </c>
      <c r="C27" s="28">
        <v>0</v>
      </c>
      <c r="D27" s="28">
        <v>0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9">
        <v>0</v>
      </c>
      <c r="K27" s="23"/>
      <c r="L27" s="23"/>
    </row>
    <row r="28" spans="1:12" ht="13.2">
      <c r="A28" s="27" t="s">
        <v>143</v>
      </c>
      <c r="B28" s="28">
        <v>0</v>
      </c>
      <c r="C28" s="28">
        <v>0</v>
      </c>
      <c r="D28" s="28">
        <v>0</v>
      </c>
      <c r="E28" s="28">
        <v>0</v>
      </c>
      <c r="F28" s="28">
        <v>0</v>
      </c>
      <c r="G28" s="28">
        <v>0</v>
      </c>
      <c r="H28" s="28">
        <v>0</v>
      </c>
      <c r="I28" s="28">
        <v>0</v>
      </c>
      <c r="J28" s="29">
        <v>0</v>
      </c>
      <c r="K28" s="23"/>
      <c r="L28" s="23"/>
    </row>
    <row r="29" spans="1:12" ht="13.2">
      <c r="A29" s="27" t="s">
        <v>41</v>
      </c>
      <c r="B29" s="28">
        <v>0</v>
      </c>
      <c r="C29" s="28">
        <v>0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8">
        <v>0</v>
      </c>
      <c r="J29" s="29">
        <v>0</v>
      </c>
      <c r="K29" s="23"/>
      <c r="L29" s="23"/>
    </row>
    <row r="30" spans="1:12" ht="13.2">
      <c r="A30" s="27" t="s">
        <v>89</v>
      </c>
      <c r="B30" s="28">
        <v>0</v>
      </c>
      <c r="C30" s="28">
        <v>0</v>
      </c>
      <c r="D30" s="28">
        <v>0</v>
      </c>
      <c r="E30" s="28">
        <v>0</v>
      </c>
      <c r="F30" s="28">
        <v>0</v>
      </c>
      <c r="G30" s="28">
        <v>0</v>
      </c>
      <c r="H30" s="28">
        <v>0</v>
      </c>
      <c r="I30" s="28">
        <v>0</v>
      </c>
      <c r="J30" s="29">
        <v>0</v>
      </c>
      <c r="K30" s="23"/>
      <c r="L30" s="23"/>
    </row>
    <row r="31" spans="1:12" ht="13.2">
      <c r="A31" s="27" t="s">
        <v>295</v>
      </c>
      <c r="B31" s="28">
        <v>0</v>
      </c>
      <c r="C31" s="28">
        <v>0</v>
      </c>
      <c r="D31" s="28">
        <v>0</v>
      </c>
      <c r="E31" s="28">
        <v>0</v>
      </c>
      <c r="F31" s="28">
        <v>0</v>
      </c>
      <c r="G31" s="28">
        <v>0</v>
      </c>
      <c r="H31" s="28">
        <v>0</v>
      </c>
      <c r="I31" s="28">
        <v>0</v>
      </c>
      <c r="J31" s="29">
        <v>0</v>
      </c>
      <c r="K31" s="23"/>
      <c r="L31" s="23"/>
    </row>
    <row r="32" spans="1:12" ht="36">
      <c r="A32" s="31" t="s">
        <v>9317</v>
      </c>
      <c r="B32" s="32">
        <v>166</v>
      </c>
      <c r="C32" s="32">
        <v>217</v>
      </c>
      <c r="D32" s="32">
        <v>90</v>
      </c>
      <c r="E32" s="32">
        <v>176</v>
      </c>
      <c r="F32" s="32">
        <v>232</v>
      </c>
      <c r="G32" s="32">
        <v>166</v>
      </c>
      <c r="H32" s="32">
        <v>186</v>
      </c>
      <c r="I32" s="32">
        <v>167</v>
      </c>
      <c r="J32" s="32">
        <v>1400</v>
      </c>
      <c r="K32" s="23"/>
      <c r="L32" s="23"/>
    </row>
    <row r="33" spans="1:12" ht="13.2">
      <c r="A33" s="82" t="s">
        <v>9319</v>
      </c>
      <c r="B33" s="81"/>
      <c r="C33" s="81"/>
      <c r="D33" s="81"/>
      <c r="E33" s="81"/>
      <c r="F33" s="81"/>
      <c r="G33" s="81"/>
      <c r="H33" s="81"/>
      <c r="I33" s="81"/>
      <c r="J33" s="81"/>
      <c r="K33" s="23"/>
      <c r="L33" s="23"/>
    </row>
    <row r="34" spans="1:12" ht="13.2">
      <c r="A34" s="33"/>
      <c r="B34" s="34" t="s">
        <v>196</v>
      </c>
      <c r="C34" s="34" t="s">
        <v>64</v>
      </c>
      <c r="D34" s="34" t="s">
        <v>389</v>
      </c>
      <c r="E34" s="34" t="s">
        <v>76</v>
      </c>
      <c r="F34" s="34" t="s">
        <v>98</v>
      </c>
      <c r="G34" s="34" t="s">
        <v>319</v>
      </c>
      <c r="H34" s="34" t="s">
        <v>150</v>
      </c>
      <c r="I34" s="34" t="s">
        <v>171</v>
      </c>
      <c r="J34" s="34" t="s">
        <v>9320</v>
      </c>
      <c r="K34" s="23"/>
      <c r="L34" s="23"/>
    </row>
    <row r="35" spans="1:12" ht="13.2">
      <c r="A35" s="35" t="s">
        <v>262</v>
      </c>
      <c r="B35" s="36">
        <v>2</v>
      </c>
      <c r="C35" s="36">
        <v>1</v>
      </c>
      <c r="D35" s="36">
        <v>20</v>
      </c>
      <c r="E35" s="36">
        <v>3</v>
      </c>
      <c r="F35" s="36">
        <v>1</v>
      </c>
      <c r="G35" s="36">
        <v>0</v>
      </c>
      <c r="H35" s="36">
        <v>0</v>
      </c>
      <c r="I35" s="36">
        <v>0</v>
      </c>
      <c r="J35" s="36">
        <v>27</v>
      </c>
      <c r="K35" s="23"/>
      <c r="L35" s="23"/>
    </row>
    <row r="36" spans="1:12" ht="13.2">
      <c r="A36" s="37" t="s">
        <v>68</v>
      </c>
      <c r="B36" s="28">
        <v>1</v>
      </c>
      <c r="C36" s="28">
        <v>1</v>
      </c>
      <c r="D36" s="28">
        <v>4</v>
      </c>
      <c r="E36" s="28">
        <v>1</v>
      </c>
      <c r="F36" s="28">
        <v>0</v>
      </c>
      <c r="G36" s="28">
        <v>0</v>
      </c>
      <c r="H36" s="28">
        <v>0</v>
      </c>
      <c r="I36" s="28">
        <v>0</v>
      </c>
      <c r="J36" s="38">
        <v>7</v>
      </c>
      <c r="K36" s="23"/>
      <c r="L36" s="23"/>
    </row>
    <row r="37" spans="1:12" ht="13.2">
      <c r="A37" s="39" t="s">
        <v>153</v>
      </c>
      <c r="B37" s="28">
        <v>0</v>
      </c>
      <c r="C37" s="28">
        <v>0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38">
        <v>0</v>
      </c>
      <c r="K37" s="23"/>
      <c r="L37" s="23"/>
    </row>
    <row r="38" spans="1:12" ht="13.2">
      <c r="A38" s="39" t="s">
        <v>143</v>
      </c>
      <c r="B38" s="28">
        <v>1</v>
      </c>
      <c r="C38" s="28">
        <v>0</v>
      </c>
      <c r="D38" s="28">
        <v>5</v>
      </c>
      <c r="E38" s="28">
        <v>1</v>
      </c>
      <c r="F38" s="28">
        <v>1</v>
      </c>
      <c r="G38" s="28">
        <v>0</v>
      </c>
      <c r="H38" s="28">
        <v>0</v>
      </c>
      <c r="I38" s="28">
        <v>0</v>
      </c>
      <c r="J38" s="38">
        <v>8</v>
      </c>
      <c r="K38" s="23"/>
      <c r="L38" s="23"/>
    </row>
    <row r="39" spans="1:12" ht="13.2">
      <c r="A39" s="39" t="s">
        <v>41</v>
      </c>
      <c r="B39" s="28">
        <v>0</v>
      </c>
      <c r="C39" s="28">
        <v>0</v>
      </c>
      <c r="D39" s="28">
        <v>7</v>
      </c>
      <c r="E39" s="28">
        <v>1</v>
      </c>
      <c r="F39" s="28">
        <v>0</v>
      </c>
      <c r="G39" s="28">
        <v>0</v>
      </c>
      <c r="H39" s="28">
        <v>0</v>
      </c>
      <c r="I39" s="28">
        <v>0</v>
      </c>
      <c r="J39" s="38">
        <v>8</v>
      </c>
      <c r="K39" s="23"/>
      <c r="L39" s="23"/>
    </row>
    <row r="40" spans="1:12" ht="13.2">
      <c r="A40" s="39" t="s">
        <v>89</v>
      </c>
      <c r="B40" s="28">
        <v>0</v>
      </c>
      <c r="C40" s="28">
        <v>0</v>
      </c>
      <c r="D40" s="28">
        <v>2</v>
      </c>
      <c r="E40" s="28">
        <v>0</v>
      </c>
      <c r="F40" s="28">
        <v>0</v>
      </c>
      <c r="G40" s="28">
        <v>0</v>
      </c>
      <c r="H40" s="28">
        <v>0</v>
      </c>
      <c r="I40" s="28">
        <v>0</v>
      </c>
      <c r="J40" s="38">
        <v>2</v>
      </c>
      <c r="K40" s="23"/>
      <c r="L40" s="23"/>
    </row>
    <row r="41" spans="1:12" ht="13.2">
      <c r="A41" s="39" t="s">
        <v>295</v>
      </c>
      <c r="B41" s="28">
        <v>0</v>
      </c>
      <c r="C41" s="28">
        <v>0</v>
      </c>
      <c r="D41" s="28">
        <v>2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38">
        <v>2</v>
      </c>
      <c r="K41" s="23"/>
      <c r="L41" s="23"/>
    </row>
    <row r="42" spans="1:12" ht="13.2">
      <c r="A42" s="40" t="s">
        <v>9318</v>
      </c>
      <c r="B42" s="28">
        <v>0</v>
      </c>
      <c r="C42" s="28">
        <v>0</v>
      </c>
      <c r="D42" s="28">
        <v>0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38">
        <v>0</v>
      </c>
      <c r="K42" s="23"/>
      <c r="L42" s="23"/>
    </row>
    <row r="43" spans="1:12" ht="13.2">
      <c r="A43" s="35" t="s">
        <v>42</v>
      </c>
      <c r="B43" s="36">
        <v>20</v>
      </c>
      <c r="C43" s="36">
        <v>5</v>
      </c>
      <c r="D43" s="36">
        <v>0</v>
      </c>
      <c r="E43" s="36">
        <v>4</v>
      </c>
      <c r="F43" s="36">
        <v>4</v>
      </c>
      <c r="G43" s="36">
        <v>11</v>
      </c>
      <c r="H43" s="36">
        <v>1</v>
      </c>
      <c r="I43" s="36">
        <v>11</v>
      </c>
      <c r="J43" s="36">
        <v>56</v>
      </c>
      <c r="K43" s="23"/>
      <c r="L43" s="23"/>
    </row>
    <row r="44" spans="1:12" ht="13.2">
      <c r="A44" s="37" t="s">
        <v>68</v>
      </c>
      <c r="B44" s="28">
        <v>0</v>
      </c>
      <c r="C44" s="28">
        <v>0</v>
      </c>
      <c r="D44" s="28">
        <v>0</v>
      </c>
      <c r="E44" s="28">
        <v>2</v>
      </c>
      <c r="F44" s="28">
        <v>0</v>
      </c>
      <c r="G44" s="28">
        <v>0</v>
      </c>
      <c r="H44" s="28">
        <v>0</v>
      </c>
      <c r="I44" s="28">
        <v>0</v>
      </c>
      <c r="J44" s="38">
        <v>0</v>
      </c>
      <c r="K44" s="23"/>
      <c r="L44" s="23"/>
    </row>
    <row r="45" spans="1:12" ht="13.2">
      <c r="A45" s="39" t="s">
        <v>153</v>
      </c>
      <c r="B45" s="28">
        <v>0</v>
      </c>
      <c r="C45" s="28">
        <v>0</v>
      </c>
      <c r="D45" s="28">
        <v>0</v>
      </c>
      <c r="E45" s="28">
        <v>0</v>
      </c>
      <c r="F45" s="28">
        <v>0</v>
      </c>
      <c r="G45" s="28">
        <v>0</v>
      </c>
      <c r="H45" s="28">
        <v>0</v>
      </c>
      <c r="I45" s="28">
        <v>7</v>
      </c>
      <c r="J45" s="38">
        <v>56</v>
      </c>
      <c r="K45" s="23"/>
      <c r="L45" s="23"/>
    </row>
    <row r="46" spans="1:12" ht="13.2">
      <c r="A46" s="39" t="s">
        <v>143</v>
      </c>
      <c r="B46" s="28">
        <v>0</v>
      </c>
      <c r="C46" s="28">
        <v>0</v>
      </c>
      <c r="D46" s="28">
        <v>0</v>
      </c>
      <c r="E46" s="28">
        <v>0</v>
      </c>
      <c r="F46" s="28">
        <v>0</v>
      </c>
      <c r="G46" s="28">
        <v>0</v>
      </c>
      <c r="H46" s="28">
        <v>1</v>
      </c>
      <c r="I46" s="28">
        <v>0</v>
      </c>
      <c r="J46" s="38">
        <v>2</v>
      </c>
      <c r="K46" s="23"/>
      <c r="L46" s="23"/>
    </row>
    <row r="47" spans="1:12" ht="13.2">
      <c r="A47" s="39" t="s">
        <v>41</v>
      </c>
      <c r="B47" s="28">
        <v>20</v>
      </c>
      <c r="C47" s="28">
        <v>5</v>
      </c>
      <c r="D47" s="28">
        <v>0</v>
      </c>
      <c r="E47" s="28">
        <v>2</v>
      </c>
      <c r="F47" s="28">
        <v>0</v>
      </c>
      <c r="G47" s="28">
        <v>1</v>
      </c>
      <c r="H47" s="28">
        <v>0</v>
      </c>
      <c r="I47" s="28">
        <v>1</v>
      </c>
      <c r="J47" s="38">
        <v>7</v>
      </c>
      <c r="K47" s="23"/>
      <c r="L47" s="23"/>
    </row>
    <row r="48" spans="1:12" ht="13.2">
      <c r="A48" s="39" t="s">
        <v>89</v>
      </c>
      <c r="B48" s="28">
        <v>0</v>
      </c>
      <c r="C48" s="28">
        <v>0</v>
      </c>
      <c r="D48" s="28">
        <v>0</v>
      </c>
      <c r="E48" s="28">
        <v>0</v>
      </c>
      <c r="F48" s="28">
        <v>4</v>
      </c>
      <c r="G48" s="28">
        <v>0</v>
      </c>
      <c r="H48" s="28">
        <v>0</v>
      </c>
      <c r="I48" s="28">
        <v>3</v>
      </c>
      <c r="J48" s="38">
        <v>1</v>
      </c>
      <c r="K48" s="23"/>
      <c r="L48" s="23"/>
    </row>
    <row r="49" spans="1:12" ht="13.2">
      <c r="A49" s="39" t="s">
        <v>295</v>
      </c>
      <c r="B49" s="28">
        <v>0</v>
      </c>
      <c r="C49" s="28">
        <v>0</v>
      </c>
      <c r="D49" s="28">
        <v>0</v>
      </c>
      <c r="E49" s="28">
        <v>0</v>
      </c>
      <c r="F49" s="28">
        <v>0</v>
      </c>
      <c r="G49" s="28">
        <v>10</v>
      </c>
      <c r="H49" s="28">
        <v>0</v>
      </c>
      <c r="I49" s="28">
        <v>0</v>
      </c>
      <c r="J49" s="38">
        <v>29</v>
      </c>
      <c r="K49" s="23"/>
      <c r="L49" s="23"/>
    </row>
    <row r="50" spans="1:12" ht="13.2">
      <c r="A50" s="35" t="s">
        <v>80</v>
      </c>
      <c r="B50" s="36">
        <v>5</v>
      </c>
      <c r="C50" s="36">
        <v>20</v>
      </c>
      <c r="D50" s="36">
        <v>0</v>
      </c>
      <c r="E50" s="36">
        <v>13</v>
      </c>
      <c r="F50" s="36">
        <v>6</v>
      </c>
      <c r="G50" s="36">
        <v>12</v>
      </c>
      <c r="H50" s="36">
        <v>17</v>
      </c>
      <c r="I50" s="36">
        <v>1</v>
      </c>
      <c r="J50" s="36">
        <v>74</v>
      </c>
      <c r="K50" s="23"/>
      <c r="L50" s="23"/>
    </row>
    <row r="51" spans="1:12" ht="13.2">
      <c r="A51" s="37" t="s">
        <v>68</v>
      </c>
      <c r="B51" s="28">
        <v>2</v>
      </c>
      <c r="C51" s="28">
        <v>0</v>
      </c>
      <c r="D51" s="28">
        <v>0</v>
      </c>
      <c r="E51" s="28">
        <v>6</v>
      </c>
      <c r="F51" s="28">
        <v>1</v>
      </c>
      <c r="G51" s="28">
        <v>0</v>
      </c>
      <c r="H51" s="28">
        <v>0</v>
      </c>
      <c r="I51" s="28">
        <v>0</v>
      </c>
      <c r="J51" s="38">
        <v>0</v>
      </c>
      <c r="K51" s="23"/>
      <c r="L51" s="23"/>
    </row>
    <row r="52" spans="1:12" ht="13.2">
      <c r="A52" s="39" t="s">
        <v>153</v>
      </c>
      <c r="B52" s="28">
        <v>0</v>
      </c>
      <c r="C52" s="28">
        <v>0</v>
      </c>
      <c r="D52" s="28">
        <v>0</v>
      </c>
      <c r="E52" s="28">
        <v>0</v>
      </c>
      <c r="F52" s="28">
        <v>0</v>
      </c>
      <c r="G52" s="28">
        <v>6</v>
      </c>
      <c r="H52" s="28">
        <v>0</v>
      </c>
      <c r="I52" s="28">
        <v>0</v>
      </c>
      <c r="J52" s="38">
        <v>56</v>
      </c>
      <c r="K52" s="23"/>
      <c r="L52" s="23"/>
    </row>
    <row r="53" spans="1:12" ht="13.2">
      <c r="A53" s="39" t="s">
        <v>143</v>
      </c>
      <c r="B53" s="28">
        <v>0</v>
      </c>
      <c r="C53" s="28">
        <v>1</v>
      </c>
      <c r="D53" s="28">
        <v>0</v>
      </c>
      <c r="E53" s="28">
        <v>1</v>
      </c>
      <c r="F53" s="28">
        <v>0</v>
      </c>
      <c r="G53" s="28">
        <v>0</v>
      </c>
      <c r="H53" s="28">
        <v>16</v>
      </c>
      <c r="I53" s="28">
        <v>1</v>
      </c>
      <c r="J53" s="38">
        <v>2</v>
      </c>
      <c r="K53" s="23"/>
      <c r="L53" s="23"/>
    </row>
    <row r="54" spans="1:12" ht="13.2">
      <c r="A54" s="39" t="s">
        <v>41</v>
      </c>
      <c r="B54" s="28">
        <v>3</v>
      </c>
      <c r="C54" s="28">
        <v>19</v>
      </c>
      <c r="D54" s="28">
        <v>0</v>
      </c>
      <c r="E54" s="28">
        <v>6</v>
      </c>
      <c r="F54" s="28">
        <v>0</v>
      </c>
      <c r="G54" s="28">
        <v>0</v>
      </c>
      <c r="H54" s="28">
        <v>1</v>
      </c>
      <c r="I54" s="28">
        <v>0</v>
      </c>
      <c r="J54" s="38">
        <v>7</v>
      </c>
      <c r="K54" s="23"/>
      <c r="L54" s="23"/>
    </row>
    <row r="55" spans="1:12" ht="13.2">
      <c r="A55" s="39" t="s">
        <v>89</v>
      </c>
      <c r="B55" s="28">
        <v>0</v>
      </c>
      <c r="C55" s="28">
        <v>0</v>
      </c>
      <c r="D55" s="28">
        <v>0</v>
      </c>
      <c r="E55" s="28">
        <v>0</v>
      </c>
      <c r="F55" s="28">
        <v>5</v>
      </c>
      <c r="G55" s="28">
        <v>0</v>
      </c>
      <c r="H55" s="28">
        <v>0</v>
      </c>
      <c r="I55" s="28">
        <v>0</v>
      </c>
      <c r="J55" s="38">
        <v>1</v>
      </c>
      <c r="K55" s="23"/>
      <c r="L55" s="23"/>
    </row>
    <row r="56" spans="1:12" ht="13.2">
      <c r="A56" s="39" t="s">
        <v>295</v>
      </c>
      <c r="B56" s="28">
        <v>0</v>
      </c>
      <c r="C56" s="28">
        <v>0</v>
      </c>
      <c r="D56" s="28">
        <v>0</v>
      </c>
      <c r="E56" s="28">
        <v>0</v>
      </c>
      <c r="F56" s="28">
        <v>0</v>
      </c>
      <c r="G56" s="28">
        <v>6</v>
      </c>
      <c r="H56" s="28">
        <v>0</v>
      </c>
      <c r="I56" s="28">
        <v>0</v>
      </c>
      <c r="J56" s="38">
        <v>29</v>
      </c>
      <c r="K56" s="23"/>
      <c r="L56" s="23"/>
    </row>
    <row r="57" spans="1:12" ht="13.2">
      <c r="A57" s="35" t="s">
        <v>135</v>
      </c>
      <c r="B57" s="36">
        <v>0</v>
      </c>
      <c r="C57" s="36">
        <v>0</v>
      </c>
      <c r="D57" s="36">
        <v>0</v>
      </c>
      <c r="E57" s="36">
        <v>3</v>
      </c>
      <c r="F57" s="36">
        <v>0</v>
      </c>
      <c r="G57" s="36">
        <v>0</v>
      </c>
      <c r="H57" s="36">
        <v>0</v>
      </c>
      <c r="I57" s="36">
        <v>0</v>
      </c>
      <c r="J57" s="36">
        <v>3</v>
      </c>
      <c r="K57" s="23"/>
      <c r="L57" s="23"/>
    </row>
    <row r="58" spans="1:12" ht="13.2">
      <c r="A58" s="37" t="s">
        <v>68</v>
      </c>
      <c r="B58" s="28">
        <v>0</v>
      </c>
      <c r="C58" s="28">
        <v>0</v>
      </c>
      <c r="D58" s="28">
        <v>0</v>
      </c>
      <c r="E58" s="28">
        <v>3</v>
      </c>
      <c r="F58" s="28">
        <v>0</v>
      </c>
      <c r="G58" s="28">
        <v>0</v>
      </c>
      <c r="H58" s="28">
        <v>0</v>
      </c>
      <c r="I58" s="28">
        <v>0</v>
      </c>
      <c r="J58" s="38">
        <v>3</v>
      </c>
      <c r="K58" s="23"/>
      <c r="L58" s="23"/>
    </row>
    <row r="59" spans="1:12" ht="13.2">
      <c r="A59" s="35" t="s">
        <v>9320</v>
      </c>
      <c r="B59" s="36">
        <v>27</v>
      </c>
      <c r="C59" s="36">
        <v>26</v>
      </c>
      <c r="D59" s="36">
        <v>20</v>
      </c>
      <c r="E59" s="36">
        <v>23</v>
      </c>
      <c r="F59" s="36">
        <v>11</v>
      </c>
      <c r="G59" s="36">
        <v>23</v>
      </c>
      <c r="H59" s="36">
        <v>18</v>
      </c>
      <c r="I59" s="36">
        <v>12</v>
      </c>
      <c r="J59" s="36">
        <v>160</v>
      </c>
      <c r="K59" s="23"/>
      <c r="L59" s="23"/>
    </row>
    <row r="60" spans="1:12" ht="24">
      <c r="A60" s="41"/>
      <c r="B60" s="42"/>
      <c r="C60" s="43"/>
      <c r="D60" s="43"/>
      <c r="E60" s="43"/>
      <c r="F60" s="43"/>
      <c r="G60" s="43"/>
      <c r="H60" s="43"/>
      <c r="I60" s="43"/>
      <c r="J60" s="44"/>
      <c r="K60" s="45" t="s">
        <v>9321</v>
      </c>
      <c r="L60" s="45" t="s">
        <v>9322</v>
      </c>
    </row>
    <row r="61" spans="1:12" ht="13.2">
      <c r="A61" s="46" t="s">
        <v>9323</v>
      </c>
      <c r="B61" s="47"/>
      <c r="C61" s="47"/>
      <c r="D61" s="47"/>
      <c r="E61" s="47"/>
      <c r="F61" s="47"/>
      <c r="G61" s="47"/>
      <c r="H61" s="47"/>
      <c r="I61" s="47"/>
      <c r="J61" s="47"/>
      <c r="K61" s="48"/>
      <c r="L61" s="48"/>
    </row>
    <row r="62" spans="1:12" ht="13.2">
      <c r="A62" s="49" t="s">
        <v>68</v>
      </c>
      <c r="B62" s="28">
        <v>0</v>
      </c>
      <c r="C62" s="28">
        <v>0</v>
      </c>
      <c r="D62" s="28">
        <v>0</v>
      </c>
      <c r="E62" s="28">
        <v>0</v>
      </c>
      <c r="F62" s="28">
        <v>0</v>
      </c>
      <c r="G62" s="28">
        <v>0</v>
      </c>
      <c r="H62" s="28">
        <v>0</v>
      </c>
      <c r="I62" s="28">
        <v>0</v>
      </c>
      <c r="J62" s="50">
        <v>0</v>
      </c>
      <c r="K62" s="51"/>
      <c r="L62" s="51">
        <v>0</v>
      </c>
    </row>
    <row r="63" spans="1:12" ht="13.2">
      <c r="A63" s="52" t="s">
        <v>153</v>
      </c>
      <c r="B63" s="28">
        <v>0</v>
      </c>
      <c r="C63" s="28">
        <v>0</v>
      </c>
      <c r="D63" s="28">
        <v>0</v>
      </c>
      <c r="E63" s="28">
        <v>0</v>
      </c>
      <c r="F63" s="28">
        <v>0</v>
      </c>
      <c r="G63" s="28">
        <v>0</v>
      </c>
      <c r="H63" s="28">
        <v>0</v>
      </c>
      <c r="I63" s="28">
        <v>0</v>
      </c>
      <c r="J63" s="50">
        <v>0</v>
      </c>
      <c r="K63" s="51"/>
      <c r="L63" s="51">
        <v>0</v>
      </c>
    </row>
    <row r="64" spans="1:12" ht="13.2">
      <c r="A64" s="52" t="s">
        <v>143</v>
      </c>
      <c r="B64" s="28">
        <v>0</v>
      </c>
      <c r="C64" s="28">
        <v>0</v>
      </c>
      <c r="D64" s="28">
        <v>0</v>
      </c>
      <c r="E64" s="28">
        <v>0</v>
      </c>
      <c r="F64" s="28">
        <v>0</v>
      </c>
      <c r="G64" s="28">
        <v>0</v>
      </c>
      <c r="H64" s="28">
        <v>0</v>
      </c>
      <c r="I64" s="28">
        <v>0</v>
      </c>
      <c r="J64" s="50">
        <v>0</v>
      </c>
      <c r="K64" s="51"/>
      <c r="L64" s="51">
        <v>0</v>
      </c>
    </row>
    <row r="65" spans="1:12" ht="13.2">
      <c r="A65" s="52" t="s">
        <v>41</v>
      </c>
      <c r="B65" s="28">
        <v>0</v>
      </c>
      <c r="C65" s="28">
        <v>0</v>
      </c>
      <c r="D65" s="28">
        <v>0</v>
      </c>
      <c r="E65" s="28">
        <v>0</v>
      </c>
      <c r="F65" s="28">
        <v>0</v>
      </c>
      <c r="G65" s="28">
        <v>0</v>
      </c>
      <c r="H65" s="28">
        <v>0</v>
      </c>
      <c r="I65" s="28">
        <v>0</v>
      </c>
      <c r="J65" s="50">
        <v>0</v>
      </c>
      <c r="K65" s="51"/>
      <c r="L65" s="51">
        <v>0</v>
      </c>
    </row>
    <row r="66" spans="1:12" ht="13.2">
      <c r="A66" s="52" t="s">
        <v>89</v>
      </c>
      <c r="B66" s="28">
        <v>0</v>
      </c>
      <c r="C66" s="28">
        <v>0</v>
      </c>
      <c r="D66" s="28">
        <v>0</v>
      </c>
      <c r="E66" s="28">
        <v>0</v>
      </c>
      <c r="F66" s="28">
        <v>0</v>
      </c>
      <c r="G66" s="28">
        <v>0</v>
      </c>
      <c r="H66" s="28">
        <v>0</v>
      </c>
      <c r="I66" s="28">
        <v>0</v>
      </c>
      <c r="J66" s="50">
        <v>0</v>
      </c>
      <c r="K66" s="51"/>
      <c r="L66" s="51">
        <v>0</v>
      </c>
    </row>
    <row r="67" spans="1:12" ht="13.2">
      <c r="A67" s="52" t="s">
        <v>295</v>
      </c>
      <c r="B67" s="28">
        <v>0</v>
      </c>
      <c r="C67" s="28">
        <v>0</v>
      </c>
      <c r="D67" s="28">
        <v>0</v>
      </c>
      <c r="E67" s="28">
        <v>0</v>
      </c>
      <c r="F67" s="28">
        <v>0</v>
      </c>
      <c r="G67" s="28">
        <v>0</v>
      </c>
      <c r="H67" s="28">
        <v>0</v>
      </c>
      <c r="I67" s="28">
        <v>0</v>
      </c>
      <c r="J67" s="50">
        <v>0</v>
      </c>
      <c r="K67" s="51"/>
      <c r="L67" s="51">
        <v>0</v>
      </c>
    </row>
    <row r="68" spans="1:12" ht="13.2">
      <c r="A68" s="52" t="s">
        <v>9324</v>
      </c>
      <c r="B68" s="28">
        <v>0</v>
      </c>
      <c r="C68" s="28">
        <v>0</v>
      </c>
      <c r="D68" s="28">
        <v>0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50">
        <v>0</v>
      </c>
      <c r="K68" s="53"/>
      <c r="L68" s="51">
        <v>0</v>
      </c>
    </row>
    <row r="69" spans="1:12" ht="24">
      <c r="A69" s="46" t="s">
        <v>9325</v>
      </c>
      <c r="B69" s="54">
        <v>0</v>
      </c>
      <c r="C69" s="54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5">
        <v>0</v>
      </c>
      <c r="L69" s="55">
        <v>0</v>
      </c>
    </row>
    <row r="70" spans="1:12" ht="13.2">
      <c r="A70" s="83" t="s">
        <v>9326</v>
      </c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4"/>
    </row>
    <row r="71" spans="1:12" ht="13.2">
      <c r="A71" s="56" t="s">
        <v>9327</v>
      </c>
      <c r="B71" s="57">
        <v>193</v>
      </c>
      <c r="C71" s="57">
        <v>243</v>
      </c>
      <c r="D71" s="57">
        <v>110</v>
      </c>
      <c r="E71" s="57">
        <v>199</v>
      </c>
      <c r="F71" s="57">
        <v>243</v>
      </c>
      <c r="G71" s="57">
        <v>189</v>
      </c>
      <c r="H71" s="57">
        <v>204</v>
      </c>
      <c r="I71" s="57">
        <v>179</v>
      </c>
      <c r="J71" s="57">
        <v>1560</v>
      </c>
      <c r="K71" s="58"/>
      <c r="L71" s="59"/>
    </row>
    <row r="72" spans="1:12" ht="24">
      <c r="A72" s="60" t="s">
        <v>9321</v>
      </c>
      <c r="B72" s="51">
        <v>200</v>
      </c>
      <c r="C72" s="51">
        <v>255</v>
      </c>
      <c r="D72" s="51">
        <v>190</v>
      </c>
      <c r="E72" s="51">
        <v>205</v>
      </c>
      <c r="F72" s="51">
        <v>255</v>
      </c>
      <c r="G72" s="51">
        <v>225</v>
      </c>
      <c r="H72" s="51">
        <v>245</v>
      </c>
      <c r="I72" s="51">
        <v>225</v>
      </c>
      <c r="J72" s="28">
        <v>1800</v>
      </c>
      <c r="K72" s="85"/>
      <c r="L72" s="86"/>
    </row>
    <row r="73" spans="1:12" ht="13.2">
      <c r="A73" s="60" t="s">
        <v>9322</v>
      </c>
      <c r="B73" s="51">
        <v>7</v>
      </c>
      <c r="C73" s="51">
        <v>12</v>
      </c>
      <c r="D73" s="51">
        <v>80</v>
      </c>
      <c r="E73" s="51">
        <v>6</v>
      </c>
      <c r="F73" s="51">
        <v>12</v>
      </c>
      <c r="G73" s="51">
        <v>36</v>
      </c>
      <c r="H73" s="51">
        <v>41</v>
      </c>
      <c r="I73" s="51">
        <v>46</v>
      </c>
      <c r="J73" s="51">
        <v>240</v>
      </c>
      <c r="K73" s="86"/>
      <c r="L73" s="86"/>
    </row>
    <row r="74" spans="1:12" ht="13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</row>
  </sheetData>
  <mergeCells count="4">
    <mergeCell ref="A1:J1"/>
    <mergeCell ref="A33:J33"/>
    <mergeCell ref="A70:L70"/>
    <mergeCell ref="K72:L73"/>
  </mergeCells>
  <conditionalFormatting sqref="B2:I2">
    <cfRule type="expression" dxfId="1" priority="2">
      <formula>B73:I73 &lt; 0</formula>
    </cfRule>
  </conditionalFormatting>
  <conditionalFormatting sqref="B73:J73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B6D7A8"/>
    <outlinePr summaryBelow="0" summaryRight="0"/>
  </sheetPr>
  <dimension ref="A1:AF599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546875" defaultRowHeight="15.75" customHeight="1"/>
  <cols>
    <col min="1" max="1" width="12.44140625" customWidth="1"/>
    <col min="2" max="2" width="28.44140625" customWidth="1"/>
    <col min="3" max="3" width="12.5546875" customWidth="1"/>
    <col min="4" max="4" width="12" customWidth="1"/>
    <col min="5" max="5" width="14.88671875" customWidth="1"/>
    <col min="6" max="6" width="15.44140625" customWidth="1"/>
    <col min="7" max="7" width="9.5546875" customWidth="1"/>
    <col min="8" max="8" width="12.44140625" customWidth="1"/>
    <col min="9" max="9" width="13.109375" customWidth="1"/>
    <col min="10" max="10" width="18.6640625" customWidth="1"/>
    <col min="11" max="11" width="14.44140625" customWidth="1"/>
    <col min="12" max="12" width="13.88671875" customWidth="1"/>
    <col min="13" max="13" width="12.88671875" customWidth="1"/>
    <col min="14" max="14" width="10" customWidth="1"/>
    <col min="15" max="15" width="8.6640625" customWidth="1"/>
    <col min="16" max="16" width="22.109375" customWidth="1"/>
    <col min="18" max="18" width="15.33203125" customWidth="1"/>
    <col min="19" max="19" width="23.44140625" customWidth="1"/>
    <col min="20" max="20" width="15.33203125" customWidth="1"/>
    <col min="22" max="22" width="14.6640625" customWidth="1"/>
    <col min="23" max="23" width="16" customWidth="1"/>
    <col min="24" max="25" width="29.33203125" customWidth="1"/>
    <col min="31" max="31" width="28.109375" customWidth="1"/>
  </cols>
  <sheetData>
    <row r="1" spans="1:32" ht="36">
      <c r="A1" s="1" t="s">
        <v>0</v>
      </c>
      <c r="B1" s="2" t="s">
        <v>1</v>
      </c>
      <c r="C1" s="87" t="s">
        <v>1</v>
      </c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8" t="s">
        <v>2</v>
      </c>
      <c r="Q1" s="81"/>
      <c r="R1" s="81"/>
      <c r="S1" s="84"/>
      <c r="T1" s="3" t="s">
        <v>3</v>
      </c>
      <c r="U1" s="4" t="s">
        <v>4</v>
      </c>
      <c r="V1" s="3" t="s">
        <v>5</v>
      </c>
      <c r="W1" s="1" t="s">
        <v>6</v>
      </c>
      <c r="X1" s="3" t="s">
        <v>7</v>
      </c>
      <c r="Y1" s="1" t="s">
        <v>8</v>
      </c>
      <c r="Z1" s="88" t="s">
        <v>9</v>
      </c>
      <c r="AA1" s="81"/>
      <c r="AB1" s="81"/>
      <c r="AC1" s="84"/>
      <c r="AD1" s="5"/>
      <c r="AE1" s="5"/>
      <c r="AF1" s="5"/>
    </row>
    <row r="2" spans="1:32" ht="48">
      <c r="A2" s="6" t="s">
        <v>10</v>
      </c>
      <c r="B2" s="7" t="s">
        <v>11</v>
      </c>
      <c r="C2" s="7" t="s">
        <v>12</v>
      </c>
      <c r="D2" s="7" t="s">
        <v>13</v>
      </c>
      <c r="E2" s="7" t="s">
        <v>14</v>
      </c>
      <c r="F2" s="7" t="s">
        <v>15</v>
      </c>
      <c r="G2" s="7" t="s">
        <v>16</v>
      </c>
      <c r="H2" s="7" t="s">
        <v>17</v>
      </c>
      <c r="I2" s="7" t="s">
        <v>18</v>
      </c>
      <c r="J2" s="7" t="s">
        <v>19</v>
      </c>
      <c r="K2" s="7" t="s">
        <v>20</v>
      </c>
      <c r="L2" s="7" t="s">
        <v>21</v>
      </c>
      <c r="M2" s="7" t="s">
        <v>22</v>
      </c>
      <c r="N2" s="7" t="s">
        <v>23</v>
      </c>
      <c r="O2" s="7" t="s">
        <v>24</v>
      </c>
      <c r="P2" s="3" t="s">
        <v>26</v>
      </c>
      <c r="Q2" s="3" t="s">
        <v>27</v>
      </c>
      <c r="R2" s="3" t="s">
        <v>28</v>
      </c>
      <c r="S2" s="3" t="s">
        <v>29</v>
      </c>
      <c r="T2" s="3" t="s">
        <v>30</v>
      </c>
      <c r="U2" s="4" t="s">
        <v>31</v>
      </c>
      <c r="V2" s="3" t="s">
        <v>32</v>
      </c>
      <c r="W2" s="1" t="s">
        <v>33</v>
      </c>
      <c r="X2" s="3" t="s">
        <v>34</v>
      </c>
      <c r="Y2" s="1" t="s">
        <v>35</v>
      </c>
      <c r="Z2" s="3" t="s">
        <v>36</v>
      </c>
      <c r="AA2" s="3" t="s">
        <v>9328</v>
      </c>
      <c r="AB2" s="3" t="s">
        <v>37</v>
      </c>
      <c r="AC2" s="3" t="s">
        <v>38</v>
      </c>
      <c r="AD2" s="5"/>
      <c r="AE2" s="5"/>
      <c r="AF2" s="5"/>
    </row>
    <row r="3" spans="1:32" ht="32.25" customHeight="1">
      <c r="A3" s="8">
        <v>2301394</v>
      </c>
      <c r="B3" s="9" t="s">
        <v>13284</v>
      </c>
      <c r="C3" s="9" t="s">
        <v>13284</v>
      </c>
      <c r="D3" s="9" t="s">
        <v>13284</v>
      </c>
      <c r="E3" s="9" t="s">
        <v>13284</v>
      </c>
      <c r="F3" s="9" t="s">
        <v>13284</v>
      </c>
      <c r="G3" s="9" t="s">
        <v>13284</v>
      </c>
      <c r="H3" s="9" t="s">
        <v>13284</v>
      </c>
      <c r="I3" s="9" t="s">
        <v>13284</v>
      </c>
      <c r="J3" s="9" t="s">
        <v>13284</v>
      </c>
      <c r="K3" s="9" t="s">
        <v>13284</v>
      </c>
      <c r="L3" s="9" t="s">
        <v>13284</v>
      </c>
      <c r="M3" s="9" t="s">
        <v>13284</v>
      </c>
      <c r="N3" s="9" t="s">
        <v>13284</v>
      </c>
      <c r="O3" s="9" t="s">
        <v>13284</v>
      </c>
      <c r="P3" s="9" t="s">
        <v>13284</v>
      </c>
      <c r="Q3" s="9" t="s">
        <v>13284</v>
      </c>
      <c r="R3" s="9" t="s">
        <v>13284</v>
      </c>
      <c r="S3" s="9" t="s">
        <v>13284</v>
      </c>
      <c r="T3" s="9" t="str">
        <f ca="1">IFERROR(IF(AND(VLOOKUP(A3, 'Актуальное состояние (из общего'!A:C,3,0) = "", A3 &lt;&gt; ""), "ПРОВЕРИТЬ", VLOOKUP(A3, 'Актуальное состояние (из общего'!A:C,3,0)), "")</f>
        <v>Студент</v>
      </c>
      <c r="U3" s="9" t="s">
        <v>13284</v>
      </c>
      <c r="V3" s="9" t="s">
        <v>13284</v>
      </c>
      <c r="W3" s="9" t="s">
        <v>319</v>
      </c>
      <c r="X3" s="9" t="str">
        <f t="array" ref="X3">IFERROR(INDEX('Адреса общежитий (скрытый)'!$B$2:$B$9, MATCH(W3, 'Адреса общежитий (скрытый)'!$A$2:$A$9, 0)), "")</f>
        <v>ул. Профсоюзная, д.83, корп. 2</v>
      </c>
      <c r="Y3" s="9"/>
      <c r="Z3" s="9"/>
      <c r="AA3" s="9"/>
      <c r="AB3" s="9"/>
      <c r="AC3" s="9"/>
    </row>
    <row r="4" spans="1:32" ht="32.25" customHeight="1">
      <c r="A4" s="8">
        <v>2300916</v>
      </c>
      <c r="B4" s="9" t="s">
        <v>13284</v>
      </c>
      <c r="C4" s="9" t="s">
        <v>13284</v>
      </c>
      <c r="D4" s="9" t="s">
        <v>13284</v>
      </c>
      <c r="E4" s="9" t="s">
        <v>13284</v>
      </c>
      <c r="F4" s="9" t="s">
        <v>13284</v>
      </c>
      <c r="G4" s="9" t="s">
        <v>13284</v>
      </c>
      <c r="H4" s="9" t="s">
        <v>13284</v>
      </c>
      <c r="I4" s="9" t="s">
        <v>13284</v>
      </c>
      <c r="J4" s="9" t="s">
        <v>13284</v>
      </c>
      <c r="K4" s="9" t="s">
        <v>13284</v>
      </c>
      <c r="L4" s="9" t="s">
        <v>13284</v>
      </c>
      <c r="M4" s="9" t="s">
        <v>13284</v>
      </c>
      <c r="N4" s="9" t="s">
        <v>13284</v>
      </c>
      <c r="O4" s="9" t="s">
        <v>13284</v>
      </c>
      <c r="P4" s="9" t="s">
        <v>13284</v>
      </c>
      <c r="Q4" s="9" t="s">
        <v>13284</v>
      </c>
      <c r="R4" s="9" t="s">
        <v>13284</v>
      </c>
      <c r="S4" s="9" t="s">
        <v>13284</v>
      </c>
      <c r="T4" s="9" t="str">
        <f ca="1">IFERROR(IF(AND(VLOOKUP(A4, 'Актуальное состояние (из общего'!A:C,3,0) = "", A4 &lt;&gt; ""), "ПРОВЕРИТЬ", VLOOKUP(A4, 'Актуальное состояние (из общего'!A:C,3,0)), "")</f>
        <v>Студент</v>
      </c>
      <c r="U4" s="9" t="s">
        <v>13284</v>
      </c>
      <c r="V4" s="9" t="s">
        <v>13284</v>
      </c>
      <c r="W4" s="9" t="s">
        <v>319</v>
      </c>
      <c r="X4" s="9" t="str">
        <f t="array" ref="X4">IFERROR(INDEX('Адреса общежитий (скрытый)'!$B$2:$B$9, MATCH(W4, 'Адреса общежитий (скрытый)'!$A$2:$A$9, 0)), "")</f>
        <v>ул. Профсоюзная, д.83, корп. 2</v>
      </c>
      <c r="Y4" s="9"/>
      <c r="Z4" s="9"/>
      <c r="AA4" s="9"/>
      <c r="AB4" s="9"/>
      <c r="AC4" s="9"/>
    </row>
    <row r="5" spans="1:32" ht="32.25" customHeight="1">
      <c r="A5" s="8">
        <v>2306405</v>
      </c>
      <c r="B5" s="9" t="s">
        <v>13284</v>
      </c>
      <c r="C5" s="9" t="s">
        <v>13284</v>
      </c>
      <c r="D5" s="9" t="s">
        <v>13284</v>
      </c>
      <c r="E5" s="9" t="s">
        <v>13284</v>
      </c>
      <c r="F5" s="9" t="s">
        <v>13284</v>
      </c>
      <c r="G5" s="9" t="s">
        <v>13284</v>
      </c>
      <c r="H5" s="9" t="s">
        <v>13284</v>
      </c>
      <c r="I5" s="9" t="s">
        <v>13284</v>
      </c>
      <c r="J5" s="9" t="s">
        <v>13284</v>
      </c>
      <c r="K5" s="9" t="s">
        <v>13284</v>
      </c>
      <c r="L5" s="9" t="s">
        <v>13284</v>
      </c>
      <c r="M5" s="9" t="s">
        <v>13284</v>
      </c>
      <c r="N5" s="9" t="s">
        <v>13284</v>
      </c>
      <c r="O5" s="9" t="s">
        <v>13284</v>
      </c>
      <c r="P5" s="9" t="s">
        <v>13284</v>
      </c>
      <c r="Q5" s="9" t="s">
        <v>13284</v>
      </c>
      <c r="R5" s="9" t="s">
        <v>13284</v>
      </c>
      <c r="S5" s="9" t="s">
        <v>13284</v>
      </c>
      <c r="T5" s="9" t="str">
        <f ca="1">IFERROR(IF(AND(VLOOKUP(A5, 'Актуальное состояние (из общего'!A:C,3,0) = "", A5 &lt;&gt; ""), "ПРОВЕРИТЬ", VLOOKUP(A5, 'Актуальное состояние (из общего'!A:C,3,0)), "")</f>
        <v>Студент</v>
      </c>
      <c r="U5" s="9" t="s">
        <v>13284</v>
      </c>
      <c r="V5" s="9" t="s">
        <v>13284</v>
      </c>
      <c r="W5" s="9"/>
      <c r="X5" s="9" t="str">
        <f t="array" ref="X5">IFERROR(INDEX('Адреса общежитий (скрытый)'!$B$2:$B$9, MATCH(W5, 'Адреса общежитий (скрытый)'!$A$2:$A$9, 0)), "")</f>
        <v/>
      </c>
      <c r="Y5" s="9"/>
      <c r="Z5" s="9"/>
      <c r="AA5" s="9"/>
      <c r="AB5" s="9"/>
      <c r="AC5" s="9"/>
    </row>
    <row r="6" spans="1:32" ht="32.25" customHeight="1">
      <c r="A6" s="8">
        <v>2304630</v>
      </c>
      <c r="B6" s="9" t="s">
        <v>13284</v>
      </c>
      <c r="C6" s="9" t="s">
        <v>13284</v>
      </c>
      <c r="D6" s="9" t="s">
        <v>13284</v>
      </c>
      <c r="E6" s="9" t="s">
        <v>13284</v>
      </c>
      <c r="F6" s="9" t="s">
        <v>13284</v>
      </c>
      <c r="G6" s="9" t="s">
        <v>13284</v>
      </c>
      <c r="H6" s="9" t="s">
        <v>13284</v>
      </c>
      <c r="I6" s="9" t="s">
        <v>13284</v>
      </c>
      <c r="J6" s="9" t="s">
        <v>13284</v>
      </c>
      <c r="K6" s="9" t="s">
        <v>13284</v>
      </c>
      <c r="L6" s="9" t="s">
        <v>13284</v>
      </c>
      <c r="M6" s="9" t="s">
        <v>13284</v>
      </c>
      <c r="N6" s="9" t="s">
        <v>13284</v>
      </c>
      <c r="O6" s="9" t="s">
        <v>13284</v>
      </c>
      <c r="P6" s="9" t="s">
        <v>13284</v>
      </c>
      <c r="Q6" s="9" t="s">
        <v>13284</v>
      </c>
      <c r="R6" s="9" t="s">
        <v>13284</v>
      </c>
      <c r="S6" s="9" t="s">
        <v>13284</v>
      </c>
      <c r="T6" s="9" t="str">
        <f ca="1">IFERROR(IF(AND(VLOOKUP(A6, 'Актуальное состояние (из общего'!A:C,3,0) = "", A6 &lt;&gt; ""), "ПРОВЕРИТЬ", VLOOKUP(A6, 'Актуальное состояние (из общего'!A:C,3,0)), "")</f>
        <v>Студент</v>
      </c>
      <c r="U6" s="9" t="s">
        <v>13284</v>
      </c>
      <c r="V6" s="9" t="s">
        <v>13284</v>
      </c>
      <c r="W6" s="9" t="s">
        <v>64</v>
      </c>
      <c r="X6" s="9" t="str">
        <f t="array" ref="X6">IFERROR(INDEX('Адреса общежитий (скрытый)'!$B$2:$B$9, MATCH(W6, 'Адреса общежитий (скрытый)'!$A$2:$A$9, 0)), "")</f>
        <v>проспект 60-летия Октября, д.11</v>
      </c>
      <c r="Y6" s="9"/>
      <c r="Z6" s="9"/>
      <c r="AA6" s="9"/>
      <c r="AB6" s="9"/>
      <c r="AC6" s="9"/>
    </row>
    <row r="7" spans="1:32" ht="32.25" customHeight="1">
      <c r="A7" s="8">
        <v>2306061</v>
      </c>
      <c r="B7" s="9" t="s">
        <v>13284</v>
      </c>
      <c r="C7" s="9" t="s">
        <v>13284</v>
      </c>
      <c r="D7" s="9" t="s">
        <v>13284</v>
      </c>
      <c r="E7" s="9" t="s">
        <v>13284</v>
      </c>
      <c r="F7" s="9" t="s">
        <v>13284</v>
      </c>
      <c r="G7" s="9" t="s">
        <v>13284</v>
      </c>
      <c r="H7" s="9" t="s">
        <v>13284</v>
      </c>
      <c r="I7" s="9" t="s">
        <v>13284</v>
      </c>
      <c r="J7" s="9" t="s">
        <v>13284</v>
      </c>
      <c r="K7" s="9" t="s">
        <v>13284</v>
      </c>
      <c r="L7" s="9" t="s">
        <v>13284</v>
      </c>
      <c r="M7" s="9" t="s">
        <v>13284</v>
      </c>
      <c r="N7" s="9" t="s">
        <v>13284</v>
      </c>
      <c r="O7" s="9" t="s">
        <v>13284</v>
      </c>
      <c r="P7" s="9" t="s">
        <v>13284</v>
      </c>
      <c r="Q7" s="9" t="s">
        <v>13284</v>
      </c>
      <c r="R7" s="9" t="s">
        <v>13284</v>
      </c>
      <c r="S7" s="9" t="s">
        <v>13284</v>
      </c>
      <c r="T7" s="9" t="str">
        <f ca="1">IFERROR(IF(AND(VLOOKUP(A7, 'Актуальное состояние (из общего'!A:C,3,0) = "", A7 &lt;&gt; ""), "ПРОВЕРИТЬ", VLOOKUP(A7, 'Актуальное состояние (из общего'!A:C,3,0)), "")</f>
        <v>Студент</v>
      </c>
      <c r="U7" s="9" t="s">
        <v>13284</v>
      </c>
      <c r="V7" s="9" t="s">
        <v>13284</v>
      </c>
      <c r="W7" s="9"/>
      <c r="X7" s="9" t="str">
        <f t="array" ref="X7">IFERROR(INDEX('Адреса общежитий (скрытый)'!$B$2:$B$9, MATCH(W7, 'Адреса общежитий (скрытый)'!$A$2:$A$9, 0)), "")</f>
        <v/>
      </c>
      <c r="Y7" s="9"/>
      <c r="Z7" s="9"/>
      <c r="AA7" s="9"/>
      <c r="AB7" s="9"/>
      <c r="AC7" s="9"/>
    </row>
    <row r="8" spans="1:32" ht="32.25" hidden="1" customHeight="1">
      <c r="A8" s="8">
        <v>2302367</v>
      </c>
      <c r="B8" s="9" t="s">
        <v>13284</v>
      </c>
      <c r="C8" s="9" t="s">
        <v>13284</v>
      </c>
      <c r="D8" s="9" t="s">
        <v>13284</v>
      </c>
      <c r="E8" s="9" t="s">
        <v>13284</v>
      </c>
      <c r="F8" s="9" t="s">
        <v>13284</v>
      </c>
      <c r="G8" s="9" t="s">
        <v>13284</v>
      </c>
      <c r="H8" s="9" t="s">
        <v>13284</v>
      </c>
      <c r="I8" s="9" t="s">
        <v>13284</v>
      </c>
      <c r="J8" s="9" t="s">
        <v>13284</v>
      </c>
      <c r="K8" s="9" t="s">
        <v>13284</v>
      </c>
      <c r="L8" s="9" t="s">
        <v>13284</v>
      </c>
      <c r="M8" s="9" t="s">
        <v>13284</v>
      </c>
      <c r="N8" s="9" t="s">
        <v>13284</v>
      </c>
      <c r="O8" s="9" t="s">
        <v>13284</v>
      </c>
      <c r="P8" s="9" t="s">
        <v>13284</v>
      </c>
      <c r="Q8" s="9" t="s">
        <v>13284</v>
      </c>
      <c r="R8" s="9" t="s">
        <v>13284</v>
      </c>
      <c r="S8" s="9" t="s">
        <v>13284</v>
      </c>
      <c r="T8" s="9" t="str">
        <f ca="1">IFERROR(IF(AND(VLOOKUP(A8, 'Актуальное состояние (из общего'!A:C,3,0) = "", A8 &lt;&gt; ""), "ПРОВЕРИТЬ", VLOOKUP(A8, 'Актуальное состояние (из общего'!A:C,3,0)), "")</f>
        <v>Студент</v>
      </c>
      <c r="U8" s="9" t="s">
        <v>13284</v>
      </c>
      <c r="V8" s="9" t="s">
        <v>13284</v>
      </c>
      <c r="W8" s="9"/>
      <c r="X8" s="9" t="str">
        <f t="array" ref="X8">IFERROR(INDEX('Адреса общежитий (скрытый)'!$B$2:$B$9, MATCH(W8, 'Адреса общежитий (скрытый)'!$A$2:$A$9, 0)), "")</f>
        <v/>
      </c>
      <c r="Y8" s="9"/>
      <c r="Z8" s="9"/>
      <c r="AA8" s="9"/>
      <c r="AB8" s="9"/>
      <c r="AC8" s="9"/>
    </row>
    <row r="9" spans="1:32" ht="32.25" customHeight="1">
      <c r="A9" s="8">
        <v>2312576</v>
      </c>
      <c r="B9" s="9" t="s">
        <v>13284</v>
      </c>
      <c r="C9" s="9" t="s">
        <v>13284</v>
      </c>
      <c r="D9" s="9" t="s">
        <v>13284</v>
      </c>
      <c r="E9" s="9" t="s">
        <v>13284</v>
      </c>
      <c r="F9" s="9" t="s">
        <v>13284</v>
      </c>
      <c r="G9" s="9" t="s">
        <v>13284</v>
      </c>
      <c r="H9" s="9" t="s">
        <v>13284</v>
      </c>
      <c r="I9" s="9" t="s">
        <v>13284</v>
      </c>
      <c r="J9" s="9" t="s">
        <v>13284</v>
      </c>
      <c r="K9" s="9" t="s">
        <v>13284</v>
      </c>
      <c r="L9" s="9" t="s">
        <v>13284</v>
      </c>
      <c r="M9" s="9" t="s">
        <v>13284</v>
      </c>
      <c r="N9" s="9" t="s">
        <v>13284</v>
      </c>
      <c r="O9" s="9" t="s">
        <v>13284</v>
      </c>
      <c r="P9" s="9" t="s">
        <v>13284</v>
      </c>
      <c r="Q9" s="9" t="s">
        <v>13284</v>
      </c>
      <c r="R9" s="9" t="s">
        <v>13284</v>
      </c>
      <c r="S9" s="9" t="s">
        <v>13284</v>
      </c>
      <c r="T9" s="9" t="str">
        <f ca="1">IFERROR(IF(AND(VLOOKUP(A9, 'Актуальное состояние (из общего'!A:C,3,0) = "", A9 &lt;&gt; ""), "ПРОВЕРИТЬ", VLOOKUP(A9, 'Актуальное состояние (из общего'!A:C,3,0)), "")</f>
        <v>Студент</v>
      </c>
      <c r="U9" s="9" t="s">
        <v>13284</v>
      </c>
      <c r="V9" s="9" t="s">
        <v>13284</v>
      </c>
      <c r="W9" s="9" t="s">
        <v>196</v>
      </c>
      <c r="X9" s="9" t="str">
        <f t="array" ref="X9">IFERROR(INDEX('Адреса общежитий (скрытый)'!$B$2:$B$9, MATCH(W9, 'Адреса общежитий (скрытый)'!$A$2:$A$9, 0)), "")</f>
        <v>проспект 60-летия Октября, д.15</v>
      </c>
      <c r="Y9" s="9"/>
      <c r="Z9" s="9"/>
      <c r="AA9" s="9"/>
      <c r="AB9" s="9"/>
      <c r="AC9" s="9"/>
    </row>
    <row r="10" spans="1:32" ht="32.25" customHeight="1">
      <c r="A10" s="8">
        <v>2301615</v>
      </c>
      <c r="B10" s="9" t="s">
        <v>13284</v>
      </c>
      <c r="C10" s="9" t="s">
        <v>13284</v>
      </c>
      <c r="D10" s="9" t="s">
        <v>13284</v>
      </c>
      <c r="E10" s="9" t="s">
        <v>13284</v>
      </c>
      <c r="F10" s="9" t="s">
        <v>13284</v>
      </c>
      <c r="G10" s="9" t="s">
        <v>13284</v>
      </c>
      <c r="H10" s="9" t="s">
        <v>13284</v>
      </c>
      <c r="I10" s="9" t="s">
        <v>13284</v>
      </c>
      <c r="J10" s="9" t="s">
        <v>13284</v>
      </c>
      <c r="K10" s="9" t="s">
        <v>13284</v>
      </c>
      <c r="L10" s="9" t="s">
        <v>13284</v>
      </c>
      <c r="M10" s="9" t="s">
        <v>13284</v>
      </c>
      <c r="N10" s="9" t="s">
        <v>13284</v>
      </c>
      <c r="O10" s="9" t="s">
        <v>13284</v>
      </c>
      <c r="P10" s="9" t="s">
        <v>13284</v>
      </c>
      <c r="Q10" s="9" t="s">
        <v>13284</v>
      </c>
      <c r="R10" s="9" t="s">
        <v>13284</v>
      </c>
      <c r="S10" s="9" t="s">
        <v>13284</v>
      </c>
      <c r="T10" s="9" t="str">
        <f ca="1">IFERROR(IF(AND(VLOOKUP(A10, 'Актуальное состояние (из общего'!A:C,3,0) = "", A10 &lt;&gt; ""), "ПРОВЕРИТЬ", VLOOKUP(A10, 'Актуальное состояние (из общего'!A:C,3,0)), "")</f>
        <v>Студент</v>
      </c>
      <c r="U10" s="9" t="s">
        <v>13284</v>
      </c>
      <c r="V10" s="9" t="s">
        <v>13284</v>
      </c>
      <c r="W10" s="9"/>
      <c r="X10" s="9" t="str">
        <f t="array" ref="X10">IFERROR(INDEX('Адреса общежитий (скрытый)'!$B$2:$B$9, MATCH(W10, 'Адреса общежитий (скрытый)'!$A$2:$A$9, 0)), "")</f>
        <v/>
      </c>
      <c r="Y10" s="9"/>
      <c r="Z10" s="9"/>
      <c r="AA10" s="9"/>
      <c r="AB10" s="9"/>
      <c r="AC10" s="9"/>
    </row>
    <row r="11" spans="1:32" ht="32.25" customHeight="1">
      <c r="A11" s="8">
        <v>2303818</v>
      </c>
      <c r="B11" s="9" t="s">
        <v>13284</v>
      </c>
      <c r="C11" s="9" t="s">
        <v>13284</v>
      </c>
      <c r="D11" s="9" t="s">
        <v>13284</v>
      </c>
      <c r="E11" s="9" t="s">
        <v>13284</v>
      </c>
      <c r="F11" s="9" t="s">
        <v>13284</v>
      </c>
      <c r="G11" s="9" t="s">
        <v>13284</v>
      </c>
      <c r="H11" s="9" t="s">
        <v>13284</v>
      </c>
      <c r="I11" s="9" t="s">
        <v>13284</v>
      </c>
      <c r="J11" s="9" t="s">
        <v>13284</v>
      </c>
      <c r="K11" s="9" t="s">
        <v>13284</v>
      </c>
      <c r="L11" s="9" t="s">
        <v>13284</v>
      </c>
      <c r="M11" s="9" t="s">
        <v>13284</v>
      </c>
      <c r="N11" s="9" t="s">
        <v>13284</v>
      </c>
      <c r="O11" s="9" t="s">
        <v>13284</v>
      </c>
      <c r="P11" s="9" t="s">
        <v>13284</v>
      </c>
      <c r="Q11" s="9" t="s">
        <v>13284</v>
      </c>
      <c r="R11" s="9" t="s">
        <v>13284</v>
      </c>
      <c r="S11" s="9" t="s">
        <v>13284</v>
      </c>
      <c r="T11" s="9" t="str">
        <f ca="1">IFERROR(IF(AND(VLOOKUP(A11, 'Актуальное состояние (из общего'!A:C,3,0) = "", A11 &lt;&gt; ""), "ПРОВЕРИТЬ", VLOOKUP(A11, 'Актуальное состояние (из общего'!A:C,3,0)), "")</f>
        <v>Студент</v>
      </c>
      <c r="U11" s="9" t="s">
        <v>13284</v>
      </c>
      <c r="V11" s="9" t="s">
        <v>13284</v>
      </c>
      <c r="W11" s="9" t="s">
        <v>64</v>
      </c>
      <c r="X11" s="9" t="str">
        <f t="array" ref="X11">IFERROR(INDEX('Адреса общежитий (скрытый)'!$B$2:$B$9, MATCH(W11, 'Адреса общежитий (скрытый)'!$A$2:$A$9, 0)), "")</f>
        <v>проспект 60-летия Октября, д.11</v>
      </c>
      <c r="Y11" s="9" t="s">
        <v>2373</v>
      </c>
      <c r="Z11" s="9"/>
      <c r="AA11" s="9"/>
      <c r="AB11" s="9"/>
      <c r="AC11" s="9"/>
    </row>
    <row r="12" spans="1:32" ht="32.25" customHeight="1">
      <c r="A12" s="8">
        <v>2310989</v>
      </c>
      <c r="B12" s="9" t="s">
        <v>13284</v>
      </c>
      <c r="C12" s="9" t="s">
        <v>13284</v>
      </c>
      <c r="D12" s="9" t="s">
        <v>13284</v>
      </c>
      <c r="E12" s="9" t="s">
        <v>13284</v>
      </c>
      <c r="F12" s="9" t="s">
        <v>13284</v>
      </c>
      <c r="G12" s="9" t="s">
        <v>13284</v>
      </c>
      <c r="H12" s="9" t="s">
        <v>13284</v>
      </c>
      <c r="I12" s="9" t="s">
        <v>13284</v>
      </c>
      <c r="J12" s="9" t="s">
        <v>13284</v>
      </c>
      <c r="K12" s="9" t="s">
        <v>13284</v>
      </c>
      <c r="L12" s="9" t="s">
        <v>13284</v>
      </c>
      <c r="M12" s="9" t="s">
        <v>13284</v>
      </c>
      <c r="N12" s="9" t="s">
        <v>13284</v>
      </c>
      <c r="O12" s="9" t="s">
        <v>13284</v>
      </c>
      <c r="P12" s="9" t="s">
        <v>13284</v>
      </c>
      <c r="Q12" s="9" t="s">
        <v>13284</v>
      </c>
      <c r="R12" s="9" t="s">
        <v>13284</v>
      </c>
      <c r="S12" s="9" t="s">
        <v>13284</v>
      </c>
      <c r="T12" s="9" t="str">
        <f ca="1">IFERROR(IF(AND(VLOOKUP(A12, 'Актуальное состояние (из общего'!A:C,3,0) = "", A12 &lt;&gt; ""), "ПРОВЕРИТЬ", VLOOKUP(A12, 'Актуальное состояние (из общего'!A:C,3,0)), "")</f>
        <v>Студент</v>
      </c>
      <c r="U12" s="9" t="s">
        <v>13284</v>
      </c>
      <c r="V12" s="9" t="s">
        <v>13284</v>
      </c>
      <c r="W12" s="9" t="s">
        <v>64</v>
      </c>
      <c r="X12" s="9" t="str">
        <f t="array" ref="X12">IFERROR(INDEX('Адреса общежитий (скрытый)'!$B$2:$B$9, MATCH(W12, 'Адреса общежитий (скрытый)'!$A$2:$A$9, 0)), "")</f>
        <v>проспект 60-летия Октября, д.11</v>
      </c>
      <c r="Y12" s="9"/>
      <c r="Z12" s="9"/>
      <c r="AA12" s="9"/>
      <c r="AB12" s="9"/>
      <c r="AC12" s="9"/>
    </row>
    <row r="13" spans="1:32" ht="32.25" customHeight="1">
      <c r="A13" s="8">
        <v>2306413</v>
      </c>
      <c r="B13" s="9" t="s">
        <v>13284</v>
      </c>
      <c r="C13" s="9" t="s">
        <v>13284</v>
      </c>
      <c r="D13" s="9" t="s">
        <v>13284</v>
      </c>
      <c r="E13" s="9" t="s">
        <v>13284</v>
      </c>
      <c r="F13" s="9" t="s">
        <v>13284</v>
      </c>
      <c r="G13" s="9" t="s">
        <v>13284</v>
      </c>
      <c r="H13" s="9" t="s">
        <v>13284</v>
      </c>
      <c r="I13" s="9" t="s">
        <v>13284</v>
      </c>
      <c r="J13" s="9" t="s">
        <v>13284</v>
      </c>
      <c r="K13" s="9" t="s">
        <v>13284</v>
      </c>
      <c r="L13" s="9" t="s">
        <v>13284</v>
      </c>
      <c r="M13" s="9" t="s">
        <v>13284</v>
      </c>
      <c r="N13" s="9" t="s">
        <v>13284</v>
      </c>
      <c r="O13" s="9" t="s">
        <v>13284</v>
      </c>
      <c r="P13" s="9" t="s">
        <v>13284</v>
      </c>
      <c r="Q13" s="9" t="s">
        <v>13284</v>
      </c>
      <c r="R13" s="9" t="s">
        <v>13284</v>
      </c>
      <c r="S13" s="9" t="s">
        <v>13284</v>
      </c>
      <c r="T13" s="9" t="str">
        <f ca="1">IFERROR(IF(AND(VLOOKUP(A13, 'Актуальное состояние (из общего'!A:C,3,0) = "", A13 &lt;&gt; ""), "ПРОВЕРИТЬ", VLOOKUP(A13, 'Актуальное состояние (из общего'!A:C,3,0)), "")</f>
        <v>Студент</v>
      </c>
      <c r="U13" s="9" t="s">
        <v>13284</v>
      </c>
      <c r="V13" s="9" t="s">
        <v>13284</v>
      </c>
      <c r="W13" s="9"/>
      <c r="X13" s="9" t="str">
        <f t="array" ref="X13">IFERROR(INDEX('Адреса общежитий (скрытый)'!$B$2:$B$9, MATCH(W13, 'Адреса общежитий (скрытый)'!$A$2:$A$9, 0)), "")</f>
        <v/>
      </c>
      <c r="Y13" s="9"/>
      <c r="Z13" s="9"/>
      <c r="AA13" s="9"/>
      <c r="AB13" s="9"/>
      <c r="AC13" s="9"/>
    </row>
    <row r="14" spans="1:32" ht="32.25" customHeight="1">
      <c r="A14" s="8">
        <v>2309729</v>
      </c>
      <c r="B14" s="9" t="s">
        <v>13284</v>
      </c>
      <c r="C14" s="9" t="s">
        <v>13284</v>
      </c>
      <c r="D14" s="9" t="s">
        <v>13284</v>
      </c>
      <c r="E14" s="9" t="s">
        <v>13284</v>
      </c>
      <c r="F14" s="9" t="s">
        <v>13284</v>
      </c>
      <c r="G14" s="9" t="s">
        <v>13284</v>
      </c>
      <c r="H14" s="9" t="s">
        <v>13284</v>
      </c>
      <c r="I14" s="9" t="s">
        <v>13284</v>
      </c>
      <c r="J14" s="9" t="s">
        <v>13284</v>
      </c>
      <c r="K14" s="9" t="s">
        <v>13284</v>
      </c>
      <c r="L14" s="9" t="s">
        <v>13284</v>
      </c>
      <c r="M14" s="9" t="s">
        <v>13284</v>
      </c>
      <c r="N14" s="9" t="s">
        <v>13284</v>
      </c>
      <c r="O14" s="9" t="s">
        <v>13284</v>
      </c>
      <c r="P14" s="9" t="s">
        <v>13284</v>
      </c>
      <c r="Q14" s="9" t="s">
        <v>13284</v>
      </c>
      <c r="R14" s="9" t="s">
        <v>13284</v>
      </c>
      <c r="S14" s="9" t="s">
        <v>13284</v>
      </c>
      <c r="T14" s="9" t="str">
        <f ca="1">IFERROR(IF(AND(VLOOKUP(A14, 'Актуальное состояние (из общего'!A:C,3,0) = "", A14 &lt;&gt; ""), "ПРОВЕРИТЬ", VLOOKUP(A14, 'Актуальное состояние (из общего'!A:C,3,0)), "")</f>
        <v>Студент</v>
      </c>
      <c r="U14" s="9" t="s">
        <v>13284</v>
      </c>
      <c r="V14" s="9" t="s">
        <v>13284</v>
      </c>
      <c r="W14" s="9" t="s">
        <v>319</v>
      </c>
      <c r="X14" s="9" t="str">
        <f t="array" ref="X14">IFERROR(INDEX('Адреса общежитий (скрытый)'!$B$2:$B$9, MATCH(W14, 'Адреса общежитий (скрытый)'!$A$2:$A$9, 0)), "")</f>
        <v>ул. Профсоюзная, д.83, корп. 2</v>
      </c>
      <c r="Y14" s="9"/>
      <c r="Z14" s="9"/>
      <c r="AA14" s="9"/>
      <c r="AB14" s="9"/>
      <c r="AC14" s="9"/>
    </row>
    <row r="15" spans="1:32" ht="32.25" customHeight="1">
      <c r="A15" s="8">
        <v>2304824</v>
      </c>
      <c r="B15" s="9" t="s">
        <v>13284</v>
      </c>
      <c r="C15" s="9" t="s">
        <v>13284</v>
      </c>
      <c r="D15" s="9" t="s">
        <v>13284</v>
      </c>
      <c r="E15" s="9" t="s">
        <v>13284</v>
      </c>
      <c r="F15" s="9" t="s">
        <v>13284</v>
      </c>
      <c r="G15" s="9" t="s">
        <v>13284</v>
      </c>
      <c r="H15" s="9" t="s">
        <v>13284</v>
      </c>
      <c r="I15" s="9" t="s">
        <v>13284</v>
      </c>
      <c r="J15" s="9" t="s">
        <v>13284</v>
      </c>
      <c r="K15" s="9" t="s">
        <v>13284</v>
      </c>
      <c r="L15" s="9" t="s">
        <v>13284</v>
      </c>
      <c r="M15" s="9" t="s">
        <v>13284</v>
      </c>
      <c r="N15" s="9" t="s">
        <v>13284</v>
      </c>
      <c r="O15" s="9" t="s">
        <v>13284</v>
      </c>
      <c r="P15" s="9" t="s">
        <v>13284</v>
      </c>
      <c r="Q15" s="9" t="s">
        <v>13284</v>
      </c>
      <c r="R15" s="9" t="s">
        <v>13284</v>
      </c>
      <c r="S15" s="9" t="s">
        <v>13284</v>
      </c>
      <c r="T15" s="9" t="str">
        <f ca="1">IFERROR(IF(AND(VLOOKUP(A15, 'Актуальное состояние (из общего'!A:C,3,0) = "", A15 &lt;&gt; ""), "ПРОВЕРИТЬ", VLOOKUP(A15, 'Актуальное состояние (из общего'!A:C,3,0)), "")</f>
        <v>Студент</v>
      </c>
      <c r="U15" s="9" t="s">
        <v>13284</v>
      </c>
      <c r="V15" s="9" t="s">
        <v>13284</v>
      </c>
      <c r="W15" s="9" t="s">
        <v>64</v>
      </c>
      <c r="X15" s="9" t="str">
        <f t="array" ref="X15">IFERROR(INDEX('Адреса общежитий (скрытый)'!$B$2:$B$9, MATCH(W15, 'Адреса общежитий (скрытый)'!$A$2:$A$9, 0)), "")</f>
        <v>проспект 60-летия Октября, д.11</v>
      </c>
      <c r="Y15" s="9"/>
      <c r="Z15" s="9"/>
      <c r="AA15" s="9"/>
      <c r="AB15" s="9"/>
      <c r="AC15" s="9"/>
    </row>
    <row r="16" spans="1:32" ht="32.25" customHeight="1">
      <c r="A16" s="8">
        <v>2307899</v>
      </c>
      <c r="B16" s="9" t="s">
        <v>13284</v>
      </c>
      <c r="C16" s="9" t="s">
        <v>13284</v>
      </c>
      <c r="D16" s="9" t="s">
        <v>13284</v>
      </c>
      <c r="E16" s="9" t="s">
        <v>13284</v>
      </c>
      <c r="F16" s="9" t="s">
        <v>13284</v>
      </c>
      <c r="G16" s="9" t="s">
        <v>13284</v>
      </c>
      <c r="H16" s="9" t="s">
        <v>13284</v>
      </c>
      <c r="I16" s="9" t="s">
        <v>13284</v>
      </c>
      <c r="J16" s="9" t="s">
        <v>13284</v>
      </c>
      <c r="K16" s="9" t="s">
        <v>13284</v>
      </c>
      <c r="L16" s="9" t="s">
        <v>13284</v>
      </c>
      <c r="M16" s="9" t="s">
        <v>13284</v>
      </c>
      <c r="N16" s="9" t="s">
        <v>13284</v>
      </c>
      <c r="O16" s="9" t="s">
        <v>13284</v>
      </c>
      <c r="P16" s="9" t="s">
        <v>13284</v>
      </c>
      <c r="Q16" s="9" t="s">
        <v>13284</v>
      </c>
      <c r="R16" s="9" t="s">
        <v>13284</v>
      </c>
      <c r="S16" s="9" t="s">
        <v>13284</v>
      </c>
      <c r="T16" s="9" t="str">
        <f ca="1">IFERROR(IF(AND(VLOOKUP(A16, 'Актуальное состояние (из общего'!A:C,3,0) = "", A16 &lt;&gt; ""), "ПРОВЕРИТЬ", VLOOKUP(A16, 'Актуальное состояние (из общего'!A:C,3,0)), "")</f>
        <v>Студент</v>
      </c>
      <c r="U16" s="9" t="s">
        <v>13284</v>
      </c>
      <c r="V16" s="9" t="s">
        <v>13284</v>
      </c>
      <c r="W16" s="9" t="s">
        <v>64</v>
      </c>
      <c r="X16" s="9" t="str">
        <f t="array" ref="X16">IFERROR(INDEX('Адреса общежитий (скрытый)'!$B$2:$B$9, MATCH(W16, 'Адреса общежитий (скрытый)'!$A$2:$A$9, 0)), "")</f>
        <v>проспект 60-летия Октября, д.11</v>
      </c>
      <c r="Y16" s="9"/>
      <c r="Z16" s="9"/>
      <c r="AA16" s="9"/>
      <c r="AB16" s="9"/>
      <c r="AC16" s="9"/>
    </row>
    <row r="17" spans="1:29" ht="32.25" customHeight="1">
      <c r="A17" s="8">
        <v>2304166</v>
      </c>
      <c r="B17" s="9" t="s">
        <v>13284</v>
      </c>
      <c r="C17" s="9" t="s">
        <v>13284</v>
      </c>
      <c r="D17" s="9" t="s">
        <v>13284</v>
      </c>
      <c r="E17" s="9" t="s">
        <v>13284</v>
      </c>
      <c r="F17" s="9" t="s">
        <v>13284</v>
      </c>
      <c r="G17" s="9" t="s">
        <v>13284</v>
      </c>
      <c r="H17" s="9" t="s">
        <v>13284</v>
      </c>
      <c r="I17" s="9" t="s">
        <v>13284</v>
      </c>
      <c r="J17" s="9" t="s">
        <v>13284</v>
      </c>
      <c r="K17" s="9" t="s">
        <v>13284</v>
      </c>
      <c r="L17" s="9" t="s">
        <v>13284</v>
      </c>
      <c r="M17" s="9" t="s">
        <v>13284</v>
      </c>
      <c r="N17" s="9" t="s">
        <v>13284</v>
      </c>
      <c r="O17" s="9" t="s">
        <v>13284</v>
      </c>
      <c r="P17" s="9" t="s">
        <v>13284</v>
      </c>
      <c r="Q17" s="9" t="s">
        <v>13284</v>
      </c>
      <c r="R17" s="9" t="s">
        <v>13284</v>
      </c>
      <c r="S17" s="9" t="s">
        <v>13284</v>
      </c>
      <c r="T17" s="9" t="str">
        <f ca="1">IFERROR(IF(AND(VLOOKUP(A17, 'Актуальное состояние (из общего'!A:C,3,0) = "", A17 &lt;&gt; ""), "ПРОВЕРИТЬ", VLOOKUP(A17, 'Актуальное состояние (из общего'!A:C,3,0)), "")</f>
        <v>Студент</v>
      </c>
      <c r="U17" s="9" t="s">
        <v>13284</v>
      </c>
      <c r="V17" s="9" t="s">
        <v>13284</v>
      </c>
      <c r="W17" s="9" t="s">
        <v>64</v>
      </c>
      <c r="X17" s="9" t="str">
        <f t="array" ref="X17">IFERROR(INDEX('Адреса общежитий (скрытый)'!$B$2:$B$9, MATCH(W17, 'Адреса общежитий (скрытый)'!$A$2:$A$9, 0)), "")</f>
        <v>проспект 60-летия Октября, д.11</v>
      </c>
      <c r="Y17" s="9"/>
      <c r="Z17" s="9"/>
      <c r="AA17" s="9"/>
      <c r="AB17" s="9"/>
      <c r="AC17" s="9"/>
    </row>
    <row r="18" spans="1:29" ht="32.25" hidden="1" customHeight="1">
      <c r="A18" s="8">
        <v>2310109</v>
      </c>
      <c r="B18" s="9" t="s">
        <v>13284</v>
      </c>
      <c r="C18" s="9" t="s">
        <v>13284</v>
      </c>
      <c r="D18" s="9" t="s">
        <v>13284</v>
      </c>
      <c r="E18" s="9" t="s">
        <v>13284</v>
      </c>
      <c r="F18" s="9" t="s">
        <v>13284</v>
      </c>
      <c r="G18" s="9" t="s">
        <v>13284</v>
      </c>
      <c r="H18" s="9" t="s">
        <v>13284</v>
      </c>
      <c r="I18" s="9" t="s">
        <v>13284</v>
      </c>
      <c r="J18" s="9" t="s">
        <v>13284</v>
      </c>
      <c r="K18" s="9" t="s">
        <v>13284</v>
      </c>
      <c r="L18" s="9" t="s">
        <v>13284</v>
      </c>
      <c r="M18" s="9" t="s">
        <v>13284</v>
      </c>
      <c r="N18" s="9" t="s">
        <v>13284</v>
      </c>
      <c r="O18" s="9" t="s">
        <v>13284</v>
      </c>
      <c r="P18" s="9" t="s">
        <v>13284</v>
      </c>
      <c r="Q18" s="9" t="s">
        <v>13284</v>
      </c>
      <c r="R18" s="9" t="s">
        <v>13284</v>
      </c>
      <c r="S18" s="9" t="s">
        <v>13284</v>
      </c>
      <c r="T18" s="9" t="str">
        <f ca="1">IFERROR(IF(AND(VLOOKUP(A18, 'Актуальное состояние (из общего'!A:C,3,0) = "", A18 &lt;&gt; ""), "ПРОВЕРИТЬ", VLOOKUP(A18, 'Актуальное состояние (из общего'!A:C,3,0)), "")</f>
        <v>Студент</v>
      </c>
      <c r="U18" s="9" t="s">
        <v>13284</v>
      </c>
      <c r="V18" s="9" t="s">
        <v>13284</v>
      </c>
      <c r="W18" s="9"/>
      <c r="X18" s="9" t="str">
        <f t="array" ref="X18">IFERROR(INDEX('Адреса общежитий (скрытый)'!$B$2:$B$9, MATCH(W18, 'Адреса общежитий (скрытый)'!$A$2:$A$9, 0)), "")</f>
        <v/>
      </c>
      <c r="Y18" s="9"/>
      <c r="Z18" s="9"/>
      <c r="AA18" s="9"/>
      <c r="AB18" s="9"/>
      <c r="AC18" s="9"/>
    </row>
    <row r="19" spans="1:29" ht="32.25" customHeight="1">
      <c r="A19" s="8">
        <v>2305946</v>
      </c>
      <c r="B19" s="9" t="s">
        <v>13284</v>
      </c>
      <c r="C19" s="9" t="s">
        <v>13284</v>
      </c>
      <c r="D19" s="9" t="s">
        <v>13284</v>
      </c>
      <c r="E19" s="9" t="s">
        <v>13284</v>
      </c>
      <c r="F19" s="9" t="s">
        <v>13284</v>
      </c>
      <c r="G19" s="9" t="s">
        <v>13284</v>
      </c>
      <c r="H19" s="9" t="s">
        <v>13284</v>
      </c>
      <c r="I19" s="9" t="s">
        <v>13284</v>
      </c>
      <c r="J19" s="9" t="s">
        <v>13284</v>
      </c>
      <c r="K19" s="9" t="s">
        <v>13284</v>
      </c>
      <c r="L19" s="9" t="s">
        <v>13284</v>
      </c>
      <c r="M19" s="9" t="s">
        <v>13284</v>
      </c>
      <c r="N19" s="9" t="s">
        <v>13284</v>
      </c>
      <c r="O19" s="9" t="s">
        <v>13284</v>
      </c>
      <c r="P19" s="9" t="s">
        <v>13284</v>
      </c>
      <c r="Q19" s="9" t="s">
        <v>13284</v>
      </c>
      <c r="R19" s="9" t="s">
        <v>13284</v>
      </c>
      <c r="S19" s="9" t="s">
        <v>13284</v>
      </c>
      <c r="T19" s="9" t="str">
        <f ca="1">IFERROR(IF(AND(VLOOKUP(A19, 'Актуальное состояние (из общего'!A:C,3,0) = "", A19 &lt;&gt; ""), "ПРОВЕРИТЬ", VLOOKUP(A19, 'Актуальное состояние (из общего'!A:C,3,0)), "")</f>
        <v>Студент</v>
      </c>
      <c r="U19" s="9" t="s">
        <v>13284</v>
      </c>
      <c r="V19" s="9" t="s">
        <v>13284</v>
      </c>
      <c r="W19" s="9"/>
      <c r="X19" s="9" t="str">
        <f t="array" ref="X19">IFERROR(INDEX('Адреса общежитий (скрытый)'!$B$2:$B$9, MATCH(W19, 'Адреса общежитий (скрытый)'!$A$2:$A$9, 0)), "")</f>
        <v/>
      </c>
      <c r="Y19" s="9"/>
      <c r="Z19" s="9"/>
      <c r="AA19" s="9"/>
      <c r="AB19" s="9"/>
      <c r="AC19" s="9"/>
    </row>
    <row r="20" spans="1:29" ht="32.25" customHeight="1">
      <c r="A20" s="8">
        <v>2310912</v>
      </c>
      <c r="B20" s="9" t="s">
        <v>13284</v>
      </c>
      <c r="C20" s="9" t="s">
        <v>13284</v>
      </c>
      <c r="D20" s="9" t="s">
        <v>13284</v>
      </c>
      <c r="E20" s="9" t="s">
        <v>13284</v>
      </c>
      <c r="F20" s="9" t="s">
        <v>13284</v>
      </c>
      <c r="G20" s="9" t="s">
        <v>13284</v>
      </c>
      <c r="H20" s="9" t="s">
        <v>13284</v>
      </c>
      <c r="I20" s="9" t="s">
        <v>13284</v>
      </c>
      <c r="J20" s="9" t="s">
        <v>13284</v>
      </c>
      <c r="K20" s="9" t="s">
        <v>13284</v>
      </c>
      <c r="L20" s="9" t="s">
        <v>13284</v>
      </c>
      <c r="M20" s="9" t="s">
        <v>13284</v>
      </c>
      <c r="N20" s="9" t="s">
        <v>13284</v>
      </c>
      <c r="O20" s="9" t="s">
        <v>13284</v>
      </c>
      <c r="P20" s="9" t="s">
        <v>13284</v>
      </c>
      <c r="Q20" s="9" t="s">
        <v>13284</v>
      </c>
      <c r="R20" s="9" t="s">
        <v>13284</v>
      </c>
      <c r="S20" s="9" t="s">
        <v>13284</v>
      </c>
      <c r="T20" s="9" t="str">
        <f ca="1">IFERROR(IF(AND(VLOOKUP(A20, 'Актуальное состояние (из общего'!A:C,3,0) = "", A20 &lt;&gt; ""), "ПРОВЕРИТЬ", VLOOKUP(A20, 'Актуальное состояние (из общего'!A:C,3,0)), "")</f>
        <v>Студент</v>
      </c>
      <c r="U20" s="9" t="s">
        <v>13284</v>
      </c>
      <c r="V20" s="9" t="s">
        <v>13284</v>
      </c>
      <c r="W20" s="9"/>
      <c r="X20" s="9" t="str">
        <f t="array" ref="X20">IFERROR(INDEX('Адреса общежитий (скрытый)'!$B$2:$B$9, MATCH(W20, 'Адреса общежитий (скрытый)'!$A$2:$A$9, 0)), "")</f>
        <v/>
      </c>
      <c r="Y20" s="9"/>
      <c r="Z20" s="9"/>
      <c r="AA20" s="9"/>
      <c r="AB20" s="9"/>
      <c r="AC20" s="9"/>
    </row>
    <row r="21" spans="1:29" ht="32.25" hidden="1" customHeight="1">
      <c r="A21" s="8">
        <v>2303770</v>
      </c>
      <c r="B21" s="9" t="s">
        <v>13284</v>
      </c>
      <c r="C21" s="9" t="s">
        <v>13284</v>
      </c>
      <c r="D21" s="9" t="s">
        <v>13284</v>
      </c>
      <c r="E21" s="9" t="s">
        <v>13284</v>
      </c>
      <c r="F21" s="9" t="s">
        <v>13284</v>
      </c>
      <c r="G21" s="9" t="s">
        <v>13284</v>
      </c>
      <c r="H21" s="9" t="s">
        <v>13284</v>
      </c>
      <c r="I21" s="9" t="s">
        <v>13284</v>
      </c>
      <c r="J21" s="9" t="s">
        <v>13284</v>
      </c>
      <c r="K21" s="9" t="s">
        <v>13284</v>
      </c>
      <c r="L21" s="9" t="s">
        <v>13284</v>
      </c>
      <c r="M21" s="9" t="s">
        <v>13284</v>
      </c>
      <c r="N21" s="9" t="s">
        <v>13284</v>
      </c>
      <c r="O21" s="9" t="s">
        <v>13284</v>
      </c>
      <c r="P21" s="9" t="s">
        <v>13284</v>
      </c>
      <c r="Q21" s="9" t="s">
        <v>13284</v>
      </c>
      <c r="R21" s="9" t="s">
        <v>13284</v>
      </c>
      <c r="S21" s="9" t="s">
        <v>13284</v>
      </c>
      <c r="T21" s="9" t="str">
        <f ca="1">IFERROR(IF(AND(VLOOKUP(A21, 'Актуальное состояние (из общего'!A:C,3,0) = "", A21 &lt;&gt; ""), "ПРОВЕРИТЬ", VLOOKUP(A21, 'Актуальное состояние (из общего'!A:C,3,0)), "")</f>
        <v>Студент</v>
      </c>
      <c r="U21" s="9" t="s">
        <v>13284</v>
      </c>
      <c r="V21" s="9" t="s">
        <v>13284</v>
      </c>
      <c r="W21" s="9"/>
      <c r="X21" s="9" t="str">
        <f t="array" ref="X21">IFERROR(INDEX('Адреса общежитий (скрытый)'!$B$2:$B$9, MATCH(W21, 'Адреса общежитий (скрытый)'!$A$2:$A$9, 0)), "")</f>
        <v/>
      </c>
      <c r="Y21" s="9"/>
      <c r="Z21" s="9"/>
      <c r="AA21" s="9"/>
      <c r="AB21" s="9"/>
      <c r="AC21" s="9"/>
    </row>
    <row r="22" spans="1:29" ht="32.25" customHeight="1">
      <c r="A22" s="8">
        <v>2303784</v>
      </c>
      <c r="B22" s="9" t="s">
        <v>13284</v>
      </c>
      <c r="C22" s="9" t="s">
        <v>13284</v>
      </c>
      <c r="D22" s="9" t="s">
        <v>13284</v>
      </c>
      <c r="E22" s="9" t="s">
        <v>13284</v>
      </c>
      <c r="F22" s="9" t="s">
        <v>13284</v>
      </c>
      <c r="G22" s="9" t="s">
        <v>13284</v>
      </c>
      <c r="H22" s="9" t="s">
        <v>13284</v>
      </c>
      <c r="I22" s="9" t="s">
        <v>13284</v>
      </c>
      <c r="J22" s="9" t="s">
        <v>13284</v>
      </c>
      <c r="K22" s="9" t="s">
        <v>13284</v>
      </c>
      <c r="L22" s="9" t="s">
        <v>13284</v>
      </c>
      <c r="M22" s="9" t="s">
        <v>13284</v>
      </c>
      <c r="N22" s="9" t="s">
        <v>13284</v>
      </c>
      <c r="O22" s="9" t="s">
        <v>13284</v>
      </c>
      <c r="P22" s="9" t="s">
        <v>13284</v>
      </c>
      <c r="Q22" s="9" t="s">
        <v>13284</v>
      </c>
      <c r="R22" s="9" t="s">
        <v>13284</v>
      </c>
      <c r="S22" s="9" t="s">
        <v>13284</v>
      </c>
      <c r="T22" s="9" t="str">
        <f ca="1">IFERROR(IF(AND(VLOOKUP(A22, 'Актуальное состояние (из общего'!A:C,3,0) = "", A22 &lt;&gt; ""), "ПРОВЕРИТЬ", VLOOKUP(A22, 'Актуальное состояние (из общего'!A:C,3,0)), "")</f>
        <v>Студент</v>
      </c>
      <c r="U22" s="9" t="s">
        <v>13284</v>
      </c>
      <c r="V22" s="9" t="s">
        <v>13284</v>
      </c>
      <c r="W22" s="9" t="s">
        <v>64</v>
      </c>
      <c r="X22" s="9" t="str">
        <f t="array" ref="X22">IFERROR(INDEX('Адреса общежитий (скрытый)'!$B$2:$B$9, MATCH(W22, 'Адреса общежитий (скрытый)'!$A$2:$A$9, 0)), "")</f>
        <v>проспект 60-летия Октября, д.11</v>
      </c>
      <c r="Y22" s="9"/>
      <c r="Z22" s="9"/>
      <c r="AA22" s="9"/>
      <c r="AB22" s="9"/>
      <c r="AC22" s="9"/>
    </row>
    <row r="23" spans="1:29" ht="32.25" hidden="1" customHeight="1">
      <c r="A23" s="8">
        <v>2313429</v>
      </c>
      <c r="B23" s="9" t="s">
        <v>13284</v>
      </c>
      <c r="C23" s="9" t="s">
        <v>13284</v>
      </c>
      <c r="D23" s="9" t="s">
        <v>13284</v>
      </c>
      <c r="E23" s="9" t="s">
        <v>13284</v>
      </c>
      <c r="F23" s="9" t="s">
        <v>13284</v>
      </c>
      <c r="G23" s="9" t="s">
        <v>13284</v>
      </c>
      <c r="H23" s="9" t="s">
        <v>13284</v>
      </c>
      <c r="I23" s="9" t="s">
        <v>13284</v>
      </c>
      <c r="J23" s="9" t="s">
        <v>13284</v>
      </c>
      <c r="K23" s="9" t="s">
        <v>13284</v>
      </c>
      <c r="L23" s="9" t="s">
        <v>13284</v>
      </c>
      <c r="M23" s="9" t="s">
        <v>13284</v>
      </c>
      <c r="N23" s="9" t="s">
        <v>13284</v>
      </c>
      <c r="O23" s="9" t="s">
        <v>13284</v>
      </c>
      <c r="P23" s="9" t="s">
        <v>13284</v>
      </c>
      <c r="Q23" s="9" t="s">
        <v>13284</v>
      </c>
      <c r="R23" s="9" t="s">
        <v>13284</v>
      </c>
      <c r="S23" s="9" t="s">
        <v>13284</v>
      </c>
      <c r="T23" s="9" t="str">
        <f ca="1">IFERROR(IF(AND(VLOOKUP(A23, 'Актуальное состояние (из общего'!A:C,3,0) = "", A23 &lt;&gt; ""), "ПРОВЕРИТЬ", VLOOKUP(A23, 'Актуальное состояние (из общего'!A:C,3,0)), "")</f>
        <v>Студент</v>
      </c>
      <c r="U23" s="9" t="s">
        <v>13284</v>
      </c>
      <c r="V23" s="9" t="s">
        <v>13284</v>
      </c>
      <c r="W23" s="9"/>
      <c r="X23" s="9" t="str">
        <f t="array" ref="X23">IFERROR(INDEX('Адреса общежитий (скрытый)'!$B$2:$B$9, MATCH(W23, 'Адреса общежитий (скрытый)'!$A$2:$A$9, 0)), "")</f>
        <v/>
      </c>
      <c r="Y23" s="9"/>
      <c r="Z23" s="9"/>
      <c r="AA23" s="9"/>
      <c r="AB23" s="9"/>
      <c r="AC23" s="9"/>
    </row>
    <row r="24" spans="1:29" ht="32.25" customHeight="1">
      <c r="A24" s="8">
        <v>2304976</v>
      </c>
      <c r="B24" s="9" t="s">
        <v>13284</v>
      </c>
      <c r="C24" s="9" t="s">
        <v>13284</v>
      </c>
      <c r="D24" s="9" t="s">
        <v>13284</v>
      </c>
      <c r="E24" s="9" t="s">
        <v>13284</v>
      </c>
      <c r="F24" s="9" t="s">
        <v>13284</v>
      </c>
      <c r="G24" s="9" t="s">
        <v>13284</v>
      </c>
      <c r="H24" s="9" t="s">
        <v>13284</v>
      </c>
      <c r="I24" s="9" t="s">
        <v>13284</v>
      </c>
      <c r="J24" s="9" t="s">
        <v>13284</v>
      </c>
      <c r="K24" s="9" t="s">
        <v>13284</v>
      </c>
      <c r="L24" s="9" t="s">
        <v>13284</v>
      </c>
      <c r="M24" s="9" t="s">
        <v>13284</v>
      </c>
      <c r="N24" s="9" t="s">
        <v>13284</v>
      </c>
      <c r="O24" s="9" t="s">
        <v>13284</v>
      </c>
      <c r="P24" s="9" t="s">
        <v>13284</v>
      </c>
      <c r="Q24" s="9" t="s">
        <v>13284</v>
      </c>
      <c r="R24" s="9" t="s">
        <v>13284</v>
      </c>
      <c r="S24" s="9" t="s">
        <v>13284</v>
      </c>
      <c r="T24" s="9" t="str">
        <f ca="1">IFERROR(IF(AND(VLOOKUP(A24, 'Актуальное состояние (из общего'!A:C,3,0) = "", A24 &lt;&gt; ""), "ПРОВЕРИТЬ", VLOOKUP(A24, 'Актуальное состояние (из общего'!A:C,3,0)), "")</f>
        <v>Студент</v>
      </c>
      <c r="U24" s="9" t="s">
        <v>13284</v>
      </c>
      <c r="V24" s="9" t="s">
        <v>13284</v>
      </c>
      <c r="W24" s="9" t="s">
        <v>64</v>
      </c>
      <c r="X24" s="9" t="str">
        <f t="array" ref="X24">IFERROR(INDEX('Адреса общежитий (скрытый)'!$B$2:$B$9, MATCH(W24, 'Адреса общежитий (скрытый)'!$A$2:$A$9, 0)), "")</f>
        <v>проспект 60-летия Октября, д.11</v>
      </c>
      <c r="Y24" s="9"/>
      <c r="Z24" s="9"/>
      <c r="AA24" s="9"/>
      <c r="AB24" s="9"/>
      <c r="AC24" s="9"/>
    </row>
    <row r="25" spans="1:29" ht="32.25" customHeight="1">
      <c r="A25" s="8">
        <v>2311468</v>
      </c>
      <c r="B25" s="9" t="s">
        <v>13284</v>
      </c>
      <c r="C25" s="9" t="s">
        <v>13284</v>
      </c>
      <c r="D25" s="9" t="s">
        <v>13284</v>
      </c>
      <c r="E25" s="9" t="s">
        <v>13284</v>
      </c>
      <c r="F25" s="9" t="s">
        <v>13284</v>
      </c>
      <c r="G25" s="9" t="s">
        <v>13284</v>
      </c>
      <c r="H25" s="9" t="s">
        <v>13284</v>
      </c>
      <c r="I25" s="9" t="s">
        <v>13284</v>
      </c>
      <c r="J25" s="9" t="s">
        <v>13284</v>
      </c>
      <c r="K25" s="9" t="s">
        <v>13284</v>
      </c>
      <c r="L25" s="9" t="s">
        <v>13284</v>
      </c>
      <c r="M25" s="9" t="s">
        <v>13284</v>
      </c>
      <c r="N25" s="9" t="s">
        <v>13284</v>
      </c>
      <c r="O25" s="9" t="s">
        <v>13284</v>
      </c>
      <c r="P25" s="9" t="s">
        <v>13284</v>
      </c>
      <c r="Q25" s="9" t="s">
        <v>13284</v>
      </c>
      <c r="R25" s="9" t="s">
        <v>13284</v>
      </c>
      <c r="S25" s="9" t="s">
        <v>13284</v>
      </c>
      <c r="T25" s="9" t="str">
        <f ca="1">IFERROR(IF(AND(VLOOKUP(A25, 'Актуальное состояние (из общего'!A:C,3,0) = "", A25 &lt;&gt; ""), "ПРОВЕРИТЬ", VLOOKUP(A25, 'Актуальное состояние (из общего'!A:C,3,0)), "")</f>
        <v>Студент</v>
      </c>
      <c r="U25" s="9" t="s">
        <v>13284</v>
      </c>
      <c r="V25" s="9" t="s">
        <v>13284</v>
      </c>
      <c r="W25" s="9" t="s">
        <v>196</v>
      </c>
      <c r="X25" s="9" t="str">
        <f t="array" ref="X25">IFERROR(INDEX('Адреса общежитий (скрытый)'!$B$2:$B$9, MATCH(W25, 'Адреса общежитий (скрытый)'!$A$2:$A$9, 0)), "")</f>
        <v>проспект 60-летия Октября, д.15</v>
      </c>
      <c r="Y25" s="9"/>
      <c r="Z25" s="9"/>
      <c r="AA25" s="9"/>
      <c r="AB25" s="9"/>
      <c r="AC25" s="9"/>
    </row>
    <row r="26" spans="1:29" ht="32.25" customHeight="1">
      <c r="A26" s="8">
        <v>2306779</v>
      </c>
      <c r="B26" s="9" t="s">
        <v>13284</v>
      </c>
      <c r="C26" s="9" t="s">
        <v>13284</v>
      </c>
      <c r="D26" s="9" t="s">
        <v>13284</v>
      </c>
      <c r="E26" s="9" t="s">
        <v>13284</v>
      </c>
      <c r="F26" s="9" t="s">
        <v>13284</v>
      </c>
      <c r="G26" s="9" t="s">
        <v>13284</v>
      </c>
      <c r="H26" s="9" t="s">
        <v>13284</v>
      </c>
      <c r="I26" s="9" t="s">
        <v>13284</v>
      </c>
      <c r="J26" s="9" t="s">
        <v>13284</v>
      </c>
      <c r="K26" s="9" t="s">
        <v>13284</v>
      </c>
      <c r="L26" s="9" t="s">
        <v>13284</v>
      </c>
      <c r="M26" s="9" t="s">
        <v>13284</v>
      </c>
      <c r="N26" s="9" t="s">
        <v>13284</v>
      </c>
      <c r="O26" s="9" t="s">
        <v>13284</v>
      </c>
      <c r="P26" s="9" t="s">
        <v>13284</v>
      </c>
      <c r="Q26" s="9" t="s">
        <v>13284</v>
      </c>
      <c r="R26" s="9" t="s">
        <v>13284</v>
      </c>
      <c r="S26" s="9" t="s">
        <v>13284</v>
      </c>
      <c r="T26" s="9" t="str">
        <f ca="1">IFERROR(IF(AND(VLOOKUP(A26, 'Актуальное состояние (из общего'!A:C,3,0) = "", A26 &lt;&gt; ""), "ПРОВЕРИТЬ", VLOOKUP(A26, 'Актуальное состояние (из общего'!A:C,3,0)), "")</f>
        <v>Студент</v>
      </c>
      <c r="U26" s="9" t="s">
        <v>13284</v>
      </c>
      <c r="V26" s="9" t="s">
        <v>13284</v>
      </c>
      <c r="W26" s="9" t="s">
        <v>64</v>
      </c>
      <c r="X26" s="9" t="str">
        <f t="array" ref="X26">IFERROR(INDEX('Адреса общежитий (скрытый)'!$B$2:$B$9, MATCH(W26, 'Адреса общежитий (скрытый)'!$A$2:$A$9, 0)), "")</f>
        <v>проспект 60-летия Октября, д.11</v>
      </c>
      <c r="Y26" s="9"/>
      <c r="Z26" s="9"/>
      <c r="AA26" s="9"/>
      <c r="AB26" s="9"/>
      <c r="AC26" s="9"/>
    </row>
    <row r="27" spans="1:29" ht="32.25" hidden="1" customHeight="1">
      <c r="A27" s="8">
        <v>2301058</v>
      </c>
      <c r="B27" s="9" t="s">
        <v>13284</v>
      </c>
      <c r="C27" s="9" t="s">
        <v>13284</v>
      </c>
      <c r="D27" s="9" t="s">
        <v>13284</v>
      </c>
      <c r="E27" s="9" t="s">
        <v>13284</v>
      </c>
      <c r="F27" s="9" t="s">
        <v>13284</v>
      </c>
      <c r="G27" s="9" t="s">
        <v>13284</v>
      </c>
      <c r="H27" s="9" t="s">
        <v>13284</v>
      </c>
      <c r="I27" s="9" t="s">
        <v>13284</v>
      </c>
      <c r="J27" s="9" t="s">
        <v>13284</v>
      </c>
      <c r="K27" s="9" t="s">
        <v>13284</v>
      </c>
      <c r="L27" s="9" t="s">
        <v>13284</v>
      </c>
      <c r="M27" s="9" t="s">
        <v>13284</v>
      </c>
      <c r="N27" s="9" t="s">
        <v>13284</v>
      </c>
      <c r="O27" s="9" t="s">
        <v>13284</v>
      </c>
      <c r="P27" s="9" t="s">
        <v>13284</v>
      </c>
      <c r="Q27" s="9" t="s">
        <v>13284</v>
      </c>
      <c r="R27" s="9" t="s">
        <v>13284</v>
      </c>
      <c r="S27" s="9" t="s">
        <v>13284</v>
      </c>
      <c r="T27" s="9" t="str">
        <f ca="1">IFERROR(IF(AND(VLOOKUP(A27, 'Актуальное состояние (из общего'!A:C,3,0) = "", A27 &lt;&gt; ""), "ПРОВЕРИТЬ", VLOOKUP(A27, 'Актуальное состояние (из общего'!A:C,3,0)), "")</f>
        <v>Студент</v>
      </c>
      <c r="U27" s="9" t="s">
        <v>13284</v>
      </c>
      <c r="V27" s="9" t="s">
        <v>13284</v>
      </c>
      <c r="W27" s="9"/>
      <c r="X27" s="9" t="str">
        <f t="array" ref="X27">IFERROR(INDEX('Адреса общежитий (скрытый)'!$B$2:$B$9, MATCH(W27, 'Адреса общежитий (скрытый)'!$A$2:$A$9, 0)), "")</f>
        <v/>
      </c>
      <c r="Y27" s="9"/>
      <c r="Z27" s="9"/>
      <c r="AA27" s="9"/>
      <c r="AB27" s="9"/>
      <c r="AC27" s="9"/>
    </row>
    <row r="28" spans="1:29" ht="32.25" customHeight="1">
      <c r="A28" s="8">
        <v>2305862</v>
      </c>
      <c r="B28" s="9" t="s">
        <v>13284</v>
      </c>
      <c r="C28" s="9" t="s">
        <v>13284</v>
      </c>
      <c r="D28" s="9" t="s">
        <v>13284</v>
      </c>
      <c r="E28" s="9" t="s">
        <v>13284</v>
      </c>
      <c r="F28" s="9" t="s">
        <v>13284</v>
      </c>
      <c r="G28" s="9" t="s">
        <v>13284</v>
      </c>
      <c r="H28" s="9" t="s">
        <v>13284</v>
      </c>
      <c r="I28" s="9" t="s">
        <v>13284</v>
      </c>
      <c r="J28" s="9" t="s">
        <v>13284</v>
      </c>
      <c r="K28" s="9" t="s">
        <v>13284</v>
      </c>
      <c r="L28" s="9" t="s">
        <v>13284</v>
      </c>
      <c r="M28" s="9" t="s">
        <v>13284</v>
      </c>
      <c r="N28" s="9" t="s">
        <v>13284</v>
      </c>
      <c r="O28" s="9" t="s">
        <v>13284</v>
      </c>
      <c r="P28" s="9" t="s">
        <v>13284</v>
      </c>
      <c r="Q28" s="9" t="s">
        <v>13284</v>
      </c>
      <c r="R28" s="9" t="s">
        <v>13284</v>
      </c>
      <c r="S28" s="9" t="s">
        <v>13284</v>
      </c>
      <c r="T28" s="9" t="str">
        <f ca="1">IFERROR(IF(AND(VLOOKUP(A28, 'Актуальное состояние (из общего'!A:C,3,0) = "", A28 &lt;&gt; ""), "ПРОВЕРИТЬ", VLOOKUP(A28, 'Актуальное состояние (из общего'!A:C,3,0)), "")</f>
        <v>Студент</v>
      </c>
      <c r="U28" s="9" t="s">
        <v>13284</v>
      </c>
      <c r="V28" s="9" t="s">
        <v>13284</v>
      </c>
      <c r="W28" s="9" t="s">
        <v>319</v>
      </c>
      <c r="X28" s="9" t="str">
        <f t="array" ref="X28">IFERROR(INDEX('Адреса общежитий (скрытый)'!$B$2:$B$9, MATCH(W28, 'Адреса общежитий (скрытый)'!$A$2:$A$9, 0)), "")</f>
        <v>ул. Профсоюзная, д.83, корп. 2</v>
      </c>
      <c r="Y28" s="9"/>
      <c r="Z28" s="9"/>
      <c r="AA28" s="9"/>
      <c r="AB28" s="9"/>
      <c r="AC28" s="9"/>
    </row>
    <row r="29" spans="1:29" ht="32.25" customHeight="1">
      <c r="A29" s="8">
        <v>2305781</v>
      </c>
      <c r="B29" s="9" t="s">
        <v>13284</v>
      </c>
      <c r="C29" s="9" t="s">
        <v>13284</v>
      </c>
      <c r="D29" s="9" t="s">
        <v>13284</v>
      </c>
      <c r="E29" s="9" t="s">
        <v>13284</v>
      </c>
      <c r="F29" s="9" t="s">
        <v>13284</v>
      </c>
      <c r="G29" s="9" t="s">
        <v>13284</v>
      </c>
      <c r="H29" s="9" t="s">
        <v>13284</v>
      </c>
      <c r="I29" s="9" t="s">
        <v>13284</v>
      </c>
      <c r="J29" s="9" t="s">
        <v>13284</v>
      </c>
      <c r="K29" s="9" t="s">
        <v>13284</v>
      </c>
      <c r="L29" s="9" t="s">
        <v>13284</v>
      </c>
      <c r="M29" s="9" t="s">
        <v>13284</v>
      </c>
      <c r="N29" s="9" t="s">
        <v>13284</v>
      </c>
      <c r="O29" s="9" t="s">
        <v>13284</v>
      </c>
      <c r="P29" s="9" t="s">
        <v>13284</v>
      </c>
      <c r="Q29" s="9" t="s">
        <v>13284</v>
      </c>
      <c r="R29" s="9" t="s">
        <v>13284</v>
      </c>
      <c r="S29" s="9" t="s">
        <v>13284</v>
      </c>
      <c r="T29" s="9" t="str">
        <f ca="1">IFERROR(IF(AND(VLOOKUP(A29, 'Актуальное состояние (из общего'!A:C,3,0) = "", A29 &lt;&gt; ""), "ПРОВЕРИТЬ", VLOOKUP(A29, 'Актуальное состояние (из общего'!A:C,3,0)), "")</f>
        <v>Студент</v>
      </c>
      <c r="U29" s="9" t="s">
        <v>13284</v>
      </c>
      <c r="V29" s="9" t="s">
        <v>13284</v>
      </c>
      <c r="W29" s="9" t="s">
        <v>64</v>
      </c>
      <c r="X29" s="9" t="str">
        <f t="array" ref="X29">IFERROR(INDEX('Адреса общежитий (скрытый)'!$B$2:$B$9, MATCH(W29, 'Адреса общежитий (скрытый)'!$A$2:$A$9, 0)), "")</f>
        <v>проспект 60-летия Октября, д.11</v>
      </c>
      <c r="Y29" s="9"/>
      <c r="Z29" s="9"/>
      <c r="AA29" s="9"/>
      <c r="AB29" s="9"/>
      <c r="AC29" s="9"/>
    </row>
    <row r="30" spans="1:29" ht="32.25" customHeight="1">
      <c r="A30" s="8">
        <v>2309982</v>
      </c>
      <c r="B30" s="9" t="s">
        <v>13284</v>
      </c>
      <c r="C30" s="9" t="s">
        <v>13284</v>
      </c>
      <c r="D30" s="9" t="s">
        <v>13284</v>
      </c>
      <c r="E30" s="9" t="s">
        <v>13284</v>
      </c>
      <c r="F30" s="9" t="s">
        <v>13284</v>
      </c>
      <c r="G30" s="9" t="s">
        <v>13284</v>
      </c>
      <c r="H30" s="9" t="s">
        <v>13284</v>
      </c>
      <c r="I30" s="9" t="s">
        <v>13284</v>
      </c>
      <c r="J30" s="9" t="s">
        <v>13284</v>
      </c>
      <c r="K30" s="9" t="s">
        <v>13284</v>
      </c>
      <c r="L30" s="9" t="s">
        <v>13284</v>
      </c>
      <c r="M30" s="9" t="s">
        <v>13284</v>
      </c>
      <c r="N30" s="9" t="s">
        <v>13284</v>
      </c>
      <c r="O30" s="9" t="s">
        <v>13284</v>
      </c>
      <c r="P30" s="9" t="s">
        <v>13284</v>
      </c>
      <c r="Q30" s="9" t="s">
        <v>13284</v>
      </c>
      <c r="R30" s="9" t="s">
        <v>13284</v>
      </c>
      <c r="S30" s="9" t="s">
        <v>13284</v>
      </c>
      <c r="T30" s="9" t="str">
        <f ca="1">IFERROR(IF(AND(VLOOKUP(A30, 'Актуальное состояние (из общего'!A:C,3,0) = "", A30 &lt;&gt; ""), "ПРОВЕРИТЬ", VLOOKUP(A30, 'Актуальное состояние (из общего'!A:C,3,0)), "")</f>
        <v>Студент</v>
      </c>
      <c r="U30" s="9" t="s">
        <v>13284</v>
      </c>
      <c r="V30" s="9" t="s">
        <v>13284</v>
      </c>
      <c r="W30" s="9" t="s">
        <v>196</v>
      </c>
      <c r="X30" s="9" t="str">
        <f t="array" ref="X30">IFERROR(INDEX('Адреса общежитий (скрытый)'!$B$2:$B$9, MATCH(W30, 'Адреса общежитий (скрытый)'!$A$2:$A$9, 0)), "")</f>
        <v>проспект 60-летия Октября, д.15</v>
      </c>
      <c r="Y30" s="9"/>
      <c r="Z30" s="9"/>
      <c r="AA30" s="9"/>
      <c r="AB30" s="9"/>
      <c r="AC30" s="9"/>
    </row>
    <row r="31" spans="1:29" ht="32.25" customHeight="1">
      <c r="A31" s="8">
        <v>2310817</v>
      </c>
      <c r="B31" s="9" t="s">
        <v>13284</v>
      </c>
      <c r="C31" s="9" t="s">
        <v>13284</v>
      </c>
      <c r="D31" s="9" t="s">
        <v>13284</v>
      </c>
      <c r="E31" s="9" t="s">
        <v>13284</v>
      </c>
      <c r="F31" s="9" t="s">
        <v>13284</v>
      </c>
      <c r="G31" s="9" t="s">
        <v>13284</v>
      </c>
      <c r="H31" s="9" t="s">
        <v>13284</v>
      </c>
      <c r="I31" s="9" t="s">
        <v>13284</v>
      </c>
      <c r="J31" s="9" t="s">
        <v>13284</v>
      </c>
      <c r="K31" s="9" t="s">
        <v>13284</v>
      </c>
      <c r="L31" s="9" t="s">
        <v>13284</v>
      </c>
      <c r="M31" s="9" t="s">
        <v>13284</v>
      </c>
      <c r="N31" s="9" t="s">
        <v>13284</v>
      </c>
      <c r="O31" s="9" t="s">
        <v>13284</v>
      </c>
      <c r="P31" s="9" t="s">
        <v>13284</v>
      </c>
      <c r="Q31" s="9" t="s">
        <v>13284</v>
      </c>
      <c r="R31" s="9" t="s">
        <v>13284</v>
      </c>
      <c r="S31" s="9" t="s">
        <v>13284</v>
      </c>
      <c r="T31" s="9" t="str">
        <f ca="1">IFERROR(IF(AND(VLOOKUP(A31, 'Актуальное состояние (из общего'!A:C,3,0) = "", A31 &lt;&gt; ""), "ПРОВЕРИТЬ", VLOOKUP(A31, 'Актуальное состояние (из общего'!A:C,3,0)), "")</f>
        <v>Студент</v>
      </c>
      <c r="U31" s="9" t="s">
        <v>13284</v>
      </c>
      <c r="V31" s="9" t="s">
        <v>13284</v>
      </c>
      <c r="W31" s="9" t="s">
        <v>196</v>
      </c>
      <c r="X31" s="9" t="str">
        <f t="array" ref="X31">IFERROR(INDEX('Адреса общежитий (скрытый)'!$B$2:$B$9, MATCH(W31, 'Адреса общежитий (скрытый)'!$A$2:$A$9, 0)), "")</f>
        <v>проспект 60-летия Октября, д.15</v>
      </c>
      <c r="Y31" s="9"/>
      <c r="Z31" s="9"/>
      <c r="AA31" s="9"/>
      <c r="AB31" s="9"/>
      <c r="AC31" s="9"/>
    </row>
    <row r="32" spans="1:29" ht="32.25" customHeight="1">
      <c r="A32" s="8">
        <v>2301389</v>
      </c>
      <c r="B32" s="9" t="s">
        <v>13284</v>
      </c>
      <c r="C32" s="9" t="s">
        <v>13284</v>
      </c>
      <c r="D32" s="9" t="s">
        <v>13284</v>
      </c>
      <c r="E32" s="9" t="s">
        <v>13284</v>
      </c>
      <c r="F32" s="9" t="s">
        <v>13284</v>
      </c>
      <c r="G32" s="9" t="s">
        <v>13284</v>
      </c>
      <c r="H32" s="9" t="s">
        <v>13284</v>
      </c>
      <c r="I32" s="9" t="s">
        <v>13284</v>
      </c>
      <c r="J32" s="9" t="s">
        <v>13284</v>
      </c>
      <c r="K32" s="9" t="s">
        <v>13284</v>
      </c>
      <c r="L32" s="9" t="s">
        <v>13284</v>
      </c>
      <c r="M32" s="9" t="s">
        <v>13284</v>
      </c>
      <c r="N32" s="9" t="s">
        <v>13284</v>
      </c>
      <c r="O32" s="9" t="s">
        <v>13284</v>
      </c>
      <c r="P32" s="9" t="s">
        <v>13284</v>
      </c>
      <c r="Q32" s="9" t="s">
        <v>13284</v>
      </c>
      <c r="R32" s="9" t="s">
        <v>13284</v>
      </c>
      <c r="S32" s="9" t="s">
        <v>13284</v>
      </c>
      <c r="T32" s="9" t="str">
        <f ca="1">IFERROR(IF(AND(VLOOKUP(A32, 'Актуальное состояние (из общего'!A:C,3,0) = "", A32 &lt;&gt; ""), "ПРОВЕРИТЬ", VLOOKUP(A32, 'Актуальное состояние (из общего'!A:C,3,0)), "")</f>
        <v>Студент</v>
      </c>
      <c r="U32" s="9" t="s">
        <v>13284</v>
      </c>
      <c r="V32" s="9" t="s">
        <v>13284</v>
      </c>
      <c r="W32" s="9" t="s">
        <v>64</v>
      </c>
      <c r="X32" s="9" t="str">
        <f t="array" ref="X32">IFERROR(INDEX('Адреса общежитий (скрытый)'!$B$2:$B$9, MATCH(W32, 'Адреса общежитий (скрытый)'!$A$2:$A$9, 0)), "")</f>
        <v>проспект 60-летия Октября, д.11</v>
      </c>
      <c r="Y32" s="9"/>
      <c r="Z32" s="9"/>
      <c r="AA32" s="9"/>
      <c r="AB32" s="9"/>
      <c r="AC32" s="9"/>
    </row>
    <row r="33" spans="1:29" ht="32.25" customHeight="1">
      <c r="A33" s="8">
        <v>2300661</v>
      </c>
      <c r="B33" s="9" t="s">
        <v>13284</v>
      </c>
      <c r="C33" s="9" t="s">
        <v>13284</v>
      </c>
      <c r="D33" s="9" t="s">
        <v>13284</v>
      </c>
      <c r="E33" s="9" t="s">
        <v>13284</v>
      </c>
      <c r="F33" s="9" t="s">
        <v>13284</v>
      </c>
      <c r="G33" s="9" t="s">
        <v>13284</v>
      </c>
      <c r="H33" s="9" t="s">
        <v>13284</v>
      </c>
      <c r="I33" s="9" t="s">
        <v>13284</v>
      </c>
      <c r="J33" s="9" t="s">
        <v>13284</v>
      </c>
      <c r="K33" s="9" t="s">
        <v>13284</v>
      </c>
      <c r="L33" s="9" t="s">
        <v>13284</v>
      </c>
      <c r="M33" s="9" t="s">
        <v>13284</v>
      </c>
      <c r="N33" s="9" t="s">
        <v>13284</v>
      </c>
      <c r="O33" s="9" t="s">
        <v>13284</v>
      </c>
      <c r="P33" s="9" t="s">
        <v>13284</v>
      </c>
      <c r="Q33" s="9" t="s">
        <v>13284</v>
      </c>
      <c r="R33" s="9" t="s">
        <v>13284</v>
      </c>
      <c r="S33" s="9" t="s">
        <v>13284</v>
      </c>
      <c r="T33" s="9" t="str">
        <f ca="1">IFERROR(IF(AND(VLOOKUP(A33, 'Актуальное состояние (из общего'!A:C,3,0) = "", A33 &lt;&gt; ""), "ПРОВЕРИТЬ", VLOOKUP(A33, 'Актуальное состояние (из общего'!A:C,3,0)), "")</f>
        <v>Студент</v>
      </c>
      <c r="U33" s="9" t="s">
        <v>13284</v>
      </c>
      <c r="V33" s="9" t="s">
        <v>13284</v>
      </c>
      <c r="W33" s="9"/>
      <c r="X33" s="9" t="str">
        <f t="array" ref="X33">IFERROR(INDEX('Адреса общежитий (скрытый)'!$B$2:$B$9, MATCH(W33, 'Адреса общежитий (скрытый)'!$A$2:$A$9, 0)), "")</f>
        <v/>
      </c>
      <c r="Y33" s="9"/>
      <c r="Z33" s="9"/>
      <c r="AA33" s="9"/>
      <c r="AB33" s="9"/>
      <c r="AC33" s="9"/>
    </row>
    <row r="34" spans="1:29" ht="32.25" customHeight="1">
      <c r="A34" s="8">
        <v>2305805</v>
      </c>
      <c r="B34" s="9" t="s">
        <v>13284</v>
      </c>
      <c r="C34" s="9" t="s">
        <v>13284</v>
      </c>
      <c r="D34" s="9" t="s">
        <v>13284</v>
      </c>
      <c r="E34" s="9" t="s">
        <v>13284</v>
      </c>
      <c r="F34" s="9" t="s">
        <v>13284</v>
      </c>
      <c r="G34" s="9" t="s">
        <v>13284</v>
      </c>
      <c r="H34" s="9" t="s">
        <v>13284</v>
      </c>
      <c r="I34" s="9" t="s">
        <v>13284</v>
      </c>
      <c r="J34" s="9" t="s">
        <v>13284</v>
      </c>
      <c r="K34" s="9" t="s">
        <v>13284</v>
      </c>
      <c r="L34" s="9" t="s">
        <v>13284</v>
      </c>
      <c r="M34" s="9" t="s">
        <v>13284</v>
      </c>
      <c r="N34" s="9" t="s">
        <v>13284</v>
      </c>
      <c r="O34" s="9" t="s">
        <v>13284</v>
      </c>
      <c r="P34" s="9" t="s">
        <v>13284</v>
      </c>
      <c r="Q34" s="9" t="s">
        <v>13284</v>
      </c>
      <c r="R34" s="9" t="s">
        <v>13284</v>
      </c>
      <c r="S34" s="9" t="s">
        <v>13284</v>
      </c>
      <c r="T34" s="9" t="str">
        <f ca="1">IFERROR(IF(AND(VLOOKUP(A34, 'Актуальное состояние (из общего'!A:C,3,0) = "", A34 &lt;&gt; ""), "ПРОВЕРИТЬ", VLOOKUP(A34, 'Актуальное состояние (из общего'!A:C,3,0)), "")</f>
        <v>Студент</v>
      </c>
      <c r="U34" s="9" t="s">
        <v>13284</v>
      </c>
      <c r="V34" s="9" t="s">
        <v>13284</v>
      </c>
      <c r="W34" s="9" t="s">
        <v>64</v>
      </c>
      <c r="X34" s="9" t="str">
        <f t="array" ref="X34">IFERROR(INDEX('Адреса общежитий (скрытый)'!$B$2:$B$9, MATCH(W34, 'Адреса общежитий (скрытый)'!$A$2:$A$9, 0)), "")</f>
        <v>проспект 60-летия Октября, д.11</v>
      </c>
      <c r="Y34" s="9"/>
      <c r="Z34" s="9"/>
      <c r="AA34" s="9"/>
      <c r="AB34" s="9"/>
      <c r="AC34" s="9"/>
    </row>
    <row r="35" spans="1:29" ht="32.25" hidden="1" customHeight="1">
      <c r="A35" s="8">
        <v>2302594</v>
      </c>
      <c r="B35" s="9" t="s">
        <v>13284</v>
      </c>
      <c r="C35" s="9" t="s">
        <v>13284</v>
      </c>
      <c r="D35" s="9" t="s">
        <v>13284</v>
      </c>
      <c r="E35" s="9" t="s">
        <v>13284</v>
      </c>
      <c r="F35" s="9" t="s">
        <v>13284</v>
      </c>
      <c r="G35" s="9" t="s">
        <v>13284</v>
      </c>
      <c r="H35" s="9" t="s">
        <v>13284</v>
      </c>
      <c r="I35" s="9" t="s">
        <v>13284</v>
      </c>
      <c r="J35" s="9" t="s">
        <v>13284</v>
      </c>
      <c r="K35" s="9" t="s">
        <v>13284</v>
      </c>
      <c r="L35" s="9" t="s">
        <v>13284</v>
      </c>
      <c r="M35" s="9" t="s">
        <v>13284</v>
      </c>
      <c r="N35" s="9" t="s">
        <v>13284</v>
      </c>
      <c r="O35" s="9" t="s">
        <v>13284</v>
      </c>
      <c r="P35" s="9" t="s">
        <v>13284</v>
      </c>
      <c r="Q35" s="9" t="s">
        <v>13284</v>
      </c>
      <c r="R35" s="9" t="s">
        <v>13284</v>
      </c>
      <c r="S35" s="9" t="s">
        <v>13284</v>
      </c>
      <c r="T35" s="9" t="str">
        <f ca="1">IFERROR(IF(AND(VLOOKUP(A35, 'Актуальное состояние (из общего'!A:C,3,0) = "", A35 &lt;&gt; ""), "ПРОВЕРИТЬ", VLOOKUP(A35, 'Актуальное состояние (из общего'!A:C,3,0)), "")</f>
        <v>Студент</v>
      </c>
      <c r="U35" s="9" t="s">
        <v>13284</v>
      </c>
      <c r="V35" s="9" t="s">
        <v>13284</v>
      </c>
      <c r="W35" s="9"/>
      <c r="X35" s="9" t="str">
        <f t="array" ref="X35">IFERROR(INDEX('Адреса общежитий (скрытый)'!$B$2:$B$9, MATCH(W35, 'Адреса общежитий (скрытый)'!$A$2:$A$9, 0)), "")</f>
        <v/>
      </c>
      <c r="Y35" s="9"/>
      <c r="Z35" s="9"/>
      <c r="AA35" s="9"/>
      <c r="AB35" s="9"/>
      <c r="AC35" s="9"/>
    </row>
    <row r="36" spans="1:29" ht="32.25" hidden="1" customHeight="1">
      <c r="A36" s="8">
        <v>2305770</v>
      </c>
      <c r="B36" s="9" t="s">
        <v>13284</v>
      </c>
      <c r="C36" s="9" t="s">
        <v>13284</v>
      </c>
      <c r="D36" s="9" t="s">
        <v>13284</v>
      </c>
      <c r="E36" s="9" t="s">
        <v>13284</v>
      </c>
      <c r="F36" s="9" t="s">
        <v>13284</v>
      </c>
      <c r="G36" s="9" t="s">
        <v>13284</v>
      </c>
      <c r="H36" s="9" t="s">
        <v>13284</v>
      </c>
      <c r="I36" s="9" t="s">
        <v>13284</v>
      </c>
      <c r="J36" s="9" t="s">
        <v>13284</v>
      </c>
      <c r="K36" s="9" t="s">
        <v>13284</v>
      </c>
      <c r="L36" s="9" t="s">
        <v>13284</v>
      </c>
      <c r="M36" s="9" t="s">
        <v>13284</v>
      </c>
      <c r="N36" s="9" t="s">
        <v>13284</v>
      </c>
      <c r="O36" s="9" t="s">
        <v>13284</v>
      </c>
      <c r="P36" s="9" t="s">
        <v>13284</v>
      </c>
      <c r="Q36" s="9" t="s">
        <v>13284</v>
      </c>
      <c r="R36" s="9" t="s">
        <v>13284</v>
      </c>
      <c r="S36" s="9" t="s">
        <v>13284</v>
      </c>
      <c r="T36" s="9" t="str">
        <f ca="1">IFERROR(IF(AND(VLOOKUP(A36, 'Актуальное состояние (из общего'!A:C,3,0) = "", A36 &lt;&gt; ""), "ПРОВЕРИТЬ", VLOOKUP(A36, 'Актуальное состояние (из общего'!A:C,3,0)), "")</f>
        <v>Студент</v>
      </c>
      <c r="U36" s="9" t="s">
        <v>13284</v>
      </c>
      <c r="V36" s="9" t="s">
        <v>13284</v>
      </c>
      <c r="W36" s="9"/>
      <c r="X36" s="9" t="str">
        <f t="array" ref="X36">IFERROR(INDEX('Адреса общежитий (скрытый)'!$B$2:$B$9, MATCH(W36, 'Адреса общежитий (скрытый)'!$A$2:$A$9, 0)), "")</f>
        <v/>
      </c>
      <c r="Y36" s="9"/>
      <c r="Z36" s="9"/>
      <c r="AA36" s="9"/>
      <c r="AB36" s="9"/>
      <c r="AC36" s="9"/>
    </row>
    <row r="37" spans="1:29" ht="32.25" hidden="1" customHeight="1">
      <c r="A37" s="8">
        <v>2310586</v>
      </c>
      <c r="B37" s="9" t="s">
        <v>13284</v>
      </c>
      <c r="C37" s="9" t="s">
        <v>13284</v>
      </c>
      <c r="D37" s="9" t="s">
        <v>13284</v>
      </c>
      <c r="E37" s="9" t="s">
        <v>13284</v>
      </c>
      <c r="F37" s="9" t="s">
        <v>13284</v>
      </c>
      <c r="G37" s="9" t="s">
        <v>13284</v>
      </c>
      <c r="H37" s="9" t="s">
        <v>13284</v>
      </c>
      <c r="I37" s="9" t="s">
        <v>13284</v>
      </c>
      <c r="J37" s="9" t="s">
        <v>13284</v>
      </c>
      <c r="K37" s="9" t="s">
        <v>13284</v>
      </c>
      <c r="L37" s="9" t="s">
        <v>13284</v>
      </c>
      <c r="M37" s="9" t="s">
        <v>13284</v>
      </c>
      <c r="N37" s="9" t="s">
        <v>13284</v>
      </c>
      <c r="O37" s="9" t="s">
        <v>13284</v>
      </c>
      <c r="P37" s="9" t="s">
        <v>13284</v>
      </c>
      <c r="Q37" s="9" t="s">
        <v>13284</v>
      </c>
      <c r="R37" s="9" t="s">
        <v>13284</v>
      </c>
      <c r="S37" s="9" t="s">
        <v>13284</v>
      </c>
      <c r="T37" s="9" t="str">
        <f ca="1">IFERROR(IF(AND(VLOOKUP(A37, 'Актуальное состояние (из общего'!A:C,3,0) = "", A37 &lt;&gt; ""), "ПРОВЕРИТЬ", VLOOKUP(A37, 'Актуальное состояние (из общего'!A:C,3,0)), "")</f>
        <v>Студент</v>
      </c>
      <c r="U37" s="9" t="s">
        <v>13284</v>
      </c>
      <c r="V37" s="9" t="s">
        <v>13284</v>
      </c>
      <c r="W37" s="9"/>
      <c r="X37" s="9" t="str">
        <f t="array" ref="X37">IFERROR(INDEX('Адреса общежитий (скрытый)'!$B$2:$B$9, MATCH(W37, 'Адреса общежитий (скрытый)'!$A$2:$A$9, 0)), "")</f>
        <v/>
      </c>
      <c r="Y37" s="9"/>
      <c r="Z37" s="9"/>
      <c r="AA37" s="9"/>
      <c r="AB37" s="9"/>
      <c r="AC37" s="9"/>
    </row>
    <row r="38" spans="1:29" ht="32.25" hidden="1" customHeight="1">
      <c r="A38" s="8">
        <v>2312772</v>
      </c>
      <c r="B38" s="9" t="s">
        <v>13284</v>
      </c>
      <c r="C38" s="9" t="s">
        <v>13284</v>
      </c>
      <c r="D38" s="9" t="s">
        <v>13284</v>
      </c>
      <c r="E38" s="9" t="s">
        <v>13284</v>
      </c>
      <c r="F38" s="9" t="s">
        <v>13284</v>
      </c>
      <c r="G38" s="9" t="s">
        <v>13284</v>
      </c>
      <c r="H38" s="9" t="s">
        <v>13284</v>
      </c>
      <c r="I38" s="9" t="s">
        <v>13284</v>
      </c>
      <c r="J38" s="9" t="s">
        <v>13284</v>
      </c>
      <c r="K38" s="9" t="s">
        <v>13284</v>
      </c>
      <c r="L38" s="9" t="s">
        <v>13284</v>
      </c>
      <c r="M38" s="9" t="s">
        <v>13284</v>
      </c>
      <c r="N38" s="9" t="s">
        <v>13284</v>
      </c>
      <c r="O38" s="9" t="s">
        <v>13284</v>
      </c>
      <c r="P38" s="9" t="s">
        <v>13284</v>
      </c>
      <c r="Q38" s="9" t="s">
        <v>13284</v>
      </c>
      <c r="R38" s="9" t="s">
        <v>13284</v>
      </c>
      <c r="S38" s="9" t="s">
        <v>13284</v>
      </c>
      <c r="T38" s="9" t="str">
        <f ca="1">IFERROR(IF(AND(VLOOKUP(A38, 'Актуальное состояние (из общего'!A:C,3,0) = "", A38 &lt;&gt; ""), "ПРОВЕРИТЬ", VLOOKUP(A38, 'Актуальное состояние (из общего'!A:C,3,0)), "")</f>
        <v>Студент</v>
      </c>
      <c r="U38" s="9" t="s">
        <v>13284</v>
      </c>
      <c r="V38" s="9" t="s">
        <v>13284</v>
      </c>
      <c r="W38" s="9"/>
      <c r="X38" s="9" t="str">
        <f t="array" ref="X38">IFERROR(INDEX('Адреса общежитий (скрытый)'!$B$2:$B$9, MATCH(W38, 'Адреса общежитий (скрытый)'!$A$2:$A$9, 0)), "")</f>
        <v/>
      </c>
      <c r="Y38" s="9"/>
      <c r="Z38" s="9"/>
      <c r="AA38" s="9"/>
      <c r="AB38" s="9"/>
      <c r="AC38" s="9"/>
    </row>
    <row r="39" spans="1:29" ht="32.25" customHeight="1">
      <c r="A39" s="8">
        <v>2313588</v>
      </c>
      <c r="B39" s="9" t="s">
        <v>13284</v>
      </c>
      <c r="C39" s="9" t="s">
        <v>13284</v>
      </c>
      <c r="D39" s="9" t="s">
        <v>13284</v>
      </c>
      <c r="E39" s="9" t="s">
        <v>13284</v>
      </c>
      <c r="F39" s="9" t="s">
        <v>13284</v>
      </c>
      <c r="G39" s="9" t="s">
        <v>13284</v>
      </c>
      <c r="H39" s="9" t="s">
        <v>13284</v>
      </c>
      <c r="I39" s="9" t="s">
        <v>13284</v>
      </c>
      <c r="J39" s="9" t="s">
        <v>13284</v>
      </c>
      <c r="K39" s="9" t="s">
        <v>13284</v>
      </c>
      <c r="L39" s="9" t="s">
        <v>13284</v>
      </c>
      <c r="M39" s="9" t="s">
        <v>13284</v>
      </c>
      <c r="N39" s="9" t="s">
        <v>13284</v>
      </c>
      <c r="O39" s="9" t="s">
        <v>13284</v>
      </c>
      <c r="P39" s="9" t="s">
        <v>13284</v>
      </c>
      <c r="Q39" s="9" t="s">
        <v>13284</v>
      </c>
      <c r="R39" s="9" t="s">
        <v>13284</v>
      </c>
      <c r="S39" s="9" t="s">
        <v>13284</v>
      </c>
      <c r="T39" s="9" t="str">
        <f ca="1">IFERROR(IF(AND(VLOOKUP(A39, 'Актуальное состояние (из общего'!A:C,3,0) = "", A39 &lt;&gt; ""), "ПРОВЕРИТЬ", VLOOKUP(A39, 'Актуальное состояние (из общего'!A:C,3,0)), "")</f>
        <v>Студент</v>
      </c>
      <c r="U39" s="9" t="s">
        <v>13284</v>
      </c>
      <c r="V39" s="9" t="s">
        <v>13284</v>
      </c>
      <c r="W39" s="9" t="s">
        <v>64</v>
      </c>
      <c r="X39" s="9" t="str">
        <f t="array" ref="X39">IFERROR(INDEX('Адреса общежитий (скрытый)'!$B$2:$B$9, MATCH(W39, 'Адреса общежитий (скрытый)'!$A$2:$A$9, 0)), "")</f>
        <v>проспект 60-летия Октября, д.11</v>
      </c>
      <c r="Y39" s="9"/>
      <c r="Z39" s="9"/>
      <c r="AA39" s="9"/>
      <c r="AB39" s="9"/>
      <c r="AC39" s="9"/>
    </row>
    <row r="40" spans="1:29" ht="32.25" customHeight="1">
      <c r="A40" s="8">
        <v>2308979</v>
      </c>
      <c r="B40" s="9" t="s">
        <v>13284</v>
      </c>
      <c r="C40" s="9" t="s">
        <v>13284</v>
      </c>
      <c r="D40" s="9" t="s">
        <v>13284</v>
      </c>
      <c r="E40" s="9" t="s">
        <v>13284</v>
      </c>
      <c r="F40" s="9" t="s">
        <v>13284</v>
      </c>
      <c r="G40" s="9" t="s">
        <v>13284</v>
      </c>
      <c r="H40" s="9" t="s">
        <v>13284</v>
      </c>
      <c r="I40" s="9" t="s">
        <v>13284</v>
      </c>
      <c r="J40" s="9" t="s">
        <v>13284</v>
      </c>
      <c r="K40" s="9" t="s">
        <v>13284</v>
      </c>
      <c r="L40" s="9" t="s">
        <v>13284</v>
      </c>
      <c r="M40" s="9" t="s">
        <v>13284</v>
      </c>
      <c r="N40" s="9" t="s">
        <v>13284</v>
      </c>
      <c r="O40" s="9" t="s">
        <v>13284</v>
      </c>
      <c r="P40" s="9" t="s">
        <v>13284</v>
      </c>
      <c r="Q40" s="9" t="s">
        <v>13284</v>
      </c>
      <c r="R40" s="9" t="s">
        <v>13284</v>
      </c>
      <c r="S40" s="9" t="s">
        <v>13284</v>
      </c>
      <c r="T40" s="9" t="str">
        <f ca="1">IFERROR(IF(AND(VLOOKUP(A40, 'Актуальное состояние (из общего'!A:C,3,0) = "", A40 &lt;&gt; ""), "ПРОВЕРИТЬ", VLOOKUP(A40, 'Актуальное состояние (из общего'!A:C,3,0)), "")</f>
        <v>Студент</v>
      </c>
      <c r="U40" s="9" t="s">
        <v>13284</v>
      </c>
      <c r="V40" s="9" t="s">
        <v>13284</v>
      </c>
      <c r="W40" s="9" t="s">
        <v>64</v>
      </c>
      <c r="X40" s="9" t="str">
        <f t="array" ref="X40">IFERROR(INDEX('Адреса общежитий (скрытый)'!$B$2:$B$9, MATCH(W40, 'Адреса общежитий (скрытый)'!$A$2:$A$9, 0)), "")</f>
        <v>проспект 60-летия Октября, д.11</v>
      </c>
      <c r="Y40" s="9"/>
      <c r="Z40" s="9"/>
      <c r="AA40" s="9"/>
      <c r="AB40" s="9"/>
      <c r="AC40" s="9"/>
    </row>
    <row r="41" spans="1:29" ht="32.25" customHeight="1">
      <c r="A41" s="8">
        <v>2313305</v>
      </c>
      <c r="B41" s="9" t="s">
        <v>13284</v>
      </c>
      <c r="C41" s="9" t="s">
        <v>13284</v>
      </c>
      <c r="D41" s="9" t="s">
        <v>13284</v>
      </c>
      <c r="E41" s="9" t="s">
        <v>13284</v>
      </c>
      <c r="F41" s="9" t="s">
        <v>13284</v>
      </c>
      <c r="G41" s="9" t="s">
        <v>13284</v>
      </c>
      <c r="H41" s="9" t="s">
        <v>13284</v>
      </c>
      <c r="I41" s="9" t="s">
        <v>13284</v>
      </c>
      <c r="J41" s="9" t="s">
        <v>13284</v>
      </c>
      <c r="K41" s="9" t="s">
        <v>13284</v>
      </c>
      <c r="L41" s="9" t="s">
        <v>13284</v>
      </c>
      <c r="M41" s="9" t="s">
        <v>13284</v>
      </c>
      <c r="N41" s="9" t="s">
        <v>13284</v>
      </c>
      <c r="O41" s="9" t="s">
        <v>13284</v>
      </c>
      <c r="P41" s="9" t="s">
        <v>13284</v>
      </c>
      <c r="Q41" s="9" t="s">
        <v>13284</v>
      </c>
      <c r="R41" s="9" t="s">
        <v>13284</v>
      </c>
      <c r="S41" s="9" t="s">
        <v>13284</v>
      </c>
      <c r="T41" s="9" t="str">
        <f ca="1">IFERROR(IF(AND(VLOOKUP(A41, 'Актуальное состояние (из общего'!A:C,3,0) = "", A41 &lt;&gt; ""), "ПРОВЕРИТЬ", VLOOKUP(A41, 'Актуальное состояние (из общего'!A:C,3,0)), "")</f>
        <v>Студент</v>
      </c>
      <c r="U41" s="9" t="s">
        <v>13284</v>
      </c>
      <c r="V41" s="9" t="s">
        <v>13284</v>
      </c>
      <c r="W41" s="9" t="s">
        <v>64</v>
      </c>
      <c r="X41" s="9" t="str">
        <f t="array" ref="X41">IFERROR(INDEX('Адреса общежитий (скрытый)'!$B$2:$B$9, MATCH(W41, 'Адреса общежитий (скрытый)'!$A$2:$A$9, 0)), "")</f>
        <v>проспект 60-летия Октября, д.11</v>
      </c>
      <c r="Y41" s="9"/>
      <c r="Z41" s="9"/>
      <c r="AA41" s="9"/>
      <c r="AB41" s="9"/>
      <c r="AC41" s="9"/>
    </row>
    <row r="42" spans="1:29" ht="32.25" customHeight="1">
      <c r="A42" s="8">
        <v>2311177</v>
      </c>
      <c r="B42" s="9" t="s">
        <v>13284</v>
      </c>
      <c r="C42" s="9" t="s">
        <v>13284</v>
      </c>
      <c r="D42" s="9" t="s">
        <v>13284</v>
      </c>
      <c r="E42" s="9" t="s">
        <v>13284</v>
      </c>
      <c r="F42" s="9" t="s">
        <v>13284</v>
      </c>
      <c r="G42" s="9" t="s">
        <v>13284</v>
      </c>
      <c r="H42" s="9" t="s">
        <v>13284</v>
      </c>
      <c r="I42" s="9" t="s">
        <v>13284</v>
      </c>
      <c r="J42" s="9" t="s">
        <v>13284</v>
      </c>
      <c r="K42" s="9" t="s">
        <v>13284</v>
      </c>
      <c r="L42" s="9" t="s">
        <v>13284</v>
      </c>
      <c r="M42" s="9" t="s">
        <v>13284</v>
      </c>
      <c r="N42" s="9" t="s">
        <v>13284</v>
      </c>
      <c r="O42" s="9" t="s">
        <v>13284</v>
      </c>
      <c r="P42" s="9" t="s">
        <v>13284</v>
      </c>
      <c r="Q42" s="9" t="s">
        <v>13284</v>
      </c>
      <c r="R42" s="9" t="s">
        <v>13284</v>
      </c>
      <c r="S42" s="9" t="s">
        <v>13284</v>
      </c>
      <c r="T42" s="9" t="str">
        <f ca="1">IFERROR(IF(AND(VLOOKUP(A42, 'Актуальное состояние (из общего'!A:C,3,0) = "", A42 &lt;&gt; ""), "ПРОВЕРИТЬ", VLOOKUP(A42, 'Актуальное состояние (из общего'!A:C,3,0)), "")</f>
        <v>Студент</v>
      </c>
      <c r="U42" s="9" t="s">
        <v>13284</v>
      </c>
      <c r="V42" s="9" t="s">
        <v>13284</v>
      </c>
      <c r="W42" s="9"/>
      <c r="X42" s="9" t="str">
        <f t="array" ref="X42">IFERROR(INDEX('Адреса общежитий (скрытый)'!$B$2:$B$9, MATCH(W42, 'Адреса общежитий (скрытый)'!$A$2:$A$9, 0)), "")</f>
        <v/>
      </c>
      <c r="Y42" s="9"/>
      <c r="Z42" s="9"/>
      <c r="AA42" s="9"/>
      <c r="AB42" s="9"/>
      <c r="AC42" s="9"/>
    </row>
    <row r="43" spans="1:29" ht="32.25" hidden="1" customHeight="1">
      <c r="A43" s="8">
        <v>2302576</v>
      </c>
      <c r="B43" s="9" t="s">
        <v>13284</v>
      </c>
      <c r="C43" s="9" t="s">
        <v>13284</v>
      </c>
      <c r="D43" s="9" t="s">
        <v>13284</v>
      </c>
      <c r="E43" s="9" t="s">
        <v>13284</v>
      </c>
      <c r="F43" s="9" t="s">
        <v>13284</v>
      </c>
      <c r="G43" s="9" t="s">
        <v>13284</v>
      </c>
      <c r="H43" s="9" t="s">
        <v>13284</v>
      </c>
      <c r="I43" s="9" t="s">
        <v>13284</v>
      </c>
      <c r="J43" s="9" t="s">
        <v>13284</v>
      </c>
      <c r="K43" s="9" t="s">
        <v>13284</v>
      </c>
      <c r="L43" s="9" t="s">
        <v>13284</v>
      </c>
      <c r="M43" s="9" t="s">
        <v>13284</v>
      </c>
      <c r="N43" s="9" t="s">
        <v>13284</v>
      </c>
      <c r="O43" s="9" t="s">
        <v>13284</v>
      </c>
      <c r="P43" s="9" t="s">
        <v>13284</v>
      </c>
      <c r="Q43" s="9" t="s">
        <v>13284</v>
      </c>
      <c r="R43" s="9" t="s">
        <v>13284</v>
      </c>
      <c r="S43" s="9" t="s">
        <v>13284</v>
      </c>
      <c r="T43" s="9" t="str">
        <f ca="1">IFERROR(IF(AND(VLOOKUP(A43, 'Актуальное состояние (из общего'!A:C,3,0) = "", A43 &lt;&gt; ""), "ПРОВЕРИТЬ", VLOOKUP(A43, 'Актуальное состояние (из общего'!A:C,3,0)), "")</f>
        <v>Студент</v>
      </c>
      <c r="U43" s="9" t="s">
        <v>13284</v>
      </c>
      <c r="V43" s="9" t="s">
        <v>13284</v>
      </c>
      <c r="W43" s="9"/>
      <c r="X43" s="9" t="str">
        <f t="array" ref="X43">IFERROR(INDEX('Адреса общежитий (скрытый)'!$B$2:$B$9, MATCH(W43, 'Адреса общежитий (скрытый)'!$A$2:$A$9, 0)), "")</f>
        <v/>
      </c>
      <c r="Y43" s="9"/>
      <c r="Z43" s="9"/>
      <c r="AA43" s="9"/>
      <c r="AB43" s="9"/>
      <c r="AC43" s="9"/>
    </row>
    <row r="44" spans="1:29" ht="32.25" customHeight="1">
      <c r="A44" s="8">
        <v>2313950</v>
      </c>
      <c r="B44" s="9" t="s">
        <v>13284</v>
      </c>
      <c r="C44" s="9" t="s">
        <v>13284</v>
      </c>
      <c r="D44" s="9" t="s">
        <v>13284</v>
      </c>
      <c r="E44" s="9" t="s">
        <v>13284</v>
      </c>
      <c r="F44" s="9" t="s">
        <v>13284</v>
      </c>
      <c r="G44" s="9" t="s">
        <v>13284</v>
      </c>
      <c r="H44" s="9" t="s">
        <v>13284</v>
      </c>
      <c r="I44" s="9" t="s">
        <v>13284</v>
      </c>
      <c r="J44" s="9" t="s">
        <v>13284</v>
      </c>
      <c r="K44" s="9" t="s">
        <v>13284</v>
      </c>
      <c r="L44" s="9" t="s">
        <v>13284</v>
      </c>
      <c r="M44" s="9" t="s">
        <v>13284</v>
      </c>
      <c r="N44" s="9" t="s">
        <v>13284</v>
      </c>
      <c r="O44" s="9" t="s">
        <v>13284</v>
      </c>
      <c r="P44" s="9" t="s">
        <v>13284</v>
      </c>
      <c r="Q44" s="9" t="s">
        <v>13284</v>
      </c>
      <c r="R44" s="9" t="s">
        <v>13284</v>
      </c>
      <c r="S44" s="9" t="s">
        <v>13284</v>
      </c>
      <c r="T44" s="9" t="str">
        <f ca="1">IFERROR(IF(AND(VLOOKUP(A44, 'Актуальное состояние (из общего'!A:C,3,0) = "", A44 &lt;&gt; ""), "ПРОВЕРИТЬ", VLOOKUP(A44, 'Актуальное состояние (из общего'!A:C,3,0)), "")</f>
        <v>Студент</v>
      </c>
      <c r="U44" s="9" t="s">
        <v>13284</v>
      </c>
      <c r="V44" s="9" t="s">
        <v>13284</v>
      </c>
      <c r="W44" s="9" t="s">
        <v>64</v>
      </c>
      <c r="X44" s="9" t="str">
        <f t="array" ref="X44">IFERROR(INDEX('Адреса общежитий (скрытый)'!$B$2:$B$9, MATCH(W44, 'Адреса общежитий (скрытый)'!$A$2:$A$9, 0)), "")</f>
        <v>проспект 60-летия Октября, д.11</v>
      </c>
      <c r="Y44" s="9"/>
      <c r="Z44" s="9"/>
      <c r="AA44" s="9"/>
      <c r="AB44" s="9"/>
      <c r="AC44" s="9"/>
    </row>
    <row r="45" spans="1:29" ht="32.25" customHeight="1">
      <c r="A45" s="8">
        <v>2309607</v>
      </c>
      <c r="B45" s="9" t="s">
        <v>13284</v>
      </c>
      <c r="C45" s="9" t="s">
        <v>13284</v>
      </c>
      <c r="D45" s="9" t="s">
        <v>13284</v>
      </c>
      <c r="E45" s="9" t="s">
        <v>13284</v>
      </c>
      <c r="F45" s="9" t="s">
        <v>13284</v>
      </c>
      <c r="G45" s="9" t="s">
        <v>13284</v>
      </c>
      <c r="H45" s="9" t="s">
        <v>13284</v>
      </c>
      <c r="I45" s="9" t="s">
        <v>13284</v>
      </c>
      <c r="J45" s="9" t="s">
        <v>13284</v>
      </c>
      <c r="K45" s="9" t="s">
        <v>13284</v>
      </c>
      <c r="L45" s="9" t="s">
        <v>13284</v>
      </c>
      <c r="M45" s="9" t="s">
        <v>13284</v>
      </c>
      <c r="N45" s="9" t="s">
        <v>13284</v>
      </c>
      <c r="O45" s="9" t="s">
        <v>13284</v>
      </c>
      <c r="P45" s="9" t="s">
        <v>13284</v>
      </c>
      <c r="Q45" s="9" t="s">
        <v>13284</v>
      </c>
      <c r="R45" s="9" t="s">
        <v>13284</v>
      </c>
      <c r="S45" s="9" t="s">
        <v>13284</v>
      </c>
      <c r="T45" s="9" t="str">
        <f ca="1">IFERROR(IF(AND(VLOOKUP(A45, 'Актуальное состояние (из общего'!A:C,3,0) = "", A45 &lt;&gt; ""), "ПРОВЕРИТЬ", VLOOKUP(A45, 'Актуальное состояние (из общего'!A:C,3,0)), "")</f>
        <v>Студент</v>
      </c>
      <c r="U45" s="9" t="s">
        <v>13284</v>
      </c>
      <c r="V45" s="9" t="s">
        <v>13284</v>
      </c>
      <c r="W45" s="9" t="s">
        <v>64</v>
      </c>
      <c r="X45" s="9" t="str">
        <f t="array" ref="X45">IFERROR(INDEX('Адреса общежитий (скрытый)'!$B$2:$B$9, MATCH(W45, 'Адреса общежитий (скрытый)'!$A$2:$A$9, 0)), "")</f>
        <v>проспект 60-летия Октября, д.11</v>
      </c>
      <c r="Y45" s="9"/>
      <c r="Z45" s="9"/>
      <c r="AA45" s="9"/>
      <c r="AB45" s="9"/>
      <c r="AC45" s="9"/>
    </row>
    <row r="46" spans="1:29" ht="32.25" customHeight="1">
      <c r="A46" s="8">
        <v>2305180</v>
      </c>
      <c r="B46" s="9" t="s">
        <v>13284</v>
      </c>
      <c r="C46" s="9" t="s">
        <v>13284</v>
      </c>
      <c r="D46" s="9" t="s">
        <v>13284</v>
      </c>
      <c r="E46" s="9" t="s">
        <v>13284</v>
      </c>
      <c r="F46" s="9" t="s">
        <v>13284</v>
      </c>
      <c r="G46" s="9" t="s">
        <v>13284</v>
      </c>
      <c r="H46" s="9" t="s">
        <v>13284</v>
      </c>
      <c r="I46" s="9" t="s">
        <v>13284</v>
      </c>
      <c r="J46" s="9" t="s">
        <v>13284</v>
      </c>
      <c r="K46" s="9" t="s">
        <v>13284</v>
      </c>
      <c r="L46" s="9" t="s">
        <v>13284</v>
      </c>
      <c r="M46" s="9" t="s">
        <v>13284</v>
      </c>
      <c r="N46" s="9" t="s">
        <v>13284</v>
      </c>
      <c r="O46" s="9" t="s">
        <v>13284</v>
      </c>
      <c r="P46" s="9" t="s">
        <v>13284</v>
      </c>
      <c r="Q46" s="9" t="s">
        <v>13284</v>
      </c>
      <c r="R46" s="9" t="s">
        <v>13284</v>
      </c>
      <c r="S46" s="9" t="s">
        <v>13284</v>
      </c>
      <c r="T46" s="9" t="str">
        <f ca="1">IFERROR(IF(AND(VLOOKUP(A46, 'Актуальное состояние (из общего'!A:C,3,0) = "", A46 &lt;&gt; ""), "ПРОВЕРИТЬ", VLOOKUP(A46, 'Актуальное состояние (из общего'!A:C,3,0)), "")</f>
        <v>Студент</v>
      </c>
      <c r="U46" s="9" t="s">
        <v>13284</v>
      </c>
      <c r="V46" s="9" t="s">
        <v>13284</v>
      </c>
      <c r="W46" s="9" t="s">
        <v>64</v>
      </c>
      <c r="X46" s="9" t="str">
        <f t="array" ref="X46">IFERROR(INDEX('Адреса общежитий (скрытый)'!$B$2:$B$9, MATCH(W46, 'Адреса общежитий (скрытый)'!$A$2:$A$9, 0)), "")</f>
        <v>проспект 60-летия Октября, д.11</v>
      </c>
      <c r="Y46" s="9"/>
      <c r="Z46" s="9"/>
      <c r="AA46" s="9"/>
      <c r="AB46" s="9"/>
      <c r="AC46" s="9"/>
    </row>
    <row r="47" spans="1:29" ht="32.25" customHeight="1">
      <c r="A47" s="8">
        <v>2309987</v>
      </c>
      <c r="B47" s="9" t="s">
        <v>13284</v>
      </c>
      <c r="C47" s="9" t="s">
        <v>13284</v>
      </c>
      <c r="D47" s="9" t="s">
        <v>13284</v>
      </c>
      <c r="E47" s="9" t="s">
        <v>13284</v>
      </c>
      <c r="F47" s="9" t="s">
        <v>13284</v>
      </c>
      <c r="G47" s="9" t="s">
        <v>13284</v>
      </c>
      <c r="H47" s="9" t="s">
        <v>13284</v>
      </c>
      <c r="I47" s="9" t="s">
        <v>13284</v>
      </c>
      <c r="J47" s="9" t="s">
        <v>13284</v>
      </c>
      <c r="K47" s="9" t="s">
        <v>13284</v>
      </c>
      <c r="L47" s="9" t="s">
        <v>13284</v>
      </c>
      <c r="M47" s="9" t="s">
        <v>13284</v>
      </c>
      <c r="N47" s="9" t="s">
        <v>13284</v>
      </c>
      <c r="O47" s="9" t="s">
        <v>13284</v>
      </c>
      <c r="P47" s="9" t="s">
        <v>13284</v>
      </c>
      <c r="Q47" s="9" t="s">
        <v>13284</v>
      </c>
      <c r="R47" s="9" t="s">
        <v>13284</v>
      </c>
      <c r="S47" s="9" t="s">
        <v>13284</v>
      </c>
      <c r="T47" s="9" t="str">
        <f ca="1">IFERROR(IF(AND(VLOOKUP(A47, 'Актуальное состояние (из общего'!A:C,3,0) = "", A47 &lt;&gt; ""), "ПРОВЕРИТЬ", VLOOKUP(A47, 'Актуальное состояние (из общего'!A:C,3,0)), "")</f>
        <v>Студент</v>
      </c>
      <c r="U47" s="9" t="s">
        <v>13284</v>
      </c>
      <c r="V47" s="9" t="s">
        <v>13284</v>
      </c>
      <c r="W47" s="9" t="s">
        <v>196</v>
      </c>
      <c r="X47" s="9" t="str">
        <f t="array" ref="X47">IFERROR(INDEX('Адреса общежитий (скрытый)'!$B$2:$B$9, MATCH(W47, 'Адреса общежитий (скрытый)'!$A$2:$A$9, 0)), "")</f>
        <v>проспект 60-летия Октября, д.15</v>
      </c>
      <c r="Y47" s="9"/>
      <c r="Z47" s="9"/>
      <c r="AA47" s="9"/>
      <c r="AB47" s="9"/>
      <c r="AC47" s="9"/>
    </row>
    <row r="48" spans="1:29" ht="32.25" customHeight="1">
      <c r="A48" s="8">
        <v>2306180</v>
      </c>
      <c r="B48" s="9" t="s">
        <v>13284</v>
      </c>
      <c r="C48" s="9" t="s">
        <v>13284</v>
      </c>
      <c r="D48" s="9" t="s">
        <v>13284</v>
      </c>
      <c r="E48" s="9" t="s">
        <v>13284</v>
      </c>
      <c r="F48" s="9" t="s">
        <v>13284</v>
      </c>
      <c r="G48" s="9" t="s">
        <v>13284</v>
      </c>
      <c r="H48" s="9" t="s">
        <v>13284</v>
      </c>
      <c r="I48" s="9" t="s">
        <v>13284</v>
      </c>
      <c r="J48" s="9" t="s">
        <v>13284</v>
      </c>
      <c r="K48" s="9" t="s">
        <v>13284</v>
      </c>
      <c r="L48" s="9" t="s">
        <v>13284</v>
      </c>
      <c r="M48" s="9" t="s">
        <v>13284</v>
      </c>
      <c r="N48" s="9" t="s">
        <v>13284</v>
      </c>
      <c r="O48" s="9" t="s">
        <v>13284</v>
      </c>
      <c r="P48" s="9" t="s">
        <v>13284</v>
      </c>
      <c r="Q48" s="9" t="s">
        <v>13284</v>
      </c>
      <c r="R48" s="9" t="s">
        <v>13284</v>
      </c>
      <c r="S48" s="9" t="s">
        <v>13284</v>
      </c>
      <c r="T48" s="9" t="str">
        <f ca="1">IFERROR(IF(AND(VLOOKUP(A48, 'Актуальное состояние (из общего'!A:C,3,0) = "", A48 &lt;&gt; ""), "ПРОВЕРИТЬ", VLOOKUP(A48, 'Актуальное состояние (из общего'!A:C,3,0)), "")</f>
        <v>Студент</v>
      </c>
      <c r="U48" s="9" t="s">
        <v>13284</v>
      </c>
      <c r="V48" s="9" t="s">
        <v>13284</v>
      </c>
      <c r="W48" s="9" t="s">
        <v>64</v>
      </c>
      <c r="X48" s="9" t="str">
        <f t="array" ref="X48">IFERROR(INDEX('Адреса общежитий (скрытый)'!$B$2:$B$9, MATCH(W48, 'Адреса общежитий (скрытый)'!$A$2:$A$9, 0)), "")</f>
        <v>проспект 60-летия Октября, д.11</v>
      </c>
      <c r="Y48" s="18"/>
      <c r="Z48" s="18"/>
      <c r="AA48" s="18"/>
      <c r="AB48" s="18"/>
      <c r="AC48" s="18"/>
    </row>
    <row r="49" spans="1:29" ht="32.25" customHeight="1">
      <c r="A49" s="8">
        <v>2309184</v>
      </c>
      <c r="B49" s="9" t="s">
        <v>13284</v>
      </c>
      <c r="C49" s="9" t="s">
        <v>13284</v>
      </c>
      <c r="D49" s="9" t="s">
        <v>13284</v>
      </c>
      <c r="E49" s="9" t="s">
        <v>13284</v>
      </c>
      <c r="F49" s="9" t="s">
        <v>13284</v>
      </c>
      <c r="G49" s="9" t="s">
        <v>13284</v>
      </c>
      <c r="H49" s="9" t="s">
        <v>13284</v>
      </c>
      <c r="I49" s="9" t="s">
        <v>13284</v>
      </c>
      <c r="J49" s="9" t="s">
        <v>13284</v>
      </c>
      <c r="K49" s="9" t="s">
        <v>13284</v>
      </c>
      <c r="L49" s="9" t="s">
        <v>13284</v>
      </c>
      <c r="M49" s="9" t="s">
        <v>13284</v>
      </c>
      <c r="N49" s="9" t="s">
        <v>13284</v>
      </c>
      <c r="O49" s="9" t="s">
        <v>13284</v>
      </c>
      <c r="P49" s="9" t="s">
        <v>13284</v>
      </c>
      <c r="Q49" s="9" t="s">
        <v>13284</v>
      </c>
      <c r="R49" s="9" t="s">
        <v>13284</v>
      </c>
      <c r="S49" s="9" t="s">
        <v>13284</v>
      </c>
      <c r="T49" s="9" t="str">
        <f ca="1">IFERROR(IF(AND(VLOOKUP(A49, 'Актуальное состояние (из общего'!A:C,3,0) = "", A49 &lt;&gt; ""), "ПРОВЕРИТЬ", VLOOKUP(A49, 'Актуальное состояние (из общего'!A:C,3,0)), "")</f>
        <v>Студент</v>
      </c>
      <c r="U49" s="9" t="s">
        <v>13284</v>
      </c>
      <c r="V49" s="9" t="s">
        <v>13284</v>
      </c>
      <c r="W49" s="9"/>
      <c r="X49" s="9" t="str">
        <f t="array" ref="X49">IFERROR(INDEX('Адреса общежитий (скрытый)'!$B$2:$B$9, MATCH(W49, 'Адреса общежитий (скрытый)'!$A$2:$A$9, 0)), "")</f>
        <v/>
      </c>
      <c r="Y49" s="18"/>
      <c r="Z49" s="18"/>
      <c r="AA49" s="18"/>
      <c r="AB49" s="18"/>
      <c r="AC49" s="18"/>
    </row>
    <row r="50" spans="1:29" ht="32.25" customHeight="1">
      <c r="A50" s="8">
        <v>2310958</v>
      </c>
      <c r="B50" s="9" t="s">
        <v>13284</v>
      </c>
      <c r="C50" s="9" t="s">
        <v>13284</v>
      </c>
      <c r="D50" s="9" t="s">
        <v>13284</v>
      </c>
      <c r="E50" s="9" t="s">
        <v>13284</v>
      </c>
      <c r="F50" s="9" t="s">
        <v>13284</v>
      </c>
      <c r="G50" s="9" t="s">
        <v>13284</v>
      </c>
      <c r="H50" s="9" t="s">
        <v>13284</v>
      </c>
      <c r="I50" s="9" t="s">
        <v>13284</v>
      </c>
      <c r="J50" s="9" t="s">
        <v>13284</v>
      </c>
      <c r="K50" s="9" t="s">
        <v>13284</v>
      </c>
      <c r="L50" s="9" t="s">
        <v>13284</v>
      </c>
      <c r="M50" s="9" t="s">
        <v>13284</v>
      </c>
      <c r="N50" s="9" t="s">
        <v>13284</v>
      </c>
      <c r="O50" s="9" t="s">
        <v>13284</v>
      </c>
      <c r="P50" s="9" t="s">
        <v>13284</v>
      </c>
      <c r="Q50" s="9" t="s">
        <v>13284</v>
      </c>
      <c r="R50" s="9" t="s">
        <v>13284</v>
      </c>
      <c r="S50" s="9" t="s">
        <v>13284</v>
      </c>
      <c r="T50" s="9" t="str">
        <f ca="1">IFERROR(IF(AND(VLOOKUP(A50, 'Актуальное состояние (из общего'!A:C,3,0) = "", A50 &lt;&gt; ""), "ПРОВЕРИТЬ", VLOOKUP(A50, 'Актуальное состояние (из общего'!A:C,3,0)), "")</f>
        <v>Студент</v>
      </c>
      <c r="U50" s="9" t="s">
        <v>13284</v>
      </c>
      <c r="V50" s="9" t="s">
        <v>13284</v>
      </c>
      <c r="W50" s="9" t="s">
        <v>64</v>
      </c>
      <c r="X50" s="9" t="str">
        <f t="array" ref="X50">IFERROR(INDEX('Адреса общежитий (скрытый)'!$B$2:$B$9, MATCH(W50, 'Адреса общежитий (скрытый)'!$A$2:$A$9, 0)), "")</f>
        <v>проспект 60-летия Октября, д.11</v>
      </c>
      <c r="Y50" s="18"/>
      <c r="Z50" s="18"/>
      <c r="AA50" s="18"/>
      <c r="AB50" s="18"/>
      <c r="AC50" s="18"/>
    </row>
    <row r="51" spans="1:29" ht="32.25" customHeight="1">
      <c r="A51" s="8">
        <v>2305701</v>
      </c>
      <c r="B51" s="9" t="s">
        <v>13284</v>
      </c>
      <c r="C51" s="9" t="s">
        <v>13284</v>
      </c>
      <c r="D51" s="9" t="s">
        <v>13284</v>
      </c>
      <c r="E51" s="9" t="s">
        <v>13284</v>
      </c>
      <c r="F51" s="9" t="s">
        <v>13284</v>
      </c>
      <c r="G51" s="9" t="s">
        <v>13284</v>
      </c>
      <c r="H51" s="9" t="s">
        <v>13284</v>
      </c>
      <c r="I51" s="9" t="s">
        <v>13284</v>
      </c>
      <c r="J51" s="9" t="s">
        <v>13284</v>
      </c>
      <c r="K51" s="9" t="s">
        <v>13284</v>
      </c>
      <c r="L51" s="9" t="s">
        <v>13284</v>
      </c>
      <c r="M51" s="9" t="s">
        <v>13284</v>
      </c>
      <c r="N51" s="9" t="s">
        <v>13284</v>
      </c>
      <c r="O51" s="9" t="s">
        <v>13284</v>
      </c>
      <c r="P51" s="9" t="s">
        <v>13284</v>
      </c>
      <c r="Q51" s="9" t="s">
        <v>13284</v>
      </c>
      <c r="R51" s="9" t="s">
        <v>13284</v>
      </c>
      <c r="S51" s="9" t="s">
        <v>13284</v>
      </c>
      <c r="T51" s="9" t="str">
        <f ca="1">IFERROR(IF(AND(VLOOKUP(A51, 'Актуальное состояние (из общего'!A:C,3,0) = "", A51 &lt;&gt; ""), "ПРОВЕРИТЬ", VLOOKUP(A51, 'Актуальное состояние (из общего'!A:C,3,0)), "")</f>
        <v>Студент</v>
      </c>
      <c r="U51" s="9" t="s">
        <v>13284</v>
      </c>
      <c r="V51" s="9" t="s">
        <v>13284</v>
      </c>
      <c r="W51" s="9" t="s">
        <v>64</v>
      </c>
      <c r="X51" s="9" t="str">
        <f t="array" ref="X51">IFERROR(INDEX('Адреса общежитий (скрытый)'!$B$2:$B$9, MATCH(W51, 'Адреса общежитий (скрытый)'!$A$2:$A$9, 0)), "")</f>
        <v>проспект 60-летия Октября, д.11</v>
      </c>
      <c r="Y51" s="18"/>
      <c r="Z51" s="18"/>
      <c r="AA51" s="18"/>
      <c r="AB51" s="18"/>
      <c r="AC51" s="18"/>
    </row>
    <row r="52" spans="1:29" ht="32.25" customHeight="1">
      <c r="A52" s="8">
        <v>2313084</v>
      </c>
      <c r="B52" s="9" t="s">
        <v>13284</v>
      </c>
      <c r="C52" s="9" t="s">
        <v>13284</v>
      </c>
      <c r="D52" s="9" t="s">
        <v>13284</v>
      </c>
      <c r="E52" s="9" t="s">
        <v>13284</v>
      </c>
      <c r="F52" s="9" t="s">
        <v>13284</v>
      </c>
      <c r="G52" s="9" t="s">
        <v>13284</v>
      </c>
      <c r="H52" s="9" t="s">
        <v>13284</v>
      </c>
      <c r="I52" s="9" t="s">
        <v>13284</v>
      </c>
      <c r="J52" s="9" t="s">
        <v>13284</v>
      </c>
      <c r="K52" s="9" t="s">
        <v>13284</v>
      </c>
      <c r="L52" s="9" t="s">
        <v>13284</v>
      </c>
      <c r="M52" s="9" t="s">
        <v>13284</v>
      </c>
      <c r="N52" s="9" t="s">
        <v>13284</v>
      </c>
      <c r="O52" s="9" t="s">
        <v>13284</v>
      </c>
      <c r="P52" s="9" t="s">
        <v>13284</v>
      </c>
      <c r="Q52" s="9" t="s">
        <v>13284</v>
      </c>
      <c r="R52" s="9" t="s">
        <v>13284</v>
      </c>
      <c r="S52" s="9" t="s">
        <v>13284</v>
      </c>
      <c r="T52" s="9" t="str">
        <f ca="1">IFERROR(IF(AND(VLOOKUP(A52, 'Актуальное состояние (из общего'!A:C,3,0) = "", A52 &lt;&gt; ""), "ПРОВЕРИТЬ", VLOOKUP(A52, 'Актуальное состояние (из общего'!A:C,3,0)), "")</f>
        <v>Студент</v>
      </c>
      <c r="U52" s="9" t="s">
        <v>13284</v>
      </c>
      <c r="V52" s="9" t="s">
        <v>13284</v>
      </c>
      <c r="W52" s="9" t="s">
        <v>64</v>
      </c>
      <c r="X52" s="9" t="str">
        <f t="array" ref="X52">IFERROR(INDEX('Адреса общежитий (скрытый)'!$B$2:$B$9, MATCH(W52, 'Адреса общежитий (скрытый)'!$A$2:$A$9, 0)), "")</f>
        <v>проспект 60-летия Октября, д.11</v>
      </c>
      <c r="Y52" s="18"/>
      <c r="Z52" s="18"/>
      <c r="AA52" s="18"/>
      <c r="AB52" s="18"/>
      <c r="AC52" s="18"/>
    </row>
    <row r="53" spans="1:29" ht="32.25" customHeight="1">
      <c r="A53" s="8">
        <v>2312976</v>
      </c>
      <c r="B53" s="9" t="s">
        <v>13284</v>
      </c>
      <c r="C53" s="9" t="s">
        <v>13284</v>
      </c>
      <c r="D53" s="9" t="s">
        <v>13284</v>
      </c>
      <c r="E53" s="9" t="s">
        <v>13284</v>
      </c>
      <c r="F53" s="9" t="s">
        <v>13284</v>
      </c>
      <c r="G53" s="9" t="s">
        <v>13284</v>
      </c>
      <c r="H53" s="9" t="s">
        <v>13284</v>
      </c>
      <c r="I53" s="9" t="s">
        <v>13284</v>
      </c>
      <c r="J53" s="9" t="s">
        <v>13284</v>
      </c>
      <c r="K53" s="9" t="s">
        <v>13284</v>
      </c>
      <c r="L53" s="9" t="s">
        <v>13284</v>
      </c>
      <c r="M53" s="9" t="s">
        <v>13284</v>
      </c>
      <c r="N53" s="9" t="s">
        <v>13284</v>
      </c>
      <c r="O53" s="9" t="s">
        <v>13284</v>
      </c>
      <c r="P53" s="9" t="s">
        <v>13284</v>
      </c>
      <c r="Q53" s="9" t="s">
        <v>13284</v>
      </c>
      <c r="R53" s="9" t="s">
        <v>13284</v>
      </c>
      <c r="S53" s="9" t="s">
        <v>13284</v>
      </c>
      <c r="T53" s="9" t="str">
        <f ca="1">IFERROR(IF(AND(VLOOKUP(A53, 'Актуальное состояние (из общего'!A:C,3,0) = "", A53 &lt;&gt; ""), "ПРОВЕРИТЬ", VLOOKUP(A53, 'Актуальное состояние (из общего'!A:C,3,0)), "")</f>
        <v>Студент</v>
      </c>
      <c r="U53" s="9" t="s">
        <v>13284</v>
      </c>
      <c r="V53" s="9" t="s">
        <v>13284</v>
      </c>
      <c r="W53" s="9"/>
      <c r="X53" s="9" t="str">
        <f t="array" ref="X53">IFERROR(INDEX('Адреса общежитий (скрытый)'!$B$2:$B$9, MATCH(W53, 'Адреса общежитий (скрытый)'!$A$2:$A$9, 0)), "")</f>
        <v/>
      </c>
      <c r="Y53" s="18"/>
      <c r="Z53" s="18"/>
      <c r="AA53" s="18"/>
      <c r="AB53" s="18"/>
      <c r="AC53" s="18"/>
    </row>
    <row r="54" spans="1:29" ht="32.25" customHeight="1">
      <c r="A54" s="8">
        <v>2300915</v>
      </c>
      <c r="B54" s="9" t="s">
        <v>13284</v>
      </c>
      <c r="C54" s="9" t="s">
        <v>13284</v>
      </c>
      <c r="D54" s="9" t="s">
        <v>13284</v>
      </c>
      <c r="E54" s="9" t="s">
        <v>13284</v>
      </c>
      <c r="F54" s="9" t="s">
        <v>13284</v>
      </c>
      <c r="G54" s="9" t="s">
        <v>13284</v>
      </c>
      <c r="H54" s="9" t="s">
        <v>13284</v>
      </c>
      <c r="I54" s="9" t="s">
        <v>13284</v>
      </c>
      <c r="J54" s="9" t="s">
        <v>13284</v>
      </c>
      <c r="K54" s="9" t="s">
        <v>13284</v>
      </c>
      <c r="L54" s="9" t="s">
        <v>13284</v>
      </c>
      <c r="M54" s="9" t="s">
        <v>13284</v>
      </c>
      <c r="N54" s="9" t="s">
        <v>13284</v>
      </c>
      <c r="O54" s="9" t="s">
        <v>13284</v>
      </c>
      <c r="P54" s="9" t="s">
        <v>13284</v>
      </c>
      <c r="Q54" s="9" t="s">
        <v>13284</v>
      </c>
      <c r="R54" s="9" t="s">
        <v>13284</v>
      </c>
      <c r="S54" s="9" t="s">
        <v>13284</v>
      </c>
      <c r="T54" s="9" t="str">
        <f ca="1">IFERROR(IF(AND(VLOOKUP(A54, 'Актуальное состояние (из общего'!A:C,3,0) = "", A54 &lt;&gt; ""), "ПРОВЕРИТЬ", VLOOKUP(A54, 'Актуальное состояние (из общего'!A:C,3,0)), "")</f>
        <v>Студент</v>
      </c>
      <c r="U54" s="9" t="s">
        <v>13284</v>
      </c>
      <c r="V54" s="9" t="s">
        <v>13284</v>
      </c>
      <c r="W54" s="9" t="s">
        <v>64</v>
      </c>
      <c r="X54" s="9" t="str">
        <f t="array" ref="X54">IFERROR(INDEX('Адреса общежитий (скрытый)'!$B$2:$B$9, MATCH(W54, 'Адреса общежитий (скрытый)'!$A$2:$A$9, 0)), "")</f>
        <v>проспект 60-летия Октября, д.11</v>
      </c>
      <c r="Y54" s="18"/>
      <c r="Z54" s="18"/>
      <c r="AA54" s="18"/>
      <c r="AB54" s="18"/>
      <c r="AC54" s="18"/>
    </row>
    <row r="55" spans="1:29" ht="32.25" hidden="1" customHeight="1">
      <c r="A55" s="8">
        <v>2309572</v>
      </c>
      <c r="B55" s="9" t="s">
        <v>13284</v>
      </c>
      <c r="C55" s="9" t="s">
        <v>13284</v>
      </c>
      <c r="D55" s="9" t="s">
        <v>13284</v>
      </c>
      <c r="E55" s="9" t="s">
        <v>13284</v>
      </c>
      <c r="F55" s="9" t="s">
        <v>13284</v>
      </c>
      <c r="G55" s="9" t="s">
        <v>13284</v>
      </c>
      <c r="H55" s="9" t="s">
        <v>13284</v>
      </c>
      <c r="I55" s="9" t="s">
        <v>13284</v>
      </c>
      <c r="J55" s="9" t="s">
        <v>13284</v>
      </c>
      <c r="K55" s="9" t="s">
        <v>13284</v>
      </c>
      <c r="L55" s="9" t="s">
        <v>13284</v>
      </c>
      <c r="M55" s="9" t="s">
        <v>13284</v>
      </c>
      <c r="N55" s="9" t="s">
        <v>13284</v>
      </c>
      <c r="O55" s="9" t="s">
        <v>13284</v>
      </c>
      <c r="P55" s="9" t="s">
        <v>13284</v>
      </c>
      <c r="Q55" s="9" t="s">
        <v>13284</v>
      </c>
      <c r="R55" s="9" t="s">
        <v>13284</v>
      </c>
      <c r="S55" s="9" t="s">
        <v>13284</v>
      </c>
      <c r="T55" s="9" t="str">
        <f ca="1">IFERROR(IF(AND(VLOOKUP(A55, 'Актуальное состояние (из общего'!A:C,3,0) = "", A55 &lt;&gt; ""), "ПРОВЕРИТЬ", VLOOKUP(A55, 'Актуальное состояние (из общего'!A:C,3,0)), "")</f>
        <v>Студент</v>
      </c>
      <c r="U55" s="9" t="s">
        <v>13284</v>
      </c>
      <c r="V55" s="9" t="s">
        <v>13284</v>
      </c>
      <c r="W55" s="12"/>
      <c r="X55" s="9" t="str">
        <f t="array" ref="X55">IFERROR(INDEX('Адреса общежитий (скрытый)'!$B$2:$B$9, MATCH(W55, 'Адреса общежитий (скрытый)'!$A$2:$A$9, 0)), "")</f>
        <v/>
      </c>
      <c r="Y55" s="18"/>
      <c r="Z55" s="18"/>
      <c r="AA55" s="18"/>
      <c r="AB55" s="18"/>
      <c r="AC55" s="18"/>
    </row>
    <row r="56" spans="1:29" ht="32.25" hidden="1" customHeight="1">
      <c r="A56" s="8">
        <v>2304070</v>
      </c>
      <c r="B56" s="9" t="s">
        <v>13284</v>
      </c>
      <c r="C56" s="9" t="s">
        <v>13284</v>
      </c>
      <c r="D56" s="9" t="s">
        <v>13284</v>
      </c>
      <c r="E56" s="9" t="s">
        <v>13284</v>
      </c>
      <c r="F56" s="9" t="s">
        <v>13284</v>
      </c>
      <c r="G56" s="9" t="s">
        <v>13284</v>
      </c>
      <c r="H56" s="9" t="s">
        <v>13284</v>
      </c>
      <c r="I56" s="9" t="s">
        <v>13284</v>
      </c>
      <c r="J56" s="9" t="s">
        <v>13284</v>
      </c>
      <c r="K56" s="9" t="s">
        <v>13284</v>
      </c>
      <c r="L56" s="9" t="s">
        <v>13284</v>
      </c>
      <c r="M56" s="9" t="s">
        <v>13284</v>
      </c>
      <c r="N56" s="9" t="s">
        <v>13284</v>
      </c>
      <c r="O56" s="9" t="s">
        <v>13284</v>
      </c>
      <c r="P56" s="9" t="s">
        <v>13284</v>
      </c>
      <c r="Q56" s="9" t="s">
        <v>13284</v>
      </c>
      <c r="R56" s="9" t="s">
        <v>13284</v>
      </c>
      <c r="S56" s="9" t="s">
        <v>13284</v>
      </c>
      <c r="T56" s="9" t="str">
        <f ca="1">IFERROR(IF(AND(VLOOKUP(A56, 'Актуальное состояние (из общего'!A:C,3,0) = "", A56 &lt;&gt; ""), "ПРОВЕРИТЬ", VLOOKUP(A56, 'Актуальное состояние (из общего'!A:C,3,0)), "")</f>
        <v>Студент</v>
      </c>
      <c r="U56" s="9" t="s">
        <v>13284</v>
      </c>
      <c r="V56" s="9" t="s">
        <v>13284</v>
      </c>
      <c r="W56" s="12"/>
      <c r="X56" s="9" t="str">
        <f t="array" ref="X56">IFERROR(INDEX('Адреса общежитий (скрытый)'!$B$2:$B$9, MATCH(W56, 'Адреса общежитий (скрытый)'!$A$2:$A$9, 0)), "")</f>
        <v/>
      </c>
      <c r="Y56" s="18"/>
      <c r="Z56" s="18"/>
      <c r="AA56" s="18"/>
      <c r="AB56" s="18"/>
      <c r="AC56" s="18"/>
    </row>
    <row r="57" spans="1:29" ht="32.25" customHeight="1">
      <c r="A57" s="8">
        <v>2304913</v>
      </c>
      <c r="B57" s="9" t="s">
        <v>13284</v>
      </c>
      <c r="C57" s="9" t="s">
        <v>13284</v>
      </c>
      <c r="D57" s="9" t="s">
        <v>13284</v>
      </c>
      <c r="E57" s="9" t="s">
        <v>13284</v>
      </c>
      <c r="F57" s="9" t="s">
        <v>13284</v>
      </c>
      <c r="G57" s="9" t="s">
        <v>13284</v>
      </c>
      <c r="H57" s="9" t="s">
        <v>13284</v>
      </c>
      <c r="I57" s="9" t="s">
        <v>13284</v>
      </c>
      <c r="J57" s="9" t="s">
        <v>13284</v>
      </c>
      <c r="K57" s="9" t="s">
        <v>13284</v>
      </c>
      <c r="L57" s="9" t="s">
        <v>13284</v>
      </c>
      <c r="M57" s="9" t="s">
        <v>13284</v>
      </c>
      <c r="N57" s="9" t="s">
        <v>13284</v>
      </c>
      <c r="O57" s="9" t="s">
        <v>13284</v>
      </c>
      <c r="P57" s="9" t="s">
        <v>13284</v>
      </c>
      <c r="Q57" s="9" t="s">
        <v>13284</v>
      </c>
      <c r="R57" s="9" t="s">
        <v>13284</v>
      </c>
      <c r="S57" s="9" t="s">
        <v>13284</v>
      </c>
      <c r="T57" s="9" t="str">
        <f ca="1">IFERROR(IF(AND(VLOOKUP(A57, 'Актуальное состояние (из общего'!A:C,3,0) = "", A57 &lt;&gt; ""), "ПРОВЕРИТЬ", VLOOKUP(A57, 'Актуальное состояние (из общего'!A:C,3,0)), "")</f>
        <v>Студент</v>
      </c>
      <c r="U57" s="9" t="s">
        <v>13284</v>
      </c>
      <c r="V57" s="9" t="s">
        <v>13284</v>
      </c>
      <c r="W57" s="9" t="s">
        <v>196</v>
      </c>
      <c r="X57" s="9" t="str">
        <f t="array" ref="X57">IFERROR(INDEX('Адреса общежитий (скрытый)'!$B$2:$B$9, MATCH(W57, 'Адреса общежитий (скрытый)'!$A$2:$A$9, 0)), "")</f>
        <v>проспект 60-летия Октября, д.15</v>
      </c>
      <c r="Y57" s="18"/>
      <c r="Z57" s="18"/>
      <c r="AA57" s="18"/>
      <c r="AB57" s="18"/>
      <c r="AC57" s="18"/>
    </row>
    <row r="58" spans="1:29" ht="32.25" customHeight="1">
      <c r="A58" s="8">
        <v>2306220</v>
      </c>
      <c r="B58" s="9" t="s">
        <v>13284</v>
      </c>
      <c r="C58" s="9" t="s">
        <v>13284</v>
      </c>
      <c r="D58" s="9" t="s">
        <v>13284</v>
      </c>
      <c r="E58" s="9" t="s">
        <v>13284</v>
      </c>
      <c r="F58" s="9" t="s">
        <v>13284</v>
      </c>
      <c r="G58" s="9" t="s">
        <v>13284</v>
      </c>
      <c r="H58" s="9" t="s">
        <v>13284</v>
      </c>
      <c r="I58" s="9" t="s">
        <v>13284</v>
      </c>
      <c r="J58" s="9" t="s">
        <v>13284</v>
      </c>
      <c r="K58" s="9" t="s">
        <v>13284</v>
      </c>
      <c r="L58" s="9" t="s">
        <v>13284</v>
      </c>
      <c r="M58" s="9" t="s">
        <v>13284</v>
      </c>
      <c r="N58" s="9" t="s">
        <v>13284</v>
      </c>
      <c r="O58" s="9" t="s">
        <v>13284</v>
      </c>
      <c r="P58" s="9" t="s">
        <v>13284</v>
      </c>
      <c r="Q58" s="9" t="s">
        <v>13284</v>
      </c>
      <c r="R58" s="9" t="s">
        <v>13284</v>
      </c>
      <c r="S58" s="9" t="s">
        <v>13284</v>
      </c>
      <c r="T58" s="9" t="str">
        <f ca="1">IFERROR(IF(AND(VLOOKUP(A58, 'Актуальное состояние (из общего'!A:C,3,0) = "", A58 &lt;&gt; ""), "ПРОВЕРИТЬ", VLOOKUP(A58, 'Актуальное состояние (из общего'!A:C,3,0)), "")</f>
        <v>Студент</v>
      </c>
      <c r="U58" s="9" t="s">
        <v>13284</v>
      </c>
      <c r="V58" s="9" t="s">
        <v>13284</v>
      </c>
      <c r="W58" s="12"/>
      <c r="X58" s="9" t="str">
        <f t="array" ref="X58">IFERROR(INDEX('Адреса общежитий (скрытый)'!$B$2:$B$9, MATCH(W58, 'Адреса общежитий (скрытый)'!$A$2:$A$9, 0)), "")</f>
        <v/>
      </c>
      <c r="Y58" s="18"/>
      <c r="Z58" s="18"/>
      <c r="AA58" s="18"/>
      <c r="AB58" s="18"/>
      <c r="AC58" s="18"/>
    </row>
    <row r="59" spans="1:29" ht="32.25" customHeight="1">
      <c r="A59" s="8">
        <v>2313941</v>
      </c>
      <c r="B59" s="9" t="s">
        <v>13284</v>
      </c>
      <c r="C59" s="9" t="s">
        <v>13284</v>
      </c>
      <c r="D59" s="9" t="s">
        <v>13284</v>
      </c>
      <c r="E59" s="9" t="s">
        <v>13284</v>
      </c>
      <c r="F59" s="9" t="s">
        <v>13284</v>
      </c>
      <c r="G59" s="9" t="s">
        <v>13284</v>
      </c>
      <c r="H59" s="9" t="s">
        <v>13284</v>
      </c>
      <c r="I59" s="9" t="s">
        <v>13284</v>
      </c>
      <c r="J59" s="9" t="s">
        <v>13284</v>
      </c>
      <c r="K59" s="9" t="s">
        <v>13284</v>
      </c>
      <c r="L59" s="9" t="s">
        <v>13284</v>
      </c>
      <c r="M59" s="9" t="s">
        <v>13284</v>
      </c>
      <c r="N59" s="9" t="s">
        <v>13284</v>
      </c>
      <c r="O59" s="9" t="s">
        <v>13284</v>
      </c>
      <c r="P59" s="9" t="s">
        <v>13284</v>
      </c>
      <c r="Q59" s="9" t="s">
        <v>13284</v>
      </c>
      <c r="R59" s="9" t="s">
        <v>13284</v>
      </c>
      <c r="S59" s="9" t="s">
        <v>13284</v>
      </c>
      <c r="T59" s="9" t="str">
        <f ca="1">IFERROR(IF(AND(VLOOKUP(A59, 'Актуальное состояние (из общего'!A:C,3,0) = "", A59 &lt;&gt; ""), "ПРОВЕРИТЬ", VLOOKUP(A59, 'Актуальное состояние (из общего'!A:C,3,0)), "")</f>
        <v>Студент</v>
      </c>
      <c r="U59" s="9" t="s">
        <v>13284</v>
      </c>
      <c r="V59" s="9" t="s">
        <v>13284</v>
      </c>
      <c r="W59" s="9" t="s">
        <v>64</v>
      </c>
      <c r="X59" s="9" t="str">
        <f t="array" ref="X59">IFERROR(INDEX('Адреса общежитий (скрытый)'!$B$2:$B$9, MATCH(W59, 'Адреса общежитий (скрытый)'!$A$2:$A$9, 0)), "")</f>
        <v>проспект 60-летия Октября, д.11</v>
      </c>
      <c r="Y59" s="18"/>
      <c r="Z59" s="18"/>
      <c r="AA59" s="18"/>
      <c r="AB59" s="18"/>
      <c r="AC59" s="18"/>
    </row>
    <row r="60" spans="1:29" ht="32.25" customHeight="1">
      <c r="A60" s="8">
        <v>2310800</v>
      </c>
      <c r="B60" s="9" t="s">
        <v>13284</v>
      </c>
      <c r="C60" s="9" t="s">
        <v>13284</v>
      </c>
      <c r="D60" s="9" t="s">
        <v>13284</v>
      </c>
      <c r="E60" s="9" t="s">
        <v>13284</v>
      </c>
      <c r="F60" s="9" t="s">
        <v>13284</v>
      </c>
      <c r="G60" s="9" t="s">
        <v>13284</v>
      </c>
      <c r="H60" s="9" t="s">
        <v>13284</v>
      </c>
      <c r="I60" s="9" t="s">
        <v>13284</v>
      </c>
      <c r="J60" s="9" t="s">
        <v>13284</v>
      </c>
      <c r="K60" s="9" t="s">
        <v>13284</v>
      </c>
      <c r="L60" s="9" t="s">
        <v>13284</v>
      </c>
      <c r="M60" s="9" t="s">
        <v>13284</v>
      </c>
      <c r="N60" s="9" t="s">
        <v>13284</v>
      </c>
      <c r="O60" s="9" t="s">
        <v>13284</v>
      </c>
      <c r="P60" s="9" t="s">
        <v>13284</v>
      </c>
      <c r="Q60" s="9" t="s">
        <v>13284</v>
      </c>
      <c r="R60" s="9" t="s">
        <v>13284</v>
      </c>
      <c r="S60" s="9" t="s">
        <v>13284</v>
      </c>
      <c r="T60" s="9" t="str">
        <f ca="1">IFERROR(IF(AND(VLOOKUP(A60, 'Актуальное состояние (из общего'!A:C,3,0) = "", A60 &lt;&gt; ""), "ПРОВЕРИТЬ", VLOOKUP(A60, 'Актуальное состояние (из общего'!A:C,3,0)), "")</f>
        <v>Студент</v>
      </c>
      <c r="U60" s="9" t="s">
        <v>13284</v>
      </c>
      <c r="V60" s="9" t="s">
        <v>13284</v>
      </c>
      <c r="W60" s="9" t="s">
        <v>64</v>
      </c>
      <c r="X60" s="9" t="str">
        <f t="array" ref="X60">IFERROR(INDEX('Адреса общежитий (скрытый)'!$B$2:$B$9, MATCH(W60, 'Адреса общежитий (скрытый)'!$A$2:$A$9, 0)), "")</f>
        <v>проспект 60-летия Октября, д.11</v>
      </c>
      <c r="Y60" s="18"/>
      <c r="Z60" s="18"/>
      <c r="AA60" s="18"/>
      <c r="AB60" s="18"/>
      <c r="AC60" s="18"/>
    </row>
    <row r="61" spans="1:29" ht="32.25" customHeight="1">
      <c r="A61" s="8">
        <v>2308397</v>
      </c>
      <c r="B61" s="9" t="s">
        <v>13284</v>
      </c>
      <c r="C61" s="9" t="s">
        <v>13284</v>
      </c>
      <c r="D61" s="9" t="s">
        <v>13284</v>
      </c>
      <c r="E61" s="9" t="s">
        <v>13284</v>
      </c>
      <c r="F61" s="9" t="s">
        <v>13284</v>
      </c>
      <c r="G61" s="9" t="s">
        <v>13284</v>
      </c>
      <c r="H61" s="9" t="s">
        <v>13284</v>
      </c>
      <c r="I61" s="9" t="s">
        <v>13284</v>
      </c>
      <c r="J61" s="9" t="s">
        <v>13284</v>
      </c>
      <c r="K61" s="9" t="s">
        <v>13284</v>
      </c>
      <c r="L61" s="9" t="s">
        <v>13284</v>
      </c>
      <c r="M61" s="9" t="s">
        <v>13284</v>
      </c>
      <c r="N61" s="9" t="s">
        <v>13284</v>
      </c>
      <c r="O61" s="9" t="s">
        <v>13284</v>
      </c>
      <c r="P61" s="9" t="s">
        <v>13284</v>
      </c>
      <c r="Q61" s="9" t="s">
        <v>13284</v>
      </c>
      <c r="R61" s="9" t="s">
        <v>13284</v>
      </c>
      <c r="S61" s="9" t="s">
        <v>13284</v>
      </c>
      <c r="T61" s="9" t="str">
        <f ca="1">IFERROR(IF(AND(VLOOKUP(A61, 'Актуальное состояние (из общего'!A:C,3,0) = "", A61 &lt;&gt; ""), "ПРОВЕРИТЬ", VLOOKUP(A61, 'Актуальное состояние (из общего'!A:C,3,0)), "")</f>
        <v>Студент</v>
      </c>
      <c r="U61" s="9" t="s">
        <v>13284</v>
      </c>
      <c r="V61" s="9" t="s">
        <v>13284</v>
      </c>
      <c r="W61" s="9" t="s">
        <v>196</v>
      </c>
      <c r="X61" s="9" t="str">
        <f t="array" ref="X61">IFERROR(INDEX('Адреса общежитий (скрытый)'!$B$2:$B$9, MATCH(W61, 'Адреса общежитий (скрытый)'!$A$2:$A$9, 0)), "")</f>
        <v>проспект 60-летия Октября, д.15</v>
      </c>
      <c r="Y61" s="18"/>
      <c r="Z61" s="18"/>
      <c r="AA61" s="18"/>
      <c r="AB61" s="18"/>
      <c r="AC61" s="18"/>
    </row>
    <row r="62" spans="1:29" ht="32.25" hidden="1" customHeight="1">
      <c r="A62" s="8">
        <v>2307183</v>
      </c>
      <c r="B62" s="9" t="s">
        <v>13284</v>
      </c>
      <c r="C62" s="9" t="s">
        <v>13284</v>
      </c>
      <c r="D62" s="9" t="s">
        <v>13284</v>
      </c>
      <c r="E62" s="9" t="s">
        <v>13284</v>
      </c>
      <c r="F62" s="9" t="s">
        <v>13284</v>
      </c>
      <c r="G62" s="9" t="s">
        <v>13284</v>
      </c>
      <c r="H62" s="9" t="s">
        <v>13284</v>
      </c>
      <c r="I62" s="9" t="s">
        <v>13284</v>
      </c>
      <c r="J62" s="9" t="s">
        <v>13284</v>
      </c>
      <c r="K62" s="9" t="s">
        <v>13284</v>
      </c>
      <c r="L62" s="9" t="s">
        <v>13284</v>
      </c>
      <c r="M62" s="9" t="s">
        <v>13284</v>
      </c>
      <c r="N62" s="9" t="s">
        <v>13284</v>
      </c>
      <c r="O62" s="9" t="s">
        <v>13284</v>
      </c>
      <c r="P62" s="9" t="s">
        <v>13284</v>
      </c>
      <c r="Q62" s="9" t="s">
        <v>13284</v>
      </c>
      <c r="R62" s="9" t="s">
        <v>13284</v>
      </c>
      <c r="S62" s="9" t="s">
        <v>13284</v>
      </c>
      <c r="T62" s="9" t="str">
        <f ca="1">IFERROR(IF(AND(VLOOKUP(A62, 'Актуальное состояние (из общего'!A:C,3,0) = "", A62 &lt;&gt; ""), "ПРОВЕРИТЬ", VLOOKUP(A62, 'Актуальное состояние (из общего'!A:C,3,0)), "")</f>
        <v>Студент</v>
      </c>
      <c r="U62" s="9" t="s">
        <v>13284</v>
      </c>
      <c r="V62" s="9" t="s">
        <v>13284</v>
      </c>
      <c r="W62" s="12"/>
      <c r="X62" s="9" t="str">
        <f t="array" ref="X62">IFERROR(INDEX('Адреса общежитий (скрытый)'!$B$2:$B$9, MATCH(W62, 'Адреса общежитий (скрытый)'!$A$2:$A$9, 0)), "")</f>
        <v/>
      </c>
      <c r="Y62" s="18"/>
      <c r="Z62" s="18"/>
      <c r="AA62" s="18"/>
      <c r="AB62" s="18"/>
      <c r="AC62" s="18"/>
    </row>
    <row r="63" spans="1:29" ht="32.25" hidden="1" customHeight="1">
      <c r="A63" s="8">
        <v>2307819</v>
      </c>
      <c r="B63" s="9" t="s">
        <v>13284</v>
      </c>
      <c r="C63" s="9" t="s">
        <v>13284</v>
      </c>
      <c r="D63" s="9" t="s">
        <v>13284</v>
      </c>
      <c r="E63" s="9" t="s">
        <v>13284</v>
      </c>
      <c r="F63" s="9" t="s">
        <v>13284</v>
      </c>
      <c r="G63" s="9" t="s">
        <v>13284</v>
      </c>
      <c r="H63" s="9" t="s">
        <v>13284</v>
      </c>
      <c r="I63" s="9" t="s">
        <v>13284</v>
      </c>
      <c r="J63" s="9" t="s">
        <v>13284</v>
      </c>
      <c r="K63" s="9" t="s">
        <v>13284</v>
      </c>
      <c r="L63" s="9" t="s">
        <v>13284</v>
      </c>
      <c r="M63" s="9" t="s">
        <v>13284</v>
      </c>
      <c r="N63" s="9" t="s">
        <v>13284</v>
      </c>
      <c r="O63" s="9" t="s">
        <v>13284</v>
      </c>
      <c r="P63" s="9" t="s">
        <v>13284</v>
      </c>
      <c r="Q63" s="9" t="s">
        <v>13284</v>
      </c>
      <c r="R63" s="9" t="s">
        <v>13284</v>
      </c>
      <c r="S63" s="9" t="s">
        <v>13284</v>
      </c>
      <c r="T63" s="9" t="str">
        <f ca="1">IFERROR(IF(AND(VLOOKUP(A63, 'Актуальное состояние (из общего'!A:C,3,0) = "", A63 &lt;&gt; ""), "ПРОВЕРИТЬ", VLOOKUP(A63, 'Актуальное состояние (из общего'!A:C,3,0)), "")</f>
        <v>Студент</v>
      </c>
      <c r="U63" s="9" t="s">
        <v>13284</v>
      </c>
      <c r="V63" s="9" t="s">
        <v>13284</v>
      </c>
      <c r="W63" s="12"/>
      <c r="X63" s="9" t="str">
        <f t="array" ref="X63">IFERROR(INDEX('Адреса общежитий (скрытый)'!$B$2:$B$9, MATCH(W63, 'Адреса общежитий (скрытый)'!$A$2:$A$9, 0)), "")</f>
        <v/>
      </c>
      <c r="Y63" s="18"/>
      <c r="Z63" s="18"/>
      <c r="AA63" s="18"/>
      <c r="AB63" s="18"/>
      <c r="AC63" s="18"/>
    </row>
    <row r="64" spans="1:29" ht="32.25" customHeight="1">
      <c r="A64" s="8">
        <v>2300593</v>
      </c>
      <c r="B64" s="9" t="s">
        <v>13284</v>
      </c>
      <c r="C64" s="9" t="s">
        <v>13284</v>
      </c>
      <c r="D64" s="9" t="s">
        <v>13284</v>
      </c>
      <c r="E64" s="9" t="s">
        <v>13284</v>
      </c>
      <c r="F64" s="9" t="s">
        <v>13284</v>
      </c>
      <c r="G64" s="9" t="s">
        <v>13284</v>
      </c>
      <c r="H64" s="9" t="s">
        <v>13284</v>
      </c>
      <c r="I64" s="9" t="s">
        <v>13284</v>
      </c>
      <c r="J64" s="9" t="s">
        <v>13284</v>
      </c>
      <c r="K64" s="9" t="s">
        <v>13284</v>
      </c>
      <c r="L64" s="9" t="s">
        <v>13284</v>
      </c>
      <c r="M64" s="9" t="s">
        <v>13284</v>
      </c>
      <c r="N64" s="9" t="s">
        <v>13284</v>
      </c>
      <c r="O64" s="9" t="s">
        <v>13284</v>
      </c>
      <c r="P64" s="9" t="s">
        <v>13284</v>
      </c>
      <c r="Q64" s="9" t="s">
        <v>13284</v>
      </c>
      <c r="R64" s="9" t="s">
        <v>13284</v>
      </c>
      <c r="S64" s="9" t="s">
        <v>13284</v>
      </c>
      <c r="T64" s="9" t="str">
        <f ca="1">IFERROR(IF(AND(VLOOKUP(A64, 'Актуальное состояние (из общего'!A:C,3,0) = "", A64 &lt;&gt; ""), "ПРОВЕРИТЬ", VLOOKUP(A64, 'Актуальное состояние (из общего'!A:C,3,0)), "")</f>
        <v>Студент</v>
      </c>
      <c r="U64" s="9" t="s">
        <v>13284</v>
      </c>
      <c r="V64" s="9" t="s">
        <v>13284</v>
      </c>
      <c r="W64" s="9" t="s">
        <v>64</v>
      </c>
      <c r="X64" s="9" t="str">
        <f t="array" ref="X64">IFERROR(INDEX('Адреса общежитий (скрытый)'!$B$2:$B$9, MATCH(W64, 'Адреса общежитий (скрытый)'!$A$2:$A$9, 0)), "")</f>
        <v>проспект 60-летия Октября, д.11</v>
      </c>
      <c r="Y64" s="18"/>
      <c r="Z64" s="18"/>
      <c r="AA64" s="18"/>
      <c r="AB64" s="18"/>
      <c r="AC64" s="18"/>
    </row>
    <row r="65" spans="1:29" ht="32.25" customHeight="1">
      <c r="A65" s="8">
        <v>2303084</v>
      </c>
      <c r="B65" s="9" t="s">
        <v>13284</v>
      </c>
      <c r="C65" s="9" t="s">
        <v>13284</v>
      </c>
      <c r="D65" s="9" t="s">
        <v>13284</v>
      </c>
      <c r="E65" s="9" t="s">
        <v>13284</v>
      </c>
      <c r="F65" s="9" t="s">
        <v>13284</v>
      </c>
      <c r="G65" s="9" t="s">
        <v>13284</v>
      </c>
      <c r="H65" s="9" t="s">
        <v>13284</v>
      </c>
      <c r="I65" s="9" t="s">
        <v>13284</v>
      </c>
      <c r="J65" s="9" t="s">
        <v>13284</v>
      </c>
      <c r="K65" s="9" t="s">
        <v>13284</v>
      </c>
      <c r="L65" s="9" t="s">
        <v>13284</v>
      </c>
      <c r="M65" s="9" t="s">
        <v>13284</v>
      </c>
      <c r="N65" s="9" t="s">
        <v>13284</v>
      </c>
      <c r="O65" s="9" t="s">
        <v>13284</v>
      </c>
      <c r="P65" s="9" t="s">
        <v>13284</v>
      </c>
      <c r="Q65" s="9" t="s">
        <v>13284</v>
      </c>
      <c r="R65" s="9" t="s">
        <v>13284</v>
      </c>
      <c r="S65" s="9" t="s">
        <v>13284</v>
      </c>
      <c r="T65" s="9" t="str">
        <f ca="1">IFERROR(IF(AND(VLOOKUP(A65, 'Актуальное состояние (из общего'!A:C,3,0) = "", A65 &lt;&gt; ""), "ПРОВЕРИТЬ", VLOOKUP(A65, 'Актуальное состояние (из общего'!A:C,3,0)), "")</f>
        <v>Студент</v>
      </c>
      <c r="U65" s="9" t="s">
        <v>13284</v>
      </c>
      <c r="V65" s="9" t="s">
        <v>13284</v>
      </c>
      <c r="W65" s="9" t="s">
        <v>64</v>
      </c>
      <c r="X65" s="9" t="str">
        <f t="array" ref="X65">IFERROR(INDEX('Адреса общежитий (скрытый)'!$B$2:$B$9, MATCH(W65, 'Адреса общежитий (скрытый)'!$A$2:$A$9, 0)), "")</f>
        <v>проспект 60-летия Октября, д.11</v>
      </c>
      <c r="Y65" s="18"/>
      <c r="Z65" s="18"/>
      <c r="AA65" s="18"/>
      <c r="AB65" s="18"/>
      <c r="AC65" s="18"/>
    </row>
    <row r="66" spans="1:29" ht="32.25" customHeight="1">
      <c r="A66" s="8">
        <v>2313352</v>
      </c>
      <c r="B66" s="9" t="s">
        <v>13284</v>
      </c>
      <c r="C66" s="9" t="s">
        <v>13284</v>
      </c>
      <c r="D66" s="9" t="s">
        <v>13284</v>
      </c>
      <c r="E66" s="9" t="s">
        <v>13284</v>
      </c>
      <c r="F66" s="9" t="s">
        <v>13284</v>
      </c>
      <c r="G66" s="9" t="s">
        <v>13284</v>
      </c>
      <c r="H66" s="9" t="s">
        <v>13284</v>
      </c>
      <c r="I66" s="9" t="s">
        <v>13284</v>
      </c>
      <c r="J66" s="9" t="s">
        <v>13284</v>
      </c>
      <c r="K66" s="9" t="s">
        <v>13284</v>
      </c>
      <c r="L66" s="9" t="s">
        <v>13284</v>
      </c>
      <c r="M66" s="9" t="s">
        <v>13284</v>
      </c>
      <c r="N66" s="9" t="s">
        <v>13284</v>
      </c>
      <c r="O66" s="9" t="s">
        <v>13284</v>
      </c>
      <c r="P66" s="9" t="s">
        <v>13284</v>
      </c>
      <c r="Q66" s="9" t="s">
        <v>13284</v>
      </c>
      <c r="R66" s="9" t="s">
        <v>13284</v>
      </c>
      <c r="S66" s="9" t="s">
        <v>13284</v>
      </c>
      <c r="T66" s="9" t="str">
        <f ca="1">IFERROR(IF(AND(VLOOKUP(A66, 'Актуальное состояние (из общего'!A:C,3,0) = "", A66 &lt;&gt; ""), "ПРОВЕРИТЬ", VLOOKUP(A66, 'Актуальное состояние (из общего'!A:C,3,0)), "")</f>
        <v>Студент</v>
      </c>
      <c r="U66" s="9" t="s">
        <v>13284</v>
      </c>
      <c r="V66" s="9" t="s">
        <v>13284</v>
      </c>
      <c r="W66" s="9" t="s">
        <v>64</v>
      </c>
      <c r="X66" s="9" t="str">
        <f t="array" ref="X66">IFERROR(INDEX('Адреса общежитий (скрытый)'!$B$2:$B$9, MATCH(W66, 'Адреса общежитий (скрытый)'!$A$2:$A$9, 0)), "")</f>
        <v>проспект 60-летия Октября, д.11</v>
      </c>
      <c r="Y66" s="18"/>
      <c r="Z66" s="18"/>
      <c r="AA66" s="18"/>
      <c r="AB66" s="18"/>
      <c r="AC66" s="18"/>
    </row>
    <row r="67" spans="1:29" ht="32.25" customHeight="1">
      <c r="A67" s="8">
        <v>2303917</v>
      </c>
      <c r="B67" s="9" t="s">
        <v>13284</v>
      </c>
      <c r="C67" s="9" t="s">
        <v>13284</v>
      </c>
      <c r="D67" s="9" t="s">
        <v>13284</v>
      </c>
      <c r="E67" s="9" t="s">
        <v>13284</v>
      </c>
      <c r="F67" s="9" t="s">
        <v>13284</v>
      </c>
      <c r="G67" s="9" t="s">
        <v>13284</v>
      </c>
      <c r="H67" s="9" t="s">
        <v>13284</v>
      </c>
      <c r="I67" s="9" t="s">
        <v>13284</v>
      </c>
      <c r="J67" s="9" t="s">
        <v>13284</v>
      </c>
      <c r="K67" s="9" t="s">
        <v>13284</v>
      </c>
      <c r="L67" s="9" t="s">
        <v>13284</v>
      </c>
      <c r="M67" s="9" t="s">
        <v>13284</v>
      </c>
      <c r="N67" s="9" t="s">
        <v>13284</v>
      </c>
      <c r="O67" s="9" t="s">
        <v>13284</v>
      </c>
      <c r="P67" s="9" t="s">
        <v>13284</v>
      </c>
      <c r="Q67" s="9" t="s">
        <v>13284</v>
      </c>
      <c r="R67" s="9" t="s">
        <v>13284</v>
      </c>
      <c r="S67" s="9" t="s">
        <v>13284</v>
      </c>
      <c r="T67" s="9" t="str">
        <f ca="1">IFERROR(IF(AND(VLOOKUP(A67, 'Актуальное состояние (из общего'!A:C,3,0) = "", A67 &lt;&gt; ""), "ПРОВЕРИТЬ", VLOOKUP(A67, 'Актуальное состояние (из общего'!A:C,3,0)), "")</f>
        <v>Студент</v>
      </c>
      <c r="U67" s="9" t="s">
        <v>13284</v>
      </c>
      <c r="V67" s="9" t="s">
        <v>13284</v>
      </c>
      <c r="W67" s="9" t="s">
        <v>64</v>
      </c>
      <c r="X67" s="9" t="str">
        <f t="array" ref="X67">IFERROR(INDEX('Адреса общежитий (скрытый)'!$B$2:$B$9, MATCH(W67, 'Адреса общежитий (скрытый)'!$A$2:$A$9, 0)), "")</f>
        <v>проспект 60-летия Октября, д.11</v>
      </c>
      <c r="Y67" s="18"/>
      <c r="Z67" s="18"/>
      <c r="AA67" s="18"/>
      <c r="AB67" s="18"/>
      <c r="AC67" s="18"/>
    </row>
    <row r="68" spans="1:29" ht="32.25" customHeight="1">
      <c r="A68" s="8">
        <v>2301339</v>
      </c>
      <c r="B68" s="9" t="s">
        <v>13284</v>
      </c>
      <c r="C68" s="9" t="s">
        <v>13284</v>
      </c>
      <c r="D68" s="9" t="s">
        <v>13284</v>
      </c>
      <c r="E68" s="9" t="s">
        <v>13284</v>
      </c>
      <c r="F68" s="9" t="s">
        <v>13284</v>
      </c>
      <c r="G68" s="9" t="s">
        <v>13284</v>
      </c>
      <c r="H68" s="9" t="s">
        <v>13284</v>
      </c>
      <c r="I68" s="9" t="s">
        <v>13284</v>
      </c>
      <c r="J68" s="9" t="s">
        <v>13284</v>
      </c>
      <c r="K68" s="9" t="s">
        <v>13284</v>
      </c>
      <c r="L68" s="9" t="s">
        <v>13284</v>
      </c>
      <c r="M68" s="9" t="s">
        <v>13284</v>
      </c>
      <c r="N68" s="9" t="s">
        <v>13284</v>
      </c>
      <c r="O68" s="9" t="s">
        <v>13284</v>
      </c>
      <c r="P68" s="9" t="s">
        <v>13284</v>
      </c>
      <c r="Q68" s="9" t="s">
        <v>13284</v>
      </c>
      <c r="R68" s="9" t="s">
        <v>13284</v>
      </c>
      <c r="S68" s="9" t="s">
        <v>13284</v>
      </c>
      <c r="T68" s="9" t="str">
        <f ca="1">IFERROR(IF(AND(VLOOKUP(A68, 'Актуальное состояние (из общего'!A:C,3,0) = "", A68 &lt;&gt; ""), "ПРОВЕРИТЬ", VLOOKUP(A68, 'Актуальное состояние (из общего'!A:C,3,0)), "")</f>
        <v>Студент</v>
      </c>
      <c r="U68" s="9" t="s">
        <v>13284</v>
      </c>
      <c r="V68" s="9" t="s">
        <v>13284</v>
      </c>
      <c r="W68" s="12"/>
      <c r="X68" s="9" t="str">
        <f t="array" ref="X68">IFERROR(INDEX('Адреса общежитий (скрытый)'!$B$2:$B$9, MATCH(W68, 'Адреса общежитий (скрытый)'!$A$2:$A$9, 0)), "")</f>
        <v/>
      </c>
      <c r="Y68" s="18"/>
      <c r="Z68" s="18"/>
      <c r="AA68" s="18"/>
      <c r="AB68" s="18"/>
      <c r="AC68" s="18"/>
    </row>
    <row r="69" spans="1:29" ht="32.25" customHeight="1">
      <c r="A69" s="8">
        <v>2304891</v>
      </c>
      <c r="B69" s="9" t="s">
        <v>13284</v>
      </c>
      <c r="C69" s="9" t="s">
        <v>13284</v>
      </c>
      <c r="D69" s="9" t="s">
        <v>13284</v>
      </c>
      <c r="E69" s="9" t="s">
        <v>13284</v>
      </c>
      <c r="F69" s="9" t="s">
        <v>13284</v>
      </c>
      <c r="G69" s="9" t="s">
        <v>13284</v>
      </c>
      <c r="H69" s="9" t="s">
        <v>13284</v>
      </c>
      <c r="I69" s="9" t="s">
        <v>13284</v>
      </c>
      <c r="J69" s="9" t="s">
        <v>13284</v>
      </c>
      <c r="K69" s="9" t="s">
        <v>13284</v>
      </c>
      <c r="L69" s="9" t="s">
        <v>13284</v>
      </c>
      <c r="M69" s="9" t="s">
        <v>13284</v>
      </c>
      <c r="N69" s="9" t="s">
        <v>13284</v>
      </c>
      <c r="O69" s="9" t="s">
        <v>13284</v>
      </c>
      <c r="P69" s="9" t="s">
        <v>13284</v>
      </c>
      <c r="Q69" s="9" t="s">
        <v>13284</v>
      </c>
      <c r="R69" s="9" t="s">
        <v>13284</v>
      </c>
      <c r="S69" s="9" t="s">
        <v>13284</v>
      </c>
      <c r="T69" s="9" t="str">
        <f ca="1">IFERROR(IF(AND(VLOOKUP(A69, 'Актуальное состояние (из общего'!A:C,3,0) = "", A69 &lt;&gt; ""), "ПРОВЕРИТЬ", VLOOKUP(A69, 'Актуальное состояние (из общего'!A:C,3,0)), "")</f>
        <v>Студент</v>
      </c>
      <c r="U69" s="9" t="s">
        <v>13284</v>
      </c>
      <c r="V69" s="9" t="s">
        <v>13284</v>
      </c>
      <c r="W69" s="9" t="s">
        <v>319</v>
      </c>
      <c r="X69" s="9" t="str">
        <f t="array" ref="X69">IFERROR(INDEX('Адреса общежитий (скрытый)'!$B$2:$B$9, MATCH(W69, 'Адреса общежитий (скрытый)'!$A$2:$A$9, 0)), "")</f>
        <v>ул. Профсоюзная, д.83, корп. 2</v>
      </c>
      <c r="Y69" s="18"/>
      <c r="Z69" s="18"/>
      <c r="AA69" s="18"/>
      <c r="AB69" s="18"/>
      <c r="AC69" s="18"/>
    </row>
    <row r="70" spans="1:29" ht="32.25" customHeight="1">
      <c r="A70" s="8">
        <v>2304428</v>
      </c>
      <c r="B70" s="9" t="s">
        <v>13284</v>
      </c>
      <c r="C70" s="9" t="s">
        <v>13284</v>
      </c>
      <c r="D70" s="9" t="s">
        <v>13284</v>
      </c>
      <c r="E70" s="9" t="s">
        <v>13284</v>
      </c>
      <c r="F70" s="9" t="s">
        <v>13284</v>
      </c>
      <c r="G70" s="9" t="s">
        <v>13284</v>
      </c>
      <c r="H70" s="9" t="s">
        <v>13284</v>
      </c>
      <c r="I70" s="9" t="s">
        <v>13284</v>
      </c>
      <c r="J70" s="9" t="s">
        <v>13284</v>
      </c>
      <c r="K70" s="9" t="s">
        <v>13284</v>
      </c>
      <c r="L70" s="9" t="s">
        <v>13284</v>
      </c>
      <c r="M70" s="9" t="s">
        <v>13284</v>
      </c>
      <c r="N70" s="9" t="s">
        <v>13284</v>
      </c>
      <c r="O70" s="9" t="s">
        <v>13284</v>
      </c>
      <c r="P70" s="9" t="s">
        <v>13284</v>
      </c>
      <c r="Q70" s="9" t="s">
        <v>13284</v>
      </c>
      <c r="R70" s="9" t="s">
        <v>13284</v>
      </c>
      <c r="S70" s="9" t="s">
        <v>13284</v>
      </c>
      <c r="T70" s="9" t="str">
        <f ca="1">IFERROR(IF(AND(VLOOKUP(A70, 'Актуальное состояние (из общего'!A:C,3,0) = "", A70 &lt;&gt; ""), "ПРОВЕРИТЬ", VLOOKUP(A70, 'Актуальное состояние (из общего'!A:C,3,0)), "")</f>
        <v>Студент</v>
      </c>
      <c r="U70" s="9" t="s">
        <v>13284</v>
      </c>
      <c r="V70" s="9" t="s">
        <v>13284</v>
      </c>
      <c r="W70" s="9" t="s">
        <v>64</v>
      </c>
      <c r="X70" s="9" t="str">
        <f t="array" ref="X70">IFERROR(INDEX('Адреса общежитий (скрытый)'!$B$2:$B$9, MATCH(W70, 'Адреса общежитий (скрытый)'!$A$2:$A$9, 0)), "")</f>
        <v>проспект 60-летия Октября, д.11</v>
      </c>
      <c r="Y70" s="18"/>
      <c r="Z70" s="18"/>
      <c r="AA70" s="18"/>
      <c r="AB70" s="18"/>
      <c r="AC70" s="18"/>
    </row>
    <row r="71" spans="1:29" ht="32.25" customHeight="1">
      <c r="A71" s="8">
        <v>2305395</v>
      </c>
      <c r="B71" s="9" t="s">
        <v>13284</v>
      </c>
      <c r="C71" s="9" t="s">
        <v>13284</v>
      </c>
      <c r="D71" s="9" t="s">
        <v>13284</v>
      </c>
      <c r="E71" s="9" t="s">
        <v>13284</v>
      </c>
      <c r="F71" s="9" t="s">
        <v>13284</v>
      </c>
      <c r="G71" s="9" t="s">
        <v>13284</v>
      </c>
      <c r="H71" s="9" t="s">
        <v>13284</v>
      </c>
      <c r="I71" s="9" t="s">
        <v>13284</v>
      </c>
      <c r="J71" s="9" t="s">
        <v>13284</v>
      </c>
      <c r="K71" s="9" t="s">
        <v>13284</v>
      </c>
      <c r="L71" s="9" t="s">
        <v>13284</v>
      </c>
      <c r="M71" s="9" t="s">
        <v>13284</v>
      </c>
      <c r="N71" s="9" t="s">
        <v>13284</v>
      </c>
      <c r="O71" s="9" t="s">
        <v>13284</v>
      </c>
      <c r="P71" s="9" t="s">
        <v>13284</v>
      </c>
      <c r="Q71" s="9" t="s">
        <v>13284</v>
      </c>
      <c r="R71" s="9" t="s">
        <v>13284</v>
      </c>
      <c r="S71" s="9" t="s">
        <v>13284</v>
      </c>
      <c r="T71" s="9" t="str">
        <f ca="1">IFERROR(IF(AND(VLOOKUP(A71, 'Актуальное состояние (из общего'!A:C,3,0) = "", A71 &lt;&gt; ""), "ПРОВЕРИТЬ", VLOOKUP(A71, 'Актуальное состояние (из общего'!A:C,3,0)), "")</f>
        <v>Студент</v>
      </c>
      <c r="U71" s="9" t="s">
        <v>13284</v>
      </c>
      <c r="V71" s="9" t="s">
        <v>13284</v>
      </c>
      <c r="W71" s="9" t="s">
        <v>64</v>
      </c>
      <c r="X71" s="9" t="str">
        <f t="array" ref="X71">IFERROR(INDEX('Адреса общежитий (скрытый)'!$B$2:$B$9, MATCH(W71, 'Адреса общежитий (скрытый)'!$A$2:$A$9, 0)), "")</f>
        <v>проспект 60-летия Октября, д.11</v>
      </c>
      <c r="Y71" s="18"/>
      <c r="Z71" s="18"/>
      <c r="AA71" s="18"/>
      <c r="AB71" s="18"/>
      <c r="AC71" s="18"/>
    </row>
    <row r="72" spans="1:29" ht="32.25" customHeight="1">
      <c r="A72" s="8">
        <v>2301101</v>
      </c>
      <c r="B72" s="9" t="s">
        <v>13284</v>
      </c>
      <c r="C72" s="9" t="s">
        <v>13284</v>
      </c>
      <c r="D72" s="9" t="s">
        <v>13284</v>
      </c>
      <c r="E72" s="9" t="s">
        <v>13284</v>
      </c>
      <c r="F72" s="9" t="s">
        <v>13284</v>
      </c>
      <c r="G72" s="9" t="s">
        <v>13284</v>
      </c>
      <c r="H72" s="9" t="s">
        <v>13284</v>
      </c>
      <c r="I72" s="9" t="s">
        <v>13284</v>
      </c>
      <c r="J72" s="9" t="s">
        <v>13284</v>
      </c>
      <c r="K72" s="9" t="s">
        <v>13284</v>
      </c>
      <c r="L72" s="9" t="s">
        <v>13284</v>
      </c>
      <c r="M72" s="9" t="s">
        <v>13284</v>
      </c>
      <c r="N72" s="9" t="s">
        <v>13284</v>
      </c>
      <c r="O72" s="9" t="s">
        <v>13284</v>
      </c>
      <c r="P72" s="9" t="s">
        <v>13284</v>
      </c>
      <c r="Q72" s="9" t="s">
        <v>13284</v>
      </c>
      <c r="R72" s="9" t="s">
        <v>13284</v>
      </c>
      <c r="S72" s="9" t="s">
        <v>13284</v>
      </c>
      <c r="T72" s="9" t="str">
        <f ca="1">IFERROR(IF(AND(VLOOKUP(A72, 'Актуальное состояние (из общего'!A:C,3,0) = "", A72 &lt;&gt; ""), "ПРОВЕРИТЬ", VLOOKUP(A72, 'Актуальное состояние (из общего'!A:C,3,0)), "")</f>
        <v>Студент</v>
      </c>
      <c r="U72" s="9" t="s">
        <v>13284</v>
      </c>
      <c r="V72" s="9" t="s">
        <v>13284</v>
      </c>
      <c r="W72" s="12"/>
      <c r="X72" s="9" t="str">
        <f t="array" ref="X72">IFERROR(INDEX('Адреса общежитий (скрытый)'!$B$2:$B$9, MATCH(W72, 'Адреса общежитий (скрытый)'!$A$2:$A$9, 0)), "")</f>
        <v/>
      </c>
      <c r="Y72" s="18"/>
      <c r="Z72" s="18"/>
      <c r="AA72" s="18"/>
      <c r="AB72" s="18"/>
      <c r="AC72" s="18"/>
    </row>
    <row r="73" spans="1:29" ht="32.25" customHeight="1">
      <c r="A73" s="8">
        <v>2310980</v>
      </c>
      <c r="B73" s="9" t="s">
        <v>13284</v>
      </c>
      <c r="C73" s="9" t="s">
        <v>13284</v>
      </c>
      <c r="D73" s="9" t="s">
        <v>13284</v>
      </c>
      <c r="E73" s="9" t="s">
        <v>13284</v>
      </c>
      <c r="F73" s="9" t="s">
        <v>13284</v>
      </c>
      <c r="G73" s="9" t="s">
        <v>13284</v>
      </c>
      <c r="H73" s="9" t="s">
        <v>13284</v>
      </c>
      <c r="I73" s="9" t="s">
        <v>13284</v>
      </c>
      <c r="J73" s="9" t="s">
        <v>13284</v>
      </c>
      <c r="K73" s="9" t="s">
        <v>13284</v>
      </c>
      <c r="L73" s="9" t="s">
        <v>13284</v>
      </c>
      <c r="M73" s="9" t="s">
        <v>3053</v>
      </c>
      <c r="N73" s="9" t="s">
        <v>13284</v>
      </c>
      <c r="O73" s="9" t="s">
        <v>13284</v>
      </c>
      <c r="P73" s="9" t="s">
        <v>13284</v>
      </c>
      <c r="Q73" s="9" t="s">
        <v>13284</v>
      </c>
      <c r="R73" s="9" t="s">
        <v>13284</v>
      </c>
      <c r="S73" s="9" t="s">
        <v>13284</v>
      </c>
      <c r="T73" s="9" t="str">
        <f ca="1">IFERROR(IF(AND(VLOOKUP(A73, 'Актуальное состояние (из общего'!A:C,3,0) = "", A73 &lt;&gt; ""), "ПРОВЕРИТЬ", VLOOKUP(A73, 'Актуальное состояние (из общего'!A:C,3,0)), "")</f>
        <v>Студент</v>
      </c>
      <c r="U73" s="9" t="s">
        <v>13284</v>
      </c>
      <c r="V73" s="9" t="s">
        <v>13284</v>
      </c>
      <c r="W73" s="9" t="s">
        <v>196</v>
      </c>
      <c r="X73" s="9" t="str">
        <f t="array" ref="X73">IFERROR(INDEX('Адреса общежитий (скрытый)'!$B$2:$B$9, MATCH(W73, 'Адреса общежитий (скрытый)'!$A$2:$A$9, 0)), "")</f>
        <v>проспект 60-летия Октября, д.15</v>
      </c>
      <c r="Y73" s="18"/>
      <c r="Z73" s="18"/>
      <c r="AA73" s="18"/>
      <c r="AB73" s="18"/>
      <c r="AC73" s="18"/>
    </row>
    <row r="74" spans="1:29" ht="32.25" hidden="1" customHeight="1">
      <c r="A74" s="8">
        <v>2301117</v>
      </c>
      <c r="B74" s="9" t="s">
        <v>13284</v>
      </c>
      <c r="C74" s="9" t="s">
        <v>13284</v>
      </c>
      <c r="D74" s="9" t="s">
        <v>13284</v>
      </c>
      <c r="E74" s="9" t="s">
        <v>13284</v>
      </c>
      <c r="F74" s="9" t="s">
        <v>13284</v>
      </c>
      <c r="G74" s="9" t="s">
        <v>13284</v>
      </c>
      <c r="H74" s="9" t="s">
        <v>13284</v>
      </c>
      <c r="I74" s="9" t="s">
        <v>13284</v>
      </c>
      <c r="J74" s="9" t="s">
        <v>13284</v>
      </c>
      <c r="K74" s="9" t="s">
        <v>13284</v>
      </c>
      <c r="L74" s="9" t="s">
        <v>13284</v>
      </c>
      <c r="M74" s="9" t="s">
        <v>13284</v>
      </c>
      <c r="N74" s="9" t="s">
        <v>13284</v>
      </c>
      <c r="O74" s="9" t="s">
        <v>13284</v>
      </c>
      <c r="P74" s="9" t="s">
        <v>13284</v>
      </c>
      <c r="Q74" s="9" t="s">
        <v>13284</v>
      </c>
      <c r="R74" s="9" t="s">
        <v>13284</v>
      </c>
      <c r="S74" s="9" t="s">
        <v>13284</v>
      </c>
      <c r="T74" s="9" t="str">
        <f ca="1">IFERROR(IF(AND(VLOOKUP(A74, 'Актуальное состояние (из общего'!A:C,3,0) = "", A74 &lt;&gt; ""), "ПРОВЕРИТЬ", VLOOKUP(A74, 'Актуальное состояние (из общего'!A:C,3,0)), "")</f>
        <v>Студент</v>
      </c>
      <c r="U74" s="9" t="s">
        <v>13284</v>
      </c>
      <c r="V74" s="9" t="s">
        <v>13284</v>
      </c>
      <c r="W74" s="12"/>
      <c r="X74" s="9" t="str">
        <f t="array" ref="X74">IFERROR(INDEX('Адреса общежитий (скрытый)'!$B$2:$B$9, MATCH(W74, 'Адреса общежитий (скрытый)'!$A$2:$A$9, 0)), "")</f>
        <v/>
      </c>
      <c r="Y74" s="18"/>
      <c r="Z74" s="18"/>
      <c r="AA74" s="18"/>
      <c r="AB74" s="18"/>
      <c r="AC74" s="18"/>
    </row>
    <row r="75" spans="1:29" ht="32.25" customHeight="1">
      <c r="A75" s="8">
        <v>2301593</v>
      </c>
      <c r="B75" s="9" t="s">
        <v>13284</v>
      </c>
      <c r="C75" s="9" t="s">
        <v>13284</v>
      </c>
      <c r="D75" s="9" t="s">
        <v>13284</v>
      </c>
      <c r="E75" s="9" t="s">
        <v>13284</v>
      </c>
      <c r="F75" s="9" t="s">
        <v>13284</v>
      </c>
      <c r="G75" s="9" t="s">
        <v>13284</v>
      </c>
      <c r="H75" s="9" t="s">
        <v>13284</v>
      </c>
      <c r="I75" s="9" t="s">
        <v>13284</v>
      </c>
      <c r="J75" s="9" t="s">
        <v>13284</v>
      </c>
      <c r="K75" s="9" t="s">
        <v>13284</v>
      </c>
      <c r="L75" s="9" t="s">
        <v>13284</v>
      </c>
      <c r="M75" s="9" t="s">
        <v>13284</v>
      </c>
      <c r="N75" s="9" t="s">
        <v>13284</v>
      </c>
      <c r="O75" s="9" t="s">
        <v>13284</v>
      </c>
      <c r="P75" s="9" t="s">
        <v>13284</v>
      </c>
      <c r="Q75" s="9" t="s">
        <v>13284</v>
      </c>
      <c r="R75" s="9" t="s">
        <v>13284</v>
      </c>
      <c r="S75" s="9" t="s">
        <v>13284</v>
      </c>
      <c r="T75" s="9" t="str">
        <f ca="1">IFERROR(IF(AND(VLOOKUP(A75, 'Актуальное состояние (из общего'!A:C,3,0) = "", A75 &lt;&gt; ""), "ПРОВЕРИТЬ", VLOOKUP(A75, 'Актуальное состояние (из общего'!A:C,3,0)), "")</f>
        <v>Студент</v>
      </c>
      <c r="U75" s="9" t="s">
        <v>13284</v>
      </c>
      <c r="V75" s="9" t="s">
        <v>13284</v>
      </c>
      <c r="W75" s="9" t="s">
        <v>64</v>
      </c>
      <c r="X75" s="9" t="str">
        <f t="array" ref="X75">IFERROR(INDEX('Адреса общежитий (скрытый)'!$B$2:$B$9, MATCH(W75, 'Адреса общежитий (скрытый)'!$A$2:$A$9, 0)), "")</f>
        <v>проспект 60-летия Октября, д.11</v>
      </c>
      <c r="Y75" s="18"/>
      <c r="Z75" s="18"/>
      <c r="AA75" s="18"/>
      <c r="AB75" s="18"/>
      <c r="AC75" s="18"/>
    </row>
    <row r="76" spans="1:29" ht="32.25" customHeight="1">
      <c r="A76" s="8">
        <v>2308410</v>
      </c>
      <c r="B76" s="9" t="s">
        <v>13284</v>
      </c>
      <c r="C76" s="9" t="s">
        <v>13284</v>
      </c>
      <c r="D76" s="9" t="s">
        <v>13284</v>
      </c>
      <c r="E76" s="9" t="s">
        <v>13284</v>
      </c>
      <c r="F76" s="9" t="s">
        <v>13284</v>
      </c>
      <c r="G76" s="9" t="s">
        <v>13284</v>
      </c>
      <c r="H76" s="9" t="s">
        <v>13284</v>
      </c>
      <c r="I76" s="9" t="s">
        <v>13284</v>
      </c>
      <c r="J76" s="9" t="s">
        <v>13284</v>
      </c>
      <c r="K76" s="9" t="s">
        <v>13284</v>
      </c>
      <c r="L76" s="9" t="s">
        <v>13284</v>
      </c>
      <c r="M76" s="9" t="s">
        <v>13284</v>
      </c>
      <c r="N76" s="9" t="s">
        <v>13284</v>
      </c>
      <c r="O76" s="9" t="s">
        <v>13284</v>
      </c>
      <c r="P76" s="9" t="s">
        <v>13284</v>
      </c>
      <c r="Q76" s="9" t="s">
        <v>13284</v>
      </c>
      <c r="R76" s="9" t="s">
        <v>13284</v>
      </c>
      <c r="S76" s="9" t="s">
        <v>13284</v>
      </c>
      <c r="T76" s="9" t="str">
        <f ca="1">IFERROR(IF(AND(VLOOKUP(A76, 'Актуальное состояние (из общего'!A:C,3,0) = "", A76 &lt;&gt; ""), "ПРОВЕРИТЬ", VLOOKUP(A76, 'Актуальное состояние (из общего'!A:C,3,0)), "")</f>
        <v>Студент</v>
      </c>
      <c r="U76" s="9" t="s">
        <v>13284</v>
      </c>
      <c r="V76" s="9" t="s">
        <v>13284</v>
      </c>
      <c r="W76" s="9" t="s">
        <v>64</v>
      </c>
      <c r="X76" s="9" t="str">
        <f t="array" ref="X76">IFERROR(INDEX('Адреса общежитий (скрытый)'!$B$2:$B$9, MATCH(W76, 'Адреса общежитий (скрытый)'!$A$2:$A$9, 0)), "")</f>
        <v>проспект 60-летия Октября, д.11</v>
      </c>
      <c r="Y76" s="18" t="s">
        <v>7723</v>
      </c>
      <c r="Z76" s="18"/>
      <c r="AA76" s="18"/>
      <c r="AB76" s="18"/>
      <c r="AC76" s="18"/>
    </row>
    <row r="77" spans="1:29" ht="32.25" customHeight="1">
      <c r="A77" s="8">
        <v>2308290</v>
      </c>
      <c r="B77" s="9" t="s">
        <v>13284</v>
      </c>
      <c r="C77" s="9" t="s">
        <v>13284</v>
      </c>
      <c r="D77" s="9" t="s">
        <v>13284</v>
      </c>
      <c r="E77" s="9" t="s">
        <v>13284</v>
      </c>
      <c r="F77" s="9" t="s">
        <v>13284</v>
      </c>
      <c r="G77" s="9" t="s">
        <v>13284</v>
      </c>
      <c r="H77" s="9" t="s">
        <v>13284</v>
      </c>
      <c r="I77" s="9" t="s">
        <v>13284</v>
      </c>
      <c r="J77" s="9" t="s">
        <v>13284</v>
      </c>
      <c r="K77" s="9" t="s">
        <v>13284</v>
      </c>
      <c r="L77" s="9" t="s">
        <v>13284</v>
      </c>
      <c r="M77" s="9" t="s">
        <v>13284</v>
      </c>
      <c r="N77" s="9" t="s">
        <v>13284</v>
      </c>
      <c r="O77" s="9" t="s">
        <v>13284</v>
      </c>
      <c r="P77" s="9" t="s">
        <v>13284</v>
      </c>
      <c r="Q77" s="9" t="s">
        <v>13284</v>
      </c>
      <c r="R77" s="9" t="s">
        <v>13284</v>
      </c>
      <c r="S77" s="9" t="s">
        <v>13284</v>
      </c>
      <c r="T77" s="9" t="str">
        <f ca="1">IFERROR(IF(AND(VLOOKUP(A77, 'Актуальное состояние (из общего'!A:C,3,0) = "", A77 &lt;&gt; ""), "ПРОВЕРИТЬ", VLOOKUP(A77, 'Актуальное состояние (из общего'!A:C,3,0)), "")</f>
        <v>Студент</v>
      </c>
      <c r="U77" s="9" t="s">
        <v>13284</v>
      </c>
      <c r="V77" s="9" t="s">
        <v>13284</v>
      </c>
      <c r="W77" s="9" t="s">
        <v>64</v>
      </c>
      <c r="X77" s="9" t="str">
        <f t="array" ref="X77">IFERROR(INDEX('Адреса общежитий (скрытый)'!$B$2:$B$9, MATCH(W77, 'Адреса общежитий (скрытый)'!$A$2:$A$9, 0)), "")</f>
        <v>проспект 60-летия Октября, д.11</v>
      </c>
      <c r="Y77" s="18"/>
      <c r="Z77" s="18"/>
      <c r="AA77" s="18"/>
      <c r="AB77" s="18"/>
      <c r="AC77" s="18"/>
    </row>
    <row r="78" spans="1:29" ht="32.25" customHeight="1">
      <c r="A78" s="8">
        <v>2305249</v>
      </c>
      <c r="B78" s="9" t="s">
        <v>13284</v>
      </c>
      <c r="C78" s="9" t="s">
        <v>13284</v>
      </c>
      <c r="D78" s="9" t="s">
        <v>13284</v>
      </c>
      <c r="E78" s="9" t="s">
        <v>13284</v>
      </c>
      <c r="F78" s="9" t="s">
        <v>13284</v>
      </c>
      <c r="G78" s="9" t="s">
        <v>13284</v>
      </c>
      <c r="H78" s="9" t="s">
        <v>13284</v>
      </c>
      <c r="I78" s="9" t="s">
        <v>13284</v>
      </c>
      <c r="J78" s="9" t="s">
        <v>13284</v>
      </c>
      <c r="K78" s="9" t="s">
        <v>13284</v>
      </c>
      <c r="L78" s="9" t="s">
        <v>13284</v>
      </c>
      <c r="M78" s="9" t="s">
        <v>13284</v>
      </c>
      <c r="N78" s="9" t="s">
        <v>13284</v>
      </c>
      <c r="O78" s="9" t="s">
        <v>13284</v>
      </c>
      <c r="P78" s="9" t="s">
        <v>13284</v>
      </c>
      <c r="Q78" s="9" t="s">
        <v>13284</v>
      </c>
      <c r="R78" s="9" t="s">
        <v>13284</v>
      </c>
      <c r="S78" s="9" t="s">
        <v>13284</v>
      </c>
      <c r="T78" s="9" t="str">
        <f ca="1">IFERROR(IF(AND(VLOOKUP(A78, 'Актуальное состояние (из общего'!A:C,3,0) = "", A78 &lt;&gt; ""), "ПРОВЕРИТЬ", VLOOKUP(A78, 'Актуальное состояние (из общего'!A:C,3,0)), "")</f>
        <v>Студент</v>
      </c>
      <c r="U78" s="9" t="s">
        <v>13284</v>
      </c>
      <c r="V78" s="9" t="s">
        <v>13284</v>
      </c>
      <c r="W78" s="12"/>
      <c r="X78" s="9" t="str">
        <f t="array" ref="X78">IFERROR(INDEX('Адреса общежитий (скрытый)'!$B$2:$B$9, MATCH(W78, 'Адреса общежитий (скрытый)'!$A$2:$A$9, 0)), "")</f>
        <v/>
      </c>
      <c r="Y78" s="18"/>
      <c r="Z78" s="18"/>
      <c r="AA78" s="18"/>
      <c r="AB78" s="18"/>
      <c r="AC78" s="18"/>
    </row>
    <row r="79" spans="1:29" ht="32.25" customHeight="1">
      <c r="A79" s="8">
        <v>2307697</v>
      </c>
      <c r="B79" s="9" t="s">
        <v>13284</v>
      </c>
      <c r="C79" s="9" t="s">
        <v>13284</v>
      </c>
      <c r="D79" s="9" t="s">
        <v>13284</v>
      </c>
      <c r="E79" s="9" t="s">
        <v>13284</v>
      </c>
      <c r="F79" s="9" t="s">
        <v>13284</v>
      </c>
      <c r="G79" s="9" t="s">
        <v>13284</v>
      </c>
      <c r="H79" s="9" t="s">
        <v>13284</v>
      </c>
      <c r="I79" s="9" t="s">
        <v>13284</v>
      </c>
      <c r="J79" s="9" t="s">
        <v>13284</v>
      </c>
      <c r="K79" s="9" t="s">
        <v>13284</v>
      </c>
      <c r="L79" s="9" t="s">
        <v>13284</v>
      </c>
      <c r="M79" s="9" t="s">
        <v>13284</v>
      </c>
      <c r="N79" s="9" t="s">
        <v>13284</v>
      </c>
      <c r="O79" s="9" t="s">
        <v>13284</v>
      </c>
      <c r="P79" s="9" t="s">
        <v>13284</v>
      </c>
      <c r="Q79" s="9" t="s">
        <v>13284</v>
      </c>
      <c r="R79" s="9" t="s">
        <v>13284</v>
      </c>
      <c r="S79" s="9" t="s">
        <v>13284</v>
      </c>
      <c r="T79" s="9" t="str">
        <f ca="1">IFERROR(IF(AND(VLOOKUP(A79, 'Актуальное состояние (из общего'!A:C,3,0) = "", A79 &lt;&gt; ""), "ПРОВЕРИТЬ", VLOOKUP(A79, 'Актуальное состояние (из общего'!A:C,3,0)), "")</f>
        <v>Студент</v>
      </c>
      <c r="U79" s="9" t="s">
        <v>13284</v>
      </c>
      <c r="V79" s="9" t="s">
        <v>13284</v>
      </c>
      <c r="W79" s="9" t="s">
        <v>64</v>
      </c>
      <c r="X79" s="9" t="str">
        <f t="array" ref="X79">IFERROR(INDEX('Адреса общежитий (скрытый)'!$B$2:$B$9, MATCH(W79, 'Адреса общежитий (скрытый)'!$A$2:$A$9, 0)), "")</f>
        <v>проспект 60-летия Октября, д.11</v>
      </c>
      <c r="Y79" s="18"/>
      <c r="Z79" s="18"/>
      <c r="AA79" s="18"/>
      <c r="AB79" s="18"/>
      <c r="AC79" s="18"/>
    </row>
    <row r="80" spans="1:29" ht="32.25" hidden="1" customHeight="1">
      <c r="A80" s="8">
        <v>2303965</v>
      </c>
      <c r="B80" s="9" t="s">
        <v>13284</v>
      </c>
      <c r="C80" s="9" t="s">
        <v>13284</v>
      </c>
      <c r="D80" s="9" t="s">
        <v>13284</v>
      </c>
      <c r="E80" s="9" t="s">
        <v>13284</v>
      </c>
      <c r="F80" s="9" t="s">
        <v>13284</v>
      </c>
      <c r="G80" s="9" t="s">
        <v>13284</v>
      </c>
      <c r="H80" s="9" t="s">
        <v>13284</v>
      </c>
      <c r="I80" s="9" t="s">
        <v>13284</v>
      </c>
      <c r="J80" s="9" t="s">
        <v>13284</v>
      </c>
      <c r="K80" s="9" t="s">
        <v>13284</v>
      </c>
      <c r="L80" s="9" t="s">
        <v>13284</v>
      </c>
      <c r="M80" s="9" t="s">
        <v>13284</v>
      </c>
      <c r="N80" s="9" t="s">
        <v>13284</v>
      </c>
      <c r="O80" s="9" t="s">
        <v>13284</v>
      </c>
      <c r="P80" s="9" t="s">
        <v>13284</v>
      </c>
      <c r="Q80" s="9" t="s">
        <v>13284</v>
      </c>
      <c r="R80" s="9" t="s">
        <v>13284</v>
      </c>
      <c r="S80" s="9" t="s">
        <v>13284</v>
      </c>
      <c r="T80" s="9" t="str">
        <f ca="1">IFERROR(IF(AND(VLOOKUP(A80, 'Актуальное состояние (из общего'!A:C,3,0) = "", A80 &lt;&gt; ""), "ПРОВЕРИТЬ", VLOOKUP(A80, 'Актуальное состояние (из общего'!A:C,3,0)), "")</f>
        <v>Студент</v>
      </c>
      <c r="U80" s="9" t="s">
        <v>13284</v>
      </c>
      <c r="V80" s="9" t="s">
        <v>13284</v>
      </c>
      <c r="W80" s="12"/>
      <c r="X80" s="9" t="str">
        <f t="array" ref="X80">IFERROR(INDEX('Адреса общежитий (скрытый)'!$B$2:$B$9, MATCH(W80, 'Адреса общежитий (скрытый)'!$A$2:$A$9, 0)), "")</f>
        <v/>
      </c>
      <c r="Y80" s="18"/>
      <c r="Z80" s="18"/>
      <c r="AA80" s="18"/>
      <c r="AB80" s="18"/>
      <c r="AC80" s="18"/>
    </row>
    <row r="81" spans="1:29" ht="32.25" hidden="1" customHeight="1">
      <c r="A81" s="8">
        <v>2305054</v>
      </c>
      <c r="B81" s="9" t="s">
        <v>13284</v>
      </c>
      <c r="C81" s="9" t="s">
        <v>13284</v>
      </c>
      <c r="D81" s="9" t="s">
        <v>13284</v>
      </c>
      <c r="E81" s="9" t="s">
        <v>13284</v>
      </c>
      <c r="F81" s="9" t="s">
        <v>13284</v>
      </c>
      <c r="G81" s="9" t="s">
        <v>13284</v>
      </c>
      <c r="H81" s="9" t="s">
        <v>13284</v>
      </c>
      <c r="I81" s="9" t="s">
        <v>13284</v>
      </c>
      <c r="J81" s="9" t="s">
        <v>13284</v>
      </c>
      <c r="K81" s="9" t="s">
        <v>13284</v>
      </c>
      <c r="L81" s="9" t="s">
        <v>13284</v>
      </c>
      <c r="M81" s="9" t="s">
        <v>13284</v>
      </c>
      <c r="N81" s="9" t="s">
        <v>13284</v>
      </c>
      <c r="O81" s="9" t="s">
        <v>13284</v>
      </c>
      <c r="P81" s="9" t="s">
        <v>13284</v>
      </c>
      <c r="Q81" s="9" t="s">
        <v>13284</v>
      </c>
      <c r="R81" s="9" t="s">
        <v>13284</v>
      </c>
      <c r="S81" s="9" t="s">
        <v>13284</v>
      </c>
      <c r="T81" s="9" t="str">
        <f ca="1">IFERROR(IF(AND(VLOOKUP(A81, 'Актуальное состояние (из общего'!A:C,3,0) = "", A81 &lt;&gt; ""), "ПРОВЕРИТЬ", VLOOKUP(A81, 'Актуальное состояние (из общего'!A:C,3,0)), "")</f>
        <v>Студент</v>
      </c>
      <c r="U81" s="9" t="s">
        <v>13284</v>
      </c>
      <c r="V81" s="9" t="s">
        <v>13284</v>
      </c>
      <c r="W81" s="12"/>
      <c r="X81" s="9" t="str">
        <f t="array" ref="X81">IFERROR(INDEX('Адреса общежитий (скрытый)'!$B$2:$B$9, MATCH(W81, 'Адреса общежитий (скрытый)'!$A$2:$A$9, 0)), "")</f>
        <v/>
      </c>
      <c r="Y81" s="18"/>
      <c r="Z81" s="18"/>
      <c r="AA81" s="18"/>
      <c r="AB81" s="18"/>
      <c r="AC81" s="18"/>
    </row>
    <row r="82" spans="1:29" ht="32.25" hidden="1" customHeight="1">
      <c r="A82" s="8">
        <v>2302261</v>
      </c>
      <c r="B82" s="9" t="s">
        <v>13284</v>
      </c>
      <c r="C82" s="9" t="s">
        <v>13284</v>
      </c>
      <c r="D82" s="9" t="s">
        <v>13284</v>
      </c>
      <c r="E82" s="9" t="s">
        <v>13284</v>
      </c>
      <c r="F82" s="9" t="s">
        <v>13284</v>
      </c>
      <c r="G82" s="9" t="s">
        <v>13284</v>
      </c>
      <c r="H82" s="9" t="s">
        <v>13284</v>
      </c>
      <c r="I82" s="9" t="s">
        <v>13284</v>
      </c>
      <c r="J82" s="9" t="s">
        <v>13284</v>
      </c>
      <c r="K82" s="9" t="s">
        <v>13284</v>
      </c>
      <c r="L82" s="9" t="s">
        <v>13284</v>
      </c>
      <c r="M82" s="9" t="s">
        <v>13284</v>
      </c>
      <c r="N82" s="9" t="s">
        <v>13284</v>
      </c>
      <c r="O82" s="9" t="s">
        <v>13284</v>
      </c>
      <c r="P82" s="9" t="s">
        <v>13284</v>
      </c>
      <c r="Q82" s="9" t="s">
        <v>13284</v>
      </c>
      <c r="R82" s="9" t="s">
        <v>13284</v>
      </c>
      <c r="S82" s="9" t="s">
        <v>13284</v>
      </c>
      <c r="T82" s="9" t="str">
        <f ca="1">IFERROR(IF(AND(VLOOKUP(A82, 'Актуальное состояние (из общего'!A:C,3,0) = "", A82 &lt;&gt; ""), "ПРОВЕРИТЬ", VLOOKUP(A82, 'Актуальное состояние (из общего'!A:C,3,0)), "")</f>
        <v>Студент</v>
      </c>
      <c r="U82" s="9" t="s">
        <v>13284</v>
      </c>
      <c r="V82" s="9" t="s">
        <v>13284</v>
      </c>
      <c r="W82" s="12"/>
      <c r="X82" s="9" t="str">
        <f t="array" ref="X82">IFERROR(INDEX('Адреса общежитий (скрытый)'!$B$2:$B$9, MATCH(W82, 'Адреса общежитий (скрытый)'!$A$2:$A$9, 0)), "")</f>
        <v/>
      </c>
      <c r="Y82" s="18"/>
      <c r="Z82" s="18"/>
      <c r="AA82" s="18"/>
      <c r="AB82" s="18"/>
      <c r="AC82" s="18"/>
    </row>
    <row r="83" spans="1:29" ht="32.25" customHeight="1">
      <c r="A83" s="8">
        <v>2302072</v>
      </c>
      <c r="B83" s="9" t="s">
        <v>13284</v>
      </c>
      <c r="C83" s="9" t="s">
        <v>13284</v>
      </c>
      <c r="D83" s="9" t="s">
        <v>13284</v>
      </c>
      <c r="E83" s="9" t="s">
        <v>13284</v>
      </c>
      <c r="F83" s="9" t="s">
        <v>13284</v>
      </c>
      <c r="G83" s="9" t="s">
        <v>13284</v>
      </c>
      <c r="H83" s="9" t="s">
        <v>13284</v>
      </c>
      <c r="I83" s="9" t="s">
        <v>13284</v>
      </c>
      <c r="J83" s="9" t="s">
        <v>13284</v>
      </c>
      <c r="K83" s="9" t="s">
        <v>13284</v>
      </c>
      <c r="L83" s="9" t="s">
        <v>13284</v>
      </c>
      <c r="M83" s="9" t="s">
        <v>13284</v>
      </c>
      <c r="N83" s="9" t="s">
        <v>13284</v>
      </c>
      <c r="O83" s="9" t="s">
        <v>13284</v>
      </c>
      <c r="P83" s="9" t="s">
        <v>13284</v>
      </c>
      <c r="Q83" s="9" t="s">
        <v>13284</v>
      </c>
      <c r="R83" s="9" t="s">
        <v>13284</v>
      </c>
      <c r="S83" s="9" t="s">
        <v>13284</v>
      </c>
      <c r="T83" s="9" t="str">
        <f ca="1">IFERROR(IF(AND(VLOOKUP(A83, 'Актуальное состояние (из общего'!A:C,3,0) = "", A83 &lt;&gt; ""), "ПРОВЕРИТЬ", VLOOKUP(A83, 'Актуальное состояние (из общего'!A:C,3,0)), "")</f>
        <v>Студент</v>
      </c>
      <c r="U83" s="9" t="s">
        <v>13284</v>
      </c>
      <c r="V83" s="9" t="s">
        <v>13284</v>
      </c>
      <c r="W83" s="12"/>
      <c r="X83" s="9" t="str">
        <f t="array" ref="X83">IFERROR(INDEX('Адреса общежитий (скрытый)'!$B$2:$B$9, MATCH(W83, 'Адреса общежитий (скрытый)'!$A$2:$A$9, 0)), "")</f>
        <v/>
      </c>
      <c r="Y83" s="18"/>
      <c r="Z83" s="18"/>
      <c r="AA83" s="18"/>
      <c r="AB83" s="18"/>
      <c r="AC83" s="18"/>
    </row>
    <row r="84" spans="1:29" ht="32.25" customHeight="1">
      <c r="A84" s="8">
        <v>2311717</v>
      </c>
      <c r="B84" s="9" t="s">
        <v>13284</v>
      </c>
      <c r="C84" s="9" t="s">
        <v>13284</v>
      </c>
      <c r="D84" s="9" t="s">
        <v>13284</v>
      </c>
      <c r="E84" s="9" t="s">
        <v>13284</v>
      </c>
      <c r="F84" s="9" t="s">
        <v>13284</v>
      </c>
      <c r="G84" s="9" t="s">
        <v>13284</v>
      </c>
      <c r="H84" s="9" t="s">
        <v>13284</v>
      </c>
      <c r="I84" s="9" t="s">
        <v>13284</v>
      </c>
      <c r="J84" s="9" t="s">
        <v>13284</v>
      </c>
      <c r="K84" s="9" t="s">
        <v>13284</v>
      </c>
      <c r="L84" s="9" t="s">
        <v>13284</v>
      </c>
      <c r="M84" s="9" t="s">
        <v>13284</v>
      </c>
      <c r="N84" s="9" t="s">
        <v>13284</v>
      </c>
      <c r="O84" s="9" t="s">
        <v>13284</v>
      </c>
      <c r="P84" s="9" t="s">
        <v>13284</v>
      </c>
      <c r="Q84" s="9" t="s">
        <v>13284</v>
      </c>
      <c r="R84" s="9" t="s">
        <v>13284</v>
      </c>
      <c r="S84" s="9" t="s">
        <v>13284</v>
      </c>
      <c r="T84" s="9" t="str">
        <f ca="1">IFERROR(IF(AND(VLOOKUP(A84, 'Актуальное состояние (из общего'!A:C,3,0) = "", A84 &lt;&gt; ""), "ПРОВЕРИТЬ", VLOOKUP(A84, 'Актуальное состояние (из общего'!A:C,3,0)), "")</f>
        <v>Студент</v>
      </c>
      <c r="U84" s="9" t="s">
        <v>13284</v>
      </c>
      <c r="V84" s="9" t="s">
        <v>13284</v>
      </c>
      <c r="W84" s="9" t="s">
        <v>64</v>
      </c>
      <c r="X84" s="9" t="str">
        <f t="array" ref="X84">IFERROR(INDEX('Адреса общежитий (скрытый)'!$B$2:$B$9, MATCH(W84, 'Адреса общежитий (скрытый)'!$A$2:$A$9, 0)), "")</f>
        <v>проспект 60-летия Октября, д.11</v>
      </c>
      <c r="Y84" s="18"/>
      <c r="Z84" s="18"/>
      <c r="AA84" s="18"/>
      <c r="AB84" s="18"/>
      <c r="AC84" s="18"/>
    </row>
    <row r="85" spans="1:29" ht="32.25" customHeight="1">
      <c r="A85" s="8">
        <v>2307927</v>
      </c>
      <c r="B85" s="9" t="s">
        <v>13284</v>
      </c>
      <c r="C85" s="9" t="s">
        <v>13284</v>
      </c>
      <c r="D85" s="9" t="s">
        <v>13284</v>
      </c>
      <c r="E85" s="9" t="s">
        <v>13284</v>
      </c>
      <c r="F85" s="9" t="s">
        <v>13284</v>
      </c>
      <c r="G85" s="9" t="s">
        <v>13284</v>
      </c>
      <c r="H85" s="9" t="s">
        <v>13284</v>
      </c>
      <c r="I85" s="9" t="s">
        <v>13284</v>
      </c>
      <c r="J85" s="9" t="s">
        <v>13284</v>
      </c>
      <c r="K85" s="9" t="s">
        <v>13284</v>
      </c>
      <c r="L85" s="9" t="s">
        <v>13284</v>
      </c>
      <c r="M85" s="9" t="s">
        <v>13284</v>
      </c>
      <c r="N85" s="9" t="s">
        <v>13284</v>
      </c>
      <c r="O85" s="9" t="s">
        <v>13284</v>
      </c>
      <c r="P85" s="9" t="s">
        <v>13284</v>
      </c>
      <c r="Q85" s="9" t="s">
        <v>13284</v>
      </c>
      <c r="R85" s="9" t="s">
        <v>13284</v>
      </c>
      <c r="S85" s="9" t="s">
        <v>13284</v>
      </c>
      <c r="T85" s="9" t="str">
        <f ca="1">IFERROR(IF(AND(VLOOKUP(A85, 'Актуальное состояние (из общего'!A:C,3,0) = "", A85 &lt;&gt; ""), "ПРОВЕРИТЬ", VLOOKUP(A85, 'Актуальное состояние (из общего'!A:C,3,0)), "")</f>
        <v>Студент</v>
      </c>
      <c r="U85" s="9" t="s">
        <v>13284</v>
      </c>
      <c r="V85" s="9" t="s">
        <v>13284</v>
      </c>
      <c r="W85" s="9" t="s">
        <v>64</v>
      </c>
      <c r="X85" s="9" t="str">
        <f t="array" ref="X85">IFERROR(INDEX('Адреса общежитий (скрытый)'!$B$2:$B$9, MATCH(W85, 'Адреса общежитий (скрытый)'!$A$2:$A$9, 0)), "")</f>
        <v>проспект 60-летия Октября, д.11</v>
      </c>
      <c r="Y85" s="18"/>
      <c r="Z85" s="18"/>
      <c r="AA85" s="18"/>
      <c r="AB85" s="18"/>
      <c r="AC85" s="18"/>
    </row>
    <row r="86" spans="1:29" ht="32.25" hidden="1" customHeight="1">
      <c r="A86" s="8">
        <v>2310939</v>
      </c>
      <c r="B86" s="9" t="s">
        <v>13284</v>
      </c>
      <c r="C86" s="9" t="s">
        <v>13284</v>
      </c>
      <c r="D86" s="9" t="s">
        <v>13284</v>
      </c>
      <c r="E86" s="9" t="s">
        <v>13284</v>
      </c>
      <c r="F86" s="9" t="s">
        <v>13284</v>
      </c>
      <c r="G86" s="9" t="s">
        <v>13284</v>
      </c>
      <c r="H86" s="9" t="s">
        <v>13284</v>
      </c>
      <c r="I86" s="9" t="s">
        <v>13284</v>
      </c>
      <c r="J86" s="9" t="s">
        <v>13284</v>
      </c>
      <c r="K86" s="9" t="s">
        <v>13284</v>
      </c>
      <c r="L86" s="9" t="s">
        <v>13284</v>
      </c>
      <c r="M86" s="9" t="s">
        <v>13284</v>
      </c>
      <c r="N86" s="9" t="s">
        <v>13284</v>
      </c>
      <c r="O86" s="9" t="s">
        <v>13284</v>
      </c>
      <c r="P86" s="9" t="s">
        <v>13284</v>
      </c>
      <c r="Q86" s="9" t="s">
        <v>13284</v>
      </c>
      <c r="R86" s="9" t="s">
        <v>13284</v>
      </c>
      <c r="S86" s="9" t="s">
        <v>13284</v>
      </c>
      <c r="T86" s="9" t="str">
        <f ca="1">IFERROR(IF(AND(VLOOKUP(A86, 'Актуальное состояние (из общего'!A:C,3,0) = "", A86 &lt;&gt; ""), "ПРОВЕРИТЬ", VLOOKUP(A86, 'Актуальное состояние (из общего'!A:C,3,0)), "")</f>
        <v>Студент</v>
      </c>
      <c r="U86" s="9" t="s">
        <v>13284</v>
      </c>
      <c r="V86" s="9" t="s">
        <v>13284</v>
      </c>
      <c r="W86" s="12"/>
      <c r="X86" s="9" t="str">
        <f t="array" ref="X86">IFERROR(INDEX('Адреса общежитий (скрытый)'!$B$2:$B$9, MATCH(W86, 'Адреса общежитий (скрытый)'!$A$2:$A$9, 0)), "")</f>
        <v/>
      </c>
      <c r="Y86" s="18"/>
      <c r="Z86" s="18"/>
      <c r="AA86" s="18"/>
      <c r="AB86" s="18"/>
      <c r="AC86" s="18"/>
    </row>
    <row r="87" spans="1:29" ht="32.25" hidden="1" customHeight="1">
      <c r="A87" s="8">
        <v>2308935</v>
      </c>
      <c r="B87" s="9" t="s">
        <v>13284</v>
      </c>
      <c r="C87" s="9" t="s">
        <v>13284</v>
      </c>
      <c r="D87" s="9" t="s">
        <v>13284</v>
      </c>
      <c r="E87" s="9" t="s">
        <v>13284</v>
      </c>
      <c r="F87" s="9" t="s">
        <v>13284</v>
      </c>
      <c r="G87" s="9" t="s">
        <v>13284</v>
      </c>
      <c r="H87" s="9" t="s">
        <v>13284</v>
      </c>
      <c r="I87" s="9" t="s">
        <v>13284</v>
      </c>
      <c r="J87" s="9" t="s">
        <v>13284</v>
      </c>
      <c r="K87" s="9" t="s">
        <v>13284</v>
      </c>
      <c r="L87" s="9" t="s">
        <v>13284</v>
      </c>
      <c r="M87" s="9" t="s">
        <v>13284</v>
      </c>
      <c r="N87" s="9" t="s">
        <v>13284</v>
      </c>
      <c r="O87" s="9" t="s">
        <v>13284</v>
      </c>
      <c r="P87" s="9" t="s">
        <v>13284</v>
      </c>
      <c r="Q87" s="9" t="s">
        <v>13284</v>
      </c>
      <c r="R87" s="9" t="s">
        <v>13284</v>
      </c>
      <c r="S87" s="9" t="s">
        <v>13284</v>
      </c>
      <c r="T87" s="9" t="str">
        <f ca="1">IFERROR(IF(AND(VLOOKUP(A87, 'Актуальное состояние (из общего'!A:C,3,0) = "", A87 &lt;&gt; ""), "ПРОВЕРИТЬ", VLOOKUP(A87, 'Актуальное состояние (из общего'!A:C,3,0)), "")</f>
        <v>Студент</v>
      </c>
      <c r="U87" s="9" t="s">
        <v>13284</v>
      </c>
      <c r="V87" s="9" t="s">
        <v>13284</v>
      </c>
      <c r="W87" s="12"/>
      <c r="X87" s="9" t="str">
        <f t="array" ref="X87">IFERROR(INDEX('Адреса общежитий (скрытый)'!$B$2:$B$9, MATCH(W87, 'Адреса общежитий (скрытый)'!$A$2:$A$9, 0)), "")</f>
        <v/>
      </c>
      <c r="Y87" s="18"/>
      <c r="Z87" s="18"/>
      <c r="AA87" s="18"/>
      <c r="AB87" s="18"/>
      <c r="AC87" s="18"/>
    </row>
    <row r="88" spans="1:29" ht="32.25" customHeight="1">
      <c r="A88" s="8">
        <v>2305562</v>
      </c>
      <c r="B88" s="9" t="s">
        <v>13284</v>
      </c>
      <c r="C88" s="9" t="s">
        <v>13284</v>
      </c>
      <c r="D88" s="9" t="s">
        <v>13284</v>
      </c>
      <c r="E88" s="9" t="s">
        <v>13284</v>
      </c>
      <c r="F88" s="9" t="s">
        <v>13284</v>
      </c>
      <c r="G88" s="9" t="s">
        <v>13284</v>
      </c>
      <c r="H88" s="9" t="s">
        <v>13284</v>
      </c>
      <c r="I88" s="9" t="s">
        <v>13284</v>
      </c>
      <c r="J88" s="9" t="s">
        <v>13284</v>
      </c>
      <c r="K88" s="9" t="s">
        <v>13284</v>
      </c>
      <c r="L88" s="9" t="s">
        <v>13284</v>
      </c>
      <c r="M88" s="9" t="s">
        <v>13284</v>
      </c>
      <c r="N88" s="9" t="s">
        <v>13284</v>
      </c>
      <c r="O88" s="9" t="s">
        <v>13284</v>
      </c>
      <c r="P88" s="9" t="s">
        <v>13284</v>
      </c>
      <c r="Q88" s="9" t="s">
        <v>13284</v>
      </c>
      <c r="R88" s="9" t="s">
        <v>13284</v>
      </c>
      <c r="S88" s="9" t="s">
        <v>13284</v>
      </c>
      <c r="T88" s="9" t="str">
        <f ca="1">IFERROR(IF(AND(VLOOKUP(A88, 'Актуальное состояние (из общего'!A:C,3,0) = "", A88 &lt;&gt; ""), "ПРОВЕРИТЬ", VLOOKUP(A88, 'Актуальное состояние (из общего'!A:C,3,0)), "")</f>
        <v>Студент</v>
      </c>
      <c r="U88" s="9" t="s">
        <v>13284</v>
      </c>
      <c r="V88" s="9" t="s">
        <v>13284</v>
      </c>
      <c r="W88" s="9" t="s">
        <v>64</v>
      </c>
      <c r="X88" s="9" t="str">
        <f t="array" ref="X88">IFERROR(INDEX('Адреса общежитий (скрытый)'!$B$2:$B$9, MATCH(W88, 'Адреса общежитий (скрытый)'!$A$2:$A$9, 0)), "")</f>
        <v>проспект 60-летия Октября, д.11</v>
      </c>
      <c r="Y88" s="18"/>
      <c r="Z88" s="18"/>
      <c r="AA88" s="18"/>
      <c r="AB88" s="18"/>
      <c r="AC88" s="18"/>
    </row>
    <row r="89" spans="1:29" ht="32.25" customHeight="1">
      <c r="A89" s="8">
        <v>2306182</v>
      </c>
      <c r="B89" s="9" t="s">
        <v>13284</v>
      </c>
      <c r="C89" s="9" t="s">
        <v>13284</v>
      </c>
      <c r="D89" s="9" t="s">
        <v>13284</v>
      </c>
      <c r="E89" s="9" t="s">
        <v>13284</v>
      </c>
      <c r="F89" s="9" t="s">
        <v>13284</v>
      </c>
      <c r="G89" s="9" t="s">
        <v>13284</v>
      </c>
      <c r="H89" s="9" t="s">
        <v>13284</v>
      </c>
      <c r="I89" s="9" t="s">
        <v>13284</v>
      </c>
      <c r="J89" s="9" t="s">
        <v>13284</v>
      </c>
      <c r="K89" s="9" t="s">
        <v>13284</v>
      </c>
      <c r="L89" s="9" t="s">
        <v>13284</v>
      </c>
      <c r="M89" s="9" t="s">
        <v>13284</v>
      </c>
      <c r="N89" s="9" t="s">
        <v>13284</v>
      </c>
      <c r="O89" s="9" t="s">
        <v>13284</v>
      </c>
      <c r="P89" s="9" t="s">
        <v>13284</v>
      </c>
      <c r="Q89" s="9" t="s">
        <v>13284</v>
      </c>
      <c r="R89" s="9" t="s">
        <v>13284</v>
      </c>
      <c r="S89" s="9" t="s">
        <v>13284</v>
      </c>
      <c r="T89" s="9" t="str">
        <f ca="1">IFERROR(IF(AND(VLOOKUP(A89, 'Актуальное состояние (из общего'!A:C,3,0) = "", A89 &lt;&gt; ""), "ПРОВЕРИТЬ", VLOOKUP(A89, 'Актуальное состояние (из общего'!A:C,3,0)), "")</f>
        <v>Студент</v>
      </c>
      <c r="U89" s="9" t="s">
        <v>13284</v>
      </c>
      <c r="V89" s="9" t="s">
        <v>13284</v>
      </c>
      <c r="W89" s="9" t="s">
        <v>64</v>
      </c>
      <c r="X89" s="9" t="str">
        <f t="array" ref="X89">IFERROR(INDEX('Адреса общежитий (скрытый)'!$B$2:$B$9, MATCH(W89, 'Адреса общежитий (скрытый)'!$A$2:$A$9, 0)), "")</f>
        <v>проспект 60-летия Октября, д.11</v>
      </c>
      <c r="Y89" s="18"/>
      <c r="Z89" s="18"/>
      <c r="AA89" s="18"/>
      <c r="AB89" s="18"/>
      <c r="AC89" s="18"/>
    </row>
    <row r="90" spans="1:29" ht="32.25" customHeight="1">
      <c r="A90" s="8">
        <v>2307228</v>
      </c>
      <c r="B90" s="9" t="s">
        <v>13284</v>
      </c>
      <c r="C90" s="9" t="s">
        <v>13284</v>
      </c>
      <c r="D90" s="9" t="s">
        <v>13284</v>
      </c>
      <c r="E90" s="9" t="s">
        <v>13284</v>
      </c>
      <c r="F90" s="9" t="s">
        <v>13284</v>
      </c>
      <c r="G90" s="9" t="s">
        <v>13284</v>
      </c>
      <c r="H90" s="9" t="s">
        <v>13284</v>
      </c>
      <c r="I90" s="9" t="s">
        <v>13284</v>
      </c>
      <c r="J90" s="9" t="s">
        <v>13284</v>
      </c>
      <c r="K90" s="9" t="s">
        <v>13284</v>
      </c>
      <c r="L90" s="9" t="s">
        <v>13284</v>
      </c>
      <c r="M90" s="9" t="s">
        <v>13284</v>
      </c>
      <c r="N90" s="9" t="s">
        <v>13284</v>
      </c>
      <c r="O90" s="9" t="s">
        <v>13284</v>
      </c>
      <c r="P90" s="9" t="s">
        <v>13284</v>
      </c>
      <c r="Q90" s="9" t="s">
        <v>13284</v>
      </c>
      <c r="R90" s="9" t="s">
        <v>13284</v>
      </c>
      <c r="S90" s="9" t="s">
        <v>13284</v>
      </c>
      <c r="T90" s="9" t="str">
        <f ca="1">IFERROR(IF(AND(VLOOKUP(A90, 'Актуальное состояние (из общего'!A:C,3,0) = "", A90 &lt;&gt; ""), "ПРОВЕРИТЬ", VLOOKUP(A90, 'Актуальное состояние (из общего'!A:C,3,0)), "")</f>
        <v>Студент</v>
      </c>
      <c r="U90" s="9" t="s">
        <v>13284</v>
      </c>
      <c r="V90" s="9" t="s">
        <v>13284</v>
      </c>
      <c r="W90" s="12"/>
      <c r="X90" s="9" t="str">
        <f t="array" ref="X90">IFERROR(INDEX('Адреса общежитий (скрытый)'!$B$2:$B$9, MATCH(W90, 'Адреса общежитий (скрытый)'!$A$2:$A$9, 0)), "")</f>
        <v/>
      </c>
      <c r="Y90" s="18"/>
      <c r="Z90" s="18"/>
      <c r="AA90" s="18"/>
      <c r="AB90" s="18"/>
      <c r="AC90" s="18"/>
    </row>
    <row r="91" spans="1:29" ht="32.25" customHeight="1">
      <c r="A91" s="8">
        <v>2301001</v>
      </c>
      <c r="B91" s="9" t="s">
        <v>13284</v>
      </c>
      <c r="C91" s="9" t="s">
        <v>13284</v>
      </c>
      <c r="D91" s="9" t="s">
        <v>13284</v>
      </c>
      <c r="E91" s="9" t="s">
        <v>13284</v>
      </c>
      <c r="F91" s="9" t="s">
        <v>13284</v>
      </c>
      <c r="G91" s="9" t="s">
        <v>13284</v>
      </c>
      <c r="H91" s="9" t="s">
        <v>13284</v>
      </c>
      <c r="I91" s="9" t="s">
        <v>13284</v>
      </c>
      <c r="J91" s="9" t="s">
        <v>13284</v>
      </c>
      <c r="K91" s="9" t="s">
        <v>13284</v>
      </c>
      <c r="L91" s="9" t="s">
        <v>13284</v>
      </c>
      <c r="M91" s="9" t="s">
        <v>13284</v>
      </c>
      <c r="N91" s="9" t="s">
        <v>13284</v>
      </c>
      <c r="O91" s="9" t="s">
        <v>13284</v>
      </c>
      <c r="P91" s="9" t="s">
        <v>13284</v>
      </c>
      <c r="Q91" s="9" t="s">
        <v>13284</v>
      </c>
      <c r="R91" s="9" t="s">
        <v>13284</v>
      </c>
      <c r="S91" s="9" t="s">
        <v>13284</v>
      </c>
      <c r="T91" s="9" t="str">
        <f ca="1">IFERROR(IF(AND(VLOOKUP(A91, 'Актуальное состояние (из общего'!A:C,3,0) = "", A91 &lt;&gt; ""), "ПРОВЕРИТЬ", VLOOKUP(A91, 'Актуальное состояние (из общего'!A:C,3,0)), "")</f>
        <v>Студент</v>
      </c>
      <c r="U91" s="9" t="s">
        <v>13284</v>
      </c>
      <c r="V91" s="9" t="s">
        <v>13284</v>
      </c>
      <c r="W91" s="9" t="s">
        <v>64</v>
      </c>
      <c r="X91" s="9" t="str">
        <f t="array" ref="X91">IFERROR(INDEX('Адреса общежитий (скрытый)'!$B$2:$B$9, MATCH(W91, 'Адреса общежитий (скрытый)'!$A$2:$A$9, 0)), "")</f>
        <v>проспект 60-летия Октября, д.11</v>
      </c>
      <c r="Y91" s="18"/>
      <c r="Z91" s="18"/>
      <c r="AA91" s="18"/>
      <c r="AB91" s="18"/>
      <c r="AC91" s="18"/>
    </row>
    <row r="92" spans="1:29" ht="32.25" customHeight="1">
      <c r="A92" s="8">
        <v>2312071</v>
      </c>
      <c r="B92" s="9" t="s">
        <v>13284</v>
      </c>
      <c r="C92" s="9" t="s">
        <v>13284</v>
      </c>
      <c r="D92" s="9" t="s">
        <v>13284</v>
      </c>
      <c r="E92" s="9" t="s">
        <v>13284</v>
      </c>
      <c r="F92" s="9" t="s">
        <v>13284</v>
      </c>
      <c r="G92" s="9" t="s">
        <v>13284</v>
      </c>
      <c r="H92" s="9" t="s">
        <v>13284</v>
      </c>
      <c r="I92" s="9" t="s">
        <v>13284</v>
      </c>
      <c r="J92" s="9" t="s">
        <v>13284</v>
      </c>
      <c r="K92" s="9" t="s">
        <v>13284</v>
      </c>
      <c r="L92" s="9" t="s">
        <v>13284</v>
      </c>
      <c r="M92" s="9" t="s">
        <v>13284</v>
      </c>
      <c r="N92" s="9" t="s">
        <v>13284</v>
      </c>
      <c r="O92" s="9" t="s">
        <v>13284</v>
      </c>
      <c r="P92" s="9" t="s">
        <v>13284</v>
      </c>
      <c r="Q92" s="9" t="s">
        <v>13284</v>
      </c>
      <c r="R92" s="9" t="s">
        <v>13284</v>
      </c>
      <c r="S92" s="9" t="s">
        <v>13284</v>
      </c>
      <c r="T92" s="9" t="str">
        <f ca="1">IFERROR(IF(AND(VLOOKUP(A92, 'Актуальное состояние (из общего'!A:C,3,0) = "", A92 &lt;&gt; ""), "ПРОВЕРИТЬ", VLOOKUP(A92, 'Актуальное состояние (из общего'!A:C,3,0)), "")</f>
        <v>Студент</v>
      </c>
      <c r="U92" s="9" t="s">
        <v>13284</v>
      </c>
      <c r="V92" s="9" t="s">
        <v>13284</v>
      </c>
      <c r="W92" s="9" t="s">
        <v>64</v>
      </c>
      <c r="X92" s="9" t="str">
        <f t="array" ref="X92">IFERROR(INDEX('Адреса общежитий (скрытый)'!$B$2:$B$9, MATCH(W92, 'Адреса общежитий (скрытый)'!$A$2:$A$9, 0)), "")</f>
        <v>проспект 60-летия Октября, д.11</v>
      </c>
      <c r="Y92" s="18"/>
      <c r="Z92" s="18"/>
      <c r="AA92" s="18"/>
      <c r="AB92" s="18"/>
      <c r="AC92" s="18"/>
    </row>
    <row r="93" spans="1:29" ht="32.25" customHeight="1">
      <c r="A93" s="8">
        <v>2303627</v>
      </c>
      <c r="B93" s="9" t="s">
        <v>13284</v>
      </c>
      <c r="C93" s="9" t="s">
        <v>13284</v>
      </c>
      <c r="D93" s="9" t="s">
        <v>13284</v>
      </c>
      <c r="E93" s="9" t="s">
        <v>13284</v>
      </c>
      <c r="F93" s="9" t="s">
        <v>13284</v>
      </c>
      <c r="G93" s="9" t="s">
        <v>13284</v>
      </c>
      <c r="H93" s="9" t="s">
        <v>13284</v>
      </c>
      <c r="I93" s="9" t="s">
        <v>13284</v>
      </c>
      <c r="J93" s="9" t="s">
        <v>13284</v>
      </c>
      <c r="K93" s="9" t="s">
        <v>13284</v>
      </c>
      <c r="L93" s="9" t="s">
        <v>13284</v>
      </c>
      <c r="M93" s="9" t="s">
        <v>13284</v>
      </c>
      <c r="N93" s="9" t="s">
        <v>13284</v>
      </c>
      <c r="O93" s="9" t="s">
        <v>13284</v>
      </c>
      <c r="P93" s="9" t="s">
        <v>13284</v>
      </c>
      <c r="Q93" s="9" t="s">
        <v>13284</v>
      </c>
      <c r="R93" s="9" t="s">
        <v>13284</v>
      </c>
      <c r="S93" s="9" t="s">
        <v>13284</v>
      </c>
      <c r="T93" s="9" t="str">
        <f ca="1">IFERROR(IF(AND(VLOOKUP(A93, 'Актуальное состояние (из общего'!A:C,3,0) = "", A93 &lt;&gt; ""), "ПРОВЕРИТЬ", VLOOKUP(A93, 'Актуальное состояние (из общего'!A:C,3,0)), "")</f>
        <v>Студент</v>
      </c>
      <c r="U93" s="9" t="s">
        <v>13284</v>
      </c>
      <c r="V93" s="9" t="s">
        <v>13284</v>
      </c>
      <c r="W93" s="9" t="s">
        <v>64</v>
      </c>
      <c r="X93" s="9" t="str">
        <f t="array" ref="X93">IFERROR(INDEX('Адреса общежитий (скрытый)'!$B$2:$B$9, MATCH(W93, 'Адреса общежитий (скрытый)'!$A$2:$A$9, 0)), "")</f>
        <v>проспект 60-летия Октября, д.11</v>
      </c>
      <c r="Y93" s="18"/>
      <c r="Z93" s="18"/>
      <c r="AA93" s="18"/>
      <c r="AB93" s="18"/>
      <c r="AC93" s="18"/>
    </row>
    <row r="94" spans="1:29" ht="32.25" customHeight="1">
      <c r="A94" s="8">
        <v>2306891</v>
      </c>
      <c r="B94" s="9" t="s">
        <v>13284</v>
      </c>
      <c r="C94" s="9" t="s">
        <v>13284</v>
      </c>
      <c r="D94" s="9" t="s">
        <v>13284</v>
      </c>
      <c r="E94" s="9" t="s">
        <v>13284</v>
      </c>
      <c r="F94" s="9" t="s">
        <v>13284</v>
      </c>
      <c r="G94" s="9" t="s">
        <v>13284</v>
      </c>
      <c r="H94" s="9" t="s">
        <v>13284</v>
      </c>
      <c r="I94" s="9" t="s">
        <v>13284</v>
      </c>
      <c r="J94" s="9" t="s">
        <v>13284</v>
      </c>
      <c r="K94" s="9" t="s">
        <v>13284</v>
      </c>
      <c r="L94" s="9" t="s">
        <v>13284</v>
      </c>
      <c r="M94" s="9" t="s">
        <v>13284</v>
      </c>
      <c r="N94" s="9" t="s">
        <v>13284</v>
      </c>
      <c r="O94" s="9" t="s">
        <v>13284</v>
      </c>
      <c r="P94" s="9" t="s">
        <v>13284</v>
      </c>
      <c r="Q94" s="9" t="s">
        <v>13284</v>
      </c>
      <c r="R94" s="9" t="s">
        <v>13284</v>
      </c>
      <c r="S94" s="9" t="s">
        <v>13284</v>
      </c>
      <c r="T94" s="9" t="str">
        <f ca="1">IFERROR(IF(AND(VLOOKUP(A94, 'Актуальное состояние (из общего'!A:C,3,0) = "", A94 &lt;&gt; ""), "ПРОВЕРИТЬ", VLOOKUP(A94, 'Актуальное состояние (из общего'!A:C,3,0)), "")</f>
        <v>Студент</v>
      </c>
      <c r="U94" s="9" t="s">
        <v>13284</v>
      </c>
      <c r="V94" s="9" t="s">
        <v>13284</v>
      </c>
      <c r="W94" s="9" t="s">
        <v>64</v>
      </c>
      <c r="X94" s="9" t="str">
        <f t="array" ref="X94">IFERROR(INDEX('Адреса общежитий (скрытый)'!$B$2:$B$9, MATCH(W94, 'Адреса общежитий (скрытый)'!$A$2:$A$9, 0)), "")</f>
        <v>проспект 60-летия Октября, д.11</v>
      </c>
      <c r="Y94" s="18"/>
      <c r="Z94" s="18"/>
      <c r="AA94" s="18"/>
      <c r="AB94" s="18"/>
      <c r="AC94" s="18"/>
    </row>
    <row r="95" spans="1:29" ht="32.25" hidden="1" customHeight="1">
      <c r="A95" s="8">
        <v>2304251</v>
      </c>
      <c r="B95" s="9" t="s">
        <v>13284</v>
      </c>
      <c r="C95" s="9" t="s">
        <v>13284</v>
      </c>
      <c r="D95" s="9" t="s">
        <v>13284</v>
      </c>
      <c r="E95" s="9" t="s">
        <v>13284</v>
      </c>
      <c r="F95" s="9" t="s">
        <v>13284</v>
      </c>
      <c r="G95" s="9" t="s">
        <v>13284</v>
      </c>
      <c r="H95" s="9" t="s">
        <v>13284</v>
      </c>
      <c r="I95" s="9" t="s">
        <v>13284</v>
      </c>
      <c r="J95" s="9" t="s">
        <v>13284</v>
      </c>
      <c r="K95" s="9" t="s">
        <v>13284</v>
      </c>
      <c r="L95" s="9" t="s">
        <v>13284</v>
      </c>
      <c r="M95" s="9" t="s">
        <v>13284</v>
      </c>
      <c r="N95" s="9" t="s">
        <v>13284</v>
      </c>
      <c r="O95" s="9" t="s">
        <v>13284</v>
      </c>
      <c r="P95" s="9" t="s">
        <v>13284</v>
      </c>
      <c r="Q95" s="9" t="s">
        <v>13284</v>
      </c>
      <c r="R95" s="9" t="s">
        <v>13284</v>
      </c>
      <c r="S95" s="9" t="s">
        <v>13284</v>
      </c>
      <c r="T95" s="9" t="str">
        <f ca="1">IFERROR(IF(AND(VLOOKUP(A95, 'Актуальное состояние (из общего'!A:C,3,0) = "", A95 &lt;&gt; ""), "ПРОВЕРИТЬ", VLOOKUP(A95, 'Актуальное состояние (из общего'!A:C,3,0)), "")</f>
        <v>Студент</v>
      </c>
      <c r="U95" s="9" t="s">
        <v>13284</v>
      </c>
      <c r="V95" s="9" t="s">
        <v>13284</v>
      </c>
      <c r="W95" s="12"/>
      <c r="X95" s="9" t="str">
        <f t="array" ref="X95">IFERROR(INDEX('Адреса общежитий (скрытый)'!$B$2:$B$9, MATCH(W95, 'Адреса общежитий (скрытый)'!$A$2:$A$9, 0)), "")</f>
        <v/>
      </c>
      <c r="Y95" s="18"/>
      <c r="Z95" s="18"/>
      <c r="AA95" s="18"/>
      <c r="AB95" s="18"/>
      <c r="AC95" s="18"/>
    </row>
    <row r="96" spans="1:29" ht="32.25" customHeight="1">
      <c r="A96" s="8">
        <v>2309485</v>
      </c>
      <c r="B96" s="9" t="s">
        <v>13284</v>
      </c>
      <c r="C96" s="9" t="s">
        <v>13284</v>
      </c>
      <c r="D96" s="9" t="s">
        <v>13284</v>
      </c>
      <c r="E96" s="9" t="s">
        <v>13284</v>
      </c>
      <c r="F96" s="9" t="s">
        <v>13284</v>
      </c>
      <c r="G96" s="9" t="s">
        <v>13284</v>
      </c>
      <c r="H96" s="9" t="s">
        <v>13284</v>
      </c>
      <c r="I96" s="9" t="s">
        <v>13284</v>
      </c>
      <c r="J96" s="9" t="s">
        <v>13284</v>
      </c>
      <c r="K96" s="9" t="s">
        <v>13284</v>
      </c>
      <c r="L96" s="9" t="s">
        <v>13284</v>
      </c>
      <c r="M96" s="9" t="s">
        <v>13284</v>
      </c>
      <c r="N96" s="9" t="s">
        <v>13284</v>
      </c>
      <c r="O96" s="9" t="s">
        <v>13284</v>
      </c>
      <c r="P96" s="9" t="s">
        <v>13284</v>
      </c>
      <c r="Q96" s="9" t="s">
        <v>13284</v>
      </c>
      <c r="R96" s="9" t="s">
        <v>13284</v>
      </c>
      <c r="S96" s="9" t="s">
        <v>13284</v>
      </c>
      <c r="T96" s="9" t="str">
        <f ca="1">IFERROR(IF(AND(VLOOKUP(A96, 'Актуальное состояние (из общего'!A:C,3,0) = "", A96 &lt;&gt; ""), "ПРОВЕРИТЬ", VLOOKUP(A96, 'Актуальное состояние (из общего'!A:C,3,0)), "")</f>
        <v>Студент</v>
      </c>
      <c r="U96" s="9" t="s">
        <v>13284</v>
      </c>
      <c r="V96" s="9" t="s">
        <v>13284</v>
      </c>
      <c r="W96" s="9" t="s">
        <v>64</v>
      </c>
      <c r="X96" s="9" t="str">
        <f t="array" ref="X96">IFERROR(INDEX('Адреса общежитий (скрытый)'!$B$2:$B$9, MATCH(W96, 'Адреса общежитий (скрытый)'!$A$2:$A$9, 0)), "")</f>
        <v>проспект 60-летия Октября, д.11</v>
      </c>
      <c r="Y96" s="18"/>
      <c r="Z96" s="18"/>
      <c r="AA96" s="18"/>
      <c r="AB96" s="18"/>
      <c r="AC96" s="18"/>
    </row>
    <row r="97" spans="1:29" ht="32.25" customHeight="1">
      <c r="A97" s="8">
        <v>2302171</v>
      </c>
      <c r="B97" s="9" t="s">
        <v>13284</v>
      </c>
      <c r="C97" s="9" t="s">
        <v>13284</v>
      </c>
      <c r="D97" s="9" t="s">
        <v>13284</v>
      </c>
      <c r="E97" s="9" t="s">
        <v>13284</v>
      </c>
      <c r="F97" s="9" t="s">
        <v>13284</v>
      </c>
      <c r="G97" s="9" t="s">
        <v>13284</v>
      </c>
      <c r="H97" s="9" t="s">
        <v>13284</v>
      </c>
      <c r="I97" s="9" t="s">
        <v>13284</v>
      </c>
      <c r="J97" s="9" t="s">
        <v>13284</v>
      </c>
      <c r="K97" s="9" t="s">
        <v>13284</v>
      </c>
      <c r="L97" s="9" t="s">
        <v>13284</v>
      </c>
      <c r="M97" s="9" t="s">
        <v>13284</v>
      </c>
      <c r="N97" s="9" t="s">
        <v>13284</v>
      </c>
      <c r="O97" s="9" t="s">
        <v>13284</v>
      </c>
      <c r="P97" s="9" t="s">
        <v>13284</v>
      </c>
      <c r="Q97" s="9" t="s">
        <v>13284</v>
      </c>
      <c r="R97" s="9" t="s">
        <v>13284</v>
      </c>
      <c r="S97" s="9" t="s">
        <v>13284</v>
      </c>
      <c r="T97" s="9" t="str">
        <f ca="1">IFERROR(IF(AND(VLOOKUP(A97, 'Актуальное состояние (из общего'!A:C,3,0) = "", A97 &lt;&gt; ""), "ПРОВЕРИТЬ", VLOOKUP(A97, 'Актуальное состояние (из общего'!A:C,3,0)), "")</f>
        <v>Студент</v>
      </c>
      <c r="U97" s="9" t="s">
        <v>13284</v>
      </c>
      <c r="V97" s="9" t="s">
        <v>13284</v>
      </c>
      <c r="W97" s="9" t="s">
        <v>64</v>
      </c>
      <c r="X97" s="9" t="str">
        <f t="array" ref="X97">IFERROR(INDEX('Адреса общежитий (скрытый)'!$B$2:$B$9, MATCH(W97, 'Адреса общежитий (скрытый)'!$A$2:$A$9, 0)), "")</f>
        <v>проспект 60-летия Октября, д.11</v>
      </c>
      <c r="Y97" s="18"/>
      <c r="Z97" s="18"/>
      <c r="AA97" s="18"/>
      <c r="AB97" s="18"/>
      <c r="AC97" s="18"/>
    </row>
    <row r="98" spans="1:29" ht="32.25" customHeight="1">
      <c r="A98" s="8">
        <v>2308560</v>
      </c>
      <c r="B98" s="9" t="s">
        <v>13284</v>
      </c>
      <c r="C98" s="9" t="s">
        <v>13284</v>
      </c>
      <c r="D98" s="9" t="s">
        <v>13284</v>
      </c>
      <c r="E98" s="9" t="s">
        <v>13284</v>
      </c>
      <c r="F98" s="9" t="s">
        <v>13284</v>
      </c>
      <c r="G98" s="9" t="s">
        <v>13284</v>
      </c>
      <c r="H98" s="9" t="s">
        <v>13284</v>
      </c>
      <c r="I98" s="9" t="s">
        <v>13284</v>
      </c>
      <c r="J98" s="9" t="s">
        <v>13284</v>
      </c>
      <c r="K98" s="9" t="s">
        <v>13284</v>
      </c>
      <c r="L98" s="9" t="s">
        <v>13284</v>
      </c>
      <c r="M98" s="9" t="s">
        <v>13284</v>
      </c>
      <c r="N98" s="9" t="s">
        <v>13284</v>
      </c>
      <c r="O98" s="9" t="s">
        <v>13284</v>
      </c>
      <c r="P98" s="9" t="s">
        <v>13284</v>
      </c>
      <c r="Q98" s="9" t="s">
        <v>13284</v>
      </c>
      <c r="R98" s="9" t="s">
        <v>13284</v>
      </c>
      <c r="S98" s="9" t="s">
        <v>13284</v>
      </c>
      <c r="T98" s="9" t="str">
        <f ca="1">IFERROR(IF(AND(VLOOKUP(A98, 'Актуальное состояние (из общего'!A:C,3,0) = "", A98 &lt;&gt; ""), "ПРОВЕРИТЬ", VLOOKUP(A98, 'Актуальное состояние (из общего'!A:C,3,0)), "")</f>
        <v>Студент</v>
      </c>
      <c r="U98" s="9" t="s">
        <v>13284</v>
      </c>
      <c r="V98" s="9" t="s">
        <v>13284</v>
      </c>
      <c r="W98" s="9" t="s">
        <v>64</v>
      </c>
      <c r="X98" s="9" t="str">
        <f t="array" ref="X98">IFERROR(INDEX('Адреса общежитий (скрытый)'!$B$2:$B$9, MATCH(W98, 'Адреса общежитий (скрытый)'!$A$2:$A$9, 0)), "")</f>
        <v>проспект 60-летия Октября, д.11</v>
      </c>
      <c r="Y98" s="18"/>
      <c r="Z98" s="18"/>
      <c r="AA98" s="18"/>
      <c r="AB98" s="18"/>
      <c r="AC98" s="18"/>
    </row>
    <row r="99" spans="1:29" ht="32.25" customHeight="1">
      <c r="A99" s="8">
        <v>2300553</v>
      </c>
      <c r="B99" s="9" t="s">
        <v>13284</v>
      </c>
      <c r="C99" s="9" t="s">
        <v>13284</v>
      </c>
      <c r="D99" s="9" t="s">
        <v>13284</v>
      </c>
      <c r="E99" s="9" t="s">
        <v>13284</v>
      </c>
      <c r="F99" s="9" t="s">
        <v>13284</v>
      </c>
      <c r="G99" s="9" t="s">
        <v>13284</v>
      </c>
      <c r="H99" s="9" t="s">
        <v>13284</v>
      </c>
      <c r="I99" s="9" t="s">
        <v>13284</v>
      </c>
      <c r="J99" s="9" t="s">
        <v>13284</v>
      </c>
      <c r="K99" s="9" t="s">
        <v>13284</v>
      </c>
      <c r="L99" s="9" t="s">
        <v>13284</v>
      </c>
      <c r="M99" s="9" t="s">
        <v>13284</v>
      </c>
      <c r="N99" s="9" t="s">
        <v>13284</v>
      </c>
      <c r="O99" s="9" t="s">
        <v>13284</v>
      </c>
      <c r="P99" s="9" t="s">
        <v>13284</v>
      </c>
      <c r="Q99" s="9" t="s">
        <v>13284</v>
      </c>
      <c r="R99" s="9" t="s">
        <v>13284</v>
      </c>
      <c r="S99" s="9" t="s">
        <v>13284</v>
      </c>
      <c r="T99" s="9" t="str">
        <f ca="1">IFERROR(IF(AND(VLOOKUP(A99, 'Актуальное состояние (из общего'!A:C,3,0) = "", A99 &lt;&gt; ""), "ПРОВЕРИТЬ", VLOOKUP(A99, 'Актуальное состояние (из общего'!A:C,3,0)), "")</f>
        <v>Студент</v>
      </c>
      <c r="U99" s="9" t="s">
        <v>13284</v>
      </c>
      <c r="V99" s="9" t="s">
        <v>13284</v>
      </c>
      <c r="W99" s="9" t="s">
        <v>64</v>
      </c>
      <c r="X99" s="9" t="str">
        <f t="array" ref="X99">IFERROR(INDEX('Адреса общежитий (скрытый)'!$B$2:$B$9, MATCH(W99, 'Адреса общежитий (скрытый)'!$A$2:$A$9, 0)), "")</f>
        <v>проспект 60-летия Октября, д.11</v>
      </c>
      <c r="Y99" s="18"/>
      <c r="Z99" s="18"/>
      <c r="AA99" s="18"/>
      <c r="AB99" s="18"/>
      <c r="AC99" s="18"/>
    </row>
    <row r="100" spans="1:29" ht="32.25" customHeight="1">
      <c r="A100" s="8">
        <v>2309548</v>
      </c>
      <c r="B100" s="9" t="s">
        <v>13284</v>
      </c>
      <c r="C100" s="9" t="s">
        <v>13284</v>
      </c>
      <c r="D100" s="9" t="s">
        <v>13284</v>
      </c>
      <c r="E100" s="9" t="s">
        <v>13284</v>
      </c>
      <c r="F100" s="9" t="s">
        <v>13284</v>
      </c>
      <c r="G100" s="9" t="s">
        <v>13284</v>
      </c>
      <c r="H100" s="9" t="s">
        <v>13284</v>
      </c>
      <c r="I100" s="9" t="s">
        <v>13284</v>
      </c>
      <c r="J100" s="9" t="s">
        <v>13284</v>
      </c>
      <c r="K100" s="9" t="s">
        <v>13284</v>
      </c>
      <c r="L100" s="9" t="s">
        <v>13284</v>
      </c>
      <c r="M100" s="9" t="s">
        <v>13284</v>
      </c>
      <c r="N100" s="9" t="s">
        <v>13284</v>
      </c>
      <c r="O100" s="9" t="s">
        <v>13284</v>
      </c>
      <c r="P100" s="9" t="s">
        <v>13284</v>
      </c>
      <c r="Q100" s="9" t="s">
        <v>13284</v>
      </c>
      <c r="R100" s="9" t="s">
        <v>13284</v>
      </c>
      <c r="S100" s="9" t="s">
        <v>13284</v>
      </c>
      <c r="T100" s="9" t="str">
        <f ca="1">IFERROR(IF(AND(VLOOKUP(A100, 'Актуальное состояние (из общего'!A:C,3,0) = "", A100 &lt;&gt; ""), "ПРОВЕРИТЬ", VLOOKUP(A100, 'Актуальное состояние (из общего'!A:C,3,0)), "")</f>
        <v>Студент</v>
      </c>
      <c r="U100" s="9" t="s">
        <v>13284</v>
      </c>
      <c r="V100" s="9" t="s">
        <v>13284</v>
      </c>
      <c r="W100" s="9" t="s">
        <v>64</v>
      </c>
      <c r="X100" s="9" t="str">
        <f t="array" ref="X100">IFERROR(INDEX('Адреса общежитий (скрытый)'!$B$2:$B$9, MATCH(W100, 'Адреса общежитий (скрытый)'!$A$2:$A$9, 0)), "")</f>
        <v>проспект 60-летия Октября, д.11</v>
      </c>
      <c r="Y100" s="18"/>
      <c r="Z100" s="18"/>
      <c r="AA100" s="18"/>
      <c r="AB100" s="18"/>
      <c r="AC100" s="18"/>
    </row>
    <row r="101" spans="1:29" ht="32.25" hidden="1" customHeight="1">
      <c r="A101" s="8">
        <v>2302196</v>
      </c>
      <c r="B101" s="9" t="s">
        <v>13284</v>
      </c>
      <c r="C101" s="9" t="s">
        <v>13284</v>
      </c>
      <c r="D101" s="9" t="s">
        <v>13284</v>
      </c>
      <c r="E101" s="9" t="s">
        <v>13284</v>
      </c>
      <c r="F101" s="9" t="s">
        <v>13284</v>
      </c>
      <c r="G101" s="9" t="s">
        <v>13284</v>
      </c>
      <c r="H101" s="9" t="s">
        <v>13284</v>
      </c>
      <c r="I101" s="9" t="s">
        <v>13284</v>
      </c>
      <c r="J101" s="9" t="s">
        <v>13284</v>
      </c>
      <c r="K101" s="9" t="s">
        <v>13284</v>
      </c>
      <c r="L101" s="9" t="s">
        <v>13284</v>
      </c>
      <c r="M101" s="9" t="s">
        <v>13284</v>
      </c>
      <c r="N101" s="9" t="s">
        <v>13284</v>
      </c>
      <c r="O101" s="9" t="s">
        <v>13284</v>
      </c>
      <c r="P101" s="9" t="s">
        <v>13284</v>
      </c>
      <c r="Q101" s="9" t="s">
        <v>13284</v>
      </c>
      <c r="R101" s="9" t="s">
        <v>13284</v>
      </c>
      <c r="S101" s="9" t="s">
        <v>13284</v>
      </c>
      <c r="T101" s="9" t="str">
        <f ca="1">IFERROR(IF(AND(VLOOKUP(A101, 'Актуальное состояние (из общего'!A:C,3,0) = "", A101 &lt;&gt; ""), "ПРОВЕРИТЬ", VLOOKUP(A101, 'Актуальное состояние (из общего'!A:C,3,0)), "")</f>
        <v>Студент</v>
      </c>
      <c r="U101" s="9" t="s">
        <v>13284</v>
      </c>
      <c r="V101" s="9" t="s">
        <v>13284</v>
      </c>
      <c r="W101" s="12"/>
      <c r="X101" s="9" t="str">
        <f t="array" ref="X101">IFERROR(INDEX('Адреса общежитий (скрытый)'!$B$2:$B$9, MATCH(W101, 'Адреса общежитий (скрытый)'!$A$2:$A$9, 0)), "")</f>
        <v/>
      </c>
      <c r="Y101" s="18"/>
      <c r="Z101" s="18"/>
      <c r="AA101" s="18"/>
      <c r="AB101" s="18"/>
      <c r="AC101" s="18"/>
    </row>
    <row r="102" spans="1:29" ht="32.25" customHeight="1">
      <c r="A102" s="8">
        <v>2309538</v>
      </c>
      <c r="B102" s="9" t="s">
        <v>13284</v>
      </c>
      <c r="C102" s="9" t="s">
        <v>13284</v>
      </c>
      <c r="D102" s="9" t="s">
        <v>13284</v>
      </c>
      <c r="E102" s="9" t="s">
        <v>13284</v>
      </c>
      <c r="F102" s="9" t="s">
        <v>13284</v>
      </c>
      <c r="G102" s="9" t="s">
        <v>13284</v>
      </c>
      <c r="H102" s="9" t="s">
        <v>13284</v>
      </c>
      <c r="I102" s="9" t="s">
        <v>13284</v>
      </c>
      <c r="J102" s="9" t="s">
        <v>13284</v>
      </c>
      <c r="K102" s="9" t="s">
        <v>13284</v>
      </c>
      <c r="L102" s="9" t="s">
        <v>13284</v>
      </c>
      <c r="M102" s="9" t="s">
        <v>13284</v>
      </c>
      <c r="N102" s="9" t="s">
        <v>13284</v>
      </c>
      <c r="O102" s="9" t="s">
        <v>13284</v>
      </c>
      <c r="P102" s="9" t="s">
        <v>13284</v>
      </c>
      <c r="Q102" s="9" t="s">
        <v>13284</v>
      </c>
      <c r="R102" s="9" t="s">
        <v>13284</v>
      </c>
      <c r="S102" s="9" t="s">
        <v>13284</v>
      </c>
      <c r="T102" s="9" t="str">
        <f ca="1">IFERROR(IF(AND(VLOOKUP(A102, 'Актуальное состояние (из общего'!A:C,3,0) = "", A102 &lt;&gt; ""), "ПРОВЕРИТЬ", VLOOKUP(A102, 'Актуальное состояние (из общего'!A:C,3,0)), "")</f>
        <v>Студент</v>
      </c>
      <c r="U102" s="9" t="s">
        <v>13284</v>
      </c>
      <c r="V102" s="9" t="s">
        <v>13284</v>
      </c>
      <c r="W102" s="9" t="s">
        <v>64</v>
      </c>
      <c r="X102" s="9" t="str">
        <f t="array" ref="X102">IFERROR(INDEX('Адреса общежитий (скрытый)'!$B$2:$B$9, MATCH(W102, 'Адреса общежитий (скрытый)'!$A$2:$A$9, 0)), "")</f>
        <v>проспект 60-летия Октября, д.11</v>
      </c>
      <c r="Y102" s="18"/>
      <c r="Z102" s="18"/>
      <c r="AA102" s="18"/>
      <c r="AB102" s="18"/>
      <c r="AC102" s="18"/>
    </row>
    <row r="103" spans="1:29" ht="32.25" customHeight="1">
      <c r="A103" s="8">
        <v>2308155</v>
      </c>
      <c r="B103" s="9" t="s">
        <v>13284</v>
      </c>
      <c r="C103" s="9" t="s">
        <v>13284</v>
      </c>
      <c r="D103" s="9" t="s">
        <v>13284</v>
      </c>
      <c r="E103" s="9" t="s">
        <v>13284</v>
      </c>
      <c r="F103" s="9" t="s">
        <v>13284</v>
      </c>
      <c r="G103" s="9" t="s">
        <v>13284</v>
      </c>
      <c r="H103" s="9" t="s">
        <v>13284</v>
      </c>
      <c r="I103" s="9" t="s">
        <v>13284</v>
      </c>
      <c r="J103" s="9" t="s">
        <v>13284</v>
      </c>
      <c r="K103" s="9" t="s">
        <v>13284</v>
      </c>
      <c r="L103" s="9" t="s">
        <v>13284</v>
      </c>
      <c r="M103" s="9" t="s">
        <v>13284</v>
      </c>
      <c r="N103" s="9" t="s">
        <v>13284</v>
      </c>
      <c r="O103" s="9" t="s">
        <v>13284</v>
      </c>
      <c r="P103" s="9" t="s">
        <v>13284</v>
      </c>
      <c r="Q103" s="9" t="s">
        <v>13284</v>
      </c>
      <c r="R103" s="9" t="s">
        <v>13284</v>
      </c>
      <c r="S103" s="9" t="s">
        <v>13284</v>
      </c>
      <c r="T103" s="9" t="str">
        <f ca="1">IFERROR(IF(AND(VLOOKUP(A103, 'Актуальное состояние (из общего'!A:C,3,0) = "", A103 &lt;&gt; ""), "ПРОВЕРИТЬ", VLOOKUP(A103, 'Актуальное состояние (из общего'!A:C,3,0)), "")</f>
        <v>Студент</v>
      </c>
      <c r="U103" s="9" t="s">
        <v>13284</v>
      </c>
      <c r="V103" s="9" t="s">
        <v>13284</v>
      </c>
      <c r="W103" s="9" t="s">
        <v>64</v>
      </c>
      <c r="X103" s="9" t="str">
        <f t="array" ref="X103">IFERROR(INDEX('Адреса общежитий (скрытый)'!$B$2:$B$9, MATCH(W103, 'Адреса общежитий (скрытый)'!$A$2:$A$9, 0)), "")</f>
        <v>проспект 60-летия Октября, д.11</v>
      </c>
      <c r="Y103" s="18"/>
      <c r="Z103" s="18"/>
      <c r="AA103" s="18"/>
      <c r="AB103" s="18"/>
      <c r="AC103" s="18"/>
    </row>
    <row r="104" spans="1:29" ht="32.25" customHeight="1">
      <c r="A104" s="8">
        <v>2310820</v>
      </c>
      <c r="B104" s="9" t="s">
        <v>13284</v>
      </c>
      <c r="C104" s="9" t="s">
        <v>13284</v>
      </c>
      <c r="D104" s="9" t="s">
        <v>13284</v>
      </c>
      <c r="E104" s="9" t="s">
        <v>13284</v>
      </c>
      <c r="F104" s="9" t="s">
        <v>13284</v>
      </c>
      <c r="G104" s="9" t="s">
        <v>13284</v>
      </c>
      <c r="H104" s="9" t="s">
        <v>13284</v>
      </c>
      <c r="I104" s="9" t="s">
        <v>13284</v>
      </c>
      <c r="J104" s="9" t="s">
        <v>13284</v>
      </c>
      <c r="K104" s="9" t="s">
        <v>13284</v>
      </c>
      <c r="L104" s="9" t="s">
        <v>13284</v>
      </c>
      <c r="M104" s="9" t="s">
        <v>13284</v>
      </c>
      <c r="N104" s="9" t="s">
        <v>13284</v>
      </c>
      <c r="O104" s="9" t="s">
        <v>13284</v>
      </c>
      <c r="P104" s="9" t="s">
        <v>13284</v>
      </c>
      <c r="Q104" s="9" t="s">
        <v>13284</v>
      </c>
      <c r="R104" s="9" t="s">
        <v>13284</v>
      </c>
      <c r="S104" s="9" t="s">
        <v>13284</v>
      </c>
      <c r="T104" s="9" t="str">
        <f ca="1">IFERROR(IF(AND(VLOOKUP(A104, 'Актуальное состояние (из общего'!A:C,3,0) = "", A104 &lt;&gt; ""), "ПРОВЕРИТЬ", VLOOKUP(A104, 'Актуальное состояние (из общего'!A:C,3,0)), "")</f>
        <v>Студент</v>
      </c>
      <c r="U104" s="9" t="s">
        <v>13284</v>
      </c>
      <c r="V104" s="9" t="s">
        <v>13284</v>
      </c>
      <c r="W104" s="12"/>
      <c r="X104" s="9" t="str">
        <f t="array" ref="X104">IFERROR(INDEX('Адреса общежитий (скрытый)'!$B$2:$B$9, MATCH(W104, 'Адреса общежитий (скрытый)'!$A$2:$A$9, 0)), "")</f>
        <v/>
      </c>
      <c r="Y104" s="18"/>
      <c r="Z104" s="18"/>
      <c r="AA104" s="18"/>
      <c r="AB104" s="18"/>
      <c r="AC104" s="18"/>
    </row>
    <row r="105" spans="1:29" ht="32.25" hidden="1" customHeight="1">
      <c r="A105" s="8">
        <v>2307257</v>
      </c>
      <c r="B105" s="9" t="s">
        <v>13284</v>
      </c>
      <c r="C105" s="9" t="s">
        <v>13284</v>
      </c>
      <c r="D105" s="9" t="s">
        <v>13284</v>
      </c>
      <c r="E105" s="9" t="s">
        <v>13284</v>
      </c>
      <c r="F105" s="9" t="s">
        <v>13284</v>
      </c>
      <c r="G105" s="9" t="s">
        <v>13284</v>
      </c>
      <c r="H105" s="9" t="s">
        <v>13284</v>
      </c>
      <c r="I105" s="9" t="s">
        <v>13284</v>
      </c>
      <c r="J105" s="9" t="s">
        <v>13284</v>
      </c>
      <c r="K105" s="9" t="s">
        <v>13284</v>
      </c>
      <c r="L105" s="9" t="s">
        <v>13284</v>
      </c>
      <c r="M105" s="9" t="s">
        <v>13284</v>
      </c>
      <c r="N105" s="9" t="s">
        <v>13284</v>
      </c>
      <c r="O105" s="9" t="s">
        <v>13284</v>
      </c>
      <c r="P105" s="9" t="s">
        <v>13284</v>
      </c>
      <c r="Q105" s="9" t="s">
        <v>13284</v>
      </c>
      <c r="R105" s="9" t="s">
        <v>13284</v>
      </c>
      <c r="S105" s="9" t="s">
        <v>13284</v>
      </c>
      <c r="T105" s="9" t="str">
        <f ca="1">IFERROR(IF(AND(VLOOKUP(A105, 'Актуальное состояние (из общего'!A:C,3,0) = "", A105 &lt;&gt; ""), "ПРОВЕРИТЬ", VLOOKUP(A105, 'Актуальное состояние (из общего'!A:C,3,0)), "")</f>
        <v>Студент</v>
      </c>
      <c r="U105" s="9" t="s">
        <v>13284</v>
      </c>
      <c r="V105" s="9" t="s">
        <v>13284</v>
      </c>
      <c r="W105" s="12"/>
      <c r="X105" s="9" t="str">
        <f t="array" ref="X105">IFERROR(INDEX('Адреса общежитий (скрытый)'!$B$2:$B$9, MATCH(W105, 'Адреса общежитий (скрытый)'!$A$2:$A$9, 0)), "")</f>
        <v/>
      </c>
      <c r="Y105" s="18"/>
      <c r="Z105" s="18"/>
      <c r="AA105" s="18"/>
      <c r="AB105" s="18"/>
      <c r="AC105" s="18"/>
    </row>
    <row r="106" spans="1:29" ht="32.25" hidden="1" customHeight="1">
      <c r="A106" s="8">
        <v>2304079</v>
      </c>
      <c r="B106" s="9" t="s">
        <v>13284</v>
      </c>
      <c r="C106" s="9" t="s">
        <v>13284</v>
      </c>
      <c r="D106" s="9" t="s">
        <v>13284</v>
      </c>
      <c r="E106" s="9" t="s">
        <v>13284</v>
      </c>
      <c r="F106" s="9" t="s">
        <v>13284</v>
      </c>
      <c r="G106" s="9" t="s">
        <v>13284</v>
      </c>
      <c r="H106" s="9" t="s">
        <v>13284</v>
      </c>
      <c r="I106" s="9" t="s">
        <v>13284</v>
      </c>
      <c r="J106" s="9" t="s">
        <v>13284</v>
      </c>
      <c r="K106" s="9" t="s">
        <v>13284</v>
      </c>
      <c r="L106" s="9" t="s">
        <v>13284</v>
      </c>
      <c r="M106" s="9" t="s">
        <v>13284</v>
      </c>
      <c r="N106" s="9" t="s">
        <v>13284</v>
      </c>
      <c r="O106" s="9" t="s">
        <v>13284</v>
      </c>
      <c r="P106" s="9" t="s">
        <v>13284</v>
      </c>
      <c r="Q106" s="9" t="s">
        <v>13284</v>
      </c>
      <c r="R106" s="9" t="s">
        <v>13284</v>
      </c>
      <c r="S106" s="9" t="s">
        <v>13284</v>
      </c>
      <c r="T106" s="9" t="str">
        <f ca="1">IFERROR(IF(AND(VLOOKUP(A106, 'Актуальное состояние (из общего'!A:C,3,0) = "", A106 &lt;&gt; ""), "ПРОВЕРИТЬ", VLOOKUP(A106, 'Актуальное состояние (из общего'!A:C,3,0)), "")</f>
        <v>Студент</v>
      </c>
      <c r="U106" s="9" t="s">
        <v>13284</v>
      </c>
      <c r="V106" s="9" t="s">
        <v>13284</v>
      </c>
      <c r="W106" s="12"/>
      <c r="X106" s="9" t="str">
        <f t="array" ref="X106">IFERROR(INDEX('Адреса общежитий (скрытый)'!$B$2:$B$9, MATCH(W106, 'Адреса общежитий (скрытый)'!$A$2:$A$9, 0)), "")</f>
        <v/>
      </c>
      <c r="Y106" s="18"/>
      <c r="Z106" s="18"/>
      <c r="AA106" s="18"/>
      <c r="AB106" s="18"/>
      <c r="AC106" s="18"/>
    </row>
    <row r="107" spans="1:29" ht="32.25" customHeight="1">
      <c r="A107" s="8">
        <v>2313714</v>
      </c>
      <c r="B107" s="9" t="s">
        <v>13284</v>
      </c>
      <c r="C107" s="9" t="s">
        <v>13284</v>
      </c>
      <c r="D107" s="9" t="s">
        <v>13284</v>
      </c>
      <c r="E107" s="9" t="s">
        <v>13284</v>
      </c>
      <c r="F107" s="9" t="s">
        <v>13284</v>
      </c>
      <c r="G107" s="9" t="s">
        <v>13284</v>
      </c>
      <c r="H107" s="9" t="s">
        <v>13284</v>
      </c>
      <c r="I107" s="9" t="s">
        <v>13284</v>
      </c>
      <c r="J107" s="9" t="s">
        <v>13284</v>
      </c>
      <c r="K107" s="9" t="s">
        <v>13284</v>
      </c>
      <c r="L107" s="9" t="s">
        <v>13284</v>
      </c>
      <c r="M107" s="9" t="s">
        <v>13284</v>
      </c>
      <c r="N107" s="9" t="s">
        <v>13284</v>
      </c>
      <c r="O107" s="9" t="s">
        <v>13284</v>
      </c>
      <c r="P107" s="9" t="s">
        <v>13284</v>
      </c>
      <c r="Q107" s="9" t="s">
        <v>13284</v>
      </c>
      <c r="R107" s="9" t="s">
        <v>13284</v>
      </c>
      <c r="S107" s="9" t="s">
        <v>13284</v>
      </c>
      <c r="T107" s="9" t="str">
        <f ca="1">IFERROR(IF(AND(VLOOKUP(A107, 'Актуальное состояние (из общего'!A:C,3,0) = "", A107 &lt;&gt; ""), "ПРОВЕРИТЬ", VLOOKUP(A107, 'Актуальное состояние (из общего'!A:C,3,0)), "")</f>
        <v>Студент</v>
      </c>
      <c r="U107" s="9" t="s">
        <v>13284</v>
      </c>
      <c r="V107" s="9" t="s">
        <v>13284</v>
      </c>
      <c r="W107" s="9" t="s">
        <v>64</v>
      </c>
      <c r="X107" s="9" t="str">
        <f t="array" ref="X107">IFERROR(INDEX('Адреса общежитий (скрытый)'!$B$2:$B$9, MATCH(W107, 'Адреса общежитий (скрытый)'!$A$2:$A$9, 0)), "")</f>
        <v>проспект 60-летия Октября, д.11</v>
      </c>
      <c r="Y107" s="18"/>
      <c r="Z107" s="18"/>
      <c r="AA107" s="18"/>
      <c r="AB107" s="18"/>
      <c r="AC107" s="18"/>
    </row>
    <row r="108" spans="1:29" ht="32.25" hidden="1" customHeight="1">
      <c r="A108" s="8">
        <v>2311813</v>
      </c>
      <c r="B108" s="9" t="s">
        <v>13284</v>
      </c>
      <c r="C108" s="9" t="s">
        <v>13284</v>
      </c>
      <c r="D108" s="9" t="s">
        <v>13284</v>
      </c>
      <c r="E108" s="9" t="s">
        <v>13284</v>
      </c>
      <c r="F108" s="9" t="s">
        <v>13284</v>
      </c>
      <c r="G108" s="9" t="s">
        <v>13284</v>
      </c>
      <c r="H108" s="9" t="s">
        <v>13284</v>
      </c>
      <c r="I108" s="9" t="s">
        <v>13284</v>
      </c>
      <c r="J108" s="9" t="s">
        <v>13284</v>
      </c>
      <c r="K108" s="9" t="s">
        <v>13284</v>
      </c>
      <c r="L108" s="9" t="s">
        <v>13284</v>
      </c>
      <c r="M108" s="9" t="s">
        <v>13284</v>
      </c>
      <c r="N108" s="9" t="s">
        <v>13284</v>
      </c>
      <c r="O108" s="9" t="s">
        <v>13284</v>
      </c>
      <c r="P108" s="9" t="s">
        <v>13284</v>
      </c>
      <c r="Q108" s="9" t="s">
        <v>13284</v>
      </c>
      <c r="R108" s="9" t="s">
        <v>13284</v>
      </c>
      <c r="S108" s="9" t="s">
        <v>13284</v>
      </c>
      <c r="T108" s="9" t="str">
        <f ca="1">IFERROR(IF(AND(VLOOKUP(A108, 'Актуальное состояние (из общего'!A:C,3,0) = "", A108 &lt;&gt; ""), "ПРОВЕРИТЬ", VLOOKUP(A108, 'Актуальное состояние (из общего'!A:C,3,0)), "")</f>
        <v>Студент</v>
      </c>
      <c r="U108" s="9" t="s">
        <v>13284</v>
      </c>
      <c r="V108" s="9" t="s">
        <v>13284</v>
      </c>
      <c r="W108" s="12"/>
      <c r="X108" s="9" t="str">
        <f t="array" ref="X108">IFERROR(INDEX('Адреса общежитий (скрытый)'!$B$2:$B$9, MATCH(W108, 'Адреса общежитий (скрытый)'!$A$2:$A$9, 0)), "")</f>
        <v/>
      </c>
      <c r="Y108" s="18"/>
      <c r="Z108" s="18"/>
      <c r="AA108" s="18"/>
      <c r="AB108" s="18"/>
      <c r="AC108" s="18"/>
    </row>
    <row r="109" spans="1:29" ht="32.25" hidden="1" customHeight="1">
      <c r="A109" s="8">
        <v>2308482</v>
      </c>
      <c r="B109" s="9" t="s">
        <v>13284</v>
      </c>
      <c r="C109" s="9" t="s">
        <v>13284</v>
      </c>
      <c r="D109" s="9" t="s">
        <v>13284</v>
      </c>
      <c r="E109" s="9" t="s">
        <v>13284</v>
      </c>
      <c r="F109" s="9" t="s">
        <v>13284</v>
      </c>
      <c r="G109" s="9" t="s">
        <v>13284</v>
      </c>
      <c r="H109" s="9" t="s">
        <v>13284</v>
      </c>
      <c r="I109" s="9" t="s">
        <v>13284</v>
      </c>
      <c r="J109" s="9" t="s">
        <v>13284</v>
      </c>
      <c r="K109" s="9" t="s">
        <v>13284</v>
      </c>
      <c r="L109" s="9" t="s">
        <v>13284</v>
      </c>
      <c r="M109" s="9" t="s">
        <v>13284</v>
      </c>
      <c r="N109" s="9" t="s">
        <v>13284</v>
      </c>
      <c r="O109" s="9" t="s">
        <v>13284</v>
      </c>
      <c r="P109" s="9" t="s">
        <v>13284</v>
      </c>
      <c r="Q109" s="9" t="s">
        <v>13284</v>
      </c>
      <c r="R109" s="9" t="s">
        <v>13284</v>
      </c>
      <c r="S109" s="9" t="s">
        <v>13284</v>
      </c>
      <c r="T109" s="9" t="str">
        <f ca="1">IFERROR(IF(AND(VLOOKUP(A109, 'Актуальное состояние (из общего'!A:C,3,0) = "", A109 &lt;&gt; ""), "ПРОВЕРИТЬ", VLOOKUP(A109, 'Актуальное состояние (из общего'!A:C,3,0)), "")</f>
        <v>Студент</v>
      </c>
      <c r="U109" s="9" t="s">
        <v>13284</v>
      </c>
      <c r="V109" s="9" t="s">
        <v>13284</v>
      </c>
      <c r="W109" s="12"/>
      <c r="X109" s="9" t="str">
        <f t="array" ref="X109">IFERROR(INDEX('Адреса общежитий (скрытый)'!$B$2:$B$9, MATCH(W109, 'Адреса общежитий (скрытый)'!$A$2:$A$9, 0)), "")</f>
        <v/>
      </c>
      <c r="Y109" s="18"/>
      <c r="Z109" s="18"/>
      <c r="AA109" s="18"/>
      <c r="AB109" s="18"/>
      <c r="AC109" s="18"/>
    </row>
    <row r="110" spans="1:29" ht="32.25" customHeight="1">
      <c r="A110" s="8">
        <v>2301141</v>
      </c>
      <c r="B110" s="9" t="s">
        <v>13284</v>
      </c>
      <c r="C110" s="9" t="s">
        <v>13284</v>
      </c>
      <c r="D110" s="9" t="s">
        <v>13284</v>
      </c>
      <c r="E110" s="9" t="s">
        <v>13284</v>
      </c>
      <c r="F110" s="9" t="s">
        <v>13284</v>
      </c>
      <c r="G110" s="9" t="s">
        <v>13284</v>
      </c>
      <c r="H110" s="9" t="s">
        <v>13284</v>
      </c>
      <c r="I110" s="9" t="s">
        <v>13284</v>
      </c>
      <c r="J110" s="9" t="s">
        <v>13284</v>
      </c>
      <c r="K110" s="9" t="s">
        <v>13284</v>
      </c>
      <c r="L110" s="9" t="s">
        <v>13284</v>
      </c>
      <c r="M110" s="9" t="s">
        <v>13284</v>
      </c>
      <c r="N110" s="9" t="s">
        <v>13284</v>
      </c>
      <c r="O110" s="9" t="s">
        <v>13284</v>
      </c>
      <c r="P110" s="9" t="s">
        <v>13284</v>
      </c>
      <c r="Q110" s="9" t="s">
        <v>13284</v>
      </c>
      <c r="R110" s="9" t="s">
        <v>13284</v>
      </c>
      <c r="S110" s="9" t="s">
        <v>13284</v>
      </c>
      <c r="T110" s="9" t="str">
        <f ca="1">IFERROR(IF(AND(VLOOKUP(A110, 'Актуальное состояние (из общего'!A:C,3,0) = "", A110 &lt;&gt; ""), "ПРОВЕРИТЬ", VLOOKUP(A110, 'Актуальное состояние (из общего'!A:C,3,0)), "")</f>
        <v>Студент</v>
      </c>
      <c r="U110" s="9" t="s">
        <v>13284</v>
      </c>
      <c r="V110" s="9" t="s">
        <v>13284</v>
      </c>
      <c r="W110" s="12" t="s">
        <v>76</v>
      </c>
      <c r="X110" s="9" t="str">
        <f t="array" ref="X110">IFERROR(INDEX('Адреса общежитий (скрытый)'!$B$2:$B$9, MATCH(W110, 'Адреса общежитий (скрытый)'!$A$2:$A$9, 0)), "")</f>
        <v>ул. Студенческая, д. 33, корп. 5,6</v>
      </c>
      <c r="Y110" s="18"/>
      <c r="Z110" s="18"/>
      <c r="AA110" s="18"/>
      <c r="AB110" s="18"/>
      <c r="AC110" s="18"/>
    </row>
    <row r="111" spans="1:29" ht="32.25" hidden="1" customHeight="1">
      <c r="A111" s="8">
        <v>2310908</v>
      </c>
      <c r="B111" s="9" t="s">
        <v>13284</v>
      </c>
      <c r="C111" s="9" t="s">
        <v>13284</v>
      </c>
      <c r="D111" s="9" t="s">
        <v>13284</v>
      </c>
      <c r="E111" s="9" t="s">
        <v>13284</v>
      </c>
      <c r="F111" s="9" t="s">
        <v>13284</v>
      </c>
      <c r="G111" s="9" t="s">
        <v>13284</v>
      </c>
      <c r="H111" s="9" t="s">
        <v>13284</v>
      </c>
      <c r="I111" s="9" t="s">
        <v>13284</v>
      </c>
      <c r="J111" s="9" t="s">
        <v>13284</v>
      </c>
      <c r="K111" s="9" t="s">
        <v>13284</v>
      </c>
      <c r="L111" s="9" t="s">
        <v>13284</v>
      </c>
      <c r="M111" s="9" t="s">
        <v>13284</v>
      </c>
      <c r="N111" s="9" t="s">
        <v>13284</v>
      </c>
      <c r="O111" s="9" t="s">
        <v>13284</v>
      </c>
      <c r="P111" s="9" t="s">
        <v>13284</v>
      </c>
      <c r="Q111" s="9" t="s">
        <v>13284</v>
      </c>
      <c r="R111" s="9" t="s">
        <v>13284</v>
      </c>
      <c r="S111" s="9" t="s">
        <v>13284</v>
      </c>
      <c r="T111" s="9" t="str">
        <f ca="1">IFERROR(IF(AND(VLOOKUP(A111, 'Актуальное состояние (из общего'!A:C,3,0) = "", A111 &lt;&gt; ""), "ПРОВЕРИТЬ", VLOOKUP(A111, 'Актуальное состояние (из общего'!A:C,3,0)), "")</f>
        <v>Студент</v>
      </c>
      <c r="U111" s="9" t="s">
        <v>13284</v>
      </c>
      <c r="V111" s="9" t="s">
        <v>13284</v>
      </c>
      <c r="W111" s="12"/>
      <c r="X111" s="9" t="str">
        <f t="array" ref="X111">IFERROR(INDEX('Адреса общежитий (скрытый)'!$B$2:$B$9, MATCH(W111, 'Адреса общежитий (скрытый)'!$A$2:$A$9, 0)), "")</f>
        <v/>
      </c>
      <c r="Y111" s="18"/>
      <c r="Z111" s="18"/>
      <c r="AA111" s="18"/>
      <c r="AB111" s="18"/>
      <c r="AC111" s="18"/>
    </row>
    <row r="112" spans="1:29" ht="32.25" hidden="1" customHeight="1">
      <c r="A112" s="8">
        <v>2304518</v>
      </c>
      <c r="B112" s="9" t="s">
        <v>13284</v>
      </c>
      <c r="C112" s="9" t="s">
        <v>13284</v>
      </c>
      <c r="D112" s="9" t="s">
        <v>13284</v>
      </c>
      <c r="E112" s="9" t="s">
        <v>13284</v>
      </c>
      <c r="F112" s="9" t="s">
        <v>13284</v>
      </c>
      <c r="G112" s="9" t="s">
        <v>13284</v>
      </c>
      <c r="H112" s="9" t="s">
        <v>13284</v>
      </c>
      <c r="I112" s="9" t="s">
        <v>13284</v>
      </c>
      <c r="J112" s="9" t="s">
        <v>13284</v>
      </c>
      <c r="K112" s="9" t="s">
        <v>13284</v>
      </c>
      <c r="L112" s="9" t="s">
        <v>13284</v>
      </c>
      <c r="M112" s="9" t="s">
        <v>13284</v>
      </c>
      <c r="N112" s="9" t="s">
        <v>13284</v>
      </c>
      <c r="O112" s="9" t="s">
        <v>13284</v>
      </c>
      <c r="P112" s="9" t="s">
        <v>13284</v>
      </c>
      <c r="Q112" s="9" t="s">
        <v>13284</v>
      </c>
      <c r="R112" s="9" t="s">
        <v>13284</v>
      </c>
      <c r="S112" s="9" t="s">
        <v>13284</v>
      </c>
      <c r="T112" s="9" t="str">
        <f ca="1">IFERROR(IF(AND(VLOOKUP(A112, 'Актуальное состояние (из общего'!A:C,3,0) = "", A112 &lt;&gt; ""), "ПРОВЕРИТЬ", VLOOKUP(A112, 'Актуальное состояние (из общего'!A:C,3,0)), "")</f>
        <v>Студент</v>
      </c>
      <c r="U112" s="9" t="s">
        <v>13284</v>
      </c>
      <c r="V112" s="9" t="s">
        <v>13284</v>
      </c>
      <c r="W112" s="12"/>
      <c r="X112" s="9" t="str">
        <f t="array" ref="X112">IFERROR(INDEX('Адреса общежитий (скрытый)'!$B$2:$B$9, MATCH(W112, 'Адреса общежитий (скрытый)'!$A$2:$A$9, 0)), "")</f>
        <v/>
      </c>
      <c r="Y112" s="18"/>
      <c r="Z112" s="18"/>
      <c r="AA112" s="18"/>
      <c r="AB112" s="18"/>
      <c r="AC112" s="18"/>
    </row>
    <row r="113" spans="1:29" ht="32.25" customHeight="1">
      <c r="A113" s="8">
        <v>2308150</v>
      </c>
      <c r="B113" s="9" t="s">
        <v>13284</v>
      </c>
      <c r="C113" s="9" t="s">
        <v>13284</v>
      </c>
      <c r="D113" s="9" t="s">
        <v>13284</v>
      </c>
      <c r="E113" s="9" t="s">
        <v>13284</v>
      </c>
      <c r="F113" s="9" t="s">
        <v>13284</v>
      </c>
      <c r="G113" s="9" t="s">
        <v>13284</v>
      </c>
      <c r="H113" s="9" t="s">
        <v>13284</v>
      </c>
      <c r="I113" s="9" t="s">
        <v>13284</v>
      </c>
      <c r="J113" s="9" t="s">
        <v>13284</v>
      </c>
      <c r="K113" s="9" t="s">
        <v>13284</v>
      </c>
      <c r="L113" s="9" t="s">
        <v>13284</v>
      </c>
      <c r="M113" s="9" t="s">
        <v>13284</v>
      </c>
      <c r="N113" s="9" t="s">
        <v>13284</v>
      </c>
      <c r="O113" s="9" t="s">
        <v>13284</v>
      </c>
      <c r="P113" s="9" t="s">
        <v>13284</v>
      </c>
      <c r="Q113" s="9" t="s">
        <v>13284</v>
      </c>
      <c r="R113" s="9" t="s">
        <v>13284</v>
      </c>
      <c r="S113" s="9" t="s">
        <v>13284</v>
      </c>
      <c r="T113" s="9" t="str">
        <f ca="1">IFERROR(IF(AND(VLOOKUP(A113, 'Актуальное состояние (из общего'!A:C,3,0) = "", A113 &lt;&gt; ""), "ПРОВЕРИТЬ", VLOOKUP(A113, 'Актуальное состояние (из общего'!A:C,3,0)), "")</f>
        <v>Студент</v>
      </c>
      <c r="U113" s="9" t="s">
        <v>13284</v>
      </c>
      <c r="V113" s="9" t="s">
        <v>13284</v>
      </c>
      <c r="W113" s="9" t="s">
        <v>64</v>
      </c>
      <c r="X113" s="9" t="str">
        <f t="array" ref="X113">IFERROR(INDEX('Адреса общежитий (скрытый)'!$B$2:$B$9, MATCH(W113, 'Адреса общежитий (скрытый)'!$A$2:$A$9, 0)), "")</f>
        <v>проспект 60-летия Октября, д.11</v>
      </c>
      <c r="Y113" s="18"/>
      <c r="Z113" s="18"/>
      <c r="AA113" s="18"/>
      <c r="AB113" s="18"/>
      <c r="AC113" s="18"/>
    </row>
    <row r="114" spans="1:29" ht="32.25" customHeight="1">
      <c r="A114" s="8">
        <v>2310263</v>
      </c>
      <c r="B114" s="9" t="s">
        <v>13284</v>
      </c>
      <c r="C114" s="9" t="s">
        <v>13284</v>
      </c>
      <c r="D114" s="9" t="s">
        <v>13284</v>
      </c>
      <c r="E114" s="9" t="s">
        <v>13284</v>
      </c>
      <c r="F114" s="9" t="s">
        <v>13284</v>
      </c>
      <c r="G114" s="9" t="s">
        <v>13284</v>
      </c>
      <c r="H114" s="9" t="s">
        <v>13284</v>
      </c>
      <c r="I114" s="9" t="s">
        <v>13284</v>
      </c>
      <c r="J114" s="9" t="s">
        <v>13284</v>
      </c>
      <c r="K114" s="9" t="s">
        <v>13284</v>
      </c>
      <c r="L114" s="9" t="s">
        <v>13284</v>
      </c>
      <c r="M114" s="9" t="s">
        <v>13284</v>
      </c>
      <c r="N114" s="9" t="s">
        <v>13284</v>
      </c>
      <c r="O114" s="9" t="s">
        <v>13284</v>
      </c>
      <c r="P114" s="9" t="s">
        <v>13284</v>
      </c>
      <c r="Q114" s="9" t="s">
        <v>13284</v>
      </c>
      <c r="R114" s="9" t="s">
        <v>13284</v>
      </c>
      <c r="S114" s="9" t="s">
        <v>13284</v>
      </c>
      <c r="T114" s="9" t="str">
        <f ca="1">IFERROR(IF(AND(VLOOKUP(A114, 'Актуальное состояние (из общего'!A:C,3,0) = "", A114 &lt;&gt; ""), "ПРОВЕРИТЬ", VLOOKUP(A114, 'Актуальное состояние (из общего'!A:C,3,0)), "")</f>
        <v>Студент</v>
      </c>
      <c r="U114" s="9" t="s">
        <v>13284</v>
      </c>
      <c r="V114" s="9" t="s">
        <v>13284</v>
      </c>
      <c r="W114" s="9" t="s">
        <v>64</v>
      </c>
      <c r="X114" s="9" t="str">
        <f t="array" ref="X114">IFERROR(INDEX('Адреса общежитий (скрытый)'!$B$2:$B$9, MATCH(W114, 'Адреса общежитий (скрытый)'!$A$2:$A$9, 0)), "")</f>
        <v>проспект 60-летия Октября, д.11</v>
      </c>
      <c r="Y114" s="18"/>
      <c r="Z114" s="18"/>
      <c r="AA114" s="18"/>
      <c r="AB114" s="18"/>
      <c r="AC114" s="18"/>
    </row>
    <row r="115" spans="1:29" ht="32.25" customHeight="1">
      <c r="A115" s="8">
        <v>2312752</v>
      </c>
      <c r="B115" s="9" t="s">
        <v>13284</v>
      </c>
      <c r="C115" s="9" t="s">
        <v>13284</v>
      </c>
      <c r="D115" s="9" t="s">
        <v>13284</v>
      </c>
      <c r="E115" s="9" t="s">
        <v>13284</v>
      </c>
      <c r="F115" s="9" t="s">
        <v>13284</v>
      </c>
      <c r="G115" s="9" t="s">
        <v>13284</v>
      </c>
      <c r="H115" s="9" t="s">
        <v>13284</v>
      </c>
      <c r="I115" s="9" t="s">
        <v>13284</v>
      </c>
      <c r="J115" s="9" t="s">
        <v>13284</v>
      </c>
      <c r="K115" s="9" t="s">
        <v>13284</v>
      </c>
      <c r="L115" s="9" t="s">
        <v>13284</v>
      </c>
      <c r="M115" s="9" t="s">
        <v>13284</v>
      </c>
      <c r="N115" s="9" t="s">
        <v>13284</v>
      </c>
      <c r="O115" s="9" t="s">
        <v>13284</v>
      </c>
      <c r="P115" s="9" t="s">
        <v>13284</v>
      </c>
      <c r="Q115" s="9" t="s">
        <v>13284</v>
      </c>
      <c r="R115" s="9" t="s">
        <v>13284</v>
      </c>
      <c r="S115" s="9" t="s">
        <v>13284</v>
      </c>
      <c r="T115" s="9" t="str">
        <f ca="1">IFERROR(IF(AND(VLOOKUP(A115, 'Актуальное состояние (из общего'!A:C,3,0) = "", A115 &lt;&gt; ""), "ПРОВЕРИТЬ", VLOOKUP(A115, 'Актуальное состояние (из общего'!A:C,3,0)), "")</f>
        <v>Студент</v>
      </c>
      <c r="U115" s="9" t="s">
        <v>13284</v>
      </c>
      <c r="V115" s="9" t="s">
        <v>13284</v>
      </c>
      <c r="W115" s="9" t="s">
        <v>64</v>
      </c>
      <c r="X115" s="9" t="str">
        <f t="array" ref="X115">IFERROR(INDEX('Адреса общежитий (скрытый)'!$B$2:$B$9, MATCH(W115, 'Адреса общежитий (скрытый)'!$A$2:$A$9, 0)), "")</f>
        <v>проспект 60-летия Октября, д.11</v>
      </c>
      <c r="Y115" s="18"/>
      <c r="Z115" s="18"/>
      <c r="AA115" s="18"/>
      <c r="AB115" s="18"/>
      <c r="AC115" s="18"/>
    </row>
    <row r="116" spans="1:29" ht="32.25" customHeight="1">
      <c r="A116" s="8">
        <v>2310969</v>
      </c>
      <c r="B116" s="9" t="s">
        <v>13284</v>
      </c>
      <c r="C116" s="9" t="s">
        <v>13284</v>
      </c>
      <c r="D116" s="9" t="s">
        <v>13284</v>
      </c>
      <c r="E116" s="9" t="s">
        <v>13284</v>
      </c>
      <c r="F116" s="9" t="s">
        <v>13284</v>
      </c>
      <c r="G116" s="9" t="s">
        <v>13284</v>
      </c>
      <c r="H116" s="9" t="s">
        <v>13284</v>
      </c>
      <c r="I116" s="9" t="s">
        <v>13284</v>
      </c>
      <c r="J116" s="9" t="s">
        <v>13284</v>
      </c>
      <c r="K116" s="9" t="s">
        <v>13284</v>
      </c>
      <c r="L116" s="9" t="s">
        <v>13284</v>
      </c>
      <c r="M116" s="9" t="s">
        <v>13284</v>
      </c>
      <c r="N116" s="9" t="s">
        <v>13284</v>
      </c>
      <c r="O116" s="9" t="s">
        <v>13284</v>
      </c>
      <c r="P116" s="9" t="s">
        <v>13284</v>
      </c>
      <c r="Q116" s="9" t="s">
        <v>13284</v>
      </c>
      <c r="R116" s="9" t="s">
        <v>13284</v>
      </c>
      <c r="S116" s="9" t="s">
        <v>13284</v>
      </c>
      <c r="T116" s="9" t="str">
        <f ca="1">IFERROR(IF(AND(VLOOKUP(A116, 'Актуальное состояние (из общего'!A:C,3,0) = "", A116 &lt;&gt; ""), "ПРОВЕРИТЬ", VLOOKUP(A116, 'Актуальное состояние (из общего'!A:C,3,0)), "")</f>
        <v>Студент</v>
      </c>
      <c r="U116" s="9" t="s">
        <v>13284</v>
      </c>
      <c r="V116" s="9" t="s">
        <v>13284</v>
      </c>
      <c r="W116" s="12"/>
      <c r="X116" s="9" t="str">
        <f t="array" ref="X116">IFERROR(INDEX('Адреса общежитий (скрытый)'!$B$2:$B$9, MATCH(W116, 'Адреса общежитий (скрытый)'!$A$2:$A$9, 0)), "")</f>
        <v/>
      </c>
      <c r="Y116" s="18"/>
      <c r="Z116" s="18"/>
      <c r="AA116" s="18"/>
      <c r="AB116" s="18"/>
      <c r="AC116" s="18"/>
    </row>
    <row r="117" spans="1:29" ht="32.25" hidden="1" customHeight="1">
      <c r="A117" s="8">
        <v>2312389</v>
      </c>
      <c r="B117" s="9" t="s">
        <v>13284</v>
      </c>
      <c r="C117" s="9" t="s">
        <v>13284</v>
      </c>
      <c r="D117" s="9" t="s">
        <v>13284</v>
      </c>
      <c r="E117" s="9" t="s">
        <v>13284</v>
      </c>
      <c r="F117" s="9" t="s">
        <v>13284</v>
      </c>
      <c r="G117" s="9" t="s">
        <v>13284</v>
      </c>
      <c r="H117" s="9" t="s">
        <v>13284</v>
      </c>
      <c r="I117" s="9" t="s">
        <v>13284</v>
      </c>
      <c r="J117" s="9" t="s">
        <v>13284</v>
      </c>
      <c r="K117" s="9" t="s">
        <v>13284</v>
      </c>
      <c r="L117" s="9" t="s">
        <v>13284</v>
      </c>
      <c r="M117" s="9" t="s">
        <v>13284</v>
      </c>
      <c r="N117" s="9" t="s">
        <v>13284</v>
      </c>
      <c r="O117" s="9" t="s">
        <v>13284</v>
      </c>
      <c r="P117" s="9" t="s">
        <v>13284</v>
      </c>
      <c r="Q117" s="9" t="s">
        <v>13284</v>
      </c>
      <c r="R117" s="9" t="s">
        <v>13284</v>
      </c>
      <c r="S117" s="9" t="s">
        <v>13284</v>
      </c>
      <c r="T117" s="9" t="str">
        <f ca="1">IFERROR(IF(AND(VLOOKUP(A117, 'Актуальное состояние (из общего'!A:C,3,0) = "", A117 &lt;&gt; ""), "ПРОВЕРИТЬ", VLOOKUP(A117, 'Актуальное состояние (из общего'!A:C,3,0)), "")</f>
        <v>Студент</v>
      </c>
      <c r="U117" s="9" t="s">
        <v>13284</v>
      </c>
      <c r="V117" s="9" t="s">
        <v>13284</v>
      </c>
      <c r="W117" s="12"/>
      <c r="X117" s="9" t="str">
        <f t="array" ref="X117">IFERROR(INDEX('Адреса общежитий (скрытый)'!$B$2:$B$9, MATCH(W117, 'Адреса общежитий (скрытый)'!$A$2:$A$9, 0)), "")</f>
        <v/>
      </c>
      <c r="Y117" s="18"/>
      <c r="Z117" s="18"/>
      <c r="AA117" s="18"/>
      <c r="AB117" s="18"/>
      <c r="AC117" s="18"/>
    </row>
    <row r="118" spans="1:29" ht="32.25" customHeight="1">
      <c r="A118" s="8">
        <v>2305614</v>
      </c>
      <c r="B118" s="9" t="s">
        <v>13284</v>
      </c>
      <c r="C118" s="9" t="s">
        <v>13284</v>
      </c>
      <c r="D118" s="9" t="s">
        <v>13284</v>
      </c>
      <c r="E118" s="9" t="s">
        <v>13284</v>
      </c>
      <c r="F118" s="9" t="s">
        <v>13284</v>
      </c>
      <c r="G118" s="9" t="s">
        <v>13284</v>
      </c>
      <c r="H118" s="9" t="s">
        <v>13284</v>
      </c>
      <c r="I118" s="9" t="s">
        <v>13284</v>
      </c>
      <c r="J118" s="9" t="s">
        <v>13284</v>
      </c>
      <c r="K118" s="9" t="s">
        <v>13284</v>
      </c>
      <c r="L118" s="9" t="s">
        <v>13284</v>
      </c>
      <c r="M118" s="9" t="s">
        <v>13284</v>
      </c>
      <c r="N118" s="9" t="s">
        <v>13284</v>
      </c>
      <c r="O118" s="9" t="s">
        <v>13284</v>
      </c>
      <c r="P118" s="9" t="s">
        <v>13284</v>
      </c>
      <c r="Q118" s="9" t="s">
        <v>13284</v>
      </c>
      <c r="R118" s="9" t="s">
        <v>13284</v>
      </c>
      <c r="S118" s="9" t="s">
        <v>13284</v>
      </c>
      <c r="T118" s="9" t="str">
        <f ca="1">IFERROR(IF(AND(VLOOKUP(A118, 'Актуальное состояние (из общего'!A:C,3,0) = "", A118 &lt;&gt; ""), "ПРОВЕРИТЬ", VLOOKUP(A118, 'Актуальное состояние (из общего'!A:C,3,0)), "")</f>
        <v>Студент</v>
      </c>
      <c r="U118" s="9" t="s">
        <v>13284</v>
      </c>
      <c r="V118" s="9" t="s">
        <v>13284</v>
      </c>
      <c r="W118" s="9" t="s">
        <v>64</v>
      </c>
      <c r="X118" s="9" t="str">
        <f t="array" ref="X118">IFERROR(INDEX('Адреса общежитий (скрытый)'!$B$2:$B$9, MATCH(W118, 'Адреса общежитий (скрытый)'!$A$2:$A$9, 0)), "")</f>
        <v>проспект 60-летия Октября, д.11</v>
      </c>
      <c r="Y118" s="18"/>
      <c r="Z118" s="18"/>
      <c r="AA118" s="18"/>
      <c r="AB118" s="18"/>
      <c r="AC118" s="18"/>
    </row>
    <row r="119" spans="1:29" ht="32.25" customHeight="1">
      <c r="A119" s="8">
        <v>2309642</v>
      </c>
      <c r="B119" s="9" t="s">
        <v>13284</v>
      </c>
      <c r="C119" s="9" t="s">
        <v>13284</v>
      </c>
      <c r="D119" s="9" t="s">
        <v>13284</v>
      </c>
      <c r="E119" s="9" t="s">
        <v>13284</v>
      </c>
      <c r="F119" s="9" t="s">
        <v>13284</v>
      </c>
      <c r="G119" s="9" t="s">
        <v>13284</v>
      </c>
      <c r="H119" s="9" t="s">
        <v>13284</v>
      </c>
      <c r="I119" s="9" t="s">
        <v>13284</v>
      </c>
      <c r="J119" s="9" t="s">
        <v>13284</v>
      </c>
      <c r="K119" s="9" t="s">
        <v>13284</v>
      </c>
      <c r="L119" s="9" t="s">
        <v>13284</v>
      </c>
      <c r="M119" s="9" t="s">
        <v>13284</v>
      </c>
      <c r="N119" s="9" t="s">
        <v>13284</v>
      </c>
      <c r="O119" s="9" t="s">
        <v>13284</v>
      </c>
      <c r="P119" s="9" t="s">
        <v>13284</v>
      </c>
      <c r="Q119" s="9" t="s">
        <v>13284</v>
      </c>
      <c r="R119" s="9" t="s">
        <v>13284</v>
      </c>
      <c r="S119" s="9" t="s">
        <v>13284</v>
      </c>
      <c r="T119" s="9" t="str">
        <f ca="1">IFERROR(IF(AND(VLOOKUP(A119, 'Актуальное состояние (из общего'!A:C,3,0) = "", A119 &lt;&gt; ""), "ПРОВЕРИТЬ", VLOOKUP(A119, 'Актуальное состояние (из общего'!A:C,3,0)), "")</f>
        <v>Студент</v>
      </c>
      <c r="U119" s="9" t="s">
        <v>13284</v>
      </c>
      <c r="V119" s="9" t="s">
        <v>13284</v>
      </c>
      <c r="W119" s="9" t="s">
        <v>64</v>
      </c>
      <c r="X119" s="9" t="str">
        <f t="array" ref="X119">IFERROR(INDEX('Адреса общежитий (скрытый)'!$B$2:$B$9, MATCH(W119, 'Адреса общежитий (скрытый)'!$A$2:$A$9, 0)), "")</f>
        <v>проспект 60-летия Октября, д.11</v>
      </c>
      <c r="Y119" s="18"/>
      <c r="Z119" s="18"/>
      <c r="AA119" s="18"/>
      <c r="AB119" s="18"/>
      <c r="AC119" s="18"/>
    </row>
    <row r="120" spans="1:29" ht="32.25" hidden="1" customHeight="1">
      <c r="A120" s="8">
        <v>2300680</v>
      </c>
      <c r="B120" s="9" t="s">
        <v>13284</v>
      </c>
      <c r="C120" s="9" t="s">
        <v>13284</v>
      </c>
      <c r="D120" s="9" t="s">
        <v>13284</v>
      </c>
      <c r="E120" s="9" t="s">
        <v>13284</v>
      </c>
      <c r="F120" s="9" t="s">
        <v>13284</v>
      </c>
      <c r="G120" s="9" t="s">
        <v>13284</v>
      </c>
      <c r="H120" s="9" t="s">
        <v>13284</v>
      </c>
      <c r="I120" s="9" t="s">
        <v>13284</v>
      </c>
      <c r="J120" s="9" t="s">
        <v>13284</v>
      </c>
      <c r="K120" s="9" t="s">
        <v>13284</v>
      </c>
      <c r="L120" s="9" t="s">
        <v>13284</v>
      </c>
      <c r="M120" s="9" t="s">
        <v>13284</v>
      </c>
      <c r="N120" s="9" t="s">
        <v>13284</v>
      </c>
      <c r="O120" s="9" t="s">
        <v>13284</v>
      </c>
      <c r="P120" s="9" t="s">
        <v>13284</v>
      </c>
      <c r="Q120" s="9" t="s">
        <v>13284</v>
      </c>
      <c r="R120" s="9" t="s">
        <v>13284</v>
      </c>
      <c r="S120" s="9" t="s">
        <v>13284</v>
      </c>
      <c r="T120" s="9" t="str">
        <f ca="1">IFERROR(IF(AND(VLOOKUP(A120, 'Актуальное состояние (из общего'!A:C,3,0) = "", A120 &lt;&gt; ""), "ПРОВЕРИТЬ", VLOOKUP(A120, 'Актуальное состояние (из общего'!A:C,3,0)), "")</f>
        <v>Студент</v>
      </c>
      <c r="U120" s="9" t="s">
        <v>13284</v>
      </c>
      <c r="V120" s="9" t="s">
        <v>13284</v>
      </c>
      <c r="W120" s="12"/>
      <c r="X120" s="9" t="str">
        <f t="array" ref="X120">IFERROR(INDEX('Адреса общежитий (скрытый)'!$B$2:$B$9, MATCH(W120, 'Адреса общежитий (скрытый)'!$A$2:$A$9, 0)), "")</f>
        <v/>
      </c>
      <c r="Y120" s="18"/>
      <c r="Z120" s="18"/>
      <c r="AA120" s="18"/>
      <c r="AB120" s="18"/>
      <c r="AC120" s="18"/>
    </row>
    <row r="121" spans="1:29" ht="32.25" customHeight="1">
      <c r="A121" s="8">
        <v>2301617</v>
      </c>
      <c r="B121" s="9" t="s">
        <v>13284</v>
      </c>
      <c r="C121" s="9" t="s">
        <v>13284</v>
      </c>
      <c r="D121" s="9" t="s">
        <v>13284</v>
      </c>
      <c r="E121" s="9" t="s">
        <v>13284</v>
      </c>
      <c r="F121" s="9" t="s">
        <v>13284</v>
      </c>
      <c r="G121" s="9" t="s">
        <v>13284</v>
      </c>
      <c r="H121" s="9" t="s">
        <v>13284</v>
      </c>
      <c r="I121" s="9" t="s">
        <v>13284</v>
      </c>
      <c r="J121" s="9" t="s">
        <v>13284</v>
      </c>
      <c r="K121" s="9" t="s">
        <v>13284</v>
      </c>
      <c r="L121" s="9" t="s">
        <v>13284</v>
      </c>
      <c r="M121" s="9" t="s">
        <v>13284</v>
      </c>
      <c r="N121" s="9" t="s">
        <v>13284</v>
      </c>
      <c r="O121" s="9" t="s">
        <v>13284</v>
      </c>
      <c r="P121" s="9" t="s">
        <v>13284</v>
      </c>
      <c r="Q121" s="9" t="s">
        <v>13284</v>
      </c>
      <c r="R121" s="9" t="s">
        <v>13284</v>
      </c>
      <c r="S121" s="9" t="s">
        <v>13284</v>
      </c>
      <c r="T121" s="9" t="str">
        <f ca="1">IFERROR(IF(AND(VLOOKUP(A121, 'Актуальное состояние (из общего'!A:C,3,0) = "", A121 &lt;&gt; ""), "ПРОВЕРИТЬ", VLOOKUP(A121, 'Актуальное состояние (из общего'!A:C,3,0)), "")</f>
        <v>Студент</v>
      </c>
      <c r="U121" s="9" t="s">
        <v>13284</v>
      </c>
      <c r="V121" s="9" t="s">
        <v>13284</v>
      </c>
      <c r="W121" s="9" t="s">
        <v>64</v>
      </c>
      <c r="X121" s="9" t="str">
        <f t="array" ref="X121">IFERROR(INDEX('Адреса общежитий (скрытый)'!$B$2:$B$9, MATCH(W121, 'Адреса общежитий (скрытый)'!$A$2:$A$9, 0)), "")</f>
        <v>проспект 60-летия Октября, д.11</v>
      </c>
      <c r="Y121" s="18"/>
      <c r="Z121" s="18"/>
      <c r="AA121" s="18"/>
      <c r="AB121" s="18"/>
      <c r="AC121" s="18"/>
    </row>
    <row r="122" spans="1:29" ht="32.25" hidden="1" customHeight="1">
      <c r="A122" s="8">
        <v>2303530</v>
      </c>
      <c r="B122" s="9" t="s">
        <v>13284</v>
      </c>
      <c r="C122" s="9" t="s">
        <v>13284</v>
      </c>
      <c r="D122" s="9" t="s">
        <v>13284</v>
      </c>
      <c r="E122" s="9" t="s">
        <v>13284</v>
      </c>
      <c r="F122" s="9" t="s">
        <v>13284</v>
      </c>
      <c r="G122" s="9" t="s">
        <v>13284</v>
      </c>
      <c r="H122" s="9" t="s">
        <v>13284</v>
      </c>
      <c r="I122" s="9" t="s">
        <v>13284</v>
      </c>
      <c r="J122" s="9" t="s">
        <v>13284</v>
      </c>
      <c r="K122" s="9" t="s">
        <v>13284</v>
      </c>
      <c r="L122" s="9" t="s">
        <v>13284</v>
      </c>
      <c r="M122" s="9" t="s">
        <v>13284</v>
      </c>
      <c r="N122" s="9" t="s">
        <v>13284</v>
      </c>
      <c r="O122" s="9" t="s">
        <v>13284</v>
      </c>
      <c r="P122" s="9" t="s">
        <v>13284</v>
      </c>
      <c r="Q122" s="9" t="s">
        <v>13284</v>
      </c>
      <c r="R122" s="9" t="s">
        <v>13284</v>
      </c>
      <c r="S122" s="9" t="s">
        <v>13284</v>
      </c>
      <c r="T122" s="9" t="str">
        <f ca="1">IFERROR(IF(AND(VLOOKUP(A122, 'Актуальное состояние (из общего'!A:C,3,0) = "", A122 &lt;&gt; ""), "ПРОВЕРИТЬ", VLOOKUP(A122, 'Актуальное состояние (из общего'!A:C,3,0)), "")</f>
        <v>Студент</v>
      </c>
      <c r="U122" s="9" t="s">
        <v>13284</v>
      </c>
      <c r="V122" s="9" t="s">
        <v>13284</v>
      </c>
      <c r="W122" s="12"/>
      <c r="X122" s="9" t="str">
        <f t="array" ref="X122">IFERROR(INDEX('Адреса общежитий (скрытый)'!$B$2:$B$9, MATCH(W122, 'Адреса общежитий (скрытый)'!$A$2:$A$9, 0)), "")</f>
        <v/>
      </c>
      <c r="Y122" s="18"/>
      <c r="Z122" s="18"/>
      <c r="AA122" s="18"/>
      <c r="AB122" s="18"/>
      <c r="AC122" s="18"/>
    </row>
    <row r="123" spans="1:29" ht="32.25" hidden="1" customHeight="1">
      <c r="A123" s="8">
        <v>2304483</v>
      </c>
      <c r="B123" s="9" t="s">
        <v>13284</v>
      </c>
      <c r="C123" s="9" t="s">
        <v>13284</v>
      </c>
      <c r="D123" s="9" t="s">
        <v>13284</v>
      </c>
      <c r="E123" s="9" t="s">
        <v>13284</v>
      </c>
      <c r="F123" s="9" t="s">
        <v>13284</v>
      </c>
      <c r="G123" s="9" t="s">
        <v>13284</v>
      </c>
      <c r="H123" s="9" t="s">
        <v>13284</v>
      </c>
      <c r="I123" s="9" t="s">
        <v>13284</v>
      </c>
      <c r="J123" s="9" t="s">
        <v>13284</v>
      </c>
      <c r="K123" s="9" t="s">
        <v>13284</v>
      </c>
      <c r="L123" s="9" t="s">
        <v>13284</v>
      </c>
      <c r="M123" s="9" t="s">
        <v>13284</v>
      </c>
      <c r="N123" s="9" t="s">
        <v>13284</v>
      </c>
      <c r="O123" s="9" t="s">
        <v>13284</v>
      </c>
      <c r="P123" s="9" t="s">
        <v>13284</v>
      </c>
      <c r="Q123" s="9" t="s">
        <v>13284</v>
      </c>
      <c r="R123" s="9" t="s">
        <v>13284</v>
      </c>
      <c r="S123" s="9" t="s">
        <v>13284</v>
      </c>
      <c r="T123" s="9" t="str">
        <f ca="1">IFERROR(IF(AND(VLOOKUP(A123, 'Актуальное состояние (из общего'!A:C,3,0) = "", A123 &lt;&gt; ""), "ПРОВЕРИТЬ", VLOOKUP(A123, 'Актуальное состояние (из общего'!A:C,3,0)), "")</f>
        <v>Студент</v>
      </c>
      <c r="U123" s="9" t="s">
        <v>13284</v>
      </c>
      <c r="V123" s="9" t="s">
        <v>13284</v>
      </c>
      <c r="W123" s="12"/>
      <c r="X123" s="9" t="str">
        <f t="array" ref="X123">IFERROR(INDEX('Адреса общежитий (скрытый)'!$B$2:$B$9, MATCH(W123, 'Адреса общежитий (скрытый)'!$A$2:$A$9, 0)), "")</f>
        <v/>
      </c>
      <c r="Y123" s="18"/>
      <c r="Z123" s="18"/>
      <c r="AA123" s="18"/>
      <c r="AB123" s="18"/>
      <c r="AC123" s="18"/>
    </row>
    <row r="124" spans="1:29" ht="32.25" hidden="1" customHeight="1">
      <c r="A124" s="8">
        <v>2306828</v>
      </c>
      <c r="B124" s="9" t="s">
        <v>13284</v>
      </c>
      <c r="C124" s="9" t="s">
        <v>13284</v>
      </c>
      <c r="D124" s="9" t="s">
        <v>13284</v>
      </c>
      <c r="E124" s="9" t="s">
        <v>13284</v>
      </c>
      <c r="F124" s="9" t="s">
        <v>13284</v>
      </c>
      <c r="G124" s="9" t="s">
        <v>13284</v>
      </c>
      <c r="H124" s="9" t="s">
        <v>13284</v>
      </c>
      <c r="I124" s="9" t="s">
        <v>13284</v>
      </c>
      <c r="J124" s="9" t="s">
        <v>13284</v>
      </c>
      <c r="K124" s="9" t="s">
        <v>13284</v>
      </c>
      <c r="L124" s="9" t="s">
        <v>13284</v>
      </c>
      <c r="M124" s="9" t="s">
        <v>13284</v>
      </c>
      <c r="N124" s="9" t="s">
        <v>13284</v>
      </c>
      <c r="O124" s="9" t="s">
        <v>13284</v>
      </c>
      <c r="P124" s="9" t="s">
        <v>13284</v>
      </c>
      <c r="Q124" s="9" t="s">
        <v>13284</v>
      </c>
      <c r="R124" s="9" t="s">
        <v>13284</v>
      </c>
      <c r="S124" s="9" t="s">
        <v>13284</v>
      </c>
      <c r="T124" s="9" t="str">
        <f ca="1">IFERROR(IF(AND(VLOOKUP(A124, 'Актуальное состояние (из общего'!A:C,3,0) = "", A124 &lt;&gt; ""), "ПРОВЕРИТЬ", VLOOKUP(A124, 'Актуальное состояние (из общего'!A:C,3,0)), "")</f>
        <v>Студент</v>
      </c>
      <c r="U124" s="9" t="s">
        <v>13284</v>
      </c>
      <c r="V124" s="9" t="s">
        <v>13284</v>
      </c>
      <c r="W124" s="12"/>
      <c r="X124" s="9" t="str">
        <f t="array" ref="X124">IFERROR(INDEX('Адреса общежитий (скрытый)'!$B$2:$B$9, MATCH(W124, 'Адреса общежитий (скрытый)'!$A$2:$A$9, 0)), "")</f>
        <v/>
      </c>
      <c r="Y124" s="18"/>
      <c r="Z124" s="18"/>
      <c r="AA124" s="18"/>
      <c r="AB124" s="18"/>
      <c r="AC124" s="18"/>
    </row>
    <row r="125" spans="1:29" ht="32.25" customHeight="1">
      <c r="A125" s="8">
        <v>2300428</v>
      </c>
      <c r="B125" s="9" t="s">
        <v>13284</v>
      </c>
      <c r="C125" s="9" t="s">
        <v>13284</v>
      </c>
      <c r="D125" s="9" t="s">
        <v>13284</v>
      </c>
      <c r="E125" s="9" t="s">
        <v>13284</v>
      </c>
      <c r="F125" s="9" t="s">
        <v>13284</v>
      </c>
      <c r="G125" s="9" t="s">
        <v>13284</v>
      </c>
      <c r="H125" s="9" t="s">
        <v>13284</v>
      </c>
      <c r="I125" s="9" t="s">
        <v>13284</v>
      </c>
      <c r="J125" s="9" t="s">
        <v>13284</v>
      </c>
      <c r="K125" s="9" t="s">
        <v>13284</v>
      </c>
      <c r="L125" s="9" t="s">
        <v>13284</v>
      </c>
      <c r="M125" s="9" t="s">
        <v>13284</v>
      </c>
      <c r="N125" s="9" t="s">
        <v>13284</v>
      </c>
      <c r="O125" s="9" t="s">
        <v>13284</v>
      </c>
      <c r="P125" s="9" t="s">
        <v>13284</v>
      </c>
      <c r="Q125" s="9" t="s">
        <v>13284</v>
      </c>
      <c r="R125" s="9" t="s">
        <v>13284</v>
      </c>
      <c r="S125" s="9" t="s">
        <v>13284</v>
      </c>
      <c r="T125" s="9" t="str">
        <f ca="1">IFERROR(IF(AND(VLOOKUP(A125, 'Актуальное состояние (из общего'!A:C,3,0) = "", A125 &lt;&gt; ""), "ПРОВЕРИТЬ", VLOOKUP(A125, 'Актуальное состояние (из общего'!A:C,3,0)), "")</f>
        <v>Студент</v>
      </c>
      <c r="U125" s="9" t="s">
        <v>13284</v>
      </c>
      <c r="V125" s="9" t="s">
        <v>13284</v>
      </c>
      <c r="W125" s="9" t="s">
        <v>64</v>
      </c>
      <c r="X125" s="9" t="str">
        <f t="array" ref="X125">IFERROR(INDEX('Адреса общежитий (скрытый)'!$B$2:$B$9, MATCH(W125, 'Адреса общежитий (скрытый)'!$A$2:$A$9, 0)), "")</f>
        <v>проспект 60-летия Октября, д.11</v>
      </c>
      <c r="Y125" s="18"/>
      <c r="Z125" s="18"/>
      <c r="AA125" s="18"/>
      <c r="AB125" s="18"/>
      <c r="AC125" s="18"/>
    </row>
    <row r="126" spans="1:29" ht="32.25" customHeight="1">
      <c r="A126" s="8">
        <v>2314000</v>
      </c>
      <c r="B126" s="9" t="s">
        <v>13284</v>
      </c>
      <c r="C126" s="9" t="s">
        <v>13284</v>
      </c>
      <c r="D126" s="9" t="s">
        <v>13284</v>
      </c>
      <c r="E126" s="9" t="s">
        <v>13284</v>
      </c>
      <c r="F126" s="9" t="s">
        <v>13284</v>
      </c>
      <c r="G126" s="9" t="s">
        <v>13284</v>
      </c>
      <c r="H126" s="9" t="s">
        <v>13284</v>
      </c>
      <c r="I126" s="9" t="s">
        <v>13284</v>
      </c>
      <c r="J126" s="9" t="s">
        <v>13284</v>
      </c>
      <c r="K126" s="9" t="s">
        <v>13284</v>
      </c>
      <c r="L126" s="9" t="s">
        <v>13284</v>
      </c>
      <c r="M126" s="9" t="s">
        <v>13284</v>
      </c>
      <c r="N126" s="9" t="s">
        <v>13284</v>
      </c>
      <c r="O126" s="9" t="s">
        <v>13284</v>
      </c>
      <c r="P126" s="9" t="s">
        <v>13284</v>
      </c>
      <c r="Q126" s="9" t="s">
        <v>13284</v>
      </c>
      <c r="R126" s="9" t="s">
        <v>13284</v>
      </c>
      <c r="S126" s="9" t="s">
        <v>13284</v>
      </c>
      <c r="T126" s="9" t="str">
        <f ca="1">IFERROR(IF(AND(VLOOKUP(A126, 'Актуальное состояние (из общего'!A:C,3,0) = "", A126 &lt;&gt; ""), "ПРОВЕРИТЬ", VLOOKUP(A126, 'Актуальное состояние (из общего'!A:C,3,0)), "")</f>
        <v>Студент</v>
      </c>
      <c r="U126" s="9" t="s">
        <v>13284</v>
      </c>
      <c r="V126" s="9" t="s">
        <v>13284</v>
      </c>
      <c r="W126" s="9" t="s">
        <v>64</v>
      </c>
      <c r="X126" s="9" t="str">
        <f t="array" ref="X126">IFERROR(INDEX('Адреса общежитий (скрытый)'!$B$2:$B$9, MATCH(W126, 'Адреса общежитий (скрытый)'!$A$2:$A$9, 0)), "")</f>
        <v>проспект 60-летия Октября, д.11</v>
      </c>
      <c r="Y126" s="18"/>
      <c r="Z126" s="18"/>
      <c r="AA126" s="18"/>
      <c r="AB126" s="18"/>
      <c r="AC126" s="18"/>
    </row>
    <row r="127" spans="1:29" ht="32.25" hidden="1" customHeight="1">
      <c r="A127" s="8">
        <v>2310588</v>
      </c>
      <c r="B127" s="9" t="s">
        <v>13284</v>
      </c>
      <c r="C127" s="9" t="s">
        <v>13284</v>
      </c>
      <c r="D127" s="9" t="s">
        <v>13284</v>
      </c>
      <c r="E127" s="9" t="s">
        <v>13284</v>
      </c>
      <c r="F127" s="9" t="s">
        <v>13284</v>
      </c>
      <c r="G127" s="9" t="s">
        <v>13284</v>
      </c>
      <c r="H127" s="9" t="s">
        <v>13284</v>
      </c>
      <c r="I127" s="9" t="s">
        <v>13284</v>
      </c>
      <c r="J127" s="9" t="s">
        <v>13284</v>
      </c>
      <c r="K127" s="9" t="s">
        <v>13284</v>
      </c>
      <c r="L127" s="9" t="s">
        <v>13284</v>
      </c>
      <c r="M127" s="9" t="s">
        <v>13284</v>
      </c>
      <c r="N127" s="9" t="s">
        <v>13284</v>
      </c>
      <c r="O127" s="9" t="s">
        <v>13284</v>
      </c>
      <c r="P127" s="9" t="s">
        <v>13284</v>
      </c>
      <c r="Q127" s="9" t="s">
        <v>13284</v>
      </c>
      <c r="R127" s="9" t="s">
        <v>13284</v>
      </c>
      <c r="S127" s="9" t="s">
        <v>13284</v>
      </c>
      <c r="T127" s="9" t="str">
        <f ca="1">IFERROR(IF(AND(VLOOKUP(A127, 'Актуальное состояние (из общего'!A:C,3,0) = "", A127 &lt;&gt; ""), "ПРОВЕРИТЬ", VLOOKUP(A127, 'Актуальное состояние (из общего'!A:C,3,0)), "")</f>
        <v>Студент</v>
      </c>
      <c r="U127" s="9" t="s">
        <v>13284</v>
      </c>
      <c r="V127" s="9" t="s">
        <v>13284</v>
      </c>
      <c r="W127" s="12"/>
      <c r="X127" s="9" t="str">
        <f t="array" ref="X127">IFERROR(INDEX('Адреса общежитий (скрытый)'!$B$2:$B$9, MATCH(W127, 'Адреса общежитий (скрытый)'!$A$2:$A$9, 0)), "")</f>
        <v/>
      </c>
      <c r="Y127" s="18"/>
      <c r="Z127" s="18"/>
      <c r="AA127" s="18"/>
      <c r="AB127" s="18"/>
      <c r="AC127" s="18"/>
    </row>
    <row r="128" spans="1:29" ht="32.25" customHeight="1">
      <c r="A128" s="8">
        <v>2308973</v>
      </c>
      <c r="B128" s="9" t="s">
        <v>13284</v>
      </c>
      <c r="C128" s="9" t="s">
        <v>13284</v>
      </c>
      <c r="D128" s="9" t="s">
        <v>13284</v>
      </c>
      <c r="E128" s="9" t="s">
        <v>13284</v>
      </c>
      <c r="F128" s="9" t="s">
        <v>13284</v>
      </c>
      <c r="G128" s="9" t="s">
        <v>13284</v>
      </c>
      <c r="H128" s="9" t="s">
        <v>13284</v>
      </c>
      <c r="I128" s="9" t="s">
        <v>13284</v>
      </c>
      <c r="J128" s="9" t="s">
        <v>13284</v>
      </c>
      <c r="K128" s="9" t="s">
        <v>13284</v>
      </c>
      <c r="L128" s="9" t="s">
        <v>13284</v>
      </c>
      <c r="M128" s="9" t="s">
        <v>13284</v>
      </c>
      <c r="N128" s="9" t="s">
        <v>13284</v>
      </c>
      <c r="O128" s="9" t="s">
        <v>13284</v>
      </c>
      <c r="P128" s="9" t="s">
        <v>13284</v>
      </c>
      <c r="Q128" s="9" t="s">
        <v>13284</v>
      </c>
      <c r="R128" s="9" t="s">
        <v>13284</v>
      </c>
      <c r="S128" s="9" t="s">
        <v>13284</v>
      </c>
      <c r="T128" s="9" t="str">
        <f ca="1">IFERROR(IF(AND(VLOOKUP(A128, 'Актуальное состояние (из общего'!A:C,3,0) = "", A128 &lt;&gt; ""), "ПРОВЕРИТЬ", VLOOKUP(A128, 'Актуальное состояние (из общего'!A:C,3,0)), "")</f>
        <v>Студент</v>
      </c>
      <c r="U128" s="9" t="s">
        <v>13284</v>
      </c>
      <c r="V128" s="9" t="s">
        <v>13284</v>
      </c>
      <c r="W128" s="9" t="s">
        <v>64</v>
      </c>
      <c r="X128" s="9" t="str">
        <f t="array" ref="X128">IFERROR(INDEX('Адреса общежитий (скрытый)'!$B$2:$B$9, MATCH(W128, 'Адреса общежитий (скрытый)'!$A$2:$A$9, 0)), "")</f>
        <v>проспект 60-летия Октября, д.11</v>
      </c>
      <c r="Y128" s="18"/>
      <c r="Z128" s="18"/>
      <c r="AA128" s="18"/>
      <c r="AB128" s="18"/>
      <c r="AC128" s="18"/>
    </row>
    <row r="129" spans="1:29" ht="32.25" hidden="1" customHeight="1">
      <c r="A129" s="8">
        <v>2310561</v>
      </c>
      <c r="B129" s="9" t="s">
        <v>13284</v>
      </c>
      <c r="C129" s="9" t="s">
        <v>13284</v>
      </c>
      <c r="D129" s="9" t="s">
        <v>13284</v>
      </c>
      <c r="E129" s="9" t="s">
        <v>13284</v>
      </c>
      <c r="F129" s="9" t="s">
        <v>13284</v>
      </c>
      <c r="G129" s="9" t="s">
        <v>13284</v>
      </c>
      <c r="H129" s="9" t="s">
        <v>13284</v>
      </c>
      <c r="I129" s="9" t="s">
        <v>13284</v>
      </c>
      <c r="J129" s="9" t="s">
        <v>13284</v>
      </c>
      <c r="K129" s="9" t="s">
        <v>13284</v>
      </c>
      <c r="L129" s="9" t="s">
        <v>13284</v>
      </c>
      <c r="M129" s="9" t="s">
        <v>13284</v>
      </c>
      <c r="N129" s="9" t="s">
        <v>13284</v>
      </c>
      <c r="O129" s="9" t="s">
        <v>13284</v>
      </c>
      <c r="P129" s="9" t="s">
        <v>13284</v>
      </c>
      <c r="Q129" s="9" t="s">
        <v>13284</v>
      </c>
      <c r="R129" s="9" t="s">
        <v>13284</v>
      </c>
      <c r="S129" s="9" t="s">
        <v>13284</v>
      </c>
      <c r="T129" s="9" t="str">
        <f ca="1">IFERROR(IF(AND(VLOOKUP(A129, 'Актуальное состояние (из общего'!A:C,3,0) = "", A129 &lt;&gt; ""), "ПРОВЕРИТЬ", VLOOKUP(A129, 'Актуальное состояние (из общего'!A:C,3,0)), "")</f>
        <v>Студент</v>
      </c>
      <c r="U129" s="9" t="s">
        <v>13284</v>
      </c>
      <c r="V129" s="9" t="s">
        <v>13284</v>
      </c>
      <c r="W129" s="12"/>
      <c r="X129" s="9" t="str">
        <f t="array" ref="X129">IFERROR(INDEX('Адреса общежитий (скрытый)'!$B$2:$B$9, MATCH(W129, 'Адреса общежитий (скрытый)'!$A$2:$A$9, 0)), "")</f>
        <v/>
      </c>
      <c r="Y129" s="18"/>
      <c r="Z129" s="18"/>
      <c r="AA129" s="18"/>
      <c r="AB129" s="18"/>
      <c r="AC129" s="18"/>
    </row>
    <row r="130" spans="1:29" ht="32.25" hidden="1" customHeight="1">
      <c r="A130" s="8">
        <v>2302173</v>
      </c>
      <c r="B130" s="9" t="s">
        <v>13284</v>
      </c>
      <c r="C130" s="9" t="s">
        <v>13284</v>
      </c>
      <c r="D130" s="9" t="s">
        <v>13284</v>
      </c>
      <c r="E130" s="9" t="s">
        <v>13284</v>
      </c>
      <c r="F130" s="9" t="s">
        <v>13284</v>
      </c>
      <c r="G130" s="9" t="s">
        <v>13284</v>
      </c>
      <c r="H130" s="9" t="s">
        <v>13284</v>
      </c>
      <c r="I130" s="9" t="s">
        <v>13284</v>
      </c>
      <c r="J130" s="9" t="s">
        <v>13284</v>
      </c>
      <c r="K130" s="9" t="s">
        <v>13284</v>
      </c>
      <c r="L130" s="9" t="s">
        <v>13284</v>
      </c>
      <c r="M130" s="9" t="s">
        <v>13284</v>
      </c>
      <c r="N130" s="9" t="s">
        <v>13284</v>
      </c>
      <c r="O130" s="9" t="s">
        <v>13284</v>
      </c>
      <c r="P130" s="9" t="s">
        <v>13284</v>
      </c>
      <c r="Q130" s="9" t="s">
        <v>13284</v>
      </c>
      <c r="R130" s="9" t="s">
        <v>13284</v>
      </c>
      <c r="S130" s="9" t="s">
        <v>13284</v>
      </c>
      <c r="T130" s="9" t="str">
        <f ca="1">IFERROR(IF(AND(VLOOKUP(A130, 'Актуальное состояние (из общего'!A:C,3,0) = "", A130 &lt;&gt; ""), "ПРОВЕРИТЬ", VLOOKUP(A130, 'Актуальное состояние (из общего'!A:C,3,0)), "")</f>
        <v>Студент</v>
      </c>
      <c r="U130" s="9" t="s">
        <v>13284</v>
      </c>
      <c r="V130" s="9" t="s">
        <v>13284</v>
      </c>
      <c r="W130" s="12"/>
      <c r="X130" s="9" t="str">
        <f t="array" ref="X130">IFERROR(INDEX('Адреса общежитий (скрытый)'!$B$2:$B$9, MATCH(W130, 'Адреса общежитий (скрытый)'!$A$2:$A$9, 0)), "")</f>
        <v/>
      </c>
      <c r="Y130" s="18"/>
      <c r="Z130" s="18"/>
      <c r="AA130" s="18"/>
      <c r="AB130" s="18"/>
      <c r="AC130" s="18"/>
    </row>
    <row r="131" spans="1:29" ht="32.25" customHeight="1">
      <c r="A131" s="8">
        <v>2308134</v>
      </c>
      <c r="B131" s="9" t="s">
        <v>13284</v>
      </c>
      <c r="C131" s="9" t="s">
        <v>13284</v>
      </c>
      <c r="D131" s="9" t="s">
        <v>13284</v>
      </c>
      <c r="E131" s="9" t="s">
        <v>13284</v>
      </c>
      <c r="F131" s="9" t="s">
        <v>13284</v>
      </c>
      <c r="G131" s="9" t="s">
        <v>13284</v>
      </c>
      <c r="H131" s="9" t="s">
        <v>13284</v>
      </c>
      <c r="I131" s="9" t="s">
        <v>13284</v>
      </c>
      <c r="J131" s="9" t="s">
        <v>13284</v>
      </c>
      <c r="K131" s="9" t="s">
        <v>13284</v>
      </c>
      <c r="L131" s="9" t="s">
        <v>13284</v>
      </c>
      <c r="M131" s="9" t="s">
        <v>13284</v>
      </c>
      <c r="N131" s="9" t="s">
        <v>13284</v>
      </c>
      <c r="O131" s="9" t="s">
        <v>13284</v>
      </c>
      <c r="P131" s="9" t="s">
        <v>13284</v>
      </c>
      <c r="Q131" s="9" t="s">
        <v>13284</v>
      </c>
      <c r="R131" s="9" t="s">
        <v>13284</v>
      </c>
      <c r="S131" s="9" t="s">
        <v>13284</v>
      </c>
      <c r="T131" s="9" t="str">
        <f ca="1">IFERROR(IF(AND(VLOOKUP(A131, 'Актуальное состояние (из общего'!A:C,3,0) = "", A131 &lt;&gt; ""), "ПРОВЕРИТЬ", VLOOKUP(A131, 'Актуальное состояние (из общего'!A:C,3,0)), "")</f>
        <v>Студент</v>
      </c>
      <c r="U131" s="9" t="s">
        <v>13284</v>
      </c>
      <c r="V131" s="9" t="s">
        <v>13284</v>
      </c>
      <c r="W131" s="9" t="s">
        <v>319</v>
      </c>
      <c r="X131" s="9" t="str">
        <f t="array" ref="X131">IFERROR(INDEX('Адреса общежитий (скрытый)'!$B$2:$B$9, MATCH(W131, 'Адреса общежитий (скрытый)'!$A$2:$A$9, 0)), "")</f>
        <v>ул. Профсоюзная, д.83, корп. 2</v>
      </c>
      <c r="Y131" s="18"/>
      <c r="Z131" s="18"/>
      <c r="AA131" s="18"/>
      <c r="AB131" s="18"/>
      <c r="AC131" s="18"/>
    </row>
    <row r="132" spans="1:29" ht="32.25" hidden="1" customHeight="1">
      <c r="A132" s="8">
        <v>2310758</v>
      </c>
      <c r="B132" s="9" t="s">
        <v>13284</v>
      </c>
      <c r="C132" s="9" t="s">
        <v>13284</v>
      </c>
      <c r="D132" s="9" t="s">
        <v>13284</v>
      </c>
      <c r="E132" s="9" t="s">
        <v>13284</v>
      </c>
      <c r="F132" s="9" t="s">
        <v>13284</v>
      </c>
      <c r="G132" s="9" t="s">
        <v>13284</v>
      </c>
      <c r="H132" s="9" t="s">
        <v>13284</v>
      </c>
      <c r="I132" s="9" t="s">
        <v>13284</v>
      </c>
      <c r="J132" s="9" t="s">
        <v>13284</v>
      </c>
      <c r="K132" s="9" t="s">
        <v>13284</v>
      </c>
      <c r="L132" s="9" t="s">
        <v>13284</v>
      </c>
      <c r="M132" s="9" t="s">
        <v>13284</v>
      </c>
      <c r="N132" s="9" t="s">
        <v>13284</v>
      </c>
      <c r="O132" s="9" t="s">
        <v>13284</v>
      </c>
      <c r="P132" s="9" t="s">
        <v>13284</v>
      </c>
      <c r="Q132" s="9" t="s">
        <v>13284</v>
      </c>
      <c r="R132" s="9" t="s">
        <v>13284</v>
      </c>
      <c r="S132" s="9" t="s">
        <v>13284</v>
      </c>
      <c r="T132" s="9" t="str">
        <f ca="1">IFERROR(IF(AND(VLOOKUP(A132, 'Актуальное состояние (из общего'!A:C,3,0) = "", A132 &lt;&gt; ""), "ПРОВЕРИТЬ", VLOOKUP(A132, 'Актуальное состояние (из общего'!A:C,3,0)), "")</f>
        <v>Студент</v>
      </c>
      <c r="U132" s="9" t="s">
        <v>13284</v>
      </c>
      <c r="V132" s="9" t="s">
        <v>13284</v>
      </c>
      <c r="W132" s="12"/>
      <c r="X132" s="9" t="str">
        <f t="array" ref="X132">IFERROR(INDEX('Адреса общежитий (скрытый)'!$B$2:$B$9, MATCH(W132, 'Адреса общежитий (скрытый)'!$A$2:$A$9, 0)), "")</f>
        <v/>
      </c>
      <c r="Y132" s="18"/>
      <c r="Z132" s="18"/>
      <c r="AA132" s="18"/>
      <c r="AB132" s="18"/>
      <c r="AC132" s="18"/>
    </row>
    <row r="133" spans="1:29" ht="32.25" customHeight="1">
      <c r="A133" s="8">
        <v>2302070</v>
      </c>
      <c r="B133" s="9" t="s">
        <v>13284</v>
      </c>
      <c r="C133" s="9" t="s">
        <v>13284</v>
      </c>
      <c r="D133" s="9" t="s">
        <v>13284</v>
      </c>
      <c r="E133" s="9" t="s">
        <v>13284</v>
      </c>
      <c r="F133" s="9" t="s">
        <v>13284</v>
      </c>
      <c r="G133" s="9" t="s">
        <v>13284</v>
      </c>
      <c r="H133" s="9" t="s">
        <v>13284</v>
      </c>
      <c r="I133" s="9" t="s">
        <v>13284</v>
      </c>
      <c r="J133" s="9" t="s">
        <v>13284</v>
      </c>
      <c r="K133" s="9" t="s">
        <v>13284</v>
      </c>
      <c r="L133" s="9" t="s">
        <v>13284</v>
      </c>
      <c r="M133" s="9" t="s">
        <v>13284</v>
      </c>
      <c r="N133" s="9" t="s">
        <v>13284</v>
      </c>
      <c r="O133" s="9" t="s">
        <v>13284</v>
      </c>
      <c r="P133" s="9" t="s">
        <v>13284</v>
      </c>
      <c r="Q133" s="9" t="s">
        <v>13284</v>
      </c>
      <c r="R133" s="9" t="s">
        <v>13284</v>
      </c>
      <c r="S133" s="9" t="s">
        <v>13284</v>
      </c>
      <c r="T133" s="9" t="str">
        <f ca="1">IFERROR(IF(AND(VLOOKUP(A133, 'Актуальное состояние (из общего'!A:C,3,0) = "", A133 &lt;&gt; ""), "ПРОВЕРИТЬ", VLOOKUP(A133, 'Актуальное состояние (из общего'!A:C,3,0)), "")</f>
        <v>Студент</v>
      </c>
      <c r="U133" s="9" t="s">
        <v>13284</v>
      </c>
      <c r="V133" s="9" t="s">
        <v>13284</v>
      </c>
      <c r="W133" s="9" t="s">
        <v>64</v>
      </c>
      <c r="X133" s="9" t="str">
        <f t="array" ref="X133">IFERROR(INDEX('Адреса общежитий (скрытый)'!$B$2:$B$9, MATCH(W133, 'Адреса общежитий (скрытый)'!$A$2:$A$9, 0)), "")</f>
        <v>проспект 60-летия Октября, д.11</v>
      </c>
      <c r="Y133" s="18"/>
      <c r="Z133" s="18"/>
      <c r="AA133" s="18"/>
      <c r="AB133" s="18"/>
      <c r="AC133" s="18"/>
    </row>
    <row r="134" spans="1:29" ht="32.25" hidden="1" customHeight="1">
      <c r="A134" s="8">
        <v>2304046</v>
      </c>
      <c r="B134" s="9" t="s">
        <v>13284</v>
      </c>
      <c r="C134" s="9" t="s">
        <v>13284</v>
      </c>
      <c r="D134" s="9" t="s">
        <v>13284</v>
      </c>
      <c r="E134" s="9" t="s">
        <v>13284</v>
      </c>
      <c r="F134" s="9" t="s">
        <v>13284</v>
      </c>
      <c r="G134" s="9" t="s">
        <v>13284</v>
      </c>
      <c r="H134" s="9" t="s">
        <v>13284</v>
      </c>
      <c r="I134" s="9" t="s">
        <v>13284</v>
      </c>
      <c r="J134" s="9" t="s">
        <v>13284</v>
      </c>
      <c r="K134" s="9" t="s">
        <v>13284</v>
      </c>
      <c r="L134" s="9" t="s">
        <v>13284</v>
      </c>
      <c r="M134" s="9" t="s">
        <v>13284</v>
      </c>
      <c r="N134" s="9" t="s">
        <v>13284</v>
      </c>
      <c r="O134" s="9" t="s">
        <v>13284</v>
      </c>
      <c r="P134" s="9" t="s">
        <v>13284</v>
      </c>
      <c r="Q134" s="9" t="s">
        <v>13284</v>
      </c>
      <c r="R134" s="9" t="s">
        <v>13284</v>
      </c>
      <c r="S134" s="9" t="s">
        <v>13284</v>
      </c>
      <c r="T134" s="9" t="str">
        <f ca="1">IFERROR(IF(AND(VLOOKUP(A134, 'Актуальное состояние (из общего'!A:C,3,0) = "", A134 &lt;&gt; ""), "ПРОВЕРИТЬ", VLOOKUP(A134, 'Актуальное состояние (из общего'!A:C,3,0)), "")</f>
        <v>Студент</v>
      </c>
      <c r="U134" s="9" t="s">
        <v>13284</v>
      </c>
      <c r="V134" s="9" t="s">
        <v>13284</v>
      </c>
      <c r="W134" s="12"/>
      <c r="X134" s="9" t="str">
        <f t="array" ref="X134">IFERROR(INDEX('Адреса общежитий (скрытый)'!$B$2:$B$9, MATCH(W134, 'Адреса общежитий (скрытый)'!$A$2:$A$9, 0)), "")</f>
        <v/>
      </c>
      <c r="Y134" s="18"/>
      <c r="Z134" s="18"/>
      <c r="AA134" s="18"/>
      <c r="AB134" s="18"/>
      <c r="AC134" s="18"/>
    </row>
    <row r="135" spans="1:29" ht="32.25" customHeight="1">
      <c r="A135" s="8">
        <v>2308350</v>
      </c>
      <c r="B135" s="9" t="s">
        <v>13284</v>
      </c>
      <c r="C135" s="9" t="s">
        <v>13284</v>
      </c>
      <c r="D135" s="9" t="s">
        <v>13284</v>
      </c>
      <c r="E135" s="9" t="s">
        <v>13284</v>
      </c>
      <c r="F135" s="9" t="s">
        <v>13284</v>
      </c>
      <c r="G135" s="9" t="s">
        <v>13284</v>
      </c>
      <c r="H135" s="9" t="s">
        <v>13284</v>
      </c>
      <c r="I135" s="9" t="s">
        <v>13284</v>
      </c>
      <c r="J135" s="9" t="s">
        <v>13284</v>
      </c>
      <c r="K135" s="9" t="s">
        <v>13284</v>
      </c>
      <c r="L135" s="9" t="s">
        <v>13284</v>
      </c>
      <c r="M135" s="9" t="s">
        <v>13284</v>
      </c>
      <c r="N135" s="9" t="s">
        <v>13284</v>
      </c>
      <c r="O135" s="9" t="s">
        <v>13284</v>
      </c>
      <c r="P135" s="9" t="s">
        <v>13284</v>
      </c>
      <c r="Q135" s="9" t="s">
        <v>13284</v>
      </c>
      <c r="R135" s="9" t="s">
        <v>13284</v>
      </c>
      <c r="S135" s="9" t="s">
        <v>13284</v>
      </c>
      <c r="T135" s="9" t="str">
        <f ca="1">IFERROR(IF(AND(VLOOKUP(A135, 'Актуальное состояние (из общего'!A:C,3,0) = "", A135 &lt;&gt; ""), "ПРОВЕРИТЬ", VLOOKUP(A135, 'Актуальное состояние (из общего'!A:C,3,0)), "")</f>
        <v>Студент</v>
      </c>
      <c r="U135" s="9" t="s">
        <v>13284</v>
      </c>
      <c r="V135" s="9" t="s">
        <v>13284</v>
      </c>
      <c r="W135" s="9" t="s">
        <v>64</v>
      </c>
      <c r="X135" s="9" t="str">
        <f t="array" ref="X135">IFERROR(INDEX('Адреса общежитий (скрытый)'!$B$2:$B$9, MATCH(W135, 'Адреса общежитий (скрытый)'!$A$2:$A$9, 0)), "")</f>
        <v>проспект 60-летия Октября, д.11</v>
      </c>
      <c r="Y135" s="18"/>
      <c r="Z135" s="18"/>
      <c r="AA135" s="18"/>
      <c r="AB135" s="18"/>
      <c r="AC135" s="18"/>
    </row>
    <row r="136" spans="1:29" ht="32.25" customHeight="1">
      <c r="A136" s="8">
        <v>2309800</v>
      </c>
      <c r="B136" s="9" t="s">
        <v>13284</v>
      </c>
      <c r="C136" s="9" t="s">
        <v>13284</v>
      </c>
      <c r="D136" s="9" t="s">
        <v>13284</v>
      </c>
      <c r="E136" s="9" t="s">
        <v>13284</v>
      </c>
      <c r="F136" s="9" t="s">
        <v>13284</v>
      </c>
      <c r="G136" s="9" t="s">
        <v>13284</v>
      </c>
      <c r="H136" s="9" t="s">
        <v>13284</v>
      </c>
      <c r="I136" s="9" t="s">
        <v>13284</v>
      </c>
      <c r="J136" s="9" t="s">
        <v>13284</v>
      </c>
      <c r="K136" s="9" t="s">
        <v>13284</v>
      </c>
      <c r="L136" s="9" t="s">
        <v>13284</v>
      </c>
      <c r="M136" s="9" t="s">
        <v>13284</v>
      </c>
      <c r="N136" s="9" t="s">
        <v>13284</v>
      </c>
      <c r="O136" s="9" t="s">
        <v>13284</v>
      </c>
      <c r="P136" s="9" t="s">
        <v>13284</v>
      </c>
      <c r="Q136" s="9" t="s">
        <v>13284</v>
      </c>
      <c r="R136" s="9" t="s">
        <v>13284</v>
      </c>
      <c r="S136" s="9" t="s">
        <v>13284</v>
      </c>
      <c r="T136" s="9" t="str">
        <f ca="1">IFERROR(IF(AND(VLOOKUP(A136, 'Актуальное состояние (из общего'!A:C,3,0) = "", A136 &lt;&gt; ""), "ПРОВЕРИТЬ", VLOOKUP(A136, 'Актуальное состояние (из общего'!A:C,3,0)), "")</f>
        <v>Студент</v>
      </c>
      <c r="U136" s="9" t="s">
        <v>13284</v>
      </c>
      <c r="V136" s="9" t="s">
        <v>13284</v>
      </c>
      <c r="W136" s="9" t="s">
        <v>64</v>
      </c>
      <c r="X136" s="9" t="str">
        <f t="array" ref="X136">IFERROR(INDEX('Адреса общежитий (скрытый)'!$B$2:$B$9, MATCH(W136, 'Адреса общежитий (скрытый)'!$A$2:$A$9, 0)), "")</f>
        <v>проспект 60-летия Октября, д.11</v>
      </c>
      <c r="Y136" s="18"/>
      <c r="Z136" s="18"/>
      <c r="AA136" s="18"/>
      <c r="AB136" s="18"/>
      <c r="AC136" s="18"/>
    </row>
    <row r="137" spans="1:29" ht="32.25" customHeight="1">
      <c r="A137" s="8">
        <v>2309029</v>
      </c>
      <c r="B137" s="9" t="s">
        <v>13284</v>
      </c>
      <c r="C137" s="9" t="s">
        <v>13284</v>
      </c>
      <c r="D137" s="9" t="s">
        <v>13284</v>
      </c>
      <c r="E137" s="9" t="s">
        <v>13284</v>
      </c>
      <c r="F137" s="9" t="s">
        <v>13284</v>
      </c>
      <c r="G137" s="9" t="s">
        <v>13284</v>
      </c>
      <c r="H137" s="9" t="s">
        <v>13284</v>
      </c>
      <c r="I137" s="9" t="s">
        <v>13284</v>
      </c>
      <c r="J137" s="9" t="s">
        <v>13284</v>
      </c>
      <c r="K137" s="9" t="s">
        <v>13284</v>
      </c>
      <c r="L137" s="9" t="s">
        <v>13284</v>
      </c>
      <c r="M137" s="9" t="s">
        <v>13284</v>
      </c>
      <c r="N137" s="9" t="s">
        <v>13284</v>
      </c>
      <c r="O137" s="9" t="s">
        <v>13284</v>
      </c>
      <c r="P137" s="9" t="s">
        <v>13284</v>
      </c>
      <c r="Q137" s="9" t="s">
        <v>13284</v>
      </c>
      <c r="R137" s="9" t="s">
        <v>13284</v>
      </c>
      <c r="S137" s="9" t="s">
        <v>13284</v>
      </c>
      <c r="T137" s="9" t="str">
        <f ca="1">IFERROR(IF(AND(VLOOKUP(A137, 'Актуальное состояние (из общего'!A:C,3,0) = "", A137 &lt;&gt; ""), "ПРОВЕРИТЬ", VLOOKUP(A137, 'Актуальное состояние (из общего'!A:C,3,0)), "")</f>
        <v>Студент</v>
      </c>
      <c r="U137" s="9" t="s">
        <v>13284</v>
      </c>
      <c r="V137" s="9" t="s">
        <v>13284</v>
      </c>
      <c r="W137" s="9" t="s">
        <v>64</v>
      </c>
      <c r="X137" s="9" t="str">
        <f t="array" ref="X137">IFERROR(INDEX('Адреса общежитий (скрытый)'!$B$2:$B$9, MATCH(W137, 'Адреса общежитий (скрытый)'!$A$2:$A$9, 0)), "")</f>
        <v>проспект 60-летия Октября, д.11</v>
      </c>
      <c r="Y137" s="18"/>
      <c r="Z137" s="18"/>
      <c r="AA137" s="18"/>
      <c r="AB137" s="18"/>
      <c r="AC137" s="18"/>
    </row>
    <row r="138" spans="1:29" ht="32.25" customHeight="1">
      <c r="A138" s="8">
        <v>2300566</v>
      </c>
      <c r="B138" s="9" t="s">
        <v>13284</v>
      </c>
      <c r="C138" s="9" t="s">
        <v>13284</v>
      </c>
      <c r="D138" s="9" t="s">
        <v>13284</v>
      </c>
      <c r="E138" s="9" t="s">
        <v>13284</v>
      </c>
      <c r="F138" s="9" t="s">
        <v>13284</v>
      </c>
      <c r="G138" s="9" t="s">
        <v>13284</v>
      </c>
      <c r="H138" s="9" t="s">
        <v>13284</v>
      </c>
      <c r="I138" s="9" t="s">
        <v>13284</v>
      </c>
      <c r="J138" s="9" t="s">
        <v>13284</v>
      </c>
      <c r="K138" s="9" t="s">
        <v>13284</v>
      </c>
      <c r="L138" s="9" t="s">
        <v>13284</v>
      </c>
      <c r="M138" s="9" t="s">
        <v>13284</v>
      </c>
      <c r="N138" s="9" t="s">
        <v>13284</v>
      </c>
      <c r="O138" s="9" t="s">
        <v>13284</v>
      </c>
      <c r="P138" s="9" t="s">
        <v>13284</v>
      </c>
      <c r="Q138" s="9" t="s">
        <v>13284</v>
      </c>
      <c r="R138" s="9" t="s">
        <v>13284</v>
      </c>
      <c r="S138" s="9" t="s">
        <v>13284</v>
      </c>
      <c r="T138" s="9" t="str">
        <f ca="1">IFERROR(IF(AND(VLOOKUP(A138, 'Актуальное состояние (из общего'!A:C,3,0) = "", A138 &lt;&gt; ""), "ПРОВЕРИТЬ", VLOOKUP(A138, 'Актуальное состояние (из общего'!A:C,3,0)), "")</f>
        <v>Студент</v>
      </c>
      <c r="U138" s="9" t="s">
        <v>13284</v>
      </c>
      <c r="V138" s="9" t="s">
        <v>13284</v>
      </c>
      <c r="W138" s="9" t="s">
        <v>196</v>
      </c>
      <c r="X138" s="9" t="str">
        <f t="array" ref="X138">IFERROR(INDEX('Адреса общежитий (скрытый)'!$B$2:$B$9, MATCH(W138, 'Адреса общежитий (скрытый)'!$A$2:$A$9, 0)), "")</f>
        <v>проспект 60-летия Октября, д.15</v>
      </c>
      <c r="Y138" s="18"/>
      <c r="Z138" s="18"/>
      <c r="AA138" s="18"/>
      <c r="AB138" s="18"/>
      <c r="AC138" s="18"/>
    </row>
    <row r="139" spans="1:29" ht="32.25" customHeight="1">
      <c r="A139" s="8">
        <v>2309921</v>
      </c>
      <c r="B139" s="9" t="s">
        <v>13284</v>
      </c>
      <c r="C139" s="9" t="s">
        <v>13284</v>
      </c>
      <c r="D139" s="9" t="s">
        <v>13284</v>
      </c>
      <c r="E139" s="9" t="s">
        <v>13284</v>
      </c>
      <c r="F139" s="9" t="s">
        <v>13284</v>
      </c>
      <c r="G139" s="9" t="s">
        <v>13284</v>
      </c>
      <c r="H139" s="9" t="s">
        <v>13284</v>
      </c>
      <c r="I139" s="9" t="s">
        <v>13284</v>
      </c>
      <c r="J139" s="9" t="s">
        <v>13284</v>
      </c>
      <c r="K139" s="9" t="s">
        <v>13284</v>
      </c>
      <c r="L139" s="9" t="s">
        <v>13284</v>
      </c>
      <c r="M139" s="9" t="s">
        <v>13284</v>
      </c>
      <c r="N139" s="9" t="s">
        <v>13284</v>
      </c>
      <c r="O139" s="9" t="s">
        <v>13284</v>
      </c>
      <c r="P139" s="9" t="s">
        <v>13284</v>
      </c>
      <c r="Q139" s="9" t="s">
        <v>13284</v>
      </c>
      <c r="R139" s="9" t="s">
        <v>13284</v>
      </c>
      <c r="S139" s="9" t="s">
        <v>13284</v>
      </c>
      <c r="T139" s="9" t="str">
        <f ca="1">IFERROR(IF(AND(VLOOKUP(A139, 'Актуальное состояние (из общего'!A:C,3,0) = "", A139 &lt;&gt; ""), "ПРОВЕРИТЬ", VLOOKUP(A139, 'Актуальное состояние (из общего'!A:C,3,0)), "")</f>
        <v>Студент</v>
      </c>
      <c r="U139" s="9" t="s">
        <v>13284</v>
      </c>
      <c r="V139" s="9" t="s">
        <v>13284</v>
      </c>
      <c r="W139" s="9" t="s">
        <v>319</v>
      </c>
      <c r="X139" s="9" t="str">
        <f t="array" ref="X139">IFERROR(INDEX('Адреса общежитий (скрытый)'!$B$2:$B$9, MATCH(W139, 'Адреса общежитий (скрытый)'!$A$2:$A$9, 0)), "")</f>
        <v>ул. Профсоюзная, д.83, корп. 2</v>
      </c>
      <c r="Y139" s="18"/>
      <c r="Z139" s="18"/>
      <c r="AA139" s="18"/>
      <c r="AB139" s="18"/>
      <c r="AC139" s="18"/>
    </row>
    <row r="140" spans="1:29" ht="32.25" hidden="1" customHeight="1">
      <c r="A140" s="8">
        <v>2312951</v>
      </c>
      <c r="B140" s="9" t="s">
        <v>13284</v>
      </c>
      <c r="C140" s="9" t="s">
        <v>13284</v>
      </c>
      <c r="D140" s="9" t="s">
        <v>13284</v>
      </c>
      <c r="E140" s="9" t="s">
        <v>13284</v>
      </c>
      <c r="F140" s="9" t="s">
        <v>13284</v>
      </c>
      <c r="G140" s="9" t="s">
        <v>13284</v>
      </c>
      <c r="H140" s="9" t="s">
        <v>13284</v>
      </c>
      <c r="I140" s="9" t="s">
        <v>13284</v>
      </c>
      <c r="J140" s="9" t="s">
        <v>13284</v>
      </c>
      <c r="K140" s="9" t="s">
        <v>13284</v>
      </c>
      <c r="L140" s="9" t="s">
        <v>13284</v>
      </c>
      <c r="M140" s="9" t="s">
        <v>13284</v>
      </c>
      <c r="N140" s="9" t="s">
        <v>13284</v>
      </c>
      <c r="O140" s="9" t="s">
        <v>13284</v>
      </c>
      <c r="P140" s="9" t="s">
        <v>13284</v>
      </c>
      <c r="Q140" s="9" t="s">
        <v>13284</v>
      </c>
      <c r="R140" s="9" t="s">
        <v>13284</v>
      </c>
      <c r="S140" s="9" t="s">
        <v>13284</v>
      </c>
      <c r="T140" s="9" t="str">
        <f ca="1">IFERROR(IF(AND(VLOOKUP(A140, 'Актуальное состояние (из общего'!A:C,3,0) = "", A140 &lt;&gt; ""), "ПРОВЕРИТЬ", VLOOKUP(A140, 'Актуальное состояние (из общего'!A:C,3,0)), "")</f>
        <v>Студент</v>
      </c>
      <c r="U140" s="9" t="s">
        <v>13284</v>
      </c>
      <c r="V140" s="9" t="s">
        <v>13284</v>
      </c>
      <c r="W140" s="12"/>
      <c r="X140" s="9" t="str">
        <f t="array" ref="X140">IFERROR(INDEX('Адреса общежитий (скрытый)'!$B$2:$B$9, MATCH(W140, 'Адреса общежитий (скрытый)'!$A$2:$A$9, 0)), "")</f>
        <v/>
      </c>
      <c r="Y140" s="18"/>
      <c r="Z140" s="18"/>
      <c r="AA140" s="18"/>
      <c r="AB140" s="18"/>
      <c r="AC140" s="18"/>
    </row>
    <row r="141" spans="1:29" ht="32.25" customHeight="1">
      <c r="A141" s="8">
        <v>2308444</v>
      </c>
      <c r="B141" s="9" t="s">
        <v>13284</v>
      </c>
      <c r="C141" s="9" t="s">
        <v>13284</v>
      </c>
      <c r="D141" s="9" t="s">
        <v>13284</v>
      </c>
      <c r="E141" s="9" t="s">
        <v>13284</v>
      </c>
      <c r="F141" s="9" t="s">
        <v>13284</v>
      </c>
      <c r="G141" s="9" t="s">
        <v>13284</v>
      </c>
      <c r="H141" s="9" t="s">
        <v>13284</v>
      </c>
      <c r="I141" s="9" t="s">
        <v>13284</v>
      </c>
      <c r="J141" s="9" t="s">
        <v>13284</v>
      </c>
      <c r="K141" s="9" t="s">
        <v>13284</v>
      </c>
      <c r="L141" s="9" t="s">
        <v>13284</v>
      </c>
      <c r="M141" s="9" t="s">
        <v>13284</v>
      </c>
      <c r="N141" s="9" t="s">
        <v>13284</v>
      </c>
      <c r="O141" s="9" t="s">
        <v>13284</v>
      </c>
      <c r="P141" s="9" t="s">
        <v>13284</v>
      </c>
      <c r="Q141" s="9" t="s">
        <v>13284</v>
      </c>
      <c r="R141" s="9" t="s">
        <v>13284</v>
      </c>
      <c r="S141" s="9" t="s">
        <v>13284</v>
      </c>
      <c r="T141" s="9" t="str">
        <f ca="1">IFERROR(IF(AND(VLOOKUP(A141, 'Актуальное состояние (из общего'!A:C,3,0) = "", A141 &lt;&gt; ""), "ПРОВЕРИТЬ", VLOOKUP(A141, 'Актуальное состояние (из общего'!A:C,3,0)), "")</f>
        <v>Студент</v>
      </c>
      <c r="U141" s="9" t="s">
        <v>13284</v>
      </c>
      <c r="V141" s="9" t="s">
        <v>13284</v>
      </c>
      <c r="W141" s="9" t="s">
        <v>64</v>
      </c>
      <c r="X141" s="9" t="str">
        <f t="array" ref="X141">IFERROR(INDEX('Адреса общежитий (скрытый)'!$B$2:$B$9, MATCH(W141, 'Адреса общежитий (скрытый)'!$A$2:$A$9, 0)), "")</f>
        <v>проспект 60-летия Октября, д.11</v>
      </c>
      <c r="Y141" s="18"/>
      <c r="Z141" s="18"/>
      <c r="AA141" s="18"/>
      <c r="AB141" s="18"/>
      <c r="AC141" s="18"/>
    </row>
    <row r="142" spans="1:29" ht="32.25" customHeight="1">
      <c r="A142" s="8">
        <v>2304767</v>
      </c>
      <c r="B142" s="9" t="s">
        <v>13284</v>
      </c>
      <c r="C142" s="9" t="s">
        <v>13284</v>
      </c>
      <c r="D142" s="9" t="s">
        <v>13284</v>
      </c>
      <c r="E142" s="9" t="s">
        <v>13284</v>
      </c>
      <c r="F142" s="9" t="s">
        <v>13284</v>
      </c>
      <c r="G142" s="9" t="s">
        <v>13284</v>
      </c>
      <c r="H142" s="9" t="s">
        <v>13284</v>
      </c>
      <c r="I142" s="9" t="s">
        <v>13284</v>
      </c>
      <c r="J142" s="9" t="s">
        <v>13284</v>
      </c>
      <c r="K142" s="9" t="s">
        <v>13284</v>
      </c>
      <c r="L142" s="9" t="s">
        <v>13284</v>
      </c>
      <c r="M142" s="9" t="s">
        <v>13284</v>
      </c>
      <c r="N142" s="9" t="s">
        <v>13284</v>
      </c>
      <c r="O142" s="9" t="s">
        <v>13284</v>
      </c>
      <c r="P142" s="9" t="s">
        <v>13284</v>
      </c>
      <c r="Q142" s="9" t="s">
        <v>13284</v>
      </c>
      <c r="R142" s="9" t="s">
        <v>13284</v>
      </c>
      <c r="S142" s="9" t="s">
        <v>13284</v>
      </c>
      <c r="T142" s="9" t="str">
        <f ca="1">IFERROR(IF(AND(VLOOKUP(A142, 'Актуальное состояние (из общего'!A:C,3,0) = "", A142 &lt;&gt; ""), "ПРОВЕРИТЬ", VLOOKUP(A142, 'Актуальное состояние (из общего'!A:C,3,0)), "")</f>
        <v>Студент</v>
      </c>
      <c r="U142" s="9" t="s">
        <v>13284</v>
      </c>
      <c r="V142" s="9" t="s">
        <v>13284</v>
      </c>
      <c r="W142" s="9" t="s">
        <v>64</v>
      </c>
      <c r="X142" s="9" t="str">
        <f t="array" ref="X142">IFERROR(INDEX('Адреса общежитий (скрытый)'!$B$2:$B$9, MATCH(W142, 'Адреса общежитий (скрытый)'!$A$2:$A$9, 0)), "")</f>
        <v>проспект 60-летия Октября, д.11</v>
      </c>
      <c r="Y142" s="18"/>
      <c r="Z142" s="18"/>
      <c r="AA142" s="18"/>
      <c r="AB142" s="18"/>
      <c r="AC142" s="18"/>
    </row>
    <row r="143" spans="1:29" ht="32.25" customHeight="1">
      <c r="A143" s="8">
        <v>2312539</v>
      </c>
      <c r="B143" s="9" t="s">
        <v>13284</v>
      </c>
      <c r="C143" s="9" t="s">
        <v>13284</v>
      </c>
      <c r="D143" s="9" t="s">
        <v>13284</v>
      </c>
      <c r="E143" s="9" t="s">
        <v>13284</v>
      </c>
      <c r="F143" s="9" t="s">
        <v>13284</v>
      </c>
      <c r="G143" s="9" t="s">
        <v>13284</v>
      </c>
      <c r="H143" s="9" t="s">
        <v>13284</v>
      </c>
      <c r="I143" s="9" t="s">
        <v>13284</v>
      </c>
      <c r="J143" s="9" t="s">
        <v>13284</v>
      </c>
      <c r="K143" s="9" t="s">
        <v>13284</v>
      </c>
      <c r="L143" s="9" t="s">
        <v>13284</v>
      </c>
      <c r="M143" s="9" t="s">
        <v>13284</v>
      </c>
      <c r="N143" s="9" t="s">
        <v>13284</v>
      </c>
      <c r="O143" s="9" t="s">
        <v>13284</v>
      </c>
      <c r="P143" s="9" t="s">
        <v>13284</v>
      </c>
      <c r="Q143" s="9" t="s">
        <v>13284</v>
      </c>
      <c r="R143" s="9" t="s">
        <v>13284</v>
      </c>
      <c r="S143" s="9" t="s">
        <v>13284</v>
      </c>
      <c r="T143" s="9" t="str">
        <f ca="1">IFERROR(IF(AND(VLOOKUP(A143, 'Актуальное состояние (из общего'!A:C,3,0) = "", A143 &lt;&gt; ""), "ПРОВЕРИТЬ", VLOOKUP(A143, 'Актуальное состояние (из общего'!A:C,3,0)), "")</f>
        <v>Студент</v>
      </c>
      <c r="U143" s="9" t="s">
        <v>13284</v>
      </c>
      <c r="V143" s="9" t="s">
        <v>13284</v>
      </c>
      <c r="W143" s="9" t="s">
        <v>64</v>
      </c>
      <c r="X143" s="9" t="str">
        <f t="array" ref="X143">IFERROR(INDEX('Адреса общежитий (скрытый)'!$B$2:$B$9, MATCH(W143, 'Адреса общежитий (скрытый)'!$A$2:$A$9, 0)), "")</f>
        <v>проспект 60-летия Октября, д.11</v>
      </c>
      <c r="Y143" s="18"/>
      <c r="Z143" s="18"/>
      <c r="AA143" s="18"/>
      <c r="AB143" s="18"/>
      <c r="AC143" s="18"/>
    </row>
    <row r="144" spans="1:29" ht="32.25" hidden="1" customHeight="1">
      <c r="A144" s="8">
        <v>2311097</v>
      </c>
      <c r="B144" s="9" t="s">
        <v>13284</v>
      </c>
      <c r="C144" s="9" t="s">
        <v>13284</v>
      </c>
      <c r="D144" s="9" t="s">
        <v>13284</v>
      </c>
      <c r="E144" s="9" t="s">
        <v>13284</v>
      </c>
      <c r="F144" s="9" t="s">
        <v>13284</v>
      </c>
      <c r="G144" s="9" t="s">
        <v>13284</v>
      </c>
      <c r="H144" s="9" t="s">
        <v>13284</v>
      </c>
      <c r="I144" s="9" t="s">
        <v>13284</v>
      </c>
      <c r="J144" s="9" t="s">
        <v>13284</v>
      </c>
      <c r="K144" s="9" t="s">
        <v>13284</v>
      </c>
      <c r="L144" s="9" t="s">
        <v>13284</v>
      </c>
      <c r="M144" s="9" t="s">
        <v>13284</v>
      </c>
      <c r="N144" s="9" t="s">
        <v>13284</v>
      </c>
      <c r="O144" s="9" t="s">
        <v>13284</v>
      </c>
      <c r="P144" s="9" t="s">
        <v>13284</v>
      </c>
      <c r="Q144" s="9" t="s">
        <v>13284</v>
      </c>
      <c r="R144" s="9" t="s">
        <v>13284</v>
      </c>
      <c r="S144" s="9" t="s">
        <v>13284</v>
      </c>
      <c r="T144" s="9" t="str">
        <f ca="1">IFERROR(IF(AND(VLOOKUP(A144, 'Актуальное состояние (из общего'!A:C,3,0) = "", A144 &lt;&gt; ""), "ПРОВЕРИТЬ", VLOOKUP(A144, 'Актуальное состояние (из общего'!A:C,3,0)), "")</f>
        <v>Студент</v>
      </c>
      <c r="U144" s="9" t="s">
        <v>13284</v>
      </c>
      <c r="V144" s="9" t="s">
        <v>13284</v>
      </c>
      <c r="W144" s="12"/>
      <c r="X144" s="9" t="str">
        <f t="array" ref="X144">IFERROR(INDEX('Адреса общежитий (скрытый)'!$B$2:$B$9, MATCH(W144, 'Адреса общежитий (скрытый)'!$A$2:$A$9, 0)), "")</f>
        <v/>
      </c>
      <c r="Y144" s="18"/>
      <c r="Z144" s="18"/>
      <c r="AA144" s="18"/>
      <c r="AB144" s="18"/>
      <c r="AC144" s="18"/>
    </row>
    <row r="145" spans="1:29" ht="32.25" hidden="1" customHeight="1">
      <c r="A145" s="8">
        <v>2302922</v>
      </c>
      <c r="B145" s="9" t="s">
        <v>13284</v>
      </c>
      <c r="C145" s="9" t="s">
        <v>13284</v>
      </c>
      <c r="D145" s="9" t="s">
        <v>13284</v>
      </c>
      <c r="E145" s="9" t="s">
        <v>13284</v>
      </c>
      <c r="F145" s="9" t="s">
        <v>13284</v>
      </c>
      <c r="G145" s="9" t="s">
        <v>13284</v>
      </c>
      <c r="H145" s="9" t="s">
        <v>13284</v>
      </c>
      <c r="I145" s="9" t="s">
        <v>13284</v>
      </c>
      <c r="J145" s="9" t="s">
        <v>13284</v>
      </c>
      <c r="K145" s="9" t="s">
        <v>13284</v>
      </c>
      <c r="L145" s="9" t="s">
        <v>13284</v>
      </c>
      <c r="M145" s="9" t="s">
        <v>13284</v>
      </c>
      <c r="N145" s="9" t="s">
        <v>13284</v>
      </c>
      <c r="O145" s="9" t="s">
        <v>13284</v>
      </c>
      <c r="P145" s="9" t="s">
        <v>13284</v>
      </c>
      <c r="Q145" s="9" t="s">
        <v>13284</v>
      </c>
      <c r="R145" s="9" t="s">
        <v>13284</v>
      </c>
      <c r="S145" s="9" t="s">
        <v>13284</v>
      </c>
      <c r="T145" s="9" t="str">
        <f ca="1">IFERROR(IF(AND(VLOOKUP(A145, 'Актуальное состояние (из общего'!A:C,3,0) = "", A145 &lt;&gt; ""), "ПРОВЕРИТЬ", VLOOKUP(A145, 'Актуальное состояние (из общего'!A:C,3,0)), "")</f>
        <v>Студент</v>
      </c>
      <c r="U145" s="9" t="s">
        <v>13284</v>
      </c>
      <c r="V145" s="9" t="s">
        <v>13284</v>
      </c>
      <c r="W145" s="12"/>
      <c r="X145" s="9" t="str">
        <f t="array" ref="X145">IFERROR(INDEX('Адреса общежитий (скрытый)'!$B$2:$B$9, MATCH(W145, 'Адреса общежитий (скрытый)'!$A$2:$A$9, 0)), "")</f>
        <v/>
      </c>
      <c r="Y145" s="18"/>
      <c r="Z145" s="18"/>
      <c r="AA145" s="18"/>
      <c r="AB145" s="18"/>
      <c r="AC145" s="18"/>
    </row>
    <row r="146" spans="1:29" ht="32.25" hidden="1" customHeight="1">
      <c r="A146" s="8">
        <v>2301187</v>
      </c>
      <c r="B146" s="9" t="s">
        <v>13284</v>
      </c>
      <c r="C146" s="9" t="s">
        <v>13284</v>
      </c>
      <c r="D146" s="9" t="s">
        <v>13284</v>
      </c>
      <c r="E146" s="9" t="s">
        <v>13284</v>
      </c>
      <c r="F146" s="9" t="s">
        <v>13284</v>
      </c>
      <c r="G146" s="9" t="s">
        <v>13284</v>
      </c>
      <c r="H146" s="9" t="s">
        <v>13284</v>
      </c>
      <c r="I146" s="9" t="s">
        <v>13284</v>
      </c>
      <c r="J146" s="9" t="s">
        <v>13284</v>
      </c>
      <c r="K146" s="9" t="s">
        <v>13284</v>
      </c>
      <c r="L146" s="9" t="s">
        <v>13284</v>
      </c>
      <c r="M146" s="9" t="s">
        <v>13284</v>
      </c>
      <c r="N146" s="9" t="s">
        <v>13284</v>
      </c>
      <c r="O146" s="9" t="s">
        <v>13284</v>
      </c>
      <c r="P146" s="9" t="s">
        <v>13284</v>
      </c>
      <c r="Q146" s="9" t="s">
        <v>13284</v>
      </c>
      <c r="R146" s="9" t="s">
        <v>13284</v>
      </c>
      <c r="S146" s="9" t="s">
        <v>13284</v>
      </c>
      <c r="T146" s="9" t="str">
        <f ca="1">IFERROR(IF(AND(VLOOKUP(A146, 'Актуальное состояние (из общего'!A:C,3,0) = "", A146 &lt;&gt; ""), "ПРОВЕРИТЬ", VLOOKUP(A146, 'Актуальное состояние (из общего'!A:C,3,0)), "")</f>
        <v>Студент</v>
      </c>
      <c r="U146" s="9" t="s">
        <v>13284</v>
      </c>
      <c r="V146" s="9" t="s">
        <v>13284</v>
      </c>
      <c r="W146" s="12"/>
      <c r="X146" s="9" t="str">
        <f t="array" ref="X146">IFERROR(INDEX('Адреса общежитий (скрытый)'!$B$2:$B$9, MATCH(W146, 'Адреса общежитий (скрытый)'!$A$2:$A$9, 0)), "")</f>
        <v/>
      </c>
      <c r="Y146" s="18"/>
      <c r="Z146" s="18"/>
      <c r="AA146" s="18"/>
      <c r="AB146" s="18"/>
      <c r="AC146" s="18"/>
    </row>
    <row r="147" spans="1:29" ht="32.25" customHeight="1">
      <c r="A147" s="8">
        <v>2305452</v>
      </c>
      <c r="B147" s="9" t="s">
        <v>13284</v>
      </c>
      <c r="C147" s="9" t="s">
        <v>13284</v>
      </c>
      <c r="D147" s="9" t="s">
        <v>13284</v>
      </c>
      <c r="E147" s="9" t="s">
        <v>13284</v>
      </c>
      <c r="F147" s="9" t="s">
        <v>13284</v>
      </c>
      <c r="G147" s="9" t="s">
        <v>13284</v>
      </c>
      <c r="H147" s="9" t="s">
        <v>13284</v>
      </c>
      <c r="I147" s="9" t="s">
        <v>13284</v>
      </c>
      <c r="J147" s="9" t="s">
        <v>13284</v>
      </c>
      <c r="K147" s="9" t="s">
        <v>13284</v>
      </c>
      <c r="L147" s="9" t="s">
        <v>13284</v>
      </c>
      <c r="M147" s="9" t="s">
        <v>13284</v>
      </c>
      <c r="N147" s="9" t="s">
        <v>13284</v>
      </c>
      <c r="O147" s="9" t="s">
        <v>13284</v>
      </c>
      <c r="P147" s="9" t="s">
        <v>13284</v>
      </c>
      <c r="Q147" s="9" t="s">
        <v>13284</v>
      </c>
      <c r="R147" s="9" t="s">
        <v>13284</v>
      </c>
      <c r="S147" s="9" t="s">
        <v>13284</v>
      </c>
      <c r="T147" s="9" t="str">
        <f ca="1">IFERROR(IF(AND(VLOOKUP(A147, 'Актуальное состояние (из общего'!A:C,3,0) = "", A147 &lt;&gt; ""), "ПРОВЕРИТЬ", VLOOKUP(A147, 'Актуальное состояние (из общего'!A:C,3,0)), "")</f>
        <v>Студент</v>
      </c>
      <c r="U147" s="9" t="s">
        <v>13284</v>
      </c>
      <c r="V147" s="9" t="s">
        <v>13284</v>
      </c>
      <c r="W147" s="9" t="s">
        <v>196</v>
      </c>
      <c r="X147" s="9" t="str">
        <f t="array" ref="X147">IFERROR(INDEX('Адреса общежитий (скрытый)'!$B$2:$B$9, MATCH(W147, 'Адреса общежитий (скрытый)'!$A$2:$A$9, 0)), "")</f>
        <v>проспект 60-летия Октября, д.15</v>
      </c>
      <c r="Y147" s="18"/>
      <c r="Z147" s="18"/>
      <c r="AA147" s="18"/>
      <c r="AB147" s="18"/>
      <c r="AC147" s="18"/>
    </row>
    <row r="148" spans="1:29" ht="32.25" hidden="1" customHeight="1">
      <c r="A148" s="8">
        <v>2301136</v>
      </c>
      <c r="B148" s="9" t="s">
        <v>13284</v>
      </c>
      <c r="C148" s="9" t="s">
        <v>13284</v>
      </c>
      <c r="D148" s="9" t="s">
        <v>13284</v>
      </c>
      <c r="E148" s="9" t="s">
        <v>13284</v>
      </c>
      <c r="F148" s="9" t="s">
        <v>13284</v>
      </c>
      <c r="G148" s="9" t="s">
        <v>13284</v>
      </c>
      <c r="H148" s="9" t="s">
        <v>13284</v>
      </c>
      <c r="I148" s="9" t="s">
        <v>13284</v>
      </c>
      <c r="J148" s="9" t="s">
        <v>13284</v>
      </c>
      <c r="K148" s="9" t="s">
        <v>13284</v>
      </c>
      <c r="L148" s="9" t="s">
        <v>13284</v>
      </c>
      <c r="M148" s="9" t="s">
        <v>13284</v>
      </c>
      <c r="N148" s="9" t="s">
        <v>13284</v>
      </c>
      <c r="O148" s="9" t="s">
        <v>13284</v>
      </c>
      <c r="P148" s="9" t="s">
        <v>13284</v>
      </c>
      <c r="Q148" s="9" t="s">
        <v>13284</v>
      </c>
      <c r="R148" s="9" t="s">
        <v>13284</v>
      </c>
      <c r="S148" s="9" t="s">
        <v>13284</v>
      </c>
      <c r="T148" s="9" t="str">
        <f ca="1">IFERROR(IF(AND(VLOOKUP(A148, 'Актуальное состояние (из общего'!A:C,3,0) = "", A148 &lt;&gt; ""), "ПРОВЕРИТЬ", VLOOKUP(A148, 'Актуальное состояние (из общего'!A:C,3,0)), "")</f>
        <v>Студент</v>
      </c>
      <c r="U148" s="9" t="s">
        <v>13284</v>
      </c>
      <c r="V148" s="9" t="s">
        <v>13284</v>
      </c>
      <c r="W148" s="12"/>
      <c r="X148" s="9" t="str">
        <f t="array" ref="X148">IFERROR(INDEX('Адреса общежитий (скрытый)'!$B$2:$B$9, MATCH(W148, 'Адреса общежитий (скрытый)'!$A$2:$A$9, 0)), "")</f>
        <v/>
      </c>
      <c r="Y148" s="18"/>
      <c r="Z148" s="18"/>
      <c r="AA148" s="18"/>
      <c r="AB148" s="18"/>
      <c r="AC148" s="18"/>
    </row>
    <row r="149" spans="1:29" ht="32.25" customHeight="1">
      <c r="A149" s="8">
        <v>2304019</v>
      </c>
      <c r="B149" s="9" t="s">
        <v>13284</v>
      </c>
      <c r="C149" s="9" t="s">
        <v>13284</v>
      </c>
      <c r="D149" s="9" t="s">
        <v>13284</v>
      </c>
      <c r="E149" s="9" t="s">
        <v>13284</v>
      </c>
      <c r="F149" s="9" t="s">
        <v>13284</v>
      </c>
      <c r="G149" s="9" t="s">
        <v>13284</v>
      </c>
      <c r="H149" s="9" t="s">
        <v>13284</v>
      </c>
      <c r="I149" s="9" t="s">
        <v>13284</v>
      </c>
      <c r="J149" s="9" t="s">
        <v>13284</v>
      </c>
      <c r="K149" s="9" t="s">
        <v>13284</v>
      </c>
      <c r="L149" s="9" t="s">
        <v>13284</v>
      </c>
      <c r="M149" s="9" t="s">
        <v>13284</v>
      </c>
      <c r="N149" s="9" t="s">
        <v>13284</v>
      </c>
      <c r="O149" s="9" t="s">
        <v>13284</v>
      </c>
      <c r="P149" s="9" t="s">
        <v>13284</v>
      </c>
      <c r="Q149" s="9" t="s">
        <v>13284</v>
      </c>
      <c r="R149" s="9" t="s">
        <v>13284</v>
      </c>
      <c r="S149" s="9" t="s">
        <v>13284</v>
      </c>
      <c r="T149" s="9" t="str">
        <f ca="1">IFERROR(IF(AND(VLOOKUP(A149, 'Актуальное состояние (из общего'!A:C,3,0) = "", A149 &lt;&gt; ""), "ПРОВЕРИТЬ", VLOOKUP(A149, 'Актуальное состояние (из общего'!A:C,3,0)), "")</f>
        <v>Студент</v>
      </c>
      <c r="U149" s="9" t="s">
        <v>13284</v>
      </c>
      <c r="V149" s="9" t="s">
        <v>13284</v>
      </c>
      <c r="W149" s="9" t="s">
        <v>64</v>
      </c>
      <c r="X149" s="9" t="str">
        <f t="array" ref="X149">IFERROR(INDEX('Адреса общежитий (скрытый)'!$B$2:$B$9, MATCH(W149, 'Адреса общежитий (скрытый)'!$A$2:$A$9, 0)), "")</f>
        <v>проспект 60-летия Октября, д.11</v>
      </c>
      <c r="Y149" s="18"/>
      <c r="Z149" s="18"/>
      <c r="AA149" s="18"/>
      <c r="AB149" s="18"/>
      <c r="AC149" s="18"/>
    </row>
    <row r="150" spans="1:29" ht="32.25" customHeight="1">
      <c r="A150" s="8">
        <v>2310393</v>
      </c>
      <c r="B150" s="9" t="s">
        <v>13284</v>
      </c>
      <c r="C150" s="9" t="s">
        <v>13284</v>
      </c>
      <c r="D150" s="9" t="s">
        <v>13284</v>
      </c>
      <c r="E150" s="9" t="s">
        <v>13284</v>
      </c>
      <c r="F150" s="9" t="s">
        <v>13284</v>
      </c>
      <c r="G150" s="9" t="s">
        <v>13284</v>
      </c>
      <c r="H150" s="9" t="s">
        <v>13284</v>
      </c>
      <c r="I150" s="9" t="s">
        <v>13284</v>
      </c>
      <c r="J150" s="9" t="s">
        <v>13284</v>
      </c>
      <c r="K150" s="9" t="s">
        <v>13284</v>
      </c>
      <c r="L150" s="9" t="s">
        <v>13284</v>
      </c>
      <c r="M150" s="9" t="s">
        <v>13284</v>
      </c>
      <c r="N150" s="9" t="s">
        <v>13284</v>
      </c>
      <c r="O150" s="9" t="s">
        <v>13284</v>
      </c>
      <c r="P150" s="9" t="s">
        <v>13284</v>
      </c>
      <c r="Q150" s="9" t="s">
        <v>13284</v>
      </c>
      <c r="R150" s="9" t="s">
        <v>13284</v>
      </c>
      <c r="S150" s="9" t="s">
        <v>13284</v>
      </c>
      <c r="T150" s="9" t="str">
        <f ca="1">IFERROR(IF(AND(VLOOKUP(A150, 'Актуальное состояние (из общего'!A:C,3,0) = "", A150 &lt;&gt; ""), "ПРОВЕРИТЬ", VLOOKUP(A150, 'Актуальное состояние (из общего'!A:C,3,0)), "")</f>
        <v>Студент</v>
      </c>
      <c r="U150" s="9" t="s">
        <v>13284</v>
      </c>
      <c r="V150" s="9" t="s">
        <v>13284</v>
      </c>
      <c r="W150" s="9" t="s">
        <v>196</v>
      </c>
      <c r="X150" s="9" t="str">
        <f t="array" ref="X150">IFERROR(INDEX('Адреса общежитий (скрытый)'!$B$2:$B$9, MATCH(W150, 'Адреса общежитий (скрытый)'!$A$2:$A$9, 0)), "")</f>
        <v>проспект 60-летия Октября, д.15</v>
      </c>
      <c r="Y150" s="18"/>
      <c r="Z150" s="18"/>
      <c r="AA150" s="18"/>
      <c r="AB150" s="18"/>
      <c r="AC150" s="18"/>
    </row>
    <row r="151" spans="1:29" ht="32.25" customHeight="1">
      <c r="A151" s="8">
        <v>2307203</v>
      </c>
      <c r="B151" s="9" t="s">
        <v>13284</v>
      </c>
      <c r="C151" s="9" t="s">
        <v>13284</v>
      </c>
      <c r="D151" s="9" t="s">
        <v>13284</v>
      </c>
      <c r="E151" s="9" t="s">
        <v>13284</v>
      </c>
      <c r="F151" s="9" t="s">
        <v>13284</v>
      </c>
      <c r="G151" s="9" t="s">
        <v>13284</v>
      </c>
      <c r="H151" s="9" t="s">
        <v>13284</v>
      </c>
      <c r="I151" s="9" t="s">
        <v>13284</v>
      </c>
      <c r="J151" s="9" t="s">
        <v>13284</v>
      </c>
      <c r="K151" s="9" t="s">
        <v>13284</v>
      </c>
      <c r="L151" s="9" t="s">
        <v>13284</v>
      </c>
      <c r="M151" s="9" t="s">
        <v>13284</v>
      </c>
      <c r="N151" s="9" t="s">
        <v>13284</v>
      </c>
      <c r="O151" s="9" t="s">
        <v>13284</v>
      </c>
      <c r="P151" s="9" t="s">
        <v>13284</v>
      </c>
      <c r="Q151" s="9" t="s">
        <v>13284</v>
      </c>
      <c r="R151" s="9" t="s">
        <v>13284</v>
      </c>
      <c r="S151" s="9" t="s">
        <v>13284</v>
      </c>
      <c r="T151" s="9" t="str">
        <f ca="1">IFERROR(IF(AND(VLOOKUP(A151, 'Актуальное состояние (из общего'!A:C,3,0) = "", A151 &lt;&gt; ""), "ПРОВЕРИТЬ", VLOOKUP(A151, 'Актуальное состояние (из общего'!A:C,3,0)), "")</f>
        <v>Студент</v>
      </c>
      <c r="U151" s="9" t="s">
        <v>13284</v>
      </c>
      <c r="V151" s="9" t="s">
        <v>13284</v>
      </c>
      <c r="W151" s="9" t="s">
        <v>64</v>
      </c>
      <c r="X151" s="9" t="str">
        <f t="array" ref="X151">IFERROR(INDEX('Адреса общежитий (скрытый)'!$B$2:$B$9, MATCH(W151, 'Адреса общежитий (скрытый)'!$A$2:$A$9, 0)), "")</f>
        <v>проспект 60-летия Октября, д.11</v>
      </c>
      <c r="Y151" s="18"/>
      <c r="Z151" s="18"/>
      <c r="AA151" s="18"/>
      <c r="AB151" s="18"/>
      <c r="AC151" s="18"/>
    </row>
    <row r="152" spans="1:29" ht="32.25" customHeight="1">
      <c r="A152" s="8">
        <v>2311791</v>
      </c>
      <c r="B152" s="9" t="s">
        <v>13284</v>
      </c>
      <c r="C152" s="9" t="s">
        <v>13284</v>
      </c>
      <c r="D152" s="9" t="s">
        <v>13284</v>
      </c>
      <c r="E152" s="9" t="s">
        <v>13284</v>
      </c>
      <c r="F152" s="9" t="s">
        <v>13284</v>
      </c>
      <c r="G152" s="9" t="s">
        <v>13284</v>
      </c>
      <c r="H152" s="9" t="s">
        <v>13284</v>
      </c>
      <c r="I152" s="9" t="s">
        <v>13284</v>
      </c>
      <c r="J152" s="9" t="s">
        <v>13284</v>
      </c>
      <c r="K152" s="9" t="s">
        <v>13284</v>
      </c>
      <c r="L152" s="9" t="s">
        <v>13284</v>
      </c>
      <c r="M152" s="9" t="s">
        <v>13284</v>
      </c>
      <c r="N152" s="9" t="s">
        <v>13284</v>
      </c>
      <c r="O152" s="9" t="s">
        <v>13284</v>
      </c>
      <c r="P152" s="9" t="s">
        <v>13284</v>
      </c>
      <c r="Q152" s="9" t="s">
        <v>13284</v>
      </c>
      <c r="R152" s="9" t="s">
        <v>13284</v>
      </c>
      <c r="S152" s="9" t="s">
        <v>13284</v>
      </c>
      <c r="T152" s="9" t="str">
        <f ca="1">IFERROR(IF(AND(VLOOKUP(A152, 'Актуальное состояние (из общего'!A:C,3,0) = "", A152 &lt;&gt; ""), "ПРОВЕРИТЬ", VLOOKUP(A152, 'Актуальное состояние (из общего'!A:C,3,0)), "")</f>
        <v>Студент</v>
      </c>
      <c r="U152" s="9" t="s">
        <v>13284</v>
      </c>
      <c r="V152" s="9" t="s">
        <v>13284</v>
      </c>
      <c r="W152" s="9" t="s">
        <v>64</v>
      </c>
      <c r="X152" s="9" t="str">
        <f t="array" ref="X152">IFERROR(INDEX('Адреса общежитий (скрытый)'!$B$2:$B$9, MATCH(W152, 'Адреса общежитий (скрытый)'!$A$2:$A$9, 0)), "")</f>
        <v>проспект 60-летия Октября, д.11</v>
      </c>
      <c r="Y152" s="18"/>
      <c r="Z152" s="18"/>
      <c r="AA152" s="18"/>
      <c r="AB152" s="18"/>
      <c r="AC152" s="18"/>
    </row>
    <row r="153" spans="1:29" ht="32.25" customHeight="1">
      <c r="A153" s="8">
        <v>2303094</v>
      </c>
      <c r="B153" s="9" t="s">
        <v>13284</v>
      </c>
      <c r="C153" s="9" t="s">
        <v>13284</v>
      </c>
      <c r="D153" s="9" t="s">
        <v>13284</v>
      </c>
      <c r="E153" s="9" t="s">
        <v>13284</v>
      </c>
      <c r="F153" s="9" t="s">
        <v>13284</v>
      </c>
      <c r="G153" s="9" t="s">
        <v>13284</v>
      </c>
      <c r="H153" s="9" t="s">
        <v>13284</v>
      </c>
      <c r="I153" s="9" t="s">
        <v>13284</v>
      </c>
      <c r="J153" s="9" t="s">
        <v>13284</v>
      </c>
      <c r="K153" s="9" t="s">
        <v>13284</v>
      </c>
      <c r="L153" s="9" t="s">
        <v>13284</v>
      </c>
      <c r="M153" s="9" t="s">
        <v>13284</v>
      </c>
      <c r="N153" s="9" t="s">
        <v>13284</v>
      </c>
      <c r="O153" s="9" t="s">
        <v>13284</v>
      </c>
      <c r="P153" s="9" t="s">
        <v>13284</v>
      </c>
      <c r="Q153" s="9" t="s">
        <v>13284</v>
      </c>
      <c r="R153" s="9" t="s">
        <v>13284</v>
      </c>
      <c r="S153" s="9" t="s">
        <v>13284</v>
      </c>
      <c r="T153" s="9" t="str">
        <f ca="1">IFERROR(IF(AND(VLOOKUP(A153, 'Актуальное состояние (из общего'!A:C,3,0) = "", A153 &lt;&gt; ""), "ПРОВЕРИТЬ", VLOOKUP(A153, 'Актуальное состояние (из общего'!A:C,3,0)), "")</f>
        <v>Студент</v>
      </c>
      <c r="U153" s="9" t="s">
        <v>13284</v>
      </c>
      <c r="V153" s="9" t="s">
        <v>13284</v>
      </c>
      <c r="W153" s="9" t="s">
        <v>196</v>
      </c>
      <c r="X153" s="9" t="str">
        <f t="array" ref="X153">IFERROR(INDEX('Адреса общежитий (скрытый)'!$B$2:$B$9, MATCH(W153, 'Адреса общежитий (скрытый)'!$A$2:$A$9, 0)), "")</f>
        <v>проспект 60-летия Октября, д.15</v>
      </c>
      <c r="Y153" s="18"/>
      <c r="Z153" s="18"/>
      <c r="AA153" s="18"/>
      <c r="AB153" s="18"/>
      <c r="AC153" s="18"/>
    </row>
    <row r="154" spans="1:29" ht="32.25" hidden="1" customHeight="1">
      <c r="A154" s="8">
        <v>2311965</v>
      </c>
      <c r="B154" s="9" t="s">
        <v>13284</v>
      </c>
      <c r="C154" s="9" t="s">
        <v>13284</v>
      </c>
      <c r="D154" s="9" t="s">
        <v>13284</v>
      </c>
      <c r="E154" s="9" t="s">
        <v>13284</v>
      </c>
      <c r="F154" s="9" t="s">
        <v>13284</v>
      </c>
      <c r="G154" s="9" t="s">
        <v>13284</v>
      </c>
      <c r="H154" s="9" t="s">
        <v>13284</v>
      </c>
      <c r="I154" s="9" t="s">
        <v>13284</v>
      </c>
      <c r="J154" s="9" t="s">
        <v>13284</v>
      </c>
      <c r="K154" s="9" t="s">
        <v>13284</v>
      </c>
      <c r="L154" s="9" t="s">
        <v>13284</v>
      </c>
      <c r="M154" s="9" t="s">
        <v>13284</v>
      </c>
      <c r="N154" s="9" t="s">
        <v>13284</v>
      </c>
      <c r="O154" s="9" t="s">
        <v>13284</v>
      </c>
      <c r="P154" s="9" t="s">
        <v>13284</v>
      </c>
      <c r="Q154" s="9" t="s">
        <v>13284</v>
      </c>
      <c r="R154" s="9" t="s">
        <v>13284</v>
      </c>
      <c r="S154" s="9" t="s">
        <v>13284</v>
      </c>
      <c r="T154" s="9" t="str">
        <f ca="1">IFERROR(IF(AND(VLOOKUP(A154, 'Актуальное состояние (из общего'!A:C,3,0) = "", A154 &lt;&gt; ""), "ПРОВЕРИТЬ", VLOOKUP(A154, 'Актуальное состояние (из общего'!A:C,3,0)), "")</f>
        <v>Студент</v>
      </c>
      <c r="U154" s="9" t="s">
        <v>13284</v>
      </c>
      <c r="V154" s="9" t="s">
        <v>13284</v>
      </c>
      <c r="W154" s="12"/>
      <c r="X154" s="9" t="str">
        <f t="array" ref="X154">IFERROR(INDEX('Адреса общежитий (скрытый)'!$B$2:$B$9, MATCH(W154, 'Адреса общежитий (скрытый)'!$A$2:$A$9, 0)), "")</f>
        <v/>
      </c>
      <c r="Y154" s="18"/>
      <c r="Z154" s="18"/>
      <c r="AA154" s="18"/>
      <c r="AB154" s="18"/>
      <c r="AC154" s="18"/>
    </row>
    <row r="155" spans="1:29" ht="32.25" hidden="1" customHeight="1">
      <c r="A155" s="8">
        <v>2302618</v>
      </c>
      <c r="B155" s="9" t="s">
        <v>13284</v>
      </c>
      <c r="C155" s="9" t="s">
        <v>13284</v>
      </c>
      <c r="D155" s="9" t="s">
        <v>13284</v>
      </c>
      <c r="E155" s="9" t="s">
        <v>13284</v>
      </c>
      <c r="F155" s="9" t="s">
        <v>13284</v>
      </c>
      <c r="G155" s="9" t="s">
        <v>13284</v>
      </c>
      <c r="H155" s="9" t="s">
        <v>13284</v>
      </c>
      <c r="I155" s="9" t="s">
        <v>13284</v>
      </c>
      <c r="J155" s="9" t="s">
        <v>13284</v>
      </c>
      <c r="K155" s="9" t="s">
        <v>13284</v>
      </c>
      <c r="L155" s="9" t="s">
        <v>13284</v>
      </c>
      <c r="M155" s="9" t="s">
        <v>13284</v>
      </c>
      <c r="N155" s="9" t="s">
        <v>13284</v>
      </c>
      <c r="O155" s="9" t="s">
        <v>13284</v>
      </c>
      <c r="P155" s="9" t="s">
        <v>13284</v>
      </c>
      <c r="Q155" s="9" t="s">
        <v>13284</v>
      </c>
      <c r="R155" s="9" t="s">
        <v>13284</v>
      </c>
      <c r="S155" s="9" t="s">
        <v>13284</v>
      </c>
      <c r="T155" s="9" t="str">
        <f ca="1">IFERROR(IF(AND(VLOOKUP(A155, 'Актуальное состояние (из общего'!A:C,3,0) = "", A155 &lt;&gt; ""), "ПРОВЕРИТЬ", VLOOKUP(A155, 'Актуальное состояние (из общего'!A:C,3,0)), "")</f>
        <v>Студент</v>
      </c>
      <c r="U155" s="9" t="s">
        <v>13284</v>
      </c>
      <c r="V155" s="9" t="s">
        <v>13284</v>
      </c>
      <c r="W155" s="12"/>
      <c r="X155" s="9" t="str">
        <f t="array" ref="X155">IFERROR(INDEX('Адреса общежитий (скрытый)'!$B$2:$B$9, MATCH(W155, 'Адреса общежитий (скрытый)'!$A$2:$A$9, 0)), "")</f>
        <v/>
      </c>
      <c r="Y155" s="18"/>
      <c r="Z155" s="18"/>
      <c r="AA155" s="18"/>
      <c r="AB155" s="18"/>
      <c r="AC155" s="18"/>
    </row>
    <row r="156" spans="1:29" ht="32.25" hidden="1" customHeight="1">
      <c r="A156" s="8">
        <v>2304159</v>
      </c>
      <c r="B156" s="9" t="s">
        <v>13284</v>
      </c>
      <c r="C156" s="9" t="s">
        <v>13284</v>
      </c>
      <c r="D156" s="9" t="s">
        <v>13284</v>
      </c>
      <c r="E156" s="9" t="s">
        <v>13284</v>
      </c>
      <c r="F156" s="9" t="s">
        <v>13284</v>
      </c>
      <c r="G156" s="9" t="s">
        <v>13284</v>
      </c>
      <c r="H156" s="9" t="s">
        <v>13284</v>
      </c>
      <c r="I156" s="9" t="s">
        <v>13284</v>
      </c>
      <c r="J156" s="9" t="s">
        <v>13284</v>
      </c>
      <c r="K156" s="9" t="s">
        <v>13284</v>
      </c>
      <c r="L156" s="9" t="s">
        <v>13284</v>
      </c>
      <c r="M156" s="9" t="s">
        <v>13284</v>
      </c>
      <c r="N156" s="9" t="s">
        <v>13284</v>
      </c>
      <c r="O156" s="9" t="s">
        <v>13284</v>
      </c>
      <c r="P156" s="9" t="s">
        <v>13284</v>
      </c>
      <c r="Q156" s="9" t="s">
        <v>13284</v>
      </c>
      <c r="R156" s="9" t="s">
        <v>13284</v>
      </c>
      <c r="S156" s="9" t="s">
        <v>13284</v>
      </c>
      <c r="T156" s="9" t="str">
        <f ca="1">IFERROR(IF(AND(VLOOKUP(A156, 'Актуальное состояние (из общего'!A:C,3,0) = "", A156 &lt;&gt; ""), "ПРОВЕРИТЬ", VLOOKUP(A156, 'Актуальное состояние (из общего'!A:C,3,0)), "")</f>
        <v>Студент</v>
      </c>
      <c r="U156" s="9" t="s">
        <v>13284</v>
      </c>
      <c r="V156" s="9" t="s">
        <v>13284</v>
      </c>
      <c r="W156" s="12"/>
      <c r="X156" s="9" t="str">
        <f t="array" ref="X156">IFERROR(INDEX('Адреса общежитий (скрытый)'!$B$2:$B$9, MATCH(W156, 'Адреса общежитий (скрытый)'!$A$2:$A$9, 0)), "")</f>
        <v/>
      </c>
      <c r="Y156" s="18"/>
      <c r="Z156" s="18"/>
      <c r="AA156" s="18"/>
      <c r="AB156" s="18"/>
      <c r="AC156" s="18"/>
    </row>
    <row r="157" spans="1:29" ht="32.25" customHeight="1">
      <c r="A157" s="8">
        <v>2303462</v>
      </c>
      <c r="B157" s="9" t="s">
        <v>13284</v>
      </c>
      <c r="C157" s="9" t="s">
        <v>13284</v>
      </c>
      <c r="D157" s="9" t="s">
        <v>13284</v>
      </c>
      <c r="E157" s="9" t="s">
        <v>13284</v>
      </c>
      <c r="F157" s="9" t="s">
        <v>13284</v>
      </c>
      <c r="G157" s="9" t="s">
        <v>13284</v>
      </c>
      <c r="H157" s="9" t="s">
        <v>13284</v>
      </c>
      <c r="I157" s="9" t="s">
        <v>13284</v>
      </c>
      <c r="J157" s="9" t="s">
        <v>13284</v>
      </c>
      <c r="K157" s="9" t="s">
        <v>13284</v>
      </c>
      <c r="L157" s="9" t="s">
        <v>13284</v>
      </c>
      <c r="M157" s="9" t="s">
        <v>13284</v>
      </c>
      <c r="N157" s="9" t="s">
        <v>13284</v>
      </c>
      <c r="O157" s="9" t="s">
        <v>13284</v>
      </c>
      <c r="P157" s="9" t="s">
        <v>13284</v>
      </c>
      <c r="Q157" s="9" t="s">
        <v>13284</v>
      </c>
      <c r="R157" s="9" t="s">
        <v>13284</v>
      </c>
      <c r="S157" s="9" t="s">
        <v>13284</v>
      </c>
      <c r="T157" s="9" t="str">
        <f ca="1">IFERROR(IF(AND(VLOOKUP(A157, 'Актуальное состояние (из общего'!A:C,3,0) = "", A157 &lt;&gt; ""), "ПРОВЕРИТЬ", VLOOKUP(A157, 'Актуальное состояние (из общего'!A:C,3,0)), "")</f>
        <v>Студент</v>
      </c>
      <c r="U157" s="9" t="s">
        <v>13284</v>
      </c>
      <c r="V157" s="9" t="s">
        <v>13284</v>
      </c>
      <c r="W157" s="12"/>
      <c r="X157" s="9" t="str">
        <f t="array" ref="X157">IFERROR(INDEX('Адреса общежитий (скрытый)'!$B$2:$B$9, MATCH(W157, 'Адреса общежитий (скрытый)'!$A$2:$A$9, 0)), "")</f>
        <v/>
      </c>
      <c r="Y157" s="18"/>
      <c r="Z157" s="18"/>
      <c r="AA157" s="18"/>
      <c r="AB157" s="18"/>
      <c r="AC157" s="18"/>
    </row>
    <row r="158" spans="1:29" ht="32.25" customHeight="1">
      <c r="A158" s="8">
        <v>2305706</v>
      </c>
      <c r="B158" s="9" t="s">
        <v>13284</v>
      </c>
      <c r="C158" s="9" t="s">
        <v>13284</v>
      </c>
      <c r="D158" s="9" t="s">
        <v>13284</v>
      </c>
      <c r="E158" s="9" t="s">
        <v>13284</v>
      </c>
      <c r="F158" s="9" t="s">
        <v>13284</v>
      </c>
      <c r="G158" s="9" t="s">
        <v>13284</v>
      </c>
      <c r="H158" s="9" t="s">
        <v>13284</v>
      </c>
      <c r="I158" s="9" t="s">
        <v>13284</v>
      </c>
      <c r="J158" s="9" t="s">
        <v>13284</v>
      </c>
      <c r="K158" s="9" t="s">
        <v>13284</v>
      </c>
      <c r="L158" s="9" t="s">
        <v>13284</v>
      </c>
      <c r="M158" s="9" t="s">
        <v>13284</v>
      </c>
      <c r="N158" s="9" t="s">
        <v>13284</v>
      </c>
      <c r="O158" s="9" t="s">
        <v>13284</v>
      </c>
      <c r="P158" s="9" t="s">
        <v>13284</v>
      </c>
      <c r="Q158" s="9" t="s">
        <v>13284</v>
      </c>
      <c r="R158" s="9" t="s">
        <v>13284</v>
      </c>
      <c r="S158" s="9" t="s">
        <v>13284</v>
      </c>
      <c r="T158" s="9" t="str">
        <f ca="1">IFERROR(IF(AND(VLOOKUP(A158, 'Актуальное состояние (из общего'!A:C,3,0) = "", A158 &lt;&gt; ""), "ПРОВЕРИТЬ", VLOOKUP(A158, 'Актуальное состояние (из общего'!A:C,3,0)), "")</f>
        <v>Студент</v>
      </c>
      <c r="U158" s="9" t="s">
        <v>13284</v>
      </c>
      <c r="V158" s="9" t="s">
        <v>13284</v>
      </c>
      <c r="W158" s="12"/>
      <c r="X158" s="9" t="str">
        <f t="array" ref="X158">IFERROR(INDEX('Адреса общежитий (скрытый)'!$B$2:$B$9, MATCH(W158, 'Адреса общежитий (скрытый)'!$A$2:$A$9, 0)), "")</f>
        <v/>
      </c>
      <c r="Y158" s="18"/>
      <c r="Z158" s="18"/>
      <c r="AA158" s="18"/>
      <c r="AB158" s="18"/>
      <c r="AC158" s="18"/>
    </row>
    <row r="159" spans="1:29" ht="32.25" customHeight="1">
      <c r="A159" s="8">
        <v>2309720</v>
      </c>
      <c r="B159" s="9" t="s">
        <v>13284</v>
      </c>
      <c r="C159" s="9" t="s">
        <v>13284</v>
      </c>
      <c r="D159" s="9" t="s">
        <v>13284</v>
      </c>
      <c r="E159" s="9" t="s">
        <v>13284</v>
      </c>
      <c r="F159" s="9" t="s">
        <v>13284</v>
      </c>
      <c r="G159" s="9" t="s">
        <v>13284</v>
      </c>
      <c r="H159" s="9" t="s">
        <v>13284</v>
      </c>
      <c r="I159" s="9" t="s">
        <v>13284</v>
      </c>
      <c r="J159" s="9" t="s">
        <v>13284</v>
      </c>
      <c r="K159" s="9" t="s">
        <v>13284</v>
      </c>
      <c r="L159" s="9" t="s">
        <v>13284</v>
      </c>
      <c r="M159" s="9" t="s">
        <v>13284</v>
      </c>
      <c r="N159" s="9" t="s">
        <v>13284</v>
      </c>
      <c r="O159" s="9" t="s">
        <v>13284</v>
      </c>
      <c r="P159" s="9" t="s">
        <v>13284</v>
      </c>
      <c r="Q159" s="9" t="s">
        <v>13284</v>
      </c>
      <c r="R159" s="9" t="s">
        <v>13284</v>
      </c>
      <c r="S159" s="9" t="s">
        <v>13284</v>
      </c>
      <c r="T159" s="9" t="str">
        <f ca="1">IFERROR(IF(AND(VLOOKUP(A159, 'Актуальное состояние (из общего'!A:C,3,0) = "", A159 &lt;&gt; ""), "ПРОВЕРИТЬ", VLOOKUP(A159, 'Актуальное состояние (из общего'!A:C,3,0)), "")</f>
        <v>Студент</v>
      </c>
      <c r="U159" s="9" t="s">
        <v>13284</v>
      </c>
      <c r="V159" s="9" t="s">
        <v>13284</v>
      </c>
      <c r="W159" s="9" t="s">
        <v>64</v>
      </c>
      <c r="X159" s="9" t="str">
        <f t="array" ref="X159">IFERROR(INDEX('Адреса общежитий (скрытый)'!$B$2:$B$9, MATCH(W159, 'Адреса общежитий (скрытый)'!$A$2:$A$9, 0)), "")</f>
        <v>проспект 60-летия Октября, д.11</v>
      </c>
      <c r="Y159" s="18"/>
      <c r="Z159" s="18"/>
      <c r="AA159" s="18"/>
      <c r="AB159" s="18"/>
      <c r="AC159" s="18"/>
    </row>
    <row r="160" spans="1:29" ht="32.25" customHeight="1">
      <c r="A160" s="8">
        <v>2305587</v>
      </c>
      <c r="B160" s="9" t="s">
        <v>13284</v>
      </c>
      <c r="C160" s="9" t="s">
        <v>13284</v>
      </c>
      <c r="D160" s="9" t="s">
        <v>13284</v>
      </c>
      <c r="E160" s="9" t="s">
        <v>13284</v>
      </c>
      <c r="F160" s="9" t="s">
        <v>13284</v>
      </c>
      <c r="G160" s="9" t="s">
        <v>13284</v>
      </c>
      <c r="H160" s="9" t="s">
        <v>13284</v>
      </c>
      <c r="I160" s="9" t="s">
        <v>13284</v>
      </c>
      <c r="J160" s="9" t="s">
        <v>13284</v>
      </c>
      <c r="K160" s="9" t="s">
        <v>13284</v>
      </c>
      <c r="L160" s="9" t="s">
        <v>13284</v>
      </c>
      <c r="M160" s="9" t="s">
        <v>13284</v>
      </c>
      <c r="N160" s="9" t="s">
        <v>13284</v>
      </c>
      <c r="O160" s="9" t="s">
        <v>13284</v>
      </c>
      <c r="P160" s="9" t="s">
        <v>13284</v>
      </c>
      <c r="Q160" s="9" t="s">
        <v>13284</v>
      </c>
      <c r="R160" s="9" t="s">
        <v>13284</v>
      </c>
      <c r="S160" s="9" t="s">
        <v>13284</v>
      </c>
      <c r="T160" s="9" t="str">
        <f ca="1">IFERROR(IF(AND(VLOOKUP(A160, 'Актуальное состояние (из общего'!A:C,3,0) = "", A160 &lt;&gt; ""), "ПРОВЕРИТЬ", VLOOKUP(A160, 'Актуальное состояние (из общего'!A:C,3,0)), "")</f>
        <v>Студент</v>
      </c>
      <c r="U160" s="9" t="s">
        <v>13284</v>
      </c>
      <c r="V160" s="9" t="s">
        <v>13284</v>
      </c>
      <c r="W160" s="12"/>
      <c r="X160" s="9" t="str">
        <f t="array" ref="X160">IFERROR(INDEX('Адреса общежитий (скрытый)'!$B$2:$B$9, MATCH(W160, 'Адреса общежитий (скрытый)'!$A$2:$A$9, 0)), "")</f>
        <v/>
      </c>
      <c r="Y160" s="18"/>
      <c r="Z160" s="18"/>
      <c r="AA160" s="18"/>
      <c r="AB160" s="18"/>
      <c r="AC160" s="18"/>
    </row>
    <row r="161" spans="1:29" ht="32.25" customHeight="1">
      <c r="A161" s="8">
        <v>2308364</v>
      </c>
      <c r="B161" s="9" t="s">
        <v>13284</v>
      </c>
      <c r="C161" s="9" t="s">
        <v>13284</v>
      </c>
      <c r="D161" s="9" t="s">
        <v>13284</v>
      </c>
      <c r="E161" s="9" t="s">
        <v>13284</v>
      </c>
      <c r="F161" s="9" t="s">
        <v>13284</v>
      </c>
      <c r="G161" s="9" t="s">
        <v>13284</v>
      </c>
      <c r="H161" s="9" t="s">
        <v>13284</v>
      </c>
      <c r="I161" s="9" t="s">
        <v>13284</v>
      </c>
      <c r="J161" s="9" t="s">
        <v>13284</v>
      </c>
      <c r="K161" s="9" t="s">
        <v>13284</v>
      </c>
      <c r="L161" s="9" t="s">
        <v>13284</v>
      </c>
      <c r="M161" s="9" t="s">
        <v>13284</v>
      </c>
      <c r="N161" s="9" t="s">
        <v>13284</v>
      </c>
      <c r="O161" s="9" t="s">
        <v>13284</v>
      </c>
      <c r="P161" s="9" t="s">
        <v>13284</v>
      </c>
      <c r="Q161" s="9" t="s">
        <v>13284</v>
      </c>
      <c r="R161" s="9" t="s">
        <v>13284</v>
      </c>
      <c r="S161" s="9" t="s">
        <v>13284</v>
      </c>
      <c r="T161" s="9" t="str">
        <f ca="1">IFERROR(IF(AND(VLOOKUP(A161, 'Актуальное состояние (из общего'!A:C,3,0) = "", A161 &lt;&gt; ""), "ПРОВЕРИТЬ", VLOOKUP(A161, 'Актуальное состояние (из общего'!A:C,3,0)), "")</f>
        <v>Студент</v>
      </c>
      <c r="U161" s="9" t="s">
        <v>13284</v>
      </c>
      <c r="V161" s="9" t="s">
        <v>13284</v>
      </c>
      <c r="W161" s="9" t="s">
        <v>64</v>
      </c>
      <c r="X161" s="9" t="str">
        <f t="array" ref="X161">IFERROR(INDEX('Адреса общежитий (скрытый)'!$B$2:$B$9, MATCH(W161, 'Адреса общежитий (скрытый)'!$A$2:$A$9, 0)), "")</f>
        <v>проспект 60-летия Октября, д.11</v>
      </c>
      <c r="Y161" s="18"/>
      <c r="Z161" s="18"/>
      <c r="AA161" s="18"/>
      <c r="AB161" s="18"/>
      <c r="AC161" s="18"/>
    </row>
    <row r="162" spans="1:29" ht="32.25" customHeight="1">
      <c r="A162" s="8">
        <v>2303435</v>
      </c>
      <c r="B162" s="9" t="s">
        <v>13284</v>
      </c>
      <c r="C162" s="9" t="s">
        <v>13284</v>
      </c>
      <c r="D162" s="9" t="s">
        <v>13284</v>
      </c>
      <c r="E162" s="9" t="s">
        <v>13284</v>
      </c>
      <c r="F162" s="9" t="s">
        <v>13284</v>
      </c>
      <c r="G162" s="9" t="s">
        <v>13284</v>
      </c>
      <c r="H162" s="9" t="s">
        <v>13284</v>
      </c>
      <c r="I162" s="9" t="s">
        <v>13284</v>
      </c>
      <c r="J162" s="9" t="s">
        <v>13284</v>
      </c>
      <c r="K162" s="9" t="s">
        <v>13284</v>
      </c>
      <c r="L162" s="9" t="s">
        <v>13284</v>
      </c>
      <c r="M162" s="9" t="s">
        <v>13284</v>
      </c>
      <c r="N162" s="9" t="s">
        <v>13284</v>
      </c>
      <c r="O162" s="9" t="s">
        <v>13284</v>
      </c>
      <c r="P162" s="9" t="s">
        <v>13284</v>
      </c>
      <c r="Q162" s="9" t="s">
        <v>13284</v>
      </c>
      <c r="R162" s="9" t="s">
        <v>13284</v>
      </c>
      <c r="S162" s="9" t="s">
        <v>13284</v>
      </c>
      <c r="T162" s="9" t="str">
        <f ca="1">IFERROR(IF(AND(VLOOKUP(A162, 'Актуальное состояние (из общего'!A:C,3,0) = "", A162 &lt;&gt; ""), "ПРОВЕРИТЬ", VLOOKUP(A162, 'Актуальное состояние (из общего'!A:C,3,0)), "")</f>
        <v>Студент</v>
      </c>
      <c r="U162" s="9" t="s">
        <v>13284</v>
      </c>
      <c r="V162" s="9" t="s">
        <v>13284</v>
      </c>
      <c r="W162" s="12"/>
      <c r="X162" s="9" t="str">
        <f t="array" ref="X162">IFERROR(INDEX('Адреса общежитий (скрытый)'!$B$2:$B$9, MATCH(W162, 'Адреса общежитий (скрытый)'!$A$2:$A$9, 0)), "")</f>
        <v/>
      </c>
      <c r="Y162" s="18"/>
      <c r="Z162" s="18"/>
      <c r="AA162" s="18"/>
      <c r="AB162" s="18"/>
      <c r="AC162" s="18"/>
    </row>
    <row r="163" spans="1:29" ht="32.25" hidden="1" customHeight="1">
      <c r="A163" s="8">
        <v>2310534</v>
      </c>
      <c r="B163" s="9" t="s">
        <v>13284</v>
      </c>
      <c r="C163" s="9" t="s">
        <v>13284</v>
      </c>
      <c r="D163" s="9" t="s">
        <v>13284</v>
      </c>
      <c r="E163" s="9" t="s">
        <v>13284</v>
      </c>
      <c r="F163" s="9" t="s">
        <v>13284</v>
      </c>
      <c r="G163" s="9" t="s">
        <v>13284</v>
      </c>
      <c r="H163" s="9" t="s">
        <v>13284</v>
      </c>
      <c r="I163" s="9" t="s">
        <v>13284</v>
      </c>
      <c r="J163" s="9" t="s">
        <v>13284</v>
      </c>
      <c r="K163" s="9" t="s">
        <v>13284</v>
      </c>
      <c r="L163" s="9" t="s">
        <v>13284</v>
      </c>
      <c r="M163" s="9" t="s">
        <v>13284</v>
      </c>
      <c r="N163" s="9" t="s">
        <v>13284</v>
      </c>
      <c r="O163" s="9" t="s">
        <v>13284</v>
      </c>
      <c r="P163" s="9" t="s">
        <v>13284</v>
      </c>
      <c r="Q163" s="9" t="s">
        <v>13284</v>
      </c>
      <c r="R163" s="9" t="s">
        <v>13284</v>
      </c>
      <c r="S163" s="9" t="s">
        <v>13284</v>
      </c>
      <c r="T163" s="9" t="str">
        <f ca="1">IFERROR(IF(AND(VLOOKUP(A163, 'Актуальное состояние (из общего'!A:C,3,0) = "", A163 &lt;&gt; ""), "ПРОВЕРИТЬ", VLOOKUP(A163, 'Актуальное состояние (из общего'!A:C,3,0)), "")</f>
        <v>Студент</v>
      </c>
      <c r="U163" s="9" t="s">
        <v>13284</v>
      </c>
      <c r="V163" s="9" t="s">
        <v>13284</v>
      </c>
      <c r="W163" s="12"/>
      <c r="X163" s="9" t="str">
        <f t="array" ref="X163">IFERROR(INDEX('Адреса общежитий (скрытый)'!$B$2:$B$9, MATCH(W163, 'Адреса общежитий (скрытый)'!$A$2:$A$9, 0)), "")</f>
        <v/>
      </c>
      <c r="Y163" s="18"/>
      <c r="Z163" s="18"/>
      <c r="AA163" s="18"/>
      <c r="AB163" s="18"/>
      <c r="AC163" s="18"/>
    </row>
    <row r="164" spans="1:29" ht="32.25" hidden="1" customHeight="1">
      <c r="A164" s="8">
        <v>2301186</v>
      </c>
      <c r="B164" s="9" t="s">
        <v>13284</v>
      </c>
      <c r="C164" s="9" t="s">
        <v>13284</v>
      </c>
      <c r="D164" s="9" t="s">
        <v>13284</v>
      </c>
      <c r="E164" s="9" t="s">
        <v>13284</v>
      </c>
      <c r="F164" s="9" t="s">
        <v>13284</v>
      </c>
      <c r="G164" s="9" t="s">
        <v>13284</v>
      </c>
      <c r="H164" s="9" t="s">
        <v>13284</v>
      </c>
      <c r="I164" s="9" t="s">
        <v>13284</v>
      </c>
      <c r="J164" s="9" t="s">
        <v>13284</v>
      </c>
      <c r="K164" s="9" t="s">
        <v>13284</v>
      </c>
      <c r="L164" s="9" t="s">
        <v>13284</v>
      </c>
      <c r="M164" s="9" t="s">
        <v>13284</v>
      </c>
      <c r="N164" s="9" t="s">
        <v>13284</v>
      </c>
      <c r="O164" s="9" t="s">
        <v>13284</v>
      </c>
      <c r="P164" s="9" t="s">
        <v>13284</v>
      </c>
      <c r="Q164" s="9" t="s">
        <v>13284</v>
      </c>
      <c r="R164" s="9" t="s">
        <v>13284</v>
      </c>
      <c r="S164" s="9" t="s">
        <v>13284</v>
      </c>
      <c r="T164" s="9" t="str">
        <f ca="1">IFERROR(IF(AND(VLOOKUP(A164, 'Актуальное состояние (из общего'!A:C,3,0) = "", A164 &lt;&gt; ""), "ПРОВЕРИТЬ", VLOOKUP(A164, 'Актуальное состояние (из общего'!A:C,3,0)), "")</f>
        <v>Студент</v>
      </c>
      <c r="U164" s="9" t="s">
        <v>13284</v>
      </c>
      <c r="V164" s="9" t="s">
        <v>13284</v>
      </c>
      <c r="W164" s="12"/>
      <c r="X164" s="9" t="str">
        <f t="array" ref="X164">IFERROR(INDEX('Адреса общежитий (скрытый)'!$B$2:$B$9, MATCH(W164, 'Адреса общежитий (скрытый)'!$A$2:$A$9, 0)), "")</f>
        <v/>
      </c>
      <c r="Y164" s="18"/>
      <c r="Z164" s="18"/>
      <c r="AA164" s="18"/>
      <c r="AB164" s="18"/>
      <c r="AC164" s="18"/>
    </row>
    <row r="165" spans="1:29" ht="32.25" hidden="1" customHeight="1">
      <c r="A165" s="8">
        <v>2306429</v>
      </c>
      <c r="B165" s="9" t="s">
        <v>13284</v>
      </c>
      <c r="C165" s="9" t="s">
        <v>13284</v>
      </c>
      <c r="D165" s="9" t="s">
        <v>13284</v>
      </c>
      <c r="E165" s="9" t="s">
        <v>13284</v>
      </c>
      <c r="F165" s="9" t="s">
        <v>13284</v>
      </c>
      <c r="G165" s="9" t="s">
        <v>13284</v>
      </c>
      <c r="H165" s="9" t="s">
        <v>13284</v>
      </c>
      <c r="I165" s="9" t="s">
        <v>13284</v>
      </c>
      <c r="J165" s="9" t="s">
        <v>13284</v>
      </c>
      <c r="K165" s="9" t="s">
        <v>13284</v>
      </c>
      <c r="L165" s="9" t="s">
        <v>13284</v>
      </c>
      <c r="M165" s="9" t="s">
        <v>13284</v>
      </c>
      <c r="N165" s="9" t="s">
        <v>13284</v>
      </c>
      <c r="O165" s="9" t="s">
        <v>13284</v>
      </c>
      <c r="P165" s="9" t="s">
        <v>13284</v>
      </c>
      <c r="Q165" s="9" t="s">
        <v>13284</v>
      </c>
      <c r="R165" s="9" t="s">
        <v>13284</v>
      </c>
      <c r="S165" s="9" t="s">
        <v>13284</v>
      </c>
      <c r="T165" s="9" t="str">
        <f ca="1">IFERROR(IF(AND(VLOOKUP(A165, 'Актуальное состояние (из общего'!A:C,3,0) = "", A165 &lt;&gt; ""), "ПРОВЕРИТЬ", VLOOKUP(A165, 'Актуальное состояние (из общего'!A:C,3,0)), "")</f>
        <v>Студент</v>
      </c>
      <c r="U165" s="9" t="s">
        <v>13284</v>
      </c>
      <c r="V165" s="9" t="s">
        <v>13284</v>
      </c>
      <c r="W165" s="12"/>
      <c r="X165" s="9" t="str">
        <f t="array" ref="X165">IFERROR(INDEX('Адреса общежитий (скрытый)'!$B$2:$B$9, MATCH(W165, 'Адреса общежитий (скрытый)'!$A$2:$A$9, 0)), "")</f>
        <v/>
      </c>
      <c r="Y165" s="18"/>
      <c r="Z165" s="18"/>
      <c r="AA165" s="18"/>
      <c r="AB165" s="18"/>
      <c r="AC165" s="18"/>
    </row>
    <row r="166" spans="1:29" ht="32.25" customHeight="1">
      <c r="A166" s="8">
        <v>2306363</v>
      </c>
      <c r="B166" s="9" t="s">
        <v>13284</v>
      </c>
      <c r="C166" s="9" t="s">
        <v>13284</v>
      </c>
      <c r="D166" s="9" t="s">
        <v>13284</v>
      </c>
      <c r="E166" s="9" t="s">
        <v>13284</v>
      </c>
      <c r="F166" s="9" t="s">
        <v>13284</v>
      </c>
      <c r="G166" s="9" t="s">
        <v>13284</v>
      </c>
      <c r="H166" s="9" t="s">
        <v>13284</v>
      </c>
      <c r="I166" s="9" t="s">
        <v>13284</v>
      </c>
      <c r="J166" s="9" t="s">
        <v>13284</v>
      </c>
      <c r="K166" s="9" t="s">
        <v>13284</v>
      </c>
      <c r="L166" s="9" t="s">
        <v>13284</v>
      </c>
      <c r="M166" s="9" t="s">
        <v>13284</v>
      </c>
      <c r="N166" s="9" t="s">
        <v>13284</v>
      </c>
      <c r="O166" s="9" t="s">
        <v>13284</v>
      </c>
      <c r="P166" s="9" t="s">
        <v>13284</v>
      </c>
      <c r="Q166" s="9" t="s">
        <v>13284</v>
      </c>
      <c r="R166" s="9" t="s">
        <v>13284</v>
      </c>
      <c r="S166" s="9" t="s">
        <v>13284</v>
      </c>
      <c r="T166" s="9" t="str">
        <f ca="1">IFERROR(IF(AND(VLOOKUP(A166, 'Актуальное состояние (из общего'!A:C,3,0) = "", A166 &lt;&gt; ""), "ПРОВЕРИТЬ", VLOOKUP(A166, 'Актуальное состояние (из общего'!A:C,3,0)), "")</f>
        <v>Студент</v>
      </c>
      <c r="U166" s="9" t="s">
        <v>13284</v>
      </c>
      <c r="V166" s="9" t="s">
        <v>13284</v>
      </c>
      <c r="W166" s="12"/>
      <c r="X166" s="9" t="str">
        <f t="array" ref="X166">IFERROR(INDEX('Адреса общежитий (скрытый)'!$B$2:$B$9, MATCH(W166, 'Адреса общежитий (скрытый)'!$A$2:$A$9, 0)), "")</f>
        <v/>
      </c>
      <c r="Y166" s="18"/>
      <c r="Z166" s="18"/>
      <c r="AA166" s="18"/>
      <c r="AB166" s="18"/>
      <c r="AC166" s="18"/>
    </row>
    <row r="167" spans="1:29" ht="32.25" customHeight="1">
      <c r="A167" s="8">
        <v>2304050</v>
      </c>
      <c r="B167" s="9" t="s">
        <v>13284</v>
      </c>
      <c r="C167" s="9" t="s">
        <v>13284</v>
      </c>
      <c r="D167" s="9" t="s">
        <v>13284</v>
      </c>
      <c r="E167" s="9" t="s">
        <v>13284</v>
      </c>
      <c r="F167" s="9" t="s">
        <v>13284</v>
      </c>
      <c r="G167" s="9" t="s">
        <v>13284</v>
      </c>
      <c r="H167" s="9" t="s">
        <v>13284</v>
      </c>
      <c r="I167" s="9" t="s">
        <v>13284</v>
      </c>
      <c r="J167" s="9" t="s">
        <v>13284</v>
      </c>
      <c r="K167" s="9" t="s">
        <v>13284</v>
      </c>
      <c r="L167" s="9" t="s">
        <v>13284</v>
      </c>
      <c r="M167" s="9" t="s">
        <v>13284</v>
      </c>
      <c r="N167" s="9" t="s">
        <v>13284</v>
      </c>
      <c r="O167" s="9" t="s">
        <v>13284</v>
      </c>
      <c r="P167" s="9" t="s">
        <v>13284</v>
      </c>
      <c r="Q167" s="9" t="s">
        <v>13284</v>
      </c>
      <c r="R167" s="9" t="s">
        <v>13284</v>
      </c>
      <c r="S167" s="9" t="s">
        <v>13284</v>
      </c>
      <c r="T167" s="9" t="str">
        <f ca="1">IFERROR(IF(AND(VLOOKUP(A167, 'Актуальное состояние (из общего'!A:C,3,0) = "", A167 &lt;&gt; ""), "ПРОВЕРИТЬ", VLOOKUP(A167, 'Актуальное состояние (из общего'!A:C,3,0)), "")</f>
        <v>Студент</v>
      </c>
      <c r="U167" s="9" t="s">
        <v>13284</v>
      </c>
      <c r="V167" s="9" t="s">
        <v>13284</v>
      </c>
      <c r="W167" s="12"/>
      <c r="X167" s="9" t="str">
        <f t="array" ref="X167">IFERROR(INDEX('Адреса общежитий (скрытый)'!$B$2:$B$9, MATCH(W167, 'Адреса общежитий (скрытый)'!$A$2:$A$9, 0)), "")</f>
        <v/>
      </c>
      <c r="Y167" s="18" t="s">
        <v>9173</v>
      </c>
      <c r="Z167" s="18"/>
      <c r="AA167" s="18"/>
      <c r="AB167" s="18"/>
      <c r="AC167" s="18"/>
    </row>
    <row r="168" spans="1:29" ht="32.25" customHeight="1">
      <c r="A168" s="8">
        <v>2309770</v>
      </c>
      <c r="B168" s="9" t="s">
        <v>13284</v>
      </c>
      <c r="C168" s="9" t="s">
        <v>13284</v>
      </c>
      <c r="D168" s="9" t="s">
        <v>13284</v>
      </c>
      <c r="E168" s="9" t="s">
        <v>13284</v>
      </c>
      <c r="F168" s="9" t="s">
        <v>13284</v>
      </c>
      <c r="G168" s="9" t="s">
        <v>13284</v>
      </c>
      <c r="H168" s="9" t="s">
        <v>13284</v>
      </c>
      <c r="I168" s="9" t="s">
        <v>13284</v>
      </c>
      <c r="J168" s="9" t="s">
        <v>13284</v>
      </c>
      <c r="K168" s="9" t="s">
        <v>13284</v>
      </c>
      <c r="L168" s="9" t="s">
        <v>13284</v>
      </c>
      <c r="M168" s="9" t="s">
        <v>13284</v>
      </c>
      <c r="N168" s="9" t="s">
        <v>13284</v>
      </c>
      <c r="O168" s="9" t="s">
        <v>13284</v>
      </c>
      <c r="P168" s="9" t="s">
        <v>13284</v>
      </c>
      <c r="Q168" s="9" t="s">
        <v>13284</v>
      </c>
      <c r="R168" s="9" t="s">
        <v>13284</v>
      </c>
      <c r="S168" s="9" t="s">
        <v>13284</v>
      </c>
      <c r="T168" s="9" t="str">
        <f ca="1">IFERROR(IF(AND(VLOOKUP(A168, 'Актуальное состояние (из общего'!A:C,3,0) = "", A168 &lt;&gt; ""), "ПРОВЕРИТЬ", VLOOKUP(A168, 'Актуальное состояние (из общего'!A:C,3,0)), "")</f>
        <v>Студент</v>
      </c>
      <c r="U168" s="9" t="s">
        <v>13284</v>
      </c>
      <c r="V168" s="9" t="s">
        <v>13284</v>
      </c>
      <c r="W168" s="9" t="s">
        <v>64</v>
      </c>
      <c r="X168" s="9" t="str">
        <f t="array" ref="X168">IFERROR(INDEX('Адреса общежитий (скрытый)'!$B$2:$B$9, MATCH(W168, 'Адреса общежитий (скрытый)'!$A$2:$A$9, 0)), "")</f>
        <v>проспект 60-летия Октября, д.11</v>
      </c>
      <c r="Y168" s="18"/>
      <c r="Z168" s="18"/>
      <c r="AA168" s="18"/>
      <c r="AB168" s="18"/>
      <c r="AC168" s="18"/>
    </row>
    <row r="169" spans="1:29" ht="32.25" hidden="1" customHeight="1">
      <c r="A169" s="8">
        <v>2313463</v>
      </c>
      <c r="B169" s="9" t="s">
        <v>13284</v>
      </c>
      <c r="C169" s="9" t="s">
        <v>13284</v>
      </c>
      <c r="D169" s="9" t="s">
        <v>13284</v>
      </c>
      <c r="E169" s="9" t="s">
        <v>13284</v>
      </c>
      <c r="F169" s="9" t="s">
        <v>13284</v>
      </c>
      <c r="G169" s="9" t="s">
        <v>13284</v>
      </c>
      <c r="H169" s="9" t="s">
        <v>13284</v>
      </c>
      <c r="I169" s="9" t="s">
        <v>13284</v>
      </c>
      <c r="J169" s="9" t="s">
        <v>13284</v>
      </c>
      <c r="K169" s="9" t="s">
        <v>13284</v>
      </c>
      <c r="L169" s="9" t="s">
        <v>13284</v>
      </c>
      <c r="M169" s="9" t="s">
        <v>13284</v>
      </c>
      <c r="N169" s="9" t="s">
        <v>13284</v>
      </c>
      <c r="O169" s="9" t="s">
        <v>13284</v>
      </c>
      <c r="P169" s="9" t="s">
        <v>13284</v>
      </c>
      <c r="Q169" s="9" t="s">
        <v>13284</v>
      </c>
      <c r="R169" s="9" t="s">
        <v>13284</v>
      </c>
      <c r="S169" s="9" t="s">
        <v>13284</v>
      </c>
      <c r="T169" s="9" t="str">
        <f ca="1">IFERROR(IF(AND(VLOOKUP(A169, 'Актуальное состояние (из общего'!A:C,3,0) = "", A169 &lt;&gt; ""), "ПРОВЕРИТЬ", VLOOKUP(A169, 'Актуальное состояние (из общего'!A:C,3,0)), "")</f>
        <v>Студент</v>
      </c>
      <c r="U169" s="9" t="s">
        <v>13284</v>
      </c>
      <c r="V169" s="9" t="s">
        <v>13284</v>
      </c>
      <c r="W169" s="12"/>
      <c r="X169" s="9" t="str">
        <f t="array" ref="X169">IFERROR(INDEX('Адреса общежитий (скрытый)'!$B$2:$B$9, MATCH(W169, 'Адреса общежитий (скрытый)'!$A$2:$A$9, 0)), "")</f>
        <v/>
      </c>
      <c r="Y169" s="18"/>
      <c r="Z169" s="18"/>
      <c r="AA169" s="18"/>
      <c r="AB169" s="18"/>
      <c r="AC169" s="18"/>
    </row>
    <row r="170" spans="1:29" ht="32.25" hidden="1" customHeight="1">
      <c r="A170" s="8">
        <v>2306814</v>
      </c>
      <c r="B170" s="9" t="s">
        <v>13284</v>
      </c>
      <c r="C170" s="9" t="s">
        <v>13284</v>
      </c>
      <c r="D170" s="9" t="s">
        <v>13284</v>
      </c>
      <c r="E170" s="9" t="s">
        <v>13284</v>
      </c>
      <c r="F170" s="9" t="s">
        <v>13284</v>
      </c>
      <c r="G170" s="9" t="s">
        <v>13284</v>
      </c>
      <c r="H170" s="9" t="s">
        <v>13284</v>
      </c>
      <c r="I170" s="9" t="s">
        <v>13284</v>
      </c>
      <c r="J170" s="9" t="s">
        <v>13284</v>
      </c>
      <c r="K170" s="9" t="s">
        <v>13284</v>
      </c>
      <c r="L170" s="9" t="s">
        <v>13284</v>
      </c>
      <c r="M170" s="9" t="s">
        <v>13284</v>
      </c>
      <c r="N170" s="9" t="s">
        <v>13284</v>
      </c>
      <c r="O170" s="9" t="s">
        <v>13284</v>
      </c>
      <c r="P170" s="9" t="s">
        <v>13284</v>
      </c>
      <c r="Q170" s="9" t="s">
        <v>13284</v>
      </c>
      <c r="R170" s="9" t="s">
        <v>13284</v>
      </c>
      <c r="S170" s="9" t="s">
        <v>13284</v>
      </c>
      <c r="T170" s="9" t="str">
        <f ca="1">IFERROR(IF(AND(VLOOKUP(A170, 'Актуальное состояние (из общего'!A:C,3,0) = "", A170 &lt;&gt; ""), "ПРОВЕРИТЬ", VLOOKUP(A170, 'Актуальное состояние (из общего'!A:C,3,0)), "")</f>
        <v>Студент</v>
      </c>
      <c r="U170" s="9" t="s">
        <v>13284</v>
      </c>
      <c r="V170" s="9" t="s">
        <v>13284</v>
      </c>
      <c r="W170" s="12"/>
      <c r="X170" s="9" t="str">
        <f t="array" ref="X170">IFERROR(INDEX('Адреса общежитий (скрытый)'!$B$2:$B$9, MATCH(W170, 'Адреса общежитий (скрытый)'!$A$2:$A$9, 0)), "")</f>
        <v/>
      </c>
      <c r="Y170" s="18"/>
      <c r="Z170" s="18"/>
      <c r="AA170" s="18"/>
      <c r="AB170" s="18"/>
      <c r="AC170" s="18"/>
    </row>
    <row r="171" spans="1:29" ht="32.25" customHeight="1">
      <c r="A171" s="8">
        <v>2312386</v>
      </c>
      <c r="B171" s="9" t="s">
        <v>13284</v>
      </c>
      <c r="C171" s="9" t="s">
        <v>13284</v>
      </c>
      <c r="D171" s="9" t="s">
        <v>13284</v>
      </c>
      <c r="E171" s="9" t="s">
        <v>13284</v>
      </c>
      <c r="F171" s="9" t="s">
        <v>13284</v>
      </c>
      <c r="G171" s="9" t="s">
        <v>13284</v>
      </c>
      <c r="H171" s="9" t="s">
        <v>13284</v>
      </c>
      <c r="I171" s="9" t="s">
        <v>13284</v>
      </c>
      <c r="J171" s="9" t="s">
        <v>13284</v>
      </c>
      <c r="K171" s="9" t="s">
        <v>13284</v>
      </c>
      <c r="L171" s="9" t="s">
        <v>13284</v>
      </c>
      <c r="M171" s="9" t="s">
        <v>13284</v>
      </c>
      <c r="N171" s="9" t="s">
        <v>13284</v>
      </c>
      <c r="O171" s="9" t="s">
        <v>13284</v>
      </c>
      <c r="P171" s="9" t="s">
        <v>13284</v>
      </c>
      <c r="Q171" s="9" t="s">
        <v>13284</v>
      </c>
      <c r="R171" s="9" t="s">
        <v>13284</v>
      </c>
      <c r="S171" s="9" t="s">
        <v>13284</v>
      </c>
      <c r="T171" s="9" t="str">
        <f ca="1">IFERROR(IF(AND(VLOOKUP(A171, 'Актуальное состояние (из общего'!A:C,3,0) = "", A171 &lt;&gt; ""), "ПРОВЕРИТЬ", VLOOKUP(A171, 'Актуальное состояние (из общего'!A:C,3,0)), "")</f>
        <v>Студент</v>
      </c>
      <c r="U171" s="9" t="s">
        <v>13284</v>
      </c>
      <c r="V171" s="9" t="s">
        <v>13284</v>
      </c>
      <c r="W171" s="12"/>
      <c r="X171" s="9" t="str">
        <f t="array" ref="X171">IFERROR(INDEX('Адреса общежитий (скрытый)'!$B$2:$B$9, MATCH(W171, 'Адреса общежитий (скрытый)'!$A$2:$A$9, 0)), "")</f>
        <v/>
      </c>
      <c r="Y171" s="18"/>
      <c r="Z171" s="18"/>
      <c r="AA171" s="18"/>
      <c r="AB171" s="18"/>
      <c r="AC171" s="18"/>
    </row>
    <row r="172" spans="1:29" ht="32.25" customHeight="1">
      <c r="A172" s="8">
        <v>2310502</v>
      </c>
      <c r="B172" s="9" t="s">
        <v>13284</v>
      </c>
      <c r="C172" s="9" t="s">
        <v>13284</v>
      </c>
      <c r="D172" s="9" t="s">
        <v>13284</v>
      </c>
      <c r="E172" s="9" t="s">
        <v>13284</v>
      </c>
      <c r="F172" s="9" t="s">
        <v>13284</v>
      </c>
      <c r="G172" s="9" t="s">
        <v>13284</v>
      </c>
      <c r="H172" s="9" t="s">
        <v>13284</v>
      </c>
      <c r="I172" s="9" t="s">
        <v>13284</v>
      </c>
      <c r="J172" s="9" t="s">
        <v>13284</v>
      </c>
      <c r="K172" s="9" t="s">
        <v>13284</v>
      </c>
      <c r="L172" s="9" t="s">
        <v>13284</v>
      </c>
      <c r="M172" s="9" t="s">
        <v>13284</v>
      </c>
      <c r="N172" s="9" t="s">
        <v>13284</v>
      </c>
      <c r="O172" s="9" t="s">
        <v>13284</v>
      </c>
      <c r="P172" s="9" t="s">
        <v>13284</v>
      </c>
      <c r="Q172" s="9" t="s">
        <v>13284</v>
      </c>
      <c r="R172" s="9" t="s">
        <v>13284</v>
      </c>
      <c r="S172" s="9" t="s">
        <v>13284</v>
      </c>
      <c r="T172" s="9" t="str">
        <f ca="1">IFERROR(IF(AND(VLOOKUP(A172, 'Актуальное состояние (из общего'!A:C,3,0) = "", A172 &lt;&gt; ""), "ПРОВЕРИТЬ", VLOOKUP(A172, 'Актуальное состояние (из общего'!A:C,3,0)), "")</f>
        <v>Студент</v>
      </c>
      <c r="U172" s="9" t="s">
        <v>13284</v>
      </c>
      <c r="V172" s="9" t="s">
        <v>13284</v>
      </c>
      <c r="W172" s="12"/>
      <c r="X172" s="9" t="str">
        <f t="array" ref="X172">IFERROR(INDEX('Адреса общежитий (скрытый)'!$B$2:$B$9, MATCH(W172, 'Адреса общежитий (скрытый)'!$A$2:$A$9, 0)), "")</f>
        <v/>
      </c>
      <c r="Y172" s="18"/>
      <c r="Z172" s="18"/>
      <c r="AA172" s="18"/>
      <c r="AB172" s="18"/>
      <c r="AC172" s="18"/>
    </row>
    <row r="173" spans="1:29" ht="32.25" customHeight="1">
      <c r="A173" s="8">
        <v>2302771</v>
      </c>
      <c r="B173" s="9" t="s">
        <v>13284</v>
      </c>
      <c r="C173" s="9" t="s">
        <v>13284</v>
      </c>
      <c r="D173" s="9" t="s">
        <v>13284</v>
      </c>
      <c r="E173" s="9" t="s">
        <v>13284</v>
      </c>
      <c r="F173" s="9" t="s">
        <v>13284</v>
      </c>
      <c r="G173" s="9" t="s">
        <v>13284</v>
      </c>
      <c r="H173" s="9" t="s">
        <v>13284</v>
      </c>
      <c r="I173" s="9" t="s">
        <v>13284</v>
      </c>
      <c r="J173" s="9" t="s">
        <v>13284</v>
      </c>
      <c r="K173" s="9" t="s">
        <v>13284</v>
      </c>
      <c r="L173" s="9" t="s">
        <v>13284</v>
      </c>
      <c r="M173" s="9" t="s">
        <v>13284</v>
      </c>
      <c r="N173" s="9" t="s">
        <v>13284</v>
      </c>
      <c r="O173" s="9" t="s">
        <v>13284</v>
      </c>
      <c r="P173" s="9" t="s">
        <v>13284</v>
      </c>
      <c r="Q173" s="9" t="s">
        <v>13284</v>
      </c>
      <c r="R173" s="9" t="s">
        <v>13284</v>
      </c>
      <c r="S173" s="9" t="s">
        <v>13284</v>
      </c>
      <c r="T173" s="9" t="str">
        <f ca="1">IFERROR(IF(AND(VLOOKUP(A173, 'Актуальное состояние (из общего'!A:C,3,0) = "", A173 &lt;&gt; ""), "ПРОВЕРИТЬ", VLOOKUP(A173, 'Актуальное состояние (из общего'!A:C,3,0)), "")</f>
        <v>Студент</v>
      </c>
      <c r="U173" s="9" t="s">
        <v>13284</v>
      </c>
      <c r="V173" s="9" t="s">
        <v>13284</v>
      </c>
      <c r="W173" s="9"/>
      <c r="X173" s="9" t="str">
        <f t="array" ref="X173">IFERROR(INDEX('Адреса общежитий (скрытый)'!$B$2:$B$9, MATCH(W173, 'Адреса общежитий (скрытый)'!$A$2:$A$9, 0)), "")</f>
        <v/>
      </c>
      <c r="Y173" s="18"/>
      <c r="Z173" s="18"/>
      <c r="AA173" s="18"/>
      <c r="AB173" s="18"/>
      <c r="AC173" s="18"/>
    </row>
    <row r="174" spans="1:29" ht="32.25" hidden="1" customHeight="1">
      <c r="A174" s="8">
        <v>2302063</v>
      </c>
      <c r="B174" s="9" t="s">
        <v>13284</v>
      </c>
      <c r="C174" s="9" t="s">
        <v>13284</v>
      </c>
      <c r="D174" s="9" t="s">
        <v>13284</v>
      </c>
      <c r="E174" s="9" t="s">
        <v>13284</v>
      </c>
      <c r="F174" s="9" t="s">
        <v>13284</v>
      </c>
      <c r="G174" s="9" t="s">
        <v>13284</v>
      </c>
      <c r="H174" s="9" t="s">
        <v>13284</v>
      </c>
      <c r="I174" s="9" t="s">
        <v>13284</v>
      </c>
      <c r="J174" s="9" t="s">
        <v>13284</v>
      </c>
      <c r="K174" s="9" t="s">
        <v>13284</v>
      </c>
      <c r="L174" s="9" t="s">
        <v>13284</v>
      </c>
      <c r="M174" s="9" t="s">
        <v>13284</v>
      </c>
      <c r="N174" s="9" t="s">
        <v>13284</v>
      </c>
      <c r="O174" s="9" t="s">
        <v>13284</v>
      </c>
      <c r="P174" s="9" t="s">
        <v>13284</v>
      </c>
      <c r="Q174" s="9" t="s">
        <v>13284</v>
      </c>
      <c r="R174" s="9" t="s">
        <v>13284</v>
      </c>
      <c r="S174" s="9" t="s">
        <v>13284</v>
      </c>
      <c r="T174" s="9" t="str">
        <f ca="1">IFERROR(IF(AND(VLOOKUP(A174, 'Актуальное состояние (из общего'!A:C,3,0) = "", A174 &lt;&gt; ""), "ПРОВЕРИТЬ", VLOOKUP(A174, 'Актуальное состояние (из общего'!A:C,3,0)), "")</f>
        <v>Студент</v>
      </c>
      <c r="U174" s="9" t="s">
        <v>13284</v>
      </c>
      <c r="V174" s="9" t="s">
        <v>13284</v>
      </c>
      <c r="W174" s="12"/>
      <c r="X174" s="9" t="str">
        <f t="array" ref="X174">IFERROR(INDEX('Адреса общежитий (скрытый)'!$B$2:$B$9, MATCH(W174, 'Адреса общежитий (скрытый)'!$A$2:$A$9, 0)), "")</f>
        <v/>
      </c>
      <c r="Y174" s="18"/>
      <c r="Z174" s="18"/>
      <c r="AA174" s="18"/>
      <c r="AB174" s="18"/>
      <c r="AC174" s="18"/>
    </row>
    <row r="175" spans="1:29" ht="32.25" customHeight="1">
      <c r="A175" s="8">
        <v>2309832</v>
      </c>
      <c r="B175" s="9" t="s">
        <v>13284</v>
      </c>
      <c r="C175" s="9" t="s">
        <v>13284</v>
      </c>
      <c r="D175" s="9" t="s">
        <v>13284</v>
      </c>
      <c r="E175" s="9" t="s">
        <v>13284</v>
      </c>
      <c r="F175" s="9" t="s">
        <v>13284</v>
      </c>
      <c r="G175" s="9" t="s">
        <v>13284</v>
      </c>
      <c r="H175" s="9" t="s">
        <v>13284</v>
      </c>
      <c r="I175" s="9" t="s">
        <v>13284</v>
      </c>
      <c r="J175" s="9" t="s">
        <v>13284</v>
      </c>
      <c r="K175" s="9" t="s">
        <v>13284</v>
      </c>
      <c r="L175" s="9" t="s">
        <v>13284</v>
      </c>
      <c r="M175" s="9" t="s">
        <v>13284</v>
      </c>
      <c r="N175" s="9" t="s">
        <v>13284</v>
      </c>
      <c r="O175" s="9" t="s">
        <v>13284</v>
      </c>
      <c r="P175" s="9" t="s">
        <v>13284</v>
      </c>
      <c r="Q175" s="9" t="s">
        <v>13284</v>
      </c>
      <c r="R175" s="9" t="s">
        <v>13284</v>
      </c>
      <c r="S175" s="9" t="s">
        <v>13284</v>
      </c>
      <c r="T175" s="9" t="str">
        <f ca="1">IFERROR(IF(AND(VLOOKUP(A175, 'Актуальное состояние (из общего'!A:C,3,0) = "", A175 &lt;&gt; ""), "ПРОВЕРИТЬ", VLOOKUP(A175, 'Актуальное состояние (из общего'!A:C,3,0)), "")</f>
        <v>Студент</v>
      </c>
      <c r="U175" s="9" t="s">
        <v>13284</v>
      </c>
      <c r="V175" s="9" t="s">
        <v>13284</v>
      </c>
      <c r="W175" s="9" t="s">
        <v>64</v>
      </c>
      <c r="X175" s="9" t="str">
        <f t="array" ref="X175">IFERROR(INDEX('Адреса общежитий (скрытый)'!$B$2:$B$9, MATCH(W175, 'Адреса общежитий (скрытый)'!$A$2:$A$9, 0)), "")</f>
        <v>проспект 60-летия Октября, д.11</v>
      </c>
      <c r="Y175" s="18"/>
      <c r="Z175" s="18"/>
      <c r="AA175" s="18"/>
      <c r="AB175" s="18"/>
      <c r="AC175" s="18"/>
    </row>
    <row r="176" spans="1:29" ht="32.25" hidden="1" customHeight="1">
      <c r="A176" s="8">
        <v>2312351</v>
      </c>
      <c r="B176" s="9" t="s">
        <v>13284</v>
      </c>
      <c r="C176" s="9" t="s">
        <v>13284</v>
      </c>
      <c r="D176" s="9" t="s">
        <v>13284</v>
      </c>
      <c r="E176" s="9" t="s">
        <v>13284</v>
      </c>
      <c r="F176" s="9" t="s">
        <v>13284</v>
      </c>
      <c r="G176" s="9" t="s">
        <v>13284</v>
      </c>
      <c r="H176" s="9" t="s">
        <v>13284</v>
      </c>
      <c r="I176" s="9" t="s">
        <v>13284</v>
      </c>
      <c r="J176" s="9" t="s">
        <v>13284</v>
      </c>
      <c r="K176" s="9" t="s">
        <v>13284</v>
      </c>
      <c r="L176" s="9" t="s">
        <v>13284</v>
      </c>
      <c r="M176" s="9" t="s">
        <v>13284</v>
      </c>
      <c r="N176" s="9" t="s">
        <v>13284</v>
      </c>
      <c r="O176" s="9" t="s">
        <v>13284</v>
      </c>
      <c r="P176" s="9" t="s">
        <v>13284</v>
      </c>
      <c r="Q176" s="9" t="s">
        <v>13284</v>
      </c>
      <c r="R176" s="9" t="s">
        <v>13284</v>
      </c>
      <c r="S176" s="9" t="s">
        <v>13284</v>
      </c>
      <c r="T176" s="9" t="str">
        <f ca="1">IFERROR(IF(AND(VLOOKUP(A176, 'Актуальное состояние (из общего'!A:C,3,0) = "", A176 &lt;&gt; ""), "ПРОВЕРИТЬ", VLOOKUP(A176, 'Актуальное состояние (из общего'!A:C,3,0)), "")</f>
        <v>Студент</v>
      </c>
      <c r="U176" s="9" t="s">
        <v>13284</v>
      </c>
      <c r="V176" s="9" t="s">
        <v>13284</v>
      </c>
      <c r="W176" s="12"/>
      <c r="X176" s="9" t="str">
        <f t="array" ref="X176">IFERROR(INDEX('Адреса общежитий (скрытый)'!$B$2:$B$9, MATCH(W176, 'Адреса общежитий (скрытый)'!$A$2:$A$9, 0)), "")</f>
        <v/>
      </c>
      <c r="Y176" s="18"/>
      <c r="Z176" s="18"/>
      <c r="AA176" s="18"/>
      <c r="AB176" s="18"/>
      <c r="AC176" s="18"/>
    </row>
    <row r="177" spans="1:29" ht="32.25" hidden="1" customHeight="1">
      <c r="A177" s="8">
        <v>2306526</v>
      </c>
      <c r="B177" s="9" t="s">
        <v>13284</v>
      </c>
      <c r="C177" s="9" t="s">
        <v>13284</v>
      </c>
      <c r="D177" s="9" t="s">
        <v>13284</v>
      </c>
      <c r="E177" s="9" t="s">
        <v>13284</v>
      </c>
      <c r="F177" s="9" t="s">
        <v>13284</v>
      </c>
      <c r="G177" s="9" t="s">
        <v>13284</v>
      </c>
      <c r="H177" s="9" t="s">
        <v>13284</v>
      </c>
      <c r="I177" s="9" t="s">
        <v>13284</v>
      </c>
      <c r="J177" s="9" t="s">
        <v>13284</v>
      </c>
      <c r="K177" s="9" t="s">
        <v>13284</v>
      </c>
      <c r="L177" s="9" t="s">
        <v>13284</v>
      </c>
      <c r="M177" s="9" t="s">
        <v>13284</v>
      </c>
      <c r="N177" s="9" t="s">
        <v>13284</v>
      </c>
      <c r="O177" s="9" t="s">
        <v>13284</v>
      </c>
      <c r="P177" s="9" t="s">
        <v>13284</v>
      </c>
      <c r="Q177" s="9" t="s">
        <v>13284</v>
      </c>
      <c r="R177" s="9" t="s">
        <v>13284</v>
      </c>
      <c r="S177" s="9" t="s">
        <v>13284</v>
      </c>
      <c r="T177" s="9" t="str">
        <f ca="1">IFERROR(IF(AND(VLOOKUP(A177, 'Актуальное состояние (из общего'!A:C,3,0) = "", A177 &lt;&gt; ""), "ПРОВЕРИТЬ", VLOOKUP(A177, 'Актуальное состояние (из общего'!A:C,3,0)), "")</f>
        <v>Студент</v>
      </c>
      <c r="U177" s="9" t="s">
        <v>13284</v>
      </c>
      <c r="V177" s="9" t="s">
        <v>13284</v>
      </c>
      <c r="W177" s="12"/>
      <c r="X177" s="9" t="str">
        <f t="array" ref="X177">IFERROR(INDEX('Адреса общежитий (скрытый)'!$B$2:$B$9, MATCH(W177, 'Адреса общежитий (скрытый)'!$A$2:$A$9, 0)), "")</f>
        <v/>
      </c>
      <c r="Y177" s="18"/>
      <c r="Z177" s="18"/>
      <c r="AA177" s="18"/>
      <c r="AB177" s="18"/>
      <c r="AC177" s="18"/>
    </row>
    <row r="178" spans="1:29" ht="32.25" hidden="1" customHeight="1">
      <c r="A178" s="8">
        <v>2303522</v>
      </c>
      <c r="B178" s="9" t="s">
        <v>13284</v>
      </c>
      <c r="C178" s="9" t="s">
        <v>13284</v>
      </c>
      <c r="D178" s="9" t="s">
        <v>13284</v>
      </c>
      <c r="E178" s="9" t="s">
        <v>13284</v>
      </c>
      <c r="F178" s="9" t="s">
        <v>13284</v>
      </c>
      <c r="G178" s="9" t="s">
        <v>13284</v>
      </c>
      <c r="H178" s="9" t="s">
        <v>13284</v>
      </c>
      <c r="I178" s="9" t="s">
        <v>13284</v>
      </c>
      <c r="J178" s="9" t="s">
        <v>13284</v>
      </c>
      <c r="K178" s="9" t="s">
        <v>13284</v>
      </c>
      <c r="L178" s="9" t="s">
        <v>13284</v>
      </c>
      <c r="M178" s="9" t="s">
        <v>13284</v>
      </c>
      <c r="N178" s="9" t="s">
        <v>13284</v>
      </c>
      <c r="O178" s="9" t="s">
        <v>13284</v>
      </c>
      <c r="P178" s="9" t="s">
        <v>13284</v>
      </c>
      <c r="Q178" s="9" t="s">
        <v>13284</v>
      </c>
      <c r="R178" s="9" t="s">
        <v>13284</v>
      </c>
      <c r="S178" s="9" t="s">
        <v>13284</v>
      </c>
      <c r="T178" s="9" t="str">
        <f ca="1">IFERROR(IF(AND(VLOOKUP(A178, 'Актуальное состояние (из общего'!A:C,3,0) = "", A178 &lt;&gt; ""), "ПРОВЕРИТЬ", VLOOKUP(A178, 'Актуальное состояние (из общего'!A:C,3,0)), "")</f>
        <v>Студент</v>
      </c>
      <c r="U178" s="9" t="s">
        <v>13284</v>
      </c>
      <c r="V178" s="9" t="s">
        <v>13284</v>
      </c>
      <c r="W178" s="12"/>
      <c r="X178" s="9" t="str">
        <f t="array" ref="X178">IFERROR(INDEX('Адреса общежитий (скрытый)'!$B$2:$B$9, MATCH(W178, 'Адреса общежитий (скрытый)'!$A$2:$A$9, 0)), "")</f>
        <v/>
      </c>
      <c r="Y178" s="18"/>
      <c r="Z178" s="18"/>
      <c r="AA178" s="18"/>
      <c r="AB178" s="18"/>
      <c r="AC178" s="18"/>
    </row>
    <row r="179" spans="1:29" ht="32.25" customHeight="1">
      <c r="A179" s="8">
        <v>2307679</v>
      </c>
      <c r="B179" s="9" t="s">
        <v>13284</v>
      </c>
      <c r="C179" s="9" t="s">
        <v>13284</v>
      </c>
      <c r="D179" s="9" t="s">
        <v>13284</v>
      </c>
      <c r="E179" s="9" t="s">
        <v>13284</v>
      </c>
      <c r="F179" s="9" t="s">
        <v>13284</v>
      </c>
      <c r="G179" s="9" t="s">
        <v>13284</v>
      </c>
      <c r="H179" s="9" t="s">
        <v>13284</v>
      </c>
      <c r="I179" s="9" t="s">
        <v>13284</v>
      </c>
      <c r="J179" s="9" t="s">
        <v>13284</v>
      </c>
      <c r="K179" s="9" t="s">
        <v>13284</v>
      </c>
      <c r="L179" s="9" t="s">
        <v>13284</v>
      </c>
      <c r="M179" s="9" t="s">
        <v>13284</v>
      </c>
      <c r="N179" s="9" t="s">
        <v>13284</v>
      </c>
      <c r="O179" s="9" t="s">
        <v>13284</v>
      </c>
      <c r="P179" s="9" t="s">
        <v>13284</v>
      </c>
      <c r="Q179" s="9" t="s">
        <v>13284</v>
      </c>
      <c r="R179" s="9" t="s">
        <v>13284</v>
      </c>
      <c r="S179" s="9" t="s">
        <v>13284</v>
      </c>
      <c r="T179" s="9" t="str">
        <f ca="1">IFERROR(IF(AND(VLOOKUP(A179, 'Актуальное состояние (из общего'!A:C,3,0) = "", A179 &lt;&gt; ""), "ПРОВЕРИТЬ", VLOOKUP(A179, 'Актуальное состояние (из общего'!A:C,3,0)), "")</f>
        <v>Студент</v>
      </c>
      <c r="U179" s="9" t="s">
        <v>13284</v>
      </c>
      <c r="V179" s="9" t="s">
        <v>13284</v>
      </c>
      <c r="W179" s="9" t="s">
        <v>64</v>
      </c>
      <c r="X179" s="9" t="str">
        <f t="array" ref="X179">IFERROR(INDEX('Адреса общежитий (скрытый)'!$B$2:$B$9, MATCH(W179, 'Адреса общежитий (скрытый)'!$A$2:$A$9, 0)), "")</f>
        <v>проспект 60-летия Октября, д.11</v>
      </c>
      <c r="Y179" s="18"/>
      <c r="Z179" s="18"/>
      <c r="AA179" s="18"/>
      <c r="AB179" s="18"/>
      <c r="AC179" s="18"/>
    </row>
    <row r="180" spans="1:29" ht="32.25" customHeight="1">
      <c r="A180" s="8">
        <v>2311646</v>
      </c>
      <c r="B180" s="9" t="s">
        <v>13284</v>
      </c>
      <c r="C180" s="9" t="s">
        <v>13284</v>
      </c>
      <c r="D180" s="9" t="s">
        <v>13284</v>
      </c>
      <c r="E180" s="9" t="s">
        <v>13284</v>
      </c>
      <c r="F180" s="9" t="s">
        <v>13284</v>
      </c>
      <c r="G180" s="9" t="s">
        <v>13284</v>
      </c>
      <c r="H180" s="9" t="s">
        <v>13284</v>
      </c>
      <c r="I180" s="9" t="s">
        <v>13284</v>
      </c>
      <c r="J180" s="9" t="s">
        <v>13284</v>
      </c>
      <c r="K180" s="9" t="s">
        <v>13284</v>
      </c>
      <c r="L180" s="9" t="s">
        <v>13284</v>
      </c>
      <c r="M180" s="9" t="s">
        <v>13284</v>
      </c>
      <c r="N180" s="9" t="s">
        <v>13284</v>
      </c>
      <c r="O180" s="9" t="s">
        <v>13284</v>
      </c>
      <c r="P180" s="9" t="s">
        <v>13284</v>
      </c>
      <c r="Q180" s="9" t="s">
        <v>13284</v>
      </c>
      <c r="R180" s="9" t="s">
        <v>13284</v>
      </c>
      <c r="S180" s="9" t="s">
        <v>13284</v>
      </c>
      <c r="T180" s="9" t="str">
        <f ca="1">IFERROR(IF(AND(VLOOKUP(A180, 'Актуальное состояние (из общего'!A:C,3,0) = "", A180 &lt;&gt; ""), "ПРОВЕРИТЬ", VLOOKUP(A180, 'Актуальное состояние (из общего'!A:C,3,0)), "")</f>
        <v>Студент</v>
      </c>
      <c r="U180" s="9" t="s">
        <v>13284</v>
      </c>
      <c r="V180" s="9" t="s">
        <v>13284</v>
      </c>
      <c r="W180" s="9" t="s">
        <v>64</v>
      </c>
      <c r="X180" s="9" t="str">
        <f t="array" ref="X180">IFERROR(INDEX('Адреса общежитий (скрытый)'!$B$2:$B$9, MATCH(W180, 'Адреса общежитий (скрытый)'!$A$2:$A$9, 0)), "")</f>
        <v>проспект 60-летия Октября, д.11</v>
      </c>
      <c r="Y180" s="18"/>
      <c r="Z180" s="18"/>
      <c r="AA180" s="18"/>
      <c r="AB180" s="18"/>
      <c r="AC180" s="18"/>
    </row>
    <row r="181" spans="1:29" ht="32.25" customHeight="1">
      <c r="A181" s="8">
        <v>2311690</v>
      </c>
      <c r="B181" s="9" t="s">
        <v>13284</v>
      </c>
      <c r="C181" s="9" t="s">
        <v>13284</v>
      </c>
      <c r="D181" s="9" t="s">
        <v>13284</v>
      </c>
      <c r="E181" s="9" t="s">
        <v>13284</v>
      </c>
      <c r="F181" s="9" t="s">
        <v>13284</v>
      </c>
      <c r="G181" s="9" t="s">
        <v>13284</v>
      </c>
      <c r="H181" s="9" t="s">
        <v>13284</v>
      </c>
      <c r="I181" s="9" t="s">
        <v>13284</v>
      </c>
      <c r="J181" s="9" t="s">
        <v>13284</v>
      </c>
      <c r="K181" s="9" t="s">
        <v>13284</v>
      </c>
      <c r="L181" s="9" t="s">
        <v>13284</v>
      </c>
      <c r="M181" s="9" t="s">
        <v>13284</v>
      </c>
      <c r="N181" s="9" t="s">
        <v>13284</v>
      </c>
      <c r="O181" s="9" t="s">
        <v>13284</v>
      </c>
      <c r="P181" s="9" t="s">
        <v>13284</v>
      </c>
      <c r="Q181" s="9" t="s">
        <v>13284</v>
      </c>
      <c r="R181" s="9" t="s">
        <v>13284</v>
      </c>
      <c r="S181" s="9" t="s">
        <v>13284</v>
      </c>
      <c r="T181" s="9" t="str">
        <f ca="1">IFERROR(IF(AND(VLOOKUP(A181, 'Актуальное состояние (из общего'!A:C,3,0) = "", A181 &lt;&gt; ""), "ПРОВЕРИТЬ", VLOOKUP(A181, 'Актуальное состояние (из общего'!A:C,3,0)), "")</f>
        <v>Студент</v>
      </c>
      <c r="U181" s="9" t="s">
        <v>13284</v>
      </c>
      <c r="V181" s="9" t="s">
        <v>13284</v>
      </c>
      <c r="W181" s="9" t="s">
        <v>64</v>
      </c>
      <c r="X181" s="9" t="str">
        <f t="array" ref="X181">IFERROR(INDEX('Адреса общежитий (скрытый)'!$B$2:$B$9, MATCH(W181, 'Адреса общежитий (скрытый)'!$A$2:$A$9, 0)), "")</f>
        <v>проспект 60-летия Октября, д.11</v>
      </c>
      <c r="Y181" s="18"/>
      <c r="Z181" s="18"/>
      <c r="AA181" s="18"/>
      <c r="AB181" s="18"/>
      <c r="AC181" s="18"/>
    </row>
    <row r="182" spans="1:29" ht="32.25" customHeight="1">
      <c r="A182" s="8">
        <v>2309813</v>
      </c>
      <c r="B182" s="9" t="s">
        <v>13284</v>
      </c>
      <c r="C182" s="9" t="s">
        <v>13284</v>
      </c>
      <c r="D182" s="9" t="s">
        <v>13284</v>
      </c>
      <c r="E182" s="9" t="s">
        <v>13284</v>
      </c>
      <c r="F182" s="9" t="s">
        <v>13284</v>
      </c>
      <c r="G182" s="9" t="s">
        <v>13284</v>
      </c>
      <c r="H182" s="9" t="s">
        <v>13284</v>
      </c>
      <c r="I182" s="9" t="s">
        <v>13284</v>
      </c>
      <c r="J182" s="9" t="s">
        <v>13284</v>
      </c>
      <c r="K182" s="9" t="s">
        <v>13284</v>
      </c>
      <c r="L182" s="9" t="s">
        <v>13284</v>
      </c>
      <c r="M182" s="9" t="s">
        <v>13284</v>
      </c>
      <c r="N182" s="9" t="s">
        <v>13284</v>
      </c>
      <c r="O182" s="9" t="s">
        <v>13284</v>
      </c>
      <c r="P182" s="9" t="s">
        <v>13284</v>
      </c>
      <c r="Q182" s="9" t="s">
        <v>13284</v>
      </c>
      <c r="R182" s="9" t="s">
        <v>13284</v>
      </c>
      <c r="S182" s="9" t="s">
        <v>13284</v>
      </c>
      <c r="T182" s="9" t="str">
        <f ca="1">IFERROR(IF(AND(VLOOKUP(A182, 'Актуальное состояние (из общего'!A:C,3,0) = "", A182 &lt;&gt; ""), "ПРОВЕРИТЬ", VLOOKUP(A182, 'Актуальное состояние (из общего'!A:C,3,0)), "")</f>
        <v>Студент</v>
      </c>
      <c r="U182" s="9" t="s">
        <v>13284</v>
      </c>
      <c r="V182" s="9" t="s">
        <v>13284</v>
      </c>
      <c r="W182" s="9" t="s">
        <v>64</v>
      </c>
      <c r="X182" s="9" t="str">
        <f t="array" ref="X182">IFERROR(INDEX('Адреса общежитий (скрытый)'!$B$2:$B$9, MATCH(W182, 'Адреса общежитий (скрытый)'!$A$2:$A$9, 0)), "")</f>
        <v>проспект 60-летия Октября, д.11</v>
      </c>
      <c r="Y182" s="18"/>
      <c r="Z182" s="18"/>
      <c r="AA182" s="18"/>
      <c r="AB182" s="18"/>
      <c r="AC182" s="18"/>
    </row>
    <row r="183" spans="1:29" ht="32.25" customHeight="1">
      <c r="A183" s="8">
        <v>2304839</v>
      </c>
      <c r="B183" s="9" t="s">
        <v>13284</v>
      </c>
      <c r="C183" s="9" t="s">
        <v>13284</v>
      </c>
      <c r="D183" s="9" t="s">
        <v>13284</v>
      </c>
      <c r="E183" s="9" t="s">
        <v>13284</v>
      </c>
      <c r="F183" s="9" t="s">
        <v>13284</v>
      </c>
      <c r="G183" s="9" t="s">
        <v>13284</v>
      </c>
      <c r="H183" s="9" t="s">
        <v>13284</v>
      </c>
      <c r="I183" s="9" t="s">
        <v>13284</v>
      </c>
      <c r="J183" s="9" t="s">
        <v>13284</v>
      </c>
      <c r="K183" s="9" t="s">
        <v>13284</v>
      </c>
      <c r="L183" s="9" t="s">
        <v>13284</v>
      </c>
      <c r="M183" s="9" t="s">
        <v>13284</v>
      </c>
      <c r="N183" s="9" t="s">
        <v>13284</v>
      </c>
      <c r="O183" s="9" t="s">
        <v>13284</v>
      </c>
      <c r="P183" s="9" t="s">
        <v>13284</v>
      </c>
      <c r="Q183" s="9" t="s">
        <v>13284</v>
      </c>
      <c r="R183" s="9" t="s">
        <v>13284</v>
      </c>
      <c r="S183" s="9" t="s">
        <v>13284</v>
      </c>
      <c r="T183" s="9" t="str">
        <f ca="1">IFERROR(IF(AND(VLOOKUP(A183, 'Актуальное состояние (из общего'!A:C,3,0) = "", A183 &lt;&gt; ""), "ПРОВЕРИТЬ", VLOOKUP(A183, 'Актуальное состояние (из общего'!A:C,3,0)), "")</f>
        <v>Студент</v>
      </c>
      <c r="U183" s="9" t="s">
        <v>13284</v>
      </c>
      <c r="V183" s="9" t="s">
        <v>13284</v>
      </c>
      <c r="W183" s="9" t="s">
        <v>64</v>
      </c>
      <c r="X183" s="9" t="str">
        <f t="array" ref="X183">IFERROR(INDEX('Адреса общежитий (скрытый)'!$B$2:$B$9, MATCH(W183, 'Адреса общежитий (скрытый)'!$A$2:$A$9, 0)), "")</f>
        <v>проспект 60-летия Октября, д.11</v>
      </c>
      <c r="Y183" s="18"/>
      <c r="Z183" s="18"/>
      <c r="AA183" s="18"/>
      <c r="AB183" s="18"/>
      <c r="AC183" s="18"/>
    </row>
    <row r="184" spans="1:29" ht="32.25" hidden="1" customHeight="1">
      <c r="A184" s="8">
        <v>2302664</v>
      </c>
      <c r="B184" s="9" t="s">
        <v>13284</v>
      </c>
      <c r="C184" s="9" t="s">
        <v>13284</v>
      </c>
      <c r="D184" s="9" t="s">
        <v>13284</v>
      </c>
      <c r="E184" s="9" t="s">
        <v>13284</v>
      </c>
      <c r="F184" s="9" t="s">
        <v>13284</v>
      </c>
      <c r="G184" s="9" t="s">
        <v>13284</v>
      </c>
      <c r="H184" s="9" t="s">
        <v>13284</v>
      </c>
      <c r="I184" s="9" t="s">
        <v>13284</v>
      </c>
      <c r="J184" s="9" t="s">
        <v>13284</v>
      </c>
      <c r="K184" s="9" t="s">
        <v>13284</v>
      </c>
      <c r="L184" s="9" t="s">
        <v>13284</v>
      </c>
      <c r="M184" s="9" t="s">
        <v>13284</v>
      </c>
      <c r="N184" s="9" t="s">
        <v>13284</v>
      </c>
      <c r="O184" s="9" t="s">
        <v>13284</v>
      </c>
      <c r="P184" s="9" t="s">
        <v>13284</v>
      </c>
      <c r="Q184" s="9" t="s">
        <v>13284</v>
      </c>
      <c r="R184" s="9" t="s">
        <v>13284</v>
      </c>
      <c r="S184" s="9" t="s">
        <v>13284</v>
      </c>
      <c r="T184" s="9" t="str">
        <f ca="1">IFERROR(IF(AND(VLOOKUP(A184, 'Актуальное состояние (из общего'!A:C,3,0) = "", A184 &lt;&gt; ""), "ПРОВЕРИТЬ", VLOOKUP(A184, 'Актуальное состояние (из общего'!A:C,3,0)), "")</f>
        <v>Студент</v>
      </c>
      <c r="U184" s="9" t="s">
        <v>13284</v>
      </c>
      <c r="V184" s="9" t="s">
        <v>13284</v>
      </c>
      <c r="W184" s="12"/>
      <c r="X184" s="9" t="str">
        <f t="array" ref="X184">IFERROR(INDEX('Адреса общежитий (скрытый)'!$B$2:$B$9, MATCH(W184, 'Адреса общежитий (скрытый)'!$A$2:$A$9, 0)), "")</f>
        <v/>
      </c>
      <c r="Y184" s="18"/>
      <c r="Z184" s="18"/>
      <c r="AA184" s="18"/>
      <c r="AB184" s="18"/>
      <c r="AC184" s="18"/>
    </row>
    <row r="185" spans="1:29" ht="32.25" customHeight="1">
      <c r="A185" s="8">
        <v>2312261</v>
      </c>
      <c r="B185" s="9" t="s">
        <v>13284</v>
      </c>
      <c r="C185" s="9" t="s">
        <v>13284</v>
      </c>
      <c r="D185" s="9" t="s">
        <v>13284</v>
      </c>
      <c r="E185" s="9" t="s">
        <v>13284</v>
      </c>
      <c r="F185" s="9" t="s">
        <v>13284</v>
      </c>
      <c r="G185" s="9" t="s">
        <v>13284</v>
      </c>
      <c r="H185" s="9" t="s">
        <v>13284</v>
      </c>
      <c r="I185" s="9" t="s">
        <v>13284</v>
      </c>
      <c r="J185" s="9" t="s">
        <v>13284</v>
      </c>
      <c r="K185" s="9" t="s">
        <v>13284</v>
      </c>
      <c r="L185" s="9" t="s">
        <v>13284</v>
      </c>
      <c r="M185" s="9" t="s">
        <v>13284</v>
      </c>
      <c r="N185" s="9" t="s">
        <v>13284</v>
      </c>
      <c r="O185" s="9" t="s">
        <v>13284</v>
      </c>
      <c r="P185" s="9" t="s">
        <v>13284</v>
      </c>
      <c r="Q185" s="9" t="s">
        <v>13284</v>
      </c>
      <c r="R185" s="9" t="s">
        <v>13284</v>
      </c>
      <c r="S185" s="9" t="s">
        <v>13284</v>
      </c>
      <c r="T185" s="9" t="str">
        <f ca="1">IFERROR(IF(AND(VLOOKUP(A185, 'Актуальное состояние (из общего'!A:C,3,0) = "", A185 &lt;&gt; ""), "ПРОВЕРИТЬ", VLOOKUP(A185, 'Актуальное состояние (из общего'!A:C,3,0)), "")</f>
        <v>Студент</v>
      </c>
      <c r="U185" s="9" t="s">
        <v>13284</v>
      </c>
      <c r="V185" s="9" t="s">
        <v>13284</v>
      </c>
      <c r="W185" s="9" t="s">
        <v>64</v>
      </c>
      <c r="X185" s="9" t="str">
        <f t="array" ref="X185">IFERROR(INDEX('Адреса общежитий (скрытый)'!$B$2:$B$9, MATCH(W185, 'Адреса общежитий (скрытый)'!$A$2:$A$9, 0)), "")</f>
        <v>проспект 60-летия Октября, д.11</v>
      </c>
      <c r="Y185" s="18"/>
      <c r="Z185" s="18"/>
      <c r="AA185" s="18"/>
      <c r="AB185" s="18"/>
      <c r="AC185" s="18"/>
    </row>
    <row r="186" spans="1:29" ht="32.25" customHeight="1">
      <c r="A186" s="8">
        <v>2309091</v>
      </c>
      <c r="B186" s="9" t="s">
        <v>13284</v>
      </c>
      <c r="C186" s="9" t="s">
        <v>13284</v>
      </c>
      <c r="D186" s="9" t="s">
        <v>13284</v>
      </c>
      <c r="E186" s="9" t="s">
        <v>13284</v>
      </c>
      <c r="F186" s="9" t="s">
        <v>13284</v>
      </c>
      <c r="G186" s="9" t="s">
        <v>13284</v>
      </c>
      <c r="H186" s="9" t="s">
        <v>13284</v>
      </c>
      <c r="I186" s="9" t="s">
        <v>13284</v>
      </c>
      <c r="J186" s="9" t="s">
        <v>13284</v>
      </c>
      <c r="K186" s="9" t="s">
        <v>13284</v>
      </c>
      <c r="L186" s="9" t="s">
        <v>13284</v>
      </c>
      <c r="M186" s="9" t="s">
        <v>13284</v>
      </c>
      <c r="N186" s="9" t="s">
        <v>13284</v>
      </c>
      <c r="O186" s="9" t="s">
        <v>13284</v>
      </c>
      <c r="P186" s="9" t="s">
        <v>13284</v>
      </c>
      <c r="Q186" s="9" t="s">
        <v>13284</v>
      </c>
      <c r="R186" s="9" t="s">
        <v>13284</v>
      </c>
      <c r="S186" s="9" t="s">
        <v>13284</v>
      </c>
      <c r="T186" s="9" t="str">
        <f ca="1">IFERROR(IF(AND(VLOOKUP(A186, 'Актуальное состояние (из общего'!A:C,3,0) = "", A186 &lt;&gt; ""), "ПРОВЕРИТЬ", VLOOKUP(A186, 'Актуальное состояние (из общего'!A:C,3,0)), "")</f>
        <v>Студент</v>
      </c>
      <c r="U186" s="9" t="s">
        <v>13284</v>
      </c>
      <c r="V186" s="9" t="s">
        <v>13284</v>
      </c>
      <c r="W186" s="9" t="s">
        <v>319</v>
      </c>
      <c r="X186" s="9" t="str">
        <f t="array" ref="X186">IFERROR(INDEX('Адреса общежитий (скрытый)'!$B$2:$B$9, MATCH(W186, 'Адреса общежитий (скрытый)'!$A$2:$A$9, 0)), "")</f>
        <v>ул. Профсоюзная, д.83, корп. 2</v>
      </c>
      <c r="Y186" s="18"/>
      <c r="Z186" s="18"/>
      <c r="AA186" s="18"/>
      <c r="AB186" s="18"/>
      <c r="AC186" s="18"/>
    </row>
    <row r="187" spans="1:29" ht="32.25" customHeight="1">
      <c r="A187" s="8">
        <v>2305033</v>
      </c>
      <c r="B187" s="9" t="s">
        <v>13284</v>
      </c>
      <c r="C187" s="9" t="s">
        <v>13284</v>
      </c>
      <c r="D187" s="9" t="s">
        <v>13284</v>
      </c>
      <c r="E187" s="9" t="s">
        <v>13284</v>
      </c>
      <c r="F187" s="9" t="s">
        <v>13284</v>
      </c>
      <c r="G187" s="9" t="s">
        <v>13284</v>
      </c>
      <c r="H187" s="9" t="s">
        <v>13284</v>
      </c>
      <c r="I187" s="9" t="s">
        <v>13284</v>
      </c>
      <c r="J187" s="9" t="s">
        <v>13284</v>
      </c>
      <c r="K187" s="9" t="s">
        <v>13284</v>
      </c>
      <c r="L187" s="9" t="s">
        <v>13284</v>
      </c>
      <c r="M187" s="9" t="s">
        <v>13284</v>
      </c>
      <c r="N187" s="9" t="s">
        <v>13284</v>
      </c>
      <c r="O187" s="9" t="s">
        <v>13284</v>
      </c>
      <c r="P187" s="9" t="s">
        <v>13284</v>
      </c>
      <c r="Q187" s="9" t="s">
        <v>13284</v>
      </c>
      <c r="R187" s="9" t="s">
        <v>13284</v>
      </c>
      <c r="S187" s="9" t="s">
        <v>13284</v>
      </c>
      <c r="T187" s="9" t="str">
        <f ca="1">IFERROR(IF(AND(VLOOKUP(A187, 'Актуальное состояние (из общего'!A:C,3,0) = "", A187 &lt;&gt; ""), "ПРОВЕРИТЬ", VLOOKUP(A187, 'Актуальное состояние (из общего'!A:C,3,0)), "")</f>
        <v>Студент</v>
      </c>
      <c r="U187" s="9" t="s">
        <v>13284</v>
      </c>
      <c r="V187" s="9" t="s">
        <v>13284</v>
      </c>
      <c r="W187" s="9" t="s">
        <v>196</v>
      </c>
      <c r="X187" s="9" t="str">
        <f t="array" ref="X187">IFERROR(INDEX('Адреса общежитий (скрытый)'!$B$2:$B$9, MATCH(W187, 'Адреса общежитий (скрытый)'!$A$2:$A$9, 0)), "")</f>
        <v>проспект 60-летия Октября, д.15</v>
      </c>
      <c r="Y187" s="18"/>
      <c r="Z187" s="18"/>
      <c r="AA187" s="18"/>
      <c r="AB187" s="18"/>
      <c r="AC187" s="18"/>
    </row>
    <row r="188" spans="1:29" ht="32.25" hidden="1" customHeight="1">
      <c r="A188" s="8">
        <v>2302353</v>
      </c>
      <c r="B188" s="9" t="s">
        <v>13284</v>
      </c>
      <c r="C188" s="9" t="s">
        <v>13284</v>
      </c>
      <c r="D188" s="9" t="s">
        <v>13284</v>
      </c>
      <c r="E188" s="9" t="s">
        <v>13284</v>
      </c>
      <c r="F188" s="9" t="s">
        <v>13284</v>
      </c>
      <c r="G188" s="9" t="s">
        <v>13284</v>
      </c>
      <c r="H188" s="9" t="s">
        <v>13284</v>
      </c>
      <c r="I188" s="9" t="s">
        <v>13284</v>
      </c>
      <c r="J188" s="9" t="s">
        <v>13284</v>
      </c>
      <c r="K188" s="9" t="s">
        <v>13284</v>
      </c>
      <c r="L188" s="9" t="s">
        <v>13284</v>
      </c>
      <c r="M188" s="9" t="s">
        <v>13284</v>
      </c>
      <c r="N188" s="9" t="s">
        <v>13284</v>
      </c>
      <c r="O188" s="9" t="s">
        <v>13284</v>
      </c>
      <c r="P188" s="9" t="s">
        <v>13284</v>
      </c>
      <c r="Q188" s="9" t="s">
        <v>13284</v>
      </c>
      <c r="R188" s="9" t="s">
        <v>13284</v>
      </c>
      <c r="S188" s="9" t="s">
        <v>13284</v>
      </c>
      <c r="T188" s="9" t="str">
        <f ca="1">IFERROR(IF(AND(VLOOKUP(A188, 'Актуальное состояние (из общего'!A:C,3,0) = "", A188 &lt;&gt; ""), "ПРОВЕРИТЬ", VLOOKUP(A188, 'Актуальное состояние (из общего'!A:C,3,0)), "")</f>
        <v>Студент</v>
      </c>
      <c r="U188" s="9" t="s">
        <v>13284</v>
      </c>
      <c r="V188" s="9" t="s">
        <v>13284</v>
      </c>
      <c r="W188" s="12"/>
      <c r="X188" s="9" t="str">
        <f t="array" ref="X188">IFERROR(INDEX('Адреса общежитий (скрытый)'!$B$2:$B$9, MATCH(W188, 'Адреса общежитий (скрытый)'!$A$2:$A$9, 0)), "")</f>
        <v/>
      </c>
      <c r="Y188" s="18"/>
      <c r="Z188" s="18"/>
      <c r="AA188" s="18"/>
      <c r="AB188" s="18"/>
      <c r="AC188" s="18"/>
    </row>
    <row r="189" spans="1:29" ht="32.25" customHeight="1">
      <c r="A189" s="8">
        <v>2304451</v>
      </c>
      <c r="B189" s="9" t="s">
        <v>13284</v>
      </c>
      <c r="C189" s="9" t="s">
        <v>13284</v>
      </c>
      <c r="D189" s="9" t="s">
        <v>13284</v>
      </c>
      <c r="E189" s="9" t="s">
        <v>13284</v>
      </c>
      <c r="F189" s="9" t="s">
        <v>13284</v>
      </c>
      <c r="G189" s="9" t="s">
        <v>13284</v>
      </c>
      <c r="H189" s="9" t="s">
        <v>13284</v>
      </c>
      <c r="I189" s="9" t="s">
        <v>13284</v>
      </c>
      <c r="J189" s="9" t="s">
        <v>13284</v>
      </c>
      <c r="K189" s="9" t="s">
        <v>13284</v>
      </c>
      <c r="L189" s="9" t="s">
        <v>13284</v>
      </c>
      <c r="M189" s="9" t="s">
        <v>13284</v>
      </c>
      <c r="N189" s="9" t="s">
        <v>13284</v>
      </c>
      <c r="O189" s="9" t="s">
        <v>13284</v>
      </c>
      <c r="P189" s="9" t="s">
        <v>13284</v>
      </c>
      <c r="Q189" s="9" t="s">
        <v>13284</v>
      </c>
      <c r="R189" s="9" t="s">
        <v>13284</v>
      </c>
      <c r="S189" s="9" t="s">
        <v>13284</v>
      </c>
      <c r="T189" s="9" t="str">
        <f ca="1">IFERROR(IF(AND(VLOOKUP(A189, 'Актуальное состояние (из общего'!A:C,3,0) = "", A189 &lt;&gt; ""), "ПРОВЕРИТЬ", VLOOKUP(A189, 'Актуальное состояние (из общего'!A:C,3,0)), "")</f>
        <v>Студент</v>
      </c>
      <c r="U189" s="9" t="s">
        <v>13284</v>
      </c>
      <c r="V189" s="9" t="s">
        <v>13284</v>
      </c>
      <c r="W189" s="12"/>
      <c r="X189" s="9" t="str">
        <f t="array" ref="X189">IFERROR(INDEX('Адреса общежитий (скрытый)'!$B$2:$B$9, MATCH(W189, 'Адреса общежитий (скрытый)'!$A$2:$A$9, 0)), "")</f>
        <v/>
      </c>
      <c r="Y189" s="18"/>
      <c r="Z189" s="18"/>
      <c r="AA189" s="18"/>
      <c r="AB189" s="18"/>
      <c r="AC189" s="18"/>
    </row>
    <row r="190" spans="1:29" ht="32.25" customHeight="1">
      <c r="A190" s="8">
        <v>2313261</v>
      </c>
      <c r="B190" s="9" t="s">
        <v>13284</v>
      </c>
      <c r="C190" s="9" t="s">
        <v>13284</v>
      </c>
      <c r="D190" s="9" t="s">
        <v>13284</v>
      </c>
      <c r="E190" s="9" t="s">
        <v>13284</v>
      </c>
      <c r="F190" s="9" t="s">
        <v>13284</v>
      </c>
      <c r="G190" s="9" t="s">
        <v>13284</v>
      </c>
      <c r="H190" s="9" t="s">
        <v>13284</v>
      </c>
      <c r="I190" s="9" t="s">
        <v>13284</v>
      </c>
      <c r="J190" s="9" t="s">
        <v>13284</v>
      </c>
      <c r="K190" s="9" t="s">
        <v>13284</v>
      </c>
      <c r="L190" s="9" t="s">
        <v>13284</v>
      </c>
      <c r="M190" s="9" t="s">
        <v>13284</v>
      </c>
      <c r="N190" s="9" t="s">
        <v>13284</v>
      </c>
      <c r="O190" s="9" t="s">
        <v>13284</v>
      </c>
      <c r="P190" s="9" t="s">
        <v>13284</v>
      </c>
      <c r="Q190" s="9" t="s">
        <v>13284</v>
      </c>
      <c r="R190" s="9" t="s">
        <v>13284</v>
      </c>
      <c r="S190" s="9" t="s">
        <v>13284</v>
      </c>
      <c r="T190" s="9" t="str">
        <f ca="1">IFERROR(IF(AND(VLOOKUP(A190, 'Актуальное состояние (из общего'!A:C,3,0) = "", A190 &lt;&gt; ""), "ПРОВЕРИТЬ", VLOOKUP(A190, 'Актуальное состояние (из общего'!A:C,3,0)), "")</f>
        <v>Студент</v>
      </c>
      <c r="U190" s="9" t="s">
        <v>13284</v>
      </c>
      <c r="V190" s="9" t="s">
        <v>13284</v>
      </c>
      <c r="W190" s="9" t="s">
        <v>319</v>
      </c>
      <c r="X190" s="9" t="str">
        <f t="array" ref="X190">IFERROR(INDEX('Адреса общежитий (скрытый)'!$B$2:$B$9, MATCH(W190, 'Адреса общежитий (скрытый)'!$A$2:$A$9, 0)), "")</f>
        <v>ул. Профсоюзная, д.83, корп. 2</v>
      </c>
      <c r="Y190" s="18"/>
      <c r="Z190" s="18"/>
      <c r="AA190" s="18"/>
      <c r="AB190" s="18"/>
      <c r="AC190" s="18"/>
    </row>
    <row r="191" spans="1:29" ht="32.25" hidden="1" customHeight="1">
      <c r="A191" s="8">
        <v>2311257</v>
      </c>
      <c r="B191" s="9" t="s">
        <v>13284</v>
      </c>
      <c r="C191" s="9" t="s">
        <v>13284</v>
      </c>
      <c r="D191" s="9" t="s">
        <v>13284</v>
      </c>
      <c r="E191" s="9" t="s">
        <v>13284</v>
      </c>
      <c r="F191" s="9" t="s">
        <v>13284</v>
      </c>
      <c r="G191" s="9" t="s">
        <v>13284</v>
      </c>
      <c r="H191" s="9" t="s">
        <v>13284</v>
      </c>
      <c r="I191" s="9" t="s">
        <v>13284</v>
      </c>
      <c r="J191" s="9" t="s">
        <v>13284</v>
      </c>
      <c r="K191" s="9" t="s">
        <v>13284</v>
      </c>
      <c r="L191" s="9" t="s">
        <v>13284</v>
      </c>
      <c r="M191" s="9" t="s">
        <v>13284</v>
      </c>
      <c r="N191" s="9" t="s">
        <v>13284</v>
      </c>
      <c r="O191" s="9" t="s">
        <v>13284</v>
      </c>
      <c r="P191" s="9" t="s">
        <v>13284</v>
      </c>
      <c r="Q191" s="9" t="s">
        <v>13284</v>
      </c>
      <c r="R191" s="9" t="s">
        <v>13284</v>
      </c>
      <c r="S191" s="9" t="s">
        <v>13284</v>
      </c>
      <c r="T191" s="9" t="str">
        <f ca="1">IFERROR(IF(AND(VLOOKUP(A191, 'Актуальное состояние (из общего'!A:C,3,0) = "", A191 &lt;&gt; ""), "ПРОВЕРИТЬ", VLOOKUP(A191, 'Актуальное состояние (из общего'!A:C,3,0)), "")</f>
        <v>Студент</v>
      </c>
      <c r="U191" s="9" t="s">
        <v>13284</v>
      </c>
      <c r="V191" s="9" t="s">
        <v>13284</v>
      </c>
      <c r="W191" s="12"/>
      <c r="X191" s="9" t="str">
        <f t="array" ref="X191">IFERROR(INDEX('Адреса общежитий (скрытый)'!$B$2:$B$9, MATCH(W191, 'Адреса общежитий (скрытый)'!$A$2:$A$9, 0)), "")</f>
        <v/>
      </c>
      <c r="Y191" s="18"/>
      <c r="Z191" s="18"/>
      <c r="AA191" s="18"/>
      <c r="AB191" s="18"/>
      <c r="AC191" s="18"/>
    </row>
    <row r="192" spans="1:29" ht="32.25" hidden="1" customHeight="1">
      <c r="A192" s="8">
        <v>2308323</v>
      </c>
      <c r="B192" s="9" t="s">
        <v>13284</v>
      </c>
      <c r="C192" s="9" t="s">
        <v>13284</v>
      </c>
      <c r="D192" s="9" t="s">
        <v>13284</v>
      </c>
      <c r="E192" s="9" t="s">
        <v>13284</v>
      </c>
      <c r="F192" s="9" t="s">
        <v>13284</v>
      </c>
      <c r="G192" s="9" t="s">
        <v>13284</v>
      </c>
      <c r="H192" s="9" t="s">
        <v>13284</v>
      </c>
      <c r="I192" s="9" t="s">
        <v>13284</v>
      </c>
      <c r="J192" s="9" t="s">
        <v>13284</v>
      </c>
      <c r="K192" s="9" t="s">
        <v>13284</v>
      </c>
      <c r="L192" s="9" t="s">
        <v>13284</v>
      </c>
      <c r="M192" s="9" t="s">
        <v>13284</v>
      </c>
      <c r="N192" s="9" t="s">
        <v>13284</v>
      </c>
      <c r="O192" s="9" t="s">
        <v>13284</v>
      </c>
      <c r="P192" s="9" t="s">
        <v>13284</v>
      </c>
      <c r="Q192" s="9" t="s">
        <v>13284</v>
      </c>
      <c r="R192" s="9" t="s">
        <v>13284</v>
      </c>
      <c r="S192" s="9" t="s">
        <v>13284</v>
      </c>
      <c r="T192" s="9" t="str">
        <f ca="1">IFERROR(IF(AND(VLOOKUP(A192, 'Актуальное состояние (из общего'!A:C,3,0) = "", A192 &lt;&gt; ""), "ПРОВЕРИТЬ", VLOOKUP(A192, 'Актуальное состояние (из общего'!A:C,3,0)), "")</f>
        <v>Студент</v>
      </c>
      <c r="U192" s="9" t="s">
        <v>13284</v>
      </c>
      <c r="V192" s="9" t="s">
        <v>13284</v>
      </c>
      <c r="W192" s="12"/>
      <c r="X192" s="9" t="str">
        <f t="array" ref="X192">IFERROR(INDEX('Адреса общежитий (скрытый)'!$B$2:$B$9, MATCH(W192, 'Адреса общежитий (скрытый)'!$A$2:$A$9, 0)), "")</f>
        <v/>
      </c>
      <c r="Y192" s="18"/>
      <c r="Z192" s="18"/>
      <c r="AA192" s="18"/>
      <c r="AB192" s="18"/>
      <c r="AC192" s="18"/>
    </row>
    <row r="193" spans="1:29" ht="32.25" customHeight="1">
      <c r="A193" s="8">
        <v>2311065</v>
      </c>
      <c r="B193" s="9" t="s">
        <v>13284</v>
      </c>
      <c r="C193" s="9" t="s">
        <v>13284</v>
      </c>
      <c r="D193" s="9" t="s">
        <v>13284</v>
      </c>
      <c r="E193" s="9" t="s">
        <v>13284</v>
      </c>
      <c r="F193" s="9" t="s">
        <v>13284</v>
      </c>
      <c r="G193" s="9" t="s">
        <v>13284</v>
      </c>
      <c r="H193" s="9" t="s">
        <v>13284</v>
      </c>
      <c r="I193" s="9" t="s">
        <v>13284</v>
      </c>
      <c r="J193" s="9" t="s">
        <v>13284</v>
      </c>
      <c r="K193" s="9" t="s">
        <v>13284</v>
      </c>
      <c r="L193" s="9" t="s">
        <v>13284</v>
      </c>
      <c r="M193" s="9" t="s">
        <v>13284</v>
      </c>
      <c r="N193" s="9" t="s">
        <v>13284</v>
      </c>
      <c r="O193" s="9" t="s">
        <v>13284</v>
      </c>
      <c r="P193" s="9" t="s">
        <v>13284</v>
      </c>
      <c r="Q193" s="9" t="s">
        <v>13284</v>
      </c>
      <c r="R193" s="9" t="s">
        <v>13284</v>
      </c>
      <c r="S193" s="9" t="s">
        <v>13284</v>
      </c>
      <c r="T193" s="9" t="str">
        <f ca="1">IFERROR(IF(AND(VLOOKUP(A193, 'Актуальное состояние (из общего'!A:C,3,0) = "", A193 &lt;&gt; ""), "ПРОВЕРИТЬ", VLOOKUP(A193, 'Актуальное состояние (из общего'!A:C,3,0)), "")</f>
        <v>Студент</v>
      </c>
      <c r="U193" s="9" t="s">
        <v>13284</v>
      </c>
      <c r="V193" s="9" t="s">
        <v>13284</v>
      </c>
      <c r="W193" s="9" t="s">
        <v>64</v>
      </c>
      <c r="X193" s="9" t="str">
        <f t="array" ref="X193">IFERROR(INDEX('Адреса общежитий (скрытый)'!$B$2:$B$9, MATCH(W193, 'Адреса общежитий (скрытый)'!$A$2:$A$9, 0)), "")</f>
        <v>проспект 60-летия Октября, д.11</v>
      </c>
      <c r="Y193" s="18"/>
      <c r="Z193" s="18"/>
      <c r="AA193" s="18"/>
      <c r="AB193" s="18"/>
      <c r="AC193" s="18"/>
    </row>
    <row r="194" spans="1:29" ht="32.25" customHeight="1">
      <c r="A194" s="8">
        <v>2306552</v>
      </c>
      <c r="B194" s="9" t="s">
        <v>13284</v>
      </c>
      <c r="C194" s="9" t="s">
        <v>13284</v>
      </c>
      <c r="D194" s="9" t="s">
        <v>13284</v>
      </c>
      <c r="E194" s="9" t="s">
        <v>13284</v>
      </c>
      <c r="F194" s="9" t="s">
        <v>13284</v>
      </c>
      <c r="G194" s="9" t="s">
        <v>13284</v>
      </c>
      <c r="H194" s="9" t="s">
        <v>13284</v>
      </c>
      <c r="I194" s="9" t="s">
        <v>13284</v>
      </c>
      <c r="J194" s="9" t="s">
        <v>13284</v>
      </c>
      <c r="K194" s="9" t="s">
        <v>13284</v>
      </c>
      <c r="L194" s="9" t="s">
        <v>13284</v>
      </c>
      <c r="M194" s="9" t="s">
        <v>13284</v>
      </c>
      <c r="N194" s="9" t="s">
        <v>13284</v>
      </c>
      <c r="O194" s="9" t="s">
        <v>13284</v>
      </c>
      <c r="P194" s="9" t="s">
        <v>13284</v>
      </c>
      <c r="Q194" s="9" t="s">
        <v>13284</v>
      </c>
      <c r="R194" s="9" t="s">
        <v>13284</v>
      </c>
      <c r="S194" s="9" t="s">
        <v>13284</v>
      </c>
      <c r="T194" s="9" t="str">
        <f ca="1">IFERROR(IF(AND(VLOOKUP(A194, 'Актуальное состояние (из общего'!A:C,3,0) = "", A194 &lt;&gt; ""), "ПРОВЕРИТЬ", VLOOKUP(A194, 'Актуальное состояние (из общего'!A:C,3,0)), "")</f>
        <v>Студент</v>
      </c>
      <c r="U194" s="9" t="s">
        <v>13284</v>
      </c>
      <c r="V194" s="9" t="s">
        <v>13284</v>
      </c>
      <c r="W194" s="9" t="s">
        <v>64</v>
      </c>
      <c r="X194" s="9" t="str">
        <f t="array" ref="X194">IFERROR(INDEX('Адреса общежитий (скрытый)'!$B$2:$B$9, MATCH(W194, 'Адреса общежитий (скрытый)'!$A$2:$A$9, 0)), "")</f>
        <v>проспект 60-летия Октября, д.11</v>
      </c>
      <c r="Y194" s="18"/>
      <c r="Z194" s="18"/>
      <c r="AA194" s="18"/>
      <c r="AB194" s="18"/>
      <c r="AC194" s="18"/>
    </row>
    <row r="195" spans="1:29" ht="32.25" customHeight="1">
      <c r="A195" s="8">
        <v>2308447</v>
      </c>
      <c r="B195" s="9" t="s">
        <v>13284</v>
      </c>
      <c r="C195" s="9" t="s">
        <v>13284</v>
      </c>
      <c r="D195" s="9" t="s">
        <v>13284</v>
      </c>
      <c r="E195" s="9" t="s">
        <v>13284</v>
      </c>
      <c r="F195" s="9" t="s">
        <v>13284</v>
      </c>
      <c r="G195" s="9" t="s">
        <v>13284</v>
      </c>
      <c r="H195" s="9" t="s">
        <v>13284</v>
      </c>
      <c r="I195" s="9" t="s">
        <v>13284</v>
      </c>
      <c r="J195" s="9" t="s">
        <v>13284</v>
      </c>
      <c r="K195" s="9" t="s">
        <v>13284</v>
      </c>
      <c r="L195" s="9" t="s">
        <v>13284</v>
      </c>
      <c r="M195" s="9" t="s">
        <v>13284</v>
      </c>
      <c r="N195" s="9" t="s">
        <v>13284</v>
      </c>
      <c r="O195" s="9" t="s">
        <v>13284</v>
      </c>
      <c r="P195" s="9" t="s">
        <v>13284</v>
      </c>
      <c r="Q195" s="9" t="s">
        <v>13284</v>
      </c>
      <c r="R195" s="9" t="s">
        <v>13284</v>
      </c>
      <c r="S195" s="9" t="s">
        <v>13284</v>
      </c>
      <c r="T195" s="9" t="str">
        <f ca="1">IFERROR(IF(AND(VLOOKUP(A195, 'Актуальное состояние (из общего'!A:C,3,0) = "", A195 &lt;&gt; ""), "ПРОВЕРИТЬ", VLOOKUP(A195, 'Актуальное состояние (из общего'!A:C,3,0)), "")</f>
        <v>Студент</v>
      </c>
      <c r="U195" s="9" t="s">
        <v>13284</v>
      </c>
      <c r="V195" s="9" t="s">
        <v>13284</v>
      </c>
      <c r="W195" s="12"/>
      <c r="X195" s="9" t="str">
        <f t="array" ref="X195">IFERROR(INDEX('Адреса общежитий (скрытый)'!$B$2:$B$9, MATCH(W195, 'Адреса общежитий (скрытый)'!$A$2:$A$9, 0)), "")</f>
        <v/>
      </c>
      <c r="Y195" s="18"/>
      <c r="Z195" s="18"/>
      <c r="AA195" s="18"/>
      <c r="AB195" s="18"/>
      <c r="AC195" s="18"/>
    </row>
    <row r="196" spans="1:29" ht="32.25" hidden="1" customHeight="1">
      <c r="A196" s="8">
        <v>2307946</v>
      </c>
      <c r="B196" s="9" t="s">
        <v>13284</v>
      </c>
      <c r="C196" s="9" t="s">
        <v>13284</v>
      </c>
      <c r="D196" s="9" t="s">
        <v>13284</v>
      </c>
      <c r="E196" s="9" t="s">
        <v>13284</v>
      </c>
      <c r="F196" s="9" t="s">
        <v>13284</v>
      </c>
      <c r="G196" s="9" t="s">
        <v>13284</v>
      </c>
      <c r="H196" s="9" t="s">
        <v>13284</v>
      </c>
      <c r="I196" s="9" t="s">
        <v>13284</v>
      </c>
      <c r="J196" s="9" t="s">
        <v>13284</v>
      </c>
      <c r="K196" s="9" t="s">
        <v>13284</v>
      </c>
      <c r="L196" s="9" t="s">
        <v>13284</v>
      </c>
      <c r="M196" s="9" t="s">
        <v>13284</v>
      </c>
      <c r="N196" s="9" t="s">
        <v>13284</v>
      </c>
      <c r="O196" s="9" t="s">
        <v>13284</v>
      </c>
      <c r="P196" s="9" t="s">
        <v>13284</v>
      </c>
      <c r="Q196" s="9" t="s">
        <v>13284</v>
      </c>
      <c r="R196" s="9" t="s">
        <v>13284</v>
      </c>
      <c r="S196" s="9" t="s">
        <v>13284</v>
      </c>
      <c r="T196" s="9" t="str">
        <f ca="1">IFERROR(IF(AND(VLOOKUP(A196, 'Актуальное состояние (из общего'!A:C,3,0) = "", A196 &lt;&gt; ""), "ПРОВЕРИТЬ", VLOOKUP(A196, 'Актуальное состояние (из общего'!A:C,3,0)), "")</f>
        <v>Студент</v>
      </c>
      <c r="U196" s="9" t="s">
        <v>13284</v>
      </c>
      <c r="V196" s="9" t="s">
        <v>13284</v>
      </c>
      <c r="W196" s="12"/>
      <c r="X196" s="9" t="str">
        <f t="array" ref="X196">IFERROR(INDEX('Адреса общежитий (скрытый)'!$B$2:$B$9, MATCH(W196, 'Адреса общежитий (скрытый)'!$A$2:$A$9, 0)), "")</f>
        <v/>
      </c>
      <c r="Y196" s="18"/>
      <c r="Z196" s="18"/>
      <c r="AA196" s="18"/>
      <c r="AB196" s="18"/>
      <c r="AC196" s="18"/>
    </row>
    <row r="197" spans="1:29" ht="32.25" customHeight="1">
      <c r="A197" s="8">
        <v>2313460</v>
      </c>
      <c r="B197" s="9" t="s">
        <v>13284</v>
      </c>
      <c r="C197" s="9" t="s">
        <v>13284</v>
      </c>
      <c r="D197" s="9" t="s">
        <v>13284</v>
      </c>
      <c r="E197" s="9" t="s">
        <v>13284</v>
      </c>
      <c r="F197" s="9" t="s">
        <v>13284</v>
      </c>
      <c r="G197" s="9" t="s">
        <v>13284</v>
      </c>
      <c r="H197" s="9" t="s">
        <v>13284</v>
      </c>
      <c r="I197" s="9" t="s">
        <v>13284</v>
      </c>
      <c r="J197" s="9" t="s">
        <v>13284</v>
      </c>
      <c r="K197" s="9" t="s">
        <v>13284</v>
      </c>
      <c r="L197" s="9" t="s">
        <v>13284</v>
      </c>
      <c r="M197" s="9" t="s">
        <v>13284</v>
      </c>
      <c r="N197" s="9" t="s">
        <v>13284</v>
      </c>
      <c r="O197" s="9" t="s">
        <v>13284</v>
      </c>
      <c r="P197" s="9" t="s">
        <v>13284</v>
      </c>
      <c r="Q197" s="9" t="s">
        <v>13284</v>
      </c>
      <c r="R197" s="9" t="s">
        <v>13284</v>
      </c>
      <c r="S197" s="9" t="s">
        <v>13284</v>
      </c>
      <c r="T197" s="9" t="str">
        <f ca="1">IFERROR(IF(AND(VLOOKUP(A197, 'Актуальное состояние (из общего'!A:C,3,0) = "", A197 &lt;&gt; ""), "ПРОВЕРИТЬ", VLOOKUP(A197, 'Актуальное состояние (из общего'!A:C,3,0)), "")</f>
        <v>Студент</v>
      </c>
      <c r="U197" s="9" t="s">
        <v>13284</v>
      </c>
      <c r="V197" s="9" t="s">
        <v>13284</v>
      </c>
      <c r="W197" s="9" t="s">
        <v>319</v>
      </c>
      <c r="X197" s="9" t="str">
        <f t="array" ref="X197">IFERROR(INDEX('Адреса общежитий (скрытый)'!$B$2:$B$9, MATCH(W197, 'Адреса общежитий (скрытый)'!$A$2:$A$9, 0)), "")</f>
        <v>ул. Профсоюзная, д.83, корп. 2</v>
      </c>
      <c r="Y197" s="18"/>
      <c r="Z197" s="18"/>
      <c r="AA197" s="18"/>
      <c r="AB197" s="18"/>
      <c r="AC197" s="18"/>
    </row>
    <row r="198" spans="1:29" ht="32.25" hidden="1" customHeight="1">
      <c r="A198" s="8">
        <v>2302697</v>
      </c>
      <c r="B198" s="9" t="s">
        <v>13284</v>
      </c>
      <c r="C198" s="9" t="s">
        <v>13284</v>
      </c>
      <c r="D198" s="9" t="s">
        <v>13284</v>
      </c>
      <c r="E198" s="9" t="s">
        <v>13284</v>
      </c>
      <c r="F198" s="9" t="s">
        <v>13284</v>
      </c>
      <c r="G198" s="9" t="s">
        <v>13284</v>
      </c>
      <c r="H198" s="9" t="s">
        <v>13284</v>
      </c>
      <c r="I198" s="9" t="s">
        <v>13284</v>
      </c>
      <c r="J198" s="9" t="s">
        <v>13284</v>
      </c>
      <c r="K198" s="9" t="s">
        <v>13284</v>
      </c>
      <c r="L198" s="9" t="s">
        <v>13284</v>
      </c>
      <c r="M198" s="9" t="s">
        <v>13284</v>
      </c>
      <c r="N198" s="9" t="s">
        <v>13284</v>
      </c>
      <c r="O198" s="9" t="s">
        <v>13284</v>
      </c>
      <c r="P198" s="9" t="s">
        <v>13284</v>
      </c>
      <c r="Q198" s="9" t="s">
        <v>13284</v>
      </c>
      <c r="R198" s="9" t="s">
        <v>13284</v>
      </c>
      <c r="S198" s="9" t="s">
        <v>13284</v>
      </c>
      <c r="T198" s="9" t="str">
        <f ca="1">IFERROR(IF(AND(VLOOKUP(A198, 'Актуальное состояние (из общего'!A:C,3,0) = "", A198 &lt;&gt; ""), "ПРОВЕРИТЬ", VLOOKUP(A198, 'Актуальное состояние (из общего'!A:C,3,0)), "")</f>
        <v>Студент</v>
      </c>
      <c r="U198" s="9" t="s">
        <v>13284</v>
      </c>
      <c r="V198" s="9" t="s">
        <v>13284</v>
      </c>
      <c r="W198" s="12"/>
      <c r="X198" s="9" t="str">
        <f t="array" ref="X198">IFERROR(INDEX('Адреса общежитий (скрытый)'!$B$2:$B$9, MATCH(W198, 'Адреса общежитий (скрытый)'!$A$2:$A$9, 0)), "")</f>
        <v/>
      </c>
      <c r="Y198" s="18"/>
      <c r="Z198" s="18"/>
      <c r="AA198" s="18"/>
      <c r="AB198" s="18"/>
      <c r="AC198" s="18"/>
    </row>
    <row r="199" spans="1:29" ht="32.25" hidden="1" customHeight="1">
      <c r="A199" s="8">
        <v>2304666</v>
      </c>
      <c r="B199" s="9" t="s">
        <v>13284</v>
      </c>
      <c r="C199" s="9" t="s">
        <v>13284</v>
      </c>
      <c r="D199" s="9" t="s">
        <v>13284</v>
      </c>
      <c r="E199" s="9" t="s">
        <v>13284</v>
      </c>
      <c r="F199" s="9" t="s">
        <v>13284</v>
      </c>
      <c r="G199" s="9" t="s">
        <v>13284</v>
      </c>
      <c r="H199" s="9" t="s">
        <v>13284</v>
      </c>
      <c r="I199" s="9" t="s">
        <v>13284</v>
      </c>
      <c r="J199" s="9" t="s">
        <v>13284</v>
      </c>
      <c r="K199" s="9" t="s">
        <v>13284</v>
      </c>
      <c r="L199" s="9" t="s">
        <v>13284</v>
      </c>
      <c r="M199" s="9" t="s">
        <v>13284</v>
      </c>
      <c r="N199" s="9" t="s">
        <v>13284</v>
      </c>
      <c r="O199" s="9" t="s">
        <v>13284</v>
      </c>
      <c r="P199" s="9" t="s">
        <v>13284</v>
      </c>
      <c r="Q199" s="9" t="s">
        <v>13284</v>
      </c>
      <c r="R199" s="9" t="s">
        <v>13284</v>
      </c>
      <c r="S199" s="9" t="s">
        <v>13284</v>
      </c>
      <c r="T199" s="9" t="str">
        <f ca="1">IFERROR(IF(AND(VLOOKUP(A199, 'Актуальное состояние (из общего'!A:C,3,0) = "", A199 &lt;&gt; ""), "ПРОВЕРИТЬ", VLOOKUP(A199, 'Актуальное состояние (из общего'!A:C,3,0)), "")</f>
        <v>Студент</v>
      </c>
      <c r="U199" s="9" t="s">
        <v>13284</v>
      </c>
      <c r="V199" s="9" t="s">
        <v>13284</v>
      </c>
      <c r="W199" s="12"/>
      <c r="X199" s="9" t="str">
        <f t="array" ref="X199">IFERROR(INDEX('Адреса общежитий (скрытый)'!$B$2:$B$9, MATCH(W199, 'Адреса общежитий (скрытый)'!$A$2:$A$9, 0)), "")</f>
        <v/>
      </c>
      <c r="Y199" s="18"/>
      <c r="Z199" s="18"/>
      <c r="AA199" s="18"/>
      <c r="AB199" s="18"/>
      <c r="AC199" s="18"/>
    </row>
    <row r="200" spans="1:29" ht="32.25" customHeight="1">
      <c r="A200" s="8">
        <v>2301060</v>
      </c>
      <c r="B200" s="9" t="s">
        <v>13284</v>
      </c>
      <c r="C200" s="9" t="s">
        <v>13284</v>
      </c>
      <c r="D200" s="9" t="s">
        <v>13284</v>
      </c>
      <c r="E200" s="9" t="s">
        <v>13284</v>
      </c>
      <c r="F200" s="9" t="s">
        <v>13284</v>
      </c>
      <c r="G200" s="9" t="s">
        <v>13284</v>
      </c>
      <c r="H200" s="9" t="s">
        <v>13284</v>
      </c>
      <c r="I200" s="9" t="s">
        <v>13284</v>
      </c>
      <c r="J200" s="9" t="s">
        <v>13284</v>
      </c>
      <c r="K200" s="9" t="s">
        <v>13284</v>
      </c>
      <c r="L200" s="9" t="s">
        <v>13284</v>
      </c>
      <c r="M200" s="9" t="s">
        <v>13284</v>
      </c>
      <c r="N200" s="9" t="s">
        <v>13284</v>
      </c>
      <c r="O200" s="9" t="s">
        <v>13284</v>
      </c>
      <c r="P200" s="9" t="s">
        <v>13284</v>
      </c>
      <c r="Q200" s="9" t="s">
        <v>13284</v>
      </c>
      <c r="R200" s="9" t="s">
        <v>13284</v>
      </c>
      <c r="S200" s="9" t="s">
        <v>13284</v>
      </c>
      <c r="T200" s="9" t="str">
        <f ca="1">IFERROR(IF(AND(VLOOKUP(A200, 'Актуальное состояние (из общего'!A:C,3,0) = "", A200 &lt;&gt; ""), "ПРОВЕРИТЬ", VLOOKUP(A200, 'Актуальное состояние (из общего'!A:C,3,0)), "")</f>
        <v>Студент</v>
      </c>
      <c r="U200" s="9" t="s">
        <v>13284</v>
      </c>
      <c r="V200" s="9" t="s">
        <v>13284</v>
      </c>
      <c r="W200" s="9" t="s">
        <v>64</v>
      </c>
      <c r="X200" s="9" t="str">
        <f t="array" ref="X200">IFERROR(INDEX('Адреса общежитий (скрытый)'!$B$2:$B$9, MATCH(W200, 'Адреса общежитий (скрытый)'!$A$2:$A$9, 0)), "")</f>
        <v>проспект 60-летия Октября, д.11</v>
      </c>
      <c r="Y200" s="18"/>
      <c r="Z200" s="18"/>
      <c r="AA200" s="18"/>
      <c r="AB200" s="18"/>
      <c r="AC200" s="18"/>
    </row>
    <row r="201" spans="1:29" ht="32.25" customHeight="1">
      <c r="A201" s="8">
        <v>2306260</v>
      </c>
      <c r="B201" s="9" t="s">
        <v>13284</v>
      </c>
      <c r="C201" s="9" t="s">
        <v>13284</v>
      </c>
      <c r="D201" s="9" t="s">
        <v>13284</v>
      </c>
      <c r="E201" s="9" t="s">
        <v>13284</v>
      </c>
      <c r="F201" s="9" t="s">
        <v>13284</v>
      </c>
      <c r="G201" s="9" t="s">
        <v>13284</v>
      </c>
      <c r="H201" s="9" t="s">
        <v>13284</v>
      </c>
      <c r="I201" s="9" t="s">
        <v>13284</v>
      </c>
      <c r="J201" s="9" t="s">
        <v>13284</v>
      </c>
      <c r="K201" s="9" t="s">
        <v>13284</v>
      </c>
      <c r="L201" s="9" t="s">
        <v>13284</v>
      </c>
      <c r="M201" s="9" t="s">
        <v>13284</v>
      </c>
      <c r="N201" s="9" t="s">
        <v>13284</v>
      </c>
      <c r="O201" s="9" t="s">
        <v>13284</v>
      </c>
      <c r="P201" s="9" t="s">
        <v>13284</v>
      </c>
      <c r="Q201" s="9" t="s">
        <v>13284</v>
      </c>
      <c r="R201" s="9" t="s">
        <v>13284</v>
      </c>
      <c r="S201" s="9" t="s">
        <v>13284</v>
      </c>
      <c r="T201" s="9" t="str">
        <f ca="1">IFERROR(IF(AND(VLOOKUP(A201, 'Актуальное состояние (из общего'!A:C,3,0) = "", A201 &lt;&gt; ""), "ПРОВЕРИТЬ", VLOOKUP(A201, 'Актуальное состояние (из общего'!A:C,3,0)), "")</f>
        <v>Студент</v>
      </c>
      <c r="U201" s="9" t="s">
        <v>13284</v>
      </c>
      <c r="V201" s="9" t="s">
        <v>13284</v>
      </c>
      <c r="W201" s="12"/>
      <c r="X201" s="9" t="str">
        <f t="array" ref="X201">IFERROR(INDEX('Адреса общежитий (скрытый)'!$B$2:$B$9, MATCH(W201, 'Адреса общежитий (скрытый)'!$A$2:$A$9, 0)), "")</f>
        <v/>
      </c>
      <c r="Y201" s="18"/>
      <c r="Z201" s="18"/>
      <c r="AA201" s="18"/>
      <c r="AB201" s="18"/>
      <c r="AC201" s="18"/>
    </row>
    <row r="202" spans="1:29" ht="32.25" customHeight="1">
      <c r="A202" s="8">
        <v>2309908</v>
      </c>
      <c r="B202" s="9" t="s">
        <v>13284</v>
      </c>
      <c r="C202" s="9" t="s">
        <v>13284</v>
      </c>
      <c r="D202" s="9" t="s">
        <v>13284</v>
      </c>
      <c r="E202" s="9" t="s">
        <v>13284</v>
      </c>
      <c r="F202" s="9" t="s">
        <v>13284</v>
      </c>
      <c r="G202" s="9" t="s">
        <v>13284</v>
      </c>
      <c r="H202" s="9" t="s">
        <v>13284</v>
      </c>
      <c r="I202" s="9" t="s">
        <v>13284</v>
      </c>
      <c r="J202" s="9" t="s">
        <v>13284</v>
      </c>
      <c r="K202" s="9" t="s">
        <v>13284</v>
      </c>
      <c r="L202" s="9" t="s">
        <v>13284</v>
      </c>
      <c r="M202" s="9" t="s">
        <v>13284</v>
      </c>
      <c r="N202" s="9" t="s">
        <v>13284</v>
      </c>
      <c r="O202" s="9" t="s">
        <v>13284</v>
      </c>
      <c r="P202" s="9" t="s">
        <v>13284</v>
      </c>
      <c r="Q202" s="9" t="s">
        <v>13284</v>
      </c>
      <c r="R202" s="9" t="s">
        <v>13284</v>
      </c>
      <c r="S202" s="9" t="s">
        <v>13284</v>
      </c>
      <c r="T202" s="9" t="str">
        <f ca="1">IFERROR(IF(AND(VLOOKUP(A202, 'Актуальное состояние (из общего'!A:C,3,0) = "", A202 &lt;&gt; ""), "ПРОВЕРИТЬ", VLOOKUP(A202, 'Актуальное состояние (из общего'!A:C,3,0)), "")</f>
        <v>Студент</v>
      </c>
      <c r="U202" s="9" t="s">
        <v>13284</v>
      </c>
      <c r="V202" s="9" t="s">
        <v>13284</v>
      </c>
      <c r="W202" s="9" t="s">
        <v>319</v>
      </c>
      <c r="X202" s="9" t="str">
        <f t="array" ref="X202">IFERROR(INDEX('Адреса общежитий (скрытый)'!$B$2:$B$9, MATCH(W202, 'Адреса общежитий (скрытый)'!$A$2:$A$9, 0)), "")</f>
        <v>ул. Профсоюзная, д.83, корп. 2</v>
      </c>
      <c r="Y202" s="18"/>
      <c r="Z202" s="18"/>
      <c r="AA202" s="18"/>
      <c r="AB202" s="18"/>
      <c r="AC202" s="18"/>
    </row>
    <row r="203" spans="1:29" ht="32.25" hidden="1" customHeight="1">
      <c r="A203" s="8">
        <v>2306871</v>
      </c>
      <c r="B203" s="9" t="s">
        <v>13284</v>
      </c>
      <c r="C203" s="9" t="s">
        <v>13284</v>
      </c>
      <c r="D203" s="9" t="s">
        <v>13284</v>
      </c>
      <c r="E203" s="9" t="s">
        <v>13284</v>
      </c>
      <c r="F203" s="9" t="s">
        <v>13284</v>
      </c>
      <c r="G203" s="9" t="s">
        <v>13284</v>
      </c>
      <c r="H203" s="9" t="s">
        <v>13284</v>
      </c>
      <c r="I203" s="9" t="s">
        <v>13284</v>
      </c>
      <c r="J203" s="9" t="s">
        <v>13284</v>
      </c>
      <c r="K203" s="9" t="s">
        <v>13284</v>
      </c>
      <c r="L203" s="9" t="s">
        <v>13284</v>
      </c>
      <c r="M203" s="9" t="s">
        <v>13284</v>
      </c>
      <c r="N203" s="9" t="s">
        <v>13284</v>
      </c>
      <c r="O203" s="9" t="s">
        <v>13284</v>
      </c>
      <c r="P203" s="9" t="s">
        <v>13284</v>
      </c>
      <c r="Q203" s="9" t="s">
        <v>13284</v>
      </c>
      <c r="R203" s="9" t="s">
        <v>13284</v>
      </c>
      <c r="S203" s="9" t="s">
        <v>13284</v>
      </c>
      <c r="T203" s="9" t="str">
        <f ca="1">IFERROR(IF(AND(VLOOKUP(A203, 'Актуальное состояние (из общего'!A:C,3,0) = "", A203 &lt;&gt; ""), "ПРОВЕРИТЬ", VLOOKUP(A203, 'Актуальное состояние (из общего'!A:C,3,0)), "")</f>
        <v>Студент</v>
      </c>
      <c r="U203" s="9" t="s">
        <v>13284</v>
      </c>
      <c r="V203" s="9" t="s">
        <v>13284</v>
      </c>
      <c r="W203" s="12"/>
      <c r="X203" s="9" t="str">
        <f t="array" ref="X203">IFERROR(INDEX('Адреса общежитий (скрытый)'!$B$2:$B$9, MATCH(W203, 'Адреса общежитий (скрытый)'!$A$2:$A$9, 0)), "")</f>
        <v/>
      </c>
      <c r="Y203" s="18"/>
      <c r="Z203" s="18"/>
      <c r="AA203" s="18"/>
      <c r="AB203" s="18"/>
      <c r="AC203" s="18"/>
    </row>
    <row r="204" spans="1:29" ht="32.25" hidden="1" customHeight="1">
      <c r="A204" s="8">
        <v>2303776</v>
      </c>
      <c r="B204" s="9" t="s">
        <v>13284</v>
      </c>
      <c r="C204" s="9" t="s">
        <v>13284</v>
      </c>
      <c r="D204" s="9" t="s">
        <v>13284</v>
      </c>
      <c r="E204" s="9" t="s">
        <v>13284</v>
      </c>
      <c r="F204" s="9" t="s">
        <v>13284</v>
      </c>
      <c r="G204" s="9" t="s">
        <v>13284</v>
      </c>
      <c r="H204" s="9" t="s">
        <v>13284</v>
      </c>
      <c r="I204" s="9" t="s">
        <v>13284</v>
      </c>
      <c r="J204" s="9" t="s">
        <v>13284</v>
      </c>
      <c r="K204" s="9" t="s">
        <v>13284</v>
      </c>
      <c r="L204" s="9" t="s">
        <v>13284</v>
      </c>
      <c r="M204" s="9" t="s">
        <v>13284</v>
      </c>
      <c r="N204" s="9" t="s">
        <v>13284</v>
      </c>
      <c r="O204" s="9" t="s">
        <v>13284</v>
      </c>
      <c r="P204" s="9" t="s">
        <v>13284</v>
      </c>
      <c r="Q204" s="9" t="s">
        <v>13284</v>
      </c>
      <c r="R204" s="9" t="s">
        <v>13284</v>
      </c>
      <c r="S204" s="9" t="s">
        <v>13284</v>
      </c>
      <c r="T204" s="9" t="str">
        <f ca="1">IFERROR(IF(AND(VLOOKUP(A204, 'Актуальное состояние (из общего'!A:C,3,0) = "", A204 &lt;&gt; ""), "ПРОВЕРИТЬ", VLOOKUP(A204, 'Актуальное состояние (из общего'!A:C,3,0)), "")</f>
        <v>Студент</v>
      </c>
      <c r="U204" s="9" t="s">
        <v>13284</v>
      </c>
      <c r="V204" s="9" t="s">
        <v>13284</v>
      </c>
      <c r="W204" s="12"/>
      <c r="X204" s="9" t="str">
        <f t="array" ref="X204">IFERROR(INDEX('Адреса общежитий (скрытый)'!$B$2:$B$9, MATCH(W204, 'Адреса общежитий (скрытый)'!$A$2:$A$9, 0)), "")</f>
        <v/>
      </c>
      <c r="Y204" s="18"/>
      <c r="Z204" s="18"/>
      <c r="AA204" s="18"/>
      <c r="AB204" s="18"/>
      <c r="AC204" s="18"/>
    </row>
    <row r="205" spans="1:29" ht="32.25" hidden="1" customHeight="1">
      <c r="A205" s="8">
        <v>2301145</v>
      </c>
      <c r="B205" s="9" t="s">
        <v>13284</v>
      </c>
      <c r="C205" s="9" t="s">
        <v>13284</v>
      </c>
      <c r="D205" s="9" t="s">
        <v>13284</v>
      </c>
      <c r="E205" s="9" t="s">
        <v>13284</v>
      </c>
      <c r="F205" s="9" t="s">
        <v>13284</v>
      </c>
      <c r="G205" s="9" t="s">
        <v>13284</v>
      </c>
      <c r="H205" s="9" t="s">
        <v>13284</v>
      </c>
      <c r="I205" s="9" t="s">
        <v>13284</v>
      </c>
      <c r="J205" s="9" t="s">
        <v>13284</v>
      </c>
      <c r="K205" s="9" t="s">
        <v>13284</v>
      </c>
      <c r="L205" s="9" t="s">
        <v>13284</v>
      </c>
      <c r="M205" s="9" t="s">
        <v>13284</v>
      </c>
      <c r="N205" s="9" t="s">
        <v>13284</v>
      </c>
      <c r="O205" s="9" t="s">
        <v>13284</v>
      </c>
      <c r="P205" s="9" t="s">
        <v>13284</v>
      </c>
      <c r="Q205" s="9" t="s">
        <v>13284</v>
      </c>
      <c r="R205" s="9" t="s">
        <v>13284</v>
      </c>
      <c r="S205" s="9" t="s">
        <v>13284</v>
      </c>
      <c r="T205" s="9" t="str">
        <f ca="1">IFERROR(IF(AND(VLOOKUP(A205, 'Актуальное состояние (из общего'!A:C,3,0) = "", A205 &lt;&gt; ""), "ПРОВЕРИТЬ", VLOOKUP(A205, 'Актуальное состояние (из общего'!A:C,3,0)), "")</f>
        <v>Студент</v>
      </c>
      <c r="U205" s="9" t="s">
        <v>13284</v>
      </c>
      <c r="V205" s="9" t="s">
        <v>13284</v>
      </c>
      <c r="W205" s="12"/>
      <c r="X205" s="9" t="str">
        <f t="array" ref="X205">IFERROR(INDEX('Адреса общежитий (скрытый)'!$B$2:$B$9, MATCH(W205, 'Адреса общежитий (скрытый)'!$A$2:$A$9, 0)), "")</f>
        <v/>
      </c>
      <c r="Y205" s="18"/>
      <c r="Z205" s="18"/>
      <c r="AA205" s="18"/>
      <c r="AB205" s="18"/>
      <c r="AC205" s="18"/>
    </row>
    <row r="206" spans="1:29" ht="32.25" customHeight="1">
      <c r="A206" s="8">
        <v>2311633</v>
      </c>
      <c r="B206" s="9" t="s">
        <v>13284</v>
      </c>
      <c r="C206" s="9" t="s">
        <v>13284</v>
      </c>
      <c r="D206" s="9" t="s">
        <v>13284</v>
      </c>
      <c r="E206" s="9" t="s">
        <v>13284</v>
      </c>
      <c r="F206" s="9" t="s">
        <v>13284</v>
      </c>
      <c r="G206" s="9" t="s">
        <v>13284</v>
      </c>
      <c r="H206" s="9" t="s">
        <v>13284</v>
      </c>
      <c r="I206" s="9" t="s">
        <v>13284</v>
      </c>
      <c r="J206" s="9" t="s">
        <v>13284</v>
      </c>
      <c r="K206" s="9" t="s">
        <v>13284</v>
      </c>
      <c r="L206" s="9" t="s">
        <v>13284</v>
      </c>
      <c r="M206" s="9" t="s">
        <v>13284</v>
      </c>
      <c r="N206" s="9" t="s">
        <v>13284</v>
      </c>
      <c r="O206" s="9" t="s">
        <v>13284</v>
      </c>
      <c r="P206" s="9" t="s">
        <v>13284</v>
      </c>
      <c r="Q206" s="9" t="s">
        <v>13284</v>
      </c>
      <c r="R206" s="9" t="s">
        <v>13284</v>
      </c>
      <c r="S206" s="9" t="s">
        <v>13284</v>
      </c>
      <c r="T206" s="9" t="str">
        <f ca="1">IFERROR(IF(AND(VLOOKUP(A206, 'Актуальное состояние (из общего'!A:C,3,0) = "", A206 &lt;&gt; ""), "ПРОВЕРИТЬ", VLOOKUP(A206, 'Актуальное состояние (из общего'!A:C,3,0)), "")</f>
        <v>Студент</v>
      </c>
      <c r="U206" s="9" t="s">
        <v>13284</v>
      </c>
      <c r="V206" s="9" t="s">
        <v>13284</v>
      </c>
      <c r="W206" s="9" t="s">
        <v>64</v>
      </c>
      <c r="X206" s="9" t="str">
        <f t="array" ref="X206">IFERROR(INDEX('Адреса общежитий (скрытый)'!$B$2:$B$9, MATCH(W206, 'Адреса общежитий (скрытый)'!$A$2:$A$9, 0)), "")</f>
        <v>проспект 60-летия Октября, д.11</v>
      </c>
      <c r="Y206" s="18"/>
      <c r="Z206" s="18"/>
      <c r="AA206" s="18"/>
      <c r="AB206" s="18"/>
      <c r="AC206" s="18"/>
    </row>
    <row r="207" spans="1:29" ht="32.25" customHeight="1">
      <c r="A207" s="8">
        <v>2300724</v>
      </c>
      <c r="B207" s="9" t="s">
        <v>13284</v>
      </c>
      <c r="C207" s="9" t="s">
        <v>13284</v>
      </c>
      <c r="D207" s="9" t="s">
        <v>13284</v>
      </c>
      <c r="E207" s="9" t="s">
        <v>13284</v>
      </c>
      <c r="F207" s="9" t="s">
        <v>13284</v>
      </c>
      <c r="G207" s="9" t="s">
        <v>13284</v>
      </c>
      <c r="H207" s="9" t="s">
        <v>13284</v>
      </c>
      <c r="I207" s="9" t="s">
        <v>13284</v>
      </c>
      <c r="J207" s="9" t="s">
        <v>13284</v>
      </c>
      <c r="K207" s="9" t="s">
        <v>13284</v>
      </c>
      <c r="L207" s="9" t="s">
        <v>13284</v>
      </c>
      <c r="M207" s="9" t="s">
        <v>13284</v>
      </c>
      <c r="N207" s="9" t="s">
        <v>13284</v>
      </c>
      <c r="O207" s="9" t="s">
        <v>13284</v>
      </c>
      <c r="P207" s="9" t="s">
        <v>13284</v>
      </c>
      <c r="Q207" s="9" t="s">
        <v>13284</v>
      </c>
      <c r="R207" s="9" t="s">
        <v>13284</v>
      </c>
      <c r="S207" s="9" t="s">
        <v>13284</v>
      </c>
      <c r="T207" s="9" t="str">
        <f ca="1">IFERROR(IF(AND(VLOOKUP(A207, 'Актуальное состояние (из общего'!A:C,3,0) = "", A207 &lt;&gt; ""), "ПРОВЕРИТЬ", VLOOKUP(A207, 'Актуальное состояние (из общего'!A:C,3,0)), "")</f>
        <v>Студент</v>
      </c>
      <c r="U207" s="9" t="s">
        <v>13284</v>
      </c>
      <c r="V207" s="9" t="s">
        <v>13284</v>
      </c>
      <c r="W207" s="9" t="s">
        <v>64</v>
      </c>
      <c r="X207" s="9" t="str">
        <f t="array" ref="X207">IFERROR(INDEX('Адреса общежитий (скрытый)'!$B$2:$B$9, MATCH(W207, 'Адреса общежитий (скрытый)'!$A$2:$A$9, 0)), "")</f>
        <v>проспект 60-летия Октября, д.11</v>
      </c>
      <c r="Y207" s="18"/>
      <c r="Z207" s="18"/>
      <c r="AA207" s="18"/>
      <c r="AB207" s="18"/>
      <c r="AC207" s="18"/>
    </row>
    <row r="208" spans="1:29" ht="32.25" hidden="1" customHeight="1">
      <c r="A208" s="8">
        <v>2304283</v>
      </c>
      <c r="B208" s="9" t="s">
        <v>13284</v>
      </c>
      <c r="C208" s="9" t="s">
        <v>13284</v>
      </c>
      <c r="D208" s="9" t="s">
        <v>13284</v>
      </c>
      <c r="E208" s="9" t="s">
        <v>13284</v>
      </c>
      <c r="F208" s="9" t="s">
        <v>13284</v>
      </c>
      <c r="G208" s="9" t="s">
        <v>13284</v>
      </c>
      <c r="H208" s="9" t="s">
        <v>13284</v>
      </c>
      <c r="I208" s="9" t="s">
        <v>13284</v>
      </c>
      <c r="J208" s="9" t="s">
        <v>13284</v>
      </c>
      <c r="K208" s="9" t="s">
        <v>13284</v>
      </c>
      <c r="L208" s="9" t="s">
        <v>13284</v>
      </c>
      <c r="M208" s="9" t="s">
        <v>13284</v>
      </c>
      <c r="N208" s="9" t="s">
        <v>13284</v>
      </c>
      <c r="O208" s="9" t="s">
        <v>13284</v>
      </c>
      <c r="P208" s="9" t="s">
        <v>13284</v>
      </c>
      <c r="Q208" s="9" t="s">
        <v>13284</v>
      </c>
      <c r="R208" s="9" t="s">
        <v>13284</v>
      </c>
      <c r="S208" s="9" t="s">
        <v>13284</v>
      </c>
      <c r="T208" s="9" t="str">
        <f ca="1">IFERROR(IF(AND(VLOOKUP(A208, 'Актуальное состояние (из общего'!A:C,3,0) = "", A208 &lt;&gt; ""), "ПРОВЕРИТЬ", VLOOKUP(A208, 'Актуальное состояние (из общего'!A:C,3,0)), "")</f>
        <v>Студент</v>
      </c>
      <c r="U208" s="9" t="s">
        <v>13284</v>
      </c>
      <c r="V208" s="9" t="s">
        <v>13284</v>
      </c>
      <c r="W208" s="12"/>
      <c r="X208" s="9" t="str">
        <f t="array" ref="X208">IFERROR(INDEX('Адреса общежитий (скрытый)'!$B$2:$B$9, MATCH(W208, 'Адреса общежитий (скрытый)'!$A$2:$A$9, 0)), "")</f>
        <v/>
      </c>
      <c r="Y208" s="18"/>
      <c r="Z208" s="18"/>
      <c r="AA208" s="18"/>
      <c r="AB208" s="18"/>
      <c r="AC208" s="18"/>
    </row>
    <row r="209" spans="1:29" ht="32.25" hidden="1" customHeight="1">
      <c r="A209" s="8">
        <v>2311199</v>
      </c>
      <c r="B209" s="9" t="s">
        <v>13284</v>
      </c>
      <c r="C209" s="9" t="s">
        <v>13284</v>
      </c>
      <c r="D209" s="9" t="s">
        <v>13284</v>
      </c>
      <c r="E209" s="9" t="s">
        <v>13284</v>
      </c>
      <c r="F209" s="9" t="s">
        <v>13284</v>
      </c>
      <c r="G209" s="9" t="s">
        <v>13284</v>
      </c>
      <c r="H209" s="9" t="s">
        <v>13284</v>
      </c>
      <c r="I209" s="9" t="s">
        <v>13284</v>
      </c>
      <c r="J209" s="9" t="s">
        <v>13284</v>
      </c>
      <c r="K209" s="9" t="s">
        <v>13284</v>
      </c>
      <c r="L209" s="9" t="s">
        <v>13284</v>
      </c>
      <c r="M209" s="9" t="s">
        <v>13284</v>
      </c>
      <c r="N209" s="9" t="s">
        <v>13284</v>
      </c>
      <c r="O209" s="9" t="s">
        <v>13284</v>
      </c>
      <c r="P209" s="9" t="s">
        <v>13284</v>
      </c>
      <c r="Q209" s="9" t="s">
        <v>13284</v>
      </c>
      <c r="R209" s="9" t="s">
        <v>13284</v>
      </c>
      <c r="S209" s="9" t="s">
        <v>13284</v>
      </c>
      <c r="T209" s="9" t="str">
        <f ca="1">IFERROR(IF(AND(VLOOKUP(A209, 'Актуальное состояние (из общего'!A:C,3,0) = "", A209 &lt;&gt; ""), "ПРОВЕРИТЬ", VLOOKUP(A209, 'Актуальное состояние (из общего'!A:C,3,0)), "")</f>
        <v>Студент</v>
      </c>
      <c r="U209" s="9" t="s">
        <v>13284</v>
      </c>
      <c r="V209" s="9" t="s">
        <v>13284</v>
      </c>
      <c r="W209" s="12"/>
      <c r="X209" s="9" t="str">
        <f t="array" ref="X209">IFERROR(INDEX('Адреса общежитий (скрытый)'!$B$2:$B$9, MATCH(W209, 'Адреса общежитий (скрытый)'!$A$2:$A$9, 0)), "")</f>
        <v/>
      </c>
      <c r="Y209" s="18"/>
      <c r="Z209" s="18"/>
      <c r="AA209" s="18"/>
      <c r="AB209" s="18"/>
      <c r="AC209" s="18"/>
    </row>
    <row r="210" spans="1:29" ht="32.25" customHeight="1">
      <c r="A210" s="8">
        <v>2309900</v>
      </c>
      <c r="B210" s="9" t="s">
        <v>13284</v>
      </c>
      <c r="C210" s="9" t="s">
        <v>13284</v>
      </c>
      <c r="D210" s="9" t="s">
        <v>13284</v>
      </c>
      <c r="E210" s="9" t="s">
        <v>13284</v>
      </c>
      <c r="F210" s="9" t="s">
        <v>13284</v>
      </c>
      <c r="G210" s="9" t="s">
        <v>13284</v>
      </c>
      <c r="H210" s="9" t="s">
        <v>13284</v>
      </c>
      <c r="I210" s="9" t="s">
        <v>13284</v>
      </c>
      <c r="J210" s="9" t="s">
        <v>13284</v>
      </c>
      <c r="K210" s="9" t="s">
        <v>13284</v>
      </c>
      <c r="L210" s="9" t="s">
        <v>13284</v>
      </c>
      <c r="M210" s="9" t="s">
        <v>13284</v>
      </c>
      <c r="N210" s="9" t="s">
        <v>13284</v>
      </c>
      <c r="O210" s="9" t="s">
        <v>13284</v>
      </c>
      <c r="P210" s="9" t="s">
        <v>13284</v>
      </c>
      <c r="Q210" s="9" t="s">
        <v>13284</v>
      </c>
      <c r="R210" s="9" t="s">
        <v>13284</v>
      </c>
      <c r="S210" s="9" t="s">
        <v>13284</v>
      </c>
      <c r="T210" s="9" t="str">
        <f ca="1">IFERROR(IF(AND(VLOOKUP(A210, 'Актуальное состояние (из общего'!A:C,3,0) = "", A210 &lt;&gt; ""), "ПРОВЕРИТЬ", VLOOKUP(A210, 'Актуальное состояние (из общего'!A:C,3,0)), "")</f>
        <v>Студент</v>
      </c>
      <c r="U210" s="9" t="s">
        <v>13284</v>
      </c>
      <c r="V210" s="9" t="s">
        <v>13284</v>
      </c>
      <c r="W210" s="9" t="s">
        <v>196</v>
      </c>
      <c r="X210" s="9" t="str">
        <f t="array" ref="X210">IFERROR(INDEX('Адреса общежитий (скрытый)'!$B$2:$B$9, MATCH(W210, 'Адреса общежитий (скрытый)'!$A$2:$A$9, 0)), "")</f>
        <v>проспект 60-летия Октября, д.15</v>
      </c>
      <c r="Y210" s="18"/>
      <c r="Z210" s="18"/>
      <c r="AA210" s="18"/>
      <c r="AB210" s="18"/>
      <c r="AC210" s="18"/>
    </row>
    <row r="211" spans="1:29" ht="32.25" customHeight="1">
      <c r="A211" s="8">
        <v>2308216</v>
      </c>
      <c r="B211" s="9" t="s">
        <v>13284</v>
      </c>
      <c r="C211" s="9" t="s">
        <v>13284</v>
      </c>
      <c r="D211" s="9" t="s">
        <v>13284</v>
      </c>
      <c r="E211" s="9" t="s">
        <v>13284</v>
      </c>
      <c r="F211" s="9" t="s">
        <v>13284</v>
      </c>
      <c r="G211" s="9" t="s">
        <v>13284</v>
      </c>
      <c r="H211" s="9" t="s">
        <v>13284</v>
      </c>
      <c r="I211" s="9" t="s">
        <v>13284</v>
      </c>
      <c r="J211" s="9" t="s">
        <v>13284</v>
      </c>
      <c r="K211" s="9" t="s">
        <v>13284</v>
      </c>
      <c r="L211" s="9" t="s">
        <v>13284</v>
      </c>
      <c r="M211" s="9" t="s">
        <v>13284</v>
      </c>
      <c r="N211" s="9" t="s">
        <v>13284</v>
      </c>
      <c r="O211" s="9" t="s">
        <v>13284</v>
      </c>
      <c r="P211" s="9" t="s">
        <v>13284</v>
      </c>
      <c r="Q211" s="9" t="s">
        <v>13284</v>
      </c>
      <c r="R211" s="9" t="s">
        <v>13284</v>
      </c>
      <c r="S211" s="9" t="s">
        <v>13284</v>
      </c>
      <c r="T211" s="9" t="str">
        <f ca="1">IFERROR(IF(AND(VLOOKUP(A211, 'Актуальное состояние (из общего'!A:C,3,0) = "", A211 &lt;&gt; ""), "ПРОВЕРИТЬ", VLOOKUP(A211, 'Актуальное состояние (из общего'!A:C,3,0)), "")</f>
        <v>Студент</v>
      </c>
      <c r="U211" s="9" t="s">
        <v>13284</v>
      </c>
      <c r="V211" s="9" t="s">
        <v>13284</v>
      </c>
      <c r="W211" s="9" t="s">
        <v>64</v>
      </c>
      <c r="X211" s="9" t="str">
        <f t="array" ref="X211">IFERROR(INDEX('Адреса общежитий (скрытый)'!$B$2:$B$9, MATCH(W211, 'Адреса общежитий (скрытый)'!$A$2:$A$9, 0)), "")</f>
        <v>проспект 60-летия Октября, д.11</v>
      </c>
      <c r="Y211" s="18"/>
      <c r="Z211" s="18"/>
      <c r="AA211" s="18"/>
      <c r="AB211" s="18"/>
      <c r="AC211" s="18"/>
    </row>
    <row r="212" spans="1:29" ht="32.25" customHeight="1">
      <c r="A212" s="8">
        <v>2305597</v>
      </c>
      <c r="B212" s="9" t="s">
        <v>13284</v>
      </c>
      <c r="C212" s="9" t="s">
        <v>13284</v>
      </c>
      <c r="D212" s="9" t="s">
        <v>13284</v>
      </c>
      <c r="E212" s="9" t="s">
        <v>13284</v>
      </c>
      <c r="F212" s="9" t="s">
        <v>13284</v>
      </c>
      <c r="G212" s="9" t="s">
        <v>13284</v>
      </c>
      <c r="H212" s="9" t="s">
        <v>13284</v>
      </c>
      <c r="I212" s="9" t="s">
        <v>13284</v>
      </c>
      <c r="J212" s="9" t="s">
        <v>13284</v>
      </c>
      <c r="K212" s="9" t="s">
        <v>13284</v>
      </c>
      <c r="L212" s="9" t="s">
        <v>13284</v>
      </c>
      <c r="M212" s="9" t="s">
        <v>13284</v>
      </c>
      <c r="N212" s="9" t="s">
        <v>13284</v>
      </c>
      <c r="O212" s="9" t="s">
        <v>13284</v>
      </c>
      <c r="P212" s="9" t="s">
        <v>13284</v>
      </c>
      <c r="Q212" s="9" t="s">
        <v>13284</v>
      </c>
      <c r="R212" s="9" t="s">
        <v>13284</v>
      </c>
      <c r="S212" s="9" t="s">
        <v>13284</v>
      </c>
      <c r="T212" s="9" t="str">
        <f ca="1">IFERROR(IF(AND(VLOOKUP(A212, 'Актуальное состояние (из общего'!A:C,3,0) = "", A212 &lt;&gt; ""), "ПРОВЕРИТЬ", VLOOKUP(A212, 'Актуальное состояние (из общего'!A:C,3,0)), "")</f>
        <v>Студент</v>
      </c>
      <c r="U212" s="9" t="s">
        <v>13284</v>
      </c>
      <c r="V212" s="9" t="s">
        <v>13284</v>
      </c>
      <c r="W212" s="9" t="s">
        <v>196</v>
      </c>
      <c r="X212" s="9" t="str">
        <f t="array" ref="X212">IFERROR(INDEX('Адреса общежитий (скрытый)'!$B$2:$B$9, MATCH(W212, 'Адреса общежитий (скрытый)'!$A$2:$A$9, 0)), "")</f>
        <v>проспект 60-летия Октября, д.15</v>
      </c>
      <c r="Y212" s="18"/>
      <c r="Z212" s="18"/>
      <c r="AA212" s="18"/>
      <c r="AB212" s="18"/>
      <c r="AC212" s="18"/>
    </row>
    <row r="213" spans="1:29" ht="32.25" customHeight="1">
      <c r="A213" s="8">
        <v>2304898</v>
      </c>
      <c r="B213" s="9" t="s">
        <v>13284</v>
      </c>
      <c r="C213" s="9" t="s">
        <v>13284</v>
      </c>
      <c r="D213" s="9" t="s">
        <v>13284</v>
      </c>
      <c r="E213" s="9" t="s">
        <v>13284</v>
      </c>
      <c r="F213" s="9" t="s">
        <v>13284</v>
      </c>
      <c r="G213" s="9" t="s">
        <v>13284</v>
      </c>
      <c r="H213" s="9" t="s">
        <v>13284</v>
      </c>
      <c r="I213" s="9" t="s">
        <v>13284</v>
      </c>
      <c r="J213" s="9" t="s">
        <v>13284</v>
      </c>
      <c r="K213" s="9" t="s">
        <v>13284</v>
      </c>
      <c r="L213" s="9" t="s">
        <v>13284</v>
      </c>
      <c r="M213" s="9" t="s">
        <v>13284</v>
      </c>
      <c r="N213" s="9" t="s">
        <v>13284</v>
      </c>
      <c r="O213" s="9" t="s">
        <v>13284</v>
      </c>
      <c r="P213" s="9" t="s">
        <v>13284</v>
      </c>
      <c r="Q213" s="9" t="s">
        <v>13284</v>
      </c>
      <c r="R213" s="9" t="s">
        <v>13284</v>
      </c>
      <c r="S213" s="9" t="s">
        <v>13284</v>
      </c>
      <c r="T213" s="9" t="str">
        <f ca="1">IFERROR(IF(AND(VLOOKUP(A213, 'Актуальное состояние (из общего'!A:C,3,0) = "", A213 &lt;&gt; ""), "ПРОВЕРИТЬ", VLOOKUP(A213, 'Актуальное состояние (из общего'!A:C,3,0)), "")</f>
        <v>Студент</v>
      </c>
      <c r="U213" s="9" t="s">
        <v>13284</v>
      </c>
      <c r="V213" s="9" t="s">
        <v>13284</v>
      </c>
      <c r="W213" s="9" t="s">
        <v>64</v>
      </c>
      <c r="X213" s="9" t="str">
        <f t="array" ref="X213">IFERROR(INDEX('Адреса общежитий (скрытый)'!$B$2:$B$9, MATCH(W213, 'Адреса общежитий (скрытый)'!$A$2:$A$9, 0)), "")</f>
        <v>проспект 60-летия Октября, д.11</v>
      </c>
      <c r="Y213" s="18"/>
      <c r="Z213" s="18"/>
      <c r="AA213" s="18"/>
      <c r="AB213" s="18"/>
      <c r="AC213" s="18"/>
    </row>
    <row r="214" spans="1:29" ht="32.25" customHeight="1">
      <c r="A214" s="8">
        <v>2307550</v>
      </c>
      <c r="B214" s="9" t="s">
        <v>13284</v>
      </c>
      <c r="C214" s="9" t="s">
        <v>13284</v>
      </c>
      <c r="D214" s="9" t="s">
        <v>13284</v>
      </c>
      <c r="E214" s="9" t="s">
        <v>13284</v>
      </c>
      <c r="F214" s="9" t="s">
        <v>13284</v>
      </c>
      <c r="G214" s="9" t="s">
        <v>13284</v>
      </c>
      <c r="H214" s="9" t="s">
        <v>13284</v>
      </c>
      <c r="I214" s="9" t="s">
        <v>13284</v>
      </c>
      <c r="J214" s="9" t="s">
        <v>13284</v>
      </c>
      <c r="K214" s="9" t="s">
        <v>13284</v>
      </c>
      <c r="L214" s="9" t="s">
        <v>13284</v>
      </c>
      <c r="M214" s="9" t="s">
        <v>13284</v>
      </c>
      <c r="N214" s="9" t="s">
        <v>13284</v>
      </c>
      <c r="O214" s="9" t="s">
        <v>13284</v>
      </c>
      <c r="P214" s="9" t="s">
        <v>13284</v>
      </c>
      <c r="Q214" s="9" t="s">
        <v>13284</v>
      </c>
      <c r="R214" s="9" t="s">
        <v>13284</v>
      </c>
      <c r="S214" s="9" t="s">
        <v>13284</v>
      </c>
      <c r="T214" s="9" t="str">
        <f ca="1">IFERROR(IF(AND(VLOOKUP(A214, 'Актуальное состояние (из общего'!A:C,3,0) = "", A214 &lt;&gt; ""), "ПРОВЕРИТЬ", VLOOKUP(A214, 'Актуальное состояние (из общего'!A:C,3,0)), "")</f>
        <v>Студент</v>
      </c>
      <c r="U214" s="9" t="s">
        <v>13284</v>
      </c>
      <c r="V214" s="9" t="s">
        <v>13284</v>
      </c>
      <c r="W214" s="9"/>
      <c r="X214" s="9" t="str">
        <f t="array" ref="X214">IFERROR(INDEX('Адреса общежитий (скрытый)'!$B$2:$B$9, MATCH(W214, 'Адреса общежитий (скрытый)'!$A$2:$A$9, 0)), "")</f>
        <v/>
      </c>
      <c r="Y214" s="18"/>
      <c r="Z214" s="18"/>
      <c r="AA214" s="18"/>
      <c r="AB214" s="18"/>
      <c r="AC214" s="18"/>
    </row>
    <row r="215" spans="1:29" ht="32.25" hidden="1" customHeight="1">
      <c r="A215" s="8">
        <v>2310520</v>
      </c>
      <c r="B215" s="9" t="s">
        <v>13284</v>
      </c>
      <c r="C215" s="9" t="s">
        <v>13284</v>
      </c>
      <c r="D215" s="9" t="s">
        <v>13284</v>
      </c>
      <c r="E215" s="9" t="s">
        <v>13284</v>
      </c>
      <c r="F215" s="9" t="s">
        <v>13284</v>
      </c>
      <c r="G215" s="9" t="s">
        <v>13284</v>
      </c>
      <c r="H215" s="9" t="s">
        <v>13284</v>
      </c>
      <c r="I215" s="9" t="s">
        <v>13284</v>
      </c>
      <c r="J215" s="9" t="s">
        <v>13284</v>
      </c>
      <c r="K215" s="9" t="s">
        <v>13284</v>
      </c>
      <c r="L215" s="9" t="s">
        <v>13284</v>
      </c>
      <c r="M215" s="9" t="s">
        <v>13284</v>
      </c>
      <c r="N215" s="9" t="s">
        <v>13284</v>
      </c>
      <c r="O215" s="9" t="s">
        <v>13284</v>
      </c>
      <c r="P215" s="9" t="s">
        <v>13284</v>
      </c>
      <c r="Q215" s="9" t="s">
        <v>13284</v>
      </c>
      <c r="R215" s="9" t="s">
        <v>13284</v>
      </c>
      <c r="S215" s="9" t="s">
        <v>13284</v>
      </c>
      <c r="T215" s="9" t="str">
        <f ca="1">IFERROR(IF(AND(VLOOKUP(A215, 'Актуальное состояние (из общего'!A:C,3,0) = "", A215 &lt;&gt; ""), "ПРОВЕРИТЬ", VLOOKUP(A215, 'Актуальное состояние (из общего'!A:C,3,0)), "")</f>
        <v>Студент</v>
      </c>
      <c r="U215" s="9" t="s">
        <v>13284</v>
      </c>
      <c r="V215" s="9" t="s">
        <v>13284</v>
      </c>
      <c r="W215" s="12"/>
      <c r="X215" s="9" t="str">
        <f t="array" ref="X215">IFERROR(INDEX('Адреса общежитий (скрытый)'!$B$2:$B$9, MATCH(W215, 'Адреса общежитий (скрытый)'!$A$2:$A$9, 0)), "")</f>
        <v/>
      </c>
      <c r="Y215" s="18"/>
      <c r="Z215" s="18"/>
      <c r="AA215" s="18"/>
      <c r="AB215" s="18"/>
      <c r="AC215" s="18"/>
    </row>
    <row r="216" spans="1:29" ht="32.25" customHeight="1">
      <c r="A216" s="8">
        <v>2303760</v>
      </c>
      <c r="B216" s="9" t="s">
        <v>13284</v>
      </c>
      <c r="C216" s="9" t="s">
        <v>13284</v>
      </c>
      <c r="D216" s="9" t="s">
        <v>13284</v>
      </c>
      <c r="E216" s="9" t="s">
        <v>13284</v>
      </c>
      <c r="F216" s="9" t="s">
        <v>13284</v>
      </c>
      <c r="G216" s="9" t="s">
        <v>13284</v>
      </c>
      <c r="H216" s="9" t="s">
        <v>13284</v>
      </c>
      <c r="I216" s="9" t="s">
        <v>13284</v>
      </c>
      <c r="J216" s="9" t="s">
        <v>13284</v>
      </c>
      <c r="K216" s="9" t="s">
        <v>13284</v>
      </c>
      <c r="L216" s="9" t="s">
        <v>13284</v>
      </c>
      <c r="M216" s="9" t="s">
        <v>13284</v>
      </c>
      <c r="N216" s="9" t="s">
        <v>13284</v>
      </c>
      <c r="O216" s="9" t="s">
        <v>13284</v>
      </c>
      <c r="P216" s="9" t="s">
        <v>13284</v>
      </c>
      <c r="Q216" s="9" t="s">
        <v>13284</v>
      </c>
      <c r="R216" s="9" t="s">
        <v>13284</v>
      </c>
      <c r="S216" s="9" t="s">
        <v>13284</v>
      </c>
      <c r="T216" s="9" t="str">
        <f ca="1">IFERROR(IF(AND(VLOOKUP(A216, 'Актуальное состояние (из общего'!A:C,3,0) = "", A216 &lt;&gt; ""), "ПРОВЕРИТЬ", VLOOKUP(A216, 'Актуальное состояние (из общего'!A:C,3,0)), "")</f>
        <v>Студент</v>
      </c>
      <c r="U216" s="9" t="s">
        <v>13284</v>
      </c>
      <c r="V216" s="9" t="s">
        <v>13284</v>
      </c>
      <c r="W216" s="9" t="s">
        <v>64</v>
      </c>
      <c r="X216" s="9" t="str">
        <f t="array" ref="X216">IFERROR(INDEX('Адреса общежитий (скрытый)'!$B$2:$B$9, MATCH(W216, 'Адреса общежитий (скрытый)'!$A$2:$A$9, 0)), "")</f>
        <v>проспект 60-летия Октября, д.11</v>
      </c>
      <c r="Y216" s="18"/>
      <c r="Z216" s="18"/>
      <c r="AA216" s="18"/>
      <c r="AB216" s="18"/>
      <c r="AC216" s="18"/>
    </row>
    <row r="217" spans="1:29" ht="32.25" customHeight="1">
      <c r="A217" s="8">
        <v>2308405</v>
      </c>
      <c r="B217" s="9" t="s">
        <v>13284</v>
      </c>
      <c r="C217" s="9" t="s">
        <v>13284</v>
      </c>
      <c r="D217" s="9" t="s">
        <v>13284</v>
      </c>
      <c r="E217" s="9" t="s">
        <v>13284</v>
      </c>
      <c r="F217" s="9" t="s">
        <v>13284</v>
      </c>
      <c r="G217" s="9" t="s">
        <v>13284</v>
      </c>
      <c r="H217" s="9" t="s">
        <v>13284</v>
      </c>
      <c r="I217" s="9" t="s">
        <v>13284</v>
      </c>
      <c r="J217" s="9" t="s">
        <v>13284</v>
      </c>
      <c r="K217" s="9" t="s">
        <v>13284</v>
      </c>
      <c r="L217" s="9" t="s">
        <v>13284</v>
      </c>
      <c r="M217" s="9" t="s">
        <v>13284</v>
      </c>
      <c r="N217" s="9" t="s">
        <v>13284</v>
      </c>
      <c r="O217" s="9" t="s">
        <v>13284</v>
      </c>
      <c r="P217" s="9" t="s">
        <v>13284</v>
      </c>
      <c r="Q217" s="9" t="s">
        <v>13284</v>
      </c>
      <c r="R217" s="9" t="s">
        <v>13284</v>
      </c>
      <c r="S217" s="9" t="s">
        <v>13284</v>
      </c>
      <c r="T217" s="9" t="str">
        <f ca="1">IFERROR(IF(AND(VLOOKUP(A217, 'Актуальное состояние (из общего'!A:C,3,0) = "", A217 &lt;&gt; ""), "ПРОВЕРИТЬ", VLOOKUP(A217, 'Актуальное состояние (из общего'!A:C,3,0)), "")</f>
        <v>Студент</v>
      </c>
      <c r="U217" s="9" t="s">
        <v>13284</v>
      </c>
      <c r="V217" s="9" t="s">
        <v>13284</v>
      </c>
      <c r="W217" s="9" t="s">
        <v>196</v>
      </c>
      <c r="X217" s="9" t="str">
        <f t="array" ref="X217">IFERROR(INDEX('Адреса общежитий (скрытый)'!$B$2:$B$9, MATCH(W217, 'Адреса общежитий (скрытый)'!$A$2:$A$9, 0)), "")</f>
        <v>проспект 60-летия Октября, д.15</v>
      </c>
      <c r="Y217" s="18"/>
      <c r="Z217" s="18"/>
      <c r="AA217" s="18"/>
      <c r="AB217" s="18"/>
      <c r="AC217" s="18"/>
    </row>
    <row r="218" spans="1:29" ht="32.25" customHeight="1">
      <c r="A218" s="8">
        <v>2310322</v>
      </c>
      <c r="B218" s="9" t="s">
        <v>13284</v>
      </c>
      <c r="C218" s="9" t="s">
        <v>13284</v>
      </c>
      <c r="D218" s="9" t="s">
        <v>13284</v>
      </c>
      <c r="E218" s="9" t="s">
        <v>13284</v>
      </c>
      <c r="F218" s="9" t="s">
        <v>13284</v>
      </c>
      <c r="G218" s="9" t="s">
        <v>13284</v>
      </c>
      <c r="H218" s="9" t="s">
        <v>13284</v>
      </c>
      <c r="I218" s="9" t="s">
        <v>13284</v>
      </c>
      <c r="J218" s="9" t="s">
        <v>13284</v>
      </c>
      <c r="K218" s="9" t="s">
        <v>13284</v>
      </c>
      <c r="L218" s="9" t="s">
        <v>13284</v>
      </c>
      <c r="M218" s="9" t="s">
        <v>13284</v>
      </c>
      <c r="N218" s="9" t="s">
        <v>13284</v>
      </c>
      <c r="O218" s="9" t="s">
        <v>13284</v>
      </c>
      <c r="P218" s="9" t="s">
        <v>13284</v>
      </c>
      <c r="Q218" s="9" t="s">
        <v>13284</v>
      </c>
      <c r="R218" s="9" t="s">
        <v>13284</v>
      </c>
      <c r="S218" s="9" t="s">
        <v>13284</v>
      </c>
      <c r="T218" s="9" t="str">
        <f ca="1">IFERROR(IF(AND(VLOOKUP(A218, 'Актуальное состояние (из общего'!A:C,3,0) = "", A218 &lt;&gt; ""), "ПРОВЕРИТЬ", VLOOKUP(A218, 'Актуальное состояние (из общего'!A:C,3,0)), "")</f>
        <v>Студент</v>
      </c>
      <c r="U218" s="9" t="s">
        <v>13284</v>
      </c>
      <c r="V218" s="9" t="s">
        <v>13284</v>
      </c>
      <c r="W218" s="9" t="s">
        <v>64</v>
      </c>
      <c r="X218" s="9" t="str">
        <f t="array" ref="X218">IFERROR(INDEX('Адреса общежитий (скрытый)'!$B$2:$B$9, MATCH(W218, 'Адреса общежитий (скрытый)'!$A$2:$A$9, 0)), "")</f>
        <v>проспект 60-летия Октября, д.11</v>
      </c>
      <c r="Y218" s="18"/>
      <c r="Z218" s="18"/>
      <c r="AA218" s="18"/>
      <c r="AB218" s="18"/>
      <c r="AC218" s="18"/>
    </row>
    <row r="219" spans="1:29" ht="32.25" customHeight="1">
      <c r="A219" s="8">
        <v>2312939</v>
      </c>
      <c r="B219" s="9" t="s">
        <v>13284</v>
      </c>
      <c r="C219" s="9" t="s">
        <v>13284</v>
      </c>
      <c r="D219" s="9" t="s">
        <v>13284</v>
      </c>
      <c r="E219" s="9" t="s">
        <v>13284</v>
      </c>
      <c r="F219" s="9" t="s">
        <v>13284</v>
      </c>
      <c r="G219" s="9" t="s">
        <v>13284</v>
      </c>
      <c r="H219" s="9" t="s">
        <v>13284</v>
      </c>
      <c r="I219" s="9" t="s">
        <v>13284</v>
      </c>
      <c r="J219" s="9" t="s">
        <v>13284</v>
      </c>
      <c r="K219" s="9" t="s">
        <v>13284</v>
      </c>
      <c r="L219" s="9" t="s">
        <v>13284</v>
      </c>
      <c r="M219" s="9" t="s">
        <v>13284</v>
      </c>
      <c r="N219" s="9" t="s">
        <v>13284</v>
      </c>
      <c r="O219" s="9" t="s">
        <v>13284</v>
      </c>
      <c r="P219" s="9" t="s">
        <v>13284</v>
      </c>
      <c r="Q219" s="9" t="s">
        <v>13284</v>
      </c>
      <c r="R219" s="9" t="s">
        <v>13284</v>
      </c>
      <c r="S219" s="9" t="s">
        <v>13284</v>
      </c>
      <c r="T219" s="9" t="str">
        <f ca="1">IFERROR(IF(AND(VLOOKUP(A219, 'Актуальное состояние (из общего'!A:C,3,0) = "", A219 &lt;&gt; ""), "ПРОВЕРИТЬ", VLOOKUP(A219, 'Актуальное состояние (из общего'!A:C,3,0)), "")</f>
        <v>Студент</v>
      </c>
      <c r="U219" s="9" t="s">
        <v>13284</v>
      </c>
      <c r="V219" s="9" t="s">
        <v>13284</v>
      </c>
      <c r="W219" s="9" t="s">
        <v>64</v>
      </c>
      <c r="X219" s="9" t="str">
        <f t="array" ref="X219">IFERROR(INDEX('Адреса общежитий (скрытый)'!$B$2:$B$9, MATCH(W219, 'Адреса общежитий (скрытый)'!$A$2:$A$9, 0)), "")</f>
        <v>проспект 60-летия Октября, д.11</v>
      </c>
      <c r="Y219" s="18"/>
      <c r="Z219" s="18"/>
      <c r="AA219" s="18"/>
      <c r="AB219" s="18"/>
      <c r="AC219" s="18"/>
    </row>
    <row r="220" spans="1:29" ht="32.25" hidden="1" customHeight="1">
      <c r="A220" s="8">
        <v>2307455</v>
      </c>
      <c r="B220" s="9" t="s">
        <v>13284</v>
      </c>
      <c r="C220" s="9" t="s">
        <v>13284</v>
      </c>
      <c r="D220" s="9" t="s">
        <v>13284</v>
      </c>
      <c r="E220" s="9" t="s">
        <v>13284</v>
      </c>
      <c r="F220" s="9" t="s">
        <v>13284</v>
      </c>
      <c r="G220" s="9" t="s">
        <v>13284</v>
      </c>
      <c r="H220" s="9" t="s">
        <v>13284</v>
      </c>
      <c r="I220" s="9" t="s">
        <v>13284</v>
      </c>
      <c r="J220" s="9" t="s">
        <v>13284</v>
      </c>
      <c r="K220" s="9" t="s">
        <v>13284</v>
      </c>
      <c r="L220" s="9" t="s">
        <v>13284</v>
      </c>
      <c r="M220" s="9" t="s">
        <v>13284</v>
      </c>
      <c r="N220" s="9" t="s">
        <v>13284</v>
      </c>
      <c r="O220" s="9" t="s">
        <v>13284</v>
      </c>
      <c r="P220" s="9" t="s">
        <v>13284</v>
      </c>
      <c r="Q220" s="9" t="s">
        <v>13284</v>
      </c>
      <c r="R220" s="9" t="s">
        <v>13284</v>
      </c>
      <c r="S220" s="9" t="s">
        <v>13284</v>
      </c>
      <c r="T220" s="9" t="str">
        <f ca="1">IFERROR(IF(AND(VLOOKUP(A220, 'Актуальное состояние (из общего'!A:C,3,0) = "", A220 &lt;&gt; ""), "ПРОВЕРИТЬ", VLOOKUP(A220, 'Актуальное состояние (из общего'!A:C,3,0)), "")</f>
        <v>Студент</v>
      </c>
      <c r="U220" s="9" t="s">
        <v>13284</v>
      </c>
      <c r="V220" s="9" t="s">
        <v>13284</v>
      </c>
      <c r="W220" s="12"/>
      <c r="X220" s="9" t="str">
        <f t="array" ref="X220">IFERROR(INDEX('Адреса общежитий (скрытый)'!$B$2:$B$9, MATCH(W220, 'Адреса общежитий (скрытый)'!$A$2:$A$9, 0)), "")</f>
        <v/>
      </c>
      <c r="Y220" s="18"/>
      <c r="Z220" s="18"/>
      <c r="AA220" s="18"/>
      <c r="AB220" s="18"/>
      <c r="AC220" s="18"/>
    </row>
    <row r="221" spans="1:29" ht="32.25" hidden="1" customHeight="1">
      <c r="A221" s="8">
        <v>2301945</v>
      </c>
      <c r="B221" s="9" t="s">
        <v>13284</v>
      </c>
      <c r="C221" s="9" t="s">
        <v>13284</v>
      </c>
      <c r="D221" s="9" t="s">
        <v>13284</v>
      </c>
      <c r="E221" s="9" t="s">
        <v>13284</v>
      </c>
      <c r="F221" s="9" t="s">
        <v>13284</v>
      </c>
      <c r="G221" s="9" t="s">
        <v>13284</v>
      </c>
      <c r="H221" s="9" t="s">
        <v>13284</v>
      </c>
      <c r="I221" s="9" t="s">
        <v>13284</v>
      </c>
      <c r="J221" s="9" t="s">
        <v>13284</v>
      </c>
      <c r="K221" s="9" t="s">
        <v>13284</v>
      </c>
      <c r="L221" s="9" t="s">
        <v>13284</v>
      </c>
      <c r="M221" s="9" t="s">
        <v>13284</v>
      </c>
      <c r="N221" s="9" t="s">
        <v>13284</v>
      </c>
      <c r="O221" s="9" t="s">
        <v>13284</v>
      </c>
      <c r="P221" s="9" t="s">
        <v>13284</v>
      </c>
      <c r="Q221" s="9" t="s">
        <v>13284</v>
      </c>
      <c r="R221" s="9" t="s">
        <v>13284</v>
      </c>
      <c r="S221" s="9" t="s">
        <v>13284</v>
      </c>
      <c r="T221" s="9" t="str">
        <f ca="1">IFERROR(IF(AND(VLOOKUP(A221, 'Актуальное состояние (из общего'!A:C,3,0) = "", A221 &lt;&gt; ""), "ПРОВЕРИТЬ", VLOOKUP(A221, 'Актуальное состояние (из общего'!A:C,3,0)), "")</f>
        <v>Студент</v>
      </c>
      <c r="U221" s="9" t="s">
        <v>13284</v>
      </c>
      <c r="V221" s="9" t="s">
        <v>13284</v>
      </c>
      <c r="W221" s="12"/>
      <c r="X221" s="9" t="str">
        <f t="array" ref="X221">IFERROR(INDEX('Адреса общежитий (скрытый)'!$B$2:$B$9, MATCH(W221, 'Адреса общежитий (скрытый)'!$A$2:$A$9, 0)), "")</f>
        <v/>
      </c>
      <c r="Y221" s="18"/>
      <c r="Z221" s="18"/>
      <c r="AA221" s="18"/>
      <c r="AB221" s="18"/>
      <c r="AC221" s="18"/>
    </row>
    <row r="222" spans="1:29" ht="32.25" customHeight="1">
      <c r="A222" s="8">
        <v>2308457</v>
      </c>
      <c r="B222" s="9" t="s">
        <v>13284</v>
      </c>
      <c r="C222" s="9" t="s">
        <v>13284</v>
      </c>
      <c r="D222" s="9" t="s">
        <v>13284</v>
      </c>
      <c r="E222" s="9" t="s">
        <v>13284</v>
      </c>
      <c r="F222" s="9" t="s">
        <v>13284</v>
      </c>
      <c r="G222" s="9" t="s">
        <v>13284</v>
      </c>
      <c r="H222" s="9" t="s">
        <v>13284</v>
      </c>
      <c r="I222" s="9" t="s">
        <v>13284</v>
      </c>
      <c r="J222" s="9" t="s">
        <v>13284</v>
      </c>
      <c r="K222" s="9" t="s">
        <v>13284</v>
      </c>
      <c r="L222" s="9" t="s">
        <v>13284</v>
      </c>
      <c r="M222" s="9" t="s">
        <v>13284</v>
      </c>
      <c r="N222" s="9" t="s">
        <v>13284</v>
      </c>
      <c r="O222" s="9" t="s">
        <v>13284</v>
      </c>
      <c r="P222" s="9" t="s">
        <v>13284</v>
      </c>
      <c r="Q222" s="9" t="s">
        <v>13284</v>
      </c>
      <c r="R222" s="9" t="s">
        <v>13284</v>
      </c>
      <c r="S222" s="9" t="s">
        <v>13284</v>
      </c>
      <c r="T222" s="9" t="str">
        <f ca="1">IFERROR(IF(AND(VLOOKUP(A222, 'Актуальное состояние (из общего'!A:C,3,0) = "", A222 &lt;&gt; ""), "ПРОВЕРИТЬ", VLOOKUP(A222, 'Актуальное состояние (из общего'!A:C,3,0)), "")</f>
        <v>Студент</v>
      </c>
      <c r="U222" s="9" t="s">
        <v>13284</v>
      </c>
      <c r="V222" s="9" t="s">
        <v>13284</v>
      </c>
      <c r="W222" s="9" t="s">
        <v>64</v>
      </c>
      <c r="X222" s="9" t="str">
        <f t="array" ref="X222">IFERROR(INDEX('Адреса общежитий (скрытый)'!$B$2:$B$9, MATCH(W222, 'Адреса общежитий (скрытый)'!$A$2:$A$9, 0)), "")</f>
        <v>проспект 60-летия Октября, д.11</v>
      </c>
      <c r="Y222" s="18"/>
      <c r="Z222" s="18"/>
      <c r="AA222" s="18"/>
      <c r="AB222" s="18"/>
      <c r="AC222" s="18"/>
    </row>
    <row r="223" spans="1:29" ht="32.25" customHeight="1">
      <c r="A223" s="8">
        <v>2313068</v>
      </c>
      <c r="B223" s="9" t="s">
        <v>13284</v>
      </c>
      <c r="C223" s="9" t="s">
        <v>13284</v>
      </c>
      <c r="D223" s="9" t="s">
        <v>13284</v>
      </c>
      <c r="E223" s="9" t="s">
        <v>13284</v>
      </c>
      <c r="F223" s="9" t="s">
        <v>13284</v>
      </c>
      <c r="G223" s="9" t="s">
        <v>13284</v>
      </c>
      <c r="H223" s="9" t="s">
        <v>13284</v>
      </c>
      <c r="I223" s="9" t="s">
        <v>13284</v>
      </c>
      <c r="J223" s="9" t="s">
        <v>13284</v>
      </c>
      <c r="K223" s="9" t="s">
        <v>13284</v>
      </c>
      <c r="L223" s="9" t="s">
        <v>13284</v>
      </c>
      <c r="M223" s="9" t="s">
        <v>13284</v>
      </c>
      <c r="N223" s="9" t="s">
        <v>13284</v>
      </c>
      <c r="O223" s="9" t="s">
        <v>13284</v>
      </c>
      <c r="P223" s="9" t="s">
        <v>13284</v>
      </c>
      <c r="Q223" s="9" t="s">
        <v>13284</v>
      </c>
      <c r="R223" s="9" t="s">
        <v>13284</v>
      </c>
      <c r="S223" s="9" t="s">
        <v>13284</v>
      </c>
      <c r="T223" s="9" t="str">
        <f ca="1">IFERROR(IF(AND(VLOOKUP(A223, 'Актуальное состояние (из общего'!A:C,3,0) = "", A223 &lt;&gt; ""), "ПРОВЕРИТЬ", VLOOKUP(A223, 'Актуальное состояние (из общего'!A:C,3,0)), "")</f>
        <v>Студент</v>
      </c>
      <c r="U223" s="9" t="s">
        <v>13284</v>
      </c>
      <c r="V223" s="9" t="s">
        <v>13284</v>
      </c>
      <c r="W223" s="9" t="s">
        <v>64</v>
      </c>
      <c r="X223" s="9" t="str">
        <f t="array" ref="X223">IFERROR(INDEX('Адреса общежитий (скрытый)'!$B$2:$B$9, MATCH(W223, 'Адреса общежитий (скрытый)'!$A$2:$A$9, 0)), "")</f>
        <v>проспект 60-летия Октября, д.11</v>
      </c>
      <c r="Y223" s="18"/>
      <c r="Z223" s="18"/>
      <c r="AA223" s="18"/>
      <c r="AB223" s="18"/>
      <c r="AC223" s="18"/>
    </row>
    <row r="224" spans="1:29" ht="32.25" hidden="1" customHeight="1">
      <c r="A224" s="8">
        <v>2309388</v>
      </c>
      <c r="B224" s="9" t="s">
        <v>13284</v>
      </c>
      <c r="C224" s="9" t="s">
        <v>13284</v>
      </c>
      <c r="D224" s="9" t="s">
        <v>13284</v>
      </c>
      <c r="E224" s="9" t="s">
        <v>13284</v>
      </c>
      <c r="F224" s="9" t="s">
        <v>13284</v>
      </c>
      <c r="G224" s="9" t="s">
        <v>13284</v>
      </c>
      <c r="H224" s="9" t="s">
        <v>13284</v>
      </c>
      <c r="I224" s="9" t="s">
        <v>13284</v>
      </c>
      <c r="J224" s="9" t="s">
        <v>13284</v>
      </c>
      <c r="K224" s="9" t="s">
        <v>13284</v>
      </c>
      <c r="L224" s="9" t="s">
        <v>13284</v>
      </c>
      <c r="M224" s="9" t="s">
        <v>13284</v>
      </c>
      <c r="N224" s="9" t="s">
        <v>13284</v>
      </c>
      <c r="O224" s="9" t="s">
        <v>13284</v>
      </c>
      <c r="P224" s="9" t="s">
        <v>13284</v>
      </c>
      <c r="Q224" s="9" t="s">
        <v>13284</v>
      </c>
      <c r="R224" s="9" t="s">
        <v>13284</v>
      </c>
      <c r="S224" s="9" t="s">
        <v>13284</v>
      </c>
      <c r="T224" s="9" t="str">
        <f ca="1">IFERROR(IF(AND(VLOOKUP(A224, 'Актуальное состояние (из общего'!A:C,3,0) = "", A224 &lt;&gt; ""), "ПРОВЕРИТЬ", VLOOKUP(A224, 'Актуальное состояние (из общего'!A:C,3,0)), "")</f>
        <v>Студент</v>
      </c>
      <c r="U224" s="9" t="s">
        <v>13284</v>
      </c>
      <c r="V224" s="9" t="s">
        <v>13284</v>
      </c>
      <c r="W224" s="12"/>
      <c r="X224" s="9" t="str">
        <f t="array" ref="X224">IFERROR(INDEX('Адреса общежитий (скрытый)'!$B$2:$B$9, MATCH(W224, 'Адреса общежитий (скрытый)'!$A$2:$A$9, 0)), "")</f>
        <v/>
      </c>
      <c r="Y224" s="18"/>
      <c r="Z224" s="18"/>
      <c r="AA224" s="18"/>
      <c r="AB224" s="18"/>
      <c r="AC224" s="18"/>
    </row>
    <row r="225" spans="1:29" ht="32.25" customHeight="1">
      <c r="A225" s="8">
        <v>2310204</v>
      </c>
      <c r="B225" s="9" t="s">
        <v>13284</v>
      </c>
      <c r="C225" s="9" t="s">
        <v>13284</v>
      </c>
      <c r="D225" s="9" t="s">
        <v>13284</v>
      </c>
      <c r="E225" s="9" t="s">
        <v>13284</v>
      </c>
      <c r="F225" s="9" t="s">
        <v>13284</v>
      </c>
      <c r="G225" s="9" t="s">
        <v>13284</v>
      </c>
      <c r="H225" s="9" t="s">
        <v>13284</v>
      </c>
      <c r="I225" s="9" t="s">
        <v>13284</v>
      </c>
      <c r="J225" s="9" t="s">
        <v>13284</v>
      </c>
      <c r="K225" s="9" t="s">
        <v>13284</v>
      </c>
      <c r="L225" s="9" t="s">
        <v>13284</v>
      </c>
      <c r="M225" s="9" t="s">
        <v>13284</v>
      </c>
      <c r="N225" s="9" t="s">
        <v>13284</v>
      </c>
      <c r="O225" s="9" t="s">
        <v>13284</v>
      </c>
      <c r="P225" s="9" t="s">
        <v>13284</v>
      </c>
      <c r="Q225" s="9" t="s">
        <v>13284</v>
      </c>
      <c r="R225" s="9" t="s">
        <v>13284</v>
      </c>
      <c r="S225" s="9" t="s">
        <v>13284</v>
      </c>
      <c r="T225" s="9" t="str">
        <f ca="1">IFERROR(IF(AND(VLOOKUP(A225, 'Актуальное состояние (из общего'!A:C,3,0) = "", A225 &lt;&gt; ""), "ПРОВЕРИТЬ", VLOOKUP(A225, 'Актуальное состояние (из общего'!A:C,3,0)), "")</f>
        <v>Студент</v>
      </c>
      <c r="U225" s="9" t="s">
        <v>13284</v>
      </c>
      <c r="V225" s="9" t="s">
        <v>13284</v>
      </c>
      <c r="W225" s="9" t="s">
        <v>64</v>
      </c>
      <c r="X225" s="9" t="str">
        <f t="array" ref="X225">IFERROR(INDEX('Адреса общежитий (скрытый)'!$B$2:$B$9, MATCH(W225, 'Адреса общежитий (скрытый)'!$A$2:$A$9, 0)), "")</f>
        <v>проспект 60-летия Октября, д.11</v>
      </c>
      <c r="Y225" s="18"/>
      <c r="Z225" s="18"/>
      <c r="AA225" s="18"/>
      <c r="AB225" s="18"/>
      <c r="AC225" s="18"/>
    </row>
    <row r="226" spans="1:29" ht="32.25" customHeight="1">
      <c r="A226" s="8">
        <v>2310495</v>
      </c>
      <c r="B226" s="9" t="s">
        <v>13284</v>
      </c>
      <c r="C226" s="9" t="s">
        <v>13284</v>
      </c>
      <c r="D226" s="9" t="s">
        <v>13284</v>
      </c>
      <c r="E226" s="9" t="s">
        <v>13284</v>
      </c>
      <c r="F226" s="9" t="s">
        <v>13284</v>
      </c>
      <c r="G226" s="9" t="s">
        <v>13284</v>
      </c>
      <c r="H226" s="9" t="s">
        <v>13284</v>
      </c>
      <c r="I226" s="9" t="s">
        <v>13284</v>
      </c>
      <c r="J226" s="9" t="s">
        <v>13284</v>
      </c>
      <c r="K226" s="9" t="s">
        <v>13284</v>
      </c>
      <c r="L226" s="9" t="s">
        <v>13284</v>
      </c>
      <c r="M226" s="9" t="s">
        <v>13284</v>
      </c>
      <c r="N226" s="9" t="s">
        <v>13284</v>
      </c>
      <c r="O226" s="9" t="s">
        <v>13284</v>
      </c>
      <c r="P226" s="9" t="s">
        <v>13284</v>
      </c>
      <c r="Q226" s="9" t="s">
        <v>13284</v>
      </c>
      <c r="R226" s="9" t="s">
        <v>13284</v>
      </c>
      <c r="S226" s="9" t="s">
        <v>13284</v>
      </c>
      <c r="T226" s="9" t="str">
        <f ca="1">IFERROR(IF(AND(VLOOKUP(A226, 'Актуальное состояние (из общего'!A:C,3,0) = "", A226 &lt;&gt; ""), "ПРОВЕРИТЬ", VLOOKUP(A226, 'Актуальное состояние (из общего'!A:C,3,0)), "")</f>
        <v>Студент</v>
      </c>
      <c r="U226" s="9" t="s">
        <v>13284</v>
      </c>
      <c r="V226" s="9" t="s">
        <v>13284</v>
      </c>
      <c r="W226" s="9" t="s">
        <v>64</v>
      </c>
      <c r="X226" s="9" t="str">
        <f t="array" ref="X226">IFERROR(INDEX('Адреса общежитий (скрытый)'!$B$2:$B$9, MATCH(W226, 'Адреса общежитий (скрытый)'!$A$2:$A$9, 0)), "")</f>
        <v>проспект 60-летия Октября, д.11</v>
      </c>
      <c r="Y226" s="18"/>
      <c r="Z226" s="18"/>
      <c r="AA226" s="18"/>
      <c r="AB226" s="18"/>
      <c r="AC226" s="18"/>
    </row>
    <row r="227" spans="1:29" ht="32.25" customHeight="1">
      <c r="A227" s="8">
        <v>2308909</v>
      </c>
      <c r="B227" s="9" t="s">
        <v>13284</v>
      </c>
      <c r="C227" s="9" t="s">
        <v>13284</v>
      </c>
      <c r="D227" s="9" t="s">
        <v>13284</v>
      </c>
      <c r="E227" s="9" t="s">
        <v>13284</v>
      </c>
      <c r="F227" s="9" t="s">
        <v>13284</v>
      </c>
      <c r="G227" s="9" t="s">
        <v>13284</v>
      </c>
      <c r="H227" s="9" t="s">
        <v>13284</v>
      </c>
      <c r="I227" s="9" t="s">
        <v>13284</v>
      </c>
      <c r="J227" s="9" t="s">
        <v>13284</v>
      </c>
      <c r="K227" s="9" t="s">
        <v>13284</v>
      </c>
      <c r="L227" s="9" t="s">
        <v>13284</v>
      </c>
      <c r="M227" s="9" t="s">
        <v>13284</v>
      </c>
      <c r="N227" s="9" t="s">
        <v>13284</v>
      </c>
      <c r="O227" s="9" t="s">
        <v>13284</v>
      </c>
      <c r="P227" s="9" t="s">
        <v>13284</v>
      </c>
      <c r="Q227" s="9" t="s">
        <v>13284</v>
      </c>
      <c r="R227" s="9" t="s">
        <v>13284</v>
      </c>
      <c r="S227" s="9" t="s">
        <v>13284</v>
      </c>
      <c r="T227" s="9" t="str">
        <f ca="1">IFERROR(IF(AND(VLOOKUP(A227, 'Актуальное состояние (из общего'!A:C,3,0) = "", A227 &lt;&gt; ""), "ПРОВЕРИТЬ", VLOOKUP(A227, 'Актуальное состояние (из общего'!A:C,3,0)), "")</f>
        <v>Студент</v>
      </c>
      <c r="U227" s="9" t="s">
        <v>13284</v>
      </c>
      <c r="V227" s="9" t="s">
        <v>13284</v>
      </c>
      <c r="W227" s="9" t="s">
        <v>319</v>
      </c>
      <c r="X227" s="9" t="str">
        <f t="array" ref="X227">IFERROR(INDEX('Адреса общежитий (скрытый)'!$B$2:$B$9, MATCH(W227, 'Адреса общежитий (скрытый)'!$A$2:$A$9, 0)), "")</f>
        <v>ул. Профсоюзная, д.83, корп. 2</v>
      </c>
      <c r="Y227" s="18"/>
      <c r="Z227" s="18"/>
      <c r="AA227" s="18"/>
      <c r="AB227" s="18"/>
      <c r="AC227" s="18"/>
    </row>
    <row r="228" spans="1:29" ht="32.25" customHeight="1">
      <c r="A228" s="8">
        <v>2300920</v>
      </c>
      <c r="B228" s="9" t="s">
        <v>13284</v>
      </c>
      <c r="C228" s="9" t="s">
        <v>13284</v>
      </c>
      <c r="D228" s="9" t="s">
        <v>13284</v>
      </c>
      <c r="E228" s="9" t="s">
        <v>13284</v>
      </c>
      <c r="F228" s="9" t="s">
        <v>13284</v>
      </c>
      <c r="G228" s="9" t="s">
        <v>13284</v>
      </c>
      <c r="H228" s="9" t="s">
        <v>13284</v>
      </c>
      <c r="I228" s="9" t="s">
        <v>13284</v>
      </c>
      <c r="J228" s="9" t="s">
        <v>13284</v>
      </c>
      <c r="K228" s="9" t="s">
        <v>13284</v>
      </c>
      <c r="L228" s="9" t="s">
        <v>13284</v>
      </c>
      <c r="M228" s="9" t="s">
        <v>13284</v>
      </c>
      <c r="N228" s="9" t="s">
        <v>13284</v>
      </c>
      <c r="O228" s="9" t="s">
        <v>13284</v>
      </c>
      <c r="P228" s="9" t="s">
        <v>13284</v>
      </c>
      <c r="Q228" s="9" t="s">
        <v>13284</v>
      </c>
      <c r="R228" s="9" t="s">
        <v>13284</v>
      </c>
      <c r="S228" s="9" t="s">
        <v>13284</v>
      </c>
      <c r="T228" s="9" t="str">
        <f ca="1">IFERROR(IF(AND(VLOOKUP(A228, 'Актуальное состояние (из общего'!A:C,3,0) = "", A228 &lt;&gt; ""), "ПРОВЕРИТЬ", VLOOKUP(A228, 'Актуальное состояние (из общего'!A:C,3,0)), "")</f>
        <v>Студент</v>
      </c>
      <c r="U228" s="9" t="s">
        <v>13284</v>
      </c>
      <c r="V228" s="9" t="s">
        <v>13284</v>
      </c>
      <c r="W228" s="9" t="s">
        <v>196</v>
      </c>
      <c r="X228" s="9" t="str">
        <f t="array" ref="X228">IFERROR(INDEX('Адреса общежитий (скрытый)'!$B$2:$B$9, MATCH(W228, 'Адреса общежитий (скрытый)'!$A$2:$A$9, 0)), "")</f>
        <v>проспект 60-летия Октября, д.15</v>
      </c>
      <c r="Y228" s="18"/>
      <c r="Z228" s="18"/>
      <c r="AA228" s="18"/>
      <c r="AB228" s="18"/>
      <c r="AC228" s="18"/>
    </row>
    <row r="229" spans="1:29" ht="32.25" hidden="1" customHeight="1">
      <c r="A229" s="8">
        <v>2313547</v>
      </c>
      <c r="B229" s="9" t="s">
        <v>13284</v>
      </c>
      <c r="C229" s="9" t="s">
        <v>13284</v>
      </c>
      <c r="D229" s="9" t="s">
        <v>13284</v>
      </c>
      <c r="E229" s="9" t="s">
        <v>13284</v>
      </c>
      <c r="F229" s="9" t="s">
        <v>13284</v>
      </c>
      <c r="G229" s="9" t="s">
        <v>13284</v>
      </c>
      <c r="H229" s="9" t="s">
        <v>13284</v>
      </c>
      <c r="I229" s="9" t="s">
        <v>13284</v>
      </c>
      <c r="J229" s="9" t="s">
        <v>13284</v>
      </c>
      <c r="K229" s="9" t="s">
        <v>13284</v>
      </c>
      <c r="L229" s="9" t="s">
        <v>13284</v>
      </c>
      <c r="M229" s="9" t="s">
        <v>13284</v>
      </c>
      <c r="N229" s="9" t="s">
        <v>13284</v>
      </c>
      <c r="O229" s="9" t="s">
        <v>13284</v>
      </c>
      <c r="P229" s="9" t="s">
        <v>13284</v>
      </c>
      <c r="Q229" s="9" t="s">
        <v>13284</v>
      </c>
      <c r="R229" s="9" t="s">
        <v>13284</v>
      </c>
      <c r="S229" s="9" t="s">
        <v>13284</v>
      </c>
      <c r="T229" s="9" t="str">
        <f ca="1">IFERROR(IF(AND(VLOOKUP(A229, 'Актуальное состояние (из общего'!A:C,3,0) = "", A229 &lt;&gt; ""), "ПРОВЕРИТЬ", VLOOKUP(A229, 'Актуальное состояние (из общего'!A:C,3,0)), "")</f>
        <v>Студент</v>
      </c>
      <c r="U229" s="9" t="s">
        <v>13284</v>
      </c>
      <c r="V229" s="9" t="s">
        <v>13284</v>
      </c>
      <c r="W229" s="12"/>
      <c r="X229" s="9" t="str">
        <f t="array" ref="X229">IFERROR(INDEX('Адреса общежитий (скрытый)'!$B$2:$B$9, MATCH(W229, 'Адреса общежитий (скрытый)'!$A$2:$A$9, 0)), "")</f>
        <v/>
      </c>
      <c r="Y229" s="18"/>
      <c r="Z229" s="18"/>
      <c r="AA229" s="18"/>
      <c r="AB229" s="18"/>
      <c r="AC229" s="18"/>
    </row>
    <row r="230" spans="1:29" ht="32.25" customHeight="1">
      <c r="A230" s="8">
        <v>2304861</v>
      </c>
      <c r="B230" s="9" t="s">
        <v>13284</v>
      </c>
      <c r="C230" s="9" t="s">
        <v>13284</v>
      </c>
      <c r="D230" s="9" t="s">
        <v>13284</v>
      </c>
      <c r="E230" s="9" t="s">
        <v>13284</v>
      </c>
      <c r="F230" s="9" t="s">
        <v>13284</v>
      </c>
      <c r="G230" s="9" t="s">
        <v>13284</v>
      </c>
      <c r="H230" s="9" t="s">
        <v>13284</v>
      </c>
      <c r="I230" s="9" t="s">
        <v>13284</v>
      </c>
      <c r="J230" s="9" t="s">
        <v>13284</v>
      </c>
      <c r="K230" s="9" t="s">
        <v>13284</v>
      </c>
      <c r="L230" s="9" t="s">
        <v>13284</v>
      </c>
      <c r="M230" s="9" t="s">
        <v>13284</v>
      </c>
      <c r="N230" s="9" t="s">
        <v>13284</v>
      </c>
      <c r="O230" s="9" t="s">
        <v>13284</v>
      </c>
      <c r="P230" s="9" t="s">
        <v>13284</v>
      </c>
      <c r="Q230" s="9" t="s">
        <v>13284</v>
      </c>
      <c r="R230" s="9" t="s">
        <v>13284</v>
      </c>
      <c r="S230" s="9" t="s">
        <v>13284</v>
      </c>
      <c r="T230" s="9" t="str">
        <f ca="1">IFERROR(IF(AND(VLOOKUP(A230, 'Актуальное состояние (из общего'!A:C,3,0) = "", A230 &lt;&gt; ""), "ПРОВЕРИТЬ", VLOOKUP(A230, 'Актуальное состояние (из общего'!A:C,3,0)), "")</f>
        <v>Студент</v>
      </c>
      <c r="U230" s="9" t="s">
        <v>13284</v>
      </c>
      <c r="V230" s="9" t="s">
        <v>13284</v>
      </c>
      <c r="W230" s="9" t="s">
        <v>196</v>
      </c>
      <c r="X230" s="9" t="str">
        <f t="array" ref="X230">IFERROR(INDEX('Адреса общежитий (скрытый)'!$B$2:$B$9, MATCH(W230, 'Адреса общежитий (скрытый)'!$A$2:$A$9, 0)), "")</f>
        <v>проспект 60-летия Октября, д.15</v>
      </c>
      <c r="Y230" s="18"/>
      <c r="Z230" s="18"/>
      <c r="AA230" s="18"/>
      <c r="AB230" s="18"/>
      <c r="AC230" s="18"/>
    </row>
    <row r="231" spans="1:29" ht="32.25" hidden="1" customHeight="1">
      <c r="A231" s="8">
        <v>2305794</v>
      </c>
      <c r="B231" s="9" t="s">
        <v>13284</v>
      </c>
      <c r="C231" s="9" t="s">
        <v>13284</v>
      </c>
      <c r="D231" s="9" t="s">
        <v>13284</v>
      </c>
      <c r="E231" s="9" t="s">
        <v>13284</v>
      </c>
      <c r="F231" s="9" t="s">
        <v>13284</v>
      </c>
      <c r="G231" s="9" t="s">
        <v>13284</v>
      </c>
      <c r="H231" s="9" t="s">
        <v>13284</v>
      </c>
      <c r="I231" s="9" t="s">
        <v>13284</v>
      </c>
      <c r="J231" s="9" t="s">
        <v>13284</v>
      </c>
      <c r="K231" s="9" t="s">
        <v>13284</v>
      </c>
      <c r="L231" s="9" t="s">
        <v>13284</v>
      </c>
      <c r="M231" s="9" t="s">
        <v>13284</v>
      </c>
      <c r="N231" s="9" t="s">
        <v>13284</v>
      </c>
      <c r="O231" s="9" t="s">
        <v>13284</v>
      </c>
      <c r="P231" s="9" t="s">
        <v>13284</v>
      </c>
      <c r="Q231" s="9" t="s">
        <v>13284</v>
      </c>
      <c r="R231" s="9" t="s">
        <v>13284</v>
      </c>
      <c r="S231" s="9" t="s">
        <v>13284</v>
      </c>
      <c r="T231" s="9" t="str">
        <f ca="1">IFERROR(IF(AND(VLOOKUP(A231, 'Актуальное состояние (из общего'!A:C,3,0) = "", A231 &lt;&gt; ""), "ПРОВЕРИТЬ", VLOOKUP(A231, 'Актуальное состояние (из общего'!A:C,3,0)), "")</f>
        <v>Студент</v>
      </c>
      <c r="U231" s="9" t="s">
        <v>13284</v>
      </c>
      <c r="V231" s="9" t="s">
        <v>13284</v>
      </c>
      <c r="W231" s="12"/>
      <c r="X231" s="9" t="str">
        <f t="array" ref="X231">IFERROR(INDEX('Адреса общежитий (скрытый)'!$B$2:$B$9, MATCH(W231, 'Адреса общежитий (скрытый)'!$A$2:$A$9, 0)), "")</f>
        <v/>
      </c>
      <c r="Y231" s="18"/>
      <c r="Z231" s="18"/>
      <c r="AA231" s="18"/>
      <c r="AB231" s="18"/>
      <c r="AC231" s="18"/>
    </row>
    <row r="232" spans="1:29" ht="32.25" hidden="1" customHeight="1">
      <c r="A232" s="8">
        <v>2304858</v>
      </c>
      <c r="B232" s="9" t="s">
        <v>13284</v>
      </c>
      <c r="C232" s="9" t="s">
        <v>13284</v>
      </c>
      <c r="D232" s="9" t="s">
        <v>13284</v>
      </c>
      <c r="E232" s="9" t="s">
        <v>13284</v>
      </c>
      <c r="F232" s="9" t="s">
        <v>13284</v>
      </c>
      <c r="G232" s="9" t="s">
        <v>13284</v>
      </c>
      <c r="H232" s="9" t="s">
        <v>13284</v>
      </c>
      <c r="I232" s="9" t="s">
        <v>13284</v>
      </c>
      <c r="J232" s="9" t="s">
        <v>13284</v>
      </c>
      <c r="K232" s="9" t="s">
        <v>13284</v>
      </c>
      <c r="L232" s="9" t="s">
        <v>13284</v>
      </c>
      <c r="M232" s="9" t="s">
        <v>13284</v>
      </c>
      <c r="N232" s="9" t="s">
        <v>13284</v>
      </c>
      <c r="O232" s="9" t="s">
        <v>13284</v>
      </c>
      <c r="P232" s="9" t="s">
        <v>13284</v>
      </c>
      <c r="Q232" s="9" t="s">
        <v>13284</v>
      </c>
      <c r="R232" s="9" t="s">
        <v>13284</v>
      </c>
      <c r="S232" s="9" t="s">
        <v>13284</v>
      </c>
      <c r="T232" s="9" t="str">
        <f ca="1">IFERROR(IF(AND(VLOOKUP(A232, 'Актуальное состояние (из общего'!A:C,3,0) = "", A232 &lt;&gt; ""), "ПРОВЕРИТЬ", VLOOKUP(A232, 'Актуальное состояние (из общего'!A:C,3,0)), "")</f>
        <v>Студент</v>
      </c>
      <c r="U232" s="9" t="s">
        <v>13284</v>
      </c>
      <c r="V232" s="9" t="s">
        <v>13284</v>
      </c>
      <c r="W232" s="12"/>
      <c r="X232" s="9" t="str">
        <f t="array" ref="X232">IFERROR(INDEX('Адреса общежитий (скрытый)'!$B$2:$B$9, MATCH(W232, 'Адреса общежитий (скрытый)'!$A$2:$A$9, 0)), "")</f>
        <v/>
      </c>
      <c r="Y232" s="18"/>
      <c r="Z232" s="18"/>
      <c r="AA232" s="18"/>
      <c r="AB232" s="18"/>
      <c r="AC232" s="18"/>
    </row>
    <row r="233" spans="1:29" ht="32.25" customHeight="1">
      <c r="A233" s="8">
        <v>2304843</v>
      </c>
      <c r="B233" s="9" t="s">
        <v>13284</v>
      </c>
      <c r="C233" s="9" t="s">
        <v>13284</v>
      </c>
      <c r="D233" s="9" t="s">
        <v>13284</v>
      </c>
      <c r="E233" s="9" t="s">
        <v>13284</v>
      </c>
      <c r="F233" s="9" t="s">
        <v>13284</v>
      </c>
      <c r="G233" s="9" t="s">
        <v>13284</v>
      </c>
      <c r="H233" s="9" t="s">
        <v>13284</v>
      </c>
      <c r="I233" s="9" t="s">
        <v>13284</v>
      </c>
      <c r="J233" s="9" t="s">
        <v>13284</v>
      </c>
      <c r="K233" s="9" t="s">
        <v>13284</v>
      </c>
      <c r="L233" s="9" t="s">
        <v>13284</v>
      </c>
      <c r="M233" s="9" t="s">
        <v>13284</v>
      </c>
      <c r="N233" s="9" t="s">
        <v>13284</v>
      </c>
      <c r="O233" s="9" t="s">
        <v>13284</v>
      </c>
      <c r="P233" s="9" t="s">
        <v>13284</v>
      </c>
      <c r="Q233" s="9" t="s">
        <v>13284</v>
      </c>
      <c r="R233" s="9" t="s">
        <v>13284</v>
      </c>
      <c r="S233" s="9" t="s">
        <v>13284</v>
      </c>
      <c r="T233" s="9" t="str">
        <f ca="1">IFERROR(IF(AND(VLOOKUP(A233, 'Актуальное состояние (из общего'!A:C,3,0) = "", A233 &lt;&gt; ""), "ПРОВЕРИТЬ", VLOOKUP(A233, 'Актуальное состояние (из общего'!A:C,3,0)), "")</f>
        <v>Студент</v>
      </c>
      <c r="U233" s="9" t="s">
        <v>13284</v>
      </c>
      <c r="V233" s="9" t="s">
        <v>13284</v>
      </c>
      <c r="W233" s="9" t="s">
        <v>64</v>
      </c>
      <c r="X233" s="9" t="str">
        <f t="array" ref="X233">IFERROR(INDEX('Адреса общежитий (скрытый)'!$B$2:$B$9, MATCH(W233, 'Адреса общежитий (скрытый)'!$A$2:$A$9, 0)), "")</f>
        <v>проспект 60-летия Октября, д.11</v>
      </c>
      <c r="Y233" s="18"/>
      <c r="Z233" s="18"/>
      <c r="AA233" s="18"/>
      <c r="AB233" s="18"/>
      <c r="AC233" s="18"/>
    </row>
    <row r="234" spans="1:29" ht="32.25" customHeight="1">
      <c r="A234" s="8">
        <v>2305593</v>
      </c>
      <c r="B234" s="9" t="s">
        <v>13284</v>
      </c>
      <c r="C234" s="9" t="s">
        <v>13284</v>
      </c>
      <c r="D234" s="9" t="s">
        <v>13284</v>
      </c>
      <c r="E234" s="9" t="s">
        <v>13284</v>
      </c>
      <c r="F234" s="9" t="s">
        <v>13284</v>
      </c>
      <c r="G234" s="9" t="s">
        <v>13284</v>
      </c>
      <c r="H234" s="9" t="s">
        <v>13284</v>
      </c>
      <c r="I234" s="9" t="s">
        <v>13284</v>
      </c>
      <c r="J234" s="9" t="s">
        <v>13284</v>
      </c>
      <c r="K234" s="9" t="s">
        <v>13284</v>
      </c>
      <c r="L234" s="9" t="s">
        <v>13284</v>
      </c>
      <c r="M234" s="9" t="s">
        <v>13284</v>
      </c>
      <c r="N234" s="9" t="s">
        <v>13284</v>
      </c>
      <c r="O234" s="9" t="s">
        <v>13284</v>
      </c>
      <c r="P234" s="9" t="s">
        <v>13284</v>
      </c>
      <c r="Q234" s="9" t="s">
        <v>13284</v>
      </c>
      <c r="R234" s="9" t="s">
        <v>13284</v>
      </c>
      <c r="S234" s="9" t="s">
        <v>13284</v>
      </c>
      <c r="T234" s="9" t="str">
        <f ca="1">IFERROR(IF(AND(VLOOKUP(A234, 'Актуальное состояние (из общего'!A:C,3,0) = "", A234 &lt;&gt; ""), "ПРОВЕРИТЬ", VLOOKUP(A234, 'Актуальное состояние (из общего'!A:C,3,0)), "")</f>
        <v>Студент</v>
      </c>
      <c r="U234" s="9" t="s">
        <v>13284</v>
      </c>
      <c r="V234" s="9" t="s">
        <v>13284</v>
      </c>
      <c r="W234" s="9" t="s">
        <v>64</v>
      </c>
      <c r="X234" s="9" t="str">
        <f t="array" ref="X234">IFERROR(INDEX('Адреса общежитий (скрытый)'!$B$2:$B$9, MATCH(W234, 'Адреса общежитий (скрытый)'!$A$2:$A$9, 0)), "")</f>
        <v>проспект 60-летия Октября, д.11</v>
      </c>
      <c r="Y234" s="18"/>
      <c r="Z234" s="18"/>
      <c r="AA234" s="18"/>
      <c r="AB234" s="18"/>
      <c r="AC234" s="18"/>
    </row>
    <row r="235" spans="1:29" ht="32.25" customHeight="1">
      <c r="A235" s="8">
        <v>2303218</v>
      </c>
      <c r="B235" s="9" t="s">
        <v>13284</v>
      </c>
      <c r="C235" s="9" t="s">
        <v>13284</v>
      </c>
      <c r="D235" s="9" t="s">
        <v>13284</v>
      </c>
      <c r="E235" s="9" t="s">
        <v>13284</v>
      </c>
      <c r="F235" s="9" t="s">
        <v>13284</v>
      </c>
      <c r="G235" s="9" t="s">
        <v>13284</v>
      </c>
      <c r="H235" s="9" t="s">
        <v>13284</v>
      </c>
      <c r="I235" s="9" t="s">
        <v>13284</v>
      </c>
      <c r="J235" s="9" t="s">
        <v>13284</v>
      </c>
      <c r="K235" s="9" t="s">
        <v>13284</v>
      </c>
      <c r="L235" s="9" t="s">
        <v>13284</v>
      </c>
      <c r="M235" s="9" t="s">
        <v>13284</v>
      </c>
      <c r="N235" s="9" t="s">
        <v>13284</v>
      </c>
      <c r="O235" s="9" t="s">
        <v>13284</v>
      </c>
      <c r="P235" s="9" t="s">
        <v>13284</v>
      </c>
      <c r="Q235" s="9" t="s">
        <v>13284</v>
      </c>
      <c r="R235" s="9" t="s">
        <v>13284</v>
      </c>
      <c r="S235" s="9" t="s">
        <v>13284</v>
      </c>
      <c r="T235" s="9" t="str">
        <f ca="1">IFERROR(IF(AND(VLOOKUP(A235, 'Актуальное состояние (из общего'!A:C,3,0) = "", A235 &lt;&gt; ""), "ПРОВЕРИТЬ", VLOOKUP(A235, 'Актуальное состояние (из общего'!A:C,3,0)), "")</f>
        <v>Студент</v>
      </c>
      <c r="U235" s="9" t="s">
        <v>13284</v>
      </c>
      <c r="V235" s="9" t="s">
        <v>13284</v>
      </c>
      <c r="W235" s="9" t="s">
        <v>319</v>
      </c>
      <c r="X235" s="9" t="str">
        <f t="array" ref="X235">IFERROR(INDEX('Адреса общежитий (скрытый)'!$B$2:$B$9, MATCH(W235, 'Адреса общежитий (скрытый)'!$A$2:$A$9, 0)), "")</f>
        <v>ул. Профсоюзная, д.83, корп. 2</v>
      </c>
      <c r="Y235" s="18"/>
      <c r="Z235" s="18"/>
      <c r="AA235" s="18"/>
      <c r="AB235" s="18"/>
      <c r="AC235" s="18"/>
    </row>
    <row r="236" spans="1:29" ht="32.25" hidden="1" customHeight="1">
      <c r="A236" s="8">
        <v>2303488</v>
      </c>
      <c r="B236" s="9" t="s">
        <v>13284</v>
      </c>
      <c r="C236" s="9" t="s">
        <v>13284</v>
      </c>
      <c r="D236" s="9" t="s">
        <v>13284</v>
      </c>
      <c r="E236" s="9" t="s">
        <v>13284</v>
      </c>
      <c r="F236" s="9" t="s">
        <v>13284</v>
      </c>
      <c r="G236" s="9" t="s">
        <v>13284</v>
      </c>
      <c r="H236" s="9" t="s">
        <v>13284</v>
      </c>
      <c r="I236" s="9" t="s">
        <v>13284</v>
      </c>
      <c r="J236" s="9" t="s">
        <v>13284</v>
      </c>
      <c r="K236" s="9" t="s">
        <v>13284</v>
      </c>
      <c r="L236" s="9" t="s">
        <v>13284</v>
      </c>
      <c r="M236" s="9" t="s">
        <v>13284</v>
      </c>
      <c r="N236" s="9" t="s">
        <v>13284</v>
      </c>
      <c r="O236" s="9" t="s">
        <v>13284</v>
      </c>
      <c r="P236" s="9" t="s">
        <v>13284</v>
      </c>
      <c r="Q236" s="9" t="s">
        <v>13284</v>
      </c>
      <c r="R236" s="9" t="s">
        <v>13284</v>
      </c>
      <c r="S236" s="9" t="s">
        <v>13284</v>
      </c>
      <c r="T236" s="9" t="str">
        <f ca="1">IFERROR(IF(AND(VLOOKUP(A236, 'Актуальное состояние (из общего'!A:C,3,0) = "", A236 &lt;&gt; ""), "ПРОВЕРИТЬ", VLOOKUP(A236, 'Актуальное состояние (из общего'!A:C,3,0)), "")</f>
        <v>Студент</v>
      </c>
      <c r="U236" s="9" t="s">
        <v>13284</v>
      </c>
      <c r="V236" s="9" t="s">
        <v>13284</v>
      </c>
      <c r="W236" s="12"/>
      <c r="X236" s="9" t="str">
        <f t="array" ref="X236">IFERROR(INDEX('Адреса общежитий (скрытый)'!$B$2:$B$9, MATCH(W236, 'Адреса общежитий (скрытый)'!$A$2:$A$9, 0)), "")</f>
        <v/>
      </c>
      <c r="Y236" s="18"/>
      <c r="Z236" s="18"/>
      <c r="AA236" s="18"/>
      <c r="AB236" s="18"/>
      <c r="AC236" s="18"/>
    </row>
    <row r="237" spans="1:29" ht="32.25" customHeight="1">
      <c r="A237" s="8">
        <v>2311810</v>
      </c>
      <c r="B237" s="9" t="s">
        <v>13284</v>
      </c>
      <c r="C237" s="9" t="s">
        <v>13284</v>
      </c>
      <c r="D237" s="9" t="s">
        <v>13284</v>
      </c>
      <c r="E237" s="9" t="s">
        <v>13284</v>
      </c>
      <c r="F237" s="9" t="s">
        <v>13284</v>
      </c>
      <c r="G237" s="9" t="s">
        <v>13284</v>
      </c>
      <c r="H237" s="9" t="s">
        <v>13284</v>
      </c>
      <c r="I237" s="9" t="s">
        <v>13284</v>
      </c>
      <c r="J237" s="9" t="s">
        <v>13284</v>
      </c>
      <c r="K237" s="9" t="s">
        <v>13284</v>
      </c>
      <c r="L237" s="9" t="s">
        <v>13284</v>
      </c>
      <c r="M237" s="9" t="s">
        <v>13284</v>
      </c>
      <c r="N237" s="9" t="s">
        <v>13284</v>
      </c>
      <c r="O237" s="9" t="s">
        <v>13284</v>
      </c>
      <c r="P237" s="9" t="s">
        <v>13284</v>
      </c>
      <c r="Q237" s="9" t="s">
        <v>13284</v>
      </c>
      <c r="R237" s="9" t="s">
        <v>13284</v>
      </c>
      <c r="S237" s="9" t="s">
        <v>13284</v>
      </c>
      <c r="T237" s="9" t="str">
        <f ca="1">IFERROR(IF(AND(VLOOKUP(A237, 'Актуальное состояние (из общего'!A:C,3,0) = "", A237 &lt;&gt; ""), "ПРОВЕРИТЬ", VLOOKUP(A237, 'Актуальное состояние (из общего'!A:C,3,0)), "")</f>
        <v>Студент</v>
      </c>
      <c r="U237" s="9" t="s">
        <v>13284</v>
      </c>
      <c r="V237" s="9" t="s">
        <v>13284</v>
      </c>
      <c r="W237" s="9" t="s">
        <v>319</v>
      </c>
      <c r="X237" s="9" t="str">
        <f t="array" ref="X237">IFERROR(INDEX('Адреса общежитий (скрытый)'!$B$2:$B$9, MATCH(W237, 'Адреса общежитий (скрытый)'!$A$2:$A$9, 0)), "")</f>
        <v>ул. Профсоюзная, д.83, корп. 2</v>
      </c>
      <c r="Y237" s="18"/>
      <c r="Z237" s="18"/>
      <c r="AA237" s="18"/>
      <c r="AB237" s="18"/>
      <c r="AC237" s="18"/>
    </row>
    <row r="238" spans="1:29" ht="32.25" customHeight="1">
      <c r="A238" s="8">
        <v>2301863</v>
      </c>
      <c r="B238" s="9" t="s">
        <v>13284</v>
      </c>
      <c r="C238" s="9" t="s">
        <v>13284</v>
      </c>
      <c r="D238" s="9" t="s">
        <v>13284</v>
      </c>
      <c r="E238" s="9" t="s">
        <v>13284</v>
      </c>
      <c r="F238" s="9" t="s">
        <v>13284</v>
      </c>
      <c r="G238" s="9" t="s">
        <v>13284</v>
      </c>
      <c r="H238" s="9" t="s">
        <v>13284</v>
      </c>
      <c r="I238" s="9" t="s">
        <v>13284</v>
      </c>
      <c r="J238" s="9" t="s">
        <v>13284</v>
      </c>
      <c r="K238" s="9" t="s">
        <v>13284</v>
      </c>
      <c r="L238" s="9" t="s">
        <v>13284</v>
      </c>
      <c r="M238" s="9" t="s">
        <v>13284</v>
      </c>
      <c r="N238" s="9" t="s">
        <v>13284</v>
      </c>
      <c r="O238" s="9" t="s">
        <v>13284</v>
      </c>
      <c r="P238" s="9" t="s">
        <v>13284</v>
      </c>
      <c r="Q238" s="9" t="s">
        <v>13284</v>
      </c>
      <c r="R238" s="9" t="s">
        <v>13284</v>
      </c>
      <c r="S238" s="9" t="s">
        <v>13284</v>
      </c>
      <c r="T238" s="9" t="str">
        <f ca="1">IFERROR(IF(AND(VLOOKUP(A238, 'Актуальное состояние (из общего'!A:C,3,0) = "", A238 &lt;&gt; ""), "ПРОВЕРИТЬ", VLOOKUP(A238, 'Актуальное состояние (из общего'!A:C,3,0)), "")</f>
        <v>Студент</v>
      </c>
      <c r="U238" s="9" t="s">
        <v>13284</v>
      </c>
      <c r="V238" s="9" t="s">
        <v>13284</v>
      </c>
      <c r="W238" s="9" t="s">
        <v>64</v>
      </c>
      <c r="X238" s="9" t="str">
        <f t="array" ref="X238">IFERROR(INDEX('Адреса общежитий (скрытый)'!$B$2:$B$9, MATCH(W238, 'Адреса общежитий (скрытый)'!$A$2:$A$9, 0)), "")</f>
        <v>проспект 60-летия Октября, д.11</v>
      </c>
      <c r="Y238" s="18"/>
      <c r="Z238" s="18"/>
      <c r="AA238" s="18"/>
      <c r="AB238" s="18"/>
      <c r="AC238" s="18"/>
    </row>
    <row r="239" spans="1:29" ht="32.25" customHeight="1">
      <c r="A239" s="8">
        <v>2305841</v>
      </c>
      <c r="B239" s="9" t="s">
        <v>13284</v>
      </c>
      <c r="C239" s="9" t="s">
        <v>13284</v>
      </c>
      <c r="D239" s="9" t="s">
        <v>13284</v>
      </c>
      <c r="E239" s="9" t="s">
        <v>13284</v>
      </c>
      <c r="F239" s="9" t="s">
        <v>13284</v>
      </c>
      <c r="G239" s="9" t="s">
        <v>13284</v>
      </c>
      <c r="H239" s="9" t="s">
        <v>13284</v>
      </c>
      <c r="I239" s="9" t="s">
        <v>13284</v>
      </c>
      <c r="J239" s="9" t="s">
        <v>13284</v>
      </c>
      <c r="K239" s="9" t="s">
        <v>13284</v>
      </c>
      <c r="L239" s="9" t="s">
        <v>13284</v>
      </c>
      <c r="M239" s="9" t="s">
        <v>13284</v>
      </c>
      <c r="N239" s="9" t="s">
        <v>13284</v>
      </c>
      <c r="O239" s="9" t="s">
        <v>13284</v>
      </c>
      <c r="P239" s="9" t="s">
        <v>13284</v>
      </c>
      <c r="Q239" s="9" t="s">
        <v>13284</v>
      </c>
      <c r="R239" s="9" t="s">
        <v>13284</v>
      </c>
      <c r="S239" s="9" t="s">
        <v>13284</v>
      </c>
      <c r="T239" s="9" t="str">
        <f ca="1">IFERROR(IF(AND(VLOOKUP(A239, 'Актуальное состояние (из общего'!A:C,3,0) = "", A239 &lt;&gt; ""), "ПРОВЕРИТЬ", VLOOKUP(A239, 'Актуальное состояние (из общего'!A:C,3,0)), "")</f>
        <v>Студент</v>
      </c>
      <c r="U239" s="9" t="s">
        <v>13284</v>
      </c>
      <c r="V239" s="9" t="s">
        <v>13284</v>
      </c>
      <c r="W239" s="9" t="s">
        <v>64</v>
      </c>
      <c r="X239" s="9" t="str">
        <f t="array" ref="X239">IFERROR(INDEX('Адреса общежитий (скрытый)'!$B$2:$B$9, MATCH(W239, 'Адреса общежитий (скрытый)'!$A$2:$A$9, 0)), "")</f>
        <v>проспект 60-летия Октября, д.11</v>
      </c>
      <c r="Y239" s="18"/>
      <c r="Z239" s="18"/>
      <c r="AA239" s="18"/>
      <c r="AB239" s="18"/>
      <c r="AC239" s="18"/>
    </row>
    <row r="240" spans="1:29" ht="32.25" customHeight="1">
      <c r="A240" s="8">
        <v>2304456</v>
      </c>
      <c r="B240" s="9" t="s">
        <v>13284</v>
      </c>
      <c r="C240" s="9" t="s">
        <v>13284</v>
      </c>
      <c r="D240" s="9" t="s">
        <v>13284</v>
      </c>
      <c r="E240" s="9" t="s">
        <v>13284</v>
      </c>
      <c r="F240" s="9" t="s">
        <v>13284</v>
      </c>
      <c r="G240" s="9" t="s">
        <v>13284</v>
      </c>
      <c r="H240" s="9" t="s">
        <v>13284</v>
      </c>
      <c r="I240" s="9" t="s">
        <v>13284</v>
      </c>
      <c r="J240" s="9" t="s">
        <v>13284</v>
      </c>
      <c r="K240" s="9" t="s">
        <v>13284</v>
      </c>
      <c r="L240" s="9" t="s">
        <v>13284</v>
      </c>
      <c r="M240" s="9" t="s">
        <v>13284</v>
      </c>
      <c r="N240" s="9" t="s">
        <v>13284</v>
      </c>
      <c r="O240" s="9" t="s">
        <v>13284</v>
      </c>
      <c r="P240" s="9" t="s">
        <v>13284</v>
      </c>
      <c r="Q240" s="9" t="s">
        <v>13284</v>
      </c>
      <c r="R240" s="9" t="s">
        <v>13284</v>
      </c>
      <c r="S240" s="9" t="s">
        <v>13284</v>
      </c>
      <c r="T240" s="9" t="str">
        <f ca="1">IFERROR(IF(AND(VLOOKUP(A240, 'Актуальное состояние (из общего'!A:C,3,0) = "", A240 &lt;&gt; ""), "ПРОВЕРИТЬ", VLOOKUP(A240, 'Актуальное состояние (из общего'!A:C,3,0)), "")</f>
        <v>Студент</v>
      </c>
      <c r="U240" s="9" t="s">
        <v>13284</v>
      </c>
      <c r="V240" s="9" t="s">
        <v>13284</v>
      </c>
      <c r="W240" s="9" t="s">
        <v>64</v>
      </c>
      <c r="X240" s="9" t="str">
        <f t="array" ref="X240">IFERROR(INDEX('Адреса общежитий (скрытый)'!$B$2:$B$9, MATCH(W240, 'Адреса общежитий (скрытый)'!$A$2:$A$9, 0)), "")</f>
        <v>проспект 60-летия Октября, д.11</v>
      </c>
      <c r="Y240" s="18"/>
      <c r="Z240" s="18"/>
      <c r="AA240" s="18"/>
      <c r="AB240" s="18"/>
      <c r="AC240" s="18"/>
    </row>
    <row r="241" spans="1:29" ht="32.25" customHeight="1">
      <c r="A241" s="8">
        <v>2304497</v>
      </c>
      <c r="B241" s="9" t="s">
        <v>13284</v>
      </c>
      <c r="C241" s="9" t="s">
        <v>13284</v>
      </c>
      <c r="D241" s="9" t="s">
        <v>13284</v>
      </c>
      <c r="E241" s="9" t="s">
        <v>13284</v>
      </c>
      <c r="F241" s="9" t="s">
        <v>13284</v>
      </c>
      <c r="G241" s="9" t="s">
        <v>13284</v>
      </c>
      <c r="H241" s="9" t="s">
        <v>13284</v>
      </c>
      <c r="I241" s="9" t="s">
        <v>13284</v>
      </c>
      <c r="J241" s="9" t="s">
        <v>13284</v>
      </c>
      <c r="K241" s="9" t="s">
        <v>13284</v>
      </c>
      <c r="L241" s="9" t="s">
        <v>13284</v>
      </c>
      <c r="M241" s="9" t="s">
        <v>13284</v>
      </c>
      <c r="N241" s="9" t="s">
        <v>13284</v>
      </c>
      <c r="O241" s="9" t="s">
        <v>13284</v>
      </c>
      <c r="P241" s="9" t="s">
        <v>13284</v>
      </c>
      <c r="Q241" s="9" t="s">
        <v>13284</v>
      </c>
      <c r="R241" s="9" t="s">
        <v>13284</v>
      </c>
      <c r="S241" s="9" t="s">
        <v>13284</v>
      </c>
      <c r="T241" s="9" t="str">
        <f ca="1">IFERROR(IF(AND(VLOOKUP(A241, 'Актуальное состояние (из общего'!A:C,3,0) = "", A241 &lt;&gt; ""), "ПРОВЕРИТЬ", VLOOKUP(A241, 'Актуальное состояние (из общего'!A:C,3,0)), "")</f>
        <v>Студент</v>
      </c>
      <c r="U241" s="9" t="s">
        <v>13284</v>
      </c>
      <c r="V241" s="9" t="s">
        <v>13284</v>
      </c>
      <c r="W241" s="12"/>
      <c r="X241" s="9" t="str">
        <f t="array" ref="X241">IFERROR(INDEX('Адреса общежитий (скрытый)'!$B$2:$B$9, MATCH(W241, 'Адреса общежитий (скрытый)'!$A$2:$A$9, 0)), "")</f>
        <v/>
      </c>
      <c r="Y241" s="18"/>
      <c r="Z241" s="18"/>
      <c r="AA241" s="18"/>
      <c r="AB241" s="18"/>
      <c r="AC241" s="18"/>
    </row>
    <row r="242" spans="1:29" ht="32.25" customHeight="1">
      <c r="A242" s="8">
        <v>2305506</v>
      </c>
      <c r="B242" s="9" t="s">
        <v>13284</v>
      </c>
      <c r="C242" s="9" t="s">
        <v>13284</v>
      </c>
      <c r="D242" s="9" t="s">
        <v>13284</v>
      </c>
      <c r="E242" s="9" t="s">
        <v>13284</v>
      </c>
      <c r="F242" s="9" t="s">
        <v>13284</v>
      </c>
      <c r="G242" s="9" t="s">
        <v>13284</v>
      </c>
      <c r="H242" s="9" t="s">
        <v>13284</v>
      </c>
      <c r="I242" s="9" t="s">
        <v>13284</v>
      </c>
      <c r="J242" s="9" t="s">
        <v>13284</v>
      </c>
      <c r="K242" s="9" t="s">
        <v>13284</v>
      </c>
      <c r="L242" s="9" t="s">
        <v>13284</v>
      </c>
      <c r="M242" s="9" t="s">
        <v>13284</v>
      </c>
      <c r="N242" s="9" t="s">
        <v>13284</v>
      </c>
      <c r="O242" s="9" t="s">
        <v>13284</v>
      </c>
      <c r="P242" s="9" t="s">
        <v>13284</v>
      </c>
      <c r="Q242" s="9" t="s">
        <v>13284</v>
      </c>
      <c r="R242" s="9" t="s">
        <v>13284</v>
      </c>
      <c r="S242" s="9" t="s">
        <v>13284</v>
      </c>
      <c r="T242" s="9" t="str">
        <f ca="1">IFERROR(IF(AND(VLOOKUP(A242, 'Актуальное состояние (из общего'!A:C,3,0) = "", A242 &lt;&gt; ""), "ПРОВЕРИТЬ", VLOOKUP(A242, 'Актуальное состояние (из общего'!A:C,3,0)), "")</f>
        <v>Студент</v>
      </c>
      <c r="U242" s="9" t="s">
        <v>13284</v>
      </c>
      <c r="V242" s="9" t="s">
        <v>13284</v>
      </c>
      <c r="W242" s="9" t="s">
        <v>64</v>
      </c>
      <c r="X242" s="9" t="str">
        <f t="array" ref="X242">IFERROR(INDEX('Адреса общежитий (скрытый)'!$B$2:$B$9, MATCH(W242, 'Адреса общежитий (скрытый)'!$A$2:$A$9, 0)), "")</f>
        <v>проспект 60-летия Октября, д.11</v>
      </c>
      <c r="Y242" s="18"/>
      <c r="Z242" s="18"/>
      <c r="AA242" s="18"/>
      <c r="AB242" s="18"/>
      <c r="AC242" s="18"/>
    </row>
    <row r="243" spans="1:29" ht="32.25" customHeight="1">
      <c r="A243" s="8">
        <v>2308899</v>
      </c>
      <c r="B243" s="9" t="s">
        <v>13284</v>
      </c>
      <c r="C243" s="9" t="s">
        <v>13284</v>
      </c>
      <c r="D243" s="9" t="s">
        <v>13284</v>
      </c>
      <c r="E243" s="9" t="s">
        <v>13284</v>
      </c>
      <c r="F243" s="9" t="s">
        <v>13284</v>
      </c>
      <c r="G243" s="9" t="s">
        <v>13284</v>
      </c>
      <c r="H243" s="9" t="s">
        <v>13284</v>
      </c>
      <c r="I243" s="9" t="s">
        <v>13284</v>
      </c>
      <c r="J243" s="9" t="s">
        <v>13284</v>
      </c>
      <c r="K243" s="9" t="s">
        <v>13284</v>
      </c>
      <c r="L243" s="9" t="s">
        <v>13284</v>
      </c>
      <c r="M243" s="9" t="s">
        <v>13284</v>
      </c>
      <c r="N243" s="9" t="s">
        <v>13284</v>
      </c>
      <c r="O243" s="9" t="s">
        <v>13284</v>
      </c>
      <c r="P243" s="9" t="s">
        <v>13284</v>
      </c>
      <c r="Q243" s="9" t="s">
        <v>13284</v>
      </c>
      <c r="R243" s="9" t="s">
        <v>13284</v>
      </c>
      <c r="S243" s="9" t="s">
        <v>13284</v>
      </c>
      <c r="T243" s="9" t="str">
        <f ca="1">IFERROR(IF(AND(VLOOKUP(A243, 'Актуальное состояние (из общего'!A:C,3,0) = "", A243 &lt;&gt; ""), "ПРОВЕРИТЬ", VLOOKUP(A243, 'Актуальное состояние (из общего'!A:C,3,0)), "")</f>
        <v>Студент</v>
      </c>
      <c r="U243" s="9" t="s">
        <v>13284</v>
      </c>
      <c r="V243" s="9" t="s">
        <v>13284</v>
      </c>
      <c r="W243" s="9" t="s">
        <v>64</v>
      </c>
      <c r="X243" s="9" t="str">
        <f t="array" ref="X243">IFERROR(INDEX('Адреса общежитий (скрытый)'!$B$2:$B$9, MATCH(W243, 'Адреса общежитий (скрытый)'!$A$2:$A$9, 0)), "")</f>
        <v>проспект 60-летия Октября, д.11</v>
      </c>
      <c r="Y243" s="18"/>
      <c r="Z243" s="18"/>
      <c r="AA243" s="18"/>
      <c r="AB243" s="18"/>
      <c r="AC243" s="18"/>
    </row>
    <row r="244" spans="1:29" ht="32.25" customHeight="1">
      <c r="A244" s="8">
        <v>2303275</v>
      </c>
      <c r="B244" s="9" t="s">
        <v>13284</v>
      </c>
      <c r="C244" s="9" t="s">
        <v>13284</v>
      </c>
      <c r="D244" s="9" t="s">
        <v>13284</v>
      </c>
      <c r="E244" s="9" t="s">
        <v>13284</v>
      </c>
      <c r="F244" s="9" t="s">
        <v>13284</v>
      </c>
      <c r="G244" s="9" t="s">
        <v>13284</v>
      </c>
      <c r="H244" s="9" t="s">
        <v>13284</v>
      </c>
      <c r="I244" s="9" t="s">
        <v>13284</v>
      </c>
      <c r="J244" s="9" t="s">
        <v>13284</v>
      </c>
      <c r="K244" s="9" t="s">
        <v>13284</v>
      </c>
      <c r="L244" s="9" t="s">
        <v>13284</v>
      </c>
      <c r="M244" s="9" t="s">
        <v>13284</v>
      </c>
      <c r="N244" s="9" t="s">
        <v>13284</v>
      </c>
      <c r="O244" s="9" t="s">
        <v>13284</v>
      </c>
      <c r="P244" s="9" t="s">
        <v>13284</v>
      </c>
      <c r="Q244" s="9" t="s">
        <v>13284</v>
      </c>
      <c r="R244" s="9" t="s">
        <v>13284</v>
      </c>
      <c r="S244" s="9" t="s">
        <v>13284</v>
      </c>
      <c r="T244" s="9" t="str">
        <f ca="1">IFERROR(IF(AND(VLOOKUP(A244, 'Актуальное состояние (из общего'!A:C,3,0) = "", A244 &lt;&gt; ""), "ПРОВЕРИТЬ", VLOOKUP(A244, 'Актуальное состояние (из общего'!A:C,3,0)), "")</f>
        <v>Студент</v>
      </c>
      <c r="U244" s="9" t="s">
        <v>13284</v>
      </c>
      <c r="V244" s="9" t="s">
        <v>13284</v>
      </c>
      <c r="W244" s="12"/>
      <c r="X244" s="9" t="str">
        <f t="array" ref="X244">IFERROR(INDEX('Адреса общежитий (скрытый)'!$B$2:$B$9, MATCH(W244, 'Адреса общежитий (скрытый)'!$A$2:$A$9, 0)), "")</f>
        <v/>
      </c>
      <c r="Y244" s="18"/>
      <c r="Z244" s="18"/>
      <c r="AA244" s="18"/>
      <c r="AB244" s="18"/>
      <c r="AC244" s="18"/>
    </row>
    <row r="245" spans="1:29" ht="32.25" hidden="1" customHeight="1">
      <c r="A245" s="8">
        <v>2302195</v>
      </c>
      <c r="B245" s="9" t="s">
        <v>13284</v>
      </c>
      <c r="C245" s="9" t="s">
        <v>13284</v>
      </c>
      <c r="D245" s="9" t="s">
        <v>13284</v>
      </c>
      <c r="E245" s="9" t="s">
        <v>13284</v>
      </c>
      <c r="F245" s="9" t="s">
        <v>13284</v>
      </c>
      <c r="G245" s="9" t="s">
        <v>13284</v>
      </c>
      <c r="H245" s="9" t="s">
        <v>13284</v>
      </c>
      <c r="I245" s="9" t="s">
        <v>13284</v>
      </c>
      <c r="J245" s="9" t="s">
        <v>13284</v>
      </c>
      <c r="K245" s="9" t="s">
        <v>13284</v>
      </c>
      <c r="L245" s="9" t="s">
        <v>13284</v>
      </c>
      <c r="M245" s="9" t="s">
        <v>13284</v>
      </c>
      <c r="N245" s="9" t="s">
        <v>13284</v>
      </c>
      <c r="O245" s="9" t="s">
        <v>13284</v>
      </c>
      <c r="P245" s="9" t="s">
        <v>13284</v>
      </c>
      <c r="Q245" s="9" t="s">
        <v>13284</v>
      </c>
      <c r="R245" s="9" t="s">
        <v>13284</v>
      </c>
      <c r="S245" s="9" t="s">
        <v>13284</v>
      </c>
      <c r="T245" s="9" t="str">
        <f ca="1">IFERROR(IF(AND(VLOOKUP(A245, 'Актуальное состояние (из общего'!A:C,3,0) = "", A245 &lt;&gt; ""), "ПРОВЕРИТЬ", VLOOKUP(A245, 'Актуальное состояние (из общего'!A:C,3,0)), "")</f>
        <v>Студент</v>
      </c>
      <c r="U245" s="9" t="s">
        <v>13284</v>
      </c>
      <c r="V245" s="9" t="s">
        <v>13284</v>
      </c>
      <c r="W245" s="12"/>
      <c r="X245" s="9" t="str">
        <f t="array" ref="X245">IFERROR(INDEX('Адреса общежитий (скрытый)'!$B$2:$B$9, MATCH(W245, 'Адреса общежитий (скрытый)'!$A$2:$A$9, 0)), "")</f>
        <v/>
      </c>
      <c r="Y245" s="18"/>
      <c r="Z245" s="18"/>
      <c r="AA245" s="18"/>
      <c r="AB245" s="18"/>
      <c r="AC245" s="18"/>
    </row>
    <row r="246" spans="1:29" ht="32.25" hidden="1" customHeight="1">
      <c r="A246" s="8">
        <v>2302595</v>
      </c>
      <c r="B246" s="9" t="s">
        <v>13284</v>
      </c>
      <c r="C246" s="9" t="s">
        <v>13284</v>
      </c>
      <c r="D246" s="9" t="s">
        <v>13284</v>
      </c>
      <c r="E246" s="9" t="s">
        <v>13284</v>
      </c>
      <c r="F246" s="9" t="s">
        <v>13284</v>
      </c>
      <c r="G246" s="9" t="s">
        <v>13284</v>
      </c>
      <c r="H246" s="9" t="s">
        <v>13284</v>
      </c>
      <c r="I246" s="9" t="s">
        <v>13284</v>
      </c>
      <c r="J246" s="9" t="s">
        <v>13284</v>
      </c>
      <c r="K246" s="9" t="s">
        <v>13284</v>
      </c>
      <c r="L246" s="9" t="s">
        <v>13284</v>
      </c>
      <c r="M246" s="9" t="s">
        <v>13284</v>
      </c>
      <c r="N246" s="9" t="s">
        <v>13284</v>
      </c>
      <c r="O246" s="9" t="s">
        <v>13284</v>
      </c>
      <c r="P246" s="9" t="s">
        <v>13284</v>
      </c>
      <c r="Q246" s="9" t="s">
        <v>13284</v>
      </c>
      <c r="R246" s="9" t="s">
        <v>13284</v>
      </c>
      <c r="S246" s="9" t="s">
        <v>13284</v>
      </c>
      <c r="T246" s="9" t="str">
        <f ca="1">IFERROR(IF(AND(VLOOKUP(A246, 'Актуальное состояние (из общего'!A:C,3,0) = "", A246 &lt;&gt; ""), "ПРОВЕРИТЬ", VLOOKUP(A246, 'Актуальное состояние (из общего'!A:C,3,0)), "")</f>
        <v>Студент</v>
      </c>
      <c r="U246" s="9" t="s">
        <v>13284</v>
      </c>
      <c r="V246" s="9" t="s">
        <v>13284</v>
      </c>
      <c r="W246" s="12"/>
      <c r="X246" s="9" t="str">
        <f t="array" ref="X246">IFERROR(INDEX('Адреса общежитий (скрытый)'!$B$2:$B$9, MATCH(W246, 'Адреса общежитий (скрытый)'!$A$2:$A$9, 0)), "")</f>
        <v/>
      </c>
      <c r="Y246" s="18"/>
      <c r="Z246" s="18"/>
      <c r="AA246" s="18"/>
      <c r="AB246" s="18"/>
      <c r="AC246" s="18"/>
    </row>
    <row r="247" spans="1:29" ht="32.25" customHeight="1">
      <c r="A247" s="8">
        <v>2308807</v>
      </c>
      <c r="B247" s="9" t="s">
        <v>13284</v>
      </c>
      <c r="C247" s="9" t="s">
        <v>13284</v>
      </c>
      <c r="D247" s="9" t="s">
        <v>13284</v>
      </c>
      <c r="E247" s="9" t="s">
        <v>13284</v>
      </c>
      <c r="F247" s="9" t="s">
        <v>13284</v>
      </c>
      <c r="G247" s="9" t="s">
        <v>13284</v>
      </c>
      <c r="H247" s="9" t="s">
        <v>13284</v>
      </c>
      <c r="I247" s="9" t="s">
        <v>13284</v>
      </c>
      <c r="J247" s="9" t="s">
        <v>13284</v>
      </c>
      <c r="K247" s="9" t="s">
        <v>13284</v>
      </c>
      <c r="L247" s="9" t="s">
        <v>13284</v>
      </c>
      <c r="M247" s="9" t="s">
        <v>13284</v>
      </c>
      <c r="N247" s="9" t="s">
        <v>13284</v>
      </c>
      <c r="O247" s="9" t="s">
        <v>13284</v>
      </c>
      <c r="P247" s="9" t="s">
        <v>13284</v>
      </c>
      <c r="Q247" s="9" t="s">
        <v>13284</v>
      </c>
      <c r="R247" s="9" t="s">
        <v>13284</v>
      </c>
      <c r="S247" s="9" t="s">
        <v>13284</v>
      </c>
      <c r="T247" s="9" t="str">
        <f ca="1">IFERROR(IF(AND(VLOOKUP(A247, 'Актуальное состояние (из общего'!A:C,3,0) = "", A247 &lt;&gt; ""), "ПРОВЕРИТЬ", VLOOKUP(A247, 'Актуальное состояние (из общего'!A:C,3,0)), "")</f>
        <v>Студент</v>
      </c>
      <c r="U247" s="9" t="s">
        <v>13284</v>
      </c>
      <c r="V247" s="9" t="s">
        <v>13284</v>
      </c>
      <c r="W247" s="9" t="s">
        <v>64</v>
      </c>
      <c r="X247" s="9" t="str">
        <f t="array" ref="X247">IFERROR(INDEX('Адреса общежитий (скрытый)'!$B$2:$B$9, MATCH(W247, 'Адреса общежитий (скрытый)'!$A$2:$A$9, 0)), "")</f>
        <v>проспект 60-летия Октября, д.11</v>
      </c>
      <c r="Y247" s="18"/>
      <c r="Z247" s="18"/>
      <c r="AA247" s="18"/>
      <c r="AB247" s="18"/>
      <c r="AC247" s="18"/>
    </row>
    <row r="248" spans="1:29" ht="32.25" customHeight="1">
      <c r="A248" s="8">
        <v>2300382</v>
      </c>
      <c r="B248" s="9" t="s">
        <v>13284</v>
      </c>
      <c r="C248" s="9" t="s">
        <v>13284</v>
      </c>
      <c r="D248" s="9" t="s">
        <v>13284</v>
      </c>
      <c r="E248" s="9" t="s">
        <v>13284</v>
      </c>
      <c r="F248" s="9" t="s">
        <v>13284</v>
      </c>
      <c r="G248" s="9" t="s">
        <v>13284</v>
      </c>
      <c r="H248" s="9" t="s">
        <v>13284</v>
      </c>
      <c r="I248" s="9" t="s">
        <v>13284</v>
      </c>
      <c r="J248" s="9" t="s">
        <v>13284</v>
      </c>
      <c r="K248" s="9" t="s">
        <v>13284</v>
      </c>
      <c r="L248" s="9" t="s">
        <v>13284</v>
      </c>
      <c r="M248" s="9" t="s">
        <v>13284</v>
      </c>
      <c r="N248" s="9" t="s">
        <v>13284</v>
      </c>
      <c r="O248" s="9" t="s">
        <v>13284</v>
      </c>
      <c r="P248" s="9" t="s">
        <v>13284</v>
      </c>
      <c r="Q248" s="9" t="s">
        <v>13284</v>
      </c>
      <c r="R248" s="9" t="s">
        <v>13284</v>
      </c>
      <c r="S248" s="9" t="s">
        <v>13284</v>
      </c>
      <c r="T248" s="9" t="str">
        <f ca="1">IFERROR(IF(AND(VLOOKUP(A248, 'Актуальное состояние (из общего'!A:C,3,0) = "", A248 &lt;&gt; ""), "ПРОВЕРИТЬ", VLOOKUP(A248, 'Актуальное состояние (из общего'!A:C,3,0)), "")</f>
        <v>Студент</v>
      </c>
      <c r="U248" s="9" t="s">
        <v>13284</v>
      </c>
      <c r="V248" s="9" t="s">
        <v>13284</v>
      </c>
      <c r="W248" s="12"/>
      <c r="X248" s="9" t="str">
        <f t="array" ref="X248">IFERROR(INDEX('Адреса общежитий (скрытый)'!$B$2:$B$9, MATCH(W248, 'Адреса общежитий (скрытый)'!$A$2:$A$9, 0)), "")</f>
        <v/>
      </c>
      <c r="Y248" s="18"/>
      <c r="Z248" s="18"/>
      <c r="AA248" s="18"/>
      <c r="AB248" s="18"/>
      <c r="AC248" s="18"/>
    </row>
    <row r="249" spans="1:29" ht="32.25" customHeight="1">
      <c r="A249" s="8">
        <v>2308244</v>
      </c>
      <c r="B249" s="9" t="s">
        <v>13284</v>
      </c>
      <c r="C249" s="9" t="s">
        <v>13284</v>
      </c>
      <c r="D249" s="9" t="s">
        <v>13284</v>
      </c>
      <c r="E249" s="9" t="s">
        <v>13284</v>
      </c>
      <c r="F249" s="9" t="s">
        <v>13284</v>
      </c>
      <c r="G249" s="9" t="s">
        <v>13284</v>
      </c>
      <c r="H249" s="9" t="s">
        <v>13284</v>
      </c>
      <c r="I249" s="9" t="s">
        <v>13284</v>
      </c>
      <c r="J249" s="9" t="s">
        <v>13284</v>
      </c>
      <c r="K249" s="9" t="s">
        <v>13284</v>
      </c>
      <c r="L249" s="9" t="s">
        <v>13284</v>
      </c>
      <c r="M249" s="9" t="s">
        <v>13284</v>
      </c>
      <c r="N249" s="9" t="s">
        <v>13284</v>
      </c>
      <c r="O249" s="9" t="s">
        <v>13284</v>
      </c>
      <c r="P249" s="9" t="s">
        <v>13284</v>
      </c>
      <c r="Q249" s="9" t="s">
        <v>13284</v>
      </c>
      <c r="R249" s="9" t="s">
        <v>13284</v>
      </c>
      <c r="S249" s="9" t="s">
        <v>13284</v>
      </c>
      <c r="T249" s="9" t="str">
        <f ca="1">IFERROR(IF(AND(VLOOKUP(A249, 'Актуальное состояние (из общего'!A:C,3,0) = "", A249 &lt;&gt; ""), "ПРОВЕРИТЬ", VLOOKUP(A249, 'Актуальное состояние (из общего'!A:C,3,0)), "")</f>
        <v>Студент</v>
      </c>
      <c r="U249" s="9" t="s">
        <v>13284</v>
      </c>
      <c r="V249" s="9" t="s">
        <v>13284</v>
      </c>
      <c r="W249" s="9" t="s">
        <v>64</v>
      </c>
      <c r="X249" s="9" t="str">
        <f t="array" ref="X249">IFERROR(INDEX('Адреса общежитий (скрытый)'!$B$2:$B$9, MATCH(W249, 'Адреса общежитий (скрытый)'!$A$2:$A$9, 0)), "")</f>
        <v>проспект 60-летия Октября, д.11</v>
      </c>
      <c r="Y249" s="18"/>
      <c r="Z249" s="18"/>
      <c r="AA249" s="18"/>
      <c r="AB249" s="18"/>
      <c r="AC249" s="18"/>
    </row>
    <row r="250" spans="1:29" ht="32.25" hidden="1" customHeight="1">
      <c r="A250" s="8">
        <v>2304622</v>
      </c>
      <c r="B250" s="9" t="s">
        <v>13284</v>
      </c>
      <c r="C250" s="9" t="s">
        <v>13284</v>
      </c>
      <c r="D250" s="9" t="s">
        <v>13284</v>
      </c>
      <c r="E250" s="9" t="s">
        <v>13284</v>
      </c>
      <c r="F250" s="9" t="s">
        <v>13284</v>
      </c>
      <c r="G250" s="9" t="s">
        <v>13284</v>
      </c>
      <c r="H250" s="9" t="s">
        <v>13284</v>
      </c>
      <c r="I250" s="9" t="s">
        <v>13284</v>
      </c>
      <c r="J250" s="9" t="s">
        <v>13284</v>
      </c>
      <c r="K250" s="9" t="s">
        <v>13284</v>
      </c>
      <c r="L250" s="9" t="s">
        <v>13284</v>
      </c>
      <c r="M250" s="9" t="s">
        <v>13284</v>
      </c>
      <c r="N250" s="9" t="s">
        <v>13284</v>
      </c>
      <c r="O250" s="9" t="s">
        <v>13284</v>
      </c>
      <c r="P250" s="9" t="s">
        <v>13284</v>
      </c>
      <c r="Q250" s="9" t="s">
        <v>13284</v>
      </c>
      <c r="R250" s="9" t="s">
        <v>13284</v>
      </c>
      <c r="S250" s="9" t="s">
        <v>13284</v>
      </c>
      <c r="T250" s="9" t="str">
        <f ca="1">IFERROR(IF(AND(VLOOKUP(A250, 'Актуальное состояние (из общего'!A:C,3,0) = "", A250 &lt;&gt; ""), "ПРОВЕРИТЬ", VLOOKUP(A250, 'Актуальное состояние (из общего'!A:C,3,0)), "")</f>
        <v>Студент</v>
      </c>
      <c r="U250" s="9" t="s">
        <v>13284</v>
      </c>
      <c r="V250" s="9" t="s">
        <v>13284</v>
      </c>
      <c r="W250" s="12"/>
      <c r="X250" s="9" t="str">
        <f t="array" ref="X250">IFERROR(INDEX('Адреса общежитий (скрытый)'!$B$2:$B$9, MATCH(W250, 'Адреса общежитий (скрытый)'!$A$2:$A$9, 0)), "")</f>
        <v/>
      </c>
      <c r="Y250" s="18"/>
      <c r="Z250" s="18"/>
      <c r="AA250" s="18"/>
      <c r="AB250" s="18"/>
      <c r="AC250" s="18"/>
    </row>
    <row r="251" spans="1:29" ht="32.25" customHeight="1">
      <c r="A251" s="8">
        <v>2314066</v>
      </c>
      <c r="B251" s="9" t="s">
        <v>13284</v>
      </c>
      <c r="C251" s="9" t="s">
        <v>13284</v>
      </c>
      <c r="D251" s="9" t="s">
        <v>13284</v>
      </c>
      <c r="E251" s="9" t="s">
        <v>13284</v>
      </c>
      <c r="F251" s="9" t="s">
        <v>13284</v>
      </c>
      <c r="G251" s="9" t="s">
        <v>13284</v>
      </c>
      <c r="H251" s="9" t="s">
        <v>13284</v>
      </c>
      <c r="I251" s="9" t="s">
        <v>13284</v>
      </c>
      <c r="J251" s="9" t="s">
        <v>13284</v>
      </c>
      <c r="K251" s="9" t="s">
        <v>13284</v>
      </c>
      <c r="L251" s="9" t="s">
        <v>13284</v>
      </c>
      <c r="M251" s="9" t="s">
        <v>13284</v>
      </c>
      <c r="N251" s="9" t="s">
        <v>13284</v>
      </c>
      <c r="O251" s="9" t="s">
        <v>13284</v>
      </c>
      <c r="P251" s="9" t="s">
        <v>13284</v>
      </c>
      <c r="Q251" s="9" t="s">
        <v>13284</v>
      </c>
      <c r="R251" s="9" t="s">
        <v>13284</v>
      </c>
      <c r="S251" s="9" t="s">
        <v>13284</v>
      </c>
      <c r="T251" s="9" t="str">
        <f ca="1">IFERROR(IF(AND(VLOOKUP(A251, 'Актуальное состояние (из общего'!A:C,3,0) = "", A251 &lt;&gt; ""), "ПРОВЕРИТЬ", VLOOKUP(A251, 'Актуальное состояние (из общего'!A:C,3,0)), "")</f>
        <v>Студент</v>
      </c>
      <c r="U251" s="9" t="s">
        <v>13284</v>
      </c>
      <c r="V251" s="9" t="s">
        <v>13284</v>
      </c>
      <c r="W251" s="9" t="s">
        <v>64</v>
      </c>
      <c r="X251" s="9" t="str">
        <f t="array" ref="X251">IFERROR(INDEX('Адреса общежитий (скрытый)'!$B$2:$B$9, MATCH(W251, 'Адреса общежитий (скрытый)'!$A$2:$A$9, 0)), "")</f>
        <v>проспект 60-летия Октября, д.11</v>
      </c>
      <c r="Y251" s="18"/>
      <c r="Z251" s="18"/>
      <c r="AA251" s="18"/>
      <c r="AB251" s="18"/>
      <c r="AC251" s="18"/>
    </row>
    <row r="252" spans="1:29" ht="32.25" customHeight="1">
      <c r="A252" s="8">
        <v>2304707</v>
      </c>
      <c r="B252" s="9" t="s">
        <v>13284</v>
      </c>
      <c r="C252" s="9" t="s">
        <v>13284</v>
      </c>
      <c r="D252" s="9" t="s">
        <v>13284</v>
      </c>
      <c r="E252" s="9" t="s">
        <v>13284</v>
      </c>
      <c r="F252" s="9" t="s">
        <v>13284</v>
      </c>
      <c r="G252" s="9" t="s">
        <v>13284</v>
      </c>
      <c r="H252" s="9" t="s">
        <v>13284</v>
      </c>
      <c r="I252" s="9" t="s">
        <v>13284</v>
      </c>
      <c r="J252" s="9" t="s">
        <v>13284</v>
      </c>
      <c r="K252" s="9" t="s">
        <v>13284</v>
      </c>
      <c r="L252" s="9" t="s">
        <v>13284</v>
      </c>
      <c r="M252" s="9" t="s">
        <v>13284</v>
      </c>
      <c r="N252" s="9" t="s">
        <v>13284</v>
      </c>
      <c r="O252" s="9" t="s">
        <v>13284</v>
      </c>
      <c r="P252" s="9" t="s">
        <v>13284</v>
      </c>
      <c r="Q252" s="9" t="s">
        <v>13284</v>
      </c>
      <c r="R252" s="9" t="s">
        <v>13284</v>
      </c>
      <c r="S252" s="9" t="s">
        <v>13284</v>
      </c>
      <c r="T252" s="9" t="str">
        <f ca="1">IFERROR(IF(AND(VLOOKUP(A252, 'Актуальное состояние (из общего'!A:C,3,0) = "", A252 &lt;&gt; ""), "ПРОВЕРИТЬ", VLOOKUP(A252, 'Актуальное состояние (из общего'!A:C,3,0)), "")</f>
        <v>Студент</v>
      </c>
      <c r="U252" s="9" t="s">
        <v>13284</v>
      </c>
      <c r="V252" s="9" t="s">
        <v>13284</v>
      </c>
      <c r="W252" s="9" t="s">
        <v>64</v>
      </c>
      <c r="X252" s="9" t="str">
        <f t="array" ref="X252">IFERROR(INDEX('Адреса общежитий (скрытый)'!$B$2:$B$9, MATCH(W252, 'Адреса общежитий (скрытый)'!$A$2:$A$9, 0)), "")</f>
        <v>проспект 60-летия Октября, д.11</v>
      </c>
      <c r="Y252" s="18"/>
      <c r="Z252" s="18"/>
      <c r="AA252" s="18"/>
      <c r="AB252" s="18"/>
      <c r="AC252" s="18"/>
    </row>
    <row r="253" spans="1:29" ht="32.25" customHeight="1">
      <c r="A253" s="8">
        <v>2308113</v>
      </c>
      <c r="B253" s="9" t="s">
        <v>13284</v>
      </c>
      <c r="C253" s="9" t="s">
        <v>13284</v>
      </c>
      <c r="D253" s="9" t="s">
        <v>13284</v>
      </c>
      <c r="E253" s="9" t="s">
        <v>13284</v>
      </c>
      <c r="F253" s="9" t="s">
        <v>13284</v>
      </c>
      <c r="G253" s="9" t="s">
        <v>13284</v>
      </c>
      <c r="H253" s="9" t="s">
        <v>13284</v>
      </c>
      <c r="I253" s="9" t="s">
        <v>13284</v>
      </c>
      <c r="J253" s="9" t="s">
        <v>13284</v>
      </c>
      <c r="K253" s="9" t="s">
        <v>13284</v>
      </c>
      <c r="L253" s="9" t="s">
        <v>13284</v>
      </c>
      <c r="M253" s="9" t="s">
        <v>13284</v>
      </c>
      <c r="N253" s="9" t="s">
        <v>13284</v>
      </c>
      <c r="O253" s="9" t="s">
        <v>13284</v>
      </c>
      <c r="P253" s="9" t="s">
        <v>13284</v>
      </c>
      <c r="Q253" s="9" t="s">
        <v>13284</v>
      </c>
      <c r="R253" s="9" t="s">
        <v>13284</v>
      </c>
      <c r="S253" s="9" t="s">
        <v>13284</v>
      </c>
      <c r="T253" s="9" t="str">
        <f ca="1">IFERROR(IF(AND(VLOOKUP(A253, 'Актуальное состояние (из общего'!A:C,3,0) = "", A253 &lt;&gt; ""), "ПРОВЕРИТЬ", VLOOKUP(A253, 'Актуальное состояние (из общего'!A:C,3,0)), "")</f>
        <v>Студент</v>
      </c>
      <c r="U253" s="9" t="s">
        <v>13284</v>
      </c>
      <c r="V253" s="9" t="s">
        <v>13284</v>
      </c>
      <c r="W253" s="9" t="s">
        <v>64</v>
      </c>
      <c r="X253" s="9" t="str">
        <f t="array" ref="X253">IFERROR(INDEX('Адреса общежитий (скрытый)'!$B$2:$B$9, MATCH(W253, 'Адреса общежитий (скрытый)'!$A$2:$A$9, 0)), "")</f>
        <v>проспект 60-летия Октября, д.11</v>
      </c>
      <c r="Y253" s="18"/>
      <c r="Z253" s="18"/>
      <c r="AA253" s="18"/>
      <c r="AB253" s="18"/>
      <c r="AC253" s="18"/>
    </row>
    <row r="254" spans="1:29" ht="32.25" customHeight="1">
      <c r="A254" s="8">
        <v>2309940</v>
      </c>
      <c r="B254" s="9" t="s">
        <v>13284</v>
      </c>
      <c r="C254" s="9" t="s">
        <v>13284</v>
      </c>
      <c r="D254" s="9" t="s">
        <v>13284</v>
      </c>
      <c r="E254" s="9" t="s">
        <v>13284</v>
      </c>
      <c r="F254" s="9" t="s">
        <v>13284</v>
      </c>
      <c r="G254" s="9" t="s">
        <v>13284</v>
      </c>
      <c r="H254" s="9" t="s">
        <v>13284</v>
      </c>
      <c r="I254" s="9" t="s">
        <v>13284</v>
      </c>
      <c r="J254" s="9" t="s">
        <v>13284</v>
      </c>
      <c r="K254" s="9" t="s">
        <v>13284</v>
      </c>
      <c r="L254" s="9" t="s">
        <v>13284</v>
      </c>
      <c r="M254" s="9" t="s">
        <v>13284</v>
      </c>
      <c r="N254" s="9" t="s">
        <v>13284</v>
      </c>
      <c r="O254" s="9" t="s">
        <v>13284</v>
      </c>
      <c r="P254" s="9" t="s">
        <v>13284</v>
      </c>
      <c r="Q254" s="9" t="s">
        <v>13284</v>
      </c>
      <c r="R254" s="9" t="s">
        <v>13284</v>
      </c>
      <c r="S254" s="9" t="s">
        <v>13284</v>
      </c>
      <c r="T254" s="9" t="str">
        <f ca="1">IFERROR(IF(AND(VLOOKUP(A254, 'Актуальное состояние (из общего'!A:C,3,0) = "", A254 &lt;&gt; ""), "ПРОВЕРИТЬ", VLOOKUP(A254, 'Актуальное состояние (из общего'!A:C,3,0)), "")</f>
        <v>Студент</v>
      </c>
      <c r="U254" s="9" t="s">
        <v>13284</v>
      </c>
      <c r="V254" s="9" t="s">
        <v>13284</v>
      </c>
      <c r="W254" s="9" t="s">
        <v>64</v>
      </c>
      <c r="X254" s="9" t="str">
        <f t="array" ref="X254">IFERROR(INDEX('Адреса общежитий (скрытый)'!$B$2:$B$9, MATCH(W254, 'Адреса общежитий (скрытый)'!$A$2:$A$9, 0)), "")</f>
        <v>проспект 60-летия Октября, д.11</v>
      </c>
      <c r="Y254" s="18"/>
      <c r="Z254" s="18"/>
      <c r="AA254" s="18"/>
      <c r="AB254" s="18"/>
      <c r="AC254" s="18"/>
    </row>
    <row r="255" spans="1:29" ht="32.25" hidden="1" customHeight="1">
      <c r="A255" s="8">
        <v>2303258</v>
      </c>
      <c r="B255" s="9" t="s">
        <v>13284</v>
      </c>
      <c r="C255" s="9" t="s">
        <v>13284</v>
      </c>
      <c r="D255" s="9" t="s">
        <v>13284</v>
      </c>
      <c r="E255" s="9" t="s">
        <v>13284</v>
      </c>
      <c r="F255" s="9" t="s">
        <v>13284</v>
      </c>
      <c r="G255" s="9" t="s">
        <v>13284</v>
      </c>
      <c r="H255" s="9" t="s">
        <v>13284</v>
      </c>
      <c r="I255" s="9" t="s">
        <v>13284</v>
      </c>
      <c r="J255" s="9" t="s">
        <v>13284</v>
      </c>
      <c r="K255" s="9" t="s">
        <v>13284</v>
      </c>
      <c r="L255" s="9" t="s">
        <v>13284</v>
      </c>
      <c r="M255" s="9" t="s">
        <v>13284</v>
      </c>
      <c r="N255" s="9" t="s">
        <v>13284</v>
      </c>
      <c r="O255" s="9" t="s">
        <v>13284</v>
      </c>
      <c r="P255" s="9" t="s">
        <v>13284</v>
      </c>
      <c r="Q255" s="9" t="s">
        <v>13284</v>
      </c>
      <c r="R255" s="9" t="s">
        <v>13284</v>
      </c>
      <c r="S255" s="9" t="s">
        <v>13284</v>
      </c>
      <c r="T255" s="9" t="str">
        <f ca="1">IFERROR(IF(AND(VLOOKUP(A255, 'Актуальное состояние (из общего'!A:C,3,0) = "", A255 &lt;&gt; ""), "ПРОВЕРИТЬ", VLOOKUP(A255, 'Актуальное состояние (из общего'!A:C,3,0)), "")</f>
        <v>Студент</v>
      </c>
      <c r="U255" s="9" t="s">
        <v>13284</v>
      </c>
      <c r="V255" s="9" t="s">
        <v>13284</v>
      </c>
      <c r="W255" s="12"/>
      <c r="X255" s="9" t="str">
        <f t="array" ref="X255">IFERROR(INDEX('Адреса общежитий (скрытый)'!$B$2:$B$9, MATCH(W255, 'Адреса общежитий (скрытый)'!$A$2:$A$9, 0)), "")</f>
        <v/>
      </c>
      <c r="Y255" s="18"/>
      <c r="Z255" s="18"/>
      <c r="AA255" s="18"/>
      <c r="AB255" s="18"/>
      <c r="AC255" s="18"/>
    </row>
    <row r="256" spans="1:29" ht="32.25" customHeight="1">
      <c r="A256" s="8">
        <v>2312482</v>
      </c>
      <c r="B256" s="9" t="s">
        <v>13284</v>
      </c>
      <c r="C256" s="9" t="s">
        <v>13284</v>
      </c>
      <c r="D256" s="9" t="s">
        <v>13284</v>
      </c>
      <c r="E256" s="9" t="s">
        <v>13284</v>
      </c>
      <c r="F256" s="9" t="s">
        <v>13284</v>
      </c>
      <c r="G256" s="9" t="s">
        <v>13284</v>
      </c>
      <c r="H256" s="9" t="s">
        <v>13284</v>
      </c>
      <c r="I256" s="9" t="s">
        <v>13284</v>
      </c>
      <c r="J256" s="9" t="s">
        <v>13284</v>
      </c>
      <c r="K256" s="9" t="s">
        <v>13284</v>
      </c>
      <c r="L256" s="9" t="s">
        <v>13284</v>
      </c>
      <c r="M256" s="9" t="s">
        <v>13284</v>
      </c>
      <c r="N256" s="9" t="s">
        <v>13284</v>
      </c>
      <c r="O256" s="9" t="s">
        <v>13284</v>
      </c>
      <c r="P256" s="9" t="s">
        <v>13284</v>
      </c>
      <c r="Q256" s="9" t="s">
        <v>13284</v>
      </c>
      <c r="R256" s="9" t="s">
        <v>13284</v>
      </c>
      <c r="S256" s="9" t="s">
        <v>13284</v>
      </c>
      <c r="T256" s="9" t="str">
        <f ca="1">IFERROR(IF(AND(VLOOKUP(A256, 'Актуальное состояние (из общего'!A:C,3,0) = "", A256 &lt;&gt; ""), "ПРОВЕРИТЬ", VLOOKUP(A256, 'Актуальное состояние (из общего'!A:C,3,0)), "")</f>
        <v>Студент</v>
      </c>
      <c r="U256" s="9" t="s">
        <v>13284</v>
      </c>
      <c r="V256" s="9" t="s">
        <v>13284</v>
      </c>
      <c r="W256" s="9" t="s">
        <v>64</v>
      </c>
      <c r="X256" s="9" t="str">
        <f t="array" ref="X256">IFERROR(INDEX('Адреса общежитий (скрытый)'!$B$2:$B$9, MATCH(W256, 'Адреса общежитий (скрытый)'!$A$2:$A$9, 0)), "")</f>
        <v>проспект 60-летия Октября, д.11</v>
      </c>
      <c r="Y256" s="18"/>
      <c r="Z256" s="18"/>
      <c r="AA256" s="18"/>
      <c r="AB256" s="18"/>
      <c r="AC256" s="18"/>
    </row>
    <row r="257" spans="1:29" ht="32.25" customHeight="1">
      <c r="A257" s="8">
        <v>2310760</v>
      </c>
      <c r="B257" s="9" t="s">
        <v>13284</v>
      </c>
      <c r="C257" s="9" t="s">
        <v>13284</v>
      </c>
      <c r="D257" s="9" t="s">
        <v>13284</v>
      </c>
      <c r="E257" s="9" t="s">
        <v>13284</v>
      </c>
      <c r="F257" s="9" t="s">
        <v>13284</v>
      </c>
      <c r="G257" s="9" t="s">
        <v>13284</v>
      </c>
      <c r="H257" s="9" t="s">
        <v>13284</v>
      </c>
      <c r="I257" s="9" t="s">
        <v>13284</v>
      </c>
      <c r="J257" s="9" t="s">
        <v>13284</v>
      </c>
      <c r="K257" s="9" t="s">
        <v>13284</v>
      </c>
      <c r="L257" s="9" t="s">
        <v>13284</v>
      </c>
      <c r="M257" s="9" t="s">
        <v>13284</v>
      </c>
      <c r="N257" s="9" t="s">
        <v>13284</v>
      </c>
      <c r="O257" s="9" t="s">
        <v>13284</v>
      </c>
      <c r="P257" s="9" t="s">
        <v>13284</v>
      </c>
      <c r="Q257" s="9" t="s">
        <v>13284</v>
      </c>
      <c r="R257" s="9" t="s">
        <v>13284</v>
      </c>
      <c r="S257" s="9" t="s">
        <v>13284</v>
      </c>
      <c r="T257" s="9" t="str">
        <f ca="1">IFERROR(IF(AND(VLOOKUP(A257, 'Актуальное состояние (из общего'!A:C,3,0) = "", A257 &lt;&gt; ""), "ПРОВЕРИТЬ", VLOOKUP(A257, 'Актуальное состояние (из общего'!A:C,3,0)), "")</f>
        <v>Студент</v>
      </c>
      <c r="U257" s="9" t="s">
        <v>13284</v>
      </c>
      <c r="V257" s="9" t="s">
        <v>13284</v>
      </c>
      <c r="W257" s="9" t="s">
        <v>64</v>
      </c>
      <c r="X257" s="9" t="str">
        <f t="array" ref="X257">IFERROR(INDEX('Адреса общежитий (скрытый)'!$B$2:$B$9, MATCH(W257, 'Адреса общежитий (скрытый)'!$A$2:$A$9, 0)), "")</f>
        <v>проспект 60-летия Октября, д.11</v>
      </c>
      <c r="Y257" s="18"/>
      <c r="Z257" s="18"/>
      <c r="AA257" s="18"/>
      <c r="AB257" s="18"/>
      <c r="AC257" s="18"/>
    </row>
    <row r="258" spans="1:29" ht="32.25" customHeight="1">
      <c r="A258" s="8">
        <v>2309749</v>
      </c>
      <c r="B258" s="9" t="s">
        <v>13284</v>
      </c>
      <c r="C258" s="9" t="s">
        <v>13284</v>
      </c>
      <c r="D258" s="9" t="s">
        <v>13284</v>
      </c>
      <c r="E258" s="9" t="s">
        <v>13284</v>
      </c>
      <c r="F258" s="9" t="s">
        <v>13284</v>
      </c>
      <c r="G258" s="9" t="s">
        <v>13284</v>
      </c>
      <c r="H258" s="9" t="s">
        <v>13284</v>
      </c>
      <c r="I258" s="9" t="s">
        <v>13284</v>
      </c>
      <c r="J258" s="9" t="s">
        <v>13284</v>
      </c>
      <c r="K258" s="9" t="s">
        <v>13284</v>
      </c>
      <c r="L258" s="9" t="s">
        <v>13284</v>
      </c>
      <c r="M258" s="9" t="s">
        <v>13284</v>
      </c>
      <c r="N258" s="9" t="s">
        <v>13284</v>
      </c>
      <c r="O258" s="9" t="s">
        <v>13284</v>
      </c>
      <c r="P258" s="9" t="s">
        <v>13284</v>
      </c>
      <c r="Q258" s="9" t="s">
        <v>13284</v>
      </c>
      <c r="R258" s="9" t="s">
        <v>13284</v>
      </c>
      <c r="S258" s="9" t="s">
        <v>13284</v>
      </c>
      <c r="T258" s="9" t="str">
        <f ca="1">IFERROR(IF(AND(VLOOKUP(A258, 'Актуальное состояние (из общего'!A:C,3,0) = "", A258 &lt;&gt; ""), "ПРОВЕРИТЬ", VLOOKUP(A258, 'Актуальное состояние (из общего'!A:C,3,0)), "")</f>
        <v>Студент</v>
      </c>
      <c r="U258" s="9" t="s">
        <v>13284</v>
      </c>
      <c r="V258" s="9" t="s">
        <v>13284</v>
      </c>
      <c r="W258" s="9" t="s">
        <v>64</v>
      </c>
      <c r="X258" s="9" t="str">
        <f t="array" ref="X258">IFERROR(INDEX('Адреса общежитий (скрытый)'!$B$2:$B$9, MATCH(W258, 'Адреса общежитий (скрытый)'!$A$2:$A$9, 0)), "")</f>
        <v>проспект 60-летия Октября, д.11</v>
      </c>
      <c r="Y258" s="18"/>
      <c r="Z258" s="18"/>
      <c r="AA258" s="18"/>
      <c r="AB258" s="18"/>
      <c r="AC258" s="18"/>
    </row>
    <row r="259" spans="1:29" ht="32.25" customHeight="1">
      <c r="A259" s="8">
        <v>2308242</v>
      </c>
      <c r="B259" s="9" t="s">
        <v>13284</v>
      </c>
      <c r="C259" s="9" t="s">
        <v>13284</v>
      </c>
      <c r="D259" s="9" t="s">
        <v>13284</v>
      </c>
      <c r="E259" s="9" t="s">
        <v>13284</v>
      </c>
      <c r="F259" s="9" t="s">
        <v>13284</v>
      </c>
      <c r="G259" s="9" t="s">
        <v>13284</v>
      </c>
      <c r="H259" s="9" t="s">
        <v>13284</v>
      </c>
      <c r="I259" s="9" t="s">
        <v>13284</v>
      </c>
      <c r="J259" s="9" t="s">
        <v>13284</v>
      </c>
      <c r="K259" s="9" t="s">
        <v>13284</v>
      </c>
      <c r="L259" s="9" t="s">
        <v>13284</v>
      </c>
      <c r="M259" s="9" t="s">
        <v>13284</v>
      </c>
      <c r="N259" s="9" t="s">
        <v>13284</v>
      </c>
      <c r="O259" s="9" t="s">
        <v>13284</v>
      </c>
      <c r="P259" s="9" t="s">
        <v>13284</v>
      </c>
      <c r="Q259" s="9" t="s">
        <v>13284</v>
      </c>
      <c r="R259" s="9" t="s">
        <v>13284</v>
      </c>
      <c r="S259" s="9" t="s">
        <v>13284</v>
      </c>
      <c r="T259" s="9" t="str">
        <f ca="1">IFERROR(IF(AND(VLOOKUP(A259, 'Актуальное состояние (из общего'!A:C,3,0) = "", A259 &lt;&gt; ""), "ПРОВЕРИТЬ", VLOOKUP(A259, 'Актуальное состояние (из общего'!A:C,3,0)), "")</f>
        <v>Студент</v>
      </c>
      <c r="U259" s="9" t="s">
        <v>13284</v>
      </c>
      <c r="V259" s="9" t="s">
        <v>13284</v>
      </c>
      <c r="W259" s="9" t="s">
        <v>64</v>
      </c>
      <c r="X259" s="9" t="str">
        <f t="array" ref="X259">IFERROR(INDEX('Адреса общежитий (скрытый)'!$B$2:$B$9, MATCH(W259, 'Адреса общежитий (скрытый)'!$A$2:$A$9, 0)), "")</f>
        <v>проспект 60-летия Октября, д.11</v>
      </c>
      <c r="Y259" s="18"/>
      <c r="Z259" s="18"/>
      <c r="AA259" s="18"/>
      <c r="AB259" s="18"/>
      <c r="AC259" s="18"/>
    </row>
    <row r="260" spans="1:29" ht="32.25" customHeight="1">
      <c r="A260" s="8">
        <v>2313632</v>
      </c>
      <c r="B260" s="9" t="s">
        <v>13284</v>
      </c>
      <c r="C260" s="9" t="s">
        <v>13284</v>
      </c>
      <c r="D260" s="9" t="s">
        <v>13284</v>
      </c>
      <c r="E260" s="9" t="s">
        <v>13284</v>
      </c>
      <c r="F260" s="9" t="s">
        <v>13284</v>
      </c>
      <c r="G260" s="9" t="s">
        <v>13284</v>
      </c>
      <c r="H260" s="9" t="s">
        <v>13284</v>
      </c>
      <c r="I260" s="9" t="s">
        <v>13284</v>
      </c>
      <c r="J260" s="9" t="s">
        <v>13284</v>
      </c>
      <c r="K260" s="9" t="s">
        <v>13284</v>
      </c>
      <c r="L260" s="9" t="s">
        <v>13284</v>
      </c>
      <c r="M260" s="9" t="s">
        <v>13284</v>
      </c>
      <c r="N260" s="9" t="s">
        <v>13284</v>
      </c>
      <c r="O260" s="9" t="s">
        <v>13284</v>
      </c>
      <c r="P260" s="9" t="s">
        <v>13284</v>
      </c>
      <c r="Q260" s="9" t="s">
        <v>13284</v>
      </c>
      <c r="R260" s="9" t="s">
        <v>13284</v>
      </c>
      <c r="S260" s="9" t="s">
        <v>13284</v>
      </c>
      <c r="T260" s="9" t="str">
        <f ca="1">IFERROR(IF(AND(VLOOKUP(A260, 'Актуальное состояние (из общего'!A:C,3,0) = "", A260 &lt;&gt; ""), "ПРОВЕРИТЬ", VLOOKUP(A260, 'Актуальное состояние (из общего'!A:C,3,0)), "")</f>
        <v>Студент</v>
      </c>
      <c r="U260" s="9" t="s">
        <v>13284</v>
      </c>
      <c r="V260" s="9" t="s">
        <v>13284</v>
      </c>
      <c r="W260" s="9" t="s">
        <v>64</v>
      </c>
      <c r="X260" s="9" t="str">
        <f t="array" ref="X260">IFERROR(INDEX('Адреса общежитий (скрытый)'!$B$2:$B$9, MATCH(W260, 'Адреса общежитий (скрытый)'!$A$2:$A$9, 0)), "")</f>
        <v>проспект 60-летия Октября, д.11</v>
      </c>
      <c r="Y260" s="18"/>
      <c r="Z260" s="18"/>
      <c r="AA260" s="18"/>
      <c r="AB260" s="18"/>
      <c r="AC260" s="18"/>
    </row>
    <row r="261" spans="1:29" ht="32.25" customHeight="1">
      <c r="A261" s="8">
        <v>2304080</v>
      </c>
      <c r="B261" s="9" t="s">
        <v>13284</v>
      </c>
      <c r="C261" s="9" t="s">
        <v>13284</v>
      </c>
      <c r="D261" s="9" t="s">
        <v>13284</v>
      </c>
      <c r="E261" s="9" t="s">
        <v>13284</v>
      </c>
      <c r="F261" s="9" t="s">
        <v>13284</v>
      </c>
      <c r="G261" s="9" t="s">
        <v>13284</v>
      </c>
      <c r="H261" s="9" t="s">
        <v>13284</v>
      </c>
      <c r="I261" s="9" t="s">
        <v>13284</v>
      </c>
      <c r="J261" s="9" t="s">
        <v>13284</v>
      </c>
      <c r="K261" s="9" t="s">
        <v>13284</v>
      </c>
      <c r="L261" s="9" t="s">
        <v>13284</v>
      </c>
      <c r="M261" s="9" t="s">
        <v>13284</v>
      </c>
      <c r="N261" s="9" t="s">
        <v>13284</v>
      </c>
      <c r="O261" s="9" t="s">
        <v>13284</v>
      </c>
      <c r="P261" s="9" t="s">
        <v>13284</v>
      </c>
      <c r="Q261" s="9" t="s">
        <v>13284</v>
      </c>
      <c r="R261" s="9" t="s">
        <v>13284</v>
      </c>
      <c r="S261" s="9" t="s">
        <v>13284</v>
      </c>
      <c r="T261" s="9" t="str">
        <f ca="1">IFERROR(IF(AND(VLOOKUP(A261, 'Актуальное состояние (из общего'!A:C,3,0) = "", A261 &lt;&gt; ""), "ПРОВЕРИТЬ", VLOOKUP(A261, 'Актуальное состояние (из общего'!A:C,3,0)), "")</f>
        <v>Студент</v>
      </c>
      <c r="U261" s="9" t="s">
        <v>13284</v>
      </c>
      <c r="V261" s="9" t="s">
        <v>13284</v>
      </c>
      <c r="W261" s="9" t="s">
        <v>64</v>
      </c>
      <c r="X261" s="9" t="str">
        <f t="array" ref="X261">IFERROR(INDEX('Адреса общежитий (скрытый)'!$B$2:$B$9, MATCH(W261, 'Адреса общежитий (скрытый)'!$A$2:$A$9, 0)), "")</f>
        <v>проспект 60-летия Октября, д.11</v>
      </c>
      <c r="Y261" s="18"/>
      <c r="Z261" s="18"/>
      <c r="AA261" s="18"/>
      <c r="AB261" s="18"/>
      <c r="AC261" s="18"/>
    </row>
    <row r="262" spans="1:29" ht="32.25" customHeight="1">
      <c r="A262" s="8">
        <v>2307207</v>
      </c>
      <c r="B262" s="9" t="s">
        <v>13284</v>
      </c>
      <c r="C262" s="9" t="s">
        <v>13284</v>
      </c>
      <c r="D262" s="9" t="s">
        <v>13284</v>
      </c>
      <c r="E262" s="9" t="s">
        <v>13284</v>
      </c>
      <c r="F262" s="9" t="s">
        <v>13284</v>
      </c>
      <c r="G262" s="9" t="s">
        <v>13284</v>
      </c>
      <c r="H262" s="9" t="s">
        <v>13284</v>
      </c>
      <c r="I262" s="9" t="s">
        <v>13284</v>
      </c>
      <c r="J262" s="9" t="s">
        <v>13284</v>
      </c>
      <c r="K262" s="9" t="s">
        <v>13284</v>
      </c>
      <c r="L262" s="9" t="s">
        <v>13284</v>
      </c>
      <c r="M262" s="9" t="s">
        <v>13284</v>
      </c>
      <c r="N262" s="9" t="s">
        <v>13284</v>
      </c>
      <c r="O262" s="9" t="s">
        <v>13284</v>
      </c>
      <c r="P262" s="9" t="s">
        <v>13284</v>
      </c>
      <c r="Q262" s="9" t="s">
        <v>13284</v>
      </c>
      <c r="R262" s="9" t="s">
        <v>13284</v>
      </c>
      <c r="S262" s="9" t="s">
        <v>13284</v>
      </c>
      <c r="T262" s="9" t="str">
        <f ca="1">IFERROR(IF(AND(VLOOKUP(A262, 'Актуальное состояние (из общего'!A:C,3,0) = "", A262 &lt;&gt; ""), "ПРОВЕРИТЬ", VLOOKUP(A262, 'Актуальное состояние (из общего'!A:C,3,0)), "")</f>
        <v>Студент</v>
      </c>
      <c r="U262" s="9" t="s">
        <v>13284</v>
      </c>
      <c r="V262" s="9" t="s">
        <v>13284</v>
      </c>
      <c r="W262" s="9" t="s">
        <v>64</v>
      </c>
      <c r="X262" s="9" t="str">
        <f t="array" ref="X262">IFERROR(INDEX('Адреса общежитий (скрытый)'!$B$2:$B$9, MATCH(W262, 'Адреса общежитий (скрытый)'!$A$2:$A$9, 0)), "")</f>
        <v>проспект 60-летия Октября, д.11</v>
      </c>
      <c r="Y262" s="18"/>
      <c r="Z262" s="18"/>
      <c r="AA262" s="18"/>
      <c r="AB262" s="18"/>
      <c r="AC262" s="18"/>
    </row>
    <row r="263" spans="1:29" ht="32.25" hidden="1" customHeight="1">
      <c r="A263" s="8">
        <v>2305148</v>
      </c>
      <c r="B263" s="9" t="s">
        <v>13284</v>
      </c>
      <c r="C263" s="9" t="s">
        <v>13284</v>
      </c>
      <c r="D263" s="9" t="s">
        <v>13284</v>
      </c>
      <c r="E263" s="9" t="s">
        <v>13284</v>
      </c>
      <c r="F263" s="9" t="s">
        <v>13284</v>
      </c>
      <c r="G263" s="9" t="s">
        <v>13284</v>
      </c>
      <c r="H263" s="9" t="s">
        <v>13284</v>
      </c>
      <c r="I263" s="9" t="s">
        <v>13284</v>
      </c>
      <c r="J263" s="9" t="s">
        <v>13284</v>
      </c>
      <c r="K263" s="9" t="s">
        <v>13284</v>
      </c>
      <c r="L263" s="9" t="s">
        <v>13284</v>
      </c>
      <c r="M263" s="9" t="s">
        <v>13284</v>
      </c>
      <c r="N263" s="9" t="s">
        <v>13284</v>
      </c>
      <c r="O263" s="9" t="s">
        <v>13284</v>
      </c>
      <c r="P263" s="9" t="s">
        <v>13284</v>
      </c>
      <c r="Q263" s="9" t="s">
        <v>13284</v>
      </c>
      <c r="R263" s="9" t="s">
        <v>13284</v>
      </c>
      <c r="S263" s="9" t="s">
        <v>13284</v>
      </c>
      <c r="T263" s="9" t="str">
        <f ca="1">IFERROR(IF(AND(VLOOKUP(A263, 'Актуальное состояние (из общего'!A:C,3,0) = "", A263 &lt;&gt; ""), "ПРОВЕРИТЬ", VLOOKUP(A263, 'Актуальное состояние (из общего'!A:C,3,0)), "")</f>
        <v>Студент</v>
      </c>
      <c r="U263" s="9" t="s">
        <v>13284</v>
      </c>
      <c r="V263" s="9" t="s">
        <v>13284</v>
      </c>
      <c r="W263" s="12"/>
      <c r="X263" s="9" t="str">
        <f t="array" ref="X263">IFERROR(INDEX('Адреса общежитий (скрытый)'!$B$2:$B$9, MATCH(W263, 'Адреса общежитий (скрытый)'!$A$2:$A$9, 0)), "")</f>
        <v/>
      </c>
      <c r="Y263" s="18"/>
      <c r="Z263" s="18"/>
      <c r="AA263" s="18"/>
      <c r="AB263" s="18"/>
      <c r="AC263" s="18"/>
    </row>
    <row r="264" spans="1:29" ht="32.25" customHeight="1">
      <c r="A264" s="8">
        <v>2309032</v>
      </c>
      <c r="B264" s="9" t="s">
        <v>13284</v>
      </c>
      <c r="C264" s="9" t="s">
        <v>13284</v>
      </c>
      <c r="D264" s="9" t="s">
        <v>13284</v>
      </c>
      <c r="E264" s="9" t="s">
        <v>13284</v>
      </c>
      <c r="F264" s="9" t="s">
        <v>13284</v>
      </c>
      <c r="G264" s="9" t="s">
        <v>13284</v>
      </c>
      <c r="H264" s="9" t="s">
        <v>13284</v>
      </c>
      <c r="I264" s="9" t="s">
        <v>13284</v>
      </c>
      <c r="J264" s="9" t="s">
        <v>13284</v>
      </c>
      <c r="K264" s="9" t="s">
        <v>13284</v>
      </c>
      <c r="L264" s="9" t="s">
        <v>13284</v>
      </c>
      <c r="M264" s="9" t="s">
        <v>13284</v>
      </c>
      <c r="N264" s="9" t="s">
        <v>13284</v>
      </c>
      <c r="O264" s="9" t="s">
        <v>13284</v>
      </c>
      <c r="P264" s="9" t="s">
        <v>13284</v>
      </c>
      <c r="Q264" s="9" t="s">
        <v>13284</v>
      </c>
      <c r="R264" s="9" t="s">
        <v>13284</v>
      </c>
      <c r="S264" s="9" t="s">
        <v>13284</v>
      </c>
      <c r="T264" s="9" t="str">
        <f ca="1">IFERROR(IF(AND(VLOOKUP(A264, 'Актуальное состояние (из общего'!A:C,3,0) = "", A264 &lt;&gt; ""), "ПРОВЕРИТЬ", VLOOKUP(A264, 'Актуальное состояние (из общего'!A:C,3,0)), "")</f>
        <v>Студент</v>
      </c>
      <c r="U264" s="9" t="s">
        <v>13284</v>
      </c>
      <c r="V264" s="9" t="s">
        <v>13284</v>
      </c>
      <c r="W264" s="9" t="s">
        <v>64</v>
      </c>
      <c r="X264" s="9" t="str">
        <f t="array" ref="X264">IFERROR(INDEX('Адреса общежитий (скрытый)'!$B$2:$B$9, MATCH(W264, 'Адреса общежитий (скрытый)'!$A$2:$A$9, 0)), "")</f>
        <v>проспект 60-летия Октября, д.11</v>
      </c>
      <c r="Y264" s="18"/>
      <c r="Z264" s="18"/>
      <c r="AA264" s="18"/>
      <c r="AB264" s="18"/>
      <c r="AC264" s="18"/>
    </row>
    <row r="265" spans="1:29" ht="32.25" customHeight="1">
      <c r="A265" s="8">
        <v>2305464</v>
      </c>
      <c r="B265" s="9" t="s">
        <v>13284</v>
      </c>
      <c r="C265" s="9" t="s">
        <v>13284</v>
      </c>
      <c r="D265" s="9" t="s">
        <v>13284</v>
      </c>
      <c r="E265" s="9" t="s">
        <v>13284</v>
      </c>
      <c r="F265" s="9" t="s">
        <v>13284</v>
      </c>
      <c r="G265" s="9" t="s">
        <v>13284</v>
      </c>
      <c r="H265" s="9" t="s">
        <v>13284</v>
      </c>
      <c r="I265" s="9" t="s">
        <v>13284</v>
      </c>
      <c r="J265" s="9" t="s">
        <v>13284</v>
      </c>
      <c r="K265" s="9" t="s">
        <v>13284</v>
      </c>
      <c r="L265" s="9" t="s">
        <v>13284</v>
      </c>
      <c r="M265" s="9" t="s">
        <v>13284</v>
      </c>
      <c r="N265" s="9" t="s">
        <v>13284</v>
      </c>
      <c r="O265" s="9" t="s">
        <v>13284</v>
      </c>
      <c r="P265" s="9" t="s">
        <v>13284</v>
      </c>
      <c r="Q265" s="9" t="s">
        <v>13284</v>
      </c>
      <c r="R265" s="9" t="s">
        <v>13284</v>
      </c>
      <c r="S265" s="9" t="s">
        <v>13284</v>
      </c>
      <c r="T265" s="9" t="str">
        <f ca="1">IFERROR(IF(AND(VLOOKUP(A265, 'Актуальное состояние (из общего'!A:C,3,0) = "", A265 &lt;&gt; ""), "ПРОВЕРИТЬ", VLOOKUP(A265, 'Актуальное состояние (из общего'!A:C,3,0)), "")</f>
        <v>Студент</v>
      </c>
      <c r="U265" s="9" t="s">
        <v>13284</v>
      </c>
      <c r="V265" s="9" t="s">
        <v>13284</v>
      </c>
      <c r="W265" s="9" t="s">
        <v>64</v>
      </c>
      <c r="X265" s="9" t="str">
        <f t="array" ref="X265">IFERROR(INDEX('Адреса общежитий (скрытый)'!$B$2:$B$9, MATCH(W265, 'Адреса общежитий (скрытый)'!$A$2:$A$9, 0)), "")</f>
        <v>проспект 60-летия Октября, д.11</v>
      </c>
      <c r="Y265" s="18"/>
      <c r="Z265" s="18"/>
      <c r="AA265" s="18"/>
      <c r="AB265" s="18"/>
      <c r="AC265" s="18"/>
    </row>
    <row r="266" spans="1:29" ht="32.25" customHeight="1">
      <c r="A266" s="8">
        <v>2309682</v>
      </c>
      <c r="B266" s="9" t="s">
        <v>13284</v>
      </c>
      <c r="C266" s="9" t="s">
        <v>13284</v>
      </c>
      <c r="D266" s="9" t="s">
        <v>13284</v>
      </c>
      <c r="E266" s="9" t="s">
        <v>13284</v>
      </c>
      <c r="F266" s="9" t="s">
        <v>13284</v>
      </c>
      <c r="G266" s="9" t="s">
        <v>13284</v>
      </c>
      <c r="H266" s="9" t="s">
        <v>13284</v>
      </c>
      <c r="I266" s="9" t="s">
        <v>13284</v>
      </c>
      <c r="J266" s="9" t="s">
        <v>13284</v>
      </c>
      <c r="K266" s="9" t="s">
        <v>13284</v>
      </c>
      <c r="L266" s="9" t="s">
        <v>13284</v>
      </c>
      <c r="M266" s="9" t="s">
        <v>13284</v>
      </c>
      <c r="N266" s="9" t="s">
        <v>13284</v>
      </c>
      <c r="O266" s="9" t="s">
        <v>13284</v>
      </c>
      <c r="P266" s="9" t="s">
        <v>13284</v>
      </c>
      <c r="Q266" s="9" t="s">
        <v>13284</v>
      </c>
      <c r="R266" s="9" t="s">
        <v>13284</v>
      </c>
      <c r="S266" s="9" t="s">
        <v>13284</v>
      </c>
      <c r="T266" s="9" t="str">
        <f ca="1">IFERROR(IF(AND(VLOOKUP(A266, 'Актуальное состояние (из общего'!A:C,3,0) = "", A266 &lt;&gt; ""), "ПРОВЕРИТЬ", VLOOKUP(A266, 'Актуальное состояние (из общего'!A:C,3,0)), "")</f>
        <v>Студент</v>
      </c>
      <c r="U266" s="9" t="s">
        <v>13284</v>
      </c>
      <c r="V266" s="9" t="s">
        <v>13284</v>
      </c>
      <c r="W266" s="12"/>
      <c r="X266" s="9" t="str">
        <f t="array" ref="X266">IFERROR(INDEX('Адреса общежитий (скрытый)'!$B$2:$B$9, MATCH(W266, 'Адреса общежитий (скрытый)'!$A$2:$A$9, 0)), "")</f>
        <v/>
      </c>
      <c r="Y266" s="18"/>
      <c r="Z266" s="18"/>
      <c r="AA266" s="18"/>
      <c r="AB266" s="18"/>
      <c r="AC266" s="18"/>
    </row>
    <row r="267" spans="1:29" ht="32.25" customHeight="1">
      <c r="A267" s="8">
        <v>2308802</v>
      </c>
      <c r="B267" s="9" t="s">
        <v>13284</v>
      </c>
      <c r="C267" s="9" t="s">
        <v>13284</v>
      </c>
      <c r="D267" s="9" t="s">
        <v>13284</v>
      </c>
      <c r="E267" s="9" t="s">
        <v>13284</v>
      </c>
      <c r="F267" s="9" t="s">
        <v>13284</v>
      </c>
      <c r="G267" s="9" t="s">
        <v>13284</v>
      </c>
      <c r="H267" s="9" t="s">
        <v>13284</v>
      </c>
      <c r="I267" s="9" t="s">
        <v>13284</v>
      </c>
      <c r="J267" s="9" t="s">
        <v>13284</v>
      </c>
      <c r="K267" s="9" t="s">
        <v>13284</v>
      </c>
      <c r="L267" s="9" t="s">
        <v>13284</v>
      </c>
      <c r="M267" s="9" t="s">
        <v>13284</v>
      </c>
      <c r="N267" s="9" t="s">
        <v>13284</v>
      </c>
      <c r="O267" s="9" t="s">
        <v>13284</v>
      </c>
      <c r="P267" s="9" t="s">
        <v>13284</v>
      </c>
      <c r="Q267" s="9" t="s">
        <v>13284</v>
      </c>
      <c r="R267" s="9" t="s">
        <v>13284</v>
      </c>
      <c r="S267" s="9" t="s">
        <v>13284</v>
      </c>
      <c r="T267" s="9" t="str">
        <f ca="1">IFERROR(IF(AND(VLOOKUP(A267, 'Актуальное состояние (из общего'!A:C,3,0) = "", A267 &lt;&gt; ""), "ПРОВЕРИТЬ", VLOOKUP(A267, 'Актуальное состояние (из общего'!A:C,3,0)), "")</f>
        <v>Студент</v>
      </c>
      <c r="U267" s="9" t="s">
        <v>13284</v>
      </c>
      <c r="V267" s="9" t="s">
        <v>13284</v>
      </c>
      <c r="W267" s="9" t="s">
        <v>64</v>
      </c>
      <c r="X267" s="9" t="str">
        <f t="array" ref="X267">IFERROR(INDEX('Адреса общежитий (скрытый)'!$B$2:$B$9, MATCH(W267, 'Адреса общежитий (скрытый)'!$A$2:$A$9, 0)), "")</f>
        <v>проспект 60-летия Октября, д.11</v>
      </c>
      <c r="Y267" s="18"/>
      <c r="Z267" s="18"/>
      <c r="AA267" s="18"/>
      <c r="AB267" s="18"/>
      <c r="AC267" s="18"/>
    </row>
    <row r="268" spans="1:29" ht="32.25" hidden="1" customHeight="1">
      <c r="A268" s="8">
        <v>2307292</v>
      </c>
      <c r="B268" s="9" t="s">
        <v>13284</v>
      </c>
      <c r="C268" s="9" t="s">
        <v>13284</v>
      </c>
      <c r="D268" s="9" t="s">
        <v>13284</v>
      </c>
      <c r="E268" s="9" t="s">
        <v>13284</v>
      </c>
      <c r="F268" s="9" t="s">
        <v>13284</v>
      </c>
      <c r="G268" s="9" t="s">
        <v>13284</v>
      </c>
      <c r="H268" s="9" t="s">
        <v>13284</v>
      </c>
      <c r="I268" s="9" t="s">
        <v>13284</v>
      </c>
      <c r="J268" s="9" t="s">
        <v>13284</v>
      </c>
      <c r="K268" s="9" t="s">
        <v>13284</v>
      </c>
      <c r="L268" s="9" t="s">
        <v>13284</v>
      </c>
      <c r="M268" s="9" t="s">
        <v>13284</v>
      </c>
      <c r="N268" s="9" t="s">
        <v>13284</v>
      </c>
      <c r="O268" s="9" t="s">
        <v>13284</v>
      </c>
      <c r="P268" s="9" t="s">
        <v>13284</v>
      </c>
      <c r="Q268" s="9" t="s">
        <v>13284</v>
      </c>
      <c r="R268" s="9" t="s">
        <v>13284</v>
      </c>
      <c r="S268" s="9" t="s">
        <v>13284</v>
      </c>
      <c r="T268" s="9" t="str">
        <f ca="1">IFERROR(IF(AND(VLOOKUP(A268, 'Актуальное состояние (из общего'!A:C,3,0) = "", A268 &lt;&gt; ""), "ПРОВЕРИТЬ", VLOOKUP(A268, 'Актуальное состояние (из общего'!A:C,3,0)), "")</f>
        <v>Студент</v>
      </c>
      <c r="U268" s="9" t="s">
        <v>13284</v>
      </c>
      <c r="V268" s="9" t="s">
        <v>13284</v>
      </c>
      <c r="W268" s="12"/>
      <c r="X268" s="9" t="str">
        <f t="array" ref="X268">IFERROR(INDEX('Адреса общежитий (скрытый)'!$B$2:$B$9, MATCH(W268, 'Адреса общежитий (скрытый)'!$A$2:$A$9, 0)), "")</f>
        <v/>
      </c>
      <c r="Y268" s="18"/>
      <c r="Z268" s="18"/>
      <c r="AA268" s="18"/>
      <c r="AB268" s="18"/>
      <c r="AC268" s="18"/>
    </row>
    <row r="269" spans="1:29" ht="32.25" customHeight="1">
      <c r="A269" s="8">
        <v>2305458</v>
      </c>
      <c r="B269" s="9" t="s">
        <v>13284</v>
      </c>
      <c r="C269" s="9" t="s">
        <v>13284</v>
      </c>
      <c r="D269" s="9" t="s">
        <v>13284</v>
      </c>
      <c r="E269" s="9" t="s">
        <v>13284</v>
      </c>
      <c r="F269" s="9" t="s">
        <v>13284</v>
      </c>
      <c r="G269" s="9" t="s">
        <v>13284</v>
      </c>
      <c r="H269" s="9" t="s">
        <v>13284</v>
      </c>
      <c r="I269" s="9" t="s">
        <v>13284</v>
      </c>
      <c r="J269" s="9" t="s">
        <v>13284</v>
      </c>
      <c r="K269" s="9" t="s">
        <v>13284</v>
      </c>
      <c r="L269" s="9" t="s">
        <v>13284</v>
      </c>
      <c r="M269" s="9" t="s">
        <v>13284</v>
      </c>
      <c r="N269" s="9" t="s">
        <v>13284</v>
      </c>
      <c r="O269" s="9" t="s">
        <v>13284</v>
      </c>
      <c r="P269" s="9" t="s">
        <v>13284</v>
      </c>
      <c r="Q269" s="9" t="s">
        <v>13284</v>
      </c>
      <c r="R269" s="9" t="s">
        <v>13284</v>
      </c>
      <c r="S269" s="9" t="s">
        <v>13284</v>
      </c>
      <c r="T269" s="9" t="str">
        <f ca="1">IFERROR(IF(AND(VLOOKUP(A269, 'Актуальное состояние (из общего'!A:C,3,0) = "", A269 &lt;&gt; ""), "ПРОВЕРИТЬ", VLOOKUP(A269, 'Актуальное состояние (из общего'!A:C,3,0)), "")</f>
        <v>Студент</v>
      </c>
      <c r="U269" s="9" t="s">
        <v>13284</v>
      </c>
      <c r="V269" s="9" t="s">
        <v>13284</v>
      </c>
      <c r="W269" s="9" t="s">
        <v>64</v>
      </c>
      <c r="X269" s="9" t="str">
        <f t="array" ref="X269">IFERROR(INDEX('Адреса общежитий (скрытый)'!$B$2:$B$9, MATCH(W269, 'Адреса общежитий (скрытый)'!$A$2:$A$9, 0)), "")</f>
        <v>проспект 60-летия Октября, д.11</v>
      </c>
      <c r="Y269" s="18"/>
      <c r="Z269" s="18"/>
      <c r="AA269" s="18"/>
      <c r="AB269" s="18"/>
      <c r="AC269" s="18"/>
    </row>
    <row r="270" spans="1:29" ht="32.25" hidden="1" customHeight="1">
      <c r="A270" s="8">
        <v>2303056</v>
      </c>
      <c r="B270" s="9" t="s">
        <v>13284</v>
      </c>
      <c r="C270" s="9" t="s">
        <v>13284</v>
      </c>
      <c r="D270" s="9" t="s">
        <v>13284</v>
      </c>
      <c r="E270" s="9" t="s">
        <v>13284</v>
      </c>
      <c r="F270" s="9" t="s">
        <v>13284</v>
      </c>
      <c r="G270" s="9" t="s">
        <v>13284</v>
      </c>
      <c r="H270" s="9" t="s">
        <v>13284</v>
      </c>
      <c r="I270" s="9" t="s">
        <v>13284</v>
      </c>
      <c r="J270" s="9" t="s">
        <v>13284</v>
      </c>
      <c r="K270" s="9" t="s">
        <v>13284</v>
      </c>
      <c r="L270" s="9" t="s">
        <v>13284</v>
      </c>
      <c r="M270" s="9" t="s">
        <v>13284</v>
      </c>
      <c r="N270" s="9" t="s">
        <v>13284</v>
      </c>
      <c r="O270" s="9" t="s">
        <v>13284</v>
      </c>
      <c r="P270" s="9" t="s">
        <v>13284</v>
      </c>
      <c r="Q270" s="9" t="s">
        <v>13284</v>
      </c>
      <c r="R270" s="9" t="s">
        <v>13284</v>
      </c>
      <c r="S270" s="9" t="s">
        <v>13284</v>
      </c>
      <c r="T270" s="9" t="str">
        <f ca="1">IFERROR(IF(AND(VLOOKUP(A270, 'Актуальное состояние (из общего'!A:C,3,0) = "", A270 &lt;&gt; ""), "ПРОВЕРИТЬ", VLOOKUP(A270, 'Актуальное состояние (из общего'!A:C,3,0)), "")</f>
        <v>Студент</v>
      </c>
      <c r="U270" s="9" t="s">
        <v>13284</v>
      </c>
      <c r="V270" s="9" t="s">
        <v>13284</v>
      </c>
      <c r="W270" s="12"/>
      <c r="X270" s="9" t="str">
        <f t="array" ref="X270">IFERROR(INDEX('Адреса общежитий (скрытый)'!$B$2:$B$9, MATCH(W270, 'Адреса общежитий (скрытый)'!$A$2:$A$9, 0)), "")</f>
        <v/>
      </c>
      <c r="Y270" s="18"/>
      <c r="Z270" s="18"/>
      <c r="AA270" s="18"/>
      <c r="AB270" s="18"/>
      <c r="AC270" s="18"/>
    </row>
    <row r="271" spans="1:29" ht="32.25" customHeight="1">
      <c r="A271" s="8">
        <v>2310293</v>
      </c>
      <c r="B271" s="9" t="s">
        <v>13284</v>
      </c>
      <c r="C271" s="9" t="s">
        <v>13284</v>
      </c>
      <c r="D271" s="9" t="s">
        <v>13284</v>
      </c>
      <c r="E271" s="9" t="s">
        <v>13284</v>
      </c>
      <c r="F271" s="9" t="s">
        <v>13284</v>
      </c>
      <c r="G271" s="9" t="s">
        <v>13284</v>
      </c>
      <c r="H271" s="9" t="s">
        <v>13284</v>
      </c>
      <c r="I271" s="9" t="s">
        <v>13284</v>
      </c>
      <c r="J271" s="9" t="s">
        <v>13284</v>
      </c>
      <c r="K271" s="9" t="s">
        <v>13284</v>
      </c>
      <c r="L271" s="9" t="s">
        <v>13284</v>
      </c>
      <c r="M271" s="9" t="s">
        <v>13284</v>
      </c>
      <c r="N271" s="9" t="s">
        <v>13284</v>
      </c>
      <c r="O271" s="9" t="s">
        <v>13284</v>
      </c>
      <c r="P271" s="9" t="s">
        <v>13284</v>
      </c>
      <c r="Q271" s="9" t="s">
        <v>13284</v>
      </c>
      <c r="R271" s="9" t="s">
        <v>13284</v>
      </c>
      <c r="S271" s="9" t="s">
        <v>13284</v>
      </c>
      <c r="T271" s="9" t="str">
        <f ca="1">IFERROR(IF(AND(VLOOKUP(A271, 'Актуальное состояние (из общего'!A:C,3,0) = "", A271 &lt;&gt; ""), "ПРОВЕРИТЬ", VLOOKUP(A271, 'Актуальное состояние (из общего'!A:C,3,0)), "")</f>
        <v>Студент</v>
      </c>
      <c r="U271" s="9" t="s">
        <v>13284</v>
      </c>
      <c r="V271" s="9" t="s">
        <v>13284</v>
      </c>
      <c r="W271" s="9" t="s">
        <v>64</v>
      </c>
      <c r="X271" s="9" t="str">
        <f t="array" ref="X271">IFERROR(INDEX('Адреса общежитий (скрытый)'!$B$2:$B$9, MATCH(W271, 'Адреса общежитий (скрытый)'!$A$2:$A$9, 0)), "")</f>
        <v>проспект 60-летия Октября, д.11</v>
      </c>
      <c r="Y271" s="18"/>
      <c r="Z271" s="18"/>
      <c r="AA271" s="18"/>
      <c r="AB271" s="18"/>
      <c r="AC271" s="18"/>
    </row>
    <row r="272" spans="1:29" ht="32.25" customHeight="1">
      <c r="A272" s="8">
        <v>2309464</v>
      </c>
      <c r="B272" s="9" t="s">
        <v>13284</v>
      </c>
      <c r="C272" s="9" t="s">
        <v>13284</v>
      </c>
      <c r="D272" s="9" t="s">
        <v>13284</v>
      </c>
      <c r="E272" s="9" t="s">
        <v>13284</v>
      </c>
      <c r="F272" s="9" t="s">
        <v>13284</v>
      </c>
      <c r="G272" s="9" t="s">
        <v>13284</v>
      </c>
      <c r="H272" s="9" t="s">
        <v>13284</v>
      </c>
      <c r="I272" s="9" t="s">
        <v>13284</v>
      </c>
      <c r="J272" s="9" t="s">
        <v>13284</v>
      </c>
      <c r="K272" s="9" t="s">
        <v>13284</v>
      </c>
      <c r="L272" s="9" t="s">
        <v>13284</v>
      </c>
      <c r="M272" s="9" t="s">
        <v>13284</v>
      </c>
      <c r="N272" s="9" t="s">
        <v>13284</v>
      </c>
      <c r="O272" s="9" t="s">
        <v>13284</v>
      </c>
      <c r="P272" s="9" t="s">
        <v>13284</v>
      </c>
      <c r="Q272" s="9" t="s">
        <v>13284</v>
      </c>
      <c r="R272" s="9" t="s">
        <v>13284</v>
      </c>
      <c r="S272" s="9" t="s">
        <v>13284</v>
      </c>
      <c r="T272" s="9" t="str">
        <f ca="1">IFERROR(IF(AND(VLOOKUP(A272, 'Актуальное состояние (из общего'!A:C,3,0) = "", A272 &lt;&gt; ""), "ПРОВЕРИТЬ", VLOOKUP(A272, 'Актуальное состояние (из общего'!A:C,3,0)), "")</f>
        <v>Студент</v>
      </c>
      <c r="U272" s="9" t="s">
        <v>13284</v>
      </c>
      <c r="V272" s="9" t="s">
        <v>13284</v>
      </c>
      <c r="W272" s="12"/>
      <c r="X272" s="9" t="str">
        <f t="array" ref="X272">IFERROR(INDEX('Адреса общежитий (скрытый)'!$B$2:$B$9, MATCH(W272, 'Адреса общежитий (скрытый)'!$A$2:$A$9, 0)), "")</f>
        <v/>
      </c>
      <c r="Y272" s="18"/>
      <c r="Z272" s="18"/>
      <c r="AA272" s="18"/>
      <c r="AB272" s="18"/>
      <c r="AC272" s="18"/>
    </row>
    <row r="273" spans="1:29" ht="32.25" customHeight="1">
      <c r="A273" s="8">
        <v>2304640</v>
      </c>
      <c r="B273" s="9" t="s">
        <v>13284</v>
      </c>
      <c r="C273" s="9" t="s">
        <v>13284</v>
      </c>
      <c r="D273" s="9" t="s">
        <v>13284</v>
      </c>
      <c r="E273" s="9" t="s">
        <v>13284</v>
      </c>
      <c r="F273" s="9" t="s">
        <v>13284</v>
      </c>
      <c r="G273" s="9" t="s">
        <v>13284</v>
      </c>
      <c r="H273" s="9" t="s">
        <v>13284</v>
      </c>
      <c r="I273" s="9" t="s">
        <v>13284</v>
      </c>
      <c r="J273" s="9" t="s">
        <v>13284</v>
      </c>
      <c r="K273" s="9" t="s">
        <v>13284</v>
      </c>
      <c r="L273" s="9" t="s">
        <v>13284</v>
      </c>
      <c r="M273" s="9" t="s">
        <v>13284</v>
      </c>
      <c r="N273" s="9" t="s">
        <v>13284</v>
      </c>
      <c r="O273" s="9" t="s">
        <v>13284</v>
      </c>
      <c r="P273" s="9" t="s">
        <v>13284</v>
      </c>
      <c r="Q273" s="9" t="s">
        <v>13284</v>
      </c>
      <c r="R273" s="9" t="s">
        <v>13284</v>
      </c>
      <c r="S273" s="9" t="s">
        <v>13284</v>
      </c>
      <c r="T273" s="9" t="str">
        <f ca="1">IFERROR(IF(AND(VLOOKUP(A273, 'Актуальное состояние (из общего'!A:C,3,0) = "", A273 &lt;&gt; ""), "ПРОВЕРИТЬ", VLOOKUP(A273, 'Актуальное состояние (из общего'!A:C,3,0)), "")</f>
        <v>Студент</v>
      </c>
      <c r="U273" s="9" t="s">
        <v>13284</v>
      </c>
      <c r="V273" s="9" t="s">
        <v>13284</v>
      </c>
      <c r="W273" s="9" t="s">
        <v>319</v>
      </c>
      <c r="X273" s="9" t="str">
        <f t="array" ref="X273">IFERROR(INDEX('Адреса общежитий (скрытый)'!$B$2:$B$9, MATCH(W273, 'Адреса общежитий (скрытый)'!$A$2:$A$9, 0)), "")</f>
        <v>ул. Профсоюзная, д.83, корп. 2</v>
      </c>
      <c r="Y273" s="18"/>
      <c r="Z273" s="18"/>
      <c r="AA273" s="18"/>
      <c r="AB273" s="18"/>
      <c r="AC273" s="18"/>
    </row>
    <row r="274" spans="1:29" ht="32.25" customHeight="1">
      <c r="A274" s="8">
        <v>2301358</v>
      </c>
      <c r="B274" s="9" t="s">
        <v>13284</v>
      </c>
      <c r="C274" s="9" t="s">
        <v>13284</v>
      </c>
      <c r="D274" s="9" t="s">
        <v>13284</v>
      </c>
      <c r="E274" s="9" t="s">
        <v>13284</v>
      </c>
      <c r="F274" s="9" t="s">
        <v>13284</v>
      </c>
      <c r="G274" s="9" t="s">
        <v>13284</v>
      </c>
      <c r="H274" s="9" t="s">
        <v>13284</v>
      </c>
      <c r="I274" s="9" t="s">
        <v>13284</v>
      </c>
      <c r="J274" s="9" t="s">
        <v>13284</v>
      </c>
      <c r="K274" s="9" t="s">
        <v>13284</v>
      </c>
      <c r="L274" s="9" t="s">
        <v>13284</v>
      </c>
      <c r="M274" s="9" t="s">
        <v>13284</v>
      </c>
      <c r="N274" s="9" t="s">
        <v>13284</v>
      </c>
      <c r="O274" s="9" t="s">
        <v>13284</v>
      </c>
      <c r="P274" s="9" t="s">
        <v>13284</v>
      </c>
      <c r="Q274" s="9" t="s">
        <v>13284</v>
      </c>
      <c r="R274" s="9" t="s">
        <v>13284</v>
      </c>
      <c r="S274" s="9" t="s">
        <v>13284</v>
      </c>
      <c r="T274" s="9" t="str">
        <f ca="1">IFERROR(IF(AND(VLOOKUP(A274, 'Актуальное состояние (из общего'!A:C,3,0) = "", A274 &lt;&gt; ""), "ПРОВЕРИТЬ", VLOOKUP(A274, 'Актуальное состояние (из общего'!A:C,3,0)), "")</f>
        <v>Студент</v>
      </c>
      <c r="U274" s="9" t="s">
        <v>13284</v>
      </c>
      <c r="V274" s="9" t="s">
        <v>13284</v>
      </c>
      <c r="W274" s="9" t="s">
        <v>64</v>
      </c>
      <c r="X274" s="9" t="str">
        <f t="array" ref="X274">IFERROR(INDEX('Адреса общежитий (скрытый)'!$B$2:$B$9, MATCH(W274, 'Адреса общежитий (скрытый)'!$A$2:$A$9, 0)), "")</f>
        <v>проспект 60-летия Октября, д.11</v>
      </c>
      <c r="Y274" s="18"/>
      <c r="Z274" s="18"/>
      <c r="AA274" s="18"/>
      <c r="AB274" s="18"/>
      <c r="AC274" s="18"/>
    </row>
    <row r="275" spans="1:29" ht="32.25" customHeight="1">
      <c r="A275" s="8">
        <v>2309426</v>
      </c>
      <c r="B275" s="9" t="s">
        <v>13284</v>
      </c>
      <c r="C275" s="9" t="s">
        <v>13284</v>
      </c>
      <c r="D275" s="9" t="s">
        <v>13284</v>
      </c>
      <c r="E275" s="9" t="s">
        <v>13284</v>
      </c>
      <c r="F275" s="9" t="s">
        <v>13284</v>
      </c>
      <c r="G275" s="9" t="s">
        <v>13284</v>
      </c>
      <c r="H275" s="9" t="s">
        <v>13284</v>
      </c>
      <c r="I275" s="9" t="s">
        <v>13284</v>
      </c>
      <c r="J275" s="9" t="s">
        <v>13284</v>
      </c>
      <c r="K275" s="9" t="s">
        <v>13284</v>
      </c>
      <c r="L275" s="9" t="s">
        <v>13284</v>
      </c>
      <c r="M275" s="9" t="s">
        <v>13284</v>
      </c>
      <c r="N275" s="9" t="s">
        <v>13284</v>
      </c>
      <c r="O275" s="9" t="s">
        <v>13284</v>
      </c>
      <c r="P275" s="9" t="s">
        <v>13284</v>
      </c>
      <c r="Q275" s="9" t="s">
        <v>13284</v>
      </c>
      <c r="R275" s="9" t="s">
        <v>13284</v>
      </c>
      <c r="S275" s="9" t="s">
        <v>13284</v>
      </c>
      <c r="T275" s="9" t="str">
        <f ca="1">IFERROR(IF(AND(VLOOKUP(A275, 'Актуальное состояние (из общего'!A:C,3,0) = "", A275 &lt;&gt; ""), "ПРОВЕРИТЬ", VLOOKUP(A275, 'Актуальное состояние (из общего'!A:C,3,0)), "")</f>
        <v>Студент</v>
      </c>
      <c r="U275" s="9" t="s">
        <v>13284</v>
      </c>
      <c r="V275" s="9" t="s">
        <v>13284</v>
      </c>
      <c r="W275" s="9" t="s">
        <v>64</v>
      </c>
      <c r="X275" s="9" t="str">
        <f t="array" ref="X275">IFERROR(INDEX('Адреса общежитий (скрытый)'!$B$2:$B$9, MATCH(W275, 'Адреса общежитий (скрытый)'!$A$2:$A$9, 0)), "")</f>
        <v>проспект 60-летия Октября, д.11</v>
      </c>
      <c r="Y275" s="18"/>
      <c r="Z275" s="18"/>
      <c r="AA275" s="18"/>
      <c r="AB275" s="18"/>
      <c r="AC275" s="18"/>
    </row>
    <row r="276" spans="1:29" ht="32.25" hidden="1" customHeight="1">
      <c r="A276" s="8">
        <v>2303068</v>
      </c>
      <c r="B276" s="9" t="s">
        <v>13284</v>
      </c>
      <c r="C276" s="9" t="s">
        <v>13284</v>
      </c>
      <c r="D276" s="9" t="s">
        <v>13284</v>
      </c>
      <c r="E276" s="9" t="s">
        <v>13284</v>
      </c>
      <c r="F276" s="9" t="s">
        <v>13284</v>
      </c>
      <c r="G276" s="9" t="s">
        <v>13284</v>
      </c>
      <c r="H276" s="9" t="s">
        <v>13284</v>
      </c>
      <c r="I276" s="9" t="s">
        <v>13284</v>
      </c>
      <c r="J276" s="9" t="s">
        <v>13284</v>
      </c>
      <c r="K276" s="9" t="s">
        <v>13284</v>
      </c>
      <c r="L276" s="9" t="s">
        <v>13284</v>
      </c>
      <c r="M276" s="9" t="s">
        <v>13284</v>
      </c>
      <c r="N276" s="9" t="s">
        <v>13284</v>
      </c>
      <c r="O276" s="9" t="s">
        <v>13284</v>
      </c>
      <c r="P276" s="9" t="s">
        <v>13284</v>
      </c>
      <c r="Q276" s="9" t="s">
        <v>13284</v>
      </c>
      <c r="R276" s="9" t="s">
        <v>13284</v>
      </c>
      <c r="S276" s="9" t="s">
        <v>13284</v>
      </c>
      <c r="T276" s="9" t="str">
        <f ca="1">IFERROR(IF(AND(VLOOKUP(A276, 'Актуальное состояние (из общего'!A:C,3,0) = "", A276 &lt;&gt; ""), "ПРОВЕРИТЬ", VLOOKUP(A276, 'Актуальное состояние (из общего'!A:C,3,0)), "")</f>
        <v>Студент</v>
      </c>
      <c r="U276" s="9" t="s">
        <v>13284</v>
      </c>
      <c r="V276" s="9" t="s">
        <v>13284</v>
      </c>
      <c r="W276" s="12"/>
      <c r="X276" s="9" t="str">
        <f t="array" ref="X276">IFERROR(INDEX('Адреса общежитий (скрытый)'!$B$2:$B$9, MATCH(W276, 'Адреса общежитий (скрытый)'!$A$2:$A$9, 0)), "")</f>
        <v/>
      </c>
      <c r="Y276" s="18"/>
      <c r="Z276" s="18"/>
      <c r="AA276" s="18"/>
      <c r="AB276" s="18"/>
      <c r="AC276" s="18"/>
    </row>
    <row r="277" spans="1:29" ht="32.25" customHeight="1">
      <c r="A277" s="8">
        <v>2301947</v>
      </c>
      <c r="B277" s="9" t="s">
        <v>13284</v>
      </c>
      <c r="C277" s="9" t="s">
        <v>13284</v>
      </c>
      <c r="D277" s="9" t="s">
        <v>13284</v>
      </c>
      <c r="E277" s="9" t="s">
        <v>13284</v>
      </c>
      <c r="F277" s="9" t="s">
        <v>13284</v>
      </c>
      <c r="G277" s="9" t="s">
        <v>13284</v>
      </c>
      <c r="H277" s="9" t="s">
        <v>13284</v>
      </c>
      <c r="I277" s="9" t="s">
        <v>13284</v>
      </c>
      <c r="J277" s="9" t="s">
        <v>13284</v>
      </c>
      <c r="K277" s="9" t="s">
        <v>13284</v>
      </c>
      <c r="L277" s="9" t="s">
        <v>13284</v>
      </c>
      <c r="M277" s="9" t="s">
        <v>13284</v>
      </c>
      <c r="N277" s="9" t="s">
        <v>13284</v>
      </c>
      <c r="O277" s="9" t="s">
        <v>13284</v>
      </c>
      <c r="P277" s="9" t="s">
        <v>13284</v>
      </c>
      <c r="Q277" s="9" t="s">
        <v>13284</v>
      </c>
      <c r="R277" s="9" t="s">
        <v>13284</v>
      </c>
      <c r="S277" s="9" t="s">
        <v>13284</v>
      </c>
      <c r="T277" s="9" t="str">
        <f ca="1">IFERROR(IF(AND(VLOOKUP(A277, 'Актуальное состояние (из общего'!A:C,3,0) = "", A277 &lt;&gt; ""), "ПРОВЕРИТЬ", VLOOKUP(A277, 'Актуальное состояние (из общего'!A:C,3,0)), "")</f>
        <v>Студент</v>
      </c>
      <c r="U277" s="9" t="s">
        <v>13284</v>
      </c>
      <c r="V277" s="9" t="s">
        <v>13284</v>
      </c>
      <c r="W277" s="9" t="s">
        <v>64</v>
      </c>
      <c r="X277" s="9" t="str">
        <f t="array" ref="X277">IFERROR(INDEX('Адреса общежитий (скрытый)'!$B$2:$B$9, MATCH(W277, 'Адреса общежитий (скрытый)'!$A$2:$A$9, 0)), "")</f>
        <v>проспект 60-летия Октября, д.11</v>
      </c>
      <c r="Y277" s="18"/>
      <c r="Z277" s="18"/>
      <c r="AA277" s="18"/>
      <c r="AB277" s="18"/>
      <c r="AC277" s="18"/>
    </row>
    <row r="278" spans="1:29" ht="32.25" customHeight="1">
      <c r="A278" s="8">
        <v>2308154</v>
      </c>
      <c r="B278" s="9" t="s">
        <v>13284</v>
      </c>
      <c r="C278" s="9" t="s">
        <v>13284</v>
      </c>
      <c r="D278" s="9" t="s">
        <v>13284</v>
      </c>
      <c r="E278" s="9" t="s">
        <v>13284</v>
      </c>
      <c r="F278" s="9" t="s">
        <v>13284</v>
      </c>
      <c r="G278" s="9" t="s">
        <v>13284</v>
      </c>
      <c r="H278" s="9" t="s">
        <v>13284</v>
      </c>
      <c r="I278" s="9" t="s">
        <v>13284</v>
      </c>
      <c r="J278" s="9" t="s">
        <v>13284</v>
      </c>
      <c r="K278" s="9" t="s">
        <v>13284</v>
      </c>
      <c r="L278" s="9" t="s">
        <v>13284</v>
      </c>
      <c r="M278" s="9" t="s">
        <v>13284</v>
      </c>
      <c r="N278" s="9" t="s">
        <v>13284</v>
      </c>
      <c r="O278" s="9" t="s">
        <v>13284</v>
      </c>
      <c r="P278" s="9" t="s">
        <v>13284</v>
      </c>
      <c r="Q278" s="9" t="s">
        <v>13284</v>
      </c>
      <c r="R278" s="9" t="s">
        <v>13284</v>
      </c>
      <c r="S278" s="9" t="s">
        <v>13284</v>
      </c>
      <c r="T278" s="9" t="str">
        <f ca="1">IFERROR(IF(AND(VLOOKUP(A278, 'Актуальное состояние (из общего'!A:C,3,0) = "", A278 &lt;&gt; ""), "ПРОВЕРИТЬ", VLOOKUP(A278, 'Актуальное состояние (из общего'!A:C,3,0)), "")</f>
        <v>Студент</v>
      </c>
      <c r="U278" s="9" t="s">
        <v>13284</v>
      </c>
      <c r="V278" s="9" t="s">
        <v>13284</v>
      </c>
      <c r="W278" s="9" t="s">
        <v>64</v>
      </c>
      <c r="X278" s="9" t="str">
        <f t="array" ref="X278">IFERROR(INDEX('Адреса общежитий (скрытый)'!$B$2:$B$9, MATCH(W278, 'Адреса общежитий (скрытый)'!$A$2:$A$9, 0)), "")</f>
        <v>проспект 60-летия Октября, д.11</v>
      </c>
      <c r="Y278" s="18"/>
      <c r="Z278" s="18"/>
      <c r="AA278" s="18"/>
      <c r="AB278" s="18"/>
      <c r="AC278" s="18"/>
    </row>
    <row r="279" spans="1:29" ht="32.25" customHeight="1">
      <c r="A279" s="8">
        <v>2307859</v>
      </c>
      <c r="B279" s="9" t="s">
        <v>13284</v>
      </c>
      <c r="C279" s="9" t="s">
        <v>13284</v>
      </c>
      <c r="D279" s="9" t="s">
        <v>13284</v>
      </c>
      <c r="E279" s="9" t="s">
        <v>13284</v>
      </c>
      <c r="F279" s="9" t="s">
        <v>13284</v>
      </c>
      <c r="G279" s="9" t="s">
        <v>13284</v>
      </c>
      <c r="H279" s="9" t="s">
        <v>13284</v>
      </c>
      <c r="I279" s="9" t="s">
        <v>13284</v>
      </c>
      <c r="J279" s="9" t="s">
        <v>13284</v>
      </c>
      <c r="K279" s="9" t="s">
        <v>13284</v>
      </c>
      <c r="L279" s="9" t="s">
        <v>13284</v>
      </c>
      <c r="M279" s="9" t="s">
        <v>13284</v>
      </c>
      <c r="N279" s="9" t="s">
        <v>13284</v>
      </c>
      <c r="O279" s="9" t="s">
        <v>13284</v>
      </c>
      <c r="P279" s="9" t="s">
        <v>13284</v>
      </c>
      <c r="Q279" s="9" t="s">
        <v>13284</v>
      </c>
      <c r="R279" s="9" t="s">
        <v>13284</v>
      </c>
      <c r="S279" s="9" t="s">
        <v>13284</v>
      </c>
      <c r="T279" s="9" t="str">
        <f ca="1">IFERROR(IF(AND(VLOOKUP(A279, 'Актуальное состояние (из общего'!A:C,3,0) = "", A279 &lt;&gt; ""), "ПРОВЕРИТЬ", VLOOKUP(A279, 'Актуальное состояние (из общего'!A:C,3,0)), "")</f>
        <v>Студент</v>
      </c>
      <c r="U279" s="9" t="s">
        <v>13284</v>
      </c>
      <c r="V279" s="9" t="s">
        <v>13284</v>
      </c>
      <c r="W279" s="9" t="s">
        <v>64</v>
      </c>
      <c r="X279" s="9" t="str">
        <f t="array" ref="X279">IFERROR(INDEX('Адреса общежитий (скрытый)'!$B$2:$B$9, MATCH(W279, 'Адреса общежитий (скрытый)'!$A$2:$A$9, 0)), "")</f>
        <v>проспект 60-летия Октября, д.11</v>
      </c>
      <c r="Y279" s="18"/>
      <c r="Z279" s="18"/>
      <c r="AA279" s="18"/>
      <c r="AB279" s="18"/>
      <c r="AC279" s="18"/>
    </row>
    <row r="280" spans="1:29" ht="32.25" customHeight="1">
      <c r="A280" s="8">
        <v>2311505</v>
      </c>
      <c r="B280" s="9" t="s">
        <v>13284</v>
      </c>
      <c r="C280" s="9" t="s">
        <v>13284</v>
      </c>
      <c r="D280" s="9" t="s">
        <v>13284</v>
      </c>
      <c r="E280" s="9" t="s">
        <v>13284</v>
      </c>
      <c r="F280" s="9" t="s">
        <v>13284</v>
      </c>
      <c r="G280" s="9" t="s">
        <v>13284</v>
      </c>
      <c r="H280" s="9" t="s">
        <v>13284</v>
      </c>
      <c r="I280" s="9" t="s">
        <v>13284</v>
      </c>
      <c r="J280" s="9" t="s">
        <v>13284</v>
      </c>
      <c r="K280" s="9" t="s">
        <v>13284</v>
      </c>
      <c r="L280" s="9" t="s">
        <v>13284</v>
      </c>
      <c r="M280" s="9" t="s">
        <v>13284</v>
      </c>
      <c r="N280" s="9" t="s">
        <v>13284</v>
      </c>
      <c r="O280" s="9" t="s">
        <v>13284</v>
      </c>
      <c r="P280" s="9" t="s">
        <v>13284</v>
      </c>
      <c r="Q280" s="9" t="s">
        <v>13284</v>
      </c>
      <c r="R280" s="9" t="s">
        <v>13284</v>
      </c>
      <c r="S280" s="9" t="s">
        <v>13284</v>
      </c>
      <c r="T280" s="9" t="str">
        <f ca="1">IFERROR(IF(AND(VLOOKUP(A280, 'Актуальное состояние (из общего'!A:C,3,0) = "", A280 &lt;&gt; ""), "ПРОВЕРИТЬ", VLOOKUP(A280, 'Актуальное состояние (из общего'!A:C,3,0)), "")</f>
        <v>Студент</v>
      </c>
      <c r="U280" s="9" t="s">
        <v>13284</v>
      </c>
      <c r="V280" s="9" t="s">
        <v>13284</v>
      </c>
      <c r="W280" s="9" t="s">
        <v>64</v>
      </c>
      <c r="X280" s="9" t="str">
        <f t="array" ref="X280">IFERROR(INDEX('Адреса общежитий (скрытый)'!$B$2:$B$9, MATCH(W280, 'Адреса общежитий (скрытый)'!$A$2:$A$9, 0)), "")</f>
        <v>проспект 60-летия Октября, д.11</v>
      </c>
      <c r="Y280" s="18"/>
      <c r="Z280" s="18"/>
      <c r="AA280" s="18"/>
      <c r="AB280" s="18"/>
      <c r="AC280" s="18"/>
    </row>
    <row r="281" spans="1:29" ht="32.25" customHeight="1">
      <c r="A281" s="8">
        <v>2305933</v>
      </c>
      <c r="B281" s="9" t="s">
        <v>13284</v>
      </c>
      <c r="C281" s="9" t="s">
        <v>13284</v>
      </c>
      <c r="D281" s="9" t="s">
        <v>13284</v>
      </c>
      <c r="E281" s="9" t="s">
        <v>13284</v>
      </c>
      <c r="F281" s="9" t="s">
        <v>13284</v>
      </c>
      <c r="G281" s="9" t="s">
        <v>13284</v>
      </c>
      <c r="H281" s="9" t="s">
        <v>13284</v>
      </c>
      <c r="I281" s="9" t="s">
        <v>13284</v>
      </c>
      <c r="J281" s="9" t="s">
        <v>13284</v>
      </c>
      <c r="K281" s="9" t="s">
        <v>13284</v>
      </c>
      <c r="L281" s="9" t="s">
        <v>13284</v>
      </c>
      <c r="M281" s="9" t="s">
        <v>13284</v>
      </c>
      <c r="N281" s="9" t="s">
        <v>13284</v>
      </c>
      <c r="O281" s="9" t="s">
        <v>13284</v>
      </c>
      <c r="P281" s="9" t="s">
        <v>13284</v>
      </c>
      <c r="Q281" s="9" t="s">
        <v>13284</v>
      </c>
      <c r="R281" s="9" t="s">
        <v>13284</v>
      </c>
      <c r="S281" s="9" t="s">
        <v>13284</v>
      </c>
      <c r="T281" s="9" t="str">
        <f ca="1">IFERROR(IF(AND(VLOOKUP(A281, 'Актуальное состояние (из общего'!A:C,3,0) = "", A281 &lt;&gt; ""), "ПРОВЕРИТЬ", VLOOKUP(A281, 'Актуальное состояние (из общего'!A:C,3,0)), "")</f>
        <v>Студент</v>
      </c>
      <c r="U281" s="9" t="s">
        <v>13284</v>
      </c>
      <c r="V281" s="9" t="s">
        <v>13284</v>
      </c>
      <c r="W281" s="9" t="s">
        <v>319</v>
      </c>
      <c r="X281" s="9" t="str">
        <f t="array" ref="X281">IFERROR(INDEX('Адреса общежитий (скрытый)'!$B$2:$B$9, MATCH(W281, 'Адреса общежитий (скрытый)'!$A$2:$A$9, 0)), "")</f>
        <v>ул. Профсоюзная, д.83, корп. 2</v>
      </c>
      <c r="Y281" s="18"/>
      <c r="Z281" s="18"/>
      <c r="AA281" s="18"/>
      <c r="AB281" s="18"/>
      <c r="AC281" s="18"/>
    </row>
    <row r="282" spans="1:29" ht="32.25" hidden="1" customHeight="1">
      <c r="A282" s="8">
        <v>2302360</v>
      </c>
      <c r="B282" s="9" t="s">
        <v>13284</v>
      </c>
      <c r="C282" s="9" t="s">
        <v>13284</v>
      </c>
      <c r="D282" s="9" t="s">
        <v>13284</v>
      </c>
      <c r="E282" s="9" t="s">
        <v>13284</v>
      </c>
      <c r="F282" s="9" t="s">
        <v>13284</v>
      </c>
      <c r="G282" s="9" t="s">
        <v>13284</v>
      </c>
      <c r="H282" s="9" t="s">
        <v>13284</v>
      </c>
      <c r="I282" s="9" t="s">
        <v>13284</v>
      </c>
      <c r="J282" s="9" t="s">
        <v>13284</v>
      </c>
      <c r="K282" s="9" t="s">
        <v>13284</v>
      </c>
      <c r="L282" s="9" t="s">
        <v>13284</v>
      </c>
      <c r="M282" s="9" t="s">
        <v>13284</v>
      </c>
      <c r="N282" s="9" t="s">
        <v>13284</v>
      </c>
      <c r="O282" s="9" t="s">
        <v>13284</v>
      </c>
      <c r="P282" s="9" t="s">
        <v>13284</v>
      </c>
      <c r="Q282" s="9" t="s">
        <v>13284</v>
      </c>
      <c r="R282" s="9" t="s">
        <v>13284</v>
      </c>
      <c r="S282" s="9" t="s">
        <v>13284</v>
      </c>
      <c r="T282" s="9" t="str">
        <f ca="1">IFERROR(IF(AND(VLOOKUP(A282, 'Актуальное состояние (из общего'!A:C,3,0) = "", A282 &lt;&gt; ""), "ПРОВЕРИТЬ", VLOOKUP(A282, 'Актуальное состояние (из общего'!A:C,3,0)), "")</f>
        <v>Студент</v>
      </c>
      <c r="U282" s="9" t="s">
        <v>13284</v>
      </c>
      <c r="V282" s="9" t="s">
        <v>13284</v>
      </c>
      <c r="W282" s="12"/>
      <c r="X282" s="9" t="str">
        <f t="array" ref="X282">IFERROR(INDEX('Адреса общежитий (скрытый)'!$B$2:$B$9, MATCH(W282, 'Адреса общежитий (скрытый)'!$A$2:$A$9, 0)), "")</f>
        <v/>
      </c>
      <c r="Y282" s="18"/>
      <c r="Z282" s="18"/>
      <c r="AA282" s="18"/>
      <c r="AB282" s="18"/>
      <c r="AC282" s="18"/>
    </row>
    <row r="283" spans="1:29" ht="32.25" customHeight="1">
      <c r="A283" s="8">
        <v>2301533</v>
      </c>
      <c r="B283" s="9" t="s">
        <v>13284</v>
      </c>
      <c r="C283" s="9" t="s">
        <v>13284</v>
      </c>
      <c r="D283" s="9" t="s">
        <v>13284</v>
      </c>
      <c r="E283" s="9" t="s">
        <v>13284</v>
      </c>
      <c r="F283" s="9" t="s">
        <v>13284</v>
      </c>
      <c r="G283" s="9" t="s">
        <v>13284</v>
      </c>
      <c r="H283" s="9" t="s">
        <v>13284</v>
      </c>
      <c r="I283" s="9" t="s">
        <v>13284</v>
      </c>
      <c r="J283" s="9" t="s">
        <v>13284</v>
      </c>
      <c r="K283" s="9" t="s">
        <v>13284</v>
      </c>
      <c r="L283" s="9" t="s">
        <v>13284</v>
      </c>
      <c r="M283" s="9" t="s">
        <v>13284</v>
      </c>
      <c r="N283" s="9" t="s">
        <v>13284</v>
      </c>
      <c r="O283" s="9" t="s">
        <v>13284</v>
      </c>
      <c r="P283" s="9" t="s">
        <v>13284</v>
      </c>
      <c r="Q283" s="9" t="s">
        <v>13284</v>
      </c>
      <c r="R283" s="9" t="s">
        <v>13284</v>
      </c>
      <c r="S283" s="9" t="s">
        <v>13284</v>
      </c>
      <c r="T283" s="9" t="str">
        <f ca="1">IFERROR(IF(AND(VLOOKUP(A283, 'Актуальное состояние (из общего'!A:C,3,0) = "", A283 &lt;&gt; ""), "ПРОВЕРИТЬ", VLOOKUP(A283, 'Актуальное состояние (из общего'!A:C,3,0)), "")</f>
        <v>Студент</v>
      </c>
      <c r="U283" s="9" t="s">
        <v>13284</v>
      </c>
      <c r="V283" s="9" t="s">
        <v>13284</v>
      </c>
      <c r="W283" s="12"/>
      <c r="X283" s="9" t="str">
        <f t="array" ref="X283">IFERROR(INDEX('Адреса общежитий (скрытый)'!$B$2:$B$9, MATCH(W283, 'Адреса общежитий (скрытый)'!$A$2:$A$9, 0)), "")</f>
        <v/>
      </c>
      <c r="Y283" s="18"/>
      <c r="Z283" s="18"/>
      <c r="AA283" s="18"/>
      <c r="AB283" s="18"/>
      <c r="AC283" s="18"/>
    </row>
    <row r="284" spans="1:29" ht="32.25" customHeight="1">
      <c r="A284" s="8">
        <v>2304860</v>
      </c>
      <c r="B284" s="9" t="s">
        <v>13284</v>
      </c>
      <c r="C284" s="9" t="s">
        <v>13284</v>
      </c>
      <c r="D284" s="9" t="s">
        <v>13284</v>
      </c>
      <c r="E284" s="9" t="s">
        <v>13284</v>
      </c>
      <c r="F284" s="9" t="s">
        <v>13284</v>
      </c>
      <c r="G284" s="9" t="s">
        <v>13284</v>
      </c>
      <c r="H284" s="9" t="s">
        <v>13284</v>
      </c>
      <c r="I284" s="9" t="s">
        <v>13284</v>
      </c>
      <c r="J284" s="9" t="s">
        <v>13284</v>
      </c>
      <c r="K284" s="9" t="s">
        <v>13284</v>
      </c>
      <c r="L284" s="9" t="s">
        <v>13284</v>
      </c>
      <c r="M284" s="9" t="s">
        <v>13284</v>
      </c>
      <c r="N284" s="9" t="s">
        <v>13284</v>
      </c>
      <c r="O284" s="9" t="s">
        <v>13284</v>
      </c>
      <c r="P284" s="9" t="s">
        <v>13284</v>
      </c>
      <c r="Q284" s="9" t="s">
        <v>13284</v>
      </c>
      <c r="R284" s="9" t="s">
        <v>13284</v>
      </c>
      <c r="S284" s="9" t="s">
        <v>13284</v>
      </c>
      <c r="T284" s="9" t="str">
        <f ca="1">IFERROR(IF(AND(VLOOKUP(A284, 'Актуальное состояние (из общего'!A:C,3,0) = "", A284 &lt;&gt; ""), "ПРОВЕРИТЬ", VLOOKUP(A284, 'Актуальное состояние (из общего'!A:C,3,0)), "")</f>
        <v>Студент</v>
      </c>
      <c r="U284" s="9" t="s">
        <v>13284</v>
      </c>
      <c r="V284" s="9" t="s">
        <v>13284</v>
      </c>
      <c r="W284" s="12"/>
      <c r="X284" s="9" t="str">
        <f t="array" ref="X284">IFERROR(INDEX('Адреса общежитий (скрытый)'!$B$2:$B$9, MATCH(W284, 'Адреса общежитий (скрытый)'!$A$2:$A$9, 0)), "")</f>
        <v/>
      </c>
      <c r="Y284" s="18"/>
      <c r="Z284" s="18"/>
      <c r="AA284" s="18"/>
      <c r="AB284" s="18"/>
      <c r="AC284" s="18"/>
    </row>
    <row r="285" spans="1:29" ht="32.25" hidden="1" customHeight="1">
      <c r="A285" s="8">
        <v>2313983</v>
      </c>
      <c r="B285" s="9" t="s">
        <v>13284</v>
      </c>
      <c r="C285" s="9" t="s">
        <v>13284</v>
      </c>
      <c r="D285" s="9" t="s">
        <v>13284</v>
      </c>
      <c r="E285" s="9" t="s">
        <v>13284</v>
      </c>
      <c r="F285" s="9" t="s">
        <v>13284</v>
      </c>
      <c r="G285" s="9" t="s">
        <v>13284</v>
      </c>
      <c r="H285" s="9" t="s">
        <v>13284</v>
      </c>
      <c r="I285" s="9" t="s">
        <v>13284</v>
      </c>
      <c r="J285" s="9" t="s">
        <v>13284</v>
      </c>
      <c r="K285" s="9" t="s">
        <v>13284</v>
      </c>
      <c r="L285" s="9" t="s">
        <v>13284</v>
      </c>
      <c r="M285" s="9" t="s">
        <v>13284</v>
      </c>
      <c r="N285" s="9" t="s">
        <v>13284</v>
      </c>
      <c r="O285" s="9" t="s">
        <v>13284</v>
      </c>
      <c r="P285" s="9" t="s">
        <v>13284</v>
      </c>
      <c r="Q285" s="9" t="s">
        <v>13284</v>
      </c>
      <c r="R285" s="9" t="s">
        <v>13284</v>
      </c>
      <c r="S285" s="9" t="s">
        <v>13284</v>
      </c>
      <c r="T285" s="9" t="str">
        <f ca="1">IFERROR(IF(AND(VLOOKUP(A285, 'Актуальное состояние (из общего'!A:C,3,0) = "", A285 &lt;&gt; ""), "ПРОВЕРИТЬ", VLOOKUP(A285, 'Актуальное состояние (из общего'!A:C,3,0)), "")</f>
        <v>Студент</v>
      </c>
      <c r="U285" s="9" t="s">
        <v>13284</v>
      </c>
      <c r="V285" s="9" t="s">
        <v>13284</v>
      </c>
      <c r="W285" s="12"/>
      <c r="X285" s="9" t="str">
        <f t="array" ref="X285">IFERROR(INDEX('Адреса общежитий (скрытый)'!$B$2:$B$9, MATCH(W285, 'Адреса общежитий (скрытый)'!$A$2:$A$9, 0)), "")</f>
        <v/>
      </c>
      <c r="Y285" s="18"/>
      <c r="Z285" s="18"/>
      <c r="AA285" s="18"/>
      <c r="AB285" s="18"/>
      <c r="AC285" s="18"/>
    </row>
    <row r="286" spans="1:29" ht="32.25" hidden="1" customHeight="1">
      <c r="A286" s="8">
        <v>2302643</v>
      </c>
      <c r="B286" s="9" t="s">
        <v>13284</v>
      </c>
      <c r="C286" s="9" t="s">
        <v>13284</v>
      </c>
      <c r="D286" s="9" t="s">
        <v>13284</v>
      </c>
      <c r="E286" s="9" t="s">
        <v>13284</v>
      </c>
      <c r="F286" s="9" t="s">
        <v>13284</v>
      </c>
      <c r="G286" s="9" t="s">
        <v>13284</v>
      </c>
      <c r="H286" s="9" t="s">
        <v>13284</v>
      </c>
      <c r="I286" s="9" t="s">
        <v>13284</v>
      </c>
      <c r="J286" s="9" t="s">
        <v>13284</v>
      </c>
      <c r="K286" s="9" t="s">
        <v>13284</v>
      </c>
      <c r="L286" s="9" t="s">
        <v>13284</v>
      </c>
      <c r="M286" s="9" t="s">
        <v>13284</v>
      </c>
      <c r="N286" s="9" t="s">
        <v>13284</v>
      </c>
      <c r="O286" s="9" t="s">
        <v>13284</v>
      </c>
      <c r="P286" s="9" t="s">
        <v>13284</v>
      </c>
      <c r="Q286" s="9" t="s">
        <v>13284</v>
      </c>
      <c r="R286" s="9" t="s">
        <v>13284</v>
      </c>
      <c r="S286" s="9" t="s">
        <v>13284</v>
      </c>
      <c r="T286" s="9" t="str">
        <f ca="1">IFERROR(IF(AND(VLOOKUP(A286, 'Актуальное состояние (из общего'!A:C,3,0) = "", A286 &lt;&gt; ""), "ПРОВЕРИТЬ", VLOOKUP(A286, 'Актуальное состояние (из общего'!A:C,3,0)), "")</f>
        <v>Студент</v>
      </c>
      <c r="U286" s="9" t="s">
        <v>13284</v>
      </c>
      <c r="V286" s="9" t="s">
        <v>13284</v>
      </c>
      <c r="W286" s="12"/>
      <c r="X286" s="9" t="str">
        <f t="array" ref="X286">IFERROR(INDEX('Адреса общежитий (скрытый)'!$B$2:$B$9, MATCH(W286, 'Адреса общежитий (скрытый)'!$A$2:$A$9, 0)), "")</f>
        <v/>
      </c>
      <c r="Y286" s="18"/>
      <c r="Z286" s="18"/>
      <c r="AA286" s="18"/>
      <c r="AB286" s="18"/>
      <c r="AC286" s="18"/>
    </row>
    <row r="287" spans="1:29" ht="32.25" customHeight="1">
      <c r="A287" s="8">
        <v>2310108</v>
      </c>
      <c r="B287" s="9" t="s">
        <v>13284</v>
      </c>
      <c r="C287" s="9" t="s">
        <v>13284</v>
      </c>
      <c r="D287" s="9" t="s">
        <v>13284</v>
      </c>
      <c r="E287" s="9" t="s">
        <v>13284</v>
      </c>
      <c r="F287" s="9" t="s">
        <v>13284</v>
      </c>
      <c r="G287" s="9" t="s">
        <v>13284</v>
      </c>
      <c r="H287" s="9" t="s">
        <v>13284</v>
      </c>
      <c r="I287" s="9" t="s">
        <v>13284</v>
      </c>
      <c r="J287" s="9" t="s">
        <v>13284</v>
      </c>
      <c r="K287" s="9" t="s">
        <v>13284</v>
      </c>
      <c r="L287" s="9" t="s">
        <v>13284</v>
      </c>
      <c r="M287" s="9" t="s">
        <v>13284</v>
      </c>
      <c r="N287" s="9" t="s">
        <v>13284</v>
      </c>
      <c r="O287" s="9" t="s">
        <v>13284</v>
      </c>
      <c r="P287" s="9" t="s">
        <v>13284</v>
      </c>
      <c r="Q287" s="9" t="s">
        <v>13284</v>
      </c>
      <c r="R287" s="9" t="s">
        <v>13284</v>
      </c>
      <c r="S287" s="9" t="s">
        <v>13284</v>
      </c>
      <c r="T287" s="9" t="str">
        <f ca="1">IFERROR(IF(AND(VLOOKUP(A287, 'Актуальное состояние (из общего'!A:C,3,0) = "", A287 &lt;&gt; ""), "ПРОВЕРИТЬ", VLOOKUP(A287, 'Актуальное состояние (из общего'!A:C,3,0)), "")</f>
        <v>Студент</v>
      </c>
      <c r="U287" s="9" t="s">
        <v>13284</v>
      </c>
      <c r="V287" s="9" t="s">
        <v>13284</v>
      </c>
      <c r="W287" s="9" t="s">
        <v>319</v>
      </c>
      <c r="X287" s="9" t="str">
        <f t="array" ref="X287">IFERROR(INDEX('Адреса общежитий (скрытый)'!$B$2:$B$9, MATCH(W287, 'Адреса общежитий (скрытый)'!$A$2:$A$9, 0)), "")</f>
        <v>ул. Профсоюзная, д.83, корп. 2</v>
      </c>
      <c r="Y287" s="18"/>
      <c r="Z287" s="18"/>
      <c r="AA287" s="18"/>
      <c r="AB287" s="18"/>
      <c r="AC287" s="18"/>
    </row>
    <row r="288" spans="1:29" ht="32.25" customHeight="1">
      <c r="A288" s="8">
        <v>2307514</v>
      </c>
      <c r="B288" s="9" t="s">
        <v>13284</v>
      </c>
      <c r="C288" s="9" t="s">
        <v>13284</v>
      </c>
      <c r="D288" s="9" t="s">
        <v>13284</v>
      </c>
      <c r="E288" s="9" t="s">
        <v>13284</v>
      </c>
      <c r="F288" s="9" t="s">
        <v>13284</v>
      </c>
      <c r="G288" s="9" t="s">
        <v>13284</v>
      </c>
      <c r="H288" s="9" t="s">
        <v>13284</v>
      </c>
      <c r="I288" s="9" t="s">
        <v>13284</v>
      </c>
      <c r="J288" s="9" t="s">
        <v>13284</v>
      </c>
      <c r="K288" s="9" t="s">
        <v>13284</v>
      </c>
      <c r="L288" s="9" t="s">
        <v>13284</v>
      </c>
      <c r="M288" s="9" t="s">
        <v>13284</v>
      </c>
      <c r="N288" s="9" t="s">
        <v>13284</v>
      </c>
      <c r="O288" s="9" t="s">
        <v>13284</v>
      </c>
      <c r="P288" s="9" t="s">
        <v>13284</v>
      </c>
      <c r="Q288" s="9" t="s">
        <v>13284</v>
      </c>
      <c r="R288" s="9" t="s">
        <v>13284</v>
      </c>
      <c r="S288" s="9" t="s">
        <v>13284</v>
      </c>
      <c r="T288" s="9" t="str">
        <f ca="1">IFERROR(IF(AND(VLOOKUP(A288, 'Актуальное состояние (из общего'!A:C,3,0) = "", A288 &lt;&gt; ""), "ПРОВЕРИТЬ", VLOOKUP(A288, 'Актуальное состояние (из общего'!A:C,3,0)), "")</f>
        <v>Студент</v>
      </c>
      <c r="U288" s="9" t="s">
        <v>13284</v>
      </c>
      <c r="V288" s="9" t="s">
        <v>13284</v>
      </c>
      <c r="W288" s="9" t="s">
        <v>319</v>
      </c>
      <c r="X288" s="9" t="str">
        <f t="array" ref="X288">IFERROR(INDEX('Адреса общежитий (скрытый)'!$B$2:$B$9, MATCH(W288, 'Адреса общежитий (скрытый)'!$A$2:$A$9, 0)), "")</f>
        <v>ул. Профсоюзная, д.83, корп. 2</v>
      </c>
      <c r="Y288" s="18"/>
      <c r="Z288" s="18"/>
      <c r="AA288" s="18"/>
      <c r="AB288" s="18"/>
      <c r="AC288" s="18"/>
    </row>
    <row r="289" spans="1:29" ht="32.25" customHeight="1">
      <c r="A289" s="8">
        <v>2308742</v>
      </c>
      <c r="B289" s="9" t="s">
        <v>13284</v>
      </c>
      <c r="C289" s="9" t="s">
        <v>13284</v>
      </c>
      <c r="D289" s="9" t="s">
        <v>13284</v>
      </c>
      <c r="E289" s="9" t="s">
        <v>13284</v>
      </c>
      <c r="F289" s="9" t="s">
        <v>13284</v>
      </c>
      <c r="G289" s="9" t="s">
        <v>13284</v>
      </c>
      <c r="H289" s="9" t="s">
        <v>13284</v>
      </c>
      <c r="I289" s="9" t="s">
        <v>13284</v>
      </c>
      <c r="J289" s="9" t="s">
        <v>13284</v>
      </c>
      <c r="K289" s="9" t="s">
        <v>13284</v>
      </c>
      <c r="L289" s="9" t="s">
        <v>13284</v>
      </c>
      <c r="M289" s="9" t="s">
        <v>13284</v>
      </c>
      <c r="N289" s="9" t="s">
        <v>13284</v>
      </c>
      <c r="O289" s="9" t="s">
        <v>13284</v>
      </c>
      <c r="P289" s="9" t="s">
        <v>13284</v>
      </c>
      <c r="Q289" s="9" t="s">
        <v>13284</v>
      </c>
      <c r="R289" s="9" t="s">
        <v>13284</v>
      </c>
      <c r="S289" s="9" t="s">
        <v>13284</v>
      </c>
      <c r="T289" s="9" t="str">
        <f ca="1">IFERROR(IF(AND(VLOOKUP(A289, 'Актуальное состояние (из общего'!A:C,3,0) = "", A289 &lt;&gt; ""), "ПРОВЕРИТЬ", VLOOKUP(A289, 'Актуальное состояние (из общего'!A:C,3,0)), "")</f>
        <v>Студент</v>
      </c>
      <c r="U289" s="9" t="s">
        <v>13284</v>
      </c>
      <c r="V289" s="9" t="s">
        <v>13284</v>
      </c>
      <c r="W289" s="9" t="s">
        <v>319</v>
      </c>
      <c r="X289" s="9" t="str">
        <f t="array" ref="X289">IFERROR(INDEX('Адреса общежитий (скрытый)'!$B$2:$B$9, MATCH(W289, 'Адреса общежитий (скрытый)'!$A$2:$A$9, 0)), "")</f>
        <v>ул. Профсоюзная, д.83, корп. 2</v>
      </c>
      <c r="Y289" s="18"/>
      <c r="Z289" s="18"/>
      <c r="AA289" s="18"/>
      <c r="AB289" s="18"/>
      <c r="AC289" s="18"/>
    </row>
    <row r="290" spans="1:29" ht="32.25" customHeight="1">
      <c r="A290" s="8">
        <v>2310666</v>
      </c>
      <c r="B290" s="9" t="s">
        <v>13284</v>
      </c>
      <c r="C290" s="9" t="s">
        <v>13284</v>
      </c>
      <c r="D290" s="9" t="s">
        <v>13284</v>
      </c>
      <c r="E290" s="9" t="s">
        <v>13284</v>
      </c>
      <c r="F290" s="9" t="s">
        <v>13284</v>
      </c>
      <c r="G290" s="9" t="s">
        <v>13284</v>
      </c>
      <c r="H290" s="9" t="s">
        <v>13284</v>
      </c>
      <c r="I290" s="9" t="s">
        <v>13284</v>
      </c>
      <c r="J290" s="9" t="s">
        <v>13284</v>
      </c>
      <c r="K290" s="9" t="s">
        <v>13284</v>
      </c>
      <c r="L290" s="9" t="s">
        <v>13284</v>
      </c>
      <c r="M290" s="9" t="s">
        <v>13284</v>
      </c>
      <c r="N290" s="9" t="s">
        <v>13284</v>
      </c>
      <c r="O290" s="9" t="s">
        <v>13284</v>
      </c>
      <c r="P290" s="9" t="s">
        <v>13284</v>
      </c>
      <c r="Q290" s="9" t="s">
        <v>13284</v>
      </c>
      <c r="R290" s="9" t="s">
        <v>13284</v>
      </c>
      <c r="S290" s="9" t="s">
        <v>13284</v>
      </c>
      <c r="T290" s="9" t="str">
        <f ca="1">IFERROR(IF(AND(VLOOKUP(A290, 'Актуальное состояние (из общего'!A:C,3,0) = "", A290 &lt;&gt; ""), "ПРОВЕРИТЬ", VLOOKUP(A290, 'Актуальное состояние (из общего'!A:C,3,0)), "")</f>
        <v>Студент</v>
      </c>
      <c r="U290" s="9" t="s">
        <v>13284</v>
      </c>
      <c r="V290" s="9" t="s">
        <v>13284</v>
      </c>
      <c r="W290" s="9" t="s">
        <v>319</v>
      </c>
      <c r="X290" s="9" t="str">
        <f t="array" ref="X290">IFERROR(INDEX('Адреса общежитий (скрытый)'!$B$2:$B$9, MATCH(W290, 'Адреса общежитий (скрытый)'!$A$2:$A$9, 0)), "")</f>
        <v>ул. Профсоюзная, д.83, корп. 2</v>
      </c>
      <c r="Y290" s="18"/>
      <c r="Z290" s="18"/>
      <c r="AA290" s="18"/>
      <c r="AB290" s="18"/>
      <c r="AC290" s="18"/>
    </row>
    <row r="291" spans="1:29" ht="32.25" hidden="1" customHeight="1">
      <c r="A291" s="8">
        <v>2304172</v>
      </c>
      <c r="B291" s="9" t="s">
        <v>13284</v>
      </c>
      <c r="C291" s="9" t="s">
        <v>13284</v>
      </c>
      <c r="D291" s="9" t="s">
        <v>13284</v>
      </c>
      <c r="E291" s="9" t="s">
        <v>13284</v>
      </c>
      <c r="F291" s="9" t="s">
        <v>13284</v>
      </c>
      <c r="G291" s="9" t="s">
        <v>13284</v>
      </c>
      <c r="H291" s="9" t="s">
        <v>13284</v>
      </c>
      <c r="I291" s="9" t="s">
        <v>13284</v>
      </c>
      <c r="J291" s="9" t="s">
        <v>13284</v>
      </c>
      <c r="K291" s="9" t="s">
        <v>13284</v>
      </c>
      <c r="L291" s="9" t="s">
        <v>13284</v>
      </c>
      <c r="M291" s="9" t="s">
        <v>13284</v>
      </c>
      <c r="N291" s="9" t="s">
        <v>13284</v>
      </c>
      <c r="O291" s="9" t="s">
        <v>13284</v>
      </c>
      <c r="P291" s="9" t="s">
        <v>13284</v>
      </c>
      <c r="Q291" s="9" t="s">
        <v>13284</v>
      </c>
      <c r="R291" s="9" t="s">
        <v>13284</v>
      </c>
      <c r="S291" s="9" t="s">
        <v>13284</v>
      </c>
      <c r="T291" s="9" t="str">
        <f ca="1">IFERROR(IF(AND(VLOOKUP(A291, 'Актуальное состояние (из общего'!A:C,3,0) = "", A291 &lt;&gt; ""), "ПРОВЕРИТЬ", VLOOKUP(A291, 'Актуальное состояние (из общего'!A:C,3,0)), "")</f>
        <v>Студент</v>
      </c>
      <c r="U291" s="9" t="s">
        <v>13284</v>
      </c>
      <c r="V291" s="9" t="s">
        <v>13284</v>
      </c>
      <c r="W291" s="12"/>
      <c r="X291" s="9" t="str">
        <f t="array" ref="X291">IFERROR(INDEX('Адреса общежитий (скрытый)'!$B$2:$B$9, MATCH(W291, 'Адреса общежитий (скрытый)'!$A$2:$A$9, 0)), "")</f>
        <v/>
      </c>
      <c r="Y291" s="18"/>
      <c r="Z291" s="18"/>
      <c r="AA291" s="18"/>
      <c r="AB291" s="18"/>
      <c r="AC291" s="18"/>
    </row>
    <row r="292" spans="1:29" ht="32.25" customHeight="1">
      <c r="A292" s="8">
        <v>2303124</v>
      </c>
      <c r="B292" s="9" t="s">
        <v>13284</v>
      </c>
      <c r="C292" s="9" t="s">
        <v>13284</v>
      </c>
      <c r="D292" s="9" t="s">
        <v>13284</v>
      </c>
      <c r="E292" s="9" t="s">
        <v>13284</v>
      </c>
      <c r="F292" s="9" t="s">
        <v>13284</v>
      </c>
      <c r="G292" s="9" t="s">
        <v>13284</v>
      </c>
      <c r="H292" s="9" t="s">
        <v>13284</v>
      </c>
      <c r="I292" s="9" t="s">
        <v>13284</v>
      </c>
      <c r="J292" s="9" t="s">
        <v>13284</v>
      </c>
      <c r="K292" s="9" t="s">
        <v>13284</v>
      </c>
      <c r="L292" s="9" t="s">
        <v>13284</v>
      </c>
      <c r="M292" s="9" t="s">
        <v>13284</v>
      </c>
      <c r="N292" s="9" t="s">
        <v>13284</v>
      </c>
      <c r="O292" s="9" t="s">
        <v>13284</v>
      </c>
      <c r="P292" s="9" t="s">
        <v>13284</v>
      </c>
      <c r="Q292" s="9" t="s">
        <v>13284</v>
      </c>
      <c r="R292" s="9" t="s">
        <v>13284</v>
      </c>
      <c r="S292" s="9" t="s">
        <v>13284</v>
      </c>
      <c r="T292" s="9" t="str">
        <f ca="1">IFERROR(IF(AND(VLOOKUP(A292, 'Актуальное состояние (из общего'!A:C,3,0) = "", A292 &lt;&gt; ""), "ПРОВЕРИТЬ", VLOOKUP(A292, 'Актуальное состояние (из общего'!A:C,3,0)), "")</f>
        <v>Студент</v>
      </c>
      <c r="U292" s="9" t="s">
        <v>13284</v>
      </c>
      <c r="V292" s="9" t="s">
        <v>13284</v>
      </c>
      <c r="W292" s="9" t="s">
        <v>64</v>
      </c>
      <c r="X292" s="9" t="str">
        <f t="array" ref="X292">IFERROR(INDEX('Адреса общежитий (скрытый)'!$B$2:$B$9, MATCH(W292, 'Адреса общежитий (скрытый)'!$A$2:$A$9, 0)), "")</f>
        <v>проспект 60-летия Октября, д.11</v>
      </c>
      <c r="Y292" s="18"/>
      <c r="Z292" s="18"/>
      <c r="AA292" s="18"/>
      <c r="AB292" s="18"/>
      <c r="AC292" s="18"/>
    </row>
    <row r="293" spans="1:29" ht="32.25" customHeight="1">
      <c r="A293" s="8">
        <v>2310726</v>
      </c>
      <c r="B293" s="9" t="s">
        <v>13284</v>
      </c>
      <c r="C293" s="9" t="s">
        <v>13284</v>
      </c>
      <c r="D293" s="9" t="s">
        <v>13284</v>
      </c>
      <c r="E293" s="9" t="s">
        <v>13284</v>
      </c>
      <c r="F293" s="9" t="s">
        <v>13284</v>
      </c>
      <c r="G293" s="9" t="s">
        <v>13284</v>
      </c>
      <c r="H293" s="9" t="s">
        <v>13284</v>
      </c>
      <c r="I293" s="9" t="s">
        <v>13284</v>
      </c>
      <c r="J293" s="9" t="s">
        <v>13284</v>
      </c>
      <c r="K293" s="9" t="s">
        <v>13284</v>
      </c>
      <c r="L293" s="9" t="s">
        <v>13284</v>
      </c>
      <c r="M293" s="9" t="s">
        <v>13284</v>
      </c>
      <c r="N293" s="9" t="s">
        <v>13284</v>
      </c>
      <c r="O293" s="9" t="s">
        <v>13284</v>
      </c>
      <c r="P293" s="9" t="s">
        <v>13284</v>
      </c>
      <c r="Q293" s="9" t="s">
        <v>13284</v>
      </c>
      <c r="R293" s="9" t="s">
        <v>13284</v>
      </c>
      <c r="S293" s="9" t="s">
        <v>13284</v>
      </c>
      <c r="T293" s="9" t="str">
        <f ca="1">IFERROR(IF(AND(VLOOKUP(A293, 'Актуальное состояние (из общего'!A:C,3,0) = "", A293 &lt;&gt; ""), "ПРОВЕРИТЬ", VLOOKUP(A293, 'Актуальное состояние (из общего'!A:C,3,0)), "")</f>
        <v>Студент</v>
      </c>
      <c r="U293" s="9" t="s">
        <v>13284</v>
      </c>
      <c r="V293" s="9" t="s">
        <v>13284</v>
      </c>
      <c r="W293" s="9" t="s">
        <v>64</v>
      </c>
      <c r="X293" s="9" t="str">
        <f t="array" ref="X293">IFERROR(INDEX('Адреса общежитий (скрытый)'!$B$2:$B$9, MATCH(W293, 'Адреса общежитий (скрытый)'!$A$2:$A$9, 0)), "")</f>
        <v>проспект 60-летия Октября, д.11</v>
      </c>
      <c r="Y293" s="18"/>
      <c r="Z293" s="18"/>
      <c r="AA293" s="18"/>
      <c r="AB293" s="18"/>
      <c r="AC293" s="18"/>
    </row>
    <row r="294" spans="1:29" ht="32.25" customHeight="1">
      <c r="A294" s="8">
        <v>2305867</v>
      </c>
      <c r="B294" s="9" t="s">
        <v>13284</v>
      </c>
      <c r="C294" s="9" t="s">
        <v>13284</v>
      </c>
      <c r="D294" s="9" t="s">
        <v>13284</v>
      </c>
      <c r="E294" s="9" t="s">
        <v>13284</v>
      </c>
      <c r="F294" s="9" t="s">
        <v>13284</v>
      </c>
      <c r="G294" s="9" t="s">
        <v>13284</v>
      </c>
      <c r="H294" s="9" t="s">
        <v>13284</v>
      </c>
      <c r="I294" s="9" t="s">
        <v>13284</v>
      </c>
      <c r="J294" s="9" t="s">
        <v>13284</v>
      </c>
      <c r="K294" s="9" t="s">
        <v>13284</v>
      </c>
      <c r="L294" s="9" t="s">
        <v>13284</v>
      </c>
      <c r="M294" s="9" t="s">
        <v>13284</v>
      </c>
      <c r="N294" s="9" t="s">
        <v>13284</v>
      </c>
      <c r="O294" s="9" t="s">
        <v>13284</v>
      </c>
      <c r="P294" s="9" t="s">
        <v>13284</v>
      </c>
      <c r="Q294" s="9" t="s">
        <v>13284</v>
      </c>
      <c r="R294" s="9" t="s">
        <v>13284</v>
      </c>
      <c r="S294" s="9" t="s">
        <v>13284</v>
      </c>
      <c r="T294" s="9" t="str">
        <f ca="1">IFERROR(IF(AND(VLOOKUP(A294, 'Актуальное состояние (из общего'!A:C,3,0) = "", A294 &lt;&gt; ""), "ПРОВЕРИТЬ", VLOOKUP(A294, 'Актуальное состояние (из общего'!A:C,3,0)), "")</f>
        <v>Студент</v>
      </c>
      <c r="U294" s="9" t="s">
        <v>13284</v>
      </c>
      <c r="V294" s="9" t="s">
        <v>13284</v>
      </c>
      <c r="W294" s="9" t="s">
        <v>64</v>
      </c>
      <c r="X294" s="9" t="str">
        <f t="array" ref="X294">IFERROR(INDEX('Адреса общежитий (скрытый)'!$B$2:$B$9, MATCH(W294, 'Адреса общежитий (скрытый)'!$A$2:$A$9, 0)), "")</f>
        <v>проспект 60-летия Октября, д.11</v>
      </c>
      <c r="Y294" s="18"/>
      <c r="Z294" s="18"/>
      <c r="AA294" s="18"/>
      <c r="AB294" s="18"/>
      <c r="AC294" s="18"/>
    </row>
    <row r="295" spans="1:29" ht="32.25" customHeight="1">
      <c r="A295" s="8">
        <v>2301633</v>
      </c>
      <c r="B295" s="9" t="s">
        <v>13284</v>
      </c>
      <c r="C295" s="9" t="s">
        <v>13284</v>
      </c>
      <c r="D295" s="9" t="s">
        <v>13284</v>
      </c>
      <c r="E295" s="9" t="s">
        <v>13284</v>
      </c>
      <c r="F295" s="9" t="s">
        <v>13284</v>
      </c>
      <c r="G295" s="9" t="s">
        <v>13284</v>
      </c>
      <c r="H295" s="9" t="s">
        <v>13284</v>
      </c>
      <c r="I295" s="9" t="s">
        <v>13284</v>
      </c>
      <c r="J295" s="9" t="s">
        <v>13284</v>
      </c>
      <c r="K295" s="9" t="s">
        <v>13284</v>
      </c>
      <c r="L295" s="9" t="s">
        <v>13284</v>
      </c>
      <c r="M295" s="9" t="s">
        <v>13284</v>
      </c>
      <c r="N295" s="9" t="s">
        <v>13284</v>
      </c>
      <c r="O295" s="9" t="s">
        <v>13284</v>
      </c>
      <c r="P295" s="9" t="s">
        <v>13284</v>
      </c>
      <c r="Q295" s="9" t="s">
        <v>13284</v>
      </c>
      <c r="R295" s="9" t="s">
        <v>13284</v>
      </c>
      <c r="S295" s="9" t="s">
        <v>13284</v>
      </c>
      <c r="T295" s="9" t="str">
        <f ca="1">IFERROR(IF(AND(VLOOKUP(A295, 'Актуальное состояние (из общего'!A:C,3,0) = "", A295 &lt;&gt; ""), "ПРОВЕРИТЬ", VLOOKUP(A295, 'Актуальное состояние (из общего'!A:C,3,0)), "")</f>
        <v>Студент</v>
      </c>
      <c r="U295" s="9" t="s">
        <v>13284</v>
      </c>
      <c r="V295" s="9" t="s">
        <v>13284</v>
      </c>
      <c r="W295" s="9" t="s">
        <v>64</v>
      </c>
      <c r="X295" s="9" t="str">
        <f t="array" ref="X295">IFERROR(INDEX('Адреса общежитий (скрытый)'!$B$2:$B$9, MATCH(W295, 'Адреса общежитий (скрытый)'!$A$2:$A$9, 0)), "")</f>
        <v>проспект 60-летия Октября, д.11</v>
      </c>
      <c r="Y295" s="18"/>
      <c r="Z295" s="18"/>
      <c r="AA295" s="18"/>
      <c r="AB295" s="18"/>
      <c r="AC295" s="18"/>
    </row>
    <row r="296" spans="1:29" ht="32.25" customHeight="1">
      <c r="A296" s="8">
        <v>2307918</v>
      </c>
      <c r="B296" s="9" t="s">
        <v>13284</v>
      </c>
      <c r="C296" s="9" t="s">
        <v>13284</v>
      </c>
      <c r="D296" s="9" t="s">
        <v>13284</v>
      </c>
      <c r="E296" s="9" t="s">
        <v>13284</v>
      </c>
      <c r="F296" s="9" t="s">
        <v>13284</v>
      </c>
      <c r="G296" s="9" t="s">
        <v>13284</v>
      </c>
      <c r="H296" s="9" t="s">
        <v>13284</v>
      </c>
      <c r="I296" s="9" t="s">
        <v>13284</v>
      </c>
      <c r="J296" s="9" t="s">
        <v>13284</v>
      </c>
      <c r="K296" s="9" t="s">
        <v>13284</v>
      </c>
      <c r="L296" s="9" t="s">
        <v>13284</v>
      </c>
      <c r="M296" s="9" t="s">
        <v>13284</v>
      </c>
      <c r="N296" s="9" t="s">
        <v>13284</v>
      </c>
      <c r="O296" s="9" t="s">
        <v>13284</v>
      </c>
      <c r="P296" s="9" t="s">
        <v>13284</v>
      </c>
      <c r="Q296" s="9" t="s">
        <v>13284</v>
      </c>
      <c r="R296" s="9" t="s">
        <v>13284</v>
      </c>
      <c r="S296" s="9" t="s">
        <v>13284</v>
      </c>
      <c r="T296" s="9" t="str">
        <f ca="1">IFERROR(IF(AND(VLOOKUP(A296, 'Актуальное состояние (из общего'!A:C,3,0) = "", A296 &lt;&gt; ""), "ПРОВЕРИТЬ", VLOOKUP(A296, 'Актуальное состояние (из общего'!A:C,3,0)), "")</f>
        <v>Студент</v>
      </c>
      <c r="U296" s="9" t="s">
        <v>13284</v>
      </c>
      <c r="V296" s="9" t="s">
        <v>13284</v>
      </c>
      <c r="W296" s="9" t="s">
        <v>319</v>
      </c>
      <c r="X296" s="9" t="str">
        <f t="array" ref="X296">IFERROR(INDEX('Адреса общежитий (скрытый)'!$B$2:$B$9, MATCH(W296, 'Адреса общежитий (скрытый)'!$A$2:$A$9, 0)), "")</f>
        <v>ул. Профсоюзная, д.83, корп. 2</v>
      </c>
      <c r="Y296" s="18"/>
      <c r="Z296" s="18"/>
      <c r="AA296" s="18"/>
      <c r="AB296" s="18"/>
      <c r="AC296" s="18"/>
    </row>
    <row r="297" spans="1:29" ht="32.25" customHeight="1">
      <c r="A297" s="8">
        <v>2313932</v>
      </c>
      <c r="B297" s="9" t="s">
        <v>13284</v>
      </c>
      <c r="C297" s="9" t="s">
        <v>13284</v>
      </c>
      <c r="D297" s="9" t="s">
        <v>13284</v>
      </c>
      <c r="E297" s="9" t="s">
        <v>13284</v>
      </c>
      <c r="F297" s="9" t="s">
        <v>13284</v>
      </c>
      <c r="G297" s="9" t="s">
        <v>13284</v>
      </c>
      <c r="H297" s="9" t="s">
        <v>13284</v>
      </c>
      <c r="I297" s="9" t="s">
        <v>13284</v>
      </c>
      <c r="J297" s="9" t="s">
        <v>13284</v>
      </c>
      <c r="K297" s="9" t="s">
        <v>13284</v>
      </c>
      <c r="L297" s="9" t="s">
        <v>13284</v>
      </c>
      <c r="M297" s="9" t="s">
        <v>13284</v>
      </c>
      <c r="N297" s="9" t="s">
        <v>13284</v>
      </c>
      <c r="O297" s="9" t="s">
        <v>13284</v>
      </c>
      <c r="P297" s="9" t="s">
        <v>13284</v>
      </c>
      <c r="Q297" s="9" t="s">
        <v>13284</v>
      </c>
      <c r="R297" s="9" t="s">
        <v>13284</v>
      </c>
      <c r="S297" s="9" t="s">
        <v>13284</v>
      </c>
      <c r="T297" s="9" t="str">
        <f ca="1">IFERROR(IF(AND(VLOOKUP(A297, 'Актуальное состояние (из общего'!A:C,3,0) = "", A297 &lt;&gt; ""), "ПРОВЕРИТЬ", VLOOKUP(A297, 'Актуальное состояние (из общего'!A:C,3,0)), "")</f>
        <v>Студент</v>
      </c>
      <c r="U297" s="9" t="s">
        <v>13284</v>
      </c>
      <c r="V297" s="9" t="s">
        <v>13284</v>
      </c>
      <c r="W297" s="9" t="s">
        <v>64</v>
      </c>
      <c r="X297" s="9" t="str">
        <f t="array" ref="X297">IFERROR(INDEX('Адреса общежитий (скрытый)'!$B$2:$B$9, MATCH(W297, 'Адреса общежитий (скрытый)'!$A$2:$A$9, 0)), "")</f>
        <v>проспект 60-летия Октября, д.11</v>
      </c>
      <c r="Y297" s="18"/>
      <c r="Z297" s="18"/>
      <c r="AA297" s="18"/>
      <c r="AB297" s="18"/>
      <c r="AC297" s="18"/>
    </row>
    <row r="298" spans="1:29" ht="32.25" hidden="1" customHeight="1">
      <c r="A298" s="8">
        <v>2307406</v>
      </c>
      <c r="B298" s="9" t="s">
        <v>13284</v>
      </c>
      <c r="C298" s="9" t="s">
        <v>13284</v>
      </c>
      <c r="D298" s="9" t="s">
        <v>13284</v>
      </c>
      <c r="E298" s="9" t="s">
        <v>13284</v>
      </c>
      <c r="F298" s="9" t="s">
        <v>13284</v>
      </c>
      <c r="G298" s="9" t="s">
        <v>13284</v>
      </c>
      <c r="H298" s="9" t="s">
        <v>13284</v>
      </c>
      <c r="I298" s="9" t="s">
        <v>13284</v>
      </c>
      <c r="J298" s="9" t="s">
        <v>13284</v>
      </c>
      <c r="K298" s="9" t="s">
        <v>13284</v>
      </c>
      <c r="L298" s="9" t="s">
        <v>13284</v>
      </c>
      <c r="M298" s="9" t="s">
        <v>13284</v>
      </c>
      <c r="N298" s="9" t="s">
        <v>13284</v>
      </c>
      <c r="O298" s="9" t="s">
        <v>13284</v>
      </c>
      <c r="P298" s="9" t="s">
        <v>13284</v>
      </c>
      <c r="Q298" s="9" t="s">
        <v>13284</v>
      </c>
      <c r="R298" s="9" t="s">
        <v>13284</v>
      </c>
      <c r="S298" s="9" t="s">
        <v>13284</v>
      </c>
      <c r="T298" s="9" t="str">
        <f ca="1">IFERROR(IF(AND(VLOOKUP(A298, 'Актуальное состояние (из общего'!A:C,3,0) = "", A298 &lt;&gt; ""), "ПРОВЕРИТЬ", VLOOKUP(A298, 'Актуальное состояние (из общего'!A:C,3,0)), "")</f>
        <v>Студент</v>
      </c>
      <c r="U298" s="9" t="s">
        <v>13284</v>
      </c>
      <c r="V298" s="9" t="s">
        <v>13284</v>
      </c>
      <c r="W298" s="12"/>
      <c r="X298" s="9" t="str">
        <f t="array" ref="X298">IFERROR(INDEX('Адреса общежитий (скрытый)'!$B$2:$B$9, MATCH(W298, 'Адреса общежитий (скрытый)'!$A$2:$A$9, 0)), "")</f>
        <v/>
      </c>
      <c r="Y298" s="18"/>
      <c r="Z298" s="18"/>
      <c r="AA298" s="18"/>
      <c r="AB298" s="18"/>
      <c r="AC298" s="18"/>
    </row>
    <row r="299" spans="1:29" ht="32.25" customHeight="1">
      <c r="A299" s="8">
        <v>2302303</v>
      </c>
      <c r="B299" s="9" t="s">
        <v>13284</v>
      </c>
      <c r="C299" s="9" t="s">
        <v>13284</v>
      </c>
      <c r="D299" s="9" t="s">
        <v>13284</v>
      </c>
      <c r="E299" s="9" t="s">
        <v>13284</v>
      </c>
      <c r="F299" s="9" t="s">
        <v>13284</v>
      </c>
      <c r="G299" s="9" t="s">
        <v>13284</v>
      </c>
      <c r="H299" s="9" t="s">
        <v>13284</v>
      </c>
      <c r="I299" s="9" t="s">
        <v>13284</v>
      </c>
      <c r="J299" s="9" t="s">
        <v>13284</v>
      </c>
      <c r="K299" s="9" t="s">
        <v>13284</v>
      </c>
      <c r="L299" s="9" t="s">
        <v>13284</v>
      </c>
      <c r="M299" s="9" t="s">
        <v>13284</v>
      </c>
      <c r="N299" s="9" t="s">
        <v>13284</v>
      </c>
      <c r="O299" s="9" t="s">
        <v>13284</v>
      </c>
      <c r="P299" s="9" t="s">
        <v>13284</v>
      </c>
      <c r="Q299" s="9" t="s">
        <v>13284</v>
      </c>
      <c r="R299" s="9" t="s">
        <v>13284</v>
      </c>
      <c r="S299" s="9" t="s">
        <v>13284</v>
      </c>
      <c r="T299" s="9" t="str">
        <f ca="1">IFERROR(IF(AND(VLOOKUP(A299, 'Актуальное состояние (из общего'!A:C,3,0) = "", A299 &lt;&gt; ""), "ПРОВЕРИТЬ", VLOOKUP(A299, 'Актуальное состояние (из общего'!A:C,3,0)), "")</f>
        <v>Студент</v>
      </c>
      <c r="U299" s="9" t="s">
        <v>13284</v>
      </c>
      <c r="V299" s="9" t="s">
        <v>13284</v>
      </c>
      <c r="W299" s="12"/>
      <c r="X299" s="9" t="str">
        <f t="array" ref="X299">IFERROR(INDEX('Адреса общежитий (скрытый)'!$B$2:$B$9, MATCH(W299, 'Адреса общежитий (скрытый)'!$A$2:$A$9, 0)), "")</f>
        <v/>
      </c>
      <c r="Y299" s="18"/>
      <c r="Z299" s="18"/>
      <c r="AA299" s="18"/>
      <c r="AB299" s="18"/>
      <c r="AC299" s="18"/>
    </row>
    <row r="300" spans="1:29" ht="32.25" customHeight="1">
      <c r="A300" s="8">
        <v>2308148</v>
      </c>
      <c r="B300" s="9" t="s">
        <v>13284</v>
      </c>
      <c r="C300" s="9" t="s">
        <v>13284</v>
      </c>
      <c r="D300" s="9" t="s">
        <v>13284</v>
      </c>
      <c r="E300" s="9" t="s">
        <v>13284</v>
      </c>
      <c r="F300" s="9" t="s">
        <v>13284</v>
      </c>
      <c r="G300" s="9" t="s">
        <v>13284</v>
      </c>
      <c r="H300" s="9" t="s">
        <v>13284</v>
      </c>
      <c r="I300" s="9" t="s">
        <v>13284</v>
      </c>
      <c r="J300" s="9" t="s">
        <v>13284</v>
      </c>
      <c r="K300" s="9" t="s">
        <v>13284</v>
      </c>
      <c r="L300" s="9" t="s">
        <v>13284</v>
      </c>
      <c r="M300" s="9" t="s">
        <v>13284</v>
      </c>
      <c r="N300" s="9" t="s">
        <v>13284</v>
      </c>
      <c r="O300" s="9" t="s">
        <v>13284</v>
      </c>
      <c r="P300" s="9" t="s">
        <v>13284</v>
      </c>
      <c r="Q300" s="9" t="s">
        <v>13284</v>
      </c>
      <c r="R300" s="9" t="s">
        <v>13284</v>
      </c>
      <c r="S300" s="9" t="s">
        <v>13284</v>
      </c>
      <c r="T300" s="9" t="str">
        <f ca="1">IFERROR(IF(AND(VLOOKUP(A300, 'Актуальное состояние (из общего'!A:C,3,0) = "", A300 &lt;&gt; ""), "ПРОВЕРИТЬ", VLOOKUP(A300, 'Актуальное состояние (из общего'!A:C,3,0)), "")</f>
        <v>Студент</v>
      </c>
      <c r="U300" s="9" t="s">
        <v>13284</v>
      </c>
      <c r="V300" s="9" t="s">
        <v>13284</v>
      </c>
      <c r="W300" s="9" t="s">
        <v>64</v>
      </c>
      <c r="X300" s="9" t="str">
        <f t="array" ref="X300">IFERROR(INDEX('Адреса общежитий (скрытый)'!$B$2:$B$9, MATCH(W300, 'Адреса общежитий (скрытый)'!$A$2:$A$9, 0)), "")</f>
        <v>проспект 60-летия Октября, д.11</v>
      </c>
      <c r="Y300" s="18"/>
      <c r="Z300" s="18"/>
      <c r="AA300" s="18"/>
      <c r="AB300" s="18"/>
      <c r="AC300" s="18"/>
    </row>
    <row r="301" spans="1:29" ht="32.25" customHeight="1">
      <c r="A301" s="8">
        <v>2306852</v>
      </c>
      <c r="B301" s="9" t="s">
        <v>13284</v>
      </c>
      <c r="C301" s="9" t="s">
        <v>13284</v>
      </c>
      <c r="D301" s="9" t="s">
        <v>13284</v>
      </c>
      <c r="E301" s="9" t="s">
        <v>13284</v>
      </c>
      <c r="F301" s="9" t="s">
        <v>13284</v>
      </c>
      <c r="G301" s="9" t="s">
        <v>13284</v>
      </c>
      <c r="H301" s="9" t="s">
        <v>13284</v>
      </c>
      <c r="I301" s="9" t="s">
        <v>13284</v>
      </c>
      <c r="J301" s="9" t="s">
        <v>13284</v>
      </c>
      <c r="K301" s="9" t="s">
        <v>13284</v>
      </c>
      <c r="L301" s="9" t="s">
        <v>13284</v>
      </c>
      <c r="M301" s="9" t="s">
        <v>13284</v>
      </c>
      <c r="N301" s="9" t="s">
        <v>13284</v>
      </c>
      <c r="O301" s="9" t="s">
        <v>13284</v>
      </c>
      <c r="P301" s="9" t="s">
        <v>13284</v>
      </c>
      <c r="Q301" s="9" t="s">
        <v>13284</v>
      </c>
      <c r="R301" s="9" t="s">
        <v>13284</v>
      </c>
      <c r="S301" s="9" t="s">
        <v>13284</v>
      </c>
      <c r="T301" s="9" t="str">
        <f ca="1">IFERROR(IF(AND(VLOOKUP(A301, 'Актуальное состояние (из общего'!A:C,3,0) = "", A301 &lt;&gt; ""), "ПРОВЕРИТЬ", VLOOKUP(A301, 'Актуальное состояние (из общего'!A:C,3,0)), "")</f>
        <v>Студент</v>
      </c>
      <c r="U301" s="9" t="s">
        <v>13284</v>
      </c>
      <c r="V301" s="9" t="s">
        <v>13284</v>
      </c>
      <c r="W301" s="9" t="s">
        <v>64</v>
      </c>
      <c r="X301" s="9" t="str">
        <f t="array" ref="X301">IFERROR(INDEX('Адреса общежитий (скрытый)'!$B$2:$B$9, MATCH(W301, 'Адреса общежитий (скрытый)'!$A$2:$A$9, 0)), "")</f>
        <v>проспект 60-летия Октября, д.11</v>
      </c>
      <c r="Y301" s="18"/>
      <c r="Z301" s="18"/>
      <c r="AA301" s="18"/>
      <c r="AB301" s="18"/>
      <c r="AC301" s="18"/>
    </row>
    <row r="302" spans="1:29" ht="32.25" customHeight="1">
      <c r="A302" s="8">
        <v>2303605</v>
      </c>
      <c r="B302" s="9" t="s">
        <v>13284</v>
      </c>
      <c r="C302" s="9" t="s">
        <v>13284</v>
      </c>
      <c r="D302" s="9" t="s">
        <v>13284</v>
      </c>
      <c r="E302" s="9" t="s">
        <v>13284</v>
      </c>
      <c r="F302" s="9" t="s">
        <v>13284</v>
      </c>
      <c r="G302" s="9" t="s">
        <v>13284</v>
      </c>
      <c r="H302" s="9" t="s">
        <v>13284</v>
      </c>
      <c r="I302" s="9" t="s">
        <v>13284</v>
      </c>
      <c r="J302" s="9" t="s">
        <v>13284</v>
      </c>
      <c r="K302" s="9" t="s">
        <v>13284</v>
      </c>
      <c r="L302" s="9" t="s">
        <v>13284</v>
      </c>
      <c r="M302" s="9" t="s">
        <v>13284</v>
      </c>
      <c r="N302" s="9" t="s">
        <v>13284</v>
      </c>
      <c r="O302" s="9" t="s">
        <v>13284</v>
      </c>
      <c r="P302" s="9" t="s">
        <v>13284</v>
      </c>
      <c r="Q302" s="9" t="s">
        <v>13284</v>
      </c>
      <c r="R302" s="9" t="s">
        <v>13284</v>
      </c>
      <c r="S302" s="9" t="s">
        <v>13284</v>
      </c>
      <c r="T302" s="9" t="str">
        <f ca="1">IFERROR(IF(AND(VLOOKUP(A302, 'Актуальное состояние (из общего'!A:C,3,0) = "", A302 &lt;&gt; ""), "ПРОВЕРИТЬ", VLOOKUP(A302, 'Актуальное состояние (из общего'!A:C,3,0)), "")</f>
        <v>Студент</v>
      </c>
      <c r="U302" s="9" t="s">
        <v>13284</v>
      </c>
      <c r="V302" s="9" t="s">
        <v>13284</v>
      </c>
      <c r="W302" s="12"/>
      <c r="X302" s="9" t="str">
        <f t="array" ref="X302">IFERROR(INDEX('Адреса общежитий (скрытый)'!$B$2:$B$9, MATCH(W302, 'Адреса общежитий (скрытый)'!$A$2:$A$9, 0)), "")</f>
        <v/>
      </c>
      <c r="Y302" s="18"/>
      <c r="Z302" s="18"/>
      <c r="AA302" s="18"/>
      <c r="AB302" s="18"/>
      <c r="AC302" s="18"/>
    </row>
    <row r="303" spans="1:29" ht="32.25" hidden="1" customHeight="1">
      <c r="A303" s="8">
        <v>2307260</v>
      </c>
      <c r="B303" s="9" t="s">
        <v>13284</v>
      </c>
      <c r="C303" s="9" t="s">
        <v>13284</v>
      </c>
      <c r="D303" s="9" t="s">
        <v>13284</v>
      </c>
      <c r="E303" s="9" t="s">
        <v>13284</v>
      </c>
      <c r="F303" s="9" t="s">
        <v>13284</v>
      </c>
      <c r="G303" s="9" t="s">
        <v>13284</v>
      </c>
      <c r="H303" s="9" t="s">
        <v>13284</v>
      </c>
      <c r="I303" s="9" t="s">
        <v>13284</v>
      </c>
      <c r="J303" s="9" t="s">
        <v>13284</v>
      </c>
      <c r="K303" s="9" t="s">
        <v>13284</v>
      </c>
      <c r="L303" s="9" t="s">
        <v>13284</v>
      </c>
      <c r="M303" s="9" t="s">
        <v>13284</v>
      </c>
      <c r="N303" s="9" t="s">
        <v>13284</v>
      </c>
      <c r="O303" s="9" t="s">
        <v>13284</v>
      </c>
      <c r="P303" s="9" t="s">
        <v>13284</v>
      </c>
      <c r="Q303" s="9" t="s">
        <v>13284</v>
      </c>
      <c r="R303" s="9" t="s">
        <v>13284</v>
      </c>
      <c r="S303" s="9" t="s">
        <v>13284</v>
      </c>
      <c r="T303" s="9" t="str">
        <f ca="1">IFERROR(IF(AND(VLOOKUP(A303, 'Актуальное состояние (из общего'!A:C,3,0) = "", A303 &lt;&gt; ""), "ПРОВЕРИТЬ", VLOOKUP(A303, 'Актуальное состояние (из общего'!A:C,3,0)), "")</f>
        <v>Студент</v>
      </c>
      <c r="U303" s="9" t="s">
        <v>13284</v>
      </c>
      <c r="V303" s="9" t="s">
        <v>13284</v>
      </c>
      <c r="W303" s="12"/>
      <c r="X303" s="9" t="str">
        <f t="array" ref="X303">IFERROR(INDEX('Адреса общежитий (скрытый)'!$B$2:$B$9, MATCH(W303, 'Адреса общежитий (скрытый)'!$A$2:$A$9, 0)), "")</f>
        <v/>
      </c>
      <c r="Y303" s="18"/>
      <c r="Z303" s="18"/>
      <c r="AA303" s="18"/>
      <c r="AB303" s="18"/>
      <c r="AC303" s="18"/>
    </row>
    <row r="304" spans="1:29" ht="32.25" customHeight="1">
      <c r="A304" s="8">
        <v>2300747</v>
      </c>
      <c r="B304" s="9" t="s">
        <v>13284</v>
      </c>
      <c r="C304" s="9" t="s">
        <v>13284</v>
      </c>
      <c r="D304" s="9" t="s">
        <v>13284</v>
      </c>
      <c r="E304" s="9" t="s">
        <v>13284</v>
      </c>
      <c r="F304" s="9" t="s">
        <v>13284</v>
      </c>
      <c r="G304" s="9" t="s">
        <v>13284</v>
      </c>
      <c r="H304" s="9" t="s">
        <v>13284</v>
      </c>
      <c r="I304" s="9" t="s">
        <v>13284</v>
      </c>
      <c r="J304" s="9" t="s">
        <v>13284</v>
      </c>
      <c r="K304" s="9" t="s">
        <v>13284</v>
      </c>
      <c r="L304" s="9" t="s">
        <v>13284</v>
      </c>
      <c r="M304" s="9" t="s">
        <v>13284</v>
      </c>
      <c r="N304" s="9" t="s">
        <v>13284</v>
      </c>
      <c r="O304" s="9" t="s">
        <v>13284</v>
      </c>
      <c r="P304" s="9" t="s">
        <v>13284</v>
      </c>
      <c r="Q304" s="9" t="s">
        <v>13284</v>
      </c>
      <c r="R304" s="9" t="s">
        <v>13284</v>
      </c>
      <c r="S304" s="9" t="s">
        <v>13284</v>
      </c>
      <c r="T304" s="9" t="str">
        <f ca="1">IFERROR(IF(AND(VLOOKUP(A304, 'Актуальное состояние (из общего'!A:C,3,0) = "", A304 &lt;&gt; ""), "ПРОВЕРИТЬ", VLOOKUP(A304, 'Актуальное состояние (из общего'!A:C,3,0)), "")</f>
        <v>Студент</v>
      </c>
      <c r="U304" s="9" t="s">
        <v>13284</v>
      </c>
      <c r="V304" s="9" t="s">
        <v>13284</v>
      </c>
      <c r="W304" s="9" t="s">
        <v>64</v>
      </c>
      <c r="X304" s="9" t="str">
        <f t="array" ref="X304">IFERROR(INDEX('Адреса общежитий (скрытый)'!$B$2:$B$9, MATCH(W304, 'Адреса общежитий (скрытый)'!$A$2:$A$9, 0)), "")</f>
        <v>проспект 60-летия Октября, д.11</v>
      </c>
      <c r="Y304" s="18"/>
      <c r="Z304" s="18"/>
      <c r="AA304" s="18"/>
      <c r="AB304" s="18"/>
      <c r="AC304" s="18"/>
    </row>
    <row r="305" spans="1:29" ht="32.25" customHeight="1">
      <c r="A305" s="8">
        <v>2313002</v>
      </c>
      <c r="B305" s="9" t="s">
        <v>13284</v>
      </c>
      <c r="C305" s="9" t="s">
        <v>13284</v>
      </c>
      <c r="D305" s="9" t="s">
        <v>13284</v>
      </c>
      <c r="E305" s="9" t="s">
        <v>13284</v>
      </c>
      <c r="F305" s="9" t="s">
        <v>13284</v>
      </c>
      <c r="G305" s="9" t="s">
        <v>13284</v>
      </c>
      <c r="H305" s="9" t="s">
        <v>13284</v>
      </c>
      <c r="I305" s="9" t="s">
        <v>13284</v>
      </c>
      <c r="J305" s="9" t="s">
        <v>13284</v>
      </c>
      <c r="K305" s="9" t="s">
        <v>13284</v>
      </c>
      <c r="L305" s="9" t="s">
        <v>13284</v>
      </c>
      <c r="M305" s="9" t="s">
        <v>13284</v>
      </c>
      <c r="N305" s="9" t="s">
        <v>13284</v>
      </c>
      <c r="O305" s="9" t="s">
        <v>13284</v>
      </c>
      <c r="P305" s="9" t="s">
        <v>13284</v>
      </c>
      <c r="Q305" s="9" t="s">
        <v>13284</v>
      </c>
      <c r="R305" s="9" t="s">
        <v>13284</v>
      </c>
      <c r="S305" s="9" t="s">
        <v>13284</v>
      </c>
      <c r="T305" s="9" t="str">
        <f ca="1">IFERROR(IF(AND(VLOOKUP(A305, 'Актуальное состояние (из общего'!A:C,3,0) = "", A305 &lt;&gt; ""), "ПРОВЕРИТЬ", VLOOKUP(A305, 'Актуальное состояние (из общего'!A:C,3,0)), "")</f>
        <v>Студент</v>
      </c>
      <c r="U305" s="9" t="s">
        <v>13284</v>
      </c>
      <c r="V305" s="9" t="s">
        <v>13284</v>
      </c>
      <c r="W305" s="9" t="s">
        <v>64</v>
      </c>
      <c r="X305" s="9" t="str">
        <f t="array" ref="X305">IFERROR(INDEX('Адреса общежитий (скрытый)'!$B$2:$B$9, MATCH(W305, 'Адреса общежитий (скрытый)'!$A$2:$A$9, 0)), "")</f>
        <v>проспект 60-летия Октября, д.11</v>
      </c>
      <c r="Y305" s="18"/>
      <c r="Z305" s="18"/>
      <c r="AA305" s="18"/>
      <c r="AB305" s="18"/>
      <c r="AC305" s="18"/>
    </row>
    <row r="306" spans="1:29" ht="32.25" hidden="1" customHeight="1">
      <c r="A306" s="8">
        <v>2312189</v>
      </c>
      <c r="B306" s="9" t="s">
        <v>13284</v>
      </c>
      <c r="C306" s="9" t="s">
        <v>13284</v>
      </c>
      <c r="D306" s="9" t="s">
        <v>13284</v>
      </c>
      <c r="E306" s="9" t="s">
        <v>13284</v>
      </c>
      <c r="F306" s="9" t="s">
        <v>13284</v>
      </c>
      <c r="G306" s="9" t="s">
        <v>13284</v>
      </c>
      <c r="H306" s="9" t="s">
        <v>13284</v>
      </c>
      <c r="I306" s="9" t="s">
        <v>13284</v>
      </c>
      <c r="J306" s="9" t="s">
        <v>13284</v>
      </c>
      <c r="K306" s="9" t="s">
        <v>13284</v>
      </c>
      <c r="L306" s="9" t="s">
        <v>13284</v>
      </c>
      <c r="M306" s="9" t="s">
        <v>13284</v>
      </c>
      <c r="N306" s="9" t="s">
        <v>13284</v>
      </c>
      <c r="O306" s="9" t="s">
        <v>13284</v>
      </c>
      <c r="P306" s="9" t="s">
        <v>13284</v>
      </c>
      <c r="Q306" s="9" t="s">
        <v>13284</v>
      </c>
      <c r="R306" s="9" t="s">
        <v>13284</v>
      </c>
      <c r="S306" s="9" t="s">
        <v>13284</v>
      </c>
      <c r="T306" s="9" t="str">
        <f ca="1">IFERROR(IF(AND(VLOOKUP(A306, 'Актуальное состояние (из общего'!A:C,3,0) = "", A306 &lt;&gt; ""), "ПРОВЕРИТЬ", VLOOKUP(A306, 'Актуальное состояние (из общего'!A:C,3,0)), "")</f>
        <v>Студент</v>
      </c>
      <c r="U306" s="9" t="s">
        <v>13284</v>
      </c>
      <c r="V306" s="9" t="s">
        <v>13284</v>
      </c>
      <c r="W306" s="12"/>
      <c r="X306" s="9" t="str">
        <f t="array" ref="X306">IFERROR(INDEX('Адреса общежитий (скрытый)'!$B$2:$B$9, MATCH(W306, 'Адреса общежитий (скрытый)'!$A$2:$A$9, 0)), "")</f>
        <v/>
      </c>
      <c r="Y306" s="18"/>
      <c r="Z306" s="18"/>
      <c r="AA306" s="18"/>
      <c r="AB306" s="18"/>
      <c r="AC306" s="18"/>
    </row>
    <row r="307" spans="1:29" ht="32.25" customHeight="1">
      <c r="A307" s="8">
        <v>2303172</v>
      </c>
      <c r="B307" s="9" t="s">
        <v>13284</v>
      </c>
      <c r="C307" s="9" t="s">
        <v>13284</v>
      </c>
      <c r="D307" s="9" t="s">
        <v>13284</v>
      </c>
      <c r="E307" s="9" t="s">
        <v>13284</v>
      </c>
      <c r="F307" s="9" t="s">
        <v>13284</v>
      </c>
      <c r="G307" s="9" t="s">
        <v>13284</v>
      </c>
      <c r="H307" s="9" t="s">
        <v>13284</v>
      </c>
      <c r="I307" s="9" t="s">
        <v>13284</v>
      </c>
      <c r="J307" s="9" t="s">
        <v>13284</v>
      </c>
      <c r="K307" s="9" t="s">
        <v>13284</v>
      </c>
      <c r="L307" s="9" t="s">
        <v>13284</v>
      </c>
      <c r="M307" s="9" t="s">
        <v>13284</v>
      </c>
      <c r="N307" s="9" t="s">
        <v>13284</v>
      </c>
      <c r="O307" s="9" t="s">
        <v>13284</v>
      </c>
      <c r="P307" s="9" t="s">
        <v>13284</v>
      </c>
      <c r="Q307" s="9" t="s">
        <v>13284</v>
      </c>
      <c r="R307" s="9" t="s">
        <v>13284</v>
      </c>
      <c r="S307" s="9" t="s">
        <v>13284</v>
      </c>
      <c r="T307" s="9" t="str">
        <f ca="1">IFERROR(IF(AND(VLOOKUP(A307, 'Актуальное состояние (из общего'!A:C,3,0) = "", A307 &lt;&gt; ""), "ПРОВЕРИТЬ", VLOOKUP(A307, 'Актуальное состояние (из общего'!A:C,3,0)), "")</f>
        <v>Студент</v>
      </c>
      <c r="U307" s="9" t="s">
        <v>13284</v>
      </c>
      <c r="V307" s="9" t="s">
        <v>13284</v>
      </c>
      <c r="W307" s="12"/>
      <c r="X307" s="9" t="str">
        <f t="array" ref="X307">IFERROR(INDEX('Адреса общежитий (скрытый)'!$B$2:$B$9, MATCH(W307, 'Адреса общежитий (скрытый)'!$A$2:$A$9, 0)), "")</f>
        <v/>
      </c>
      <c r="Y307" s="18"/>
      <c r="Z307" s="18"/>
      <c r="AA307" s="18"/>
      <c r="AB307" s="18"/>
      <c r="AC307" s="18"/>
    </row>
    <row r="308" spans="1:29" ht="32.25" hidden="1" customHeight="1">
      <c r="A308" s="8">
        <v>2308719</v>
      </c>
      <c r="B308" s="9" t="s">
        <v>13284</v>
      </c>
      <c r="C308" s="9" t="s">
        <v>13284</v>
      </c>
      <c r="D308" s="9" t="s">
        <v>13284</v>
      </c>
      <c r="E308" s="9" t="s">
        <v>13284</v>
      </c>
      <c r="F308" s="9" t="s">
        <v>13284</v>
      </c>
      <c r="G308" s="9" t="s">
        <v>13284</v>
      </c>
      <c r="H308" s="9" t="s">
        <v>13284</v>
      </c>
      <c r="I308" s="9" t="s">
        <v>13284</v>
      </c>
      <c r="J308" s="9" t="s">
        <v>13284</v>
      </c>
      <c r="K308" s="9" t="s">
        <v>13284</v>
      </c>
      <c r="L308" s="9" t="s">
        <v>13284</v>
      </c>
      <c r="M308" s="9" t="s">
        <v>13284</v>
      </c>
      <c r="N308" s="9" t="s">
        <v>13284</v>
      </c>
      <c r="O308" s="9" t="s">
        <v>13284</v>
      </c>
      <c r="P308" s="9" t="s">
        <v>13284</v>
      </c>
      <c r="Q308" s="9" t="s">
        <v>13284</v>
      </c>
      <c r="R308" s="9" t="s">
        <v>13284</v>
      </c>
      <c r="S308" s="9" t="s">
        <v>13284</v>
      </c>
      <c r="T308" s="9" t="str">
        <f ca="1">IFERROR(IF(AND(VLOOKUP(A308, 'Актуальное состояние (из общего'!A:C,3,0) = "", A308 &lt;&gt; ""), "ПРОВЕРИТЬ", VLOOKUP(A308, 'Актуальное состояние (из общего'!A:C,3,0)), "")</f>
        <v>Студент</v>
      </c>
      <c r="U308" s="9" t="s">
        <v>13284</v>
      </c>
      <c r="V308" s="9" t="s">
        <v>13284</v>
      </c>
      <c r="W308" s="12"/>
      <c r="X308" s="9" t="str">
        <f t="array" ref="X308">IFERROR(INDEX('Адреса общежитий (скрытый)'!$B$2:$B$9, MATCH(W308, 'Адреса общежитий (скрытый)'!$A$2:$A$9, 0)), "")</f>
        <v/>
      </c>
      <c r="Y308" s="18"/>
      <c r="Z308" s="18"/>
      <c r="AA308" s="18"/>
      <c r="AB308" s="18"/>
      <c r="AC308" s="18"/>
    </row>
    <row r="309" spans="1:29" ht="32.25" customHeight="1">
      <c r="A309" s="8">
        <v>2308986</v>
      </c>
      <c r="B309" s="9" t="s">
        <v>13284</v>
      </c>
      <c r="C309" s="9" t="s">
        <v>13284</v>
      </c>
      <c r="D309" s="9" t="s">
        <v>13284</v>
      </c>
      <c r="E309" s="9" t="s">
        <v>13284</v>
      </c>
      <c r="F309" s="9" t="s">
        <v>13284</v>
      </c>
      <c r="G309" s="9" t="s">
        <v>13284</v>
      </c>
      <c r="H309" s="9" t="s">
        <v>13284</v>
      </c>
      <c r="I309" s="9" t="s">
        <v>13284</v>
      </c>
      <c r="J309" s="9" t="s">
        <v>13284</v>
      </c>
      <c r="K309" s="9" t="s">
        <v>13284</v>
      </c>
      <c r="L309" s="9" t="s">
        <v>13284</v>
      </c>
      <c r="M309" s="9" t="s">
        <v>13284</v>
      </c>
      <c r="N309" s="9" t="s">
        <v>13284</v>
      </c>
      <c r="O309" s="9" t="s">
        <v>13284</v>
      </c>
      <c r="P309" s="9" t="s">
        <v>13284</v>
      </c>
      <c r="Q309" s="9" t="s">
        <v>13284</v>
      </c>
      <c r="R309" s="9" t="s">
        <v>13284</v>
      </c>
      <c r="S309" s="9" t="s">
        <v>13284</v>
      </c>
      <c r="T309" s="9" t="str">
        <f ca="1">IFERROR(IF(AND(VLOOKUP(A309, 'Актуальное состояние (из общего'!A:C,3,0) = "", A309 &lt;&gt; ""), "ПРОВЕРИТЬ", VLOOKUP(A309, 'Актуальное состояние (из общего'!A:C,3,0)), "")</f>
        <v>Студент</v>
      </c>
      <c r="U309" s="9" t="s">
        <v>13284</v>
      </c>
      <c r="V309" s="9" t="s">
        <v>13284</v>
      </c>
      <c r="W309" s="9" t="s">
        <v>64</v>
      </c>
      <c r="X309" s="9" t="str">
        <f t="array" ref="X309">IFERROR(INDEX('Адреса общежитий (скрытый)'!$B$2:$B$9, MATCH(W309, 'Адреса общежитий (скрытый)'!$A$2:$A$9, 0)), "")</f>
        <v>проспект 60-летия Октября, д.11</v>
      </c>
      <c r="Y309" s="18"/>
      <c r="Z309" s="18"/>
      <c r="AA309" s="18"/>
      <c r="AB309" s="18"/>
      <c r="AC309" s="18"/>
    </row>
    <row r="310" spans="1:29" ht="32.25" hidden="1" customHeight="1">
      <c r="A310" s="8">
        <v>2310266</v>
      </c>
      <c r="B310" s="9" t="s">
        <v>13284</v>
      </c>
      <c r="C310" s="9" t="s">
        <v>13284</v>
      </c>
      <c r="D310" s="9" t="s">
        <v>13284</v>
      </c>
      <c r="E310" s="9" t="s">
        <v>13284</v>
      </c>
      <c r="F310" s="9" t="s">
        <v>13284</v>
      </c>
      <c r="G310" s="9" t="s">
        <v>13284</v>
      </c>
      <c r="H310" s="9" t="s">
        <v>13284</v>
      </c>
      <c r="I310" s="9" t="s">
        <v>13284</v>
      </c>
      <c r="J310" s="9" t="s">
        <v>13284</v>
      </c>
      <c r="K310" s="9" t="s">
        <v>13284</v>
      </c>
      <c r="L310" s="9" t="s">
        <v>13284</v>
      </c>
      <c r="M310" s="9" t="s">
        <v>13284</v>
      </c>
      <c r="N310" s="9" t="s">
        <v>13284</v>
      </c>
      <c r="O310" s="9" t="s">
        <v>13284</v>
      </c>
      <c r="P310" s="9" t="s">
        <v>13284</v>
      </c>
      <c r="Q310" s="9" t="s">
        <v>13284</v>
      </c>
      <c r="R310" s="9" t="s">
        <v>13284</v>
      </c>
      <c r="S310" s="9" t="s">
        <v>13284</v>
      </c>
      <c r="T310" s="9" t="str">
        <f ca="1">IFERROR(IF(AND(VLOOKUP(A310, 'Актуальное состояние (из общего'!A:C,3,0) = "", A310 &lt;&gt; ""), "ПРОВЕРИТЬ", VLOOKUP(A310, 'Актуальное состояние (из общего'!A:C,3,0)), "")</f>
        <v>Студент</v>
      </c>
      <c r="U310" s="9" t="s">
        <v>13284</v>
      </c>
      <c r="V310" s="9" t="s">
        <v>13284</v>
      </c>
      <c r="W310" s="12"/>
      <c r="X310" s="9" t="str">
        <f t="array" ref="X310">IFERROR(INDEX('Адреса общежитий (скрытый)'!$B$2:$B$9, MATCH(W310, 'Адреса общежитий (скрытый)'!$A$2:$A$9, 0)), "")</f>
        <v/>
      </c>
      <c r="Y310" s="18"/>
      <c r="Z310" s="18"/>
      <c r="AA310" s="18"/>
      <c r="AB310" s="18"/>
      <c r="AC310" s="18"/>
    </row>
    <row r="311" spans="1:29" ht="32.25" hidden="1" customHeight="1">
      <c r="A311" s="8">
        <v>2310087</v>
      </c>
      <c r="B311" s="9" t="s">
        <v>13284</v>
      </c>
      <c r="C311" s="9" t="s">
        <v>13284</v>
      </c>
      <c r="D311" s="9" t="s">
        <v>13284</v>
      </c>
      <c r="E311" s="9" t="s">
        <v>13284</v>
      </c>
      <c r="F311" s="9" t="s">
        <v>13284</v>
      </c>
      <c r="G311" s="9" t="s">
        <v>13284</v>
      </c>
      <c r="H311" s="9" t="s">
        <v>13284</v>
      </c>
      <c r="I311" s="9" t="s">
        <v>13284</v>
      </c>
      <c r="J311" s="9" t="s">
        <v>13284</v>
      </c>
      <c r="K311" s="9" t="s">
        <v>13284</v>
      </c>
      <c r="L311" s="9" t="s">
        <v>13284</v>
      </c>
      <c r="M311" s="9" t="s">
        <v>13284</v>
      </c>
      <c r="N311" s="9" t="s">
        <v>13284</v>
      </c>
      <c r="O311" s="9" t="s">
        <v>13284</v>
      </c>
      <c r="P311" s="9" t="s">
        <v>13284</v>
      </c>
      <c r="Q311" s="9" t="s">
        <v>13284</v>
      </c>
      <c r="R311" s="9" t="s">
        <v>13284</v>
      </c>
      <c r="S311" s="9" t="s">
        <v>13284</v>
      </c>
      <c r="T311" s="9" t="str">
        <f ca="1">IFERROR(IF(AND(VLOOKUP(A311, 'Актуальное состояние (из общего'!A:C,3,0) = "", A311 &lt;&gt; ""), "ПРОВЕРИТЬ", VLOOKUP(A311, 'Актуальное состояние (из общего'!A:C,3,0)), "")</f>
        <v>Студент</v>
      </c>
      <c r="U311" s="9" t="s">
        <v>13284</v>
      </c>
      <c r="V311" s="9" t="s">
        <v>13284</v>
      </c>
      <c r="W311" s="12"/>
      <c r="X311" s="9" t="str">
        <f t="array" ref="X311">IFERROR(INDEX('Адреса общежитий (скрытый)'!$B$2:$B$9, MATCH(W311, 'Адреса общежитий (скрытый)'!$A$2:$A$9, 0)), "")</f>
        <v/>
      </c>
      <c r="Y311" s="18"/>
      <c r="Z311" s="18"/>
      <c r="AA311" s="18"/>
      <c r="AB311" s="18"/>
      <c r="AC311" s="18"/>
    </row>
    <row r="312" spans="1:29" ht="32.25" hidden="1" customHeight="1">
      <c r="A312" s="8">
        <v>2309906</v>
      </c>
      <c r="B312" s="9" t="s">
        <v>13284</v>
      </c>
      <c r="C312" s="9" t="s">
        <v>13284</v>
      </c>
      <c r="D312" s="9" t="s">
        <v>13284</v>
      </c>
      <c r="E312" s="9" t="s">
        <v>13284</v>
      </c>
      <c r="F312" s="9" t="s">
        <v>13284</v>
      </c>
      <c r="G312" s="9" t="s">
        <v>13284</v>
      </c>
      <c r="H312" s="9" t="s">
        <v>13284</v>
      </c>
      <c r="I312" s="9" t="s">
        <v>13284</v>
      </c>
      <c r="J312" s="9" t="s">
        <v>13284</v>
      </c>
      <c r="K312" s="9" t="s">
        <v>13284</v>
      </c>
      <c r="L312" s="9" t="s">
        <v>13284</v>
      </c>
      <c r="M312" s="9" t="s">
        <v>13284</v>
      </c>
      <c r="N312" s="9" t="s">
        <v>13284</v>
      </c>
      <c r="O312" s="9" t="s">
        <v>13284</v>
      </c>
      <c r="P312" s="9" t="s">
        <v>13284</v>
      </c>
      <c r="Q312" s="9" t="s">
        <v>13284</v>
      </c>
      <c r="R312" s="9" t="s">
        <v>13284</v>
      </c>
      <c r="S312" s="9" t="s">
        <v>13284</v>
      </c>
      <c r="T312" s="9" t="str">
        <f ca="1">IFERROR(IF(AND(VLOOKUP(A312, 'Актуальное состояние (из общего'!A:C,3,0) = "", A312 &lt;&gt; ""), "ПРОВЕРИТЬ", VLOOKUP(A312, 'Актуальное состояние (из общего'!A:C,3,0)), "")</f>
        <v>Студент</v>
      </c>
      <c r="U312" s="9" t="s">
        <v>13284</v>
      </c>
      <c r="V312" s="9" t="s">
        <v>13284</v>
      </c>
      <c r="W312" s="12"/>
      <c r="X312" s="9" t="str">
        <f t="array" ref="X312">IFERROR(INDEX('Адреса общежитий (скрытый)'!$B$2:$B$9, MATCH(W312, 'Адреса общежитий (скрытый)'!$A$2:$A$9, 0)), "")</f>
        <v/>
      </c>
      <c r="Y312" s="18"/>
      <c r="Z312" s="18"/>
      <c r="AA312" s="18"/>
      <c r="AB312" s="18"/>
      <c r="AC312" s="18"/>
    </row>
    <row r="313" spans="1:29" ht="32.25" customHeight="1">
      <c r="A313" s="8">
        <v>2311577</v>
      </c>
      <c r="B313" s="9" t="s">
        <v>13284</v>
      </c>
      <c r="C313" s="9" t="s">
        <v>13284</v>
      </c>
      <c r="D313" s="9" t="s">
        <v>13284</v>
      </c>
      <c r="E313" s="9" t="s">
        <v>13284</v>
      </c>
      <c r="F313" s="9" t="s">
        <v>13284</v>
      </c>
      <c r="G313" s="9" t="s">
        <v>13284</v>
      </c>
      <c r="H313" s="9" t="s">
        <v>13284</v>
      </c>
      <c r="I313" s="9" t="s">
        <v>13284</v>
      </c>
      <c r="J313" s="9" t="s">
        <v>13284</v>
      </c>
      <c r="K313" s="9" t="s">
        <v>13284</v>
      </c>
      <c r="L313" s="9" t="s">
        <v>13284</v>
      </c>
      <c r="M313" s="9" t="s">
        <v>13284</v>
      </c>
      <c r="N313" s="9" t="s">
        <v>13284</v>
      </c>
      <c r="O313" s="9" t="s">
        <v>13284</v>
      </c>
      <c r="P313" s="9" t="s">
        <v>13284</v>
      </c>
      <c r="Q313" s="9" t="s">
        <v>13284</v>
      </c>
      <c r="R313" s="9" t="s">
        <v>13284</v>
      </c>
      <c r="S313" s="9" t="s">
        <v>13284</v>
      </c>
      <c r="T313" s="9" t="str">
        <f ca="1">IFERROR(IF(AND(VLOOKUP(A313, 'Актуальное состояние (из общего'!A:C,3,0) = "", A313 &lt;&gt; ""), "ПРОВЕРИТЬ", VLOOKUP(A313, 'Актуальное состояние (из общего'!A:C,3,0)), "")</f>
        <v>Студент</v>
      </c>
      <c r="U313" s="9" t="s">
        <v>13284</v>
      </c>
      <c r="V313" s="9" t="s">
        <v>13284</v>
      </c>
      <c r="W313" s="9" t="s">
        <v>319</v>
      </c>
      <c r="X313" s="9" t="str">
        <f t="array" ref="X313">IFERROR(INDEX('Адреса общежитий (скрытый)'!$B$2:$B$9, MATCH(W313, 'Адреса общежитий (скрытый)'!$A$2:$A$9, 0)), "")</f>
        <v>ул. Профсоюзная, д.83, корп. 2</v>
      </c>
      <c r="Y313" s="18"/>
      <c r="Z313" s="18"/>
      <c r="AA313" s="18"/>
      <c r="AB313" s="18"/>
      <c r="AC313" s="18"/>
    </row>
    <row r="314" spans="1:29" ht="32.25" customHeight="1">
      <c r="A314" s="8">
        <v>2300437</v>
      </c>
      <c r="B314" s="9" t="s">
        <v>13284</v>
      </c>
      <c r="C314" s="9" t="s">
        <v>13284</v>
      </c>
      <c r="D314" s="9" t="s">
        <v>13284</v>
      </c>
      <c r="E314" s="9" t="s">
        <v>13284</v>
      </c>
      <c r="F314" s="9" t="s">
        <v>13284</v>
      </c>
      <c r="G314" s="9" t="s">
        <v>13284</v>
      </c>
      <c r="H314" s="9" t="s">
        <v>13284</v>
      </c>
      <c r="I314" s="9" t="s">
        <v>13284</v>
      </c>
      <c r="J314" s="9" t="s">
        <v>13284</v>
      </c>
      <c r="K314" s="9" t="s">
        <v>13284</v>
      </c>
      <c r="L314" s="9" t="s">
        <v>13284</v>
      </c>
      <c r="M314" s="9" t="s">
        <v>13284</v>
      </c>
      <c r="N314" s="9" t="s">
        <v>13284</v>
      </c>
      <c r="O314" s="9" t="s">
        <v>13284</v>
      </c>
      <c r="P314" s="9" t="s">
        <v>13284</v>
      </c>
      <c r="Q314" s="9" t="s">
        <v>13284</v>
      </c>
      <c r="R314" s="9" t="s">
        <v>13284</v>
      </c>
      <c r="S314" s="9" t="s">
        <v>13284</v>
      </c>
      <c r="T314" s="9" t="str">
        <f ca="1">IFERROR(IF(AND(VLOOKUP(A314, 'Актуальное состояние (из общего'!A:C,3,0) = "", A314 &lt;&gt; ""), "ПРОВЕРИТЬ", VLOOKUP(A314, 'Актуальное состояние (из общего'!A:C,3,0)), "")</f>
        <v>Студент</v>
      </c>
      <c r="U314" s="9" t="s">
        <v>13284</v>
      </c>
      <c r="V314" s="9" t="s">
        <v>13284</v>
      </c>
      <c r="W314" s="12"/>
      <c r="X314" s="9" t="str">
        <f t="array" ref="X314">IFERROR(INDEX('Адреса общежитий (скрытый)'!$B$2:$B$9, MATCH(W314, 'Адреса общежитий (скрытый)'!$A$2:$A$9, 0)), "")</f>
        <v/>
      </c>
      <c r="Y314" s="18"/>
      <c r="Z314" s="18"/>
      <c r="AA314" s="18"/>
      <c r="AB314" s="18"/>
      <c r="AC314" s="18"/>
    </row>
    <row r="315" spans="1:29" ht="32.25" customHeight="1">
      <c r="A315" s="8">
        <v>2313972</v>
      </c>
      <c r="B315" s="9" t="s">
        <v>13284</v>
      </c>
      <c r="C315" s="9" t="s">
        <v>13284</v>
      </c>
      <c r="D315" s="9" t="s">
        <v>13284</v>
      </c>
      <c r="E315" s="9" t="s">
        <v>13284</v>
      </c>
      <c r="F315" s="9" t="s">
        <v>13284</v>
      </c>
      <c r="G315" s="9" t="s">
        <v>13284</v>
      </c>
      <c r="H315" s="9" t="s">
        <v>13284</v>
      </c>
      <c r="I315" s="9" t="s">
        <v>13284</v>
      </c>
      <c r="J315" s="9" t="s">
        <v>13284</v>
      </c>
      <c r="K315" s="9" t="s">
        <v>13284</v>
      </c>
      <c r="L315" s="9" t="s">
        <v>13284</v>
      </c>
      <c r="M315" s="9" t="s">
        <v>13284</v>
      </c>
      <c r="N315" s="9" t="s">
        <v>13284</v>
      </c>
      <c r="O315" s="9" t="s">
        <v>13284</v>
      </c>
      <c r="P315" s="9" t="s">
        <v>13284</v>
      </c>
      <c r="Q315" s="9" t="s">
        <v>13284</v>
      </c>
      <c r="R315" s="9" t="s">
        <v>13284</v>
      </c>
      <c r="S315" s="9" t="s">
        <v>13284</v>
      </c>
      <c r="T315" s="9" t="str">
        <f ca="1">IFERROR(IF(AND(VLOOKUP(A315, 'Актуальное состояние (из общего'!A:C,3,0) = "", A315 &lt;&gt; ""), "ПРОВЕРИТЬ", VLOOKUP(A315, 'Актуальное состояние (из общего'!A:C,3,0)), "")</f>
        <v>Студент</v>
      </c>
      <c r="U315" s="9" t="s">
        <v>13284</v>
      </c>
      <c r="V315" s="9" t="s">
        <v>13284</v>
      </c>
      <c r="W315" s="9" t="s">
        <v>319</v>
      </c>
      <c r="X315" s="9" t="str">
        <f t="array" ref="X315">IFERROR(INDEX('Адреса общежитий (скрытый)'!$B$2:$B$9, MATCH(W315, 'Адреса общежитий (скрытый)'!$A$2:$A$9, 0)), "")</f>
        <v>ул. Профсоюзная, д.83, корп. 2</v>
      </c>
      <c r="Y315" s="18"/>
      <c r="Z315" s="18"/>
      <c r="AA315" s="18"/>
      <c r="AB315" s="18"/>
      <c r="AC315" s="18"/>
    </row>
    <row r="316" spans="1:29" ht="32.25" hidden="1" customHeight="1">
      <c r="A316" s="8">
        <v>2302380</v>
      </c>
      <c r="B316" s="9" t="s">
        <v>13284</v>
      </c>
      <c r="C316" s="9" t="s">
        <v>13284</v>
      </c>
      <c r="D316" s="9" t="s">
        <v>13284</v>
      </c>
      <c r="E316" s="9" t="s">
        <v>13284</v>
      </c>
      <c r="F316" s="9" t="s">
        <v>13284</v>
      </c>
      <c r="G316" s="9" t="s">
        <v>13284</v>
      </c>
      <c r="H316" s="9" t="s">
        <v>13284</v>
      </c>
      <c r="I316" s="9" t="s">
        <v>13284</v>
      </c>
      <c r="J316" s="9" t="s">
        <v>13284</v>
      </c>
      <c r="K316" s="9" t="s">
        <v>13284</v>
      </c>
      <c r="L316" s="9" t="s">
        <v>13284</v>
      </c>
      <c r="M316" s="9" t="s">
        <v>13284</v>
      </c>
      <c r="N316" s="9" t="s">
        <v>13284</v>
      </c>
      <c r="O316" s="9" t="s">
        <v>13284</v>
      </c>
      <c r="P316" s="9" t="s">
        <v>13284</v>
      </c>
      <c r="Q316" s="9" t="s">
        <v>13284</v>
      </c>
      <c r="R316" s="9" t="s">
        <v>13284</v>
      </c>
      <c r="S316" s="9" t="s">
        <v>13284</v>
      </c>
      <c r="T316" s="9" t="str">
        <f ca="1">IFERROR(IF(AND(VLOOKUP(A316, 'Актуальное состояние (из общего'!A:C,3,0) = "", A316 &lt;&gt; ""), "ПРОВЕРИТЬ", VLOOKUP(A316, 'Актуальное состояние (из общего'!A:C,3,0)), "")</f>
        <v>Студент</v>
      </c>
      <c r="U316" s="9" t="s">
        <v>13284</v>
      </c>
      <c r="V316" s="9" t="s">
        <v>13284</v>
      </c>
      <c r="W316" s="12"/>
      <c r="X316" s="9" t="str">
        <f t="array" ref="X316">IFERROR(INDEX('Адреса общежитий (скрытый)'!$B$2:$B$9, MATCH(W316, 'Адреса общежитий (скрытый)'!$A$2:$A$9, 0)), "")</f>
        <v/>
      </c>
      <c r="Y316" s="18"/>
      <c r="Z316" s="18"/>
      <c r="AA316" s="18"/>
      <c r="AB316" s="18"/>
      <c r="AC316" s="18"/>
    </row>
    <row r="317" spans="1:29" ht="32.25" customHeight="1">
      <c r="A317" s="8">
        <v>2306047</v>
      </c>
      <c r="B317" s="9" t="s">
        <v>13284</v>
      </c>
      <c r="C317" s="9" t="s">
        <v>13284</v>
      </c>
      <c r="D317" s="9" t="s">
        <v>13284</v>
      </c>
      <c r="E317" s="9" t="s">
        <v>13284</v>
      </c>
      <c r="F317" s="9" t="s">
        <v>13284</v>
      </c>
      <c r="G317" s="9" t="s">
        <v>13284</v>
      </c>
      <c r="H317" s="9" t="s">
        <v>13284</v>
      </c>
      <c r="I317" s="9" t="s">
        <v>13284</v>
      </c>
      <c r="J317" s="9" t="s">
        <v>13284</v>
      </c>
      <c r="K317" s="9" t="s">
        <v>13284</v>
      </c>
      <c r="L317" s="9" t="s">
        <v>13284</v>
      </c>
      <c r="M317" s="9" t="s">
        <v>13284</v>
      </c>
      <c r="N317" s="9" t="s">
        <v>13284</v>
      </c>
      <c r="O317" s="9" t="s">
        <v>13284</v>
      </c>
      <c r="P317" s="9" t="s">
        <v>13284</v>
      </c>
      <c r="Q317" s="9" t="s">
        <v>13284</v>
      </c>
      <c r="R317" s="9" t="s">
        <v>13284</v>
      </c>
      <c r="S317" s="9" t="s">
        <v>13284</v>
      </c>
      <c r="T317" s="9" t="str">
        <f ca="1">IFERROR(IF(AND(VLOOKUP(A317, 'Актуальное состояние (из общего'!A:C,3,0) = "", A317 &lt;&gt; ""), "ПРОВЕРИТЬ", VLOOKUP(A317, 'Актуальное состояние (из общего'!A:C,3,0)), "")</f>
        <v>Студент</v>
      </c>
      <c r="U317" s="9" t="s">
        <v>13284</v>
      </c>
      <c r="V317" s="9" t="s">
        <v>13284</v>
      </c>
      <c r="W317" s="12"/>
      <c r="X317" s="9" t="str">
        <f t="array" ref="X317">IFERROR(INDEX('Адреса общежитий (скрытый)'!$B$2:$B$9, MATCH(W317, 'Адреса общежитий (скрытый)'!$A$2:$A$9, 0)), "")</f>
        <v/>
      </c>
      <c r="Y317" s="18"/>
      <c r="Z317" s="18"/>
      <c r="AA317" s="18"/>
      <c r="AB317" s="18"/>
      <c r="AC317" s="18"/>
    </row>
    <row r="318" spans="1:29" ht="32.25" customHeight="1">
      <c r="A318" s="8">
        <v>2302143</v>
      </c>
      <c r="B318" s="9" t="s">
        <v>13284</v>
      </c>
      <c r="C318" s="9" t="s">
        <v>13284</v>
      </c>
      <c r="D318" s="9" t="s">
        <v>13284</v>
      </c>
      <c r="E318" s="9" t="s">
        <v>13284</v>
      </c>
      <c r="F318" s="9" t="s">
        <v>13284</v>
      </c>
      <c r="G318" s="9" t="s">
        <v>13284</v>
      </c>
      <c r="H318" s="9" t="s">
        <v>13284</v>
      </c>
      <c r="I318" s="9" t="s">
        <v>13284</v>
      </c>
      <c r="J318" s="9" t="s">
        <v>13284</v>
      </c>
      <c r="K318" s="9" t="s">
        <v>13284</v>
      </c>
      <c r="L318" s="9" t="s">
        <v>13284</v>
      </c>
      <c r="M318" s="9" t="s">
        <v>13284</v>
      </c>
      <c r="N318" s="9" t="s">
        <v>13284</v>
      </c>
      <c r="O318" s="9" t="s">
        <v>13284</v>
      </c>
      <c r="P318" s="9" t="s">
        <v>13284</v>
      </c>
      <c r="Q318" s="9" t="s">
        <v>13284</v>
      </c>
      <c r="R318" s="9" t="s">
        <v>13284</v>
      </c>
      <c r="S318" s="9" t="s">
        <v>13284</v>
      </c>
      <c r="T318" s="9" t="str">
        <f ca="1">IFERROR(IF(AND(VLOOKUP(A318, 'Актуальное состояние (из общего'!A:C,3,0) = "", A318 &lt;&gt; ""), "ПРОВЕРИТЬ", VLOOKUP(A318, 'Актуальное состояние (из общего'!A:C,3,0)), "")</f>
        <v>Студент</v>
      </c>
      <c r="U318" s="9" t="s">
        <v>13284</v>
      </c>
      <c r="V318" s="9" t="s">
        <v>13284</v>
      </c>
      <c r="W318" s="9" t="s">
        <v>319</v>
      </c>
      <c r="X318" s="9" t="str">
        <f t="array" ref="X318">IFERROR(INDEX('Адреса общежитий (скрытый)'!$B$2:$B$9, MATCH(W318, 'Адреса общежитий (скрытый)'!$A$2:$A$9, 0)), "")</f>
        <v>ул. Профсоюзная, д.83, корп. 2</v>
      </c>
      <c r="Y318" s="18"/>
      <c r="Z318" s="18"/>
      <c r="AA318" s="18"/>
      <c r="AB318" s="18"/>
      <c r="AC318" s="18"/>
    </row>
    <row r="319" spans="1:29" ht="32.25" customHeight="1">
      <c r="A319" s="8">
        <v>2304796</v>
      </c>
      <c r="B319" s="9" t="s">
        <v>13284</v>
      </c>
      <c r="C319" s="9" t="s">
        <v>13284</v>
      </c>
      <c r="D319" s="9" t="s">
        <v>13284</v>
      </c>
      <c r="E319" s="9" t="s">
        <v>13284</v>
      </c>
      <c r="F319" s="9" t="s">
        <v>13284</v>
      </c>
      <c r="G319" s="9" t="s">
        <v>13284</v>
      </c>
      <c r="H319" s="9" t="s">
        <v>13284</v>
      </c>
      <c r="I319" s="9" t="s">
        <v>13284</v>
      </c>
      <c r="J319" s="9" t="s">
        <v>13284</v>
      </c>
      <c r="K319" s="9" t="s">
        <v>13284</v>
      </c>
      <c r="L319" s="9" t="s">
        <v>13284</v>
      </c>
      <c r="M319" s="9" t="s">
        <v>13284</v>
      </c>
      <c r="N319" s="9" t="s">
        <v>13284</v>
      </c>
      <c r="O319" s="9" t="s">
        <v>13284</v>
      </c>
      <c r="P319" s="9" t="s">
        <v>13284</v>
      </c>
      <c r="Q319" s="9" t="s">
        <v>13284</v>
      </c>
      <c r="R319" s="9" t="s">
        <v>13284</v>
      </c>
      <c r="S319" s="9" t="s">
        <v>13284</v>
      </c>
      <c r="T319" s="9" t="str">
        <f ca="1">IFERROR(IF(AND(VLOOKUP(A319, 'Актуальное состояние (из общего'!A:C,3,0) = "", A319 &lt;&gt; ""), "ПРОВЕРИТЬ", VLOOKUP(A319, 'Актуальное состояние (из общего'!A:C,3,0)), "")</f>
        <v>Студент</v>
      </c>
      <c r="U319" s="9" t="s">
        <v>13284</v>
      </c>
      <c r="V319" s="9" t="s">
        <v>13284</v>
      </c>
      <c r="W319" s="12"/>
      <c r="X319" s="9" t="str">
        <f t="array" ref="X319">IFERROR(INDEX('Адреса общежитий (скрытый)'!$B$2:$B$9, MATCH(W319, 'Адреса общежитий (скрытый)'!$A$2:$A$9, 0)), "")</f>
        <v/>
      </c>
      <c r="Y319" s="18"/>
      <c r="Z319" s="18"/>
      <c r="AA319" s="18"/>
      <c r="AB319" s="18"/>
      <c r="AC319" s="18"/>
    </row>
    <row r="320" spans="1:29" ht="32.25" hidden="1" customHeight="1">
      <c r="A320" s="8">
        <v>2308122</v>
      </c>
      <c r="B320" s="9" t="s">
        <v>13284</v>
      </c>
      <c r="C320" s="9" t="s">
        <v>13284</v>
      </c>
      <c r="D320" s="9" t="s">
        <v>13284</v>
      </c>
      <c r="E320" s="9" t="s">
        <v>13284</v>
      </c>
      <c r="F320" s="9" t="s">
        <v>13284</v>
      </c>
      <c r="G320" s="9" t="s">
        <v>13284</v>
      </c>
      <c r="H320" s="9" t="s">
        <v>13284</v>
      </c>
      <c r="I320" s="9" t="s">
        <v>13284</v>
      </c>
      <c r="J320" s="9" t="s">
        <v>13284</v>
      </c>
      <c r="K320" s="9" t="s">
        <v>13284</v>
      </c>
      <c r="L320" s="9" t="s">
        <v>13284</v>
      </c>
      <c r="M320" s="9" t="s">
        <v>13284</v>
      </c>
      <c r="N320" s="9" t="s">
        <v>13284</v>
      </c>
      <c r="O320" s="9" t="s">
        <v>13284</v>
      </c>
      <c r="P320" s="9" t="s">
        <v>13284</v>
      </c>
      <c r="Q320" s="9" t="s">
        <v>13284</v>
      </c>
      <c r="R320" s="9" t="s">
        <v>13284</v>
      </c>
      <c r="S320" s="9" t="s">
        <v>13284</v>
      </c>
      <c r="T320" s="9" t="str">
        <f ca="1">IFERROR(IF(AND(VLOOKUP(A320, 'Актуальное состояние (из общего'!A:C,3,0) = "", A320 &lt;&gt; ""), "ПРОВЕРИТЬ", VLOOKUP(A320, 'Актуальное состояние (из общего'!A:C,3,0)), "")</f>
        <v>Студент</v>
      </c>
      <c r="U320" s="9" t="s">
        <v>13284</v>
      </c>
      <c r="V320" s="9" t="s">
        <v>13284</v>
      </c>
      <c r="W320" s="12"/>
      <c r="X320" s="9" t="str">
        <f t="array" ref="X320">IFERROR(INDEX('Адреса общежитий (скрытый)'!$B$2:$B$9, MATCH(W320, 'Адреса общежитий (скрытый)'!$A$2:$A$9, 0)), "")</f>
        <v/>
      </c>
      <c r="Y320" s="18"/>
      <c r="Z320" s="18"/>
      <c r="AA320" s="18"/>
      <c r="AB320" s="18"/>
      <c r="AC320" s="18"/>
    </row>
    <row r="321" spans="1:29" ht="32.25" customHeight="1">
      <c r="A321" s="8">
        <v>2307138</v>
      </c>
      <c r="B321" s="9" t="s">
        <v>13284</v>
      </c>
      <c r="C321" s="9" t="s">
        <v>13284</v>
      </c>
      <c r="D321" s="9" t="s">
        <v>13284</v>
      </c>
      <c r="E321" s="9" t="s">
        <v>13284</v>
      </c>
      <c r="F321" s="9" t="s">
        <v>13284</v>
      </c>
      <c r="G321" s="9" t="s">
        <v>13284</v>
      </c>
      <c r="H321" s="9" t="s">
        <v>13284</v>
      </c>
      <c r="I321" s="9" t="s">
        <v>13284</v>
      </c>
      <c r="J321" s="9" t="s">
        <v>13284</v>
      </c>
      <c r="K321" s="9" t="s">
        <v>13284</v>
      </c>
      <c r="L321" s="9" t="s">
        <v>13284</v>
      </c>
      <c r="M321" s="9" t="s">
        <v>13284</v>
      </c>
      <c r="N321" s="9" t="s">
        <v>13284</v>
      </c>
      <c r="O321" s="9" t="s">
        <v>13284</v>
      </c>
      <c r="P321" s="9" t="s">
        <v>13284</v>
      </c>
      <c r="Q321" s="9" t="s">
        <v>13284</v>
      </c>
      <c r="R321" s="9" t="s">
        <v>13284</v>
      </c>
      <c r="S321" s="9" t="s">
        <v>13284</v>
      </c>
      <c r="T321" s="9" t="str">
        <f ca="1">IFERROR(IF(AND(VLOOKUP(A321, 'Актуальное состояние (из общего'!A:C,3,0) = "", A321 &lt;&gt; ""), "ПРОВЕРИТЬ", VLOOKUP(A321, 'Актуальное состояние (из общего'!A:C,3,0)), "")</f>
        <v>Студент</v>
      </c>
      <c r="U321" s="9" t="s">
        <v>13284</v>
      </c>
      <c r="V321" s="9" t="s">
        <v>13284</v>
      </c>
      <c r="W321" s="12"/>
      <c r="X321" s="9" t="str">
        <f t="array" ref="X321">IFERROR(INDEX('Адреса общежитий (скрытый)'!$B$2:$B$9, MATCH(W321, 'Адреса общежитий (скрытый)'!$A$2:$A$9, 0)), "")</f>
        <v/>
      </c>
      <c r="Y321" s="18"/>
      <c r="Z321" s="18"/>
      <c r="AA321" s="18"/>
      <c r="AB321" s="18"/>
      <c r="AC321" s="18"/>
    </row>
    <row r="322" spans="1:29" ht="32.25" customHeight="1">
      <c r="A322" s="8">
        <v>2309609</v>
      </c>
      <c r="B322" s="9" t="s">
        <v>13284</v>
      </c>
      <c r="C322" s="9" t="s">
        <v>13284</v>
      </c>
      <c r="D322" s="9" t="s">
        <v>13284</v>
      </c>
      <c r="E322" s="9" t="s">
        <v>13284</v>
      </c>
      <c r="F322" s="9" t="s">
        <v>13284</v>
      </c>
      <c r="G322" s="9" t="s">
        <v>13284</v>
      </c>
      <c r="H322" s="9" t="s">
        <v>13284</v>
      </c>
      <c r="I322" s="9" t="s">
        <v>13284</v>
      </c>
      <c r="J322" s="9" t="s">
        <v>13284</v>
      </c>
      <c r="K322" s="9" t="s">
        <v>13284</v>
      </c>
      <c r="L322" s="9" t="s">
        <v>13284</v>
      </c>
      <c r="M322" s="9" t="s">
        <v>13284</v>
      </c>
      <c r="N322" s="9" t="s">
        <v>13284</v>
      </c>
      <c r="O322" s="9" t="s">
        <v>13284</v>
      </c>
      <c r="P322" s="9" t="s">
        <v>13284</v>
      </c>
      <c r="Q322" s="9" t="s">
        <v>13284</v>
      </c>
      <c r="R322" s="9" t="s">
        <v>13284</v>
      </c>
      <c r="S322" s="9" t="s">
        <v>13284</v>
      </c>
      <c r="T322" s="9" t="str">
        <f ca="1">IFERROR(IF(AND(VLOOKUP(A322, 'Актуальное состояние (из общего'!A:C,3,0) = "", A322 &lt;&gt; ""), "ПРОВЕРИТЬ", VLOOKUP(A322, 'Актуальное состояние (из общего'!A:C,3,0)), "")</f>
        <v>Студент</v>
      </c>
      <c r="U322" s="9" t="s">
        <v>13284</v>
      </c>
      <c r="V322" s="9" t="s">
        <v>13284</v>
      </c>
      <c r="W322" s="9" t="s">
        <v>319</v>
      </c>
      <c r="X322" s="9" t="str">
        <f t="array" ref="X322">IFERROR(INDEX('Адреса общежитий (скрытый)'!$B$2:$B$9, MATCH(W322, 'Адреса общежитий (скрытый)'!$A$2:$A$9, 0)), "")</f>
        <v>ул. Профсоюзная, д.83, корп. 2</v>
      </c>
      <c r="Y322" s="18"/>
      <c r="Z322" s="18"/>
      <c r="AA322" s="18"/>
      <c r="AB322" s="18"/>
      <c r="AC322" s="18"/>
    </row>
    <row r="323" spans="1:29" ht="32.25" customHeight="1">
      <c r="A323" s="8">
        <v>2303440</v>
      </c>
      <c r="B323" s="9" t="s">
        <v>13284</v>
      </c>
      <c r="C323" s="9" t="s">
        <v>13284</v>
      </c>
      <c r="D323" s="9" t="s">
        <v>13284</v>
      </c>
      <c r="E323" s="9" t="s">
        <v>13284</v>
      </c>
      <c r="F323" s="9" t="s">
        <v>13284</v>
      </c>
      <c r="G323" s="9" t="s">
        <v>13284</v>
      </c>
      <c r="H323" s="9" t="s">
        <v>13284</v>
      </c>
      <c r="I323" s="9" t="s">
        <v>13284</v>
      </c>
      <c r="J323" s="9" t="s">
        <v>13284</v>
      </c>
      <c r="K323" s="9" t="s">
        <v>13284</v>
      </c>
      <c r="L323" s="9" t="s">
        <v>13284</v>
      </c>
      <c r="M323" s="9" t="s">
        <v>13284</v>
      </c>
      <c r="N323" s="9" t="s">
        <v>13284</v>
      </c>
      <c r="O323" s="9" t="s">
        <v>13284</v>
      </c>
      <c r="P323" s="9" t="s">
        <v>13284</v>
      </c>
      <c r="Q323" s="9" t="s">
        <v>13284</v>
      </c>
      <c r="R323" s="9" t="s">
        <v>13284</v>
      </c>
      <c r="S323" s="9" t="s">
        <v>13284</v>
      </c>
      <c r="T323" s="9" t="str">
        <f ca="1">IFERROR(IF(AND(VLOOKUP(A323, 'Актуальное состояние (из общего'!A:C,3,0) = "", A323 &lt;&gt; ""), "ПРОВЕРИТЬ", VLOOKUP(A323, 'Актуальное состояние (из общего'!A:C,3,0)), "")</f>
        <v>Студент</v>
      </c>
      <c r="U323" s="9" t="s">
        <v>13284</v>
      </c>
      <c r="V323" s="9" t="s">
        <v>13284</v>
      </c>
      <c r="W323" s="9" t="s">
        <v>319</v>
      </c>
      <c r="X323" s="9" t="str">
        <f t="array" ref="X323">IFERROR(INDEX('Адреса общежитий (скрытый)'!$B$2:$B$9, MATCH(W323, 'Адреса общежитий (скрытый)'!$A$2:$A$9, 0)), "")</f>
        <v>ул. Профсоюзная, д.83, корп. 2</v>
      </c>
      <c r="Y323" s="18"/>
      <c r="Z323" s="18"/>
      <c r="AA323" s="18"/>
      <c r="AB323" s="18"/>
      <c r="AC323" s="18"/>
    </row>
    <row r="324" spans="1:29" ht="32.25" customHeight="1">
      <c r="A324" s="8">
        <v>2311251</v>
      </c>
      <c r="B324" s="9" t="s">
        <v>13284</v>
      </c>
      <c r="C324" s="9" t="s">
        <v>13284</v>
      </c>
      <c r="D324" s="9" t="s">
        <v>13284</v>
      </c>
      <c r="E324" s="9" t="s">
        <v>13284</v>
      </c>
      <c r="F324" s="9" t="s">
        <v>13284</v>
      </c>
      <c r="G324" s="9" t="s">
        <v>13284</v>
      </c>
      <c r="H324" s="9" t="s">
        <v>13284</v>
      </c>
      <c r="I324" s="9" t="s">
        <v>13284</v>
      </c>
      <c r="J324" s="9" t="s">
        <v>13284</v>
      </c>
      <c r="K324" s="9" t="s">
        <v>13284</v>
      </c>
      <c r="L324" s="9" t="s">
        <v>13284</v>
      </c>
      <c r="M324" s="9" t="s">
        <v>13284</v>
      </c>
      <c r="N324" s="9" t="s">
        <v>13284</v>
      </c>
      <c r="O324" s="9" t="s">
        <v>13284</v>
      </c>
      <c r="P324" s="9" t="s">
        <v>13284</v>
      </c>
      <c r="Q324" s="9" t="s">
        <v>13284</v>
      </c>
      <c r="R324" s="9" t="s">
        <v>13284</v>
      </c>
      <c r="S324" s="9" t="s">
        <v>13284</v>
      </c>
      <c r="T324" s="9" t="str">
        <f ca="1">IFERROR(IF(AND(VLOOKUP(A324, 'Актуальное состояние (из общего'!A:C,3,0) = "", A324 &lt;&gt; ""), "ПРОВЕРИТЬ", VLOOKUP(A324, 'Актуальное состояние (из общего'!A:C,3,0)), "")</f>
        <v>Студент</v>
      </c>
      <c r="U324" s="9" t="s">
        <v>13284</v>
      </c>
      <c r="V324" s="9" t="s">
        <v>13284</v>
      </c>
      <c r="W324" s="9" t="s">
        <v>319</v>
      </c>
      <c r="X324" s="9" t="str">
        <f t="array" ref="X324">IFERROR(INDEX('Адреса общежитий (скрытый)'!$B$2:$B$9, MATCH(W324, 'Адреса общежитий (скрытый)'!$A$2:$A$9, 0)), "")</f>
        <v>ул. Профсоюзная, д.83, корп. 2</v>
      </c>
      <c r="Y324" s="18"/>
      <c r="Z324" s="18"/>
      <c r="AA324" s="18"/>
      <c r="AB324" s="18"/>
      <c r="AC324" s="18"/>
    </row>
    <row r="325" spans="1:29" ht="32.25" customHeight="1">
      <c r="A325" s="8">
        <v>2312343</v>
      </c>
      <c r="B325" s="9" t="s">
        <v>13284</v>
      </c>
      <c r="C325" s="9" t="s">
        <v>13284</v>
      </c>
      <c r="D325" s="9" t="s">
        <v>13284</v>
      </c>
      <c r="E325" s="9" t="s">
        <v>13284</v>
      </c>
      <c r="F325" s="9" t="s">
        <v>13284</v>
      </c>
      <c r="G325" s="9" t="s">
        <v>13284</v>
      </c>
      <c r="H325" s="9" t="s">
        <v>13284</v>
      </c>
      <c r="I325" s="9" t="s">
        <v>13284</v>
      </c>
      <c r="J325" s="9" t="s">
        <v>13284</v>
      </c>
      <c r="K325" s="9" t="s">
        <v>13284</v>
      </c>
      <c r="L325" s="9" t="s">
        <v>13284</v>
      </c>
      <c r="M325" s="9" t="s">
        <v>13284</v>
      </c>
      <c r="N325" s="9" t="s">
        <v>13284</v>
      </c>
      <c r="O325" s="9" t="s">
        <v>13284</v>
      </c>
      <c r="P325" s="9" t="s">
        <v>13284</v>
      </c>
      <c r="Q325" s="9" t="s">
        <v>13284</v>
      </c>
      <c r="R325" s="9" t="s">
        <v>13284</v>
      </c>
      <c r="S325" s="9" t="s">
        <v>13284</v>
      </c>
      <c r="T325" s="9" t="str">
        <f ca="1">IFERROR(IF(AND(VLOOKUP(A325, 'Актуальное состояние (из общего'!A:C,3,0) = "", A325 &lt;&gt; ""), "ПРОВЕРИТЬ", VLOOKUP(A325, 'Актуальное состояние (из общего'!A:C,3,0)), "")</f>
        <v>Студент</v>
      </c>
      <c r="U325" s="9" t="s">
        <v>13284</v>
      </c>
      <c r="V325" s="9" t="s">
        <v>13284</v>
      </c>
      <c r="W325" s="9" t="s">
        <v>319</v>
      </c>
      <c r="X325" s="9" t="str">
        <f t="array" ref="X325">IFERROR(INDEX('Адреса общежитий (скрытый)'!$B$2:$B$9, MATCH(W325, 'Адреса общежитий (скрытый)'!$A$2:$A$9, 0)), "")</f>
        <v>ул. Профсоюзная, д.83, корп. 2</v>
      </c>
      <c r="Y325" s="18"/>
      <c r="Z325" s="18"/>
      <c r="AA325" s="18"/>
      <c r="AB325" s="18"/>
      <c r="AC325" s="18"/>
    </row>
    <row r="326" spans="1:29" ht="32.25" hidden="1" customHeight="1">
      <c r="A326" s="8">
        <v>2300668</v>
      </c>
      <c r="B326" s="9" t="s">
        <v>13284</v>
      </c>
      <c r="C326" s="9" t="s">
        <v>13284</v>
      </c>
      <c r="D326" s="9" t="s">
        <v>13284</v>
      </c>
      <c r="E326" s="9" t="s">
        <v>13284</v>
      </c>
      <c r="F326" s="9" t="s">
        <v>13284</v>
      </c>
      <c r="G326" s="9" t="s">
        <v>13284</v>
      </c>
      <c r="H326" s="9" t="s">
        <v>13284</v>
      </c>
      <c r="I326" s="9" t="s">
        <v>13284</v>
      </c>
      <c r="J326" s="9" t="s">
        <v>13284</v>
      </c>
      <c r="K326" s="9" t="s">
        <v>13284</v>
      </c>
      <c r="L326" s="9" t="s">
        <v>13284</v>
      </c>
      <c r="M326" s="9" t="s">
        <v>13284</v>
      </c>
      <c r="N326" s="9" t="s">
        <v>13284</v>
      </c>
      <c r="O326" s="9" t="s">
        <v>13284</v>
      </c>
      <c r="P326" s="9" t="s">
        <v>13284</v>
      </c>
      <c r="Q326" s="9" t="s">
        <v>13284</v>
      </c>
      <c r="R326" s="9" t="s">
        <v>13284</v>
      </c>
      <c r="S326" s="9" t="s">
        <v>13284</v>
      </c>
      <c r="T326" s="9" t="str">
        <f ca="1">IFERROR(IF(AND(VLOOKUP(A326, 'Актуальное состояние (из общего'!A:C,3,0) = "", A326 &lt;&gt; ""), "ПРОВЕРИТЬ", VLOOKUP(A326, 'Актуальное состояние (из общего'!A:C,3,0)), "")</f>
        <v>Студент</v>
      </c>
      <c r="U326" s="9" t="s">
        <v>13284</v>
      </c>
      <c r="V326" s="9" t="s">
        <v>13284</v>
      </c>
      <c r="W326" s="12"/>
      <c r="X326" s="9" t="str">
        <f t="array" ref="X326">IFERROR(INDEX('Адреса общежитий (скрытый)'!$B$2:$B$9, MATCH(W326, 'Адреса общежитий (скрытый)'!$A$2:$A$9, 0)), "")</f>
        <v/>
      </c>
      <c r="Y326" s="18"/>
      <c r="Z326" s="18"/>
      <c r="AA326" s="18"/>
      <c r="AB326" s="18"/>
      <c r="AC326" s="18"/>
    </row>
    <row r="327" spans="1:29" ht="32.25" hidden="1" customHeight="1">
      <c r="A327" s="8">
        <v>2301532</v>
      </c>
      <c r="B327" s="9" t="s">
        <v>13284</v>
      </c>
      <c r="C327" s="9" t="s">
        <v>13284</v>
      </c>
      <c r="D327" s="9" t="s">
        <v>13284</v>
      </c>
      <c r="E327" s="9" t="s">
        <v>13284</v>
      </c>
      <c r="F327" s="9" t="s">
        <v>13284</v>
      </c>
      <c r="G327" s="9" t="s">
        <v>13284</v>
      </c>
      <c r="H327" s="9" t="s">
        <v>13284</v>
      </c>
      <c r="I327" s="9" t="s">
        <v>13284</v>
      </c>
      <c r="J327" s="9" t="s">
        <v>13284</v>
      </c>
      <c r="K327" s="9" t="s">
        <v>13284</v>
      </c>
      <c r="L327" s="9" t="s">
        <v>13284</v>
      </c>
      <c r="M327" s="9" t="s">
        <v>13284</v>
      </c>
      <c r="N327" s="9" t="s">
        <v>13284</v>
      </c>
      <c r="O327" s="9" t="s">
        <v>13284</v>
      </c>
      <c r="P327" s="9" t="s">
        <v>13284</v>
      </c>
      <c r="Q327" s="9" t="s">
        <v>13284</v>
      </c>
      <c r="R327" s="9" t="s">
        <v>13284</v>
      </c>
      <c r="S327" s="9" t="s">
        <v>13284</v>
      </c>
      <c r="T327" s="9" t="str">
        <f ca="1">IFERROR(IF(AND(VLOOKUP(A327, 'Актуальное состояние (из общего'!A:C,3,0) = "", A327 &lt;&gt; ""), "ПРОВЕРИТЬ", VLOOKUP(A327, 'Актуальное состояние (из общего'!A:C,3,0)), "")</f>
        <v>Студент</v>
      </c>
      <c r="U327" s="9" t="s">
        <v>13284</v>
      </c>
      <c r="V327" s="9" t="s">
        <v>13284</v>
      </c>
      <c r="W327" s="12"/>
      <c r="X327" s="9" t="str">
        <f t="array" ref="X327">IFERROR(INDEX('Адреса общежитий (скрытый)'!$B$2:$B$9, MATCH(W327, 'Адреса общежитий (скрытый)'!$A$2:$A$9, 0)), "")</f>
        <v/>
      </c>
      <c r="Y327" s="18"/>
      <c r="Z327" s="18"/>
      <c r="AA327" s="18"/>
      <c r="AB327" s="18"/>
      <c r="AC327" s="18"/>
    </row>
    <row r="328" spans="1:29" ht="32.25" hidden="1" customHeight="1">
      <c r="A328" s="8">
        <v>2308095</v>
      </c>
      <c r="B328" s="9" t="s">
        <v>13284</v>
      </c>
      <c r="C328" s="9" t="s">
        <v>13284</v>
      </c>
      <c r="D328" s="9" t="s">
        <v>13284</v>
      </c>
      <c r="E328" s="9" t="s">
        <v>13284</v>
      </c>
      <c r="F328" s="9" t="s">
        <v>13284</v>
      </c>
      <c r="G328" s="9" t="s">
        <v>13284</v>
      </c>
      <c r="H328" s="9" t="s">
        <v>13284</v>
      </c>
      <c r="I328" s="9" t="s">
        <v>13284</v>
      </c>
      <c r="J328" s="9" t="s">
        <v>13284</v>
      </c>
      <c r="K328" s="9" t="s">
        <v>13284</v>
      </c>
      <c r="L328" s="9" t="s">
        <v>13284</v>
      </c>
      <c r="M328" s="9" t="s">
        <v>13284</v>
      </c>
      <c r="N328" s="9" t="s">
        <v>13284</v>
      </c>
      <c r="O328" s="9" t="s">
        <v>13284</v>
      </c>
      <c r="P328" s="9" t="s">
        <v>13284</v>
      </c>
      <c r="Q328" s="9" t="s">
        <v>13284</v>
      </c>
      <c r="R328" s="9" t="s">
        <v>13284</v>
      </c>
      <c r="S328" s="9" t="s">
        <v>13284</v>
      </c>
      <c r="T328" s="9" t="str">
        <f ca="1">IFERROR(IF(AND(VLOOKUP(A328, 'Актуальное состояние (из общего'!A:C,3,0) = "", A328 &lt;&gt; ""), "ПРОВЕРИТЬ", VLOOKUP(A328, 'Актуальное состояние (из общего'!A:C,3,0)), "")</f>
        <v>Студент</v>
      </c>
      <c r="U328" s="9" t="s">
        <v>13284</v>
      </c>
      <c r="V328" s="9" t="s">
        <v>13284</v>
      </c>
      <c r="W328" s="12"/>
      <c r="X328" s="9" t="str">
        <f t="array" ref="X328">IFERROR(INDEX('Адреса общежитий (скрытый)'!$B$2:$B$9, MATCH(W328, 'Адреса общежитий (скрытый)'!$A$2:$A$9, 0)), "")</f>
        <v/>
      </c>
      <c r="Y328" s="18"/>
      <c r="Z328" s="18"/>
      <c r="AA328" s="18"/>
      <c r="AB328" s="18"/>
      <c r="AC328" s="18"/>
    </row>
    <row r="329" spans="1:29" ht="32.25" customHeight="1">
      <c r="A329" s="8">
        <v>2307081</v>
      </c>
      <c r="B329" s="9" t="s">
        <v>13284</v>
      </c>
      <c r="C329" s="9" t="s">
        <v>13284</v>
      </c>
      <c r="D329" s="9" t="s">
        <v>13284</v>
      </c>
      <c r="E329" s="9" t="s">
        <v>13284</v>
      </c>
      <c r="F329" s="9" t="s">
        <v>13284</v>
      </c>
      <c r="G329" s="9" t="s">
        <v>13284</v>
      </c>
      <c r="H329" s="9" t="s">
        <v>13284</v>
      </c>
      <c r="I329" s="9" t="s">
        <v>13284</v>
      </c>
      <c r="J329" s="9" t="s">
        <v>13284</v>
      </c>
      <c r="K329" s="9" t="s">
        <v>13284</v>
      </c>
      <c r="L329" s="9" t="s">
        <v>13284</v>
      </c>
      <c r="M329" s="9" t="s">
        <v>13284</v>
      </c>
      <c r="N329" s="9" t="s">
        <v>13284</v>
      </c>
      <c r="O329" s="9" t="s">
        <v>13284</v>
      </c>
      <c r="P329" s="9" t="s">
        <v>13284</v>
      </c>
      <c r="Q329" s="9" t="s">
        <v>13284</v>
      </c>
      <c r="R329" s="9" t="s">
        <v>13284</v>
      </c>
      <c r="S329" s="9" t="s">
        <v>13284</v>
      </c>
      <c r="T329" s="9" t="str">
        <f ca="1">IFERROR(IF(AND(VLOOKUP(A329, 'Актуальное состояние (из общего'!A:C,3,0) = "", A329 &lt;&gt; ""), "ПРОВЕРИТЬ", VLOOKUP(A329, 'Актуальное состояние (из общего'!A:C,3,0)), "")</f>
        <v>Студент</v>
      </c>
      <c r="U329" s="9" t="s">
        <v>13284</v>
      </c>
      <c r="V329" s="9" t="s">
        <v>13284</v>
      </c>
      <c r="W329" s="12"/>
      <c r="X329" s="9" t="str">
        <f t="array" ref="X329">IFERROR(INDEX('Адреса общежитий (скрытый)'!$B$2:$B$9, MATCH(W329, 'Адреса общежитий (скрытый)'!$A$2:$A$9, 0)), "")</f>
        <v/>
      </c>
      <c r="Y329" s="18"/>
      <c r="Z329" s="18"/>
      <c r="AA329" s="18"/>
      <c r="AB329" s="18"/>
      <c r="AC329" s="18"/>
    </row>
    <row r="330" spans="1:29" ht="32.25" hidden="1" customHeight="1">
      <c r="A330" s="8">
        <v>2306412</v>
      </c>
      <c r="B330" s="9" t="s">
        <v>13284</v>
      </c>
      <c r="C330" s="9" t="s">
        <v>13284</v>
      </c>
      <c r="D330" s="9" t="s">
        <v>13284</v>
      </c>
      <c r="E330" s="9" t="s">
        <v>13284</v>
      </c>
      <c r="F330" s="9" t="s">
        <v>13284</v>
      </c>
      <c r="G330" s="9" t="s">
        <v>13284</v>
      </c>
      <c r="H330" s="9" t="s">
        <v>13284</v>
      </c>
      <c r="I330" s="9" t="s">
        <v>13284</v>
      </c>
      <c r="J330" s="9" t="s">
        <v>13284</v>
      </c>
      <c r="K330" s="9" t="s">
        <v>13284</v>
      </c>
      <c r="L330" s="9" t="s">
        <v>13284</v>
      </c>
      <c r="M330" s="9" t="s">
        <v>13284</v>
      </c>
      <c r="N330" s="9" t="s">
        <v>13284</v>
      </c>
      <c r="O330" s="9" t="s">
        <v>13284</v>
      </c>
      <c r="P330" s="9" t="s">
        <v>13284</v>
      </c>
      <c r="Q330" s="9" t="s">
        <v>13284</v>
      </c>
      <c r="R330" s="9" t="s">
        <v>13284</v>
      </c>
      <c r="S330" s="9" t="s">
        <v>13284</v>
      </c>
      <c r="T330" s="9" t="str">
        <f ca="1">IFERROR(IF(AND(VLOOKUP(A330, 'Актуальное состояние (из общего'!A:C,3,0) = "", A330 &lt;&gt; ""), "ПРОВЕРИТЬ", VLOOKUP(A330, 'Актуальное состояние (из общего'!A:C,3,0)), "")</f>
        <v>Студент</v>
      </c>
      <c r="U330" s="9" t="s">
        <v>13284</v>
      </c>
      <c r="V330" s="9" t="s">
        <v>13284</v>
      </c>
      <c r="W330" s="12"/>
      <c r="X330" s="9" t="str">
        <f t="array" ref="X330">IFERROR(INDEX('Адреса общежитий (скрытый)'!$B$2:$B$9, MATCH(W330, 'Адреса общежитий (скрытый)'!$A$2:$A$9, 0)), "")</f>
        <v/>
      </c>
      <c r="Y330" s="18"/>
      <c r="Z330" s="18"/>
      <c r="AA330" s="18"/>
      <c r="AB330" s="18"/>
      <c r="AC330" s="18"/>
    </row>
    <row r="331" spans="1:29" ht="32.25" customHeight="1">
      <c r="A331" s="8">
        <v>2311195</v>
      </c>
      <c r="B331" s="9" t="s">
        <v>13284</v>
      </c>
      <c r="C331" s="9" t="s">
        <v>13284</v>
      </c>
      <c r="D331" s="9" t="s">
        <v>13284</v>
      </c>
      <c r="E331" s="9" t="s">
        <v>13284</v>
      </c>
      <c r="F331" s="9" t="s">
        <v>13284</v>
      </c>
      <c r="G331" s="9" t="s">
        <v>13284</v>
      </c>
      <c r="H331" s="9" t="s">
        <v>13284</v>
      </c>
      <c r="I331" s="9" t="s">
        <v>13284</v>
      </c>
      <c r="J331" s="9" t="s">
        <v>13284</v>
      </c>
      <c r="K331" s="9" t="s">
        <v>13284</v>
      </c>
      <c r="L331" s="9" t="s">
        <v>13284</v>
      </c>
      <c r="M331" s="9" t="s">
        <v>13284</v>
      </c>
      <c r="N331" s="9" t="s">
        <v>13284</v>
      </c>
      <c r="O331" s="9" t="s">
        <v>13284</v>
      </c>
      <c r="P331" s="9" t="s">
        <v>13284</v>
      </c>
      <c r="Q331" s="9" t="s">
        <v>13284</v>
      </c>
      <c r="R331" s="9" t="s">
        <v>13284</v>
      </c>
      <c r="S331" s="9" t="s">
        <v>13284</v>
      </c>
      <c r="T331" s="9" t="str">
        <f ca="1">IFERROR(IF(AND(VLOOKUP(A331, 'Актуальное состояние (из общего'!A:C,3,0) = "", A331 &lt;&gt; ""), "ПРОВЕРИТЬ", VLOOKUP(A331, 'Актуальное состояние (из общего'!A:C,3,0)), "")</f>
        <v>Студент</v>
      </c>
      <c r="U331" s="9" t="s">
        <v>13284</v>
      </c>
      <c r="V331" s="9" t="s">
        <v>13284</v>
      </c>
      <c r="W331" s="12"/>
      <c r="X331" s="9" t="str">
        <f t="array" ref="X331">IFERROR(INDEX('Адреса общежитий (скрытый)'!$B$2:$B$9, MATCH(W331, 'Адреса общежитий (скрытый)'!$A$2:$A$9, 0)), "")</f>
        <v/>
      </c>
      <c r="Y331" s="18"/>
      <c r="Z331" s="18"/>
      <c r="AA331" s="18"/>
      <c r="AB331" s="18"/>
      <c r="AC331" s="18"/>
    </row>
    <row r="332" spans="1:29" ht="32.25" customHeight="1">
      <c r="A332" s="8">
        <v>2313232</v>
      </c>
      <c r="B332" s="9" t="s">
        <v>13284</v>
      </c>
      <c r="C332" s="9" t="s">
        <v>13284</v>
      </c>
      <c r="D332" s="9" t="s">
        <v>13284</v>
      </c>
      <c r="E332" s="9" t="s">
        <v>13284</v>
      </c>
      <c r="F332" s="9" t="s">
        <v>13284</v>
      </c>
      <c r="G332" s="9" t="s">
        <v>13284</v>
      </c>
      <c r="H332" s="9" t="s">
        <v>13284</v>
      </c>
      <c r="I332" s="9" t="s">
        <v>13284</v>
      </c>
      <c r="J332" s="9" t="s">
        <v>13284</v>
      </c>
      <c r="K332" s="9" t="s">
        <v>13284</v>
      </c>
      <c r="L332" s="9" t="s">
        <v>13284</v>
      </c>
      <c r="M332" s="9" t="s">
        <v>13284</v>
      </c>
      <c r="N332" s="9" t="s">
        <v>13284</v>
      </c>
      <c r="O332" s="9" t="s">
        <v>13284</v>
      </c>
      <c r="P332" s="9" t="s">
        <v>13284</v>
      </c>
      <c r="Q332" s="9" t="s">
        <v>13284</v>
      </c>
      <c r="R332" s="9" t="s">
        <v>13284</v>
      </c>
      <c r="S332" s="9" t="s">
        <v>13284</v>
      </c>
      <c r="T332" s="9" t="str">
        <f ca="1">IFERROR(IF(AND(VLOOKUP(A332, 'Актуальное состояние (из общего'!A:C,3,0) = "", A332 &lt;&gt; ""), "ПРОВЕРИТЬ", VLOOKUP(A332, 'Актуальное состояние (из общего'!A:C,3,0)), "")</f>
        <v>Студент</v>
      </c>
      <c r="U332" s="9" t="s">
        <v>13284</v>
      </c>
      <c r="V332" s="9" t="s">
        <v>13284</v>
      </c>
      <c r="W332" s="9" t="s">
        <v>319</v>
      </c>
      <c r="X332" s="9" t="str">
        <f t="array" ref="X332">IFERROR(INDEX('Адреса общежитий (скрытый)'!$B$2:$B$9, MATCH(W332, 'Адреса общежитий (скрытый)'!$A$2:$A$9, 0)), "")</f>
        <v>ул. Профсоюзная, д.83, корп. 2</v>
      </c>
      <c r="Y332" s="18"/>
      <c r="Z332" s="18"/>
      <c r="AA332" s="18"/>
      <c r="AB332" s="18"/>
      <c r="AC332" s="18"/>
    </row>
    <row r="333" spans="1:29" ht="32.25" customHeight="1">
      <c r="A333" s="8">
        <v>2311166</v>
      </c>
      <c r="B333" s="9" t="s">
        <v>13284</v>
      </c>
      <c r="C333" s="9" t="s">
        <v>13284</v>
      </c>
      <c r="D333" s="9" t="s">
        <v>13284</v>
      </c>
      <c r="E333" s="9" t="s">
        <v>13284</v>
      </c>
      <c r="F333" s="9" t="s">
        <v>13284</v>
      </c>
      <c r="G333" s="9" t="s">
        <v>13284</v>
      </c>
      <c r="H333" s="9" t="s">
        <v>13284</v>
      </c>
      <c r="I333" s="9" t="s">
        <v>13284</v>
      </c>
      <c r="J333" s="9" t="s">
        <v>13284</v>
      </c>
      <c r="K333" s="9" t="s">
        <v>13284</v>
      </c>
      <c r="L333" s="9" t="s">
        <v>13284</v>
      </c>
      <c r="M333" s="9" t="s">
        <v>13284</v>
      </c>
      <c r="N333" s="9" t="s">
        <v>13284</v>
      </c>
      <c r="O333" s="9" t="s">
        <v>13284</v>
      </c>
      <c r="P333" s="9" t="s">
        <v>13284</v>
      </c>
      <c r="Q333" s="9" t="s">
        <v>13284</v>
      </c>
      <c r="R333" s="9" t="s">
        <v>13284</v>
      </c>
      <c r="S333" s="9" t="s">
        <v>13284</v>
      </c>
      <c r="T333" s="9" t="str">
        <f ca="1">IFERROR(IF(AND(VLOOKUP(A333, 'Актуальное состояние (из общего'!A:C,3,0) = "", A333 &lt;&gt; ""), "ПРОВЕРИТЬ", VLOOKUP(A333, 'Актуальное состояние (из общего'!A:C,3,0)), "")</f>
        <v>Студент</v>
      </c>
      <c r="U333" s="9" t="s">
        <v>13284</v>
      </c>
      <c r="V333" s="9" t="s">
        <v>13284</v>
      </c>
      <c r="W333" s="12"/>
      <c r="X333" s="9" t="str">
        <f t="array" ref="X333">IFERROR(INDEX('Адреса общежитий (скрытый)'!$B$2:$B$9, MATCH(W333, 'Адреса общежитий (скрытый)'!$A$2:$A$9, 0)), "")</f>
        <v/>
      </c>
      <c r="Y333" s="18"/>
      <c r="Z333" s="18"/>
      <c r="AA333" s="18"/>
      <c r="AB333" s="18"/>
      <c r="AC333" s="18"/>
    </row>
    <row r="334" spans="1:29" ht="32.25" customHeight="1">
      <c r="A334" s="8">
        <v>2302043</v>
      </c>
      <c r="B334" s="9" t="s">
        <v>13284</v>
      </c>
      <c r="C334" s="9" t="s">
        <v>13284</v>
      </c>
      <c r="D334" s="9" t="s">
        <v>13284</v>
      </c>
      <c r="E334" s="9" t="s">
        <v>13284</v>
      </c>
      <c r="F334" s="9" t="s">
        <v>13284</v>
      </c>
      <c r="G334" s="9" t="s">
        <v>13284</v>
      </c>
      <c r="H334" s="9" t="s">
        <v>13284</v>
      </c>
      <c r="I334" s="9" t="s">
        <v>13284</v>
      </c>
      <c r="J334" s="9" t="s">
        <v>13284</v>
      </c>
      <c r="K334" s="9" t="s">
        <v>13284</v>
      </c>
      <c r="L334" s="9" t="s">
        <v>13284</v>
      </c>
      <c r="M334" s="9" t="s">
        <v>13284</v>
      </c>
      <c r="N334" s="9" t="s">
        <v>13284</v>
      </c>
      <c r="O334" s="9" t="s">
        <v>13284</v>
      </c>
      <c r="P334" s="9" t="s">
        <v>13284</v>
      </c>
      <c r="Q334" s="9" t="s">
        <v>13284</v>
      </c>
      <c r="R334" s="9" t="s">
        <v>13284</v>
      </c>
      <c r="S334" s="9" t="s">
        <v>13284</v>
      </c>
      <c r="T334" s="9" t="str">
        <f ca="1">IFERROR(IF(AND(VLOOKUP(A334, 'Актуальное состояние (из общего'!A:C,3,0) = "", A334 &lt;&gt; ""), "ПРОВЕРИТЬ", VLOOKUP(A334, 'Актуальное состояние (из общего'!A:C,3,0)), "")</f>
        <v>Студент</v>
      </c>
      <c r="U334" s="9" t="s">
        <v>13284</v>
      </c>
      <c r="V334" s="9" t="s">
        <v>13284</v>
      </c>
      <c r="W334" s="12" t="s">
        <v>319</v>
      </c>
      <c r="X334" s="9" t="str">
        <f t="array" ref="X334">IFERROR(INDEX('Адреса общежитий (скрытый)'!$B$2:$B$9, MATCH(W334, 'Адреса общежитий (скрытый)'!$A$2:$A$9, 0)), "")</f>
        <v>ул. Профсоюзная, д.83, корп. 2</v>
      </c>
      <c r="Y334" s="18" t="s">
        <v>963</v>
      </c>
      <c r="Z334" s="18"/>
      <c r="AA334" s="18"/>
      <c r="AB334" s="18"/>
      <c r="AC334" s="18"/>
    </row>
    <row r="335" spans="1:29" ht="32.25" customHeight="1">
      <c r="A335" s="8">
        <v>2310869</v>
      </c>
      <c r="B335" s="9" t="s">
        <v>13284</v>
      </c>
      <c r="C335" s="9" t="s">
        <v>13284</v>
      </c>
      <c r="D335" s="9" t="s">
        <v>13284</v>
      </c>
      <c r="E335" s="9" t="s">
        <v>13284</v>
      </c>
      <c r="F335" s="9" t="s">
        <v>13284</v>
      </c>
      <c r="G335" s="9" t="s">
        <v>13284</v>
      </c>
      <c r="H335" s="9" t="s">
        <v>13284</v>
      </c>
      <c r="I335" s="9" t="s">
        <v>13284</v>
      </c>
      <c r="J335" s="9" t="s">
        <v>13284</v>
      </c>
      <c r="K335" s="9" t="s">
        <v>13284</v>
      </c>
      <c r="L335" s="9" t="s">
        <v>13284</v>
      </c>
      <c r="M335" s="9" t="s">
        <v>13284</v>
      </c>
      <c r="N335" s="9" t="s">
        <v>13284</v>
      </c>
      <c r="O335" s="9" t="s">
        <v>13284</v>
      </c>
      <c r="P335" s="9" t="s">
        <v>13284</v>
      </c>
      <c r="Q335" s="9" t="s">
        <v>13284</v>
      </c>
      <c r="R335" s="9" t="s">
        <v>13284</v>
      </c>
      <c r="S335" s="9" t="s">
        <v>13284</v>
      </c>
      <c r="T335" s="9" t="str">
        <f ca="1">IFERROR(IF(AND(VLOOKUP(A335, 'Актуальное состояние (из общего'!A:C,3,0) = "", A335 &lt;&gt; ""), "ПРОВЕРИТЬ", VLOOKUP(A335, 'Актуальное состояние (из общего'!A:C,3,0)), "")</f>
        <v>Студент</v>
      </c>
      <c r="U335" s="9" t="s">
        <v>13284</v>
      </c>
      <c r="V335" s="9" t="s">
        <v>13284</v>
      </c>
      <c r="W335" s="9" t="s">
        <v>319</v>
      </c>
      <c r="X335" s="9" t="str">
        <f t="array" ref="X335">IFERROR(INDEX('Адреса общежитий (скрытый)'!$B$2:$B$9, MATCH(W335, 'Адреса общежитий (скрытый)'!$A$2:$A$9, 0)), "")</f>
        <v>ул. Профсоюзная, д.83, корп. 2</v>
      </c>
      <c r="Y335" s="18"/>
      <c r="Z335" s="18"/>
      <c r="AA335" s="18"/>
      <c r="AB335" s="18"/>
      <c r="AC335" s="18"/>
    </row>
    <row r="336" spans="1:29" ht="32.25" hidden="1" customHeight="1">
      <c r="A336" s="8">
        <v>2308172</v>
      </c>
      <c r="B336" s="9" t="s">
        <v>13284</v>
      </c>
      <c r="C336" s="9" t="s">
        <v>13284</v>
      </c>
      <c r="D336" s="9" t="s">
        <v>13284</v>
      </c>
      <c r="E336" s="9" t="s">
        <v>13284</v>
      </c>
      <c r="F336" s="9" t="s">
        <v>13284</v>
      </c>
      <c r="G336" s="9" t="s">
        <v>13284</v>
      </c>
      <c r="H336" s="9" t="s">
        <v>13284</v>
      </c>
      <c r="I336" s="9" t="s">
        <v>13284</v>
      </c>
      <c r="J336" s="9" t="s">
        <v>13284</v>
      </c>
      <c r="K336" s="9" t="s">
        <v>13284</v>
      </c>
      <c r="L336" s="9" t="s">
        <v>13284</v>
      </c>
      <c r="M336" s="9" t="s">
        <v>13284</v>
      </c>
      <c r="N336" s="9" t="s">
        <v>13284</v>
      </c>
      <c r="O336" s="9" t="s">
        <v>13284</v>
      </c>
      <c r="P336" s="9" t="s">
        <v>13284</v>
      </c>
      <c r="Q336" s="9" t="s">
        <v>13284</v>
      </c>
      <c r="R336" s="9" t="s">
        <v>13284</v>
      </c>
      <c r="S336" s="9" t="s">
        <v>13284</v>
      </c>
      <c r="T336" s="9" t="str">
        <f ca="1">IFERROR(IF(AND(VLOOKUP(A336, 'Актуальное состояние (из общего'!A:C,3,0) = "", A336 &lt;&gt; ""), "ПРОВЕРИТЬ", VLOOKUP(A336, 'Актуальное состояние (из общего'!A:C,3,0)), "")</f>
        <v>Студент</v>
      </c>
      <c r="U336" s="9" t="s">
        <v>13284</v>
      </c>
      <c r="V336" s="9" t="s">
        <v>13284</v>
      </c>
      <c r="W336" s="12"/>
      <c r="X336" s="9" t="str">
        <f t="array" ref="X336">IFERROR(INDEX('Адреса общежитий (скрытый)'!$B$2:$B$9, MATCH(W336, 'Адреса общежитий (скрытый)'!$A$2:$A$9, 0)), "")</f>
        <v/>
      </c>
      <c r="Y336" s="18"/>
      <c r="Z336" s="18"/>
      <c r="AA336" s="18"/>
      <c r="AB336" s="18"/>
      <c r="AC336" s="18"/>
    </row>
    <row r="337" spans="1:29" ht="32.25" customHeight="1">
      <c r="A337" s="8">
        <v>2302161</v>
      </c>
      <c r="B337" s="9" t="s">
        <v>13284</v>
      </c>
      <c r="C337" s="9" t="s">
        <v>13284</v>
      </c>
      <c r="D337" s="9" t="s">
        <v>13284</v>
      </c>
      <c r="E337" s="9" t="s">
        <v>13284</v>
      </c>
      <c r="F337" s="9" t="s">
        <v>13284</v>
      </c>
      <c r="G337" s="9" t="s">
        <v>13284</v>
      </c>
      <c r="H337" s="9" t="s">
        <v>13284</v>
      </c>
      <c r="I337" s="9" t="s">
        <v>13284</v>
      </c>
      <c r="J337" s="9" t="s">
        <v>13284</v>
      </c>
      <c r="K337" s="9" t="s">
        <v>13284</v>
      </c>
      <c r="L337" s="9" t="s">
        <v>13284</v>
      </c>
      <c r="M337" s="9" t="s">
        <v>13284</v>
      </c>
      <c r="N337" s="9" t="s">
        <v>13284</v>
      </c>
      <c r="O337" s="9" t="s">
        <v>13284</v>
      </c>
      <c r="P337" s="9" t="s">
        <v>13284</v>
      </c>
      <c r="Q337" s="9" t="s">
        <v>13284</v>
      </c>
      <c r="R337" s="9" t="s">
        <v>13284</v>
      </c>
      <c r="S337" s="9" t="s">
        <v>13284</v>
      </c>
      <c r="T337" s="9" t="str">
        <f ca="1">IFERROR(IF(AND(VLOOKUP(A337, 'Актуальное состояние (из общего'!A:C,3,0) = "", A337 &lt;&gt; ""), "ПРОВЕРИТЬ", VLOOKUP(A337, 'Актуальное состояние (из общего'!A:C,3,0)), "")</f>
        <v>Студент</v>
      </c>
      <c r="U337" s="9" t="s">
        <v>13284</v>
      </c>
      <c r="V337" s="9" t="s">
        <v>13284</v>
      </c>
      <c r="W337" s="12"/>
      <c r="X337" s="9" t="str">
        <f t="array" ref="X337">IFERROR(INDEX('Адреса общежитий (скрытый)'!$B$2:$B$9, MATCH(W337, 'Адреса общежитий (скрытый)'!$A$2:$A$9, 0)), "")</f>
        <v/>
      </c>
      <c r="Y337" s="18"/>
      <c r="Z337" s="18"/>
      <c r="AA337" s="18"/>
      <c r="AB337" s="18"/>
      <c r="AC337" s="18"/>
    </row>
    <row r="338" spans="1:29" ht="32.25" customHeight="1">
      <c r="A338" s="8">
        <v>2310323</v>
      </c>
      <c r="B338" s="9" t="s">
        <v>13284</v>
      </c>
      <c r="C338" s="9" t="s">
        <v>13284</v>
      </c>
      <c r="D338" s="9" t="s">
        <v>13284</v>
      </c>
      <c r="E338" s="9" t="s">
        <v>13284</v>
      </c>
      <c r="F338" s="9" t="s">
        <v>13284</v>
      </c>
      <c r="G338" s="9" t="s">
        <v>13284</v>
      </c>
      <c r="H338" s="9" t="s">
        <v>13284</v>
      </c>
      <c r="I338" s="9" t="s">
        <v>13284</v>
      </c>
      <c r="J338" s="9" t="s">
        <v>13284</v>
      </c>
      <c r="K338" s="9" t="s">
        <v>13284</v>
      </c>
      <c r="L338" s="9" t="s">
        <v>13284</v>
      </c>
      <c r="M338" s="9" t="s">
        <v>13284</v>
      </c>
      <c r="N338" s="9" t="s">
        <v>13284</v>
      </c>
      <c r="O338" s="9" t="s">
        <v>13284</v>
      </c>
      <c r="P338" s="9" t="s">
        <v>13284</v>
      </c>
      <c r="Q338" s="9" t="s">
        <v>13284</v>
      </c>
      <c r="R338" s="9" t="s">
        <v>13284</v>
      </c>
      <c r="S338" s="9" t="s">
        <v>13284</v>
      </c>
      <c r="T338" s="9" t="str">
        <f ca="1">IFERROR(IF(AND(VLOOKUP(A338, 'Актуальное состояние (из общего'!A:C,3,0) = "", A338 &lt;&gt; ""), "ПРОВЕРИТЬ", VLOOKUP(A338, 'Актуальное состояние (из общего'!A:C,3,0)), "")</f>
        <v>Студент</v>
      </c>
      <c r="U338" s="9" t="s">
        <v>13284</v>
      </c>
      <c r="V338" s="9" t="s">
        <v>13284</v>
      </c>
      <c r="W338" s="12"/>
      <c r="X338" s="9" t="str">
        <f t="array" ref="X338">IFERROR(INDEX('Адреса общежитий (скрытый)'!$B$2:$B$9, MATCH(W338, 'Адреса общежитий (скрытый)'!$A$2:$A$9, 0)), "")</f>
        <v/>
      </c>
      <c r="Y338" s="18"/>
      <c r="Z338" s="18"/>
      <c r="AA338" s="18"/>
      <c r="AB338" s="18"/>
      <c r="AC338" s="18"/>
    </row>
    <row r="339" spans="1:29" ht="32.25" customHeight="1">
      <c r="A339" s="8">
        <v>2301574</v>
      </c>
      <c r="B339" s="9" t="s">
        <v>13284</v>
      </c>
      <c r="C339" s="9" t="s">
        <v>13284</v>
      </c>
      <c r="D339" s="9" t="s">
        <v>13284</v>
      </c>
      <c r="E339" s="9" t="s">
        <v>13284</v>
      </c>
      <c r="F339" s="9" t="s">
        <v>13284</v>
      </c>
      <c r="G339" s="9" t="s">
        <v>13284</v>
      </c>
      <c r="H339" s="9" t="s">
        <v>13284</v>
      </c>
      <c r="I339" s="9" t="s">
        <v>13284</v>
      </c>
      <c r="J339" s="9" t="s">
        <v>13284</v>
      </c>
      <c r="K339" s="9" t="s">
        <v>13284</v>
      </c>
      <c r="L339" s="9" t="s">
        <v>13284</v>
      </c>
      <c r="M339" s="9" t="s">
        <v>13284</v>
      </c>
      <c r="N339" s="9" t="s">
        <v>13284</v>
      </c>
      <c r="O339" s="9" t="s">
        <v>13284</v>
      </c>
      <c r="P339" s="9" t="s">
        <v>13284</v>
      </c>
      <c r="Q339" s="9" t="s">
        <v>13284</v>
      </c>
      <c r="R339" s="9" t="s">
        <v>13284</v>
      </c>
      <c r="S339" s="9" t="s">
        <v>13284</v>
      </c>
      <c r="T339" s="9" t="str">
        <f ca="1">IFERROR(IF(AND(VLOOKUP(A339, 'Актуальное состояние (из общего'!A:C,3,0) = "", A339 &lt;&gt; ""), "ПРОВЕРИТЬ", VLOOKUP(A339, 'Актуальное состояние (из общего'!A:C,3,0)), "")</f>
        <v>Студент</v>
      </c>
      <c r="U339" s="9" t="s">
        <v>13284</v>
      </c>
      <c r="V339" s="9" t="s">
        <v>13284</v>
      </c>
      <c r="W339" s="9" t="s">
        <v>319</v>
      </c>
      <c r="X339" s="9" t="str">
        <f t="array" ref="X339">IFERROR(INDEX('Адреса общежитий (скрытый)'!$B$2:$B$9, MATCH(W339, 'Адреса общежитий (скрытый)'!$A$2:$A$9, 0)), "")</f>
        <v>ул. Профсоюзная, д.83, корп. 2</v>
      </c>
      <c r="Y339" s="18"/>
      <c r="Z339" s="18"/>
      <c r="AA339" s="18"/>
      <c r="AB339" s="18"/>
      <c r="AC339" s="18"/>
    </row>
    <row r="340" spans="1:29" ht="32.25" hidden="1" customHeight="1">
      <c r="A340" s="8">
        <v>2303165</v>
      </c>
      <c r="B340" s="9" t="s">
        <v>13284</v>
      </c>
      <c r="C340" s="9" t="s">
        <v>13284</v>
      </c>
      <c r="D340" s="9" t="s">
        <v>13284</v>
      </c>
      <c r="E340" s="9" t="s">
        <v>13284</v>
      </c>
      <c r="F340" s="9" t="s">
        <v>13284</v>
      </c>
      <c r="G340" s="9" t="s">
        <v>13284</v>
      </c>
      <c r="H340" s="9" t="s">
        <v>13284</v>
      </c>
      <c r="I340" s="9" t="s">
        <v>13284</v>
      </c>
      <c r="J340" s="9" t="s">
        <v>13284</v>
      </c>
      <c r="K340" s="9" t="s">
        <v>13284</v>
      </c>
      <c r="L340" s="9" t="s">
        <v>13284</v>
      </c>
      <c r="M340" s="9" t="s">
        <v>13284</v>
      </c>
      <c r="N340" s="9" t="s">
        <v>13284</v>
      </c>
      <c r="O340" s="9" t="s">
        <v>13284</v>
      </c>
      <c r="P340" s="9" t="s">
        <v>13284</v>
      </c>
      <c r="Q340" s="9" t="s">
        <v>13284</v>
      </c>
      <c r="R340" s="9" t="s">
        <v>13284</v>
      </c>
      <c r="S340" s="9" t="s">
        <v>13284</v>
      </c>
      <c r="T340" s="9" t="str">
        <f ca="1">IFERROR(IF(AND(VLOOKUP(A340, 'Актуальное состояние (из общего'!A:C,3,0) = "", A340 &lt;&gt; ""), "ПРОВЕРИТЬ", VLOOKUP(A340, 'Актуальное состояние (из общего'!A:C,3,0)), "")</f>
        <v>Студент</v>
      </c>
      <c r="U340" s="9" t="s">
        <v>13284</v>
      </c>
      <c r="V340" s="9" t="s">
        <v>13284</v>
      </c>
      <c r="W340" s="12"/>
      <c r="X340" s="9" t="str">
        <f t="array" ref="X340">IFERROR(INDEX('Адреса общежитий (скрытый)'!$B$2:$B$9, MATCH(W340, 'Адреса общежитий (скрытый)'!$A$2:$A$9, 0)), "")</f>
        <v/>
      </c>
      <c r="Y340" s="18"/>
      <c r="Z340" s="18"/>
      <c r="AA340" s="18"/>
      <c r="AB340" s="18"/>
      <c r="AC340" s="18"/>
    </row>
    <row r="341" spans="1:29" ht="32.25" customHeight="1">
      <c r="A341" s="8">
        <v>2311889</v>
      </c>
      <c r="B341" s="9" t="s">
        <v>13284</v>
      </c>
      <c r="C341" s="9" t="s">
        <v>13284</v>
      </c>
      <c r="D341" s="9" t="s">
        <v>13284</v>
      </c>
      <c r="E341" s="9" t="s">
        <v>13284</v>
      </c>
      <c r="F341" s="9" t="s">
        <v>13284</v>
      </c>
      <c r="G341" s="9" t="s">
        <v>13284</v>
      </c>
      <c r="H341" s="9" t="s">
        <v>13284</v>
      </c>
      <c r="I341" s="9" t="s">
        <v>13284</v>
      </c>
      <c r="J341" s="9" t="s">
        <v>13284</v>
      </c>
      <c r="K341" s="9" t="s">
        <v>13284</v>
      </c>
      <c r="L341" s="9" t="s">
        <v>13284</v>
      </c>
      <c r="M341" s="9" t="s">
        <v>13284</v>
      </c>
      <c r="N341" s="9" t="s">
        <v>13284</v>
      </c>
      <c r="O341" s="9" t="s">
        <v>13284</v>
      </c>
      <c r="P341" s="9" t="s">
        <v>13284</v>
      </c>
      <c r="Q341" s="9" t="s">
        <v>13284</v>
      </c>
      <c r="R341" s="9" t="s">
        <v>13284</v>
      </c>
      <c r="S341" s="9" t="s">
        <v>13284</v>
      </c>
      <c r="T341" s="9" t="str">
        <f ca="1">IFERROR(IF(AND(VLOOKUP(A341, 'Актуальное состояние (из общего'!A:C,3,0) = "", A341 &lt;&gt; ""), "ПРОВЕРИТЬ", VLOOKUP(A341, 'Актуальное состояние (из общего'!A:C,3,0)), "")</f>
        <v>Студент</v>
      </c>
      <c r="U341" s="9" t="s">
        <v>13284</v>
      </c>
      <c r="V341" s="9" t="s">
        <v>13284</v>
      </c>
      <c r="W341" s="12"/>
      <c r="X341" s="9" t="str">
        <f t="array" ref="X341">IFERROR(INDEX('Адреса общежитий (скрытый)'!$B$2:$B$9, MATCH(W341, 'Адреса общежитий (скрытый)'!$A$2:$A$9, 0)), "")</f>
        <v/>
      </c>
      <c r="Y341" s="18"/>
      <c r="Z341" s="18"/>
      <c r="AA341" s="18"/>
      <c r="AB341" s="18"/>
      <c r="AC341" s="18"/>
    </row>
    <row r="342" spans="1:29" ht="32.25" customHeight="1">
      <c r="A342" s="8">
        <v>2309643</v>
      </c>
      <c r="B342" s="9" t="s">
        <v>13284</v>
      </c>
      <c r="C342" s="9" t="s">
        <v>13284</v>
      </c>
      <c r="D342" s="9" t="s">
        <v>13284</v>
      </c>
      <c r="E342" s="9" t="s">
        <v>13284</v>
      </c>
      <c r="F342" s="9" t="s">
        <v>13284</v>
      </c>
      <c r="G342" s="9" t="s">
        <v>13284</v>
      </c>
      <c r="H342" s="9" t="s">
        <v>13284</v>
      </c>
      <c r="I342" s="9" t="s">
        <v>13284</v>
      </c>
      <c r="J342" s="9" t="s">
        <v>13284</v>
      </c>
      <c r="K342" s="9" t="s">
        <v>13284</v>
      </c>
      <c r="L342" s="9" t="s">
        <v>13284</v>
      </c>
      <c r="M342" s="9" t="s">
        <v>13284</v>
      </c>
      <c r="N342" s="9" t="s">
        <v>13284</v>
      </c>
      <c r="O342" s="9" t="s">
        <v>13284</v>
      </c>
      <c r="P342" s="9" t="s">
        <v>13284</v>
      </c>
      <c r="Q342" s="9" t="s">
        <v>13284</v>
      </c>
      <c r="R342" s="9" t="s">
        <v>13284</v>
      </c>
      <c r="S342" s="9" t="s">
        <v>13284</v>
      </c>
      <c r="T342" s="9" t="str">
        <f ca="1">IFERROR(IF(AND(VLOOKUP(A342, 'Актуальное состояние (из общего'!A:C,3,0) = "", A342 &lt;&gt; ""), "ПРОВЕРИТЬ", VLOOKUP(A342, 'Актуальное состояние (из общего'!A:C,3,0)), "")</f>
        <v>Студент</v>
      </c>
      <c r="U342" s="9" t="s">
        <v>13284</v>
      </c>
      <c r="V342" s="9" t="s">
        <v>13284</v>
      </c>
      <c r="W342" s="9" t="s">
        <v>319</v>
      </c>
      <c r="X342" s="9" t="str">
        <f t="array" ref="X342">IFERROR(INDEX('Адреса общежитий (скрытый)'!$B$2:$B$9, MATCH(W342, 'Адреса общежитий (скрытый)'!$A$2:$A$9, 0)), "")</f>
        <v>ул. Профсоюзная, д.83, корп. 2</v>
      </c>
      <c r="Y342" s="18"/>
      <c r="Z342" s="18"/>
      <c r="AA342" s="18"/>
      <c r="AB342" s="18"/>
      <c r="AC342" s="18"/>
    </row>
    <row r="343" spans="1:29" ht="32.25" customHeight="1">
      <c r="A343" s="8">
        <v>2312690</v>
      </c>
      <c r="B343" s="9" t="s">
        <v>13284</v>
      </c>
      <c r="C343" s="9" t="s">
        <v>13284</v>
      </c>
      <c r="D343" s="9" t="s">
        <v>13284</v>
      </c>
      <c r="E343" s="9" t="s">
        <v>13284</v>
      </c>
      <c r="F343" s="9" t="s">
        <v>13284</v>
      </c>
      <c r="G343" s="9" t="s">
        <v>13284</v>
      </c>
      <c r="H343" s="9" t="s">
        <v>13284</v>
      </c>
      <c r="I343" s="9" t="s">
        <v>13284</v>
      </c>
      <c r="J343" s="9" t="s">
        <v>13284</v>
      </c>
      <c r="K343" s="9" t="s">
        <v>13284</v>
      </c>
      <c r="L343" s="9" t="s">
        <v>13284</v>
      </c>
      <c r="M343" s="9" t="s">
        <v>13284</v>
      </c>
      <c r="N343" s="9" t="s">
        <v>13284</v>
      </c>
      <c r="O343" s="9" t="s">
        <v>13284</v>
      </c>
      <c r="P343" s="9" t="s">
        <v>13284</v>
      </c>
      <c r="Q343" s="9" t="s">
        <v>13284</v>
      </c>
      <c r="R343" s="9" t="s">
        <v>13284</v>
      </c>
      <c r="S343" s="9" t="s">
        <v>13284</v>
      </c>
      <c r="T343" s="9" t="str">
        <f ca="1">IFERROR(IF(AND(VLOOKUP(A343, 'Актуальное состояние (из общего'!A:C,3,0) = "", A343 &lt;&gt; ""), "ПРОВЕРИТЬ", VLOOKUP(A343, 'Актуальное состояние (из общего'!A:C,3,0)), "")</f>
        <v>Студент</v>
      </c>
      <c r="U343" s="9" t="s">
        <v>13284</v>
      </c>
      <c r="V343" s="9" t="s">
        <v>13284</v>
      </c>
      <c r="W343" s="12"/>
      <c r="X343" s="9" t="str">
        <f t="array" ref="X343">IFERROR(INDEX('Адреса общежитий (скрытый)'!$B$2:$B$9, MATCH(W343, 'Адреса общежитий (скрытый)'!$A$2:$A$9, 0)), "")</f>
        <v/>
      </c>
      <c r="Y343" s="18"/>
      <c r="Z343" s="18"/>
      <c r="AA343" s="18"/>
      <c r="AB343" s="18"/>
      <c r="AC343" s="18"/>
    </row>
    <row r="344" spans="1:29" ht="32.25" customHeight="1">
      <c r="A344" s="8">
        <v>2301077</v>
      </c>
      <c r="B344" s="9" t="s">
        <v>13284</v>
      </c>
      <c r="C344" s="9" t="s">
        <v>13284</v>
      </c>
      <c r="D344" s="9" t="s">
        <v>13284</v>
      </c>
      <c r="E344" s="9" t="s">
        <v>13284</v>
      </c>
      <c r="F344" s="9" t="s">
        <v>13284</v>
      </c>
      <c r="G344" s="9" t="s">
        <v>13284</v>
      </c>
      <c r="H344" s="9" t="s">
        <v>13284</v>
      </c>
      <c r="I344" s="9" t="s">
        <v>13284</v>
      </c>
      <c r="J344" s="9" t="s">
        <v>13284</v>
      </c>
      <c r="K344" s="9" t="s">
        <v>13284</v>
      </c>
      <c r="L344" s="9" t="s">
        <v>13284</v>
      </c>
      <c r="M344" s="9" t="s">
        <v>13284</v>
      </c>
      <c r="N344" s="9" t="s">
        <v>13284</v>
      </c>
      <c r="O344" s="9" t="s">
        <v>13284</v>
      </c>
      <c r="P344" s="9" t="s">
        <v>13284</v>
      </c>
      <c r="Q344" s="9" t="s">
        <v>13284</v>
      </c>
      <c r="R344" s="9" t="s">
        <v>13284</v>
      </c>
      <c r="S344" s="9" t="s">
        <v>13284</v>
      </c>
      <c r="T344" s="9" t="str">
        <f ca="1">IFERROR(IF(AND(VLOOKUP(A344, 'Актуальное состояние (из общего'!A:C,3,0) = "", A344 &lt;&gt; ""), "ПРОВЕРИТЬ", VLOOKUP(A344, 'Актуальное состояние (из общего'!A:C,3,0)), "")</f>
        <v>Студент</v>
      </c>
      <c r="U344" s="9" t="s">
        <v>13284</v>
      </c>
      <c r="V344" s="9" t="s">
        <v>13284</v>
      </c>
      <c r="W344" s="12"/>
      <c r="X344" s="9" t="str">
        <f t="array" ref="X344">IFERROR(INDEX('Адреса общежитий (скрытый)'!$B$2:$B$9, MATCH(W344, 'Адреса общежитий (скрытый)'!$A$2:$A$9, 0)), "")</f>
        <v/>
      </c>
      <c r="Y344" s="18"/>
      <c r="Z344" s="18"/>
      <c r="AA344" s="18"/>
      <c r="AB344" s="18"/>
      <c r="AC344" s="18"/>
    </row>
    <row r="345" spans="1:29" ht="32.25" hidden="1" customHeight="1">
      <c r="A345" s="8">
        <v>2302955</v>
      </c>
      <c r="B345" s="9" t="s">
        <v>13284</v>
      </c>
      <c r="C345" s="9" t="s">
        <v>13284</v>
      </c>
      <c r="D345" s="9" t="s">
        <v>13284</v>
      </c>
      <c r="E345" s="9" t="s">
        <v>13284</v>
      </c>
      <c r="F345" s="9" t="s">
        <v>13284</v>
      </c>
      <c r="G345" s="9" t="s">
        <v>13284</v>
      </c>
      <c r="H345" s="9" t="s">
        <v>13284</v>
      </c>
      <c r="I345" s="9" t="s">
        <v>13284</v>
      </c>
      <c r="J345" s="9" t="s">
        <v>13284</v>
      </c>
      <c r="K345" s="9" t="s">
        <v>13284</v>
      </c>
      <c r="L345" s="9" t="s">
        <v>13284</v>
      </c>
      <c r="M345" s="9" t="s">
        <v>13284</v>
      </c>
      <c r="N345" s="9" t="s">
        <v>13284</v>
      </c>
      <c r="O345" s="9" t="s">
        <v>13284</v>
      </c>
      <c r="P345" s="9" t="s">
        <v>13284</v>
      </c>
      <c r="Q345" s="9" t="s">
        <v>13284</v>
      </c>
      <c r="R345" s="9" t="s">
        <v>13284</v>
      </c>
      <c r="S345" s="9" t="s">
        <v>13284</v>
      </c>
      <c r="T345" s="9" t="str">
        <f ca="1">IFERROR(IF(AND(VLOOKUP(A345, 'Актуальное состояние (из общего'!A:C,3,0) = "", A345 &lt;&gt; ""), "ПРОВЕРИТЬ", VLOOKUP(A345, 'Актуальное состояние (из общего'!A:C,3,0)), "")</f>
        <v>Студент</v>
      </c>
      <c r="U345" s="9" t="s">
        <v>13284</v>
      </c>
      <c r="V345" s="9" t="s">
        <v>13284</v>
      </c>
      <c r="W345" s="12"/>
      <c r="X345" s="9" t="str">
        <f t="array" ref="X345">IFERROR(INDEX('Адреса общежитий (скрытый)'!$B$2:$B$9, MATCH(W345, 'Адреса общежитий (скрытый)'!$A$2:$A$9, 0)), "")</f>
        <v/>
      </c>
      <c r="Y345" s="18"/>
      <c r="Z345" s="18"/>
      <c r="AA345" s="18"/>
      <c r="AB345" s="18"/>
      <c r="AC345" s="18"/>
    </row>
    <row r="346" spans="1:29" ht="32.25" customHeight="1">
      <c r="A346" s="8">
        <v>2305572</v>
      </c>
      <c r="B346" s="9" t="s">
        <v>13284</v>
      </c>
      <c r="C346" s="9" t="s">
        <v>13284</v>
      </c>
      <c r="D346" s="9" t="s">
        <v>13284</v>
      </c>
      <c r="E346" s="9" t="s">
        <v>13284</v>
      </c>
      <c r="F346" s="9" t="s">
        <v>13284</v>
      </c>
      <c r="G346" s="9" t="s">
        <v>13284</v>
      </c>
      <c r="H346" s="9" t="s">
        <v>13284</v>
      </c>
      <c r="I346" s="9" t="s">
        <v>13284</v>
      </c>
      <c r="J346" s="9" t="s">
        <v>13284</v>
      </c>
      <c r="K346" s="9" t="s">
        <v>13284</v>
      </c>
      <c r="L346" s="9" t="s">
        <v>13284</v>
      </c>
      <c r="M346" s="9" t="s">
        <v>13284</v>
      </c>
      <c r="N346" s="9" t="s">
        <v>13284</v>
      </c>
      <c r="O346" s="9" t="s">
        <v>13284</v>
      </c>
      <c r="P346" s="9" t="s">
        <v>13284</v>
      </c>
      <c r="Q346" s="9" t="s">
        <v>13284</v>
      </c>
      <c r="R346" s="9" t="s">
        <v>13284</v>
      </c>
      <c r="S346" s="9" t="s">
        <v>13284</v>
      </c>
      <c r="T346" s="9" t="str">
        <f ca="1">IFERROR(IF(AND(VLOOKUP(A346, 'Актуальное состояние (из общего'!A:C,3,0) = "", A346 &lt;&gt; ""), "ПРОВЕРИТЬ", VLOOKUP(A346, 'Актуальное состояние (из общего'!A:C,3,0)), "")</f>
        <v>Студент</v>
      </c>
      <c r="U346" s="9" t="s">
        <v>13284</v>
      </c>
      <c r="V346" s="9" t="s">
        <v>13284</v>
      </c>
      <c r="W346" s="12"/>
      <c r="X346" s="9" t="str">
        <f t="array" ref="X346">IFERROR(INDEX('Адреса общежитий (скрытый)'!$B$2:$B$9, MATCH(W346, 'Адреса общежитий (скрытый)'!$A$2:$A$9, 0)), "")</f>
        <v/>
      </c>
      <c r="Y346" s="18"/>
      <c r="Z346" s="18"/>
      <c r="AA346" s="18"/>
      <c r="AB346" s="18"/>
      <c r="AC346" s="18"/>
    </row>
    <row r="347" spans="1:29" ht="32.25" customHeight="1">
      <c r="A347" s="8">
        <v>2313475</v>
      </c>
      <c r="B347" s="9" t="s">
        <v>13284</v>
      </c>
      <c r="C347" s="9" t="s">
        <v>13284</v>
      </c>
      <c r="D347" s="9" t="s">
        <v>13284</v>
      </c>
      <c r="E347" s="9" t="s">
        <v>13284</v>
      </c>
      <c r="F347" s="9" t="s">
        <v>13284</v>
      </c>
      <c r="G347" s="9" t="s">
        <v>13284</v>
      </c>
      <c r="H347" s="9" t="s">
        <v>13284</v>
      </c>
      <c r="I347" s="9" t="s">
        <v>13284</v>
      </c>
      <c r="J347" s="9" t="s">
        <v>13284</v>
      </c>
      <c r="K347" s="9" t="s">
        <v>13284</v>
      </c>
      <c r="L347" s="9" t="s">
        <v>13284</v>
      </c>
      <c r="M347" s="9" t="s">
        <v>13284</v>
      </c>
      <c r="N347" s="9" t="s">
        <v>13284</v>
      </c>
      <c r="O347" s="9" t="s">
        <v>13284</v>
      </c>
      <c r="P347" s="9" t="s">
        <v>13284</v>
      </c>
      <c r="Q347" s="9" t="s">
        <v>13284</v>
      </c>
      <c r="R347" s="9" t="s">
        <v>13284</v>
      </c>
      <c r="S347" s="9" t="s">
        <v>13284</v>
      </c>
      <c r="T347" s="9" t="str">
        <f ca="1">IFERROR(IF(AND(VLOOKUP(A347, 'Актуальное состояние (из общего'!A:C,3,0) = "", A347 &lt;&gt; ""), "ПРОВЕРИТЬ", VLOOKUP(A347, 'Актуальное состояние (из общего'!A:C,3,0)), "")</f>
        <v>Студент</v>
      </c>
      <c r="U347" s="9" t="s">
        <v>13284</v>
      </c>
      <c r="V347" s="9" t="s">
        <v>13284</v>
      </c>
      <c r="W347" s="9" t="s">
        <v>319</v>
      </c>
      <c r="X347" s="9" t="str">
        <f t="array" ref="X347">IFERROR(INDEX('Адреса общежитий (скрытый)'!$B$2:$B$9, MATCH(W347, 'Адреса общежитий (скрытый)'!$A$2:$A$9, 0)), "")</f>
        <v>ул. Профсоюзная, д.83, корп. 2</v>
      </c>
      <c r="Y347" s="18"/>
      <c r="Z347" s="18"/>
      <c r="AA347" s="18"/>
      <c r="AB347" s="18"/>
      <c r="AC347" s="18"/>
    </row>
    <row r="348" spans="1:29" ht="32.25" customHeight="1">
      <c r="A348" s="8">
        <v>2302371</v>
      </c>
      <c r="B348" s="9" t="s">
        <v>13284</v>
      </c>
      <c r="C348" s="9" t="s">
        <v>13284</v>
      </c>
      <c r="D348" s="9" t="s">
        <v>13284</v>
      </c>
      <c r="E348" s="9" t="s">
        <v>13284</v>
      </c>
      <c r="F348" s="9" t="s">
        <v>13284</v>
      </c>
      <c r="G348" s="9" t="s">
        <v>13284</v>
      </c>
      <c r="H348" s="9" t="s">
        <v>13284</v>
      </c>
      <c r="I348" s="9" t="s">
        <v>13284</v>
      </c>
      <c r="J348" s="9" t="s">
        <v>13284</v>
      </c>
      <c r="K348" s="9" t="s">
        <v>13284</v>
      </c>
      <c r="L348" s="9" t="s">
        <v>13284</v>
      </c>
      <c r="M348" s="9" t="s">
        <v>13284</v>
      </c>
      <c r="N348" s="9" t="s">
        <v>13284</v>
      </c>
      <c r="O348" s="9" t="s">
        <v>13284</v>
      </c>
      <c r="P348" s="9" t="s">
        <v>13284</v>
      </c>
      <c r="Q348" s="9" t="s">
        <v>13284</v>
      </c>
      <c r="R348" s="9" t="s">
        <v>13284</v>
      </c>
      <c r="S348" s="9" t="s">
        <v>13284</v>
      </c>
      <c r="T348" s="9" t="str">
        <f ca="1">IFERROR(IF(AND(VLOOKUP(A348, 'Актуальное состояние (из общего'!A:C,3,0) = "", A348 &lt;&gt; ""), "ПРОВЕРИТЬ", VLOOKUP(A348, 'Актуальное состояние (из общего'!A:C,3,0)), "")</f>
        <v>Студент</v>
      </c>
      <c r="U348" s="9" t="s">
        <v>13284</v>
      </c>
      <c r="V348" s="9" t="s">
        <v>13284</v>
      </c>
      <c r="W348" s="12"/>
      <c r="X348" s="9" t="str">
        <f t="array" ref="X348">IFERROR(INDEX('Адреса общежитий (скрытый)'!$B$2:$B$9, MATCH(W348, 'Адреса общежитий (скрытый)'!$A$2:$A$9, 0)), "")</f>
        <v/>
      </c>
      <c r="Y348" s="18"/>
      <c r="Z348" s="18"/>
      <c r="AA348" s="18"/>
      <c r="AB348" s="18"/>
      <c r="AC348" s="18"/>
    </row>
    <row r="349" spans="1:29" ht="32.25" customHeight="1">
      <c r="A349" s="8">
        <v>2306166</v>
      </c>
      <c r="B349" s="9" t="s">
        <v>13284</v>
      </c>
      <c r="C349" s="9" t="s">
        <v>13284</v>
      </c>
      <c r="D349" s="9" t="s">
        <v>13284</v>
      </c>
      <c r="E349" s="9" t="s">
        <v>13284</v>
      </c>
      <c r="F349" s="9" t="s">
        <v>13284</v>
      </c>
      <c r="G349" s="9" t="s">
        <v>13284</v>
      </c>
      <c r="H349" s="9" t="s">
        <v>13284</v>
      </c>
      <c r="I349" s="9" t="s">
        <v>13284</v>
      </c>
      <c r="J349" s="9" t="s">
        <v>13284</v>
      </c>
      <c r="K349" s="9" t="s">
        <v>13284</v>
      </c>
      <c r="L349" s="9" t="s">
        <v>13284</v>
      </c>
      <c r="M349" s="9" t="s">
        <v>13284</v>
      </c>
      <c r="N349" s="9" t="s">
        <v>13284</v>
      </c>
      <c r="O349" s="9" t="s">
        <v>13284</v>
      </c>
      <c r="P349" s="9" t="s">
        <v>13284</v>
      </c>
      <c r="Q349" s="9" t="s">
        <v>13284</v>
      </c>
      <c r="R349" s="9" t="s">
        <v>13284</v>
      </c>
      <c r="S349" s="9" t="s">
        <v>13284</v>
      </c>
      <c r="T349" s="9" t="str">
        <f ca="1">IFERROR(IF(AND(VLOOKUP(A349, 'Актуальное состояние (из общего'!A:C,3,0) = "", A349 &lt;&gt; ""), "ПРОВЕРИТЬ", VLOOKUP(A349, 'Актуальное состояние (из общего'!A:C,3,0)), "")</f>
        <v>Студент</v>
      </c>
      <c r="U349" s="9" t="s">
        <v>13284</v>
      </c>
      <c r="V349" s="9" t="s">
        <v>13284</v>
      </c>
      <c r="W349" s="9" t="s">
        <v>319</v>
      </c>
      <c r="X349" s="9" t="str">
        <f t="array" ref="X349">IFERROR(INDEX('Адреса общежитий (скрытый)'!$B$2:$B$9, MATCH(W349, 'Адреса общежитий (скрытый)'!$A$2:$A$9, 0)), "")</f>
        <v>ул. Профсоюзная, д.83, корп. 2</v>
      </c>
      <c r="Y349" s="18"/>
      <c r="Z349" s="18"/>
      <c r="AA349" s="18"/>
      <c r="AB349" s="18"/>
      <c r="AC349" s="18"/>
    </row>
    <row r="350" spans="1:29" ht="32.25" customHeight="1">
      <c r="A350" s="8">
        <v>2302978</v>
      </c>
      <c r="B350" s="9" t="s">
        <v>13284</v>
      </c>
      <c r="C350" s="9" t="s">
        <v>13284</v>
      </c>
      <c r="D350" s="9" t="s">
        <v>13284</v>
      </c>
      <c r="E350" s="9" t="s">
        <v>13284</v>
      </c>
      <c r="F350" s="9" t="s">
        <v>13284</v>
      </c>
      <c r="G350" s="9" t="s">
        <v>13284</v>
      </c>
      <c r="H350" s="9" t="s">
        <v>13284</v>
      </c>
      <c r="I350" s="9" t="s">
        <v>13284</v>
      </c>
      <c r="J350" s="9" t="s">
        <v>13284</v>
      </c>
      <c r="K350" s="9" t="s">
        <v>13284</v>
      </c>
      <c r="L350" s="9" t="s">
        <v>13284</v>
      </c>
      <c r="M350" s="9" t="s">
        <v>13284</v>
      </c>
      <c r="N350" s="9" t="s">
        <v>13284</v>
      </c>
      <c r="O350" s="9" t="s">
        <v>13284</v>
      </c>
      <c r="P350" s="9" t="s">
        <v>13284</v>
      </c>
      <c r="Q350" s="9" t="s">
        <v>13284</v>
      </c>
      <c r="R350" s="9" t="s">
        <v>13284</v>
      </c>
      <c r="S350" s="9" t="s">
        <v>13284</v>
      </c>
      <c r="T350" s="9" t="str">
        <f ca="1">IFERROR(IF(AND(VLOOKUP(A350, 'Актуальное состояние (из общего'!A:C,3,0) = "", A350 &lt;&gt; ""), "ПРОВЕРИТЬ", VLOOKUP(A350, 'Актуальное состояние (из общего'!A:C,3,0)), "")</f>
        <v>Студент</v>
      </c>
      <c r="U350" s="9" t="s">
        <v>13284</v>
      </c>
      <c r="V350" s="9" t="s">
        <v>13284</v>
      </c>
      <c r="W350" s="12"/>
      <c r="X350" s="9" t="str">
        <f t="array" ref="X350">IFERROR(INDEX('Адреса общежитий (скрытый)'!$B$2:$B$9, MATCH(W350, 'Адреса общежитий (скрытый)'!$A$2:$A$9, 0)), "")</f>
        <v/>
      </c>
      <c r="Y350" s="18"/>
      <c r="Z350" s="18"/>
      <c r="AA350" s="18"/>
      <c r="AB350" s="18"/>
      <c r="AC350" s="18"/>
    </row>
    <row r="351" spans="1:29" ht="32.25" hidden="1" customHeight="1">
      <c r="A351" s="8">
        <v>2305869</v>
      </c>
      <c r="B351" s="9" t="s">
        <v>13284</v>
      </c>
      <c r="C351" s="9" t="s">
        <v>13284</v>
      </c>
      <c r="D351" s="9" t="s">
        <v>13284</v>
      </c>
      <c r="E351" s="9" t="s">
        <v>13284</v>
      </c>
      <c r="F351" s="9" t="s">
        <v>13284</v>
      </c>
      <c r="G351" s="9" t="s">
        <v>13284</v>
      </c>
      <c r="H351" s="9" t="s">
        <v>13284</v>
      </c>
      <c r="I351" s="9" t="s">
        <v>13284</v>
      </c>
      <c r="J351" s="9" t="s">
        <v>13284</v>
      </c>
      <c r="K351" s="9" t="s">
        <v>13284</v>
      </c>
      <c r="L351" s="9" t="s">
        <v>13284</v>
      </c>
      <c r="M351" s="9" t="s">
        <v>13284</v>
      </c>
      <c r="N351" s="9" t="s">
        <v>13284</v>
      </c>
      <c r="O351" s="9" t="s">
        <v>13284</v>
      </c>
      <c r="P351" s="9" t="s">
        <v>13284</v>
      </c>
      <c r="Q351" s="9" t="s">
        <v>13284</v>
      </c>
      <c r="R351" s="9" t="s">
        <v>13284</v>
      </c>
      <c r="S351" s="9" t="s">
        <v>13284</v>
      </c>
      <c r="T351" s="9" t="str">
        <f ca="1">IFERROR(IF(AND(VLOOKUP(A351, 'Актуальное состояние (из общего'!A:C,3,0) = "", A351 &lt;&gt; ""), "ПРОВЕРИТЬ", VLOOKUP(A351, 'Актуальное состояние (из общего'!A:C,3,0)), "")</f>
        <v>Студент</v>
      </c>
      <c r="U351" s="9" t="s">
        <v>13284</v>
      </c>
      <c r="V351" s="9" t="s">
        <v>13284</v>
      </c>
      <c r="W351" s="12"/>
      <c r="X351" s="9" t="str">
        <f t="array" ref="X351">IFERROR(INDEX('Адреса общежитий (скрытый)'!$B$2:$B$9, MATCH(W351, 'Адреса общежитий (скрытый)'!$A$2:$A$9, 0)), "")</f>
        <v/>
      </c>
      <c r="Y351" s="18"/>
      <c r="Z351" s="18"/>
      <c r="AA351" s="18"/>
      <c r="AB351" s="18"/>
      <c r="AC351" s="18"/>
    </row>
    <row r="352" spans="1:29" ht="32.25" hidden="1" customHeight="1">
      <c r="A352" s="8">
        <v>2310651</v>
      </c>
      <c r="B352" s="9" t="s">
        <v>13284</v>
      </c>
      <c r="C352" s="9" t="s">
        <v>13284</v>
      </c>
      <c r="D352" s="9" t="s">
        <v>13284</v>
      </c>
      <c r="E352" s="9" t="s">
        <v>13284</v>
      </c>
      <c r="F352" s="9" t="s">
        <v>13284</v>
      </c>
      <c r="G352" s="9" t="s">
        <v>13284</v>
      </c>
      <c r="H352" s="9" t="s">
        <v>13284</v>
      </c>
      <c r="I352" s="9" t="s">
        <v>13284</v>
      </c>
      <c r="J352" s="9" t="s">
        <v>13284</v>
      </c>
      <c r="K352" s="9" t="s">
        <v>13284</v>
      </c>
      <c r="L352" s="9" t="s">
        <v>13284</v>
      </c>
      <c r="M352" s="9" t="s">
        <v>13284</v>
      </c>
      <c r="N352" s="9" t="s">
        <v>13284</v>
      </c>
      <c r="O352" s="9" t="s">
        <v>13284</v>
      </c>
      <c r="P352" s="9" t="s">
        <v>13284</v>
      </c>
      <c r="Q352" s="9" t="s">
        <v>13284</v>
      </c>
      <c r="R352" s="9" t="s">
        <v>13284</v>
      </c>
      <c r="S352" s="9" t="s">
        <v>13284</v>
      </c>
      <c r="T352" s="9" t="str">
        <f ca="1">IFERROR(IF(AND(VLOOKUP(A352, 'Актуальное состояние (из общего'!A:C,3,0) = "", A352 &lt;&gt; ""), "ПРОВЕРИТЬ", VLOOKUP(A352, 'Актуальное состояние (из общего'!A:C,3,0)), "")</f>
        <v>Студент</v>
      </c>
      <c r="U352" s="9" t="s">
        <v>13284</v>
      </c>
      <c r="V352" s="9" t="s">
        <v>13284</v>
      </c>
      <c r="W352" s="12"/>
      <c r="X352" s="9" t="str">
        <f t="array" ref="X352">IFERROR(INDEX('Адреса общежитий (скрытый)'!$B$2:$B$9, MATCH(W352, 'Адреса общежитий (скрытый)'!$A$2:$A$9, 0)), "")</f>
        <v/>
      </c>
      <c r="Y352" s="18"/>
      <c r="Z352" s="18"/>
      <c r="AA352" s="18"/>
      <c r="AB352" s="18"/>
      <c r="AC352" s="18"/>
    </row>
    <row r="353" spans="1:29" ht="32.25" customHeight="1">
      <c r="A353" s="8">
        <v>2311236</v>
      </c>
      <c r="B353" s="9" t="s">
        <v>13284</v>
      </c>
      <c r="C353" s="9" t="s">
        <v>13284</v>
      </c>
      <c r="D353" s="9" t="s">
        <v>13284</v>
      </c>
      <c r="E353" s="9" t="s">
        <v>13284</v>
      </c>
      <c r="F353" s="9" t="s">
        <v>13284</v>
      </c>
      <c r="G353" s="9" t="s">
        <v>13284</v>
      </c>
      <c r="H353" s="9" t="s">
        <v>13284</v>
      </c>
      <c r="I353" s="9" t="s">
        <v>13284</v>
      </c>
      <c r="J353" s="9" t="s">
        <v>13284</v>
      </c>
      <c r="K353" s="9" t="s">
        <v>13284</v>
      </c>
      <c r="L353" s="9" t="s">
        <v>13284</v>
      </c>
      <c r="M353" s="9" t="s">
        <v>13284</v>
      </c>
      <c r="N353" s="9" t="s">
        <v>13284</v>
      </c>
      <c r="O353" s="9" t="s">
        <v>13284</v>
      </c>
      <c r="P353" s="9" t="s">
        <v>13284</v>
      </c>
      <c r="Q353" s="9" t="s">
        <v>13284</v>
      </c>
      <c r="R353" s="9" t="s">
        <v>13284</v>
      </c>
      <c r="S353" s="9" t="s">
        <v>13284</v>
      </c>
      <c r="T353" s="9" t="str">
        <f ca="1">IFERROR(IF(AND(VLOOKUP(A353, 'Актуальное состояние (из общего'!A:C,3,0) = "", A353 &lt;&gt; ""), "ПРОВЕРИТЬ", VLOOKUP(A353, 'Актуальное состояние (из общего'!A:C,3,0)), "")</f>
        <v>Студент</v>
      </c>
      <c r="U353" s="9" t="s">
        <v>13284</v>
      </c>
      <c r="V353" s="9" t="s">
        <v>13284</v>
      </c>
      <c r="W353" s="12"/>
      <c r="X353" s="9" t="str">
        <f t="array" ref="X353">IFERROR(INDEX('Адреса общежитий (скрытый)'!$B$2:$B$9, MATCH(W353, 'Адреса общежитий (скрытый)'!$A$2:$A$9, 0)), "")</f>
        <v/>
      </c>
      <c r="Y353" s="18"/>
      <c r="Z353" s="18"/>
      <c r="AA353" s="18"/>
      <c r="AB353" s="18"/>
      <c r="AC353" s="18"/>
    </row>
    <row r="354" spans="1:29" ht="32.25" customHeight="1">
      <c r="A354" s="8">
        <v>2304061</v>
      </c>
      <c r="B354" s="9" t="s">
        <v>13284</v>
      </c>
      <c r="C354" s="9" t="s">
        <v>13284</v>
      </c>
      <c r="D354" s="9" t="s">
        <v>13284</v>
      </c>
      <c r="E354" s="9" t="s">
        <v>13284</v>
      </c>
      <c r="F354" s="9" t="s">
        <v>13284</v>
      </c>
      <c r="G354" s="9" t="s">
        <v>13284</v>
      </c>
      <c r="H354" s="9" t="s">
        <v>13284</v>
      </c>
      <c r="I354" s="9" t="s">
        <v>13284</v>
      </c>
      <c r="J354" s="9" t="s">
        <v>13284</v>
      </c>
      <c r="K354" s="9" t="s">
        <v>13284</v>
      </c>
      <c r="L354" s="9" t="s">
        <v>13284</v>
      </c>
      <c r="M354" s="9" t="s">
        <v>13284</v>
      </c>
      <c r="N354" s="9" t="s">
        <v>13284</v>
      </c>
      <c r="O354" s="9" t="s">
        <v>13284</v>
      </c>
      <c r="P354" s="9" t="s">
        <v>13284</v>
      </c>
      <c r="Q354" s="9" t="s">
        <v>13284</v>
      </c>
      <c r="R354" s="9" t="s">
        <v>13284</v>
      </c>
      <c r="S354" s="9" t="s">
        <v>13284</v>
      </c>
      <c r="T354" s="9" t="str">
        <f ca="1">IFERROR(IF(AND(VLOOKUP(A354, 'Актуальное состояние (из общего'!A:C,3,0) = "", A354 &lt;&gt; ""), "ПРОВЕРИТЬ", VLOOKUP(A354, 'Актуальное состояние (из общего'!A:C,3,0)), "")</f>
        <v>Студент</v>
      </c>
      <c r="U354" s="9" t="s">
        <v>13284</v>
      </c>
      <c r="V354" s="9" t="s">
        <v>13284</v>
      </c>
      <c r="W354" s="12"/>
      <c r="X354" s="9" t="str">
        <f t="array" ref="X354">IFERROR(INDEX('Адреса общежитий (скрытый)'!$B$2:$B$9, MATCH(W354, 'Адреса общежитий (скрытый)'!$A$2:$A$9, 0)), "")</f>
        <v/>
      </c>
      <c r="Y354" s="18"/>
      <c r="Z354" s="18"/>
      <c r="AA354" s="18"/>
      <c r="AB354" s="18"/>
      <c r="AC354" s="18"/>
    </row>
    <row r="355" spans="1:29" ht="32.25" hidden="1" customHeight="1">
      <c r="A355" s="8">
        <v>2305427</v>
      </c>
      <c r="B355" s="9" t="s">
        <v>13284</v>
      </c>
      <c r="C355" s="9" t="s">
        <v>13284</v>
      </c>
      <c r="D355" s="9" t="s">
        <v>13284</v>
      </c>
      <c r="E355" s="9" t="s">
        <v>13284</v>
      </c>
      <c r="F355" s="9" t="s">
        <v>13284</v>
      </c>
      <c r="G355" s="9" t="s">
        <v>13284</v>
      </c>
      <c r="H355" s="9" t="s">
        <v>13284</v>
      </c>
      <c r="I355" s="9" t="s">
        <v>13284</v>
      </c>
      <c r="J355" s="9" t="s">
        <v>13284</v>
      </c>
      <c r="K355" s="9" t="s">
        <v>13284</v>
      </c>
      <c r="L355" s="9" t="s">
        <v>13284</v>
      </c>
      <c r="M355" s="9" t="s">
        <v>13284</v>
      </c>
      <c r="N355" s="9" t="s">
        <v>13284</v>
      </c>
      <c r="O355" s="9" t="s">
        <v>13284</v>
      </c>
      <c r="P355" s="9" t="s">
        <v>13284</v>
      </c>
      <c r="Q355" s="9" t="s">
        <v>13284</v>
      </c>
      <c r="R355" s="9" t="s">
        <v>13284</v>
      </c>
      <c r="S355" s="9" t="s">
        <v>13284</v>
      </c>
      <c r="T355" s="9" t="str">
        <f ca="1">IFERROR(IF(AND(VLOOKUP(A355, 'Актуальное состояние (из общего'!A:C,3,0) = "", A355 &lt;&gt; ""), "ПРОВЕРИТЬ", VLOOKUP(A355, 'Актуальное состояние (из общего'!A:C,3,0)), "")</f>
        <v>Студент</v>
      </c>
      <c r="U355" s="9" t="s">
        <v>13284</v>
      </c>
      <c r="V355" s="9" t="s">
        <v>13284</v>
      </c>
      <c r="W355" s="12"/>
      <c r="X355" s="9" t="str">
        <f t="array" ref="X355">IFERROR(INDEX('Адреса общежитий (скрытый)'!$B$2:$B$9, MATCH(W355, 'Адреса общежитий (скрытый)'!$A$2:$A$9, 0)), "")</f>
        <v/>
      </c>
      <c r="Y355" s="18"/>
      <c r="Z355" s="18"/>
      <c r="AA355" s="18"/>
      <c r="AB355" s="18"/>
      <c r="AC355" s="18"/>
    </row>
    <row r="356" spans="1:29" ht="32.25" customHeight="1">
      <c r="A356" s="8">
        <v>2301991</v>
      </c>
      <c r="B356" s="9" t="s">
        <v>13284</v>
      </c>
      <c r="C356" s="9" t="s">
        <v>13284</v>
      </c>
      <c r="D356" s="9" t="s">
        <v>13284</v>
      </c>
      <c r="E356" s="9" t="s">
        <v>13284</v>
      </c>
      <c r="F356" s="9" t="s">
        <v>13284</v>
      </c>
      <c r="G356" s="9" t="s">
        <v>13284</v>
      </c>
      <c r="H356" s="9" t="s">
        <v>13284</v>
      </c>
      <c r="I356" s="9" t="s">
        <v>13284</v>
      </c>
      <c r="J356" s="9" t="s">
        <v>13284</v>
      </c>
      <c r="K356" s="9" t="s">
        <v>13284</v>
      </c>
      <c r="L356" s="9" t="s">
        <v>13284</v>
      </c>
      <c r="M356" s="9" t="s">
        <v>13284</v>
      </c>
      <c r="N356" s="9" t="s">
        <v>13284</v>
      </c>
      <c r="O356" s="9" t="s">
        <v>13284</v>
      </c>
      <c r="P356" s="9" t="s">
        <v>13284</v>
      </c>
      <c r="Q356" s="9" t="s">
        <v>13284</v>
      </c>
      <c r="R356" s="9" t="s">
        <v>13284</v>
      </c>
      <c r="S356" s="9" t="s">
        <v>13284</v>
      </c>
      <c r="T356" s="9" t="str">
        <f ca="1">IFERROR(IF(AND(VLOOKUP(A356, 'Актуальное состояние (из общего'!A:C,3,0) = "", A356 &lt;&gt; ""), "ПРОВЕРИТЬ", VLOOKUP(A356, 'Актуальное состояние (из общего'!A:C,3,0)), "")</f>
        <v>Студент</v>
      </c>
      <c r="U356" s="9" t="s">
        <v>13284</v>
      </c>
      <c r="V356" s="9" t="s">
        <v>13284</v>
      </c>
      <c r="W356" s="12"/>
      <c r="X356" s="9" t="str">
        <f t="array" ref="X356">IFERROR(INDEX('Адреса общежитий (скрытый)'!$B$2:$B$9, MATCH(W356, 'Адреса общежитий (скрытый)'!$A$2:$A$9, 0)), "")</f>
        <v/>
      </c>
      <c r="Y356" s="18"/>
      <c r="Z356" s="18"/>
      <c r="AA356" s="18"/>
      <c r="AB356" s="18"/>
      <c r="AC356" s="18"/>
    </row>
    <row r="357" spans="1:29" ht="32.25" hidden="1" customHeight="1">
      <c r="A357" s="8">
        <v>2307879</v>
      </c>
      <c r="B357" s="9" t="s">
        <v>13284</v>
      </c>
      <c r="C357" s="9" t="s">
        <v>13284</v>
      </c>
      <c r="D357" s="9" t="s">
        <v>13284</v>
      </c>
      <c r="E357" s="9" t="s">
        <v>13284</v>
      </c>
      <c r="F357" s="9" t="s">
        <v>13284</v>
      </c>
      <c r="G357" s="9" t="s">
        <v>13284</v>
      </c>
      <c r="H357" s="9" t="s">
        <v>13284</v>
      </c>
      <c r="I357" s="9" t="s">
        <v>13284</v>
      </c>
      <c r="J357" s="9" t="s">
        <v>13284</v>
      </c>
      <c r="K357" s="9" t="s">
        <v>13284</v>
      </c>
      <c r="L357" s="9" t="s">
        <v>13284</v>
      </c>
      <c r="M357" s="9" t="s">
        <v>13284</v>
      </c>
      <c r="N357" s="9" t="s">
        <v>13284</v>
      </c>
      <c r="O357" s="9" t="s">
        <v>13284</v>
      </c>
      <c r="P357" s="9" t="s">
        <v>13284</v>
      </c>
      <c r="Q357" s="9" t="s">
        <v>13284</v>
      </c>
      <c r="R357" s="9" t="s">
        <v>13284</v>
      </c>
      <c r="S357" s="9" t="s">
        <v>13284</v>
      </c>
      <c r="T357" s="9" t="str">
        <f ca="1">IFERROR(IF(AND(VLOOKUP(A357, 'Актуальное состояние (из общего'!A:C,3,0) = "", A357 &lt;&gt; ""), "ПРОВЕРИТЬ", VLOOKUP(A357, 'Актуальное состояние (из общего'!A:C,3,0)), "")</f>
        <v>Студент</v>
      </c>
      <c r="U357" s="9" t="s">
        <v>13284</v>
      </c>
      <c r="V357" s="9" t="s">
        <v>13284</v>
      </c>
      <c r="W357" s="12"/>
      <c r="X357" s="9" t="str">
        <f t="array" ref="X357">IFERROR(INDEX('Адреса общежитий (скрытый)'!$B$2:$B$9, MATCH(W357, 'Адреса общежитий (скрытый)'!$A$2:$A$9, 0)), "")</f>
        <v/>
      </c>
      <c r="Y357" s="18"/>
      <c r="Z357" s="18"/>
      <c r="AA357" s="18"/>
      <c r="AB357" s="18"/>
      <c r="AC357" s="18"/>
    </row>
    <row r="358" spans="1:29" ht="32.25" customHeight="1">
      <c r="A358" s="8">
        <v>2308951</v>
      </c>
      <c r="B358" s="9" t="s">
        <v>13284</v>
      </c>
      <c r="C358" s="9" t="s">
        <v>13284</v>
      </c>
      <c r="D358" s="9" t="s">
        <v>13284</v>
      </c>
      <c r="E358" s="9" t="s">
        <v>13284</v>
      </c>
      <c r="F358" s="9" t="s">
        <v>13284</v>
      </c>
      <c r="G358" s="9" t="s">
        <v>13284</v>
      </c>
      <c r="H358" s="9" t="s">
        <v>13284</v>
      </c>
      <c r="I358" s="9" t="s">
        <v>13284</v>
      </c>
      <c r="J358" s="9" t="s">
        <v>13284</v>
      </c>
      <c r="K358" s="9" t="s">
        <v>13284</v>
      </c>
      <c r="L358" s="9" t="s">
        <v>13284</v>
      </c>
      <c r="M358" s="9" t="s">
        <v>13284</v>
      </c>
      <c r="N358" s="9" t="s">
        <v>13284</v>
      </c>
      <c r="O358" s="9" t="s">
        <v>13284</v>
      </c>
      <c r="P358" s="9" t="s">
        <v>13284</v>
      </c>
      <c r="Q358" s="9" t="s">
        <v>13284</v>
      </c>
      <c r="R358" s="9" t="s">
        <v>13284</v>
      </c>
      <c r="S358" s="9" t="s">
        <v>13284</v>
      </c>
      <c r="T358" s="9" t="str">
        <f ca="1">IFERROR(IF(AND(VLOOKUP(A358, 'Актуальное состояние (из общего'!A:C,3,0) = "", A358 &lt;&gt; ""), "ПРОВЕРИТЬ", VLOOKUP(A358, 'Актуальное состояние (из общего'!A:C,3,0)), "")</f>
        <v>Студент</v>
      </c>
      <c r="U358" s="9" t="s">
        <v>13284</v>
      </c>
      <c r="V358" s="9" t="s">
        <v>13284</v>
      </c>
      <c r="W358" s="12"/>
      <c r="X358" s="9" t="str">
        <f t="array" ref="X358">IFERROR(INDEX('Адреса общежитий (скрытый)'!$B$2:$B$9, MATCH(W358, 'Адреса общежитий (скрытый)'!$A$2:$A$9, 0)), "")</f>
        <v/>
      </c>
      <c r="Y358" s="18"/>
      <c r="Z358" s="18"/>
      <c r="AA358" s="18"/>
      <c r="AB358" s="18"/>
      <c r="AC358" s="18"/>
    </row>
    <row r="359" spans="1:29" ht="32.25" hidden="1" customHeight="1">
      <c r="A359" s="8">
        <v>2303662</v>
      </c>
      <c r="B359" s="9" t="s">
        <v>13284</v>
      </c>
      <c r="C359" s="9" t="s">
        <v>13284</v>
      </c>
      <c r="D359" s="9" t="s">
        <v>13284</v>
      </c>
      <c r="E359" s="9" t="s">
        <v>13284</v>
      </c>
      <c r="F359" s="9" t="s">
        <v>13284</v>
      </c>
      <c r="G359" s="9" t="s">
        <v>13284</v>
      </c>
      <c r="H359" s="9" t="s">
        <v>13284</v>
      </c>
      <c r="I359" s="9" t="s">
        <v>13284</v>
      </c>
      <c r="J359" s="9" t="s">
        <v>13284</v>
      </c>
      <c r="K359" s="9" t="s">
        <v>13284</v>
      </c>
      <c r="L359" s="9" t="s">
        <v>13284</v>
      </c>
      <c r="M359" s="9" t="s">
        <v>13284</v>
      </c>
      <c r="N359" s="9" t="s">
        <v>13284</v>
      </c>
      <c r="O359" s="9" t="s">
        <v>13284</v>
      </c>
      <c r="P359" s="9" t="s">
        <v>13284</v>
      </c>
      <c r="Q359" s="9" t="s">
        <v>13284</v>
      </c>
      <c r="R359" s="9" t="s">
        <v>13284</v>
      </c>
      <c r="S359" s="9" t="s">
        <v>13284</v>
      </c>
      <c r="T359" s="9" t="str">
        <f ca="1">IFERROR(IF(AND(VLOOKUP(A359, 'Актуальное состояние (из общего'!A:C,3,0) = "", A359 &lt;&gt; ""), "ПРОВЕРИТЬ", VLOOKUP(A359, 'Актуальное состояние (из общего'!A:C,3,0)), "")</f>
        <v>Студент</v>
      </c>
      <c r="U359" s="9" t="s">
        <v>13284</v>
      </c>
      <c r="V359" s="9" t="s">
        <v>13284</v>
      </c>
      <c r="W359" s="12"/>
      <c r="X359" s="9" t="str">
        <f t="array" ref="X359">IFERROR(INDEX('Адреса общежитий (скрытый)'!$B$2:$B$9, MATCH(W359, 'Адреса общежитий (скрытый)'!$A$2:$A$9, 0)), "")</f>
        <v/>
      </c>
      <c r="Y359" s="18"/>
      <c r="Z359" s="18"/>
      <c r="AA359" s="18"/>
      <c r="AB359" s="18"/>
      <c r="AC359" s="18"/>
    </row>
    <row r="360" spans="1:29" ht="32.25" customHeight="1">
      <c r="A360" s="8">
        <v>2310759</v>
      </c>
      <c r="B360" s="9" t="s">
        <v>13284</v>
      </c>
      <c r="C360" s="9" t="s">
        <v>13284</v>
      </c>
      <c r="D360" s="9" t="s">
        <v>13284</v>
      </c>
      <c r="E360" s="9" t="s">
        <v>13284</v>
      </c>
      <c r="F360" s="9" t="s">
        <v>13284</v>
      </c>
      <c r="G360" s="9" t="s">
        <v>13284</v>
      </c>
      <c r="H360" s="9" t="s">
        <v>13284</v>
      </c>
      <c r="I360" s="9" t="s">
        <v>13284</v>
      </c>
      <c r="J360" s="9" t="s">
        <v>13284</v>
      </c>
      <c r="K360" s="9" t="s">
        <v>13284</v>
      </c>
      <c r="L360" s="9" t="s">
        <v>13284</v>
      </c>
      <c r="M360" s="9" t="s">
        <v>13284</v>
      </c>
      <c r="N360" s="9" t="s">
        <v>13284</v>
      </c>
      <c r="O360" s="9" t="s">
        <v>13284</v>
      </c>
      <c r="P360" s="9" t="s">
        <v>13284</v>
      </c>
      <c r="Q360" s="9" t="s">
        <v>13284</v>
      </c>
      <c r="R360" s="9" t="s">
        <v>13284</v>
      </c>
      <c r="S360" s="9" t="s">
        <v>13284</v>
      </c>
      <c r="T360" s="9" t="str">
        <f ca="1">IFERROR(IF(AND(VLOOKUP(A360, 'Актуальное состояние (из общего'!A:C,3,0) = "", A360 &lt;&gt; ""), "ПРОВЕРИТЬ", VLOOKUP(A360, 'Актуальное состояние (из общего'!A:C,3,0)), "")</f>
        <v>Студент</v>
      </c>
      <c r="U360" s="9" t="s">
        <v>13284</v>
      </c>
      <c r="V360" s="9" t="s">
        <v>13284</v>
      </c>
      <c r="W360" s="12"/>
      <c r="X360" s="9" t="str">
        <f t="array" ref="X360">IFERROR(INDEX('Адреса общежитий (скрытый)'!$B$2:$B$9, MATCH(W360, 'Адреса общежитий (скрытый)'!$A$2:$A$9, 0)), "")</f>
        <v/>
      </c>
      <c r="Y360" s="18"/>
      <c r="Z360" s="18"/>
      <c r="AA360" s="18"/>
      <c r="AB360" s="18"/>
      <c r="AC360" s="18"/>
    </row>
    <row r="361" spans="1:29" ht="32.25" customHeight="1">
      <c r="A361" s="8">
        <v>2306588</v>
      </c>
      <c r="B361" s="9" t="s">
        <v>13284</v>
      </c>
      <c r="C361" s="9" t="s">
        <v>13284</v>
      </c>
      <c r="D361" s="9" t="s">
        <v>13284</v>
      </c>
      <c r="E361" s="9" t="s">
        <v>13284</v>
      </c>
      <c r="F361" s="9" t="s">
        <v>13284</v>
      </c>
      <c r="G361" s="9" t="s">
        <v>13284</v>
      </c>
      <c r="H361" s="9" t="s">
        <v>13284</v>
      </c>
      <c r="I361" s="9" t="s">
        <v>13284</v>
      </c>
      <c r="J361" s="9" t="s">
        <v>13284</v>
      </c>
      <c r="K361" s="9" t="s">
        <v>13284</v>
      </c>
      <c r="L361" s="9" t="s">
        <v>13284</v>
      </c>
      <c r="M361" s="9" t="s">
        <v>13284</v>
      </c>
      <c r="N361" s="9" t="s">
        <v>13284</v>
      </c>
      <c r="O361" s="9" t="s">
        <v>13284</v>
      </c>
      <c r="P361" s="9" t="s">
        <v>13284</v>
      </c>
      <c r="Q361" s="9" t="s">
        <v>13284</v>
      </c>
      <c r="R361" s="9" t="s">
        <v>13284</v>
      </c>
      <c r="S361" s="9" t="s">
        <v>13284</v>
      </c>
      <c r="T361" s="9" t="str">
        <f ca="1">IFERROR(IF(AND(VLOOKUP(A361, 'Актуальное состояние (из общего'!A:C,3,0) = "", A361 &lt;&gt; ""), "ПРОВЕРИТЬ", VLOOKUP(A361, 'Актуальное состояние (из общего'!A:C,3,0)), "")</f>
        <v>Студент</v>
      </c>
      <c r="U361" s="9" t="s">
        <v>13284</v>
      </c>
      <c r="V361" s="9" t="s">
        <v>13284</v>
      </c>
      <c r="W361" s="12"/>
      <c r="X361" s="9" t="str">
        <f t="array" ref="X361">IFERROR(INDEX('Адреса общежитий (скрытый)'!$B$2:$B$9, MATCH(W361, 'Адреса общежитий (скрытый)'!$A$2:$A$9, 0)), "")</f>
        <v/>
      </c>
      <c r="Y361" s="18"/>
      <c r="Z361" s="18"/>
      <c r="AA361" s="18"/>
      <c r="AB361" s="18"/>
      <c r="AC361" s="18"/>
    </row>
    <row r="362" spans="1:29" ht="32.25" customHeight="1">
      <c r="A362" s="8">
        <v>2311191</v>
      </c>
      <c r="B362" s="9" t="s">
        <v>13284</v>
      </c>
      <c r="C362" s="9" t="s">
        <v>13284</v>
      </c>
      <c r="D362" s="9" t="s">
        <v>13284</v>
      </c>
      <c r="E362" s="9" t="s">
        <v>13284</v>
      </c>
      <c r="F362" s="9" t="s">
        <v>13284</v>
      </c>
      <c r="G362" s="9" t="s">
        <v>13284</v>
      </c>
      <c r="H362" s="9" t="s">
        <v>13284</v>
      </c>
      <c r="I362" s="9" t="s">
        <v>13284</v>
      </c>
      <c r="J362" s="9" t="s">
        <v>13284</v>
      </c>
      <c r="K362" s="9" t="s">
        <v>13284</v>
      </c>
      <c r="L362" s="9" t="s">
        <v>13284</v>
      </c>
      <c r="M362" s="9" t="s">
        <v>13284</v>
      </c>
      <c r="N362" s="9" t="s">
        <v>13284</v>
      </c>
      <c r="O362" s="9" t="s">
        <v>13284</v>
      </c>
      <c r="P362" s="9" t="s">
        <v>13284</v>
      </c>
      <c r="Q362" s="9" t="s">
        <v>13284</v>
      </c>
      <c r="R362" s="9" t="s">
        <v>13284</v>
      </c>
      <c r="S362" s="9" t="s">
        <v>13284</v>
      </c>
      <c r="T362" s="9" t="str">
        <f ca="1">IFERROR(IF(AND(VLOOKUP(A362, 'Актуальное состояние (из общего'!A:C,3,0) = "", A362 &lt;&gt; ""), "ПРОВЕРИТЬ", VLOOKUP(A362, 'Актуальное состояние (из общего'!A:C,3,0)), "")</f>
        <v>Студент</v>
      </c>
      <c r="U362" s="9" t="s">
        <v>13284</v>
      </c>
      <c r="V362" s="9" t="s">
        <v>13284</v>
      </c>
      <c r="W362" s="12"/>
      <c r="X362" s="9" t="str">
        <f t="array" ref="X362">IFERROR(INDEX('Адреса общежитий (скрытый)'!$B$2:$B$9, MATCH(W362, 'Адреса общежитий (скрытый)'!$A$2:$A$9, 0)), "")</f>
        <v/>
      </c>
      <c r="Y362" s="18"/>
      <c r="Z362" s="18"/>
      <c r="AA362" s="18"/>
      <c r="AB362" s="18"/>
      <c r="AC362" s="18"/>
    </row>
    <row r="363" spans="1:29" ht="32.25" hidden="1" customHeight="1">
      <c r="A363" s="8">
        <v>2305411</v>
      </c>
      <c r="B363" s="9" t="s">
        <v>13284</v>
      </c>
      <c r="C363" s="9" t="s">
        <v>13284</v>
      </c>
      <c r="D363" s="9" t="s">
        <v>13284</v>
      </c>
      <c r="E363" s="9" t="s">
        <v>13284</v>
      </c>
      <c r="F363" s="9" t="s">
        <v>13284</v>
      </c>
      <c r="G363" s="9" t="s">
        <v>13284</v>
      </c>
      <c r="H363" s="9" t="s">
        <v>13284</v>
      </c>
      <c r="I363" s="9" t="s">
        <v>13284</v>
      </c>
      <c r="J363" s="9" t="s">
        <v>13284</v>
      </c>
      <c r="K363" s="9" t="s">
        <v>13284</v>
      </c>
      <c r="L363" s="9" t="s">
        <v>13284</v>
      </c>
      <c r="M363" s="9" t="s">
        <v>13284</v>
      </c>
      <c r="N363" s="9" t="s">
        <v>13284</v>
      </c>
      <c r="O363" s="9" t="s">
        <v>13284</v>
      </c>
      <c r="P363" s="9" t="s">
        <v>13284</v>
      </c>
      <c r="Q363" s="9" t="s">
        <v>13284</v>
      </c>
      <c r="R363" s="9" t="s">
        <v>13284</v>
      </c>
      <c r="S363" s="9" t="s">
        <v>13284</v>
      </c>
      <c r="T363" s="9" t="str">
        <f ca="1">IFERROR(IF(AND(VLOOKUP(A363, 'Актуальное состояние (из общего'!A:C,3,0) = "", A363 &lt;&gt; ""), "ПРОВЕРИТЬ", VLOOKUP(A363, 'Актуальное состояние (из общего'!A:C,3,0)), "")</f>
        <v>Студент</v>
      </c>
      <c r="U363" s="9" t="s">
        <v>13284</v>
      </c>
      <c r="V363" s="9" t="s">
        <v>13284</v>
      </c>
      <c r="W363" s="12"/>
      <c r="X363" s="9" t="str">
        <f t="array" ref="X363">IFERROR(INDEX('Адреса общежитий (скрытый)'!$B$2:$B$9, MATCH(W363, 'Адреса общежитий (скрытый)'!$A$2:$A$9, 0)), "")</f>
        <v/>
      </c>
      <c r="Y363" s="18"/>
      <c r="Z363" s="18"/>
      <c r="AA363" s="18"/>
      <c r="AB363" s="18"/>
      <c r="AC363" s="18"/>
    </row>
    <row r="364" spans="1:29" ht="32.25" customHeight="1">
      <c r="A364" s="8">
        <v>2306389</v>
      </c>
      <c r="B364" s="9" t="s">
        <v>13284</v>
      </c>
      <c r="C364" s="9" t="s">
        <v>13284</v>
      </c>
      <c r="D364" s="9" t="s">
        <v>13284</v>
      </c>
      <c r="E364" s="9" t="s">
        <v>13284</v>
      </c>
      <c r="F364" s="9" t="s">
        <v>13284</v>
      </c>
      <c r="G364" s="9" t="s">
        <v>13284</v>
      </c>
      <c r="H364" s="9" t="s">
        <v>13284</v>
      </c>
      <c r="I364" s="9" t="s">
        <v>13284</v>
      </c>
      <c r="J364" s="9" t="s">
        <v>13284</v>
      </c>
      <c r="K364" s="9" t="s">
        <v>13284</v>
      </c>
      <c r="L364" s="9" t="s">
        <v>13284</v>
      </c>
      <c r="M364" s="9" t="s">
        <v>13284</v>
      </c>
      <c r="N364" s="9" t="s">
        <v>13284</v>
      </c>
      <c r="O364" s="9" t="s">
        <v>13284</v>
      </c>
      <c r="P364" s="9" t="s">
        <v>13284</v>
      </c>
      <c r="Q364" s="9" t="s">
        <v>13284</v>
      </c>
      <c r="R364" s="9" t="s">
        <v>13284</v>
      </c>
      <c r="S364" s="9" t="s">
        <v>13284</v>
      </c>
      <c r="T364" s="9" t="str">
        <f ca="1">IFERROR(IF(AND(VLOOKUP(A364, 'Актуальное состояние (из общего'!A:C,3,0) = "", A364 &lt;&gt; ""), "ПРОВЕРИТЬ", VLOOKUP(A364, 'Актуальное состояние (из общего'!A:C,3,0)), "")</f>
        <v>Студент</v>
      </c>
      <c r="U364" s="9" t="s">
        <v>13284</v>
      </c>
      <c r="V364" s="9" t="s">
        <v>13284</v>
      </c>
      <c r="W364" s="12"/>
      <c r="X364" s="9" t="str">
        <f t="array" ref="X364">IFERROR(INDEX('Адреса общежитий (скрытый)'!$B$2:$B$9, MATCH(W364, 'Адреса общежитий (скрытый)'!$A$2:$A$9, 0)), "")</f>
        <v/>
      </c>
      <c r="Y364" s="18"/>
      <c r="Z364" s="18"/>
      <c r="AA364" s="18"/>
      <c r="AB364" s="18"/>
      <c r="AC364" s="18"/>
    </row>
    <row r="365" spans="1:29" ht="32.25" customHeight="1">
      <c r="A365" s="8">
        <v>2304625</v>
      </c>
      <c r="B365" s="9" t="s">
        <v>13284</v>
      </c>
      <c r="C365" s="9" t="s">
        <v>13284</v>
      </c>
      <c r="D365" s="9" t="s">
        <v>13284</v>
      </c>
      <c r="E365" s="9" t="s">
        <v>13284</v>
      </c>
      <c r="F365" s="9" t="s">
        <v>13284</v>
      </c>
      <c r="G365" s="9" t="s">
        <v>13284</v>
      </c>
      <c r="H365" s="9" t="s">
        <v>13284</v>
      </c>
      <c r="I365" s="9" t="s">
        <v>13284</v>
      </c>
      <c r="J365" s="9" t="s">
        <v>13284</v>
      </c>
      <c r="K365" s="9" t="s">
        <v>13284</v>
      </c>
      <c r="L365" s="9" t="s">
        <v>13284</v>
      </c>
      <c r="M365" s="9" t="s">
        <v>13284</v>
      </c>
      <c r="N365" s="9" t="s">
        <v>13284</v>
      </c>
      <c r="O365" s="9" t="s">
        <v>13284</v>
      </c>
      <c r="P365" s="9" t="s">
        <v>13284</v>
      </c>
      <c r="Q365" s="9" t="s">
        <v>13284</v>
      </c>
      <c r="R365" s="9" t="s">
        <v>13284</v>
      </c>
      <c r="S365" s="9" t="s">
        <v>13284</v>
      </c>
      <c r="T365" s="9" t="str">
        <f ca="1">IFERROR(IF(AND(VLOOKUP(A365, 'Актуальное состояние (из общего'!A:C,3,0) = "", A365 &lt;&gt; ""), "ПРОВЕРИТЬ", VLOOKUP(A365, 'Актуальное состояние (из общего'!A:C,3,0)), "")</f>
        <v>Студент</v>
      </c>
      <c r="U365" s="9" t="s">
        <v>13284</v>
      </c>
      <c r="V365" s="9" t="s">
        <v>13284</v>
      </c>
      <c r="W365" s="12"/>
      <c r="X365" s="9" t="str">
        <f t="array" ref="X365">IFERROR(INDEX('Адреса общежитий (скрытый)'!$B$2:$B$9, MATCH(W365, 'Адреса общежитий (скрытый)'!$A$2:$A$9, 0)), "")</f>
        <v/>
      </c>
      <c r="Y365" s="18"/>
      <c r="Z365" s="18"/>
      <c r="AA365" s="18"/>
      <c r="AB365" s="18"/>
      <c r="AC365" s="18"/>
    </row>
    <row r="366" spans="1:29" ht="32.25" hidden="1" customHeight="1">
      <c r="A366" s="8">
        <v>2302410</v>
      </c>
      <c r="B366" s="9" t="s">
        <v>13284</v>
      </c>
      <c r="C366" s="9" t="s">
        <v>13284</v>
      </c>
      <c r="D366" s="9" t="s">
        <v>13284</v>
      </c>
      <c r="E366" s="9" t="s">
        <v>13284</v>
      </c>
      <c r="F366" s="9" t="s">
        <v>13284</v>
      </c>
      <c r="G366" s="9" t="s">
        <v>13284</v>
      </c>
      <c r="H366" s="9" t="s">
        <v>13284</v>
      </c>
      <c r="I366" s="9" t="s">
        <v>13284</v>
      </c>
      <c r="J366" s="9" t="s">
        <v>13284</v>
      </c>
      <c r="K366" s="9" t="s">
        <v>13284</v>
      </c>
      <c r="L366" s="9" t="s">
        <v>13284</v>
      </c>
      <c r="M366" s="9" t="s">
        <v>13284</v>
      </c>
      <c r="N366" s="9" t="s">
        <v>13284</v>
      </c>
      <c r="O366" s="9" t="s">
        <v>13284</v>
      </c>
      <c r="P366" s="9" t="s">
        <v>13284</v>
      </c>
      <c r="Q366" s="9" t="s">
        <v>13284</v>
      </c>
      <c r="R366" s="9" t="s">
        <v>13284</v>
      </c>
      <c r="S366" s="9" t="s">
        <v>13284</v>
      </c>
      <c r="T366" s="9" t="str">
        <f ca="1">IFERROR(IF(AND(VLOOKUP(A366, 'Актуальное состояние (из общего'!A:C,3,0) = "", A366 &lt;&gt; ""), "ПРОВЕРИТЬ", VLOOKUP(A366, 'Актуальное состояние (из общего'!A:C,3,0)), "")</f>
        <v>Студент</v>
      </c>
      <c r="U366" s="9" t="s">
        <v>13284</v>
      </c>
      <c r="V366" s="9" t="s">
        <v>13284</v>
      </c>
      <c r="W366" s="12"/>
      <c r="X366" s="9" t="str">
        <f t="array" ref="X366">IFERROR(INDEX('Адреса общежитий (скрытый)'!$B$2:$B$9, MATCH(W366, 'Адреса общежитий (скрытый)'!$A$2:$A$9, 0)), "")</f>
        <v/>
      </c>
      <c r="Y366" s="18"/>
      <c r="Z366" s="18"/>
      <c r="AA366" s="18"/>
      <c r="AB366" s="18"/>
      <c r="AC366" s="18"/>
    </row>
    <row r="367" spans="1:29" ht="32.25" customHeight="1">
      <c r="A367" s="8">
        <v>2311396</v>
      </c>
      <c r="B367" s="9" t="s">
        <v>13284</v>
      </c>
      <c r="C367" s="9" t="s">
        <v>13284</v>
      </c>
      <c r="D367" s="9" t="s">
        <v>13284</v>
      </c>
      <c r="E367" s="9" t="s">
        <v>13284</v>
      </c>
      <c r="F367" s="9" t="s">
        <v>13284</v>
      </c>
      <c r="G367" s="9" t="s">
        <v>13284</v>
      </c>
      <c r="H367" s="9" t="s">
        <v>13284</v>
      </c>
      <c r="I367" s="9" t="s">
        <v>13284</v>
      </c>
      <c r="J367" s="9" t="s">
        <v>13284</v>
      </c>
      <c r="K367" s="9" t="s">
        <v>13284</v>
      </c>
      <c r="L367" s="9" t="s">
        <v>13284</v>
      </c>
      <c r="M367" s="9" t="s">
        <v>13284</v>
      </c>
      <c r="N367" s="9" t="s">
        <v>13284</v>
      </c>
      <c r="O367" s="9" t="s">
        <v>13284</v>
      </c>
      <c r="P367" s="9" t="s">
        <v>13284</v>
      </c>
      <c r="Q367" s="9" t="s">
        <v>13284</v>
      </c>
      <c r="R367" s="9" t="s">
        <v>13284</v>
      </c>
      <c r="S367" s="9" t="s">
        <v>13284</v>
      </c>
      <c r="T367" s="9" t="str">
        <f ca="1">IFERROR(IF(AND(VLOOKUP(A367, 'Актуальное состояние (из общего'!A:C,3,0) = "", A367 &lt;&gt; ""), "ПРОВЕРИТЬ", VLOOKUP(A367, 'Актуальное состояние (из общего'!A:C,3,0)), "")</f>
        <v>Студент</v>
      </c>
      <c r="U367" s="9" t="s">
        <v>13284</v>
      </c>
      <c r="V367" s="9" t="s">
        <v>13284</v>
      </c>
      <c r="W367" s="12"/>
      <c r="X367" s="9" t="str">
        <f t="array" ref="X367">IFERROR(INDEX('Адреса общежитий (скрытый)'!$B$2:$B$9, MATCH(W367, 'Адреса общежитий (скрытый)'!$A$2:$A$9, 0)), "")</f>
        <v/>
      </c>
      <c r="Y367" s="18"/>
      <c r="Z367" s="18"/>
      <c r="AA367" s="18"/>
      <c r="AB367" s="18"/>
      <c r="AC367" s="18"/>
    </row>
    <row r="368" spans="1:29" ht="32.25" hidden="1" customHeight="1">
      <c r="A368" s="8">
        <v>2312293</v>
      </c>
      <c r="B368" s="9" t="s">
        <v>13284</v>
      </c>
      <c r="C368" s="9" t="s">
        <v>13284</v>
      </c>
      <c r="D368" s="9" t="s">
        <v>13284</v>
      </c>
      <c r="E368" s="9" t="s">
        <v>13284</v>
      </c>
      <c r="F368" s="9" t="s">
        <v>13284</v>
      </c>
      <c r="G368" s="9" t="s">
        <v>13284</v>
      </c>
      <c r="H368" s="9" t="s">
        <v>13284</v>
      </c>
      <c r="I368" s="9" t="s">
        <v>13284</v>
      </c>
      <c r="J368" s="9" t="s">
        <v>13284</v>
      </c>
      <c r="K368" s="9" t="s">
        <v>13284</v>
      </c>
      <c r="L368" s="9" t="s">
        <v>13284</v>
      </c>
      <c r="M368" s="9" t="s">
        <v>13284</v>
      </c>
      <c r="N368" s="9" t="s">
        <v>13284</v>
      </c>
      <c r="O368" s="9" t="s">
        <v>13284</v>
      </c>
      <c r="P368" s="9" t="s">
        <v>13284</v>
      </c>
      <c r="Q368" s="9" t="s">
        <v>13284</v>
      </c>
      <c r="R368" s="9" t="s">
        <v>13284</v>
      </c>
      <c r="S368" s="9" t="s">
        <v>13284</v>
      </c>
      <c r="T368" s="9" t="str">
        <f ca="1">IFERROR(IF(AND(VLOOKUP(A368, 'Актуальное состояние (из общего'!A:C,3,0) = "", A368 &lt;&gt; ""), "ПРОВЕРИТЬ", VLOOKUP(A368, 'Актуальное состояние (из общего'!A:C,3,0)), "")</f>
        <v>Студент</v>
      </c>
      <c r="U368" s="9" t="s">
        <v>13284</v>
      </c>
      <c r="V368" s="9" t="s">
        <v>13284</v>
      </c>
      <c r="W368" s="12"/>
      <c r="X368" s="9" t="str">
        <f t="array" ref="X368">IFERROR(INDEX('Адреса общежитий (скрытый)'!$B$2:$B$9, MATCH(W368, 'Адреса общежитий (скрытый)'!$A$2:$A$9, 0)), "")</f>
        <v/>
      </c>
      <c r="Y368" s="18"/>
      <c r="Z368" s="18"/>
      <c r="AA368" s="18"/>
      <c r="AB368" s="18"/>
      <c r="AC368" s="18"/>
    </row>
    <row r="369" spans="1:29" ht="32.25" customHeight="1">
      <c r="A369" s="8">
        <v>2311677</v>
      </c>
      <c r="B369" s="9" t="s">
        <v>13284</v>
      </c>
      <c r="C369" s="9" t="s">
        <v>13284</v>
      </c>
      <c r="D369" s="9" t="s">
        <v>13284</v>
      </c>
      <c r="E369" s="9" t="s">
        <v>13284</v>
      </c>
      <c r="F369" s="9" t="s">
        <v>13284</v>
      </c>
      <c r="G369" s="9" t="s">
        <v>13284</v>
      </c>
      <c r="H369" s="9" t="s">
        <v>13284</v>
      </c>
      <c r="I369" s="9" t="s">
        <v>13284</v>
      </c>
      <c r="J369" s="9" t="s">
        <v>13284</v>
      </c>
      <c r="K369" s="9" t="s">
        <v>13284</v>
      </c>
      <c r="L369" s="9" t="s">
        <v>13284</v>
      </c>
      <c r="M369" s="9" t="s">
        <v>13284</v>
      </c>
      <c r="N369" s="9" t="s">
        <v>13284</v>
      </c>
      <c r="O369" s="9" t="s">
        <v>13284</v>
      </c>
      <c r="P369" s="9" t="s">
        <v>13284</v>
      </c>
      <c r="Q369" s="9" t="s">
        <v>13284</v>
      </c>
      <c r="R369" s="9" t="s">
        <v>13284</v>
      </c>
      <c r="S369" s="9" t="s">
        <v>13284</v>
      </c>
      <c r="T369" s="9" t="str">
        <f ca="1">IFERROR(IF(AND(VLOOKUP(A369, 'Актуальное состояние (из общего'!A:C,3,0) = "", A369 &lt;&gt; ""), "ПРОВЕРИТЬ", VLOOKUP(A369, 'Актуальное состояние (из общего'!A:C,3,0)), "")</f>
        <v>Студент</v>
      </c>
      <c r="U369" s="9" t="s">
        <v>13284</v>
      </c>
      <c r="V369" s="9" t="s">
        <v>13284</v>
      </c>
      <c r="W369" s="12"/>
      <c r="X369" s="9" t="str">
        <f t="array" ref="X369">IFERROR(INDEX('Адреса общежитий (скрытый)'!$B$2:$B$9, MATCH(W369, 'Адреса общежитий (скрытый)'!$A$2:$A$9, 0)), "")</f>
        <v/>
      </c>
      <c r="Y369" s="18"/>
      <c r="Z369" s="18"/>
      <c r="AA369" s="18"/>
      <c r="AB369" s="18"/>
      <c r="AC369" s="18"/>
    </row>
    <row r="370" spans="1:29" ht="32.25" customHeight="1">
      <c r="A370" s="8">
        <v>2305998</v>
      </c>
      <c r="B370" s="9" t="s">
        <v>13284</v>
      </c>
      <c r="C370" s="9" t="s">
        <v>13284</v>
      </c>
      <c r="D370" s="9" t="s">
        <v>13284</v>
      </c>
      <c r="E370" s="9" t="s">
        <v>13284</v>
      </c>
      <c r="F370" s="9" t="s">
        <v>13284</v>
      </c>
      <c r="G370" s="9" t="s">
        <v>13284</v>
      </c>
      <c r="H370" s="9" t="s">
        <v>13284</v>
      </c>
      <c r="I370" s="9" t="s">
        <v>13284</v>
      </c>
      <c r="J370" s="9" t="s">
        <v>13284</v>
      </c>
      <c r="K370" s="9" t="s">
        <v>13284</v>
      </c>
      <c r="L370" s="9" t="s">
        <v>13284</v>
      </c>
      <c r="M370" s="9" t="s">
        <v>13284</v>
      </c>
      <c r="N370" s="9" t="s">
        <v>13284</v>
      </c>
      <c r="O370" s="9" t="s">
        <v>13284</v>
      </c>
      <c r="P370" s="9" t="s">
        <v>13284</v>
      </c>
      <c r="Q370" s="9" t="s">
        <v>13284</v>
      </c>
      <c r="R370" s="9" t="s">
        <v>13284</v>
      </c>
      <c r="S370" s="9" t="s">
        <v>13284</v>
      </c>
      <c r="T370" s="9" t="str">
        <f ca="1">IFERROR(IF(AND(VLOOKUP(A370, 'Актуальное состояние (из общего'!A:C,3,0) = "", A370 &lt;&gt; ""), "ПРОВЕРИТЬ", VLOOKUP(A370, 'Актуальное состояние (из общего'!A:C,3,0)), "")</f>
        <v>Студент</v>
      </c>
      <c r="U370" s="9" t="s">
        <v>13284</v>
      </c>
      <c r="V370" s="9" t="s">
        <v>13284</v>
      </c>
      <c r="W370" s="12"/>
      <c r="X370" s="9" t="str">
        <f t="array" ref="X370">IFERROR(INDEX('Адреса общежитий (скрытый)'!$B$2:$B$9, MATCH(W370, 'Адреса общежитий (скрытый)'!$A$2:$A$9, 0)), "")</f>
        <v/>
      </c>
      <c r="Y370" s="18"/>
      <c r="Z370" s="18"/>
      <c r="AA370" s="18"/>
      <c r="AB370" s="18"/>
      <c r="AC370" s="18"/>
    </row>
    <row r="371" spans="1:29" ht="32.25" customHeight="1">
      <c r="A371" s="8">
        <v>2308961</v>
      </c>
      <c r="B371" s="9" t="s">
        <v>13284</v>
      </c>
      <c r="C371" s="9" t="s">
        <v>13284</v>
      </c>
      <c r="D371" s="9" t="s">
        <v>13284</v>
      </c>
      <c r="E371" s="9" t="s">
        <v>13284</v>
      </c>
      <c r="F371" s="9" t="s">
        <v>13284</v>
      </c>
      <c r="G371" s="9" t="s">
        <v>13284</v>
      </c>
      <c r="H371" s="9" t="s">
        <v>13284</v>
      </c>
      <c r="I371" s="9" t="s">
        <v>13284</v>
      </c>
      <c r="J371" s="9" t="s">
        <v>13284</v>
      </c>
      <c r="K371" s="9" t="s">
        <v>13284</v>
      </c>
      <c r="L371" s="9" t="s">
        <v>13284</v>
      </c>
      <c r="M371" s="9" t="s">
        <v>13284</v>
      </c>
      <c r="N371" s="9" t="s">
        <v>13284</v>
      </c>
      <c r="O371" s="9" t="s">
        <v>13284</v>
      </c>
      <c r="P371" s="9" t="s">
        <v>13284</v>
      </c>
      <c r="Q371" s="9" t="s">
        <v>13284</v>
      </c>
      <c r="R371" s="9" t="s">
        <v>13284</v>
      </c>
      <c r="S371" s="9" t="s">
        <v>13284</v>
      </c>
      <c r="T371" s="9" t="str">
        <f ca="1">IFERROR(IF(AND(VLOOKUP(A371, 'Актуальное состояние (из общего'!A:C,3,0) = "", A371 &lt;&gt; ""), "ПРОВЕРИТЬ", VLOOKUP(A371, 'Актуальное состояние (из общего'!A:C,3,0)), "")</f>
        <v>Студент</v>
      </c>
      <c r="U371" s="9" t="s">
        <v>13284</v>
      </c>
      <c r="V371" s="9" t="s">
        <v>13284</v>
      </c>
      <c r="W371" s="12"/>
      <c r="X371" s="9" t="str">
        <f t="array" ref="X371">IFERROR(INDEX('Адреса общежитий (скрытый)'!$B$2:$B$9, MATCH(W371, 'Адреса общежитий (скрытый)'!$A$2:$A$9, 0)), "")</f>
        <v/>
      </c>
      <c r="Y371" s="18"/>
      <c r="Z371" s="18"/>
      <c r="AA371" s="18"/>
      <c r="AB371" s="18"/>
      <c r="AC371" s="18"/>
    </row>
    <row r="372" spans="1:29" ht="32.25" hidden="1" customHeight="1">
      <c r="A372" s="8">
        <v>2300825</v>
      </c>
      <c r="B372" s="9" t="s">
        <v>13284</v>
      </c>
      <c r="C372" s="9" t="s">
        <v>13284</v>
      </c>
      <c r="D372" s="9" t="s">
        <v>13284</v>
      </c>
      <c r="E372" s="9" t="s">
        <v>13284</v>
      </c>
      <c r="F372" s="9" t="s">
        <v>13284</v>
      </c>
      <c r="G372" s="9" t="s">
        <v>13284</v>
      </c>
      <c r="H372" s="9" t="s">
        <v>13284</v>
      </c>
      <c r="I372" s="9" t="s">
        <v>13284</v>
      </c>
      <c r="J372" s="9" t="s">
        <v>13284</v>
      </c>
      <c r="K372" s="9" t="s">
        <v>13284</v>
      </c>
      <c r="L372" s="9" t="s">
        <v>13284</v>
      </c>
      <c r="M372" s="9" t="s">
        <v>13284</v>
      </c>
      <c r="N372" s="9" t="s">
        <v>13284</v>
      </c>
      <c r="O372" s="9" t="s">
        <v>13284</v>
      </c>
      <c r="P372" s="9" t="s">
        <v>13284</v>
      </c>
      <c r="Q372" s="9" t="s">
        <v>13284</v>
      </c>
      <c r="R372" s="9" t="s">
        <v>13284</v>
      </c>
      <c r="S372" s="9" t="s">
        <v>13284</v>
      </c>
      <c r="T372" s="9" t="str">
        <f ca="1">IFERROR(IF(AND(VLOOKUP(A372, 'Актуальное состояние (из общего'!A:C,3,0) = "", A372 &lt;&gt; ""), "ПРОВЕРИТЬ", VLOOKUP(A372, 'Актуальное состояние (из общего'!A:C,3,0)), "")</f>
        <v>Студент</v>
      </c>
      <c r="U372" s="9" t="s">
        <v>13284</v>
      </c>
      <c r="V372" s="9" t="s">
        <v>13284</v>
      </c>
      <c r="W372" s="12"/>
      <c r="X372" s="9" t="str">
        <f t="array" ref="X372">IFERROR(INDEX('Адреса общежитий (скрытый)'!$B$2:$B$9, MATCH(W372, 'Адреса общежитий (скрытый)'!$A$2:$A$9, 0)), "")</f>
        <v/>
      </c>
      <c r="Y372" s="18"/>
      <c r="Z372" s="18"/>
      <c r="AA372" s="18"/>
      <c r="AB372" s="18"/>
      <c r="AC372" s="18"/>
    </row>
    <row r="373" spans="1:29" ht="32.25" hidden="1" customHeight="1">
      <c r="A373" s="8">
        <v>2306598</v>
      </c>
      <c r="B373" s="9" t="s">
        <v>13284</v>
      </c>
      <c r="C373" s="9" t="s">
        <v>13284</v>
      </c>
      <c r="D373" s="9" t="s">
        <v>13284</v>
      </c>
      <c r="E373" s="9" t="s">
        <v>13284</v>
      </c>
      <c r="F373" s="9" t="s">
        <v>13284</v>
      </c>
      <c r="G373" s="9" t="s">
        <v>13284</v>
      </c>
      <c r="H373" s="9" t="s">
        <v>13284</v>
      </c>
      <c r="I373" s="9" t="s">
        <v>13284</v>
      </c>
      <c r="J373" s="9" t="s">
        <v>13284</v>
      </c>
      <c r="K373" s="9" t="s">
        <v>13284</v>
      </c>
      <c r="L373" s="9" t="s">
        <v>13284</v>
      </c>
      <c r="M373" s="9" t="s">
        <v>13284</v>
      </c>
      <c r="N373" s="9" t="s">
        <v>13284</v>
      </c>
      <c r="O373" s="9" t="s">
        <v>13284</v>
      </c>
      <c r="P373" s="9" t="s">
        <v>13284</v>
      </c>
      <c r="Q373" s="9" t="s">
        <v>13284</v>
      </c>
      <c r="R373" s="9" t="s">
        <v>13284</v>
      </c>
      <c r="S373" s="9" t="s">
        <v>13284</v>
      </c>
      <c r="T373" s="9" t="str">
        <f ca="1">IFERROR(IF(AND(VLOOKUP(A373, 'Актуальное состояние (из общего'!A:C,3,0) = "", A373 &lt;&gt; ""), "ПРОВЕРИТЬ", VLOOKUP(A373, 'Актуальное состояние (из общего'!A:C,3,0)), "")</f>
        <v>Студент</v>
      </c>
      <c r="U373" s="9" t="s">
        <v>13284</v>
      </c>
      <c r="V373" s="9" t="s">
        <v>13284</v>
      </c>
      <c r="W373" s="12"/>
      <c r="X373" s="9" t="str">
        <f t="array" ref="X373">IFERROR(INDEX('Адреса общежитий (скрытый)'!$B$2:$B$9, MATCH(W373, 'Адреса общежитий (скрытый)'!$A$2:$A$9, 0)), "")</f>
        <v/>
      </c>
      <c r="Y373" s="18"/>
      <c r="Z373" s="18"/>
      <c r="AA373" s="18"/>
      <c r="AB373" s="18"/>
      <c r="AC373" s="18"/>
    </row>
    <row r="374" spans="1:29" ht="32.25" customHeight="1">
      <c r="A374" s="8">
        <v>2303864</v>
      </c>
      <c r="B374" s="9" t="s">
        <v>13284</v>
      </c>
      <c r="C374" s="9" t="s">
        <v>13284</v>
      </c>
      <c r="D374" s="9" t="s">
        <v>13284</v>
      </c>
      <c r="E374" s="9" t="s">
        <v>13284</v>
      </c>
      <c r="F374" s="9" t="s">
        <v>13284</v>
      </c>
      <c r="G374" s="9" t="s">
        <v>13284</v>
      </c>
      <c r="H374" s="9" t="s">
        <v>13284</v>
      </c>
      <c r="I374" s="9" t="s">
        <v>13284</v>
      </c>
      <c r="J374" s="9" t="s">
        <v>13284</v>
      </c>
      <c r="K374" s="9" t="s">
        <v>13284</v>
      </c>
      <c r="L374" s="9" t="s">
        <v>13284</v>
      </c>
      <c r="M374" s="9" t="s">
        <v>13284</v>
      </c>
      <c r="N374" s="9" t="s">
        <v>13284</v>
      </c>
      <c r="O374" s="9" t="s">
        <v>13284</v>
      </c>
      <c r="P374" s="9" t="s">
        <v>13284</v>
      </c>
      <c r="Q374" s="9" t="s">
        <v>13284</v>
      </c>
      <c r="R374" s="9" t="s">
        <v>13284</v>
      </c>
      <c r="S374" s="9" t="s">
        <v>13284</v>
      </c>
      <c r="T374" s="9" t="str">
        <f ca="1">IFERROR(IF(AND(VLOOKUP(A374, 'Актуальное состояние (из общего'!A:C,3,0) = "", A374 &lt;&gt; ""), "ПРОВЕРИТЬ", VLOOKUP(A374, 'Актуальное состояние (из общего'!A:C,3,0)), "")</f>
        <v>Студент</v>
      </c>
      <c r="U374" s="9" t="s">
        <v>13284</v>
      </c>
      <c r="V374" s="9" t="s">
        <v>13284</v>
      </c>
      <c r="W374" s="12"/>
      <c r="X374" s="9" t="str">
        <f t="array" ref="X374">IFERROR(INDEX('Адреса общежитий (скрытый)'!$B$2:$B$9, MATCH(W374, 'Адреса общежитий (скрытый)'!$A$2:$A$9, 0)), "")</f>
        <v/>
      </c>
      <c r="Y374" s="18"/>
      <c r="Z374" s="18"/>
      <c r="AA374" s="18"/>
      <c r="AB374" s="18"/>
      <c r="AC374" s="18"/>
    </row>
    <row r="375" spans="1:29" ht="32.25" customHeight="1">
      <c r="A375" s="8">
        <v>2310768</v>
      </c>
      <c r="B375" s="9" t="s">
        <v>13284</v>
      </c>
      <c r="C375" s="9" t="s">
        <v>13284</v>
      </c>
      <c r="D375" s="9" t="s">
        <v>13284</v>
      </c>
      <c r="E375" s="9" t="s">
        <v>13284</v>
      </c>
      <c r="F375" s="9" t="s">
        <v>13284</v>
      </c>
      <c r="G375" s="9" t="s">
        <v>13284</v>
      </c>
      <c r="H375" s="9" t="s">
        <v>13284</v>
      </c>
      <c r="I375" s="9" t="s">
        <v>13284</v>
      </c>
      <c r="J375" s="9" t="s">
        <v>13284</v>
      </c>
      <c r="K375" s="9" t="s">
        <v>13284</v>
      </c>
      <c r="L375" s="9" t="s">
        <v>13284</v>
      </c>
      <c r="M375" s="9" t="s">
        <v>13284</v>
      </c>
      <c r="N375" s="9" t="s">
        <v>13284</v>
      </c>
      <c r="O375" s="9" t="s">
        <v>13284</v>
      </c>
      <c r="P375" s="9" t="s">
        <v>13284</v>
      </c>
      <c r="Q375" s="9" t="s">
        <v>13284</v>
      </c>
      <c r="R375" s="9" t="s">
        <v>13284</v>
      </c>
      <c r="S375" s="9" t="s">
        <v>13284</v>
      </c>
      <c r="T375" s="9" t="str">
        <f ca="1">IFERROR(IF(AND(VLOOKUP(A375, 'Актуальное состояние (из общего'!A:C,3,0) = "", A375 &lt;&gt; ""), "ПРОВЕРИТЬ", VLOOKUP(A375, 'Актуальное состояние (из общего'!A:C,3,0)), "")</f>
        <v>Студент</v>
      </c>
      <c r="U375" s="9" t="s">
        <v>13284</v>
      </c>
      <c r="V375" s="9" t="s">
        <v>13284</v>
      </c>
      <c r="W375" s="12"/>
      <c r="X375" s="9" t="str">
        <f t="array" ref="X375">IFERROR(INDEX('Адреса общежитий (скрытый)'!$B$2:$B$9, MATCH(W375, 'Адреса общежитий (скрытый)'!$A$2:$A$9, 0)), "")</f>
        <v/>
      </c>
      <c r="Y375" s="18"/>
      <c r="Z375" s="18"/>
      <c r="AA375" s="18"/>
      <c r="AB375" s="18"/>
      <c r="AC375" s="18"/>
    </row>
    <row r="376" spans="1:29" ht="32.25" customHeight="1">
      <c r="A376" s="8">
        <v>2313133</v>
      </c>
      <c r="B376" s="9" t="s">
        <v>13284</v>
      </c>
      <c r="C376" s="9" t="s">
        <v>13284</v>
      </c>
      <c r="D376" s="9" t="s">
        <v>13284</v>
      </c>
      <c r="E376" s="9" t="s">
        <v>13284</v>
      </c>
      <c r="F376" s="9" t="s">
        <v>13284</v>
      </c>
      <c r="G376" s="9" t="s">
        <v>13284</v>
      </c>
      <c r="H376" s="9" t="s">
        <v>13284</v>
      </c>
      <c r="I376" s="9" t="s">
        <v>13284</v>
      </c>
      <c r="J376" s="9" t="s">
        <v>13284</v>
      </c>
      <c r="K376" s="9" t="s">
        <v>13284</v>
      </c>
      <c r="L376" s="9" t="s">
        <v>13284</v>
      </c>
      <c r="M376" s="9" t="s">
        <v>13284</v>
      </c>
      <c r="N376" s="9" t="s">
        <v>13284</v>
      </c>
      <c r="O376" s="9" t="s">
        <v>13284</v>
      </c>
      <c r="P376" s="9" t="s">
        <v>13284</v>
      </c>
      <c r="Q376" s="9" t="s">
        <v>13284</v>
      </c>
      <c r="R376" s="9" t="s">
        <v>13284</v>
      </c>
      <c r="S376" s="9" t="s">
        <v>13284</v>
      </c>
      <c r="T376" s="9" t="str">
        <f ca="1">IFERROR(IF(AND(VLOOKUP(A376, 'Актуальное состояние (из общего'!A:C,3,0) = "", A376 &lt;&gt; ""), "ПРОВЕРИТЬ", VLOOKUP(A376, 'Актуальное состояние (из общего'!A:C,3,0)), "")</f>
        <v>Студент</v>
      </c>
      <c r="U376" s="9" t="s">
        <v>13284</v>
      </c>
      <c r="V376" s="9" t="s">
        <v>13284</v>
      </c>
      <c r="W376" s="12"/>
      <c r="X376" s="9" t="str">
        <f t="array" ref="X376">IFERROR(INDEX('Адреса общежитий (скрытый)'!$B$2:$B$9, MATCH(W376, 'Адреса общежитий (скрытый)'!$A$2:$A$9, 0)), "")</f>
        <v/>
      </c>
      <c r="Y376" s="18"/>
      <c r="Z376" s="18"/>
      <c r="AA376" s="18"/>
      <c r="AB376" s="18"/>
      <c r="AC376" s="18"/>
    </row>
    <row r="377" spans="1:29" ht="32.25" customHeight="1">
      <c r="A377" s="8">
        <v>2312115</v>
      </c>
      <c r="B377" s="9" t="s">
        <v>13284</v>
      </c>
      <c r="C377" s="9" t="s">
        <v>13284</v>
      </c>
      <c r="D377" s="9" t="s">
        <v>13284</v>
      </c>
      <c r="E377" s="9" t="s">
        <v>13284</v>
      </c>
      <c r="F377" s="9" t="s">
        <v>13284</v>
      </c>
      <c r="G377" s="9" t="s">
        <v>13284</v>
      </c>
      <c r="H377" s="9" t="s">
        <v>13284</v>
      </c>
      <c r="I377" s="9" t="s">
        <v>13284</v>
      </c>
      <c r="J377" s="9" t="s">
        <v>13284</v>
      </c>
      <c r="K377" s="9" t="s">
        <v>13284</v>
      </c>
      <c r="L377" s="9" t="s">
        <v>13284</v>
      </c>
      <c r="M377" s="9" t="s">
        <v>13284</v>
      </c>
      <c r="N377" s="9" t="s">
        <v>13284</v>
      </c>
      <c r="O377" s="9" t="s">
        <v>13284</v>
      </c>
      <c r="P377" s="9" t="s">
        <v>13284</v>
      </c>
      <c r="Q377" s="9" t="s">
        <v>13284</v>
      </c>
      <c r="R377" s="9" t="s">
        <v>13284</v>
      </c>
      <c r="S377" s="9" t="s">
        <v>13284</v>
      </c>
      <c r="T377" s="9" t="str">
        <f ca="1">IFERROR(IF(AND(VLOOKUP(A377, 'Актуальное состояние (из общего'!A:C,3,0) = "", A377 &lt;&gt; ""), "ПРОВЕРИТЬ", VLOOKUP(A377, 'Актуальное состояние (из общего'!A:C,3,0)), "")</f>
        <v>Студент</v>
      </c>
      <c r="U377" s="9" t="s">
        <v>13284</v>
      </c>
      <c r="V377" s="9" t="s">
        <v>13284</v>
      </c>
      <c r="W377" s="12"/>
      <c r="X377" s="9" t="str">
        <f t="array" ref="X377">IFERROR(INDEX('Адреса общежитий (скрытый)'!$B$2:$B$9, MATCH(W377, 'Адреса общежитий (скрытый)'!$A$2:$A$9, 0)), "")</f>
        <v/>
      </c>
      <c r="Y377" s="18"/>
      <c r="Z377" s="18"/>
      <c r="AA377" s="18"/>
      <c r="AB377" s="18"/>
      <c r="AC377" s="18"/>
    </row>
    <row r="378" spans="1:29" ht="32.25" customHeight="1">
      <c r="A378" s="8">
        <v>2301438</v>
      </c>
      <c r="B378" s="9" t="s">
        <v>13284</v>
      </c>
      <c r="C378" s="9" t="s">
        <v>13284</v>
      </c>
      <c r="D378" s="9" t="s">
        <v>13284</v>
      </c>
      <c r="E378" s="9" t="s">
        <v>13284</v>
      </c>
      <c r="F378" s="9" t="s">
        <v>13284</v>
      </c>
      <c r="G378" s="9" t="s">
        <v>13284</v>
      </c>
      <c r="H378" s="9" t="s">
        <v>13284</v>
      </c>
      <c r="I378" s="9" t="s">
        <v>13284</v>
      </c>
      <c r="J378" s="9" t="s">
        <v>13284</v>
      </c>
      <c r="K378" s="9" t="s">
        <v>13284</v>
      </c>
      <c r="L378" s="9" t="s">
        <v>13284</v>
      </c>
      <c r="M378" s="9" t="s">
        <v>13284</v>
      </c>
      <c r="N378" s="9" t="s">
        <v>13284</v>
      </c>
      <c r="O378" s="9" t="s">
        <v>13284</v>
      </c>
      <c r="P378" s="9" t="s">
        <v>13284</v>
      </c>
      <c r="Q378" s="9" t="s">
        <v>13284</v>
      </c>
      <c r="R378" s="9" t="s">
        <v>13284</v>
      </c>
      <c r="S378" s="9" t="s">
        <v>13284</v>
      </c>
      <c r="T378" s="9" t="str">
        <f ca="1">IFERROR(IF(AND(VLOOKUP(A378, 'Актуальное состояние (из общего'!A:C,3,0) = "", A378 &lt;&gt; ""), "ПРОВЕРИТЬ", VLOOKUP(A378, 'Актуальное состояние (из общего'!A:C,3,0)), "")</f>
        <v>Студент</v>
      </c>
      <c r="U378" s="9" t="s">
        <v>13284</v>
      </c>
      <c r="V378" s="9" t="s">
        <v>13284</v>
      </c>
      <c r="W378" s="12"/>
      <c r="X378" s="9" t="str">
        <f t="array" ref="X378">IFERROR(INDEX('Адреса общежитий (скрытый)'!$B$2:$B$9, MATCH(W378, 'Адреса общежитий (скрытый)'!$A$2:$A$9, 0)), "")</f>
        <v/>
      </c>
      <c r="Y378" s="18"/>
      <c r="Z378" s="18"/>
      <c r="AA378" s="18"/>
      <c r="AB378" s="18"/>
      <c r="AC378" s="18"/>
    </row>
    <row r="379" spans="1:29" ht="32.25" customHeight="1">
      <c r="A379" s="8">
        <v>2312073</v>
      </c>
      <c r="B379" s="9" t="s">
        <v>13284</v>
      </c>
      <c r="C379" s="9" t="s">
        <v>13284</v>
      </c>
      <c r="D379" s="9" t="s">
        <v>13284</v>
      </c>
      <c r="E379" s="9" t="s">
        <v>13284</v>
      </c>
      <c r="F379" s="9" t="s">
        <v>13284</v>
      </c>
      <c r="G379" s="9" t="s">
        <v>13284</v>
      </c>
      <c r="H379" s="9" t="s">
        <v>13284</v>
      </c>
      <c r="I379" s="9" t="s">
        <v>13284</v>
      </c>
      <c r="J379" s="9" t="s">
        <v>13284</v>
      </c>
      <c r="K379" s="9" t="s">
        <v>13284</v>
      </c>
      <c r="L379" s="9" t="s">
        <v>13284</v>
      </c>
      <c r="M379" s="9" t="s">
        <v>13284</v>
      </c>
      <c r="N379" s="9" t="s">
        <v>13284</v>
      </c>
      <c r="O379" s="9" t="s">
        <v>13284</v>
      </c>
      <c r="P379" s="9" t="s">
        <v>13284</v>
      </c>
      <c r="Q379" s="9" t="s">
        <v>13284</v>
      </c>
      <c r="R379" s="9" t="s">
        <v>13284</v>
      </c>
      <c r="S379" s="9" t="s">
        <v>13284</v>
      </c>
      <c r="T379" s="9" t="str">
        <f ca="1">IFERROR(IF(AND(VLOOKUP(A379, 'Актуальное состояние (из общего'!A:C,3,0) = "", A379 &lt;&gt; ""), "ПРОВЕРИТЬ", VLOOKUP(A379, 'Актуальное состояние (из общего'!A:C,3,0)), "")</f>
        <v>Студент</v>
      </c>
      <c r="U379" s="9" t="s">
        <v>13284</v>
      </c>
      <c r="V379" s="9" t="s">
        <v>13284</v>
      </c>
      <c r="W379" s="12"/>
      <c r="X379" s="9" t="str">
        <f t="array" ref="X379">IFERROR(INDEX('Адреса общежитий (скрытый)'!$B$2:$B$9, MATCH(W379, 'Адреса общежитий (скрытый)'!$A$2:$A$9, 0)), "")</f>
        <v/>
      </c>
      <c r="Y379" s="18"/>
      <c r="Z379" s="18"/>
      <c r="AA379" s="18"/>
      <c r="AB379" s="18"/>
      <c r="AC379" s="18"/>
    </row>
    <row r="380" spans="1:29" ht="32.25" hidden="1" customHeight="1">
      <c r="A380" s="8">
        <v>2303434</v>
      </c>
      <c r="B380" s="9" t="s">
        <v>13284</v>
      </c>
      <c r="C380" s="9" t="s">
        <v>13284</v>
      </c>
      <c r="D380" s="9" t="s">
        <v>13284</v>
      </c>
      <c r="E380" s="9" t="s">
        <v>13284</v>
      </c>
      <c r="F380" s="9" t="s">
        <v>13284</v>
      </c>
      <c r="G380" s="9" t="s">
        <v>13284</v>
      </c>
      <c r="H380" s="9" t="s">
        <v>13284</v>
      </c>
      <c r="I380" s="9" t="s">
        <v>13284</v>
      </c>
      <c r="J380" s="9" t="s">
        <v>13284</v>
      </c>
      <c r="K380" s="9" t="s">
        <v>13284</v>
      </c>
      <c r="L380" s="9" t="s">
        <v>13284</v>
      </c>
      <c r="M380" s="9" t="s">
        <v>13284</v>
      </c>
      <c r="N380" s="9" t="s">
        <v>13284</v>
      </c>
      <c r="O380" s="9" t="s">
        <v>13284</v>
      </c>
      <c r="P380" s="9" t="s">
        <v>13284</v>
      </c>
      <c r="Q380" s="9" t="s">
        <v>13284</v>
      </c>
      <c r="R380" s="9" t="s">
        <v>13284</v>
      </c>
      <c r="S380" s="9" t="s">
        <v>13284</v>
      </c>
      <c r="T380" s="9" t="str">
        <f ca="1">IFERROR(IF(AND(VLOOKUP(A380, 'Актуальное состояние (из общего'!A:C,3,0) = "", A380 &lt;&gt; ""), "ПРОВЕРИТЬ", VLOOKUP(A380, 'Актуальное состояние (из общего'!A:C,3,0)), "")</f>
        <v>Студент</v>
      </c>
      <c r="U380" s="9" t="s">
        <v>13284</v>
      </c>
      <c r="V380" s="9" t="s">
        <v>13284</v>
      </c>
      <c r="W380" s="12"/>
      <c r="X380" s="9" t="str">
        <f t="array" ref="X380">IFERROR(INDEX('Адреса общежитий (скрытый)'!$B$2:$B$9, MATCH(W380, 'Адреса общежитий (скрытый)'!$A$2:$A$9, 0)), "")</f>
        <v/>
      </c>
      <c r="Y380" s="18"/>
      <c r="Z380" s="18"/>
      <c r="AA380" s="18"/>
      <c r="AB380" s="18"/>
      <c r="AC380" s="18"/>
    </row>
    <row r="381" spans="1:29" ht="32.25" hidden="1" customHeight="1">
      <c r="A381" s="8">
        <v>2303599</v>
      </c>
      <c r="B381" s="9" t="s">
        <v>13284</v>
      </c>
      <c r="C381" s="9" t="s">
        <v>13284</v>
      </c>
      <c r="D381" s="9" t="s">
        <v>13284</v>
      </c>
      <c r="E381" s="9" t="s">
        <v>13284</v>
      </c>
      <c r="F381" s="9" t="s">
        <v>13284</v>
      </c>
      <c r="G381" s="9" t="s">
        <v>13284</v>
      </c>
      <c r="H381" s="9" t="s">
        <v>13284</v>
      </c>
      <c r="I381" s="9" t="s">
        <v>13284</v>
      </c>
      <c r="J381" s="9" t="s">
        <v>13284</v>
      </c>
      <c r="K381" s="9" t="s">
        <v>13284</v>
      </c>
      <c r="L381" s="9" t="s">
        <v>13284</v>
      </c>
      <c r="M381" s="9" t="s">
        <v>13284</v>
      </c>
      <c r="N381" s="9" t="s">
        <v>13284</v>
      </c>
      <c r="O381" s="9" t="s">
        <v>13284</v>
      </c>
      <c r="P381" s="9" t="s">
        <v>13284</v>
      </c>
      <c r="Q381" s="9" t="s">
        <v>13284</v>
      </c>
      <c r="R381" s="9" t="s">
        <v>13284</v>
      </c>
      <c r="S381" s="9" t="s">
        <v>13284</v>
      </c>
      <c r="T381" s="9" t="str">
        <f ca="1">IFERROR(IF(AND(VLOOKUP(A381, 'Актуальное состояние (из общего'!A:C,3,0) = "", A381 &lt;&gt; ""), "ПРОВЕРИТЬ", VLOOKUP(A381, 'Актуальное состояние (из общего'!A:C,3,0)), "")</f>
        <v>Студент</v>
      </c>
      <c r="U381" s="9" t="s">
        <v>13284</v>
      </c>
      <c r="V381" s="9" t="s">
        <v>13284</v>
      </c>
      <c r="W381" s="12"/>
      <c r="X381" s="9" t="str">
        <f t="array" ref="X381">IFERROR(INDEX('Адреса общежитий (скрытый)'!$B$2:$B$9, MATCH(W381, 'Адреса общежитий (скрытый)'!$A$2:$A$9, 0)), "")</f>
        <v/>
      </c>
      <c r="Y381" s="18"/>
      <c r="Z381" s="18"/>
      <c r="AA381" s="18"/>
      <c r="AB381" s="18"/>
      <c r="AC381" s="18"/>
    </row>
    <row r="382" spans="1:29" ht="32.25" customHeight="1">
      <c r="A382" s="8">
        <v>2311544</v>
      </c>
      <c r="B382" s="9" t="s">
        <v>13284</v>
      </c>
      <c r="C382" s="9" t="s">
        <v>13284</v>
      </c>
      <c r="D382" s="9" t="s">
        <v>13284</v>
      </c>
      <c r="E382" s="9" t="s">
        <v>13284</v>
      </c>
      <c r="F382" s="9" t="s">
        <v>13284</v>
      </c>
      <c r="G382" s="9" t="s">
        <v>13284</v>
      </c>
      <c r="H382" s="9" t="s">
        <v>13284</v>
      </c>
      <c r="I382" s="9" t="s">
        <v>13284</v>
      </c>
      <c r="J382" s="9" t="s">
        <v>13284</v>
      </c>
      <c r="K382" s="9" t="s">
        <v>13284</v>
      </c>
      <c r="L382" s="9" t="s">
        <v>13284</v>
      </c>
      <c r="M382" s="9" t="s">
        <v>13284</v>
      </c>
      <c r="N382" s="9" t="s">
        <v>13284</v>
      </c>
      <c r="O382" s="9" t="s">
        <v>13284</v>
      </c>
      <c r="P382" s="9" t="s">
        <v>13284</v>
      </c>
      <c r="Q382" s="9" t="s">
        <v>13284</v>
      </c>
      <c r="R382" s="9" t="s">
        <v>13284</v>
      </c>
      <c r="S382" s="9" t="s">
        <v>13284</v>
      </c>
      <c r="T382" s="9" t="str">
        <f ca="1">IFERROR(IF(AND(VLOOKUP(A382, 'Актуальное состояние (из общего'!A:C,3,0) = "", A382 &lt;&gt; ""), "ПРОВЕРИТЬ", VLOOKUP(A382, 'Актуальное состояние (из общего'!A:C,3,0)), "")</f>
        <v>Студент</v>
      </c>
      <c r="U382" s="9" t="s">
        <v>13284</v>
      </c>
      <c r="V382" s="9" t="s">
        <v>13284</v>
      </c>
      <c r="W382" s="12"/>
      <c r="X382" s="9" t="str">
        <f t="array" ref="X382">IFERROR(INDEX('Адреса общежитий (скрытый)'!$B$2:$B$9, MATCH(W382, 'Адреса общежитий (скрытый)'!$A$2:$A$9, 0)), "")</f>
        <v/>
      </c>
      <c r="Y382" s="18"/>
      <c r="Z382" s="18"/>
      <c r="AA382" s="18"/>
      <c r="AB382" s="18"/>
      <c r="AC382" s="18"/>
    </row>
    <row r="383" spans="1:29" ht="32.25" customHeight="1">
      <c r="A383" s="8">
        <v>2308256</v>
      </c>
      <c r="B383" s="9" t="s">
        <v>13284</v>
      </c>
      <c r="C383" s="9" t="s">
        <v>13284</v>
      </c>
      <c r="D383" s="9" t="s">
        <v>13284</v>
      </c>
      <c r="E383" s="9" t="s">
        <v>13284</v>
      </c>
      <c r="F383" s="9" t="s">
        <v>13284</v>
      </c>
      <c r="G383" s="9" t="s">
        <v>13284</v>
      </c>
      <c r="H383" s="9" t="s">
        <v>13284</v>
      </c>
      <c r="I383" s="9" t="s">
        <v>13284</v>
      </c>
      <c r="J383" s="9" t="s">
        <v>13284</v>
      </c>
      <c r="K383" s="9" t="s">
        <v>13284</v>
      </c>
      <c r="L383" s="9" t="s">
        <v>13284</v>
      </c>
      <c r="M383" s="9" t="s">
        <v>13284</v>
      </c>
      <c r="N383" s="9" t="s">
        <v>13284</v>
      </c>
      <c r="O383" s="9" t="s">
        <v>13284</v>
      </c>
      <c r="P383" s="9" t="s">
        <v>13284</v>
      </c>
      <c r="Q383" s="9" t="s">
        <v>13284</v>
      </c>
      <c r="R383" s="9" t="s">
        <v>13284</v>
      </c>
      <c r="S383" s="9" t="s">
        <v>13284</v>
      </c>
      <c r="T383" s="9" t="str">
        <f ca="1">IFERROR(IF(AND(VLOOKUP(A383, 'Актуальное состояние (из общего'!A:C,3,0) = "", A383 &lt;&gt; ""), "ПРОВЕРИТЬ", VLOOKUP(A383, 'Актуальное состояние (из общего'!A:C,3,0)), "")</f>
        <v>Студент</v>
      </c>
      <c r="U383" s="9" t="s">
        <v>13284</v>
      </c>
      <c r="V383" s="9" t="s">
        <v>13284</v>
      </c>
      <c r="W383" s="12"/>
      <c r="X383" s="9" t="str">
        <f t="array" ref="X383">IFERROR(INDEX('Адреса общежитий (скрытый)'!$B$2:$B$9, MATCH(W383, 'Адреса общежитий (скрытый)'!$A$2:$A$9, 0)), "")</f>
        <v/>
      </c>
      <c r="Y383" s="18"/>
      <c r="Z383" s="18"/>
      <c r="AA383" s="18"/>
      <c r="AB383" s="18"/>
      <c r="AC383" s="18"/>
    </row>
    <row r="384" spans="1:29" ht="32.25" customHeight="1">
      <c r="A384" s="8">
        <v>2301313</v>
      </c>
      <c r="B384" s="9" t="s">
        <v>13284</v>
      </c>
      <c r="C384" s="9" t="s">
        <v>13284</v>
      </c>
      <c r="D384" s="9" t="s">
        <v>13284</v>
      </c>
      <c r="E384" s="9" t="s">
        <v>13284</v>
      </c>
      <c r="F384" s="9" t="s">
        <v>13284</v>
      </c>
      <c r="G384" s="9" t="s">
        <v>13284</v>
      </c>
      <c r="H384" s="9" t="s">
        <v>13284</v>
      </c>
      <c r="I384" s="9" t="s">
        <v>13284</v>
      </c>
      <c r="J384" s="9" t="s">
        <v>13284</v>
      </c>
      <c r="K384" s="9" t="s">
        <v>13284</v>
      </c>
      <c r="L384" s="9" t="s">
        <v>13284</v>
      </c>
      <c r="M384" s="9" t="s">
        <v>13284</v>
      </c>
      <c r="N384" s="9" t="s">
        <v>13284</v>
      </c>
      <c r="O384" s="9" t="s">
        <v>13284</v>
      </c>
      <c r="P384" s="9" t="s">
        <v>13284</v>
      </c>
      <c r="Q384" s="9" t="s">
        <v>13284</v>
      </c>
      <c r="R384" s="9" t="s">
        <v>13284</v>
      </c>
      <c r="S384" s="9" t="s">
        <v>13284</v>
      </c>
      <c r="T384" s="9" t="str">
        <f ca="1">IFERROR(IF(AND(VLOOKUP(A384, 'Актуальное состояние (из общего'!A:C,3,0) = "", A384 &lt;&gt; ""), "ПРОВЕРИТЬ", VLOOKUP(A384, 'Актуальное состояние (из общего'!A:C,3,0)), "")</f>
        <v>Студент</v>
      </c>
      <c r="U384" s="9" t="s">
        <v>13284</v>
      </c>
      <c r="V384" s="9" t="s">
        <v>13284</v>
      </c>
      <c r="W384" s="12"/>
      <c r="X384" s="9" t="str">
        <f t="array" ref="X384">IFERROR(INDEX('Адреса общежитий (скрытый)'!$B$2:$B$9, MATCH(W384, 'Адреса общежитий (скрытый)'!$A$2:$A$9, 0)), "")</f>
        <v/>
      </c>
      <c r="Y384" s="18"/>
      <c r="Z384" s="18"/>
      <c r="AA384" s="18"/>
      <c r="AB384" s="18"/>
      <c r="AC384" s="18"/>
    </row>
    <row r="385" spans="1:29" ht="32.25" customHeight="1">
      <c r="A385" s="8">
        <v>2312741</v>
      </c>
      <c r="B385" s="9" t="s">
        <v>13284</v>
      </c>
      <c r="C385" s="9" t="s">
        <v>13284</v>
      </c>
      <c r="D385" s="9" t="s">
        <v>13284</v>
      </c>
      <c r="E385" s="9" t="s">
        <v>13284</v>
      </c>
      <c r="F385" s="9" t="s">
        <v>13284</v>
      </c>
      <c r="G385" s="9" t="s">
        <v>13284</v>
      </c>
      <c r="H385" s="9" t="s">
        <v>13284</v>
      </c>
      <c r="I385" s="9" t="s">
        <v>13284</v>
      </c>
      <c r="J385" s="9" t="s">
        <v>13284</v>
      </c>
      <c r="K385" s="9" t="s">
        <v>13284</v>
      </c>
      <c r="L385" s="9" t="s">
        <v>13284</v>
      </c>
      <c r="M385" s="9" t="s">
        <v>13284</v>
      </c>
      <c r="N385" s="9" t="s">
        <v>13284</v>
      </c>
      <c r="O385" s="9" t="s">
        <v>13284</v>
      </c>
      <c r="P385" s="9" t="s">
        <v>13284</v>
      </c>
      <c r="Q385" s="9" t="s">
        <v>13284</v>
      </c>
      <c r="R385" s="9" t="s">
        <v>13284</v>
      </c>
      <c r="S385" s="9" t="s">
        <v>13284</v>
      </c>
      <c r="T385" s="9" t="str">
        <f ca="1">IFERROR(IF(AND(VLOOKUP(A385, 'Актуальное состояние (из общего'!A:C,3,0) = "", A385 &lt;&gt; ""), "ПРОВЕРИТЬ", VLOOKUP(A385, 'Актуальное состояние (из общего'!A:C,3,0)), "")</f>
        <v>Студент</v>
      </c>
      <c r="U385" s="9" t="s">
        <v>13284</v>
      </c>
      <c r="V385" s="9" t="s">
        <v>13284</v>
      </c>
      <c r="W385" s="12"/>
      <c r="X385" s="9" t="str">
        <f t="array" ref="X385">IFERROR(INDEX('Адреса общежитий (скрытый)'!$B$2:$B$9, MATCH(W385, 'Адреса общежитий (скрытый)'!$A$2:$A$9, 0)), "")</f>
        <v/>
      </c>
      <c r="Y385" s="18"/>
      <c r="Z385" s="18"/>
      <c r="AA385" s="18"/>
      <c r="AB385" s="18"/>
      <c r="AC385" s="18"/>
    </row>
    <row r="386" spans="1:29" ht="32.25" customHeight="1">
      <c r="A386" s="8">
        <v>2303281</v>
      </c>
      <c r="B386" s="9" t="s">
        <v>13284</v>
      </c>
      <c r="C386" s="9" t="s">
        <v>13284</v>
      </c>
      <c r="D386" s="9" t="s">
        <v>13284</v>
      </c>
      <c r="E386" s="9" t="s">
        <v>13284</v>
      </c>
      <c r="F386" s="9" t="s">
        <v>13284</v>
      </c>
      <c r="G386" s="9" t="s">
        <v>13284</v>
      </c>
      <c r="H386" s="9" t="s">
        <v>13284</v>
      </c>
      <c r="I386" s="9" t="s">
        <v>13284</v>
      </c>
      <c r="J386" s="9" t="s">
        <v>13284</v>
      </c>
      <c r="K386" s="9" t="s">
        <v>13284</v>
      </c>
      <c r="L386" s="9" t="s">
        <v>13284</v>
      </c>
      <c r="M386" s="9" t="s">
        <v>13284</v>
      </c>
      <c r="N386" s="9" t="s">
        <v>13284</v>
      </c>
      <c r="O386" s="9" t="s">
        <v>13284</v>
      </c>
      <c r="P386" s="9" t="s">
        <v>13284</v>
      </c>
      <c r="Q386" s="9" t="s">
        <v>13284</v>
      </c>
      <c r="R386" s="9" t="s">
        <v>13284</v>
      </c>
      <c r="S386" s="9" t="s">
        <v>13284</v>
      </c>
      <c r="T386" s="9" t="str">
        <f ca="1">IFERROR(IF(AND(VLOOKUP(A386, 'Актуальное состояние (из общего'!A:C,3,0) = "", A386 &lt;&gt; ""), "ПРОВЕРИТЬ", VLOOKUP(A386, 'Актуальное состояние (из общего'!A:C,3,0)), "")</f>
        <v>Студент</v>
      </c>
      <c r="U386" s="9" t="s">
        <v>13284</v>
      </c>
      <c r="V386" s="9" t="s">
        <v>13284</v>
      </c>
      <c r="W386" s="12" t="s">
        <v>76</v>
      </c>
      <c r="X386" s="9" t="str">
        <f t="array" ref="X386">IFERROR(INDEX('Адреса общежитий (скрытый)'!$B$2:$B$9, MATCH(W386, 'Адреса общежитий (скрытый)'!$A$2:$A$9, 0)), "")</f>
        <v>ул. Студенческая, д. 33, корп. 5,6</v>
      </c>
      <c r="Y386" s="18"/>
      <c r="Z386" s="18"/>
      <c r="AA386" s="18"/>
      <c r="AB386" s="18"/>
      <c r="AC386" s="18"/>
    </row>
    <row r="387" spans="1:29" ht="32.25" customHeight="1">
      <c r="A387" s="8">
        <v>2305802</v>
      </c>
      <c r="B387" s="9" t="s">
        <v>13284</v>
      </c>
      <c r="C387" s="9" t="s">
        <v>13284</v>
      </c>
      <c r="D387" s="9" t="s">
        <v>13284</v>
      </c>
      <c r="E387" s="9" t="s">
        <v>13284</v>
      </c>
      <c r="F387" s="9" t="s">
        <v>13284</v>
      </c>
      <c r="G387" s="9" t="s">
        <v>13284</v>
      </c>
      <c r="H387" s="9" t="s">
        <v>13284</v>
      </c>
      <c r="I387" s="9" t="s">
        <v>13284</v>
      </c>
      <c r="J387" s="9" t="s">
        <v>13284</v>
      </c>
      <c r="K387" s="9" t="s">
        <v>13284</v>
      </c>
      <c r="L387" s="9" t="s">
        <v>13284</v>
      </c>
      <c r="M387" s="9" t="s">
        <v>13284</v>
      </c>
      <c r="N387" s="9" t="s">
        <v>13284</v>
      </c>
      <c r="O387" s="9" t="s">
        <v>13284</v>
      </c>
      <c r="P387" s="9" t="s">
        <v>13284</v>
      </c>
      <c r="Q387" s="9" t="s">
        <v>13284</v>
      </c>
      <c r="R387" s="9" t="s">
        <v>13284</v>
      </c>
      <c r="S387" s="9" t="s">
        <v>13284</v>
      </c>
      <c r="T387" s="9" t="str">
        <f ca="1">IFERROR(IF(AND(VLOOKUP(A387, 'Актуальное состояние (из общего'!A:C,3,0) = "", A387 &lt;&gt; ""), "ПРОВЕРИТЬ", VLOOKUP(A387, 'Актуальное состояние (из общего'!A:C,3,0)), "")</f>
        <v>Студент</v>
      </c>
      <c r="U387" s="9" t="s">
        <v>13284</v>
      </c>
      <c r="V387" s="9" t="s">
        <v>13284</v>
      </c>
      <c r="W387" s="12"/>
      <c r="X387" s="9" t="str">
        <f t="array" ref="X387">IFERROR(INDEX('Адреса общежитий (скрытый)'!$B$2:$B$9, MATCH(W387, 'Адреса общежитий (скрытый)'!$A$2:$A$9, 0)), "")</f>
        <v/>
      </c>
      <c r="Y387" s="18"/>
      <c r="Z387" s="18"/>
      <c r="AA387" s="18"/>
      <c r="AB387" s="18"/>
      <c r="AC387" s="18"/>
    </row>
    <row r="388" spans="1:29" ht="32.25" hidden="1" customHeight="1">
      <c r="A388" s="8">
        <v>2302724</v>
      </c>
      <c r="B388" s="9" t="s">
        <v>13284</v>
      </c>
      <c r="C388" s="9" t="s">
        <v>13284</v>
      </c>
      <c r="D388" s="9" t="s">
        <v>13284</v>
      </c>
      <c r="E388" s="9" t="s">
        <v>13284</v>
      </c>
      <c r="F388" s="9" t="s">
        <v>13284</v>
      </c>
      <c r="G388" s="9" t="s">
        <v>13284</v>
      </c>
      <c r="H388" s="9" t="s">
        <v>13284</v>
      </c>
      <c r="I388" s="9" t="s">
        <v>13284</v>
      </c>
      <c r="J388" s="9" t="s">
        <v>13284</v>
      </c>
      <c r="K388" s="9" t="s">
        <v>13284</v>
      </c>
      <c r="L388" s="9" t="s">
        <v>13284</v>
      </c>
      <c r="M388" s="9" t="s">
        <v>13284</v>
      </c>
      <c r="N388" s="9" t="s">
        <v>13284</v>
      </c>
      <c r="O388" s="9" t="s">
        <v>13284</v>
      </c>
      <c r="P388" s="9" t="s">
        <v>13284</v>
      </c>
      <c r="Q388" s="9" t="s">
        <v>13284</v>
      </c>
      <c r="R388" s="9" t="s">
        <v>13284</v>
      </c>
      <c r="S388" s="9" t="s">
        <v>13284</v>
      </c>
      <c r="T388" s="9" t="str">
        <f ca="1">IFERROR(IF(AND(VLOOKUP(A388, 'Актуальное состояние (из общего'!A:C,3,0) = "", A388 &lt;&gt; ""), "ПРОВЕРИТЬ", VLOOKUP(A388, 'Актуальное состояние (из общего'!A:C,3,0)), "")</f>
        <v>Студент</v>
      </c>
      <c r="U388" s="9" t="s">
        <v>13284</v>
      </c>
      <c r="V388" s="9" t="s">
        <v>13284</v>
      </c>
      <c r="W388" s="12"/>
      <c r="X388" s="9" t="str">
        <f t="array" ref="X388">IFERROR(INDEX('Адреса общежитий (скрытый)'!$B$2:$B$9, MATCH(W388, 'Адреса общежитий (скрытый)'!$A$2:$A$9, 0)), "")</f>
        <v/>
      </c>
      <c r="Y388" s="18"/>
      <c r="Z388" s="18"/>
      <c r="AA388" s="18"/>
      <c r="AB388" s="18"/>
      <c r="AC388" s="18"/>
    </row>
    <row r="389" spans="1:29" ht="32.25" customHeight="1">
      <c r="A389" s="8">
        <v>2306838</v>
      </c>
      <c r="B389" s="9" t="s">
        <v>13284</v>
      </c>
      <c r="C389" s="9" t="s">
        <v>13284</v>
      </c>
      <c r="D389" s="9" t="s">
        <v>13284</v>
      </c>
      <c r="E389" s="9" t="s">
        <v>13284</v>
      </c>
      <c r="F389" s="9" t="s">
        <v>13284</v>
      </c>
      <c r="G389" s="9" t="s">
        <v>13284</v>
      </c>
      <c r="H389" s="9" t="s">
        <v>13284</v>
      </c>
      <c r="I389" s="9" t="s">
        <v>13284</v>
      </c>
      <c r="J389" s="9" t="s">
        <v>13284</v>
      </c>
      <c r="K389" s="9" t="s">
        <v>13284</v>
      </c>
      <c r="L389" s="9" t="s">
        <v>13284</v>
      </c>
      <c r="M389" s="9" t="s">
        <v>13284</v>
      </c>
      <c r="N389" s="9" t="s">
        <v>13284</v>
      </c>
      <c r="O389" s="9" t="s">
        <v>13284</v>
      </c>
      <c r="P389" s="9" t="s">
        <v>13284</v>
      </c>
      <c r="Q389" s="9" t="s">
        <v>13284</v>
      </c>
      <c r="R389" s="9" t="s">
        <v>13284</v>
      </c>
      <c r="S389" s="9" t="s">
        <v>13284</v>
      </c>
      <c r="T389" s="9" t="str">
        <f ca="1">IFERROR(IF(AND(VLOOKUP(A389, 'Актуальное состояние (из общего'!A:C,3,0) = "", A389 &lt;&gt; ""), "ПРОВЕРИТЬ", VLOOKUP(A389, 'Актуальное состояние (из общего'!A:C,3,0)), "")</f>
        <v>Студент</v>
      </c>
      <c r="U389" s="9" t="s">
        <v>13284</v>
      </c>
      <c r="V389" s="9" t="s">
        <v>13284</v>
      </c>
      <c r="W389" s="12"/>
      <c r="X389" s="9" t="str">
        <f t="array" ref="X389">IFERROR(INDEX('Адреса общежитий (скрытый)'!$B$2:$B$9, MATCH(W389, 'Адреса общежитий (скрытый)'!$A$2:$A$9, 0)), "")</f>
        <v/>
      </c>
      <c r="Y389" s="18"/>
      <c r="Z389" s="18"/>
      <c r="AA389" s="18"/>
      <c r="AB389" s="18"/>
      <c r="AC389" s="18"/>
    </row>
    <row r="390" spans="1:29" ht="32.25" customHeight="1">
      <c r="A390" s="8">
        <v>2307447</v>
      </c>
      <c r="B390" s="9" t="s">
        <v>13284</v>
      </c>
      <c r="C390" s="9" t="s">
        <v>13284</v>
      </c>
      <c r="D390" s="9" t="s">
        <v>13284</v>
      </c>
      <c r="E390" s="9" t="s">
        <v>13284</v>
      </c>
      <c r="F390" s="9" t="s">
        <v>13284</v>
      </c>
      <c r="G390" s="9" t="s">
        <v>13284</v>
      </c>
      <c r="H390" s="9" t="s">
        <v>13284</v>
      </c>
      <c r="I390" s="9" t="s">
        <v>13284</v>
      </c>
      <c r="J390" s="9" t="s">
        <v>13284</v>
      </c>
      <c r="K390" s="9" t="s">
        <v>13284</v>
      </c>
      <c r="L390" s="9" t="s">
        <v>13284</v>
      </c>
      <c r="M390" s="9" t="s">
        <v>13284</v>
      </c>
      <c r="N390" s="9" t="s">
        <v>13284</v>
      </c>
      <c r="O390" s="9" t="s">
        <v>13284</v>
      </c>
      <c r="P390" s="9" t="s">
        <v>13284</v>
      </c>
      <c r="Q390" s="9" t="s">
        <v>13284</v>
      </c>
      <c r="R390" s="9" t="s">
        <v>13284</v>
      </c>
      <c r="S390" s="9" t="s">
        <v>13284</v>
      </c>
      <c r="T390" s="9" t="str">
        <f ca="1">IFERROR(IF(AND(VLOOKUP(A390, 'Актуальное состояние (из общего'!A:C,3,0) = "", A390 &lt;&gt; ""), "ПРОВЕРИТЬ", VLOOKUP(A390, 'Актуальное состояние (из общего'!A:C,3,0)), "")</f>
        <v>Студент</v>
      </c>
      <c r="U390" s="9" t="s">
        <v>13284</v>
      </c>
      <c r="V390" s="9" t="s">
        <v>13284</v>
      </c>
      <c r="W390" s="12"/>
      <c r="X390" s="9" t="str">
        <f t="array" ref="X390">IFERROR(INDEX('Адреса общежитий (скрытый)'!$B$2:$B$9, MATCH(W390, 'Адреса общежитий (скрытый)'!$A$2:$A$9, 0)), "")</f>
        <v/>
      </c>
      <c r="Y390" s="18"/>
      <c r="Z390" s="18"/>
      <c r="AA390" s="18"/>
      <c r="AB390" s="18"/>
      <c r="AC390" s="18"/>
    </row>
    <row r="391" spans="1:29" ht="32.25" customHeight="1">
      <c r="A391" s="8">
        <v>2303351</v>
      </c>
      <c r="B391" s="9" t="s">
        <v>13284</v>
      </c>
      <c r="C391" s="9" t="s">
        <v>13284</v>
      </c>
      <c r="D391" s="9" t="s">
        <v>13284</v>
      </c>
      <c r="E391" s="9" t="s">
        <v>13284</v>
      </c>
      <c r="F391" s="9" t="s">
        <v>13284</v>
      </c>
      <c r="G391" s="9" t="s">
        <v>13284</v>
      </c>
      <c r="H391" s="9" t="s">
        <v>13284</v>
      </c>
      <c r="I391" s="9" t="s">
        <v>13284</v>
      </c>
      <c r="J391" s="9" t="s">
        <v>13284</v>
      </c>
      <c r="K391" s="9" t="s">
        <v>13284</v>
      </c>
      <c r="L391" s="9" t="s">
        <v>13284</v>
      </c>
      <c r="M391" s="9" t="s">
        <v>13284</v>
      </c>
      <c r="N391" s="9" t="s">
        <v>13284</v>
      </c>
      <c r="O391" s="9" t="s">
        <v>13284</v>
      </c>
      <c r="P391" s="9" t="s">
        <v>13284</v>
      </c>
      <c r="Q391" s="9" t="s">
        <v>13284</v>
      </c>
      <c r="R391" s="9" t="s">
        <v>13284</v>
      </c>
      <c r="S391" s="9" t="s">
        <v>13284</v>
      </c>
      <c r="T391" s="9" t="str">
        <f ca="1">IFERROR(IF(AND(VLOOKUP(A391, 'Актуальное состояние (из общего'!A:C,3,0) = "", A391 &lt;&gt; ""), "ПРОВЕРИТЬ", VLOOKUP(A391, 'Актуальное состояние (из общего'!A:C,3,0)), "")</f>
        <v>Студент</v>
      </c>
      <c r="U391" s="9" t="s">
        <v>13284</v>
      </c>
      <c r="V391" s="9" t="s">
        <v>13284</v>
      </c>
      <c r="W391" s="12"/>
      <c r="X391" s="9" t="str">
        <f t="array" ref="X391">IFERROR(INDEX('Адреса общежитий (скрытый)'!$B$2:$B$9, MATCH(W391, 'Адреса общежитий (скрытый)'!$A$2:$A$9, 0)), "")</f>
        <v/>
      </c>
      <c r="Y391" s="18"/>
      <c r="Z391" s="18"/>
      <c r="AA391" s="18"/>
      <c r="AB391" s="18"/>
      <c r="AC391" s="18"/>
    </row>
    <row r="392" spans="1:29" ht="32.25" customHeight="1">
      <c r="A392" s="8">
        <v>2308559</v>
      </c>
      <c r="B392" s="9" t="s">
        <v>13284</v>
      </c>
      <c r="C392" s="9" t="s">
        <v>13284</v>
      </c>
      <c r="D392" s="9" t="s">
        <v>13284</v>
      </c>
      <c r="E392" s="9" t="s">
        <v>13284</v>
      </c>
      <c r="F392" s="9" t="s">
        <v>13284</v>
      </c>
      <c r="G392" s="9" t="s">
        <v>13284</v>
      </c>
      <c r="H392" s="9" t="s">
        <v>13284</v>
      </c>
      <c r="I392" s="9" t="s">
        <v>13284</v>
      </c>
      <c r="J392" s="9" t="s">
        <v>13284</v>
      </c>
      <c r="K392" s="9" t="s">
        <v>13284</v>
      </c>
      <c r="L392" s="9" t="s">
        <v>13284</v>
      </c>
      <c r="M392" s="9" t="s">
        <v>13284</v>
      </c>
      <c r="N392" s="9" t="s">
        <v>13284</v>
      </c>
      <c r="O392" s="9" t="s">
        <v>13284</v>
      </c>
      <c r="P392" s="9" t="s">
        <v>13284</v>
      </c>
      <c r="Q392" s="9" t="s">
        <v>13284</v>
      </c>
      <c r="R392" s="9" t="s">
        <v>13284</v>
      </c>
      <c r="S392" s="9" t="s">
        <v>13284</v>
      </c>
      <c r="T392" s="9" t="str">
        <f ca="1">IFERROR(IF(AND(VLOOKUP(A392, 'Актуальное состояние (из общего'!A:C,3,0) = "", A392 &lt;&gt; ""), "ПРОВЕРИТЬ", VLOOKUP(A392, 'Актуальное состояние (из общего'!A:C,3,0)), "")</f>
        <v>Студент</v>
      </c>
      <c r="U392" s="9" t="s">
        <v>13284</v>
      </c>
      <c r="V392" s="9" t="s">
        <v>13284</v>
      </c>
      <c r="W392" s="12"/>
      <c r="X392" s="9" t="str">
        <f t="array" ref="X392">IFERROR(INDEX('Адреса общежитий (скрытый)'!$B$2:$B$9, MATCH(W392, 'Адреса общежитий (скрытый)'!$A$2:$A$9, 0)), "")</f>
        <v/>
      </c>
      <c r="Y392" s="18"/>
      <c r="Z392" s="18"/>
      <c r="AA392" s="18"/>
      <c r="AB392" s="18"/>
      <c r="AC392" s="18"/>
    </row>
    <row r="393" spans="1:29" ht="32.25" customHeight="1">
      <c r="A393" s="8">
        <v>2302524</v>
      </c>
      <c r="B393" s="9" t="s">
        <v>13284</v>
      </c>
      <c r="C393" s="9" t="s">
        <v>13284</v>
      </c>
      <c r="D393" s="9" t="s">
        <v>13284</v>
      </c>
      <c r="E393" s="9" t="s">
        <v>13284</v>
      </c>
      <c r="F393" s="9" t="s">
        <v>13284</v>
      </c>
      <c r="G393" s="9" t="s">
        <v>13284</v>
      </c>
      <c r="H393" s="9" t="s">
        <v>13284</v>
      </c>
      <c r="I393" s="9" t="s">
        <v>13284</v>
      </c>
      <c r="J393" s="9" t="s">
        <v>13284</v>
      </c>
      <c r="K393" s="9" t="s">
        <v>13284</v>
      </c>
      <c r="L393" s="9" t="s">
        <v>13284</v>
      </c>
      <c r="M393" s="9" t="s">
        <v>13284</v>
      </c>
      <c r="N393" s="9" t="s">
        <v>13284</v>
      </c>
      <c r="O393" s="9" t="s">
        <v>13284</v>
      </c>
      <c r="P393" s="9" t="s">
        <v>13284</v>
      </c>
      <c r="Q393" s="9" t="s">
        <v>13284</v>
      </c>
      <c r="R393" s="9" t="s">
        <v>13284</v>
      </c>
      <c r="S393" s="9" t="s">
        <v>13284</v>
      </c>
      <c r="T393" s="9" t="str">
        <f ca="1">IFERROR(IF(AND(VLOOKUP(A393, 'Актуальное состояние (из общего'!A:C,3,0) = "", A393 &lt;&gt; ""), "ПРОВЕРИТЬ", VLOOKUP(A393, 'Актуальное состояние (из общего'!A:C,3,0)), "")</f>
        <v>Студент</v>
      </c>
      <c r="U393" s="9" t="s">
        <v>13284</v>
      </c>
      <c r="V393" s="9" t="s">
        <v>13284</v>
      </c>
      <c r="W393" s="12"/>
      <c r="X393" s="9" t="str">
        <f t="array" ref="X393">IFERROR(INDEX('Адреса общежитий (скрытый)'!$B$2:$B$9, MATCH(W393, 'Адреса общежитий (скрытый)'!$A$2:$A$9, 0)), "")</f>
        <v/>
      </c>
      <c r="Y393" s="18"/>
      <c r="Z393" s="18"/>
      <c r="AA393" s="18"/>
      <c r="AB393" s="18"/>
      <c r="AC393" s="18"/>
    </row>
    <row r="394" spans="1:29" ht="32.25" customHeight="1">
      <c r="A394" s="8">
        <v>2309253</v>
      </c>
      <c r="B394" s="9" t="s">
        <v>13284</v>
      </c>
      <c r="C394" s="9" t="s">
        <v>13284</v>
      </c>
      <c r="D394" s="9" t="s">
        <v>13284</v>
      </c>
      <c r="E394" s="9" t="s">
        <v>13284</v>
      </c>
      <c r="F394" s="9" t="s">
        <v>13284</v>
      </c>
      <c r="G394" s="9" t="s">
        <v>13284</v>
      </c>
      <c r="H394" s="9" t="s">
        <v>13284</v>
      </c>
      <c r="I394" s="9" t="s">
        <v>13284</v>
      </c>
      <c r="J394" s="9" t="s">
        <v>13284</v>
      </c>
      <c r="K394" s="9" t="s">
        <v>13284</v>
      </c>
      <c r="L394" s="9" t="s">
        <v>13284</v>
      </c>
      <c r="M394" s="9" t="s">
        <v>13284</v>
      </c>
      <c r="N394" s="9" t="s">
        <v>13284</v>
      </c>
      <c r="O394" s="9" t="s">
        <v>13284</v>
      </c>
      <c r="P394" s="9" t="s">
        <v>13284</v>
      </c>
      <c r="Q394" s="9" t="s">
        <v>13284</v>
      </c>
      <c r="R394" s="9" t="s">
        <v>13284</v>
      </c>
      <c r="S394" s="9" t="s">
        <v>13284</v>
      </c>
      <c r="T394" s="9" t="str">
        <f ca="1">IFERROR(IF(AND(VLOOKUP(A394, 'Актуальное состояние (из общего'!A:C,3,0) = "", A394 &lt;&gt; ""), "ПРОВЕРИТЬ", VLOOKUP(A394, 'Актуальное состояние (из общего'!A:C,3,0)), "")</f>
        <v>Студент</v>
      </c>
      <c r="U394" s="9" t="s">
        <v>13284</v>
      </c>
      <c r="V394" s="9" t="s">
        <v>13284</v>
      </c>
      <c r="W394" s="12"/>
      <c r="X394" s="9" t="str">
        <f t="array" ref="X394">IFERROR(INDEX('Адреса общежитий (скрытый)'!$B$2:$B$9, MATCH(W394, 'Адреса общежитий (скрытый)'!$A$2:$A$9, 0)), "")</f>
        <v/>
      </c>
      <c r="Y394" s="18"/>
      <c r="Z394" s="18"/>
      <c r="AA394" s="18"/>
      <c r="AB394" s="18"/>
      <c r="AC394" s="18"/>
    </row>
    <row r="395" spans="1:29" ht="32.25" customHeight="1">
      <c r="A395" s="8">
        <v>2309818</v>
      </c>
      <c r="B395" s="9" t="s">
        <v>13284</v>
      </c>
      <c r="C395" s="9" t="s">
        <v>13284</v>
      </c>
      <c r="D395" s="9" t="s">
        <v>13284</v>
      </c>
      <c r="E395" s="9" t="s">
        <v>13284</v>
      </c>
      <c r="F395" s="9" t="s">
        <v>13284</v>
      </c>
      <c r="G395" s="9" t="s">
        <v>13284</v>
      </c>
      <c r="H395" s="9" t="s">
        <v>13284</v>
      </c>
      <c r="I395" s="9" t="s">
        <v>13284</v>
      </c>
      <c r="J395" s="9" t="s">
        <v>13284</v>
      </c>
      <c r="K395" s="9" t="s">
        <v>13284</v>
      </c>
      <c r="L395" s="9" t="s">
        <v>13284</v>
      </c>
      <c r="M395" s="9" t="s">
        <v>13284</v>
      </c>
      <c r="N395" s="9" t="s">
        <v>13284</v>
      </c>
      <c r="O395" s="9" t="s">
        <v>13284</v>
      </c>
      <c r="P395" s="9" t="s">
        <v>13284</v>
      </c>
      <c r="Q395" s="9" t="s">
        <v>13284</v>
      </c>
      <c r="R395" s="9" t="s">
        <v>13284</v>
      </c>
      <c r="S395" s="9" t="s">
        <v>13284</v>
      </c>
      <c r="T395" s="9" t="str">
        <f ca="1">IFERROR(IF(AND(VLOOKUP(A395, 'Актуальное состояние (из общего'!A:C,3,0) = "", A395 &lt;&gt; ""), "ПРОВЕРИТЬ", VLOOKUP(A395, 'Актуальное состояние (из общего'!A:C,3,0)), "")</f>
        <v>Студент</v>
      </c>
      <c r="U395" s="9" t="s">
        <v>13284</v>
      </c>
      <c r="V395" s="9" t="s">
        <v>13284</v>
      </c>
      <c r="W395" s="12"/>
      <c r="X395" s="9" t="str">
        <f t="array" ref="X395">IFERROR(INDEX('Адреса общежитий (скрытый)'!$B$2:$B$9, MATCH(W395, 'Адреса общежитий (скрытый)'!$A$2:$A$9, 0)), "")</f>
        <v/>
      </c>
      <c r="Y395" s="18"/>
      <c r="Z395" s="18"/>
      <c r="AA395" s="18"/>
      <c r="AB395" s="18"/>
      <c r="AC395" s="18"/>
    </row>
    <row r="396" spans="1:29" ht="32.25" customHeight="1">
      <c r="A396" s="8">
        <v>2304985</v>
      </c>
      <c r="B396" s="9" t="s">
        <v>13284</v>
      </c>
      <c r="C396" s="9" t="s">
        <v>13284</v>
      </c>
      <c r="D396" s="9" t="s">
        <v>13284</v>
      </c>
      <c r="E396" s="9" t="s">
        <v>13284</v>
      </c>
      <c r="F396" s="9" t="s">
        <v>13284</v>
      </c>
      <c r="G396" s="9" t="s">
        <v>13284</v>
      </c>
      <c r="H396" s="9" t="s">
        <v>13284</v>
      </c>
      <c r="I396" s="9" t="s">
        <v>13284</v>
      </c>
      <c r="J396" s="9" t="s">
        <v>13284</v>
      </c>
      <c r="K396" s="9" t="s">
        <v>13284</v>
      </c>
      <c r="L396" s="9" t="s">
        <v>13284</v>
      </c>
      <c r="M396" s="9" t="s">
        <v>13284</v>
      </c>
      <c r="N396" s="9" t="s">
        <v>13284</v>
      </c>
      <c r="O396" s="9" t="s">
        <v>13284</v>
      </c>
      <c r="P396" s="9" t="s">
        <v>13284</v>
      </c>
      <c r="Q396" s="9" t="s">
        <v>13284</v>
      </c>
      <c r="R396" s="9" t="s">
        <v>13284</v>
      </c>
      <c r="S396" s="9" t="s">
        <v>13284</v>
      </c>
      <c r="T396" s="9" t="str">
        <f ca="1">IFERROR(IF(AND(VLOOKUP(A396, 'Актуальное состояние (из общего'!A:C,3,0) = "", A396 &lt;&gt; ""), "ПРОВЕРИТЬ", VLOOKUP(A396, 'Актуальное состояние (из общего'!A:C,3,0)), "")</f>
        <v>Студент</v>
      </c>
      <c r="U396" s="9" t="s">
        <v>13284</v>
      </c>
      <c r="V396" s="9" t="s">
        <v>13284</v>
      </c>
      <c r="W396" s="12"/>
      <c r="X396" s="9" t="str">
        <f t="array" ref="X396">IFERROR(INDEX('Адреса общежитий (скрытый)'!$B$2:$B$9, MATCH(W396, 'Адреса общежитий (скрытый)'!$A$2:$A$9, 0)), "")</f>
        <v/>
      </c>
      <c r="Y396" s="18"/>
      <c r="Z396" s="18"/>
      <c r="AA396" s="18"/>
      <c r="AB396" s="18"/>
      <c r="AC396" s="18"/>
    </row>
    <row r="397" spans="1:29" ht="32.25" hidden="1" customHeight="1">
      <c r="A397" s="8">
        <v>2303763</v>
      </c>
      <c r="B397" s="9" t="s">
        <v>13284</v>
      </c>
      <c r="C397" s="9" t="s">
        <v>13284</v>
      </c>
      <c r="D397" s="9" t="s">
        <v>13284</v>
      </c>
      <c r="E397" s="9" t="s">
        <v>13284</v>
      </c>
      <c r="F397" s="9" t="s">
        <v>13284</v>
      </c>
      <c r="G397" s="9" t="s">
        <v>13284</v>
      </c>
      <c r="H397" s="9" t="s">
        <v>13284</v>
      </c>
      <c r="I397" s="9" t="s">
        <v>13284</v>
      </c>
      <c r="J397" s="9" t="s">
        <v>13284</v>
      </c>
      <c r="K397" s="9" t="s">
        <v>13284</v>
      </c>
      <c r="L397" s="9" t="s">
        <v>13284</v>
      </c>
      <c r="M397" s="9" t="s">
        <v>13284</v>
      </c>
      <c r="N397" s="9" t="s">
        <v>13284</v>
      </c>
      <c r="O397" s="9" t="s">
        <v>13284</v>
      </c>
      <c r="P397" s="9" t="s">
        <v>13284</v>
      </c>
      <c r="Q397" s="9" t="s">
        <v>13284</v>
      </c>
      <c r="R397" s="9" t="s">
        <v>13284</v>
      </c>
      <c r="S397" s="9" t="s">
        <v>13284</v>
      </c>
      <c r="T397" s="9" t="str">
        <f ca="1">IFERROR(IF(AND(VLOOKUP(A397, 'Актуальное состояние (из общего'!A:C,3,0) = "", A397 &lt;&gt; ""), "ПРОВЕРИТЬ", VLOOKUP(A397, 'Актуальное состояние (из общего'!A:C,3,0)), "")</f>
        <v>Студент</v>
      </c>
      <c r="U397" s="9" t="s">
        <v>13284</v>
      </c>
      <c r="V397" s="9" t="s">
        <v>13284</v>
      </c>
      <c r="W397" s="12"/>
      <c r="X397" s="9" t="str">
        <f t="array" ref="X397">IFERROR(INDEX('Адреса общежитий (скрытый)'!$B$2:$B$9, MATCH(W397, 'Адреса общежитий (скрытый)'!$A$2:$A$9, 0)), "")</f>
        <v/>
      </c>
      <c r="Y397" s="18"/>
      <c r="Z397" s="18"/>
      <c r="AA397" s="18"/>
      <c r="AB397" s="18"/>
      <c r="AC397" s="18"/>
    </row>
    <row r="398" spans="1:29" ht="32.25" customHeight="1">
      <c r="A398" s="8">
        <v>2306920</v>
      </c>
      <c r="B398" s="9" t="s">
        <v>13284</v>
      </c>
      <c r="C398" s="9" t="s">
        <v>13284</v>
      </c>
      <c r="D398" s="9" t="s">
        <v>13284</v>
      </c>
      <c r="E398" s="9" t="s">
        <v>13284</v>
      </c>
      <c r="F398" s="9" t="s">
        <v>13284</v>
      </c>
      <c r="G398" s="9" t="s">
        <v>13284</v>
      </c>
      <c r="H398" s="9" t="s">
        <v>13284</v>
      </c>
      <c r="I398" s="9" t="s">
        <v>13284</v>
      </c>
      <c r="J398" s="9" t="s">
        <v>13284</v>
      </c>
      <c r="K398" s="9" t="s">
        <v>13284</v>
      </c>
      <c r="L398" s="9" t="s">
        <v>13284</v>
      </c>
      <c r="M398" s="9" t="s">
        <v>13284</v>
      </c>
      <c r="N398" s="9" t="s">
        <v>13284</v>
      </c>
      <c r="O398" s="9" t="s">
        <v>13284</v>
      </c>
      <c r="P398" s="9" t="s">
        <v>13284</v>
      </c>
      <c r="Q398" s="9" t="s">
        <v>13284</v>
      </c>
      <c r="R398" s="9" t="s">
        <v>13284</v>
      </c>
      <c r="S398" s="9" t="s">
        <v>13284</v>
      </c>
      <c r="T398" s="9" t="str">
        <f ca="1">IFERROR(IF(AND(VLOOKUP(A398, 'Актуальное состояние (из общего'!A:C,3,0) = "", A398 &lt;&gt; ""), "ПРОВЕРИТЬ", VLOOKUP(A398, 'Актуальное состояние (из общего'!A:C,3,0)), "")</f>
        <v>Студент</v>
      </c>
      <c r="U398" s="9" t="s">
        <v>13284</v>
      </c>
      <c r="V398" s="9" t="s">
        <v>13284</v>
      </c>
      <c r="W398" s="12" t="s">
        <v>76</v>
      </c>
      <c r="X398" s="9" t="str">
        <f t="array" ref="X398">IFERROR(INDEX('Адреса общежитий (скрытый)'!$B$2:$B$9, MATCH(W398, 'Адреса общежитий (скрытый)'!$A$2:$A$9, 0)), "")</f>
        <v>ул. Студенческая, д. 33, корп. 5,6</v>
      </c>
      <c r="Y398" s="18"/>
      <c r="Z398" s="18"/>
      <c r="AA398" s="18"/>
      <c r="AB398" s="18"/>
      <c r="AC398" s="18"/>
    </row>
    <row r="399" spans="1:29" ht="32.25" customHeight="1">
      <c r="A399" s="8">
        <v>2303675</v>
      </c>
      <c r="B399" s="9" t="s">
        <v>13284</v>
      </c>
      <c r="C399" s="9" t="s">
        <v>13284</v>
      </c>
      <c r="D399" s="9" t="s">
        <v>13284</v>
      </c>
      <c r="E399" s="9" t="s">
        <v>13284</v>
      </c>
      <c r="F399" s="9" t="s">
        <v>13284</v>
      </c>
      <c r="G399" s="9" t="s">
        <v>13284</v>
      </c>
      <c r="H399" s="9" t="s">
        <v>13284</v>
      </c>
      <c r="I399" s="9" t="s">
        <v>13284</v>
      </c>
      <c r="J399" s="9" t="s">
        <v>13284</v>
      </c>
      <c r="K399" s="9" t="s">
        <v>13284</v>
      </c>
      <c r="L399" s="9" t="s">
        <v>13284</v>
      </c>
      <c r="M399" s="9" t="s">
        <v>13284</v>
      </c>
      <c r="N399" s="9" t="s">
        <v>13284</v>
      </c>
      <c r="O399" s="9" t="s">
        <v>13284</v>
      </c>
      <c r="P399" s="9" t="s">
        <v>13284</v>
      </c>
      <c r="Q399" s="9" t="s">
        <v>13284</v>
      </c>
      <c r="R399" s="9" t="s">
        <v>13284</v>
      </c>
      <c r="S399" s="9" t="s">
        <v>13284</v>
      </c>
      <c r="T399" s="9" t="str">
        <f ca="1">IFERROR(IF(AND(VLOOKUP(A399, 'Актуальное состояние (из общего'!A:C,3,0) = "", A399 &lt;&gt; ""), "ПРОВЕРИТЬ", VLOOKUP(A399, 'Актуальное состояние (из общего'!A:C,3,0)), "")</f>
        <v>Студент</v>
      </c>
      <c r="U399" s="9" t="s">
        <v>13284</v>
      </c>
      <c r="V399" s="9" t="s">
        <v>13284</v>
      </c>
      <c r="W399" s="12"/>
      <c r="X399" s="9" t="str">
        <f t="array" ref="X399">IFERROR(INDEX('Адреса общежитий (скрытый)'!$B$2:$B$9, MATCH(W399, 'Адреса общежитий (скрытый)'!$A$2:$A$9, 0)), "")</f>
        <v/>
      </c>
      <c r="Y399" s="18"/>
      <c r="Z399" s="18"/>
      <c r="AA399" s="18"/>
      <c r="AB399" s="18"/>
      <c r="AC399" s="18"/>
    </row>
    <row r="400" spans="1:29" ht="32.25" customHeight="1">
      <c r="A400" s="8">
        <v>2310129</v>
      </c>
      <c r="B400" s="9" t="s">
        <v>13284</v>
      </c>
      <c r="C400" s="9" t="s">
        <v>13284</v>
      </c>
      <c r="D400" s="9" t="s">
        <v>13284</v>
      </c>
      <c r="E400" s="9" t="s">
        <v>13284</v>
      </c>
      <c r="F400" s="9" t="s">
        <v>13284</v>
      </c>
      <c r="G400" s="9" t="s">
        <v>13284</v>
      </c>
      <c r="H400" s="9" t="s">
        <v>13284</v>
      </c>
      <c r="I400" s="9" t="s">
        <v>13284</v>
      </c>
      <c r="J400" s="9" t="s">
        <v>13284</v>
      </c>
      <c r="K400" s="9" t="s">
        <v>13284</v>
      </c>
      <c r="L400" s="9" t="s">
        <v>13284</v>
      </c>
      <c r="M400" s="9" t="s">
        <v>13284</v>
      </c>
      <c r="N400" s="9" t="s">
        <v>13284</v>
      </c>
      <c r="O400" s="9" t="s">
        <v>13284</v>
      </c>
      <c r="P400" s="9" t="s">
        <v>13284</v>
      </c>
      <c r="Q400" s="9" t="s">
        <v>13284</v>
      </c>
      <c r="R400" s="9" t="s">
        <v>13284</v>
      </c>
      <c r="S400" s="9" t="s">
        <v>13284</v>
      </c>
      <c r="T400" s="9" t="str">
        <f ca="1">IFERROR(IF(AND(VLOOKUP(A400, 'Актуальное состояние (из общего'!A:C,3,0) = "", A400 &lt;&gt; ""), "ПРОВЕРИТЬ", VLOOKUP(A400, 'Актуальное состояние (из общего'!A:C,3,0)), "")</f>
        <v>Студент</v>
      </c>
      <c r="U400" s="9" t="s">
        <v>13284</v>
      </c>
      <c r="V400" s="9" t="s">
        <v>13284</v>
      </c>
      <c r="W400" s="12"/>
      <c r="X400" s="9" t="str">
        <f t="array" ref="X400">IFERROR(INDEX('Адреса общежитий (скрытый)'!$B$2:$B$9, MATCH(W400, 'Адреса общежитий (скрытый)'!$A$2:$A$9, 0)), "")</f>
        <v/>
      </c>
      <c r="Y400" s="18"/>
      <c r="Z400" s="18"/>
      <c r="AA400" s="18"/>
      <c r="AB400" s="18"/>
      <c r="AC400" s="18"/>
    </row>
    <row r="401" spans="1:29" ht="32.25" customHeight="1">
      <c r="A401" s="8">
        <v>2301525</v>
      </c>
      <c r="B401" s="9" t="s">
        <v>13284</v>
      </c>
      <c r="C401" s="9" t="s">
        <v>13284</v>
      </c>
      <c r="D401" s="9" t="s">
        <v>13284</v>
      </c>
      <c r="E401" s="9" t="s">
        <v>13284</v>
      </c>
      <c r="F401" s="9" t="s">
        <v>13284</v>
      </c>
      <c r="G401" s="9" t="s">
        <v>13284</v>
      </c>
      <c r="H401" s="9" t="s">
        <v>13284</v>
      </c>
      <c r="I401" s="9" t="s">
        <v>13284</v>
      </c>
      <c r="J401" s="9" t="s">
        <v>13284</v>
      </c>
      <c r="K401" s="9" t="s">
        <v>13284</v>
      </c>
      <c r="L401" s="9" t="s">
        <v>13284</v>
      </c>
      <c r="M401" s="9" t="s">
        <v>13284</v>
      </c>
      <c r="N401" s="9" t="s">
        <v>13284</v>
      </c>
      <c r="O401" s="9" t="s">
        <v>13284</v>
      </c>
      <c r="P401" s="9" t="s">
        <v>13284</v>
      </c>
      <c r="Q401" s="9" t="s">
        <v>13284</v>
      </c>
      <c r="R401" s="9" t="s">
        <v>13284</v>
      </c>
      <c r="S401" s="9" t="s">
        <v>13284</v>
      </c>
      <c r="T401" s="9" t="str">
        <f ca="1">IFERROR(IF(AND(VLOOKUP(A401, 'Актуальное состояние (из общего'!A:C,3,0) = "", A401 &lt;&gt; ""), "ПРОВЕРИТЬ", VLOOKUP(A401, 'Актуальное состояние (из общего'!A:C,3,0)), "")</f>
        <v>Студент</v>
      </c>
      <c r="U401" s="9" t="s">
        <v>13284</v>
      </c>
      <c r="V401" s="9" t="s">
        <v>13284</v>
      </c>
      <c r="W401" s="12"/>
      <c r="X401" s="9" t="str">
        <f t="array" ref="X401">IFERROR(INDEX('Адреса общежитий (скрытый)'!$B$2:$B$9, MATCH(W401, 'Адреса общежитий (скрытый)'!$A$2:$A$9, 0)), "")</f>
        <v/>
      </c>
      <c r="Y401" s="18"/>
      <c r="Z401" s="18"/>
      <c r="AA401" s="18"/>
      <c r="AB401" s="18"/>
      <c r="AC401" s="18"/>
    </row>
    <row r="402" spans="1:29" ht="32.25" customHeight="1">
      <c r="A402" s="8">
        <v>2305281</v>
      </c>
      <c r="B402" s="9" t="s">
        <v>13284</v>
      </c>
      <c r="C402" s="9" t="s">
        <v>13284</v>
      </c>
      <c r="D402" s="9" t="s">
        <v>13284</v>
      </c>
      <c r="E402" s="9" t="s">
        <v>13284</v>
      </c>
      <c r="F402" s="9" t="s">
        <v>13284</v>
      </c>
      <c r="G402" s="9" t="s">
        <v>13284</v>
      </c>
      <c r="H402" s="9" t="s">
        <v>13284</v>
      </c>
      <c r="I402" s="9" t="s">
        <v>13284</v>
      </c>
      <c r="J402" s="9" t="s">
        <v>13284</v>
      </c>
      <c r="K402" s="9" t="s">
        <v>13284</v>
      </c>
      <c r="L402" s="9" t="s">
        <v>13284</v>
      </c>
      <c r="M402" s="9" t="s">
        <v>13284</v>
      </c>
      <c r="N402" s="9" t="s">
        <v>13284</v>
      </c>
      <c r="O402" s="9" t="s">
        <v>13284</v>
      </c>
      <c r="P402" s="9" t="s">
        <v>13284</v>
      </c>
      <c r="Q402" s="9" t="s">
        <v>13284</v>
      </c>
      <c r="R402" s="9" t="s">
        <v>13284</v>
      </c>
      <c r="S402" s="9" t="s">
        <v>13284</v>
      </c>
      <c r="T402" s="9" t="str">
        <f ca="1">IFERROR(IF(AND(VLOOKUP(A402, 'Актуальное состояние (из общего'!A:C,3,0) = "", A402 &lt;&gt; ""), "ПРОВЕРИТЬ", VLOOKUP(A402, 'Актуальное состояние (из общего'!A:C,3,0)), "")</f>
        <v>Студент</v>
      </c>
      <c r="U402" s="9" t="s">
        <v>13284</v>
      </c>
      <c r="V402" s="9" t="s">
        <v>13284</v>
      </c>
      <c r="W402" s="12"/>
      <c r="X402" s="9" t="str">
        <f t="array" ref="X402">IFERROR(INDEX('Адреса общежитий (скрытый)'!$B$2:$B$9, MATCH(W402, 'Адреса общежитий (скрытый)'!$A$2:$A$9, 0)), "")</f>
        <v/>
      </c>
      <c r="Y402" s="18"/>
      <c r="Z402" s="18"/>
      <c r="AA402" s="18"/>
      <c r="AB402" s="18"/>
      <c r="AC402" s="18"/>
    </row>
    <row r="403" spans="1:29" ht="32.25" customHeight="1">
      <c r="A403" s="8">
        <v>2308345</v>
      </c>
      <c r="B403" s="9" t="s">
        <v>13284</v>
      </c>
      <c r="C403" s="9" t="s">
        <v>13284</v>
      </c>
      <c r="D403" s="9" t="s">
        <v>13284</v>
      </c>
      <c r="E403" s="9" t="s">
        <v>13284</v>
      </c>
      <c r="F403" s="9" t="s">
        <v>13284</v>
      </c>
      <c r="G403" s="9" t="s">
        <v>13284</v>
      </c>
      <c r="H403" s="9" t="s">
        <v>13284</v>
      </c>
      <c r="I403" s="9" t="s">
        <v>13284</v>
      </c>
      <c r="J403" s="9" t="s">
        <v>13284</v>
      </c>
      <c r="K403" s="9" t="s">
        <v>13284</v>
      </c>
      <c r="L403" s="9" t="s">
        <v>13284</v>
      </c>
      <c r="M403" s="9" t="s">
        <v>13284</v>
      </c>
      <c r="N403" s="9" t="s">
        <v>13284</v>
      </c>
      <c r="O403" s="9" t="s">
        <v>13284</v>
      </c>
      <c r="P403" s="9" t="s">
        <v>13284</v>
      </c>
      <c r="Q403" s="9" t="s">
        <v>13284</v>
      </c>
      <c r="R403" s="9" t="s">
        <v>13284</v>
      </c>
      <c r="S403" s="9" t="s">
        <v>13284</v>
      </c>
      <c r="T403" s="9" t="str">
        <f ca="1">IFERROR(IF(AND(VLOOKUP(A403, 'Актуальное состояние (из общего'!A:C,3,0) = "", A403 &lt;&gt; ""), "ПРОВЕРИТЬ", VLOOKUP(A403, 'Актуальное состояние (из общего'!A:C,3,0)), "")</f>
        <v>Студент</v>
      </c>
      <c r="U403" s="9" t="s">
        <v>13284</v>
      </c>
      <c r="V403" s="9" t="s">
        <v>13284</v>
      </c>
      <c r="W403" s="12"/>
      <c r="X403" s="9" t="str">
        <f t="array" ref="X403">IFERROR(INDEX('Адреса общежитий (скрытый)'!$B$2:$B$9, MATCH(W403, 'Адреса общежитий (скрытый)'!$A$2:$A$9, 0)), "")</f>
        <v/>
      </c>
      <c r="Y403" s="18"/>
      <c r="Z403" s="18"/>
      <c r="AA403" s="18"/>
      <c r="AB403" s="18"/>
      <c r="AC403" s="18"/>
    </row>
    <row r="404" spans="1:29" ht="32.25" customHeight="1">
      <c r="A404" s="8">
        <v>2307056</v>
      </c>
      <c r="B404" s="9" t="s">
        <v>13284</v>
      </c>
      <c r="C404" s="9" t="s">
        <v>13284</v>
      </c>
      <c r="D404" s="9" t="s">
        <v>13284</v>
      </c>
      <c r="E404" s="9" t="s">
        <v>13284</v>
      </c>
      <c r="F404" s="9" t="s">
        <v>13284</v>
      </c>
      <c r="G404" s="9" t="s">
        <v>13284</v>
      </c>
      <c r="H404" s="9" t="s">
        <v>13284</v>
      </c>
      <c r="I404" s="9" t="s">
        <v>13284</v>
      </c>
      <c r="J404" s="9" t="s">
        <v>13284</v>
      </c>
      <c r="K404" s="9" t="s">
        <v>13284</v>
      </c>
      <c r="L404" s="9" t="s">
        <v>13284</v>
      </c>
      <c r="M404" s="9" t="s">
        <v>13284</v>
      </c>
      <c r="N404" s="9" t="s">
        <v>13284</v>
      </c>
      <c r="O404" s="9" t="s">
        <v>13284</v>
      </c>
      <c r="P404" s="9" t="s">
        <v>13284</v>
      </c>
      <c r="Q404" s="9" t="s">
        <v>13284</v>
      </c>
      <c r="R404" s="9" t="s">
        <v>13284</v>
      </c>
      <c r="S404" s="9" t="s">
        <v>13284</v>
      </c>
      <c r="T404" s="9" t="str">
        <f ca="1">IFERROR(IF(AND(VLOOKUP(A404, 'Актуальное состояние (из общего'!A:C,3,0) = "", A404 &lt;&gt; ""), "ПРОВЕРИТЬ", VLOOKUP(A404, 'Актуальное состояние (из общего'!A:C,3,0)), "")</f>
        <v>Студент</v>
      </c>
      <c r="U404" s="9" t="s">
        <v>13284</v>
      </c>
      <c r="V404" s="9" t="s">
        <v>13284</v>
      </c>
      <c r="W404" s="12"/>
      <c r="X404" s="9" t="str">
        <f t="array" ref="X404">IFERROR(INDEX('Адреса общежитий (скрытый)'!$B$2:$B$9, MATCH(W404, 'Адреса общежитий (скрытый)'!$A$2:$A$9, 0)), "")</f>
        <v/>
      </c>
      <c r="Y404" s="18"/>
      <c r="Z404" s="18"/>
      <c r="AA404" s="18"/>
      <c r="AB404" s="18"/>
      <c r="AC404" s="18"/>
    </row>
    <row r="405" spans="1:29" ht="32.25" hidden="1" customHeight="1">
      <c r="A405" s="8">
        <v>2300885</v>
      </c>
      <c r="B405" s="9" t="s">
        <v>13284</v>
      </c>
      <c r="C405" s="9" t="s">
        <v>13284</v>
      </c>
      <c r="D405" s="9" t="s">
        <v>13284</v>
      </c>
      <c r="E405" s="9" t="s">
        <v>13284</v>
      </c>
      <c r="F405" s="9" t="s">
        <v>13284</v>
      </c>
      <c r="G405" s="9" t="s">
        <v>13284</v>
      </c>
      <c r="H405" s="9" t="s">
        <v>13284</v>
      </c>
      <c r="I405" s="9" t="s">
        <v>13284</v>
      </c>
      <c r="J405" s="9" t="s">
        <v>13284</v>
      </c>
      <c r="K405" s="9" t="s">
        <v>13284</v>
      </c>
      <c r="L405" s="9" t="s">
        <v>13284</v>
      </c>
      <c r="M405" s="9" t="s">
        <v>13284</v>
      </c>
      <c r="N405" s="9" t="s">
        <v>13284</v>
      </c>
      <c r="O405" s="9" t="s">
        <v>13284</v>
      </c>
      <c r="P405" s="9" t="s">
        <v>13284</v>
      </c>
      <c r="Q405" s="9" t="s">
        <v>13284</v>
      </c>
      <c r="R405" s="9" t="s">
        <v>13284</v>
      </c>
      <c r="S405" s="9" t="s">
        <v>13284</v>
      </c>
      <c r="T405" s="9" t="str">
        <f ca="1">IFERROR(IF(AND(VLOOKUP(A405, 'Актуальное состояние (из общего'!A:C,3,0) = "", A405 &lt;&gt; ""), "ПРОВЕРИТЬ", VLOOKUP(A405, 'Актуальное состояние (из общего'!A:C,3,0)), "")</f>
        <v>Студент</v>
      </c>
      <c r="U405" s="9" t="s">
        <v>13284</v>
      </c>
      <c r="V405" s="9" t="s">
        <v>13284</v>
      </c>
      <c r="W405" s="12"/>
      <c r="X405" s="9" t="str">
        <f t="array" ref="X405">IFERROR(INDEX('Адреса общежитий (скрытый)'!$B$2:$B$9, MATCH(W405, 'Адреса общежитий (скрытый)'!$A$2:$A$9, 0)), "")</f>
        <v/>
      </c>
      <c r="Y405" s="18"/>
      <c r="Z405" s="18"/>
      <c r="AA405" s="18"/>
      <c r="AB405" s="18"/>
      <c r="AC405" s="18"/>
    </row>
    <row r="406" spans="1:29" ht="32.25" customHeight="1">
      <c r="A406" s="8">
        <v>2304432</v>
      </c>
      <c r="B406" s="9" t="s">
        <v>13284</v>
      </c>
      <c r="C406" s="9" t="s">
        <v>13284</v>
      </c>
      <c r="D406" s="9" t="s">
        <v>13284</v>
      </c>
      <c r="E406" s="9" t="s">
        <v>13284</v>
      </c>
      <c r="F406" s="9" t="s">
        <v>13284</v>
      </c>
      <c r="G406" s="9" t="s">
        <v>13284</v>
      </c>
      <c r="H406" s="9" t="s">
        <v>13284</v>
      </c>
      <c r="I406" s="9" t="s">
        <v>13284</v>
      </c>
      <c r="J406" s="9" t="s">
        <v>13284</v>
      </c>
      <c r="K406" s="9" t="s">
        <v>13284</v>
      </c>
      <c r="L406" s="9" t="s">
        <v>13284</v>
      </c>
      <c r="M406" s="9" t="s">
        <v>13284</v>
      </c>
      <c r="N406" s="9" t="s">
        <v>13284</v>
      </c>
      <c r="O406" s="9" t="s">
        <v>13284</v>
      </c>
      <c r="P406" s="9" t="s">
        <v>13284</v>
      </c>
      <c r="Q406" s="9" t="s">
        <v>13284</v>
      </c>
      <c r="R406" s="9" t="s">
        <v>13284</v>
      </c>
      <c r="S406" s="9" t="s">
        <v>13284</v>
      </c>
      <c r="T406" s="9" t="str">
        <f ca="1">IFERROR(IF(AND(VLOOKUP(A406, 'Актуальное состояние (из общего'!A:C,3,0) = "", A406 &lt;&gt; ""), "ПРОВЕРИТЬ", VLOOKUP(A406, 'Актуальное состояние (из общего'!A:C,3,0)), "")</f>
        <v>Студент</v>
      </c>
      <c r="U406" s="9" t="s">
        <v>13284</v>
      </c>
      <c r="V406" s="9" t="s">
        <v>13284</v>
      </c>
      <c r="W406" s="12"/>
      <c r="X406" s="9" t="str">
        <f t="array" ref="X406">IFERROR(INDEX('Адреса общежитий (скрытый)'!$B$2:$B$9, MATCH(W406, 'Адреса общежитий (скрытый)'!$A$2:$A$9, 0)), "")</f>
        <v/>
      </c>
      <c r="Y406" s="18"/>
      <c r="Z406" s="18"/>
      <c r="AA406" s="18"/>
      <c r="AB406" s="18"/>
      <c r="AC406" s="18"/>
    </row>
    <row r="407" spans="1:29" ht="32.25" hidden="1" customHeight="1">
      <c r="A407" s="8">
        <v>2306778</v>
      </c>
      <c r="B407" s="9" t="s">
        <v>13284</v>
      </c>
      <c r="C407" s="9" t="s">
        <v>13284</v>
      </c>
      <c r="D407" s="9" t="s">
        <v>13284</v>
      </c>
      <c r="E407" s="9" t="s">
        <v>13284</v>
      </c>
      <c r="F407" s="9" t="s">
        <v>13284</v>
      </c>
      <c r="G407" s="9" t="s">
        <v>13284</v>
      </c>
      <c r="H407" s="9" t="s">
        <v>13284</v>
      </c>
      <c r="I407" s="9" t="s">
        <v>13284</v>
      </c>
      <c r="J407" s="9" t="s">
        <v>13284</v>
      </c>
      <c r="K407" s="9" t="s">
        <v>13284</v>
      </c>
      <c r="L407" s="9" t="s">
        <v>13284</v>
      </c>
      <c r="M407" s="9" t="s">
        <v>13284</v>
      </c>
      <c r="N407" s="9" t="s">
        <v>13284</v>
      </c>
      <c r="O407" s="9" t="s">
        <v>13284</v>
      </c>
      <c r="P407" s="9" t="s">
        <v>13284</v>
      </c>
      <c r="Q407" s="9" t="s">
        <v>13284</v>
      </c>
      <c r="R407" s="9" t="s">
        <v>13284</v>
      </c>
      <c r="S407" s="9" t="s">
        <v>13284</v>
      </c>
      <c r="T407" s="9" t="str">
        <f ca="1">IFERROR(IF(AND(VLOOKUP(A407, 'Актуальное состояние (из общего'!A:C,3,0) = "", A407 &lt;&gt; ""), "ПРОВЕРИТЬ", VLOOKUP(A407, 'Актуальное состояние (из общего'!A:C,3,0)), "")</f>
        <v>Студент</v>
      </c>
      <c r="U407" s="9" t="s">
        <v>13284</v>
      </c>
      <c r="V407" s="9" t="s">
        <v>13284</v>
      </c>
      <c r="W407" s="12"/>
      <c r="X407" s="9" t="str">
        <f t="array" ref="X407">IFERROR(INDEX('Адреса общежитий (скрытый)'!$B$2:$B$9, MATCH(W407, 'Адреса общежитий (скрытый)'!$A$2:$A$9, 0)), "")</f>
        <v/>
      </c>
      <c r="Y407" s="18"/>
      <c r="Z407" s="18"/>
      <c r="AA407" s="18"/>
      <c r="AB407" s="18"/>
      <c r="AC407" s="18"/>
    </row>
    <row r="408" spans="1:29" ht="32.25" customHeight="1">
      <c r="A408" s="8">
        <v>2301696</v>
      </c>
      <c r="B408" s="9" t="s">
        <v>13284</v>
      </c>
      <c r="C408" s="9" t="s">
        <v>13284</v>
      </c>
      <c r="D408" s="9" t="s">
        <v>13284</v>
      </c>
      <c r="E408" s="9" t="s">
        <v>13284</v>
      </c>
      <c r="F408" s="9" t="s">
        <v>13284</v>
      </c>
      <c r="G408" s="9" t="s">
        <v>13284</v>
      </c>
      <c r="H408" s="9" t="s">
        <v>13284</v>
      </c>
      <c r="I408" s="9" t="s">
        <v>13284</v>
      </c>
      <c r="J408" s="9" t="s">
        <v>13284</v>
      </c>
      <c r="K408" s="9" t="s">
        <v>13284</v>
      </c>
      <c r="L408" s="9" t="s">
        <v>13284</v>
      </c>
      <c r="M408" s="9" t="s">
        <v>13284</v>
      </c>
      <c r="N408" s="9" t="s">
        <v>13284</v>
      </c>
      <c r="O408" s="9" t="s">
        <v>13284</v>
      </c>
      <c r="P408" s="9" t="s">
        <v>13284</v>
      </c>
      <c r="Q408" s="9" t="s">
        <v>13284</v>
      </c>
      <c r="R408" s="9" t="s">
        <v>13284</v>
      </c>
      <c r="S408" s="9" t="s">
        <v>13284</v>
      </c>
      <c r="T408" s="9" t="str">
        <f ca="1">IFERROR(IF(AND(VLOOKUP(A408, 'Актуальное состояние (из общего'!A:C,3,0) = "", A408 &lt;&gt; ""), "ПРОВЕРИТЬ", VLOOKUP(A408, 'Актуальное состояние (из общего'!A:C,3,0)), "")</f>
        <v>Студент</v>
      </c>
      <c r="U408" s="9" t="s">
        <v>13284</v>
      </c>
      <c r="V408" s="9" t="s">
        <v>13284</v>
      </c>
      <c r="W408" s="12"/>
      <c r="X408" s="9" t="str">
        <f t="array" ref="X408">IFERROR(INDEX('Адреса общежитий (скрытый)'!$B$2:$B$9, MATCH(W408, 'Адреса общежитий (скрытый)'!$A$2:$A$9, 0)), "")</f>
        <v/>
      </c>
      <c r="Y408" s="18"/>
      <c r="Z408" s="18"/>
      <c r="AA408" s="18"/>
      <c r="AB408" s="18"/>
      <c r="AC408" s="18"/>
    </row>
    <row r="409" spans="1:29" ht="32.25" customHeight="1">
      <c r="A409" s="8">
        <v>2310748</v>
      </c>
      <c r="B409" s="9" t="s">
        <v>13284</v>
      </c>
      <c r="C409" s="9" t="s">
        <v>13284</v>
      </c>
      <c r="D409" s="9" t="s">
        <v>13284</v>
      </c>
      <c r="E409" s="9" t="s">
        <v>13284</v>
      </c>
      <c r="F409" s="9" t="s">
        <v>13284</v>
      </c>
      <c r="G409" s="9" t="s">
        <v>13284</v>
      </c>
      <c r="H409" s="9" t="s">
        <v>13284</v>
      </c>
      <c r="I409" s="9" t="s">
        <v>13284</v>
      </c>
      <c r="J409" s="9" t="s">
        <v>13284</v>
      </c>
      <c r="K409" s="9" t="s">
        <v>13284</v>
      </c>
      <c r="L409" s="9" t="s">
        <v>13284</v>
      </c>
      <c r="M409" s="9" t="s">
        <v>13284</v>
      </c>
      <c r="N409" s="9" t="s">
        <v>13284</v>
      </c>
      <c r="O409" s="9" t="s">
        <v>13284</v>
      </c>
      <c r="P409" s="9" t="s">
        <v>13284</v>
      </c>
      <c r="Q409" s="9" t="s">
        <v>13284</v>
      </c>
      <c r="R409" s="9" t="s">
        <v>13284</v>
      </c>
      <c r="S409" s="9" t="s">
        <v>13284</v>
      </c>
      <c r="T409" s="9" t="str">
        <f ca="1">IFERROR(IF(AND(VLOOKUP(A409, 'Актуальное состояние (из общего'!A:C,3,0) = "", A409 &lt;&gt; ""), "ПРОВЕРИТЬ", VLOOKUP(A409, 'Актуальное состояние (из общего'!A:C,3,0)), "")</f>
        <v>Студент</v>
      </c>
      <c r="U409" s="9" t="s">
        <v>13284</v>
      </c>
      <c r="V409" s="9" t="s">
        <v>13284</v>
      </c>
      <c r="W409" s="12" t="s">
        <v>76</v>
      </c>
      <c r="X409" s="9" t="str">
        <f t="array" ref="X409">IFERROR(INDEX('Адреса общежитий (скрытый)'!$B$2:$B$9, MATCH(W409, 'Адреса общежитий (скрытый)'!$A$2:$A$9, 0)), "")</f>
        <v>ул. Студенческая, д. 33, корп. 5,6</v>
      </c>
      <c r="Y409" s="18"/>
      <c r="Z409" s="18"/>
      <c r="AA409" s="18"/>
      <c r="AB409" s="18"/>
      <c r="AC409" s="18"/>
    </row>
    <row r="410" spans="1:29" ht="32.25" customHeight="1">
      <c r="A410" s="8">
        <v>2302766</v>
      </c>
      <c r="B410" s="9" t="s">
        <v>13284</v>
      </c>
      <c r="C410" s="9" t="s">
        <v>13284</v>
      </c>
      <c r="D410" s="9" t="s">
        <v>13284</v>
      </c>
      <c r="E410" s="9" t="s">
        <v>13284</v>
      </c>
      <c r="F410" s="9" t="s">
        <v>13284</v>
      </c>
      <c r="G410" s="9" t="s">
        <v>13284</v>
      </c>
      <c r="H410" s="9" t="s">
        <v>13284</v>
      </c>
      <c r="I410" s="9" t="s">
        <v>13284</v>
      </c>
      <c r="J410" s="9" t="s">
        <v>13284</v>
      </c>
      <c r="K410" s="9" t="s">
        <v>13284</v>
      </c>
      <c r="L410" s="9" t="s">
        <v>13284</v>
      </c>
      <c r="M410" s="9" t="s">
        <v>13284</v>
      </c>
      <c r="N410" s="9" t="s">
        <v>13284</v>
      </c>
      <c r="O410" s="9" t="s">
        <v>13284</v>
      </c>
      <c r="P410" s="9" t="s">
        <v>13284</v>
      </c>
      <c r="Q410" s="9" t="s">
        <v>13284</v>
      </c>
      <c r="R410" s="9" t="s">
        <v>13284</v>
      </c>
      <c r="S410" s="9" t="s">
        <v>13284</v>
      </c>
      <c r="T410" s="9" t="str">
        <f ca="1">IFERROR(IF(AND(VLOOKUP(A410, 'Актуальное состояние (из общего'!A:C,3,0) = "", A410 &lt;&gt; ""), "ПРОВЕРИТЬ", VLOOKUP(A410, 'Актуальное состояние (из общего'!A:C,3,0)), "")</f>
        <v>Студент</v>
      </c>
      <c r="U410" s="9" t="s">
        <v>13284</v>
      </c>
      <c r="V410" s="9" t="s">
        <v>13284</v>
      </c>
      <c r="W410" s="12"/>
      <c r="X410" s="9" t="str">
        <f t="array" ref="X410">IFERROR(INDEX('Адреса общежитий (скрытый)'!$B$2:$B$9, MATCH(W410, 'Адреса общежитий (скрытый)'!$A$2:$A$9, 0)), "")</f>
        <v/>
      </c>
      <c r="Y410" s="18"/>
      <c r="Z410" s="18"/>
      <c r="AA410" s="18"/>
      <c r="AB410" s="18"/>
      <c r="AC410" s="18"/>
    </row>
    <row r="411" spans="1:29" ht="32.25" customHeight="1">
      <c r="A411" s="8">
        <v>2300726</v>
      </c>
      <c r="B411" s="9" t="s">
        <v>13284</v>
      </c>
      <c r="C411" s="9" t="s">
        <v>13284</v>
      </c>
      <c r="D411" s="9" t="s">
        <v>13284</v>
      </c>
      <c r="E411" s="9" t="s">
        <v>13284</v>
      </c>
      <c r="F411" s="9" t="s">
        <v>13284</v>
      </c>
      <c r="G411" s="9" t="s">
        <v>13284</v>
      </c>
      <c r="H411" s="9" t="s">
        <v>13284</v>
      </c>
      <c r="I411" s="9" t="s">
        <v>13284</v>
      </c>
      <c r="J411" s="9" t="s">
        <v>13284</v>
      </c>
      <c r="K411" s="9" t="s">
        <v>13284</v>
      </c>
      <c r="L411" s="9" t="s">
        <v>13284</v>
      </c>
      <c r="M411" s="9" t="s">
        <v>13284</v>
      </c>
      <c r="N411" s="9" t="s">
        <v>13284</v>
      </c>
      <c r="O411" s="9" t="s">
        <v>13284</v>
      </c>
      <c r="P411" s="9" t="s">
        <v>13284</v>
      </c>
      <c r="Q411" s="9" t="s">
        <v>13284</v>
      </c>
      <c r="R411" s="9" t="s">
        <v>13284</v>
      </c>
      <c r="S411" s="9" t="s">
        <v>13284</v>
      </c>
      <c r="T411" s="9" t="str">
        <f ca="1">IFERROR(IF(AND(VLOOKUP(A411, 'Актуальное состояние (из общего'!A:C,3,0) = "", A411 &lt;&gt; ""), "ПРОВЕРИТЬ", VLOOKUP(A411, 'Актуальное состояние (из общего'!A:C,3,0)), "")</f>
        <v>Студент</v>
      </c>
      <c r="U411" s="9" t="s">
        <v>13284</v>
      </c>
      <c r="V411" s="9" t="s">
        <v>13284</v>
      </c>
      <c r="W411" s="12"/>
      <c r="X411" s="9" t="str">
        <f t="array" ref="X411">IFERROR(INDEX('Адреса общежитий (скрытый)'!$B$2:$B$9, MATCH(W411, 'Адреса общежитий (скрытый)'!$A$2:$A$9, 0)), "")</f>
        <v/>
      </c>
      <c r="Y411" s="18"/>
      <c r="Z411" s="18"/>
      <c r="AA411" s="18"/>
      <c r="AB411" s="18"/>
      <c r="AC411" s="18"/>
    </row>
    <row r="412" spans="1:29" ht="32.25" customHeight="1">
      <c r="A412" s="8">
        <v>2310327</v>
      </c>
      <c r="B412" s="9" t="s">
        <v>13284</v>
      </c>
      <c r="C412" s="9" t="s">
        <v>13284</v>
      </c>
      <c r="D412" s="9" t="s">
        <v>13284</v>
      </c>
      <c r="E412" s="9" t="s">
        <v>13284</v>
      </c>
      <c r="F412" s="9" t="s">
        <v>13284</v>
      </c>
      <c r="G412" s="9" t="s">
        <v>13284</v>
      </c>
      <c r="H412" s="9" t="s">
        <v>13284</v>
      </c>
      <c r="I412" s="9" t="s">
        <v>13284</v>
      </c>
      <c r="J412" s="9" t="s">
        <v>13284</v>
      </c>
      <c r="K412" s="9" t="s">
        <v>13284</v>
      </c>
      <c r="L412" s="9" t="s">
        <v>13284</v>
      </c>
      <c r="M412" s="9" t="s">
        <v>13284</v>
      </c>
      <c r="N412" s="9" t="s">
        <v>13284</v>
      </c>
      <c r="O412" s="9" t="s">
        <v>13284</v>
      </c>
      <c r="P412" s="9" t="s">
        <v>13284</v>
      </c>
      <c r="Q412" s="9" t="s">
        <v>13284</v>
      </c>
      <c r="R412" s="9" t="s">
        <v>13284</v>
      </c>
      <c r="S412" s="9" t="s">
        <v>13284</v>
      </c>
      <c r="T412" s="9" t="str">
        <f ca="1">IFERROR(IF(AND(VLOOKUP(A412, 'Актуальное состояние (из общего'!A:C,3,0) = "", A412 &lt;&gt; ""), "ПРОВЕРИТЬ", VLOOKUP(A412, 'Актуальное состояние (из общего'!A:C,3,0)), "")</f>
        <v>Студент</v>
      </c>
      <c r="U412" s="9" t="s">
        <v>13284</v>
      </c>
      <c r="V412" s="9" t="s">
        <v>13284</v>
      </c>
      <c r="W412" s="12"/>
      <c r="X412" s="9" t="str">
        <f t="array" ref="X412">IFERROR(INDEX('Адреса общежитий (скрытый)'!$B$2:$B$9, MATCH(W412, 'Адреса общежитий (скрытый)'!$A$2:$A$9, 0)), "")</f>
        <v/>
      </c>
      <c r="Y412" s="18"/>
      <c r="Z412" s="18"/>
      <c r="AA412" s="18"/>
      <c r="AB412" s="18"/>
      <c r="AC412" s="18"/>
    </row>
    <row r="413" spans="1:29" ht="32.25" hidden="1" customHeight="1">
      <c r="A413" s="8">
        <v>2302899</v>
      </c>
      <c r="B413" s="9" t="s">
        <v>13284</v>
      </c>
      <c r="C413" s="9" t="s">
        <v>13284</v>
      </c>
      <c r="D413" s="9" t="s">
        <v>13284</v>
      </c>
      <c r="E413" s="9" t="s">
        <v>13284</v>
      </c>
      <c r="F413" s="9" t="s">
        <v>13284</v>
      </c>
      <c r="G413" s="9" t="s">
        <v>13284</v>
      </c>
      <c r="H413" s="9" t="s">
        <v>13284</v>
      </c>
      <c r="I413" s="9" t="s">
        <v>13284</v>
      </c>
      <c r="J413" s="9" t="s">
        <v>13284</v>
      </c>
      <c r="K413" s="9" t="s">
        <v>13284</v>
      </c>
      <c r="L413" s="9" t="s">
        <v>13284</v>
      </c>
      <c r="M413" s="9" t="s">
        <v>13284</v>
      </c>
      <c r="N413" s="9" t="s">
        <v>13284</v>
      </c>
      <c r="O413" s="9" t="s">
        <v>13284</v>
      </c>
      <c r="P413" s="9" t="s">
        <v>13284</v>
      </c>
      <c r="Q413" s="9" t="s">
        <v>13284</v>
      </c>
      <c r="R413" s="9" t="s">
        <v>13284</v>
      </c>
      <c r="S413" s="9" t="s">
        <v>13284</v>
      </c>
      <c r="T413" s="9" t="str">
        <f ca="1">IFERROR(IF(AND(VLOOKUP(A413, 'Актуальное состояние (из общего'!A:C,3,0) = "", A413 &lt;&gt; ""), "ПРОВЕРИТЬ", VLOOKUP(A413, 'Актуальное состояние (из общего'!A:C,3,0)), "")</f>
        <v>Студент</v>
      </c>
      <c r="U413" s="9" t="s">
        <v>13284</v>
      </c>
      <c r="V413" s="9" t="s">
        <v>13284</v>
      </c>
      <c r="W413" s="12"/>
      <c r="X413" s="9" t="str">
        <f t="array" ref="X413">IFERROR(INDEX('Адреса общежитий (скрытый)'!$B$2:$B$9, MATCH(W413, 'Адреса общежитий (скрытый)'!$A$2:$A$9, 0)), "")</f>
        <v/>
      </c>
      <c r="Y413" s="18"/>
      <c r="Z413" s="18"/>
      <c r="AA413" s="18"/>
      <c r="AB413" s="18"/>
      <c r="AC413" s="18"/>
    </row>
    <row r="414" spans="1:29" ht="32.25" customHeight="1">
      <c r="A414" s="8">
        <v>2301033</v>
      </c>
      <c r="B414" s="9" t="s">
        <v>13284</v>
      </c>
      <c r="C414" s="9" t="s">
        <v>13284</v>
      </c>
      <c r="D414" s="9" t="s">
        <v>13284</v>
      </c>
      <c r="E414" s="9" t="s">
        <v>13284</v>
      </c>
      <c r="F414" s="9" t="s">
        <v>13284</v>
      </c>
      <c r="G414" s="9" t="s">
        <v>13284</v>
      </c>
      <c r="H414" s="9" t="s">
        <v>13284</v>
      </c>
      <c r="I414" s="9" t="s">
        <v>13284</v>
      </c>
      <c r="J414" s="9" t="s">
        <v>13284</v>
      </c>
      <c r="K414" s="9" t="s">
        <v>13284</v>
      </c>
      <c r="L414" s="9" t="s">
        <v>13284</v>
      </c>
      <c r="M414" s="9" t="s">
        <v>13284</v>
      </c>
      <c r="N414" s="9" t="s">
        <v>13284</v>
      </c>
      <c r="O414" s="9" t="s">
        <v>13284</v>
      </c>
      <c r="P414" s="9" t="s">
        <v>13284</v>
      </c>
      <c r="Q414" s="9" t="s">
        <v>13284</v>
      </c>
      <c r="R414" s="9" t="s">
        <v>13284</v>
      </c>
      <c r="S414" s="9" t="s">
        <v>13284</v>
      </c>
      <c r="T414" s="9" t="str">
        <f ca="1">IFERROR(IF(AND(VLOOKUP(A414, 'Актуальное состояние (из общего'!A:C,3,0) = "", A414 &lt;&gt; ""), "ПРОВЕРИТЬ", VLOOKUP(A414, 'Актуальное состояние (из общего'!A:C,3,0)), "")</f>
        <v>Студент</v>
      </c>
      <c r="U414" s="9" t="s">
        <v>13284</v>
      </c>
      <c r="V414" s="9" t="s">
        <v>13284</v>
      </c>
      <c r="W414" s="12"/>
      <c r="X414" s="9" t="str">
        <f t="array" ref="X414">IFERROR(INDEX('Адреса общежитий (скрытый)'!$B$2:$B$9, MATCH(W414, 'Адреса общежитий (скрытый)'!$A$2:$A$9, 0)), "")</f>
        <v/>
      </c>
      <c r="Y414" s="18"/>
      <c r="Z414" s="18"/>
      <c r="AA414" s="18"/>
      <c r="AB414" s="18"/>
      <c r="AC414" s="18"/>
    </row>
    <row r="415" spans="1:29" ht="32.25" customHeight="1">
      <c r="A415" s="8">
        <v>2306912</v>
      </c>
      <c r="B415" s="9" t="s">
        <v>13284</v>
      </c>
      <c r="C415" s="9" t="s">
        <v>13284</v>
      </c>
      <c r="D415" s="9" t="s">
        <v>13284</v>
      </c>
      <c r="E415" s="9" t="s">
        <v>13284</v>
      </c>
      <c r="F415" s="9" t="s">
        <v>13284</v>
      </c>
      <c r="G415" s="9" t="s">
        <v>13284</v>
      </c>
      <c r="H415" s="9" t="s">
        <v>13284</v>
      </c>
      <c r="I415" s="9" t="s">
        <v>13284</v>
      </c>
      <c r="J415" s="9" t="s">
        <v>13284</v>
      </c>
      <c r="K415" s="9" t="s">
        <v>13284</v>
      </c>
      <c r="L415" s="9" t="s">
        <v>13284</v>
      </c>
      <c r="M415" s="9" t="s">
        <v>13284</v>
      </c>
      <c r="N415" s="9" t="s">
        <v>13284</v>
      </c>
      <c r="O415" s="9" t="s">
        <v>13284</v>
      </c>
      <c r="P415" s="9" t="s">
        <v>13284</v>
      </c>
      <c r="Q415" s="9" t="s">
        <v>13284</v>
      </c>
      <c r="R415" s="9" t="s">
        <v>13284</v>
      </c>
      <c r="S415" s="9" t="s">
        <v>13284</v>
      </c>
      <c r="T415" s="9" t="str">
        <f ca="1">IFERROR(IF(AND(VLOOKUP(A415, 'Актуальное состояние (из общего'!A:C,3,0) = "", A415 &lt;&gt; ""), "ПРОВЕРИТЬ", VLOOKUP(A415, 'Актуальное состояние (из общего'!A:C,3,0)), "")</f>
        <v>Студент</v>
      </c>
      <c r="U415" s="9" t="s">
        <v>13284</v>
      </c>
      <c r="V415" s="9" t="s">
        <v>13284</v>
      </c>
      <c r="W415" s="12"/>
      <c r="X415" s="9" t="str">
        <f t="array" ref="X415">IFERROR(INDEX('Адреса общежитий (скрытый)'!$B$2:$B$9, MATCH(W415, 'Адреса общежитий (скрытый)'!$A$2:$A$9, 0)), "")</f>
        <v/>
      </c>
      <c r="Y415" s="18"/>
      <c r="Z415" s="18"/>
      <c r="AA415" s="18"/>
      <c r="AB415" s="18"/>
      <c r="AC415" s="18"/>
    </row>
    <row r="416" spans="1:29" ht="32.25" hidden="1" customHeight="1">
      <c r="A416" s="8">
        <v>2302889</v>
      </c>
      <c r="B416" s="9" t="s">
        <v>13284</v>
      </c>
      <c r="C416" s="9" t="s">
        <v>13284</v>
      </c>
      <c r="D416" s="9" t="s">
        <v>13284</v>
      </c>
      <c r="E416" s="9" t="s">
        <v>13284</v>
      </c>
      <c r="F416" s="9" t="s">
        <v>13284</v>
      </c>
      <c r="G416" s="9" t="s">
        <v>13284</v>
      </c>
      <c r="H416" s="9" t="s">
        <v>13284</v>
      </c>
      <c r="I416" s="9" t="s">
        <v>13284</v>
      </c>
      <c r="J416" s="9" t="s">
        <v>13284</v>
      </c>
      <c r="K416" s="9" t="s">
        <v>13284</v>
      </c>
      <c r="L416" s="9" t="s">
        <v>13284</v>
      </c>
      <c r="M416" s="9" t="s">
        <v>13284</v>
      </c>
      <c r="N416" s="9" t="s">
        <v>13284</v>
      </c>
      <c r="O416" s="9" t="s">
        <v>13284</v>
      </c>
      <c r="P416" s="9" t="s">
        <v>13284</v>
      </c>
      <c r="Q416" s="9" t="s">
        <v>13284</v>
      </c>
      <c r="R416" s="9" t="s">
        <v>13284</v>
      </c>
      <c r="S416" s="9" t="s">
        <v>13284</v>
      </c>
      <c r="T416" s="9" t="str">
        <f ca="1">IFERROR(IF(AND(VLOOKUP(A416, 'Актуальное состояние (из общего'!A:C,3,0) = "", A416 &lt;&gt; ""), "ПРОВЕРИТЬ", VLOOKUP(A416, 'Актуальное состояние (из общего'!A:C,3,0)), "")</f>
        <v>Студент</v>
      </c>
      <c r="U416" s="9" t="s">
        <v>13284</v>
      </c>
      <c r="V416" s="9" t="s">
        <v>13284</v>
      </c>
      <c r="W416" s="12"/>
      <c r="X416" s="9" t="str">
        <f t="array" ref="X416">IFERROR(INDEX('Адреса общежитий (скрытый)'!$B$2:$B$9, MATCH(W416, 'Адреса общежитий (скрытый)'!$A$2:$A$9, 0)), "")</f>
        <v/>
      </c>
      <c r="Y416" s="18"/>
      <c r="Z416" s="18"/>
      <c r="AA416" s="18"/>
      <c r="AB416" s="18"/>
      <c r="AC416" s="18"/>
    </row>
    <row r="417" spans="1:29" ht="32.25" customHeight="1">
      <c r="A417" s="8">
        <v>2304223</v>
      </c>
      <c r="B417" s="9" t="s">
        <v>13284</v>
      </c>
      <c r="C417" s="9" t="s">
        <v>13284</v>
      </c>
      <c r="D417" s="9" t="s">
        <v>13284</v>
      </c>
      <c r="E417" s="9" t="s">
        <v>13284</v>
      </c>
      <c r="F417" s="9" t="s">
        <v>13284</v>
      </c>
      <c r="G417" s="9" t="s">
        <v>13284</v>
      </c>
      <c r="H417" s="9" t="s">
        <v>13284</v>
      </c>
      <c r="I417" s="9" t="s">
        <v>13284</v>
      </c>
      <c r="J417" s="9" t="s">
        <v>13284</v>
      </c>
      <c r="K417" s="9" t="s">
        <v>13284</v>
      </c>
      <c r="L417" s="9" t="s">
        <v>13284</v>
      </c>
      <c r="M417" s="9" t="s">
        <v>13284</v>
      </c>
      <c r="N417" s="9" t="s">
        <v>13284</v>
      </c>
      <c r="O417" s="9" t="s">
        <v>13284</v>
      </c>
      <c r="P417" s="9" t="s">
        <v>13284</v>
      </c>
      <c r="Q417" s="9" t="s">
        <v>13284</v>
      </c>
      <c r="R417" s="9" t="s">
        <v>13284</v>
      </c>
      <c r="S417" s="9" t="s">
        <v>13284</v>
      </c>
      <c r="T417" s="9" t="str">
        <f ca="1">IFERROR(IF(AND(VLOOKUP(A417, 'Актуальное состояние (из общего'!A:C,3,0) = "", A417 &lt;&gt; ""), "ПРОВЕРИТЬ", VLOOKUP(A417, 'Актуальное состояние (из общего'!A:C,3,0)), "")</f>
        <v>Студент</v>
      </c>
      <c r="U417" s="9" t="s">
        <v>13284</v>
      </c>
      <c r="V417" s="9" t="s">
        <v>13284</v>
      </c>
      <c r="W417" s="12"/>
      <c r="X417" s="9" t="str">
        <f t="array" ref="X417">IFERROR(INDEX('Адреса общежитий (скрытый)'!$B$2:$B$9, MATCH(W417, 'Адреса общежитий (скрытый)'!$A$2:$A$9, 0)), "")</f>
        <v/>
      </c>
      <c r="Y417" s="18"/>
      <c r="Z417" s="18"/>
      <c r="AA417" s="18"/>
      <c r="AB417" s="18"/>
      <c r="AC417" s="18"/>
    </row>
    <row r="418" spans="1:29" ht="32.25" hidden="1" customHeight="1">
      <c r="A418" s="8">
        <v>2302165</v>
      </c>
      <c r="B418" s="9" t="s">
        <v>13284</v>
      </c>
      <c r="C418" s="9" t="s">
        <v>13284</v>
      </c>
      <c r="D418" s="9" t="s">
        <v>13284</v>
      </c>
      <c r="E418" s="9" t="s">
        <v>13284</v>
      </c>
      <c r="F418" s="9" t="s">
        <v>13284</v>
      </c>
      <c r="G418" s="9" t="s">
        <v>13284</v>
      </c>
      <c r="H418" s="9" t="s">
        <v>13284</v>
      </c>
      <c r="I418" s="9" t="s">
        <v>13284</v>
      </c>
      <c r="J418" s="9" t="s">
        <v>13284</v>
      </c>
      <c r="K418" s="9" t="s">
        <v>13284</v>
      </c>
      <c r="L418" s="9" t="s">
        <v>13284</v>
      </c>
      <c r="M418" s="9" t="s">
        <v>13284</v>
      </c>
      <c r="N418" s="9" t="s">
        <v>13284</v>
      </c>
      <c r="O418" s="9" t="s">
        <v>13284</v>
      </c>
      <c r="P418" s="9" t="s">
        <v>13284</v>
      </c>
      <c r="Q418" s="9" t="s">
        <v>13284</v>
      </c>
      <c r="R418" s="9" t="s">
        <v>13284</v>
      </c>
      <c r="S418" s="9" t="s">
        <v>13284</v>
      </c>
      <c r="T418" s="9" t="str">
        <f ca="1">IFERROR(IF(AND(VLOOKUP(A418, 'Актуальное состояние (из общего'!A:C,3,0) = "", A418 &lt;&gt; ""), "ПРОВЕРИТЬ", VLOOKUP(A418, 'Актуальное состояние (из общего'!A:C,3,0)), "")</f>
        <v>Студент</v>
      </c>
      <c r="U418" s="9" t="s">
        <v>13284</v>
      </c>
      <c r="V418" s="9" t="s">
        <v>13284</v>
      </c>
      <c r="W418" s="12"/>
      <c r="X418" s="9" t="str">
        <f t="array" ref="X418">IFERROR(INDEX('Адреса общежитий (скрытый)'!$B$2:$B$9, MATCH(W418, 'Адреса общежитий (скрытый)'!$A$2:$A$9, 0)), "")</f>
        <v/>
      </c>
      <c r="Y418" s="18"/>
      <c r="Z418" s="18"/>
      <c r="AA418" s="18"/>
      <c r="AB418" s="18"/>
      <c r="AC418" s="18"/>
    </row>
    <row r="419" spans="1:29" ht="32.25" hidden="1" customHeight="1">
      <c r="A419" s="8">
        <v>2302517</v>
      </c>
      <c r="B419" s="9" t="s">
        <v>13284</v>
      </c>
      <c r="C419" s="9" t="s">
        <v>13284</v>
      </c>
      <c r="D419" s="9" t="s">
        <v>13284</v>
      </c>
      <c r="E419" s="9" t="s">
        <v>13284</v>
      </c>
      <c r="F419" s="9" t="s">
        <v>13284</v>
      </c>
      <c r="G419" s="9" t="s">
        <v>13284</v>
      </c>
      <c r="H419" s="9" t="s">
        <v>13284</v>
      </c>
      <c r="I419" s="9" t="s">
        <v>13284</v>
      </c>
      <c r="J419" s="9" t="s">
        <v>13284</v>
      </c>
      <c r="K419" s="9" t="s">
        <v>13284</v>
      </c>
      <c r="L419" s="9" t="s">
        <v>13284</v>
      </c>
      <c r="M419" s="9" t="s">
        <v>13284</v>
      </c>
      <c r="N419" s="9" t="s">
        <v>13284</v>
      </c>
      <c r="O419" s="9" t="s">
        <v>13284</v>
      </c>
      <c r="P419" s="9" t="s">
        <v>13284</v>
      </c>
      <c r="Q419" s="9" t="s">
        <v>13284</v>
      </c>
      <c r="R419" s="9" t="s">
        <v>13284</v>
      </c>
      <c r="S419" s="9" t="s">
        <v>13284</v>
      </c>
      <c r="T419" s="9" t="str">
        <f ca="1">IFERROR(IF(AND(VLOOKUP(A419, 'Актуальное состояние (из общего'!A:C,3,0) = "", A419 &lt;&gt; ""), "ПРОВЕРИТЬ", VLOOKUP(A419, 'Актуальное состояние (из общего'!A:C,3,0)), "")</f>
        <v>Студент</v>
      </c>
      <c r="U419" s="9" t="s">
        <v>13284</v>
      </c>
      <c r="V419" s="9" t="s">
        <v>13284</v>
      </c>
      <c r="W419" s="12"/>
      <c r="X419" s="9" t="str">
        <f t="array" ref="X419">IFERROR(INDEX('Адреса общежитий (скрытый)'!$B$2:$B$9, MATCH(W419, 'Адреса общежитий (скрытый)'!$A$2:$A$9, 0)), "")</f>
        <v/>
      </c>
      <c r="Y419" s="18"/>
      <c r="Z419" s="18"/>
      <c r="AA419" s="18"/>
      <c r="AB419" s="18"/>
      <c r="AC419" s="18"/>
    </row>
    <row r="420" spans="1:29" ht="32.25" hidden="1" customHeight="1">
      <c r="A420" s="8">
        <v>2304128</v>
      </c>
      <c r="B420" s="9" t="s">
        <v>13284</v>
      </c>
      <c r="C420" s="9" t="s">
        <v>13284</v>
      </c>
      <c r="D420" s="9" t="s">
        <v>13284</v>
      </c>
      <c r="E420" s="9" t="s">
        <v>13284</v>
      </c>
      <c r="F420" s="9" t="s">
        <v>13284</v>
      </c>
      <c r="G420" s="9" t="s">
        <v>13284</v>
      </c>
      <c r="H420" s="9" t="s">
        <v>13284</v>
      </c>
      <c r="I420" s="9" t="s">
        <v>13284</v>
      </c>
      <c r="J420" s="9" t="s">
        <v>13284</v>
      </c>
      <c r="K420" s="9" t="s">
        <v>13284</v>
      </c>
      <c r="L420" s="9" t="s">
        <v>13284</v>
      </c>
      <c r="M420" s="9" t="s">
        <v>13284</v>
      </c>
      <c r="N420" s="9" t="s">
        <v>13284</v>
      </c>
      <c r="O420" s="9" t="s">
        <v>13284</v>
      </c>
      <c r="P420" s="9" t="s">
        <v>13284</v>
      </c>
      <c r="Q420" s="9" t="s">
        <v>13284</v>
      </c>
      <c r="R420" s="9" t="s">
        <v>13284</v>
      </c>
      <c r="S420" s="9" t="s">
        <v>13284</v>
      </c>
      <c r="T420" s="9" t="str">
        <f ca="1">IFERROR(IF(AND(VLOOKUP(A420, 'Актуальное состояние (из общего'!A:C,3,0) = "", A420 &lt;&gt; ""), "ПРОВЕРИТЬ", VLOOKUP(A420, 'Актуальное состояние (из общего'!A:C,3,0)), "")</f>
        <v>Студент</v>
      </c>
      <c r="U420" s="9" t="s">
        <v>13284</v>
      </c>
      <c r="V420" s="9" t="s">
        <v>13284</v>
      </c>
      <c r="W420" s="12"/>
      <c r="X420" s="9" t="str">
        <f t="array" ref="X420">IFERROR(INDEX('Адреса общежитий (скрытый)'!$B$2:$B$9, MATCH(W420, 'Адреса общежитий (скрытый)'!$A$2:$A$9, 0)), "")</f>
        <v/>
      </c>
      <c r="Y420" s="18"/>
      <c r="Z420" s="18"/>
      <c r="AA420" s="18"/>
      <c r="AB420" s="18"/>
      <c r="AC420" s="18"/>
    </row>
    <row r="421" spans="1:29" ht="32.25" customHeight="1">
      <c r="A421" s="8">
        <v>2305900</v>
      </c>
      <c r="B421" s="9" t="s">
        <v>13284</v>
      </c>
      <c r="C421" s="9" t="s">
        <v>13284</v>
      </c>
      <c r="D421" s="9" t="s">
        <v>13284</v>
      </c>
      <c r="E421" s="9" t="s">
        <v>13284</v>
      </c>
      <c r="F421" s="9" t="s">
        <v>13284</v>
      </c>
      <c r="G421" s="9" t="s">
        <v>13284</v>
      </c>
      <c r="H421" s="9" t="s">
        <v>13284</v>
      </c>
      <c r="I421" s="9" t="s">
        <v>13284</v>
      </c>
      <c r="J421" s="9" t="s">
        <v>13284</v>
      </c>
      <c r="K421" s="9" t="s">
        <v>13284</v>
      </c>
      <c r="L421" s="9" t="s">
        <v>13284</v>
      </c>
      <c r="M421" s="9" t="s">
        <v>13284</v>
      </c>
      <c r="N421" s="9" t="s">
        <v>13284</v>
      </c>
      <c r="O421" s="9" t="s">
        <v>13284</v>
      </c>
      <c r="P421" s="9" t="s">
        <v>13284</v>
      </c>
      <c r="Q421" s="9" t="s">
        <v>13284</v>
      </c>
      <c r="R421" s="9" t="s">
        <v>13284</v>
      </c>
      <c r="S421" s="9" t="s">
        <v>13284</v>
      </c>
      <c r="T421" s="9" t="str">
        <f ca="1">IFERROR(IF(AND(VLOOKUP(A421, 'Актуальное состояние (из общего'!A:C,3,0) = "", A421 &lt;&gt; ""), "ПРОВЕРИТЬ", VLOOKUP(A421, 'Актуальное состояние (из общего'!A:C,3,0)), "")</f>
        <v>Студент</v>
      </c>
      <c r="U421" s="9" t="s">
        <v>13284</v>
      </c>
      <c r="V421" s="9" t="s">
        <v>13284</v>
      </c>
      <c r="W421" s="12"/>
      <c r="X421" s="9" t="str">
        <f t="array" ref="X421">IFERROR(INDEX('Адреса общежитий (скрытый)'!$B$2:$B$9, MATCH(W421, 'Адреса общежитий (скрытый)'!$A$2:$A$9, 0)), "")</f>
        <v/>
      </c>
      <c r="Y421" s="18"/>
      <c r="Z421" s="18"/>
      <c r="AA421" s="18"/>
      <c r="AB421" s="18"/>
      <c r="AC421" s="18"/>
    </row>
    <row r="422" spans="1:29" ht="32.25" customHeight="1">
      <c r="A422" s="8">
        <v>2310247</v>
      </c>
      <c r="B422" s="9" t="s">
        <v>13284</v>
      </c>
      <c r="C422" s="9" t="s">
        <v>13284</v>
      </c>
      <c r="D422" s="9" t="s">
        <v>13284</v>
      </c>
      <c r="E422" s="9" t="s">
        <v>13284</v>
      </c>
      <c r="F422" s="9" t="s">
        <v>13284</v>
      </c>
      <c r="G422" s="9" t="s">
        <v>13284</v>
      </c>
      <c r="H422" s="9" t="s">
        <v>13284</v>
      </c>
      <c r="I422" s="9" t="s">
        <v>13284</v>
      </c>
      <c r="J422" s="9" t="s">
        <v>13284</v>
      </c>
      <c r="K422" s="9" t="s">
        <v>13284</v>
      </c>
      <c r="L422" s="9" t="s">
        <v>13284</v>
      </c>
      <c r="M422" s="9" t="s">
        <v>13284</v>
      </c>
      <c r="N422" s="9" t="s">
        <v>13284</v>
      </c>
      <c r="O422" s="9" t="s">
        <v>13284</v>
      </c>
      <c r="P422" s="9" t="s">
        <v>13284</v>
      </c>
      <c r="Q422" s="9" t="s">
        <v>13284</v>
      </c>
      <c r="R422" s="9" t="s">
        <v>13284</v>
      </c>
      <c r="S422" s="9" t="s">
        <v>13284</v>
      </c>
      <c r="T422" s="9" t="str">
        <f ca="1">IFERROR(IF(AND(VLOOKUP(A422, 'Актуальное состояние (из общего'!A:C,3,0) = "", A422 &lt;&gt; ""), "ПРОВЕРИТЬ", VLOOKUP(A422, 'Актуальное состояние (из общего'!A:C,3,0)), "")</f>
        <v>Студент</v>
      </c>
      <c r="U422" s="9" t="s">
        <v>13284</v>
      </c>
      <c r="V422" s="9" t="s">
        <v>13284</v>
      </c>
      <c r="W422" s="12"/>
      <c r="X422" s="9" t="str">
        <f t="array" ref="X422">IFERROR(INDEX('Адреса общежитий (скрытый)'!$B$2:$B$9, MATCH(W422, 'Адреса общежитий (скрытый)'!$A$2:$A$9, 0)), "")</f>
        <v/>
      </c>
      <c r="Y422" s="18"/>
      <c r="Z422" s="18"/>
      <c r="AA422" s="18"/>
      <c r="AB422" s="18"/>
      <c r="AC422" s="18"/>
    </row>
    <row r="423" spans="1:29" ht="32.25" customHeight="1">
      <c r="A423" s="8">
        <v>2305575</v>
      </c>
      <c r="B423" s="9" t="s">
        <v>13284</v>
      </c>
      <c r="C423" s="9" t="s">
        <v>13284</v>
      </c>
      <c r="D423" s="9" t="s">
        <v>13284</v>
      </c>
      <c r="E423" s="9" t="s">
        <v>13284</v>
      </c>
      <c r="F423" s="9" t="s">
        <v>13284</v>
      </c>
      <c r="G423" s="9" t="s">
        <v>13284</v>
      </c>
      <c r="H423" s="9" t="s">
        <v>13284</v>
      </c>
      <c r="I423" s="9" t="s">
        <v>13284</v>
      </c>
      <c r="J423" s="9" t="s">
        <v>13284</v>
      </c>
      <c r="K423" s="9" t="s">
        <v>13284</v>
      </c>
      <c r="L423" s="9" t="s">
        <v>13284</v>
      </c>
      <c r="M423" s="9" t="s">
        <v>13284</v>
      </c>
      <c r="N423" s="9" t="s">
        <v>13284</v>
      </c>
      <c r="O423" s="9" t="s">
        <v>13284</v>
      </c>
      <c r="P423" s="9" t="s">
        <v>13284</v>
      </c>
      <c r="Q423" s="9" t="s">
        <v>13284</v>
      </c>
      <c r="R423" s="9" t="s">
        <v>13284</v>
      </c>
      <c r="S423" s="9" t="s">
        <v>13284</v>
      </c>
      <c r="T423" s="9" t="str">
        <f ca="1">IFERROR(IF(AND(VLOOKUP(A423, 'Актуальное состояние (из общего'!A:C,3,0) = "", A423 &lt;&gt; ""), "ПРОВЕРИТЬ", VLOOKUP(A423, 'Актуальное состояние (из общего'!A:C,3,0)), "")</f>
        <v>Студент</v>
      </c>
      <c r="U423" s="9" t="s">
        <v>13284</v>
      </c>
      <c r="V423" s="9" t="s">
        <v>13284</v>
      </c>
      <c r="W423" s="12"/>
      <c r="X423" s="9" t="str">
        <f t="array" ref="X423">IFERROR(INDEX('Адреса общежитий (скрытый)'!$B$2:$B$9, MATCH(W423, 'Адреса общежитий (скрытый)'!$A$2:$A$9, 0)), "")</f>
        <v/>
      </c>
      <c r="Y423" s="18"/>
      <c r="Z423" s="18"/>
      <c r="AA423" s="18"/>
      <c r="AB423" s="18"/>
      <c r="AC423" s="18"/>
    </row>
    <row r="424" spans="1:29" ht="32.25" customHeight="1">
      <c r="A424" s="8">
        <v>2303738</v>
      </c>
      <c r="B424" s="9" t="s">
        <v>13284</v>
      </c>
      <c r="C424" s="9" t="s">
        <v>13284</v>
      </c>
      <c r="D424" s="9" t="s">
        <v>13284</v>
      </c>
      <c r="E424" s="9" t="s">
        <v>13284</v>
      </c>
      <c r="F424" s="9" t="s">
        <v>13284</v>
      </c>
      <c r="G424" s="9" t="s">
        <v>13284</v>
      </c>
      <c r="H424" s="9" t="s">
        <v>13284</v>
      </c>
      <c r="I424" s="9" t="s">
        <v>13284</v>
      </c>
      <c r="J424" s="9" t="s">
        <v>13284</v>
      </c>
      <c r="K424" s="9" t="s">
        <v>13284</v>
      </c>
      <c r="L424" s="9" t="s">
        <v>13284</v>
      </c>
      <c r="M424" s="9" t="s">
        <v>13284</v>
      </c>
      <c r="N424" s="9" t="s">
        <v>13284</v>
      </c>
      <c r="O424" s="9" t="s">
        <v>13284</v>
      </c>
      <c r="P424" s="9" t="s">
        <v>13284</v>
      </c>
      <c r="Q424" s="9" t="s">
        <v>13284</v>
      </c>
      <c r="R424" s="9" t="s">
        <v>13284</v>
      </c>
      <c r="S424" s="9" t="s">
        <v>13284</v>
      </c>
      <c r="T424" s="9" t="str">
        <f ca="1">IFERROR(IF(AND(VLOOKUP(A424, 'Актуальное состояние (из общего'!A:C,3,0) = "", A424 &lt;&gt; ""), "ПРОВЕРИТЬ", VLOOKUP(A424, 'Актуальное состояние (из общего'!A:C,3,0)), "")</f>
        <v>Студент</v>
      </c>
      <c r="U424" s="9" t="s">
        <v>13284</v>
      </c>
      <c r="V424" s="9" t="s">
        <v>13284</v>
      </c>
      <c r="W424" s="12"/>
      <c r="X424" s="9" t="str">
        <f t="array" ref="X424">IFERROR(INDEX('Адреса общежитий (скрытый)'!$B$2:$B$9, MATCH(W424, 'Адреса общежитий (скрытый)'!$A$2:$A$9, 0)), "")</f>
        <v/>
      </c>
      <c r="Y424" s="18"/>
      <c r="Z424" s="18"/>
      <c r="AA424" s="18"/>
      <c r="AB424" s="18"/>
      <c r="AC424" s="18"/>
    </row>
    <row r="425" spans="1:29" ht="32.25" customHeight="1">
      <c r="A425" s="8">
        <v>2310696</v>
      </c>
      <c r="B425" s="9" t="s">
        <v>13284</v>
      </c>
      <c r="C425" s="9" t="s">
        <v>13284</v>
      </c>
      <c r="D425" s="9" t="s">
        <v>13284</v>
      </c>
      <c r="E425" s="9" t="s">
        <v>13284</v>
      </c>
      <c r="F425" s="9" t="s">
        <v>13284</v>
      </c>
      <c r="G425" s="9" t="s">
        <v>13284</v>
      </c>
      <c r="H425" s="9" t="s">
        <v>13284</v>
      </c>
      <c r="I425" s="9" t="s">
        <v>13284</v>
      </c>
      <c r="J425" s="9" t="s">
        <v>13284</v>
      </c>
      <c r="K425" s="9" t="s">
        <v>13284</v>
      </c>
      <c r="L425" s="9" t="s">
        <v>13284</v>
      </c>
      <c r="M425" s="9" t="s">
        <v>13284</v>
      </c>
      <c r="N425" s="9" t="s">
        <v>13284</v>
      </c>
      <c r="O425" s="9" t="s">
        <v>13284</v>
      </c>
      <c r="P425" s="9" t="s">
        <v>13284</v>
      </c>
      <c r="Q425" s="9" t="s">
        <v>13284</v>
      </c>
      <c r="R425" s="9" t="s">
        <v>13284</v>
      </c>
      <c r="S425" s="9" t="s">
        <v>13284</v>
      </c>
      <c r="T425" s="9" t="str">
        <f ca="1">IFERROR(IF(AND(VLOOKUP(A425, 'Актуальное состояние (из общего'!A:C,3,0) = "", A425 &lt;&gt; ""), "ПРОВЕРИТЬ", VLOOKUP(A425, 'Актуальное состояние (из общего'!A:C,3,0)), "")</f>
        <v>Студент</v>
      </c>
      <c r="U425" s="9" t="s">
        <v>13284</v>
      </c>
      <c r="V425" s="9" t="s">
        <v>13284</v>
      </c>
      <c r="W425" s="12"/>
      <c r="X425" s="9" t="str">
        <f t="array" ref="X425">IFERROR(INDEX('Адреса общежитий (скрытый)'!$B$2:$B$9, MATCH(W425, 'Адреса общежитий (скрытый)'!$A$2:$A$9, 0)), "")</f>
        <v/>
      </c>
      <c r="Y425" s="18"/>
      <c r="Z425" s="18"/>
      <c r="AA425" s="18"/>
      <c r="AB425" s="18"/>
      <c r="AC425" s="18"/>
    </row>
    <row r="426" spans="1:29" ht="32.25" customHeight="1">
      <c r="A426" s="8">
        <v>2306654</v>
      </c>
      <c r="B426" s="9" t="s">
        <v>13284</v>
      </c>
      <c r="C426" s="9" t="s">
        <v>13284</v>
      </c>
      <c r="D426" s="9" t="s">
        <v>13284</v>
      </c>
      <c r="E426" s="9" t="s">
        <v>13284</v>
      </c>
      <c r="F426" s="9" t="s">
        <v>13284</v>
      </c>
      <c r="G426" s="9" t="s">
        <v>13284</v>
      </c>
      <c r="H426" s="9" t="s">
        <v>13284</v>
      </c>
      <c r="I426" s="9" t="s">
        <v>13284</v>
      </c>
      <c r="J426" s="9" t="s">
        <v>13284</v>
      </c>
      <c r="K426" s="9" t="s">
        <v>13284</v>
      </c>
      <c r="L426" s="9" t="s">
        <v>13284</v>
      </c>
      <c r="M426" s="9" t="s">
        <v>13284</v>
      </c>
      <c r="N426" s="9" t="s">
        <v>13284</v>
      </c>
      <c r="O426" s="9" t="s">
        <v>13284</v>
      </c>
      <c r="P426" s="9" t="s">
        <v>13284</v>
      </c>
      <c r="Q426" s="9" t="s">
        <v>13284</v>
      </c>
      <c r="R426" s="9" t="s">
        <v>13284</v>
      </c>
      <c r="S426" s="9" t="s">
        <v>13284</v>
      </c>
      <c r="T426" s="9" t="str">
        <f ca="1">IFERROR(IF(AND(VLOOKUP(A426, 'Актуальное состояние (из общего'!A:C,3,0) = "", A426 &lt;&gt; ""), "ПРОВЕРИТЬ", VLOOKUP(A426, 'Актуальное состояние (из общего'!A:C,3,0)), "")</f>
        <v>Студент</v>
      </c>
      <c r="U426" s="9" t="s">
        <v>13284</v>
      </c>
      <c r="V426" s="9" t="s">
        <v>13284</v>
      </c>
      <c r="W426" s="12"/>
      <c r="X426" s="9" t="str">
        <f t="array" ref="X426">IFERROR(INDEX('Адреса общежитий (скрытый)'!$B$2:$B$9, MATCH(W426, 'Адреса общежитий (скрытый)'!$A$2:$A$9, 0)), "")</f>
        <v/>
      </c>
      <c r="Y426" s="18"/>
      <c r="Z426" s="18"/>
      <c r="AA426" s="18"/>
      <c r="AB426" s="18"/>
      <c r="AC426" s="18"/>
    </row>
    <row r="427" spans="1:29" ht="32.25" hidden="1" customHeight="1">
      <c r="A427" s="8">
        <v>2312368</v>
      </c>
      <c r="B427" s="9" t="s">
        <v>13284</v>
      </c>
      <c r="C427" s="9" t="s">
        <v>13284</v>
      </c>
      <c r="D427" s="9" t="s">
        <v>13284</v>
      </c>
      <c r="E427" s="9" t="s">
        <v>13284</v>
      </c>
      <c r="F427" s="9" t="s">
        <v>13284</v>
      </c>
      <c r="G427" s="9" t="s">
        <v>13284</v>
      </c>
      <c r="H427" s="9" t="s">
        <v>13284</v>
      </c>
      <c r="I427" s="9" t="s">
        <v>13284</v>
      </c>
      <c r="J427" s="9" t="s">
        <v>13284</v>
      </c>
      <c r="K427" s="9" t="s">
        <v>13284</v>
      </c>
      <c r="L427" s="9" t="s">
        <v>13284</v>
      </c>
      <c r="M427" s="9" t="s">
        <v>13284</v>
      </c>
      <c r="N427" s="9" t="s">
        <v>13284</v>
      </c>
      <c r="O427" s="9" t="s">
        <v>13284</v>
      </c>
      <c r="P427" s="9" t="s">
        <v>13284</v>
      </c>
      <c r="Q427" s="9" t="s">
        <v>13284</v>
      </c>
      <c r="R427" s="9" t="s">
        <v>13284</v>
      </c>
      <c r="S427" s="9" t="s">
        <v>13284</v>
      </c>
      <c r="T427" s="9" t="str">
        <f ca="1">IFERROR(IF(AND(VLOOKUP(A427, 'Актуальное состояние (из общего'!A:C,3,0) = "", A427 &lt;&gt; ""), "ПРОВЕРИТЬ", VLOOKUP(A427, 'Актуальное состояние (из общего'!A:C,3,0)), "")</f>
        <v>Студент</v>
      </c>
      <c r="U427" s="9" t="s">
        <v>13284</v>
      </c>
      <c r="V427" s="9" t="s">
        <v>13284</v>
      </c>
      <c r="W427" s="12"/>
      <c r="X427" s="9" t="str">
        <f t="array" ref="X427">IFERROR(INDEX('Адреса общежитий (скрытый)'!$B$2:$B$9, MATCH(W427, 'Адреса общежитий (скрытый)'!$A$2:$A$9, 0)), "")</f>
        <v/>
      </c>
      <c r="Y427" s="18"/>
      <c r="Z427" s="18"/>
      <c r="AA427" s="18"/>
      <c r="AB427" s="18"/>
      <c r="AC427" s="18"/>
    </row>
    <row r="428" spans="1:29" ht="32.25" customHeight="1">
      <c r="A428" s="8">
        <v>2309539</v>
      </c>
      <c r="B428" s="9" t="s">
        <v>13284</v>
      </c>
      <c r="C428" s="9" t="s">
        <v>13284</v>
      </c>
      <c r="D428" s="9" t="s">
        <v>13284</v>
      </c>
      <c r="E428" s="9" t="s">
        <v>13284</v>
      </c>
      <c r="F428" s="9" t="s">
        <v>13284</v>
      </c>
      <c r="G428" s="9" t="s">
        <v>13284</v>
      </c>
      <c r="H428" s="9" t="s">
        <v>13284</v>
      </c>
      <c r="I428" s="9" t="s">
        <v>13284</v>
      </c>
      <c r="J428" s="9" t="s">
        <v>13284</v>
      </c>
      <c r="K428" s="9" t="s">
        <v>13284</v>
      </c>
      <c r="L428" s="9" t="s">
        <v>13284</v>
      </c>
      <c r="M428" s="9" t="s">
        <v>13284</v>
      </c>
      <c r="N428" s="9" t="s">
        <v>13284</v>
      </c>
      <c r="O428" s="9" t="s">
        <v>13284</v>
      </c>
      <c r="P428" s="9" t="s">
        <v>13284</v>
      </c>
      <c r="Q428" s="9" t="s">
        <v>13284</v>
      </c>
      <c r="R428" s="9" t="s">
        <v>13284</v>
      </c>
      <c r="S428" s="9" t="s">
        <v>13284</v>
      </c>
      <c r="T428" s="9" t="str">
        <f ca="1">IFERROR(IF(AND(VLOOKUP(A428, 'Актуальное состояние (из общего'!A:C,3,0) = "", A428 &lt;&gt; ""), "ПРОВЕРИТЬ", VLOOKUP(A428, 'Актуальное состояние (из общего'!A:C,3,0)), "")</f>
        <v>Студент</v>
      </c>
      <c r="U428" s="9" t="s">
        <v>13284</v>
      </c>
      <c r="V428" s="9" t="s">
        <v>13284</v>
      </c>
      <c r="W428" s="12"/>
      <c r="X428" s="9" t="str">
        <f t="array" ref="X428">IFERROR(INDEX('Адреса общежитий (скрытый)'!$B$2:$B$9, MATCH(W428, 'Адреса общежитий (скрытый)'!$A$2:$A$9, 0)), "")</f>
        <v/>
      </c>
      <c r="Y428" s="18"/>
      <c r="Z428" s="18"/>
      <c r="AA428" s="18"/>
      <c r="AB428" s="18"/>
      <c r="AC428" s="18"/>
    </row>
    <row r="429" spans="1:29" ht="32.25" hidden="1" customHeight="1">
      <c r="A429" s="8">
        <v>2306093</v>
      </c>
      <c r="B429" s="9" t="s">
        <v>13284</v>
      </c>
      <c r="C429" s="9" t="s">
        <v>13284</v>
      </c>
      <c r="D429" s="9" t="s">
        <v>13284</v>
      </c>
      <c r="E429" s="9" t="s">
        <v>13284</v>
      </c>
      <c r="F429" s="9" t="s">
        <v>13284</v>
      </c>
      <c r="G429" s="9" t="s">
        <v>13284</v>
      </c>
      <c r="H429" s="9" t="s">
        <v>13284</v>
      </c>
      <c r="I429" s="9" t="s">
        <v>13284</v>
      </c>
      <c r="J429" s="9" t="s">
        <v>13284</v>
      </c>
      <c r="K429" s="9" t="s">
        <v>13284</v>
      </c>
      <c r="L429" s="9" t="s">
        <v>13284</v>
      </c>
      <c r="M429" s="9" t="s">
        <v>13284</v>
      </c>
      <c r="N429" s="9" t="s">
        <v>13284</v>
      </c>
      <c r="O429" s="9" t="s">
        <v>13284</v>
      </c>
      <c r="P429" s="9" t="s">
        <v>13284</v>
      </c>
      <c r="Q429" s="9" t="s">
        <v>13284</v>
      </c>
      <c r="R429" s="9" t="s">
        <v>13284</v>
      </c>
      <c r="S429" s="9" t="s">
        <v>13284</v>
      </c>
      <c r="T429" s="9" t="str">
        <f ca="1">IFERROR(IF(AND(VLOOKUP(A429, 'Актуальное состояние (из общего'!A:C,3,0) = "", A429 &lt;&gt; ""), "ПРОВЕРИТЬ", VLOOKUP(A429, 'Актуальное состояние (из общего'!A:C,3,0)), "")</f>
        <v>Студент</v>
      </c>
      <c r="U429" s="9" t="s">
        <v>13284</v>
      </c>
      <c r="V429" s="9" t="s">
        <v>13284</v>
      </c>
      <c r="W429" s="12"/>
      <c r="X429" s="9" t="str">
        <f t="array" ref="X429">IFERROR(INDEX('Адреса общежитий (скрытый)'!$B$2:$B$9, MATCH(W429, 'Адреса общежитий (скрытый)'!$A$2:$A$9, 0)), "")</f>
        <v/>
      </c>
      <c r="Y429" s="18"/>
      <c r="Z429" s="18"/>
      <c r="AA429" s="18"/>
      <c r="AB429" s="18"/>
      <c r="AC429" s="18"/>
    </row>
    <row r="430" spans="1:29" ht="32.25" customHeight="1">
      <c r="A430" s="8">
        <v>2305748</v>
      </c>
      <c r="B430" s="9" t="s">
        <v>13284</v>
      </c>
      <c r="C430" s="9" t="s">
        <v>13284</v>
      </c>
      <c r="D430" s="9" t="s">
        <v>13284</v>
      </c>
      <c r="E430" s="9" t="s">
        <v>13284</v>
      </c>
      <c r="F430" s="9" t="s">
        <v>13284</v>
      </c>
      <c r="G430" s="9" t="s">
        <v>13284</v>
      </c>
      <c r="H430" s="9" t="s">
        <v>13284</v>
      </c>
      <c r="I430" s="9" t="s">
        <v>13284</v>
      </c>
      <c r="J430" s="9" t="s">
        <v>13284</v>
      </c>
      <c r="K430" s="9" t="s">
        <v>13284</v>
      </c>
      <c r="L430" s="9" t="s">
        <v>13284</v>
      </c>
      <c r="M430" s="9" t="s">
        <v>13284</v>
      </c>
      <c r="N430" s="9" t="s">
        <v>13284</v>
      </c>
      <c r="O430" s="9" t="s">
        <v>13284</v>
      </c>
      <c r="P430" s="9" t="s">
        <v>13284</v>
      </c>
      <c r="Q430" s="9" t="s">
        <v>13284</v>
      </c>
      <c r="R430" s="9" t="s">
        <v>13284</v>
      </c>
      <c r="S430" s="9" t="s">
        <v>13284</v>
      </c>
      <c r="T430" s="9" t="str">
        <f ca="1">IFERROR(IF(AND(VLOOKUP(A430, 'Актуальное состояние (из общего'!A:C,3,0) = "", A430 &lt;&gt; ""), "ПРОВЕРИТЬ", VLOOKUP(A430, 'Актуальное состояние (из общего'!A:C,3,0)), "")</f>
        <v>Студент</v>
      </c>
      <c r="U430" s="9" t="s">
        <v>13284</v>
      </c>
      <c r="V430" s="9" t="s">
        <v>13284</v>
      </c>
      <c r="W430" s="12"/>
      <c r="X430" s="9" t="str">
        <f t="array" ref="X430">IFERROR(INDEX('Адреса общежитий (скрытый)'!$B$2:$B$9, MATCH(W430, 'Адреса общежитий (скрытый)'!$A$2:$A$9, 0)), "")</f>
        <v/>
      </c>
      <c r="Y430" s="18"/>
      <c r="Z430" s="18"/>
      <c r="AA430" s="18"/>
      <c r="AB430" s="18"/>
      <c r="AC430" s="18"/>
    </row>
    <row r="431" spans="1:29" ht="32.25" customHeight="1">
      <c r="A431" s="8">
        <v>2306162</v>
      </c>
      <c r="B431" s="9" t="s">
        <v>13284</v>
      </c>
      <c r="C431" s="9" t="s">
        <v>13284</v>
      </c>
      <c r="D431" s="9" t="s">
        <v>13284</v>
      </c>
      <c r="E431" s="9" t="s">
        <v>13284</v>
      </c>
      <c r="F431" s="9" t="s">
        <v>13284</v>
      </c>
      <c r="G431" s="9" t="s">
        <v>13284</v>
      </c>
      <c r="H431" s="9" t="s">
        <v>13284</v>
      </c>
      <c r="I431" s="9" t="s">
        <v>13284</v>
      </c>
      <c r="J431" s="9" t="s">
        <v>13284</v>
      </c>
      <c r="K431" s="9" t="s">
        <v>13284</v>
      </c>
      <c r="L431" s="9" t="s">
        <v>13284</v>
      </c>
      <c r="M431" s="9" t="s">
        <v>13284</v>
      </c>
      <c r="N431" s="9" t="s">
        <v>13284</v>
      </c>
      <c r="O431" s="9" t="s">
        <v>13284</v>
      </c>
      <c r="P431" s="9" t="s">
        <v>13284</v>
      </c>
      <c r="Q431" s="9" t="s">
        <v>13284</v>
      </c>
      <c r="R431" s="9" t="s">
        <v>13284</v>
      </c>
      <c r="S431" s="9" t="s">
        <v>13284</v>
      </c>
      <c r="T431" s="9" t="str">
        <f ca="1">IFERROR(IF(AND(VLOOKUP(A431, 'Актуальное состояние (из общего'!A:C,3,0) = "", A431 &lt;&gt; ""), "ПРОВЕРИТЬ", VLOOKUP(A431, 'Актуальное состояние (из общего'!A:C,3,0)), "")</f>
        <v>Студент</v>
      </c>
      <c r="U431" s="9" t="s">
        <v>13284</v>
      </c>
      <c r="V431" s="9" t="s">
        <v>13284</v>
      </c>
      <c r="W431" s="12"/>
      <c r="X431" s="9" t="str">
        <f t="array" ref="X431">IFERROR(INDEX('Адреса общежитий (скрытый)'!$B$2:$B$9, MATCH(W431, 'Адреса общежитий (скрытый)'!$A$2:$A$9, 0)), "")</f>
        <v/>
      </c>
      <c r="Y431" s="18"/>
      <c r="Z431" s="18"/>
      <c r="AA431" s="18"/>
      <c r="AB431" s="18"/>
      <c r="AC431" s="18"/>
    </row>
    <row r="432" spans="1:29" ht="32.25" customHeight="1">
      <c r="A432" s="8">
        <v>2309447</v>
      </c>
      <c r="B432" s="9" t="s">
        <v>13284</v>
      </c>
      <c r="C432" s="9" t="s">
        <v>13284</v>
      </c>
      <c r="D432" s="9" t="s">
        <v>13284</v>
      </c>
      <c r="E432" s="9" t="s">
        <v>13284</v>
      </c>
      <c r="F432" s="9" t="s">
        <v>13284</v>
      </c>
      <c r="G432" s="9" t="s">
        <v>13284</v>
      </c>
      <c r="H432" s="9" t="s">
        <v>13284</v>
      </c>
      <c r="I432" s="9" t="s">
        <v>13284</v>
      </c>
      <c r="J432" s="9" t="s">
        <v>13284</v>
      </c>
      <c r="K432" s="9" t="s">
        <v>13284</v>
      </c>
      <c r="L432" s="9" t="s">
        <v>13284</v>
      </c>
      <c r="M432" s="9" t="s">
        <v>13284</v>
      </c>
      <c r="N432" s="9" t="s">
        <v>13284</v>
      </c>
      <c r="O432" s="9" t="s">
        <v>13284</v>
      </c>
      <c r="P432" s="9" t="s">
        <v>13284</v>
      </c>
      <c r="Q432" s="9" t="s">
        <v>13284</v>
      </c>
      <c r="R432" s="9" t="s">
        <v>13284</v>
      </c>
      <c r="S432" s="9" t="s">
        <v>13284</v>
      </c>
      <c r="T432" s="9" t="str">
        <f ca="1">IFERROR(IF(AND(VLOOKUP(A432, 'Актуальное состояние (из общего'!A:C,3,0) = "", A432 &lt;&gt; ""), "ПРОВЕРИТЬ", VLOOKUP(A432, 'Актуальное состояние (из общего'!A:C,3,0)), "")</f>
        <v>Студент</v>
      </c>
      <c r="U432" s="9" t="s">
        <v>13284</v>
      </c>
      <c r="V432" s="9" t="s">
        <v>13284</v>
      </c>
      <c r="W432" s="12"/>
      <c r="X432" s="9" t="str">
        <f t="array" ref="X432">IFERROR(INDEX('Адреса общежитий (скрытый)'!$B$2:$B$9, MATCH(W432, 'Адреса общежитий (скрытый)'!$A$2:$A$9, 0)), "")</f>
        <v/>
      </c>
      <c r="Y432" s="18"/>
      <c r="Z432" s="18"/>
      <c r="AA432" s="18"/>
      <c r="AB432" s="18"/>
      <c r="AC432" s="18"/>
    </row>
    <row r="433" spans="1:29" ht="32.25" customHeight="1">
      <c r="A433" s="8">
        <v>2300571</v>
      </c>
      <c r="B433" s="9" t="s">
        <v>13284</v>
      </c>
      <c r="C433" s="9" t="s">
        <v>13284</v>
      </c>
      <c r="D433" s="9" t="s">
        <v>13284</v>
      </c>
      <c r="E433" s="9" t="s">
        <v>13284</v>
      </c>
      <c r="F433" s="9" t="s">
        <v>13284</v>
      </c>
      <c r="G433" s="9" t="s">
        <v>13284</v>
      </c>
      <c r="H433" s="9" t="s">
        <v>13284</v>
      </c>
      <c r="I433" s="9" t="s">
        <v>13284</v>
      </c>
      <c r="J433" s="9" t="s">
        <v>13284</v>
      </c>
      <c r="K433" s="9" t="s">
        <v>13284</v>
      </c>
      <c r="L433" s="9" t="s">
        <v>13284</v>
      </c>
      <c r="M433" s="9" t="s">
        <v>13284</v>
      </c>
      <c r="N433" s="9" t="s">
        <v>13284</v>
      </c>
      <c r="O433" s="9" t="s">
        <v>13284</v>
      </c>
      <c r="P433" s="9" t="s">
        <v>13284</v>
      </c>
      <c r="Q433" s="9" t="s">
        <v>13284</v>
      </c>
      <c r="R433" s="9" t="s">
        <v>13284</v>
      </c>
      <c r="S433" s="9" t="s">
        <v>13284</v>
      </c>
      <c r="T433" s="9" t="str">
        <f ca="1">IFERROR(IF(AND(VLOOKUP(A433, 'Актуальное состояние (из общего'!A:C,3,0) = "", A433 &lt;&gt; ""), "ПРОВЕРИТЬ", VLOOKUP(A433, 'Актуальное состояние (из общего'!A:C,3,0)), "")</f>
        <v>Студент</v>
      </c>
      <c r="U433" s="9" t="s">
        <v>13284</v>
      </c>
      <c r="V433" s="9" t="s">
        <v>13284</v>
      </c>
      <c r="W433" s="12"/>
      <c r="X433" s="9" t="str">
        <f t="array" ref="X433">IFERROR(INDEX('Адреса общежитий (скрытый)'!$B$2:$B$9, MATCH(W433, 'Адреса общежитий (скрытый)'!$A$2:$A$9, 0)), "")</f>
        <v/>
      </c>
      <c r="Y433" s="18"/>
      <c r="Z433" s="18"/>
      <c r="AA433" s="18"/>
      <c r="AB433" s="18"/>
      <c r="AC433" s="18"/>
    </row>
    <row r="434" spans="1:29" ht="32.25" hidden="1" customHeight="1">
      <c r="A434" s="8">
        <v>2304473</v>
      </c>
      <c r="B434" s="9" t="s">
        <v>13284</v>
      </c>
      <c r="C434" s="9" t="s">
        <v>13284</v>
      </c>
      <c r="D434" s="9" t="s">
        <v>13284</v>
      </c>
      <c r="E434" s="9" t="s">
        <v>13284</v>
      </c>
      <c r="F434" s="9" t="s">
        <v>13284</v>
      </c>
      <c r="G434" s="9" t="s">
        <v>13284</v>
      </c>
      <c r="H434" s="9" t="s">
        <v>13284</v>
      </c>
      <c r="I434" s="9" t="s">
        <v>13284</v>
      </c>
      <c r="J434" s="9" t="s">
        <v>13284</v>
      </c>
      <c r="K434" s="9" t="s">
        <v>13284</v>
      </c>
      <c r="L434" s="9" t="s">
        <v>13284</v>
      </c>
      <c r="M434" s="9" t="s">
        <v>13284</v>
      </c>
      <c r="N434" s="9" t="s">
        <v>13284</v>
      </c>
      <c r="O434" s="9" t="s">
        <v>13284</v>
      </c>
      <c r="P434" s="9" t="s">
        <v>13284</v>
      </c>
      <c r="Q434" s="9" t="s">
        <v>13284</v>
      </c>
      <c r="R434" s="9" t="s">
        <v>13284</v>
      </c>
      <c r="S434" s="9" t="s">
        <v>13284</v>
      </c>
      <c r="T434" s="9" t="str">
        <f ca="1">IFERROR(IF(AND(VLOOKUP(A434, 'Актуальное состояние (из общего'!A:C,3,0) = "", A434 &lt;&gt; ""), "ПРОВЕРИТЬ", VLOOKUP(A434, 'Актуальное состояние (из общего'!A:C,3,0)), "")</f>
        <v>Студент</v>
      </c>
      <c r="U434" s="9" t="s">
        <v>13284</v>
      </c>
      <c r="V434" s="9" t="s">
        <v>13284</v>
      </c>
      <c r="W434" s="12"/>
      <c r="X434" s="9" t="str">
        <f t="array" ref="X434">IFERROR(INDEX('Адреса общежитий (скрытый)'!$B$2:$B$9, MATCH(W434, 'Адреса общежитий (скрытый)'!$A$2:$A$9, 0)), "")</f>
        <v/>
      </c>
      <c r="Y434" s="18"/>
      <c r="Z434" s="18"/>
      <c r="AA434" s="18"/>
      <c r="AB434" s="18"/>
      <c r="AC434" s="18"/>
    </row>
    <row r="435" spans="1:29" ht="32.25" customHeight="1">
      <c r="A435" s="8">
        <v>2313993</v>
      </c>
      <c r="B435" s="9" t="s">
        <v>13284</v>
      </c>
      <c r="C435" s="9" t="s">
        <v>13284</v>
      </c>
      <c r="D435" s="9" t="s">
        <v>13284</v>
      </c>
      <c r="E435" s="9" t="s">
        <v>13284</v>
      </c>
      <c r="F435" s="9" t="s">
        <v>13284</v>
      </c>
      <c r="G435" s="9" t="s">
        <v>13284</v>
      </c>
      <c r="H435" s="9" t="s">
        <v>13284</v>
      </c>
      <c r="I435" s="9" t="s">
        <v>13284</v>
      </c>
      <c r="J435" s="9" t="s">
        <v>13284</v>
      </c>
      <c r="K435" s="9" t="s">
        <v>13284</v>
      </c>
      <c r="L435" s="9" t="s">
        <v>13284</v>
      </c>
      <c r="M435" s="9" t="s">
        <v>13284</v>
      </c>
      <c r="N435" s="9" t="s">
        <v>13284</v>
      </c>
      <c r="O435" s="9" t="s">
        <v>13284</v>
      </c>
      <c r="P435" s="9" t="s">
        <v>13284</v>
      </c>
      <c r="Q435" s="9" t="s">
        <v>13284</v>
      </c>
      <c r="R435" s="9" t="s">
        <v>13284</v>
      </c>
      <c r="S435" s="9" t="s">
        <v>13284</v>
      </c>
      <c r="T435" s="9" t="str">
        <f ca="1">IFERROR(IF(AND(VLOOKUP(A435, 'Актуальное состояние (из общего'!A:C,3,0) = "", A435 &lt;&gt; ""), "ПРОВЕРИТЬ", VLOOKUP(A435, 'Актуальное состояние (из общего'!A:C,3,0)), "")</f>
        <v>Студент</v>
      </c>
      <c r="U435" s="9" t="s">
        <v>13284</v>
      </c>
      <c r="V435" s="9" t="s">
        <v>13284</v>
      </c>
      <c r="W435" s="12" t="s">
        <v>76</v>
      </c>
      <c r="X435" s="9" t="str">
        <f t="array" ref="X435">IFERROR(INDEX('Адреса общежитий (скрытый)'!$B$2:$B$9, MATCH(W435, 'Адреса общежитий (скрытый)'!$A$2:$A$9, 0)), "")</f>
        <v>ул. Студенческая, д. 33, корп. 5,6</v>
      </c>
      <c r="Y435" s="18"/>
      <c r="Z435" s="18"/>
      <c r="AA435" s="18"/>
      <c r="AB435" s="18"/>
      <c r="AC435" s="18"/>
    </row>
    <row r="436" spans="1:29" ht="32.25" customHeight="1">
      <c r="A436" s="8">
        <v>2305891</v>
      </c>
      <c r="B436" s="9" t="s">
        <v>13284</v>
      </c>
      <c r="C436" s="9" t="s">
        <v>13284</v>
      </c>
      <c r="D436" s="9" t="s">
        <v>13284</v>
      </c>
      <c r="E436" s="9" t="s">
        <v>13284</v>
      </c>
      <c r="F436" s="9" t="s">
        <v>13284</v>
      </c>
      <c r="G436" s="9" t="s">
        <v>13284</v>
      </c>
      <c r="H436" s="9" t="s">
        <v>13284</v>
      </c>
      <c r="I436" s="9" t="s">
        <v>13284</v>
      </c>
      <c r="J436" s="9" t="s">
        <v>13284</v>
      </c>
      <c r="K436" s="9" t="s">
        <v>13284</v>
      </c>
      <c r="L436" s="9" t="s">
        <v>13284</v>
      </c>
      <c r="M436" s="9" t="s">
        <v>13284</v>
      </c>
      <c r="N436" s="9" t="s">
        <v>13284</v>
      </c>
      <c r="O436" s="9" t="s">
        <v>13284</v>
      </c>
      <c r="P436" s="9" t="s">
        <v>13284</v>
      </c>
      <c r="Q436" s="9" t="s">
        <v>13284</v>
      </c>
      <c r="R436" s="9" t="s">
        <v>13284</v>
      </c>
      <c r="S436" s="9" t="s">
        <v>13284</v>
      </c>
      <c r="T436" s="9" t="str">
        <f ca="1">IFERROR(IF(AND(VLOOKUP(A436, 'Актуальное состояние (из общего'!A:C,3,0) = "", A436 &lt;&gt; ""), "ПРОВЕРИТЬ", VLOOKUP(A436, 'Актуальное состояние (из общего'!A:C,3,0)), "")</f>
        <v>Студент</v>
      </c>
      <c r="U436" s="9" t="s">
        <v>13284</v>
      </c>
      <c r="V436" s="9" t="s">
        <v>13284</v>
      </c>
      <c r="W436" s="12"/>
      <c r="X436" s="9" t="str">
        <f t="array" ref="X436">IFERROR(INDEX('Адреса общежитий (скрытый)'!$B$2:$B$9, MATCH(W436, 'Адреса общежитий (скрытый)'!$A$2:$A$9, 0)), "")</f>
        <v/>
      </c>
      <c r="Y436" s="18"/>
      <c r="Z436" s="18"/>
      <c r="AA436" s="18"/>
      <c r="AB436" s="18"/>
      <c r="AC436" s="18"/>
    </row>
    <row r="437" spans="1:29" ht="32.25" customHeight="1">
      <c r="A437" s="8">
        <v>2312249</v>
      </c>
      <c r="B437" s="9" t="s">
        <v>13284</v>
      </c>
      <c r="C437" s="9" t="s">
        <v>13284</v>
      </c>
      <c r="D437" s="9" t="s">
        <v>13284</v>
      </c>
      <c r="E437" s="9" t="s">
        <v>13284</v>
      </c>
      <c r="F437" s="9" t="s">
        <v>13284</v>
      </c>
      <c r="G437" s="9" t="s">
        <v>13284</v>
      </c>
      <c r="H437" s="9" t="s">
        <v>13284</v>
      </c>
      <c r="I437" s="9" t="s">
        <v>13284</v>
      </c>
      <c r="J437" s="9" t="s">
        <v>13284</v>
      </c>
      <c r="K437" s="9" t="s">
        <v>13284</v>
      </c>
      <c r="L437" s="9" t="s">
        <v>13284</v>
      </c>
      <c r="M437" s="9" t="s">
        <v>13284</v>
      </c>
      <c r="N437" s="9" t="s">
        <v>13284</v>
      </c>
      <c r="O437" s="9" t="s">
        <v>13284</v>
      </c>
      <c r="P437" s="9" t="s">
        <v>13284</v>
      </c>
      <c r="Q437" s="9" t="s">
        <v>13284</v>
      </c>
      <c r="R437" s="9" t="s">
        <v>13284</v>
      </c>
      <c r="S437" s="9" t="s">
        <v>13284</v>
      </c>
      <c r="T437" s="9" t="str">
        <f ca="1">IFERROR(IF(AND(VLOOKUP(A437, 'Актуальное состояние (из общего'!A:C,3,0) = "", A437 &lt;&gt; ""), "ПРОВЕРИТЬ", VLOOKUP(A437, 'Актуальное состояние (из общего'!A:C,3,0)), "")</f>
        <v>Студент</v>
      </c>
      <c r="U437" s="9" t="s">
        <v>13284</v>
      </c>
      <c r="V437" s="9" t="s">
        <v>13284</v>
      </c>
      <c r="W437" s="12"/>
      <c r="X437" s="9" t="str">
        <f t="array" ref="X437">IFERROR(INDEX('Адреса общежитий (скрытый)'!$B$2:$B$9, MATCH(W437, 'Адреса общежитий (скрытый)'!$A$2:$A$9, 0)), "")</f>
        <v/>
      </c>
      <c r="Y437" s="18"/>
      <c r="Z437" s="18"/>
      <c r="AA437" s="18"/>
      <c r="AB437" s="18"/>
      <c r="AC437" s="18"/>
    </row>
    <row r="438" spans="1:29" ht="32.25" customHeight="1">
      <c r="A438" s="8">
        <v>2309903</v>
      </c>
      <c r="B438" s="9" t="s">
        <v>13284</v>
      </c>
      <c r="C438" s="9" t="s">
        <v>13284</v>
      </c>
      <c r="D438" s="9" t="s">
        <v>13284</v>
      </c>
      <c r="E438" s="9" t="s">
        <v>13284</v>
      </c>
      <c r="F438" s="9" t="s">
        <v>13284</v>
      </c>
      <c r="G438" s="9" t="s">
        <v>13284</v>
      </c>
      <c r="H438" s="9" t="s">
        <v>13284</v>
      </c>
      <c r="I438" s="9" t="s">
        <v>13284</v>
      </c>
      <c r="J438" s="9" t="s">
        <v>13284</v>
      </c>
      <c r="K438" s="9" t="s">
        <v>13284</v>
      </c>
      <c r="L438" s="9" t="s">
        <v>13284</v>
      </c>
      <c r="M438" s="9" t="s">
        <v>13284</v>
      </c>
      <c r="N438" s="9" t="s">
        <v>13284</v>
      </c>
      <c r="O438" s="9" t="s">
        <v>13284</v>
      </c>
      <c r="P438" s="9" t="s">
        <v>13284</v>
      </c>
      <c r="Q438" s="9" t="s">
        <v>13284</v>
      </c>
      <c r="R438" s="9" t="s">
        <v>13284</v>
      </c>
      <c r="S438" s="9" t="s">
        <v>13284</v>
      </c>
      <c r="T438" s="9" t="str">
        <f ca="1">IFERROR(IF(AND(VLOOKUP(A438, 'Актуальное состояние (из общего'!A:C,3,0) = "", A438 &lt;&gt; ""), "ПРОВЕРИТЬ", VLOOKUP(A438, 'Актуальное состояние (из общего'!A:C,3,0)), "")</f>
        <v>Студент</v>
      </c>
      <c r="U438" s="9" t="s">
        <v>13284</v>
      </c>
      <c r="V438" s="9" t="s">
        <v>13284</v>
      </c>
      <c r="W438" s="12"/>
      <c r="X438" s="9" t="str">
        <f t="array" ref="X438">IFERROR(INDEX('Адреса общежитий (скрытый)'!$B$2:$B$9, MATCH(W438, 'Адреса общежитий (скрытый)'!$A$2:$A$9, 0)), "")</f>
        <v/>
      </c>
      <c r="Y438" s="18"/>
      <c r="Z438" s="18"/>
      <c r="AA438" s="18"/>
      <c r="AB438" s="18"/>
      <c r="AC438" s="18"/>
    </row>
    <row r="439" spans="1:29" ht="32.25" hidden="1" customHeight="1">
      <c r="A439" s="8">
        <v>2303296</v>
      </c>
      <c r="B439" s="9" t="s">
        <v>13284</v>
      </c>
      <c r="C439" s="9" t="s">
        <v>13284</v>
      </c>
      <c r="D439" s="9" t="s">
        <v>13284</v>
      </c>
      <c r="E439" s="9" t="s">
        <v>13284</v>
      </c>
      <c r="F439" s="9" t="s">
        <v>13284</v>
      </c>
      <c r="G439" s="9" t="s">
        <v>13284</v>
      </c>
      <c r="H439" s="9" t="s">
        <v>13284</v>
      </c>
      <c r="I439" s="9" t="s">
        <v>13284</v>
      </c>
      <c r="J439" s="9" t="s">
        <v>13284</v>
      </c>
      <c r="K439" s="9" t="s">
        <v>13284</v>
      </c>
      <c r="L439" s="9" t="s">
        <v>13284</v>
      </c>
      <c r="M439" s="9" t="s">
        <v>13284</v>
      </c>
      <c r="N439" s="9" t="s">
        <v>13284</v>
      </c>
      <c r="O439" s="9" t="s">
        <v>13284</v>
      </c>
      <c r="P439" s="9" t="s">
        <v>13284</v>
      </c>
      <c r="Q439" s="9" t="s">
        <v>13284</v>
      </c>
      <c r="R439" s="9" t="s">
        <v>13284</v>
      </c>
      <c r="S439" s="9" t="s">
        <v>13284</v>
      </c>
      <c r="T439" s="9" t="str">
        <f ca="1">IFERROR(IF(AND(VLOOKUP(A439, 'Актуальное состояние (из общего'!A:C,3,0) = "", A439 &lt;&gt; ""), "ПРОВЕРИТЬ", VLOOKUP(A439, 'Актуальное состояние (из общего'!A:C,3,0)), "")</f>
        <v>Студент</v>
      </c>
      <c r="U439" s="9" t="s">
        <v>13284</v>
      </c>
      <c r="V439" s="9" t="s">
        <v>13284</v>
      </c>
      <c r="W439" s="12"/>
      <c r="X439" s="9" t="str">
        <f t="array" ref="X439">IFERROR(INDEX('Адреса общежитий (скрытый)'!$B$2:$B$9, MATCH(W439, 'Адреса общежитий (скрытый)'!$A$2:$A$9, 0)), "")</f>
        <v/>
      </c>
      <c r="Y439" s="18"/>
      <c r="Z439" s="18"/>
      <c r="AA439" s="18"/>
      <c r="AB439" s="18"/>
      <c r="AC439" s="18"/>
    </row>
    <row r="440" spans="1:29" ht="32.25" hidden="1" customHeight="1">
      <c r="A440" s="8">
        <v>2304369</v>
      </c>
      <c r="B440" s="9" t="s">
        <v>13284</v>
      </c>
      <c r="C440" s="9" t="s">
        <v>13284</v>
      </c>
      <c r="D440" s="9" t="s">
        <v>13284</v>
      </c>
      <c r="E440" s="9" t="s">
        <v>13284</v>
      </c>
      <c r="F440" s="9" t="s">
        <v>13284</v>
      </c>
      <c r="G440" s="9" t="s">
        <v>13284</v>
      </c>
      <c r="H440" s="9" t="s">
        <v>13284</v>
      </c>
      <c r="I440" s="9" t="s">
        <v>13284</v>
      </c>
      <c r="J440" s="9" t="s">
        <v>13284</v>
      </c>
      <c r="K440" s="9" t="s">
        <v>13284</v>
      </c>
      <c r="L440" s="9" t="s">
        <v>13284</v>
      </c>
      <c r="M440" s="9" t="s">
        <v>13284</v>
      </c>
      <c r="N440" s="9" t="s">
        <v>13284</v>
      </c>
      <c r="O440" s="9" t="s">
        <v>13284</v>
      </c>
      <c r="P440" s="9" t="s">
        <v>13284</v>
      </c>
      <c r="Q440" s="9" t="s">
        <v>13284</v>
      </c>
      <c r="R440" s="9" t="s">
        <v>13284</v>
      </c>
      <c r="S440" s="9" t="s">
        <v>13284</v>
      </c>
      <c r="T440" s="9" t="str">
        <f ca="1">IFERROR(IF(AND(VLOOKUP(A440, 'Актуальное состояние (из общего'!A:C,3,0) = "", A440 &lt;&gt; ""), "ПРОВЕРИТЬ", VLOOKUP(A440, 'Актуальное состояние (из общего'!A:C,3,0)), "")</f>
        <v>Студент</v>
      </c>
      <c r="U440" s="9" t="s">
        <v>13284</v>
      </c>
      <c r="V440" s="9" t="s">
        <v>13284</v>
      </c>
      <c r="W440" s="12"/>
      <c r="X440" s="9" t="str">
        <f t="array" ref="X440">IFERROR(INDEX('Адреса общежитий (скрытый)'!$B$2:$B$9, MATCH(W440, 'Адреса общежитий (скрытый)'!$A$2:$A$9, 0)), "")</f>
        <v/>
      </c>
      <c r="Y440" s="18"/>
      <c r="Z440" s="18"/>
      <c r="AA440" s="18"/>
      <c r="AB440" s="18"/>
      <c r="AC440" s="18"/>
    </row>
    <row r="441" spans="1:29" ht="32.25" hidden="1" customHeight="1">
      <c r="A441" s="8">
        <v>2301544</v>
      </c>
      <c r="B441" s="9" t="s">
        <v>13284</v>
      </c>
      <c r="C441" s="9" t="s">
        <v>13284</v>
      </c>
      <c r="D441" s="9" t="s">
        <v>13284</v>
      </c>
      <c r="E441" s="9" t="s">
        <v>13284</v>
      </c>
      <c r="F441" s="9" t="s">
        <v>13284</v>
      </c>
      <c r="G441" s="9" t="s">
        <v>13284</v>
      </c>
      <c r="H441" s="9" t="s">
        <v>13284</v>
      </c>
      <c r="I441" s="9" t="s">
        <v>13284</v>
      </c>
      <c r="J441" s="9" t="s">
        <v>13284</v>
      </c>
      <c r="K441" s="9" t="s">
        <v>13284</v>
      </c>
      <c r="L441" s="9" t="s">
        <v>13284</v>
      </c>
      <c r="M441" s="9" t="s">
        <v>13284</v>
      </c>
      <c r="N441" s="9" t="s">
        <v>13284</v>
      </c>
      <c r="O441" s="9" t="s">
        <v>13284</v>
      </c>
      <c r="P441" s="9" t="s">
        <v>13284</v>
      </c>
      <c r="Q441" s="9" t="s">
        <v>13284</v>
      </c>
      <c r="R441" s="9" t="s">
        <v>13284</v>
      </c>
      <c r="S441" s="9" t="s">
        <v>13284</v>
      </c>
      <c r="T441" s="9" t="str">
        <f ca="1">IFERROR(IF(AND(VLOOKUP(A441, 'Актуальное состояние (из общего'!A:C,3,0) = "", A441 &lt;&gt; ""), "ПРОВЕРИТЬ", VLOOKUP(A441, 'Актуальное состояние (из общего'!A:C,3,0)), "")</f>
        <v>Студент</v>
      </c>
      <c r="U441" s="9" t="s">
        <v>13284</v>
      </c>
      <c r="V441" s="9" t="s">
        <v>13284</v>
      </c>
      <c r="W441" s="12"/>
      <c r="X441" s="9" t="str">
        <f t="array" ref="X441">IFERROR(INDEX('Адреса общежитий (скрытый)'!$B$2:$B$9, MATCH(W441, 'Адреса общежитий (скрытый)'!$A$2:$A$9, 0)), "")</f>
        <v/>
      </c>
      <c r="Y441" s="18"/>
      <c r="Z441" s="18"/>
      <c r="AA441" s="18"/>
      <c r="AB441" s="18"/>
      <c r="AC441" s="18"/>
    </row>
    <row r="442" spans="1:29" ht="32.25" customHeight="1">
      <c r="A442" s="8">
        <v>2301843</v>
      </c>
      <c r="B442" s="9" t="s">
        <v>13284</v>
      </c>
      <c r="C442" s="9" t="s">
        <v>13284</v>
      </c>
      <c r="D442" s="9" t="s">
        <v>13284</v>
      </c>
      <c r="E442" s="9" t="s">
        <v>13284</v>
      </c>
      <c r="F442" s="9" t="s">
        <v>13284</v>
      </c>
      <c r="G442" s="9" t="s">
        <v>13284</v>
      </c>
      <c r="H442" s="9" t="s">
        <v>13284</v>
      </c>
      <c r="I442" s="9" t="s">
        <v>13284</v>
      </c>
      <c r="J442" s="9" t="s">
        <v>13284</v>
      </c>
      <c r="K442" s="9" t="s">
        <v>13284</v>
      </c>
      <c r="L442" s="9" t="s">
        <v>13284</v>
      </c>
      <c r="M442" s="9" t="s">
        <v>13284</v>
      </c>
      <c r="N442" s="9" t="s">
        <v>13284</v>
      </c>
      <c r="O442" s="9" t="s">
        <v>13284</v>
      </c>
      <c r="P442" s="9" t="s">
        <v>13284</v>
      </c>
      <c r="Q442" s="9" t="s">
        <v>13284</v>
      </c>
      <c r="R442" s="9" t="s">
        <v>13284</v>
      </c>
      <c r="S442" s="9" t="s">
        <v>13284</v>
      </c>
      <c r="T442" s="9" t="str">
        <f ca="1">IFERROR(IF(AND(VLOOKUP(A442, 'Актуальное состояние (из общего'!A:C,3,0) = "", A442 &lt;&gt; ""), "ПРОВЕРИТЬ", VLOOKUP(A442, 'Актуальное состояние (из общего'!A:C,3,0)), "")</f>
        <v>Студент</v>
      </c>
      <c r="U442" s="9" t="s">
        <v>13284</v>
      </c>
      <c r="V442" s="9" t="s">
        <v>13284</v>
      </c>
      <c r="W442" s="12"/>
      <c r="X442" s="9" t="str">
        <f t="array" ref="X442">IFERROR(INDEX('Адреса общежитий (скрытый)'!$B$2:$B$9, MATCH(W442, 'Адреса общежитий (скрытый)'!$A$2:$A$9, 0)), "")</f>
        <v/>
      </c>
      <c r="Y442" s="18"/>
      <c r="Z442" s="18"/>
      <c r="AA442" s="18"/>
      <c r="AB442" s="18"/>
      <c r="AC442" s="18"/>
    </row>
    <row r="443" spans="1:29" ht="32.25" customHeight="1">
      <c r="A443" s="8">
        <v>2313312</v>
      </c>
      <c r="B443" s="9" t="s">
        <v>13284</v>
      </c>
      <c r="C443" s="9" t="s">
        <v>13284</v>
      </c>
      <c r="D443" s="9" t="s">
        <v>13284</v>
      </c>
      <c r="E443" s="9" t="s">
        <v>13284</v>
      </c>
      <c r="F443" s="9" t="s">
        <v>13284</v>
      </c>
      <c r="G443" s="9" t="s">
        <v>13284</v>
      </c>
      <c r="H443" s="9" t="s">
        <v>13284</v>
      </c>
      <c r="I443" s="9" t="s">
        <v>13284</v>
      </c>
      <c r="J443" s="9" t="s">
        <v>13284</v>
      </c>
      <c r="K443" s="9" t="s">
        <v>13284</v>
      </c>
      <c r="L443" s="9" t="s">
        <v>13284</v>
      </c>
      <c r="M443" s="9" t="s">
        <v>13284</v>
      </c>
      <c r="N443" s="9" t="s">
        <v>13284</v>
      </c>
      <c r="O443" s="9" t="s">
        <v>13284</v>
      </c>
      <c r="P443" s="9" t="s">
        <v>13284</v>
      </c>
      <c r="Q443" s="9" t="s">
        <v>13284</v>
      </c>
      <c r="R443" s="9" t="s">
        <v>13284</v>
      </c>
      <c r="S443" s="9" t="s">
        <v>13284</v>
      </c>
      <c r="T443" s="9" t="str">
        <f ca="1">IFERROR(IF(AND(VLOOKUP(A443, 'Актуальное состояние (из общего'!A:C,3,0) = "", A443 &lt;&gt; ""), "ПРОВЕРИТЬ", VLOOKUP(A443, 'Актуальное состояние (из общего'!A:C,3,0)), "")</f>
        <v>Студент</v>
      </c>
      <c r="U443" s="9" t="s">
        <v>13284</v>
      </c>
      <c r="V443" s="9" t="s">
        <v>13284</v>
      </c>
      <c r="W443" s="12"/>
      <c r="X443" s="9" t="str">
        <f t="array" ref="X443">IFERROR(INDEX('Адреса общежитий (скрытый)'!$B$2:$B$9, MATCH(W443, 'Адреса общежитий (скрытый)'!$A$2:$A$9, 0)), "")</f>
        <v/>
      </c>
      <c r="Y443" s="18"/>
      <c r="Z443" s="18"/>
      <c r="AA443" s="18"/>
      <c r="AB443" s="18"/>
      <c r="AC443" s="18"/>
    </row>
    <row r="444" spans="1:29" ht="32.25" hidden="1" customHeight="1">
      <c r="A444" s="8">
        <v>2300808</v>
      </c>
      <c r="B444" s="9" t="s">
        <v>13284</v>
      </c>
      <c r="C444" s="9" t="s">
        <v>13284</v>
      </c>
      <c r="D444" s="9" t="s">
        <v>13284</v>
      </c>
      <c r="E444" s="9" t="s">
        <v>13284</v>
      </c>
      <c r="F444" s="9" t="s">
        <v>13284</v>
      </c>
      <c r="G444" s="9" t="s">
        <v>13284</v>
      </c>
      <c r="H444" s="9" t="s">
        <v>13284</v>
      </c>
      <c r="I444" s="9" t="s">
        <v>13284</v>
      </c>
      <c r="J444" s="9" t="s">
        <v>13284</v>
      </c>
      <c r="K444" s="9" t="s">
        <v>13284</v>
      </c>
      <c r="L444" s="9" t="s">
        <v>13284</v>
      </c>
      <c r="M444" s="9" t="s">
        <v>13284</v>
      </c>
      <c r="N444" s="9" t="s">
        <v>13284</v>
      </c>
      <c r="O444" s="9" t="s">
        <v>13284</v>
      </c>
      <c r="P444" s="9" t="s">
        <v>13284</v>
      </c>
      <c r="Q444" s="9" t="s">
        <v>13284</v>
      </c>
      <c r="R444" s="9" t="s">
        <v>13284</v>
      </c>
      <c r="S444" s="9" t="s">
        <v>13284</v>
      </c>
      <c r="T444" s="9" t="str">
        <f ca="1">IFERROR(IF(AND(VLOOKUP(A444, 'Актуальное состояние (из общего'!A:C,3,0) = "", A444 &lt;&gt; ""), "ПРОВЕРИТЬ", VLOOKUP(A444, 'Актуальное состояние (из общего'!A:C,3,0)), "")</f>
        <v>Студент</v>
      </c>
      <c r="U444" s="9" t="s">
        <v>13284</v>
      </c>
      <c r="V444" s="9" t="s">
        <v>13284</v>
      </c>
      <c r="W444" s="12"/>
      <c r="X444" s="9" t="str">
        <f t="array" ref="X444">IFERROR(INDEX('Адреса общежитий (скрытый)'!$B$2:$B$9, MATCH(W444, 'Адреса общежитий (скрытый)'!$A$2:$A$9, 0)), "")</f>
        <v/>
      </c>
      <c r="Y444" s="18"/>
      <c r="Z444" s="18"/>
      <c r="AA444" s="18"/>
      <c r="AB444" s="18"/>
      <c r="AC444" s="18"/>
    </row>
    <row r="445" spans="1:29" ht="32.25" customHeight="1">
      <c r="A445" s="8">
        <v>2306572</v>
      </c>
      <c r="B445" s="9" t="s">
        <v>13284</v>
      </c>
      <c r="C445" s="9" t="s">
        <v>13284</v>
      </c>
      <c r="D445" s="9" t="s">
        <v>13284</v>
      </c>
      <c r="E445" s="9" t="s">
        <v>13284</v>
      </c>
      <c r="F445" s="9" t="s">
        <v>13284</v>
      </c>
      <c r="G445" s="9" t="s">
        <v>13284</v>
      </c>
      <c r="H445" s="9" t="s">
        <v>13284</v>
      </c>
      <c r="I445" s="9" t="s">
        <v>13284</v>
      </c>
      <c r="J445" s="9" t="s">
        <v>13284</v>
      </c>
      <c r="K445" s="9" t="s">
        <v>13284</v>
      </c>
      <c r="L445" s="9" t="s">
        <v>13284</v>
      </c>
      <c r="M445" s="9" t="s">
        <v>13284</v>
      </c>
      <c r="N445" s="9" t="s">
        <v>13284</v>
      </c>
      <c r="O445" s="9" t="s">
        <v>13284</v>
      </c>
      <c r="P445" s="9" t="s">
        <v>13284</v>
      </c>
      <c r="Q445" s="9" t="s">
        <v>13284</v>
      </c>
      <c r="R445" s="9" t="s">
        <v>13284</v>
      </c>
      <c r="S445" s="9" t="s">
        <v>13284</v>
      </c>
      <c r="T445" s="9" t="str">
        <f ca="1">IFERROR(IF(AND(VLOOKUP(A445, 'Актуальное состояние (из общего'!A:C,3,0) = "", A445 &lt;&gt; ""), "ПРОВЕРИТЬ", VLOOKUP(A445, 'Актуальное состояние (из общего'!A:C,3,0)), "")</f>
        <v>Студент</v>
      </c>
      <c r="U445" s="9" t="s">
        <v>13284</v>
      </c>
      <c r="V445" s="9" t="s">
        <v>13284</v>
      </c>
      <c r="W445" s="12"/>
      <c r="X445" s="9" t="str">
        <f t="array" ref="X445">IFERROR(INDEX('Адреса общежитий (скрытый)'!$B$2:$B$9, MATCH(W445, 'Адреса общежитий (скрытый)'!$A$2:$A$9, 0)), "")</f>
        <v/>
      </c>
      <c r="Y445" s="18"/>
      <c r="Z445" s="18"/>
      <c r="AA445" s="18"/>
      <c r="AB445" s="18"/>
      <c r="AC445" s="18"/>
    </row>
    <row r="446" spans="1:29" ht="32.25" customHeight="1">
      <c r="A446" s="8">
        <v>2302496</v>
      </c>
      <c r="B446" s="9" t="s">
        <v>13284</v>
      </c>
      <c r="C446" s="9" t="s">
        <v>13284</v>
      </c>
      <c r="D446" s="9" t="s">
        <v>13284</v>
      </c>
      <c r="E446" s="9" t="s">
        <v>13284</v>
      </c>
      <c r="F446" s="9" t="s">
        <v>13284</v>
      </c>
      <c r="G446" s="9" t="s">
        <v>13284</v>
      </c>
      <c r="H446" s="9" t="s">
        <v>13284</v>
      </c>
      <c r="I446" s="9" t="s">
        <v>13284</v>
      </c>
      <c r="J446" s="9" t="s">
        <v>13284</v>
      </c>
      <c r="K446" s="9" t="s">
        <v>13284</v>
      </c>
      <c r="L446" s="9" t="s">
        <v>13284</v>
      </c>
      <c r="M446" s="9" t="s">
        <v>13284</v>
      </c>
      <c r="N446" s="9" t="s">
        <v>13284</v>
      </c>
      <c r="O446" s="9" t="s">
        <v>13284</v>
      </c>
      <c r="P446" s="9" t="s">
        <v>13284</v>
      </c>
      <c r="Q446" s="9" t="s">
        <v>13284</v>
      </c>
      <c r="R446" s="9" t="s">
        <v>13284</v>
      </c>
      <c r="S446" s="9" t="s">
        <v>13284</v>
      </c>
      <c r="T446" s="9" t="str">
        <f ca="1">IFERROR(IF(AND(VLOOKUP(A446, 'Актуальное состояние (из общего'!A:C,3,0) = "", A446 &lt;&gt; ""), "ПРОВЕРИТЬ", VLOOKUP(A446, 'Актуальное состояние (из общего'!A:C,3,0)), "")</f>
        <v>Студент</v>
      </c>
      <c r="U446" s="9" t="s">
        <v>13284</v>
      </c>
      <c r="V446" s="9" t="s">
        <v>13284</v>
      </c>
      <c r="W446" s="12"/>
      <c r="X446" s="9" t="str">
        <f t="array" ref="X446">IFERROR(INDEX('Адреса общежитий (скрытый)'!$B$2:$B$9, MATCH(W446, 'Адреса общежитий (скрытый)'!$A$2:$A$9, 0)), "")</f>
        <v/>
      </c>
      <c r="Y446" s="18"/>
      <c r="Z446" s="18"/>
      <c r="AA446" s="18"/>
      <c r="AB446" s="18"/>
      <c r="AC446" s="18"/>
    </row>
    <row r="447" spans="1:29" ht="32.25" customHeight="1">
      <c r="A447" s="8">
        <v>2308202</v>
      </c>
      <c r="B447" s="9" t="s">
        <v>13284</v>
      </c>
      <c r="C447" s="9" t="s">
        <v>13284</v>
      </c>
      <c r="D447" s="9" t="s">
        <v>13284</v>
      </c>
      <c r="E447" s="9" t="s">
        <v>13284</v>
      </c>
      <c r="F447" s="9" t="s">
        <v>13284</v>
      </c>
      <c r="G447" s="9" t="s">
        <v>13284</v>
      </c>
      <c r="H447" s="9" t="s">
        <v>13284</v>
      </c>
      <c r="I447" s="9" t="s">
        <v>13284</v>
      </c>
      <c r="J447" s="9" t="s">
        <v>13284</v>
      </c>
      <c r="K447" s="9" t="s">
        <v>13284</v>
      </c>
      <c r="L447" s="9" t="s">
        <v>13284</v>
      </c>
      <c r="M447" s="9" t="s">
        <v>13284</v>
      </c>
      <c r="N447" s="9" t="s">
        <v>13284</v>
      </c>
      <c r="O447" s="9" t="s">
        <v>13284</v>
      </c>
      <c r="P447" s="9" t="s">
        <v>13284</v>
      </c>
      <c r="Q447" s="9" t="s">
        <v>13284</v>
      </c>
      <c r="R447" s="9" t="s">
        <v>13284</v>
      </c>
      <c r="S447" s="9" t="s">
        <v>13284</v>
      </c>
      <c r="T447" s="9" t="str">
        <f ca="1">IFERROR(IF(AND(VLOOKUP(A447, 'Актуальное состояние (из общего'!A:C,3,0) = "", A447 &lt;&gt; ""), "ПРОВЕРИТЬ", VLOOKUP(A447, 'Актуальное состояние (из общего'!A:C,3,0)), "")</f>
        <v>Студент</v>
      </c>
      <c r="U447" s="9" t="s">
        <v>13284</v>
      </c>
      <c r="V447" s="9" t="s">
        <v>13284</v>
      </c>
      <c r="W447" s="12"/>
      <c r="X447" s="9" t="str">
        <f t="array" ref="X447">IFERROR(INDEX('Адреса общежитий (скрытый)'!$B$2:$B$9, MATCH(W447, 'Адреса общежитий (скрытый)'!$A$2:$A$9, 0)), "")</f>
        <v/>
      </c>
      <c r="Y447" s="18"/>
      <c r="Z447" s="18"/>
      <c r="AA447" s="18"/>
      <c r="AB447" s="18"/>
      <c r="AC447" s="18"/>
    </row>
    <row r="448" spans="1:29" ht="32.25" hidden="1" customHeight="1">
      <c r="A448" s="8">
        <v>2308153</v>
      </c>
      <c r="B448" s="9" t="s">
        <v>13284</v>
      </c>
      <c r="C448" s="9" t="s">
        <v>13284</v>
      </c>
      <c r="D448" s="9" t="s">
        <v>13284</v>
      </c>
      <c r="E448" s="9" t="s">
        <v>13284</v>
      </c>
      <c r="F448" s="9" t="s">
        <v>13284</v>
      </c>
      <c r="G448" s="9" t="s">
        <v>13284</v>
      </c>
      <c r="H448" s="9" t="s">
        <v>13284</v>
      </c>
      <c r="I448" s="9" t="s">
        <v>13284</v>
      </c>
      <c r="J448" s="9" t="s">
        <v>13284</v>
      </c>
      <c r="K448" s="9" t="s">
        <v>13284</v>
      </c>
      <c r="L448" s="9" t="s">
        <v>13284</v>
      </c>
      <c r="M448" s="9" t="s">
        <v>13284</v>
      </c>
      <c r="N448" s="9" t="s">
        <v>13284</v>
      </c>
      <c r="O448" s="9" t="s">
        <v>13284</v>
      </c>
      <c r="P448" s="9" t="s">
        <v>13284</v>
      </c>
      <c r="Q448" s="9" t="s">
        <v>13284</v>
      </c>
      <c r="R448" s="9" t="s">
        <v>13284</v>
      </c>
      <c r="S448" s="9" t="s">
        <v>13284</v>
      </c>
      <c r="T448" s="9" t="str">
        <f ca="1">IFERROR(IF(AND(VLOOKUP(A448, 'Актуальное состояние (из общего'!A:C,3,0) = "", A448 &lt;&gt; ""), "ПРОВЕРИТЬ", VLOOKUP(A448, 'Актуальное состояние (из общего'!A:C,3,0)), "")</f>
        <v>Студент</v>
      </c>
      <c r="U448" s="9" t="s">
        <v>13284</v>
      </c>
      <c r="V448" s="9" t="s">
        <v>13284</v>
      </c>
      <c r="W448" s="12"/>
      <c r="X448" s="9" t="str">
        <f t="array" ref="X448">IFERROR(INDEX('Адреса общежитий (скрытый)'!$B$2:$B$9, MATCH(W448, 'Адреса общежитий (скрытый)'!$A$2:$A$9, 0)), "")</f>
        <v/>
      </c>
      <c r="Y448" s="18"/>
      <c r="Z448" s="18"/>
      <c r="AA448" s="18"/>
      <c r="AB448" s="18"/>
      <c r="AC448" s="18"/>
    </row>
    <row r="449" spans="1:29" ht="32.25" hidden="1" customHeight="1">
      <c r="A449" s="8">
        <v>2303314</v>
      </c>
      <c r="B449" s="9" t="s">
        <v>13284</v>
      </c>
      <c r="C449" s="9" t="s">
        <v>13284</v>
      </c>
      <c r="D449" s="9" t="s">
        <v>13284</v>
      </c>
      <c r="E449" s="9" t="s">
        <v>13284</v>
      </c>
      <c r="F449" s="9" t="s">
        <v>13284</v>
      </c>
      <c r="G449" s="9" t="s">
        <v>13284</v>
      </c>
      <c r="H449" s="9" t="s">
        <v>13284</v>
      </c>
      <c r="I449" s="9" t="s">
        <v>13284</v>
      </c>
      <c r="J449" s="9" t="s">
        <v>13284</v>
      </c>
      <c r="K449" s="9" t="s">
        <v>13284</v>
      </c>
      <c r="L449" s="9" t="s">
        <v>13284</v>
      </c>
      <c r="M449" s="9" t="s">
        <v>13284</v>
      </c>
      <c r="N449" s="9" t="s">
        <v>13284</v>
      </c>
      <c r="O449" s="9" t="s">
        <v>13284</v>
      </c>
      <c r="P449" s="9" t="s">
        <v>13284</v>
      </c>
      <c r="Q449" s="9" t="s">
        <v>13284</v>
      </c>
      <c r="R449" s="9" t="s">
        <v>13284</v>
      </c>
      <c r="S449" s="9" t="s">
        <v>13284</v>
      </c>
      <c r="T449" s="9" t="str">
        <f ca="1">IFERROR(IF(AND(VLOOKUP(A449, 'Актуальное состояние (из общего'!A:C,3,0) = "", A449 &lt;&gt; ""), "ПРОВЕРИТЬ", VLOOKUP(A449, 'Актуальное состояние (из общего'!A:C,3,0)), "")</f>
        <v>Студент</v>
      </c>
      <c r="U449" s="9" t="s">
        <v>13284</v>
      </c>
      <c r="V449" s="9" t="s">
        <v>13284</v>
      </c>
      <c r="W449" s="12"/>
      <c r="X449" s="9" t="str">
        <f t="array" ref="X449">IFERROR(INDEX('Адреса общежитий (скрытый)'!$B$2:$B$9, MATCH(W449, 'Адреса общежитий (скрытый)'!$A$2:$A$9, 0)), "")</f>
        <v/>
      </c>
      <c r="Y449" s="18"/>
      <c r="Z449" s="18"/>
      <c r="AA449" s="18"/>
      <c r="AB449" s="18"/>
      <c r="AC449" s="18"/>
    </row>
    <row r="450" spans="1:29" ht="32.25" customHeight="1">
      <c r="A450" s="8">
        <v>2303843</v>
      </c>
      <c r="B450" s="9" t="s">
        <v>13284</v>
      </c>
      <c r="C450" s="9" t="s">
        <v>13284</v>
      </c>
      <c r="D450" s="9" t="s">
        <v>13284</v>
      </c>
      <c r="E450" s="9" t="s">
        <v>13284</v>
      </c>
      <c r="F450" s="9" t="s">
        <v>13284</v>
      </c>
      <c r="G450" s="9" t="s">
        <v>13284</v>
      </c>
      <c r="H450" s="9" t="s">
        <v>13284</v>
      </c>
      <c r="I450" s="9" t="s">
        <v>13284</v>
      </c>
      <c r="J450" s="9" t="s">
        <v>13284</v>
      </c>
      <c r="K450" s="9" t="s">
        <v>13284</v>
      </c>
      <c r="L450" s="9" t="s">
        <v>13284</v>
      </c>
      <c r="M450" s="9" t="s">
        <v>13284</v>
      </c>
      <c r="N450" s="9" t="s">
        <v>13284</v>
      </c>
      <c r="O450" s="9" t="s">
        <v>13284</v>
      </c>
      <c r="P450" s="9" t="s">
        <v>13284</v>
      </c>
      <c r="Q450" s="9" t="s">
        <v>13284</v>
      </c>
      <c r="R450" s="9" t="s">
        <v>13284</v>
      </c>
      <c r="S450" s="9" t="s">
        <v>13284</v>
      </c>
      <c r="T450" s="9" t="str">
        <f ca="1">IFERROR(IF(AND(VLOOKUP(A450, 'Актуальное состояние (из общего'!A:C,3,0) = "", A450 &lt;&gt; ""), "ПРОВЕРИТЬ", VLOOKUP(A450, 'Актуальное состояние (из общего'!A:C,3,0)), "")</f>
        <v>Студент</v>
      </c>
      <c r="U450" s="9" t="s">
        <v>13284</v>
      </c>
      <c r="V450" s="9" t="s">
        <v>13284</v>
      </c>
      <c r="W450" s="12"/>
      <c r="X450" s="9" t="str">
        <f t="array" ref="X450">IFERROR(INDEX('Адреса общежитий (скрытый)'!$B$2:$B$9, MATCH(W450, 'Адреса общежитий (скрытый)'!$A$2:$A$9, 0)), "")</f>
        <v/>
      </c>
      <c r="Y450" s="18"/>
      <c r="Z450" s="18"/>
      <c r="AA450" s="18"/>
      <c r="AB450" s="18"/>
      <c r="AC450" s="18"/>
    </row>
    <row r="451" spans="1:29" ht="32.25" customHeight="1">
      <c r="A451" s="8">
        <v>2310244</v>
      </c>
      <c r="B451" s="9" t="s">
        <v>13284</v>
      </c>
      <c r="C451" s="9" t="s">
        <v>13284</v>
      </c>
      <c r="D451" s="9" t="s">
        <v>13284</v>
      </c>
      <c r="E451" s="9" t="s">
        <v>13284</v>
      </c>
      <c r="F451" s="9" t="s">
        <v>13284</v>
      </c>
      <c r="G451" s="9" t="s">
        <v>13284</v>
      </c>
      <c r="H451" s="9" t="s">
        <v>13284</v>
      </c>
      <c r="I451" s="9" t="s">
        <v>13284</v>
      </c>
      <c r="J451" s="9" t="s">
        <v>13284</v>
      </c>
      <c r="K451" s="9" t="s">
        <v>13284</v>
      </c>
      <c r="L451" s="9" t="s">
        <v>13284</v>
      </c>
      <c r="M451" s="9" t="s">
        <v>13284</v>
      </c>
      <c r="N451" s="9" t="s">
        <v>13284</v>
      </c>
      <c r="O451" s="9" t="s">
        <v>13284</v>
      </c>
      <c r="P451" s="9" t="s">
        <v>13284</v>
      </c>
      <c r="Q451" s="9" t="s">
        <v>13284</v>
      </c>
      <c r="R451" s="9" t="s">
        <v>13284</v>
      </c>
      <c r="S451" s="9" t="s">
        <v>13284</v>
      </c>
      <c r="T451" s="9" t="str">
        <f ca="1">IFERROR(IF(AND(VLOOKUP(A451, 'Актуальное состояние (из общего'!A:C,3,0) = "", A451 &lt;&gt; ""), "ПРОВЕРИТЬ", VLOOKUP(A451, 'Актуальное состояние (из общего'!A:C,3,0)), "")</f>
        <v>Студент</v>
      </c>
      <c r="U451" s="9" t="s">
        <v>13284</v>
      </c>
      <c r="V451" s="9" t="s">
        <v>13284</v>
      </c>
      <c r="W451" s="12"/>
      <c r="X451" s="9" t="str">
        <f t="array" ref="X451">IFERROR(INDEX('Адреса общежитий (скрытый)'!$B$2:$B$9, MATCH(W451, 'Адреса общежитий (скрытый)'!$A$2:$A$9, 0)), "")</f>
        <v/>
      </c>
      <c r="Y451" s="18"/>
      <c r="Z451" s="18"/>
      <c r="AA451" s="18"/>
      <c r="AB451" s="18"/>
      <c r="AC451" s="18"/>
    </row>
    <row r="452" spans="1:29" ht="32.25" customHeight="1">
      <c r="A452" s="8">
        <v>2305331</v>
      </c>
      <c r="B452" s="9" t="s">
        <v>13284</v>
      </c>
      <c r="C452" s="9" t="s">
        <v>13284</v>
      </c>
      <c r="D452" s="9" t="s">
        <v>13284</v>
      </c>
      <c r="E452" s="9" t="s">
        <v>13284</v>
      </c>
      <c r="F452" s="9" t="s">
        <v>13284</v>
      </c>
      <c r="G452" s="9" t="s">
        <v>13284</v>
      </c>
      <c r="H452" s="9" t="s">
        <v>13284</v>
      </c>
      <c r="I452" s="9" t="s">
        <v>13284</v>
      </c>
      <c r="J452" s="9" t="s">
        <v>13284</v>
      </c>
      <c r="K452" s="9" t="s">
        <v>13284</v>
      </c>
      <c r="L452" s="9" t="s">
        <v>13284</v>
      </c>
      <c r="M452" s="9" t="s">
        <v>13284</v>
      </c>
      <c r="N452" s="9" t="s">
        <v>13284</v>
      </c>
      <c r="O452" s="9" t="s">
        <v>13284</v>
      </c>
      <c r="P452" s="9" t="s">
        <v>13284</v>
      </c>
      <c r="Q452" s="9" t="s">
        <v>13284</v>
      </c>
      <c r="R452" s="9" t="s">
        <v>13284</v>
      </c>
      <c r="S452" s="9" t="s">
        <v>13284</v>
      </c>
      <c r="T452" s="9" t="str">
        <f ca="1">IFERROR(IF(AND(VLOOKUP(A452, 'Актуальное состояние (из общего'!A:C,3,0) = "", A452 &lt;&gt; ""), "ПРОВЕРИТЬ", VLOOKUP(A452, 'Актуальное состояние (из общего'!A:C,3,0)), "")</f>
        <v>Студент</v>
      </c>
      <c r="U452" s="9" t="s">
        <v>13284</v>
      </c>
      <c r="V452" s="9" t="s">
        <v>13284</v>
      </c>
      <c r="W452" s="12"/>
      <c r="X452" s="9" t="str">
        <f t="array" ref="X452">IFERROR(INDEX('Адреса общежитий (скрытый)'!$B$2:$B$9, MATCH(W452, 'Адреса общежитий (скрытый)'!$A$2:$A$9, 0)), "")</f>
        <v/>
      </c>
      <c r="Y452" s="18"/>
      <c r="Z452" s="18"/>
      <c r="AA452" s="18"/>
      <c r="AB452" s="18"/>
      <c r="AC452" s="18"/>
    </row>
    <row r="453" spans="1:29" ht="32.25" hidden="1" customHeight="1">
      <c r="A453" s="8">
        <v>2303246</v>
      </c>
      <c r="B453" s="9" t="s">
        <v>13284</v>
      </c>
      <c r="C453" s="9" t="s">
        <v>13284</v>
      </c>
      <c r="D453" s="9" t="s">
        <v>13284</v>
      </c>
      <c r="E453" s="9" t="s">
        <v>13284</v>
      </c>
      <c r="F453" s="9" t="s">
        <v>13284</v>
      </c>
      <c r="G453" s="9" t="s">
        <v>13284</v>
      </c>
      <c r="H453" s="9" t="s">
        <v>13284</v>
      </c>
      <c r="I453" s="9" t="s">
        <v>13284</v>
      </c>
      <c r="J453" s="9" t="s">
        <v>13284</v>
      </c>
      <c r="K453" s="9" t="s">
        <v>13284</v>
      </c>
      <c r="L453" s="9" t="s">
        <v>13284</v>
      </c>
      <c r="M453" s="9" t="s">
        <v>13284</v>
      </c>
      <c r="N453" s="9" t="s">
        <v>13284</v>
      </c>
      <c r="O453" s="9" t="s">
        <v>13284</v>
      </c>
      <c r="P453" s="9" t="s">
        <v>13284</v>
      </c>
      <c r="Q453" s="9" t="s">
        <v>13284</v>
      </c>
      <c r="R453" s="9" t="s">
        <v>13284</v>
      </c>
      <c r="S453" s="9" t="s">
        <v>13284</v>
      </c>
      <c r="T453" s="9" t="str">
        <f ca="1">IFERROR(IF(AND(VLOOKUP(A453, 'Актуальное состояние (из общего'!A:C,3,0) = "", A453 &lt;&gt; ""), "ПРОВЕРИТЬ", VLOOKUP(A453, 'Актуальное состояние (из общего'!A:C,3,0)), "")</f>
        <v>Студент</v>
      </c>
      <c r="U453" s="9" t="s">
        <v>13284</v>
      </c>
      <c r="V453" s="9" t="s">
        <v>13284</v>
      </c>
      <c r="W453" s="12"/>
      <c r="X453" s="9" t="str">
        <f t="array" ref="X453">IFERROR(INDEX('Адреса общежитий (скрытый)'!$B$2:$B$9, MATCH(W453, 'Адреса общежитий (скрытый)'!$A$2:$A$9, 0)), "")</f>
        <v/>
      </c>
      <c r="Y453" s="18"/>
      <c r="Z453" s="18"/>
      <c r="AA453" s="18"/>
      <c r="AB453" s="18"/>
      <c r="AC453" s="18"/>
    </row>
    <row r="454" spans="1:29" ht="32.25" customHeight="1">
      <c r="A454" s="8">
        <v>2313196</v>
      </c>
      <c r="B454" s="9" t="s">
        <v>13284</v>
      </c>
      <c r="C454" s="9" t="s">
        <v>13284</v>
      </c>
      <c r="D454" s="9" t="s">
        <v>13284</v>
      </c>
      <c r="E454" s="9" t="s">
        <v>13284</v>
      </c>
      <c r="F454" s="9" t="s">
        <v>13284</v>
      </c>
      <c r="G454" s="9" t="s">
        <v>13284</v>
      </c>
      <c r="H454" s="9" t="s">
        <v>13284</v>
      </c>
      <c r="I454" s="9" t="s">
        <v>13284</v>
      </c>
      <c r="J454" s="9" t="s">
        <v>13284</v>
      </c>
      <c r="K454" s="9" t="s">
        <v>13284</v>
      </c>
      <c r="L454" s="9" t="s">
        <v>13284</v>
      </c>
      <c r="M454" s="9" t="s">
        <v>13284</v>
      </c>
      <c r="N454" s="9" t="s">
        <v>13284</v>
      </c>
      <c r="O454" s="9" t="s">
        <v>13284</v>
      </c>
      <c r="P454" s="9" t="s">
        <v>13284</v>
      </c>
      <c r="Q454" s="9" t="s">
        <v>13284</v>
      </c>
      <c r="R454" s="9" t="s">
        <v>13284</v>
      </c>
      <c r="S454" s="9" t="s">
        <v>13284</v>
      </c>
      <c r="T454" s="9" t="str">
        <f ca="1">IFERROR(IF(AND(VLOOKUP(A454, 'Актуальное состояние (из общего'!A:C,3,0) = "", A454 &lt;&gt; ""), "ПРОВЕРИТЬ", VLOOKUP(A454, 'Актуальное состояние (из общего'!A:C,3,0)), "")</f>
        <v>Студент</v>
      </c>
      <c r="U454" s="9" t="s">
        <v>13284</v>
      </c>
      <c r="V454" s="9" t="s">
        <v>13284</v>
      </c>
      <c r="W454" s="12"/>
      <c r="X454" s="9" t="str">
        <f t="array" ref="X454">IFERROR(INDEX('Адреса общежитий (скрытый)'!$B$2:$B$9, MATCH(W454, 'Адреса общежитий (скрытый)'!$A$2:$A$9, 0)), "")</f>
        <v/>
      </c>
      <c r="Y454" s="18"/>
      <c r="Z454" s="18"/>
      <c r="AA454" s="18"/>
      <c r="AB454" s="18"/>
      <c r="AC454" s="18"/>
    </row>
    <row r="455" spans="1:29" ht="32.25" customHeight="1">
      <c r="A455" s="8">
        <v>2310208</v>
      </c>
      <c r="B455" s="9" t="s">
        <v>13284</v>
      </c>
      <c r="C455" s="9" t="s">
        <v>13284</v>
      </c>
      <c r="D455" s="9" t="s">
        <v>13284</v>
      </c>
      <c r="E455" s="9" t="s">
        <v>13284</v>
      </c>
      <c r="F455" s="9" t="s">
        <v>13284</v>
      </c>
      <c r="G455" s="9" t="s">
        <v>13284</v>
      </c>
      <c r="H455" s="9" t="s">
        <v>13284</v>
      </c>
      <c r="I455" s="9" t="s">
        <v>13284</v>
      </c>
      <c r="J455" s="9" t="s">
        <v>13284</v>
      </c>
      <c r="K455" s="9" t="s">
        <v>13284</v>
      </c>
      <c r="L455" s="9" t="s">
        <v>13284</v>
      </c>
      <c r="M455" s="9" t="s">
        <v>13284</v>
      </c>
      <c r="N455" s="9" t="s">
        <v>13284</v>
      </c>
      <c r="O455" s="9" t="s">
        <v>13284</v>
      </c>
      <c r="P455" s="9" t="s">
        <v>13284</v>
      </c>
      <c r="Q455" s="9" t="s">
        <v>13284</v>
      </c>
      <c r="R455" s="9" t="s">
        <v>13284</v>
      </c>
      <c r="S455" s="9" t="s">
        <v>13284</v>
      </c>
      <c r="T455" s="9" t="str">
        <f ca="1">IFERROR(IF(AND(VLOOKUP(A455, 'Актуальное состояние (из общего'!A:C,3,0) = "", A455 &lt;&gt; ""), "ПРОВЕРИТЬ", VLOOKUP(A455, 'Актуальное состояние (из общего'!A:C,3,0)), "")</f>
        <v>Студент</v>
      </c>
      <c r="U455" s="9" t="s">
        <v>13284</v>
      </c>
      <c r="V455" s="9" t="s">
        <v>13284</v>
      </c>
      <c r="W455" s="12"/>
      <c r="X455" s="9" t="str">
        <f t="array" ref="X455">IFERROR(INDEX('Адреса общежитий (скрытый)'!$B$2:$B$9, MATCH(W455, 'Адреса общежитий (скрытый)'!$A$2:$A$9, 0)), "")</f>
        <v/>
      </c>
      <c r="Y455" s="18"/>
      <c r="Z455" s="18"/>
      <c r="AA455" s="18"/>
      <c r="AB455" s="18"/>
      <c r="AC455" s="18"/>
    </row>
    <row r="456" spans="1:29" ht="32.25" hidden="1" customHeight="1">
      <c r="A456" s="8">
        <v>2309209</v>
      </c>
      <c r="B456" s="9" t="s">
        <v>13284</v>
      </c>
      <c r="C456" s="9" t="s">
        <v>13284</v>
      </c>
      <c r="D456" s="9" t="s">
        <v>13284</v>
      </c>
      <c r="E456" s="9" t="s">
        <v>13284</v>
      </c>
      <c r="F456" s="9" t="s">
        <v>13284</v>
      </c>
      <c r="G456" s="9" t="s">
        <v>13284</v>
      </c>
      <c r="H456" s="9" t="s">
        <v>13284</v>
      </c>
      <c r="I456" s="9" t="s">
        <v>13284</v>
      </c>
      <c r="J456" s="9" t="s">
        <v>13284</v>
      </c>
      <c r="K456" s="9" t="s">
        <v>13284</v>
      </c>
      <c r="L456" s="9" t="s">
        <v>13284</v>
      </c>
      <c r="M456" s="9" t="s">
        <v>13284</v>
      </c>
      <c r="N456" s="9" t="s">
        <v>13284</v>
      </c>
      <c r="O456" s="9" t="s">
        <v>13284</v>
      </c>
      <c r="P456" s="9" t="s">
        <v>13284</v>
      </c>
      <c r="Q456" s="9" t="s">
        <v>13284</v>
      </c>
      <c r="R456" s="9" t="s">
        <v>13284</v>
      </c>
      <c r="S456" s="9" t="s">
        <v>13284</v>
      </c>
      <c r="T456" s="9" t="str">
        <f ca="1">IFERROR(IF(AND(VLOOKUP(A456, 'Актуальное состояние (из общего'!A:C,3,0) = "", A456 &lt;&gt; ""), "ПРОВЕРИТЬ", VLOOKUP(A456, 'Актуальное состояние (из общего'!A:C,3,0)), "")</f>
        <v>Студент</v>
      </c>
      <c r="U456" s="9" t="s">
        <v>13284</v>
      </c>
      <c r="V456" s="9" t="s">
        <v>13284</v>
      </c>
      <c r="W456" s="12"/>
      <c r="X456" s="9" t="str">
        <f t="array" ref="X456">IFERROR(INDEX('Адреса общежитий (скрытый)'!$B$2:$B$9, MATCH(W456, 'Адреса общежитий (скрытый)'!$A$2:$A$9, 0)), "")</f>
        <v/>
      </c>
      <c r="Y456" s="18"/>
      <c r="Z456" s="18"/>
      <c r="AA456" s="18"/>
      <c r="AB456" s="18"/>
      <c r="AC456" s="18"/>
    </row>
    <row r="457" spans="1:29" ht="32.25" customHeight="1">
      <c r="A457" s="8">
        <v>2302267</v>
      </c>
      <c r="B457" s="9" t="s">
        <v>13284</v>
      </c>
      <c r="C457" s="9" t="s">
        <v>13284</v>
      </c>
      <c r="D457" s="9" t="s">
        <v>13284</v>
      </c>
      <c r="E457" s="9" t="s">
        <v>13284</v>
      </c>
      <c r="F457" s="9" t="s">
        <v>13284</v>
      </c>
      <c r="G457" s="9" t="s">
        <v>13284</v>
      </c>
      <c r="H457" s="9" t="s">
        <v>13284</v>
      </c>
      <c r="I457" s="9" t="s">
        <v>13284</v>
      </c>
      <c r="J457" s="9" t="s">
        <v>13284</v>
      </c>
      <c r="K457" s="9" t="s">
        <v>13284</v>
      </c>
      <c r="L457" s="9" t="s">
        <v>13284</v>
      </c>
      <c r="M457" s="9" t="s">
        <v>13284</v>
      </c>
      <c r="N457" s="9" t="s">
        <v>13284</v>
      </c>
      <c r="O457" s="9" t="s">
        <v>13284</v>
      </c>
      <c r="P457" s="9" t="s">
        <v>13284</v>
      </c>
      <c r="Q457" s="9" t="s">
        <v>13284</v>
      </c>
      <c r="R457" s="9" t="s">
        <v>13284</v>
      </c>
      <c r="S457" s="9" t="s">
        <v>13284</v>
      </c>
      <c r="T457" s="9" t="str">
        <f ca="1">IFERROR(IF(AND(VLOOKUP(A457, 'Актуальное состояние (из общего'!A:C,3,0) = "", A457 &lt;&gt; ""), "ПРОВЕРИТЬ", VLOOKUP(A457, 'Актуальное состояние (из общего'!A:C,3,0)), "")</f>
        <v>Студент</v>
      </c>
      <c r="U457" s="9" t="s">
        <v>13284</v>
      </c>
      <c r="V457" s="9" t="s">
        <v>13284</v>
      </c>
      <c r="W457" s="12"/>
      <c r="X457" s="9" t="str">
        <f t="array" ref="X457">IFERROR(INDEX('Адреса общежитий (скрытый)'!$B$2:$B$9, MATCH(W457, 'Адреса общежитий (скрытый)'!$A$2:$A$9, 0)), "")</f>
        <v/>
      </c>
      <c r="Y457" s="18"/>
      <c r="Z457" s="18"/>
      <c r="AA457" s="18"/>
      <c r="AB457" s="18"/>
      <c r="AC457" s="18"/>
    </row>
    <row r="458" spans="1:29" ht="32.25" customHeight="1">
      <c r="A458" s="8">
        <v>2304878</v>
      </c>
      <c r="B458" s="9" t="s">
        <v>13284</v>
      </c>
      <c r="C458" s="9" t="s">
        <v>13284</v>
      </c>
      <c r="D458" s="9" t="s">
        <v>13284</v>
      </c>
      <c r="E458" s="9" t="s">
        <v>13284</v>
      </c>
      <c r="F458" s="9" t="s">
        <v>13284</v>
      </c>
      <c r="G458" s="9" t="s">
        <v>13284</v>
      </c>
      <c r="H458" s="9" t="s">
        <v>13284</v>
      </c>
      <c r="I458" s="9" t="s">
        <v>13284</v>
      </c>
      <c r="J458" s="9" t="s">
        <v>13284</v>
      </c>
      <c r="K458" s="9" t="s">
        <v>13284</v>
      </c>
      <c r="L458" s="9" t="s">
        <v>13284</v>
      </c>
      <c r="M458" s="9" t="s">
        <v>13284</v>
      </c>
      <c r="N458" s="9" t="s">
        <v>13284</v>
      </c>
      <c r="O458" s="9" t="s">
        <v>13284</v>
      </c>
      <c r="P458" s="9" t="s">
        <v>13284</v>
      </c>
      <c r="Q458" s="9" t="s">
        <v>13284</v>
      </c>
      <c r="R458" s="9" t="s">
        <v>13284</v>
      </c>
      <c r="S458" s="9" t="s">
        <v>13284</v>
      </c>
      <c r="T458" s="9" t="str">
        <f ca="1">IFERROR(IF(AND(VLOOKUP(A458, 'Актуальное состояние (из общего'!A:C,3,0) = "", A458 &lt;&gt; ""), "ПРОВЕРИТЬ", VLOOKUP(A458, 'Актуальное состояние (из общего'!A:C,3,0)), "")</f>
        <v>Студент</v>
      </c>
      <c r="U458" s="9" t="s">
        <v>13284</v>
      </c>
      <c r="V458" s="9" t="s">
        <v>13284</v>
      </c>
      <c r="W458" s="12"/>
      <c r="X458" s="9" t="str">
        <f t="array" ref="X458">IFERROR(INDEX('Адреса общежитий (скрытый)'!$B$2:$B$9, MATCH(W458, 'Адреса общежитий (скрытый)'!$A$2:$A$9, 0)), "")</f>
        <v/>
      </c>
      <c r="Y458" s="18"/>
      <c r="Z458" s="18"/>
      <c r="AA458" s="18"/>
      <c r="AB458" s="18"/>
      <c r="AC458" s="18"/>
    </row>
    <row r="459" spans="1:29" ht="32.25" customHeight="1">
      <c r="A459" s="8">
        <v>2310033</v>
      </c>
      <c r="B459" s="9" t="s">
        <v>13284</v>
      </c>
      <c r="C459" s="9" t="s">
        <v>13284</v>
      </c>
      <c r="D459" s="9" t="s">
        <v>13284</v>
      </c>
      <c r="E459" s="9" t="s">
        <v>13284</v>
      </c>
      <c r="F459" s="9" t="s">
        <v>13284</v>
      </c>
      <c r="G459" s="9" t="s">
        <v>13284</v>
      </c>
      <c r="H459" s="9" t="s">
        <v>13284</v>
      </c>
      <c r="I459" s="9" t="s">
        <v>13284</v>
      </c>
      <c r="J459" s="9" t="s">
        <v>13284</v>
      </c>
      <c r="K459" s="9" t="s">
        <v>13284</v>
      </c>
      <c r="L459" s="9" t="s">
        <v>13284</v>
      </c>
      <c r="M459" s="9" t="s">
        <v>13284</v>
      </c>
      <c r="N459" s="9" t="s">
        <v>13284</v>
      </c>
      <c r="O459" s="9" t="s">
        <v>13284</v>
      </c>
      <c r="P459" s="9" t="s">
        <v>13284</v>
      </c>
      <c r="Q459" s="9" t="s">
        <v>13284</v>
      </c>
      <c r="R459" s="9" t="s">
        <v>13284</v>
      </c>
      <c r="S459" s="9" t="s">
        <v>13284</v>
      </c>
      <c r="T459" s="9" t="str">
        <f ca="1">IFERROR(IF(AND(VLOOKUP(A459, 'Актуальное состояние (из общего'!A:C,3,0) = "", A459 &lt;&gt; ""), "ПРОВЕРИТЬ", VLOOKUP(A459, 'Актуальное состояние (из общего'!A:C,3,0)), "")</f>
        <v>Студент</v>
      </c>
      <c r="U459" s="9" t="s">
        <v>13284</v>
      </c>
      <c r="V459" s="9" t="s">
        <v>13284</v>
      </c>
      <c r="W459" s="12"/>
      <c r="X459" s="9" t="str">
        <f t="array" ref="X459">IFERROR(INDEX('Адреса общежитий (скрытый)'!$B$2:$B$9, MATCH(W459, 'Адреса общежитий (скрытый)'!$A$2:$A$9, 0)), "")</f>
        <v/>
      </c>
      <c r="Y459" s="18"/>
      <c r="Z459" s="18"/>
      <c r="AA459" s="18"/>
      <c r="AB459" s="18"/>
      <c r="AC459" s="18"/>
    </row>
    <row r="460" spans="1:29" ht="32.25" customHeight="1">
      <c r="A460" s="8">
        <v>2313483</v>
      </c>
      <c r="B460" s="9" t="s">
        <v>13284</v>
      </c>
      <c r="C460" s="9" t="s">
        <v>13284</v>
      </c>
      <c r="D460" s="9" t="s">
        <v>13284</v>
      </c>
      <c r="E460" s="9" t="s">
        <v>13284</v>
      </c>
      <c r="F460" s="9" t="s">
        <v>13284</v>
      </c>
      <c r="G460" s="9" t="s">
        <v>13284</v>
      </c>
      <c r="H460" s="9" t="s">
        <v>13284</v>
      </c>
      <c r="I460" s="9" t="s">
        <v>13284</v>
      </c>
      <c r="J460" s="9" t="s">
        <v>13284</v>
      </c>
      <c r="K460" s="9" t="s">
        <v>13284</v>
      </c>
      <c r="L460" s="9" t="s">
        <v>13284</v>
      </c>
      <c r="M460" s="9" t="s">
        <v>13284</v>
      </c>
      <c r="N460" s="9" t="s">
        <v>13284</v>
      </c>
      <c r="O460" s="9" t="s">
        <v>13284</v>
      </c>
      <c r="P460" s="9" t="s">
        <v>13284</v>
      </c>
      <c r="Q460" s="9" t="s">
        <v>13284</v>
      </c>
      <c r="R460" s="9" t="s">
        <v>13284</v>
      </c>
      <c r="S460" s="9" t="s">
        <v>13284</v>
      </c>
      <c r="T460" s="9" t="str">
        <f ca="1">IFERROR(IF(AND(VLOOKUP(A460, 'Актуальное состояние (из общего'!A:C,3,0) = "", A460 &lt;&gt; ""), "ПРОВЕРИТЬ", VLOOKUP(A460, 'Актуальное состояние (из общего'!A:C,3,0)), "")</f>
        <v>Студент</v>
      </c>
      <c r="U460" s="9" t="s">
        <v>13284</v>
      </c>
      <c r="V460" s="9" t="s">
        <v>13284</v>
      </c>
      <c r="W460" s="12"/>
      <c r="X460" s="9" t="str">
        <f t="array" ref="X460">IFERROR(INDEX('Адреса общежитий (скрытый)'!$B$2:$B$9, MATCH(W460, 'Адреса общежитий (скрытый)'!$A$2:$A$9, 0)), "")</f>
        <v/>
      </c>
      <c r="Y460" s="18"/>
      <c r="Z460" s="18"/>
      <c r="AA460" s="18"/>
      <c r="AB460" s="18"/>
      <c r="AC460" s="18"/>
    </row>
    <row r="461" spans="1:29" ht="32.25" customHeight="1">
      <c r="A461" s="8">
        <v>2302021</v>
      </c>
      <c r="B461" s="9" t="s">
        <v>13284</v>
      </c>
      <c r="C461" s="9" t="s">
        <v>13284</v>
      </c>
      <c r="D461" s="9" t="s">
        <v>13284</v>
      </c>
      <c r="E461" s="9" t="s">
        <v>13284</v>
      </c>
      <c r="F461" s="9" t="s">
        <v>13284</v>
      </c>
      <c r="G461" s="9" t="s">
        <v>13284</v>
      </c>
      <c r="H461" s="9" t="s">
        <v>13284</v>
      </c>
      <c r="I461" s="9" t="s">
        <v>13284</v>
      </c>
      <c r="J461" s="9" t="s">
        <v>13284</v>
      </c>
      <c r="K461" s="9" t="s">
        <v>13284</v>
      </c>
      <c r="L461" s="9" t="s">
        <v>13284</v>
      </c>
      <c r="M461" s="9" t="s">
        <v>13284</v>
      </c>
      <c r="N461" s="9" t="s">
        <v>13284</v>
      </c>
      <c r="O461" s="9" t="s">
        <v>13284</v>
      </c>
      <c r="P461" s="9" t="s">
        <v>13284</v>
      </c>
      <c r="Q461" s="9" t="s">
        <v>13284</v>
      </c>
      <c r="R461" s="9" t="s">
        <v>13284</v>
      </c>
      <c r="S461" s="9" t="s">
        <v>13284</v>
      </c>
      <c r="T461" s="9" t="str">
        <f ca="1">IFERROR(IF(AND(VLOOKUP(A461, 'Актуальное состояние (из общего'!A:C,3,0) = "", A461 &lt;&gt; ""), "ПРОВЕРИТЬ", VLOOKUP(A461, 'Актуальное состояние (из общего'!A:C,3,0)), "")</f>
        <v>Студент</v>
      </c>
      <c r="U461" s="9" t="s">
        <v>13284</v>
      </c>
      <c r="V461" s="9" t="s">
        <v>13284</v>
      </c>
      <c r="W461" s="12"/>
      <c r="X461" s="9" t="str">
        <f t="array" ref="X461">IFERROR(INDEX('Адреса общежитий (скрытый)'!$B$2:$B$9, MATCH(W461, 'Адреса общежитий (скрытый)'!$A$2:$A$9, 0)), "")</f>
        <v/>
      </c>
      <c r="Y461" s="18"/>
      <c r="Z461" s="18"/>
      <c r="AA461" s="18"/>
      <c r="AB461" s="18"/>
      <c r="AC461" s="18"/>
    </row>
    <row r="462" spans="1:29" ht="32.25" hidden="1" customHeight="1">
      <c r="A462" s="8">
        <v>2305864</v>
      </c>
      <c r="B462" s="9" t="s">
        <v>13284</v>
      </c>
      <c r="C462" s="9" t="s">
        <v>13284</v>
      </c>
      <c r="D462" s="9" t="s">
        <v>13284</v>
      </c>
      <c r="E462" s="9" t="s">
        <v>13284</v>
      </c>
      <c r="F462" s="9" t="s">
        <v>13284</v>
      </c>
      <c r="G462" s="9" t="s">
        <v>13284</v>
      </c>
      <c r="H462" s="9" t="s">
        <v>13284</v>
      </c>
      <c r="I462" s="9" t="s">
        <v>13284</v>
      </c>
      <c r="J462" s="9" t="s">
        <v>13284</v>
      </c>
      <c r="K462" s="9" t="s">
        <v>13284</v>
      </c>
      <c r="L462" s="9" t="s">
        <v>13284</v>
      </c>
      <c r="M462" s="9" t="s">
        <v>13284</v>
      </c>
      <c r="N462" s="9" t="s">
        <v>13284</v>
      </c>
      <c r="O462" s="9" t="s">
        <v>13284</v>
      </c>
      <c r="P462" s="9" t="s">
        <v>13284</v>
      </c>
      <c r="Q462" s="9" t="s">
        <v>13284</v>
      </c>
      <c r="R462" s="9" t="s">
        <v>13284</v>
      </c>
      <c r="S462" s="9" t="s">
        <v>13284</v>
      </c>
      <c r="T462" s="9" t="str">
        <f ca="1">IFERROR(IF(AND(VLOOKUP(A462, 'Актуальное состояние (из общего'!A:C,3,0) = "", A462 &lt;&gt; ""), "ПРОВЕРИТЬ", VLOOKUP(A462, 'Актуальное состояние (из общего'!A:C,3,0)), "")</f>
        <v>Студент</v>
      </c>
      <c r="U462" s="9" t="s">
        <v>13284</v>
      </c>
      <c r="V462" s="9" t="s">
        <v>13284</v>
      </c>
      <c r="W462" s="12"/>
      <c r="X462" s="9" t="str">
        <f t="array" ref="X462">IFERROR(INDEX('Адреса общежитий (скрытый)'!$B$2:$B$9, MATCH(W462, 'Адреса общежитий (скрытый)'!$A$2:$A$9, 0)), "")</f>
        <v/>
      </c>
      <c r="Y462" s="18"/>
      <c r="Z462" s="18"/>
      <c r="AA462" s="18"/>
      <c r="AB462" s="18"/>
      <c r="AC462" s="18"/>
    </row>
    <row r="463" spans="1:29" ht="32.25" hidden="1" customHeight="1">
      <c r="A463" s="8">
        <v>2304060</v>
      </c>
      <c r="B463" s="9" t="s">
        <v>13284</v>
      </c>
      <c r="C463" s="9" t="s">
        <v>13284</v>
      </c>
      <c r="D463" s="9" t="s">
        <v>13284</v>
      </c>
      <c r="E463" s="9" t="s">
        <v>13284</v>
      </c>
      <c r="F463" s="9" t="s">
        <v>13284</v>
      </c>
      <c r="G463" s="9" t="s">
        <v>13284</v>
      </c>
      <c r="H463" s="9" t="s">
        <v>13284</v>
      </c>
      <c r="I463" s="9" t="s">
        <v>13284</v>
      </c>
      <c r="J463" s="9" t="s">
        <v>13284</v>
      </c>
      <c r="K463" s="9" t="s">
        <v>13284</v>
      </c>
      <c r="L463" s="9" t="s">
        <v>13284</v>
      </c>
      <c r="M463" s="9" t="s">
        <v>13284</v>
      </c>
      <c r="N463" s="9" t="s">
        <v>13284</v>
      </c>
      <c r="O463" s="9" t="s">
        <v>13284</v>
      </c>
      <c r="P463" s="9" t="s">
        <v>13284</v>
      </c>
      <c r="Q463" s="9" t="s">
        <v>13284</v>
      </c>
      <c r="R463" s="9" t="s">
        <v>13284</v>
      </c>
      <c r="S463" s="9" t="s">
        <v>13284</v>
      </c>
      <c r="T463" s="9" t="str">
        <f ca="1">IFERROR(IF(AND(VLOOKUP(A463, 'Актуальное состояние (из общего'!A:C,3,0) = "", A463 &lt;&gt; ""), "ПРОВЕРИТЬ", VLOOKUP(A463, 'Актуальное состояние (из общего'!A:C,3,0)), "")</f>
        <v>Студент</v>
      </c>
      <c r="U463" s="9" t="s">
        <v>13284</v>
      </c>
      <c r="V463" s="9" t="s">
        <v>13284</v>
      </c>
      <c r="W463" s="12"/>
      <c r="X463" s="9" t="str">
        <f t="array" ref="X463">IFERROR(INDEX('Адреса общежитий (скрытый)'!$B$2:$B$9, MATCH(W463, 'Адреса общежитий (скрытый)'!$A$2:$A$9, 0)), "")</f>
        <v/>
      </c>
      <c r="Y463" s="18"/>
      <c r="Z463" s="18"/>
      <c r="AA463" s="18"/>
      <c r="AB463" s="18"/>
      <c r="AC463" s="18"/>
    </row>
    <row r="464" spans="1:29" ht="32.25" customHeight="1">
      <c r="A464" s="8">
        <v>2300896</v>
      </c>
      <c r="B464" s="9" t="s">
        <v>13284</v>
      </c>
      <c r="C464" s="9" t="s">
        <v>13284</v>
      </c>
      <c r="D464" s="9" t="s">
        <v>13284</v>
      </c>
      <c r="E464" s="9" t="s">
        <v>13284</v>
      </c>
      <c r="F464" s="9" t="s">
        <v>13284</v>
      </c>
      <c r="G464" s="9" t="s">
        <v>13284</v>
      </c>
      <c r="H464" s="9" t="s">
        <v>13284</v>
      </c>
      <c r="I464" s="9" t="s">
        <v>13284</v>
      </c>
      <c r="J464" s="9" t="s">
        <v>13284</v>
      </c>
      <c r="K464" s="9" t="s">
        <v>13284</v>
      </c>
      <c r="L464" s="9" t="s">
        <v>13284</v>
      </c>
      <c r="M464" s="9" t="s">
        <v>13284</v>
      </c>
      <c r="N464" s="9" t="s">
        <v>13284</v>
      </c>
      <c r="O464" s="9" t="s">
        <v>13284</v>
      </c>
      <c r="P464" s="9" t="s">
        <v>13284</v>
      </c>
      <c r="Q464" s="9" t="s">
        <v>13284</v>
      </c>
      <c r="R464" s="9" t="s">
        <v>13284</v>
      </c>
      <c r="S464" s="9" t="s">
        <v>13284</v>
      </c>
      <c r="T464" s="9" t="str">
        <f ca="1">IFERROR(IF(AND(VLOOKUP(A464, 'Актуальное состояние (из общего'!A:C,3,0) = "", A464 &lt;&gt; ""), "ПРОВЕРИТЬ", VLOOKUP(A464, 'Актуальное состояние (из общего'!A:C,3,0)), "")</f>
        <v>Студент</v>
      </c>
      <c r="U464" s="9" t="s">
        <v>13284</v>
      </c>
      <c r="V464" s="9" t="s">
        <v>13284</v>
      </c>
      <c r="W464" s="12"/>
      <c r="X464" s="9" t="str">
        <f t="array" ref="X464">IFERROR(INDEX('Адреса общежитий (скрытый)'!$B$2:$B$9, MATCH(W464, 'Адреса общежитий (скрытый)'!$A$2:$A$9, 0)), "")</f>
        <v/>
      </c>
      <c r="Y464" s="18"/>
      <c r="Z464" s="18"/>
      <c r="AA464" s="18"/>
      <c r="AB464" s="18"/>
      <c r="AC464" s="18"/>
    </row>
    <row r="465" spans="1:29" ht="32.25" customHeight="1">
      <c r="A465" s="8">
        <v>2302037</v>
      </c>
      <c r="B465" s="9" t="s">
        <v>13284</v>
      </c>
      <c r="C465" s="9" t="s">
        <v>13284</v>
      </c>
      <c r="D465" s="9" t="s">
        <v>13284</v>
      </c>
      <c r="E465" s="9" t="s">
        <v>13284</v>
      </c>
      <c r="F465" s="9" t="s">
        <v>13284</v>
      </c>
      <c r="G465" s="9" t="s">
        <v>13284</v>
      </c>
      <c r="H465" s="9" t="s">
        <v>13284</v>
      </c>
      <c r="I465" s="9" t="s">
        <v>13284</v>
      </c>
      <c r="J465" s="9" t="s">
        <v>13284</v>
      </c>
      <c r="K465" s="9" t="s">
        <v>13284</v>
      </c>
      <c r="L465" s="9" t="s">
        <v>13284</v>
      </c>
      <c r="M465" s="9" t="s">
        <v>13284</v>
      </c>
      <c r="N465" s="9" t="s">
        <v>13284</v>
      </c>
      <c r="O465" s="9" t="s">
        <v>13284</v>
      </c>
      <c r="P465" s="9" t="s">
        <v>13284</v>
      </c>
      <c r="Q465" s="9" t="s">
        <v>13284</v>
      </c>
      <c r="R465" s="9" t="s">
        <v>13284</v>
      </c>
      <c r="S465" s="9" t="s">
        <v>13284</v>
      </c>
      <c r="T465" s="9" t="str">
        <f ca="1">IFERROR(IF(AND(VLOOKUP(A465, 'Актуальное состояние (из общего'!A:C,3,0) = "", A465 &lt;&gt; ""), "ПРОВЕРИТЬ", VLOOKUP(A465, 'Актуальное состояние (из общего'!A:C,3,0)), "")</f>
        <v>Студент</v>
      </c>
      <c r="U465" s="9" t="s">
        <v>13284</v>
      </c>
      <c r="V465" s="9" t="s">
        <v>13284</v>
      </c>
      <c r="W465" s="12"/>
      <c r="X465" s="9" t="str">
        <f t="array" ref="X465">IFERROR(INDEX('Адреса общежитий (скрытый)'!$B$2:$B$9, MATCH(W465, 'Адреса общежитий (скрытый)'!$A$2:$A$9, 0)), "")</f>
        <v/>
      </c>
      <c r="Y465" s="18"/>
      <c r="Z465" s="18"/>
      <c r="AA465" s="18"/>
      <c r="AB465" s="18"/>
      <c r="AC465" s="18"/>
    </row>
    <row r="466" spans="1:29" ht="32.25" customHeight="1">
      <c r="A466" s="8">
        <v>2310844</v>
      </c>
      <c r="B466" s="9" t="s">
        <v>13284</v>
      </c>
      <c r="C466" s="9" t="s">
        <v>13284</v>
      </c>
      <c r="D466" s="9" t="s">
        <v>13284</v>
      </c>
      <c r="E466" s="9" t="s">
        <v>13284</v>
      </c>
      <c r="F466" s="9" t="s">
        <v>13284</v>
      </c>
      <c r="G466" s="9" t="s">
        <v>13284</v>
      </c>
      <c r="H466" s="9" t="s">
        <v>13284</v>
      </c>
      <c r="I466" s="9" t="s">
        <v>13284</v>
      </c>
      <c r="J466" s="9" t="s">
        <v>13284</v>
      </c>
      <c r="K466" s="9" t="s">
        <v>13284</v>
      </c>
      <c r="L466" s="9" t="s">
        <v>13284</v>
      </c>
      <c r="M466" s="9" t="s">
        <v>13284</v>
      </c>
      <c r="N466" s="9" t="s">
        <v>13284</v>
      </c>
      <c r="O466" s="9" t="s">
        <v>13284</v>
      </c>
      <c r="P466" s="9" t="s">
        <v>13284</v>
      </c>
      <c r="Q466" s="9" t="s">
        <v>13284</v>
      </c>
      <c r="R466" s="9" t="s">
        <v>13284</v>
      </c>
      <c r="S466" s="9" t="s">
        <v>13284</v>
      </c>
      <c r="T466" s="9" t="str">
        <f ca="1">IFERROR(IF(AND(VLOOKUP(A466, 'Актуальное состояние (из общего'!A:C,3,0) = "", A466 &lt;&gt; ""), "ПРОВЕРИТЬ", VLOOKUP(A466, 'Актуальное состояние (из общего'!A:C,3,0)), "")</f>
        <v>Студент</v>
      </c>
      <c r="U466" s="9" t="s">
        <v>13284</v>
      </c>
      <c r="V466" s="9" t="s">
        <v>13284</v>
      </c>
      <c r="W466" s="12"/>
      <c r="X466" s="9" t="str">
        <f t="array" ref="X466">IFERROR(INDEX('Адреса общежитий (скрытый)'!$B$2:$B$9, MATCH(W466, 'Адреса общежитий (скрытый)'!$A$2:$A$9, 0)), "")</f>
        <v/>
      </c>
      <c r="Y466" s="18"/>
      <c r="Z466" s="18"/>
      <c r="AA466" s="18"/>
      <c r="AB466" s="18"/>
      <c r="AC466" s="18"/>
    </row>
    <row r="467" spans="1:29" ht="32.25" hidden="1" customHeight="1">
      <c r="A467" s="8">
        <v>2301327</v>
      </c>
      <c r="B467" s="9" t="s">
        <v>13284</v>
      </c>
      <c r="C467" s="9" t="s">
        <v>13284</v>
      </c>
      <c r="D467" s="9" t="s">
        <v>13284</v>
      </c>
      <c r="E467" s="9" t="s">
        <v>13284</v>
      </c>
      <c r="F467" s="9" t="s">
        <v>13284</v>
      </c>
      <c r="G467" s="9" t="s">
        <v>13284</v>
      </c>
      <c r="H467" s="9" t="s">
        <v>13284</v>
      </c>
      <c r="I467" s="9" t="s">
        <v>13284</v>
      </c>
      <c r="J467" s="9" t="s">
        <v>13284</v>
      </c>
      <c r="K467" s="9" t="s">
        <v>13284</v>
      </c>
      <c r="L467" s="9" t="s">
        <v>13284</v>
      </c>
      <c r="M467" s="9" t="s">
        <v>13284</v>
      </c>
      <c r="N467" s="9" t="s">
        <v>13284</v>
      </c>
      <c r="O467" s="9" t="s">
        <v>13284</v>
      </c>
      <c r="P467" s="9" t="s">
        <v>13284</v>
      </c>
      <c r="Q467" s="9" t="s">
        <v>13284</v>
      </c>
      <c r="R467" s="9" t="s">
        <v>13284</v>
      </c>
      <c r="S467" s="9" t="s">
        <v>13284</v>
      </c>
      <c r="T467" s="9" t="str">
        <f ca="1">IFERROR(IF(AND(VLOOKUP(A467, 'Актуальное состояние (из общего'!A:C,3,0) = "", A467 &lt;&gt; ""), "ПРОВЕРИТЬ", VLOOKUP(A467, 'Актуальное состояние (из общего'!A:C,3,0)), "")</f>
        <v>Студент</v>
      </c>
      <c r="U467" s="9" t="s">
        <v>13284</v>
      </c>
      <c r="V467" s="9" t="s">
        <v>13284</v>
      </c>
      <c r="W467" s="12"/>
      <c r="X467" s="9" t="str">
        <f t="array" ref="X467">IFERROR(INDEX('Адреса общежитий (скрытый)'!$B$2:$B$9, MATCH(W467, 'Адреса общежитий (скрытый)'!$A$2:$A$9, 0)), "")</f>
        <v/>
      </c>
      <c r="Y467" s="18"/>
      <c r="Z467" s="18"/>
      <c r="AA467" s="18"/>
      <c r="AB467" s="18"/>
      <c r="AC467" s="18"/>
    </row>
    <row r="468" spans="1:29" ht="32.25" customHeight="1">
      <c r="A468" s="8">
        <v>2309954</v>
      </c>
      <c r="B468" s="9" t="s">
        <v>13284</v>
      </c>
      <c r="C468" s="9" t="s">
        <v>13284</v>
      </c>
      <c r="D468" s="9" t="s">
        <v>13284</v>
      </c>
      <c r="E468" s="9" t="s">
        <v>13284</v>
      </c>
      <c r="F468" s="9" t="s">
        <v>13284</v>
      </c>
      <c r="G468" s="9" t="s">
        <v>13284</v>
      </c>
      <c r="H468" s="9" t="s">
        <v>13284</v>
      </c>
      <c r="I468" s="9" t="s">
        <v>13284</v>
      </c>
      <c r="J468" s="9" t="s">
        <v>13284</v>
      </c>
      <c r="K468" s="9" t="s">
        <v>13284</v>
      </c>
      <c r="L468" s="9" t="s">
        <v>13284</v>
      </c>
      <c r="M468" s="9" t="s">
        <v>13284</v>
      </c>
      <c r="N468" s="9" t="s">
        <v>13284</v>
      </c>
      <c r="O468" s="9" t="s">
        <v>13284</v>
      </c>
      <c r="P468" s="9" t="s">
        <v>13284</v>
      </c>
      <c r="Q468" s="9" t="s">
        <v>13284</v>
      </c>
      <c r="R468" s="9" t="s">
        <v>13284</v>
      </c>
      <c r="S468" s="9" t="s">
        <v>13284</v>
      </c>
      <c r="T468" s="9" t="str">
        <f ca="1">IFERROR(IF(AND(VLOOKUP(A468, 'Актуальное состояние (из общего'!A:C,3,0) = "", A468 &lt;&gt; ""), "ПРОВЕРИТЬ", VLOOKUP(A468, 'Актуальное состояние (из общего'!A:C,3,0)), "")</f>
        <v>Студент</v>
      </c>
      <c r="U468" s="9" t="s">
        <v>13284</v>
      </c>
      <c r="V468" s="9" t="s">
        <v>13284</v>
      </c>
      <c r="W468" s="12"/>
      <c r="X468" s="9" t="str">
        <f t="array" ref="X468">IFERROR(INDEX('Адреса общежитий (скрытый)'!$B$2:$B$9, MATCH(W468, 'Адреса общежитий (скрытый)'!$A$2:$A$9, 0)), "")</f>
        <v/>
      </c>
      <c r="Y468" s="18"/>
      <c r="Z468" s="18"/>
      <c r="AA468" s="18"/>
      <c r="AB468" s="18"/>
      <c r="AC468" s="18"/>
    </row>
    <row r="469" spans="1:29" ht="32.25" customHeight="1">
      <c r="A469" s="8">
        <v>2304641</v>
      </c>
      <c r="B469" s="9" t="s">
        <v>13284</v>
      </c>
      <c r="C469" s="9" t="s">
        <v>13284</v>
      </c>
      <c r="D469" s="9" t="s">
        <v>13284</v>
      </c>
      <c r="E469" s="9" t="s">
        <v>13284</v>
      </c>
      <c r="F469" s="9" t="s">
        <v>13284</v>
      </c>
      <c r="G469" s="9" t="s">
        <v>13284</v>
      </c>
      <c r="H469" s="9" t="s">
        <v>13284</v>
      </c>
      <c r="I469" s="9" t="s">
        <v>13284</v>
      </c>
      <c r="J469" s="9" t="s">
        <v>13284</v>
      </c>
      <c r="K469" s="9" t="s">
        <v>13284</v>
      </c>
      <c r="L469" s="9" t="s">
        <v>13284</v>
      </c>
      <c r="M469" s="9" t="s">
        <v>13284</v>
      </c>
      <c r="N469" s="9" t="s">
        <v>13284</v>
      </c>
      <c r="O469" s="9" t="s">
        <v>13284</v>
      </c>
      <c r="P469" s="9" t="s">
        <v>13284</v>
      </c>
      <c r="Q469" s="9" t="s">
        <v>13284</v>
      </c>
      <c r="R469" s="9" t="s">
        <v>13284</v>
      </c>
      <c r="S469" s="9" t="s">
        <v>13284</v>
      </c>
      <c r="T469" s="9" t="str">
        <f ca="1">IFERROR(IF(AND(VLOOKUP(A469, 'Актуальное состояние (из общего'!A:C,3,0) = "", A469 &lt;&gt; ""), "ПРОВЕРИТЬ", VLOOKUP(A469, 'Актуальное состояние (из общего'!A:C,3,0)), "")</f>
        <v>Студент</v>
      </c>
      <c r="U469" s="9" t="s">
        <v>13284</v>
      </c>
      <c r="V469" s="9" t="s">
        <v>13284</v>
      </c>
      <c r="W469" s="12" t="s">
        <v>76</v>
      </c>
      <c r="X469" s="9" t="str">
        <f t="array" ref="X469">IFERROR(INDEX('Адреса общежитий (скрытый)'!$B$2:$B$9, MATCH(W469, 'Адреса общежитий (скрытый)'!$A$2:$A$9, 0)), "")</f>
        <v>ул. Студенческая, д. 33, корп. 5,6</v>
      </c>
      <c r="Y469" s="18"/>
      <c r="Z469" s="18"/>
      <c r="AA469" s="18"/>
      <c r="AB469" s="18"/>
      <c r="AC469" s="18"/>
    </row>
    <row r="470" spans="1:29" ht="32.25" customHeight="1">
      <c r="A470" s="8">
        <v>2308768</v>
      </c>
      <c r="B470" s="9" t="s">
        <v>13284</v>
      </c>
      <c r="C470" s="9" t="s">
        <v>13284</v>
      </c>
      <c r="D470" s="9" t="s">
        <v>13284</v>
      </c>
      <c r="E470" s="9" t="s">
        <v>13284</v>
      </c>
      <c r="F470" s="9" t="s">
        <v>13284</v>
      </c>
      <c r="G470" s="9" t="s">
        <v>13284</v>
      </c>
      <c r="H470" s="9" t="s">
        <v>13284</v>
      </c>
      <c r="I470" s="9" t="s">
        <v>13284</v>
      </c>
      <c r="J470" s="9" t="s">
        <v>13284</v>
      </c>
      <c r="K470" s="9" t="s">
        <v>13284</v>
      </c>
      <c r="L470" s="9" t="s">
        <v>13284</v>
      </c>
      <c r="M470" s="9" t="s">
        <v>13284</v>
      </c>
      <c r="N470" s="9" t="s">
        <v>13284</v>
      </c>
      <c r="O470" s="9" t="s">
        <v>13284</v>
      </c>
      <c r="P470" s="9" t="s">
        <v>13284</v>
      </c>
      <c r="Q470" s="9" t="s">
        <v>13284</v>
      </c>
      <c r="R470" s="9" t="s">
        <v>13284</v>
      </c>
      <c r="S470" s="9" t="s">
        <v>13284</v>
      </c>
      <c r="T470" s="9" t="str">
        <f ca="1">IFERROR(IF(AND(VLOOKUP(A470, 'Актуальное состояние (из общего'!A:C,3,0) = "", A470 &lt;&gt; ""), "ПРОВЕРИТЬ", VLOOKUP(A470, 'Актуальное состояние (из общего'!A:C,3,0)), "")</f>
        <v>Студент</v>
      </c>
      <c r="U470" s="9" t="s">
        <v>13284</v>
      </c>
      <c r="V470" s="9" t="s">
        <v>13284</v>
      </c>
      <c r="W470" s="12"/>
      <c r="X470" s="9" t="str">
        <f t="array" ref="X470">IFERROR(INDEX('Адреса общежитий (скрытый)'!$B$2:$B$9, MATCH(W470, 'Адреса общежитий (скрытый)'!$A$2:$A$9, 0)), "")</f>
        <v/>
      </c>
      <c r="Y470" s="18"/>
      <c r="Z470" s="18"/>
      <c r="AA470" s="18"/>
      <c r="AB470" s="18"/>
      <c r="AC470" s="18"/>
    </row>
    <row r="471" spans="1:29" ht="32.25" customHeight="1">
      <c r="A471" s="8">
        <v>2308897</v>
      </c>
      <c r="B471" s="9" t="s">
        <v>13284</v>
      </c>
      <c r="C471" s="9" t="s">
        <v>13284</v>
      </c>
      <c r="D471" s="9" t="s">
        <v>13284</v>
      </c>
      <c r="E471" s="9" t="s">
        <v>13284</v>
      </c>
      <c r="F471" s="9" t="s">
        <v>13284</v>
      </c>
      <c r="G471" s="9" t="s">
        <v>13284</v>
      </c>
      <c r="H471" s="9" t="s">
        <v>13284</v>
      </c>
      <c r="I471" s="9" t="s">
        <v>13284</v>
      </c>
      <c r="J471" s="9" t="s">
        <v>13284</v>
      </c>
      <c r="K471" s="9" t="s">
        <v>13284</v>
      </c>
      <c r="L471" s="9" t="s">
        <v>13284</v>
      </c>
      <c r="M471" s="9" t="s">
        <v>13284</v>
      </c>
      <c r="N471" s="9" t="s">
        <v>13284</v>
      </c>
      <c r="O471" s="9" t="s">
        <v>13284</v>
      </c>
      <c r="P471" s="9" t="s">
        <v>13284</v>
      </c>
      <c r="Q471" s="9" t="s">
        <v>13284</v>
      </c>
      <c r="R471" s="9" t="s">
        <v>13284</v>
      </c>
      <c r="S471" s="9" t="s">
        <v>13284</v>
      </c>
      <c r="T471" s="9" t="str">
        <f ca="1">IFERROR(IF(AND(VLOOKUP(A471, 'Актуальное состояние (из общего'!A:C,3,0) = "", A471 &lt;&gt; ""), "ПРОВЕРИТЬ", VLOOKUP(A471, 'Актуальное состояние (из общего'!A:C,3,0)), "")</f>
        <v>Студент</v>
      </c>
      <c r="U471" s="9" t="s">
        <v>13284</v>
      </c>
      <c r="V471" s="9" t="s">
        <v>13284</v>
      </c>
      <c r="W471" s="12"/>
      <c r="X471" s="9" t="str">
        <f t="array" ref="X471">IFERROR(INDEX('Адреса общежитий (скрытый)'!$B$2:$B$9, MATCH(W471, 'Адреса общежитий (скрытый)'!$A$2:$A$9, 0)), "")</f>
        <v/>
      </c>
      <c r="Y471" s="18"/>
      <c r="Z471" s="18"/>
      <c r="AA471" s="18"/>
      <c r="AB471" s="18"/>
      <c r="AC471" s="18"/>
    </row>
    <row r="472" spans="1:29" ht="32.25" hidden="1" customHeight="1">
      <c r="A472" s="8">
        <v>2305941</v>
      </c>
      <c r="B472" s="9" t="s">
        <v>13284</v>
      </c>
      <c r="C472" s="9" t="s">
        <v>13284</v>
      </c>
      <c r="D472" s="9" t="s">
        <v>13284</v>
      </c>
      <c r="E472" s="9" t="s">
        <v>13284</v>
      </c>
      <c r="F472" s="9" t="s">
        <v>13284</v>
      </c>
      <c r="G472" s="9" t="s">
        <v>13284</v>
      </c>
      <c r="H472" s="9" t="s">
        <v>13284</v>
      </c>
      <c r="I472" s="9" t="s">
        <v>13284</v>
      </c>
      <c r="J472" s="9" t="s">
        <v>13284</v>
      </c>
      <c r="K472" s="9" t="s">
        <v>13284</v>
      </c>
      <c r="L472" s="9" t="s">
        <v>13284</v>
      </c>
      <c r="M472" s="9" t="s">
        <v>13284</v>
      </c>
      <c r="N472" s="9" t="s">
        <v>13284</v>
      </c>
      <c r="O472" s="9" t="s">
        <v>13284</v>
      </c>
      <c r="P472" s="9" t="s">
        <v>13284</v>
      </c>
      <c r="Q472" s="9" t="s">
        <v>13284</v>
      </c>
      <c r="R472" s="9" t="s">
        <v>13284</v>
      </c>
      <c r="S472" s="9" t="s">
        <v>13284</v>
      </c>
      <c r="T472" s="9" t="str">
        <f ca="1">IFERROR(IF(AND(VLOOKUP(A472, 'Актуальное состояние (из общего'!A:C,3,0) = "", A472 &lt;&gt; ""), "ПРОВЕРИТЬ", VLOOKUP(A472, 'Актуальное состояние (из общего'!A:C,3,0)), "")</f>
        <v>Студент</v>
      </c>
      <c r="U472" s="9" t="s">
        <v>13284</v>
      </c>
      <c r="V472" s="9" t="s">
        <v>13284</v>
      </c>
      <c r="W472" s="12"/>
      <c r="X472" s="9" t="str">
        <f t="array" ref="X472">IFERROR(INDEX('Адреса общежитий (скрытый)'!$B$2:$B$9, MATCH(W472, 'Адреса общежитий (скрытый)'!$A$2:$A$9, 0)), "")</f>
        <v/>
      </c>
      <c r="Y472" s="18"/>
      <c r="Z472" s="18"/>
      <c r="AA472" s="18"/>
      <c r="AB472" s="18"/>
      <c r="AC472" s="18"/>
    </row>
    <row r="473" spans="1:29" ht="32.25" customHeight="1">
      <c r="A473" s="8">
        <v>2311352</v>
      </c>
      <c r="B473" s="9" t="s">
        <v>13284</v>
      </c>
      <c r="C473" s="9" t="s">
        <v>13284</v>
      </c>
      <c r="D473" s="9" t="s">
        <v>13284</v>
      </c>
      <c r="E473" s="9" t="s">
        <v>13284</v>
      </c>
      <c r="F473" s="9" t="s">
        <v>13284</v>
      </c>
      <c r="G473" s="9" t="s">
        <v>13284</v>
      </c>
      <c r="H473" s="9" t="s">
        <v>13284</v>
      </c>
      <c r="I473" s="9" t="s">
        <v>13284</v>
      </c>
      <c r="J473" s="9" t="s">
        <v>13284</v>
      </c>
      <c r="K473" s="9" t="s">
        <v>13284</v>
      </c>
      <c r="L473" s="9" t="s">
        <v>13284</v>
      </c>
      <c r="M473" s="9" t="s">
        <v>13284</v>
      </c>
      <c r="N473" s="9" t="s">
        <v>13284</v>
      </c>
      <c r="O473" s="9" t="s">
        <v>13284</v>
      </c>
      <c r="P473" s="9" t="s">
        <v>13284</v>
      </c>
      <c r="Q473" s="9" t="s">
        <v>13284</v>
      </c>
      <c r="R473" s="9" t="s">
        <v>13284</v>
      </c>
      <c r="S473" s="9" t="s">
        <v>13284</v>
      </c>
      <c r="T473" s="9" t="str">
        <f ca="1">IFERROR(IF(AND(VLOOKUP(A473, 'Актуальное состояние (из общего'!A:C,3,0) = "", A473 &lt;&gt; ""), "ПРОВЕРИТЬ", VLOOKUP(A473, 'Актуальное состояние (из общего'!A:C,3,0)), "")</f>
        <v>Студент</v>
      </c>
      <c r="U473" s="9" t="s">
        <v>13284</v>
      </c>
      <c r="V473" s="9" t="s">
        <v>13284</v>
      </c>
      <c r="W473" s="12"/>
      <c r="X473" s="9" t="str">
        <f t="array" ref="X473">IFERROR(INDEX('Адреса общежитий (скрытый)'!$B$2:$B$9, MATCH(W473, 'Адреса общежитий (скрытый)'!$A$2:$A$9, 0)), "")</f>
        <v/>
      </c>
      <c r="Y473" s="18"/>
      <c r="Z473" s="18"/>
      <c r="AA473" s="18"/>
      <c r="AB473" s="18"/>
      <c r="AC473" s="18"/>
    </row>
    <row r="474" spans="1:29" ht="32.25" customHeight="1">
      <c r="A474" s="8">
        <v>2304693</v>
      </c>
      <c r="B474" s="9" t="s">
        <v>13284</v>
      </c>
      <c r="C474" s="9" t="s">
        <v>13284</v>
      </c>
      <c r="D474" s="9" t="s">
        <v>13284</v>
      </c>
      <c r="E474" s="9" t="s">
        <v>13284</v>
      </c>
      <c r="F474" s="9" t="s">
        <v>13284</v>
      </c>
      <c r="G474" s="9" t="s">
        <v>13284</v>
      </c>
      <c r="H474" s="9" t="s">
        <v>13284</v>
      </c>
      <c r="I474" s="9" t="s">
        <v>13284</v>
      </c>
      <c r="J474" s="9" t="s">
        <v>13284</v>
      </c>
      <c r="K474" s="9" t="s">
        <v>13284</v>
      </c>
      <c r="L474" s="9" t="s">
        <v>13284</v>
      </c>
      <c r="M474" s="9" t="s">
        <v>13284</v>
      </c>
      <c r="N474" s="9" t="s">
        <v>13284</v>
      </c>
      <c r="O474" s="9" t="s">
        <v>13284</v>
      </c>
      <c r="P474" s="9" t="s">
        <v>13284</v>
      </c>
      <c r="Q474" s="9" t="s">
        <v>13284</v>
      </c>
      <c r="R474" s="9" t="s">
        <v>13284</v>
      </c>
      <c r="S474" s="9" t="s">
        <v>13284</v>
      </c>
      <c r="T474" s="9" t="str">
        <f ca="1">IFERROR(IF(AND(VLOOKUP(A474, 'Актуальное состояние (из общего'!A:C,3,0) = "", A474 &lt;&gt; ""), "ПРОВЕРИТЬ", VLOOKUP(A474, 'Актуальное состояние (из общего'!A:C,3,0)), "")</f>
        <v>Студент</v>
      </c>
      <c r="U474" s="9" t="s">
        <v>13284</v>
      </c>
      <c r="V474" s="9" t="s">
        <v>13284</v>
      </c>
      <c r="W474" s="12"/>
      <c r="X474" s="9" t="str">
        <f t="array" ref="X474">IFERROR(INDEX('Адреса общежитий (скрытый)'!$B$2:$B$9, MATCH(W474, 'Адреса общежитий (скрытый)'!$A$2:$A$9, 0)), "")</f>
        <v/>
      </c>
      <c r="Y474" s="18"/>
      <c r="Z474" s="18"/>
      <c r="AA474" s="18"/>
      <c r="AB474" s="18"/>
      <c r="AC474" s="18"/>
    </row>
    <row r="475" spans="1:29" ht="32.25" customHeight="1">
      <c r="A475" s="8">
        <v>2303131</v>
      </c>
      <c r="B475" s="9" t="s">
        <v>13284</v>
      </c>
      <c r="C475" s="9" t="s">
        <v>13284</v>
      </c>
      <c r="D475" s="9" t="s">
        <v>13284</v>
      </c>
      <c r="E475" s="9" t="s">
        <v>13284</v>
      </c>
      <c r="F475" s="9" t="s">
        <v>13284</v>
      </c>
      <c r="G475" s="9" t="s">
        <v>13284</v>
      </c>
      <c r="H475" s="9" t="s">
        <v>13284</v>
      </c>
      <c r="I475" s="9" t="s">
        <v>13284</v>
      </c>
      <c r="J475" s="9" t="s">
        <v>13284</v>
      </c>
      <c r="K475" s="9" t="s">
        <v>13284</v>
      </c>
      <c r="L475" s="9" t="s">
        <v>13284</v>
      </c>
      <c r="M475" s="9" t="s">
        <v>13284</v>
      </c>
      <c r="N475" s="9" t="s">
        <v>13284</v>
      </c>
      <c r="O475" s="9" t="s">
        <v>13284</v>
      </c>
      <c r="P475" s="9" t="s">
        <v>13284</v>
      </c>
      <c r="Q475" s="9" t="s">
        <v>13284</v>
      </c>
      <c r="R475" s="9" t="s">
        <v>13284</v>
      </c>
      <c r="S475" s="9" t="s">
        <v>13284</v>
      </c>
      <c r="T475" s="9" t="str">
        <f ca="1">IFERROR(IF(AND(VLOOKUP(A475, 'Актуальное состояние (из общего'!A:C,3,0) = "", A475 &lt;&gt; ""), "ПРОВЕРИТЬ", VLOOKUP(A475, 'Актуальное состояние (из общего'!A:C,3,0)), "")</f>
        <v>Студент</v>
      </c>
      <c r="U475" s="9" t="s">
        <v>13284</v>
      </c>
      <c r="V475" s="9" t="s">
        <v>13284</v>
      </c>
      <c r="W475" s="12"/>
      <c r="X475" s="9" t="str">
        <f t="array" ref="X475">IFERROR(INDEX('Адреса общежитий (скрытый)'!$B$2:$B$9, MATCH(W475, 'Адреса общежитий (скрытый)'!$A$2:$A$9, 0)), "")</f>
        <v/>
      </c>
      <c r="Y475" s="18"/>
      <c r="Z475" s="18"/>
      <c r="AA475" s="18"/>
      <c r="AB475" s="18"/>
      <c r="AC475" s="18"/>
    </row>
    <row r="476" spans="1:29" ht="32.25" customHeight="1">
      <c r="A476" s="8">
        <v>2300788</v>
      </c>
      <c r="B476" s="9" t="s">
        <v>13284</v>
      </c>
      <c r="C476" s="9" t="s">
        <v>13284</v>
      </c>
      <c r="D476" s="9" t="s">
        <v>13284</v>
      </c>
      <c r="E476" s="9" t="s">
        <v>13284</v>
      </c>
      <c r="F476" s="9" t="s">
        <v>13284</v>
      </c>
      <c r="G476" s="9" t="s">
        <v>13284</v>
      </c>
      <c r="H476" s="9" t="s">
        <v>13284</v>
      </c>
      <c r="I476" s="9" t="s">
        <v>13284</v>
      </c>
      <c r="J476" s="9" t="s">
        <v>13284</v>
      </c>
      <c r="K476" s="9" t="s">
        <v>13284</v>
      </c>
      <c r="L476" s="9" t="s">
        <v>13284</v>
      </c>
      <c r="M476" s="9" t="s">
        <v>13284</v>
      </c>
      <c r="N476" s="9" t="s">
        <v>13284</v>
      </c>
      <c r="O476" s="9" t="s">
        <v>13284</v>
      </c>
      <c r="P476" s="9" t="s">
        <v>13284</v>
      </c>
      <c r="Q476" s="9" t="s">
        <v>13284</v>
      </c>
      <c r="R476" s="9" t="s">
        <v>13284</v>
      </c>
      <c r="S476" s="9" t="s">
        <v>13284</v>
      </c>
      <c r="T476" s="9" t="str">
        <f ca="1">IFERROR(IF(AND(VLOOKUP(A476, 'Актуальное состояние (из общего'!A:C,3,0) = "", A476 &lt;&gt; ""), "ПРОВЕРИТЬ", VLOOKUP(A476, 'Актуальное состояние (из общего'!A:C,3,0)), "")</f>
        <v>Студент</v>
      </c>
      <c r="U476" s="9" t="s">
        <v>13284</v>
      </c>
      <c r="V476" s="9" t="s">
        <v>13284</v>
      </c>
      <c r="W476" s="12"/>
      <c r="X476" s="9" t="str">
        <f t="array" ref="X476">IFERROR(INDEX('Адреса общежитий (скрытый)'!$B$2:$B$9, MATCH(W476, 'Адреса общежитий (скрытый)'!$A$2:$A$9, 0)), "")</f>
        <v/>
      </c>
      <c r="Y476" s="18"/>
      <c r="Z476" s="18"/>
      <c r="AA476" s="18"/>
      <c r="AB476" s="18"/>
      <c r="AC476" s="18"/>
    </row>
    <row r="477" spans="1:29" ht="32.25" customHeight="1">
      <c r="A477" s="8">
        <v>2303570</v>
      </c>
      <c r="B477" s="9" t="s">
        <v>13284</v>
      </c>
      <c r="C477" s="9" t="s">
        <v>13284</v>
      </c>
      <c r="D477" s="9" t="s">
        <v>13284</v>
      </c>
      <c r="E477" s="9" t="s">
        <v>13284</v>
      </c>
      <c r="F477" s="9" t="s">
        <v>13284</v>
      </c>
      <c r="G477" s="9" t="s">
        <v>13284</v>
      </c>
      <c r="H477" s="9" t="s">
        <v>13284</v>
      </c>
      <c r="I477" s="9" t="s">
        <v>13284</v>
      </c>
      <c r="J477" s="9" t="s">
        <v>13284</v>
      </c>
      <c r="K477" s="9" t="s">
        <v>13284</v>
      </c>
      <c r="L477" s="9" t="s">
        <v>13284</v>
      </c>
      <c r="M477" s="9" t="s">
        <v>13284</v>
      </c>
      <c r="N477" s="9" t="s">
        <v>13284</v>
      </c>
      <c r="O477" s="9" t="s">
        <v>13284</v>
      </c>
      <c r="P477" s="9" t="s">
        <v>13284</v>
      </c>
      <c r="Q477" s="9" t="s">
        <v>13284</v>
      </c>
      <c r="R477" s="9" t="s">
        <v>13284</v>
      </c>
      <c r="S477" s="9" t="s">
        <v>13284</v>
      </c>
      <c r="T477" s="9" t="str">
        <f ca="1">IFERROR(IF(AND(VLOOKUP(A477, 'Актуальное состояние (из общего'!A:C,3,0) = "", A477 &lt;&gt; ""), "ПРОВЕРИТЬ", VLOOKUP(A477, 'Актуальное состояние (из общего'!A:C,3,0)), "")</f>
        <v>Студент</v>
      </c>
      <c r="U477" s="9" t="s">
        <v>13284</v>
      </c>
      <c r="V477" s="9" t="s">
        <v>13284</v>
      </c>
      <c r="W477" s="12"/>
      <c r="X477" s="9" t="str">
        <f t="array" ref="X477">IFERROR(INDEX('Адреса общежитий (скрытый)'!$B$2:$B$9, MATCH(W477, 'Адреса общежитий (скрытый)'!$A$2:$A$9, 0)), "")</f>
        <v/>
      </c>
      <c r="Y477" s="18"/>
      <c r="Z477" s="18"/>
      <c r="AA477" s="18"/>
      <c r="AB477" s="18"/>
      <c r="AC477" s="18"/>
    </row>
    <row r="478" spans="1:29" ht="32.25" customHeight="1">
      <c r="A478" s="8">
        <v>2300532</v>
      </c>
      <c r="B478" s="9" t="s">
        <v>13284</v>
      </c>
      <c r="C478" s="9" t="s">
        <v>13284</v>
      </c>
      <c r="D478" s="9" t="s">
        <v>13284</v>
      </c>
      <c r="E478" s="9" t="s">
        <v>13284</v>
      </c>
      <c r="F478" s="9" t="s">
        <v>13284</v>
      </c>
      <c r="G478" s="9" t="s">
        <v>13284</v>
      </c>
      <c r="H478" s="9" t="s">
        <v>13284</v>
      </c>
      <c r="I478" s="9" t="s">
        <v>13284</v>
      </c>
      <c r="J478" s="9" t="s">
        <v>13284</v>
      </c>
      <c r="K478" s="9" t="s">
        <v>13284</v>
      </c>
      <c r="L478" s="9" t="s">
        <v>13284</v>
      </c>
      <c r="M478" s="9" t="s">
        <v>13284</v>
      </c>
      <c r="N478" s="9" t="s">
        <v>13284</v>
      </c>
      <c r="O478" s="9" t="s">
        <v>13284</v>
      </c>
      <c r="P478" s="9" t="s">
        <v>13284</v>
      </c>
      <c r="Q478" s="9" t="s">
        <v>13284</v>
      </c>
      <c r="R478" s="9" t="s">
        <v>13284</v>
      </c>
      <c r="S478" s="9" t="s">
        <v>13284</v>
      </c>
      <c r="T478" s="9" t="str">
        <f ca="1">IFERROR(IF(AND(VLOOKUP(A478, 'Актуальное состояние (из общего'!A:C,3,0) = "", A478 &lt;&gt; ""), "ПРОВЕРИТЬ", VLOOKUP(A478, 'Актуальное состояние (из общего'!A:C,3,0)), "")</f>
        <v>Студент</v>
      </c>
      <c r="U478" s="9" t="s">
        <v>13284</v>
      </c>
      <c r="V478" s="9" t="s">
        <v>13284</v>
      </c>
      <c r="W478" s="12"/>
      <c r="X478" s="9" t="str">
        <f t="array" ref="X478">IFERROR(INDEX('Адреса общежитий (скрытый)'!$B$2:$B$9, MATCH(W478, 'Адреса общежитий (скрытый)'!$A$2:$A$9, 0)), "")</f>
        <v/>
      </c>
      <c r="Y478" s="18"/>
      <c r="Z478" s="18"/>
      <c r="AA478" s="18"/>
      <c r="AB478" s="18"/>
      <c r="AC478" s="18"/>
    </row>
    <row r="479" spans="1:29" ht="32.25" hidden="1" customHeight="1">
      <c r="A479" s="8">
        <v>2301325</v>
      </c>
      <c r="B479" s="9" t="s">
        <v>13284</v>
      </c>
      <c r="C479" s="9" t="s">
        <v>13284</v>
      </c>
      <c r="D479" s="9" t="s">
        <v>13284</v>
      </c>
      <c r="E479" s="9" t="s">
        <v>13284</v>
      </c>
      <c r="F479" s="9" t="s">
        <v>13284</v>
      </c>
      <c r="G479" s="9" t="s">
        <v>13284</v>
      </c>
      <c r="H479" s="9" t="s">
        <v>13284</v>
      </c>
      <c r="I479" s="9" t="s">
        <v>13284</v>
      </c>
      <c r="J479" s="9" t="s">
        <v>13284</v>
      </c>
      <c r="K479" s="9" t="s">
        <v>13284</v>
      </c>
      <c r="L479" s="9" t="s">
        <v>13284</v>
      </c>
      <c r="M479" s="9" t="s">
        <v>13284</v>
      </c>
      <c r="N479" s="9" t="s">
        <v>13284</v>
      </c>
      <c r="O479" s="9" t="s">
        <v>13284</v>
      </c>
      <c r="P479" s="9" t="s">
        <v>13284</v>
      </c>
      <c r="Q479" s="9" t="s">
        <v>13284</v>
      </c>
      <c r="R479" s="9" t="s">
        <v>13284</v>
      </c>
      <c r="S479" s="9" t="s">
        <v>13284</v>
      </c>
      <c r="T479" s="9" t="str">
        <f ca="1">IFERROR(IF(AND(VLOOKUP(A479, 'Актуальное состояние (из общего'!A:C,3,0) = "", A479 &lt;&gt; ""), "ПРОВЕРИТЬ", VLOOKUP(A479, 'Актуальное состояние (из общего'!A:C,3,0)), "")</f>
        <v>Студент</v>
      </c>
      <c r="U479" s="9" t="s">
        <v>13284</v>
      </c>
      <c r="V479" s="9" t="s">
        <v>13284</v>
      </c>
      <c r="W479" s="12"/>
      <c r="X479" s="9" t="str">
        <f t="array" ref="X479">IFERROR(INDEX('Адреса общежитий (скрытый)'!$B$2:$B$9, MATCH(W479, 'Адреса общежитий (скрытый)'!$A$2:$A$9, 0)), "")</f>
        <v/>
      </c>
      <c r="Y479" s="18"/>
      <c r="Z479" s="18"/>
      <c r="AA479" s="18"/>
      <c r="AB479" s="18"/>
      <c r="AC479" s="18"/>
    </row>
    <row r="480" spans="1:29" ht="32.25" customHeight="1">
      <c r="A480" s="8">
        <v>2304489</v>
      </c>
      <c r="B480" s="9" t="s">
        <v>13284</v>
      </c>
      <c r="C480" s="9" t="s">
        <v>13284</v>
      </c>
      <c r="D480" s="9" t="s">
        <v>13284</v>
      </c>
      <c r="E480" s="9" t="s">
        <v>13284</v>
      </c>
      <c r="F480" s="9" t="s">
        <v>13284</v>
      </c>
      <c r="G480" s="9" t="s">
        <v>13284</v>
      </c>
      <c r="H480" s="9" t="s">
        <v>13284</v>
      </c>
      <c r="I480" s="9" t="s">
        <v>13284</v>
      </c>
      <c r="J480" s="9" t="s">
        <v>13284</v>
      </c>
      <c r="K480" s="9" t="s">
        <v>13284</v>
      </c>
      <c r="L480" s="9" t="s">
        <v>13284</v>
      </c>
      <c r="M480" s="9" t="s">
        <v>13284</v>
      </c>
      <c r="N480" s="9" t="s">
        <v>13284</v>
      </c>
      <c r="O480" s="9" t="s">
        <v>13284</v>
      </c>
      <c r="P480" s="9" t="s">
        <v>13284</v>
      </c>
      <c r="Q480" s="9" t="s">
        <v>13284</v>
      </c>
      <c r="R480" s="9" t="s">
        <v>13284</v>
      </c>
      <c r="S480" s="9" t="s">
        <v>13284</v>
      </c>
      <c r="T480" s="9" t="str">
        <f ca="1">IFERROR(IF(AND(VLOOKUP(A480, 'Актуальное состояние (из общего'!A:C,3,0) = "", A480 &lt;&gt; ""), "ПРОВЕРИТЬ", VLOOKUP(A480, 'Актуальное состояние (из общего'!A:C,3,0)), "")</f>
        <v>Студент</v>
      </c>
      <c r="U480" s="9" t="s">
        <v>13284</v>
      </c>
      <c r="V480" s="9" t="s">
        <v>13284</v>
      </c>
      <c r="W480" s="12"/>
      <c r="X480" s="9" t="str">
        <f t="array" ref="X480">IFERROR(INDEX('Адреса общежитий (скрытый)'!$B$2:$B$9, MATCH(W480, 'Адреса общежитий (скрытый)'!$A$2:$A$9, 0)), "")</f>
        <v/>
      </c>
      <c r="Y480" s="18"/>
      <c r="Z480" s="18"/>
      <c r="AA480" s="18"/>
      <c r="AB480" s="18"/>
      <c r="AC480" s="18"/>
    </row>
    <row r="481" spans="1:29" ht="32.25" customHeight="1">
      <c r="A481" s="8">
        <v>2309654</v>
      </c>
      <c r="B481" s="9" t="s">
        <v>13284</v>
      </c>
      <c r="C481" s="9" t="s">
        <v>13284</v>
      </c>
      <c r="D481" s="9" t="s">
        <v>13284</v>
      </c>
      <c r="E481" s="9" t="s">
        <v>13284</v>
      </c>
      <c r="F481" s="9" t="s">
        <v>13284</v>
      </c>
      <c r="G481" s="9" t="s">
        <v>13284</v>
      </c>
      <c r="H481" s="9" t="s">
        <v>13284</v>
      </c>
      <c r="I481" s="9" t="s">
        <v>13284</v>
      </c>
      <c r="J481" s="9" t="s">
        <v>13284</v>
      </c>
      <c r="K481" s="9" t="s">
        <v>13284</v>
      </c>
      <c r="L481" s="9" t="s">
        <v>13284</v>
      </c>
      <c r="M481" s="9" t="s">
        <v>13284</v>
      </c>
      <c r="N481" s="9" t="s">
        <v>13284</v>
      </c>
      <c r="O481" s="9" t="s">
        <v>13284</v>
      </c>
      <c r="P481" s="9" t="s">
        <v>13284</v>
      </c>
      <c r="Q481" s="9" t="s">
        <v>13284</v>
      </c>
      <c r="R481" s="9" t="s">
        <v>13284</v>
      </c>
      <c r="S481" s="9" t="s">
        <v>13284</v>
      </c>
      <c r="T481" s="9" t="str">
        <f ca="1">IFERROR(IF(AND(VLOOKUP(A481, 'Актуальное состояние (из общего'!A:C,3,0) = "", A481 &lt;&gt; ""), "ПРОВЕРИТЬ", VLOOKUP(A481, 'Актуальное состояние (из общего'!A:C,3,0)), "")</f>
        <v>Студент</v>
      </c>
      <c r="U481" s="9" t="s">
        <v>13284</v>
      </c>
      <c r="V481" s="9" t="s">
        <v>13284</v>
      </c>
      <c r="W481" s="12"/>
      <c r="X481" s="9" t="str">
        <f t="array" ref="X481">IFERROR(INDEX('Адреса общежитий (скрытый)'!$B$2:$B$9, MATCH(W481, 'Адреса общежитий (скрытый)'!$A$2:$A$9, 0)), "")</f>
        <v/>
      </c>
      <c r="Y481" s="18"/>
      <c r="Z481" s="18"/>
      <c r="AA481" s="18"/>
      <c r="AB481" s="18"/>
      <c r="AC481" s="18"/>
    </row>
    <row r="482" spans="1:29" ht="32.25" customHeight="1">
      <c r="A482" s="8">
        <v>2306395</v>
      </c>
      <c r="B482" s="9" t="s">
        <v>13284</v>
      </c>
      <c r="C482" s="9" t="s">
        <v>13284</v>
      </c>
      <c r="D482" s="9" t="s">
        <v>13284</v>
      </c>
      <c r="E482" s="9" t="s">
        <v>13284</v>
      </c>
      <c r="F482" s="9" t="s">
        <v>13284</v>
      </c>
      <c r="G482" s="9" t="s">
        <v>13284</v>
      </c>
      <c r="H482" s="9" t="s">
        <v>13284</v>
      </c>
      <c r="I482" s="9" t="s">
        <v>13284</v>
      </c>
      <c r="J482" s="9" t="s">
        <v>13284</v>
      </c>
      <c r="K482" s="9" t="s">
        <v>13284</v>
      </c>
      <c r="L482" s="9" t="s">
        <v>13284</v>
      </c>
      <c r="M482" s="9" t="s">
        <v>13284</v>
      </c>
      <c r="N482" s="9" t="s">
        <v>13284</v>
      </c>
      <c r="O482" s="9" t="s">
        <v>13284</v>
      </c>
      <c r="P482" s="9" t="s">
        <v>13284</v>
      </c>
      <c r="Q482" s="9" t="s">
        <v>13284</v>
      </c>
      <c r="R482" s="9" t="s">
        <v>13284</v>
      </c>
      <c r="S482" s="9" t="s">
        <v>13284</v>
      </c>
      <c r="T482" s="9" t="str">
        <f ca="1">IFERROR(IF(AND(VLOOKUP(A482, 'Актуальное состояние (из общего'!A:C,3,0) = "", A482 &lt;&gt; ""), "ПРОВЕРИТЬ", VLOOKUP(A482, 'Актуальное состояние (из общего'!A:C,3,0)), "")</f>
        <v>Студент</v>
      </c>
      <c r="U482" s="9" t="s">
        <v>13284</v>
      </c>
      <c r="V482" s="9" t="s">
        <v>13284</v>
      </c>
      <c r="W482" s="12" t="s">
        <v>76</v>
      </c>
      <c r="X482" s="9" t="str">
        <f t="array" ref="X482">IFERROR(INDEX('Адреса общежитий (скрытый)'!$B$2:$B$9, MATCH(W482, 'Адреса общежитий (скрытый)'!$A$2:$A$9, 0)), "")</f>
        <v>ул. Студенческая, д. 33, корп. 5,6</v>
      </c>
      <c r="Y482" s="18"/>
      <c r="Z482" s="18"/>
      <c r="AA482" s="18"/>
      <c r="AB482" s="18"/>
      <c r="AC482" s="18"/>
    </row>
    <row r="483" spans="1:29" ht="32.25" customHeight="1">
      <c r="A483" s="8">
        <v>2301980</v>
      </c>
      <c r="B483" s="9" t="s">
        <v>13284</v>
      </c>
      <c r="C483" s="9" t="s">
        <v>13284</v>
      </c>
      <c r="D483" s="9" t="s">
        <v>13284</v>
      </c>
      <c r="E483" s="9" t="s">
        <v>13284</v>
      </c>
      <c r="F483" s="9" t="s">
        <v>13284</v>
      </c>
      <c r="G483" s="9" t="s">
        <v>13284</v>
      </c>
      <c r="H483" s="9" t="s">
        <v>13284</v>
      </c>
      <c r="I483" s="9" t="s">
        <v>13284</v>
      </c>
      <c r="J483" s="9" t="s">
        <v>13284</v>
      </c>
      <c r="K483" s="9" t="s">
        <v>13284</v>
      </c>
      <c r="L483" s="9" t="s">
        <v>13284</v>
      </c>
      <c r="M483" s="9" t="s">
        <v>13284</v>
      </c>
      <c r="N483" s="9" t="s">
        <v>13284</v>
      </c>
      <c r="O483" s="9" t="s">
        <v>13284</v>
      </c>
      <c r="P483" s="9" t="s">
        <v>13284</v>
      </c>
      <c r="Q483" s="9" t="s">
        <v>13284</v>
      </c>
      <c r="R483" s="9" t="s">
        <v>13284</v>
      </c>
      <c r="S483" s="9" t="s">
        <v>13284</v>
      </c>
      <c r="T483" s="9" t="str">
        <f ca="1">IFERROR(IF(AND(VLOOKUP(A483, 'Актуальное состояние (из общего'!A:C,3,0) = "", A483 &lt;&gt; ""), "ПРОВЕРИТЬ", VLOOKUP(A483, 'Актуальное состояние (из общего'!A:C,3,0)), "")</f>
        <v>Студент</v>
      </c>
      <c r="U483" s="9" t="s">
        <v>13284</v>
      </c>
      <c r="V483" s="9" t="s">
        <v>13284</v>
      </c>
      <c r="W483" s="12"/>
      <c r="X483" s="9" t="str">
        <f t="array" ref="X483">IFERROR(INDEX('Адреса общежитий (скрытый)'!$B$2:$B$9, MATCH(W483, 'Адреса общежитий (скрытый)'!$A$2:$A$9, 0)), "")</f>
        <v/>
      </c>
      <c r="Y483" s="18"/>
      <c r="Z483" s="18"/>
      <c r="AA483" s="18"/>
      <c r="AB483" s="18"/>
      <c r="AC483" s="18"/>
    </row>
    <row r="484" spans="1:29" ht="32.25" hidden="1" customHeight="1">
      <c r="A484" s="8">
        <v>2302938</v>
      </c>
      <c r="B484" s="9" t="s">
        <v>13284</v>
      </c>
      <c r="C484" s="9" t="s">
        <v>13284</v>
      </c>
      <c r="D484" s="9" t="s">
        <v>13284</v>
      </c>
      <c r="E484" s="9" t="s">
        <v>13284</v>
      </c>
      <c r="F484" s="9" t="s">
        <v>13284</v>
      </c>
      <c r="G484" s="9" t="s">
        <v>13284</v>
      </c>
      <c r="H484" s="9" t="s">
        <v>13284</v>
      </c>
      <c r="I484" s="9" t="s">
        <v>13284</v>
      </c>
      <c r="J484" s="9" t="s">
        <v>13284</v>
      </c>
      <c r="K484" s="9" t="s">
        <v>13284</v>
      </c>
      <c r="L484" s="9" t="s">
        <v>13284</v>
      </c>
      <c r="M484" s="9" t="s">
        <v>13284</v>
      </c>
      <c r="N484" s="9" t="s">
        <v>13284</v>
      </c>
      <c r="O484" s="9" t="s">
        <v>13284</v>
      </c>
      <c r="P484" s="9" t="s">
        <v>13284</v>
      </c>
      <c r="Q484" s="9" t="s">
        <v>13284</v>
      </c>
      <c r="R484" s="9" t="s">
        <v>13284</v>
      </c>
      <c r="S484" s="9" t="s">
        <v>13284</v>
      </c>
      <c r="T484" s="9" t="str">
        <f ca="1">IFERROR(IF(AND(VLOOKUP(A484, 'Актуальное состояние (из общего'!A:C,3,0) = "", A484 &lt;&gt; ""), "ПРОВЕРИТЬ", VLOOKUP(A484, 'Актуальное состояние (из общего'!A:C,3,0)), "")</f>
        <v>Студент</v>
      </c>
      <c r="U484" s="9" t="s">
        <v>13284</v>
      </c>
      <c r="V484" s="9" t="s">
        <v>13284</v>
      </c>
      <c r="W484" s="12"/>
      <c r="X484" s="9" t="str">
        <f t="array" ref="X484">IFERROR(INDEX('Адреса общежитий (скрытый)'!$B$2:$B$9, MATCH(W484, 'Адреса общежитий (скрытый)'!$A$2:$A$9, 0)), "")</f>
        <v/>
      </c>
      <c r="Y484" s="18"/>
      <c r="Z484" s="18"/>
      <c r="AA484" s="18"/>
      <c r="AB484" s="18"/>
      <c r="AC484" s="18"/>
    </row>
    <row r="485" spans="1:29" ht="32.25" customHeight="1">
      <c r="A485" s="8">
        <v>2312161</v>
      </c>
      <c r="B485" s="9" t="s">
        <v>13284</v>
      </c>
      <c r="C485" s="9" t="s">
        <v>13284</v>
      </c>
      <c r="D485" s="9" t="s">
        <v>13284</v>
      </c>
      <c r="E485" s="9" t="s">
        <v>13284</v>
      </c>
      <c r="F485" s="9" t="s">
        <v>13284</v>
      </c>
      <c r="G485" s="9" t="s">
        <v>13284</v>
      </c>
      <c r="H485" s="9" t="s">
        <v>13284</v>
      </c>
      <c r="I485" s="9" t="s">
        <v>13284</v>
      </c>
      <c r="J485" s="9" t="s">
        <v>13284</v>
      </c>
      <c r="K485" s="9" t="s">
        <v>13284</v>
      </c>
      <c r="L485" s="9" t="s">
        <v>13284</v>
      </c>
      <c r="M485" s="9" t="s">
        <v>13284</v>
      </c>
      <c r="N485" s="9" t="s">
        <v>13284</v>
      </c>
      <c r="O485" s="9" t="s">
        <v>13284</v>
      </c>
      <c r="P485" s="9" t="s">
        <v>13284</v>
      </c>
      <c r="Q485" s="9" t="s">
        <v>13284</v>
      </c>
      <c r="R485" s="9" t="s">
        <v>13284</v>
      </c>
      <c r="S485" s="9" t="s">
        <v>13284</v>
      </c>
      <c r="T485" s="9" t="str">
        <f ca="1">IFERROR(IF(AND(VLOOKUP(A485, 'Актуальное состояние (из общего'!A:C,3,0) = "", A485 &lt;&gt; ""), "ПРОВЕРИТЬ", VLOOKUP(A485, 'Актуальное состояние (из общего'!A:C,3,0)), "")</f>
        <v>Студент</v>
      </c>
      <c r="U485" s="9" t="s">
        <v>13284</v>
      </c>
      <c r="V485" s="9" t="s">
        <v>13284</v>
      </c>
      <c r="W485" s="12"/>
      <c r="X485" s="9" t="str">
        <f t="array" ref="X485">IFERROR(INDEX('Адреса общежитий (скрытый)'!$B$2:$B$9, MATCH(W485, 'Адреса общежитий (скрытый)'!$A$2:$A$9, 0)), "")</f>
        <v/>
      </c>
      <c r="Y485" s="18"/>
      <c r="Z485" s="18"/>
      <c r="AA485" s="18"/>
      <c r="AB485" s="18"/>
      <c r="AC485" s="18"/>
    </row>
    <row r="486" spans="1:29" ht="32.25" customHeight="1">
      <c r="A486" s="8">
        <v>2307169</v>
      </c>
      <c r="B486" s="9" t="s">
        <v>13284</v>
      </c>
      <c r="C486" s="9" t="s">
        <v>13284</v>
      </c>
      <c r="D486" s="9" t="s">
        <v>13284</v>
      </c>
      <c r="E486" s="9" t="s">
        <v>13284</v>
      </c>
      <c r="F486" s="9" t="s">
        <v>13284</v>
      </c>
      <c r="G486" s="9" t="s">
        <v>13284</v>
      </c>
      <c r="H486" s="9" t="s">
        <v>13284</v>
      </c>
      <c r="I486" s="9" t="s">
        <v>13284</v>
      </c>
      <c r="J486" s="9" t="s">
        <v>13284</v>
      </c>
      <c r="K486" s="9" t="s">
        <v>13284</v>
      </c>
      <c r="L486" s="9" t="s">
        <v>13284</v>
      </c>
      <c r="M486" s="9" t="s">
        <v>13284</v>
      </c>
      <c r="N486" s="9" t="s">
        <v>13284</v>
      </c>
      <c r="O486" s="9" t="s">
        <v>13284</v>
      </c>
      <c r="P486" s="9" t="s">
        <v>13284</v>
      </c>
      <c r="Q486" s="9" t="s">
        <v>13284</v>
      </c>
      <c r="R486" s="9" t="s">
        <v>13284</v>
      </c>
      <c r="S486" s="9" t="s">
        <v>13284</v>
      </c>
      <c r="T486" s="9" t="str">
        <f ca="1">IFERROR(IF(AND(VLOOKUP(A486, 'Актуальное состояние (из общего'!A:C,3,0) = "", A486 &lt;&gt; ""), "ПРОВЕРИТЬ", VLOOKUP(A486, 'Актуальное состояние (из общего'!A:C,3,0)), "")</f>
        <v>Студент</v>
      </c>
      <c r="U486" s="9" t="s">
        <v>13284</v>
      </c>
      <c r="V486" s="9" t="s">
        <v>13284</v>
      </c>
      <c r="W486" s="12"/>
      <c r="X486" s="9" t="str">
        <f t="array" ref="X486">IFERROR(INDEX('Адреса общежитий (скрытый)'!$B$2:$B$9, MATCH(W486, 'Адреса общежитий (скрытый)'!$A$2:$A$9, 0)), "")</f>
        <v/>
      </c>
      <c r="Y486" s="18"/>
      <c r="Z486" s="18"/>
      <c r="AA486" s="18"/>
      <c r="AB486" s="18"/>
      <c r="AC486" s="18"/>
    </row>
    <row r="487" spans="1:29" ht="32.25" customHeight="1">
      <c r="A487" s="8">
        <v>2303180</v>
      </c>
      <c r="B487" s="9" t="s">
        <v>13284</v>
      </c>
      <c r="C487" s="9" t="s">
        <v>13284</v>
      </c>
      <c r="D487" s="9" t="s">
        <v>13284</v>
      </c>
      <c r="E487" s="9" t="s">
        <v>13284</v>
      </c>
      <c r="F487" s="9" t="s">
        <v>13284</v>
      </c>
      <c r="G487" s="9" t="s">
        <v>13284</v>
      </c>
      <c r="H487" s="9" t="s">
        <v>13284</v>
      </c>
      <c r="I487" s="9" t="s">
        <v>13284</v>
      </c>
      <c r="J487" s="9" t="s">
        <v>13284</v>
      </c>
      <c r="K487" s="9" t="s">
        <v>13284</v>
      </c>
      <c r="L487" s="9" t="s">
        <v>13284</v>
      </c>
      <c r="M487" s="9" t="s">
        <v>13284</v>
      </c>
      <c r="N487" s="9" t="s">
        <v>13284</v>
      </c>
      <c r="O487" s="9" t="s">
        <v>13284</v>
      </c>
      <c r="P487" s="9" t="s">
        <v>13284</v>
      </c>
      <c r="Q487" s="9" t="s">
        <v>13284</v>
      </c>
      <c r="R487" s="9" t="s">
        <v>13284</v>
      </c>
      <c r="S487" s="9" t="s">
        <v>13284</v>
      </c>
      <c r="T487" s="9" t="str">
        <f ca="1">IFERROR(IF(AND(VLOOKUP(A487, 'Актуальное состояние (из общего'!A:C,3,0) = "", A487 &lt;&gt; ""), "ПРОВЕРИТЬ", VLOOKUP(A487, 'Актуальное состояние (из общего'!A:C,3,0)), "")</f>
        <v>Студент</v>
      </c>
      <c r="U487" s="9" t="s">
        <v>13284</v>
      </c>
      <c r="V487" s="9" t="s">
        <v>13284</v>
      </c>
      <c r="W487" s="12"/>
      <c r="X487" s="9" t="str">
        <f t="array" ref="X487">IFERROR(INDEX('Адреса общежитий (скрытый)'!$B$2:$B$9, MATCH(W487, 'Адреса общежитий (скрытый)'!$A$2:$A$9, 0)), "")</f>
        <v/>
      </c>
      <c r="Y487" s="18"/>
      <c r="Z487" s="18"/>
      <c r="AA487" s="18"/>
      <c r="AB487" s="18"/>
      <c r="AC487" s="18"/>
    </row>
    <row r="488" spans="1:29" ht="32.25" hidden="1" customHeight="1">
      <c r="A488" s="8">
        <v>2313686</v>
      </c>
      <c r="B488" s="9" t="s">
        <v>13284</v>
      </c>
      <c r="C488" s="9" t="s">
        <v>13284</v>
      </c>
      <c r="D488" s="9" t="s">
        <v>13284</v>
      </c>
      <c r="E488" s="9" t="s">
        <v>13284</v>
      </c>
      <c r="F488" s="9" t="s">
        <v>13284</v>
      </c>
      <c r="G488" s="9" t="s">
        <v>13284</v>
      </c>
      <c r="H488" s="9" t="s">
        <v>13284</v>
      </c>
      <c r="I488" s="9" t="s">
        <v>13284</v>
      </c>
      <c r="J488" s="9" t="s">
        <v>13284</v>
      </c>
      <c r="K488" s="9" t="s">
        <v>13284</v>
      </c>
      <c r="L488" s="9" t="s">
        <v>13284</v>
      </c>
      <c r="M488" s="9" t="s">
        <v>13284</v>
      </c>
      <c r="N488" s="9" t="s">
        <v>13284</v>
      </c>
      <c r="O488" s="9" t="s">
        <v>13284</v>
      </c>
      <c r="P488" s="9" t="s">
        <v>13284</v>
      </c>
      <c r="Q488" s="9" t="s">
        <v>13284</v>
      </c>
      <c r="R488" s="9" t="s">
        <v>13284</v>
      </c>
      <c r="S488" s="9" t="s">
        <v>13284</v>
      </c>
      <c r="T488" s="9" t="str">
        <f ca="1">IFERROR(IF(AND(VLOOKUP(A488, 'Актуальное состояние (из общего'!A:C,3,0) = "", A488 &lt;&gt; ""), "ПРОВЕРИТЬ", VLOOKUP(A488, 'Актуальное состояние (из общего'!A:C,3,0)), "")</f>
        <v>Студент</v>
      </c>
      <c r="U488" s="9" t="s">
        <v>13284</v>
      </c>
      <c r="V488" s="9" t="s">
        <v>13284</v>
      </c>
      <c r="W488" s="12"/>
      <c r="X488" s="9" t="str">
        <f t="array" ref="X488">IFERROR(INDEX('Адреса общежитий (скрытый)'!$B$2:$B$9, MATCH(W488, 'Адреса общежитий (скрытый)'!$A$2:$A$9, 0)), "")</f>
        <v/>
      </c>
      <c r="Y488" s="18"/>
      <c r="Z488" s="18"/>
      <c r="AA488" s="18"/>
      <c r="AB488" s="18"/>
      <c r="AC488" s="18"/>
    </row>
    <row r="489" spans="1:29" ht="32.25" customHeight="1">
      <c r="A489" s="8">
        <v>2301540</v>
      </c>
      <c r="B489" s="9" t="s">
        <v>13284</v>
      </c>
      <c r="C489" s="9" t="s">
        <v>13284</v>
      </c>
      <c r="D489" s="9" t="s">
        <v>13284</v>
      </c>
      <c r="E489" s="9" t="s">
        <v>13284</v>
      </c>
      <c r="F489" s="9" t="s">
        <v>13284</v>
      </c>
      <c r="G489" s="9" t="s">
        <v>13284</v>
      </c>
      <c r="H489" s="9" t="s">
        <v>13284</v>
      </c>
      <c r="I489" s="9" t="s">
        <v>13284</v>
      </c>
      <c r="J489" s="9" t="s">
        <v>13284</v>
      </c>
      <c r="K489" s="9" t="s">
        <v>13284</v>
      </c>
      <c r="L489" s="9" t="s">
        <v>13284</v>
      </c>
      <c r="M489" s="9" t="s">
        <v>13284</v>
      </c>
      <c r="N489" s="9" t="s">
        <v>13284</v>
      </c>
      <c r="O489" s="9" t="s">
        <v>13284</v>
      </c>
      <c r="P489" s="9" t="s">
        <v>13284</v>
      </c>
      <c r="Q489" s="9" t="s">
        <v>13284</v>
      </c>
      <c r="R489" s="9" t="s">
        <v>13284</v>
      </c>
      <c r="S489" s="9" t="s">
        <v>13284</v>
      </c>
      <c r="T489" s="9" t="str">
        <f ca="1">IFERROR(IF(AND(VLOOKUP(A489, 'Актуальное состояние (из общего'!A:C,3,0) = "", A489 &lt;&gt; ""), "ПРОВЕРИТЬ", VLOOKUP(A489, 'Актуальное состояние (из общего'!A:C,3,0)), "")</f>
        <v>Студент</v>
      </c>
      <c r="U489" s="9" t="s">
        <v>13284</v>
      </c>
      <c r="V489" s="9" t="s">
        <v>13284</v>
      </c>
      <c r="W489" s="12"/>
      <c r="X489" s="9" t="str">
        <f t="array" ref="X489">IFERROR(INDEX('Адреса общежитий (скрытый)'!$B$2:$B$9, MATCH(W489, 'Адреса общежитий (скрытый)'!$A$2:$A$9, 0)), "")</f>
        <v/>
      </c>
      <c r="Y489" s="18"/>
      <c r="Z489" s="18"/>
      <c r="AA489" s="18"/>
      <c r="AB489" s="18"/>
      <c r="AC489" s="18"/>
    </row>
    <row r="490" spans="1:29" ht="32.25" customHeight="1">
      <c r="A490" s="8">
        <v>2300729</v>
      </c>
      <c r="B490" s="9" t="s">
        <v>13284</v>
      </c>
      <c r="C490" s="9" t="s">
        <v>13284</v>
      </c>
      <c r="D490" s="9" t="s">
        <v>13284</v>
      </c>
      <c r="E490" s="9" t="s">
        <v>13284</v>
      </c>
      <c r="F490" s="9" t="s">
        <v>13284</v>
      </c>
      <c r="G490" s="9" t="s">
        <v>13284</v>
      </c>
      <c r="H490" s="9" t="s">
        <v>13284</v>
      </c>
      <c r="I490" s="9" t="s">
        <v>13284</v>
      </c>
      <c r="J490" s="9" t="s">
        <v>13284</v>
      </c>
      <c r="K490" s="9" t="s">
        <v>13284</v>
      </c>
      <c r="L490" s="9" t="s">
        <v>13284</v>
      </c>
      <c r="M490" s="9" t="s">
        <v>13284</v>
      </c>
      <c r="N490" s="9" t="s">
        <v>13284</v>
      </c>
      <c r="O490" s="9" t="s">
        <v>13284</v>
      </c>
      <c r="P490" s="9" t="s">
        <v>13284</v>
      </c>
      <c r="Q490" s="9" t="s">
        <v>13284</v>
      </c>
      <c r="R490" s="9" t="s">
        <v>13284</v>
      </c>
      <c r="S490" s="9" t="s">
        <v>13284</v>
      </c>
      <c r="T490" s="9" t="str">
        <f ca="1">IFERROR(IF(AND(VLOOKUP(A490, 'Актуальное состояние (из общего'!A:C,3,0) = "", A490 &lt;&gt; ""), "ПРОВЕРИТЬ", VLOOKUP(A490, 'Актуальное состояние (из общего'!A:C,3,0)), "")</f>
        <v>Студент</v>
      </c>
      <c r="U490" s="9" t="s">
        <v>13284</v>
      </c>
      <c r="V490" s="9" t="s">
        <v>13284</v>
      </c>
      <c r="W490" s="12"/>
      <c r="X490" s="9" t="str">
        <f t="array" ref="X490">IFERROR(INDEX('Адреса общежитий (скрытый)'!$B$2:$B$9, MATCH(W490, 'Адреса общежитий (скрытый)'!$A$2:$A$9, 0)), "")</f>
        <v/>
      </c>
      <c r="Y490" s="18"/>
      <c r="Z490" s="18"/>
      <c r="AA490" s="18"/>
      <c r="AB490" s="18"/>
      <c r="AC490" s="18"/>
    </row>
    <row r="491" spans="1:29" ht="32.25" hidden="1" customHeight="1">
      <c r="A491" s="8">
        <v>2300761</v>
      </c>
      <c r="B491" s="9" t="s">
        <v>13284</v>
      </c>
      <c r="C491" s="9" t="s">
        <v>13284</v>
      </c>
      <c r="D491" s="9" t="s">
        <v>13284</v>
      </c>
      <c r="E491" s="9" t="s">
        <v>13284</v>
      </c>
      <c r="F491" s="9" t="s">
        <v>13284</v>
      </c>
      <c r="G491" s="9" t="s">
        <v>13284</v>
      </c>
      <c r="H491" s="9" t="s">
        <v>13284</v>
      </c>
      <c r="I491" s="9" t="s">
        <v>13284</v>
      </c>
      <c r="J491" s="9" t="s">
        <v>13284</v>
      </c>
      <c r="K491" s="9" t="s">
        <v>13284</v>
      </c>
      <c r="L491" s="9" t="s">
        <v>13284</v>
      </c>
      <c r="M491" s="9" t="s">
        <v>13284</v>
      </c>
      <c r="N491" s="9" t="s">
        <v>13284</v>
      </c>
      <c r="O491" s="9" t="s">
        <v>13284</v>
      </c>
      <c r="P491" s="9" t="s">
        <v>13284</v>
      </c>
      <c r="Q491" s="9" t="s">
        <v>13284</v>
      </c>
      <c r="R491" s="9" t="s">
        <v>13284</v>
      </c>
      <c r="S491" s="9" t="s">
        <v>13284</v>
      </c>
      <c r="T491" s="9" t="str">
        <f ca="1">IFERROR(IF(AND(VLOOKUP(A491, 'Актуальное состояние (из общего'!A:C,3,0) = "", A491 &lt;&gt; ""), "ПРОВЕРИТЬ", VLOOKUP(A491, 'Актуальное состояние (из общего'!A:C,3,0)), "")</f>
        <v>Студент</v>
      </c>
      <c r="U491" s="9" t="s">
        <v>13284</v>
      </c>
      <c r="V491" s="9" t="s">
        <v>13284</v>
      </c>
      <c r="W491" s="12"/>
      <c r="X491" s="9" t="str">
        <f t="array" ref="X491">IFERROR(INDEX('Адреса общежитий (скрытый)'!$B$2:$B$9, MATCH(W491, 'Адреса общежитий (скрытый)'!$A$2:$A$9, 0)), "")</f>
        <v/>
      </c>
      <c r="Y491" s="18"/>
      <c r="Z491" s="18"/>
      <c r="AA491" s="18"/>
      <c r="AB491" s="18"/>
      <c r="AC491" s="18"/>
    </row>
    <row r="492" spans="1:29" ht="32.25" customHeight="1">
      <c r="A492" s="8">
        <v>2302352</v>
      </c>
      <c r="B492" s="9" t="s">
        <v>13284</v>
      </c>
      <c r="C492" s="9" t="s">
        <v>13284</v>
      </c>
      <c r="D492" s="9" t="s">
        <v>13284</v>
      </c>
      <c r="E492" s="9" t="s">
        <v>13284</v>
      </c>
      <c r="F492" s="9" t="s">
        <v>13284</v>
      </c>
      <c r="G492" s="9" t="s">
        <v>13284</v>
      </c>
      <c r="H492" s="9" t="s">
        <v>13284</v>
      </c>
      <c r="I492" s="9" t="s">
        <v>13284</v>
      </c>
      <c r="J492" s="9" t="s">
        <v>13284</v>
      </c>
      <c r="K492" s="9" t="s">
        <v>13284</v>
      </c>
      <c r="L492" s="9" t="s">
        <v>13284</v>
      </c>
      <c r="M492" s="9" t="s">
        <v>13284</v>
      </c>
      <c r="N492" s="9" t="s">
        <v>13284</v>
      </c>
      <c r="O492" s="9" t="s">
        <v>13284</v>
      </c>
      <c r="P492" s="9" t="s">
        <v>13284</v>
      </c>
      <c r="Q492" s="9" t="s">
        <v>13284</v>
      </c>
      <c r="R492" s="9" t="s">
        <v>13284</v>
      </c>
      <c r="S492" s="9" t="s">
        <v>13284</v>
      </c>
      <c r="T492" s="9" t="str">
        <f ca="1">IFERROR(IF(AND(VLOOKUP(A492, 'Актуальное состояние (из общего'!A:C,3,0) = "", A492 &lt;&gt; ""), "ПРОВЕРИТЬ", VLOOKUP(A492, 'Актуальное состояние (из общего'!A:C,3,0)), "")</f>
        <v>Студент</v>
      </c>
      <c r="U492" s="9" t="s">
        <v>13284</v>
      </c>
      <c r="V492" s="9" t="s">
        <v>13284</v>
      </c>
      <c r="W492" s="12"/>
      <c r="X492" s="9" t="str">
        <f t="array" ref="X492">IFERROR(INDEX('Адреса общежитий (скрытый)'!$B$2:$B$9, MATCH(W492, 'Адреса общежитий (скрытый)'!$A$2:$A$9, 0)), "")</f>
        <v/>
      </c>
      <c r="Y492" s="18"/>
      <c r="Z492" s="18"/>
      <c r="AA492" s="18"/>
      <c r="AB492" s="18"/>
      <c r="AC492" s="18"/>
    </row>
    <row r="493" spans="1:29" ht="32.25" customHeight="1">
      <c r="A493" s="8">
        <v>2310231</v>
      </c>
      <c r="B493" s="9" t="s">
        <v>13284</v>
      </c>
      <c r="C493" s="9" t="s">
        <v>13284</v>
      </c>
      <c r="D493" s="9" t="s">
        <v>13284</v>
      </c>
      <c r="E493" s="9" t="s">
        <v>13284</v>
      </c>
      <c r="F493" s="9" t="s">
        <v>13284</v>
      </c>
      <c r="G493" s="9" t="s">
        <v>13284</v>
      </c>
      <c r="H493" s="9" t="s">
        <v>13284</v>
      </c>
      <c r="I493" s="9" t="s">
        <v>13284</v>
      </c>
      <c r="J493" s="9" t="s">
        <v>13284</v>
      </c>
      <c r="K493" s="9" t="s">
        <v>13284</v>
      </c>
      <c r="L493" s="9" t="s">
        <v>13284</v>
      </c>
      <c r="M493" s="9" t="s">
        <v>13284</v>
      </c>
      <c r="N493" s="9" t="s">
        <v>13284</v>
      </c>
      <c r="O493" s="9" t="s">
        <v>13284</v>
      </c>
      <c r="P493" s="9" t="s">
        <v>13284</v>
      </c>
      <c r="Q493" s="9" t="s">
        <v>13284</v>
      </c>
      <c r="R493" s="9" t="s">
        <v>13284</v>
      </c>
      <c r="S493" s="9" t="s">
        <v>13284</v>
      </c>
      <c r="T493" s="9" t="str">
        <f ca="1">IFERROR(IF(AND(VLOOKUP(A493, 'Актуальное состояние (из общего'!A:C,3,0) = "", A493 &lt;&gt; ""), "ПРОВЕРИТЬ", VLOOKUP(A493, 'Актуальное состояние (из общего'!A:C,3,0)), "")</f>
        <v>Студент</v>
      </c>
      <c r="U493" s="9" t="s">
        <v>13284</v>
      </c>
      <c r="V493" s="9" t="s">
        <v>13284</v>
      </c>
      <c r="W493" s="12"/>
      <c r="X493" s="9" t="str">
        <f t="array" ref="X493">IFERROR(INDEX('Адреса общежитий (скрытый)'!$B$2:$B$9, MATCH(W493, 'Адреса общежитий (скрытый)'!$A$2:$A$9, 0)), "")</f>
        <v/>
      </c>
      <c r="Y493" s="18"/>
      <c r="Z493" s="18"/>
      <c r="AA493" s="18"/>
      <c r="AB493" s="18"/>
      <c r="AC493" s="18"/>
    </row>
    <row r="494" spans="1:29" ht="32.25" customHeight="1">
      <c r="A494" s="8">
        <v>2302194</v>
      </c>
      <c r="B494" s="9" t="s">
        <v>13284</v>
      </c>
      <c r="C494" s="9" t="s">
        <v>13284</v>
      </c>
      <c r="D494" s="9" t="s">
        <v>13284</v>
      </c>
      <c r="E494" s="9" t="s">
        <v>13284</v>
      </c>
      <c r="F494" s="9" t="s">
        <v>13284</v>
      </c>
      <c r="G494" s="9" t="s">
        <v>13284</v>
      </c>
      <c r="H494" s="9" t="s">
        <v>13284</v>
      </c>
      <c r="I494" s="9" t="s">
        <v>13284</v>
      </c>
      <c r="J494" s="9" t="s">
        <v>13284</v>
      </c>
      <c r="K494" s="9" t="s">
        <v>13284</v>
      </c>
      <c r="L494" s="9" t="s">
        <v>13284</v>
      </c>
      <c r="M494" s="9" t="s">
        <v>13284</v>
      </c>
      <c r="N494" s="9" t="s">
        <v>13284</v>
      </c>
      <c r="O494" s="9" t="s">
        <v>13284</v>
      </c>
      <c r="P494" s="9" t="s">
        <v>13284</v>
      </c>
      <c r="Q494" s="9" t="s">
        <v>13284</v>
      </c>
      <c r="R494" s="9" t="s">
        <v>13284</v>
      </c>
      <c r="S494" s="9" t="s">
        <v>13284</v>
      </c>
      <c r="T494" s="9" t="str">
        <f ca="1">IFERROR(IF(AND(VLOOKUP(A494, 'Актуальное состояние (из общего'!A:C,3,0) = "", A494 &lt;&gt; ""), "ПРОВЕРИТЬ", VLOOKUP(A494, 'Актуальное состояние (из общего'!A:C,3,0)), "")</f>
        <v>Студент</v>
      </c>
      <c r="U494" s="9" t="s">
        <v>13284</v>
      </c>
      <c r="V494" s="9" t="s">
        <v>13284</v>
      </c>
      <c r="W494" s="12"/>
      <c r="X494" s="9" t="str">
        <f t="array" ref="X494">IFERROR(INDEX('Адреса общежитий (скрытый)'!$B$2:$B$9, MATCH(W494, 'Адреса общежитий (скрытый)'!$A$2:$A$9, 0)), "")</f>
        <v/>
      </c>
      <c r="Y494" s="18"/>
      <c r="Z494" s="18"/>
      <c r="AA494" s="18"/>
      <c r="AB494" s="18"/>
      <c r="AC494" s="18"/>
    </row>
    <row r="495" spans="1:29" ht="32.25" customHeight="1">
      <c r="A495" s="8">
        <v>2300754</v>
      </c>
      <c r="B495" s="9" t="s">
        <v>13284</v>
      </c>
      <c r="C495" s="9" t="s">
        <v>13284</v>
      </c>
      <c r="D495" s="9" t="s">
        <v>13284</v>
      </c>
      <c r="E495" s="9" t="s">
        <v>13284</v>
      </c>
      <c r="F495" s="9" t="s">
        <v>13284</v>
      </c>
      <c r="G495" s="9" t="s">
        <v>13284</v>
      </c>
      <c r="H495" s="9" t="s">
        <v>13284</v>
      </c>
      <c r="I495" s="9" t="s">
        <v>13284</v>
      </c>
      <c r="J495" s="9" t="s">
        <v>13284</v>
      </c>
      <c r="K495" s="9" t="s">
        <v>13284</v>
      </c>
      <c r="L495" s="9" t="s">
        <v>13284</v>
      </c>
      <c r="M495" s="9" t="s">
        <v>13284</v>
      </c>
      <c r="N495" s="9" t="s">
        <v>13284</v>
      </c>
      <c r="O495" s="9" t="s">
        <v>13284</v>
      </c>
      <c r="P495" s="9" t="s">
        <v>13284</v>
      </c>
      <c r="Q495" s="9" t="s">
        <v>13284</v>
      </c>
      <c r="R495" s="9" t="s">
        <v>13284</v>
      </c>
      <c r="S495" s="9" t="s">
        <v>13284</v>
      </c>
      <c r="T495" s="9" t="str">
        <f ca="1">IFERROR(IF(AND(VLOOKUP(A495, 'Актуальное состояние (из общего'!A:C,3,0) = "", A495 &lt;&gt; ""), "ПРОВЕРИТЬ", VLOOKUP(A495, 'Актуальное состояние (из общего'!A:C,3,0)), "")</f>
        <v>Студент</v>
      </c>
      <c r="U495" s="9" t="s">
        <v>13284</v>
      </c>
      <c r="V495" s="9" t="s">
        <v>13284</v>
      </c>
      <c r="W495" s="12"/>
      <c r="X495" s="9" t="str">
        <f t="array" ref="X495">IFERROR(INDEX('Адреса общежитий (скрытый)'!$B$2:$B$9, MATCH(W495, 'Адреса общежитий (скрытый)'!$A$2:$A$9, 0)), "")</f>
        <v/>
      </c>
      <c r="Y495" s="18"/>
      <c r="Z495" s="18"/>
      <c r="AA495" s="18"/>
      <c r="AB495" s="18"/>
      <c r="AC495" s="18"/>
    </row>
    <row r="496" spans="1:29" ht="32.25" customHeight="1">
      <c r="A496" s="8">
        <v>2309568</v>
      </c>
      <c r="B496" s="9" t="s">
        <v>13284</v>
      </c>
      <c r="C496" s="9" t="s">
        <v>13284</v>
      </c>
      <c r="D496" s="9" t="s">
        <v>13284</v>
      </c>
      <c r="E496" s="9" t="s">
        <v>13284</v>
      </c>
      <c r="F496" s="9" t="s">
        <v>13284</v>
      </c>
      <c r="G496" s="9" t="s">
        <v>13284</v>
      </c>
      <c r="H496" s="9" t="s">
        <v>13284</v>
      </c>
      <c r="I496" s="9" t="s">
        <v>13284</v>
      </c>
      <c r="J496" s="9" t="s">
        <v>13284</v>
      </c>
      <c r="K496" s="9" t="s">
        <v>13284</v>
      </c>
      <c r="L496" s="9" t="s">
        <v>13284</v>
      </c>
      <c r="M496" s="9" t="s">
        <v>13284</v>
      </c>
      <c r="N496" s="9" t="s">
        <v>13284</v>
      </c>
      <c r="O496" s="9" t="s">
        <v>13284</v>
      </c>
      <c r="P496" s="9" t="s">
        <v>13284</v>
      </c>
      <c r="Q496" s="9" t="s">
        <v>13284</v>
      </c>
      <c r="R496" s="9" t="s">
        <v>13284</v>
      </c>
      <c r="S496" s="9" t="s">
        <v>13284</v>
      </c>
      <c r="T496" s="9" t="str">
        <f ca="1">IFERROR(IF(AND(VLOOKUP(A496, 'Актуальное состояние (из общего'!A:C,3,0) = "", A496 &lt;&gt; ""), "ПРОВЕРИТЬ", VLOOKUP(A496, 'Актуальное состояние (из общего'!A:C,3,0)), "")</f>
        <v>Студент</v>
      </c>
      <c r="U496" s="9" t="s">
        <v>13284</v>
      </c>
      <c r="V496" s="9" t="s">
        <v>13284</v>
      </c>
      <c r="W496" s="12"/>
      <c r="X496" s="9" t="str">
        <f t="array" ref="X496">IFERROR(INDEX('Адреса общежитий (скрытый)'!$B$2:$B$9, MATCH(W496, 'Адреса общежитий (скрытый)'!$A$2:$A$9, 0)), "")</f>
        <v/>
      </c>
      <c r="Y496" s="18"/>
      <c r="Z496" s="18"/>
      <c r="AA496" s="18"/>
      <c r="AB496" s="18"/>
      <c r="AC496" s="18"/>
    </row>
    <row r="497" spans="1:29" ht="32.25" customHeight="1">
      <c r="A497" s="8">
        <v>2302045</v>
      </c>
      <c r="B497" s="9" t="s">
        <v>13284</v>
      </c>
      <c r="C497" s="9" t="s">
        <v>13284</v>
      </c>
      <c r="D497" s="9" t="s">
        <v>13284</v>
      </c>
      <c r="E497" s="9" t="s">
        <v>13284</v>
      </c>
      <c r="F497" s="9" t="s">
        <v>13284</v>
      </c>
      <c r="G497" s="9" t="s">
        <v>13284</v>
      </c>
      <c r="H497" s="9" t="s">
        <v>13284</v>
      </c>
      <c r="I497" s="9" t="s">
        <v>13284</v>
      </c>
      <c r="J497" s="9" t="s">
        <v>13284</v>
      </c>
      <c r="K497" s="9" t="s">
        <v>13284</v>
      </c>
      <c r="L497" s="9" t="s">
        <v>13284</v>
      </c>
      <c r="M497" s="9" t="s">
        <v>13284</v>
      </c>
      <c r="N497" s="9" t="s">
        <v>13284</v>
      </c>
      <c r="O497" s="9" t="s">
        <v>13284</v>
      </c>
      <c r="P497" s="9" t="s">
        <v>13284</v>
      </c>
      <c r="Q497" s="9" t="s">
        <v>13284</v>
      </c>
      <c r="R497" s="9" t="s">
        <v>13284</v>
      </c>
      <c r="S497" s="9" t="s">
        <v>13284</v>
      </c>
      <c r="T497" s="9" t="str">
        <f ca="1">IFERROR(IF(AND(VLOOKUP(A497, 'Актуальное состояние (из общего'!A:C,3,0) = "", A497 &lt;&gt; ""), "ПРОВЕРИТЬ", VLOOKUP(A497, 'Актуальное состояние (из общего'!A:C,3,0)), "")</f>
        <v>Студент</v>
      </c>
      <c r="U497" s="9" t="s">
        <v>13284</v>
      </c>
      <c r="V497" s="9" t="s">
        <v>13284</v>
      </c>
      <c r="W497" s="12"/>
      <c r="X497" s="9" t="str">
        <f t="array" ref="X497">IFERROR(INDEX('Адреса общежитий (скрытый)'!$B$2:$B$9, MATCH(W497, 'Адреса общежитий (скрытый)'!$A$2:$A$9, 0)), "")</f>
        <v/>
      </c>
      <c r="Y497" s="18"/>
      <c r="Z497" s="18"/>
      <c r="AA497" s="18"/>
      <c r="AB497" s="18"/>
      <c r="AC497" s="18"/>
    </row>
    <row r="498" spans="1:29" ht="32.25" customHeight="1">
      <c r="A498" s="8">
        <v>2311343</v>
      </c>
      <c r="B498" s="9" t="s">
        <v>13284</v>
      </c>
      <c r="C498" s="9" t="s">
        <v>13284</v>
      </c>
      <c r="D498" s="9" t="s">
        <v>13284</v>
      </c>
      <c r="E498" s="9" t="s">
        <v>13284</v>
      </c>
      <c r="F498" s="9" t="s">
        <v>13284</v>
      </c>
      <c r="G498" s="9" t="s">
        <v>13284</v>
      </c>
      <c r="H498" s="9" t="s">
        <v>13284</v>
      </c>
      <c r="I498" s="9" t="s">
        <v>13284</v>
      </c>
      <c r="J498" s="9" t="s">
        <v>13284</v>
      </c>
      <c r="K498" s="9" t="s">
        <v>13284</v>
      </c>
      <c r="L498" s="9" t="s">
        <v>13284</v>
      </c>
      <c r="M498" s="9" t="s">
        <v>13284</v>
      </c>
      <c r="N498" s="9" t="s">
        <v>13284</v>
      </c>
      <c r="O498" s="9" t="s">
        <v>13284</v>
      </c>
      <c r="P498" s="9" t="s">
        <v>13284</v>
      </c>
      <c r="Q498" s="9" t="s">
        <v>13284</v>
      </c>
      <c r="R498" s="9" t="s">
        <v>13284</v>
      </c>
      <c r="S498" s="9" t="s">
        <v>13284</v>
      </c>
      <c r="T498" s="9" t="str">
        <f ca="1">IFERROR(IF(AND(VLOOKUP(A498, 'Актуальное состояние (из общего'!A:C,3,0) = "", A498 &lt;&gt; ""), "ПРОВЕРИТЬ", VLOOKUP(A498, 'Актуальное состояние (из общего'!A:C,3,0)), "")</f>
        <v>Студент</v>
      </c>
      <c r="U498" s="9" t="s">
        <v>13284</v>
      </c>
      <c r="V498" s="9" t="s">
        <v>13284</v>
      </c>
      <c r="W498" s="12" t="s">
        <v>76</v>
      </c>
      <c r="X498" s="9" t="str">
        <f t="array" ref="X498">IFERROR(INDEX('Адреса общежитий (скрытый)'!$B$2:$B$9, MATCH(W498, 'Адреса общежитий (скрытый)'!$A$2:$A$9, 0)), "")</f>
        <v>ул. Студенческая, д. 33, корп. 5,6</v>
      </c>
      <c r="Y498" s="18"/>
      <c r="Z498" s="18"/>
      <c r="AA498" s="18"/>
      <c r="AB498" s="18"/>
      <c r="AC498" s="18"/>
    </row>
    <row r="499" spans="1:29" ht="32.25" customHeight="1">
      <c r="A499" s="8">
        <v>2314171</v>
      </c>
      <c r="B499" s="9" t="s">
        <v>13284</v>
      </c>
      <c r="C499" s="9" t="s">
        <v>13284</v>
      </c>
      <c r="D499" s="9" t="s">
        <v>13284</v>
      </c>
      <c r="E499" s="9" t="s">
        <v>13284</v>
      </c>
      <c r="F499" s="9" t="s">
        <v>13284</v>
      </c>
      <c r="G499" s="9" t="s">
        <v>13284</v>
      </c>
      <c r="H499" s="9" t="s">
        <v>13284</v>
      </c>
      <c r="I499" s="9" t="s">
        <v>13284</v>
      </c>
      <c r="J499" s="9" t="s">
        <v>13284</v>
      </c>
      <c r="K499" s="9" t="s">
        <v>13284</v>
      </c>
      <c r="L499" s="9" t="s">
        <v>13284</v>
      </c>
      <c r="M499" s="9" t="s">
        <v>13284</v>
      </c>
      <c r="N499" s="9" t="s">
        <v>13284</v>
      </c>
      <c r="O499" s="9" t="s">
        <v>13284</v>
      </c>
      <c r="P499" s="9" t="s">
        <v>13284</v>
      </c>
      <c r="Q499" s="9" t="s">
        <v>13284</v>
      </c>
      <c r="R499" s="9" t="s">
        <v>13284</v>
      </c>
      <c r="S499" s="9" t="s">
        <v>13284</v>
      </c>
      <c r="T499" s="9" t="str">
        <f ca="1">IFERROR(IF(AND(VLOOKUP(A499, 'Актуальное состояние (из общего'!A:C,3,0) = "", A499 &lt;&gt; ""), "ПРОВЕРИТЬ", VLOOKUP(A499, 'Актуальное состояние (из общего'!A:C,3,0)), "")</f>
        <v>Студент</v>
      </c>
      <c r="U499" s="9" t="s">
        <v>13284</v>
      </c>
      <c r="V499" s="9" t="s">
        <v>13284</v>
      </c>
      <c r="W499" s="12"/>
      <c r="X499" s="9" t="str">
        <f t="array" ref="X499">IFERROR(INDEX('Адреса общежитий (скрытый)'!$B$2:$B$9, MATCH(W499, 'Адреса общежитий (скрытый)'!$A$2:$A$9, 0)), "")</f>
        <v/>
      </c>
      <c r="Y499" s="18"/>
      <c r="Z499" s="18"/>
      <c r="AA499" s="18"/>
      <c r="AB499" s="18"/>
      <c r="AC499" s="18"/>
    </row>
    <row r="500" spans="1:29" ht="32.25" customHeight="1">
      <c r="A500" s="8">
        <v>2303117</v>
      </c>
      <c r="B500" s="9" t="s">
        <v>13284</v>
      </c>
      <c r="C500" s="9" t="s">
        <v>13284</v>
      </c>
      <c r="D500" s="9" t="s">
        <v>13284</v>
      </c>
      <c r="E500" s="9" t="s">
        <v>13284</v>
      </c>
      <c r="F500" s="9" t="s">
        <v>13284</v>
      </c>
      <c r="G500" s="9" t="s">
        <v>13284</v>
      </c>
      <c r="H500" s="9" t="s">
        <v>13284</v>
      </c>
      <c r="I500" s="9" t="s">
        <v>13284</v>
      </c>
      <c r="J500" s="9" t="s">
        <v>13284</v>
      </c>
      <c r="K500" s="9" t="s">
        <v>13284</v>
      </c>
      <c r="L500" s="9" t="s">
        <v>13284</v>
      </c>
      <c r="M500" s="9" t="s">
        <v>13284</v>
      </c>
      <c r="N500" s="9" t="s">
        <v>13284</v>
      </c>
      <c r="O500" s="9" t="s">
        <v>13284</v>
      </c>
      <c r="P500" s="9" t="s">
        <v>13284</v>
      </c>
      <c r="Q500" s="9" t="s">
        <v>13284</v>
      </c>
      <c r="R500" s="9" t="s">
        <v>13284</v>
      </c>
      <c r="S500" s="9" t="s">
        <v>13284</v>
      </c>
      <c r="T500" s="9" t="str">
        <f ca="1">IFERROR(IF(AND(VLOOKUP(A500, 'Актуальное состояние (из общего'!A:C,3,0) = "", A500 &lt;&gt; ""), "ПРОВЕРИТЬ", VLOOKUP(A500, 'Актуальное состояние (из общего'!A:C,3,0)), "")</f>
        <v>Студент</v>
      </c>
      <c r="U500" s="9" t="s">
        <v>13284</v>
      </c>
      <c r="V500" s="9" t="s">
        <v>13284</v>
      </c>
      <c r="W500" s="12" t="s">
        <v>76</v>
      </c>
      <c r="X500" s="9" t="str">
        <f t="array" ref="X500">IFERROR(INDEX('Адреса общежитий (скрытый)'!$B$2:$B$9, MATCH(W500, 'Адреса общежитий (скрытый)'!$A$2:$A$9, 0)), "")</f>
        <v>ул. Студенческая, д. 33, корп. 5,6</v>
      </c>
      <c r="Y500" s="18"/>
      <c r="Z500" s="18"/>
      <c r="AA500" s="18"/>
      <c r="AB500" s="18"/>
      <c r="AC500" s="18"/>
    </row>
    <row r="501" spans="1:29" ht="32.25" customHeight="1">
      <c r="A501" s="8">
        <v>2301885</v>
      </c>
      <c r="B501" s="9" t="s">
        <v>13284</v>
      </c>
      <c r="C501" s="9" t="s">
        <v>13284</v>
      </c>
      <c r="D501" s="9" t="s">
        <v>13284</v>
      </c>
      <c r="E501" s="9" t="s">
        <v>13284</v>
      </c>
      <c r="F501" s="9" t="s">
        <v>13284</v>
      </c>
      <c r="G501" s="9" t="s">
        <v>13284</v>
      </c>
      <c r="H501" s="9" t="s">
        <v>13284</v>
      </c>
      <c r="I501" s="9" t="s">
        <v>13284</v>
      </c>
      <c r="J501" s="9" t="s">
        <v>13284</v>
      </c>
      <c r="K501" s="9" t="s">
        <v>13284</v>
      </c>
      <c r="L501" s="9" t="s">
        <v>13284</v>
      </c>
      <c r="M501" s="9" t="s">
        <v>13284</v>
      </c>
      <c r="N501" s="9" t="s">
        <v>13284</v>
      </c>
      <c r="O501" s="9" t="s">
        <v>13284</v>
      </c>
      <c r="P501" s="9" t="s">
        <v>13284</v>
      </c>
      <c r="Q501" s="9" t="s">
        <v>13284</v>
      </c>
      <c r="R501" s="9" t="s">
        <v>13284</v>
      </c>
      <c r="S501" s="9" t="s">
        <v>13284</v>
      </c>
      <c r="T501" s="9" t="str">
        <f ca="1">IFERROR(IF(AND(VLOOKUP(A501, 'Актуальное состояние (из общего'!A:C,3,0) = "", A501 &lt;&gt; ""), "ПРОВЕРИТЬ", VLOOKUP(A501, 'Актуальное состояние (из общего'!A:C,3,0)), "")</f>
        <v>Студент</v>
      </c>
      <c r="U501" s="9" t="s">
        <v>13284</v>
      </c>
      <c r="V501" s="9" t="s">
        <v>13284</v>
      </c>
      <c r="W501" s="12"/>
      <c r="X501" s="9" t="str">
        <f t="array" ref="X501">IFERROR(INDEX('Адреса общежитий (скрытый)'!$B$2:$B$9, MATCH(W501, 'Адреса общежитий (скрытый)'!$A$2:$A$9, 0)), "")</f>
        <v/>
      </c>
      <c r="Y501" s="18"/>
      <c r="Z501" s="18"/>
      <c r="AA501" s="18"/>
      <c r="AB501" s="18"/>
      <c r="AC501" s="18"/>
    </row>
    <row r="502" spans="1:29" ht="32.25" customHeight="1">
      <c r="A502" s="8">
        <v>2312651</v>
      </c>
      <c r="B502" s="9" t="s">
        <v>13284</v>
      </c>
      <c r="C502" s="9" t="s">
        <v>13284</v>
      </c>
      <c r="D502" s="9" t="s">
        <v>13284</v>
      </c>
      <c r="E502" s="9" t="s">
        <v>13284</v>
      </c>
      <c r="F502" s="9" t="s">
        <v>13284</v>
      </c>
      <c r="G502" s="9" t="s">
        <v>13284</v>
      </c>
      <c r="H502" s="9" t="s">
        <v>13284</v>
      </c>
      <c r="I502" s="9" t="s">
        <v>13284</v>
      </c>
      <c r="J502" s="9" t="s">
        <v>13284</v>
      </c>
      <c r="K502" s="9" t="s">
        <v>13284</v>
      </c>
      <c r="L502" s="9" t="s">
        <v>13284</v>
      </c>
      <c r="M502" s="9" t="s">
        <v>13284</v>
      </c>
      <c r="N502" s="9" t="s">
        <v>13284</v>
      </c>
      <c r="O502" s="9" t="s">
        <v>13284</v>
      </c>
      <c r="P502" s="9" t="s">
        <v>13284</v>
      </c>
      <c r="Q502" s="9" t="s">
        <v>13284</v>
      </c>
      <c r="R502" s="9" t="s">
        <v>13284</v>
      </c>
      <c r="S502" s="9" t="s">
        <v>13284</v>
      </c>
      <c r="T502" s="9" t="str">
        <f ca="1">IFERROR(IF(AND(VLOOKUP(A502, 'Актуальное состояние (из общего'!A:C,3,0) = "", A502 &lt;&gt; ""), "ПРОВЕРИТЬ", VLOOKUP(A502, 'Актуальное состояние (из общего'!A:C,3,0)), "")</f>
        <v>Студент</v>
      </c>
      <c r="U502" s="9" t="s">
        <v>13284</v>
      </c>
      <c r="V502" s="9" t="s">
        <v>13284</v>
      </c>
      <c r="W502" s="12" t="s">
        <v>76</v>
      </c>
      <c r="X502" s="9" t="str">
        <f t="array" ref="X502">IFERROR(INDEX('Адреса общежитий (скрытый)'!$B$2:$B$9, MATCH(W502, 'Адреса общежитий (скрытый)'!$A$2:$A$9, 0)), "")</f>
        <v>ул. Студенческая, д. 33, корп. 5,6</v>
      </c>
      <c r="Y502" s="18"/>
      <c r="Z502" s="18"/>
      <c r="AA502" s="18"/>
      <c r="AB502" s="18"/>
      <c r="AC502" s="18"/>
    </row>
    <row r="503" spans="1:29" ht="32.25" hidden="1" customHeight="1">
      <c r="A503" s="8">
        <v>2310566</v>
      </c>
      <c r="B503" s="9" t="s">
        <v>13284</v>
      </c>
      <c r="C503" s="9" t="s">
        <v>13284</v>
      </c>
      <c r="D503" s="9" t="s">
        <v>13284</v>
      </c>
      <c r="E503" s="9" t="s">
        <v>13284</v>
      </c>
      <c r="F503" s="9" t="s">
        <v>13284</v>
      </c>
      <c r="G503" s="9" t="s">
        <v>13284</v>
      </c>
      <c r="H503" s="9" t="s">
        <v>13284</v>
      </c>
      <c r="I503" s="9" t="s">
        <v>13284</v>
      </c>
      <c r="J503" s="9" t="s">
        <v>13284</v>
      </c>
      <c r="K503" s="9" t="s">
        <v>13284</v>
      </c>
      <c r="L503" s="9" t="s">
        <v>13284</v>
      </c>
      <c r="M503" s="9" t="s">
        <v>13284</v>
      </c>
      <c r="N503" s="9" t="s">
        <v>13284</v>
      </c>
      <c r="O503" s="9" t="s">
        <v>13284</v>
      </c>
      <c r="P503" s="9" t="s">
        <v>13284</v>
      </c>
      <c r="Q503" s="9" t="s">
        <v>13284</v>
      </c>
      <c r="R503" s="9" t="s">
        <v>13284</v>
      </c>
      <c r="S503" s="9" t="s">
        <v>13284</v>
      </c>
      <c r="T503" s="9" t="str">
        <f ca="1">IFERROR(IF(AND(VLOOKUP(A503, 'Актуальное состояние (из общего'!A:C,3,0) = "", A503 &lt;&gt; ""), "ПРОВЕРИТЬ", VLOOKUP(A503, 'Актуальное состояние (из общего'!A:C,3,0)), "")</f>
        <v>Студент</v>
      </c>
      <c r="U503" s="9" t="s">
        <v>13284</v>
      </c>
      <c r="V503" s="9" t="s">
        <v>13284</v>
      </c>
      <c r="W503" s="12"/>
      <c r="X503" s="9" t="str">
        <f t="array" ref="X503">IFERROR(INDEX('Адреса общежитий (скрытый)'!$B$2:$B$9, MATCH(W503, 'Адреса общежитий (скрытый)'!$A$2:$A$9, 0)), "")</f>
        <v/>
      </c>
      <c r="Y503" s="18"/>
      <c r="Z503" s="18"/>
      <c r="AA503" s="18"/>
      <c r="AB503" s="18"/>
      <c r="AC503" s="18"/>
    </row>
    <row r="504" spans="1:29" ht="32.25" customHeight="1">
      <c r="A504" s="8">
        <v>2308306</v>
      </c>
      <c r="B504" s="9" t="s">
        <v>13284</v>
      </c>
      <c r="C504" s="9" t="s">
        <v>13284</v>
      </c>
      <c r="D504" s="9" t="s">
        <v>13284</v>
      </c>
      <c r="E504" s="9" t="s">
        <v>13284</v>
      </c>
      <c r="F504" s="9" t="s">
        <v>13284</v>
      </c>
      <c r="G504" s="9" t="s">
        <v>13284</v>
      </c>
      <c r="H504" s="9" t="s">
        <v>13284</v>
      </c>
      <c r="I504" s="9" t="s">
        <v>13284</v>
      </c>
      <c r="J504" s="9" t="s">
        <v>13284</v>
      </c>
      <c r="K504" s="9" t="s">
        <v>13284</v>
      </c>
      <c r="L504" s="9" t="s">
        <v>13284</v>
      </c>
      <c r="M504" s="9" t="s">
        <v>13284</v>
      </c>
      <c r="N504" s="9" t="s">
        <v>13284</v>
      </c>
      <c r="O504" s="9" t="s">
        <v>13284</v>
      </c>
      <c r="P504" s="9" t="s">
        <v>13284</v>
      </c>
      <c r="Q504" s="9" t="s">
        <v>13284</v>
      </c>
      <c r="R504" s="9" t="s">
        <v>13284</v>
      </c>
      <c r="S504" s="9" t="s">
        <v>13284</v>
      </c>
      <c r="T504" s="9" t="str">
        <f ca="1">IFERROR(IF(AND(VLOOKUP(A504, 'Актуальное состояние (из общего'!A:C,3,0) = "", A504 &lt;&gt; ""), "ПРОВЕРИТЬ", VLOOKUP(A504, 'Актуальное состояние (из общего'!A:C,3,0)), "")</f>
        <v>Студент</v>
      </c>
      <c r="U504" s="9" t="s">
        <v>13284</v>
      </c>
      <c r="V504" s="9" t="s">
        <v>13284</v>
      </c>
      <c r="W504" s="12"/>
      <c r="X504" s="9" t="str">
        <f t="array" ref="X504">IFERROR(INDEX('Адреса общежитий (скрытый)'!$B$2:$B$9, MATCH(W504, 'Адреса общежитий (скрытый)'!$A$2:$A$9, 0)), "")</f>
        <v/>
      </c>
      <c r="Y504" s="18"/>
      <c r="Z504" s="18"/>
      <c r="AA504" s="18"/>
      <c r="AB504" s="18"/>
      <c r="AC504" s="18"/>
    </row>
    <row r="505" spans="1:29" ht="32.25" customHeight="1">
      <c r="A505" s="8">
        <v>2306399</v>
      </c>
      <c r="B505" s="9" t="s">
        <v>13284</v>
      </c>
      <c r="C505" s="9" t="s">
        <v>13284</v>
      </c>
      <c r="D505" s="9" t="s">
        <v>13284</v>
      </c>
      <c r="E505" s="9" t="s">
        <v>13284</v>
      </c>
      <c r="F505" s="9" t="s">
        <v>13284</v>
      </c>
      <c r="G505" s="9" t="s">
        <v>13284</v>
      </c>
      <c r="H505" s="9" t="s">
        <v>13284</v>
      </c>
      <c r="I505" s="9" t="s">
        <v>13284</v>
      </c>
      <c r="J505" s="9" t="s">
        <v>13284</v>
      </c>
      <c r="K505" s="9" t="s">
        <v>13284</v>
      </c>
      <c r="L505" s="9" t="s">
        <v>13284</v>
      </c>
      <c r="M505" s="9" t="s">
        <v>13284</v>
      </c>
      <c r="N505" s="9" t="s">
        <v>13284</v>
      </c>
      <c r="O505" s="9" t="s">
        <v>13284</v>
      </c>
      <c r="P505" s="9" t="s">
        <v>13284</v>
      </c>
      <c r="Q505" s="9" t="s">
        <v>13284</v>
      </c>
      <c r="R505" s="9" t="s">
        <v>13284</v>
      </c>
      <c r="S505" s="9" t="s">
        <v>13284</v>
      </c>
      <c r="T505" s="9" t="str">
        <f ca="1">IFERROR(IF(AND(VLOOKUP(A505, 'Актуальное состояние (из общего'!A:C,3,0) = "", A505 &lt;&gt; ""), "ПРОВЕРИТЬ", VLOOKUP(A505, 'Актуальное состояние (из общего'!A:C,3,0)), "")</f>
        <v>Студент</v>
      </c>
      <c r="U505" s="9" t="s">
        <v>13284</v>
      </c>
      <c r="V505" s="9" t="s">
        <v>13284</v>
      </c>
      <c r="W505" s="12"/>
      <c r="X505" s="9" t="str">
        <f t="array" ref="X505">IFERROR(INDEX('Адреса общежитий (скрытый)'!$B$2:$B$9, MATCH(W505, 'Адреса общежитий (скрытый)'!$A$2:$A$9, 0)), "")</f>
        <v/>
      </c>
      <c r="Y505" s="18"/>
      <c r="Z505" s="18"/>
      <c r="AA505" s="18"/>
      <c r="AB505" s="18"/>
      <c r="AC505" s="18"/>
    </row>
    <row r="506" spans="1:29" ht="32.25" customHeight="1">
      <c r="A506" s="8">
        <v>2300465</v>
      </c>
      <c r="B506" s="9" t="s">
        <v>13284</v>
      </c>
      <c r="C506" s="9" t="s">
        <v>13284</v>
      </c>
      <c r="D506" s="9" t="s">
        <v>13284</v>
      </c>
      <c r="E506" s="9" t="s">
        <v>13284</v>
      </c>
      <c r="F506" s="9" t="s">
        <v>13284</v>
      </c>
      <c r="G506" s="9" t="s">
        <v>13284</v>
      </c>
      <c r="H506" s="9" t="s">
        <v>13284</v>
      </c>
      <c r="I506" s="9" t="s">
        <v>13284</v>
      </c>
      <c r="J506" s="9" t="s">
        <v>13284</v>
      </c>
      <c r="K506" s="9" t="s">
        <v>13284</v>
      </c>
      <c r="L506" s="9" t="s">
        <v>13284</v>
      </c>
      <c r="M506" s="9" t="s">
        <v>13284</v>
      </c>
      <c r="N506" s="9" t="s">
        <v>13284</v>
      </c>
      <c r="O506" s="9" t="s">
        <v>13284</v>
      </c>
      <c r="P506" s="9" t="s">
        <v>13284</v>
      </c>
      <c r="Q506" s="9" t="s">
        <v>13284</v>
      </c>
      <c r="R506" s="9" t="s">
        <v>13284</v>
      </c>
      <c r="S506" s="9" t="s">
        <v>13284</v>
      </c>
      <c r="T506" s="9" t="str">
        <f ca="1">IFERROR(IF(AND(VLOOKUP(A506, 'Актуальное состояние (из общего'!A:C,3,0) = "", A506 &lt;&gt; ""), "ПРОВЕРИТЬ", VLOOKUP(A506, 'Актуальное состояние (из общего'!A:C,3,0)), "")</f>
        <v>Студент</v>
      </c>
      <c r="U506" s="9" t="s">
        <v>13284</v>
      </c>
      <c r="V506" s="9" t="s">
        <v>13284</v>
      </c>
      <c r="W506" s="12"/>
      <c r="X506" s="9" t="str">
        <f t="array" ref="X506">IFERROR(INDEX('Адреса общежитий (скрытый)'!$B$2:$B$9, MATCH(W506, 'Адреса общежитий (скрытый)'!$A$2:$A$9, 0)), "")</f>
        <v/>
      </c>
      <c r="Y506" s="18"/>
      <c r="Z506" s="18"/>
      <c r="AA506" s="18"/>
      <c r="AB506" s="18"/>
      <c r="AC506" s="18"/>
    </row>
    <row r="507" spans="1:29" ht="32.25" customHeight="1">
      <c r="A507" s="8">
        <v>2307527</v>
      </c>
      <c r="B507" s="9" t="s">
        <v>13284</v>
      </c>
      <c r="C507" s="9" t="s">
        <v>13284</v>
      </c>
      <c r="D507" s="9" t="s">
        <v>13284</v>
      </c>
      <c r="E507" s="9" t="s">
        <v>13284</v>
      </c>
      <c r="F507" s="9" t="s">
        <v>13284</v>
      </c>
      <c r="G507" s="9" t="s">
        <v>13284</v>
      </c>
      <c r="H507" s="9" t="s">
        <v>13284</v>
      </c>
      <c r="I507" s="9" t="s">
        <v>13284</v>
      </c>
      <c r="J507" s="9" t="s">
        <v>13284</v>
      </c>
      <c r="K507" s="9" t="s">
        <v>13284</v>
      </c>
      <c r="L507" s="9" t="s">
        <v>13284</v>
      </c>
      <c r="M507" s="9" t="s">
        <v>13284</v>
      </c>
      <c r="N507" s="9" t="s">
        <v>13284</v>
      </c>
      <c r="O507" s="9" t="s">
        <v>13284</v>
      </c>
      <c r="P507" s="9" t="s">
        <v>13284</v>
      </c>
      <c r="Q507" s="9" t="s">
        <v>13284</v>
      </c>
      <c r="R507" s="9" t="s">
        <v>13284</v>
      </c>
      <c r="S507" s="9" t="s">
        <v>13284</v>
      </c>
      <c r="T507" s="9" t="str">
        <f ca="1">IFERROR(IF(AND(VLOOKUP(A507, 'Актуальное состояние (из общего'!A:C,3,0) = "", A507 &lt;&gt; ""), "ПРОВЕРИТЬ", VLOOKUP(A507, 'Актуальное состояние (из общего'!A:C,3,0)), "")</f>
        <v>Студент</v>
      </c>
      <c r="U507" s="9" t="s">
        <v>13284</v>
      </c>
      <c r="V507" s="9" t="s">
        <v>13284</v>
      </c>
      <c r="W507" s="12"/>
      <c r="X507" s="9" t="str">
        <f t="array" ref="X507">IFERROR(INDEX('Адреса общежитий (скрытый)'!$B$2:$B$9, MATCH(W507, 'Адреса общежитий (скрытый)'!$A$2:$A$9, 0)), "")</f>
        <v/>
      </c>
      <c r="Y507" s="18"/>
      <c r="Z507" s="18"/>
      <c r="AA507" s="18"/>
      <c r="AB507" s="18"/>
      <c r="AC507" s="18"/>
    </row>
    <row r="508" spans="1:29" ht="32.25" customHeight="1">
      <c r="A508" s="8">
        <v>2305996</v>
      </c>
      <c r="B508" s="9" t="s">
        <v>13284</v>
      </c>
      <c r="C508" s="9" t="s">
        <v>13284</v>
      </c>
      <c r="D508" s="9" t="s">
        <v>13284</v>
      </c>
      <c r="E508" s="9" t="s">
        <v>13284</v>
      </c>
      <c r="F508" s="9" t="s">
        <v>13284</v>
      </c>
      <c r="G508" s="9" t="s">
        <v>13284</v>
      </c>
      <c r="H508" s="9" t="s">
        <v>13284</v>
      </c>
      <c r="I508" s="9" t="s">
        <v>13284</v>
      </c>
      <c r="J508" s="9" t="s">
        <v>13284</v>
      </c>
      <c r="K508" s="9" t="s">
        <v>13284</v>
      </c>
      <c r="L508" s="9" t="s">
        <v>13284</v>
      </c>
      <c r="M508" s="9" t="s">
        <v>13284</v>
      </c>
      <c r="N508" s="9" t="s">
        <v>13284</v>
      </c>
      <c r="O508" s="9" t="s">
        <v>13284</v>
      </c>
      <c r="P508" s="9" t="s">
        <v>13284</v>
      </c>
      <c r="Q508" s="9" t="s">
        <v>13284</v>
      </c>
      <c r="R508" s="9" t="s">
        <v>13284</v>
      </c>
      <c r="S508" s="9" t="s">
        <v>13284</v>
      </c>
      <c r="T508" s="9" t="str">
        <f ca="1">IFERROR(IF(AND(VLOOKUP(A508, 'Актуальное состояние (из общего'!A:C,3,0) = "", A508 &lt;&gt; ""), "ПРОВЕРИТЬ", VLOOKUP(A508, 'Актуальное состояние (из общего'!A:C,3,0)), "")</f>
        <v>Студент</v>
      </c>
      <c r="U508" s="9" t="s">
        <v>13284</v>
      </c>
      <c r="V508" s="9" t="s">
        <v>13284</v>
      </c>
      <c r="W508" s="12"/>
      <c r="X508" s="9" t="str">
        <f t="array" ref="X508">IFERROR(INDEX('Адреса общежитий (скрытый)'!$B$2:$B$9, MATCH(W508, 'Адреса общежитий (скрытый)'!$A$2:$A$9, 0)), "")</f>
        <v/>
      </c>
      <c r="Y508" s="18"/>
      <c r="Z508" s="18"/>
      <c r="AA508" s="18"/>
      <c r="AB508" s="18"/>
      <c r="AC508" s="18"/>
    </row>
    <row r="509" spans="1:29" ht="32.25" hidden="1" customHeight="1">
      <c r="A509" s="8">
        <v>2301263</v>
      </c>
      <c r="B509" s="9" t="s">
        <v>13284</v>
      </c>
      <c r="C509" s="9" t="s">
        <v>13284</v>
      </c>
      <c r="D509" s="9" t="s">
        <v>13284</v>
      </c>
      <c r="E509" s="9" t="s">
        <v>13284</v>
      </c>
      <c r="F509" s="9" t="s">
        <v>13284</v>
      </c>
      <c r="G509" s="9" t="s">
        <v>13284</v>
      </c>
      <c r="H509" s="9" t="s">
        <v>13284</v>
      </c>
      <c r="I509" s="9" t="s">
        <v>13284</v>
      </c>
      <c r="J509" s="9" t="s">
        <v>13284</v>
      </c>
      <c r="K509" s="9" t="s">
        <v>13284</v>
      </c>
      <c r="L509" s="9" t="s">
        <v>13284</v>
      </c>
      <c r="M509" s="9" t="s">
        <v>13284</v>
      </c>
      <c r="N509" s="9" t="s">
        <v>13284</v>
      </c>
      <c r="O509" s="9" t="s">
        <v>13284</v>
      </c>
      <c r="P509" s="9" t="s">
        <v>13284</v>
      </c>
      <c r="Q509" s="9" t="s">
        <v>13284</v>
      </c>
      <c r="R509" s="9" t="s">
        <v>13284</v>
      </c>
      <c r="S509" s="9" t="s">
        <v>13284</v>
      </c>
      <c r="T509" s="9" t="str">
        <f ca="1">IFERROR(IF(AND(VLOOKUP(A509, 'Актуальное состояние (из общего'!A:C,3,0) = "", A509 &lt;&gt; ""), "ПРОВЕРИТЬ", VLOOKUP(A509, 'Актуальное состояние (из общего'!A:C,3,0)), "")</f>
        <v>Студент</v>
      </c>
      <c r="U509" s="9" t="s">
        <v>13284</v>
      </c>
      <c r="V509" s="9" t="s">
        <v>13284</v>
      </c>
      <c r="W509" s="12"/>
      <c r="X509" s="9" t="str">
        <f t="array" ref="X509">IFERROR(INDEX('Адреса общежитий (скрытый)'!$B$2:$B$9, MATCH(W509, 'Адреса общежитий (скрытый)'!$A$2:$A$9, 0)), "")</f>
        <v/>
      </c>
      <c r="Y509" s="18"/>
      <c r="Z509" s="18"/>
      <c r="AA509" s="18"/>
      <c r="AB509" s="18"/>
      <c r="AC509" s="18"/>
    </row>
    <row r="510" spans="1:29" ht="32.25" hidden="1" customHeight="1">
      <c r="A510" s="8">
        <v>2301127</v>
      </c>
      <c r="B510" s="9" t="s">
        <v>13284</v>
      </c>
      <c r="C510" s="9" t="s">
        <v>13284</v>
      </c>
      <c r="D510" s="9" t="s">
        <v>13284</v>
      </c>
      <c r="E510" s="9" t="s">
        <v>13284</v>
      </c>
      <c r="F510" s="9" t="s">
        <v>13284</v>
      </c>
      <c r="G510" s="9" t="s">
        <v>13284</v>
      </c>
      <c r="H510" s="9" t="s">
        <v>13284</v>
      </c>
      <c r="I510" s="9" t="s">
        <v>13284</v>
      </c>
      <c r="J510" s="9" t="s">
        <v>13284</v>
      </c>
      <c r="K510" s="9" t="s">
        <v>13284</v>
      </c>
      <c r="L510" s="9" t="s">
        <v>13284</v>
      </c>
      <c r="M510" s="9" t="s">
        <v>13284</v>
      </c>
      <c r="N510" s="9" t="s">
        <v>13284</v>
      </c>
      <c r="O510" s="9" t="s">
        <v>13284</v>
      </c>
      <c r="P510" s="9" t="s">
        <v>13284</v>
      </c>
      <c r="Q510" s="9" t="s">
        <v>13284</v>
      </c>
      <c r="R510" s="9" t="s">
        <v>13284</v>
      </c>
      <c r="S510" s="9" t="s">
        <v>13284</v>
      </c>
      <c r="T510" s="9" t="str">
        <f ca="1">IFERROR(IF(AND(VLOOKUP(A510, 'Актуальное состояние (из общего'!A:C,3,0) = "", A510 &lt;&gt; ""), "ПРОВЕРИТЬ", VLOOKUP(A510, 'Актуальное состояние (из общего'!A:C,3,0)), "")</f>
        <v>Студент</v>
      </c>
      <c r="U510" s="9" t="s">
        <v>13284</v>
      </c>
      <c r="V510" s="9" t="s">
        <v>13284</v>
      </c>
      <c r="W510" s="12"/>
      <c r="X510" s="9" t="str">
        <f t="array" ref="X510">IFERROR(INDEX('Адреса общежитий (скрытый)'!$B$2:$B$9, MATCH(W510, 'Адреса общежитий (скрытый)'!$A$2:$A$9, 0)), "")</f>
        <v/>
      </c>
      <c r="Y510" s="18"/>
      <c r="Z510" s="18"/>
      <c r="AA510" s="18"/>
      <c r="AB510" s="18"/>
      <c r="AC510" s="18"/>
    </row>
    <row r="511" spans="1:29" ht="32.25" customHeight="1">
      <c r="A511" s="8">
        <v>2300803</v>
      </c>
      <c r="B511" s="9" t="s">
        <v>13284</v>
      </c>
      <c r="C511" s="9" t="s">
        <v>13284</v>
      </c>
      <c r="D511" s="9" t="s">
        <v>13284</v>
      </c>
      <c r="E511" s="9" t="s">
        <v>13284</v>
      </c>
      <c r="F511" s="9" t="s">
        <v>13284</v>
      </c>
      <c r="G511" s="9" t="s">
        <v>13284</v>
      </c>
      <c r="H511" s="9" t="s">
        <v>13284</v>
      </c>
      <c r="I511" s="9" t="s">
        <v>13284</v>
      </c>
      <c r="J511" s="9" t="s">
        <v>13284</v>
      </c>
      <c r="K511" s="9" t="s">
        <v>13284</v>
      </c>
      <c r="L511" s="9" t="s">
        <v>13284</v>
      </c>
      <c r="M511" s="9" t="s">
        <v>13284</v>
      </c>
      <c r="N511" s="9" t="s">
        <v>13284</v>
      </c>
      <c r="O511" s="9" t="s">
        <v>13284</v>
      </c>
      <c r="P511" s="9" t="s">
        <v>13284</v>
      </c>
      <c r="Q511" s="9" t="s">
        <v>13284</v>
      </c>
      <c r="R511" s="9" t="s">
        <v>13284</v>
      </c>
      <c r="S511" s="9" t="s">
        <v>13284</v>
      </c>
      <c r="T511" s="9" t="str">
        <f ca="1">IFERROR(IF(AND(VLOOKUP(A511, 'Актуальное состояние (из общего'!A:C,3,0) = "", A511 &lt;&gt; ""), "ПРОВЕРИТЬ", VLOOKUP(A511, 'Актуальное состояние (из общего'!A:C,3,0)), "")</f>
        <v>Студент</v>
      </c>
      <c r="U511" s="9" t="s">
        <v>13284</v>
      </c>
      <c r="V511" s="9" t="s">
        <v>13284</v>
      </c>
      <c r="W511" s="12"/>
      <c r="X511" s="9" t="str">
        <f t="array" ref="X511">IFERROR(INDEX('Адреса общежитий (скрытый)'!$B$2:$B$9, MATCH(W511, 'Адреса общежитий (скрытый)'!$A$2:$A$9, 0)), "")</f>
        <v/>
      </c>
      <c r="Y511" s="18"/>
      <c r="Z511" s="18"/>
      <c r="AA511" s="18"/>
      <c r="AB511" s="18"/>
      <c r="AC511" s="18"/>
    </row>
    <row r="512" spans="1:29" ht="32.25" customHeight="1">
      <c r="A512" s="8">
        <v>2308529</v>
      </c>
      <c r="B512" s="9" t="s">
        <v>13284</v>
      </c>
      <c r="C512" s="9" t="s">
        <v>13284</v>
      </c>
      <c r="D512" s="9" t="s">
        <v>13284</v>
      </c>
      <c r="E512" s="9" t="s">
        <v>13284</v>
      </c>
      <c r="F512" s="9" t="s">
        <v>13284</v>
      </c>
      <c r="G512" s="9" t="s">
        <v>13284</v>
      </c>
      <c r="H512" s="9" t="s">
        <v>13284</v>
      </c>
      <c r="I512" s="9" t="s">
        <v>13284</v>
      </c>
      <c r="J512" s="9" t="s">
        <v>13284</v>
      </c>
      <c r="K512" s="9" t="s">
        <v>13284</v>
      </c>
      <c r="L512" s="9" t="s">
        <v>13284</v>
      </c>
      <c r="M512" s="9" t="s">
        <v>13284</v>
      </c>
      <c r="N512" s="9" t="s">
        <v>13284</v>
      </c>
      <c r="O512" s="9" t="s">
        <v>13284</v>
      </c>
      <c r="P512" s="9" t="s">
        <v>13284</v>
      </c>
      <c r="Q512" s="9" t="s">
        <v>13284</v>
      </c>
      <c r="R512" s="9" t="s">
        <v>13284</v>
      </c>
      <c r="S512" s="9" t="s">
        <v>13284</v>
      </c>
      <c r="T512" s="9" t="str">
        <f ca="1">IFERROR(IF(AND(VLOOKUP(A512, 'Актуальное состояние (из общего'!A:C,3,0) = "", A512 &lt;&gt; ""), "ПРОВЕРИТЬ", VLOOKUP(A512, 'Актуальное состояние (из общего'!A:C,3,0)), "")</f>
        <v>Студент</v>
      </c>
      <c r="U512" s="9" t="s">
        <v>13284</v>
      </c>
      <c r="V512" s="9" t="s">
        <v>13284</v>
      </c>
      <c r="W512" s="12"/>
      <c r="X512" s="9" t="str">
        <f t="array" ref="X512">IFERROR(INDEX('Адреса общежитий (скрытый)'!$B$2:$B$9, MATCH(W512, 'Адреса общежитий (скрытый)'!$A$2:$A$9, 0)), "")</f>
        <v/>
      </c>
      <c r="Y512" s="18"/>
      <c r="Z512" s="18"/>
      <c r="AA512" s="18"/>
      <c r="AB512" s="18"/>
      <c r="AC512" s="18"/>
    </row>
    <row r="513" spans="1:29" ht="32.25" customHeight="1">
      <c r="A513" s="8">
        <v>2307502</v>
      </c>
      <c r="B513" s="9" t="s">
        <v>13284</v>
      </c>
      <c r="C513" s="9" t="s">
        <v>13284</v>
      </c>
      <c r="D513" s="9" t="s">
        <v>13284</v>
      </c>
      <c r="E513" s="9" t="s">
        <v>13284</v>
      </c>
      <c r="F513" s="9" t="s">
        <v>13284</v>
      </c>
      <c r="G513" s="9" t="s">
        <v>13284</v>
      </c>
      <c r="H513" s="9" t="s">
        <v>13284</v>
      </c>
      <c r="I513" s="9" t="s">
        <v>13284</v>
      </c>
      <c r="J513" s="9" t="s">
        <v>13284</v>
      </c>
      <c r="K513" s="9" t="s">
        <v>13284</v>
      </c>
      <c r="L513" s="9" t="s">
        <v>13284</v>
      </c>
      <c r="M513" s="9" t="s">
        <v>13284</v>
      </c>
      <c r="N513" s="9" t="s">
        <v>13284</v>
      </c>
      <c r="O513" s="9" t="s">
        <v>13284</v>
      </c>
      <c r="P513" s="9" t="s">
        <v>13284</v>
      </c>
      <c r="Q513" s="9" t="s">
        <v>13284</v>
      </c>
      <c r="R513" s="9" t="s">
        <v>13284</v>
      </c>
      <c r="S513" s="9" t="s">
        <v>13284</v>
      </c>
      <c r="T513" s="9" t="str">
        <f ca="1">IFERROR(IF(AND(VLOOKUP(A513, 'Актуальное состояние (из общего'!A:C,3,0) = "", A513 &lt;&gt; ""), "ПРОВЕРИТЬ", VLOOKUP(A513, 'Актуальное состояние (из общего'!A:C,3,0)), "")</f>
        <v>Студент</v>
      </c>
      <c r="U513" s="9" t="s">
        <v>13284</v>
      </c>
      <c r="V513" s="9" t="s">
        <v>13284</v>
      </c>
      <c r="W513" s="12"/>
      <c r="X513" s="9" t="str">
        <f t="array" ref="X513">IFERROR(INDEX('Адреса общежитий (скрытый)'!$B$2:$B$9, MATCH(W513, 'Адреса общежитий (скрытый)'!$A$2:$A$9, 0)), "")</f>
        <v/>
      </c>
      <c r="Y513" s="18"/>
      <c r="Z513" s="18"/>
      <c r="AA513" s="18"/>
      <c r="AB513" s="18"/>
      <c r="AC513" s="18"/>
    </row>
    <row r="514" spans="1:29" ht="32.25" customHeight="1">
      <c r="A514" s="8">
        <v>2303353</v>
      </c>
      <c r="B514" s="9" t="s">
        <v>13284</v>
      </c>
      <c r="C514" s="9" t="s">
        <v>13284</v>
      </c>
      <c r="D514" s="9" t="s">
        <v>13284</v>
      </c>
      <c r="E514" s="9" t="s">
        <v>13284</v>
      </c>
      <c r="F514" s="9" t="s">
        <v>13284</v>
      </c>
      <c r="G514" s="9" t="s">
        <v>13284</v>
      </c>
      <c r="H514" s="9" t="s">
        <v>13284</v>
      </c>
      <c r="I514" s="9" t="s">
        <v>13284</v>
      </c>
      <c r="J514" s="9" t="s">
        <v>13284</v>
      </c>
      <c r="K514" s="9" t="s">
        <v>13284</v>
      </c>
      <c r="L514" s="9" t="s">
        <v>13284</v>
      </c>
      <c r="M514" s="9" t="s">
        <v>13284</v>
      </c>
      <c r="N514" s="9" t="s">
        <v>13284</v>
      </c>
      <c r="O514" s="9" t="s">
        <v>13284</v>
      </c>
      <c r="P514" s="9" t="s">
        <v>13284</v>
      </c>
      <c r="Q514" s="9" t="s">
        <v>13284</v>
      </c>
      <c r="R514" s="9" t="s">
        <v>13284</v>
      </c>
      <c r="S514" s="9" t="s">
        <v>13284</v>
      </c>
      <c r="T514" s="9" t="str">
        <f ca="1">IFERROR(IF(AND(VLOOKUP(A514, 'Актуальное состояние (из общего'!A:C,3,0) = "", A514 &lt;&gt; ""), "ПРОВЕРИТЬ", VLOOKUP(A514, 'Актуальное состояние (из общего'!A:C,3,0)), "")</f>
        <v>Студент</v>
      </c>
      <c r="U514" s="9" t="s">
        <v>13284</v>
      </c>
      <c r="V514" s="9" t="s">
        <v>13284</v>
      </c>
      <c r="W514" s="12"/>
      <c r="X514" s="9" t="str">
        <f t="array" ref="X514">IFERROR(INDEX('Адреса общежитий (скрытый)'!$B$2:$B$9, MATCH(W514, 'Адреса общежитий (скрытый)'!$A$2:$A$9, 0)), "")</f>
        <v/>
      </c>
      <c r="Y514" s="18"/>
      <c r="Z514" s="18"/>
      <c r="AA514" s="18"/>
      <c r="AB514" s="18"/>
      <c r="AC514" s="18"/>
    </row>
    <row r="515" spans="1:29" ht="32.25" customHeight="1">
      <c r="A515" s="8">
        <v>2301238</v>
      </c>
      <c r="B515" s="9" t="s">
        <v>13284</v>
      </c>
      <c r="C515" s="9" t="s">
        <v>13284</v>
      </c>
      <c r="D515" s="9" t="s">
        <v>13284</v>
      </c>
      <c r="E515" s="9" t="s">
        <v>13284</v>
      </c>
      <c r="F515" s="9" t="s">
        <v>13284</v>
      </c>
      <c r="G515" s="9" t="s">
        <v>13284</v>
      </c>
      <c r="H515" s="9" t="s">
        <v>13284</v>
      </c>
      <c r="I515" s="9" t="s">
        <v>13284</v>
      </c>
      <c r="J515" s="9" t="s">
        <v>13284</v>
      </c>
      <c r="K515" s="9" t="s">
        <v>13284</v>
      </c>
      <c r="L515" s="9" t="s">
        <v>13284</v>
      </c>
      <c r="M515" s="9" t="s">
        <v>13284</v>
      </c>
      <c r="N515" s="9" t="s">
        <v>13284</v>
      </c>
      <c r="O515" s="9" t="s">
        <v>13284</v>
      </c>
      <c r="P515" s="9" t="s">
        <v>13284</v>
      </c>
      <c r="Q515" s="9" t="s">
        <v>13284</v>
      </c>
      <c r="R515" s="9" t="s">
        <v>13284</v>
      </c>
      <c r="S515" s="9" t="s">
        <v>13284</v>
      </c>
      <c r="T515" s="9" t="str">
        <f ca="1">IFERROR(IF(AND(VLOOKUP(A515, 'Актуальное состояние (из общего'!A:C,3,0) = "", A515 &lt;&gt; ""), "ПРОВЕРИТЬ", VLOOKUP(A515, 'Актуальное состояние (из общего'!A:C,3,0)), "")</f>
        <v>Студент</v>
      </c>
      <c r="U515" s="9" t="s">
        <v>13284</v>
      </c>
      <c r="V515" s="9" t="s">
        <v>13284</v>
      </c>
      <c r="W515" s="12"/>
      <c r="X515" s="9" t="str">
        <f t="array" ref="X515">IFERROR(INDEX('Адреса общежитий (скрытый)'!$B$2:$B$9, MATCH(W515, 'Адреса общежитий (скрытый)'!$A$2:$A$9, 0)), "")</f>
        <v/>
      </c>
      <c r="Y515" s="18"/>
      <c r="Z515" s="18"/>
      <c r="AA515" s="18"/>
      <c r="AB515" s="18"/>
      <c r="AC515" s="18"/>
    </row>
    <row r="516" spans="1:29" ht="32.25" customHeight="1">
      <c r="A516" s="8">
        <v>2308540</v>
      </c>
      <c r="B516" s="9" t="s">
        <v>13284</v>
      </c>
      <c r="C516" s="9" t="s">
        <v>13284</v>
      </c>
      <c r="D516" s="9" t="s">
        <v>13284</v>
      </c>
      <c r="E516" s="9" t="s">
        <v>13284</v>
      </c>
      <c r="F516" s="9" t="s">
        <v>13284</v>
      </c>
      <c r="G516" s="9" t="s">
        <v>13284</v>
      </c>
      <c r="H516" s="9" t="s">
        <v>13284</v>
      </c>
      <c r="I516" s="9" t="s">
        <v>13284</v>
      </c>
      <c r="J516" s="9" t="s">
        <v>13284</v>
      </c>
      <c r="K516" s="9" t="s">
        <v>13284</v>
      </c>
      <c r="L516" s="9" t="s">
        <v>13284</v>
      </c>
      <c r="M516" s="9" t="s">
        <v>13284</v>
      </c>
      <c r="N516" s="9" t="s">
        <v>13284</v>
      </c>
      <c r="O516" s="9" t="s">
        <v>13284</v>
      </c>
      <c r="P516" s="9" t="s">
        <v>13284</v>
      </c>
      <c r="Q516" s="9" t="s">
        <v>13284</v>
      </c>
      <c r="R516" s="9" t="s">
        <v>13284</v>
      </c>
      <c r="S516" s="9" t="s">
        <v>13284</v>
      </c>
      <c r="T516" s="9" t="str">
        <f ca="1">IFERROR(IF(AND(VLOOKUP(A516, 'Актуальное состояние (из общего'!A:C,3,0) = "", A516 &lt;&gt; ""), "ПРОВЕРИТЬ", VLOOKUP(A516, 'Актуальное состояние (из общего'!A:C,3,0)), "")</f>
        <v>Студент</v>
      </c>
      <c r="U516" s="9" t="s">
        <v>13284</v>
      </c>
      <c r="V516" s="9" t="s">
        <v>13284</v>
      </c>
      <c r="W516" s="12"/>
      <c r="X516" s="9" t="str">
        <f t="array" ref="X516">IFERROR(INDEX('Адреса общежитий (скрытый)'!$B$2:$B$9, MATCH(W516, 'Адреса общежитий (скрытый)'!$A$2:$A$9, 0)), "")</f>
        <v/>
      </c>
      <c r="Y516" s="18"/>
      <c r="Z516" s="18"/>
      <c r="AA516" s="18"/>
      <c r="AB516" s="18"/>
      <c r="AC516" s="18"/>
    </row>
    <row r="517" spans="1:29" ht="32.25" hidden="1" customHeight="1">
      <c r="A517" s="8">
        <v>2302750</v>
      </c>
      <c r="B517" s="9" t="s">
        <v>13284</v>
      </c>
      <c r="C517" s="9" t="s">
        <v>13284</v>
      </c>
      <c r="D517" s="9" t="s">
        <v>13284</v>
      </c>
      <c r="E517" s="9" t="s">
        <v>13284</v>
      </c>
      <c r="F517" s="9" t="s">
        <v>13284</v>
      </c>
      <c r="G517" s="9" t="s">
        <v>13284</v>
      </c>
      <c r="H517" s="9" t="s">
        <v>13284</v>
      </c>
      <c r="I517" s="9" t="s">
        <v>13284</v>
      </c>
      <c r="J517" s="9" t="s">
        <v>13284</v>
      </c>
      <c r="K517" s="9" t="s">
        <v>13284</v>
      </c>
      <c r="L517" s="9" t="s">
        <v>13284</v>
      </c>
      <c r="M517" s="9" t="s">
        <v>13284</v>
      </c>
      <c r="N517" s="9" t="s">
        <v>13284</v>
      </c>
      <c r="O517" s="9" t="s">
        <v>13284</v>
      </c>
      <c r="P517" s="9" t="s">
        <v>13284</v>
      </c>
      <c r="Q517" s="9" t="s">
        <v>13284</v>
      </c>
      <c r="R517" s="9" t="s">
        <v>13284</v>
      </c>
      <c r="S517" s="9" t="s">
        <v>13284</v>
      </c>
      <c r="T517" s="9" t="str">
        <f ca="1">IFERROR(IF(AND(VLOOKUP(A517, 'Актуальное состояние (из общего'!A:C,3,0) = "", A517 &lt;&gt; ""), "ПРОВЕРИТЬ", VLOOKUP(A517, 'Актуальное состояние (из общего'!A:C,3,0)), "")</f>
        <v>Студент</v>
      </c>
      <c r="U517" s="9" t="s">
        <v>13284</v>
      </c>
      <c r="V517" s="9" t="s">
        <v>13284</v>
      </c>
      <c r="W517" s="12"/>
      <c r="X517" s="9" t="str">
        <f t="array" ref="X517">IFERROR(INDEX('Адреса общежитий (скрытый)'!$B$2:$B$9, MATCH(W517, 'Адреса общежитий (скрытый)'!$A$2:$A$9, 0)), "")</f>
        <v/>
      </c>
      <c r="Y517" s="18"/>
      <c r="Z517" s="18"/>
      <c r="AA517" s="18"/>
      <c r="AB517" s="18"/>
      <c r="AC517" s="18"/>
    </row>
    <row r="518" spans="1:29" ht="32.25" customHeight="1">
      <c r="A518" s="8">
        <v>2308558</v>
      </c>
      <c r="B518" s="9" t="s">
        <v>13284</v>
      </c>
      <c r="C518" s="9" t="s">
        <v>13284</v>
      </c>
      <c r="D518" s="9" t="s">
        <v>13284</v>
      </c>
      <c r="E518" s="9" t="s">
        <v>13284</v>
      </c>
      <c r="F518" s="9" t="s">
        <v>13284</v>
      </c>
      <c r="G518" s="9" t="s">
        <v>13284</v>
      </c>
      <c r="H518" s="9" t="s">
        <v>13284</v>
      </c>
      <c r="I518" s="9" t="s">
        <v>13284</v>
      </c>
      <c r="J518" s="9" t="s">
        <v>13284</v>
      </c>
      <c r="K518" s="9" t="s">
        <v>13284</v>
      </c>
      <c r="L518" s="9" t="s">
        <v>13284</v>
      </c>
      <c r="M518" s="9" t="s">
        <v>13284</v>
      </c>
      <c r="N518" s="9" t="s">
        <v>13284</v>
      </c>
      <c r="O518" s="9" t="s">
        <v>13284</v>
      </c>
      <c r="P518" s="9" t="s">
        <v>13284</v>
      </c>
      <c r="Q518" s="9" t="s">
        <v>13284</v>
      </c>
      <c r="R518" s="9" t="s">
        <v>13284</v>
      </c>
      <c r="S518" s="9" t="s">
        <v>13284</v>
      </c>
      <c r="T518" s="9" t="str">
        <f ca="1">IFERROR(IF(AND(VLOOKUP(A518, 'Актуальное состояние (из общего'!A:C,3,0) = "", A518 &lt;&gt; ""), "ПРОВЕРИТЬ", VLOOKUP(A518, 'Актуальное состояние (из общего'!A:C,3,0)), "")</f>
        <v>Студент</v>
      </c>
      <c r="U518" s="9" t="s">
        <v>13284</v>
      </c>
      <c r="V518" s="9" t="s">
        <v>13284</v>
      </c>
      <c r="W518" s="12"/>
      <c r="X518" s="9" t="str">
        <f t="array" ref="X518">IFERROR(INDEX('Адреса общежитий (скрытый)'!$B$2:$B$9, MATCH(W518, 'Адреса общежитий (скрытый)'!$A$2:$A$9, 0)), "")</f>
        <v/>
      </c>
      <c r="Y518" s="18"/>
      <c r="Z518" s="18"/>
      <c r="AA518" s="18"/>
      <c r="AB518" s="18"/>
      <c r="AC518" s="18"/>
    </row>
    <row r="519" spans="1:29" ht="32.25" customHeight="1">
      <c r="A519" s="8">
        <v>2310990</v>
      </c>
      <c r="B519" s="9" t="s">
        <v>13284</v>
      </c>
      <c r="C519" s="9" t="s">
        <v>13284</v>
      </c>
      <c r="D519" s="9" t="s">
        <v>13284</v>
      </c>
      <c r="E519" s="9" t="s">
        <v>13284</v>
      </c>
      <c r="F519" s="9" t="s">
        <v>13284</v>
      </c>
      <c r="G519" s="9" t="s">
        <v>13284</v>
      </c>
      <c r="H519" s="9" t="s">
        <v>13284</v>
      </c>
      <c r="I519" s="9" t="s">
        <v>13284</v>
      </c>
      <c r="J519" s="9" t="s">
        <v>13284</v>
      </c>
      <c r="K519" s="9" t="s">
        <v>13284</v>
      </c>
      <c r="L519" s="9" t="s">
        <v>13284</v>
      </c>
      <c r="M519" s="9" t="s">
        <v>13284</v>
      </c>
      <c r="N519" s="9" t="s">
        <v>13284</v>
      </c>
      <c r="O519" s="9" t="s">
        <v>13284</v>
      </c>
      <c r="P519" s="9" t="s">
        <v>13284</v>
      </c>
      <c r="Q519" s="9" t="s">
        <v>13284</v>
      </c>
      <c r="R519" s="9" t="s">
        <v>13284</v>
      </c>
      <c r="S519" s="9" t="s">
        <v>13284</v>
      </c>
      <c r="T519" s="9" t="str">
        <f ca="1">IFERROR(IF(AND(VLOOKUP(A519, 'Актуальное состояние (из общего'!A:C,3,0) = "", A519 &lt;&gt; ""), "ПРОВЕРИТЬ", VLOOKUP(A519, 'Актуальное состояние (из общего'!A:C,3,0)), "")</f>
        <v>Студент</v>
      </c>
      <c r="U519" s="9" t="s">
        <v>13284</v>
      </c>
      <c r="V519" s="9" t="s">
        <v>13284</v>
      </c>
      <c r="W519" s="12"/>
      <c r="X519" s="9" t="str">
        <f t="array" ref="X519">IFERROR(INDEX('Адреса общежитий (скрытый)'!$B$2:$B$9, MATCH(W519, 'Адреса общежитий (скрытый)'!$A$2:$A$9, 0)), "")</f>
        <v/>
      </c>
      <c r="Y519" s="18"/>
      <c r="Z519" s="18"/>
      <c r="AA519" s="18"/>
      <c r="AB519" s="18"/>
      <c r="AC519" s="18"/>
    </row>
    <row r="520" spans="1:29" ht="32.25" hidden="1" customHeight="1">
      <c r="A520" s="8">
        <v>2304989</v>
      </c>
      <c r="B520" s="9" t="s">
        <v>13284</v>
      </c>
      <c r="C520" s="9" t="s">
        <v>13284</v>
      </c>
      <c r="D520" s="9" t="s">
        <v>13284</v>
      </c>
      <c r="E520" s="9" t="s">
        <v>13284</v>
      </c>
      <c r="F520" s="9" t="s">
        <v>13284</v>
      </c>
      <c r="G520" s="9" t="s">
        <v>13284</v>
      </c>
      <c r="H520" s="9" t="s">
        <v>13284</v>
      </c>
      <c r="I520" s="9" t="s">
        <v>13284</v>
      </c>
      <c r="J520" s="9" t="s">
        <v>13284</v>
      </c>
      <c r="K520" s="9" t="s">
        <v>13284</v>
      </c>
      <c r="L520" s="9" t="s">
        <v>13284</v>
      </c>
      <c r="M520" s="9" t="s">
        <v>13284</v>
      </c>
      <c r="N520" s="9" t="s">
        <v>13284</v>
      </c>
      <c r="O520" s="9" t="s">
        <v>13284</v>
      </c>
      <c r="P520" s="9" t="s">
        <v>13284</v>
      </c>
      <c r="Q520" s="9" t="s">
        <v>13284</v>
      </c>
      <c r="R520" s="9" t="s">
        <v>13284</v>
      </c>
      <c r="S520" s="9" t="s">
        <v>13284</v>
      </c>
      <c r="T520" s="9" t="str">
        <f ca="1">IFERROR(IF(AND(VLOOKUP(A520, 'Актуальное состояние (из общего'!A:C,3,0) = "", A520 &lt;&gt; ""), "ПРОВЕРИТЬ", VLOOKUP(A520, 'Актуальное состояние (из общего'!A:C,3,0)), "")</f>
        <v>Студент</v>
      </c>
      <c r="U520" s="9" t="s">
        <v>13284</v>
      </c>
      <c r="V520" s="9" t="s">
        <v>13284</v>
      </c>
      <c r="W520" s="12"/>
      <c r="X520" s="9" t="str">
        <f t="array" ref="X520">IFERROR(INDEX('Адреса общежитий (скрытый)'!$B$2:$B$9, MATCH(W520, 'Адреса общежитий (скрытый)'!$A$2:$A$9, 0)), "")</f>
        <v/>
      </c>
      <c r="Y520" s="18"/>
      <c r="Z520" s="18"/>
      <c r="AA520" s="18"/>
      <c r="AB520" s="18"/>
      <c r="AC520" s="18"/>
    </row>
    <row r="521" spans="1:29" ht="32.25" hidden="1" customHeight="1">
      <c r="A521" s="8">
        <v>2302290</v>
      </c>
      <c r="B521" s="9" t="s">
        <v>13284</v>
      </c>
      <c r="C521" s="9" t="s">
        <v>13284</v>
      </c>
      <c r="D521" s="9" t="s">
        <v>13284</v>
      </c>
      <c r="E521" s="9" t="s">
        <v>13284</v>
      </c>
      <c r="F521" s="9" t="s">
        <v>13284</v>
      </c>
      <c r="G521" s="9" t="s">
        <v>13284</v>
      </c>
      <c r="H521" s="9" t="s">
        <v>13284</v>
      </c>
      <c r="I521" s="9" t="s">
        <v>13284</v>
      </c>
      <c r="J521" s="9" t="s">
        <v>13284</v>
      </c>
      <c r="K521" s="9" t="s">
        <v>13284</v>
      </c>
      <c r="L521" s="9" t="s">
        <v>13284</v>
      </c>
      <c r="M521" s="9" t="s">
        <v>13284</v>
      </c>
      <c r="N521" s="9" t="s">
        <v>13284</v>
      </c>
      <c r="O521" s="9" t="s">
        <v>13284</v>
      </c>
      <c r="P521" s="9" t="s">
        <v>13284</v>
      </c>
      <c r="Q521" s="9" t="s">
        <v>13284</v>
      </c>
      <c r="R521" s="9" t="s">
        <v>13284</v>
      </c>
      <c r="S521" s="9" t="s">
        <v>13284</v>
      </c>
      <c r="T521" s="9" t="str">
        <f ca="1">IFERROR(IF(AND(VLOOKUP(A521, 'Актуальное состояние (из общего'!A:C,3,0) = "", A521 &lt;&gt; ""), "ПРОВЕРИТЬ", VLOOKUP(A521, 'Актуальное состояние (из общего'!A:C,3,0)), "")</f>
        <v>Студент</v>
      </c>
      <c r="U521" s="9" t="s">
        <v>13284</v>
      </c>
      <c r="V521" s="9" t="s">
        <v>13284</v>
      </c>
      <c r="W521" s="12"/>
      <c r="X521" s="9" t="str">
        <f t="array" ref="X521">IFERROR(INDEX('Адреса общежитий (скрытый)'!$B$2:$B$9, MATCH(W521, 'Адреса общежитий (скрытый)'!$A$2:$A$9, 0)), "")</f>
        <v/>
      </c>
      <c r="Y521" s="18"/>
      <c r="Z521" s="18"/>
      <c r="AA521" s="18"/>
      <c r="AB521" s="18"/>
      <c r="AC521" s="18"/>
    </row>
    <row r="522" spans="1:29" ht="32.25" customHeight="1">
      <c r="A522" s="8">
        <v>2307741</v>
      </c>
      <c r="B522" s="9" t="s">
        <v>13284</v>
      </c>
      <c r="C522" s="9" t="s">
        <v>13284</v>
      </c>
      <c r="D522" s="9" t="s">
        <v>13284</v>
      </c>
      <c r="E522" s="9" t="s">
        <v>13284</v>
      </c>
      <c r="F522" s="9" t="s">
        <v>13284</v>
      </c>
      <c r="G522" s="9" t="s">
        <v>13284</v>
      </c>
      <c r="H522" s="9" t="s">
        <v>13284</v>
      </c>
      <c r="I522" s="9" t="s">
        <v>13284</v>
      </c>
      <c r="J522" s="9" t="s">
        <v>13284</v>
      </c>
      <c r="K522" s="9" t="s">
        <v>13284</v>
      </c>
      <c r="L522" s="9" t="s">
        <v>13284</v>
      </c>
      <c r="M522" s="9" t="s">
        <v>13284</v>
      </c>
      <c r="N522" s="9" t="s">
        <v>13284</v>
      </c>
      <c r="O522" s="9" t="s">
        <v>13284</v>
      </c>
      <c r="P522" s="9" t="s">
        <v>13284</v>
      </c>
      <c r="Q522" s="9" t="s">
        <v>13284</v>
      </c>
      <c r="R522" s="9" t="s">
        <v>13284</v>
      </c>
      <c r="S522" s="9" t="s">
        <v>13284</v>
      </c>
      <c r="T522" s="9" t="str">
        <f ca="1">IFERROR(IF(AND(VLOOKUP(A522, 'Актуальное состояние (из общего'!A:C,3,0) = "", A522 &lt;&gt; ""), "ПРОВЕРИТЬ", VLOOKUP(A522, 'Актуальное состояние (из общего'!A:C,3,0)), "")</f>
        <v>Студент</v>
      </c>
      <c r="U522" s="9" t="s">
        <v>13284</v>
      </c>
      <c r="V522" s="9" t="s">
        <v>13284</v>
      </c>
      <c r="W522" s="12" t="s">
        <v>76</v>
      </c>
      <c r="X522" s="9" t="str">
        <f t="array" ref="X522">IFERROR(INDEX('Адреса общежитий (скрытый)'!$B$2:$B$9, MATCH(W522, 'Адреса общежитий (скрытый)'!$A$2:$A$9, 0)), "")</f>
        <v>ул. Студенческая, д. 33, корп. 5,6</v>
      </c>
      <c r="Y522" s="18"/>
      <c r="Z522" s="18"/>
      <c r="AA522" s="18"/>
      <c r="AB522" s="18"/>
      <c r="AC522" s="18"/>
    </row>
    <row r="523" spans="1:29" ht="32.25" hidden="1" customHeight="1">
      <c r="A523" s="8">
        <v>2313367</v>
      </c>
      <c r="B523" s="9" t="s">
        <v>13284</v>
      </c>
      <c r="C523" s="9" t="s">
        <v>13284</v>
      </c>
      <c r="D523" s="9" t="s">
        <v>13284</v>
      </c>
      <c r="E523" s="9" t="s">
        <v>13284</v>
      </c>
      <c r="F523" s="9" t="s">
        <v>13284</v>
      </c>
      <c r="G523" s="9" t="s">
        <v>13284</v>
      </c>
      <c r="H523" s="9" t="s">
        <v>13284</v>
      </c>
      <c r="I523" s="9" t="s">
        <v>13284</v>
      </c>
      <c r="J523" s="9" t="s">
        <v>13284</v>
      </c>
      <c r="K523" s="9" t="s">
        <v>13284</v>
      </c>
      <c r="L523" s="9" t="s">
        <v>13284</v>
      </c>
      <c r="M523" s="9" t="s">
        <v>13284</v>
      </c>
      <c r="N523" s="9" t="s">
        <v>13284</v>
      </c>
      <c r="O523" s="9" t="s">
        <v>13284</v>
      </c>
      <c r="P523" s="9" t="s">
        <v>13284</v>
      </c>
      <c r="Q523" s="9" t="s">
        <v>13284</v>
      </c>
      <c r="R523" s="9" t="s">
        <v>13284</v>
      </c>
      <c r="S523" s="9" t="s">
        <v>13284</v>
      </c>
      <c r="T523" s="9" t="str">
        <f ca="1">IFERROR(IF(AND(VLOOKUP(A523, 'Актуальное состояние (из общего'!A:C,3,0) = "", A523 &lt;&gt; ""), "ПРОВЕРИТЬ", VLOOKUP(A523, 'Актуальное состояние (из общего'!A:C,3,0)), "")</f>
        <v>Студент</v>
      </c>
      <c r="U523" s="9" t="s">
        <v>13284</v>
      </c>
      <c r="V523" s="9" t="s">
        <v>13284</v>
      </c>
      <c r="W523" s="12"/>
      <c r="X523" s="9" t="str">
        <f t="array" ref="X523">IFERROR(INDEX('Адреса общежитий (скрытый)'!$B$2:$B$9, MATCH(W523, 'Адреса общежитий (скрытый)'!$A$2:$A$9, 0)), "")</f>
        <v/>
      </c>
      <c r="Y523" s="18"/>
      <c r="Z523" s="18"/>
      <c r="AA523" s="18"/>
      <c r="AB523" s="18"/>
      <c r="AC523" s="18"/>
    </row>
    <row r="524" spans="1:29" ht="32.25" hidden="1" customHeight="1">
      <c r="A524" s="8">
        <v>2305179</v>
      </c>
      <c r="B524" s="9" t="s">
        <v>13284</v>
      </c>
      <c r="C524" s="9" t="s">
        <v>13284</v>
      </c>
      <c r="D524" s="9" t="s">
        <v>13284</v>
      </c>
      <c r="E524" s="9" t="s">
        <v>13284</v>
      </c>
      <c r="F524" s="9" t="s">
        <v>13284</v>
      </c>
      <c r="G524" s="9" t="s">
        <v>13284</v>
      </c>
      <c r="H524" s="9" t="s">
        <v>13284</v>
      </c>
      <c r="I524" s="9" t="s">
        <v>13284</v>
      </c>
      <c r="J524" s="9" t="s">
        <v>13284</v>
      </c>
      <c r="K524" s="9" t="s">
        <v>13284</v>
      </c>
      <c r="L524" s="9" t="s">
        <v>13284</v>
      </c>
      <c r="M524" s="9" t="s">
        <v>13284</v>
      </c>
      <c r="N524" s="9" t="s">
        <v>13284</v>
      </c>
      <c r="O524" s="9" t="s">
        <v>13284</v>
      </c>
      <c r="P524" s="9" t="s">
        <v>13284</v>
      </c>
      <c r="Q524" s="9" t="s">
        <v>13284</v>
      </c>
      <c r="R524" s="9" t="s">
        <v>13284</v>
      </c>
      <c r="S524" s="9" t="s">
        <v>13284</v>
      </c>
      <c r="T524" s="9" t="str">
        <f ca="1">IFERROR(IF(AND(VLOOKUP(A524, 'Актуальное состояние (из общего'!A:C,3,0) = "", A524 &lt;&gt; ""), "ПРОВЕРИТЬ", VLOOKUP(A524, 'Актуальное состояние (из общего'!A:C,3,0)), "")</f>
        <v>Студент</v>
      </c>
      <c r="U524" s="9" t="s">
        <v>13284</v>
      </c>
      <c r="V524" s="9" t="s">
        <v>13284</v>
      </c>
      <c r="W524" s="12"/>
      <c r="X524" s="9" t="str">
        <f t="array" ref="X524">IFERROR(INDEX('Адреса общежитий (скрытый)'!$B$2:$B$9, MATCH(W524, 'Адреса общежитий (скрытый)'!$A$2:$A$9, 0)), "")</f>
        <v/>
      </c>
      <c r="Y524" s="18"/>
      <c r="Z524" s="18"/>
      <c r="AA524" s="18"/>
      <c r="AB524" s="18"/>
      <c r="AC524" s="18"/>
    </row>
    <row r="525" spans="1:29" ht="32.25" hidden="1" customHeight="1">
      <c r="A525" s="8">
        <v>2303411</v>
      </c>
      <c r="B525" s="9" t="s">
        <v>13284</v>
      </c>
      <c r="C525" s="9" t="s">
        <v>13284</v>
      </c>
      <c r="D525" s="9" t="s">
        <v>13284</v>
      </c>
      <c r="E525" s="9" t="s">
        <v>13284</v>
      </c>
      <c r="F525" s="9" t="s">
        <v>13284</v>
      </c>
      <c r="G525" s="9" t="s">
        <v>13284</v>
      </c>
      <c r="H525" s="9" t="s">
        <v>13284</v>
      </c>
      <c r="I525" s="9" t="s">
        <v>13284</v>
      </c>
      <c r="J525" s="9" t="s">
        <v>13284</v>
      </c>
      <c r="K525" s="9" t="s">
        <v>13284</v>
      </c>
      <c r="L525" s="9" t="s">
        <v>13284</v>
      </c>
      <c r="M525" s="9" t="s">
        <v>13284</v>
      </c>
      <c r="N525" s="9" t="s">
        <v>13284</v>
      </c>
      <c r="O525" s="9" t="s">
        <v>13284</v>
      </c>
      <c r="P525" s="9" t="s">
        <v>13284</v>
      </c>
      <c r="Q525" s="9" t="s">
        <v>13284</v>
      </c>
      <c r="R525" s="9" t="s">
        <v>13284</v>
      </c>
      <c r="S525" s="9" t="s">
        <v>13284</v>
      </c>
      <c r="T525" s="9" t="str">
        <f ca="1">IFERROR(IF(AND(VLOOKUP(A525, 'Актуальное состояние (из общего'!A:C,3,0) = "", A525 &lt;&gt; ""), "ПРОВЕРИТЬ", VLOOKUP(A525, 'Актуальное состояние (из общего'!A:C,3,0)), "")</f>
        <v>Студент</v>
      </c>
      <c r="U525" s="9" t="s">
        <v>13284</v>
      </c>
      <c r="V525" s="9" t="s">
        <v>13284</v>
      </c>
      <c r="W525" s="12"/>
      <c r="X525" s="9" t="str">
        <f t="array" ref="X525">IFERROR(INDEX('Адреса общежитий (скрытый)'!$B$2:$B$9, MATCH(W525, 'Адреса общежитий (скрытый)'!$A$2:$A$9, 0)), "")</f>
        <v/>
      </c>
      <c r="Y525" s="18"/>
      <c r="Z525" s="18"/>
      <c r="AA525" s="18"/>
      <c r="AB525" s="18"/>
      <c r="AC525" s="18"/>
    </row>
    <row r="526" spans="1:29" ht="32.25" customHeight="1">
      <c r="A526" s="8">
        <v>2306782</v>
      </c>
      <c r="B526" s="9" t="s">
        <v>13284</v>
      </c>
      <c r="C526" s="9" t="s">
        <v>13284</v>
      </c>
      <c r="D526" s="9" t="s">
        <v>13284</v>
      </c>
      <c r="E526" s="9" t="s">
        <v>13284</v>
      </c>
      <c r="F526" s="9" t="s">
        <v>13284</v>
      </c>
      <c r="G526" s="9" t="s">
        <v>13284</v>
      </c>
      <c r="H526" s="9" t="s">
        <v>13284</v>
      </c>
      <c r="I526" s="9" t="s">
        <v>13284</v>
      </c>
      <c r="J526" s="9" t="s">
        <v>13284</v>
      </c>
      <c r="K526" s="9" t="s">
        <v>13284</v>
      </c>
      <c r="L526" s="9" t="s">
        <v>13284</v>
      </c>
      <c r="M526" s="9" t="s">
        <v>13284</v>
      </c>
      <c r="N526" s="9" t="s">
        <v>13284</v>
      </c>
      <c r="O526" s="9" t="s">
        <v>13284</v>
      </c>
      <c r="P526" s="9" t="s">
        <v>13284</v>
      </c>
      <c r="Q526" s="9" t="s">
        <v>13284</v>
      </c>
      <c r="R526" s="9" t="s">
        <v>13284</v>
      </c>
      <c r="S526" s="9" t="s">
        <v>13284</v>
      </c>
      <c r="T526" s="9" t="str">
        <f ca="1">IFERROR(IF(AND(VLOOKUP(A526, 'Актуальное состояние (из общего'!A:C,3,0) = "", A526 &lt;&gt; ""), "ПРОВЕРИТЬ", VLOOKUP(A526, 'Актуальное состояние (из общего'!A:C,3,0)), "")</f>
        <v>Студент</v>
      </c>
      <c r="U526" s="9" t="s">
        <v>13284</v>
      </c>
      <c r="V526" s="9" t="s">
        <v>13284</v>
      </c>
      <c r="W526" s="12"/>
      <c r="X526" s="9" t="str">
        <f t="array" ref="X526">IFERROR(INDEX('Адреса общежитий (скрытый)'!$B$2:$B$9, MATCH(W526, 'Адреса общежитий (скрытый)'!$A$2:$A$9, 0)), "")</f>
        <v/>
      </c>
      <c r="Y526" s="18"/>
      <c r="Z526" s="18"/>
      <c r="AA526" s="18"/>
      <c r="AB526" s="18"/>
      <c r="AC526" s="18"/>
    </row>
    <row r="527" spans="1:29" ht="32.25" customHeight="1">
      <c r="A527" s="8">
        <v>2304253</v>
      </c>
      <c r="B527" s="9" t="s">
        <v>13284</v>
      </c>
      <c r="C527" s="9" t="s">
        <v>13284</v>
      </c>
      <c r="D527" s="9" t="s">
        <v>13284</v>
      </c>
      <c r="E527" s="9" t="s">
        <v>13284</v>
      </c>
      <c r="F527" s="9" t="s">
        <v>13284</v>
      </c>
      <c r="G527" s="9" t="s">
        <v>13284</v>
      </c>
      <c r="H527" s="9" t="s">
        <v>13284</v>
      </c>
      <c r="I527" s="9" t="s">
        <v>13284</v>
      </c>
      <c r="J527" s="9" t="s">
        <v>13284</v>
      </c>
      <c r="K527" s="9" t="s">
        <v>13284</v>
      </c>
      <c r="L527" s="9" t="s">
        <v>13284</v>
      </c>
      <c r="M527" s="9" t="s">
        <v>13284</v>
      </c>
      <c r="N527" s="9" t="s">
        <v>13284</v>
      </c>
      <c r="O527" s="9" t="s">
        <v>13284</v>
      </c>
      <c r="P527" s="9" t="s">
        <v>13284</v>
      </c>
      <c r="Q527" s="9" t="s">
        <v>13284</v>
      </c>
      <c r="R527" s="9" t="s">
        <v>13284</v>
      </c>
      <c r="S527" s="9" t="s">
        <v>13284</v>
      </c>
      <c r="T527" s="9" t="str">
        <f ca="1">IFERROR(IF(AND(VLOOKUP(A527, 'Актуальное состояние (из общего'!A:C,3,0) = "", A527 &lt;&gt; ""), "ПРОВЕРИТЬ", VLOOKUP(A527, 'Актуальное состояние (из общего'!A:C,3,0)), "")</f>
        <v>Студент</v>
      </c>
      <c r="U527" s="9" t="s">
        <v>13284</v>
      </c>
      <c r="V527" s="9" t="s">
        <v>13284</v>
      </c>
      <c r="W527" s="12"/>
      <c r="X527" s="9" t="str">
        <f t="array" ref="X527">IFERROR(INDEX('Адреса общежитий (скрытый)'!$B$2:$B$9, MATCH(W527, 'Адреса общежитий (скрытый)'!$A$2:$A$9, 0)), "")</f>
        <v/>
      </c>
      <c r="Y527" s="18"/>
      <c r="Z527" s="18"/>
      <c r="AA527" s="18"/>
      <c r="AB527" s="18"/>
      <c r="AC527" s="18"/>
    </row>
    <row r="528" spans="1:29" ht="32.25" customHeight="1">
      <c r="A528" s="8">
        <v>2305037</v>
      </c>
      <c r="B528" s="9" t="s">
        <v>13284</v>
      </c>
      <c r="C528" s="9" t="s">
        <v>13284</v>
      </c>
      <c r="D528" s="9" t="s">
        <v>13284</v>
      </c>
      <c r="E528" s="9" t="s">
        <v>13284</v>
      </c>
      <c r="F528" s="9" t="s">
        <v>13284</v>
      </c>
      <c r="G528" s="9" t="s">
        <v>13284</v>
      </c>
      <c r="H528" s="9" t="s">
        <v>13284</v>
      </c>
      <c r="I528" s="9" t="s">
        <v>13284</v>
      </c>
      <c r="J528" s="9" t="s">
        <v>13284</v>
      </c>
      <c r="K528" s="9" t="s">
        <v>13284</v>
      </c>
      <c r="L528" s="9" t="s">
        <v>13284</v>
      </c>
      <c r="M528" s="9" t="s">
        <v>13284</v>
      </c>
      <c r="N528" s="9" t="s">
        <v>13284</v>
      </c>
      <c r="O528" s="9" t="s">
        <v>13284</v>
      </c>
      <c r="P528" s="9" t="s">
        <v>13284</v>
      </c>
      <c r="Q528" s="9" t="s">
        <v>13284</v>
      </c>
      <c r="R528" s="9" t="s">
        <v>13284</v>
      </c>
      <c r="S528" s="9" t="s">
        <v>13284</v>
      </c>
      <c r="T528" s="9" t="str">
        <f ca="1">IFERROR(IF(AND(VLOOKUP(A528, 'Актуальное состояние (из общего'!A:C,3,0) = "", A528 &lt;&gt; ""), "ПРОВЕРИТЬ", VLOOKUP(A528, 'Актуальное состояние (из общего'!A:C,3,0)), "")</f>
        <v>Студент</v>
      </c>
      <c r="U528" s="9" t="s">
        <v>13284</v>
      </c>
      <c r="V528" s="9" t="s">
        <v>13284</v>
      </c>
      <c r="W528" s="12"/>
      <c r="X528" s="9" t="str">
        <f t="array" ref="X528">IFERROR(INDEX('Адреса общежитий (скрытый)'!$B$2:$B$9, MATCH(W528, 'Адреса общежитий (скрытый)'!$A$2:$A$9, 0)), "")</f>
        <v/>
      </c>
      <c r="Y528" s="18"/>
      <c r="Z528" s="18"/>
      <c r="AA528" s="18"/>
      <c r="AB528" s="18"/>
      <c r="AC528" s="18"/>
    </row>
    <row r="529" spans="1:29" ht="32.25" customHeight="1">
      <c r="A529" s="8">
        <v>2306435</v>
      </c>
      <c r="B529" s="9" t="s">
        <v>13284</v>
      </c>
      <c r="C529" s="9" t="s">
        <v>13284</v>
      </c>
      <c r="D529" s="9" t="s">
        <v>13284</v>
      </c>
      <c r="E529" s="9" t="s">
        <v>13284</v>
      </c>
      <c r="F529" s="9" t="s">
        <v>13284</v>
      </c>
      <c r="G529" s="9" t="s">
        <v>13284</v>
      </c>
      <c r="H529" s="9" t="s">
        <v>13284</v>
      </c>
      <c r="I529" s="9" t="s">
        <v>13284</v>
      </c>
      <c r="J529" s="9" t="s">
        <v>13284</v>
      </c>
      <c r="K529" s="9" t="s">
        <v>13284</v>
      </c>
      <c r="L529" s="9" t="s">
        <v>13284</v>
      </c>
      <c r="M529" s="9" t="s">
        <v>13284</v>
      </c>
      <c r="N529" s="9" t="s">
        <v>13284</v>
      </c>
      <c r="O529" s="9" t="s">
        <v>13284</v>
      </c>
      <c r="P529" s="9" t="s">
        <v>13284</v>
      </c>
      <c r="Q529" s="9" t="s">
        <v>13284</v>
      </c>
      <c r="R529" s="9" t="s">
        <v>13284</v>
      </c>
      <c r="S529" s="9" t="s">
        <v>13284</v>
      </c>
      <c r="T529" s="9" t="str">
        <f ca="1">IFERROR(IF(AND(VLOOKUP(A529, 'Актуальное состояние (из общего'!A:C,3,0) = "", A529 &lt;&gt; ""), "ПРОВЕРИТЬ", VLOOKUP(A529, 'Актуальное состояние (из общего'!A:C,3,0)), "")</f>
        <v>Студент</v>
      </c>
      <c r="U529" s="9" t="s">
        <v>13284</v>
      </c>
      <c r="V529" s="9" t="s">
        <v>13284</v>
      </c>
      <c r="W529" s="12"/>
      <c r="X529" s="9" t="str">
        <f t="array" ref="X529">IFERROR(INDEX('Адреса общежитий (скрытый)'!$B$2:$B$9, MATCH(W529, 'Адреса общежитий (скрытый)'!$A$2:$A$9, 0)), "")</f>
        <v/>
      </c>
      <c r="Y529" s="18"/>
      <c r="Z529" s="18"/>
      <c r="AA529" s="18"/>
      <c r="AB529" s="18"/>
      <c r="AC529" s="18"/>
    </row>
    <row r="530" spans="1:29" ht="32.25" hidden="1" customHeight="1">
      <c r="A530" s="8">
        <v>2304095</v>
      </c>
      <c r="B530" s="9" t="s">
        <v>13284</v>
      </c>
      <c r="C530" s="9" t="s">
        <v>13284</v>
      </c>
      <c r="D530" s="9" t="s">
        <v>13284</v>
      </c>
      <c r="E530" s="9" t="s">
        <v>13284</v>
      </c>
      <c r="F530" s="9" t="s">
        <v>13284</v>
      </c>
      <c r="G530" s="9" t="s">
        <v>13284</v>
      </c>
      <c r="H530" s="9" t="s">
        <v>13284</v>
      </c>
      <c r="I530" s="9" t="s">
        <v>13284</v>
      </c>
      <c r="J530" s="9" t="s">
        <v>13284</v>
      </c>
      <c r="K530" s="9" t="s">
        <v>13284</v>
      </c>
      <c r="L530" s="9" t="s">
        <v>13284</v>
      </c>
      <c r="M530" s="9" t="s">
        <v>13284</v>
      </c>
      <c r="N530" s="9" t="s">
        <v>13284</v>
      </c>
      <c r="O530" s="9" t="s">
        <v>13284</v>
      </c>
      <c r="P530" s="9" t="s">
        <v>13284</v>
      </c>
      <c r="Q530" s="9" t="s">
        <v>13284</v>
      </c>
      <c r="R530" s="9" t="s">
        <v>13284</v>
      </c>
      <c r="S530" s="9" t="s">
        <v>13284</v>
      </c>
      <c r="T530" s="9" t="str">
        <f ca="1">IFERROR(IF(AND(VLOOKUP(A530, 'Актуальное состояние (из общего'!A:C,3,0) = "", A530 &lt;&gt; ""), "ПРОВЕРИТЬ", VLOOKUP(A530, 'Актуальное состояние (из общего'!A:C,3,0)), "")</f>
        <v>Студент</v>
      </c>
      <c r="U530" s="9" t="s">
        <v>13284</v>
      </c>
      <c r="V530" s="9" t="s">
        <v>13284</v>
      </c>
      <c r="W530" s="12"/>
      <c r="X530" s="9" t="str">
        <f t="array" ref="X530">IFERROR(INDEX('Адреса общежитий (скрытый)'!$B$2:$B$9, MATCH(W530, 'Адреса общежитий (скрытый)'!$A$2:$A$9, 0)), "")</f>
        <v/>
      </c>
      <c r="Y530" s="18"/>
      <c r="Z530" s="18"/>
      <c r="AA530" s="18"/>
      <c r="AB530" s="18"/>
      <c r="AC530" s="18"/>
    </row>
    <row r="531" spans="1:29" ht="32.25" customHeight="1">
      <c r="A531" s="8">
        <v>2304282</v>
      </c>
      <c r="B531" s="9" t="s">
        <v>13284</v>
      </c>
      <c r="C531" s="9" t="s">
        <v>13284</v>
      </c>
      <c r="D531" s="9" t="s">
        <v>13284</v>
      </c>
      <c r="E531" s="9" t="s">
        <v>13284</v>
      </c>
      <c r="F531" s="9" t="s">
        <v>13284</v>
      </c>
      <c r="G531" s="9" t="s">
        <v>13284</v>
      </c>
      <c r="H531" s="9" t="s">
        <v>13284</v>
      </c>
      <c r="I531" s="9" t="s">
        <v>13284</v>
      </c>
      <c r="J531" s="9" t="s">
        <v>13284</v>
      </c>
      <c r="K531" s="9" t="s">
        <v>13284</v>
      </c>
      <c r="L531" s="9" t="s">
        <v>13284</v>
      </c>
      <c r="M531" s="9" t="s">
        <v>13284</v>
      </c>
      <c r="N531" s="9" t="s">
        <v>13284</v>
      </c>
      <c r="O531" s="9" t="s">
        <v>13284</v>
      </c>
      <c r="P531" s="9" t="s">
        <v>13284</v>
      </c>
      <c r="Q531" s="9" t="s">
        <v>13284</v>
      </c>
      <c r="R531" s="9" t="s">
        <v>13284</v>
      </c>
      <c r="S531" s="9" t="s">
        <v>13284</v>
      </c>
      <c r="T531" s="9" t="str">
        <f ca="1">IFERROR(IF(AND(VLOOKUP(A531, 'Актуальное состояние (из общего'!A:C,3,0) = "", A531 &lt;&gt; ""), "ПРОВЕРИТЬ", VLOOKUP(A531, 'Актуальное состояние (из общего'!A:C,3,0)), "")</f>
        <v>Студент</v>
      </c>
      <c r="U531" s="9" t="s">
        <v>13284</v>
      </c>
      <c r="V531" s="9" t="s">
        <v>13284</v>
      </c>
      <c r="W531" s="12"/>
      <c r="X531" s="9" t="str">
        <f t="array" ref="X531">IFERROR(INDEX('Адреса общежитий (скрытый)'!$B$2:$B$9, MATCH(W531, 'Адреса общежитий (скрытый)'!$A$2:$A$9, 0)), "")</f>
        <v/>
      </c>
      <c r="Y531" s="18"/>
      <c r="Z531" s="18"/>
      <c r="AA531" s="18"/>
      <c r="AB531" s="18"/>
      <c r="AC531" s="18"/>
    </row>
    <row r="532" spans="1:29" ht="32.25" customHeight="1">
      <c r="A532" s="8">
        <v>2304929</v>
      </c>
      <c r="B532" s="9" t="s">
        <v>13284</v>
      </c>
      <c r="C532" s="9" t="s">
        <v>13284</v>
      </c>
      <c r="D532" s="9" t="s">
        <v>13284</v>
      </c>
      <c r="E532" s="9" t="s">
        <v>13284</v>
      </c>
      <c r="F532" s="9" t="s">
        <v>13284</v>
      </c>
      <c r="G532" s="9" t="s">
        <v>13284</v>
      </c>
      <c r="H532" s="9" t="s">
        <v>13284</v>
      </c>
      <c r="I532" s="9" t="s">
        <v>13284</v>
      </c>
      <c r="J532" s="9" t="s">
        <v>13284</v>
      </c>
      <c r="K532" s="9" t="s">
        <v>13284</v>
      </c>
      <c r="L532" s="9" t="s">
        <v>13284</v>
      </c>
      <c r="M532" s="9" t="s">
        <v>13284</v>
      </c>
      <c r="N532" s="9" t="s">
        <v>13284</v>
      </c>
      <c r="O532" s="9" t="s">
        <v>13284</v>
      </c>
      <c r="P532" s="9" t="s">
        <v>13284</v>
      </c>
      <c r="Q532" s="9" t="s">
        <v>13284</v>
      </c>
      <c r="R532" s="9" t="s">
        <v>13284</v>
      </c>
      <c r="S532" s="9" t="s">
        <v>13284</v>
      </c>
      <c r="T532" s="9" t="str">
        <f ca="1">IFERROR(IF(AND(VLOOKUP(A532, 'Актуальное состояние (из общего'!A:C,3,0) = "", A532 &lt;&gt; ""), "ПРОВЕРИТЬ", VLOOKUP(A532, 'Актуальное состояние (из общего'!A:C,3,0)), "")</f>
        <v>Студент</v>
      </c>
      <c r="U532" s="9" t="s">
        <v>13284</v>
      </c>
      <c r="V532" s="9" t="s">
        <v>13284</v>
      </c>
      <c r="W532" s="12"/>
      <c r="X532" s="9" t="str">
        <f t="array" ref="X532">IFERROR(INDEX('Адреса общежитий (скрытый)'!$B$2:$B$9, MATCH(W532, 'Адреса общежитий (скрытый)'!$A$2:$A$9, 0)), "")</f>
        <v/>
      </c>
      <c r="Y532" s="18"/>
      <c r="Z532" s="18"/>
      <c r="AA532" s="18"/>
      <c r="AB532" s="18"/>
      <c r="AC532" s="18"/>
    </row>
    <row r="533" spans="1:29" ht="32.25" customHeight="1">
      <c r="A533" s="8">
        <v>2309334</v>
      </c>
      <c r="B533" s="9" t="s">
        <v>13284</v>
      </c>
      <c r="C533" s="9" t="s">
        <v>13284</v>
      </c>
      <c r="D533" s="9" t="s">
        <v>13284</v>
      </c>
      <c r="E533" s="9" t="s">
        <v>13284</v>
      </c>
      <c r="F533" s="9" t="s">
        <v>13284</v>
      </c>
      <c r="G533" s="9" t="s">
        <v>13284</v>
      </c>
      <c r="H533" s="9" t="s">
        <v>13284</v>
      </c>
      <c r="I533" s="9" t="s">
        <v>13284</v>
      </c>
      <c r="J533" s="9" t="s">
        <v>13284</v>
      </c>
      <c r="K533" s="9" t="s">
        <v>13284</v>
      </c>
      <c r="L533" s="9" t="s">
        <v>13284</v>
      </c>
      <c r="M533" s="9" t="s">
        <v>13284</v>
      </c>
      <c r="N533" s="9" t="s">
        <v>13284</v>
      </c>
      <c r="O533" s="9" t="s">
        <v>13284</v>
      </c>
      <c r="P533" s="9" t="s">
        <v>13284</v>
      </c>
      <c r="Q533" s="9" t="s">
        <v>13284</v>
      </c>
      <c r="R533" s="9" t="s">
        <v>13284</v>
      </c>
      <c r="S533" s="9" t="s">
        <v>13284</v>
      </c>
      <c r="T533" s="9" t="str">
        <f ca="1">IFERROR(IF(AND(VLOOKUP(A533, 'Актуальное состояние (из общего'!A:C,3,0) = "", A533 &lt;&gt; ""), "ПРОВЕРИТЬ", VLOOKUP(A533, 'Актуальное состояние (из общего'!A:C,3,0)), "")</f>
        <v>Студент</v>
      </c>
      <c r="U533" s="9" t="s">
        <v>13284</v>
      </c>
      <c r="V533" s="9" t="s">
        <v>13284</v>
      </c>
      <c r="W533" s="12" t="s">
        <v>76</v>
      </c>
      <c r="X533" s="9" t="str">
        <f t="array" ref="X533">IFERROR(INDEX('Адреса общежитий (скрытый)'!$B$2:$B$9, MATCH(W533, 'Адреса общежитий (скрытый)'!$A$2:$A$9, 0)), "")</f>
        <v>ул. Студенческая, д. 33, корп. 5,6</v>
      </c>
      <c r="Y533" s="18"/>
      <c r="Z533" s="18"/>
      <c r="AA533" s="18"/>
      <c r="AB533" s="18"/>
      <c r="AC533" s="18"/>
    </row>
    <row r="534" spans="1:29" ht="32.25" customHeight="1">
      <c r="A534" s="8">
        <v>2302312</v>
      </c>
      <c r="B534" s="9" t="s">
        <v>13284</v>
      </c>
      <c r="C534" s="9" t="s">
        <v>13284</v>
      </c>
      <c r="D534" s="9" t="s">
        <v>13284</v>
      </c>
      <c r="E534" s="9" t="s">
        <v>13284</v>
      </c>
      <c r="F534" s="9" t="s">
        <v>13284</v>
      </c>
      <c r="G534" s="9" t="s">
        <v>13284</v>
      </c>
      <c r="H534" s="9" t="s">
        <v>13284</v>
      </c>
      <c r="I534" s="9" t="s">
        <v>13284</v>
      </c>
      <c r="J534" s="9" t="s">
        <v>13284</v>
      </c>
      <c r="K534" s="9" t="s">
        <v>13284</v>
      </c>
      <c r="L534" s="9" t="s">
        <v>13284</v>
      </c>
      <c r="M534" s="9" t="s">
        <v>13284</v>
      </c>
      <c r="N534" s="9" t="s">
        <v>13284</v>
      </c>
      <c r="O534" s="9" t="s">
        <v>13284</v>
      </c>
      <c r="P534" s="9" t="s">
        <v>13284</v>
      </c>
      <c r="Q534" s="9" t="s">
        <v>13284</v>
      </c>
      <c r="R534" s="9" t="s">
        <v>13284</v>
      </c>
      <c r="S534" s="9" t="s">
        <v>13284</v>
      </c>
      <c r="T534" s="9" t="str">
        <f ca="1">IFERROR(IF(AND(VLOOKUP(A534, 'Актуальное состояние (из общего'!A:C,3,0) = "", A534 &lt;&gt; ""), "ПРОВЕРИТЬ", VLOOKUP(A534, 'Актуальное состояние (из общего'!A:C,3,0)), "")</f>
        <v>Студент</v>
      </c>
      <c r="U534" s="9" t="s">
        <v>13284</v>
      </c>
      <c r="V534" s="9" t="s">
        <v>13284</v>
      </c>
      <c r="W534" s="12"/>
      <c r="X534" s="9" t="str">
        <f t="array" ref="X534">IFERROR(INDEX('Адреса общежитий (скрытый)'!$B$2:$B$9, MATCH(W534, 'Адреса общежитий (скрытый)'!$A$2:$A$9, 0)), "")</f>
        <v/>
      </c>
      <c r="Y534" s="18"/>
      <c r="Z534" s="18"/>
      <c r="AA534" s="18"/>
      <c r="AB534" s="18"/>
      <c r="AC534" s="18"/>
    </row>
    <row r="535" spans="1:29" ht="32.25" customHeight="1">
      <c r="A535" s="8">
        <v>2305401</v>
      </c>
      <c r="B535" s="9" t="s">
        <v>13284</v>
      </c>
      <c r="C535" s="9" t="s">
        <v>13284</v>
      </c>
      <c r="D535" s="9" t="s">
        <v>13284</v>
      </c>
      <c r="E535" s="9" t="s">
        <v>13284</v>
      </c>
      <c r="F535" s="9" t="s">
        <v>13284</v>
      </c>
      <c r="G535" s="9" t="s">
        <v>13284</v>
      </c>
      <c r="H535" s="9" t="s">
        <v>13284</v>
      </c>
      <c r="I535" s="9" t="s">
        <v>13284</v>
      </c>
      <c r="J535" s="9" t="s">
        <v>13284</v>
      </c>
      <c r="K535" s="9" t="s">
        <v>13284</v>
      </c>
      <c r="L535" s="9" t="s">
        <v>13284</v>
      </c>
      <c r="M535" s="9" t="s">
        <v>13284</v>
      </c>
      <c r="N535" s="9" t="s">
        <v>13284</v>
      </c>
      <c r="O535" s="9" t="s">
        <v>13284</v>
      </c>
      <c r="P535" s="9" t="s">
        <v>13284</v>
      </c>
      <c r="Q535" s="9" t="s">
        <v>13284</v>
      </c>
      <c r="R535" s="9" t="s">
        <v>13284</v>
      </c>
      <c r="S535" s="9" t="s">
        <v>13284</v>
      </c>
      <c r="T535" s="9" t="str">
        <f ca="1">IFERROR(IF(AND(VLOOKUP(A535, 'Актуальное состояние (из общего'!A:C,3,0) = "", A535 &lt;&gt; ""), "ПРОВЕРИТЬ", VLOOKUP(A535, 'Актуальное состояние (из общего'!A:C,3,0)), "")</f>
        <v>Студент</v>
      </c>
      <c r="U535" s="9" t="s">
        <v>13284</v>
      </c>
      <c r="V535" s="9" t="s">
        <v>13284</v>
      </c>
      <c r="W535" s="12"/>
      <c r="X535" s="9" t="str">
        <f t="array" ref="X535">IFERROR(INDEX('Адреса общежитий (скрытый)'!$B$2:$B$9, MATCH(W535, 'Адреса общежитий (скрытый)'!$A$2:$A$9, 0)), "")</f>
        <v/>
      </c>
      <c r="Y535" s="18"/>
      <c r="Z535" s="18"/>
      <c r="AA535" s="18"/>
      <c r="AB535" s="18"/>
      <c r="AC535" s="18"/>
    </row>
    <row r="536" spans="1:29" ht="32.25" customHeight="1">
      <c r="A536" s="8">
        <v>2302384</v>
      </c>
      <c r="B536" s="9" t="s">
        <v>13284</v>
      </c>
      <c r="C536" s="9" t="s">
        <v>13284</v>
      </c>
      <c r="D536" s="9" t="s">
        <v>13284</v>
      </c>
      <c r="E536" s="9" t="s">
        <v>13284</v>
      </c>
      <c r="F536" s="9" t="s">
        <v>13284</v>
      </c>
      <c r="G536" s="9" t="s">
        <v>13284</v>
      </c>
      <c r="H536" s="9" t="s">
        <v>13284</v>
      </c>
      <c r="I536" s="9" t="s">
        <v>13284</v>
      </c>
      <c r="J536" s="9" t="s">
        <v>13284</v>
      </c>
      <c r="K536" s="9" t="s">
        <v>13284</v>
      </c>
      <c r="L536" s="9" t="s">
        <v>13284</v>
      </c>
      <c r="M536" s="9" t="s">
        <v>13284</v>
      </c>
      <c r="N536" s="9" t="s">
        <v>13284</v>
      </c>
      <c r="O536" s="9" t="s">
        <v>13284</v>
      </c>
      <c r="P536" s="9" t="s">
        <v>13284</v>
      </c>
      <c r="Q536" s="9" t="s">
        <v>13284</v>
      </c>
      <c r="R536" s="9" t="s">
        <v>13284</v>
      </c>
      <c r="S536" s="9" t="s">
        <v>13284</v>
      </c>
      <c r="T536" s="9" t="str">
        <f ca="1">IFERROR(IF(AND(VLOOKUP(A536, 'Актуальное состояние (из общего'!A:C,3,0) = "", A536 &lt;&gt; ""), "ПРОВЕРИТЬ", VLOOKUP(A536, 'Актуальное состояние (из общего'!A:C,3,0)), "")</f>
        <v>Студент</v>
      </c>
      <c r="U536" s="9" t="s">
        <v>13284</v>
      </c>
      <c r="V536" s="9" t="s">
        <v>13284</v>
      </c>
      <c r="W536" s="12"/>
      <c r="X536" s="9" t="str">
        <f t="array" ref="X536">IFERROR(INDEX('Адреса общежитий (скрытый)'!$B$2:$B$9, MATCH(W536, 'Адреса общежитий (скрытый)'!$A$2:$A$9, 0)), "")</f>
        <v/>
      </c>
      <c r="Y536" s="18"/>
      <c r="Z536" s="18"/>
      <c r="AA536" s="18"/>
      <c r="AB536" s="18"/>
      <c r="AC536" s="18"/>
    </row>
    <row r="537" spans="1:29" ht="32.25" customHeight="1">
      <c r="A537" s="8">
        <v>2301357</v>
      </c>
      <c r="B537" s="9" t="s">
        <v>13284</v>
      </c>
      <c r="C537" s="9" t="s">
        <v>13284</v>
      </c>
      <c r="D537" s="9" t="s">
        <v>13284</v>
      </c>
      <c r="E537" s="9" t="s">
        <v>13284</v>
      </c>
      <c r="F537" s="9" t="s">
        <v>13284</v>
      </c>
      <c r="G537" s="9" t="s">
        <v>13284</v>
      </c>
      <c r="H537" s="9" t="s">
        <v>13284</v>
      </c>
      <c r="I537" s="9" t="s">
        <v>13284</v>
      </c>
      <c r="J537" s="9" t="s">
        <v>13284</v>
      </c>
      <c r="K537" s="9" t="s">
        <v>13284</v>
      </c>
      <c r="L537" s="9" t="s">
        <v>13284</v>
      </c>
      <c r="M537" s="9" t="s">
        <v>13284</v>
      </c>
      <c r="N537" s="9" t="s">
        <v>13284</v>
      </c>
      <c r="O537" s="9" t="s">
        <v>13284</v>
      </c>
      <c r="P537" s="9" t="s">
        <v>13284</v>
      </c>
      <c r="Q537" s="9" t="s">
        <v>13284</v>
      </c>
      <c r="R537" s="9" t="s">
        <v>13284</v>
      </c>
      <c r="S537" s="9" t="s">
        <v>13284</v>
      </c>
      <c r="T537" s="9" t="str">
        <f ca="1">IFERROR(IF(AND(VLOOKUP(A537, 'Актуальное состояние (из общего'!A:C,3,0) = "", A537 &lt;&gt; ""), "ПРОВЕРИТЬ", VLOOKUP(A537, 'Актуальное состояние (из общего'!A:C,3,0)), "")</f>
        <v>Студент</v>
      </c>
      <c r="U537" s="9" t="s">
        <v>13284</v>
      </c>
      <c r="V537" s="9" t="s">
        <v>13284</v>
      </c>
      <c r="W537" s="12"/>
      <c r="X537" s="9" t="str">
        <f t="array" ref="X537">IFERROR(INDEX('Адреса общежитий (скрытый)'!$B$2:$B$9, MATCH(W537, 'Адреса общежитий (скрытый)'!$A$2:$A$9, 0)), "")</f>
        <v/>
      </c>
      <c r="Y537" s="18"/>
      <c r="Z537" s="18"/>
      <c r="AA537" s="18"/>
      <c r="AB537" s="18"/>
      <c r="AC537" s="18"/>
    </row>
    <row r="538" spans="1:29" ht="32.25" customHeight="1">
      <c r="A538" s="8">
        <v>2305803</v>
      </c>
      <c r="B538" s="9" t="s">
        <v>13284</v>
      </c>
      <c r="C538" s="9" t="s">
        <v>13284</v>
      </c>
      <c r="D538" s="9" t="s">
        <v>13284</v>
      </c>
      <c r="E538" s="9" t="s">
        <v>13284</v>
      </c>
      <c r="F538" s="9" t="s">
        <v>13284</v>
      </c>
      <c r="G538" s="9" t="s">
        <v>13284</v>
      </c>
      <c r="H538" s="9" t="s">
        <v>13284</v>
      </c>
      <c r="I538" s="9" t="s">
        <v>13284</v>
      </c>
      <c r="J538" s="9" t="s">
        <v>13284</v>
      </c>
      <c r="K538" s="9" t="s">
        <v>13284</v>
      </c>
      <c r="L538" s="9" t="s">
        <v>13284</v>
      </c>
      <c r="M538" s="9" t="s">
        <v>13284</v>
      </c>
      <c r="N538" s="9" t="s">
        <v>13284</v>
      </c>
      <c r="O538" s="9" t="s">
        <v>13284</v>
      </c>
      <c r="P538" s="9" t="s">
        <v>13284</v>
      </c>
      <c r="Q538" s="9" t="s">
        <v>13284</v>
      </c>
      <c r="R538" s="9" t="s">
        <v>13284</v>
      </c>
      <c r="S538" s="9" t="s">
        <v>13284</v>
      </c>
      <c r="T538" s="9" t="str">
        <f ca="1">IFERROR(IF(AND(VLOOKUP(A538, 'Актуальное состояние (из общего'!A:C,3,0) = "", A538 &lt;&gt; ""), "ПРОВЕРИТЬ", VLOOKUP(A538, 'Актуальное состояние (из общего'!A:C,3,0)), "")</f>
        <v>Студент</v>
      </c>
      <c r="U538" s="9" t="s">
        <v>13284</v>
      </c>
      <c r="V538" s="9" t="s">
        <v>13284</v>
      </c>
      <c r="W538" s="12"/>
      <c r="X538" s="9" t="str">
        <f t="array" ref="X538">IFERROR(INDEX('Адреса общежитий (скрытый)'!$B$2:$B$9, MATCH(W538, 'Адреса общежитий (скрытый)'!$A$2:$A$9, 0)), "")</f>
        <v/>
      </c>
      <c r="Y538" s="18"/>
      <c r="Z538" s="18"/>
      <c r="AA538" s="18"/>
      <c r="AB538" s="18"/>
      <c r="AC538" s="18"/>
    </row>
    <row r="539" spans="1:29" ht="32.25" customHeight="1">
      <c r="A539" s="8">
        <v>2300463</v>
      </c>
      <c r="B539" s="9" t="s">
        <v>13284</v>
      </c>
      <c r="C539" s="9" t="s">
        <v>13284</v>
      </c>
      <c r="D539" s="9" t="s">
        <v>13284</v>
      </c>
      <c r="E539" s="9" t="s">
        <v>13284</v>
      </c>
      <c r="F539" s="9" t="s">
        <v>13284</v>
      </c>
      <c r="G539" s="9" t="s">
        <v>13284</v>
      </c>
      <c r="H539" s="9" t="s">
        <v>13284</v>
      </c>
      <c r="I539" s="9" t="s">
        <v>13284</v>
      </c>
      <c r="J539" s="9" t="s">
        <v>13284</v>
      </c>
      <c r="K539" s="9" t="s">
        <v>13284</v>
      </c>
      <c r="L539" s="9" t="s">
        <v>13284</v>
      </c>
      <c r="M539" s="9" t="s">
        <v>13284</v>
      </c>
      <c r="N539" s="9" t="s">
        <v>13284</v>
      </c>
      <c r="O539" s="9" t="s">
        <v>13284</v>
      </c>
      <c r="P539" s="9" t="s">
        <v>13284</v>
      </c>
      <c r="Q539" s="9" t="s">
        <v>13284</v>
      </c>
      <c r="R539" s="9" t="s">
        <v>13284</v>
      </c>
      <c r="S539" s="9" t="s">
        <v>13284</v>
      </c>
      <c r="T539" s="9" t="str">
        <f ca="1">IFERROR(IF(AND(VLOOKUP(A539, 'Актуальное состояние (из общего'!A:C,3,0) = "", A539 &lt;&gt; ""), "ПРОВЕРИТЬ", VLOOKUP(A539, 'Актуальное состояние (из общего'!A:C,3,0)), "")</f>
        <v>Студент</v>
      </c>
      <c r="U539" s="9" t="s">
        <v>13284</v>
      </c>
      <c r="V539" s="9" t="s">
        <v>13284</v>
      </c>
      <c r="W539" s="12"/>
      <c r="X539" s="9" t="str">
        <f t="array" ref="X539">IFERROR(INDEX('Адреса общежитий (скрытый)'!$B$2:$B$9, MATCH(W539, 'Адреса общежитий (скрытый)'!$A$2:$A$9, 0)), "")</f>
        <v/>
      </c>
      <c r="Y539" s="18"/>
      <c r="Z539" s="18"/>
      <c r="AA539" s="18"/>
      <c r="AB539" s="18"/>
      <c r="AC539" s="18"/>
    </row>
    <row r="540" spans="1:29" ht="32.25" customHeight="1">
      <c r="A540" s="8">
        <v>2303511</v>
      </c>
      <c r="B540" s="9" t="s">
        <v>13284</v>
      </c>
      <c r="C540" s="9" t="s">
        <v>13284</v>
      </c>
      <c r="D540" s="9" t="s">
        <v>13284</v>
      </c>
      <c r="E540" s="9" t="s">
        <v>13284</v>
      </c>
      <c r="F540" s="9" t="s">
        <v>13284</v>
      </c>
      <c r="G540" s="9" t="s">
        <v>13284</v>
      </c>
      <c r="H540" s="9" t="s">
        <v>13284</v>
      </c>
      <c r="I540" s="9" t="s">
        <v>13284</v>
      </c>
      <c r="J540" s="9" t="s">
        <v>13284</v>
      </c>
      <c r="K540" s="9" t="s">
        <v>13284</v>
      </c>
      <c r="L540" s="9" t="s">
        <v>13284</v>
      </c>
      <c r="M540" s="9" t="s">
        <v>13284</v>
      </c>
      <c r="N540" s="9" t="s">
        <v>13284</v>
      </c>
      <c r="O540" s="9" t="s">
        <v>13284</v>
      </c>
      <c r="P540" s="9" t="s">
        <v>13284</v>
      </c>
      <c r="Q540" s="9" t="s">
        <v>13284</v>
      </c>
      <c r="R540" s="9" t="s">
        <v>13284</v>
      </c>
      <c r="S540" s="9" t="s">
        <v>13284</v>
      </c>
      <c r="T540" s="9" t="str">
        <f ca="1">IFERROR(IF(AND(VLOOKUP(A540, 'Актуальное состояние (из общего'!A:C,3,0) = "", A540 &lt;&gt; ""), "ПРОВЕРИТЬ", VLOOKUP(A540, 'Актуальное состояние (из общего'!A:C,3,0)), "")</f>
        <v>Студент</v>
      </c>
      <c r="U540" s="9" t="s">
        <v>13284</v>
      </c>
      <c r="V540" s="9" t="s">
        <v>13284</v>
      </c>
      <c r="W540" s="12"/>
      <c r="X540" s="9" t="str">
        <f t="array" ref="X540">IFERROR(INDEX('Адреса общежитий (скрытый)'!$B$2:$B$9, MATCH(W540, 'Адреса общежитий (скрытый)'!$A$2:$A$9, 0)), "")</f>
        <v/>
      </c>
      <c r="Y540" s="18"/>
      <c r="Z540" s="18"/>
      <c r="AA540" s="18"/>
      <c r="AB540" s="18"/>
      <c r="AC540" s="18"/>
    </row>
    <row r="541" spans="1:29" ht="32.25" customHeight="1">
      <c r="A541" s="8">
        <v>2307172</v>
      </c>
      <c r="B541" s="9" t="s">
        <v>13284</v>
      </c>
      <c r="C541" s="9" t="s">
        <v>13284</v>
      </c>
      <c r="D541" s="9" t="s">
        <v>13284</v>
      </c>
      <c r="E541" s="9" t="s">
        <v>13284</v>
      </c>
      <c r="F541" s="9" t="s">
        <v>13284</v>
      </c>
      <c r="G541" s="9" t="s">
        <v>13284</v>
      </c>
      <c r="H541" s="9" t="s">
        <v>13284</v>
      </c>
      <c r="I541" s="9" t="s">
        <v>13284</v>
      </c>
      <c r="J541" s="9" t="s">
        <v>13284</v>
      </c>
      <c r="K541" s="9" t="s">
        <v>13284</v>
      </c>
      <c r="L541" s="9" t="s">
        <v>13284</v>
      </c>
      <c r="M541" s="9" t="s">
        <v>13284</v>
      </c>
      <c r="N541" s="9" t="s">
        <v>13284</v>
      </c>
      <c r="O541" s="9" t="s">
        <v>13284</v>
      </c>
      <c r="P541" s="9" t="s">
        <v>13284</v>
      </c>
      <c r="Q541" s="9" t="s">
        <v>13284</v>
      </c>
      <c r="R541" s="9" t="s">
        <v>13284</v>
      </c>
      <c r="S541" s="9" t="s">
        <v>13284</v>
      </c>
      <c r="T541" s="9" t="str">
        <f ca="1">IFERROR(IF(AND(VLOOKUP(A541, 'Актуальное состояние (из общего'!A:C,3,0) = "", A541 &lt;&gt; ""), "ПРОВЕРИТЬ", VLOOKUP(A541, 'Актуальное состояние (из общего'!A:C,3,0)), "")</f>
        <v>Студент</v>
      </c>
      <c r="U541" s="9" t="s">
        <v>13284</v>
      </c>
      <c r="V541" s="9" t="s">
        <v>13284</v>
      </c>
      <c r="W541" s="12"/>
      <c r="X541" s="9" t="str">
        <f t="array" ref="X541">IFERROR(INDEX('Адреса общежитий (скрытый)'!$B$2:$B$9, MATCH(W541, 'Адреса общежитий (скрытый)'!$A$2:$A$9, 0)), "")</f>
        <v/>
      </c>
      <c r="Y541" s="18"/>
      <c r="Z541" s="18"/>
      <c r="AA541" s="18"/>
      <c r="AB541" s="18"/>
      <c r="AC541" s="18"/>
    </row>
    <row r="542" spans="1:29" ht="32.25" customHeight="1">
      <c r="A542" s="8">
        <v>2301911</v>
      </c>
      <c r="B542" s="9" t="s">
        <v>13284</v>
      </c>
      <c r="C542" s="9" t="s">
        <v>13284</v>
      </c>
      <c r="D542" s="9" t="s">
        <v>13284</v>
      </c>
      <c r="E542" s="9" t="s">
        <v>13284</v>
      </c>
      <c r="F542" s="9" t="s">
        <v>13284</v>
      </c>
      <c r="G542" s="9" t="s">
        <v>13284</v>
      </c>
      <c r="H542" s="9" t="s">
        <v>13284</v>
      </c>
      <c r="I542" s="9" t="s">
        <v>13284</v>
      </c>
      <c r="J542" s="9" t="s">
        <v>13284</v>
      </c>
      <c r="K542" s="9" t="s">
        <v>13284</v>
      </c>
      <c r="L542" s="9" t="s">
        <v>13284</v>
      </c>
      <c r="M542" s="9" t="s">
        <v>13284</v>
      </c>
      <c r="N542" s="9" t="s">
        <v>13284</v>
      </c>
      <c r="O542" s="9" t="s">
        <v>13284</v>
      </c>
      <c r="P542" s="9" t="s">
        <v>13284</v>
      </c>
      <c r="Q542" s="9" t="s">
        <v>13284</v>
      </c>
      <c r="R542" s="9" t="s">
        <v>13284</v>
      </c>
      <c r="S542" s="9" t="s">
        <v>13284</v>
      </c>
      <c r="T542" s="9" t="str">
        <f ca="1">IFERROR(IF(AND(VLOOKUP(A542, 'Актуальное состояние (из общего'!A:C,3,0) = "", A542 &lt;&gt; ""), "ПРОВЕРИТЬ", VLOOKUP(A542, 'Актуальное состояние (из общего'!A:C,3,0)), "")</f>
        <v>Студент</v>
      </c>
      <c r="U542" s="9" t="s">
        <v>13284</v>
      </c>
      <c r="V542" s="9" t="s">
        <v>13284</v>
      </c>
      <c r="W542" s="12"/>
      <c r="X542" s="9" t="str">
        <f t="array" ref="X542">IFERROR(INDEX('Адреса общежитий (скрытый)'!$B$2:$B$9, MATCH(W542, 'Адреса общежитий (скрытый)'!$A$2:$A$9, 0)), "")</f>
        <v/>
      </c>
      <c r="Y542" s="18"/>
      <c r="Z542" s="18"/>
      <c r="AA542" s="18"/>
      <c r="AB542" s="18"/>
      <c r="AC542" s="18"/>
    </row>
    <row r="543" spans="1:29" ht="32.25" customHeight="1">
      <c r="A543" s="8">
        <v>2306032</v>
      </c>
      <c r="B543" s="9" t="s">
        <v>13284</v>
      </c>
      <c r="C543" s="9" t="s">
        <v>13284</v>
      </c>
      <c r="D543" s="9" t="s">
        <v>13284</v>
      </c>
      <c r="E543" s="9" t="s">
        <v>13284</v>
      </c>
      <c r="F543" s="9" t="s">
        <v>13284</v>
      </c>
      <c r="G543" s="9" t="s">
        <v>13284</v>
      </c>
      <c r="H543" s="9" t="s">
        <v>13284</v>
      </c>
      <c r="I543" s="9" t="s">
        <v>13284</v>
      </c>
      <c r="J543" s="9" t="s">
        <v>13284</v>
      </c>
      <c r="K543" s="9" t="s">
        <v>13284</v>
      </c>
      <c r="L543" s="9" t="s">
        <v>13284</v>
      </c>
      <c r="M543" s="9" t="s">
        <v>13284</v>
      </c>
      <c r="N543" s="9" t="s">
        <v>13284</v>
      </c>
      <c r="O543" s="9" t="s">
        <v>13284</v>
      </c>
      <c r="P543" s="9" t="s">
        <v>13284</v>
      </c>
      <c r="Q543" s="9" t="s">
        <v>13284</v>
      </c>
      <c r="R543" s="9" t="s">
        <v>13284</v>
      </c>
      <c r="S543" s="9" t="s">
        <v>13284</v>
      </c>
      <c r="T543" s="9" t="str">
        <f ca="1">IFERROR(IF(AND(VLOOKUP(A543, 'Актуальное состояние (из общего'!A:C,3,0) = "", A543 &lt;&gt; ""), "ПРОВЕРИТЬ", VLOOKUP(A543, 'Актуальное состояние (из общего'!A:C,3,0)), "")</f>
        <v>Студент</v>
      </c>
      <c r="U543" s="9" t="s">
        <v>13284</v>
      </c>
      <c r="V543" s="9" t="s">
        <v>13284</v>
      </c>
      <c r="W543" s="12"/>
      <c r="X543" s="9" t="str">
        <f t="array" ref="X543">IFERROR(INDEX('Адреса общежитий (скрытый)'!$B$2:$B$9, MATCH(W543, 'Адреса общежитий (скрытый)'!$A$2:$A$9, 0)), "")</f>
        <v/>
      </c>
      <c r="Y543" s="18"/>
      <c r="Z543" s="18"/>
      <c r="AA543" s="18"/>
      <c r="AB543" s="18"/>
      <c r="AC543" s="18"/>
    </row>
    <row r="544" spans="1:29" ht="32.25" customHeight="1">
      <c r="A544" s="8">
        <v>2308686</v>
      </c>
      <c r="B544" s="9" t="s">
        <v>13284</v>
      </c>
      <c r="C544" s="9" t="s">
        <v>13284</v>
      </c>
      <c r="D544" s="9" t="s">
        <v>13284</v>
      </c>
      <c r="E544" s="9" t="s">
        <v>13284</v>
      </c>
      <c r="F544" s="9" t="s">
        <v>13284</v>
      </c>
      <c r="G544" s="9" t="s">
        <v>13284</v>
      </c>
      <c r="H544" s="9" t="s">
        <v>13284</v>
      </c>
      <c r="I544" s="9" t="s">
        <v>13284</v>
      </c>
      <c r="J544" s="9" t="s">
        <v>13284</v>
      </c>
      <c r="K544" s="9" t="s">
        <v>13284</v>
      </c>
      <c r="L544" s="9" t="s">
        <v>13284</v>
      </c>
      <c r="M544" s="9" t="s">
        <v>13284</v>
      </c>
      <c r="N544" s="9" t="s">
        <v>13284</v>
      </c>
      <c r="O544" s="9" t="s">
        <v>13284</v>
      </c>
      <c r="P544" s="9" t="s">
        <v>13284</v>
      </c>
      <c r="Q544" s="9" t="s">
        <v>13284</v>
      </c>
      <c r="R544" s="9" t="s">
        <v>13284</v>
      </c>
      <c r="S544" s="9" t="s">
        <v>13284</v>
      </c>
      <c r="T544" s="9" t="str">
        <f ca="1">IFERROR(IF(AND(VLOOKUP(A544, 'Актуальное состояние (из общего'!A:C,3,0) = "", A544 &lt;&gt; ""), "ПРОВЕРИТЬ", VLOOKUP(A544, 'Актуальное состояние (из общего'!A:C,3,0)), "")</f>
        <v>Студент</v>
      </c>
      <c r="U544" s="9" t="s">
        <v>13284</v>
      </c>
      <c r="V544" s="9" t="s">
        <v>13284</v>
      </c>
      <c r="W544" s="12"/>
      <c r="X544" s="9" t="str">
        <f t="array" ref="X544">IFERROR(INDEX('Адреса общежитий (скрытый)'!$B$2:$B$9, MATCH(W544, 'Адреса общежитий (скрытый)'!$A$2:$A$9, 0)), "")</f>
        <v/>
      </c>
      <c r="Y544" s="18"/>
      <c r="Z544" s="18"/>
      <c r="AA544" s="18"/>
      <c r="AB544" s="18"/>
      <c r="AC544" s="18"/>
    </row>
    <row r="545" spans="1:29" ht="32.25" customHeight="1">
      <c r="A545" s="8">
        <v>2303949</v>
      </c>
      <c r="B545" s="9" t="s">
        <v>13284</v>
      </c>
      <c r="C545" s="9" t="s">
        <v>13284</v>
      </c>
      <c r="D545" s="9" t="s">
        <v>13284</v>
      </c>
      <c r="E545" s="9" t="s">
        <v>13284</v>
      </c>
      <c r="F545" s="9" t="s">
        <v>13284</v>
      </c>
      <c r="G545" s="9" t="s">
        <v>13284</v>
      </c>
      <c r="H545" s="9" t="s">
        <v>13284</v>
      </c>
      <c r="I545" s="9" t="s">
        <v>13284</v>
      </c>
      <c r="J545" s="9" t="s">
        <v>13284</v>
      </c>
      <c r="K545" s="9" t="s">
        <v>13284</v>
      </c>
      <c r="L545" s="9" t="s">
        <v>13284</v>
      </c>
      <c r="M545" s="9" t="s">
        <v>13284</v>
      </c>
      <c r="N545" s="9" t="s">
        <v>13284</v>
      </c>
      <c r="O545" s="9" t="s">
        <v>13284</v>
      </c>
      <c r="P545" s="9" t="s">
        <v>13284</v>
      </c>
      <c r="Q545" s="9" t="s">
        <v>13284</v>
      </c>
      <c r="R545" s="9" t="s">
        <v>13284</v>
      </c>
      <c r="S545" s="9" t="s">
        <v>13284</v>
      </c>
      <c r="T545" s="9" t="str">
        <f ca="1">IFERROR(IF(AND(VLOOKUP(A545, 'Актуальное состояние (из общего'!A:C,3,0) = "", A545 &lt;&gt; ""), "ПРОВЕРИТЬ", VLOOKUP(A545, 'Актуальное состояние (из общего'!A:C,3,0)), "")</f>
        <v>Студент</v>
      </c>
      <c r="U545" s="9" t="s">
        <v>13284</v>
      </c>
      <c r="V545" s="9" t="s">
        <v>13284</v>
      </c>
      <c r="W545" s="12"/>
      <c r="X545" s="9" t="str">
        <f t="array" ref="X545">IFERROR(INDEX('Адреса общежитий (скрытый)'!$B$2:$B$9, MATCH(W545, 'Адреса общежитий (скрытый)'!$A$2:$A$9, 0)), "")</f>
        <v/>
      </c>
      <c r="Y545" s="18"/>
      <c r="Z545" s="18"/>
      <c r="AA545" s="18"/>
      <c r="AB545" s="18"/>
      <c r="AC545" s="18"/>
    </row>
    <row r="546" spans="1:29" ht="32.25" hidden="1" customHeight="1">
      <c r="A546" s="8">
        <v>2312341</v>
      </c>
      <c r="B546" s="9" t="s">
        <v>13284</v>
      </c>
      <c r="C546" s="9" t="s">
        <v>13284</v>
      </c>
      <c r="D546" s="9" t="s">
        <v>13284</v>
      </c>
      <c r="E546" s="9" t="s">
        <v>13284</v>
      </c>
      <c r="F546" s="9" t="s">
        <v>13284</v>
      </c>
      <c r="G546" s="9" t="s">
        <v>13284</v>
      </c>
      <c r="H546" s="9" t="s">
        <v>13284</v>
      </c>
      <c r="I546" s="9" t="s">
        <v>13284</v>
      </c>
      <c r="J546" s="9" t="s">
        <v>13284</v>
      </c>
      <c r="K546" s="9" t="s">
        <v>13284</v>
      </c>
      <c r="L546" s="9" t="s">
        <v>13284</v>
      </c>
      <c r="M546" s="9" t="s">
        <v>13284</v>
      </c>
      <c r="N546" s="9" t="s">
        <v>13284</v>
      </c>
      <c r="O546" s="9" t="s">
        <v>13284</v>
      </c>
      <c r="P546" s="9" t="s">
        <v>13284</v>
      </c>
      <c r="Q546" s="9" t="s">
        <v>13284</v>
      </c>
      <c r="R546" s="9" t="s">
        <v>13284</v>
      </c>
      <c r="S546" s="9" t="s">
        <v>13284</v>
      </c>
      <c r="T546" s="9" t="str">
        <f ca="1">IFERROR(IF(AND(VLOOKUP(A546, 'Актуальное состояние (из общего'!A:C,3,0) = "", A546 &lt;&gt; ""), "ПРОВЕРИТЬ", VLOOKUP(A546, 'Актуальное состояние (из общего'!A:C,3,0)), "")</f>
        <v>Студент</v>
      </c>
      <c r="U546" s="9" t="s">
        <v>13284</v>
      </c>
      <c r="V546" s="9" t="s">
        <v>13284</v>
      </c>
      <c r="W546" s="12"/>
      <c r="X546" s="9" t="str">
        <f t="array" ref="X546">IFERROR(INDEX('Адреса общежитий (скрытый)'!$B$2:$B$9, MATCH(W546, 'Адреса общежитий (скрытый)'!$A$2:$A$9, 0)), "")</f>
        <v/>
      </c>
      <c r="Y546" s="18"/>
      <c r="Z546" s="18"/>
      <c r="AA546" s="18"/>
      <c r="AB546" s="18"/>
      <c r="AC546" s="18"/>
    </row>
    <row r="547" spans="1:29" ht="32.25" hidden="1" customHeight="1">
      <c r="A547" s="8">
        <v>2304380</v>
      </c>
      <c r="B547" s="9" t="s">
        <v>13284</v>
      </c>
      <c r="C547" s="9" t="s">
        <v>13284</v>
      </c>
      <c r="D547" s="9" t="s">
        <v>13284</v>
      </c>
      <c r="E547" s="9" t="s">
        <v>13284</v>
      </c>
      <c r="F547" s="9" t="s">
        <v>13284</v>
      </c>
      <c r="G547" s="9" t="s">
        <v>13284</v>
      </c>
      <c r="H547" s="9" t="s">
        <v>13284</v>
      </c>
      <c r="I547" s="9" t="s">
        <v>13284</v>
      </c>
      <c r="J547" s="9" t="s">
        <v>13284</v>
      </c>
      <c r="K547" s="9" t="s">
        <v>13284</v>
      </c>
      <c r="L547" s="9" t="s">
        <v>13284</v>
      </c>
      <c r="M547" s="9" t="s">
        <v>13284</v>
      </c>
      <c r="N547" s="9" t="s">
        <v>13284</v>
      </c>
      <c r="O547" s="9" t="s">
        <v>13284</v>
      </c>
      <c r="P547" s="9" t="s">
        <v>13284</v>
      </c>
      <c r="Q547" s="9" t="s">
        <v>13284</v>
      </c>
      <c r="R547" s="9" t="s">
        <v>13284</v>
      </c>
      <c r="S547" s="9" t="s">
        <v>13284</v>
      </c>
      <c r="T547" s="9" t="str">
        <f ca="1">IFERROR(IF(AND(VLOOKUP(A547, 'Актуальное состояние (из общего'!A:C,3,0) = "", A547 &lt;&gt; ""), "ПРОВЕРИТЬ", VLOOKUP(A547, 'Актуальное состояние (из общего'!A:C,3,0)), "")</f>
        <v>Студент</v>
      </c>
      <c r="U547" s="9" t="s">
        <v>13284</v>
      </c>
      <c r="V547" s="9" t="s">
        <v>13284</v>
      </c>
      <c r="W547" s="12"/>
      <c r="X547" s="9" t="str">
        <f t="array" ref="X547">IFERROR(INDEX('Адреса общежитий (скрытый)'!$B$2:$B$9, MATCH(W547, 'Адреса общежитий (скрытый)'!$A$2:$A$9, 0)), "")</f>
        <v/>
      </c>
      <c r="Y547" s="18"/>
      <c r="Z547" s="18"/>
      <c r="AA547" s="18"/>
      <c r="AB547" s="18"/>
      <c r="AC547" s="18"/>
    </row>
    <row r="548" spans="1:29" ht="32.25" customHeight="1">
      <c r="A548" s="8">
        <v>2300512</v>
      </c>
      <c r="B548" s="9" t="s">
        <v>13284</v>
      </c>
      <c r="C548" s="9" t="s">
        <v>13284</v>
      </c>
      <c r="D548" s="9" t="s">
        <v>13284</v>
      </c>
      <c r="E548" s="9" t="s">
        <v>13284</v>
      </c>
      <c r="F548" s="9" t="s">
        <v>13284</v>
      </c>
      <c r="G548" s="9" t="s">
        <v>13284</v>
      </c>
      <c r="H548" s="9" t="s">
        <v>13284</v>
      </c>
      <c r="I548" s="9" t="s">
        <v>13284</v>
      </c>
      <c r="J548" s="9" t="s">
        <v>13284</v>
      </c>
      <c r="K548" s="9" t="s">
        <v>13284</v>
      </c>
      <c r="L548" s="9" t="s">
        <v>13284</v>
      </c>
      <c r="M548" s="9" t="s">
        <v>13284</v>
      </c>
      <c r="N548" s="9" t="s">
        <v>13284</v>
      </c>
      <c r="O548" s="9" t="s">
        <v>13284</v>
      </c>
      <c r="P548" s="9" t="s">
        <v>13284</v>
      </c>
      <c r="Q548" s="9" t="s">
        <v>13284</v>
      </c>
      <c r="R548" s="9" t="s">
        <v>13284</v>
      </c>
      <c r="S548" s="9" t="s">
        <v>13284</v>
      </c>
      <c r="T548" s="9" t="str">
        <f ca="1">IFERROR(IF(AND(VLOOKUP(A548, 'Актуальное состояние (из общего'!A:C,3,0) = "", A548 &lt;&gt; ""), "ПРОВЕРИТЬ", VLOOKUP(A548, 'Актуальное состояние (из общего'!A:C,3,0)), "")</f>
        <v>Студент</v>
      </c>
      <c r="U548" s="9" t="s">
        <v>13284</v>
      </c>
      <c r="V548" s="9" t="s">
        <v>13284</v>
      </c>
      <c r="W548" s="12"/>
      <c r="X548" s="9" t="str">
        <f t="array" ref="X548">IFERROR(INDEX('Адреса общежитий (скрытый)'!$B$2:$B$9, MATCH(W548, 'Адреса общежитий (скрытый)'!$A$2:$A$9, 0)), "")</f>
        <v/>
      </c>
      <c r="Y548" s="18"/>
      <c r="Z548" s="18"/>
      <c r="AA548" s="18"/>
      <c r="AB548" s="18"/>
      <c r="AC548" s="18"/>
    </row>
    <row r="549" spans="1:29" ht="32.25" customHeight="1">
      <c r="A549" s="8">
        <v>2303604</v>
      </c>
      <c r="B549" s="9" t="s">
        <v>13284</v>
      </c>
      <c r="C549" s="9" t="s">
        <v>13284</v>
      </c>
      <c r="D549" s="9" t="s">
        <v>13284</v>
      </c>
      <c r="E549" s="9" t="s">
        <v>13284</v>
      </c>
      <c r="F549" s="9" t="s">
        <v>13284</v>
      </c>
      <c r="G549" s="9" t="s">
        <v>13284</v>
      </c>
      <c r="H549" s="9" t="s">
        <v>13284</v>
      </c>
      <c r="I549" s="9" t="s">
        <v>13284</v>
      </c>
      <c r="J549" s="9" t="s">
        <v>13284</v>
      </c>
      <c r="K549" s="9" t="s">
        <v>13284</v>
      </c>
      <c r="L549" s="9" t="s">
        <v>13284</v>
      </c>
      <c r="M549" s="9" t="s">
        <v>13284</v>
      </c>
      <c r="N549" s="9" t="s">
        <v>13284</v>
      </c>
      <c r="O549" s="9" t="s">
        <v>13284</v>
      </c>
      <c r="P549" s="9" t="s">
        <v>13284</v>
      </c>
      <c r="Q549" s="9" t="s">
        <v>13284</v>
      </c>
      <c r="R549" s="9" t="s">
        <v>13284</v>
      </c>
      <c r="S549" s="9" t="s">
        <v>13284</v>
      </c>
      <c r="T549" s="9" t="str">
        <f ca="1">IFERROR(IF(AND(VLOOKUP(A549, 'Актуальное состояние (из общего'!A:C,3,0) = "", A549 &lt;&gt; ""), "ПРОВЕРИТЬ", VLOOKUP(A549, 'Актуальное состояние (из общего'!A:C,3,0)), "")</f>
        <v>Студент</v>
      </c>
      <c r="U549" s="9" t="s">
        <v>13284</v>
      </c>
      <c r="V549" s="9" t="s">
        <v>13284</v>
      </c>
      <c r="W549" s="12"/>
      <c r="X549" s="9" t="str">
        <f t="array" ref="X549">IFERROR(INDEX('Адреса общежитий (скрытый)'!$B$2:$B$9, MATCH(W549, 'Адреса общежитий (скрытый)'!$A$2:$A$9, 0)), "")</f>
        <v/>
      </c>
      <c r="Y549" s="18"/>
      <c r="Z549" s="18"/>
      <c r="AA549" s="18"/>
      <c r="AB549" s="18"/>
      <c r="AC549" s="18"/>
    </row>
    <row r="550" spans="1:29" ht="32.25" customHeight="1">
      <c r="A550" s="8">
        <v>2312199</v>
      </c>
      <c r="B550" s="9" t="s">
        <v>13284</v>
      </c>
      <c r="C550" s="9" t="s">
        <v>13284</v>
      </c>
      <c r="D550" s="9" t="s">
        <v>13284</v>
      </c>
      <c r="E550" s="9" t="s">
        <v>13284</v>
      </c>
      <c r="F550" s="9" t="s">
        <v>13284</v>
      </c>
      <c r="G550" s="9" t="s">
        <v>13284</v>
      </c>
      <c r="H550" s="9" t="s">
        <v>13284</v>
      </c>
      <c r="I550" s="9" t="s">
        <v>13284</v>
      </c>
      <c r="J550" s="9" t="s">
        <v>13284</v>
      </c>
      <c r="K550" s="9" t="s">
        <v>13284</v>
      </c>
      <c r="L550" s="9" t="s">
        <v>13284</v>
      </c>
      <c r="M550" s="9" t="s">
        <v>13284</v>
      </c>
      <c r="N550" s="9" t="s">
        <v>13284</v>
      </c>
      <c r="O550" s="9" t="s">
        <v>13284</v>
      </c>
      <c r="P550" s="9" t="s">
        <v>13284</v>
      </c>
      <c r="Q550" s="9" t="s">
        <v>13284</v>
      </c>
      <c r="R550" s="9" t="s">
        <v>13284</v>
      </c>
      <c r="S550" s="9" t="s">
        <v>13284</v>
      </c>
      <c r="T550" s="9" t="str">
        <f ca="1">IFERROR(IF(AND(VLOOKUP(A550, 'Актуальное состояние (из общего'!A:C,3,0) = "", A550 &lt;&gt; ""), "ПРОВЕРИТЬ", VLOOKUP(A550, 'Актуальное состояние (из общего'!A:C,3,0)), "")</f>
        <v>Студент</v>
      </c>
      <c r="U550" s="9" t="s">
        <v>13284</v>
      </c>
      <c r="V550" s="9" t="s">
        <v>13284</v>
      </c>
      <c r="W550" s="12"/>
      <c r="X550" s="9" t="str">
        <f t="array" ref="X550">IFERROR(INDEX('Адреса общежитий (скрытый)'!$B$2:$B$9, MATCH(W550, 'Адреса общежитий (скрытый)'!$A$2:$A$9, 0)), "")</f>
        <v/>
      </c>
      <c r="Y550" s="18"/>
      <c r="Z550" s="18"/>
      <c r="AA550" s="18"/>
      <c r="AB550" s="18"/>
      <c r="AC550" s="18"/>
    </row>
    <row r="551" spans="1:29" ht="32.25" customHeight="1">
      <c r="A551" s="8">
        <v>2300901</v>
      </c>
      <c r="B551" s="9" t="s">
        <v>13284</v>
      </c>
      <c r="C551" s="9" t="s">
        <v>13284</v>
      </c>
      <c r="D551" s="9" t="s">
        <v>13284</v>
      </c>
      <c r="E551" s="9" t="s">
        <v>13284</v>
      </c>
      <c r="F551" s="9" t="s">
        <v>13284</v>
      </c>
      <c r="G551" s="9" t="s">
        <v>13284</v>
      </c>
      <c r="H551" s="9" t="s">
        <v>13284</v>
      </c>
      <c r="I551" s="9" t="s">
        <v>13284</v>
      </c>
      <c r="J551" s="9" t="s">
        <v>13284</v>
      </c>
      <c r="K551" s="9" t="s">
        <v>13284</v>
      </c>
      <c r="L551" s="9" t="s">
        <v>13284</v>
      </c>
      <c r="M551" s="9" t="s">
        <v>13284</v>
      </c>
      <c r="N551" s="9" t="s">
        <v>13284</v>
      </c>
      <c r="O551" s="9" t="s">
        <v>13284</v>
      </c>
      <c r="P551" s="9" t="s">
        <v>13284</v>
      </c>
      <c r="Q551" s="9" t="s">
        <v>13284</v>
      </c>
      <c r="R551" s="9" t="s">
        <v>13284</v>
      </c>
      <c r="S551" s="9" t="s">
        <v>13284</v>
      </c>
      <c r="T551" s="9" t="str">
        <f ca="1">IFERROR(IF(AND(VLOOKUP(A551, 'Актуальное состояние (из общего'!A:C,3,0) = "", A551 &lt;&gt; ""), "ПРОВЕРИТЬ", VLOOKUP(A551, 'Актуальное состояние (из общего'!A:C,3,0)), "")</f>
        <v>Студент</v>
      </c>
      <c r="U551" s="9" t="s">
        <v>13284</v>
      </c>
      <c r="V551" s="9" t="s">
        <v>13284</v>
      </c>
      <c r="W551" s="12" t="s">
        <v>76</v>
      </c>
      <c r="X551" s="9" t="str">
        <f t="array" ref="X551">IFERROR(INDEX('Адреса общежитий (скрытый)'!$B$2:$B$9, MATCH(W551, 'Адреса общежитий (скрытый)'!$A$2:$A$9, 0)), "")</f>
        <v>ул. Студенческая, д. 33, корп. 5,6</v>
      </c>
      <c r="Y551" s="18"/>
      <c r="Z551" s="18"/>
      <c r="AA551" s="18"/>
      <c r="AB551" s="18"/>
      <c r="AC551" s="18"/>
    </row>
    <row r="552" spans="1:29" ht="32.25" customHeight="1">
      <c r="A552" s="8">
        <v>2303547</v>
      </c>
      <c r="B552" s="9" t="s">
        <v>13284</v>
      </c>
      <c r="C552" s="9" t="s">
        <v>13284</v>
      </c>
      <c r="D552" s="9" t="s">
        <v>13284</v>
      </c>
      <c r="E552" s="9" t="s">
        <v>13284</v>
      </c>
      <c r="F552" s="9" t="s">
        <v>13284</v>
      </c>
      <c r="G552" s="9" t="s">
        <v>13284</v>
      </c>
      <c r="H552" s="9" t="s">
        <v>13284</v>
      </c>
      <c r="I552" s="9" t="s">
        <v>13284</v>
      </c>
      <c r="J552" s="9" t="s">
        <v>13284</v>
      </c>
      <c r="K552" s="9" t="s">
        <v>13284</v>
      </c>
      <c r="L552" s="9" t="s">
        <v>13284</v>
      </c>
      <c r="M552" s="9" t="s">
        <v>13284</v>
      </c>
      <c r="N552" s="9" t="s">
        <v>13284</v>
      </c>
      <c r="O552" s="9" t="s">
        <v>13284</v>
      </c>
      <c r="P552" s="9" t="s">
        <v>13284</v>
      </c>
      <c r="Q552" s="9" t="s">
        <v>13284</v>
      </c>
      <c r="R552" s="9" t="s">
        <v>13284</v>
      </c>
      <c r="S552" s="9" t="s">
        <v>13284</v>
      </c>
      <c r="T552" s="9" t="str">
        <f ca="1">IFERROR(IF(AND(VLOOKUP(A552, 'Актуальное состояние (из общего'!A:C,3,0) = "", A552 &lt;&gt; ""), "ПРОВЕРИТЬ", VLOOKUP(A552, 'Актуальное состояние (из общего'!A:C,3,0)), "")</f>
        <v>Студент</v>
      </c>
      <c r="U552" s="9" t="s">
        <v>13284</v>
      </c>
      <c r="V552" s="9" t="s">
        <v>13284</v>
      </c>
      <c r="W552" s="12"/>
      <c r="X552" s="9" t="str">
        <f t="array" ref="X552">IFERROR(INDEX('Адреса общежитий (скрытый)'!$B$2:$B$9, MATCH(W552, 'Адреса общежитий (скрытый)'!$A$2:$A$9, 0)), "")</f>
        <v/>
      </c>
      <c r="Y552" s="18"/>
      <c r="Z552" s="18"/>
      <c r="AA552" s="18"/>
      <c r="AB552" s="18"/>
      <c r="AC552" s="18"/>
    </row>
    <row r="553" spans="1:29" ht="32.25" customHeight="1">
      <c r="A553" s="8">
        <v>2308736</v>
      </c>
      <c r="B553" s="9" t="s">
        <v>13284</v>
      </c>
      <c r="C553" s="9" t="s">
        <v>13284</v>
      </c>
      <c r="D553" s="9" t="s">
        <v>13284</v>
      </c>
      <c r="E553" s="9" t="s">
        <v>13284</v>
      </c>
      <c r="F553" s="9" t="s">
        <v>13284</v>
      </c>
      <c r="G553" s="9" t="s">
        <v>13284</v>
      </c>
      <c r="H553" s="9" t="s">
        <v>13284</v>
      </c>
      <c r="I553" s="9" t="s">
        <v>13284</v>
      </c>
      <c r="J553" s="9" t="s">
        <v>13284</v>
      </c>
      <c r="K553" s="9" t="s">
        <v>13284</v>
      </c>
      <c r="L553" s="9" t="s">
        <v>13284</v>
      </c>
      <c r="M553" s="9" t="s">
        <v>13284</v>
      </c>
      <c r="N553" s="9" t="s">
        <v>13284</v>
      </c>
      <c r="O553" s="9" t="s">
        <v>13284</v>
      </c>
      <c r="P553" s="9" t="s">
        <v>13284</v>
      </c>
      <c r="Q553" s="9" t="s">
        <v>13284</v>
      </c>
      <c r="R553" s="9" t="s">
        <v>13284</v>
      </c>
      <c r="S553" s="9" t="s">
        <v>13284</v>
      </c>
      <c r="T553" s="9" t="str">
        <f ca="1">IFERROR(IF(AND(VLOOKUP(A553, 'Актуальное состояние (из общего'!A:C,3,0) = "", A553 &lt;&gt; ""), "ПРОВЕРИТЬ", VLOOKUP(A553, 'Актуальное состояние (из общего'!A:C,3,0)), "")</f>
        <v>Студент</v>
      </c>
      <c r="U553" s="9" t="s">
        <v>13284</v>
      </c>
      <c r="V553" s="9" t="s">
        <v>13284</v>
      </c>
      <c r="W553" s="12"/>
      <c r="X553" s="9" t="str">
        <f t="array" ref="X553">IFERROR(INDEX('Адреса общежитий (скрытый)'!$B$2:$B$9, MATCH(W553, 'Адреса общежитий (скрытый)'!$A$2:$A$9, 0)), "")</f>
        <v/>
      </c>
      <c r="Y553" s="18"/>
      <c r="Z553" s="18"/>
      <c r="AA553" s="18"/>
      <c r="AB553" s="18"/>
      <c r="AC553" s="18"/>
    </row>
    <row r="554" spans="1:29" ht="32.25" customHeight="1">
      <c r="A554" s="8">
        <v>2308639</v>
      </c>
      <c r="B554" s="9" t="s">
        <v>13284</v>
      </c>
      <c r="C554" s="9" t="s">
        <v>13284</v>
      </c>
      <c r="D554" s="9" t="s">
        <v>13284</v>
      </c>
      <c r="E554" s="9" t="s">
        <v>13284</v>
      </c>
      <c r="F554" s="9" t="s">
        <v>13284</v>
      </c>
      <c r="G554" s="9" t="s">
        <v>13284</v>
      </c>
      <c r="H554" s="9" t="s">
        <v>13284</v>
      </c>
      <c r="I554" s="9" t="s">
        <v>13284</v>
      </c>
      <c r="J554" s="9" t="s">
        <v>13284</v>
      </c>
      <c r="K554" s="9" t="s">
        <v>13284</v>
      </c>
      <c r="L554" s="9" t="s">
        <v>13284</v>
      </c>
      <c r="M554" s="9" t="s">
        <v>13284</v>
      </c>
      <c r="N554" s="9" t="s">
        <v>13284</v>
      </c>
      <c r="O554" s="9" t="s">
        <v>13284</v>
      </c>
      <c r="P554" s="9" t="s">
        <v>13284</v>
      </c>
      <c r="Q554" s="9" t="s">
        <v>13284</v>
      </c>
      <c r="R554" s="9" t="s">
        <v>13284</v>
      </c>
      <c r="S554" s="9" t="s">
        <v>13284</v>
      </c>
      <c r="T554" s="9" t="str">
        <f ca="1">IFERROR(IF(AND(VLOOKUP(A554, 'Актуальное состояние (из общего'!A:C,3,0) = "", A554 &lt;&gt; ""), "ПРОВЕРИТЬ", VLOOKUP(A554, 'Актуальное состояние (из общего'!A:C,3,0)), "")</f>
        <v>Студент</v>
      </c>
      <c r="U554" s="9" t="s">
        <v>13284</v>
      </c>
      <c r="V554" s="9" t="s">
        <v>13284</v>
      </c>
      <c r="W554" s="12"/>
      <c r="X554" s="9" t="str">
        <f t="array" ref="X554">IFERROR(INDEX('Адреса общежитий (скрытый)'!$B$2:$B$9, MATCH(W554, 'Адреса общежитий (скрытый)'!$A$2:$A$9, 0)), "")</f>
        <v/>
      </c>
      <c r="Y554" s="18"/>
      <c r="Z554" s="18"/>
      <c r="AA554" s="18"/>
      <c r="AB554" s="18"/>
      <c r="AC554" s="18"/>
    </row>
    <row r="555" spans="1:29" ht="32.25" customHeight="1">
      <c r="A555" s="8">
        <v>2306190</v>
      </c>
      <c r="B555" s="9" t="s">
        <v>13284</v>
      </c>
      <c r="C555" s="9" t="s">
        <v>13284</v>
      </c>
      <c r="D555" s="9" t="s">
        <v>13284</v>
      </c>
      <c r="E555" s="9" t="s">
        <v>13284</v>
      </c>
      <c r="F555" s="9" t="s">
        <v>13284</v>
      </c>
      <c r="G555" s="9" t="s">
        <v>13284</v>
      </c>
      <c r="H555" s="9" t="s">
        <v>13284</v>
      </c>
      <c r="I555" s="9" t="s">
        <v>13284</v>
      </c>
      <c r="J555" s="9" t="s">
        <v>13284</v>
      </c>
      <c r="K555" s="9" t="s">
        <v>13284</v>
      </c>
      <c r="L555" s="9" t="s">
        <v>13284</v>
      </c>
      <c r="M555" s="9" t="s">
        <v>13284</v>
      </c>
      <c r="N555" s="9" t="s">
        <v>13284</v>
      </c>
      <c r="O555" s="9" t="s">
        <v>13284</v>
      </c>
      <c r="P555" s="9" t="s">
        <v>13284</v>
      </c>
      <c r="Q555" s="9" t="s">
        <v>13284</v>
      </c>
      <c r="R555" s="9" t="s">
        <v>13284</v>
      </c>
      <c r="S555" s="9" t="s">
        <v>13284</v>
      </c>
      <c r="T555" s="9" t="str">
        <f ca="1">IFERROR(IF(AND(VLOOKUP(A555, 'Актуальное состояние (из общего'!A:C,3,0) = "", A555 &lt;&gt; ""), "ПРОВЕРИТЬ", VLOOKUP(A555, 'Актуальное состояние (из общего'!A:C,3,0)), "")</f>
        <v>Студент</v>
      </c>
      <c r="U555" s="9" t="s">
        <v>13284</v>
      </c>
      <c r="V555" s="9" t="s">
        <v>13284</v>
      </c>
      <c r="W555" s="12"/>
      <c r="X555" s="9" t="str">
        <f t="array" ref="X555">IFERROR(INDEX('Адреса общежитий (скрытый)'!$B$2:$B$9, MATCH(W555, 'Адреса общежитий (скрытый)'!$A$2:$A$9, 0)), "")</f>
        <v/>
      </c>
      <c r="Y555" s="18"/>
      <c r="Z555" s="18"/>
      <c r="AA555" s="18"/>
      <c r="AB555" s="18"/>
      <c r="AC555" s="18"/>
    </row>
    <row r="556" spans="1:29" ht="32.25" customHeight="1">
      <c r="A556" s="8">
        <v>2308677</v>
      </c>
      <c r="B556" s="9" t="s">
        <v>13284</v>
      </c>
      <c r="C556" s="9" t="s">
        <v>13284</v>
      </c>
      <c r="D556" s="9" t="s">
        <v>13284</v>
      </c>
      <c r="E556" s="9" t="s">
        <v>13284</v>
      </c>
      <c r="F556" s="9" t="s">
        <v>13284</v>
      </c>
      <c r="G556" s="9" t="s">
        <v>13284</v>
      </c>
      <c r="H556" s="9" t="s">
        <v>13284</v>
      </c>
      <c r="I556" s="9" t="s">
        <v>13284</v>
      </c>
      <c r="J556" s="9" t="s">
        <v>13284</v>
      </c>
      <c r="K556" s="9" t="s">
        <v>13284</v>
      </c>
      <c r="L556" s="9" t="s">
        <v>13284</v>
      </c>
      <c r="M556" s="9" t="s">
        <v>13284</v>
      </c>
      <c r="N556" s="9" t="s">
        <v>13284</v>
      </c>
      <c r="O556" s="9" t="s">
        <v>13284</v>
      </c>
      <c r="P556" s="9" t="s">
        <v>13284</v>
      </c>
      <c r="Q556" s="9" t="s">
        <v>13284</v>
      </c>
      <c r="R556" s="9" t="s">
        <v>13284</v>
      </c>
      <c r="S556" s="9" t="s">
        <v>13284</v>
      </c>
      <c r="T556" s="9" t="str">
        <f ca="1">IFERROR(IF(AND(VLOOKUP(A556, 'Актуальное состояние (из общего'!A:C,3,0) = "", A556 &lt;&gt; ""), "ПРОВЕРИТЬ", VLOOKUP(A556, 'Актуальное состояние (из общего'!A:C,3,0)), "")</f>
        <v>Студент</v>
      </c>
      <c r="U556" s="9" t="s">
        <v>13284</v>
      </c>
      <c r="V556" s="9" t="s">
        <v>13284</v>
      </c>
      <c r="W556" s="12"/>
      <c r="X556" s="9" t="str">
        <f t="array" ref="X556">IFERROR(INDEX('Адреса общежитий (скрытый)'!$B$2:$B$9, MATCH(W556, 'Адреса общежитий (скрытый)'!$A$2:$A$9, 0)), "")</f>
        <v/>
      </c>
      <c r="Y556" s="18"/>
      <c r="Z556" s="18"/>
      <c r="AA556" s="18"/>
      <c r="AB556" s="18"/>
      <c r="AC556" s="18"/>
    </row>
    <row r="557" spans="1:29" ht="32.25" customHeight="1">
      <c r="A557" s="8">
        <v>2304168</v>
      </c>
      <c r="B557" s="9" t="s">
        <v>13284</v>
      </c>
      <c r="C557" s="9" t="s">
        <v>13284</v>
      </c>
      <c r="D557" s="9" t="s">
        <v>13284</v>
      </c>
      <c r="E557" s="9" t="s">
        <v>13284</v>
      </c>
      <c r="F557" s="9" t="s">
        <v>13284</v>
      </c>
      <c r="G557" s="9" t="s">
        <v>13284</v>
      </c>
      <c r="H557" s="9" t="s">
        <v>13284</v>
      </c>
      <c r="I557" s="9" t="s">
        <v>13284</v>
      </c>
      <c r="J557" s="9" t="s">
        <v>13284</v>
      </c>
      <c r="K557" s="9" t="s">
        <v>13284</v>
      </c>
      <c r="L557" s="9" t="s">
        <v>13284</v>
      </c>
      <c r="M557" s="9" t="s">
        <v>13284</v>
      </c>
      <c r="N557" s="9" t="s">
        <v>13284</v>
      </c>
      <c r="O557" s="9" t="s">
        <v>13284</v>
      </c>
      <c r="P557" s="9" t="s">
        <v>13284</v>
      </c>
      <c r="Q557" s="9" t="s">
        <v>13284</v>
      </c>
      <c r="R557" s="9" t="s">
        <v>13284</v>
      </c>
      <c r="S557" s="9" t="s">
        <v>13284</v>
      </c>
      <c r="T557" s="9" t="str">
        <f ca="1">IFERROR(IF(AND(VLOOKUP(A557, 'Актуальное состояние (из общего'!A:C,3,0) = "", A557 &lt;&gt; ""), "ПРОВЕРИТЬ", VLOOKUP(A557, 'Актуальное состояние (из общего'!A:C,3,0)), "")</f>
        <v>Студент</v>
      </c>
      <c r="U557" s="9" t="s">
        <v>13284</v>
      </c>
      <c r="V557" s="9" t="s">
        <v>13284</v>
      </c>
      <c r="W557" s="12"/>
      <c r="X557" s="9" t="str">
        <f t="array" ref="X557">IFERROR(INDEX('Адреса общежитий (скрытый)'!$B$2:$B$9, MATCH(W557, 'Адреса общежитий (скрытый)'!$A$2:$A$9, 0)), "")</f>
        <v/>
      </c>
      <c r="Y557" s="18"/>
      <c r="Z557" s="18"/>
      <c r="AA557" s="18"/>
      <c r="AB557" s="18"/>
      <c r="AC557" s="18"/>
    </row>
    <row r="558" spans="1:29" ht="32.25" customHeight="1">
      <c r="A558" s="8">
        <v>2307924</v>
      </c>
      <c r="B558" s="9" t="s">
        <v>13284</v>
      </c>
      <c r="C558" s="9" t="s">
        <v>13284</v>
      </c>
      <c r="D558" s="9" t="s">
        <v>13284</v>
      </c>
      <c r="E558" s="9" t="s">
        <v>13284</v>
      </c>
      <c r="F558" s="9" t="s">
        <v>13284</v>
      </c>
      <c r="G558" s="9" t="s">
        <v>13284</v>
      </c>
      <c r="H558" s="9" t="s">
        <v>13284</v>
      </c>
      <c r="I558" s="9" t="s">
        <v>13284</v>
      </c>
      <c r="J558" s="9" t="s">
        <v>13284</v>
      </c>
      <c r="K558" s="9" t="s">
        <v>13284</v>
      </c>
      <c r="L558" s="9" t="s">
        <v>13284</v>
      </c>
      <c r="M558" s="9" t="s">
        <v>13284</v>
      </c>
      <c r="N558" s="9" t="s">
        <v>13284</v>
      </c>
      <c r="O558" s="9" t="s">
        <v>13284</v>
      </c>
      <c r="P558" s="9" t="s">
        <v>13284</v>
      </c>
      <c r="Q558" s="9" t="s">
        <v>13284</v>
      </c>
      <c r="R558" s="9" t="s">
        <v>13284</v>
      </c>
      <c r="S558" s="9" t="s">
        <v>13284</v>
      </c>
      <c r="T558" s="9" t="str">
        <f ca="1">IFERROR(IF(AND(VLOOKUP(A558, 'Актуальное состояние (из общего'!A:C,3,0) = "", A558 &lt;&gt; ""), "ПРОВЕРИТЬ", VLOOKUP(A558, 'Актуальное состояние (из общего'!A:C,3,0)), "")</f>
        <v>Студент</v>
      </c>
      <c r="U558" s="9" t="s">
        <v>13284</v>
      </c>
      <c r="V558" s="9" t="s">
        <v>13284</v>
      </c>
      <c r="W558" s="12"/>
      <c r="X558" s="9" t="str">
        <f t="array" ref="X558">IFERROR(INDEX('Адреса общежитий (скрытый)'!$B$2:$B$9, MATCH(W558, 'Адреса общежитий (скрытый)'!$A$2:$A$9, 0)), "")</f>
        <v/>
      </c>
      <c r="Y558" s="18"/>
      <c r="Z558" s="18"/>
      <c r="AA558" s="18"/>
      <c r="AB558" s="18"/>
      <c r="AC558" s="18"/>
    </row>
    <row r="559" spans="1:29" ht="32.25" customHeight="1">
      <c r="A559" s="8">
        <v>2307611</v>
      </c>
      <c r="B559" s="9" t="s">
        <v>13284</v>
      </c>
      <c r="C559" s="9" t="s">
        <v>13284</v>
      </c>
      <c r="D559" s="9" t="s">
        <v>13284</v>
      </c>
      <c r="E559" s="9" t="s">
        <v>13284</v>
      </c>
      <c r="F559" s="9" t="s">
        <v>13284</v>
      </c>
      <c r="G559" s="9" t="s">
        <v>13284</v>
      </c>
      <c r="H559" s="9" t="s">
        <v>13284</v>
      </c>
      <c r="I559" s="9" t="s">
        <v>13284</v>
      </c>
      <c r="J559" s="9" t="s">
        <v>13284</v>
      </c>
      <c r="K559" s="9" t="s">
        <v>13284</v>
      </c>
      <c r="L559" s="9" t="s">
        <v>13284</v>
      </c>
      <c r="M559" s="9" t="s">
        <v>13284</v>
      </c>
      <c r="N559" s="9" t="s">
        <v>13284</v>
      </c>
      <c r="O559" s="9" t="s">
        <v>13284</v>
      </c>
      <c r="P559" s="9" t="s">
        <v>13284</v>
      </c>
      <c r="Q559" s="9" t="s">
        <v>13284</v>
      </c>
      <c r="R559" s="9" t="s">
        <v>13284</v>
      </c>
      <c r="S559" s="9" t="s">
        <v>13284</v>
      </c>
      <c r="T559" s="9" t="str">
        <f ca="1">IFERROR(IF(AND(VLOOKUP(A559, 'Актуальное состояние (из общего'!A:C,3,0) = "", A559 &lt;&gt; ""), "ПРОВЕРИТЬ", VLOOKUP(A559, 'Актуальное состояние (из общего'!A:C,3,0)), "")</f>
        <v>Студент</v>
      </c>
      <c r="U559" s="9" t="s">
        <v>13284</v>
      </c>
      <c r="V559" s="9" t="s">
        <v>13284</v>
      </c>
      <c r="W559" s="12"/>
      <c r="X559" s="9" t="str">
        <f t="array" ref="X559">IFERROR(INDEX('Адреса общежитий (скрытый)'!$B$2:$B$9, MATCH(W559, 'Адреса общежитий (скрытый)'!$A$2:$A$9, 0)), "")</f>
        <v/>
      </c>
      <c r="Y559" s="18"/>
      <c r="Z559" s="18"/>
      <c r="AA559" s="18"/>
      <c r="AB559" s="18"/>
      <c r="AC559" s="18"/>
    </row>
    <row r="560" spans="1:29" ht="32.25" customHeight="1">
      <c r="A560" s="8">
        <v>2307832</v>
      </c>
      <c r="B560" s="9" t="s">
        <v>13284</v>
      </c>
      <c r="C560" s="9" t="s">
        <v>13284</v>
      </c>
      <c r="D560" s="9" t="s">
        <v>13284</v>
      </c>
      <c r="E560" s="9" t="s">
        <v>13284</v>
      </c>
      <c r="F560" s="9" t="s">
        <v>13284</v>
      </c>
      <c r="G560" s="9" t="s">
        <v>13284</v>
      </c>
      <c r="H560" s="9" t="s">
        <v>13284</v>
      </c>
      <c r="I560" s="9" t="s">
        <v>13284</v>
      </c>
      <c r="J560" s="9" t="s">
        <v>13284</v>
      </c>
      <c r="K560" s="9" t="s">
        <v>13284</v>
      </c>
      <c r="L560" s="9" t="s">
        <v>13284</v>
      </c>
      <c r="M560" s="9" t="s">
        <v>13284</v>
      </c>
      <c r="N560" s="9" t="s">
        <v>13284</v>
      </c>
      <c r="O560" s="9" t="s">
        <v>13284</v>
      </c>
      <c r="P560" s="9" t="s">
        <v>13284</v>
      </c>
      <c r="Q560" s="9" t="s">
        <v>13284</v>
      </c>
      <c r="R560" s="9" t="s">
        <v>13284</v>
      </c>
      <c r="S560" s="9" t="s">
        <v>13284</v>
      </c>
      <c r="T560" s="9" t="str">
        <f ca="1">IFERROR(IF(AND(VLOOKUP(A560, 'Актуальное состояние (из общего'!A:C,3,0) = "", A560 &lt;&gt; ""), "ПРОВЕРИТЬ", VLOOKUP(A560, 'Актуальное состояние (из общего'!A:C,3,0)), "")</f>
        <v>Студент</v>
      </c>
      <c r="U560" s="9" t="s">
        <v>13284</v>
      </c>
      <c r="V560" s="9" t="s">
        <v>13284</v>
      </c>
      <c r="W560" s="12"/>
      <c r="X560" s="9" t="str">
        <f t="array" ref="X560">IFERROR(INDEX('Адреса общежитий (скрытый)'!$B$2:$B$9, MATCH(W560, 'Адреса общежитий (скрытый)'!$A$2:$A$9, 0)), "")</f>
        <v/>
      </c>
      <c r="Y560" s="18"/>
      <c r="Z560" s="18"/>
      <c r="AA560" s="18"/>
      <c r="AB560" s="18"/>
      <c r="AC560" s="18"/>
    </row>
    <row r="561" spans="1:29" ht="32.25" customHeight="1">
      <c r="A561" s="8">
        <v>2306547</v>
      </c>
      <c r="B561" s="9" t="s">
        <v>13284</v>
      </c>
      <c r="C561" s="9" t="s">
        <v>13284</v>
      </c>
      <c r="D561" s="9" t="s">
        <v>13284</v>
      </c>
      <c r="E561" s="9" t="s">
        <v>13284</v>
      </c>
      <c r="F561" s="9" t="s">
        <v>13284</v>
      </c>
      <c r="G561" s="9" t="s">
        <v>13284</v>
      </c>
      <c r="H561" s="9" t="s">
        <v>13284</v>
      </c>
      <c r="I561" s="9" t="s">
        <v>13284</v>
      </c>
      <c r="J561" s="9" t="s">
        <v>13284</v>
      </c>
      <c r="K561" s="9" t="s">
        <v>13284</v>
      </c>
      <c r="L561" s="9" t="s">
        <v>13284</v>
      </c>
      <c r="M561" s="9" t="s">
        <v>13284</v>
      </c>
      <c r="N561" s="9" t="s">
        <v>13284</v>
      </c>
      <c r="O561" s="9" t="s">
        <v>13284</v>
      </c>
      <c r="P561" s="9" t="s">
        <v>13284</v>
      </c>
      <c r="Q561" s="9" t="s">
        <v>13284</v>
      </c>
      <c r="R561" s="9" t="s">
        <v>13284</v>
      </c>
      <c r="S561" s="9" t="s">
        <v>13284</v>
      </c>
      <c r="T561" s="9" t="str">
        <f ca="1">IFERROR(IF(AND(VLOOKUP(A561, 'Актуальное состояние (из общего'!A:C,3,0) = "", A561 &lt;&gt; ""), "ПРОВЕРИТЬ", VLOOKUP(A561, 'Актуальное состояние (из общего'!A:C,3,0)), "")</f>
        <v>Студент</v>
      </c>
      <c r="U561" s="9" t="s">
        <v>13284</v>
      </c>
      <c r="V561" s="9" t="s">
        <v>13284</v>
      </c>
      <c r="W561" s="12"/>
      <c r="X561" s="9" t="str">
        <f t="array" ref="X561">IFERROR(INDEX('Адреса общежитий (скрытый)'!$B$2:$B$9, MATCH(W561, 'Адреса общежитий (скрытый)'!$A$2:$A$9, 0)), "")</f>
        <v/>
      </c>
      <c r="Y561" s="18"/>
      <c r="Z561" s="18"/>
      <c r="AA561" s="18"/>
      <c r="AB561" s="18"/>
      <c r="AC561" s="18"/>
    </row>
    <row r="562" spans="1:29" ht="32.25" customHeight="1">
      <c r="A562" s="8">
        <v>2305332</v>
      </c>
      <c r="B562" s="9" t="s">
        <v>13284</v>
      </c>
      <c r="C562" s="9" t="s">
        <v>13284</v>
      </c>
      <c r="D562" s="9" t="s">
        <v>13284</v>
      </c>
      <c r="E562" s="9" t="s">
        <v>13284</v>
      </c>
      <c r="F562" s="9" t="s">
        <v>13284</v>
      </c>
      <c r="G562" s="9" t="s">
        <v>13284</v>
      </c>
      <c r="H562" s="9" t="s">
        <v>13284</v>
      </c>
      <c r="I562" s="9" t="s">
        <v>13284</v>
      </c>
      <c r="J562" s="9" t="s">
        <v>13284</v>
      </c>
      <c r="K562" s="9" t="s">
        <v>13284</v>
      </c>
      <c r="L562" s="9" t="s">
        <v>13284</v>
      </c>
      <c r="M562" s="9" t="s">
        <v>13284</v>
      </c>
      <c r="N562" s="9" t="s">
        <v>13284</v>
      </c>
      <c r="O562" s="9" t="s">
        <v>13284</v>
      </c>
      <c r="P562" s="9" t="s">
        <v>13284</v>
      </c>
      <c r="Q562" s="9" t="s">
        <v>13284</v>
      </c>
      <c r="R562" s="9" t="s">
        <v>13284</v>
      </c>
      <c r="S562" s="9" t="s">
        <v>13284</v>
      </c>
      <c r="T562" s="9" t="str">
        <f ca="1">IFERROR(IF(AND(VLOOKUP(A562, 'Актуальное состояние (из общего'!A:C,3,0) = "", A562 &lt;&gt; ""), "ПРОВЕРИТЬ", VLOOKUP(A562, 'Актуальное состояние (из общего'!A:C,3,0)), "")</f>
        <v>Студент</v>
      </c>
      <c r="U562" s="9" t="s">
        <v>13284</v>
      </c>
      <c r="V562" s="9" t="s">
        <v>13284</v>
      </c>
      <c r="W562" s="12"/>
      <c r="X562" s="9" t="str">
        <f t="array" ref="X562">IFERROR(INDEX('Адреса общежитий (скрытый)'!$B$2:$B$9, MATCH(W562, 'Адреса общежитий (скрытый)'!$A$2:$A$9, 0)), "")</f>
        <v/>
      </c>
      <c r="Y562" s="18"/>
      <c r="Z562" s="18"/>
      <c r="AA562" s="18"/>
      <c r="AB562" s="18"/>
      <c r="AC562" s="18"/>
    </row>
    <row r="563" spans="1:29" ht="32.25" customHeight="1">
      <c r="A563" s="8">
        <v>2304400</v>
      </c>
      <c r="B563" s="9" t="s">
        <v>13284</v>
      </c>
      <c r="C563" s="9" t="s">
        <v>13284</v>
      </c>
      <c r="D563" s="9" t="s">
        <v>13284</v>
      </c>
      <c r="E563" s="9" t="s">
        <v>13284</v>
      </c>
      <c r="F563" s="9" t="s">
        <v>13284</v>
      </c>
      <c r="G563" s="9" t="s">
        <v>13284</v>
      </c>
      <c r="H563" s="9" t="s">
        <v>13284</v>
      </c>
      <c r="I563" s="9" t="s">
        <v>13284</v>
      </c>
      <c r="J563" s="9" t="s">
        <v>13284</v>
      </c>
      <c r="K563" s="9" t="s">
        <v>13284</v>
      </c>
      <c r="L563" s="9" t="s">
        <v>13284</v>
      </c>
      <c r="M563" s="9" t="s">
        <v>13284</v>
      </c>
      <c r="N563" s="9" t="s">
        <v>13284</v>
      </c>
      <c r="O563" s="9" t="s">
        <v>13284</v>
      </c>
      <c r="P563" s="9" t="s">
        <v>13284</v>
      </c>
      <c r="Q563" s="9" t="s">
        <v>13284</v>
      </c>
      <c r="R563" s="9" t="s">
        <v>13284</v>
      </c>
      <c r="S563" s="9" t="s">
        <v>13284</v>
      </c>
      <c r="T563" s="9" t="str">
        <f ca="1">IFERROR(IF(AND(VLOOKUP(A563, 'Актуальное состояние (из общего'!A:C,3,0) = "", A563 &lt;&gt; ""), "ПРОВЕРИТЬ", VLOOKUP(A563, 'Актуальное состояние (из общего'!A:C,3,0)), "")</f>
        <v>Студент</v>
      </c>
      <c r="U563" s="9" t="s">
        <v>13284</v>
      </c>
      <c r="V563" s="9" t="s">
        <v>13284</v>
      </c>
      <c r="W563" s="12"/>
      <c r="X563" s="9" t="str">
        <f t="array" ref="X563">IFERROR(INDEX('Адреса общежитий (скрытый)'!$B$2:$B$9, MATCH(W563, 'Адреса общежитий (скрытый)'!$A$2:$A$9, 0)), "")</f>
        <v/>
      </c>
      <c r="Y563" s="18"/>
      <c r="Z563" s="18"/>
      <c r="AA563" s="18"/>
      <c r="AB563" s="18"/>
      <c r="AC563" s="18"/>
    </row>
    <row r="564" spans="1:29" ht="32.25" customHeight="1">
      <c r="A564" s="8">
        <v>2304450</v>
      </c>
      <c r="B564" s="9" t="s">
        <v>13284</v>
      </c>
      <c r="C564" s="9" t="s">
        <v>13284</v>
      </c>
      <c r="D564" s="9" t="s">
        <v>13284</v>
      </c>
      <c r="E564" s="9" t="s">
        <v>13284</v>
      </c>
      <c r="F564" s="9" t="s">
        <v>13284</v>
      </c>
      <c r="G564" s="9" t="s">
        <v>13284</v>
      </c>
      <c r="H564" s="9" t="s">
        <v>13284</v>
      </c>
      <c r="I564" s="9" t="s">
        <v>13284</v>
      </c>
      <c r="J564" s="9" t="s">
        <v>13284</v>
      </c>
      <c r="K564" s="9" t="s">
        <v>13284</v>
      </c>
      <c r="L564" s="9" t="s">
        <v>13284</v>
      </c>
      <c r="M564" s="9" t="s">
        <v>13284</v>
      </c>
      <c r="N564" s="9" t="s">
        <v>13284</v>
      </c>
      <c r="O564" s="9" t="s">
        <v>13284</v>
      </c>
      <c r="P564" s="9" t="s">
        <v>13284</v>
      </c>
      <c r="Q564" s="9" t="s">
        <v>13284</v>
      </c>
      <c r="R564" s="9" t="s">
        <v>13284</v>
      </c>
      <c r="S564" s="9" t="s">
        <v>13284</v>
      </c>
      <c r="T564" s="9" t="str">
        <f ca="1">IFERROR(IF(AND(VLOOKUP(A564, 'Актуальное состояние (из общего'!A:C,3,0) = "", A564 &lt;&gt; ""), "ПРОВЕРИТЬ", VLOOKUP(A564, 'Актуальное состояние (из общего'!A:C,3,0)), "")</f>
        <v>Студент</v>
      </c>
      <c r="U564" s="9" t="s">
        <v>13284</v>
      </c>
      <c r="V564" s="9" t="s">
        <v>13284</v>
      </c>
      <c r="W564" s="12"/>
      <c r="X564" s="9" t="str">
        <f t="array" ref="X564">IFERROR(INDEX('Адреса общежитий (скрытый)'!$B$2:$B$9, MATCH(W564, 'Адреса общежитий (скрытый)'!$A$2:$A$9, 0)), "")</f>
        <v/>
      </c>
      <c r="Y564" s="18"/>
      <c r="Z564" s="18"/>
      <c r="AA564" s="18"/>
      <c r="AB564" s="18"/>
      <c r="AC564" s="18"/>
    </row>
    <row r="565" spans="1:29" ht="32.25" customHeight="1">
      <c r="A565" s="8">
        <v>2306563</v>
      </c>
      <c r="B565" s="9" t="s">
        <v>13284</v>
      </c>
      <c r="C565" s="9" t="s">
        <v>13284</v>
      </c>
      <c r="D565" s="9" t="s">
        <v>13284</v>
      </c>
      <c r="E565" s="9" t="s">
        <v>13284</v>
      </c>
      <c r="F565" s="9" t="s">
        <v>13284</v>
      </c>
      <c r="G565" s="9" t="s">
        <v>13284</v>
      </c>
      <c r="H565" s="9" t="s">
        <v>13284</v>
      </c>
      <c r="I565" s="9" t="s">
        <v>13284</v>
      </c>
      <c r="J565" s="9" t="s">
        <v>13284</v>
      </c>
      <c r="K565" s="9" t="s">
        <v>13284</v>
      </c>
      <c r="L565" s="9" t="s">
        <v>13284</v>
      </c>
      <c r="M565" s="9" t="s">
        <v>13284</v>
      </c>
      <c r="N565" s="9" t="s">
        <v>13284</v>
      </c>
      <c r="O565" s="9" t="s">
        <v>13284</v>
      </c>
      <c r="P565" s="9" t="s">
        <v>13284</v>
      </c>
      <c r="Q565" s="9" t="s">
        <v>13284</v>
      </c>
      <c r="R565" s="9" t="s">
        <v>13284</v>
      </c>
      <c r="S565" s="9" t="s">
        <v>13284</v>
      </c>
      <c r="T565" s="9" t="str">
        <f ca="1">IFERROR(IF(AND(VLOOKUP(A565, 'Актуальное состояние (из общего'!A:C,3,0) = "", A565 &lt;&gt; ""), "ПРОВЕРИТЬ", VLOOKUP(A565, 'Актуальное состояние (из общего'!A:C,3,0)), "")</f>
        <v>Студент</v>
      </c>
      <c r="U565" s="9" t="s">
        <v>13284</v>
      </c>
      <c r="V565" s="9" t="s">
        <v>13284</v>
      </c>
      <c r="W565" s="12"/>
      <c r="X565" s="9" t="str">
        <f t="array" ref="X565">IFERROR(INDEX('Адреса общежитий (скрытый)'!$B$2:$B$9, MATCH(W565, 'Адреса общежитий (скрытый)'!$A$2:$A$9, 0)), "")</f>
        <v/>
      </c>
      <c r="Y565" s="18"/>
      <c r="Z565" s="18"/>
      <c r="AA565" s="18"/>
      <c r="AB565" s="18"/>
      <c r="AC565" s="18"/>
    </row>
    <row r="566" spans="1:29" ht="32.25" customHeight="1">
      <c r="A566" s="8">
        <v>2304378</v>
      </c>
      <c r="B566" s="9" t="s">
        <v>13284</v>
      </c>
      <c r="C566" s="9" t="s">
        <v>13284</v>
      </c>
      <c r="D566" s="9" t="s">
        <v>13284</v>
      </c>
      <c r="E566" s="9" t="s">
        <v>13284</v>
      </c>
      <c r="F566" s="9" t="s">
        <v>13284</v>
      </c>
      <c r="G566" s="9" t="s">
        <v>13284</v>
      </c>
      <c r="H566" s="9" t="s">
        <v>13284</v>
      </c>
      <c r="I566" s="9" t="s">
        <v>13284</v>
      </c>
      <c r="J566" s="9" t="s">
        <v>13284</v>
      </c>
      <c r="K566" s="9" t="s">
        <v>13284</v>
      </c>
      <c r="L566" s="9" t="s">
        <v>13284</v>
      </c>
      <c r="M566" s="9" t="s">
        <v>13284</v>
      </c>
      <c r="N566" s="9" t="s">
        <v>13284</v>
      </c>
      <c r="O566" s="9" t="s">
        <v>13284</v>
      </c>
      <c r="P566" s="9" t="s">
        <v>13284</v>
      </c>
      <c r="Q566" s="9" t="s">
        <v>13284</v>
      </c>
      <c r="R566" s="9" t="s">
        <v>13284</v>
      </c>
      <c r="S566" s="9" t="s">
        <v>13284</v>
      </c>
      <c r="T566" s="9" t="str">
        <f ca="1">IFERROR(IF(AND(VLOOKUP(A566, 'Актуальное состояние (из общего'!A:C,3,0) = "", A566 &lt;&gt; ""), "ПРОВЕРИТЬ", VLOOKUP(A566, 'Актуальное состояние (из общего'!A:C,3,0)), "")</f>
        <v>Студент</v>
      </c>
      <c r="U566" s="9" t="s">
        <v>13284</v>
      </c>
      <c r="V566" s="9" t="s">
        <v>13284</v>
      </c>
      <c r="W566" s="12"/>
      <c r="X566" s="9" t="str">
        <f t="array" ref="X566">IFERROR(INDEX('Адреса общежитий (скрытый)'!$B$2:$B$9, MATCH(W566, 'Адреса общежитий (скрытый)'!$A$2:$A$9, 0)), "")</f>
        <v/>
      </c>
      <c r="Y566" s="18"/>
      <c r="Z566" s="18"/>
      <c r="AA566" s="18"/>
      <c r="AB566" s="18"/>
      <c r="AC566" s="18"/>
    </row>
    <row r="567" spans="1:29" ht="32.25" customHeight="1">
      <c r="A567" s="8">
        <v>2306319</v>
      </c>
      <c r="B567" s="9" t="s">
        <v>13284</v>
      </c>
      <c r="C567" s="9" t="s">
        <v>13284</v>
      </c>
      <c r="D567" s="9" t="s">
        <v>13284</v>
      </c>
      <c r="E567" s="9" t="s">
        <v>13284</v>
      </c>
      <c r="F567" s="9" t="s">
        <v>13284</v>
      </c>
      <c r="G567" s="9" t="s">
        <v>13284</v>
      </c>
      <c r="H567" s="9" t="s">
        <v>13284</v>
      </c>
      <c r="I567" s="9" t="s">
        <v>13284</v>
      </c>
      <c r="J567" s="9" t="s">
        <v>13284</v>
      </c>
      <c r="K567" s="9" t="s">
        <v>13284</v>
      </c>
      <c r="L567" s="9" t="s">
        <v>13284</v>
      </c>
      <c r="M567" s="9" t="s">
        <v>13284</v>
      </c>
      <c r="N567" s="9" t="s">
        <v>13284</v>
      </c>
      <c r="O567" s="9" t="s">
        <v>13284</v>
      </c>
      <c r="P567" s="9" t="s">
        <v>13284</v>
      </c>
      <c r="Q567" s="9" t="s">
        <v>13284</v>
      </c>
      <c r="R567" s="9" t="s">
        <v>13284</v>
      </c>
      <c r="S567" s="9" t="s">
        <v>13284</v>
      </c>
      <c r="T567" s="9" t="str">
        <f ca="1">IFERROR(IF(AND(VLOOKUP(A567, 'Актуальное состояние (из общего'!A:C,3,0) = "", A567 &lt;&gt; ""), "ПРОВЕРИТЬ", VLOOKUP(A567, 'Актуальное состояние (из общего'!A:C,3,0)), "")</f>
        <v>Студент</v>
      </c>
      <c r="U567" s="9" t="s">
        <v>13284</v>
      </c>
      <c r="V567" s="9" t="s">
        <v>13284</v>
      </c>
      <c r="W567" s="12"/>
      <c r="X567" s="9" t="str">
        <f t="array" ref="X567">IFERROR(INDEX('Адреса общежитий (скрытый)'!$B$2:$B$9, MATCH(W567, 'Адреса общежитий (скрытый)'!$A$2:$A$9, 0)), "")</f>
        <v/>
      </c>
      <c r="Y567" s="18"/>
      <c r="Z567" s="18"/>
      <c r="AA567" s="18"/>
      <c r="AB567" s="18"/>
      <c r="AC567" s="18"/>
    </row>
    <row r="568" spans="1:29" ht="32.25" customHeight="1">
      <c r="A568" s="8">
        <v>2307256</v>
      </c>
      <c r="B568" s="9" t="s">
        <v>13284</v>
      </c>
      <c r="C568" s="9" t="s">
        <v>13284</v>
      </c>
      <c r="D568" s="9" t="s">
        <v>13284</v>
      </c>
      <c r="E568" s="9" t="s">
        <v>13284</v>
      </c>
      <c r="F568" s="9" t="s">
        <v>13284</v>
      </c>
      <c r="G568" s="9" t="s">
        <v>13284</v>
      </c>
      <c r="H568" s="9" t="s">
        <v>13284</v>
      </c>
      <c r="I568" s="9" t="s">
        <v>13284</v>
      </c>
      <c r="J568" s="9" t="s">
        <v>13284</v>
      </c>
      <c r="K568" s="9" t="s">
        <v>13284</v>
      </c>
      <c r="L568" s="9" t="s">
        <v>13284</v>
      </c>
      <c r="M568" s="9" t="s">
        <v>13284</v>
      </c>
      <c r="N568" s="9" t="s">
        <v>13284</v>
      </c>
      <c r="O568" s="9" t="s">
        <v>13284</v>
      </c>
      <c r="P568" s="9" t="s">
        <v>13284</v>
      </c>
      <c r="Q568" s="9" t="s">
        <v>13284</v>
      </c>
      <c r="R568" s="9" t="s">
        <v>13284</v>
      </c>
      <c r="S568" s="9" t="s">
        <v>13284</v>
      </c>
      <c r="T568" s="9" t="str">
        <f ca="1">IFERROR(IF(AND(VLOOKUP(A568, 'Актуальное состояние (из общего'!A:C,3,0) = "", A568 &lt;&gt; ""), "ПРОВЕРИТЬ", VLOOKUP(A568, 'Актуальное состояние (из общего'!A:C,3,0)), "")</f>
        <v>Студент</v>
      </c>
      <c r="U568" s="9" t="s">
        <v>13284</v>
      </c>
      <c r="V568" s="9" t="s">
        <v>13284</v>
      </c>
      <c r="W568" s="12"/>
      <c r="X568" s="9" t="str">
        <f t="array" ref="X568">IFERROR(INDEX('Адреса общежитий (скрытый)'!$B$2:$B$9, MATCH(W568, 'Адреса общежитий (скрытый)'!$A$2:$A$9, 0)), "")</f>
        <v/>
      </c>
      <c r="Y568" s="18"/>
      <c r="Z568" s="18"/>
      <c r="AA568" s="18"/>
      <c r="AB568" s="18"/>
      <c r="AC568" s="18"/>
    </row>
    <row r="569" spans="1:29" ht="32.25" customHeight="1">
      <c r="A569" s="8">
        <v>2304430</v>
      </c>
      <c r="B569" s="9" t="s">
        <v>13284</v>
      </c>
      <c r="C569" s="9" t="s">
        <v>13284</v>
      </c>
      <c r="D569" s="9" t="s">
        <v>13284</v>
      </c>
      <c r="E569" s="9" t="s">
        <v>13284</v>
      </c>
      <c r="F569" s="9" t="s">
        <v>13284</v>
      </c>
      <c r="G569" s="9" t="s">
        <v>13284</v>
      </c>
      <c r="H569" s="9" t="s">
        <v>13284</v>
      </c>
      <c r="I569" s="9" t="s">
        <v>13284</v>
      </c>
      <c r="J569" s="9" t="s">
        <v>13284</v>
      </c>
      <c r="K569" s="9" t="s">
        <v>13284</v>
      </c>
      <c r="L569" s="9" t="s">
        <v>13284</v>
      </c>
      <c r="M569" s="9" t="s">
        <v>13284</v>
      </c>
      <c r="N569" s="9" t="s">
        <v>13284</v>
      </c>
      <c r="O569" s="9" t="s">
        <v>13284</v>
      </c>
      <c r="P569" s="9" t="s">
        <v>13284</v>
      </c>
      <c r="Q569" s="9" t="s">
        <v>13284</v>
      </c>
      <c r="R569" s="9" t="s">
        <v>13284</v>
      </c>
      <c r="S569" s="9" t="s">
        <v>13284</v>
      </c>
      <c r="T569" s="9" t="str">
        <f ca="1">IFERROR(IF(AND(VLOOKUP(A569, 'Актуальное состояние (из общего'!A:C,3,0) = "", A569 &lt;&gt; ""), "ПРОВЕРИТЬ", VLOOKUP(A569, 'Актуальное состояние (из общего'!A:C,3,0)), "")</f>
        <v>Студент</v>
      </c>
      <c r="U569" s="9" t="s">
        <v>13284</v>
      </c>
      <c r="V569" s="9" t="s">
        <v>13284</v>
      </c>
      <c r="W569" s="12" t="s">
        <v>76</v>
      </c>
      <c r="X569" s="9" t="str">
        <f t="array" ref="X569">IFERROR(INDEX('Адреса общежитий (скрытый)'!$B$2:$B$9, MATCH(W569, 'Адреса общежитий (скрытый)'!$A$2:$A$9, 0)), "")</f>
        <v>ул. Студенческая, д. 33, корп. 5,6</v>
      </c>
      <c r="Y569" s="18"/>
      <c r="Z569" s="18"/>
      <c r="AA569" s="18"/>
      <c r="AB569" s="18"/>
      <c r="AC569" s="18"/>
    </row>
    <row r="570" spans="1:29" ht="32.25" hidden="1" customHeight="1">
      <c r="A570" s="8">
        <v>2308535</v>
      </c>
      <c r="B570" s="9" t="s">
        <v>13284</v>
      </c>
      <c r="C570" s="9" t="s">
        <v>13284</v>
      </c>
      <c r="D570" s="9" t="s">
        <v>13284</v>
      </c>
      <c r="E570" s="9" t="s">
        <v>13284</v>
      </c>
      <c r="F570" s="9" t="s">
        <v>13284</v>
      </c>
      <c r="G570" s="9" t="s">
        <v>13284</v>
      </c>
      <c r="H570" s="9" t="s">
        <v>13284</v>
      </c>
      <c r="I570" s="9" t="s">
        <v>13284</v>
      </c>
      <c r="J570" s="9" t="s">
        <v>13284</v>
      </c>
      <c r="K570" s="9" t="s">
        <v>13284</v>
      </c>
      <c r="L570" s="9" t="s">
        <v>13284</v>
      </c>
      <c r="M570" s="9" t="s">
        <v>13284</v>
      </c>
      <c r="N570" s="9" t="s">
        <v>13284</v>
      </c>
      <c r="O570" s="9" t="s">
        <v>13284</v>
      </c>
      <c r="P570" s="9" t="s">
        <v>13284</v>
      </c>
      <c r="Q570" s="9" t="s">
        <v>13284</v>
      </c>
      <c r="R570" s="9" t="s">
        <v>13284</v>
      </c>
      <c r="S570" s="9" t="s">
        <v>13284</v>
      </c>
      <c r="T570" s="9" t="str">
        <f ca="1">IFERROR(IF(AND(VLOOKUP(A570, 'Актуальное состояние (из общего'!A:C,3,0) = "", A570 &lt;&gt; ""), "ПРОВЕРИТЬ", VLOOKUP(A570, 'Актуальное состояние (из общего'!A:C,3,0)), "")</f>
        <v>Студент</v>
      </c>
      <c r="U570" s="9" t="s">
        <v>13284</v>
      </c>
      <c r="V570" s="9" t="s">
        <v>13284</v>
      </c>
      <c r="W570" s="12"/>
      <c r="X570" s="9" t="str">
        <f t="array" ref="X570">IFERROR(INDEX('Адреса общежитий (скрытый)'!$B$2:$B$9, MATCH(W570, 'Адреса общежитий (скрытый)'!$A$2:$A$9, 0)), "")</f>
        <v/>
      </c>
      <c r="Y570" s="18"/>
      <c r="Z570" s="18"/>
      <c r="AA570" s="18"/>
      <c r="AB570" s="18"/>
      <c r="AC570" s="18"/>
    </row>
    <row r="571" spans="1:29" ht="32.25" customHeight="1">
      <c r="A571" s="8">
        <v>2302270</v>
      </c>
      <c r="B571" s="9" t="s">
        <v>13284</v>
      </c>
      <c r="C571" s="9" t="s">
        <v>13284</v>
      </c>
      <c r="D571" s="9" t="s">
        <v>13284</v>
      </c>
      <c r="E571" s="9" t="s">
        <v>13284</v>
      </c>
      <c r="F571" s="9" t="s">
        <v>13284</v>
      </c>
      <c r="G571" s="9" t="s">
        <v>13284</v>
      </c>
      <c r="H571" s="9" t="s">
        <v>13284</v>
      </c>
      <c r="I571" s="9" t="s">
        <v>13284</v>
      </c>
      <c r="J571" s="9" t="s">
        <v>13284</v>
      </c>
      <c r="K571" s="9" t="s">
        <v>13284</v>
      </c>
      <c r="L571" s="9" t="s">
        <v>13284</v>
      </c>
      <c r="M571" s="9" t="s">
        <v>13284</v>
      </c>
      <c r="N571" s="9" t="s">
        <v>13284</v>
      </c>
      <c r="O571" s="9" t="s">
        <v>13284</v>
      </c>
      <c r="P571" s="9" t="s">
        <v>13284</v>
      </c>
      <c r="Q571" s="9" t="s">
        <v>13284</v>
      </c>
      <c r="R571" s="9" t="s">
        <v>13284</v>
      </c>
      <c r="S571" s="9" t="s">
        <v>13284</v>
      </c>
      <c r="T571" s="9" t="str">
        <f ca="1">IFERROR(IF(AND(VLOOKUP(A571, 'Актуальное состояние (из общего'!A:C,3,0) = "", A571 &lt;&gt; ""), "ПРОВЕРИТЬ", VLOOKUP(A571, 'Актуальное состояние (из общего'!A:C,3,0)), "")</f>
        <v>Студент</v>
      </c>
      <c r="U571" s="9" t="s">
        <v>13284</v>
      </c>
      <c r="V571" s="9" t="s">
        <v>13284</v>
      </c>
      <c r="W571" s="12"/>
      <c r="X571" s="9" t="str">
        <f t="array" ref="X571">IFERROR(INDEX('Адреса общежитий (скрытый)'!$B$2:$B$9, MATCH(W571, 'Адреса общежитий (скрытый)'!$A$2:$A$9, 0)), "")</f>
        <v/>
      </c>
      <c r="Y571" s="18"/>
      <c r="Z571" s="18"/>
      <c r="AA571" s="18"/>
      <c r="AB571" s="18"/>
      <c r="AC571" s="18"/>
    </row>
    <row r="572" spans="1:29" ht="32.25" customHeight="1">
      <c r="A572" s="8">
        <v>2307626</v>
      </c>
      <c r="B572" s="9" t="s">
        <v>13284</v>
      </c>
      <c r="C572" s="9" t="s">
        <v>13284</v>
      </c>
      <c r="D572" s="9" t="s">
        <v>13284</v>
      </c>
      <c r="E572" s="9" t="s">
        <v>13284</v>
      </c>
      <c r="F572" s="9" t="s">
        <v>13284</v>
      </c>
      <c r="G572" s="9" t="s">
        <v>13284</v>
      </c>
      <c r="H572" s="9" t="s">
        <v>13284</v>
      </c>
      <c r="I572" s="9" t="s">
        <v>13284</v>
      </c>
      <c r="J572" s="9" t="s">
        <v>13284</v>
      </c>
      <c r="K572" s="9" t="s">
        <v>13284</v>
      </c>
      <c r="L572" s="9" t="s">
        <v>13284</v>
      </c>
      <c r="M572" s="9" t="s">
        <v>13284</v>
      </c>
      <c r="N572" s="9" t="s">
        <v>13284</v>
      </c>
      <c r="O572" s="9" t="s">
        <v>13284</v>
      </c>
      <c r="P572" s="9" t="s">
        <v>13284</v>
      </c>
      <c r="Q572" s="9" t="s">
        <v>13284</v>
      </c>
      <c r="R572" s="9" t="s">
        <v>13284</v>
      </c>
      <c r="S572" s="9" t="s">
        <v>13284</v>
      </c>
      <c r="T572" s="9" t="str">
        <f ca="1">IFERROR(IF(AND(VLOOKUP(A572, 'Актуальное состояние (из общего'!A:C,3,0) = "", A572 &lt;&gt; ""), "ПРОВЕРИТЬ", VLOOKUP(A572, 'Актуальное состояние (из общего'!A:C,3,0)), "")</f>
        <v>Студент</v>
      </c>
      <c r="U572" s="9" t="s">
        <v>13284</v>
      </c>
      <c r="V572" s="9" t="s">
        <v>13284</v>
      </c>
      <c r="W572" s="12"/>
      <c r="X572" s="9" t="str">
        <f t="array" ref="X572">IFERROR(INDEX('Адреса общежитий (скрытый)'!$B$2:$B$9, MATCH(W572, 'Адреса общежитий (скрытый)'!$A$2:$A$9, 0)), "")</f>
        <v/>
      </c>
      <c r="Y572" s="18"/>
      <c r="Z572" s="18"/>
      <c r="AA572" s="18"/>
      <c r="AB572" s="18"/>
      <c r="AC572" s="18"/>
    </row>
    <row r="573" spans="1:29" ht="32.25" customHeight="1">
      <c r="A573" s="8">
        <v>2304608</v>
      </c>
      <c r="B573" s="9" t="s">
        <v>13284</v>
      </c>
      <c r="C573" s="9" t="s">
        <v>13284</v>
      </c>
      <c r="D573" s="9" t="s">
        <v>13284</v>
      </c>
      <c r="E573" s="9" t="s">
        <v>13284</v>
      </c>
      <c r="F573" s="9" t="s">
        <v>13284</v>
      </c>
      <c r="G573" s="9" t="s">
        <v>13284</v>
      </c>
      <c r="H573" s="9" t="s">
        <v>13284</v>
      </c>
      <c r="I573" s="9" t="s">
        <v>13284</v>
      </c>
      <c r="J573" s="9" t="s">
        <v>13284</v>
      </c>
      <c r="K573" s="9" t="s">
        <v>13284</v>
      </c>
      <c r="L573" s="9" t="s">
        <v>13284</v>
      </c>
      <c r="M573" s="9" t="s">
        <v>13284</v>
      </c>
      <c r="N573" s="9" t="s">
        <v>13284</v>
      </c>
      <c r="O573" s="9" t="s">
        <v>13284</v>
      </c>
      <c r="P573" s="9" t="s">
        <v>13284</v>
      </c>
      <c r="Q573" s="9" t="s">
        <v>13284</v>
      </c>
      <c r="R573" s="9" t="s">
        <v>13284</v>
      </c>
      <c r="S573" s="9" t="s">
        <v>13284</v>
      </c>
      <c r="T573" s="9" t="str">
        <f ca="1">IFERROR(IF(AND(VLOOKUP(A573, 'Актуальное состояние (из общего'!A:C,3,0) = "", A573 &lt;&gt; ""), "ПРОВЕРИТЬ", VLOOKUP(A573, 'Актуальное состояние (из общего'!A:C,3,0)), "")</f>
        <v>Студент</v>
      </c>
      <c r="U573" s="9" t="s">
        <v>13284</v>
      </c>
      <c r="V573" s="9" t="s">
        <v>13284</v>
      </c>
      <c r="W573" s="12"/>
      <c r="X573" s="9" t="str">
        <f t="array" ref="X573">IFERROR(INDEX('Адреса общежитий (скрытый)'!$B$2:$B$9, MATCH(W573, 'Адреса общежитий (скрытый)'!$A$2:$A$9, 0)), "")</f>
        <v/>
      </c>
      <c r="Y573" s="18"/>
      <c r="Z573" s="18"/>
      <c r="AA573" s="18"/>
      <c r="AB573" s="18"/>
      <c r="AC573" s="18"/>
    </row>
    <row r="574" spans="1:29" ht="32.25" customHeight="1">
      <c r="A574" s="8">
        <v>2311152</v>
      </c>
      <c r="B574" s="9" t="s">
        <v>13284</v>
      </c>
      <c r="C574" s="9" t="s">
        <v>13284</v>
      </c>
      <c r="D574" s="9" t="s">
        <v>13284</v>
      </c>
      <c r="E574" s="9" t="s">
        <v>13284</v>
      </c>
      <c r="F574" s="9" t="s">
        <v>13284</v>
      </c>
      <c r="G574" s="9" t="s">
        <v>13284</v>
      </c>
      <c r="H574" s="9" t="s">
        <v>13284</v>
      </c>
      <c r="I574" s="9" t="s">
        <v>13284</v>
      </c>
      <c r="J574" s="9" t="s">
        <v>13284</v>
      </c>
      <c r="K574" s="9" t="s">
        <v>13284</v>
      </c>
      <c r="L574" s="9" t="s">
        <v>13284</v>
      </c>
      <c r="M574" s="9" t="s">
        <v>13284</v>
      </c>
      <c r="N574" s="9" t="s">
        <v>13284</v>
      </c>
      <c r="O574" s="9" t="s">
        <v>13284</v>
      </c>
      <c r="P574" s="9" t="s">
        <v>13284</v>
      </c>
      <c r="Q574" s="9" t="s">
        <v>13284</v>
      </c>
      <c r="R574" s="9" t="s">
        <v>13284</v>
      </c>
      <c r="S574" s="9" t="s">
        <v>13284</v>
      </c>
      <c r="T574" s="9" t="str">
        <f ca="1">IFERROR(IF(AND(VLOOKUP(A574, 'Актуальное состояние (из общего'!A:C,3,0) = "", A574 &lt;&gt; ""), "ПРОВЕРИТЬ", VLOOKUP(A574, 'Актуальное состояние (из общего'!A:C,3,0)), "")</f>
        <v>Студент</v>
      </c>
      <c r="U574" s="9" t="s">
        <v>13284</v>
      </c>
      <c r="V574" s="9" t="s">
        <v>13284</v>
      </c>
      <c r="W574" s="12"/>
      <c r="X574" s="9" t="str">
        <f t="array" ref="X574">IFERROR(INDEX('Адреса общежитий (скрытый)'!$B$2:$B$9, MATCH(W574, 'Адреса общежитий (скрытый)'!$A$2:$A$9, 0)), "")</f>
        <v/>
      </c>
      <c r="Y574" s="18"/>
      <c r="Z574" s="18"/>
      <c r="AA574" s="18"/>
      <c r="AB574" s="18"/>
      <c r="AC574" s="18"/>
    </row>
    <row r="575" spans="1:29" ht="32.25" customHeight="1">
      <c r="A575" s="8">
        <v>2303578</v>
      </c>
      <c r="B575" s="9" t="s">
        <v>13284</v>
      </c>
      <c r="C575" s="9" t="s">
        <v>13284</v>
      </c>
      <c r="D575" s="9" t="s">
        <v>13284</v>
      </c>
      <c r="E575" s="9" t="s">
        <v>13284</v>
      </c>
      <c r="F575" s="9" t="s">
        <v>13284</v>
      </c>
      <c r="G575" s="9" t="s">
        <v>13284</v>
      </c>
      <c r="H575" s="9" t="s">
        <v>13284</v>
      </c>
      <c r="I575" s="9" t="s">
        <v>13284</v>
      </c>
      <c r="J575" s="9" t="s">
        <v>13284</v>
      </c>
      <c r="K575" s="9" t="s">
        <v>13284</v>
      </c>
      <c r="L575" s="9" t="s">
        <v>13284</v>
      </c>
      <c r="M575" s="9" t="s">
        <v>13284</v>
      </c>
      <c r="N575" s="9" t="s">
        <v>13284</v>
      </c>
      <c r="O575" s="9" t="s">
        <v>13284</v>
      </c>
      <c r="P575" s="9" t="s">
        <v>13284</v>
      </c>
      <c r="Q575" s="9" t="s">
        <v>13284</v>
      </c>
      <c r="R575" s="9" t="s">
        <v>13284</v>
      </c>
      <c r="S575" s="9" t="s">
        <v>13284</v>
      </c>
      <c r="T575" s="9" t="str">
        <f ca="1">IFERROR(IF(AND(VLOOKUP(A575, 'Актуальное состояние (из общего'!A:C,3,0) = "", A575 &lt;&gt; ""), "ПРОВЕРИТЬ", VLOOKUP(A575, 'Актуальное состояние (из общего'!A:C,3,0)), "")</f>
        <v>Студент</v>
      </c>
      <c r="U575" s="9" t="s">
        <v>13284</v>
      </c>
      <c r="V575" s="9" t="s">
        <v>13284</v>
      </c>
      <c r="W575" s="12"/>
      <c r="X575" s="9" t="str">
        <f t="array" ref="X575">IFERROR(INDEX('Адреса общежитий (скрытый)'!$B$2:$B$9, MATCH(W575, 'Адреса общежитий (скрытый)'!$A$2:$A$9, 0)), "")</f>
        <v/>
      </c>
      <c r="Y575" s="18"/>
      <c r="Z575" s="18"/>
      <c r="AA575" s="18"/>
      <c r="AB575" s="18"/>
      <c r="AC575" s="18"/>
    </row>
    <row r="576" spans="1:29" ht="32.25" customHeight="1">
      <c r="A576" s="8">
        <v>2303326</v>
      </c>
      <c r="B576" s="9" t="s">
        <v>13284</v>
      </c>
      <c r="C576" s="9" t="s">
        <v>13284</v>
      </c>
      <c r="D576" s="9" t="s">
        <v>13284</v>
      </c>
      <c r="E576" s="9" t="s">
        <v>13284</v>
      </c>
      <c r="F576" s="9" t="s">
        <v>13284</v>
      </c>
      <c r="G576" s="9" t="s">
        <v>13284</v>
      </c>
      <c r="H576" s="9" t="s">
        <v>13284</v>
      </c>
      <c r="I576" s="9" t="s">
        <v>13284</v>
      </c>
      <c r="J576" s="9" t="s">
        <v>13284</v>
      </c>
      <c r="K576" s="9" t="s">
        <v>13284</v>
      </c>
      <c r="L576" s="9" t="s">
        <v>13284</v>
      </c>
      <c r="M576" s="9" t="s">
        <v>13284</v>
      </c>
      <c r="N576" s="9" t="s">
        <v>13284</v>
      </c>
      <c r="O576" s="9" t="s">
        <v>13284</v>
      </c>
      <c r="P576" s="9" t="s">
        <v>13284</v>
      </c>
      <c r="Q576" s="9" t="s">
        <v>13284</v>
      </c>
      <c r="R576" s="9" t="s">
        <v>13284</v>
      </c>
      <c r="S576" s="9" t="s">
        <v>13284</v>
      </c>
      <c r="T576" s="9" t="str">
        <f ca="1">IFERROR(IF(AND(VLOOKUP(A576, 'Актуальное состояние (из общего'!A:C,3,0) = "", A576 &lt;&gt; ""), "ПРОВЕРИТЬ", VLOOKUP(A576, 'Актуальное состояние (из общего'!A:C,3,0)), "")</f>
        <v>Студент</v>
      </c>
      <c r="U576" s="9" t="s">
        <v>13284</v>
      </c>
      <c r="V576" s="9" t="s">
        <v>13284</v>
      </c>
      <c r="W576" s="12" t="s">
        <v>76</v>
      </c>
      <c r="X576" s="9" t="str">
        <f t="array" ref="X576">IFERROR(INDEX('Адреса общежитий (скрытый)'!$B$2:$B$9, MATCH(W576, 'Адреса общежитий (скрытый)'!$A$2:$A$9, 0)), "")</f>
        <v>ул. Студенческая, д. 33, корп. 5,6</v>
      </c>
      <c r="Y576" s="18"/>
      <c r="Z576" s="18"/>
      <c r="AA576" s="18"/>
      <c r="AB576" s="18"/>
      <c r="AC576" s="18"/>
    </row>
    <row r="577" spans="1:29" ht="32.25" customHeight="1">
      <c r="A577" s="8">
        <v>2307384</v>
      </c>
      <c r="B577" s="9" t="s">
        <v>13284</v>
      </c>
      <c r="C577" s="9" t="s">
        <v>13284</v>
      </c>
      <c r="D577" s="9" t="s">
        <v>13284</v>
      </c>
      <c r="E577" s="9" t="s">
        <v>13284</v>
      </c>
      <c r="F577" s="9" t="s">
        <v>13284</v>
      </c>
      <c r="G577" s="9" t="s">
        <v>13284</v>
      </c>
      <c r="H577" s="9" t="s">
        <v>13284</v>
      </c>
      <c r="I577" s="9" t="s">
        <v>13284</v>
      </c>
      <c r="J577" s="9" t="s">
        <v>13284</v>
      </c>
      <c r="K577" s="9" t="s">
        <v>13284</v>
      </c>
      <c r="L577" s="9" t="s">
        <v>13284</v>
      </c>
      <c r="M577" s="9" t="s">
        <v>13284</v>
      </c>
      <c r="N577" s="9" t="s">
        <v>13284</v>
      </c>
      <c r="O577" s="9" t="s">
        <v>13284</v>
      </c>
      <c r="P577" s="9" t="s">
        <v>13284</v>
      </c>
      <c r="Q577" s="9" t="s">
        <v>13284</v>
      </c>
      <c r="R577" s="9" t="s">
        <v>13284</v>
      </c>
      <c r="S577" s="9" t="s">
        <v>13284</v>
      </c>
      <c r="T577" s="9" t="str">
        <f ca="1">IFERROR(IF(AND(VLOOKUP(A577, 'Актуальное состояние (из общего'!A:C,3,0) = "", A577 &lt;&gt; ""), "ПРОВЕРИТЬ", VLOOKUP(A577, 'Актуальное состояние (из общего'!A:C,3,0)), "")</f>
        <v>Студент</v>
      </c>
      <c r="U577" s="9" t="s">
        <v>13284</v>
      </c>
      <c r="V577" s="9" t="s">
        <v>13284</v>
      </c>
      <c r="W577" s="12"/>
      <c r="X577" s="9" t="str">
        <f t="array" ref="X577">IFERROR(INDEX('Адреса общежитий (скрытый)'!$B$2:$B$9, MATCH(W577, 'Адреса общежитий (скрытый)'!$A$2:$A$9, 0)), "")</f>
        <v/>
      </c>
      <c r="Y577" s="18"/>
      <c r="Z577" s="18"/>
      <c r="AA577" s="18"/>
      <c r="AB577" s="18"/>
      <c r="AC577" s="18"/>
    </row>
    <row r="578" spans="1:29" ht="32.25" customHeight="1">
      <c r="A578" s="8">
        <v>2308718</v>
      </c>
      <c r="B578" s="9" t="s">
        <v>13284</v>
      </c>
      <c r="C578" s="9" t="s">
        <v>13284</v>
      </c>
      <c r="D578" s="9" t="s">
        <v>13284</v>
      </c>
      <c r="E578" s="9" t="s">
        <v>13284</v>
      </c>
      <c r="F578" s="9" t="s">
        <v>13284</v>
      </c>
      <c r="G578" s="9" t="s">
        <v>13284</v>
      </c>
      <c r="H578" s="9" t="s">
        <v>13284</v>
      </c>
      <c r="I578" s="9" t="s">
        <v>13284</v>
      </c>
      <c r="J578" s="9" t="s">
        <v>13284</v>
      </c>
      <c r="K578" s="9" t="s">
        <v>13284</v>
      </c>
      <c r="L578" s="9" t="s">
        <v>13284</v>
      </c>
      <c r="M578" s="9" t="s">
        <v>13284</v>
      </c>
      <c r="N578" s="9" t="s">
        <v>13284</v>
      </c>
      <c r="O578" s="9" t="s">
        <v>13284</v>
      </c>
      <c r="P578" s="9" t="s">
        <v>13284</v>
      </c>
      <c r="Q578" s="9" t="s">
        <v>13284</v>
      </c>
      <c r="R578" s="9" t="s">
        <v>13284</v>
      </c>
      <c r="S578" s="9" t="s">
        <v>13284</v>
      </c>
      <c r="T578" s="9" t="str">
        <f ca="1">IFERROR(IF(AND(VLOOKUP(A578, 'Актуальное состояние (из общего'!A:C,3,0) = "", A578 &lt;&gt; ""), "ПРОВЕРИТЬ", VLOOKUP(A578, 'Актуальное состояние (из общего'!A:C,3,0)), "")</f>
        <v>Студент</v>
      </c>
      <c r="U578" s="9" t="s">
        <v>13284</v>
      </c>
      <c r="V578" s="9" t="s">
        <v>13284</v>
      </c>
      <c r="W578" s="12"/>
      <c r="X578" s="9" t="str">
        <f t="array" ref="X578">IFERROR(INDEX('Адреса общежитий (скрытый)'!$B$2:$B$9, MATCH(W578, 'Адреса общежитий (скрытый)'!$A$2:$A$9, 0)), "")</f>
        <v/>
      </c>
      <c r="Y578" s="18"/>
      <c r="Z578" s="18"/>
      <c r="AA578" s="18"/>
      <c r="AB578" s="18"/>
      <c r="AC578" s="18"/>
    </row>
    <row r="579" spans="1:29" ht="32.25" hidden="1" customHeight="1">
      <c r="A579" s="8">
        <v>2304766</v>
      </c>
      <c r="B579" s="9" t="s">
        <v>13284</v>
      </c>
      <c r="C579" s="9" t="s">
        <v>13284</v>
      </c>
      <c r="D579" s="9" t="s">
        <v>13284</v>
      </c>
      <c r="E579" s="9" t="s">
        <v>13284</v>
      </c>
      <c r="F579" s="9" t="s">
        <v>13284</v>
      </c>
      <c r="G579" s="9" t="s">
        <v>13284</v>
      </c>
      <c r="H579" s="9" t="s">
        <v>13284</v>
      </c>
      <c r="I579" s="9" t="s">
        <v>13284</v>
      </c>
      <c r="J579" s="9" t="s">
        <v>13284</v>
      </c>
      <c r="K579" s="9" t="s">
        <v>13284</v>
      </c>
      <c r="L579" s="9" t="s">
        <v>13284</v>
      </c>
      <c r="M579" s="9" t="s">
        <v>13284</v>
      </c>
      <c r="N579" s="9" t="s">
        <v>13284</v>
      </c>
      <c r="O579" s="9" t="s">
        <v>13284</v>
      </c>
      <c r="P579" s="9" t="s">
        <v>13284</v>
      </c>
      <c r="Q579" s="9" t="s">
        <v>13284</v>
      </c>
      <c r="R579" s="9" t="s">
        <v>13284</v>
      </c>
      <c r="S579" s="9" t="s">
        <v>13284</v>
      </c>
      <c r="T579" s="9" t="str">
        <f ca="1">IFERROR(IF(AND(VLOOKUP(A579, 'Актуальное состояние (из общего'!A:C,3,0) = "", A579 &lt;&gt; ""), "ПРОВЕРИТЬ", VLOOKUP(A579, 'Актуальное состояние (из общего'!A:C,3,0)), "")</f>
        <v>Студент</v>
      </c>
      <c r="U579" s="9" t="s">
        <v>13284</v>
      </c>
      <c r="V579" s="9" t="s">
        <v>13284</v>
      </c>
      <c r="W579" s="12"/>
      <c r="X579" s="9" t="str">
        <f t="array" ref="X579">IFERROR(INDEX('Адреса общежитий (скрытый)'!$B$2:$B$9, MATCH(W579, 'Адреса общежитий (скрытый)'!$A$2:$A$9, 0)), "")</f>
        <v/>
      </c>
      <c r="Y579" s="18"/>
      <c r="Z579" s="18"/>
      <c r="AA579" s="18"/>
      <c r="AB579" s="18"/>
      <c r="AC579" s="18"/>
    </row>
    <row r="580" spans="1:29" ht="32.25" customHeight="1">
      <c r="A580" s="8">
        <v>2304016</v>
      </c>
      <c r="B580" s="9" t="s">
        <v>13284</v>
      </c>
      <c r="C580" s="9" t="s">
        <v>13284</v>
      </c>
      <c r="D580" s="9" t="s">
        <v>13284</v>
      </c>
      <c r="E580" s="9" t="s">
        <v>13284</v>
      </c>
      <c r="F580" s="9" t="s">
        <v>13284</v>
      </c>
      <c r="G580" s="9" t="s">
        <v>13284</v>
      </c>
      <c r="H580" s="9" t="s">
        <v>13284</v>
      </c>
      <c r="I580" s="9" t="s">
        <v>13284</v>
      </c>
      <c r="J580" s="9" t="s">
        <v>13284</v>
      </c>
      <c r="K580" s="9" t="s">
        <v>13284</v>
      </c>
      <c r="L580" s="9" t="s">
        <v>13284</v>
      </c>
      <c r="M580" s="9" t="s">
        <v>13284</v>
      </c>
      <c r="N580" s="9" t="s">
        <v>13284</v>
      </c>
      <c r="O580" s="9" t="s">
        <v>13284</v>
      </c>
      <c r="P580" s="9" t="s">
        <v>13284</v>
      </c>
      <c r="Q580" s="9" t="s">
        <v>13284</v>
      </c>
      <c r="R580" s="9" t="s">
        <v>13284</v>
      </c>
      <c r="S580" s="9" t="s">
        <v>13284</v>
      </c>
      <c r="T580" s="9" t="str">
        <f ca="1">IFERROR(IF(AND(VLOOKUP(A580, 'Актуальное состояние (из общего'!A:C,3,0) = "", A580 &lt;&gt; ""), "ПРОВЕРИТЬ", VLOOKUP(A580, 'Актуальное состояние (из общего'!A:C,3,0)), "")</f>
        <v>Студент</v>
      </c>
      <c r="U580" s="9" t="s">
        <v>13284</v>
      </c>
      <c r="V580" s="9" t="s">
        <v>13284</v>
      </c>
      <c r="W580" s="12"/>
      <c r="X580" s="9" t="str">
        <f t="array" ref="X580">IFERROR(INDEX('Адреса общежитий (скрытый)'!$B$2:$B$9, MATCH(W580, 'Адреса общежитий (скрытый)'!$A$2:$A$9, 0)), "")</f>
        <v/>
      </c>
      <c r="Y580" s="18"/>
      <c r="Z580" s="18"/>
      <c r="AA580" s="18"/>
      <c r="AB580" s="18"/>
      <c r="AC580" s="18"/>
    </row>
    <row r="581" spans="1:29" ht="32.25" customHeight="1">
      <c r="A581" s="8">
        <v>2300782</v>
      </c>
      <c r="B581" s="9" t="s">
        <v>13284</v>
      </c>
      <c r="C581" s="9" t="s">
        <v>13284</v>
      </c>
      <c r="D581" s="9" t="s">
        <v>13284</v>
      </c>
      <c r="E581" s="9" t="s">
        <v>13284</v>
      </c>
      <c r="F581" s="9" t="s">
        <v>13284</v>
      </c>
      <c r="G581" s="9" t="s">
        <v>13284</v>
      </c>
      <c r="H581" s="9" t="s">
        <v>13284</v>
      </c>
      <c r="I581" s="9" t="s">
        <v>13284</v>
      </c>
      <c r="J581" s="9" t="s">
        <v>13284</v>
      </c>
      <c r="K581" s="9" t="s">
        <v>13284</v>
      </c>
      <c r="L581" s="9" t="s">
        <v>13284</v>
      </c>
      <c r="M581" s="9" t="s">
        <v>13284</v>
      </c>
      <c r="N581" s="9" t="s">
        <v>13284</v>
      </c>
      <c r="O581" s="9" t="s">
        <v>13284</v>
      </c>
      <c r="P581" s="9" t="s">
        <v>13284</v>
      </c>
      <c r="Q581" s="9" t="s">
        <v>13284</v>
      </c>
      <c r="R581" s="9" t="s">
        <v>13284</v>
      </c>
      <c r="S581" s="9" t="s">
        <v>13284</v>
      </c>
      <c r="T581" s="9" t="str">
        <f ca="1">IFERROR(IF(AND(VLOOKUP(A581, 'Актуальное состояние (из общего'!A:C,3,0) = "", A581 &lt;&gt; ""), "ПРОВЕРИТЬ", VLOOKUP(A581, 'Актуальное состояние (из общего'!A:C,3,0)), "")</f>
        <v>Студент</v>
      </c>
      <c r="U581" s="9" t="s">
        <v>13284</v>
      </c>
      <c r="V581" s="9" t="s">
        <v>13284</v>
      </c>
      <c r="W581" s="12"/>
      <c r="X581" s="9" t="str">
        <f t="array" ref="X581">IFERROR(INDEX('Адреса общежитий (скрытый)'!$B$2:$B$9, MATCH(W581, 'Адреса общежитий (скрытый)'!$A$2:$A$9, 0)), "")</f>
        <v/>
      </c>
      <c r="Y581" s="18"/>
      <c r="Z581" s="18"/>
      <c r="AA581" s="18"/>
      <c r="AB581" s="18"/>
      <c r="AC581" s="18"/>
    </row>
    <row r="582" spans="1:29" ht="32.25" customHeight="1">
      <c r="A582" s="8">
        <v>2306385</v>
      </c>
      <c r="B582" s="9" t="s">
        <v>13284</v>
      </c>
      <c r="C582" s="9" t="s">
        <v>13284</v>
      </c>
      <c r="D582" s="9" t="s">
        <v>13284</v>
      </c>
      <c r="E582" s="9" t="s">
        <v>13284</v>
      </c>
      <c r="F582" s="9" t="s">
        <v>13284</v>
      </c>
      <c r="G582" s="9" t="s">
        <v>13284</v>
      </c>
      <c r="H582" s="9" t="s">
        <v>13284</v>
      </c>
      <c r="I582" s="9" t="s">
        <v>13284</v>
      </c>
      <c r="J582" s="9" t="s">
        <v>13284</v>
      </c>
      <c r="K582" s="9" t="s">
        <v>13284</v>
      </c>
      <c r="L582" s="9" t="s">
        <v>13284</v>
      </c>
      <c r="M582" s="9" t="s">
        <v>13284</v>
      </c>
      <c r="N582" s="9" t="s">
        <v>13284</v>
      </c>
      <c r="O582" s="9" t="s">
        <v>13284</v>
      </c>
      <c r="P582" s="9" t="s">
        <v>13284</v>
      </c>
      <c r="Q582" s="9" t="s">
        <v>13284</v>
      </c>
      <c r="R582" s="9" t="s">
        <v>13284</v>
      </c>
      <c r="S582" s="9" t="s">
        <v>13284</v>
      </c>
      <c r="T582" s="9" t="str">
        <f ca="1">IFERROR(IF(AND(VLOOKUP(A582, 'Актуальное состояние (из общего'!A:C,3,0) = "", A582 &lt;&gt; ""), "ПРОВЕРИТЬ", VLOOKUP(A582, 'Актуальное состояние (из общего'!A:C,3,0)), "")</f>
        <v>Студент</v>
      </c>
      <c r="U582" s="9" t="s">
        <v>13284</v>
      </c>
      <c r="V582" s="9" t="s">
        <v>13284</v>
      </c>
      <c r="W582" s="12"/>
      <c r="X582" s="9" t="str">
        <f t="array" ref="X582">IFERROR(INDEX('Адреса общежитий (скрытый)'!$B$2:$B$9, MATCH(W582, 'Адреса общежитий (скрытый)'!$A$2:$A$9, 0)), "")</f>
        <v/>
      </c>
      <c r="Y582" s="18"/>
      <c r="Z582" s="18"/>
      <c r="AA582" s="18"/>
      <c r="AB582" s="18"/>
      <c r="AC582" s="18"/>
    </row>
    <row r="583" spans="1:29" ht="32.25" customHeight="1">
      <c r="A583" s="8">
        <v>2304221</v>
      </c>
      <c r="B583" s="9" t="s">
        <v>13284</v>
      </c>
      <c r="C583" s="9" t="s">
        <v>13284</v>
      </c>
      <c r="D583" s="9" t="s">
        <v>13284</v>
      </c>
      <c r="E583" s="9" t="s">
        <v>13284</v>
      </c>
      <c r="F583" s="9" t="s">
        <v>13284</v>
      </c>
      <c r="G583" s="9" t="s">
        <v>13284</v>
      </c>
      <c r="H583" s="9" t="s">
        <v>13284</v>
      </c>
      <c r="I583" s="9" t="s">
        <v>13284</v>
      </c>
      <c r="J583" s="9" t="s">
        <v>13284</v>
      </c>
      <c r="K583" s="9" t="s">
        <v>13284</v>
      </c>
      <c r="L583" s="9" t="s">
        <v>13284</v>
      </c>
      <c r="M583" s="9" t="s">
        <v>13284</v>
      </c>
      <c r="N583" s="9" t="s">
        <v>13284</v>
      </c>
      <c r="O583" s="9" t="s">
        <v>13284</v>
      </c>
      <c r="P583" s="9" t="s">
        <v>13284</v>
      </c>
      <c r="Q583" s="9" t="s">
        <v>13284</v>
      </c>
      <c r="R583" s="9" t="s">
        <v>13284</v>
      </c>
      <c r="S583" s="9" t="s">
        <v>13284</v>
      </c>
      <c r="T583" s="9" t="str">
        <f ca="1">IFERROR(IF(AND(VLOOKUP(A583, 'Актуальное состояние (из общего'!A:C,3,0) = "", A583 &lt;&gt; ""), "ПРОВЕРИТЬ", VLOOKUP(A583, 'Актуальное состояние (из общего'!A:C,3,0)), "")</f>
        <v>Студент</v>
      </c>
      <c r="U583" s="9" t="s">
        <v>13284</v>
      </c>
      <c r="V583" s="9" t="s">
        <v>13284</v>
      </c>
      <c r="W583" s="12"/>
      <c r="X583" s="9" t="str">
        <f t="array" ref="X583">IFERROR(INDEX('Адреса общежитий (скрытый)'!$B$2:$B$9, MATCH(W583, 'Адреса общежитий (скрытый)'!$A$2:$A$9, 0)), "")</f>
        <v/>
      </c>
      <c r="Y583" s="18"/>
      <c r="Z583" s="18"/>
      <c r="AA583" s="18"/>
      <c r="AB583" s="18"/>
      <c r="AC583" s="18"/>
    </row>
    <row r="584" spans="1:29" ht="32.25" customHeight="1">
      <c r="A584" s="8">
        <v>2302375</v>
      </c>
      <c r="B584" s="9" t="s">
        <v>13284</v>
      </c>
      <c r="C584" s="9" t="s">
        <v>13284</v>
      </c>
      <c r="D584" s="9" t="s">
        <v>13284</v>
      </c>
      <c r="E584" s="9" t="s">
        <v>13284</v>
      </c>
      <c r="F584" s="9" t="s">
        <v>13284</v>
      </c>
      <c r="G584" s="9" t="s">
        <v>13284</v>
      </c>
      <c r="H584" s="9" t="s">
        <v>13284</v>
      </c>
      <c r="I584" s="9" t="s">
        <v>13284</v>
      </c>
      <c r="J584" s="9" t="s">
        <v>13284</v>
      </c>
      <c r="K584" s="9" t="s">
        <v>13284</v>
      </c>
      <c r="L584" s="9" t="s">
        <v>13284</v>
      </c>
      <c r="M584" s="9" t="s">
        <v>13284</v>
      </c>
      <c r="N584" s="9" t="s">
        <v>13284</v>
      </c>
      <c r="O584" s="9" t="s">
        <v>13284</v>
      </c>
      <c r="P584" s="9" t="s">
        <v>13284</v>
      </c>
      <c r="Q584" s="9" t="s">
        <v>13284</v>
      </c>
      <c r="R584" s="9" t="s">
        <v>13284</v>
      </c>
      <c r="S584" s="9" t="s">
        <v>13284</v>
      </c>
      <c r="T584" s="9" t="str">
        <f ca="1">IFERROR(IF(AND(VLOOKUP(A584, 'Актуальное состояние (из общего'!A:C,3,0) = "", A584 &lt;&gt; ""), "ПРОВЕРИТЬ", VLOOKUP(A584, 'Актуальное состояние (из общего'!A:C,3,0)), "")</f>
        <v>Студент</v>
      </c>
      <c r="U584" s="9" t="s">
        <v>13284</v>
      </c>
      <c r="V584" s="9" t="s">
        <v>13284</v>
      </c>
      <c r="W584" s="12"/>
      <c r="X584" s="9" t="str">
        <f t="array" ref="X584">IFERROR(INDEX('Адреса общежитий (скрытый)'!$B$2:$B$9, MATCH(W584, 'Адреса общежитий (скрытый)'!$A$2:$A$9, 0)), "")</f>
        <v/>
      </c>
      <c r="Y584" s="18"/>
      <c r="Z584" s="18"/>
      <c r="AA584" s="18"/>
      <c r="AB584" s="18"/>
      <c r="AC584" s="18"/>
    </row>
    <row r="585" spans="1:29" ht="32.25" customHeight="1">
      <c r="A585" s="8">
        <v>2304206</v>
      </c>
      <c r="B585" s="9" t="s">
        <v>13284</v>
      </c>
      <c r="C585" s="9" t="s">
        <v>13284</v>
      </c>
      <c r="D585" s="9" t="s">
        <v>13284</v>
      </c>
      <c r="E585" s="9" t="s">
        <v>13284</v>
      </c>
      <c r="F585" s="9" t="s">
        <v>13284</v>
      </c>
      <c r="G585" s="9" t="s">
        <v>13284</v>
      </c>
      <c r="H585" s="9" t="s">
        <v>13284</v>
      </c>
      <c r="I585" s="9" t="s">
        <v>13284</v>
      </c>
      <c r="J585" s="9" t="s">
        <v>13284</v>
      </c>
      <c r="K585" s="9" t="s">
        <v>13284</v>
      </c>
      <c r="L585" s="9" t="s">
        <v>13284</v>
      </c>
      <c r="M585" s="9" t="s">
        <v>13284</v>
      </c>
      <c r="N585" s="9" t="s">
        <v>13284</v>
      </c>
      <c r="O585" s="9" t="s">
        <v>13284</v>
      </c>
      <c r="P585" s="9" t="s">
        <v>13284</v>
      </c>
      <c r="Q585" s="9" t="s">
        <v>13284</v>
      </c>
      <c r="R585" s="9" t="s">
        <v>13284</v>
      </c>
      <c r="S585" s="9" t="s">
        <v>13284</v>
      </c>
      <c r="T585" s="9" t="str">
        <f ca="1">IFERROR(IF(AND(VLOOKUP(A585, 'Актуальное состояние (из общего'!A:C,3,0) = "", A585 &lt;&gt; ""), "ПРОВЕРИТЬ", VLOOKUP(A585, 'Актуальное состояние (из общего'!A:C,3,0)), "")</f>
        <v>Студент</v>
      </c>
      <c r="U585" s="9" t="s">
        <v>13284</v>
      </c>
      <c r="V585" s="9" t="s">
        <v>13284</v>
      </c>
      <c r="W585" s="12"/>
      <c r="X585" s="9" t="str">
        <f t="array" ref="X585">IFERROR(INDEX('Адреса общежитий (скрытый)'!$B$2:$B$9, MATCH(W585, 'Адреса общежитий (скрытый)'!$A$2:$A$9, 0)), "")</f>
        <v/>
      </c>
      <c r="Y585" s="18"/>
      <c r="Z585" s="18"/>
      <c r="AA585" s="18"/>
      <c r="AB585" s="18"/>
      <c r="AC585" s="18"/>
    </row>
    <row r="586" spans="1:29" ht="32.25" customHeight="1">
      <c r="A586" s="8">
        <v>2306205</v>
      </c>
      <c r="B586" s="9" t="s">
        <v>13284</v>
      </c>
      <c r="C586" s="9" t="s">
        <v>13284</v>
      </c>
      <c r="D586" s="9" t="s">
        <v>13284</v>
      </c>
      <c r="E586" s="9" t="s">
        <v>13284</v>
      </c>
      <c r="F586" s="9" t="s">
        <v>13284</v>
      </c>
      <c r="G586" s="9" t="s">
        <v>13284</v>
      </c>
      <c r="H586" s="9" t="s">
        <v>13284</v>
      </c>
      <c r="I586" s="9" t="s">
        <v>13284</v>
      </c>
      <c r="J586" s="9" t="s">
        <v>13284</v>
      </c>
      <c r="K586" s="9" t="s">
        <v>13284</v>
      </c>
      <c r="L586" s="9" t="s">
        <v>13284</v>
      </c>
      <c r="M586" s="9" t="s">
        <v>13284</v>
      </c>
      <c r="N586" s="9" t="s">
        <v>13284</v>
      </c>
      <c r="O586" s="9" t="s">
        <v>13284</v>
      </c>
      <c r="P586" s="9" t="s">
        <v>13284</v>
      </c>
      <c r="Q586" s="9" t="s">
        <v>13284</v>
      </c>
      <c r="R586" s="9" t="s">
        <v>13284</v>
      </c>
      <c r="S586" s="9" t="s">
        <v>13284</v>
      </c>
      <c r="T586" s="9" t="str">
        <f ca="1">IFERROR(IF(AND(VLOOKUP(A586, 'Актуальное состояние (из общего'!A:C,3,0) = "", A586 &lt;&gt; ""), "ПРОВЕРИТЬ", VLOOKUP(A586, 'Актуальное состояние (из общего'!A:C,3,0)), "")</f>
        <v>Студент</v>
      </c>
      <c r="U586" s="9" t="s">
        <v>13284</v>
      </c>
      <c r="V586" s="9" t="s">
        <v>13284</v>
      </c>
      <c r="W586" s="12"/>
      <c r="X586" s="9" t="str">
        <f t="array" ref="X586">IFERROR(INDEX('Адреса общежитий (скрытый)'!$B$2:$B$9, MATCH(W586, 'Адреса общежитий (скрытый)'!$A$2:$A$9, 0)), "")</f>
        <v/>
      </c>
      <c r="Y586" s="18"/>
      <c r="Z586" s="18"/>
      <c r="AA586" s="18"/>
      <c r="AB586" s="18"/>
      <c r="AC586" s="18"/>
    </row>
    <row r="587" spans="1:29" ht="32.25" customHeight="1">
      <c r="A587" s="8">
        <v>2308223</v>
      </c>
      <c r="B587" s="9" t="s">
        <v>13284</v>
      </c>
      <c r="C587" s="9" t="s">
        <v>13284</v>
      </c>
      <c r="D587" s="9" t="s">
        <v>13284</v>
      </c>
      <c r="E587" s="9" t="s">
        <v>13284</v>
      </c>
      <c r="F587" s="9" t="s">
        <v>13284</v>
      </c>
      <c r="G587" s="9" t="s">
        <v>13284</v>
      </c>
      <c r="H587" s="9" t="s">
        <v>13284</v>
      </c>
      <c r="I587" s="9" t="s">
        <v>13284</v>
      </c>
      <c r="J587" s="9" t="s">
        <v>13284</v>
      </c>
      <c r="K587" s="9" t="s">
        <v>13284</v>
      </c>
      <c r="L587" s="9" t="s">
        <v>13284</v>
      </c>
      <c r="M587" s="9" t="s">
        <v>13284</v>
      </c>
      <c r="N587" s="9" t="s">
        <v>13284</v>
      </c>
      <c r="O587" s="9" t="s">
        <v>13284</v>
      </c>
      <c r="P587" s="9" t="s">
        <v>13284</v>
      </c>
      <c r="Q587" s="9" t="s">
        <v>13284</v>
      </c>
      <c r="R587" s="9" t="s">
        <v>13284</v>
      </c>
      <c r="S587" s="9" t="s">
        <v>13284</v>
      </c>
      <c r="T587" s="9" t="str">
        <f ca="1">IFERROR(IF(AND(VLOOKUP(A587, 'Актуальное состояние (из общего'!A:C,3,0) = "", A587 &lt;&gt; ""), "ПРОВЕРИТЬ", VLOOKUP(A587, 'Актуальное состояние (из общего'!A:C,3,0)), "")</f>
        <v>Студент</v>
      </c>
      <c r="U587" s="9" t="s">
        <v>13284</v>
      </c>
      <c r="V587" s="9" t="s">
        <v>13284</v>
      </c>
      <c r="W587" s="12"/>
      <c r="X587" s="9" t="str">
        <f t="array" ref="X587">IFERROR(INDEX('Адреса общежитий (скрытый)'!$B$2:$B$9, MATCH(W587, 'Адреса общежитий (скрытый)'!$A$2:$A$9, 0)), "")</f>
        <v/>
      </c>
      <c r="Y587" s="18"/>
      <c r="Z587" s="18"/>
      <c r="AA587" s="18"/>
      <c r="AB587" s="18"/>
      <c r="AC587" s="18"/>
    </row>
    <row r="588" spans="1:29" ht="32.25" customHeight="1">
      <c r="A588" s="8">
        <v>2304561</v>
      </c>
      <c r="B588" s="9" t="s">
        <v>13284</v>
      </c>
      <c r="C588" s="9" t="s">
        <v>13284</v>
      </c>
      <c r="D588" s="9" t="s">
        <v>13284</v>
      </c>
      <c r="E588" s="9" t="s">
        <v>13284</v>
      </c>
      <c r="F588" s="9" t="s">
        <v>13284</v>
      </c>
      <c r="G588" s="9" t="s">
        <v>13284</v>
      </c>
      <c r="H588" s="9" t="s">
        <v>13284</v>
      </c>
      <c r="I588" s="9" t="s">
        <v>13284</v>
      </c>
      <c r="J588" s="9" t="s">
        <v>13284</v>
      </c>
      <c r="K588" s="9" t="s">
        <v>13284</v>
      </c>
      <c r="L588" s="9" t="s">
        <v>13284</v>
      </c>
      <c r="M588" s="9" t="s">
        <v>13284</v>
      </c>
      <c r="N588" s="9" t="s">
        <v>13284</v>
      </c>
      <c r="O588" s="9" t="s">
        <v>13284</v>
      </c>
      <c r="P588" s="9" t="s">
        <v>13284</v>
      </c>
      <c r="Q588" s="9" t="s">
        <v>13284</v>
      </c>
      <c r="R588" s="9" t="s">
        <v>13284</v>
      </c>
      <c r="S588" s="9" t="s">
        <v>13284</v>
      </c>
      <c r="T588" s="9" t="str">
        <f ca="1">IFERROR(IF(AND(VLOOKUP(A588, 'Актуальное состояние (из общего'!A:C,3,0) = "", A588 &lt;&gt; ""), "ПРОВЕРИТЬ", VLOOKUP(A588, 'Актуальное состояние (из общего'!A:C,3,0)), "")</f>
        <v>Студент</v>
      </c>
      <c r="U588" s="9" t="s">
        <v>13284</v>
      </c>
      <c r="V588" s="9" t="s">
        <v>13284</v>
      </c>
      <c r="W588" s="12"/>
      <c r="X588" s="9" t="str">
        <f t="array" ref="X588">IFERROR(INDEX('Адреса общежитий (скрытый)'!$B$2:$B$9, MATCH(W588, 'Адреса общежитий (скрытый)'!$A$2:$A$9, 0)), "")</f>
        <v/>
      </c>
      <c r="Y588" s="18"/>
      <c r="Z588" s="18"/>
      <c r="AA588" s="18"/>
      <c r="AB588" s="18"/>
      <c r="AC588" s="18"/>
    </row>
    <row r="589" spans="1:29" ht="32.25" customHeight="1">
      <c r="A589" s="8">
        <v>2304481</v>
      </c>
      <c r="B589" s="9" t="s">
        <v>13284</v>
      </c>
      <c r="C589" s="9" t="s">
        <v>13284</v>
      </c>
      <c r="D589" s="9" t="s">
        <v>13284</v>
      </c>
      <c r="E589" s="9" t="s">
        <v>13284</v>
      </c>
      <c r="F589" s="9" t="s">
        <v>13284</v>
      </c>
      <c r="G589" s="9" t="s">
        <v>13284</v>
      </c>
      <c r="H589" s="9" t="s">
        <v>13284</v>
      </c>
      <c r="I589" s="9" t="s">
        <v>13284</v>
      </c>
      <c r="J589" s="9" t="s">
        <v>13284</v>
      </c>
      <c r="K589" s="9" t="s">
        <v>13284</v>
      </c>
      <c r="L589" s="9" t="s">
        <v>13284</v>
      </c>
      <c r="M589" s="9" t="s">
        <v>13284</v>
      </c>
      <c r="N589" s="9" t="s">
        <v>13284</v>
      </c>
      <c r="O589" s="9" t="s">
        <v>13284</v>
      </c>
      <c r="P589" s="9" t="s">
        <v>13284</v>
      </c>
      <c r="Q589" s="9" t="s">
        <v>13284</v>
      </c>
      <c r="R589" s="9" t="s">
        <v>13284</v>
      </c>
      <c r="S589" s="9" t="s">
        <v>13284</v>
      </c>
      <c r="T589" s="9" t="str">
        <f ca="1">IFERROR(IF(AND(VLOOKUP(A589, 'Актуальное состояние (из общего'!A:C,3,0) = "", A589 &lt;&gt; ""), "ПРОВЕРИТЬ", VLOOKUP(A589, 'Актуальное состояние (из общего'!A:C,3,0)), "")</f>
        <v>Студент</v>
      </c>
      <c r="U589" s="9" t="s">
        <v>13284</v>
      </c>
      <c r="V589" s="9" t="s">
        <v>13284</v>
      </c>
      <c r="W589" s="12"/>
      <c r="X589" s="9" t="str">
        <f t="array" ref="X589">IFERROR(INDEX('Адреса общежитий (скрытый)'!$B$2:$B$9, MATCH(W589, 'Адреса общежитий (скрытый)'!$A$2:$A$9, 0)), "")</f>
        <v/>
      </c>
      <c r="Y589" s="18"/>
      <c r="Z589" s="18"/>
      <c r="AA589" s="18"/>
      <c r="AB589" s="18"/>
      <c r="AC589" s="18"/>
    </row>
    <row r="590" spans="1:29" ht="32.25" customHeight="1">
      <c r="A590" s="8">
        <v>2300768</v>
      </c>
      <c r="B590" s="9" t="s">
        <v>13284</v>
      </c>
      <c r="C590" s="9" t="s">
        <v>13284</v>
      </c>
      <c r="D590" s="9" t="s">
        <v>13284</v>
      </c>
      <c r="E590" s="9" t="s">
        <v>13284</v>
      </c>
      <c r="F590" s="9" t="s">
        <v>13284</v>
      </c>
      <c r="G590" s="9" t="s">
        <v>13284</v>
      </c>
      <c r="H590" s="9" t="s">
        <v>13284</v>
      </c>
      <c r="I590" s="9" t="s">
        <v>13284</v>
      </c>
      <c r="J590" s="9" t="s">
        <v>13284</v>
      </c>
      <c r="K590" s="9" t="s">
        <v>13284</v>
      </c>
      <c r="L590" s="9" t="s">
        <v>13284</v>
      </c>
      <c r="M590" s="9" t="s">
        <v>13284</v>
      </c>
      <c r="N590" s="9" t="s">
        <v>13284</v>
      </c>
      <c r="O590" s="9" t="s">
        <v>13284</v>
      </c>
      <c r="P590" s="9" t="s">
        <v>13284</v>
      </c>
      <c r="Q590" s="9" t="s">
        <v>13284</v>
      </c>
      <c r="R590" s="9" t="s">
        <v>13284</v>
      </c>
      <c r="S590" s="9" t="s">
        <v>13284</v>
      </c>
      <c r="T590" s="9" t="str">
        <f ca="1">IFERROR(IF(AND(VLOOKUP(A590, 'Актуальное состояние (из общего'!A:C,3,0) = "", A590 &lt;&gt; ""), "ПРОВЕРИТЬ", VLOOKUP(A590, 'Актуальное состояние (из общего'!A:C,3,0)), "")</f>
        <v>Студент</v>
      </c>
      <c r="U590" s="9" t="s">
        <v>13284</v>
      </c>
      <c r="V590" s="9" t="s">
        <v>13284</v>
      </c>
      <c r="W590" s="12"/>
      <c r="X590" s="9" t="str">
        <f t="array" ref="X590">IFERROR(INDEX('Адреса общежитий (скрытый)'!$B$2:$B$9, MATCH(W590, 'Адреса общежитий (скрытый)'!$A$2:$A$9, 0)), "")</f>
        <v/>
      </c>
      <c r="Y590" s="18"/>
      <c r="Z590" s="18"/>
      <c r="AA590" s="18"/>
      <c r="AB590" s="18"/>
      <c r="AC590" s="18"/>
    </row>
    <row r="591" spans="1:29" ht="32.25" customHeight="1">
      <c r="A591" s="8">
        <v>2308758</v>
      </c>
      <c r="B591" s="9" t="s">
        <v>13284</v>
      </c>
      <c r="C591" s="9" t="s">
        <v>13284</v>
      </c>
      <c r="D591" s="9" t="s">
        <v>13284</v>
      </c>
      <c r="E591" s="9" t="s">
        <v>13284</v>
      </c>
      <c r="F591" s="9" t="s">
        <v>13284</v>
      </c>
      <c r="G591" s="9" t="s">
        <v>13284</v>
      </c>
      <c r="H591" s="9" t="s">
        <v>13284</v>
      </c>
      <c r="I591" s="9" t="s">
        <v>13284</v>
      </c>
      <c r="J591" s="9" t="s">
        <v>13284</v>
      </c>
      <c r="K591" s="9" t="s">
        <v>13284</v>
      </c>
      <c r="L591" s="9" t="s">
        <v>13284</v>
      </c>
      <c r="M591" s="9" t="s">
        <v>13284</v>
      </c>
      <c r="N591" s="9" t="s">
        <v>13284</v>
      </c>
      <c r="O591" s="9" t="s">
        <v>13284</v>
      </c>
      <c r="P591" s="9" t="s">
        <v>13284</v>
      </c>
      <c r="Q591" s="9" t="s">
        <v>13284</v>
      </c>
      <c r="R591" s="9" t="s">
        <v>13284</v>
      </c>
      <c r="S591" s="9" t="s">
        <v>13284</v>
      </c>
      <c r="T591" s="9" t="str">
        <f ca="1">IFERROR(IF(AND(VLOOKUP(A591, 'Актуальное состояние (из общего'!A:C,3,0) = "", A591 &lt;&gt; ""), "ПРОВЕРИТЬ", VLOOKUP(A591, 'Актуальное состояние (из общего'!A:C,3,0)), "")</f>
        <v>Студент</v>
      </c>
      <c r="U591" s="9" t="s">
        <v>13284</v>
      </c>
      <c r="V591" s="9" t="s">
        <v>13284</v>
      </c>
      <c r="W591" s="12"/>
      <c r="X591" s="9" t="str">
        <f t="array" ref="X591">IFERROR(INDEX('Адреса общежитий (скрытый)'!$B$2:$B$9, MATCH(W591, 'Адреса общежитий (скрытый)'!$A$2:$A$9, 0)), "")</f>
        <v/>
      </c>
      <c r="Y591" s="18"/>
      <c r="Z591" s="18"/>
      <c r="AA591" s="18"/>
      <c r="AB591" s="18"/>
      <c r="AC591" s="18"/>
    </row>
    <row r="592" spans="1:29" ht="32.25" customHeight="1">
      <c r="A592" s="8">
        <v>2303382</v>
      </c>
      <c r="B592" s="9" t="s">
        <v>13284</v>
      </c>
      <c r="C592" s="9" t="s">
        <v>13284</v>
      </c>
      <c r="D592" s="9" t="s">
        <v>13284</v>
      </c>
      <c r="E592" s="9" t="s">
        <v>13284</v>
      </c>
      <c r="F592" s="9" t="s">
        <v>13284</v>
      </c>
      <c r="G592" s="9" t="s">
        <v>13284</v>
      </c>
      <c r="H592" s="9" t="s">
        <v>13284</v>
      </c>
      <c r="I592" s="9" t="s">
        <v>13284</v>
      </c>
      <c r="J592" s="9" t="s">
        <v>13284</v>
      </c>
      <c r="K592" s="9" t="s">
        <v>13284</v>
      </c>
      <c r="L592" s="9" t="s">
        <v>13284</v>
      </c>
      <c r="M592" s="9" t="s">
        <v>13284</v>
      </c>
      <c r="N592" s="9" t="s">
        <v>13284</v>
      </c>
      <c r="O592" s="9" t="s">
        <v>13284</v>
      </c>
      <c r="P592" s="9" t="s">
        <v>13284</v>
      </c>
      <c r="Q592" s="9" t="s">
        <v>13284</v>
      </c>
      <c r="R592" s="9" t="s">
        <v>13284</v>
      </c>
      <c r="S592" s="9" t="s">
        <v>13284</v>
      </c>
      <c r="T592" s="9" t="str">
        <f ca="1">IFERROR(IF(AND(VLOOKUP(A592, 'Актуальное состояние (из общего'!A:C,3,0) = "", A592 &lt;&gt; ""), "ПРОВЕРИТЬ", VLOOKUP(A592, 'Актуальное состояние (из общего'!A:C,3,0)), "")</f>
        <v>Студент</v>
      </c>
      <c r="U592" s="9" t="s">
        <v>13284</v>
      </c>
      <c r="V592" s="9" t="s">
        <v>13284</v>
      </c>
      <c r="W592" s="12"/>
      <c r="X592" s="9" t="str">
        <f t="array" ref="X592">IFERROR(INDEX('Адреса общежитий (скрытый)'!$B$2:$B$9, MATCH(W592, 'Адреса общежитий (скрытый)'!$A$2:$A$9, 0)), "")</f>
        <v/>
      </c>
      <c r="Y592" s="18"/>
      <c r="Z592" s="18"/>
      <c r="AA592" s="18"/>
      <c r="AB592" s="18"/>
      <c r="AC592" s="18"/>
    </row>
    <row r="593" spans="1:29" ht="32.25" customHeight="1">
      <c r="A593" s="8">
        <v>2309739</v>
      </c>
      <c r="B593" s="9" t="s">
        <v>13284</v>
      </c>
      <c r="C593" s="9" t="s">
        <v>13284</v>
      </c>
      <c r="D593" s="9" t="s">
        <v>13284</v>
      </c>
      <c r="E593" s="9" t="s">
        <v>13284</v>
      </c>
      <c r="F593" s="9" t="s">
        <v>13284</v>
      </c>
      <c r="G593" s="9" t="s">
        <v>13284</v>
      </c>
      <c r="H593" s="9" t="s">
        <v>13284</v>
      </c>
      <c r="I593" s="9" t="s">
        <v>13284</v>
      </c>
      <c r="J593" s="9" t="s">
        <v>13284</v>
      </c>
      <c r="K593" s="9" t="s">
        <v>13284</v>
      </c>
      <c r="L593" s="9" t="s">
        <v>13284</v>
      </c>
      <c r="M593" s="9" t="s">
        <v>13284</v>
      </c>
      <c r="N593" s="9" t="s">
        <v>13284</v>
      </c>
      <c r="O593" s="9" t="s">
        <v>13284</v>
      </c>
      <c r="P593" s="9" t="s">
        <v>13284</v>
      </c>
      <c r="Q593" s="9" t="s">
        <v>13284</v>
      </c>
      <c r="R593" s="9" t="s">
        <v>13284</v>
      </c>
      <c r="S593" s="9" t="s">
        <v>13284</v>
      </c>
      <c r="T593" s="9" t="str">
        <f ca="1">IFERROR(IF(AND(VLOOKUP(A593, 'Актуальное состояние (из общего'!A:C,3,0) = "", A593 &lt;&gt; ""), "ПРОВЕРИТЬ", VLOOKUP(A593, 'Актуальное состояние (из общего'!A:C,3,0)), "")</f>
        <v>Студент</v>
      </c>
      <c r="U593" s="9" t="s">
        <v>13284</v>
      </c>
      <c r="V593" s="9" t="s">
        <v>13284</v>
      </c>
      <c r="W593" s="12"/>
      <c r="X593" s="9" t="str">
        <f t="array" ref="X593">IFERROR(INDEX('Адреса общежитий (скрытый)'!$B$2:$B$9, MATCH(W593, 'Адреса общежитий (скрытый)'!$A$2:$A$9, 0)), "")</f>
        <v/>
      </c>
      <c r="Y593" s="18"/>
      <c r="Z593" s="18"/>
      <c r="AA593" s="18"/>
      <c r="AB593" s="18"/>
      <c r="AC593" s="18"/>
    </row>
    <row r="594" spans="1:29" ht="32.25" customHeight="1">
      <c r="A594" s="8">
        <v>2304351</v>
      </c>
      <c r="B594" s="9" t="s">
        <v>13284</v>
      </c>
      <c r="C594" s="9" t="s">
        <v>13284</v>
      </c>
      <c r="D594" s="9" t="s">
        <v>13284</v>
      </c>
      <c r="E594" s="9" t="s">
        <v>13284</v>
      </c>
      <c r="F594" s="9" t="s">
        <v>13284</v>
      </c>
      <c r="G594" s="9" t="s">
        <v>13284</v>
      </c>
      <c r="H594" s="9" t="s">
        <v>13284</v>
      </c>
      <c r="I594" s="9" t="s">
        <v>13284</v>
      </c>
      <c r="J594" s="9" t="s">
        <v>13284</v>
      </c>
      <c r="K594" s="9" t="s">
        <v>13284</v>
      </c>
      <c r="L594" s="9" t="s">
        <v>13284</v>
      </c>
      <c r="M594" s="9" t="s">
        <v>13284</v>
      </c>
      <c r="N594" s="9" t="s">
        <v>13284</v>
      </c>
      <c r="O594" s="9" t="s">
        <v>13284</v>
      </c>
      <c r="P594" s="9" t="s">
        <v>13284</v>
      </c>
      <c r="Q594" s="9" t="s">
        <v>13284</v>
      </c>
      <c r="R594" s="9" t="s">
        <v>13284</v>
      </c>
      <c r="S594" s="9" t="s">
        <v>13284</v>
      </c>
      <c r="T594" s="9" t="str">
        <f ca="1">IFERROR(IF(AND(VLOOKUP(A594, 'Актуальное состояние (из общего'!A:C,3,0) = "", A594 &lt;&gt; ""), "ПРОВЕРИТЬ", VLOOKUP(A594, 'Актуальное состояние (из общего'!A:C,3,0)), "")</f>
        <v>Студент</v>
      </c>
      <c r="U594" s="9" t="s">
        <v>13284</v>
      </c>
      <c r="V594" s="9" t="s">
        <v>13284</v>
      </c>
      <c r="W594" s="12"/>
      <c r="X594" s="9" t="str">
        <f t="array" ref="X594">IFERROR(INDEX('Адреса общежитий (скрытый)'!$B$2:$B$9, MATCH(W594, 'Адреса общежитий (скрытый)'!$A$2:$A$9, 0)), "")</f>
        <v/>
      </c>
      <c r="Y594" s="18"/>
      <c r="Z594" s="18"/>
      <c r="AA594" s="18"/>
      <c r="AB594" s="18"/>
      <c r="AC594" s="18"/>
    </row>
    <row r="595" spans="1:29" ht="32.25" customHeight="1">
      <c r="A595" s="8">
        <v>2313574</v>
      </c>
      <c r="B595" s="9" t="s">
        <v>13284</v>
      </c>
      <c r="C595" s="9" t="s">
        <v>13284</v>
      </c>
      <c r="D595" s="9" t="s">
        <v>13284</v>
      </c>
      <c r="E595" s="9" t="s">
        <v>13284</v>
      </c>
      <c r="F595" s="9" t="s">
        <v>13284</v>
      </c>
      <c r="G595" s="9" t="s">
        <v>13284</v>
      </c>
      <c r="H595" s="9" t="s">
        <v>13284</v>
      </c>
      <c r="I595" s="9" t="s">
        <v>13284</v>
      </c>
      <c r="J595" s="9" t="s">
        <v>13284</v>
      </c>
      <c r="K595" s="9" t="s">
        <v>13284</v>
      </c>
      <c r="L595" s="9" t="s">
        <v>13284</v>
      </c>
      <c r="M595" s="9" t="s">
        <v>13284</v>
      </c>
      <c r="N595" s="9" t="s">
        <v>13284</v>
      </c>
      <c r="O595" s="9" t="s">
        <v>13284</v>
      </c>
      <c r="P595" s="9" t="s">
        <v>13284</v>
      </c>
      <c r="Q595" s="9" t="s">
        <v>13284</v>
      </c>
      <c r="R595" s="9" t="s">
        <v>13284</v>
      </c>
      <c r="S595" s="9" t="s">
        <v>13284</v>
      </c>
      <c r="T595" s="9" t="str">
        <f ca="1">IFERROR(IF(AND(VLOOKUP(A595, 'Актуальное состояние (из общего'!A:C,3,0) = "", A595 &lt;&gt; ""), "ПРОВЕРИТЬ", VLOOKUP(A595, 'Актуальное состояние (из общего'!A:C,3,0)), "")</f>
        <v>Студент</v>
      </c>
      <c r="U595" s="9" t="s">
        <v>13284</v>
      </c>
      <c r="V595" s="9" t="s">
        <v>13284</v>
      </c>
      <c r="W595" s="12"/>
      <c r="X595" s="9" t="str">
        <f t="array" ref="X595">IFERROR(INDEX('Адреса общежитий (скрытый)'!$B$2:$B$9, MATCH(W595, 'Адреса общежитий (скрытый)'!$A$2:$A$9, 0)), "")</f>
        <v/>
      </c>
      <c r="Y595" s="18"/>
      <c r="Z595" s="18"/>
      <c r="AA595" s="18"/>
      <c r="AB595" s="18"/>
      <c r="AC595" s="18"/>
    </row>
    <row r="596" spans="1:29" ht="32.25" customHeight="1">
      <c r="A596" s="8">
        <v>2308542</v>
      </c>
      <c r="B596" s="9" t="s">
        <v>13284</v>
      </c>
      <c r="C596" s="9" t="s">
        <v>13284</v>
      </c>
      <c r="D596" s="9" t="s">
        <v>13284</v>
      </c>
      <c r="E596" s="9" t="s">
        <v>13284</v>
      </c>
      <c r="F596" s="9" t="s">
        <v>13284</v>
      </c>
      <c r="G596" s="9" t="s">
        <v>13284</v>
      </c>
      <c r="H596" s="9" t="s">
        <v>13284</v>
      </c>
      <c r="I596" s="9" t="s">
        <v>13284</v>
      </c>
      <c r="J596" s="9" t="s">
        <v>13284</v>
      </c>
      <c r="K596" s="9" t="s">
        <v>13284</v>
      </c>
      <c r="L596" s="9" t="s">
        <v>13284</v>
      </c>
      <c r="M596" s="9" t="s">
        <v>13284</v>
      </c>
      <c r="N596" s="9" t="s">
        <v>13284</v>
      </c>
      <c r="O596" s="9" t="s">
        <v>13284</v>
      </c>
      <c r="P596" s="9" t="s">
        <v>13284</v>
      </c>
      <c r="Q596" s="9" t="s">
        <v>13284</v>
      </c>
      <c r="R596" s="9" t="s">
        <v>13284</v>
      </c>
      <c r="S596" s="9" t="s">
        <v>13284</v>
      </c>
      <c r="T596" s="9" t="str">
        <f ca="1">IFERROR(IF(AND(VLOOKUP(A596, 'Актуальное состояние (из общего'!A:C,3,0) = "", A596 &lt;&gt; ""), "ПРОВЕРИТЬ", VLOOKUP(A596, 'Актуальное состояние (из общего'!A:C,3,0)), "")</f>
        <v>Студент</v>
      </c>
      <c r="U596" s="9" t="s">
        <v>13284</v>
      </c>
      <c r="V596" s="9" t="s">
        <v>13284</v>
      </c>
      <c r="W596" s="12" t="s">
        <v>196</v>
      </c>
      <c r="X596" s="9" t="str">
        <f t="array" ref="X596">IFERROR(INDEX('Адреса общежитий (скрытый)'!$B$2:$B$9, MATCH(W596, 'Адреса общежитий (скрытый)'!$A$2:$A$9, 0)), "")</f>
        <v>проспект 60-летия Октября, д.15</v>
      </c>
      <c r="Y596" s="18" t="s">
        <v>3226</v>
      </c>
      <c r="Z596" s="18"/>
      <c r="AA596" s="18"/>
      <c r="AB596" s="18"/>
      <c r="AC596" s="18"/>
    </row>
    <row r="597" spans="1:29" ht="32.25" customHeight="1">
      <c r="A597" s="8">
        <v>2300783</v>
      </c>
      <c r="B597" s="9" t="s">
        <v>13284</v>
      </c>
      <c r="C597" s="9" t="s">
        <v>13284</v>
      </c>
      <c r="D597" s="9" t="s">
        <v>13284</v>
      </c>
      <c r="E597" s="9" t="s">
        <v>13284</v>
      </c>
      <c r="F597" s="9" t="s">
        <v>13284</v>
      </c>
      <c r="G597" s="9" t="s">
        <v>13284</v>
      </c>
      <c r="H597" s="9" t="s">
        <v>13284</v>
      </c>
      <c r="I597" s="9" t="s">
        <v>13284</v>
      </c>
      <c r="J597" s="9" t="s">
        <v>13284</v>
      </c>
      <c r="K597" s="9" t="s">
        <v>13284</v>
      </c>
      <c r="L597" s="9" t="s">
        <v>13284</v>
      </c>
      <c r="M597" s="9" t="s">
        <v>13284</v>
      </c>
      <c r="N597" s="9" t="s">
        <v>13284</v>
      </c>
      <c r="O597" s="9" t="s">
        <v>13284</v>
      </c>
      <c r="P597" s="9" t="s">
        <v>13284</v>
      </c>
      <c r="Q597" s="9" t="s">
        <v>13284</v>
      </c>
      <c r="R597" s="9" t="s">
        <v>13284</v>
      </c>
      <c r="S597" s="9" t="s">
        <v>13284</v>
      </c>
      <c r="T597" s="9" t="str">
        <f ca="1">IFERROR(IF(AND(VLOOKUP(A597, 'Актуальное состояние (из общего'!A:C,3,0) = "", A597 &lt;&gt; ""), "ПРОВЕРИТЬ", VLOOKUP(A597, 'Актуальное состояние (из общего'!A:C,3,0)), "")</f>
        <v>Студент</v>
      </c>
      <c r="U597" s="9" t="s">
        <v>13284</v>
      </c>
      <c r="V597" s="9" t="s">
        <v>13284</v>
      </c>
      <c r="W597" s="12" t="s">
        <v>76</v>
      </c>
      <c r="X597" s="9" t="str">
        <f t="array" ref="X597">IFERROR(INDEX('Адреса общежитий (скрытый)'!$B$2:$B$9, MATCH(W597, 'Адреса общежитий (скрытый)'!$A$2:$A$9, 0)), "")</f>
        <v>ул. Студенческая, д. 33, корп. 5,6</v>
      </c>
      <c r="Y597" s="18" t="s">
        <v>3853</v>
      </c>
      <c r="Z597" s="18"/>
      <c r="AA597" s="18"/>
      <c r="AB597" s="18"/>
      <c r="AC597" s="18"/>
    </row>
    <row r="598" spans="1:29" ht="32.25" customHeight="1">
      <c r="A598" s="8">
        <v>2305715</v>
      </c>
      <c r="B598" s="9" t="s">
        <v>13284</v>
      </c>
      <c r="C598" s="9" t="s">
        <v>13284</v>
      </c>
      <c r="D598" s="9" t="s">
        <v>13284</v>
      </c>
      <c r="E598" s="9" t="s">
        <v>13284</v>
      </c>
      <c r="F598" s="9" t="s">
        <v>13284</v>
      </c>
      <c r="G598" s="9" t="s">
        <v>13284</v>
      </c>
      <c r="H598" s="9" t="s">
        <v>13284</v>
      </c>
      <c r="I598" s="9" t="s">
        <v>13284</v>
      </c>
      <c r="J598" s="9" t="s">
        <v>13284</v>
      </c>
      <c r="K598" s="9" t="s">
        <v>13284</v>
      </c>
      <c r="L598" s="9" t="s">
        <v>13284</v>
      </c>
      <c r="M598" s="9" t="s">
        <v>13284</v>
      </c>
      <c r="N598" s="9" t="s">
        <v>13284</v>
      </c>
      <c r="O598" s="9" t="s">
        <v>13284</v>
      </c>
      <c r="P598" s="9" t="s">
        <v>13284</v>
      </c>
      <c r="Q598" s="9" t="s">
        <v>13284</v>
      </c>
      <c r="R598" s="9" t="s">
        <v>13284</v>
      </c>
      <c r="S598" s="9" t="s">
        <v>13284</v>
      </c>
      <c r="T598" s="9" t="str">
        <f ca="1">IFERROR(IF(AND(VLOOKUP(A598, 'Актуальное состояние (из общего'!A:C,3,0) = "", A598 &lt;&gt; ""), "ПРОВЕРИТЬ", VLOOKUP(A598, 'Актуальное состояние (из общего'!A:C,3,0)), "")</f>
        <v>Студент</v>
      </c>
      <c r="U598" s="9" t="s">
        <v>13284</v>
      </c>
      <c r="V598" s="9" t="s">
        <v>13284</v>
      </c>
      <c r="W598" s="12"/>
      <c r="X598" s="9" t="str">
        <f t="array" ref="X598">IFERROR(INDEX('Адреса общежитий (скрытый)'!$B$2:$B$9, MATCH(W598, 'Адреса общежитий (скрытый)'!$A$2:$A$9, 0)), "")</f>
        <v/>
      </c>
      <c r="Y598" s="18"/>
      <c r="Z598" s="18"/>
      <c r="AA598" s="18"/>
      <c r="AB598" s="18"/>
      <c r="AC598" s="18"/>
    </row>
    <row r="599" spans="1:29" ht="32.25" customHeight="1">
      <c r="A599" s="8">
        <v>2304035</v>
      </c>
      <c r="B599" s="9" t="s">
        <v>13284</v>
      </c>
      <c r="C599" s="9" t="s">
        <v>13284</v>
      </c>
      <c r="D599" s="9" t="s">
        <v>13284</v>
      </c>
      <c r="E599" s="9" t="s">
        <v>13284</v>
      </c>
      <c r="F599" s="9" t="s">
        <v>13284</v>
      </c>
      <c r="G599" s="9" t="s">
        <v>13284</v>
      </c>
      <c r="H599" s="9" t="s">
        <v>13284</v>
      </c>
      <c r="I599" s="9" t="s">
        <v>13284</v>
      </c>
      <c r="J599" s="9" t="s">
        <v>13284</v>
      </c>
      <c r="K599" s="9" t="s">
        <v>13284</v>
      </c>
      <c r="L599" s="9" t="s">
        <v>13284</v>
      </c>
      <c r="M599" s="9" t="s">
        <v>13284</v>
      </c>
      <c r="N599" s="9" t="s">
        <v>13284</v>
      </c>
      <c r="O599" s="9" t="s">
        <v>13284</v>
      </c>
      <c r="P599" s="9" t="s">
        <v>13284</v>
      </c>
      <c r="Q599" s="9" t="s">
        <v>13284</v>
      </c>
      <c r="R599" s="9" t="s">
        <v>13284</v>
      </c>
      <c r="S599" s="9" t="s">
        <v>13284</v>
      </c>
      <c r="T599" s="9" t="str">
        <f ca="1">IFERROR(IF(AND(VLOOKUP(A599, 'Актуальное состояние (из общего'!A:C,3,0) = "", A599 &lt;&gt; ""), "ПРОВЕРИТЬ", VLOOKUP(A599, 'Актуальное состояние (из общего'!A:C,3,0)), "")</f>
        <v>Студент</v>
      </c>
      <c r="U599" s="9" t="s">
        <v>13284</v>
      </c>
      <c r="V599" s="9" t="s">
        <v>13284</v>
      </c>
      <c r="W599" s="12"/>
      <c r="X599" s="9" t="str">
        <f t="array" ref="X599">IFERROR(INDEX('Адреса общежитий (скрытый)'!$B$2:$B$9, MATCH(W599, 'Адреса общежитий (скрытый)'!$A$2:$A$9, 0)), "")</f>
        <v/>
      </c>
      <c r="Y599" s="18"/>
      <c r="Z599" s="18"/>
      <c r="AA599" s="18"/>
      <c r="AB599" s="18"/>
      <c r="AC599" s="18"/>
    </row>
    <row r="600" spans="1:29" ht="32.25" customHeight="1">
      <c r="A600" s="8">
        <v>2310059</v>
      </c>
      <c r="B600" s="9" t="s">
        <v>13284</v>
      </c>
      <c r="C600" s="9" t="s">
        <v>13284</v>
      </c>
      <c r="D600" s="9" t="s">
        <v>13284</v>
      </c>
      <c r="E600" s="9" t="s">
        <v>13284</v>
      </c>
      <c r="F600" s="9" t="s">
        <v>13284</v>
      </c>
      <c r="G600" s="9" t="s">
        <v>13284</v>
      </c>
      <c r="H600" s="9" t="s">
        <v>13284</v>
      </c>
      <c r="I600" s="9" t="s">
        <v>13284</v>
      </c>
      <c r="J600" s="9" t="s">
        <v>13284</v>
      </c>
      <c r="K600" s="9" t="s">
        <v>13284</v>
      </c>
      <c r="L600" s="9" t="s">
        <v>13284</v>
      </c>
      <c r="M600" s="9" t="s">
        <v>13284</v>
      </c>
      <c r="N600" s="9" t="s">
        <v>13284</v>
      </c>
      <c r="O600" s="9" t="s">
        <v>13284</v>
      </c>
      <c r="P600" s="9" t="s">
        <v>13284</v>
      </c>
      <c r="Q600" s="9" t="s">
        <v>13284</v>
      </c>
      <c r="R600" s="9" t="s">
        <v>13284</v>
      </c>
      <c r="S600" s="9" t="s">
        <v>13284</v>
      </c>
      <c r="T600" s="9" t="str">
        <f ca="1">IFERROR(IF(AND(VLOOKUP(A600, 'Актуальное состояние (из общего'!A:C,3,0) = "", A600 &lt;&gt; ""), "ПРОВЕРИТЬ", VLOOKUP(A600, 'Актуальное состояние (из общего'!A:C,3,0)), "")</f>
        <v>Студент</v>
      </c>
      <c r="U600" s="9" t="s">
        <v>13284</v>
      </c>
      <c r="V600" s="9" t="s">
        <v>13284</v>
      </c>
      <c r="W600" s="12"/>
      <c r="X600" s="9" t="str">
        <f t="array" ref="X600">IFERROR(INDEX('Адреса общежитий (скрытый)'!$B$2:$B$9, MATCH(W600, 'Адреса общежитий (скрытый)'!$A$2:$A$9, 0)), "")</f>
        <v/>
      </c>
      <c r="Y600" s="18"/>
      <c r="Z600" s="18"/>
      <c r="AA600" s="18"/>
      <c r="AB600" s="18"/>
      <c r="AC600" s="18"/>
    </row>
    <row r="601" spans="1:29" ht="32.25" customHeight="1">
      <c r="A601" s="8">
        <v>2300790</v>
      </c>
      <c r="B601" s="9" t="s">
        <v>13284</v>
      </c>
      <c r="C601" s="9" t="s">
        <v>13284</v>
      </c>
      <c r="D601" s="9" t="s">
        <v>13284</v>
      </c>
      <c r="E601" s="9" t="s">
        <v>13284</v>
      </c>
      <c r="F601" s="9" t="s">
        <v>13284</v>
      </c>
      <c r="G601" s="9" t="s">
        <v>13284</v>
      </c>
      <c r="H601" s="9" t="s">
        <v>13284</v>
      </c>
      <c r="I601" s="9" t="s">
        <v>13284</v>
      </c>
      <c r="J601" s="9" t="s">
        <v>13284</v>
      </c>
      <c r="K601" s="9" t="s">
        <v>13284</v>
      </c>
      <c r="L601" s="9" t="s">
        <v>13284</v>
      </c>
      <c r="M601" s="9" t="s">
        <v>13284</v>
      </c>
      <c r="N601" s="9" t="s">
        <v>13284</v>
      </c>
      <c r="O601" s="9" t="s">
        <v>13284</v>
      </c>
      <c r="P601" s="9" t="s">
        <v>13284</v>
      </c>
      <c r="Q601" s="9" t="s">
        <v>13284</v>
      </c>
      <c r="R601" s="9" t="s">
        <v>13284</v>
      </c>
      <c r="S601" s="9" t="s">
        <v>13284</v>
      </c>
      <c r="T601" s="9" t="str">
        <f ca="1">IFERROR(IF(AND(VLOOKUP(A601, 'Актуальное состояние (из общего'!A:C,3,0) = "", A601 &lt;&gt; ""), "ПРОВЕРИТЬ", VLOOKUP(A601, 'Актуальное состояние (из общего'!A:C,3,0)), "")</f>
        <v>Студент</v>
      </c>
      <c r="U601" s="9" t="s">
        <v>13284</v>
      </c>
      <c r="V601" s="9" t="s">
        <v>13284</v>
      </c>
      <c r="W601" s="12"/>
      <c r="X601" s="9" t="str">
        <f t="array" ref="X601">IFERROR(INDEX('Адреса общежитий (скрытый)'!$B$2:$B$9, MATCH(W601, 'Адреса общежитий (скрытый)'!$A$2:$A$9, 0)), "")</f>
        <v/>
      </c>
      <c r="Y601" s="18"/>
      <c r="Z601" s="18"/>
      <c r="AA601" s="18"/>
      <c r="AB601" s="18"/>
      <c r="AC601" s="18"/>
    </row>
    <row r="602" spans="1:29" ht="32.25" customHeight="1">
      <c r="A602" s="8">
        <v>2302066</v>
      </c>
      <c r="B602" s="9" t="s">
        <v>13284</v>
      </c>
      <c r="C602" s="9" t="s">
        <v>13284</v>
      </c>
      <c r="D602" s="9" t="s">
        <v>13284</v>
      </c>
      <c r="E602" s="9" t="s">
        <v>13284</v>
      </c>
      <c r="F602" s="9" t="s">
        <v>13284</v>
      </c>
      <c r="G602" s="9" t="s">
        <v>13284</v>
      </c>
      <c r="H602" s="9" t="s">
        <v>13284</v>
      </c>
      <c r="I602" s="9" t="s">
        <v>13284</v>
      </c>
      <c r="J602" s="9" t="s">
        <v>13284</v>
      </c>
      <c r="K602" s="9" t="s">
        <v>13284</v>
      </c>
      <c r="L602" s="9" t="s">
        <v>13284</v>
      </c>
      <c r="M602" s="9" t="s">
        <v>13284</v>
      </c>
      <c r="N602" s="9" t="s">
        <v>13284</v>
      </c>
      <c r="O602" s="9" t="s">
        <v>13284</v>
      </c>
      <c r="P602" s="9" t="s">
        <v>13284</v>
      </c>
      <c r="Q602" s="9" t="s">
        <v>13284</v>
      </c>
      <c r="R602" s="9" t="s">
        <v>13284</v>
      </c>
      <c r="S602" s="9" t="s">
        <v>13284</v>
      </c>
      <c r="T602" s="9" t="str">
        <f ca="1">IFERROR(IF(AND(VLOOKUP(A602, 'Актуальное состояние (из общего'!A:C,3,0) = "", A602 &lt;&gt; ""), "ПРОВЕРИТЬ", VLOOKUP(A602, 'Актуальное состояние (из общего'!A:C,3,0)), "")</f>
        <v>Студент</v>
      </c>
      <c r="U602" s="9" t="s">
        <v>13284</v>
      </c>
      <c r="V602" s="9" t="s">
        <v>13284</v>
      </c>
      <c r="W602" s="12"/>
      <c r="X602" s="9" t="str">
        <f t="array" ref="X602">IFERROR(INDEX('Адреса общежитий (скрытый)'!$B$2:$B$9, MATCH(W602, 'Адреса общежитий (скрытый)'!$A$2:$A$9, 0)), "")</f>
        <v/>
      </c>
      <c r="Y602" s="18"/>
      <c r="Z602" s="18"/>
      <c r="AA602" s="18"/>
      <c r="AB602" s="18"/>
      <c r="AC602" s="18"/>
    </row>
    <row r="603" spans="1:29" ht="32.25" customHeight="1">
      <c r="A603" s="8">
        <v>2304570</v>
      </c>
      <c r="B603" s="9" t="s">
        <v>13284</v>
      </c>
      <c r="C603" s="9" t="s">
        <v>13284</v>
      </c>
      <c r="D603" s="9" t="s">
        <v>13284</v>
      </c>
      <c r="E603" s="9" t="s">
        <v>13284</v>
      </c>
      <c r="F603" s="9" t="s">
        <v>13284</v>
      </c>
      <c r="G603" s="9" t="s">
        <v>13284</v>
      </c>
      <c r="H603" s="9" t="s">
        <v>13284</v>
      </c>
      <c r="I603" s="9" t="s">
        <v>13284</v>
      </c>
      <c r="J603" s="9" t="s">
        <v>13284</v>
      </c>
      <c r="K603" s="9" t="s">
        <v>13284</v>
      </c>
      <c r="L603" s="9" t="s">
        <v>13284</v>
      </c>
      <c r="M603" s="9" t="s">
        <v>13284</v>
      </c>
      <c r="N603" s="9" t="s">
        <v>13284</v>
      </c>
      <c r="O603" s="9" t="s">
        <v>13284</v>
      </c>
      <c r="P603" s="9" t="s">
        <v>13284</v>
      </c>
      <c r="Q603" s="9" t="s">
        <v>13284</v>
      </c>
      <c r="R603" s="9" t="s">
        <v>13284</v>
      </c>
      <c r="S603" s="9" t="s">
        <v>13284</v>
      </c>
      <c r="T603" s="9" t="str">
        <f ca="1">IFERROR(IF(AND(VLOOKUP(A603, 'Актуальное состояние (из общего'!A:C,3,0) = "", A603 &lt;&gt; ""), "ПРОВЕРИТЬ", VLOOKUP(A603, 'Актуальное состояние (из общего'!A:C,3,0)), "")</f>
        <v>Студент</v>
      </c>
      <c r="U603" s="9" t="s">
        <v>13284</v>
      </c>
      <c r="V603" s="9" t="s">
        <v>13284</v>
      </c>
      <c r="W603" s="12"/>
      <c r="X603" s="9" t="str">
        <f t="array" ref="X603">IFERROR(INDEX('Адреса общежитий (скрытый)'!$B$2:$B$9, MATCH(W603, 'Адреса общежитий (скрытый)'!$A$2:$A$9, 0)), "")</f>
        <v/>
      </c>
      <c r="Y603" s="18"/>
      <c r="Z603" s="18"/>
      <c r="AA603" s="18"/>
      <c r="AB603" s="18"/>
      <c r="AC603" s="18"/>
    </row>
    <row r="604" spans="1:29" ht="32.25" customHeight="1">
      <c r="A604" s="8">
        <v>2300780</v>
      </c>
      <c r="B604" s="9" t="s">
        <v>13284</v>
      </c>
      <c r="C604" s="9" t="s">
        <v>13284</v>
      </c>
      <c r="D604" s="9" t="s">
        <v>13284</v>
      </c>
      <c r="E604" s="9" t="s">
        <v>13284</v>
      </c>
      <c r="F604" s="9" t="s">
        <v>13284</v>
      </c>
      <c r="G604" s="9" t="s">
        <v>13284</v>
      </c>
      <c r="H604" s="9" t="s">
        <v>13284</v>
      </c>
      <c r="I604" s="9" t="s">
        <v>13284</v>
      </c>
      <c r="J604" s="9" t="s">
        <v>13284</v>
      </c>
      <c r="K604" s="9" t="s">
        <v>13284</v>
      </c>
      <c r="L604" s="9" t="s">
        <v>13284</v>
      </c>
      <c r="M604" s="9" t="s">
        <v>13284</v>
      </c>
      <c r="N604" s="9" t="s">
        <v>13284</v>
      </c>
      <c r="O604" s="9" t="s">
        <v>13284</v>
      </c>
      <c r="P604" s="9" t="s">
        <v>13284</v>
      </c>
      <c r="Q604" s="9" t="s">
        <v>13284</v>
      </c>
      <c r="R604" s="9" t="s">
        <v>13284</v>
      </c>
      <c r="S604" s="9" t="s">
        <v>13284</v>
      </c>
      <c r="T604" s="9" t="str">
        <f ca="1">IFERROR(IF(AND(VLOOKUP(A604, 'Актуальное состояние (из общего'!A:C,3,0) = "", A604 &lt;&gt; ""), "ПРОВЕРИТЬ", VLOOKUP(A604, 'Актуальное состояние (из общего'!A:C,3,0)), "")</f>
        <v>Студент</v>
      </c>
      <c r="U604" s="9" t="s">
        <v>13284</v>
      </c>
      <c r="V604" s="9" t="s">
        <v>13284</v>
      </c>
      <c r="W604" s="12"/>
      <c r="X604" s="9" t="str">
        <f t="array" ref="X604">IFERROR(INDEX('Адреса общежитий (скрытый)'!$B$2:$B$9, MATCH(W604, 'Адреса общежитий (скрытый)'!$A$2:$A$9, 0)), "")</f>
        <v/>
      </c>
      <c r="Y604" s="18"/>
      <c r="Z604" s="18"/>
      <c r="AA604" s="18"/>
      <c r="AB604" s="18"/>
      <c r="AC604" s="18"/>
    </row>
    <row r="605" spans="1:29" ht="32.25" hidden="1" customHeight="1">
      <c r="A605" s="8">
        <v>2309090</v>
      </c>
      <c r="B605" s="9" t="s">
        <v>13284</v>
      </c>
      <c r="C605" s="9" t="s">
        <v>13284</v>
      </c>
      <c r="D605" s="9" t="s">
        <v>13284</v>
      </c>
      <c r="E605" s="9" t="s">
        <v>13284</v>
      </c>
      <c r="F605" s="9" t="s">
        <v>13284</v>
      </c>
      <c r="G605" s="9" t="s">
        <v>13284</v>
      </c>
      <c r="H605" s="9" t="s">
        <v>13284</v>
      </c>
      <c r="I605" s="9" t="s">
        <v>13284</v>
      </c>
      <c r="J605" s="9" t="s">
        <v>13284</v>
      </c>
      <c r="K605" s="9" t="s">
        <v>13284</v>
      </c>
      <c r="L605" s="9" t="s">
        <v>13284</v>
      </c>
      <c r="M605" s="9" t="s">
        <v>13284</v>
      </c>
      <c r="N605" s="9" t="s">
        <v>13284</v>
      </c>
      <c r="O605" s="9" t="s">
        <v>13284</v>
      </c>
      <c r="P605" s="9" t="s">
        <v>13284</v>
      </c>
      <c r="Q605" s="9" t="s">
        <v>13284</v>
      </c>
      <c r="R605" s="9" t="s">
        <v>13284</v>
      </c>
      <c r="S605" s="9" t="s">
        <v>13284</v>
      </c>
      <c r="T605" s="9" t="str">
        <f ca="1">IFERROR(IF(AND(VLOOKUP(A605, 'Актуальное состояние (из общего'!A:C,3,0) = "", A605 &lt;&gt; ""), "ПРОВЕРИТЬ", VLOOKUP(A605, 'Актуальное состояние (из общего'!A:C,3,0)), "")</f>
        <v>Студент</v>
      </c>
      <c r="U605" s="9" t="s">
        <v>13284</v>
      </c>
      <c r="V605" s="9" t="s">
        <v>13284</v>
      </c>
      <c r="W605" s="12"/>
      <c r="X605" s="9" t="str">
        <f t="array" ref="X605">IFERROR(INDEX('Адреса общежитий (скрытый)'!$B$2:$B$9, MATCH(W605, 'Адреса общежитий (скрытый)'!$A$2:$A$9, 0)), "")</f>
        <v/>
      </c>
      <c r="Y605" s="18"/>
      <c r="Z605" s="18"/>
      <c r="AA605" s="18"/>
      <c r="AB605" s="18"/>
      <c r="AC605" s="18"/>
    </row>
    <row r="606" spans="1:29" ht="32.25" hidden="1" customHeight="1">
      <c r="A606" s="8">
        <v>2300584</v>
      </c>
      <c r="B606" s="9" t="s">
        <v>13284</v>
      </c>
      <c r="C606" s="9" t="s">
        <v>13284</v>
      </c>
      <c r="D606" s="9" t="s">
        <v>13284</v>
      </c>
      <c r="E606" s="9" t="s">
        <v>13284</v>
      </c>
      <c r="F606" s="9" t="s">
        <v>13284</v>
      </c>
      <c r="G606" s="9" t="s">
        <v>13284</v>
      </c>
      <c r="H606" s="9" t="s">
        <v>13284</v>
      </c>
      <c r="I606" s="9" t="s">
        <v>13284</v>
      </c>
      <c r="J606" s="9" t="s">
        <v>13284</v>
      </c>
      <c r="K606" s="9" t="s">
        <v>13284</v>
      </c>
      <c r="L606" s="9" t="s">
        <v>13284</v>
      </c>
      <c r="M606" s="9" t="s">
        <v>13284</v>
      </c>
      <c r="N606" s="9" t="s">
        <v>13284</v>
      </c>
      <c r="O606" s="9" t="s">
        <v>13284</v>
      </c>
      <c r="P606" s="9" t="s">
        <v>13284</v>
      </c>
      <c r="Q606" s="9" t="s">
        <v>13284</v>
      </c>
      <c r="R606" s="9" t="s">
        <v>13284</v>
      </c>
      <c r="S606" s="9" t="s">
        <v>13284</v>
      </c>
      <c r="T606" s="9" t="str">
        <f ca="1">IFERROR(IF(AND(VLOOKUP(A606, 'Актуальное состояние (из общего'!A:C,3,0) = "", A606 &lt;&gt; ""), "ПРОВЕРИТЬ", VLOOKUP(A606, 'Актуальное состояние (из общего'!A:C,3,0)), "")</f>
        <v>Студент</v>
      </c>
      <c r="U606" s="9" t="s">
        <v>13284</v>
      </c>
      <c r="V606" s="9" t="s">
        <v>13284</v>
      </c>
      <c r="W606" s="12"/>
      <c r="X606" s="9" t="str">
        <f t="array" ref="X606">IFERROR(INDEX('Адреса общежитий (скрытый)'!$B$2:$B$9, MATCH(W606, 'Адреса общежитий (скрытый)'!$A$2:$A$9, 0)), "")</f>
        <v/>
      </c>
      <c r="Y606" s="18"/>
      <c r="Z606" s="18"/>
      <c r="AA606" s="18"/>
      <c r="AB606" s="18"/>
      <c r="AC606" s="18"/>
    </row>
    <row r="607" spans="1:29" ht="32.25" customHeight="1">
      <c r="A607" s="8">
        <v>2305622</v>
      </c>
      <c r="B607" s="9" t="s">
        <v>13284</v>
      </c>
      <c r="C607" s="9" t="s">
        <v>13284</v>
      </c>
      <c r="D607" s="9" t="s">
        <v>13284</v>
      </c>
      <c r="E607" s="9" t="s">
        <v>13284</v>
      </c>
      <c r="F607" s="9" t="s">
        <v>13284</v>
      </c>
      <c r="G607" s="9" t="s">
        <v>13284</v>
      </c>
      <c r="H607" s="9" t="s">
        <v>13284</v>
      </c>
      <c r="I607" s="9" t="s">
        <v>13284</v>
      </c>
      <c r="J607" s="9" t="s">
        <v>13284</v>
      </c>
      <c r="K607" s="9" t="s">
        <v>13284</v>
      </c>
      <c r="L607" s="9" t="s">
        <v>13284</v>
      </c>
      <c r="M607" s="9" t="s">
        <v>13284</v>
      </c>
      <c r="N607" s="9" t="s">
        <v>13284</v>
      </c>
      <c r="O607" s="9" t="s">
        <v>13284</v>
      </c>
      <c r="P607" s="9" t="s">
        <v>13284</v>
      </c>
      <c r="Q607" s="9" t="s">
        <v>13284</v>
      </c>
      <c r="R607" s="9" t="s">
        <v>13284</v>
      </c>
      <c r="S607" s="9" t="s">
        <v>13284</v>
      </c>
      <c r="T607" s="9" t="str">
        <f ca="1">IFERROR(IF(AND(VLOOKUP(A607, 'Актуальное состояние (из общего'!A:C,3,0) = "", A607 &lt;&gt; ""), "ПРОВЕРИТЬ", VLOOKUP(A607, 'Актуальное состояние (из общего'!A:C,3,0)), "")</f>
        <v>Студент</v>
      </c>
      <c r="U607" s="9" t="s">
        <v>13284</v>
      </c>
      <c r="V607" s="9" t="s">
        <v>13284</v>
      </c>
      <c r="W607" s="12" t="s">
        <v>76</v>
      </c>
      <c r="X607" s="9" t="str">
        <f t="array" ref="X607">IFERROR(INDEX('Адреса общежитий (скрытый)'!$B$2:$B$9, MATCH(W607, 'Адреса общежитий (скрытый)'!$A$2:$A$9, 0)), "")</f>
        <v>ул. Студенческая, д. 33, корп. 5,6</v>
      </c>
      <c r="Y607" s="18"/>
      <c r="Z607" s="18"/>
      <c r="AA607" s="18"/>
      <c r="AB607" s="18"/>
      <c r="AC607" s="18"/>
    </row>
    <row r="608" spans="1:29" ht="32.25" customHeight="1">
      <c r="A608" s="8">
        <v>2304310</v>
      </c>
      <c r="B608" s="9" t="s">
        <v>13284</v>
      </c>
      <c r="C608" s="9" t="s">
        <v>13284</v>
      </c>
      <c r="D608" s="9" t="s">
        <v>13284</v>
      </c>
      <c r="E608" s="9" t="s">
        <v>13284</v>
      </c>
      <c r="F608" s="9" t="s">
        <v>13284</v>
      </c>
      <c r="G608" s="9" t="s">
        <v>13284</v>
      </c>
      <c r="H608" s="9" t="s">
        <v>13284</v>
      </c>
      <c r="I608" s="9" t="s">
        <v>13284</v>
      </c>
      <c r="J608" s="9" t="s">
        <v>13284</v>
      </c>
      <c r="K608" s="9" t="s">
        <v>13284</v>
      </c>
      <c r="L608" s="9" t="s">
        <v>13284</v>
      </c>
      <c r="M608" s="9" t="s">
        <v>13284</v>
      </c>
      <c r="N608" s="9" t="s">
        <v>13284</v>
      </c>
      <c r="O608" s="9" t="s">
        <v>13284</v>
      </c>
      <c r="P608" s="9" t="s">
        <v>13284</v>
      </c>
      <c r="Q608" s="9" t="s">
        <v>13284</v>
      </c>
      <c r="R608" s="9" t="s">
        <v>13284</v>
      </c>
      <c r="S608" s="9" t="s">
        <v>13284</v>
      </c>
      <c r="T608" s="9" t="str">
        <f ca="1">IFERROR(IF(AND(VLOOKUP(A608, 'Актуальное состояние (из общего'!A:C,3,0) = "", A608 &lt;&gt; ""), "ПРОВЕРИТЬ", VLOOKUP(A608, 'Актуальное состояние (из общего'!A:C,3,0)), "")</f>
        <v>Студент</v>
      </c>
      <c r="U608" s="9" t="s">
        <v>13284</v>
      </c>
      <c r="V608" s="9" t="s">
        <v>13284</v>
      </c>
      <c r="W608" s="12"/>
      <c r="X608" s="9" t="str">
        <f t="array" ref="X608">IFERROR(INDEX('Адреса общежитий (скрытый)'!$B$2:$B$9, MATCH(W608, 'Адреса общежитий (скрытый)'!$A$2:$A$9, 0)), "")</f>
        <v/>
      </c>
      <c r="Y608" s="18"/>
      <c r="Z608" s="18"/>
      <c r="AA608" s="18"/>
      <c r="AB608" s="18"/>
      <c r="AC608" s="18"/>
    </row>
    <row r="609" spans="1:29" ht="32.25" customHeight="1">
      <c r="A609" s="8">
        <v>2301426</v>
      </c>
      <c r="B609" s="9" t="s">
        <v>13284</v>
      </c>
      <c r="C609" s="9" t="s">
        <v>13284</v>
      </c>
      <c r="D609" s="9" t="s">
        <v>13284</v>
      </c>
      <c r="E609" s="9" t="s">
        <v>13284</v>
      </c>
      <c r="F609" s="9" t="s">
        <v>13284</v>
      </c>
      <c r="G609" s="9" t="s">
        <v>13284</v>
      </c>
      <c r="H609" s="9" t="s">
        <v>13284</v>
      </c>
      <c r="I609" s="9" t="s">
        <v>13284</v>
      </c>
      <c r="J609" s="9" t="s">
        <v>13284</v>
      </c>
      <c r="K609" s="9" t="s">
        <v>13284</v>
      </c>
      <c r="L609" s="9" t="s">
        <v>13284</v>
      </c>
      <c r="M609" s="9" t="s">
        <v>13284</v>
      </c>
      <c r="N609" s="9" t="s">
        <v>13284</v>
      </c>
      <c r="O609" s="9" t="s">
        <v>13284</v>
      </c>
      <c r="P609" s="9" t="s">
        <v>13284</v>
      </c>
      <c r="Q609" s="9" t="s">
        <v>13284</v>
      </c>
      <c r="R609" s="9" t="s">
        <v>13284</v>
      </c>
      <c r="S609" s="9" t="s">
        <v>13284</v>
      </c>
      <c r="T609" s="9" t="str">
        <f ca="1">IFERROR(IF(AND(VLOOKUP(A609, 'Актуальное состояние (из общего'!A:C,3,0) = "", A609 &lt;&gt; ""), "ПРОВЕРИТЬ", VLOOKUP(A609, 'Актуальное состояние (из общего'!A:C,3,0)), "")</f>
        <v>Студент</v>
      </c>
      <c r="U609" s="9" t="s">
        <v>13284</v>
      </c>
      <c r="V609" s="9" t="s">
        <v>13284</v>
      </c>
      <c r="W609" s="12"/>
      <c r="X609" s="9" t="str">
        <f t="array" ref="X609">IFERROR(INDEX('Адреса общежитий (скрытый)'!$B$2:$B$9, MATCH(W609, 'Адреса общежитий (скрытый)'!$A$2:$A$9, 0)), "")</f>
        <v/>
      </c>
      <c r="Y609" s="18"/>
      <c r="Z609" s="18"/>
      <c r="AA609" s="18"/>
      <c r="AB609" s="18"/>
      <c r="AC609" s="18"/>
    </row>
    <row r="610" spans="1:29" ht="32.25" customHeight="1">
      <c r="A610" s="8">
        <v>2302239</v>
      </c>
      <c r="B610" s="9" t="s">
        <v>13284</v>
      </c>
      <c r="C610" s="9" t="s">
        <v>13284</v>
      </c>
      <c r="D610" s="9" t="s">
        <v>13284</v>
      </c>
      <c r="E610" s="9" t="s">
        <v>13284</v>
      </c>
      <c r="F610" s="9" t="s">
        <v>13284</v>
      </c>
      <c r="G610" s="9" t="s">
        <v>13284</v>
      </c>
      <c r="H610" s="9" t="s">
        <v>13284</v>
      </c>
      <c r="I610" s="9" t="s">
        <v>13284</v>
      </c>
      <c r="J610" s="9" t="s">
        <v>13284</v>
      </c>
      <c r="K610" s="9" t="s">
        <v>13284</v>
      </c>
      <c r="L610" s="9" t="s">
        <v>13284</v>
      </c>
      <c r="M610" s="9" t="s">
        <v>13284</v>
      </c>
      <c r="N610" s="9" t="s">
        <v>13284</v>
      </c>
      <c r="O610" s="9" t="s">
        <v>13284</v>
      </c>
      <c r="P610" s="9" t="s">
        <v>13284</v>
      </c>
      <c r="Q610" s="9" t="s">
        <v>13284</v>
      </c>
      <c r="R610" s="9" t="s">
        <v>13284</v>
      </c>
      <c r="S610" s="9" t="s">
        <v>13284</v>
      </c>
      <c r="T610" s="9" t="str">
        <f ca="1">IFERROR(IF(AND(VLOOKUP(A610, 'Актуальное состояние (из общего'!A:C,3,0) = "", A610 &lt;&gt; ""), "ПРОВЕРИТЬ", VLOOKUP(A610, 'Актуальное состояние (из общего'!A:C,3,0)), "")</f>
        <v>Студент</v>
      </c>
      <c r="U610" s="9" t="s">
        <v>13284</v>
      </c>
      <c r="V610" s="9" t="s">
        <v>13284</v>
      </c>
      <c r="W610" s="12"/>
      <c r="X610" s="9" t="str">
        <f t="array" ref="X610">IFERROR(INDEX('Адреса общежитий (скрытый)'!$B$2:$B$9, MATCH(W610, 'Адреса общежитий (скрытый)'!$A$2:$A$9, 0)), "")</f>
        <v/>
      </c>
      <c r="Y610" s="18"/>
      <c r="Z610" s="18"/>
      <c r="AA610" s="18"/>
      <c r="AB610" s="18"/>
      <c r="AC610" s="18"/>
    </row>
    <row r="611" spans="1:29" ht="32.25" hidden="1" customHeight="1">
      <c r="A611" s="8">
        <v>2302541</v>
      </c>
      <c r="B611" s="9" t="s">
        <v>13284</v>
      </c>
      <c r="C611" s="9" t="s">
        <v>13284</v>
      </c>
      <c r="D611" s="9" t="s">
        <v>13284</v>
      </c>
      <c r="E611" s="9" t="s">
        <v>13284</v>
      </c>
      <c r="F611" s="9" t="s">
        <v>13284</v>
      </c>
      <c r="G611" s="9" t="s">
        <v>13284</v>
      </c>
      <c r="H611" s="9" t="s">
        <v>13284</v>
      </c>
      <c r="I611" s="9" t="s">
        <v>13284</v>
      </c>
      <c r="J611" s="9" t="s">
        <v>13284</v>
      </c>
      <c r="K611" s="9" t="s">
        <v>13284</v>
      </c>
      <c r="L611" s="9" t="s">
        <v>13284</v>
      </c>
      <c r="M611" s="9" t="s">
        <v>13284</v>
      </c>
      <c r="N611" s="9" t="s">
        <v>13284</v>
      </c>
      <c r="O611" s="9" t="s">
        <v>13284</v>
      </c>
      <c r="P611" s="9" t="s">
        <v>13284</v>
      </c>
      <c r="Q611" s="9" t="s">
        <v>13284</v>
      </c>
      <c r="R611" s="9" t="s">
        <v>13284</v>
      </c>
      <c r="S611" s="9" t="s">
        <v>13284</v>
      </c>
      <c r="T611" s="9" t="str">
        <f ca="1">IFERROR(IF(AND(VLOOKUP(A611, 'Актуальное состояние (из общего'!A:C,3,0) = "", A611 &lt;&gt; ""), "ПРОВЕРИТЬ", VLOOKUP(A611, 'Актуальное состояние (из общего'!A:C,3,0)), "")</f>
        <v>Студент</v>
      </c>
      <c r="U611" s="9" t="s">
        <v>13284</v>
      </c>
      <c r="V611" s="9" t="s">
        <v>13284</v>
      </c>
      <c r="W611" s="12"/>
      <c r="X611" s="9" t="str">
        <f t="array" ref="X611">IFERROR(INDEX('Адреса общежитий (скрытый)'!$B$2:$B$9, MATCH(W611, 'Адреса общежитий (скрытый)'!$A$2:$A$9, 0)), "")</f>
        <v/>
      </c>
      <c r="Y611" s="18"/>
      <c r="Z611" s="18"/>
      <c r="AA611" s="18"/>
      <c r="AB611" s="18"/>
      <c r="AC611" s="18"/>
    </row>
    <row r="612" spans="1:29" ht="32.25" hidden="1" customHeight="1">
      <c r="A612" s="8">
        <v>2303794</v>
      </c>
      <c r="B612" s="9" t="s">
        <v>13284</v>
      </c>
      <c r="C612" s="9" t="s">
        <v>13284</v>
      </c>
      <c r="D612" s="9" t="s">
        <v>13284</v>
      </c>
      <c r="E612" s="9" t="s">
        <v>13284</v>
      </c>
      <c r="F612" s="9" t="s">
        <v>13284</v>
      </c>
      <c r="G612" s="9" t="s">
        <v>13284</v>
      </c>
      <c r="H612" s="9" t="s">
        <v>13284</v>
      </c>
      <c r="I612" s="9" t="s">
        <v>13284</v>
      </c>
      <c r="J612" s="9" t="s">
        <v>13284</v>
      </c>
      <c r="K612" s="9" t="s">
        <v>13284</v>
      </c>
      <c r="L612" s="9" t="s">
        <v>13284</v>
      </c>
      <c r="M612" s="9" t="s">
        <v>13284</v>
      </c>
      <c r="N612" s="9" t="s">
        <v>13284</v>
      </c>
      <c r="O612" s="9" t="s">
        <v>13284</v>
      </c>
      <c r="P612" s="9" t="s">
        <v>13284</v>
      </c>
      <c r="Q612" s="9" t="s">
        <v>13284</v>
      </c>
      <c r="R612" s="9" t="s">
        <v>13284</v>
      </c>
      <c r="S612" s="9" t="s">
        <v>13284</v>
      </c>
      <c r="T612" s="9" t="str">
        <f ca="1">IFERROR(IF(AND(VLOOKUP(A612, 'Актуальное состояние (из общего'!A:C,3,0) = "", A612 &lt;&gt; ""), "ПРОВЕРИТЬ", VLOOKUP(A612, 'Актуальное состояние (из общего'!A:C,3,0)), "")</f>
        <v>Студент</v>
      </c>
      <c r="U612" s="9" t="s">
        <v>13284</v>
      </c>
      <c r="V612" s="9" t="s">
        <v>13284</v>
      </c>
      <c r="W612" s="12"/>
      <c r="X612" s="9" t="str">
        <f t="array" ref="X612">IFERROR(INDEX('Адреса общежитий (скрытый)'!$B$2:$B$9, MATCH(W612, 'Адреса общежитий (скрытый)'!$A$2:$A$9, 0)), "")</f>
        <v/>
      </c>
      <c r="Y612" s="18"/>
      <c r="Z612" s="18"/>
      <c r="AA612" s="18"/>
      <c r="AB612" s="18"/>
      <c r="AC612" s="18"/>
    </row>
    <row r="613" spans="1:29" ht="32.25" hidden="1" customHeight="1">
      <c r="A613" s="8">
        <v>2305366</v>
      </c>
      <c r="B613" s="9" t="s">
        <v>13284</v>
      </c>
      <c r="C613" s="9" t="s">
        <v>13284</v>
      </c>
      <c r="D613" s="9" t="s">
        <v>13284</v>
      </c>
      <c r="E613" s="9" t="s">
        <v>13284</v>
      </c>
      <c r="F613" s="9" t="s">
        <v>13284</v>
      </c>
      <c r="G613" s="9" t="s">
        <v>13284</v>
      </c>
      <c r="H613" s="9" t="s">
        <v>13284</v>
      </c>
      <c r="I613" s="9" t="s">
        <v>13284</v>
      </c>
      <c r="J613" s="9" t="s">
        <v>13284</v>
      </c>
      <c r="K613" s="9" t="s">
        <v>13284</v>
      </c>
      <c r="L613" s="9" t="s">
        <v>13284</v>
      </c>
      <c r="M613" s="9" t="s">
        <v>13284</v>
      </c>
      <c r="N613" s="9" t="s">
        <v>13284</v>
      </c>
      <c r="O613" s="9" t="s">
        <v>13284</v>
      </c>
      <c r="P613" s="9" t="s">
        <v>13284</v>
      </c>
      <c r="Q613" s="9" t="s">
        <v>13284</v>
      </c>
      <c r="R613" s="9" t="s">
        <v>13284</v>
      </c>
      <c r="S613" s="9" t="s">
        <v>13284</v>
      </c>
      <c r="T613" s="9" t="str">
        <f ca="1">IFERROR(IF(AND(VLOOKUP(A613, 'Актуальное состояние (из общего'!A:C,3,0) = "", A613 &lt;&gt; ""), "ПРОВЕРИТЬ", VLOOKUP(A613, 'Актуальное состояние (из общего'!A:C,3,0)), "")</f>
        <v>Студент</v>
      </c>
      <c r="U613" s="9" t="s">
        <v>13284</v>
      </c>
      <c r="V613" s="9" t="s">
        <v>13284</v>
      </c>
      <c r="W613" s="12"/>
      <c r="X613" s="9" t="str">
        <f t="array" ref="X613">IFERROR(INDEX('Адреса общежитий (скрытый)'!$B$2:$B$9, MATCH(W613, 'Адреса общежитий (скрытый)'!$A$2:$A$9, 0)), "")</f>
        <v/>
      </c>
      <c r="Y613" s="18"/>
      <c r="Z613" s="18"/>
      <c r="AA613" s="18"/>
      <c r="AB613" s="18"/>
      <c r="AC613" s="18"/>
    </row>
    <row r="614" spans="1:29" ht="32.25" hidden="1" customHeight="1">
      <c r="A614" s="8">
        <v>2308446</v>
      </c>
      <c r="B614" s="9" t="s">
        <v>13284</v>
      </c>
      <c r="C614" s="9" t="s">
        <v>13284</v>
      </c>
      <c r="D614" s="9" t="s">
        <v>13284</v>
      </c>
      <c r="E614" s="9" t="s">
        <v>13284</v>
      </c>
      <c r="F614" s="9" t="s">
        <v>13284</v>
      </c>
      <c r="G614" s="9" t="s">
        <v>13284</v>
      </c>
      <c r="H614" s="9" t="s">
        <v>13284</v>
      </c>
      <c r="I614" s="9" t="s">
        <v>13284</v>
      </c>
      <c r="J614" s="9" t="s">
        <v>13284</v>
      </c>
      <c r="K614" s="9" t="s">
        <v>13284</v>
      </c>
      <c r="L614" s="9" t="s">
        <v>13284</v>
      </c>
      <c r="M614" s="9" t="s">
        <v>13284</v>
      </c>
      <c r="N614" s="9" t="s">
        <v>13284</v>
      </c>
      <c r="O614" s="9" t="s">
        <v>13284</v>
      </c>
      <c r="P614" s="9" t="s">
        <v>13284</v>
      </c>
      <c r="Q614" s="9" t="s">
        <v>13284</v>
      </c>
      <c r="R614" s="9" t="s">
        <v>13284</v>
      </c>
      <c r="S614" s="9" t="s">
        <v>13284</v>
      </c>
      <c r="T614" s="9" t="str">
        <f ca="1">IFERROR(IF(AND(VLOOKUP(A614, 'Актуальное состояние (из общего'!A:C,3,0) = "", A614 &lt;&gt; ""), "ПРОВЕРИТЬ", VLOOKUP(A614, 'Актуальное состояние (из общего'!A:C,3,0)), "")</f>
        <v>Студент</v>
      </c>
      <c r="U614" s="9" t="s">
        <v>13284</v>
      </c>
      <c r="V614" s="9" t="s">
        <v>13284</v>
      </c>
      <c r="W614" s="12"/>
      <c r="X614" s="9" t="str">
        <f t="array" ref="X614">IFERROR(INDEX('Адреса общежитий (скрытый)'!$B$2:$B$9, MATCH(W614, 'Адреса общежитий (скрытый)'!$A$2:$A$9, 0)), "")</f>
        <v/>
      </c>
      <c r="Y614" s="18"/>
      <c r="Z614" s="18"/>
      <c r="AA614" s="18"/>
      <c r="AB614" s="18"/>
      <c r="AC614" s="18"/>
    </row>
    <row r="615" spans="1:29" ht="32.25" customHeight="1">
      <c r="A615" s="8">
        <v>2301521</v>
      </c>
      <c r="B615" s="9" t="s">
        <v>13284</v>
      </c>
      <c r="C615" s="9" t="s">
        <v>13284</v>
      </c>
      <c r="D615" s="9" t="s">
        <v>13284</v>
      </c>
      <c r="E615" s="9" t="s">
        <v>13284</v>
      </c>
      <c r="F615" s="9" t="s">
        <v>13284</v>
      </c>
      <c r="G615" s="9" t="s">
        <v>13284</v>
      </c>
      <c r="H615" s="9" t="s">
        <v>13284</v>
      </c>
      <c r="I615" s="9" t="s">
        <v>13284</v>
      </c>
      <c r="J615" s="9" t="s">
        <v>13284</v>
      </c>
      <c r="K615" s="9" t="s">
        <v>13284</v>
      </c>
      <c r="L615" s="9" t="s">
        <v>13284</v>
      </c>
      <c r="M615" s="9" t="s">
        <v>13284</v>
      </c>
      <c r="N615" s="9" t="s">
        <v>13284</v>
      </c>
      <c r="O615" s="9" t="s">
        <v>13284</v>
      </c>
      <c r="P615" s="9" t="s">
        <v>13284</v>
      </c>
      <c r="Q615" s="9" t="s">
        <v>13284</v>
      </c>
      <c r="R615" s="9" t="s">
        <v>13284</v>
      </c>
      <c r="S615" s="9" t="s">
        <v>13284</v>
      </c>
      <c r="T615" s="9" t="str">
        <f ca="1">IFERROR(IF(AND(VLOOKUP(A615, 'Актуальное состояние (из общего'!A:C,3,0) = "", A615 &lt;&gt; ""), "ПРОВЕРИТЬ", VLOOKUP(A615, 'Актуальное состояние (из общего'!A:C,3,0)), "")</f>
        <v>Студент</v>
      </c>
      <c r="U615" s="9" t="s">
        <v>13284</v>
      </c>
      <c r="V615" s="9" t="s">
        <v>13284</v>
      </c>
      <c r="W615" s="12"/>
      <c r="X615" s="9" t="str">
        <f t="array" ref="X615">IFERROR(INDEX('Адреса общежитий (скрытый)'!$B$2:$B$9, MATCH(W615, 'Адреса общежитий (скрытый)'!$A$2:$A$9, 0)), "")</f>
        <v/>
      </c>
      <c r="Y615" s="18"/>
      <c r="Z615" s="18"/>
      <c r="AA615" s="18"/>
      <c r="AB615" s="18"/>
      <c r="AC615" s="18"/>
    </row>
    <row r="616" spans="1:29" ht="32.25" customHeight="1">
      <c r="A616" s="8">
        <v>2300778</v>
      </c>
      <c r="B616" s="9" t="s">
        <v>13284</v>
      </c>
      <c r="C616" s="9" t="s">
        <v>13284</v>
      </c>
      <c r="D616" s="9" t="s">
        <v>13284</v>
      </c>
      <c r="E616" s="9" t="s">
        <v>13284</v>
      </c>
      <c r="F616" s="9" t="s">
        <v>13284</v>
      </c>
      <c r="G616" s="9" t="s">
        <v>13284</v>
      </c>
      <c r="H616" s="9" t="s">
        <v>13284</v>
      </c>
      <c r="I616" s="9" t="s">
        <v>13284</v>
      </c>
      <c r="J616" s="9" t="s">
        <v>13284</v>
      </c>
      <c r="K616" s="9" t="s">
        <v>13284</v>
      </c>
      <c r="L616" s="9" t="s">
        <v>13284</v>
      </c>
      <c r="M616" s="9" t="s">
        <v>13284</v>
      </c>
      <c r="N616" s="9" t="s">
        <v>13284</v>
      </c>
      <c r="O616" s="9" t="s">
        <v>13284</v>
      </c>
      <c r="P616" s="9" t="s">
        <v>13284</v>
      </c>
      <c r="Q616" s="9" t="s">
        <v>13284</v>
      </c>
      <c r="R616" s="9" t="s">
        <v>13284</v>
      </c>
      <c r="S616" s="9" t="s">
        <v>13284</v>
      </c>
      <c r="T616" s="9" t="str">
        <f ca="1">IFERROR(IF(AND(VLOOKUP(A616, 'Актуальное состояние (из общего'!A:C,3,0) = "", A616 &lt;&gt; ""), "ПРОВЕРИТЬ", VLOOKUP(A616, 'Актуальное состояние (из общего'!A:C,3,0)), "")</f>
        <v>Студент</v>
      </c>
      <c r="U616" s="9" t="s">
        <v>13284</v>
      </c>
      <c r="V616" s="9" t="s">
        <v>13284</v>
      </c>
      <c r="W616" s="12"/>
      <c r="X616" s="9" t="str">
        <f t="array" ref="X616">IFERROR(INDEX('Адреса общежитий (скрытый)'!$B$2:$B$9, MATCH(W616, 'Адреса общежитий (скрытый)'!$A$2:$A$9, 0)), "")</f>
        <v/>
      </c>
      <c r="Y616" s="18"/>
      <c r="Z616" s="18"/>
      <c r="AA616" s="18"/>
      <c r="AB616" s="18"/>
      <c r="AC616" s="18"/>
    </row>
    <row r="617" spans="1:29" ht="32.25" customHeight="1">
      <c r="A617" s="8">
        <v>2300745</v>
      </c>
      <c r="B617" s="9" t="s">
        <v>13284</v>
      </c>
      <c r="C617" s="9" t="s">
        <v>13284</v>
      </c>
      <c r="D617" s="9" t="s">
        <v>13284</v>
      </c>
      <c r="E617" s="9" t="s">
        <v>13284</v>
      </c>
      <c r="F617" s="9" t="s">
        <v>13284</v>
      </c>
      <c r="G617" s="9" t="s">
        <v>13284</v>
      </c>
      <c r="H617" s="9" t="s">
        <v>13284</v>
      </c>
      <c r="I617" s="9" t="s">
        <v>13284</v>
      </c>
      <c r="J617" s="9" t="s">
        <v>13284</v>
      </c>
      <c r="K617" s="9" t="s">
        <v>13284</v>
      </c>
      <c r="L617" s="9" t="s">
        <v>13284</v>
      </c>
      <c r="M617" s="9" t="s">
        <v>13284</v>
      </c>
      <c r="N617" s="9" t="s">
        <v>13284</v>
      </c>
      <c r="O617" s="9" t="s">
        <v>13284</v>
      </c>
      <c r="P617" s="9" t="s">
        <v>13284</v>
      </c>
      <c r="Q617" s="9" t="s">
        <v>13284</v>
      </c>
      <c r="R617" s="9" t="s">
        <v>13284</v>
      </c>
      <c r="S617" s="9" t="s">
        <v>13284</v>
      </c>
      <c r="T617" s="9" t="str">
        <f ca="1">IFERROR(IF(AND(VLOOKUP(A617, 'Актуальное состояние (из общего'!A:C,3,0) = "", A617 &lt;&gt; ""), "ПРОВЕРИТЬ", VLOOKUP(A617, 'Актуальное состояние (из общего'!A:C,3,0)), "")</f>
        <v>Студент</v>
      </c>
      <c r="U617" s="9" t="s">
        <v>13284</v>
      </c>
      <c r="V617" s="9" t="s">
        <v>13284</v>
      </c>
      <c r="W617" s="12"/>
      <c r="X617" s="9" t="str">
        <f t="array" ref="X617">IFERROR(INDEX('Адреса общежитий (скрытый)'!$B$2:$B$9, MATCH(W617, 'Адреса общежитий (скрытый)'!$A$2:$A$9, 0)), "")</f>
        <v/>
      </c>
      <c r="Y617" s="18"/>
      <c r="Z617" s="18"/>
      <c r="AA617" s="18"/>
      <c r="AB617" s="18"/>
      <c r="AC617" s="18"/>
    </row>
    <row r="618" spans="1:29" ht="32.25" hidden="1" customHeight="1">
      <c r="A618" s="8">
        <v>2304928</v>
      </c>
      <c r="B618" s="9" t="s">
        <v>13284</v>
      </c>
      <c r="C618" s="9" t="s">
        <v>13284</v>
      </c>
      <c r="D618" s="9" t="s">
        <v>13284</v>
      </c>
      <c r="E618" s="9" t="s">
        <v>13284</v>
      </c>
      <c r="F618" s="9" t="s">
        <v>13284</v>
      </c>
      <c r="G618" s="9" t="s">
        <v>13284</v>
      </c>
      <c r="H618" s="9" t="s">
        <v>13284</v>
      </c>
      <c r="I618" s="9" t="s">
        <v>13284</v>
      </c>
      <c r="J618" s="9" t="s">
        <v>13284</v>
      </c>
      <c r="K618" s="9" t="s">
        <v>13284</v>
      </c>
      <c r="L618" s="9" t="s">
        <v>13284</v>
      </c>
      <c r="M618" s="9" t="s">
        <v>13284</v>
      </c>
      <c r="N618" s="9" t="s">
        <v>13284</v>
      </c>
      <c r="O618" s="9" t="s">
        <v>13284</v>
      </c>
      <c r="P618" s="9" t="s">
        <v>13284</v>
      </c>
      <c r="Q618" s="9" t="s">
        <v>13284</v>
      </c>
      <c r="R618" s="9" t="s">
        <v>13284</v>
      </c>
      <c r="S618" s="9" t="s">
        <v>13284</v>
      </c>
      <c r="T618" s="9" t="str">
        <f ca="1">IFERROR(IF(AND(VLOOKUP(A618, 'Актуальное состояние (из общего'!A:C,3,0) = "", A618 &lt;&gt; ""), "ПРОВЕРИТЬ", VLOOKUP(A618, 'Актуальное состояние (из общего'!A:C,3,0)), "")</f>
        <v>Студент</v>
      </c>
      <c r="U618" s="9" t="s">
        <v>13284</v>
      </c>
      <c r="V618" s="9" t="s">
        <v>13284</v>
      </c>
      <c r="W618" s="12"/>
      <c r="X618" s="9" t="str">
        <f t="array" ref="X618">IFERROR(INDEX('Адреса общежитий (скрытый)'!$B$2:$B$9, MATCH(W618, 'Адреса общежитий (скрытый)'!$A$2:$A$9, 0)), "")</f>
        <v/>
      </c>
      <c r="Y618" s="18"/>
      <c r="Z618" s="18"/>
      <c r="AA618" s="18"/>
      <c r="AB618" s="18"/>
      <c r="AC618" s="18"/>
    </row>
    <row r="619" spans="1:29" ht="32.25" customHeight="1">
      <c r="A619" s="8">
        <v>2300784</v>
      </c>
      <c r="B619" s="9" t="s">
        <v>13284</v>
      </c>
      <c r="C619" s="9" t="s">
        <v>13284</v>
      </c>
      <c r="D619" s="9" t="s">
        <v>13284</v>
      </c>
      <c r="E619" s="9" t="s">
        <v>13284</v>
      </c>
      <c r="F619" s="9" t="s">
        <v>13284</v>
      </c>
      <c r="G619" s="9" t="s">
        <v>13284</v>
      </c>
      <c r="H619" s="9" t="s">
        <v>13284</v>
      </c>
      <c r="I619" s="9" t="s">
        <v>13284</v>
      </c>
      <c r="J619" s="9" t="s">
        <v>13284</v>
      </c>
      <c r="K619" s="9" t="s">
        <v>13284</v>
      </c>
      <c r="L619" s="9" t="s">
        <v>13284</v>
      </c>
      <c r="M619" s="9" t="s">
        <v>13284</v>
      </c>
      <c r="N619" s="9" t="s">
        <v>13284</v>
      </c>
      <c r="O619" s="9" t="s">
        <v>13284</v>
      </c>
      <c r="P619" s="9" t="s">
        <v>13284</v>
      </c>
      <c r="Q619" s="9" t="s">
        <v>13284</v>
      </c>
      <c r="R619" s="9" t="s">
        <v>13284</v>
      </c>
      <c r="S619" s="9" t="s">
        <v>13284</v>
      </c>
      <c r="T619" s="9" t="str">
        <f ca="1">IFERROR(IF(AND(VLOOKUP(A619, 'Актуальное состояние (из общего'!A:C,3,0) = "", A619 &lt;&gt; ""), "ПРОВЕРИТЬ", VLOOKUP(A619, 'Актуальное состояние (из общего'!A:C,3,0)), "")</f>
        <v>Студент</v>
      </c>
      <c r="U619" s="9" t="s">
        <v>13284</v>
      </c>
      <c r="V619" s="9" t="s">
        <v>13284</v>
      </c>
      <c r="W619" s="12"/>
      <c r="X619" s="9" t="str">
        <f t="array" ref="X619">IFERROR(INDEX('Адреса общежитий (скрытый)'!$B$2:$B$9, MATCH(W619, 'Адреса общежитий (скрытый)'!$A$2:$A$9, 0)), "")</f>
        <v/>
      </c>
      <c r="Y619" s="18"/>
      <c r="Z619" s="18"/>
      <c r="AA619" s="18"/>
      <c r="AB619" s="18"/>
      <c r="AC619" s="18"/>
    </row>
    <row r="620" spans="1:29" ht="32.25" customHeight="1">
      <c r="A620" s="8">
        <v>2300767</v>
      </c>
      <c r="B620" s="9" t="s">
        <v>13284</v>
      </c>
      <c r="C620" s="9" t="s">
        <v>13284</v>
      </c>
      <c r="D620" s="9" t="s">
        <v>13284</v>
      </c>
      <c r="E620" s="9" t="s">
        <v>13284</v>
      </c>
      <c r="F620" s="9" t="s">
        <v>13284</v>
      </c>
      <c r="G620" s="9" t="s">
        <v>13284</v>
      </c>
      <c r="H620" s="9" t="s">
        <v>13284</v>
      </c>
      <c r="I620" s="9" t="s">
        <v>13284</v>
      </c>
      <c r="J620" s="9" t="s">
        <v>13284</v>
      </c>
      <c r="K620" s="9" t="s">
        <v>13284</v>
      </c>
      <c r="L620" s="9" t="s">
        <v>13284</v>
      </c>
      <c r="M620" s="9" t="s">
        <v>13284</v>
      </c>
      <c r="N620" s="9" t="s">
        <v>13284</v>
      </c>
      <c r="O620" s="9" t="s">
        <v>13284</v>
      </c>
      <c r="P620" s="9" t="s">
        <v>13284</v>
      </c>
      <c r="Q620" s="9" t="s">
        <v>13284</v>
      </c>
      <c r="R620" s="9" t="s">
        <v>13284</v>
      </c>
      <c r="S620" s="9" t="s">
        <v>13284</v>
      </c>
      <c r="T620" s="9" t="str">
        <f ca="1">IFERROR(IF(AND(VLOOKUP(A620, 'Актуальное состояние (из общего'!A:C,3,0) = "", A620 &lt;&gt; ""), "ПРОВЕРИТЬ", VLOOKUP(A620, 'Актуальное состояние (из общего'!A:C,3,0)), "")</f>
        <v>Студент</v>
      </c>
      <c r="U620" s="9" t="s">
        <v>13284</v>
      </c>
      <c r="V620" s="9" t="s">
        <v>13284</v>
      </c>
      <c r="W620" s="12"/>
      <c r="X620" s="9" t="str">
        <f t="array" ref="X620">IFERROR(INDEX('Адреса общежитий (скрытый)'!$B$2:$B$9, MATCH(W620, 'Адреса общежитий (скрытый)'!$A$2:$A$9, 0)), "")</f>
        <v/>
      </c>
      <c r="Y620" s="18"/>
      <c r="Z620" s="18"/>
      <c r="AA620" s="18"/>
      <c r="AB620" s="18"/>
      <c r="AC620" s="18"/>
    </row>
    <row r="621" spans="1:29" ht="32.25" customHeight="1">
      <c r="A621" s="8">
        <v>2308892</v>
      </c>
      <c r="B621" s="9" t="s">
        <v>13284</v>
      </c>
      <c r="C621" s="9" t="s">
        <v>13284</v>
      </c>
      <c r="D621" s="9" t="s">
        <v>13284</v>
      </c>
      <c r="E621" s="9" t="s">
        <v>13284</v>
      </c>
      <c r="F621" s="9" t="s">
        <v>13284</v>
      </c>
      <c r="G621" s="9" t="s">
        <v>13284</v>
      </c>
      <c r="H621" s="9" t="s">
        <v>13284</v>
      </c>
      <c r="I621" s="9" t="s">
        <v>13284</v>
      </c>
      <c r="J621" s="9" t="s">
        <v>13284</v>
      </c>
      <c r="K621" s="9" t="s">
        <v>13284</v>
      </c>
      <c r="L621" s="9" t="s">
        <v>13284</v>
      </c>
      <c r="M621" s="9" t="s">
        <v>13284</v>
      </c>
      <c r="N621" s="9" t="s">
        <v>13284</v>
      </c>
      <c r="O621" s="9" t="s">
        <v>13284</v>
      </c>
      <c r="P621" s="9" t="s">
        <v>13284</v>
      </c>
      <c r="Q621" s="9" t="s">
        <v>13284</v>
      </c>
      <c r="R621" s="9" t="s">
        <v>13284</v>
      </c>
      <c r="S621" s="9" t="s">
        <v>13284</v>
      </c>
      <c r="T621" s="9" t="str">
        <f ca="1">IFERROR(IF(AND(VLOOKUP(A621, 'Актуальное состояние (из общего'!A:C,3,0) = "", A621 &lt;&gt; ""), "ПРОВЕРИТЬ", VLOOKUP(A621, 'Актуальное состояние (из общего'!A:C,3,0)), "")</f>
        <v>Студент</v>
      </c>
      <c r="U621" s="9" t="s">
        <v>13284</v>
      </c>
      <c r="V621" s="9" t="s">
        <v>13284</v>
      </c>
      <c r="W621" s="12"/>
      <c r="X621" s="9" t="str">
        <f t="array" ref="X621">IFERROR(INDEX('Адреса общежитий (скрытый)'!$B$2:$B$9, MATCH(W621, 'Адреса общежитий (скрытый)'!$A$2:$A$9, 0)), "")</f>
        <v/>
      </c>
      <c r="Y621" s="18"/>
      <c r="Z621" s="18"/>
      <c r="AA621" s="18"/>
      <c r="AB621" s="18"/>
      <c r="AC621" s="18"/>
    </row>
    <row r="622" spans="1:29" ht="32.25" customHeight="1">
      <c r="A622" s="8">
        <v>2305816</v>
      </c>
      <c r="B622" s="9" t="s">
        <v>13284</v>
      </c>
      <c r="C622" s="9" t="s">
        <v>13284</v>
      </c>
      <c r="D622" s="9" t="s">
        <v>13284</v>
      </c>
      <c r="E622" s="9" t="s">
        <v>13284</v>
      </c>
      <c r="F622" s="9" t="s">
        <v>13284</v>
      </c>
      <c r="G622" s="9" t="s">
        <v>13284</v>
      </c>
      <c r="H622" s="9" t="s">
        <v>13284</v>
      </c>
      <c r="I622" s="9" t="s">
        <v>13284</v>
      </c>
      <c r="J622" s="9" t="s">
        <v>13284</v>
      </c>
      <c r="K622" s="9" t="s">
        <v>13284</v>
      </c>
      <c r="L622" s="9" t="s">
        <v>13284</v>
      </c>
      <c r="M622" s="9" t="s">
        <v>13284</v>
      </c>
      <c r="N622" s="9" t="s">
        <v>13284</v>
      </c>
      <c r="O622" s="9" t="s">
        <v>13284</v>
      </c>
      <c r="P622" s="9" t="s">
        <v>13284</v>
      </c>
      <c r="Q622" s="9" t="s">
        <v>13284</v>
      </c>
      <c r="R622" s="9" t="s">
        <v>13284</v>
      </c>
      <c r="S622" s="9" t="s">
        <v>13284</v>
      </c>
      <c r="T622" s="9" t="str">
        <f ca="1">IFERROR(IF(AND(VLOOKUP(A622, 'Актуальное состояние (из общего'!A:C,3,0) = "", A622 &lt;&gt; ""), "ПРОВЕРИТЬ", VLOOKUP(A622, 'Актуальное состояние (из общего'!A:C,3,0)), "")</f>
        <v>Студент</v>
      </c>
      <c r="U622" s="9" t="s">
        <v>13284</v>
      </c>
      <c r="V622" s="9" t="s">
        <v>13284</v>
      </c>
      <c r="W622" s="12"/>
      <c r="X622" s="9" t="str">
        <f t="array" ref="X622">IFERROR(INDEX('Адреса общежитий (скрытый)'!$B$2:$B$9, MATCH(W622, 'Адреса общежитий (скрытый)'!$A$2:$A$9, 0)), "")</f>
        <v/>
      </c>
      <c r="Y622" s="18"/>
      <c r="Z622" s="18"/>
      <c r="AA622" s="18"/>
      <c r="AB622" s="18"/>
      <c r="AC622" s="18"/>
    </row>
    <row r="623" spans="1:29" ht="32.25" customHeight="1">
      <c r="A623" s="8">
        <v>2313343</v>
      </c>
      <c r="B623" s="9" t="s">
        <v>13284</v>
      </c>
      <c r="C623" s="9" t="s">
        <v>13284</v>
      </c>
      <c r="D623" s="9" t="s">
        <v>13284</v>
      </c>
      <c r="E623" s="9" t="s">
        <v>13284</v>
      </c>
      <c r="F623" s="9" t="s">
        <v>13284</v>
      </c>
      <c r="G623" s="9" t="s">
        <v>13284</v>
      </c>
      <c r="H623" s="9" t="s">
        <v>13284</v>
      </c>
      <c r="I623" s="9" t="s">
        <v>13284</v>
      </c>
      <c r="J623" s="9" t="s">
        <v>13284</v>
      </c>
      <c r="K623" s="9" t="s">
        <v>13284</v>
      </c>
      <c r="L623" s="9" t="s">
        <v>13284</v>
      </c>
      <c r="M623" s="9" t="s">
        <v>13284</v>
      </c>
      <c r="N623" s="9" t="s">
        <v>13284</v>
      </c>
      <c r="O623" s="9" t="s">
        <v>13284</v>
      </c>
      <c r="P623" s="9" t="s">
        <v>13284</v>
      </c>
      <c r="Q623" s="9" t="s">
        <v>13284</v>
      </c>
      <c r="R623" s="9" t="s">
        <v>13284</v>
      </c>
      <c r="S623" s="9" t="s">
        <v>13284</v>
      </c>
      <c r="T623" s="9" t="str">
        <f ca="1">IFERROR(IF(AND(VLOOKUP(A623, 'Актуальное состояние (из общего'!A:C,3,0) = "", A623 &lt;&gt; ""), "ПРОВЕРИТЬ", VLOOKUP(A623, 'Актуальное состояние (из общего'!A:C,3,0)), "")</f>
        <v>Студент</v>
      </c>
      <c r="U623" s="9" t="s">
        <v>13284</v>
      </c>
      <c r="V623" s="9" t="s">
        <v>13284</v>
      </c>
      <c r="W623" s="12"/>
      <c r="X623" s="9" t="str">
        <f t="array" ref="X623">IFERROR(INDEX('Адреса общежитий (скрытый)'!$B$2:$B$9, MATCH(W623, 'Адреса общежитий (скрытый)'!$A$2:$A$9, 0)), "")</f>
        <v/>
      </c>
      <c r="Y623" s="18"/>
      <c r="Z623" s="18"/>
      <c r="AA623" s="18"/>
      <c r="AB623" s="18"/>
      <c r="AC623" s="18"/>
    </row>
    <row r="624" spans="1:29" ht="32.25" hidden="1" customHeight="1">
      <c r="A624" s="8">
        <v>2301284</v>
      </c>
      <c r="B624" s="9" t="s">
        <v>13284</v>
      </c>
      <c r="C624" s="9" t="s">
        <v>13284</v>
      </c>
      <c r="D624" s="9" t="s">
        <v>13284</v>
      </c>
      <c r="E624" s="9" t="s">
        <v>13284</v>
      </c>
      <c r="F624" s="9" t="s">
        <v>13284</v>
      </c>
      <c r="G624" s="9" t="s">
        <v>13284</v>
      </c>
      <c r="H624" s="9" t="s">
        <v>13284</v>
      </c>
      <c r="I624" s="9" t="s">
        <v>13284</v>
      </c>
      <c r="J624" s="9" t="s">
        <v>13284</v>
      </c>
      <c r="K624" s="9" t="s">
        <v>13284</v>
      </c>
      <c r="L624" s="9" t="s">
        <v>13284</v>
      </c>
      <c r="M624" s="9" t="s">
        <v>13284</v>
      </c>
      <c r="N624" s="9" t="s">
        <v>13284</v>
      </c>
      <c r="O624" s="9" t="s">
        <v>13284</v>
      </c>
      <c r="P624" s="9" t="s">
        <v>13284</v>
      </c>
      <c r="Q624" s="9" t="s">
        <v>13284</v>
      </c>
      <c r="R624" s="9" t="s">
        <v>13284</v>
      </c>
      <c r="S624" s="9" t="s">
        <v>13284</v>
      </c>
      <c r="T624" s="9" t="str">
        <f ca="1">IFERROR(IF(AND(VLOOKUP(A624, 'Актуальное состояние (из общего'!A:C,3,0) = "", A624 &lt;&gt; ""), "ПРОВЕРИТЬ", VLOOKUP(A624, 'Актуальное состояние (из общего'!A:C,3,0)), "")</f>
        <v>Студент</v>
      </c>
      <c r="U624" s="9" t="s">
        <v>13284</v>
      </c>
      <c r="V624" s="9" t="s">
        <v>13284</v>
      </c>
      <c r="W624" s="12"/>
      <c r="X624" s="9" t="str">
        <f t="array" ref="X624">IFERROR(INDEX('Адреса общежитий (скрытый)'!$B$2:$B$9, MATCH(W624, 'Адреса общежитий (скрытый)'!$A$2:$A$9, 0)), "")</f>
        <v/>
      </c>
      <c r="Y624" s="18"/>
      <c r="Z624" s="18"/>
      <c r="AA624" s="18"/>
      <c r="AB624" s="18"/>
      <c r="AC624" s="18"/>
    </row>
    <row r="625" spans="1:29" ht="32.25" customHeight="1">
      <c r="A625" s="8">
        <v>2307603</v>
      </c>
      <c r="B625" s="9" t="s">
        <v>13284</v>
      </c>
      <c r="C625" s="9" t="s">
        <v>13284</v>
      </c>
      <c r="D625" s="9" t="s">
        <v>13284</v>
      </c>
      <c r="E625" s="9" t="s">
        <v>13284</v>
      </c>
      <c r="F625" s="9" t="s">
        <v>13284</v>
      </c>
      <c r="G625" s="9" t="s">
        <v>13284</v>
      </c>
      <c r="H625" s="9" t="s">
        <v>13284</v>
      </c>
      <c r="I625" s="9" t="s">
        <v>13284</v>
      </c>
      <c r="J625" s="9" t="s">
        <v>13284</v>
      </c>
      <c r="K625" s="9" t="s">
        <v>13284</v>
      </c>
      <c r="L625" s="9" t="s">
        <v>13284</v>
      </c>
      <c r="M625" s="9" t="s">
        <v>13284</v>
      </c>
      <c r="N625" s="9" t="s">
        <v>13284</v>
      </c>
      <c r="O625" s="9" t="s">
        <v>13284</v>
      </c>
      <c r="P625" s="9" t="s">
        <v>13284</v>
      </c>
      <c r="Q625" s="9" t="s">
        <v>13284</v>
      </c>
      <c r="R625" s="9" t="s">
        <v>13284</v>
      </c>
      <c r="S625" s="9" t="s">
        <v>13284</v>
      </c>
      <c r="T625" s="9" t="str">
        <f ca="1">IFERROR(IF(AND(VLOOKUP(A625, 'Актуальное состояние (из общего'!A:C,3,0) = "", A625 &lt;&gt; ""), "ПРОВЕРИТЬ", VLOOKUP(A625, 'Актуальное состояние (из общего'!A:C,3,0)), "")</f>
        <v>Студент</v>
      </c>
      <c r="U625" s="9" t="s">
        <v>13284</v>
      </c>
      <c r="V625" s="9" t="s">
        <v>13284</v>
      </c>
      <c r="W625" s="12"/>
      <c r="X625" s="9" t="str">
        <f t="array" ref="X625">IFERROR(INDEX('Адреса общежитий (скрытый)'!$B$2:$B$9, MATCH(W625, 'Адреса общежитий (скрытый)'!$A$2:$A$9, 0)), "")</f>
        <v/>
      </c>
      <c r="Y625" s="18"/>
      <c r="Z625" s="18"/>
      <c r="AA625" s="18"/>
      <c r="AB625" s="18"/>
      <c r="AC625" s="18"/>
    </row>
    <row r="626" spans="1:29" ht="32.25" customHeight="1">
      <c r="A626" s="8">
        <v>2302092</v>
      </c>
      <c r="B626" s="9" t="s">
        <v>13284</v>
      </c>
      <c r="C626" s="9" t="s">
        <v>13284</v>
      </c>
      <c r="D626" s="9" t="s">
        <v>13284</v>
      </c>
      <c r="E626" s="9" t="s">
        <v>13284</v>
      </c>
      <c r="F626" s="9" t="s">
        <v>13284</v>
      </c>
      <c r="G626" s="9" t="s">
        <v>13284</v>
      </c>
      <c r="H626" s="9" t="s">
        <v>13284</v>
      </c>
      <c r="I626" s="9" t="s">
        <v>13284</v>
      </c>
      <c r="J626" s="9" t="s">
        <v>13284</v>
      </c>
      <c r="K626" s="9" t="s">
        <v>13284</v>
      </c>
      <c r="L626" s="9" t="s">
        <v>13284</v>
      </c>
      <c r="M626" s="9" t="s">
        <v>13284</v>
      </c>
      <c r="N626" s="9" t="s">
        <v>13284</v>
      </c>
      <c r="O626" s="9" t="s">
        <v>13284</v>
      </c>
      <c r="P626" s="9" t="s">
        <v>13284</v>
      </c>
      <c r="Q626" s="9" t="s">
        <v>13284</v>
      </c>
      <c r="R626" s="9" t="s">
        <v>13284</v>
      </c>
      <c r="S626" s="9" t="s">
        <v>13284</v>
      </c>
      <c r="T626" s="9" t="str">
        <f ca="1">IFERROR(IF(AND(VLOOKUP(A626, 'Актуальное состояние (из общего'!A:C,3,0) = "", A626 &lt;&gt; ""), "ПРОВЕРИТЬ", VLOOKUP(A626, 'Актуальное состояние (из общего'!A:C,3,0)), "")</f>
        <v>Студент</v>
      </c>
      <c r="U626" s="9" t="s">
        <v>13284</v>
      </c>
      <c r="V626" s="9" t="s">
        <v>13284</v>
      </c>
      <c r="W626" s="12"/>
      <c r="X626" s="9" t="str">
        <f t="array" ref="X626">IFERROR(INDEX('Адреса общежитий (скрытый)'!$B$2:$B$9, MATCH(W626, 'Адреса общежитий (скрытый)'!$A$2:$A$9, 0)), "")</f>
        <v/>
      </c>
      <c r="Y626" s="18"/>
      <c r="Z626" s="18"/>
      <c r="AA626" s="18"/>
      <c r="AB626" s="18"/>
      <c r="AC626" s="18"/>
    </row>
    <row r="627" spans="1:29" ht="32.25" customHeight="1">
      <c r="A627" s="8">
        <v>2301225</v>
      </c>
      <c r="B627" s="9" t="s">
        <v>13284</v>
      </c>
      <c r="C627" s="9" t="s">
        <v>13284</v>
      </c>
      <c r="D627" s="9" t="s">
        <v>13284</v>
      </c>
      <c r="E627" s="9" t="s">
        <v>13284</v>
      </c>
      <c r="F627" s="9" t="s">
        <v>13284</v>
      </c>
      <c r="G627" s="9" t="s">
        <v>13284</v>
      </c>
      <c r="H627" s="9" t="s">
        <v>13284</v>
      </c>
      <c r="I627" s="9" t="s">
        <v>13284</v>
      </c>
      <c r="J627" s="9" t="s">
        <v>13284</v>
      </c>
      <c r="K627" s="9" t="s">
        <v>13284</v>
      </c>
      <c r="L627" s="9" t="s">
        <v>13284</v>
      </c>
      <c r="M627" s="9" t="s">
        <v>13284</v>
      </c>
      <c r="N627" s="9" t="s">
        <v>13284</v>
      </c>
      <c r="O627" s="9" t="s">
        <v>13284</v>
      </c>
      <c r="P627" s="9" t="s">
        <v>13284</v>
      </c>
      <c r="Q627" s="9" t="s">
        <v>13284</v>
      </c>
      <c r="R627" s="9" t="s">
        <v>13284</v>
      </c>
      <c r="S627" s="9" t="s">
        <v>13284</v>
      </c>
      <c r="T627" s="9" t="str">
        <f ca="1">IFERROR(IF(AND(VLOOKUP(A627, 'Актуальное состояние (из общего'!A:C,3,0) = "", A627 &lt;&gt; ""), "ПРОВЕРИТЬ", VLOOKUP(A627, 'Актуальное состояние (из общего'!A:C,3,0)), "")</f>
        <v>Студент</v>
      </c>
      <c r="U627" s="9" t="s">
        <v>13284</v>
      </c>
      <c r="V627" s="9" t="s">
        <v>13284</v>
      </c>
      <c r="W627" s="12"/>
      <c r="X627" s="9" t="str">
        <f t="array" ref="X627">IFERROR(INDEX('Адреса общежитий (скрытый)'!$B$2:$B$9, MATCH(W627, 'Адреса общежитий (скрытый)'!$A$2:$A$9, 0)), "")</f>
        <v/>
      </c>
      <c r="Y627" s="18"/>
      <c r="Z627" s="18"/>
      <c r="AA627" s="18"/>
      <c r="AB627" s="18"/>
      <c r="AC627" s="18"/>
    </row>
    <row r="628" spans="1:29" ht="32.25" hidden="1" customHeight="1">
      <c r="A628" s="8">
        <v>2306217</v>
      </c>
      <c r="B628" s="9" t="s">
        <v>13284</v>
      </c>
      <c r="C628" s="9" t="s">
        <v>13284</v>
      </c>
      <c r="D628" s="9" t="s">
        <v>13284</v>
      </c>
      <c r="E628" s="9" t="s">
        <v>13284</v>
      </c>
      <c r="F628" s="9" t="s">
        <v>13284</v>
      </c>
      <c r="G628" s="9" t="s">
        <v>13284</v>
      </c>
      <c r="H628" s="9" t="s">
        <v>13284</v>
      </c>
      <c r="I628" s="9" t="s">
        <v>13284</v>
      </c>
      <c r="J628" s="9" t="s">
        <v>13284</v>
      </c>
      <c r="K628" s="9" t="s">
        <v>13284</v>
      </c>
      <c r="L628" s="9" t="s">
        <v>13284</v>
      </c>
      <c r="M628" s="9" t="s">
        <v>13284</v>
      </c>
      <c r="N628" s="9" t="s">
        <v>13284</v>
      </c>
      <c r="O628" s="9" t="s">
        <v>13284</v>
      </c>
      <c r="P628" s="9" t="s">
        <v>13284</v>
      </c>
      <c r="Q628" s="9" t="s">
        <v>13284</v>
      </c>
      <c r="R628" s="9" t="s">
        <v>13284</v>
      </c>
      <c r="S628" s="9" t="s">
        <v>13284</v>
      </c>
      <c r="T628" s="9" t="str">
        <f ca="1">IFERROR(IF(AND(VLOOKUP(A628, 'Актуальное состояние (из общего'!A:C,3,0) = "", A628 &lt;&gt; ""), "ПРОВЕРИТЬ", VLOOKUP(A628, 'Актуальное состояние (из общего'!A:C,3,0)), "")</f>
        <v>Студент</v>
      </c>
      <c r="U628" s="9" t="s">
        <v>13284</v>
      </c>
      <c r="V628" s="9" t="s">
        <v>13284</v>
      </c>
      <c r="W628" s="12"/>
      <c r="X628" s="9" t="str">
        <f t="array" ref="X628">IFERROR(INDEX('Адреса общежитий (скрытый)'!$B$2:$B$9, MATCH(W628, 'Адреса общежитий (скрытый)'!$A$2:$A$9, 0)), "")</f>
        <v/>
      </c>
      <c r="Y628" s="18"/>
      <c r="Z628" s="18"/>
      <c r="AA628" s="18"/>
      <c r="AB628" s="18"/>
      <c r="AC628" s="18"/>
    </row>
    <row r="629" spans="1:29" ht="32.25" customHeight="1">
      <c r="A629" s="8">
        <v>2303658</v>
      </c>
      <c r="B629" s="9" t="s">
        <v>13284</v>
      </c>
      <c r="C629" s="9" t="s">
        <v>13284</v>
      </c>
      <c r="D629" s="9" t="s">
        <v>13284</v>
      </c>
      <c r="E629" s="9" t="s">
        <v>13284</v>
      </c>
      <c r="F629" s="9" t="s">
        <v>13284</v>
      </c>
      <c r="G629" s="9" t="s">
        <v>13284</v>
      </c>
      <c r="H629" s="9" t="s">
        <v>13284</v>
      </c>
      <c r="I629" s="9" t="s">
        <v>13284</v>
      </c>
      <c r="J629" s="9" t="s">
        <v>13284</v>
      </c>
      <c r="K629" s="9" t="s">
        <v>13284</v>
      </c>
      <c r="L629" s="9" t="s">
        <v>13284</v>
      </c>
      <c r="M629" s="9" t="s">
        <v>13284</v>
      </c>
      <c r="N629" s="9" t="s">
        <v>13284</v>
      </c>
      <c r="O629" s="9" t="s">
        <v>13284</v>
      </c>
      <c r="P629" s="9" t="s">
        <v>13284</v>
      </c>
      <c r="Q629" s="9" t="s">
        <v>13284</v>
      </c>
      <c r="R629" s="9" t="s">
        <v>13284</v>
      </c>
      <c r="S629" s="9" t="s">
        <v>13284</v>
      </c>
      <c r="T629" s="9" t="str">
        <f ca="1">IFERROR(IF(AND(VLOOKUP(A629, 'Актуальное состояние (из общего'!A:C,3,0) = "", A629 &lt;&gt; ""), "ПРОВЕРИТЬ", VLOOKUP(A629, 'Актуальное состояние (из общего'!A:C,3,0)), "")</f>
        <v>Студент</v>
      </c>
      <c r="U629" s="9" t="s">
        <v>13284</v>
      </c>
      <c r="V629" s="9" t="s">
        <v>13284</v>
      </c>
      <c r="W629" s="12"/>
      <c r="X629" s="9" t="str">
        <f t="array" ref="X629">IFERROR(INDEX('Адреса общежитий (скрытый)'!$B$2:$B$9, MATCH(W629, 'Адреса общежитий (скрытый)'!$A$2:$A$9, 0)), "")</f>
        <v/>
      </c>
      <c r="Y629" s="18"/>
      <c r="Z629" s="18"/>
      <c r="AA629" s="18"/>
      <c r="AB629" s="18"/>
      <c r="AC629" s="18"/>
    </row>
    <row r="630" spans="1:29" ht="32.25" customHeight="1">
      <c r="A630" s="8">
        <v>2310368</v>
      </c>
      <c r="B630" s="9" t="s">
        <v>13284</v>
      </c>
      <c r="C630" s="9" t="s">
        <v>13284</v>
      </c>
      <c r="D630" s="9" t="s">
        <v>13284</v>
      </c>
      <c r="E630" s="9" t="s">
        <v>13284</v>
      </c>
      <c r="F630" s="9" t="s">
        <v>13284</v>
      </c>
      <c r="G630" s="9" t="s">
        <v>13284</v>
      </c>
      <c r="H630" s="9" t="s">
        <v>13284</v>
      </c>
      <c r="I630" s="9" t="s">
        <v>13284</v>
      </c>
      <c r="J630" s="9" t="s">
        <v>13284</v>
      </c>
      <c r="K630" s="9" t="s">
        <v>13284</v>
      </c>
      <c r="L630" s="9" t="s">
        <v>13284</v>
      </c>
      <c r="M630" s="9" t="s">
        <v>13284</v>
      </c>
      <c r="N630" s="9" t="s">
        <v>13284</v>
      </c>
      <c r="O630" s="9" t="s">
        <v>13284</v>
      </c>
      <c r="P630" s="9" t="s">
        <v>13284</v>
      </c>
      <c r="Q630" s="9" t="s">
        <v>13284</v>
      </c>
      <c r="R630" s="9" t="s">
        <v>13284</v>
      </c>
      <c r="S630" s="9" t="s">
        <v>13284</v>
      </c>
      <c r="T630" s="9" t="str">
        <f ca="1">IFERROR(IF(AND(VLOOKUP(A630, 'Актуальное состояние (из общего'!A:C,3,0) = "", A630 &lt;&gt; ""), "ПРОВЕРИТЬ", VLOOKUP(A630, 'Актуальное состояние (из общего'!A:C,3,0)), "")</f>
        <v>Студент</v>
      </c>
      <c r="U630" s="9" t="s">
        <v>13284</v>
      </c>
      <c r="V630" s="9" t="s">
        <v>13284</v>
      </c>
      <c r="W630" s="12"/>
      <c r="X630" s="9" t="str">
        <f t="array" ref="X630">IFERROR(INDEX('Адреса общежитий (скрытый)'!$B$2:$B$9, MATCH(W630, 'Адреса общежитий (скрытый)'!$A$2:$A$9, 0)), "")</f>
        <v/>
      </c>
      <c r="Y630" s="18"/>
      <c r="Z630" s="18"/>
      <c r="AA630" s="18"/>
      <c r="AB630" s="18"/>
      <c r="AC630" s="18"/>
    </row>
    <row r="631" spans="1:29" ht="32.25" hidden="1" customHeight="1">
      <c r="A631" s="8">
        <v>2302273</v>
      </c>
      <c r="B631" s="9" t="s">
        <v>13284</v>
      </c>
      <c r="C631" s="9" t="s">
        <v>13284</v>
      </c>
      <c r="D631" s="9" t="s">
        <v>13284</v>
      </c>
      <c r="E631" s="9" t="s">
        <v>13284</v>
      </c>
      <c r="F631" s="9" t="s">
        <v>13284</v>
      </c>
      <c r="G631" s="9" t="s">
        <v>13284</v>
      </c>
      <c r="H631" s="9" t="s">
        <v>13284</v>
      </c>
      <c r="I631" s="9" t="s">
        <v>13284</v>
      </c>
      <c r="J631" s="9" t="s">
        <v>13284</v>
      </c>
      <c r="K631" s="9" t="s">
        <v>13284</v>
      </c>
      <c r="L631" s="9" t="s">
        <v>13284</v>
      </c>
      <c r="M631" s="9" t="s">
        <v>13284</v>
      </c>
      <c r="N631" s="9" t="s">
        <v>13284</v>
      </c>
      <c r="O631" s="9" t="s">
        <v>13284</v>
      </c>
      <c r="P631" s="9" t="s">
        <v>13284</v>
      </c>
      <c r="Q631" s="9" t="s">
        <v>13284</v>
      </c>
      <c r="R631" s="9" t="s">
        <v>13284</v>
      </c>
      <c r="S631" s="9" t="s">
        <v>13284</v>
      </c>
      <c r="T631" s="9" t="str">
        <f ca="1">IFERROR(IF(AND(VLOOKUP(A631, 'Актуальное состояние (из общего'!A:C,3,0) = "", A631 &lt;&gt; ""), "ПРОВЕРИТЬ", VLOOKUP(A631, 'Актуальное состояние (из общего'!A:C,3,0)), "")</f>
        <v>Студент</v>
      </c>
      <c r="U631" s="9" t="s">
        <v>13284</v>
      </c>
      <c r="V631" s="9" t="s">
        <v>13284</v>
      </c>
      <c r="W631" s="12"/>
      <c r="X631" s="9" t="str">
        <f t="array" ref="X631">IFERROR(INDEX('Адреса общежитий (скрытый)'!$B$2:$B$9, MATCH(W631, 'Адреса общежитий (скрытый)'!$A$2:$A$9, 0)), "")</f>
        <v/>
      </c>
      <c r="Y631" s="18"/>
      <c r="Z631" s="18"/>
      <c r="AA631" s="18"/>
      <c r="AB631" s="18"/>
      <c r="AC631" s="18"/>
    </row>
    <row r="632" spans="1:29" ht="32.25" hidden="1" customHeight="1">
      <c r="A632" s="8">
        <v>2301086</v>
      </c>
      <c r="B632" s="9" t="s">
        <v>13284</v>
      </c>
      <c r="C632" s="9" t="s">
        <v>13284</v>
      </c>
      <c r="D632" s="9" t="s">
        <v>13284</v>
      </c>
      <c r="E632" s="9" t="s">
        <v>13284</v>
      </c>
      <c r="F632" s="9" t="s">
        <v>13284</v>
      </c>
      <c r="G632" s="9" t="s">
        <v>13284</v>
      </c>
      <c r="H632" s="9" t="s">
        <v>13284</v>
      </c>
      <c r="I632" s="9" t="s">
        <v>13284</v>
      </c>
      <c r="J632" s="9" t="s">
        <v>13284</v>
      </c>
      <c r="K632" s="9" t="s">
        <v>13284</v>
      </c>
      <c r="L632" s="9" t="s">
        <v>13284</v>
      </c>
      <c r="M632" s="9" t="s">
        <v>13284</v>
      </c>
      <c r="N632" s="9" t="s">
        <v>13284</v>
      </c>
      <c r="O632" s="9" t="s">
        <v>13284</v>
      </c>
      <c r="P632" s="9" t="s">
        <v>13284</v>
      </c>
      <c r="Q632" s="9" t="s">
        <v>13284</v>
      </c>
      <c r="R632" s="9" t="s">
        <v>13284</v>
      </c>
      <c r="S632" s="9" t="s">
        <v>13284</v>
      </c>
      <c r="T632" s="9" t="str">
        <f ca="1">IFERROR(IF(AND(VLOOKUP(A632, 'Актуальное состояние (из общего'!A:C,3,0) = "", A632 &lt;&gt; ""), "ПРОВЕРИТЬ", VLOOKUP(A632, 'Актуальное состояние (из общего'!A:C,3,0)), "")</f>
        <v>Студент</v>
      </c>
      <c r="U632" s="9" t="s">
        <v>13284</v>
      </c>
      <c r="V632" s="9" t="s">
        <v>13284</v>
      </c>
      <c r="W632" s="12"/>
      <c r="X632" s="9" t="str">
        <f t="array" ref="X632">IFERROR(INDEX('Адреса общежитий (скрытый)'!$B$2:$B$9, MATCH(W632, 'Адреса общежитий (скрытый)'!$A$2:$A$9, 0)), "")</f>
        <v/>
      </c>
      <c r="Y632" s="18"/>
      <c r="Z632" s="18"/>
      <c r="AA632" s="18"/>
      <c r="AB632" s="18"/>
      <c r="AC632" s="18"/>
    </row>
    <row r="633" spans="1:29" ht="32.25" customHeight="1">
      <c r="A633" s="8">
        <v>2308283</v>
      </c>
      <c r="B633" s="9" t="s">
        <v>13284</v>
      </c>
      <c r="C633" s="9" t="s">
        <v>13284</v>
      </c>
      <c r="D633" s="9" t="s">
        <v>13284</v>
      </c>
      <c r="E633" s="9" t="s">
        <v>13284</v>
      </c>
      <c r="F633" s="9" t="s">
        <v>13284</v>
      </c>
      <c r="G633" s="9" t="s">
        <v>13284</v>
      </c>
      <c r="H633" s="9" t="s">
        <v>13284</v>
      </c>
      <c r="I633" s="9" t="s">
        <v>13284</v>
      </c>
      <c r="J633" s="9" t="s">
        <v>13284</v>
      </c>
      <c r="K633" s="9" t="s">
        <v>13284</v>
      </c>
      <c r="L633" s="9" t="s">
        <v>13284</v>
      </c>
      <c r="M633" s="9" t="s">
        <v>13284</v>
      </c>
      <c r="N633" s="9" t="s">
        <v>13284</v>
      </c>
      <c r="O633" s="9" t="s">
        <v>13284</v>
      </c>
      <c r="P633" s="9" t="s">
        <v>13284</v>
      </c>
      <c r="Q633" s="9" t="s">
        <v>13284</v>
      </c>
      <c r="R633" s="9" t="s">
        <v>13284</v>
      </c>
      <c r="S633" s="9" t="s">
        <v>13284</v>
      </c>
      <c r="T633" s="9" t="str">
        <f ca="1">IFERROR(IF(AND(VLOOKUP(A633, 'Актуальное состояние (из общего'!A:C,3,0) = "", A633 &lt;&gt; ""), "ПРОВЕРИТЬ", VLOOKUP(A633, 'Актуальное состояние (из общего'!A:C,3,0)), "")</f>
        <v>Студент</v>
      </c>
      <c r="U633" s="9" t="s">
        <v>13284</v>
      </c>
      <c r="V633" s="9" t="s">
        <v>13284</v>
      </c>
      <c r="W633" s="12"/>
      <c r="X633" s="9" t="str">
        <f t="array" ref="X633">IFERROR(INDEX('Адреса общежитий (скрытый)'!$B$2:$B$9, MATCH(W633, 'Адреса общежитий (скрытый)'!$A$2:$A$9, 0)), "")</f>
        <v/>
      </c>
      <c r="Y633" s="18"/>
      <c r="Z633" s="18"/>
      <c r="AA633" s="18"/>
      <c r="AB633" s="18"/>
      <c r="AC633" s="18"/>
    </row>
    <row r="634" spans="1:29" ht="32.25" customHeight="1">
      <c r="A634" s="8">
        <v>2311182</v>
      </c>
      <c r="B634" s="9" t="s">
        <v>13284</v>
      </c>
      <c r="C634" s="9" t="s">
        <v>13284</v>
      </c>
      <c r="D634" s="9" t="s">
        <v>13284</v>
      </c>
      <c r="E634" s="9" t="s">
        <v>13284</v>
      </c>
      <c r="F634" s="9" t="s">
        <v>13284</v>
      </c>
      <c r="G634" s="9" t="s">
        <v>13284</v>
      </c>
      <c r="H634" s="9" t="s">
        <v>13284</v>
      </c>
      <c r="I634" s="9" t="s">
        <v>13284</v>
      </c>
      <c r="J634" s="9" t="s">
        <v>13284</v>
      </c>
      <c r="K634" s="9" t="s">
        <v>13284</v>
      </c>
      <c r="L634" s="9" t="s">
        <v>13284</v>
      </c>
      <c r="M634" s="9" t="s">
        <v>13284</v>
      </c>
      <c r="N634" s="9" t="s">
        <v>13284</v>
      </c>
      <c r="O634" s="9" t="s">
        <v>13284</v>
      </c>
      <c r="P634" s="9" t="s">
        <v>13284</v>
      </c>
      <c r="Q634" s="9" t="s">
        <v>13284</v>
      </c>
      <c r="R634" s="9" t="s">
        <v>13284</v>
      </c>
      <c r="S634" s="9" t="s">
        <v>13284</v>
      </c>
      <c r="T634" s="9" t="str">
        <f ca="1">IFERROR(IF(AND(VLOOKUP(A634, 'Актуальное состояние (из общего'!A:C,3,0) = "", A634 &lt;&gt; ""), "ПРОВЕРИТЬ", VLOOKUP(A634, 'Актуальное состояние (из общего'!A:C,3,0)), "")</f>
        <v>Студент</v>
      </c>
      <c r="U634" s="9" t="s">
        <v>13284</v>
      </c>
      <c r="V634" s="9" t="s">
        <v>13284</v>
      </c>
      <c r="W634" s="12"/>
      <c r="X634" s="9" t="str">
        <f t="array" ref="X634">IFERROR(INDEX('Адреса общежитий (скрытый)'!$B$2:$B$9, MATCH(W634, 'Адреса общежитий (скрытый)'!$A$2:$A$9, 0)), "")</f>
        <v/>
      </c>
      <c r="Y634" s="18"/>
      <c r="Z634" s="18"/>
      <c r="AA634" s="18"/>
      <c r="AB634" s="18"/>
      <c r="AC634" s="18"/>
    </row>
    <row r="635" spans="1:29" ht="32.25" customHeight="1">
      <c r="A635" s="8">
        <v>2310289</v>
      </c>
      <c r="B635" s="9" t="s">
        <v>13284</v>
      </c>
      <c r="C635" s="9" t="s">
        <v>13284</v>
      </c>
      <c r="D635" s="9" t="s">
        <v>13284</v>
      </c>
      <c r="E635" s="9" t="s">
        <v>13284</v>
      </c>
      <c r="F635" s="9" t="s">
        <v>13284</v>
      </c>
      <c r="G635" s="9" t="s">
        <v>13284</v>
      </c>
      <c r="H635" s="9" t="s">
        <v>13284</v>
      </c>
      <c r="I635" s="9" t="s">
        <v>13284</v>
      </c>
      <c r="J635" s="9" t="s">
        <v>13284</v>
      </c>
      <c r="K635" s="9" t="s">
        <v>13284</v>
      </c>
      <c r="L635" s="9" t="s">
        <v>13284</v>
      </c>
      <c r="M635" s="9" t="s">
        <v>13284</v>
      </c>
      <c r="N635" s="9" t="s">
        <v>13284</v>
      </c>
      <c r="O635" s="9" t="s">
        <v>13284</v>
      </c>
      <c r="P635" s="9" t="s">
        <v>13284</v>
      </c>
      <c r="Q635" s="9" t="s">
        <v>13284</v>
      </c>
      <c r="R635" s="9" t="s">
        <v>13284</v>
      </c>
      <c r="S635" s="9" t="s">
        <v>13284</v>
      </c>
      <c r="T635" s="9" t="str">
        <f ca="1">IFERROR(IF(AND(VLOOKUP(A635, 'Актуальное состояние (из общего'!A:C,3,0) = "", A635 &lt;&gt; ""), "ПРОВЕРИТЬ", VLOOKUP(A635, 'Актуальное состояние (из общего'!A:C,3,0)), "")</f>
        <v>Студент</v>
      </c>
      <c r="U635" s="9" t="s">
        <v>13284</v>
      </c>
      <c r="V635" s="9" t="s">
        <v>13284</v>
      </c>
      <c r="W635" s="12"/>
      <c r="X635" s="9" t="str">
        <f t="array" ref="X635">IFERROR(INDEX('Адреса общежитий (скрытый)'!$B$2:$B$9, MATCH(W635, 'Адреса общежитий (скрытый)'!$A$2:$A$9, 0)), "")</f>
        <v/>
      </c>
      <c r="Y635" s="18"/>
      <c r="Z635" s="18"/>
      <c r="AA635" s="18"/>
      <c r="AB635" s="18"/>
      <c r="AC635" s="18"/>
    </row>
    <row r="636" spans="1:29" ht="32.25" customHeight="1">
      <c r="A636" s="8">
        <v>2307467</v>
      </c>
      <c r="B636" s="9" t="s">
        <v>13284</v>
      </c>
      <c r="C636" s="9" t="s">
        <v>13284</v>
      </c>
      <c r="D636" s="9" t="s">
        <v>13284</v>
      </c>
      <c r="E636" s="9" t="s">
        <v>13284</v>
      </c>
      <c r="F636" s="9" t="s">
        <v>13284</v>
      </c>
      <c r="G636" s="9" t="s">
        <v>13284</v>
      </c>
      <c r="H636" s="9" t="s">
        <v>13284</v>
      </c>
      <c r="I636" s="9" t="s">
        <v>13284</v>
      </c>
      <c r="J636" s="9" t="s">
        <v>13284</v>
      </c>
      <c r="K636" s="9" t="s">
        <v>13284</v>
      </c>
      <c r="L636" s="9" t="s">
        <v>13284</v>
      </c>
      <c r="M636" s="9" t="s">
        <v>13284</v>
      </c>
      <c r="N636" s="9" t="s">
        <v>13284</v>
      </c>
      <c r="O636" s="9" t="s">
        <v>13284</v>
      </c>
      <c r="P636" s="9" t="s">
        <v>13284</v>
      </c>
      <c r="Q636" s="9" t="s">
        <v>13284</v>
      </c>
      <c r="R636" s="9" t="s">
        <v>13284</v>
      </c>
      <c r="S636" s="9" t="s">
        <v>13284</v>
      </c>
      <c r="T636" s="9" t="str">
        <f ca="1">IFERROR(IF(AND(VLOOKUP(A636, 'Актуальное состояние (из общего'!A:C,3,0) = "", A636 &lt;&gt; ""), "ПРОВЕРИТЬ", VLOOKUP(A636, 'Актуальное состояние (из общего'!A:C,3,0)), "")</f>
        <v>Студент</v>
      </c>
      <c r="U636" s="9" t="s">
        <v>13284</v>
      </c>
      <c r="V636" s="9" t="s">
        <v>13284</v>
      </c>
      <c r="W636" s="12"/>
      <c r="X636" s="9" t="str">
        <f t="array" ref="X636">IFERROR(INDEX('Адреса общежитий (скрытый)'!$B$2:$B$9, MATCH(W636, 'Адреса общежитий (скрытый)'!$A$2:$A$9, 0)), "")</f>
        <v/>
      </c>
      <c r="Y636" s="18" t="s">
        <v>1350</v>
      </c>
      <c r="Z636" s="18"/>
      <c r="AA636" s="18"/>
      <c r="AB636" s="18"/>
      <c r="AC636" s="18"/>
    </row>
    <row r="637" spans="1:29" ht="32.25" customHeight="1">
      <c r="A637" s="8">
        <v>2303819</v>
      </c>
      <c r="B637" s="9" t="s">
        <v>13284</v>
      </c>
      <c r="C637" s="9" t="s">
        <v>13284</v>
      </c>
      <c r="D637" s="9" t="s">
        <v>13284</v>
      </c>
      <c r="E637" s="9" t="s">
        <v>13284</v>
      </c>
      <c r="F637" s="9" t="s">
        <v>13284</v>
      </c>
      <c r="G637" s="9" t="s">
        <v>13284</v>
      </c>
      <c r="H637" s="9" t="s">
        <v>13284</v>
      </c>
      <c r="I637" s="9" t="s">
        <v>13284</v>
      </c>
      <c r="J637" s="9" t="s">
        <v>13284</v>
      </c>
      <c r="K637" s="9" t="s">
        <v>13284</v>
      </c>
      <c r="L637" s="9" t="s">
        <v>13284</v>
      </c>
      <c r="M637" s="9" t="s">
        <v>13284</v>
      </c>
      <c r="N637" s="9" t="s">
        <v>13284</v>
      </c>
      <c r="O637" s="9" t="s">
        <v>13284</v>
      </c>
      <c r="P637" s="9" t="s">
        <v>13284</v>
      </c>
      <c r="Q637" s="9" t="s">
        <v>13284</v>
      </c>
      <c r="R637" s="9" t="s">
        <v>13284</v>
      </c>
      <c r="S637" s="9" t="s">
        <v>13284</v>
      </c>
      <c r="T637" s="9" t="str">
        <f ca="1">IFERROR(IF(AND(VLOOKUP(A637, 'Актуальное состояние (из общего'!A:C,3,0) = "", A637 &lt;&gt; ""), "ПРОВЕРИТЬ", VLOOKUP(A637, 'Актуальное состояние (из общего'!A:C,3,0)), "")</f>
        <v>Студент</v>
      </c>
      <c r="U637" s="9" t="s">
        <v>13284</v>
      </c>
      <c r="V637" s="9" t="s">
        <v>13284</v>
      </c>
      <c r="W637" s="12"/>
      <c r="X637" s="9" t="str">
        <f t="array" ref="X637">IFERROR(INDEX('Адреса общежитий (скрытый)'!$B$2:$B$9, MATCH(W637, 'Адреса общежитий (скрытый)'!$A$2:$A$9, 0)), "")</f>
        <v/>
      </c>
      <c r="Y637" s="18"/>
      <c r="Z637" s="18"/>
      <c r="AA637" s="18"/>
      <c r="AB637" s="18"/>
      <c r="AC637" s="18"/>
    </row>
    <row r="638" spans="1:29" ht="32.25" customHeight="1">
      <c r="A638" s="8">
        <v>2309341</v>
      </c>
      <c r="B638" s="9" t="s">
        <v>13284</v>
      </c>
      <c r="C638" s="9" t="s">
        <v>13284</v>
      </c>
      <c r="D638" s="9" t="s">
        <v>13284</v>
      </c>
      <c r="E638" s="9" t="s">
        <v>13284</v>
      </c>
      <c r="F638" s="9" t="s">
        <v>13284</v>
      </c>
      <c r="G638" s="9" t="s">
        <v>13284</v>
      </c>
      <c r="H638" s="9" t="s">
        <v>13284</v>
      </c>
      <c r="I638" s="9" t="s">
        <v>13284</v>
      </c>
      <c r="J638" s="9" t="s">
        <v>13284</v>
      </c>
      <c r="K638" s="9" t="s">
        <v>13284</v>
      </c>
      <c r="L638" s="9" t="s">
        <v>13284</v>
      </c>
      <c r="M638" s="9" t="s">
        <v>13284</v>
      </c>
      <c r="N638" s="9" t="s">
        <v>13284</v>
      </c>
      <c r="O638" s="9" t="s">
        <v>13284</v>
      </c>
      <c r="P638" s="9" t="s">
        <v>13284</v>
      </c>
      <c r="Q638" s="9" t="s">
        <v>13284</v>
      </c>
      <c r="R638" s="9" t="s">
        <v>13284</v>
      </c>
      <c r="S638" s="9" t="s">
        <v>13284</v>
      </c>
      <c r="T638" s="9" t="str">
        <f ca="1">IFERROR(IF(AND(VLOOKUP(A638, 'Актуальное состояние (из общего'!A:C,3,0) = "", A638 &lt;&gt; ""), "ПРОВЕРИТЬ", VLOOKUP(A638, 'Актуальное состояние (из общего'!A:C,3,0)), "")</f>
        <v>Студент</v>
      </c>
      <c r="U638" s="9" t="s">
        <v>13284</v>
      </c>
      <c r="V638" s="9" t="s">
        <v>13284</v>
      </c>
      <c r="W638" s="12"/>
      <c r="X638" s="9" t="str">
        <f t="array" ref="X638">IFERROR(INDEX('Адреса общежитий (скрытый)'!$B$2:$B$9, MATCH(W638, 'Адреса общежитий (скрытый)'!$A$2:$A$9, 0)), "")</f>
        <v/>
      </c>
      <c r="Y638" s="18"/>
      <c r="Z638" s="18"/>
      <c r="AA638" s="18"/>
      <c r="AB638" s="18"/>
      <c r="AC638" s="18"/>
    </row>
    <row r="639" spans="1:29" ht="32.25" customHeight="1">
      <c r="A639" s="8">
        <v>2308578</v>
      </c>
      <c r="B639" s="9" t="s">
        <v>13284</v>
      </c>
      <c r="C639" s="9" t="s">
        <v>13284</v>
      </c>
      <c r="D639" s="9" t="s">
        <v>13284</v>
      </c>
      <c r="E639" s="9" t="s">
        <v>13284</v>
      </c>
      <c r="F639" s="9" t="s">
        <v>13284</v>
      </c>
      <c r="G639" s="9" t="s">
        <v>13284</v>
      </c>
      <c r="H639" s="9" t="s">
        <v>13284</v>
      </c>
      <c r="I639" s="9" t="s">
        <v>13284</v>
      </c>
      <c r="J639" s="9" t="s">
        <v>13284</v>
      </c>
      <c r="K639" s="9" t="s">
        <v>13284</v>
      </c>
      <c r="L639" s="9" t="s">
        <v>13284</v>
      </c>
      <c r="M639" s="9" t="s">
        <v>13284</v>
      </c>
      <c r="N639" s="9" t="s">
        <v>13284</v>
      </c>
      <c r="O639" s="9" t="s">
        <v>13284</v>
      </c>
      <c r="P639" s="9" t="s">
        <v>13284</v>
      </c>
      <c r="Q639" s="9" t="s">
        <v>13284</v>
      </c>
      <c r="R639" s="9" t="s">
        <v>13284</v>
      </c>
      <c r="S639" s="9" t="s">
        <v>13284</v>
      </c>
      <c r="T639" s="9" t="str">
        <f ca="1">IFERROR(IF(AND(VLOOKUP(A639, 'Актуальное состояние (из общего'!A:C,3,0) = "", A639 &lt;&gt; ""), "ПРОВЕРИТЬ", VLOOKUP(A639, 'Актуальное состояние (из общего'!A:C,3,0)), "")</f>
        <v>Студент</v>
      </c>
      <c r="U639" s="9" t="s">
        <v>13284</v>
      </c>
      <c r="V639" s="9" t="s">
        <v>13284</v>
      </c>
      <c r="W639" s="12"/>
      <c r="X639" s="9" t="str">
        <f t="array" ref="X639">IFERROR(INDEX('Адреса общежитий (скрытый)'!$B$2:$B$9, MATCH(W639, 'Адреса общежитий (скрытый)'!$A$2:$A$9, 0)), "")</f>
        <v/>
      </c>
      <c r="Y639" s="18"/>
      <c r="Z639" s="18"/>
      <c r="AA639" s="18"/>
      <c r="AB639" s="18"/>
      <c r="AC639" s="18"/>
    </row>
    <row r="640" spans="1:29" ht="32.25" customHeight="1">
      <c r="A640" s="8">
        <v>2303534</v>
      </c>
      <c r="B640" s="9" t="s">
        <v>13284</v>
      </c>
      <c r="C640" s="9" t="s">
        <v>13284</v>
      </c>
      <c r="D640" s="9" t="s">
        <v>13284</v>
      </c>
      <c r="E640" s="9" t="s">
        <v>13284</v>
      </c>
      <c r="F640" s="9" t="s">
        <v>13284</v>
      </c>
      <c r="G640" s="9" t="s">
        <v>13284</v>
      </c>
      <c r="H640" s="9" t="s">
        <v>13284</v>
      </c>
      <c r="I640" s="9" t="s">
        <v>13284</v>
      </c>
      <c r="J640" s="9" t="s">
        <v>13284</v>
      </c>
      <c r="K640" s="9" t="s">
        <v>13284</v>
      </c>
      <c r="L640" s="9" t="s">
        <v>13284</v>
      </c>
      <c r="M640" s="9" t="s">
        <v>13284</v>
      </c>
      <c r="N640" s="9" t="s">
        <v>13284</v>
      </c>
      <c r="O640" s="9" t="s">
        <v>13284</v>
      </c>
      <c r="P640" s="9" t="s">
        <v>13284</v>
      </c>
      <c r="Q640" s="9" t="s">
        <v>13284</v>
      </c>
      <c r="R640" s="9" t="s">
        <v>13284</v>
      </c>
      <c r="S640" s="9" t="s">
        <v>13284</v>
      </c>
      <c r="T640" s="9" t="str">
        <f ca="1">IFERROR(IF(AND(VLOOKUP(A640, 'Актуальное состояние (из общего'!A:C,3,0) = "", A640 &lt;&gt; ""), "ПРОВЕРИТЬ", VLOOKUP(A640, 'Актуальное состояние (из общего'!A:C,3,0)), "")</f>
        <v>Студент</v>
      </c>
      <c r="U640" s="9" t="s">
        <v>13284</v>
      </c>
      <c r="V640" s="9" t="s">
        <v>13284</v>
      </c>
      <c r="W640" s="12"/>
      <c r="X640" s="9" t="str">
        <f t="array" ref="X640">IFERROR(INDEX('Адреса общежитий (скрытый)'!$B$2:$B$9, MATCH(W640, 'Адреса общежитий (скрытый)'!$A$2:$A$9, 0)), "")</f>
        <v/>
      </c>
      <c r="Y640" s="18"/>
      <c r="Z640" s="18"/>
      <c r="AA640" s="18"/>
      <c r="AB640" s="18"/>
      <c r="AC640" s="18"/>
    </row>
    <row r="641" spans="1:29" ht="32.25" hidden="1" customHeight="1">
      <c r="A641" s="8">
        <v>2309348</v>
      </c>
      <c r="B641" s="9" t="s">
        <v>13284</v>
      </c>
      <c r="C641" s="9" t="s">
        <v>13284</v>
      </c>
      <c r="D641" s="9" t="s">
        <v>13284</v>
      </c>
      <c r="E641" s="9" t="s">
        <v>13284</v>
      </c>
      <c r="F641" s="9" t="s">
        <v>13284</v>
      </c>
      <c r="G641" s="9" t="s">
        <v>13284</v>
      </c>
      <c r="H641" s="9" t="s">
        <v>13284</v>
      </c>
      <c r="I641" s="9" t="s">
        <v>13284</v>
      </c>
      <c r="J641" s="9" t="s">
        <v>13284</v>
      </c>
      <c r="K641" s="9" t="s">
        <v>13284</v>
      </c>
      <c r="L641" s="9" t="s">
        <v>13284</v>
      </c>
      <c r="M641" s="9" t="s">
        <v>13284</v>
      </c>
      <c r="N641" s="9" t="s">
        <v>13284</v>
      </c>
      <c r="O641" s="9" t="s">
        <v>13284</v>
      </c>
      <c r="P641" s="9" t="s">
        <v>13284</v>
      </c>
      <c r="Q641" s="9" t="s">
        <v>13284</v>
      </c>
      <c r="R641" s="9" t="s">
        <v>13284</v>
      </c>
      <c r="S641" s="9" t="s">
        <v>13284</v>
      </c>
      <c r="T641" s="9" t="str">
        <f ca="1">IFERROR(IF(AND(VLOOKUP(A641, 'Актуальное состояние (из общего'!A:C,3,0) = "", A641 &lt;&gt; ""), "ПРОВЕРИТЬ", VLOOKUP(A641, 'Актуальное состояние (из общего'!A:C,3,0)), "")</f>
        <v>Студент</v>
      </c>
      <c r="U641" s="9" t="s">
        <v>13284</v>
      </c>
      <c r="V641" s="9" t="s">
        <v>13284</v>
      </c>
      <c r="W641" s="12"/>
      <c r="X641" s="9" t="str">
        <f t="array" ref="X641">IFERROR(INDEX('Адреса общежитий (скрытый)'!$B$2:$B$9, MATCH(W641, 'Адреса общежитий (скрытый)'!$A$2:$A$9, 0)), "")</f>
        <v/>
      </c>
      <c r="Y641" s="18"/>
      <c r="Z641" s="18"/>
      <c r="AA641" s="18"/>
      <c r="AB641" s="18"/>
      <c r="AC641" s="18"/>
    </row>
    <row r="642" spans="1:29" ht="32.25" customHeight="1">
      <c r="A642" s="8">
        <v>2307887</v>
      </c>
      <c r="B642" s="9" t="s">
        <v>13284</v>
      </c>
      <c r="C642" s="9" t="s">
        <v>13284</v>
      </c>
      <c r="D642" s="9" t="s">
        <v>13284</v>
      </c>
      <c r="E642" s="9" t="s">
        <v>13284</v>
      </c>
      <c r="F642" s="9" t="s">
        <v>13284</v>
      </c>
      <c r="G642" s="9" t="s">
        <v>13284</v>
      </c>
      <c r="H642" s="9" t="s">
        <v>13284</v>
      </c>
      <c r="I642" s="9" t="s">
        <v>13284</v>
      </c>
      <c r="J642" s="9" t="s">
        <v>13284</v>
      </c>
      <c r="K642" s="9" t="s">
        <v>13284</v>
      </c>
      <c r="L642" s="9" t="s">
        <v>13284</v>
      </c>
      <c r="M642" s="9" t="s">
        <v>13284</v>
      </c>
      <c r="N642" s="9" t="s">
        <v>13284</v>
      </c>
      <c r="O642" s="9" t="s">
        <v>13284</v>
      </c>
      <c r="P642" s="9" t="s">
        <v>13284</v>
      </c>
      <c r="Q642" s="9" t="s">
        <v>13284</v>
      </c>
      <c r="R642" s="9" t="s">
        <v>13284</v>
      </c>
      <c r="S642" s="9" t="s">
        <v>13284</v>
      </c>
      <c r="T642" s="9" t="str">
        <f ca="1">IFERROR(IF(AND(VLOOKUP(A642, 'Актуальное состояние (из общего'!A:C,3,0) = "", A642 &lt;&gt; ""), "ПРОВЕРИТЬ", VLOOKUP(A642, 'Актуальное состояние (из общего'!A:C,3,0)), "")</f>
        <v>Студент</v>
      </c>
      <c r="U642" s="9" t="s">
        <v>13284</v>
      </c>
      <c r="V642" s="9" t="s">
        <v>13284</v>
      </c>
      <c r="W642" s="12"/>
      <c r="X642" s="9" t="str">
        <f t="array" ref="X642">IFERROR(INDEX('Адреса общежитий (скрытый)'!$B$2:$B$9, MATCH(W642, 'Адреса общежитий (скрытый)'!$A$2:$A$9, 0)), "")</f>
        <v/>
      </c>
      <c r="Y642" s="18"/>
      <c r="Z642" s="18"/>
      <c r="AA642" s="18"/>
      <c r="AB642" s="18"/>
      <c r="AC642" s="18"/>
    </row>
    <row r="643" spans="1:29" ht="32.25" customHeight="1">
      <c r="A643" s="8">
        <v>2307328</v>
      </c>
      <c r="B643" s="9" t="s">
        <v>13284</v>
      </c>
      <c r="C643" s="9" t="s">
        <v>13284</v>
      </c>
      <c r="D643" s="9" t="s">
        <v>13284</v>
      </c>
      <c r="E643" s="9" t="s">
        <v>13284</v>
      </c>
      <c r="F643" s="9" t="s">
        <v>13284</v>
      </c>
      <c r="G643" s="9" t="s">
        <v>13284</v>
      </c>
      <c r="H643" s="9" t="s">
        <v>13284</v>
      </c>
      <c r="I643" s="9" t="s">
        <v>13284</v>
      </c>
      <c r="J643" s="9" t="s">
        <v>13284</v>
      </c>
      <c r="K643" s="9" t="s">
        <v>13284</v>
      </c>
      <c r="L643" s="9" t="s">
        <v>13284</v>
      </c>
      <c r="M643" s="9" t="s">
        <v>13284</v>
      </c>
      <c r="N643" s="9" t="s">
        <v>13284</v>
      </c>
      <c r="O643" s="9" t="s">
        <v>13284</v>
      </c>
      <c r="P643" s="9" t="s">
        <v>13284</v>
      </c>
      <c r="Q643" s="9" t="s">
        <v>13284</v>
      </c>
      <c r="R643" s="9" t="s">
        <v>13284</v>
      </c>
      <c r="S643" s="9" t="s">
        <v>13284</v>
      </c>
      <c r="T643" s="9" t="str">
        <f ca="1">IFERROR(IF(AND(VLOOKUP(A643, 'Актуальное состояние (из общего'!A:C,3,0) = "", A643 &lt;&gt; ""), "ПРОВЕРИТЬ", VLOOKUP(A643, 'Актуальное состояние (из общего'!A:C,3,0)), "")</f>
        <v>Студент</v>
      </c>
      <c r="U643" s="9" t="s">
        <v>13284</v>
      </c>
      <c r="V643" s="9" t="s">
        <v>13284</v>
      </c>
      <c r="W643" s="12"/>
      <c r="X643" s="9" t="str">
        <f t="array" ref="X643">IFERROR(INDEX('Адреса общежитий (скрытый)'!$B$2:$B$9, MATCH(W643, 'Адреса общежитий (скрытый)'!$A$2:$A$9, 0)), "")</f>
        <v/>
      </c>
      <c r="Y643" s="18"/>
      <c r="Z643" s="18"/>
      <c r="AA643" s="18"/>
      <c r="AB643" s="18"/>
      <c r="AC643" s="18"/>
    </row>
    <row r="644" spans="1:29" ht="32.25" customHeight="1">
      <c r="A644" s="8">
        <v>2308775</v>
      </c>
      <c r="B644" s="9" t="s">
        <v>13284</v>
      </c>
      <c r="C644" s="9" t="s">
        <v>13284</v>
      </c>
      <c r="D644" s="9" t="s">
        <v>13284</v>
      </c>
      <c r="E644" s="9" t="s">
        <v>13284</v>
      </c>
      <c r="F644" s="9" t="s">
        <v>13284</v>
      </c>
      <c r="G644" s="9" t="s">
        <v>13284</v>
      </c>
      <c r="H644" s="9" t="s">
        <v>13284</v>
      </c>
      <c r="I644" s="9" t="s">
        <v>13284</v>
      </c>
      <c r="J644" s="9" t="s">
        <v>13284</v>
      </c>
      <c r="K644" s="9" t="s">
        <v>13284</v>
      </c>
      <c r="L644" s="9" t="s">
        <v>13284</v>
      </c>
      <c r="M644" s="9" t="s">
        <v>13284</v>
      </c>
      <c r="N644" s="9" t="s">
        <v>13284</v>
      </c>
      <c r="O644" s="9" t="s">
        <v>13284</v>
      </c>
      <c r="P644" s="9" t="s">
        <v>13284</v>
      </c>
      <c r="Q644" s="9" t="s">
        <v>13284</v>
      </c>
      <c r="R644" s="9" t="s">
        <v>13284</v>
      </c>
      <c r="S644" s="9" t="s">
        <v>13284</v>
      </c>
      <c r="T644" s="9" t="str">
        <f ca="1">IFERROR(IF(AND(VLOOKUP(A644, 'Актуальное состояние (из общего'!A:C,3,0) = "", A644 &lt;&gt; ""), "ПРОВЕРИТЬ", VLOOKUP(A644, 'Актуальное состояние (из общего'!A:C,3,0)), "")</f>
        <v>Студент</v>
      </c>
      <c r="U644" s="9" t="s">
        <v>13284</v>
      </c>
      <c r="V644" s="9" t="s">
        <v>13284</v>
      </c>
      <c r="W644" s="12"/>
      <c r="X644" s="9" t="str">
        <f t="array" ref="X644">IFERROR(INDEX('Адреса общежитий (скрытый)'!$B$2:$B$9, MATCH(W644, 'Адреса общежитий (скрытый)'!$A$2:$A$9, 0)), "")</f>
        <v/>
      </c>
      <c r="Y644" s="18"/>
      <c r="Z644" s="18"/>
      <c r="AA644" s="18"/>
      <c r="AB644" s="18"/>
      <c r="AC644" s="18"/>
    </row>
    <row r="645" spans="1:29" ht="32.25" customHeight="1">
      <c r="A645" s="8">
        <v>2305939</v>
      </c>
      <c r="B645" s="9" t="s">
        <v>13284</v>
      </c>
      <c r="C645" s="9" t="s">
        <v>13284</v>
      </c>
      <c r="D645" s="9" t="s">
        <v>13284</v>
      </c>
      <c r="E645" s="9" t="s">
        <v>13284</v>
      </c>
      <c r="F645" s="9" t="s">
        <v>13284</v>
      </c>
      <c r="G645" s="9" t="s">
        <v>13284</v>
      </c>
      <c r="H645" s="9" t="s">
        <v>13284</v>
      </c>
      <c r="I645" s="9" t="s">
        <v>13284</v>
      </c>
      <c r="J645" s="9" t="s">
        <v>13284</v>
      </c>
      <c r="K645" s="9" t="s">
        <v>13284</v>
      </c>
      <c r="L645" s="9" t="s">
        <v>13284</v>
      </c>
      <c r="M645" s="9" t="s">
        <v>13284</v>
      </c>
      <c r="N645" s="9" t="s">
        <v>13284</v>
      </c>
      <c r="O645" s="9" t="s">
        <v>13284</v>
      </c>
      <c r="P645" s="9" t="s">
        <v>13284</v>
      </c>
      <c r="Q645" s="9" t="s">
        <v>13284</v>
      </c>
      <c r="R645" s="9" t="s">
        <v>13284</v>
      </c>
      <c r="S645" s="9" t="s">
        <v>13284</v>
      </c>
      <c r="T645" s="9" t="str">
        <f ca="1">IFERROR(IF(AND(VLOOKUP(A645, 'Актуальное состояние (из общего'!A:C,3,0) = "", A645 &lt;&gt; ""), "ПРОВЕРИТЬ", VLOOKUP(A645, 'Актуальное состояние (из общего'!A:C,3,0)), "")</f>
        <v>Студент</v>
      </c>
      <c r="U645" s="9" t="s">
        <v>13284</v>
      </c>
      <c r="V645" s="9" t="s">
        <v>13284</v>
      </c>
      <c r="W645" s="12"/>
      <c r="X645" s="9" t="str">
        <f t="array" ref="X645">IFERROR(INDEX('Адреса общежитий (скрытый)'!$B$2:$B$9, MATCH(W645, 'Адреса общежитий (скрытый)'!$A$2:$A$9, 0)), "")</f>
        <v/>
      </c>
      <c r="Y645" s="18"/>
      <c r="Z645" s="18"/>
      <c r="AA645" s="18"/>
      <c r="AB645" s="18"/>
      <c r="AC645" s="18"/>
    </row>
    <row r="646" spans="1:29" ht="32.25" hidden="1" customHeight="1">
      <c r="A646" s="8">
        <v>2302386</v>
      </c>
      <c r="B646" s="9" t="s">
        <v>13284</v>
      </c>
      <c r="C646" s="9" t="s">
        <v>13284</v>
      </c>
      <c r="D646" s="9" t="s">
        <v>13284</v>
      </c>
      <c r="E646" s="9" t="s">
        <v>13284</v>
      </c>
      <c r="F646" s="9" t="s">
        <v>13284</v>
      </c>
      <c r="G646" s="9" t="s">
        <v>13284</v>
      </c>
      <c r="H646" s="9" t="s">
        <v>13284</v>
      </c>
      <c r="I646" s="9" t="s">
        <v>13284</v>
      </c>
      <c r="J646" s="9" t="s">
        <v>13284</v>
      </c>
      <c r="K646" s="9" t="s">
        <v>13284</v>
      </c>
      <c r="L646" s="9" t="s">
        <v>13284</v>
      </c>
      <c r="M646" s="9" t="s">
        <v>13284</v>
      </c>
      <c r="N646" s="9" t="s">
        <v>13284</v>
      </c>
      <c r="O646" s="9" t="s">
        <v>13284</v>
      </c>
      <c r="P646" s="9" t="s">
        <v>13284</v>
      </c>
      <c r="Q646" s="9" t="s">
        <v>13284</v>
      </c>
      <c r="R646" s="9" t="s">
        <v>13284</v>
      </c>
      <c r="S646" s="9" t="s">
        <v>13284</v>
      </c>
      <c r="T646" s="9" t="str">
        <f ca="1">IFERROR(IF(AND(VLOOKUP(A646, 'Актуальное состояние (из общего'!A:C,3,0) = "", A646 &lt;&gt; ""), "ПРОВЕРИТЬ", VLOOKUP(A646, 'Актуальное состояние (из общего'!A:C,3,0)), "")</f>
        <v>Студент</v>
      </c>
      <c r="U646" s="9" t="s">
        <v>13284</v>
      </c>
      <c r="V646" s="9" t="s">
        <v>13284</v>
      </c>
      <c r="W646" s="12"/>
      <c r="X646" s="9" t="str">
        <f t="array" ref="X646">IFERROR(INDEX('Адреса общежитий (скрытый)'!$B$2:$B$9, MATCH(W646, 'Адреса общежитий (скрытый)'!$A$2:$A$9, 0)), "")</f>
        <v/>
      </c>
      <c r="Y646" s="18"/>
      <c r="Z646" s="18"/>
      <c r="AA646" s="18"/>
      <c r="AB646" s="18"/>
      <c r="AC646" s="18"/>
    </row>
    <row r="647" spans="1:29" ht="32.25" hidden="1" customHeight="1">
      <c r="A647" s="8">
        <v>2305850</v>
      </c>
      <c r="B647" s="9" t="s">
        <v>13284</v>
      </c>
      <c r="C647" s="9" t="s">
        <v>13284</v>
      </c>
      <c r="D647" s="9" t="s">
        <v>13284</v>
      </c>
      <c r="E647" s="9" t="s">
        <v>13284</v>
      </c>
      <c r="F647" s="9" t="s">
        <v>13284</v>
      </c>
      <c r="G647" s="9" t="s">
        <v>13284</v>
      </c>
      <c r="H647" s="9" t="s">
        <v>13284</v>
      </c>
      <c r="I647" s="9" t="s">
        <v>13284</v>
      </c>
      <c r="J647" s="9" t="s">
        <v>13284</v>
      </c>
      <c r="K647" s="9" t="s">
        <v>13284</v>
      </c>
      <c r="L647" s="9" t="s">
        <v>13284</v>
      </c>
      <c r="M647" s="9" t="s">
        <v>13284</v>
      </c>
      <c r="N647" s="9" t="s">
        <v>13284</v>
      </c>
      <c r="O647" s="9" t="s">
        <v>13284</v>
      </c>
      <c r="P647" s="9" t="s">
        <v>13284</v>
      </c>
      <c r="Q647" s="9" t="s">
        <v>13284</v>
      </c>
      <c r="R647" s="9" t="s">
        <v>13284</v>
      </c>
      <c r="S647" s="9" t="s">
        <v>13284</v>
      </c>
      <c r="T647" s="9" t="str">
        <f ca="1">IFERROR(IF(AND(VLOOKUP(A647, 'Актуальное состояние (из общего'!A:C,3,0) = "", A647 &lt;&gt; ""), "ПРОВЕРИТЬ", VLOOKUP(A647, 'Актуальное состояние (из общего'!A:C,3,0)), "")</f>
        <v>Студент</v>
      </c>
      <c r="U647" s="9" t="s">
        <v>13284</v>
      </c>
      <c r="V647" s="9" t="s">
        <v>13284</v>
      </c>
      <c r="W647" s="12"/>
      <c r="X647" s="9" t="str">
        <f t="array" ref="X647">IFERROR(INDEX('Адреса общежитий (скрытый)'!$B$2:$B$9, MATCH(W647, 'Адреса общежитий (скрытый)'!$A$2:$A$9, 0)), "")</f>
        <v/>
      </c>
      <c r="Y647" s="18"/>
      <c r="Z647" s="18"/>
      <c r="AA647" s="18"/>
      <c r="AB647" s="18"/>
      <c r="AC647" s="18"/>
    </row>
    <row r="648" spans="1:29" ht="32.25" customHeight="1">
      <c r="A648" s="8">
        <v>2313916</v>
      </c>
      <c r="B648" s="9" t="s">
        <v>13284</v>
      </c>
      <c r="C648" s="9" t="s">
        <v>13284</v>
      </c>
      <c r="D648" s="9" t="s">
        <v>13284</v>
      </c>
      <c r="E648" s="9" t="s">
        <v>13284</v>
      </c>
      <c r="F648" s="9" t="s">
        <v>13284</v>
      </c>
      <c r="G648" s="9" t="s">
        <v>13284</v>
      </c>
      <c r="H648" s="9" t="s">
        <v>13284</v>
      </c>
      <c r="I648" s="9" t="s">
        <v>13284</v>
      </c>
      <c r="J648" s="9" t="s">
        <v>13284</v>
      </c>
      <c r="K648" s="9" t="s">
        <v>13284</v>
      </c>
      <c r="L648" s="9" t="s">
        <v>13284</v>
      </c>
      <c r="M648" s="9" t="s">
        <v>13284</v>
      </c>
      <c r="N648" s="9" t="s">
        <v>13284</v>
      </c>
      <c r="O648" s="9" t="s">
        <v>13284</v>
      </c>
      <c r="P648" s="9" t="s">
        <v>13284</v>
      </c>
      <c r="Q648" s="9" t="s">
        <v>13284</v>
      </c>
      <c r="R648" s="9" t="s">
        <v>13284</v>
      </c>
      <c r="S648" s="9" t="s">
        <v>13284</v>
      </c>
      <c r="T648" s="9" t="str">
        <f ca="1">IFERROR(IF(AND(VLOOKUP(A648, 'Актуальное состояние (из общего'!A:C,3,0) = "", A648 &lt;&gt; ""), "ПРОВЕРИТЬ", VLOOKUP(A648, 'Актуальное состояние (из общего'!A:C,3,0)), "")</f>
        <v>Студент</v>
      </c>
      <c r="U648" s="9" t="s">
        <v>13284</v>
      </c>
      <c r="V648" s="9" t="s">
        <v>13284</v>
      </c>
      <c r="W648" s="12"/>
      <c r="X648" s="9" t="str">
        <f t="array" ref="X648">IFERROR(INDEX('Адреса общежитий (скрытый)'!$B$2:$B$9, MATCH(W648, 'Адреса общежитий (скрытый)'!$A$2:$A$9, 0)), "")</f>
        <v/>
      </c>
      <c r="Y648" s="18"/>
      <c r="Z648" s="18"/>
      <c r="AA648" s="18"/>
      <c r="AB648" s="18"/>
      <c r="AC648" s="18"/>
    </row>
    <row r="649" spans="1:29" ht="32.25" customHeight="1">
      <c r="A649" s="8">
        <v>2310100</v>
      </c>
      <c r="B649" s="9" t="s">
        <v>13284</v>
      </c>
      <c r="C649" s="9" t="s">
        <v>13284</v>
      </c>
      <c r="D649" s="9" t="s">
        <v>13284</v>
      </c>
      <c r="E649" s="9" t="s">
        <v>13284</v>
      </c>
      <c r="F649" s="9" t="s">
        <v>13284</v>
      </c>
      <c r="G649" s="9" t="s">
        <v>13284</v>
      </c>
      <c r="H649" s="9" t="s">
        <v>13284</v>
      </c>
      <c r="I649" s="9" t="s">
        <v>13284</v>
      </c>
      <c r="J649" s="9" t="s">
        <v>13284</v>
      </c>
      <c r="K649" s="9" t="s">
        <v>13284</v>
      </c>
      <c r="L649" s="9" t="s">
        <v>13284</v>
      </c>
      <c r="M649" s="9" t="s">
        <v>13284</v>
      </c>
      <c r="N649" s="9" t="s">
        <v>13284</v>
      </c>
      <c r="O649" s="9" t="s">
        <v>13284</v>
      </c>
      <c r="P649" s="9" t="s">
        <v>13284</v>
      </c>
      <c r="Q649" s="9" t="s">
        <v>13284</v>
      </c>
      <c r="R649" s="9" t="s">
        <v>13284</v>
      </c>
      <c r="S649" s="9" t="s">
        <v>13284</v>
      </c>
      <c r="T649" s="9" t="str">
        <f ca="1">IFERROR(IF(AND(VLOOKUP(A649, 'Актуальное состояние (из общего'!A:C,3,0) = "", A649 &lt;&gt; ""), "ПРОВЕРИТЬ", VLOOKUP(A649, 'Актуальное состояние (из общего'!A:C,3,0)), "")</f>
        <v>Студент</v>
      </c>
      <c r="U649" s="9" t="s">
        <v>13284</v>
      </c>
      <c r="V649" s="9" t="s">
        <v>13284</v>
      </c>
      <c r="W649" s="12" t="s">
        <v>76</v>
      </c>
      <c r="X649" s="9" t="str">
        <f t="array" ref="X649">IFERROR(INDEX('Адреса общежитий (скрытый)'!$B$2:$B$9, MATCH(W649, 'Адреса общежитий (скрытый)'!$A$2:$A$9, 0)), "")</f>
        <v>ул. Студенческая, д. 33, корп. 5,6</v>
      </c>
      <c r="Y649" s="18"/>
      <c r="Z649" s="18"/>
      <c r="AA649" s="18"/>
      <c r="AB649" s="18"/>
      <c r="AC649" s="18"/>
    </row>
    <row r="650" spans="1:29" ht="32.25" customHeight="1">
      <c r="A650" s="8">
        <v>2301335</v>
      </c>
      <c r="B650" s="9" t="s">
        <v>13284</v>
      </c>
      <c r="C650" s="9" t="s">
        <v>13284</v>
      </c>
      <c r="D650" s="9" t="s">
        <v>13284</v>
      </c>
      <c r="E650" s="9" t="s">
        <v>13284</v>
      </c>
      <c r="F650" s="9" t="s">
        <v>13284</v>
      </c>
      <c r="G650" s="9" t="s">
        <v>13284</v>
      </c>
      <c r="H650" s="9" t="s">
        <v>13284</v>
      </c>
      <c r="I650" s="9" t="s">
        <v>13284</v>
      </c>
      <c r="J650" s="9" t="s">
        <v>13284</v>
      </c>
      <c r="K650" s="9" t="s">
        <v>13284</v>
      </c>
      <c r="L650" s="9" t="s">
        <v>13284</v>
      </c>
      <c r="M650" s="9" t="s">
        <v>13284</v>
      </c>
      <c r="N650" s="9" t="s">
        <v>13284</v>
      </c>
      <c r="O650" s="9" t="s">
        <v>13284</v>
      </c>
      <c r="P650" s="9" t="s">
        <v>13284</v>
      </c>
      <c r="Q650" s="9" t="s">
        <v>13284</v>
      </c>
      <c r="R650" s="9" t="s">
        <v>13284</v>
      </c>
      <c r="S650" s="9" t="s">
        <v>13284</v>
      </c>
      <c r="T650" s="9" t="str">
        <f ca="1">IFERROR(IF(AND(VLOOKUP(A650, 'Актуальное состояние (из общего'!A:C,3,0) = "", A650 &lt;&gt; ""), "ПРОВЕРИТЬ", VLOOKUP(A650, 'Актуальное состояние (из общего'!A:C,3,0)), "")</f>
        <v>Студент</v>
      </c>
      <c r="U650" s="9" t="s">
        <v>13284</v>
      </c>
      <c r="V650" s="9" t="s">
        <v>13284</v>
      </c>
      <c r="W650" s="12"/>
      <c r="X650" s="9" t="str">
        <f t="array" ref="X650">IFERROR(INDEX('Адреса общежитий (скрытый)'!$B$2:$B$9, MATCH(W650, 'Адреса общежитий (скрытый)'!$A$2:$A$9, 0)), "")</f>
        <v/>
      </c>
      <c r="Y650" s="18"/>
      <c r="Z650" s="18"/>
      <c r="AA650" s="18"/>
      <c r="AB650" s="18"/>
      <c r="AC650" s="18"/>
    </row>
    <row r="651" spans="1:29" ht="32.25" hidden="1" customHeight="1">
      <c r="A651" s="8">
        <v>2302461</v>
      </c>
      <c r="B651" s="9" t="s">
        <v>13284</v>
      </c>
      <c r="C651" s="9" t="s">
        <v>13284</v>
      </c>
      <c r="D651" s="9" t="s">
        <v>13284</v>
      </c>
      <c r="E651" s="9" t="s">
        <v>13284</v>
      </c>
      <c r="F651" s="9" t="s">
        <v>13284</v>
      </c>
      <c r="G651" s="9" t="s">
        <v>13284</v>
      </c>
      <c r="H651" s="9" t="s">
        <v>13284</v>
      </c>
      <c r="I651" s="9" t="s">
        <v>13284</v>
      </c>
      <c r="J651" s="9" t="s">
        <v>13284</v>
      </c>
      <c r="K651" s="9" t="s">
        <v>13284</v>
      </c>
      <c r="L651" s="9" t="s">
        <v>13284</v>
      </c>
      <c r="M651" s="9" t="s">
        <v>13284</v>
      </c>
      <c r="N651" s="9" t="s">
        <v>13284</v>
      </c>
      <c r="O651" s="9" t="s">
        <v>13284</v>
      </c>
      <c r="P651" s="9" t="s">
        <v>13284</v>
      </c>
      <c r="Q651" s="9" t="s">
        <v>13284</v>
      </c>
      <c r="R651" s="9" t="s">
        <v>13284</v>
      </c>
      <c r="S651" s="9" t="s">
        <v>13284</v>
      </c>
      <c r="T651" s="9" t="str">
        <f ca="1">IFERROR(IF(AND(VLOOKUP(A651, 'Актуальное состояние (из общего'!A:C,3,0) = "", A651 &lt;&gt; ""), "ПРОВЕРИТЬ", VLOOKUP(A651, 'Актуальное состояние (из общего'!A:C,3,0)), "")</f>
        <v>Студент</v>
      </c>
      <c r="U651" s="9" t="s">
        <v>13284</v>
      </c>
      <c r="V651" s="9" t="s">
        <v>13284</v>
      </c>
      <c r="W651" s="12"/>
      <c r="X651" s="9" t="str">
        <f t="array" ref="X651">IFERROR(INDEX('Адреса общежитий (скрытый)'!$B$2:$B$9, MATCH(W651, 'Адреса общежитий (скрытый)'!$A$2:$A$9, 0)), "")</f>
        <v/>
      </c>
      <c r="Y651" s="18"/>
      <c r="Z651" s="18"/>
      <c r="AA651" s="18"/>
      <c r="AB651" s="18"/>
      <c r="AC651" s="18"/>
    </row>
    <row r="652" spans="1:29" ht="32.25" hidden="1" customHeight="1">
      <c r="A652" s="8">
        <v>2300711</v>
      </c>
      <c r="B652" s="9" t="s">
        <v>13284</v>
      </c>
      <c r="C652" s="9" t="s">
        <v>13284</v>
      </c>
      <c r="D652" s="9" t="s">
        <v>13284</v>
      </c>
      <c r="E652" s="9" t="s">
        <v>13284</v>
      </c>
      <c r="F652" s="9" t="s">
        <v>13284</v>
      </c>
      <c r="G652" s="9" t="s">
        <v>13284</v>
      </c>
      <c r="H652" s="9" t="s">
        <v>13284</v>
      </c>
      <c r="I652" s="9" t="s">
        <v>13284</v>
      </c>
      <c r="J652" s="9" t="s">
        <v>13284</v>
      </c>
      <c r="K652" s="9" t="s">
        <v>13284</v>
      </c>
      <c r="L652" s="9" t="s">
        <v>13284</v>
      </c>
      <c r="M652" s="9" t="s">
        <v>13284</v>
      </c>
      <c r="N652" s="9" t="s">
        <v>13284</v>
      </c>
      <c r="O652" s="9" t="s">
        <v>13284</v>
      </c>
      <c r="P652" s="9" t="s">
        <v>13284</v>
      </c>
      <c r="Q652" s="9" t="s">
        <v>13284</v>
      </c>
      <c r="R652" s="9" t="s">
        <v>13284</v>
      </c>
      <c r="S652" s="9" t="s">
        <v>13284</v>
      </c>
      <c r="T652" s="9" t="str">
        <f ca="1">IFERROR(IF(AND(VLOOKUP(A652, 'Актуальное состояние (из общего'!A:C,3,0) = "", A652 &lt;&gt; ""), "ПРОВЕРИТЬ", VLOOKUP(A652, 'Актуальное состояние (из общего'!A:C,3,0)), "")</f>
        <v>Студент</v>
      </c>
      <c r="U652" s="9" t="s">
        <v>13284</v>
      </c>
      <c r="V652" s="9" t="s">
        <v>13284</v>
      </c>
      <c r="W652" s="12"/>
      <c r="X652" s="9" t="str">
        <f t="array" ref="X652">IFERROR(INDEX('Адреса общежитий (скрытый)'!$B$2:$B$9, MATCH(W652, 'Адреса общежитий (скрытый)'!$A$2:$A$9, 0)), "")</f>
        <v/>
      </c>
      <c r="Y652" s="18"/>
      <c r="Z652" s="18"/>
      <c r="AA652" s="18"/>
      <c r="AB652" s="18"/>
      <c r="AC652" s="18"/>
    </row>
    <row r="653" spans="1:29" ht="32.25" customHeight="1">
      <c r="A653" s="8">
        <v>2311622</v>
      </c>
      <c r="B653" s="9" t="s">
        <v>13284</v>
      </c>
      <c r="C653" s="9" t="s">
        <v>13284</v>
      </c>
      <c r="D653" s="9" t="s">
        <v>13284</v>
      </c>
      <c r="E653" s="9" t="s">
        <v>13284</v>
      </c>
      <c r="F653" s="9" t="s">
        <v>13284</v>
      </c>
      <c r="G653" s="9" t="s">
        <v>13284</v>
      </c>
      <c r="H653" s="9" t="s">
        <v>13284</v>
      </c>
      <c r="I653" s="9" t="s">
        <v>13284</v>
      </c>
      <c r="J653" s="9" t="s">
        <v>13284</v>
      </c>
      <c r="K653" s="9" t="s">
        <v>13284</v>
      </c>
      <c r="L653" s="9" t="s">
        <v>13284</v>
      </c>
      <c r="M653" s="9" t="s">
        <v>13284</v>
      </c>
      <c r="N653" s="9" t="s">
        <v>13284</v>
      </c>
      <c r="O653" s="9" t="s">
        <v>13284</v>
      </c>
      <c r="P653" s="9" t="s">
        <v>13284</v>
      </c>
      <c r="Q653" s="9" t="s">
        <v>13284</v>
      </c>
      <c r="R653" s="9" t="s">
        <v>13284</v>
      </c>
      <c r="S653" s="9" t="s">
        <v>13284</v>
      </c>
      <c r="T653" s="9" t="str">
        <f ca="1">IFERROR(IF(AND(VLOOKUP(A653, 'Актуальное состояние (из общего'!A:C,3,0) = "", A653 &lt;&gt; ""), "ПРОВЕРИТЬ", VLOOKUP(A653, 'Актуальное состояние (из общего'!A:C,3,0)), "")</f>
        <v>Студент</v>
      </c>
      <c r="U653" s="9" t="s">
        <v>13284</v>
      </c>
      <c r="V653" s="9" t="s">
        <v>13284</v>
      </c>
      <c r="W653" s="12"/>
      <c r="X653" s="9" t="str">
        <f t="array" ref="X653">IFERROR(INDEX('Адреса общежитий (скрытый)'!$B$2:$B$9, MATCH(W653, 'Адреса общежитий (скрытый)'!$A$2:$A$9, 0)), "")</f>
        <v/>
      </c>
      <c r="Y653" s="18"/>
      <c r="Z653" s="18"/>
      <c r="AA653" s="18"/>
      <c r="AB653" s="18"/>
      <c r="AC653" s="18"/>
    </row>
    <row r="654" spans="1:29" ht="32.25" customHeight="1">
      <c r="A654" s="8">
        <v>2308907</v>
      </c>
      <c r="B654" s="9" t="s">
        <v>13284</v>
      </c>
      <c r="C654" s="9" t="s">
        <v>13284</v>
      </c>
      <c r="D654" s="9" t="s">
        <v>13284</v>
      </c>
      <c r="E654" s="9" t="s">
        <v>13284</v>
      </c>
      <c r="F654" s="9" t="s">
        <v>13284</v>
      </c>
      <c r="G654" s="9" t="s">
        <v>13284</v>
      </c>
      <c r="H654" s="9" t="s">
        <v>13284</v>
      </c>
      <c r="I654" s="9" t="s">
        <v>13284</v>
      </c>
      <c r="J654" s="9" t="s">
        <v>13284</v>
      </c>
      <c r="K654" s="9" t="s">
        <v>13284</v>
      </c>
      <c r="L654" s="9" t="s">
        <v>13284</v>
      </c>
      <c r="M654" s="9" t="s">
        <v>13284</v>
      </c>
      <c r="N654" s="9" t="s">
        <v>13284</v>
      </c>
      <c r="O654" s="9" t="s">
        <v>13284</v>
      </c>
      <c r="P654" s="9" t="s">
        <v>13284</v>
      </c>
      <c r="Q654" s="9" t="s">
        <v>13284</v>
      </c>
      <c r="R654" s="9" t="s">
        <v>13284</v>
      </c>
      <c r="S654" s="9" t="s">
        <v>13284</v>
      </c>
      <c r="T654" s="9" t="str">
        <f ca="1">IFERROR(IF(AND(VLOOKUP(A654, 'Актуальное состояние (из общего'!A:C,3,0) = "", A654 &lt;&gt; ""), "ПРОВЕРИТЬ", VLOOKUP(A654, 'Актуальное состояние (из общего'!A:C,3,0)), "")</f>
        <v>Студент</v>
      </c>
      <c r="U654" s="9" t="s">
        <v>13284</v>
      </c>
      <c r="V654" s="9" t="s">
        <v>13284</v>
      </c>
      <c r="W654" s="12"/>
      <c r="X654" s="9" t="str">
        <f t="array" ref="X654">IFERROR(INDEX('Адреса общежитий (скрытый)'!$B$2:$B$9, MATCH(W654, 'Адреса общежитий (скрытый)'!$A$2:$A$9, 0)), "")</f>
        <v/>
      </c>
      <c r="Y654" s="18"/>
      <c r="Z654" s="18"/>
      <c r="AA654" s="18"/>
      <c r="AB654" s="18"/>
      <c r="AC654" s="18"/>
    </row>
    <row r="655" spans="1:29" ht="32.25" customHeight="1">
      <c r="A655" s="8">
        <v>2307048</v>
      </c>
      <c r="B655" s="9" t="s">
        <v>13284</v>
      </c>
      <c r="C655" s="9" t="s">
        <v>13284</v>
      </c>
      <c r="D655" s="9" t="s">
        <v>13284</v>
      </c>
      <c r="E655" s="9" t="s">
        <v>13284</v>
      </c>
      <c r="F655" s="9" t="s">
        <v>13284</v>
      </c>
      <c r="G655" s="9" t="s">
        <v>13284</v>
      </c>
      <c r="H655" s="9" t="s">
        <v>13284</v>
      </c>
      <c r="I655" s="9" t="s">
        <v>13284</v>
      </c>
      <c r="J655" s="9" t="s">
        <v>13284</v>
      </c>
      <c r="K655" s="9" t="s">
        <v>13284</v>
      </c>
      <c r="L655" s="9" t="s">
        <v>13284</v>
      </c>
      <c r="M655" s="9" t="s">
        <v>13284</v>
      </c>
      <c r="N655" s="9" t="s">
        <v>13284</v>
      </c>
      <c r="O655" s="9" t="s">
        <v>13284</v>
      </c>
      <c r="P655" s="9" t="s">
        <v>13284</v>
      </c>
      <c r="Q655" s="9" t="s">
        <v>13284</v>
      </c>
      <c r="R655" s="9" t="s">
        <v>13284</v>
      </c>
      <c r="S655" s="9" t="s">
        <v>13284</v>
      </c>
      <c r="T655" s="9" t="str">
        <f ca="1">IFERROR(IF(AND(VLOOKUP(A655, 'Актуальное состояние (из общего'!A:C,3,0) = "", A655 &lt;&gt; ""), "ПРОВЕРИТЬ", VLOOKUP(A655, 'Актуальное состояние (из общего'!A:C,3,0)), "")</f>
        <v>Студент</v>
      </c>
      <c r="U655" s="9" t="s">
        <v>13284</v>
      </c>
      <c r="V655" s="9" t="s">
        <v>13284</v>
      </c>
      <c r="W655" s="12"/>
      <c r="X655" s="9" t="str">
        <f t="array" ref="X655">IFERROR(INDEX('Адреса общежитий (скрытый)'!$B$2:$B$9, MATCH(W655, 'Адреса общежитий (скрытый)'!$A$2:$A$9, 0)), "")</f>
        <v/>
      </c>
      <c r="Y655" s="18"/>
      <c r="Z655" s="18"/>
      <c r="AA655" s="18"/>
      <c r="AB655" s="18"/>
      <c r="AC655" s="18"/>
    </row>
    <row r="656" spans="1:29" ht="32.25" customHeight="1">
      <c r="A656" s="8">
        <v>2307173</v>
      </c>
      <c r="B656" s="9" t="s">
        <v>13284</v>
      </c>
      <c r="C656" s="9" t="s">
        <v>13284</v>
      </c>
      <c r="D656" s="9" t="s">
        <v>13284</v>
      </c>
      <c r="E656" s="9" t="s">
        <v>13284</v>
      </c>
      <c r="F656" s="9" t="s">
        <v>13284</v>
      </c>
      <c r="G656" s="9" t="s">
        <v>13284</v>
      </c>
      <c r="H656" s="9" t="s">
        <v>13284</v>
      </c>
      <c r="I656" s="9" t="s">
        <v>13284</v>
      </c>
      <c r="J656" s="9" t="s">
        <v>13284</v>
      </c>
      <c r="K656" s="9" t="s">
        <v>13284</v>
      </c>
      <c r="L656" s="9" t="s">
        <v>13284</v>
      </c>
      <c r="M656" s="9" t="s">
        <v>13284</v>
      </c>
      <c r="N656" s="9" t="s">
        <v>13284</v>
      </c>
      <c r="O656" s="9" t="s">
        <v>13284</v>
      </c>
      <c r="P656" s="9" t="s">
        <v>13284</v>
      </c>
      <c r="Q656" s="9" t="s">
        <v>13284</v>
      </c>
      <c r="R656" s="9" t="s">
        <v>13284</v>
      </c>
      <c r="S656" s="9" t="s">
        <v>13284</v>
      </c>
      <c r="T656" s="9" t="str">
        <f ca="1">IFERROR(IF(AND(VLOOKUP(A656, 'Актуальное состояние (из общего'!A:C,3,0) = "", A656 &lt;&gt; ""), "ПРОВЕРИТЬ", VLOOKUP(A656, 'Актуальное состояние (из общего'!A:C,3,0)), "")</f>
        <v>Студент</v>
      </c>
      <c r="U656" s="9" t="s">
        <v>13284</v>
      </c>
      <c r="V656" s="9" t="s">
        <v>13284</v>
      </c>
      <c r="W656" s="12"/>
      <c r="X656" s="9" t="str">
        <f t="array" ref="X656">IFERROR(INDEX('Адреса общежитий (скрытый)'!$B$2:$B$9, MATCH(W656, 'Адреса общежитий (скрытый)'!$A$2:$A$9, 0)), "")</f>
        <v/>
      </c>
      <c r="Y656" s="18"/>
      <c r="Z656" s="18"/>
      <c r="AA656" s="18"/>
      <c r="AB656" s="18"/>
      <c r="AC656" s="18"/>
    </row>
    <row r="657" spans="1:29" ht="32.25" hidden="1" customHeight="1">
      <c r="A657" s="8">
        <v>2303673</v>
      </c>
      <c r="B657" s="9" t="s">
        <v>13284</v>
      </c>
      <c r="C657" s="9" t="s">
        <v>13284</v>
      </c>
      <c r="D657" s="9" t="s">
        <v>13284</v>
      </c>
      <c r="E657" s="9" t="s">
        <v>13284</v>
      </c>
      <c r="F657" s="9" t="s">
        <v>13284</v>
      </c>
      <c r="G657" s="9" t="s">
        <v>13284</v>
      </c>
      <c r="H657" s="9" t="s">
        <v>13284</v>
      </c>
      <c r="I657" s="9" t="s">
        <v>13284</v>
      </c>
      <c r="J657" s="9" t="s">
        <v>13284</v>
      </c>
      <c r="K657" s="9" t="s">
        <v>13284</v>
      </c>
      <c r="L657" s="9" t="s">
        <v>13284</v>
      </c>
      <c r="M657" s="9" t="s">
        <v>13284</v>
      </c>
      <c r="N657" s="9" t="s">
        <v>13284</v>
      </c>
      <c r="O657" s="9" t="s">
        <v>13284</v>
      </c>
      <c r="P657" s="9" t="s">
        <v>13284</v>
      </c>
      <c r="Q657" s="9" t="s">
        <v>13284</v>
      </c>
      <c r="R657" s="9" t="s">
        <v>13284</v>
      </c>
      <c r="S657" s="9" t="s">
        <v>13284</v>
      </c>
      <c r="T657" s="9" t="str">
        <f ca="1">IFERROR(IF(AND(VLOOKUP(A657, 'Актуальное состояние (из общего'!A:C,3,0) = "", A657 &lt;&gt; ""), "ПРОВЕРИТЬ", VLOOKUP(A657, 'Актуальное состояние (из общего'!A:C,3,0)), "")</f>
        <v>Студент</v>
      </c>
      <c r="U657" s="9" t="s">
        <v>13284</v>
      </c>
      <c r="V657" s="9" t="s">
        <v>13284</v>
      </c>
      <c r="W657" s="12"/>
      <c r="X657" s="9" t="str">
        <f t="array" ref="X657">IFERROR(INDEX('Адреса общежитий (скрытый)'!$B$2:$B$9, MATCH(W657, 'Адреса общежитий (скрытый)'!$A$2:$A$9, 0)), "")</f>
        <v/>
      </c>
      <c r="Y657" s="18"/>
      <c r="Z657" s="18"/>
      <c r="AA657" s="18"/>
      <c r="AB657" s="18"/>
      <c r="AC657" s="18"/>
    </row>
    <row r="658" spans="1:29" ht="32.25" customHeight="1">
      <c r="A658" s="8">
        <v>2310483</v>
      </c>
      <c r="B658" s="9" t="s">
        <v>13284</v>
      </c>
      <c r="C658" s="9" t="s">
        <v>13284</v>
      </c>
      <c r="D658" s="9" t="s">
        <v>13284</v>
      </c>
      <c r="E658" s="9" t="s">
        <v>13284</v>
      </c>
      <c r="F658" s="9" t="s">
        <v>13284</v>
      </c>
      <c r="G658" s="9" t="s">
        <v>13284</v>
      </c>
      <c r="H658" s="9" t="s">
        <v>13284</v>
      </c>
      <c r="I658" s="9" t="s">
        <v>13284</v>
      </c>
      <c r="J658" s="9" t="s">
        <v>13284</v>
      </c>
      <c r="K658" s="9" t="s">
        <v>13284</v>
      </c>
      <c r="L658" s="9" t="s">
        <v>13284</v>
      </c>
      <c r="M658" s="9" t="s">
        <v>13284</v>
      </c>
      <c r="N658" s="9" t="s">
        <v>13284</v>
      </c>
      <c r="O658" s="9" t="s">
        <v>13284</v>
      </c>
      <c r="P658" s="9" t="s">
        <v>13284</v>
      </c>
      <c r="Q658" s="9" t="s">
        <v>13284</v>
      </c>
      <c r="R658" s="9" t="s">
        <v>13284</v>
      </c>
      <c r="S658" s="9" t="s">
        <v>13284</v>
      </c>
      <c r="T658" s="9" t="str">
        <f ca="1">IFERROR(IF(AND(VLOOKUP(A658, 'Актуальное состояние (из общего'!A:C,3,0) = "", A658 &lt;&gt; ""), "ПРОВЕРИТЬ", VLOOKUP(A658, 'Актуальное состояние (из общего'!A:C,3,0)), "")</f>
        <v>Студент</v>
      </c>
      <c r="U658" s="9" t="s">
        <v>13284</v>
      </c>
      <c r="V658" s="9" t="s">
        <v>13284</v>
      </c>
      <c r="W658" s="12"/>
      <c r="X658" s="9" t="str">
        <f t="array" ref="X658">IFERROR(INDEX('Адреса общежитий (скрытый)'!$B$2:$B$9, MATCH(W658, 'Адреса общежитий (скрытый)'!$A$2:$A$9, 0)), "")</f>
        <v/>
      </c>
      <c r="Y658" s="18"/>
      <c r="Z658" s="18"/>
      <c r="AA658" s="18"/>
      <c r="AB658" s="18"/>
      <c r="AC658" s="18"/>
    </row>
    <row r="659" spans="1:29" ht="32.25" customHeight="1">
      <c r="A659" s="8">
        <v>2305002</v>
      </c>
      <c r="B659" s="9" t="s">
        <v>13284</v>
      </c>
      <c r="C659" s="9" t="s">
        <v>13284</v>
      </c>
      <c r="D659" s="9" t="s">
        <v>13284</v>
      </c>
      <c r="E659" s="9" t="s">
        <v>13284</v>
      </c>
      <c r="F659" s="9" t="s">
        <v>13284</v>
      </c>
      <c r="G659" s="9" t="s">
        <v>13284</v>
      </c>
      <c r="H659" s="9" t="s">
        <v>13284</v>
      </c>
      <c r="I659" s="9" t="s">
        <v>13284</v>
      </c>
      <c r="J659" s="9" t="s">
        <v>13284</v>
      </c>
      <c r="K659" s="9" t="s">
        <v>13284</v>
      </c>
      <c r="L659" s="9" t="s">
        <v>13284</v>
      </c>
      <c r="M659" s="9" t="s">
        <v>13284</v>
      </c>
      <c r="N659" s="9" t="s">
        <v>13284</v>
      </c>
      <c r="O659" s="9" t="s">
        <v>13284</v>
      </c>
      <c r="P659" s="9" t="s">
        <v>13284</v>
      </c>
      <c r="Q659" s="9" t="s">
        <v>13284</v>
      </c>
      <c r="R659" s="9" t="s">
        <v>13284</v>
      </c>
      <c r="S659" s="9" t="s">
        <v>13284</v>
      </c>
      <c r="T659" s="9" t="str">
        <f ca="1">IFERROR(IF(AND(VLOOKUP(A659, 'Актуальное состояние (из общего'!A:C,3,0) = "", A659 &lt;&gt; ""), "ПРОВЕРИТЬ", VLOOKUP(A659, 'Актуальное состояние (из общего'!A:C,3,0)), "")</f>
        <v>Студент</v>
      </c>
      <c r="U659" s="9" t="s">
        <v>13284</v>
      </c>
      <c r="V659" s="9" t="s">
        <v>13284</v>
      </c>
      <c r="W659" s="12"/>
      <c r="X659" s="9" t="str">
        <f t="array" ref="X659">IFERROR(INDEX('Адреса общежитий (скрытый)'!$B$2:$B$9, MATCH(W659, 'Адреса общежитий (скрытый)'!$A$2:$A$9, 0)), "")</f>
        <v/>
      </c>
      <c r="Y659" s="18"/>
      <c r="Z659" s="18"/>
      <c r="AA659" s="18"/>
      <c r="AB659" s="18"/>
      <c r="AC659" s="18"/>
    </row>
    <row r="660" spans="1:29" ht="32.25" customHeight="1">
      <c r="A660" s="8">
        <v>2308488</v>
      </c>
      <c r="B660" s="9" t="s">
        <v>13284</v>
      </c>
      <c r="C660" s="9" t="s">
        <v>13284</v>
      </c>
      <c r="D660" s="9" t="s">
        <v>13284</v>
      </c>
      <c r="E660" s="9" t="s">
        <v>13284</v>
      </c>
      <c r="F660" s="9" t="s">
        <v>13284</v>
      </c>
      <c r="G660" s="9" t="s">
        <v>13284</v>
      </c>
      <c r="H660" s="9" t="s">
        <v>13284</v>
      </c>
      <c r="I660" s="9" t="s">
        <v>13284</v>
      </c>
      <c r="J660" s="9" t="s">
        <v>13284</v>
      </c>
      <c r="K660" s="9" t="s">
        <v>13284</v>
      </c>
      <c r="L660" s="9" t="s">
        <v>13284</v>
      </c>
      <c r="M660" s="9" t="s">
        <v>13284</v>
      </c>
      <c r="N660" s="9" t="s">
        <v>13284</v>
      </c>
      <c r="O660" s="9" t="s">
        <v>13284</v>
      </c>
      <c r="P660" s="9" t="s">
        <v>13284</v>
      </c>
      <c r="Q660" s="9" t="s">
        <v>13284</v>
      </c>
      <c r="R660" s="9" t="s">
        <v>13284</v>
      </c>
      <c r="S660" s="9" t="s">
        <v>13284</v>
      </c>
      <c r="T660" s="9" t="str">
        <f ca="1">IFERROR(IF(AND(VLOOKUP(A660, 'Актуальное состояние (из общего'!A:C,3,0) = "", A660 &lt;&gt; ""), "ПРОВЕРИТЬ", VLOOKUP(A660, 'Актуальное состояние (из общего'!A:C,3,0)), "")</f>
        <v>Студент</v>
      </c>
      <c r="U660" s="9" t="s">
        <v>13284</v>
      </c>
      <c r="V660" s="9" t="s">
        <v>13284</v>
      </c>
      <c r="W660" s="12"/>
      <c r="X660" s="9" t="str">
        <f t="array" ref="X660">IFERROR(INDEX('Адреса общежитий (скрытый)'!$B$2:$B$9, MATCH(W660, 'Адреса общежитий (скрытый)'!$A$2:$A$9, 0)), "")</f>
        <v/>
      </c>
      <c r="Y660" s="18"/>
      <c r="Z660" s="18"/>
      <c r="AA660" s="18"/>
      <c r="AB660" s="18"/>
      <c r="AC660" s="18"/>
    </row>
    <row r="661" spans="1:29" ht="32.25" hidden="1" customHeight="1">
      <c r="A661" s="8">
        <v>2307709</v>
      </c>
      <c r="B661" s="9" t="s">
        <v>13284</v>
      </c>
      <c r="C661" s="9" t="s">
        <v>13284</v>
      </c>
      <c r="D661" s="9" t="s">
        <v>13284</v>
      </c>
      <c r="E661" s="9" t="s">
        <v>13284</v>
      </c>
      <c r="F661" s="9" t="s">
        <v>13284</v>
      </c>
      <c r="G661" s="9" t="s">
        <v>13284</v>
      </c>
      <c r="H661" s="9" t="s">
        <v>13284</v>
      </c>
      <c r="I661" s="9" t="s">
        <v>13284</v>
      </c>
      <c r="J661" s="9" t="s">
        <v>13284</v>
      </c>
      <c r="K661" s="9" t="s">
        <v>13284</v>
      </c>
      <c r="L661" s="9" t="s">
        <v>13284</v>
      </c>
      <c r="M661" s="9" t="s">
        <v>13284</v>
      </c>
      <c r="N661" s="9" t="s">
        <v>13284</v>
      </c>
      <c r="O661" s="9" t="s">
        <v>13284</v>
      </c>
      <c r="P661" s="9" t="s">
        <v>13284</v>
      </c>
      <c r="Q661" s="9" t="s">
        <v>13284</v>
      </c>
      <c r="R661" s="9" t="s">
        <v>13284</v>
      </c>
      <c r="S661" s="9" t="s">
        <v>13284</v>
      </c>
      <c r="T661" s="9" t="str">
        <f ca="1">IFERROR(IF(AND(VLOOKUP(A661, 'Актуальное состояние (из общего'!A:C,3,0) = "", A661 &lt;&gt; ""), "ПРОВЕРИТЬ", VLOOKUP(A661, 'Актуальное состояние (из общего'!A:C,3,0)), "")</f>
        <v>Студент</v>
      </c>
      <c r="U661" s="9" t="s">
        <v>13284</v>
      </c>
      <c r="V661" s="9" t="s">
        <v>13284</v>
      </c>
      <c r="W661" s="12"/>
      <c r="X661" s="9" t="str">
        <f t="array" ref="X661">IFERROR(INDEX('Адреса общежитий (скрытый)'!$B$2:$B$9, MATCH(W661, 'Адреса общежитий (скрытый)'!$A$2:$A$9, 0)), "")</f>
        <v/>
      </c>
      <c r="Y661" s="18"/>
      <c r="Z661" s="18"/>
      <c r="AA661" s="18"/>
      <c r="AB661" s="18"/>
      <c r="AC661" s="18"/>
    </row>
    <row r="662" spans="1:29" ht="32.25" customHeight="1">
      <c r="A662" s="8">
        <v>2312039</v>
      </c>
      <c r="B662" s="9" t="s">
        <v>13284</v>
      </c>
      <c r="C662" s="9" t="s">
        <v>13284</v>
      </c>
      <c r="D662" s="9" t="s">
        <v>13284</v>
      </c>
      <c r="E662" s="9" t="s">
        <v>13284</v>
      </c>
      <c r="F662" s="9" t="s">
        <v>13284</v>
      </c>
      <c r="G662" s="9" t="s">
        <v>13284</v>
      </c>
      <c r="H662" s="9" t="s">
        <v>13284</v>
      </c>
      <c r="I662" s="9" t="s">
        <v>13284</v>
      </c>
      <c r="J662" s="9" t="s">
        <v>13284</v>
      </c>
      <c r="K662" s="9" t="s">
        <v>13284</v>
      </c>
      <c r="L662" s="9" t="s">
        <v>13284</v>
      </c>
      <c r="M662" s="9" t="s">
        <v>13284</v>
      </c>
      <c r="N662" s="9" t="s">
        <v>13284</v>
      </c>
      <c r="O662" s="9" t="s">
        <v>13284</v>
      </c>
      <c r="P662" s="9" t="s">
        <v>13284</v>
      </c>
      <c r="Q662" s="9" t="s">
        <v>13284</v>
      </c>
      <c r="R662" s="9" t="s">
        <v>13284</v>
      </c>
      <c r="S662" s="9" t="s">
        <v>13284</v>
      </c>
      <c r="T662" s="9" t="str">
        <f ca="1">IFERROR(IF(AND(VLOOKUP(A662, 'Актуальное состояние (из общего'!A:C,3,0) = "", A662 &lt;&gt; ""), "ПРОВЕРИТЬ", VLOOKUP(A662, 'Актуальное состояние (из общего'!A:C,3,0)), "")</f>
        <v>Студент</v>
      </c>
      <c r="U662" s="9" t="s">
        <v>13284</v>
      </c>
      <c r="V662" s="9" t="s">
        <v>13284</v>
      </c>
      <c r="W662" s="12"/>
      <c r="X662" s="9" t="str">
        <f t="array" ref="X662">IFERROR(INDEX('Адреса общежитий (скрытый)'!$B$2:$B$9, MATCH(W662, 'Адреса общежитий (скрытый)'!$A$2:$A$9, 0)), "")</f>
        <v/>
      </c>
      <c r="Y662" s="18"/>
      <c r="Z662" s="18"/>
      <c r="AA662" s="18"/>
      <c r="AB662" s="18"/>
      <c r="AC662" s="18"/>
    </row>
    <row r="663" spans="1:29" ht="32.25" hidden="1" customHeight="1">
      <c r="A663" s="8">
        <v>2300861</v>
      </c>
      <c r="B663" s="9" t="s">
        <v>13284</v>
      </c>
      <c r="C663" s="9" t="s">
        <v>13284</v>
      </c>
      <c r="D663" s="9" t="s">
        <v>13284</v>
      </c>
      <c r="E663" s="9" t="s">
        <v>13284</v>
      </c>
      <c r="F663" s="9" t="s">
        <v>13284</v>
      </c>
      <c r="G663" s="9" t="s">
        <v>13284</v>
      </c>
      <c r="H663" s="9" t="s">
        <v>13284</v>
      </c>
      <c r="I663" s="9" t="s">
        <v>13284</v>
      </c>
      <c r="J663" s="9" t="s">
        <v>13284</v>
      </c>
      <c r="K663" s="9" t="s">
        <v>13284</v>
      </c>
      <c r="L663" s="9" t="s">
        <v>13284</v>
      </c>
      <c r="M663" s="9" t="s">
        <v>13284</v>
      </c>
      <c r="N663" s="9" t="s">
        <v>13284</v>
      </c>
      <c r="O663" s="9" t="s">
        <v>13284</v>
      </c>
      <c r="P663" s="9" t="s">
        <v>13284</v>
      </c>
      <c r="Q663" s="9" t="s">
        <v>13284</v>
      </c>
      <c r="R663" s="9" t="s">
        <v>13284</v>
      </c>
      <c r="S663" s="9" t="s">
        <v>13284</v>
      </c>
      <c r="T663" s="9" t="str">
        <f ca="1">IFERROR(IF(AND(VLOOKUP(A663, 'Актуальное состояние (из общего'!A:C,3,0) = "", A663 &lt;&gt; ""), "ПРОВЕРИТЬ", VLOOKUP(A663, 'Актуальное состояние (из общего'!A:C,3,0)), "")</f>
        <v>Студент</v>
      </c>
      <c r="U663" s="9" t="s">
        <v>13284</v>
      </c>
      <c r="V663" s="9" t="s">
        <v>13284</v>
      </c>
      <c r="W663" s="12"/>
      <c r="X663" s="9" t="str">
        <f t="array" ref="X663">IFERROR(INDEX('Адреса общежитий (скрытый)'!$B$2:$B$9, MATCH(W663, 'Адреса общежитий (скрытый)'!$A$2:$A$9, 0)), "")</f>
        <v/>
      </c>
      <c r="Y663" s="18"/>
      <c r="Z663" s="18"/>
      <c r="AA663" s="18"/>
      <c r="AB663" s="18"/>
      <c r="AC663" s="18"/>
    </row>
    <row r="664" spans="1:29" ht="32.25" hidden="1" customHeight="1">
      <c r="A664" s="8">
        <v>2309378</v>
      </c>
      <c r="B664" s="9" t="s">
        <v>13284</v>
      </c>
      <c r="C664" s="9" t="s">
        <v>13284</v>
      </c>
      <c r="D664" s="9" t="s">
        <v>13284</v>
      </c>
      <c r="E664" s="9" t="s">
        <v>13284</v>
      </c>
      <c r="F664" s="9" t="s">
        <v>13284</v>
      </c>
      <c r="G664" s="9" t="s">
        <v>13284</v>
      </c>
      <c r="H664" s="9" t="s">
        <v>13284</v>
      </c>
      <c r="I664" s="9" t="s">
        <v>13284</v>
      </c>
      <c r="J664" s="9" t="s">
        <v>13284</v>
      </c>
      <c r="K664" s="9" t="s">
        <v>13284</v>
      </c>
      <c r="L664" s="9" t="s">
        <v>13284</v>
      </c>
      <c r="M664" s="9" t="s">
        <v>13284</v>
      </c>
      <c r="N664" s="9" t="s">
        <v>13284</v>
      </c>
      <c r="O664" s="9" t="s">
        <v>13284</v>
      </c>
      <c r="P664" s="9" t="s">
        <v>13284</v>
      </c>
      <c r="Q664" s="9" t="s">
        <v>13284</v>
      </c>
      <c r="R664" s="9" t="s">
        <v>13284</v>
      </c>
      <c r="S664" s="9" t="s">
        <v>13284</v>
      </c>
      <c r="T664" s="9" t="str">
        <f ca="1">IFERROR(IF(AND(VLOOKUP(A664, 'Актуальное состояние (из общего'!A:C,3,0) = "", A664 &lt;&gt; ""), "ПРОВЕРИТЬ", VLOOKUP(A664, 'Актуальное состояние (из общего'!A:C,3,0)), "")</f>
        <v>Студент</v>
      </c>
      <c r="U664" s="9" t="s">
        <v>13284</v>
      </c>
      <c r="V664" s="9" t="s">
        <v>13284</v>
      </c>
      <c r="W664" s="12"/>
      <c r="X664" s="9" t="str">
        <f t="array" ref="X664">IFERROR(INDEX('Адреса общежитий (скрытый)'!$B$2:$B$9, MATCH(W664, 'Адреса общежитий (скрытый)'!$A$2:$A$9, 0)), "")</f>
        <v/>
      </c>
      <c r="Y664" s="18"/>
      <c r="Z664" s="18"/>
      <c r="AA664" s="18"/>
      <c r="AB664" s="18"/>
      <c r="AC664" s="18"/>
    </row>
    <row r="665" spans="1:29" ht="32.25" customHeight="1">
      <c r="A665" s="8">
        <v>2308054</v>
      </c>
      <c r="B665" s="9" t="s">
        <v>13284</v>
      </c>
      <c r="C665" s="9" t="s">
        <v>13284</v>
      </c>
      <c r="D665" s="9" t="s">
        <v>13284</v>
      </c>
      <c r="E665" s="9" t="s">
        <v>13284</v>
      </c>
      <c r="F665" s="9" t="s">
        <v>13284</v>
      </c>
      <c r="G665" s="9" t="s">
        <v>13284</v>
      </c>
      <c r="H665" s="9" t="s">
        <v>13284</v>
      </c>
      <c r="I665" s="9" t="s">
        <v>13284</v>
      </c>
      <c r="J665" s="9" t="s">
        <v>13284</v>
      </c>
      <c r="K665" s="9" t="s">
        <v>13284</v>
      </c>
      <c r="L665" s="9" t="s">
        <v>13284</v>
      </c>
      <c r="M665" s="9" t="s">
        <v>13284</v>
      </c>
      <c r="N665" s="9" t="s">
        <v>13284</v>
      </c>
      <c r="O665" s="9" t="s">
        <v>13284</v>
      </c>
      <c r="P665" s="9" t="s">
        <v>13284</v>
      </c>
      <c r="Q665" s="9" t="s">
        <v>13284</v>
      </c>
      <c r="R665" s="9" t="s">
        <v>13284</v>
      </c>
      <c r="S665" s="9" t="s">
        <v>13284</v>
      </c>
      <c r="T665" s="9" t="str">
        <f ca="1">IFERROR(IF(AND(VLOOKUP(A665, 'Актуальное состояние (из общего'!A:C,3,0) = "", A665 &lt;&gt; ""), "ПРОВЕРИТЬ", VLOOKUP(A665, 'Актуальное состояние (из общего'!A:C,3,0)), "")</f>
        <v>Студент</v>
      </c>
      <c r="U665" s="9" t="s">
        <v>13284</v>
      </c>
      <c r="V665" s="9" t="s">
        <v>13284</v>
      </c>
      <c r="W665" s="12"/>
      <c r="X665" s="9" t="str">
        <f t="array" ref="X665">IFERROR(INDEX('Адреса общежитий (скрытый)'!$B$2:$B$9, MATCH(W665, 'Адреса общежитий (скрытый)'!$A$2:$A$9, 0)), "")</f>
        <v/>
      </c>
      <c r="Y665" s="18"/>
      <c r="Z665" s="18"/>
      <c r="AA665" s="18"/>
      <c r="AB665" s="18"/>
      <c r="AC665" s="18"/>
    </row>
    <row r="666" spans="1:29" ht="32.25" customHeight="1">
      <c r="A666" s="8">
        <v>2307680</v>
      </c>
      <c r="B666" s="9" t="s">
        <v>13284</v>
      </c>
      <c r="C666" s="9" t="s">
        <v>13284</v>
      </c>
      <c r="D666" s="9" t="s">
        <v>13284</v>
      </c>
      <c r="E666" s="9" t="s">
        <v>13284</v>
      </c>
      <c r="F666" s="9" t="s">
        <v>13284</v>
      </c>
      <c r="G666" s="9" t="s">
        <v>13284</v>
      </c>
      <c r="H666" s="9" t="s">
        <v>13284</v>
      </c>
      <c r="I666" s="9" t="s">
        <v>13284</v>
      </c>
      <c r="J666" s="9" t="s">
        <v>13284</v>
      </c>
      <c r="K666" s="9" t="s">
        <v>13284</v>
      </c>
      <c r="L666" s="9" t="s">
        <v>13284</v>
      </c>
      <c r="M666" s="9" t="s">
        <v>13284</v>
      </c>
      <c r="N666" s="9" t="s">
        <v>13284</v>
      </c>
      <c r="O666" s="9" t="s">
        <v>13284</v>
      </c>
      <c r="P666" s="9" t="s">
        <v>13284</v>
      </c>
      <c r="Q666" s="9" t="s">
        <v>13284</v>
      </c>
      <c r="R666" s="9" t="s">
        <v>13284</v>
      </c>
      <c r="S666" s="9" t="s">
        <v>13284</v>
      </c>
      <c r="T666" s="9" t="str">
        <f ca="1">IFERROR(IF(AND(VLOOKUP(A666, 'Актуальное состояние (из общего'!A:C,3,0) = "", A666 &lt;&gt; ""), "ПРОВЕРИТЬ", VLOOKUP(A666, 'Актуальное состояние (из общего'!A:C,3,0)), "")</f>
        <v>Студент</v>
      </c>
      <c r="U666" s="9" t="s">
        <v>13284</v>
      </c>
      <c r="V666" s="9" t="s">
        <v>13284</v>
      </c>
      <c r="W666" s="12"/>
      <c r="X666" s="9" t="str">
        <f t="array" ref="X666">IFERROR(INDEX('Адреса общежитий (скрытый)'!$B$2:$B$9, MATCH(W666, 'Адреса общежитий (скрытый)'!$A$2:$A$9, 0)), "")</f>
        <v/>
      </c>
      <c r="Y666" s="18"/>
      <c r="Z666" s="18"/>
      <c r="AA666" s="18"/>
      <c r="AB666" s="18"/>
      <c r="AC666" s="18"/>
    </row>
    <row r="667" spans="1:29" ht="32.25" hidden="1" customHeight="1">
      <c r="A667" s="8">
        <v>2313861</v>
      </c>
      <c r="B667" s="9" t="s">
        <v>13284</v>
      </c>
      <c r="C667" s="9" t="s">
        <v>13284</v>
      </c>
      <c r="D667" s="9" t="s">
        <v>13284</v>
      </c>
      <c r="E667" s="9" t="s">
        <v>13284</v>
      </c>
      <c r="F667" s="9" t="s">
        <v>13284</v>
      </c>
      <c r="G667" s="9" t="s">
        <v>13284</v>
      </c>
      <c r="H667" s="9" t="s">
        <v>13284</v>
      </c>
      <c r="I667" s="9" t="s">
        <v>13284</v>
      </c>
      <c r="J667" s="9" t="s">
        <v>13284</v>
      </c>
      <c r="K667" s="9" t="s">
        <v>13284</v>
      </c>
      <c r="L667" s="9" t="s">
        <v>13284</v>
      </c>
      <c r="M667" s="9" t="s">
        <v>13284</v>
      </c>
      <c r="N667" s="9" t="s">
        <v>13284</v>
      </c>
      <c r="O667" s="9" t="s">
        <v>13284</v>
      </c>
      <c r="P667" s="9" t="s">
        <v>13284</v>
      </c>
      <c r="Q667" s="9" t="s">
        <v>13284</v>
      </c>
      <c r="R667" s="9" t="s">
        <v>13284</v>
      </c>
      <c r="S667" s="9" t="s">
        <v>13284</v>
      </c>
      <c r="T667" s="9" t="str">
        <f ca="1">IFERROR(IF(AND(VLOOKUP(A667, 'Актуальное состояние (из общего'!A:C,3,0) = "", A667 &lt;&gt; ""), "ПРОВЕРИТЬ", VLOOKUP(A667, 'Актуальное состояние (из общего'!A:C,3,0)), "")</f>
        <v>Студент</v>
      </c>
      <c r="U667" s="9" t="s">
        <v>13284</v>
      </c>
      <c r="V667" s="9" t="s">
        <v>13284</v>
      </c>
      <c r="W667" s="12"/>
      <c r="X667" s="9" t="str">
        <f t="array" ref="X667">IFERROR(INDEX('Адреса общежитий (скрытый)'!$B$2:$B$9, MATCH(W667, 'Адреса общежитий (скрытый)'!$A$2:$A$9, 0)), "")</f>
        <v/>
      </c>
      <c r="Y667" s="18"/>
      <c r="Z667" s="18"/>
      <c r="AA667" s="18"/>
      <c r="AB667" s="18"/>
      <c r="AC667" s="18"/>
    </row>
    <row r="668" spans="1:29" ht="32.25" customHeight="1">
      <c r="A668" s="8">
        <v>2311330</v>
      </c>
      <c r="B668" s="9" t="s">
        <v>13284</v>
      </c>
      <c r="C668" s="9" t="s">
        <v>13284</v>
      </c>
      <c r="D668" s="9" t="s">
        <v>13284</v>
      </c>
      <c r="E668" s="9" t="s">
        <v>13284</v>
      </c>
      <c r="F668" s="9" t="s">
        <v>13284</v>
      </c>
      <c r="G668" s="9" t="s">
        <v>13284</v>
      </c>
      <c r="H668" s="9" t="s">
        <v>13284</v>
      </c>
      <c r="I668" s="9" t="s">
        <v>13284</v>
      </c>
      <c r="J668" s="9" t="s">
        <v>13284</v>
      </c>
      <c r="K668" s="9" t="s">
        <v>13284</v>
      </c>
      <c r="L668" s="9" t="s">
        <v>13284</v>
      </c>
      <c r="M668" s="9" t="s">
        <v>13284</v>
      </c>
      <c r="N668" s="9" t="s">
        <v>13284</v>
      </c>
      <c r="O668" s="9" t="s">
        <v>13284</v>
      </c>
      <c r="P668" s="9" t="s">
        <v>13284</v>
      </c>
      <c r="Q668" s="9" t="s">
        <v>13284</v>
      </c>
      <c r="R668" s="9" t="s">
        <v>13284</v>
      </c>
      <c r="S668" s="9" t="s">
        <v>13284</v>
      </c>
      <c r="T668" s="9" t="str">
        <f ca="1">IFERROR(IF(AND(VLOOKUP(A668, 'Актуальное состояние (из общего'!A:C,3,0) = "", A668 &lt;&gt; ""), "ПРОВЕРИТЬ", VLOOKUP(A668, 'Актуальное состояние (из общего'!A:C,3,0)), "")</f>
        <v>Студент</v>
      </c>
      <c r="U668" s="9" t="s">
        <v>13284</v>
      </c>
      <c r="V668" s="9" t="s">
        <v>13284</v>
      </c>
      <c r="W668" s="12"/>
      <c r="X668" s="9" t="str">
        <f t="array" ref="X668">IFERROR(INDEX('Адреса общежитий (скрытый)'!$B$2:$B$9, MATCH(W668, 'Адреса общежитий (скрытый)'!$A$2:$A$9, 0)), "")</f>
        <v/>
      </c>
      <c r="Y668" s="18"/>
      <c r="Z668" s="18"/>
      <c r="AA668" s="18"/>
      <c r="AB668" s="18"/>
      <c r="AC668" s="18"/>
    </row>
    <row r="669" spans="1:29" ht="32.25" hidden="1" customHeight="1">
      <c r="A669" s="8">
        <v>2303003</v>
      </c>
      <c r="B669" s="9" t="s">
        <v>13284</v>
      </c>
      <c r="C669" s="9" t="s">
        <v>13284</v>
      </c>
      <c r="D669" s="9" t="s">
        <v>13284</v>
      </c>
      <c r="E669" s="9" t="s">
        <v>13284</v>
      </c>
      <c r="F669" s="9" t="s">
        <v>13284</v>
      </c>
      <c r="G669" s="9" t="s">
        <v>13284</v>
      </c>
      <c r="H669" s="9" t="s">
        <v>13284</v>
      </c>
      <c r="I669" s="9" t="s">
        <v>13284</v>
      </c>
      <c r="J669" s="9" t="s">
        <v>13284</v>
      </c>
      <c r="K669" s="9" t="s">
        <v>13284</v>
      </c>
      <c r="L669" s="9" t="s">
        <v>13284</v>
      </c>
      <c r="M669" s="9" t="s">
        <v>13284</v>
      </c>
      <c r="N669" s="9" t="s">
        <v>13284</v>
      </c>
      <c r="O669" s="9" t="s">
        <v>13284</v>
      </c>
      <c r="P669" s="9" t="s">
        <v>13284</v>
      </c>
      <c r="Q669" s="9" t="s">
        <v>13284</v>
      </c>
      <c r="R669" s="9" t="s">
        <v>13284</v>
      </c>
      <c r="S669" s="9" t="s">
        <v>13284</v>
      </c>
      <c r="T669" s="9" t="str">
        <f ca="1">IFERROR(IF(AND(VLOOKUP(A669, 'Актуальное состояние (из общего'!A:C,3,0) = "", A669 &lt;&gt; ""), "ПРОВЕРИТЬ", VLOOKUP(A669, 'Актуальное состояние (из общего'!A:C,3,0)), "")</f>
        <v>Студент</v>
      </c>
      <c r="U669" s="9" t="s">
        <v>13284</v>
      </c>
      <c r="V669" s="9" t="s">
        <v>13284</v>
      </c>
      <c r="W669" s="12"/>
      <c r="X669" s="9" t="str">
        <f t="array" ref="X669">IFERROR(INDEX('Адреса общежитий (скрытый)'!$B$2:$B$9, MATCH(W669, 'Адреса общежитий (скрытый)'!$A$2:$A$9, 0)), "")</f>
        <v/>
      </c>
      <c r="Y669" s="18"/>
      <c r="Z669" s="18"/>
      <c r="AA669" s="18"/>
      <c r="AB669" s="18"/>
      <c r="AC669" s="18"/>
    </row>
    <row r="670" spans="1:29" ht="32.25" customHeight="1">
      <c r="A670" s="8">
        <v>2300299</v>
      </c>
      <c r="B670" s="9" t="s">
        <v>13284</v>
      </c>
      <c r="C670" s="9" t="s">
        <v>13284</v>
      </c>
      <c r="D670" s="9" t="s">
        <v>13284</v>
      </c>
      <c r="E670" s="9" t="s">
        <v>13284</v>
      </c>
      <c r="F670" s="9" t="s">
        <v>13284</v>
      </c>
      <c r="G670" s="9" t="s">
        <v>13284</v>
      </c>
      <c r="H670" s="9" t="s">
        <v>13284</v>
      </c>
      <c r="I670" s="9" t="s">
        <v>13284</v>
      </c>
      <c r="J670" s="9" t="s">
        <v>13284</v>
      </c>
      <c r="K670" s="9" t="s">
        <v>13284</v>
      </c>
      <c r="L670" s="9" t="s">
        <v>13284</v>
      </c>
      <c r="M670" s="9" t="s">
        <v>13284</v>
      </c>
      <c r="N670" s="9" t="s">
        <v>13284</v>
      </c>
      <c r="O670" s="9" t="s">
        <v>13284</v>
      </c>
      <c r="P670" s="9" t="s">
        <v>13284</v>
      </c>
      <c r="Q670" s="9" t="s">
        <v>13284</v>
      </c>
      <c r="R670" s="9" t="s">
        <v>13284</v>
      </c>
      <c r="S670" s="9" t="s">
        <v>13284</v>
      </c>
      <c r="T670" s="9" t="str">
        <f ca="1">IFERROR(IF(AND(VLOOKUP(A670, 'Актуальное состояние (из общего'!A:C,3,0) = "", A670 &lt;&gt; ""), "ПРОВЕРИТЬ", VLOOKUP(A670, 'Актуальное состояние (из общего'!A:C,3,0)), "")</f>
        <v>Студент</v>
      </c>
      <c r="U670" s="9" t="s">
        <v>13284</v>
      </c>
      <c r="V670" s="9" t="s">
        <v>13284</v>
      </c>
      <c r="W670" s="12"/>
      <c r="X670" s="9" t="str">
        <f t="array" ref="X670">IFERROR(INDEX('Адреса общежитий (скрытый)'!$B$2:$B$9, MATCH(W670, 'Адреса общежитий (скрытый)'!$A$2:$A$9, 0)), "")</f>
        <v/>
      </c>
      <c r="Y670" s="18"/>
      <c r="Z670" s="18"/>
      <c r="AA670" s="18"/>
      <c r="AB670" s="18"/>
      <c r="AC670" s="18"/>
    </row>
    <row r="671" spans="1:29" ht="32.25" customHeight="1">
      <c r="A671" s="8">
        <v>2302370</v>
      </c>
      <c r="B671" s="9" t="s">
        <v>13284</v>
      </c>
      <c r="C671" s="9" t="s">
        <v>13284</v>
      </c>
      <c r="D671" s="9" t="s">
        <v>13284</v>
      </c>
      <c r="E671" s="9" t="s">
        <v>13284</v>
      </c>
      <c r="F671" s="9" t="s">
        <v>13284</v>
      </c>
      <c r="G671" s="9" t="s">
        <v>13284</v>
      </c>
      <c r="H671" s="9" t="s">
        <v>13284</v>
      </c>
      <c r="I671" s="9" t="s">
        <v>13284</v>
      </c>
      <c r="J671" s="9" t="s">
        <v>13284</v>
      </c>
      <c r="K671" s="9" t="s">
        <v>13284</v>
      </c>
      <c r="L671" s="9" t="s">
        <v>13284</v>
      </c>
      <c r="M671" s="9" t="s">
        <v>13284</v>
      </c>
      <c r="N671" s="9" t="s">
        <v>13284</v>
      </c>
      <c r="O671" s="9" t="s">
        <v>13284</v>
      </c>
      <c r="P671" s="9" t="s">
        <v>13284</v>
      </c>
      <c r="Q671" s="9" t="s">
        <v>13284</v>
      </c>
      <c r="R671" s="9" t="s">
        <v>13284</v>
      </c>
      <c r="S671" s="9" t="s">
        <v>13284</v>
      </c>
      <c r="T671" s="9" t="str">
        <f ca="1">IFERROR(IF(AND(VLOOKUP(A671, 'Актуальное состояние (из общего'!A:C,3,0) = "", A671 &lt;&gt; ""), "ПРОВЕРИТЬ", VLOOKUP(A671, 'Актуальное состояние (из общего'!A:C,3,0)), "")</f>
        <v>Студент</v>
      </c>
      <c r="U671" s="9" t="s">
        <v>13284</v>
      </c>
      <c r="V671" s="9" t="s">
        <v>13284</v>
      </c>
      <c r="W671" s="12"/>
      <c r="X671" s="9" t="str">
        <f t="array" ref="X671">IFERROR(INDEX('Адреса общежитий (скрытый)'!$B$2:$B$9, MATCH(W671, 'Адреса общежитий (скрытый)'!$A$2:$A$9, 0)), "")</f>
        <v/>
      </c>
      <c r="Y671" s="18"/>
      <c r="Z671" s="18"/>
      <c r="AA671" s="18"/>
      <c r="AB671" s="18"/>
      <c r="AC671" s="18"/>
    </row>
    <row r="672" spans="1:29" ht="32.25" customHeight="1">
      <c r="A672" s="8">
        <v>2300851</v>
      </c>
      <c r="B672" s="9" t="s">
        <v>13284</v>
      </c>
      <c r="C672" s="9" t="s">
        <v>13284</v>
      </c>
      <c r="D672" s="9" t="s">
        <v>13284</v>
      </c>
      <c r="E672" s="9" t="s">
        <v>13284</v>
      </c>
      <c r="F672" s="9" t="s">
        <v>13284</v>
      </c>
      <c r="G672" s="9" t="s">
        <v>13284</v>
      </c>
      <c r="H672" s="9" t="s">
        <v>13284</v>
      </c>
      <c r="I672" s="9" t="s">
        <v>13284</v>
      </c>
      <c r="J672" s="9" t="s">
        <v>13284</v>
      </c>
      <c r="K672" s="9" t="s">
        <v>13284</v>
      </c>
      <c r="L672" s="9" t="s">
        <v>13284</v>
      </c>
      <c r="M672" s="9" t="s">
        <v>13284</v>
      </c>
      <c r="N672" s="9" t="s">
        <v>13284</v>
      </c>
      <c r="O672" s="9" t="s">
        <v>13284</v>
      </c>
      <c r="P672" s="9" t="s">
        <v>13284</v>
      </c>
      <c r="Q672" s="9" t="s">
        <v>13284</v>
      </c>
      <c r="R672" s="9" t="s">
        <v>13284</v>
      </c>
      <c r="S672" s="9" t="s">
        <v>13284</v>
      </c>
      <c r="T672" s="9" t="str">
        <f ca="1">IFERROR(IF(AND(VLOOKUP(A672, 'Актуальное состояние (из общего'!A:C,3,0) = "", A672 &lt;&gt; ""), "ПРОВЕРИТЬ", VLOOKUP(A672, 'Актуальное состояние (из общего'!A:C,3,0)), "")</f>
        <v>Студент</v>
      </c>
      <c r="U672" s="9" t="s">
        <v>13284</v>
      </c>
      <c r="V672" s="9" t="s">
        <v>13284</v>
      </c>
      <c r="W672" s="12"/>
      <c r="X672" s="9" t="str">
        <f t="array" ref="X672">IFERROR(INDEX('Адреса общежитий (скрытый)'!$B$2:$B$9, MATCH(W672, 'Адреса общежитий (скрытый)'!$A$2:$A$9, 0)), "")</f>
        <v/>
      </c>
      <c r="Y672" s="18"/>
      <c r="Z672" s="18"/>
      <c r="AA672" s="18"/>
      <c r="AB672" s="18"/>
      <c r="AC672" s="18"/>
    </row>
    <row r="673" spans="1:29" ht="32.25" customHeight="1">
      <c r="A673" s="8">
        <v>2306655</v>
      </c>
      <c r="B673" s="9" t="s">
        <v>13284</v>
      </c>
      <c r="C673" s="9" t="s">
        <v>13284</v>
      </c>
      <c r="D673" s="9" t="s">
        <v>13284</v>
      </c>
      <c r="E673" s="9" t="s">
        <v>13284</v>
      </c>
      <c r="F673" s="9" t="s">
        <v>13284</v>
      </c>
      <c r="G673" s="9" t="s">
        <v>13284</v>
      </c>
      <c r="H673" s="9" t="s">
        <v>13284</v>
      </c>
      <c r="I673" s="9" t="s">
        <v>13284</v>
      </c>
      <c r="J673" s="9" t="s">
        <v>13284</v>
      </c>
      <c r="K673" s="9" t="s">
        <v>13284</v>
      </c>
      <c r="L673" s="9" t="s">
        <v>13284</v>
      </c>
      <c r="M673" s="9" t="s">
        <v>13284</v>
      </c>
      <c r="N673" s="9" t="s">
        <v>13284</v>
      </c>
      <c r="O673" s="9" t="s">
        <v>13284</v>
      </c>
      <c r="P673" s="9" t="s">
        <v>13284</v>
      </c>
      <c r="Q673" s="9" t="s">
        <v>13284</v>
      </c>
      <c r="R673" s="9" t="s">
        <v>13284</v>
      </c>
      <c r="S673" s="9" t="s">
        <v>13284</v>
      </c>
      <c r="T673" s="9" t="str">
        <f ca="1">IFERROR(IF(AND(VLOOKUP(A673, 'Актуальное состояние (из общего'!A:C,3,0) = "", A673 &lt;&gt; ""), "ПРОВЕРИТЬ", VLOOKUP(A673, 'Актуальное состояние (из общего'!A:C,3,0)), "")</f>
        <v>Студент</v>
      </c>
      <c r="U673" s="9" t="s">
        <v>13284</v>
      </c>
      <c r="V673" s="9" t="s">
        <v>13284</v>
      </c>
      <c r="W673" s="12"/>
      <c r="X673" s="9" t="str">
        <f t="array" ref="X673">IFERROR(INDEX('Адреса общежитий (скрытый)'!$B$2:$B$9, MATCH(W673, 'Адреса общежитий (скрытый)'!$A$2:$A$9, 0)), "")</f>
        <v/>
      </c>
      <c r="Y673" s="18"/>
      <c r="Z673" s="18"/>
      <c r="AA673" s="18"/>
      <c r="AB673" s="18"/>
      <c r="AC673" s="18"/>
    </row>
    <row r="674" spans="1:29" ht="32.25" customHeight="1">
      <c r="A674" s="8">
        <v>2304914</v>
      </c>
      <c r="B674" s="9" t="s">
        <v>13284</v>
      </c>
      <c r="C674" s="9" t="s">
        <v>13284</v>
      </c>
      <c r="D674" s="9" t="s">
        <v>13284</v>
      </c>
      <c r="E674" s="9" t="s">
        <v>13284</v>
      </c>
      <c r="F674" s="9" t="s">
        <v>13284</v>
      </c>
      <c r="G674" s="9" t="s">
        <v>13284</v>
      </c>
      <c r="H674" s="9" t="s">
        <v>13284</v>
      </c>
      <c r="I674" s="9" t="s">
        <v>13284</v>
      </c>
      <c r="J674" s="9" t="s">
        <v>13284</v>
      </c>
      <c r="K674" s="9" t="s">
        <v>13284</v>
      </c>
      <c r="L674" s="9" t="s">
        <v>13284</v>
      </c>
      <c r="M674" s="9" t="s">
        <v>13284</v>
      </c>
      <c r="N674" s="9" t="s">
        <v>13284</v>
      </c>
      <c r="O674" s="9" t="s">
        <v>13284</v>
      </c>
      <c r="P674" s="9" t="s">
        <v>13284</v>
      </c>
      <c r="Q674" s="9" t="s">
        <v>13284</v>
      </c>
      <c r="R674" s="9" t="s">
        <v>13284</v>
      </c>
      <c r="S674" s="9" t="s">
        <v>13284</v>
      </c>
      <c r="T674" s="9" t="str">
        <f ca="1">IFERROR(IF(AND(VLOOKUP(A674, 'Актуальное состояние (из общего'!A:C,3,0) = "", A674 &lt;&gt; ""), "ПРОВЕРИТЬ", VLOOKUP(A674, 'Актуальное состояние (из общего'!A:C,3,0)), "")</f>
        <v>Студент</v>
      </c>
      <c r="U674" s="9" t="s">
        <v>13284</v>
      </c>
      <c r="V674" s="9" t="s">
        <v>13284</v>
      </c>
      <c r="W674" s="12"/>
      <c r="X674" s="9" t="str">
        <f t="array" ref="X674">IFERROR(INDEX('Адреса общежитий (скрытый)'!$B$2:$B$9, MATCH(W674, 'Адреса общежитий (скрытый)'!$A$2:$A$9, 0)), "")</f>
        <v/>
      </c>
      <c r="Y674" s="18"/>
      <c r="Z674" s="18"/>
      <c r="AA674" s="18"/>
      <c r="AB674" s="18"/>
      <c r="AC674" s="18"/>
    </row>
    <row r="675" spans="1:29" ht="32.25" customHeight="1">
      <c r="A675" s="8">
        <v>2308274</v>
      </c>
      <c r="B675" s="9" t="s">
        <v>13284</v>
      </c>
      <c r="C675" s="9" t="s">
        <v>13284</v>
      </c>
      <c r="D675" s="9" t="s">
        <v>13284</v>
      </c>
      <c r="E675" s="9" t="s">
        <v>13284</v>
      </c>
      <c r="F675" s="9" t="s">
        <v>13284</v>
      </c>
      <c r="G675" s="9" t="s">
        <v>13284</v>
      </c>
      <c r="H675" s="9" t="s">
        <v>13284</v>
      </c>
      <c r="I675" s="9" t="s">
        <v>13284</v>
      </c>
      <c r="J675" s="9" t="s">
        <v>13284</v>
      </c>
      <c r="K675" s="9" t="s">
        <v>13284</v>
      </c>
      <c r="L675" s="9" t="s">
        <v>13284</v>
      </c>
      <c r="M675" s="9" t="s">
        <v>13284</v>
      </c>
      <c r="N675" s="9" t="s">
        <v>13284</v>
      </c>
      <c r="O675" s="9" t="s">
        <v>13284</v>
      </c>
      <c r="P675" s="9" t="s">
        <v>13284</v>
      </c>
      <c r="Q675" s="9" t="s">
        <v>13284</v>
      </c>
      <c r="R675" s="9" t="s">
        <v>13284</v>
      </c>
      <c r="S675" s="9" t="s">
        <v>13284</v>
      </c>
      <c r="T675" s="9" t="str">
        <f ca="1">IFERROR(IF(AND(VLOOKUP(A675, 'Актуальное состояние (из общего'!A:C,3,0) = "", A675 &lt;&gt; ""), "ПРОВЕРИТЬ", VLOOKUP(A675, 'Актуальное состояние (из общего'!A:C,3,0)), "")</f>
        <v>Студент</v>
      </c>
      <c r="U675" s="9" t="s">
        <v>13284</v>
      </c>
      <c r="V675" s="9" t="s">
        <v>13284</v>
      </c>
      <c r="W675" s="12" t="s">
        <v>76</v>
      </c>
      <c r="X675" s="9" t="str">
        <f t="array" ref="X675">IFERROR(INDEX('Адреса общежитий (скрытый)'!$B$2:$B$9, MATCH(W675, 'Адреса общежитий (скрытый)'!$A$2:$A$9, 0)), "")</f>
        <v>ул. Студенческая, д. 33, корп. 5,6</v>
      </c>
      <c r="Y675" s="18"/>
      <c r="Z675" s="18"/>
      <c r="AA675" s="18"/>
      <c r="AB675" s="18"/>
      <c r="AC675" s="18"/>
    </row>
    <row r="676" spans="1:29" ht="32.25" customHeight="1">
      <c r="A676" s="8">
        <v>2304959</v>
      </c>
      <c r="B676" s="9" t="s">
        <v>13284</v>
      </c>
      <c r="C676" s="9" t="s">
        <v>13284</v>
      </c>
      <c r="D676" s="9" t="s">
        <v>13284</v>
      </c>
      <c r="E676" s="9" t="s">
        <v>13284</v>
      </c>
      <c r="F676" s="9" t="s">
        <v>13284</v>
      </c>
      <c r="G676" s="9" t="s">
        <v>13284</v>
      </c>
      <c r="H676" s="9" t="s">
        <v>13284</v>
      </c>
      <c r="I676" s="9" t="s">
        <v>13284</v>
      </c>
      <c r="J676" s="9" t="s">
        <v>13284</v>
      </c>
      <c r="K676" s="9" t="s">
        <v>13284</v>
      </c>
      <c r="L676" s="9" t="s">
        <v>13284</v>
      </c>
      <c r="M676" s="9" t="s">
        <v>13284</v>
      </c>
      <c r="N676" s="9" t="s">
        <v>13284</v>
      </c>
      <c r="O676" s="9" t="s">
        <v>13284</v>
      </c>
      <c r="P676" s="9" t="s">
        <v>13284</v>
      </c>
      <c r="Q676" s="9" t="s">
        <v>13284</v>
      </c>
      <c r="R676" s="9" t="s">
        <v>13284</v>
      </c>
      <c r="S676" s="9" t="s">
        <v>13284</v>
      </c>
      <c r="T676" s="9" t="str">
        <f ca="1">IFERROR(IF(AND(VLOOKUP(A676, 'Актуальное состояние (из общего'!A:C,3,0) = "", A676 &lt;&gt; ""), "ПРОВЕРИТЬ", VLOOKUP(A676, 'Актуальное состояние (из общего'!A:C,3,0)), "")</f>
        <v>Студент</v>
      </c>
      <c r="U676" s="9" t="s">
        <v>13284</v>
      </c>
      <c r="V676" s="9" t="s">
        <v>13284</v>
      </c>
      <c r="W676" s="12"/>
      <c r="X676" s="9" t="str">
        <f t="array" ref="X676">IFERROR(INDEX('Адреса общежитий (скрытый)'!$B$2:$B$9, MATCH(W676, 'Адреса общежитий (скрытый)'!$A$2:$A$9, 0)), "")</f>
        <v/>
      </c>
      <c r="Y676" s="18"/>
      <c r="Z676" s="18"/>
      <c r="AA676" s="18"/>
      <c r="AB676" s="18"/>
      <c r="AC676" s="18"/>
    </row>
    <row r="677" spans="1:29" ht="32.25" customHeight="1">
      <c r="A677" s="8">
        <v>2309103</v>
      </c>
      <c r="B677" s="9" t="s">
        <v>13284</v>
      </c>
      <c r="C677" s="9" t="s">
        <v>13284</v>
      </c>
      <c r="D677" s="9" t="s">
        <v>13284</v>
      </c>
      <c r="E677" s="9" t="s">
        <v>13284</v>
      </c>
      <c r="F677" s="9" t="s">
        <v>13284</v>
      </c>
      <c r="G677" s="9" t="s">
        <v>13284</v>
      </c>
      <c r="H677" s="9" t="s">
        <v>13284</v>
      </c>
      <c r="I677" s="9" t="s">
        <v>13284</v>
      </c>
      <c r="J677" s="9" t="s">
        <v>13284</v>
      </c>
      <c r="K677" s="9" t="s">
        <v>13284</v>
      </c>
      <c r="L677" s="9" t="s">
        <v>13284</v>
      </c>
      <c r="M677" s="9" t="s">
        <v>13284</v>
      </c>
      <c r="N677" s="9" t="s">
        <v>13284</v>
      </c>
      <c r="O677" s="9" t="s">
        <v>13284</v>
      </c>
      <c r="P677" s="9" t="s">
        <v>13284</v>
      </c>
      <c r="Q677" s="9" t="s">
        <v>13284</v>
      </c>
      <c r="R677" s="9" t="s">
        <v>13284</v>
      </c>
      <c r="S677" s="9" t="s">
        <v>13284</v>
      </c>
      <c r="T677" s="9" t="str">
        <f ca="1">IFERROR(IF(AND(VLOOKUP(A677, 'Актуальное состояние (из общего'!A:C,3,0) = "", A677 &lt;&gt; ""), "ПРОВЕРИТЬ", VLOOKUP(A677, 'Актуальное состояние (из общего'!A:C,3,0)), "")</f>
        <v>Студент</v>
      </c>
      <c r="U677" s="9" t="s">
        <v>13284</v>
      </c>
      <c r="V677" s="9" t="s">
        <v>13284</v>
      </c>
      <c r="W677" s="12" t="s">
        <v>76</v>
      </c>
      <c r="X677" s="9" t="str">
        <f t="array" ref="X677">IFERROR(INDEX('Адреса общежитий (скрытый)'!$B$2:$B$9, MATCH(W677, 'Адреса общежитий (скрытый)'!$A$2:$A$9, 0)), "")</f>
        <v>ул. Студенческая, д. 33, корп. 5,6</v>
      </c>
      <c r="Y677" s="18" t="s">
        <v>1644</v>
      </c>
      <c r="Z677" s="18"/>
      <c r="AA677" s="18"/>
      <c r="AB677" s="18"/>
      <c r="AC677" s="18"/>
    </row>
    <row r="678" spans="1:29" ht="32.25" customHeight="1">
      <c r="A678" s="8">
        <v>2310719</v>
      </c>
      <c r="B678" s="9" t="s">
        <v>13284</v>
      </c>
      <c r="C678" s="9" t="s">
        <v>13284</v>
      </c>
      <c r="D678" s="9" t="s">
        <v>13284</v>
      </c>
      <c r="E678" s="9" t="s">
        <v>13284</v>
      </c>
      <c r="F678" s="9" t="s">
        <v>13284</v>
      </c>
      <c r="G678" s="9" t="s">
        <v>13284</v>
      </c>
      <c r="H678" s="9" t="s">
        <v>13284</v>
      </c>
      <c r="I678" s="9" t="s">
        <v>13284</v>
      </c>
      <c r="J678" s="9" t="s">
        <v>13284</v>
      </c>
      <c r="K678" s="9" t="s">
        <v>13284</v>
      </c>
      <c r="L678" s="9" t="s">
        <v>13284</v>
      </c>
      <c r="M678" s="9" t="s">
        <v>13284</v>
      </c>
      <c r="N678" s="9" t="s">
        <v>13284</v>
      </c>
      <c r="O678" s="9" t="s">
        <v>13284</v>
      </c>
      <c r="P678" s="9" t="s">
        <v>13284</v>
      </c>
      <c r="Q678" s="9" t="s">
        <v>13284</v>
      </c>
      <c r="R678" s="9" t="s">
        <v>13284</v>
      </c>
      <c r="S678" s="9" t="s">
        <v>13284</v>
      </c>
      <c r="T678" s="9" t="str">
        <f ca="1">IFERROR(IF(AND(VLOOKUP(A678, 'Актуальное состояние (из общего'!A:C,3,0) = "", A678 &lt;&gt; ""), "ПРОВЕРИТЬ", VLOOKUP(A678, 'Актуальное состояние (из общего'!A:C,3,0)), "")</f>
        <v>Студент</v>
      </c>
      <c r="U678" s="9" t="s">
        <v>13284</v>
      </c>
      <c r="V678" s="9" t="s">
        <v>13284</v>
      </c>
      <c r="W678" s="12"/>
      <c r="X678" s="9" t="str">
        <f t="array" ref="X678">IFERROR(INDEX('Адреса общежитий (скрытый)'!$B$2:$B$9, MATCH(W678, 'Адреса общежитий (скрытый)'!$A$2:$A$9, 0)), "")</f>
        <v/>
      </c>
      <c r="Y678" s="18"/>
      <c r="Z678" s="18"/>
      <c r="AA678" s="18"/>
      <c r="AB678" s="18"/>
      <c r="AC678" s="18"/>
    </row>
    <row r="679" spans="1:29" ht="32.25" hidden="1" customHeight="1">
      <c r="A679" s="8">
        <v>2300550</v>
      </c>
      <c r="B679" s="9" t="s">
        <v>13284</v>
      </c>
      <c r="C679" s="9" t="s">
        <v>13284</v>
      </c>
      <c r="D679" s="9" t="s">
        <v>13284</v>
      </c>
      <c r="E679" s="9" t="s">
        <v>13284</v>
      </c>
      <c r="F679" s="9" t="s">
        <v>13284</v>
      </c>
      <c r="G679" s="9" t="s">
        <v>13284</v>
      </c>
      <c r="H679" s="9" t="s">
        <v>13284</v>
      </c>
      <c r="I679" s="9" t="s">
        <v>13284</v>
      </c>
      <c r="J679" s="9" t="s">
        <v>13284</v>
      </c>
      <c r="K679" s="9" t="s">
        <v>13284</v>
      </c>
      <c r="L679" s="9" t="s">
        <v>13284</v>
      </c>
      <c r="M679" s="9" t="s">
        <v>13284</v>
      </c>
      <c r="N679" s="9" t="s">
        <v>13284</v>
      </c>
      <c r="O679" s="9" t="s">
        <v>13284</v>
      </c>
      <c r="P679" s="9" t="s">
        <v>13284</v>
      </c>
      <c r="Q679" s="9" t="s">
        <v>13284</v>
      </c>
      <c r="R679" s="9" t="s">
        <v>13284</v>
      </c>
      <c r="S679" s="9" t="s">
        <v>13284</v>
      </c>
      <c r="T679" s="9" t="str">
        <f ca="1">IFERROR(IF(AND(VLOOKUP(A679, 'Актуальное состояние (из общего'!A:C,3,0) = "", A679 &lt;&gt; ""), "ПРОВЕРИТЬ", VLOOKUP(A679, 'Актуальное состояние (из общего'!A:C,3,0)), "")</f>
        <v>Студент</v>
      </c>
      <c r="U679" s="9" t="s">
        <v>13284</v>
      </c>
      <c r="V679" s="9" t="s">
        <v>13284</v>
      </c>
      <c r="W679" s="12"/>
      <c r="X679" s="9" t="str">
        <f t="array" ref="X679">IFERROR(INDEX('Адреса общежитий (скрытый)'!$B$2:$B$9, MATCH(W679, 'Адреса общежитий (скрытый)'!$A$2:$A$9, 0)), "")</f>
        <v/>
      </c>
      <c r="Y679" s="18"/>
      <c r="Z679" s="18"/>
      <c r="AA679" s="18"/>
      <c r="AB679" s="18"/>
      <c r="AC679" s="18"/>
    </row>
    <row r="680" spans="1:29" ht="32.25" hidden="1" customHeight="1">
      <c r="A680" s="8">
        <v>2300867</v>
      </c>
      <c r="B680" s="9" t="s">
        <v>13284</v>
      </c>
      <c r="C680" s="9" t="s">
        <v>13284</v>
      </c>
      <c r="D680" s="9" t="s">
        <v>13284</v>
      </c>
      <c r="E680" s="9" t="s">
        <v>13284</v>
      </c>
      <c r="F680" s="9" t="s">
        <v>13284</v>
      </c>
      <c r="G680" s="9" t="s">
        <v>13284</v>
      </c>
      <c r="H680" s="9" t="s">
        <v>13284</v>
      </c>
      <c r="I680" s="9" t="s">
        <v>13284</v>
      </c>
      <c r="J680" s="9" t="s">
        <v>13284</v>
      </c>
      <c r="K680" s="9" t="s">
        <v>13284</v>
      </c>
      <c r="L680" s="9" t="s">
        <v>13284</v>
      </c>
      <c r="M680" s="9" t="s">
        <v>13284</v>
      </c>
      <c r="N680" s="9" t="s">
        <v>13284</v>
      </c>
      <c r="O680" s="9" t="s">
        <v>13284</v>
      </c>
      <c r="P680" s="9" t="s">
        <v>13284</v>
      </c>
      <c r="Q680" s="9" t="s">
        <v>13284</v>
      </c>
      <c r="R680" s="9" t="s">
        <v>13284</v>
      </c>
      <c r="S680" s="9" t="s">
        <v>13284</v>
      </c>
      <c r="T680" s="9" t="str">
        <f ca="1">IFERROR(IF(AND(VLOOKUP(A680, 'Актуальное состояние (из общего'!A:C,3,0) = "", A680 &lt;&gt; ""), "ПРОВЕРИТЬ", VLOOKUP(A680, 'Актуальное состояние (из общего'!A:C,3,0)), "")</f>
        <v>Студент</v>
      </c>
      <c r="U680" s="9" t="s">
        <v>13284</v>
      </c>
      <c r="V680" s="9" t="s">
        <v>13284</v>
      </c>
      <c r="W680" s="12"/>
      <c r="X680" s="9" t="str">
        <f t="array" ref="X680">IFERROR(INDEX('Адреса общежитий (скрытый)'!$B$2:$B$9, MATCH(W680, 'Адреса общежитий (скрытый)'!$A$2:$A$9, 0)), "")</f>
        <v/>
      </c>
      <c r="Y680" s="18"/>
      <c r="Z680" s="18"/>
      <c r="AA680" s="18"/>
      <c r="AB680" s="18"/>
      <c r="AC680" s="18"/>
    </row>
    <row r="681" spans="1:29" ht="32.25" hidden="1" customHeight="1">
      <c r="A681" s="8">
        <v>2309073</v>
      </c>
      <c r="B681" s="9" t="s">
        <v>13284</v>
      </c>
      <c r="C681" s="9" t="s">
        <v>13284</v>
      </c>
      <c r="D681" s="9" t="s">
        <v>13284</v>
      </c>
      <c r="E681" s="9" t="s">
        <v>13284</v>
      </c>
      <c r="F681" s="9" t="s">
        <v>13284</v>
      </c>
      <c r="G681" s="9" t="s">
        <v>13284</v>
      </c>
      <c r="H681" s="9" t="s">
        <v>13284</v>
      </c>
      <c r="I681" s="9" t="s">
        <v>13284</v>
      </c>
      <c r="J681" s="9" t="s">
        <v>13284</v>
      </c>
      <c r="K681" s="9" t="s">
        <v>13284</v>
      </c>
      <c r="L681" s="9" t="s">
        <v>13284</v>
      </c>
      <c r="M681" s="9" t="s">
        <v>13284</v>
      </c>
      <c r="N681" s="9" t="s">
        <v>13284</v>
      </c>
      <c r="O681" s="9" t="s">
        <v>13284</v>
      </c>
      <c r="P681" s="9" t="s">
        <v>13284</v>
      </c>
      <c r="Q681" s="9" t="s">
        <v>13284</v>
      </c>
      <c r="R681" s="9" t="s">
        <v>13284</v>
      </c>
      <c r="S681" s="9" t="s">
        <v>13284</v>
      </c>
      <c r="T681" s="9" t="str">
        <f ca="1">IFERROR(IF(AND(VLOOKUP(A681, 'Актуальное состояние (из общего'!A:C,3,0) = "", A681 &lt;&gt; ""), "ПРОВЕРИТЬ", VLOOKUP(A681, 'Актуальное состояние (из общего'!A:C,3,0)), "")</f>
        <v>Студент</v>
      </c>
      <c r="U681" s="9" t="s">
        <v>13284</v>
      </c>
      <c r="V681" s="9" t="s">
        <v>13284</v>
      </c>
      <c r="W681" s="12"/>
      <c r="X681" s="9" t="str">
        <f t="array" ref="X681">IFERROR(INDEX('Адреса общежитий (скрытый)'!$B$2:$B$9, MATCH(W681, 'Адреса общежитий (скрытый)'!$A$2:$A$9, 0)), "")</f>
        <v/>
      </c>
      <c r="Y681" s="18"/>
      <c r="Z681" s="18"/>
      <c r="AA681" s="18"/>
      <c r="AB681" s="18"/>
      <c r="AC681" s="18"/>
    </row>
    <row r="682" spans="1:29" ht="32.25" customHeight="1">
      <c r="A682" s="8">
        <v>2302082</v>
      </c>
      <c r="B682" s="9" t="s">
        <v>13284</v>
      </c>
      <c r="C682" s="9" t="s">
        <v>13284</v>
      </c>
      <c r="D682" s="9" t="s">
        <v>13284</v>
      </c>
      <c r="E682" s="9" t="s">
        <v>13284</v>
      </c>
      <c r="F682" s="9" t="s">
        <v>13284</v>
      </c>
      <c r="G682" s="9" t="s">
        <v>13284</v>
      </c>
      <c r="H682" s="9" t="s">
        <v>13284</v>
      </c>
      <c r="I682" s="9" t="s">
        <v>13284</v>
      </c>
      <c r="J682" s="9" t="s">
        <v>13284</v>
      </c>
      <c r="K682" s="9" t="s">
        <v>13284</v>
      </c>
      <c r="L682" s="9" t="s">
        <v>13284</v>
      </c>
      <c r="M682" s="9" t="s">
        <v>13284</v>
      </c>
      <c r="N682" s="9" t="s">
        <v>13284</v>
      </c>
      <c r="O682" s="9" t="s">
        <v>13284</v>
      </c>
      <c r="P682" s="9" t="s">
        <v>13284</v>
      </c>
      <c r="Q682" s="9" t="s">
        <v>13284</v>
      </c>
      <c r="R682" s="9" t="s">
        <v>13284</v>
      </c>
      <c r="S682" s="9" t="s">
        <v>13284</v>
      </c>
      <c r="T682" s="9" t="str">
        <f ca="1">IFERROR(IF(AND(VLOOKUP(A682, 'Актуальное состояние (из общего'!A:C,3,0) = "", A682 &lt;&gt; ""), "ПРОВЕРИТЬ", VLOOKUP(A682, 'Актуальное состояние (из общего'!A:C,3,0)), "")</f>
        <v>Студент</v>
      </c>
      <c r="U682" s="9" t="s">
        <v>13284</v>
      </c>
      <c r="V682" s="9" t="s">
        <v>13284</v>
      </c>
      <c r="W682" s="12"/>
      <c r="X682" s="9" t="str">
        <f t="array" ref="X682">IFERROR(INDEX('Адреса общежитий (скрытый)'!$B$2:$B$9, MATCH(W682, 'Адреса общежитий (скрытый)'!$A$2:$A$9, 0)), "")</f>
        <v/>
      </c>
      <c r="Y682" s="18"/>
      <c r="Z682" s="18"/>
      <c r="AA682" s="18"/>
      <c r="AB682" s="18"/>
      <c r="AC682" s="18"/>
    </row>
    <row r="683" spans="1:29" ht="32.25" hidden="1" customHeight="1">
      <c r="A683" s="8">
        <v>2306360</v>
      </c>
      <c r="B683" s="9" t="s">
        <v>13284</v>
      </c>
      <c r="C683" s="9" t="s">
        <v>13284</v>
      </c>
      <c r="D683" s="9" t="s">
        <v>13284</v>
      </c>
      <c r="E683" s="9" t="s">
        <v>13284</v>
      </c>
      <c r="F683" s="9" t="s">
        <v>13284</v>
      </c>
      <c r="G683" s="9" t="s">
        <v>13284</v>
      </c>
      <c r="H683" s="9" t="s">
        <v>13284</v>
      </c>
      <c r="I683" s="9" t="s">
        <v>13284</v>
      </c>
      <c r="J683" s="9" t="s">
        <v>13284</v>
      </c>
      <c r="K683" s="9" t="s">
        <v>13284</v>
      </c>
      <c r="L683" s="9" t="s">
        <v>13284</v>
      </c>
      <c r="M683" s="9" t="s">
        <v>13284</v>
      </c>
      <c r="N683" s="9" t="s">
        <v>13284</v>
      </c>
      <c r="O683" s="9" t="s">
        <v>13284</v>
      </c>
      <c r="P683" s="9" t="s">
        <v>13284</v>
      </c>
      <c r="Q683" s="9" t="s">
        <v>13284</v>
      </c>
      <c r="R683" s="9" t="s">
        <v>13284</v>
      </c>
      <c r="S683" s="9" t="s">
        <v>13284</v>
      </c>
      <c r="T683" s="9" t="str">
        <f ca="1">IFERROR(IF(AND(VLOOKUP(A683, 'Актуальное состояние (из общего'!A:C,3,0) = "", A683 &lt;&gt; ""), "ПРОВЕРИТЬ", VLOOKUP(A683, 'Актуальное состояние (из общего'!A:C,3,0)), "")</f>
        <v>Студент</v>
      </c>
      <c r="U683" s="9" t="s">
        <v>13284</v>
      </c>
      <c r="V683" s="9" t="s">
        <v>13284</v>
      </c>
      <c r="W683" s="12"/>
      <c r="X683" s="9" t="str">
        <f t="array" ref="X683">IFERROR(INDEX('Адреса общежитий (скрытый)'!$B$2:$B$9, MATCH(W683, 'Адреса общежитий (скрытый)'!$A$2:$A$9, 0)), "")</f>
        <v/>
      </c>
      <c r="Y683" s="18"/>
      <c r="Z683" s="18"/>
      <c r="AA683" s="18"/>
      <c r="AB683" s="18"/>
      <c r="AC683" s="18"/>
    </row>
    <row r="684" spans="1:29" ht="32.25" customHeight="1">
      <c r="A684" s="8">
        <v>2304639</v>
      </c>
      <c r="B684" s="9" t="s">
        <v>13284</v>
      </c>
      <c r="C684" s="9" t="s">
        <v>13284</v>
      </c>
      <c r="D684" s="9" t="s">
        <v>13284</v>
      </c>
      <c r="E684" s="9" t="s">
        <v>13284</v>
      </c>
      <c r="F684" s="9" t="s">
        <v>13284</v>
      </c>
      <c r="G684" s="9" t="s">
        <v>13284</v>
      </c>
      <c r="H684" s="9" t="s">
        <v>13284</v>
      </c>
      <c r="I684" s="9" t="s">
        <v>13284</v>
      </c>
      <c r="J684" s="9" t="s">
        <v>13284</v>
      </c>
      <c r="K684" s="9" t="s">
        <v>13284</v>
      </c>
      <c r="L684" s="9" t="s">
        <v>13284</v>
      </c>
      <c r="M684" s="9" t="s">
        <v>13284</v>
      </c>
      <c r="N684" s="9" t="s">
        <v>13284</v>
      </c>
      <c r="O684" s="9" t="s">
        <v>13284</v>
      </c>
      <c r="P684" s="9" t="s">
        <v>13284</v>
      </c>
      <c r="Q684" s="9" t="s">
        <v>13284</v>
      </c>
      <c r="R684" s="9" t="s">
        <v>13284</v>
      </c>
      <c r="S684" s="9" t="s">
        <v>13284</v>
      </c>
      <c r="T684" s="9" t="str">
        <f ca="1">IFERROR(IF(AND(VLOOKUP(A684, 'Актуальное состояние (из общего'!A:C,3,0) = "", A684 &lt;&gt; ""), "ПРОВЕРИТЬ", VLOOKUP(A684, 'Актуальное состояние (из общего'!A:C,3,0)), "")</f>
        <v>Студент</v>
      </c>
      <c r="U684" s="9" t="s">
        <v>13284</v>
      </c>
      <c r="V684" s="9" t="s">
        <v>13284</v>
      </c>
      <c r="W684" s="12"/>
      <c r="X684" s="9" t="str">
        <f t="array" ref="X684">IFERROR(INDEX('Адреса общежитий (скрытый)'!$B$2:$B$9, MATCH(W684, 'Адреса общежитий (скрытый)'!$A$2:$A$9, 0)), "")</f>
        <v/>
      </c>
      <c r="Y684" s="18"/>
      <c r="Z684" s="18"/>
      <c r="AA684" s="18"/>
      <c r="AB684" s="18"/>
      <c r="AC684" s="18"/>
    </row>
    <row r="685" spans="1:29" ht="32.25" hidden="1" customHeight="1">
      <c r="A685" s="8">
        <v>2309975</v>
      </c>
      <c r="B685" s="9" t="s">
        <v>13284</v>
      </c>
      <c r="C685" s="9" t="s">
        <v>13284</v>
      </c>
      <c r="D685" s="9" t="s">
        <v>13284</v>
      </c>
      <c r="E685" s="9" t="s">
        <v>13284</v>
      </c>
      <c r="F685" s="9" t="s">
        <v>13284</v>
      </c>
      <c r="G685" s="9" t="s">
        <v>13284</v>
      </c>
      <c r="H685" s="9" t="s">
        <v>13284</v>
      </c>
      <c r="I685" s="9" t="s">
        <v>13284</v>
      </c>
      <c r="J685" s="9" t="s">
        <v>13284</v>
      </c>
      <c r="K685" s="9" t="s">
        <v>13284</v>
      </c>
      <c r="L685" s="9" t="s">
        <v>13284</v>
      </c>
      <c r="M685" s="9" t="s">
        <v>13284</v>
      </c>
      <c r="N685" s="9" t="s">
        <v>13284</v>
      </c>
      <c r="O685" s="9" t="s">
        <v>13284</v>
      </c>
      <c r="P685" s="9" t="s">
        <v>13284</v>
      </c>
      <c r="Q685" s="9" t="s">
        <v>13284</v>
      </c>
      <c r="R685" s="9" t="s">
        <v>13284</v>
      </c>
      <c r="S685" s="9" t="s">
        <v>13284</v>
      </c>
      <c r="T685" s="9" t="str">
        <f ca="1">IFERROR(IF(AND(VLOOKUP(A685, 'Актуальное состояние (из общего'!A:C,3,0) = "", A685 &lt;&gt; ""), "ПРОВЕРИТЬ", VLOOKUP(A685, 'Актуальное состояние (из общего'!A:C,3,0)), "")</f>
        <v>Студент</v>
      </c>
      <c r="U685" s="9" t="s">
        <v>13284</v>
      </c>
      <c r="V685" s="9" t="s">
        <v>13284</v>
      </c>
      <c r="W685" s="12"/>
      <c r="X685" s="9" t="str">
        <f t="array" ref="X685">IFERROR(INDEX('Адреса общежитий (скрытый)'!$B$2:$B$9, MATCH(W685, 'Адреса общежитий (скрытый)'!$A$2:$A$9, 0)), "")</f>
        <v/>
      </c>
      <c r="Y685" s="18"/>
      <c r="Z685" s="18"/>
      <c r="AA685" s="18"/>
      <c r="AB685" s="18"/>
      <c r="AC685" s="18"/>
    </row>
    <row r="686" spans="1:29" ht="32.25" customHeight="1">
      <c r="A686" s="8">
        <v>2308178</v>
      </c>
      <c r="B686" s="9" t="s">
        <v>13284</v>
      </c>
      <c r="C686" s="9" t="s">
        <v>13284</v>
      </c>
      <c r="D686" s="9" t="s">
        <v>13284</v>
      </c>
      <c r="E686" s="9" t="s">
        <v>13284</v>
      </c>
      <c r="F686" s="9" t="s">
        <v>13284</v>
      </c>
      <c r="G686" s="9" t="s">
        <v>13284</v>
      </c>
      <c r="H686" s="9" t="s">
        <v>13284</v>
      </c>
      <c r="I686" s="9" t="s">
        <v>13284</v>
      </c>
      <c r="J686" s="9" t="s">
        <v>13284</v>
      </c>
      <c r="K686" s="9" t="s">
        <v>13284</v>
      </c>
      <c r="L686" s="9" t="s">
        <v>13284</v>
      </c>
      <c r="M686" s="9" t="s">
        <v>13284</v>
      </c>
      <c r="N686" s="9" t="s">
        <v>13284</v>
      </c>
      <c r="O686" s="9" t="s">
        <v>13284</v>
      </c>
      <c r="P686" s="9" t="s">
        <v>13284</v>
      </c>
      <c r="Q686" s="9" t="s">
        <v>13284</v>
      </c>
      <c r="R686" s="9" t="s">
        <v>13284</v>
      </c>
      <c r="S686" s="9" t="s">
        <v>13284</v>
      </c>
      <c r="T686" s="9" t="str">
        <f ca="1">IFERROR(IF(AND(VLOOKUP(A686, 'Актуальное состояние (из общего'!A:C,3,0) = "", A686 &lt;&gt; ""), "ПРОВЕРИТЬ", VLOOKUP(A686, 'Актуальное состояние (из общего'!A:C,3,0)), "")</f>
        <v>Студент</v>
      </c>
      <c r="U686" s="9" t="s">
        <v>13284</v>
      </c>
      <c r="V686" s="9" t="s">
        <v>13284</v>
      </c>
      <c r="W686" s="12"/>
      <c r="X686" s="9" t="str">
        <f t="array" ref="X686">IFERROR(INDEX('Адреса общежитий (скрытый)'!$B$2:$B$9, MATCH(W686, 'Адреса общежитий (скрытый)'!$A$2:$A$9, 0)), "")</f>
        <v/>
      </c>
      <c r="Y686" s="18"/>
      <c r="Z686" s="18"/>
      <c r="AA686" s="18"/>
      <c r="AB686" s="18"/>
      <c r="AC686" s="18"/>
    </row>
    <row r="687" spans="1:29" ht="32.25" customHeight="1">
      <c r="A687" s="8">
        <v>2301865</v>
      </c>
      <c r="B687" s="9" t="s">
        <v>13284</v>
      </c>
      <c r="C687" s="9" t="s">
        <v>13284</v>
      </c>
      <c r="D687" s="9" t="s">
        <v>13284</v>
      </c>
      <c r="E687" s="9" t="s">
        <v>13284</v>
      </c>
      <c r="F687" s="9" t="s">
        <v>13284</v>
      </c>
      <c r="G687" s="9" t="s">
        <v>13284</v>
      </c>
      <c r="H687" s="9" t="s">
        <v>13284</v>
      </c>
      <c r="I687" s="9" t="s">
        <v>13284</v>
      </c>
      <c r="J687" s="9" t="s">
        <v>13284</v>
      </c>
      <c r="K687" s="9" t="s">
        <v>13284</v>
      </c>
      <c r="L687" s="9" t="s">
        <v>13284</v>
      </c>
      <c r="M687" s="9" t="s">
        <v>13284</v>
      </c>
      <c r="N687" s="9" t="s">
        <v>13284</v>
      </c>
      <c r="O687" s="9" t="s">
        <v>13284</v>
      </c>
      <c r="P687" s="9" t="s">
        <v>13284</v>
      </c>
      <c r="Q687" s="9" t="s">
        <v>13284</v>
      </c>
      <c r="R687" s="9" t="s">
        <v>13284</v>
      </c>
      <c r="S687" s="9" t="s">
        <v>13284</v>
      </c>
      <c r="T687" s="9" t="str">
        <f ca="1">IFERROR(IF(AND(VLOOKUP(A687, 'Актуальное состояние (из общего'!A:C,3,0) = "", A687 &lt;&gt; ""), "ПРОВЕРИТЬ", VLOOKUP(A687, 'Актуальное состояние (из общего'!A:C,3,0)), "")</f>
        <v>Студент</v>
      </c>
      <c r="U687" s="9" t="s">
        <v>13284</v>
      </c>
      <c r="V687" s="9" t="s">
        <v>13284</v>
      </c>
      <c r="W687" s="12"/>
      <c r="X687" s="9" t="str">
        <f t="array" ref="X687">IFERROR(INDEX('Адреса общежитий (скрытый)'!$B$2:$B$9, MATCH(W687, 'Адреса общежитий (скрытый)'!$A$2:$A$9, 0)), "")</f>
        <v/>
      </c>
      <c r="Y687" s="18"/>
      <c r="Z687" s="18"/>
      <c r="AA687" s="18"/>
      <c r="AB687" s="18"/>
      <c r="AC687" s="18"/>
    </row>
    <row r="688" spans="1:29" ht="32.25" customHeight="1">
      <c r="A688" s="8">
        <v>2302230</v>
      </c>
      <c r="B688" s="9" t="s">
        <v>13284</v>
      </c>
      <c r="C688" s="9" t="s">
        <v>13284</v>
      </c>
      <c r="D688" s="9" t="s">
        <v>13284</v>
      </c>
      <c r="E688" s="9" t="s">
        <v>13284</v>
      </c>
      <c r="F688" s="9" t="s">
        <v>13284</v>
      </c>
      <c r="G688" s="9" t="s">
        <v>13284</v>
      </c>
      <c r="H688" s="9" t="s">
        <v>13284</v>
      </c>
      <c r="I688" s="9" t="s">
        <v>13284</v>
      </c>
      <c r="J688" s="9" t="s">
        <v>13284</v>
      </c>
      <c r="K688" s="9" t="s">
        <v>13284</v>
      </c>
      <c r="L688" s="9" t="s">
        <v>13284</v>
      </c>
      <c r="M688" s="9" t="s">
        <v>13284</v>
      </c>
      <c r="N688" s="9" t="s">
        <v>13284</v>
      </c>
      <c r="O688" s="9" t="s">
        <v>13284</v>
      </c>
      <c r="P688" s="9" t="s">
        <v>13284</v>
      </c>
      <c r="Q688" s="9" t="s">
        <v>13284</v>
      </c>
      <c r="R688" s="9" t="s">
        <v>13284</v>
      </c>
      <c r="S688" s="9" t="s">
        <v>13284</v>
      </c>
      <c r="T688" s="9" t="str">
        <f ca="1">IFERROR(IF(AND(VLOOKUP(A688, 'Актуальное состояние (из общего'!A:C,3,0) = "", A688 &lt;&gt; ""), "ПРОВЕРИТЬ", VLOOKUP(A688, 'Актуальное состояние (из общего'!A:C,3,0)), "")</f>
        <v>Студент</v>
      </c>
      <c r="U688" s="9" t="s">
        <v>13284</v>
      </c>
      <c r="V688" s="9" t="s">
        <v>13284</v>
      </c>
      <c r="W688" s="12"/>
      <c r="X688" s="9" t="str">
        <f t="array" ref="X688">IFERROR(INDEX('Адреса общежитий (скрытый)'!$B$2:$B$9, MATCH(W688, 'Адреса общежитий (скрытый)'!$A$2:$A$9, 0)), "")</f>
        <v/>
      </c>
      <c r="Y688" s="18"/>
      <c r="Z688" s="18"/>
      <c r="AA688" s="18"/>
      <c r="AB688" s="18"/>
      <c r="AC688" s="18"/>
    </row>
    <row r="689" spans="1:29" ht="32.25" hidden="1" customHeight="1">
      <c r="A689" s="8">
        <v>2302510</v>
      </c>
      <c r="B689" s="9" t="s">
        <v>13284</v>
      </c>
      <c r="C689" s="9" t="s">
        <v>13284</v>
      </c>
      <c r="D689" s="9" t="s">
        <v>13284</v>
      </c>
      <c r="E689" s="9" t="s">
        <v>13284</v>
      </c>
      <c r="F689" s="9" t="s">
        <v>13284</v>
      </c>
      <c r="G689" s="9" t="s">
        <v>13284</v>
      </c>
      <c r="H689" s="9" t="s">
        <v>13284</v>
      </c>
      <c r="I689" s="9" t="s">
        <v>13284</v>
      </c>
      <c r="J689" s="9" t="s">
        <v>13284</v>
      </c>
      <c r="K689" s="9" t="s">
        <v>13284</v>
      </c>
      <c r="L689" s="9" t="s">
        <v>13284</v>
      </c>
      <c r="M689" s="9" t="s">
        <v>13284</v>
      </c>
      <c r="N689" s="9" t="s">
        <v>13284</v>
      </c>
      <c r="O689" s="9" t="s">
        <v>13284</v>
      </c>
      <c r="P689" s="9" t="s">
        <v>13284</v>
      </c>
      <c r="Q689" s="9" t="s">
        <v>13284</v>
      </c>
      <c r="R689" s="9" t="s">
        <v>13284</v>
      </c>
      <c r="S689" s="9" t="s">
        <v>13284</v>
      </c>
      <c r="T689" s="9" t="str">
        <f ca="1">IFERROR(IF(AND(VLOOKUP(A689, 'Актуальное состояние (из общего'!A:C,3,0) = "", A689 &lt;&gt; ""), "ПРОВЕРИТЬ", VLOOKUP(A689, 'Актуальное состояние (из общего'!A:C,3,0)), "")</f>
        <v>Студент</v>
      </c>
      <c r="U689" s="9" t="s">
        <v>13284</v>
      </c>
      <c r="V689" s="9" t="s">
        <v>13284</v>
      </c>
      <c r="W689" s="12"/>
      <c r="X689" s="9" t="str">
        <f t="array" ref="X689">IFERROR(INDEX('Адреса общежитий (скрытый)'!$B$2:$B$9, MATCH(W689, 'Адреса общежитий (скрытый)'!$A$2:$A$9, 0)), "")</f>
        <v/>
      </c>
      <c r="Y689" s="18"/>
      <c r="Z689" s="18"/>
      <c r="AA689" s="18"/>
      <c r="AB689" s="18"/>
      <c r="AC689" s="18"/>
    </row>
    <row r="690" spans="1:29" ht="32.25" hidden="1" customHeight="1">
      <c r="A690" s="8">
        <v>2307824</v>
      </c>
      <c r="B690" s="9" t="s">
        <v>13284</v>
      </c>
      <c r="C690" s="9" t="s">
        <v>13284</v>
      </c>
      <c r="D690" s="9" t="s">
        <v>13284</v>
      </c>
      <c r="E690" s="9" t="s">
        <v>13284</v>
      </c>
      <c r="F690" s="9" t="s">
        <v>13284</v>
      </c>
      <c r="G690" s="9" t="s">
        <v>13284</v>
      </c>
      <c r="H690" s="9" t="s">
        <v>13284</v>
      </c>
      <c r="I690" s="9" t="s">
        <v>13284</v>
      </c>
      <c r="J690" s="9" t="s">
        <v>13284</v>
      </c>
      <c r="K690" s="9" t="s">
        <v>13284</v>
      </c>
      <c r="L690" s="9" t="s">
        <v>13284</v>
      </c>
      <c r="M690" s="9" t="s">
        <v>13284</v>
      </c>
      <c r="N690" s="9" t="s">
        <v>13284</v>
      </c>
      <c r="O690" s="9" t="s">
        <v>13284</v>
      </c>
      <c r="P690" s="9" t="s">
        <v>13284</v>
      </c>
      <c r="Q690" s="9" t="s">
        <v>13284</v>
      </c>
      <c r="R690" s="9" t="s">
        <v>13284</v>
      </c>
      <c r="S690" s="9" t="s">
        <v>13284</v>
      </c>
      <c r="T690" s="9" t="str">
        <f ca="1">IFERROR(IF(AND(VLOOKUP(A690, 'Актуальное состояние (из общего'!A:C,3,0) = "", A690 &lt;&gt; ""), "ПРОВЕРИТЬ", VLOOKUP(A690, 'Актуальное состояние (из общего'!A:C,3,0)), "")</f>
        <v>Студент</v>
      </c>
      <c r="U690" s="9" t="s">
        <v>13284</v>
      </c>
      <c r="V690" s="9" t="s">
        <v>13284</v>
      </c>
      <c r="W690" s="12"/>
      <c r="X690" s="9" t="str">
        <f t="array" ref="X690">IFERROR(INDEX('Адреса общежитий (скрытый)'!$B$2:$B$9, MATCH(W690, 'Адреса общежитий (скрытый)'!$A$2:$A$9, 0)), "")</f>
        <v/>
      </c>
      <c r="Y690" s="18"/>
      <c r="Z690" s="18"/>
      <c r="AA690" s="18"/>
      <c r="AB690" s="18"/>
      <c r="AC690" s="18"/>
    </row>
    <row r="691" spans="1:29" ht="32.25" customHeight="1">
      <c r="A691" s="8">
        <v>2309076</v>
      </c>
      <c r="B691" s="9" t="s">
        <v>13284</v>
      </c>
      <c r="C691" s="9" t="s">
        <v>13284</v>
      </c>
      <c r="D691" s="9" t="s">
        <v>13284</v>
      </c>
      <c r="E691" s="9" t="s">
        <v>13284</v>
      </c>
      <c r="F691" s="9" t="s">
        <v>13284</v>
      </c>
      <c r="G691" s="9" t="s">
        <v>13284</v>
      </c>
      <c r="H691" s="9" t="s">
        <v>13284</v>
      </c>
      <c r="I691" s="9" t="s">
        <v>13284</v>
      </c>
      <c r="J691" s="9" t="s">
        <v>13284</v>
      </c>
      <c r="K691" s="9" t="s">
        <v>13284</v>
      </c>
      <c r="L691" s="9" t="s">
        <v>13284</v>
      </c>
      <c r="M691" s="9" t="s">
        <v>13284</v>
      </c>
      <c r="N691" s="9" t="s">
        <v>13284</v>
      </c>
      <c r="O691" s="9" t="s">
        <v>13284</v>
      </c>
      <c r="P691" s="9" t="s">
        <v>13284</v>
      </c>
      <c r="Q691" s="9" t="s">
        <v>13284</v>
      </c>
      <c r="R691" s="9" t="s">
        <v>13284</v>
      </c>
      <c r="S691" s="9" t="s">
        <v>13284</v>
      </c>
      <c r="T691" s="9" t="str">
        <f ca="1">IFERROR(IF(AND(VLOOKUP(A691, 'Актуальное состояние (из общего'!A:C,3,0) = "", A691 &lt;&gt; ""), "ПРОВЕРИТЬ", VLOOKUP(A691, 'Актуальное состояние (из общего'!A:C,3,0)), "")</f>
        <v>Студент</v>
      </c>
      <c r="U691" s="9" t="s">
        <v>13284</v>
      </c>
      <c r="V691" s="9" t="s">
        <v>13284</v>
      </c>
      <c r="W691" s="12" t="s">
        <v>76</v>
      </c>
      <c r="X691" s="9" t="str">
        <f t="array" ref="X691">IFERROR(INDEX('Адреса общежитий (скрытый)'!$B$2:$B$9, MATCH(W691, 'Адреса общежитий (скрытый)'!$A$2:$A$9, 0)), "")</f>
        <v>ул. Студенческая, д. 33, корп. 5,6</v>
      </c>
      <c r="Y691" s="18" t="s">
        <v>7185</v>
      </c>
      <c r="Z691" s="18"/>
      <c r="AA691" s="18"/>
      <c r="AB691" s="18"/>
      <c r="AC691" s="18"/>
    </row>
    <row r="692" spans="1:29" ht="32.25" hidden="1" customHeight="1">
      <c r="A692" s="8">
        <v>2303958</v>
      </c>
      <c r="B692" s="9" t="s">
        <v>13284</v>
      </c>
      <c r="C692" s="9" t="s">
        <v>13284</v>
      </c>
      <c r="D692" s="9" t="s">
        <v>13284</v>
      </c>
      <c r="E692" s="9" t="s">
        <v>13284</v>
      </c>
      <c r="F692" s="9" t="s">
        <v>13284</v>
      </c>
      <c r="G692" s="9" t="s">
        <v>13284</v>
      </c>
      <c r="H692" s="9" t="s">
        <v>13284</v>
      </c>
      <c r="I692" s="9" t="s">
        <v>13284</v>
      </c>
      <c r="J692" s="9" t="s">
        <v>13284</v>
      </c>
      <c r="K692" s="9" t="s">
        <v>13284</v>
      </c>
      <c r="L692" s="9" t="s">
        <v>13284</v>
      </c>
      <c r="M692" s="9" t="s">
        <v>13284</v>
      </c>
      <c r="N692" s="9" t="s">
        <v>13284</v>
      </c>
      <c r="O692" s="9" t="s">
        <v>13284</v>
      </c>
      <c r="P692" s="9" t="s">
        <v>13284</v>
      </c>
      <c r="Q692" s="9" t="s">
        <v>13284</v>
      </c>
      <c r="R692" s="9" t="s">
        <v>13284</v>
      </c>
      <c r="S692" s="9" t="s">
        <v>13284</v>
      </c>
      <c r="T692" s="9" t="str">
        <f ca="1">IFERROR(IF(AND(VLOOKUP(A692, 'Актуальное состояние (из общего'!A:C,3,0) = "", A692 &lt;&gt; ""), "ПРОВЕРИТЬ", VLOOKUP(A692, 'Актуальное состояние (из общего'!A:C,3,0)), "")</f>
        <v>Студент</v>
      </c>
      <c r="U692" s="9" t="s">
        <v>13284</v>
      </c>
      <c r="V692" s="9" t="s">
        <v>13284</v>
      </c>
      <c r="W692" s="12"/>
      <c r="X692" s="9" t="str">
        <f t="array" ref="X692">IFERROR(INDEX('Адреса общежитий (скрытый)'!$B$2:$B$9, MATCH(W692, 'Адреса общежитий (скрытый)'!$A$2:$A$9, 0)), "")</f>
        <v/>
      </c>
      <c r="Y692" s="18"/>
      <c r="Z692" s="18"/>
      <c r="AA692" s="18"/>
      <c r="AB692" s="18"/>
      <c r="AC692" s="18"/>
    </row>
    <row r="693" spans="1:29" ht="32.25" customHeight="1">
      <c r="A693" s="8">
        <v>2300758</v>
      </c>
      <c r="B693" s="9" t="s">
        <v>13284</v>
      </c>
      <c r="C693" s="9" t="s">
        <v>13284</v>
      </c>
      <c r="D693" s="9" t="s">
        <v>13284</v>
      </c>
      <c r="E693" s="9" t="s">
        <v>13284</v>
      </c>
      <c r="F693" s="9" t="s">
        <v>13284</v>
      </c>
      <c r="G693" s="9" t="s">
        <v>13284</v>
      </c>
      <c r="H693" s="9" t="s">
        <v>13284</v>
      </c>
      <c r="I693" s="9" t="s">
        <v>13284</v>
      </c>
      <c r="J693" s="9" t="s">
        <v>13284</v>
      </c>
      <c r="K693" s="9" t="s">
        <v>13284</v>
      </c>
      <c r="L693" s="9" t="s">
        <v>13284</v>
      </c>
      <c r="M693" s="9" t="s">
        <v>13284</v>
      </c>
      <c r="N693" s="9" t="s">
        <v>13284</v>
      </c>
      <c r="O693" s="9" t="s">
        <v>13284</v>
      </c>
      <c r="P693" s="9" t="s">
        <v>13284</v>
      </c>
      <c r="Q693" s="9" t="s">
        <v>13284</v>
      </c>
      <c r="R693" s="9" t="s">
        <v>13284</v>
      </c>
      <c r="S693" s="9" t="s">
        <v>13284</v>
      </c>
      <c r="T693" s="9" t="str">
        <f ca="1">IFERROR(IF(AND(VLOOKUP(A693, 'Актуальное состояние (из общего'!A:C,3,0) = "", A693 &lt;&gt; ""), "ПРОВЕРИТЬ", VLOOKUP(A693, 'Актуальное состояние (из общего'!A:C,3,0)), "")</f>
        <v>Студент</v>
      </c>
      <c r="U693" s="9" t="s">
        <v>13284</v>
      </c>
      <c r="V693" s="9" t="s">
        <v>13284</v>
      </c>
      <c r="W693" s="12"/>
      <c r="X693" s="9" t="str">
        <f t="array" ref="X693">IFERROR(INDEX('Адреса общежитий (скрытый)'!$B$2:$B$9, MATCH(W693, 'Адреса общежитий (скрытый)'!$A$2:$A$9, 0)), "")</f>
        <v/>
      </c>
      <c r="Y693" s="18"/>
      <c r="Z693" s="18"/>
      <c r="AA693" s="18"/>
      <c r="AB693" s="18"/>
      <c r="AC693" s="18"/>
    </row>
    <row r="694" spans="1:29" ht="32.25" customHeight="1">
      <c r="A694" s="8">
        <v>2300537</v>
      </c>
      <c r="B694" s="9" t="s">
        <v>13284</v>
      </c>
      <c r="C694" s="9" t="s">
        <v>13284</v>
      </c>
      <c r="D694" s="9" t="s">
        <v>13284</v>
      </c>
      <c r="E694" s="9" t="s">
        <v>13284</v>
      </c>
      <c r="F694" s="9" t="s">
        <v>13284</v>
      </c>
      <c r="G694" s="9" t="s">
        <v>13284</v>
      </c>
      <c r="H694" s="9" t="s">
        <v>13284</v>
      </c>
      <c r="I694" s="9" t="s">
        <v>13284</v>
      </c>
      <c r="J694" s="9" t="s">
        <v>13284</v>
      </c>
      <c r="K694" s="9" t="s">
        <v>13284</v>
      </c>
      <c r="L694" s="9" t="s">
        <v>13284</v>
      </c>
      <c r="M694" s="9" t="s">
        <v>13284</v>
      </c>
      <c r="N694" s="9" t="s">
        <v>13284</v>
      </c>
      <c r="O694" s="9" t="s">
        <v>13284</v>
      </c>
      <c r="P694" s="9" t="s">
        <v>13284</v>
      </c>
      <c r="Q694" s="9" t="s">
        <v>13284</v>
      </c>
      <c r="R694" s="9" t="s">
        <v>13284</v>
      </c>
      <c r="S694" s="9" t="s">
        <v>13284</v>
      </c>
      <c r="T694" s="9" t="str">
        <f ca="1">IFERROR(IF(AND(VLOOKUP(A694, 'Актуальное состояние (из общего'!A:C,3,0) = "", A694 &lt;&gt; ""), "ПРОВЕРИТЬ", VLOOKUP(A694, 'Актуальное состояние (из общего'!A:C,3,0)), "")</f>
        <v>Студент</v>
      </c>
      <c r="U694" s="9" t="s">
        <v>13284</v>
      </c>
      <c r="V694" s="9" t="s">
        <v>13284</v>
      </c>
      <c r="W694" s="12"/>
      <c r="X694" s="9" t="str">
        <f t="array" ref="X694">IFERROR(INDEX('Адреса общежитий (скрытый)'!$B$2:$B$9, MATCH(W694, 'Адреса общежитий (скрытый)'!$A$2:$A$9, 0)), "")</f>
        <v/>
      </c>
      <c r="Y694" s="18"/>
      <c r="Z694" s="18"/>
      <c r="AA694" s="18"/>
      <c r="AB694" s="18"/>
      <c r="AC694" s="18"/>
    </row>
    <row r="695" spans="1:29" ht="32.25" customHeight="1">
      <c r="A695" s="8">
        <v>2305825</v>
      </c>
      <c r="B695" s="9" t="s">
        <v>13284</v>
      </c>
      <c r="C695" s="9" t="s">
        <v>13284</v>
      </c>
      <c r="D695" s="9" t="s">
        <v>13284</v>
      </c>
      <c r="E695" s="9" t="s">
        <v>13284</v>
      </c>
      <c r="F695" s="9" t="s">
        <v>13284</v>
      </c>
      <c r="G695" s="9" t="s">
        <v>13284</v>
      </c>
      <c r="H695" s="9" t="s">
        <v>13284</v>
      </c>
      <c r="I695" s="9" t="s">
        <v>13284</v>
      </c>
      <c r="J695" s="9" t="s">
        <v>13284</v>
      </c>
      <c r="K695" s="9" t="s">
        <v>13284</v>
      </c>
      <c r="L695" s="9" t="s">
        <v>13284</v>
      </c>
      <c r="M695" s="9" t="s">
        <v>13284</v>
      </c>
      <c r="N695" s="9" t="s">
        <v>13284</v>
      </c>
      <c r="O695" s="9" t="s">
        <v>13284</v>
      </c>
      <c r="P695" s="9" t="s">
        <v>13284</v>
      </c>
      <c r="Q695" s="9" t="s">
        <v>13284</v>
      </c>
      <c r="R695" s="9" t="s">
        <v>13284</v>
      </c>
      <c r="S695" s="9" t="s">
        <v>13284</v>
      </c>
      <c r="T695" s="9" t="str">
        <f ca="1">IFERROR(IF(AND(VLOOKUP(A695, 'Актуальное состояние (из общего'!A:C,3,0) = "", A695 &lt;&gt; ""), "ПРОВЕРИТЬ", VLOOKUP(A695, 'Актуальное состояние (из общего'!A:C,3,0)), "")</f>
        <v>Студент</v>
      </c>
      <c r="U695" s="9" t="s">
        <v>13284</v>
      </c>
      <c r="V695" s="9" t="s">
        <v>13284</v>
      </c>
      <c r="W695" s="12"/>
      <c r="X695" s="9" t="str">
        <f t="array" ref="X695">IFERROR(INDEX('Адреса общежитий (скрытый)'!$B$2:$B$9, MATCH(W695, 'Адреса общежитий (скрытый)'!$A$2:$A$9, 0)), "")</f>
        <v/>
      </c>
      <c r="Y695" s="18"/>
      <c r="Z695" s="18"/>
      <c r="AA695" s="18"/>
      <c r="AB695" s="18"/>
      <c r="AC695" s="18"/>
    </row>
    <row r="696" spans="1:29" ht="32.25" customHeight="1">
      <c r="A696" s="8">
        <v>2308906</v>
      </c>
      <c r="B696" s="9" t="s">
        <v>13284</v>
      </c>
      <c r="C696" s="9" t="s">
        <v>13284</v>
      </c>
      <c r="D696" s="9" t="s">
        <v>13284</v>
      </c>
      <c r="E696" s="9" t="s">
        <v>13284</v>
      </c>
      <c r="F696" s="9" t="s">
        <v>13284</v>
      </c>
      <c r="G696" s="9" t="s">
        <v>13284</v>
      </c>
      <c r="H696" s="9" t="s">
        <v>13284</v>
      </c>
      <c r="I696" s="9" t="s">
        <v>13284</v>
      </c>
      <c r="J696" s="9" t="s">
        <v>13284</v>
      </c>
      <c r="K696" s="9" t="s">
        <v>13284</v>
      </c>
      <c r="L696" s="9" t="s">
        <v>13284</v>
      </c>
      <c r="M696" s="9" t="s">
        <v>13284</v>
      </c>
      <c r="N696" s="9" t="s">
        <v>13284</v>
      </c>
      <c r="O696" s="9" t="s">
        <v>13284</v>
      </c>
      <c r="P696" s="9" t="s">
        <v>13284</v>
      </c>
      <c r="Q696" s="9" t="s">
        <v>13284</v>
      </c>
      <c r="R696" s="9" t="s">
        <v>13284</v>
      </c>
      <c r="S696" s="9" t="s">
        <v>13284</v>
      </c>
      <c r="T696" s="9" t="str">
        <f ca="1">IFERROR(IF(AND(VLOOKUP(A696, 'Актуальное состояние (из общего'!A:C,3,0) = "", A696 &lt;&gt; ""), "ПРОВЕРИТЬ", VLOOKUP(A696, 'Актуальное состояние (из общего'!A:C,3,0)), "")</f>
        <v>Студент</v>
      </c>
      <c r="U696" s="9" t="s">
        <v>13284</v>
      </c>
      <c r="V696" s="9" t="s">
        <v>13284</v>
      </c>
      <c r="W696" s="12"/>
      <c r="X696" s="9" t="str">
        <f t="array" ref="X696">IFERROR(INDEX('Адреса общежитий (скрытый)'!$B$2:$B$9, MATCH(W696, 'Адреса общежитий (скрытый)'!$A$2:$A$9, 0)), "")</f>
        <v/>
      </c>
      <c r="Y696" s="18"/>
      <c r="Z696" s="18"/>
      <c r="AA696" s="18"/>
      <c r="AB696" s="18"/>
      <c r="AC696" s="18"/>
    </row>
    <row r="697" spans="1:29" ht="32.25" customHeight="1">
      <c r="A697" s="8">
        <v>2311956</v>
      </c>
      <c r="B697" s="9" t="s">
        <v>13284</v>
      </c>
      <c r="C697" s="9" t="s">
        <v>13284</v>
      </c>
      <c r="D697" s="9" t="s">
        <v>13284</v>
      </c>
      <c r="E697" s="9" t="s">
        <v>13284</v>
      </c>
      <c r="F697" s="9" t="s">
        <v>13284</v>
      </c>
      <c r="G697" s="9" t="s">
        <v>13284</v>
      </c>
      <c r="H697" s="9" t="s">
        <v>13284</v>
      </c>
      <c r="I697" s="9" t="s">
        <v>13284</v>
      </c>
      <c r="J697" s="9" t="s">
        <v>13284</v>
      </c>
      <c r="K697" s="9" t="s">
        <v>13284</v>
      </c>
      <c r="L697" s="9" t="s">
        <v>13284</v>
      </c>
      <c r="M697" s="9" t="s">
        <v>13284</v>
      </c>
      <c r="N697" s="9" t="s">
        <v>13284</v>
      </c>
      <c r="O697" s="9" t="s">
        <v>13284</v>
      </c>
      <c r="P697" s="9" t="s">
        <v>13284</v>
      </c>
      <c r="Q697" s="9" t="s">
        <v>13284</v>
      </c>
      <c r="R697" s="9" t="s">
        <v>13284</v>
      </c>
      <c r="S697" s="9" t="s">
        <v>13284</v>
      </c>
      <c r="T697" s="9" t="str">
        <f ca="1">IFERROR(IF(AND(VLOOKUP(A697, 'Актуальное состояние (из общего'!A:C,3,0) = "", A697 &lt;&gt; ""), "ПРОВЕРИТЬ", VLOOKUP(A697, 'Актуальное состояние (из общего'!A:C,3,0)), "")</f>
        <v>Студент</v>
      </c>
      <c r="U697" s="9" t="s">
        <v>13284</v>
      </c>
      <c r="V697" s="9" t="s">
        <v>13284</v>
      </c>
      <c r="W697" s="12"/>
      <c r="X697" s="9" t="str">
        <f t="array" ref="X697">IFERROR(INDEX('Адреса общежитий (скрытый)'!$B$2:$B$9, MATCH(W697, 'Адреса общежитий (скрытый)'!$A$2:$A$9, 0)), "")</f>
        <v/>
      </c>
      <c r="Y697" s="18"/>
      <c r="Z697" s="18"/>
      <c r="AA697" s="18"/>
      <c r="AB697" s="18"/>
      <c r="AC697" s="18"/>
    </row>
    <row r="698" spans="1:29" ht="32.25" customHeight="1">
      <c r="A698" s="8">
        <v>2307044</v>
      </c>
      <c r="B698" s="9" t="s">
        <v>13284</v>
      </c>
      <c r="C698" s="9" t="s">
        <v>13284</v>
      </c>
      <c r="D698" s="9" t="s">
        <v>13284</v>
      </c>
      <c r="E698" s="9" t="s">
        <v>13284</v>
      </c>
      <c r="F698" s="9" t="s">
        <v>13284</v>
      </c>
      <c r="G698" s="9" t="s">
        <v>13284</v>
      </c>
      <c r="H698" s="9" t="s">
        <v>13284</v>
      </c>
      <c r="I698" s="9" t="s">
        <v>13284</v>
      </c>
      <c r="J698" s="9" t="s">
        <v>13284</v>
      </c>
      <c r="K698" s="9" t="s">
        <v>13284</v>
      </c>
      <c r="L698" s="9" t="s">
        <v>13284</v>
      </c>
      <c r="M698" s="9" t="s">
        <v>13284</v>
      </c>
      <c r="N698" s="9" t="s">
        <v>13284</v>
      </c>
      <c r="O698" s="9" t="s">
        <v>13284</v>
      </c>
      <c r="P698" s="9" t="s">
        <v>13284</v>
      </c>
      <c r="Q698" s="9" t="s">
        <v>13284</v>
      </c>
      <c r="R698" s="9" t="s">
        <v>13284</v>
      </c>
      <c r="S698" s="9" t="s">
        <v>13284</v>
      </c>
      <c r="T698" s="9" t="str">
        <f ca="1">IFERROR(IF(AND(VLOOKUP(A698, 'Актуальное состояние (из общего'!A:C,3,0) = "", A698 &lt;&gt; ""), "ПРОВЕРИТЬ", VLOOKUP(A698, 'Актуальное состояние (из общего'!A:C,3,0)), "")</f>
        <v>Студент</v>
      </c>
      <c r="U698" s="9" t="s">
        <v>13284</v>
      </c>
      <c r="V698" s="9" t="s">
        <v>13284</v>
      </c>
      <c r="W698" s="12"/>
      <c r="X698" s="9" t="str">
        <f t="array" ref="X698">IFERROR(INDEX('Адреса общежитий (скрытый)'!$B$2:$B$9, MATCH(W698, 'Адреса общежитий (скрытый)'!$A$2:$A$9, 0)), "")</f>
        <v/>
      </c>
      <c r="Y698" s="18"/>
      <c r="Z698" s="18"/>
      <c r="AA698" s="18"/>
      <c r="AB698" s="18"/>
      <c r="AC698" s="18"/>
    </row>
    <row r="699" spans="1:29" ht="32.25" hidden="1" customHeight="1">
      <c r="A699" s="8">
        <v>2308804</v>
      </c>
      <c r="B699" s="9" t="s">
        <v>13284</v>
      </c>
      <c r="C699" s="9" t="s">
        <v>13284</v>
      </c>
      <c r="D699" s="9" t="s">
        <v>13284</v>
      </c>
      <c r="E699" s="9" t="s">
        <v>13284</v>
      </c>
      <c r="F699" s="9" t="s">
        <v>13284</v>
      </c>
      <c r="G699" s="9" t="s">
        <v>13284</v>
      </c>
      <c r="H699" s="9" t="s">
        <v>13284</v>
      </c>
      <c r="I699" s="9" t="s">
        <v>13284</v>
      </c>
      <c r="J699" s="9" t="s">
        <v>13284</v>
      </c>
      <c r="K699" s="9" t="s">
        <v>13284</v>
      </c>
      <c r="L699" s="9" t="s">
        <v>13284</v>
      </c>
      <c r="M699" s="9" t="s">
        <v>13284</v>
      </c>
      <c r="N699" s="9" t="s">
        <v>13284</v>
      </c>
      <c r="O699" s="9" t="s">
        <v>13284</v>
      </c>
      <c r="P699" s="9" t="s">
        <v>13284</v>
      </c>
      <c r="Q699" s="9" t="s">
        <v>13284</v>
      </c>
      <c r="R699" s="9" t="s">
        <v>13284</v>
      </c>
      <c r="S699" s="9" t="s">
        <v>13284</v>
      </c>
      <c r="T699" s="9" t="str">
        <f ca="1">IFERROR(IF(AND(VLOOKUP(A699, 'Актуальное состояние (из общего'!A:C,3,0) = "", A699 &lt;&gt; ""), "ПРОВЕРИТЬ", VLOOKUP(A699, 'Актуальное состояние (из общего'!A:C,3,0)), "")</f>
        <v>Студент</v>
      </c>
      <c r="U699" s="9" t="s">
        <v>13284</v>
      </c>
      <c r="V699" s="9" t="s">
        <v>13284</v>
      </c>
      <c r="W699" s="12"/>
      <c r="X699" s="9" t="str">
        <f t="array" ref="X699">IFERROR(INDEX('Адреса общежитий (скрытый)'!$B$2:$B$9, MATCH(W699, 'Адреса общежитий (скрытый)'!$A$2:$A$9, 0)), "")</f>
        <v/>
      </c>
      <c r="Y699" s="18"/>
      <c r="Z699" s="18"/>
      <c r="AA699" s="18"/>
      <c r="AB699" s="18"/>
      <c r="AC699" s="18"/>
    </row>
    <row r="700" spans="1:29" ht="32.25" hidden="1" customHeight="1">
      <c r="A700" s="8">
        <v>2305737</v>
      </c>
      <c r="B700" s="9" t="s">
        <v>13284</v>
      </c>
      <c r="C700" s="9" t="s">
        <v>13284</v>
      </c>
      <c r="D700" s="9" t="s">
        <v>13284</v>
      </c>
      <c r="E700" s="9" t="s">
        <v>13284</v>
      </c>
      <c r="F700" s="9" t="s">
        <v>13284</v>
      </c>
      <c r="G700" s="9" t="s">
        <v>13284</v>
      </c>
      <c r="H700" s="9" t="s">
        <v>13284</v>
      </c>
      <c r="I700" s="9" t="s">
        <v>13284</v>
      </c>
      <c r="J700" s="9" t="s">
        <v>13284</v>
      </c>
      <c r="K700" s="9" t="s">
        <v>13284</v>
      </c>
      <c r="L700" s="9" t="s">
        <v>13284</v>
      </c>
      <c r="M700" s="9" t="s">
        <v>13284</v>
      </c>
      <c r="N700" s="9" t="s">
        <v>13284</v>
      </c>
      <c r="O700" s="9" t="s">
        <v>13284</v>
      </c>
      <c r="P700" s="9" t="s">
        <v>13284</v>
      </c>
      <c r="Q700" s="9" t="s">
        <v>13284</v>
      </c>
      <c r="R700" s="9" t="s">
        <v>13284</v>
      </c>
      <c r="S700" s="9" t="s">
        <v>13284</v>
      </c>
      <c r="T700" s="9" t="str">
        <f ca="1">IFERROR(IF(AND(VLOOKUP(A700, 'Актуальное состояние (из общего'!A:C,3,0) = "", A700 &lt;&gt; ""), "ПРОВЕРИТЬ", VLOOKUP(A700, 'Актуальное состояние (из общего'!A:C,3,0)), "")</f>
        <v>Студент</v>
      </c>
      <c r="U700" s="9" t="s">
        <v>13284</v>
      </c>
      <c r="V700" s="9" t="s">
        <v>13284</v>
      </c>
      <c r="W700" s="12"/>
      <c r="X700" s="9" t="str">
        <f t="array" ref="X700">IFERROR(INDEX('Адреса общежитий (скрытый)'!$B$2:$B$9, MATCH(W700, 'Адреса общежитий (скрытый)'!$A$2:$A$9, 0)), "")</f>
        <v/>
      </c>
      <c r="Y700" s="18"/>
      <c r="Z700" s="18"/>
      <c r="AA700" s="18"/>
      <c r="AB700" s="18"/>
      <c r="AC700" s="18"/>
    </row>
    <row r="701" spans="1:29" ht="32.25" customHeight="1">
      <c r="A701" s="8">
        <v>2305536</v>
      </c>
      <c r="B701" s="9" t="s">
        <v>13284</v>
      </c>
      <c r="C701" s="9" t="s">
        <v>13284</v>
      </c>
      <c r="D701" s="9" t="s">
        <v>13284</v>
      </c>
      <c r="E701" s="9" t="s">
        <v>13284</v>
      </c>
      <c r="F701" s="9" t="s">
        <v>13284</v>
      </c>
      <c r="G701" s="9" t="s">
        <v>13284</v>
      </c>
      <c r="H701" s="9" t="s">
        <v>13284</v>
      </c>
      <c r="I701" s="9" t="s">
        <v>13284</v>
      </c>
      <c r="J701" s="9" t="s">
        <v>13284</v>
      </c>
      <c r="K701" s="9" t="s">
        <v>13284</v>
      </c>
      <c r="L701" s="9" t="s">
        <v>13284</v>
      </c>
      <c r="M701" s="9" t="s">
        <v>13284</v>
      </c>
      <c r="N701" s="9" t="s">
        <v>13284</v>
      </c>
      <c r="O701" s="9" t="s">
        <v>13284</v>
      </c>
      <c r="P701" s="9" t="s">
        <v>13284</v>
      </c>
      <c r="Q701" s="9" t="s">
        <v>13284</v>
      </c>
      <c r="R701" s="9" t="s">
        <v>13284</v>
      </c>
      <c r="S701" s="9" t="s">
        <v>13284</v>
      </c>
      <c r="T701" s="9" t="str">
        <f ca="1">IFERROR(IF(AND(VLOOKUP(A701, 'Актуальное состояние (из общего'!A:C,3,0) = "", A701 &lt;&gt; ""), "ПРОВЕРИТЬ", VLOOKUP(A701, 'Актуальное состояние (из общего'!A:C,3,0)), "")</f>
        <v>Студент</v>
      </c>
      <c r="U701" s="9" t="s">
        <v>13284</v>
      </c>
      <c r="V701" s="9" t="s">
        <v>13284</v>
      </c>
      <c r="W701" s="12" t="s">
        <v>76</v>
      </c>
      <c r="X701" s="9" t="str">
        <f t="array" ref="X701">IFERROR(INDEX('Адреса общежитий (скрытый)'!$B$2:$B$9, MATCH(W701, 'Адреса общежитий (скрытый)'!$A$2:$A$9, 0)), "")</f>
        <v>ул. Студенческая, д. 33, корп. 5,6</v>
      </c>
      <c r="Y701" s="18"/>
      <c r="Z701" s="18"/>
      <c r="AA701" s="18"/>
      <c r="AB701" s="18"/>
      <c r="AC701" s="18"/>
    </row>
    <row r="702" spans="1:29" ht="32.25" hidden="1" customHeight="1">
      <c r="A702" s="8">
        <v>2311570</v>
      </c>
      <c r="B702" s="9" t="s">
        <v>13284</v>
      </c>
      <c r="C702" s="9" t="s">
        <v>13284</v>
      </c>
      <c r="D702" s="9" t="s">
        <v>13284</v>
      </c>
      <c r="E702" s="9" t="s">
        <v>13284</v>
      </c>
      <c r="F702" s="9" t="s">
        <v>13284</v>
      </c>
      <c r="G702" s="9" t="s">
        <v>13284</v>
      </c>
      <c r="H702" s="9" t="s">
        <v>13284</v>
      </c>
      <c r="I702" s="9" t="s">
        <v>13284</v>
      </c>
      <c r="J702" s="9" t="s">
        <v>13284</v>
      </c>
      <c r="K702" s="9" t="s">
        <v>13284</v>
      </c>
      <c r="L702" s="9" t="s">
        <v>13284</v>
      </c>
      <c r="M702" s="9" t="s">
        <v>13284</v>
      </c>
      <c r="N702" s="9" t="s">
        <v>13284</v>
      </c>
      <c r="O702" s="9" t="s">
        <v>13284</v>
      </c>
      <c r="P702" s="9" t="s">
        <v>13284</v>
      </c>
      <c r="Q702" s="9" t="s">
        <v>13284</v>
      </c>
      <c r="R702" s="9" t="s">
        <v>13284</v>
      </c>
      <c r="S702" s="9" t="s">
        <v>13284</v>
      </c>
      <c r="T702" s="9" t="str">
        <f ca="1">IFERROR(IF(AND(VLOOKUP(A702, 'Актуальное состояние (из общего'!A:C,3,0) = "", A702 &lt;&gt; ""), "ПРОВЕРИТЬ", VLOOKUP(A702, 'Актуальное состояние (из общего'!A:C,3,0)), "")</f>
        <v>Студент</v>
      </c>
      <c r="U702" s="9" t="s">
        <v>13284</v>
      </c>
      <c r="V702" s="9" t="s">
        <v>13284</v>
      </c>
      <c r="W702" s="12"/>
      <c r="X702" s="9" t="str">
        <f t="array" ref="X702">IFERROR(INDEX('Адреса общежитий (скрытый)'!$B$2:$B$9, MATCH(W702, 'Адреса общежитий (скрытый)'!$A$2:$A$9, 0)), "")</f>
        <v/>
      </c>
      <c r="Y702" s="18"/>
      <c r="Z702" s="18"/>
      <c r="AA702" s="18"/>
      <c r="AB702" s="18"/>
      <c r="AC702" s="18"/>
    </row>
    <row r="703" spans="1:29" ht="32.25" hidden="1" customHeight="1">
      <c r="A703" s="8">
        <v>2302449</v>
      </c>
      <c r="B703" s="9" t="s">
        <v>13284</v>
      </c>
      <c r="C703" s="9" t="s">
        <v>13284</v>
      </c>
      <c r="D703" s="9" t="s">
        <v>13284</v>
      </c>
      <c r="E703" s="9" t="s">
        <v>13284</v>
      </c>
      <c r="F703" s="9" t="s">
        <v>13284</v>
      </c>
      <c r="G703" s="9" t="s">
        <v>13284</v>
      </c>
      <c r="H703" s="9" t="s">
        <v>13284</v>
      </c>
      <c r="I703" s="9" t="s">
        <v>13284</v>
      </c>
      <c r="J703" s="9" t="s">
        <v>13284</v>
      </c>
      <c r="K703" s="9" t="s">
        <v>13284</v>
      </c>
      <c r="L703" s="9" t="s">
        <v>13284</v>
      </c>
      <c r="M703" s="9" t="s">
        <v>13284</v>
      </c>
      <c r="N703" s="9" t="s">
        <v>13284</v>
      </c>
      <c r="O703" s="9" t="s">
        <v>13284</v>
      </c>
      <c r="P703" s="9" t="s">
        <v>13284</v>
      </c>
      <c r="Q703" s="9" t="s">
        <v>13284</v>
      </c>
      <c r="R703" s="9" t="s">
        <v>13284</v>
      </c>
      <c r="S703" s="9" t="s">
        <v>13284</v>
      </c>
      <c r="T703" s="9" t="str">
        <f ca="1">IFERROR(IF(AND(VLOOKUP(A703, 'Актуальное состояние (из общего'!A:C,3,0) = "", A703 &lt;&gt; ""), "ПРОВЕРИТЬ", VLOOKUP(A703, 'Актуальное состояние (из общего'!A:C,3,0)), "")</f>
        <v>Студент</v>
      </c>
      <c r="U703" s="9" t="s">
        <v>13284</v>
      </c>
      <c r="V703" s="9" t="s">
        <v>13284</v>
      </c>
      <c r="W703" s="12"/>
      <c r="X703" s="9" t="str">
        <f t="array" ref="X703">IFERROR(INDEX('Адреса общежитий (скрытый)'!$B$2:$B$9, MATCH(W703, 'Адреса общежитий (скрытый)'!$A$2:$A$9, 0)), "")</f>
        <v/>
      </c>
      <c r="Y703" s="18"/>
      <c r="Z703" s="18"/>
      <c r="AA703" s="18"/>
      <c r="AB703" s="18"/>
      <c r="AC703" s="18"/>
    </row>
    <row r="704" spans="1:29" ht="32.25" customHeight="1">
      <c r="A704" s="8">
        <v>2300884</v>
      </c>
      <c r="B704" s="9" t="s">
        <v>13284</v>
      </c>
      <c r="C704" s="9" t="s">
        <v>13284</v>
      </c>
      <c r="D704" s="9" t="s">
        <v>13284</v>
      </c>
      <c r="E704" s="9" t="s">
        <v>13284</v>
      </c>
      <c r="F704" s="9" t="s">
        <v>13284</v>
      </c>
      <c r="G704" s="9" t="s">
        <v>13284</v>
      </c>
      <c r="H704" s="9" t="s">
        <v>13284</v>
      </c>
      <c r="I704" s="9" t="s">
        <v>13284</v>
      </c>
      <c r="J704" s="9" t="s">
        <v>13284</v>
      </c>
      <c r="K704" s="9" t="s">
        <v>13284</v>
      </c>
      <c r="L704" s="9" t="s">
        <v>13284</v>
      </c>
      <c r="M704" s="9" t="s">
        <v>13284</v>
      </c>
      <c r="N704" s="9" t="s">
        <v>13284</v>
      </c>
      <c r="O704" s="9" t="s">
        <v>13284</v>
      </c>
      <c r="P704" s="9" t="s">
        <v>13284</v>
      </c>
      <c r="Q704" s="9" t="s">
        <v>13284</v>
      </c>
      <c r="R704" s="9" t="s">
        <v>13284</v>
      </c>
      <c r="S704" s="9" t="s">
        <v>13284</v>
      </c>
      <c r="T704" s="9" t="str">
        <f ca="1">IFERROR(IF(AND(VLOOKUP(A704, 'Актуальное состояние (из общего'!A:C,3,0) = "", A704 &lt;&gt; ""), "ПРОВЕРИТЬ", VLOOKUP(A704, 'Актуальное состояние (из общего'!A:C,3,0)), "")</f>
        <v>Студент</v>
      </c>
      <c r="U704" s="9" t="s">
        <v>13284</v>
      </c>
      <c r="V704" s="9" t="s">
        <v>13284</v>
      </c>
      <c r="W704" s="12"/>
      <c r="X704" s="9" t="str">
        <f t="array" ref="X704">IFERROR(INDEX('Адреса общежитий (скрытый)'!$B$2:$B$9, MATCH(W704, 'Адреса общежитий (скрытый)'!$A$2:$A$9, 0)), "")</f>
        <v/>
      </c>
      <c r="Y704" s="18"/>
      <c r="Z704" s="18"/>
      <c r="AA704" s="18"/>
      <c r="AB704" s="18"/>
      <c r="AC704" s="18"/>
    </row>
    <row r="705" spans="1:29" ht="32.25" customHeight="1">
      <c r="A705" s="8">
        <v>2301222</v>
      </c>
      <c r="B705" s="9" t="s">
        <v>13284</v>
      </c>
      <c r="C705" s="9" t="s">
        <v>13284</v>
      </c>
      <c r="D705" s="9" t="s">
        <v>13284</v>
      </c>
      <c r="E705" s="9" t="s">
        <v>13284</v>
      </c>
      <c r="F705" s="9" t="s">
        <v>13284</v>
      </c>
      <c r="G705" s="9" t="s">
        <v>13284</v>
      </c>
      <c r="H705" s="9" t="s">
        <v>13284</v>
      </c>
      <c r="I705" s="9" t="s">
        <v>13284</v>
      </c>
      <c r="J705" s="9" t="s">
        <v>13284</v>
      </c>
      <c r="K705" s="9" t="s">
        <v>13284</v>
      </c>
      <c r="L705" s="9" t="s">
        <v>13284</v>
      </c>
      <c r="M705" s="9" t="s">
        <v>13284</v>
      </c>
      <c r="N705" s="9" t="s">
        <v>13284</v>
      </c>
      <c r="O705" s="9" t="s">
        <v>13284</v>
      </c>
      <c r="P705" s="9" t="s">
        <v>13284</v>
      </c>
      <c r="Q705" s="9" t="s">
        <v>13284</v>
      </c>
      <c r="R705" s="9" t="s">
        <v>13284</v>
      </c>
      <c r="S705" s="9" t="s">
        <v>13284</v>
      </c>
      <c r="T705" s="9" t="str">
        <f ca="1">IFERROR(IF(AND(VLOOKUP(A705, 'Актуальное состояние (из общего'!A:C,3,0) = "", A705 &lt;&gt; ""), "ПРОВЕРИТЬ", VLOOKUP(A705, 'Актуальное состояние (из общего'!A:C,3,0)), "")</f>
        <v>Студент</v>
      </c>
      <c r="U705" s="9" t="s">
        <v>13284</v>
      </c>
      <c r="V705" s="9" t="s">
        <v>13284</v>
      </c>
      <c r="W705" s="12"/>
      <c r="X705" s="9" t="str">
        <f t="array" ref="X705">IFERROR(INDEX('Адреса общежитий (скрытый)'!$B$2:$B$9, MATCH(W705, 'Адреса общежитий (скрытый)'!$A$2:$A$9, 0)), "")</f>
        <v/>
      </c>
      <c r="Y705" s="18"/>
      <c r="Z705" s="18"/>
      <c r="AA705" s="18"/>
      <c r="AB705" s="18"/>
      <c r="AC705" s="18"/>
    </row>
    <row r="706" spans="1:29" ht="32.25" customHeight="1">
      <c r="A706" s="8">
        <v>2300574</v>
      </c>
      <c r="B706" s="9" t="s">
        <v>13284</v>
      </c>
      <c r="C706" s="9" t="s">
        <v>13284</v>
      </c>
      <c r="D706" s="9" t="s">
        <v>13284</v>
      </c>
      <c r="E706" s="9" t="s">
        <v>13284</v>
      </c>
      <c r="F706" s="9" t="s">
        <v>13284</v>
      </c>
      <c r="G706" s="9" t="s">
        <v>13284</v>
      </c>
      <c r="H706" s="9" t="s">
        <v>13284</v>
      </c>
      <c r="I706" s="9" t="s">
        <v>13284</v>
      </c>
      <c r="J706" s="9" t="s">
        <v>13284</v>
      </c>
      <c r="K706" s="9" t="s">
        <v>13284</v>
      </c>
      <c r="L706" s="9" t="s">
        <v>13284</v>
      </c>
      <c r="M706" s="9" t="s">
        <v>13284</v>
      </c>
      <c r="N706" s="9" t="s">
        <v>13284</v>
      </c>
      <c r="O706" s="9" t="s">
        <v>13284</v>
      </c>
      <c r="P706" s="9" t="s">
        <v>13284</v>
      </c>
      <c r="Q706" s="9" t="s">
        <v>13284</v>
      </c>
      <c r="R706" s="9" t="s">
        <v>13284</v>
      </c>
      <c r="S706" s="9" t="s">
        <v>13284</v>
      </c>
      <c r="T706" s="9" t="str">
        <f ca="1">IFERROR(IF(AND(VLOOKUP(A706, 'Актуальное состояние (из общего'!A:C,3,0) = "", A706 &lt;&gt; ""), "ПРОВЕРИТЬ", VLOOKUP(A706, 'Актуальное состояние (из общего'!A:C,3,0)), "")</f>
        <v>Студент</v>
      </c>
      <c r="U706" s="9" t="s">
        <v>13284</v>
      </c>
      <c r="V706" s="9" t="s">
        <v>13284</v>
      </c>
      <c r="W706" s="12"/>
      <c r="X706" s="9" t="str">
        <f t="array" ref="X706">IFERROR(INDEX('Адреса общежитий (скрытый)'!$B$2:$B$9, MATCH(W706, 'Адреса общежитий (скрытый)'!$A$2:$A$9, 0)), "")</f>
        <v/>
      </c>
      <c r="Y706" s="18"/>
      <c r="Z706" s="18"/>
      <c r="AA706" s="18"/>
      <c r="AB706" s="18"/>
      <c r="AC706" s="18"/>
    </row>
    <row r="707" spans="1:29" ht="32.25" customHeight="1">
      <c r="A707" s="8">
        <v>2302779</v>
      </c>
      <c r="B707" s="9" t="s">
        <v>13284</v>
      </c>
      <c r="C707" s="9" t="s">
        <v>13284</v>
      </c>
      <c r="D707" s="9" t="s">
        <v>13284</v>
      </c>
      <c r="E707" s="9" t="s">
        <v>13284</v>
      </c>
      <c r="F707" s="9" t="s">
        <v>13284</v>
      </c>
      <c r="G707" s="9" t="s">
        <v>13284</v>
      </c>
      <c r="H707" s="9" t="s">
        <v>13284</v>
      </c>
      <c r="I707" s="9" t="s">
        <v>13284</v>
      </c>
      <c r="J707" s="9" t="s">
        <v>13284</v>
      </c>
      <c r="K707" s="9" t="s">
        <v>13284</v>
      </c>
      <c r="L707" s="9" t="s">
        <v>13284</v>
      </c>
      <c r="M707" s="9" t="s">
        <v>13284</v>
      </c>
      <c r="N707" s="9" t="s">
        <v>13284</v>
      </c>
      <c r="O707" s="9" t="s">
        <v>13284</v>
      </c>
      <c r="P707" s="9" t="s">
        <v>13284</v>
      </c>
      <c r="Q707" s="9" t="s">
        <v>13284</v>
      </c>
      <c r="R707" s="9" t="s">
        <v>13284</v>
      </c>
      <c r="S707" s="9" t="s">
        <v>13284</v>
      </c>
      <c r="T707" s="9" t="str">
        <f ca="1">IFERROR(IF(AND(VLOOKUP(A707, 'Актуальное состояние (из общего'!A:C,3,0) = "", A707 &lt;&gt; ""), "ПРОВЕРИТЬ", VLOOKUP(A707, 'Актуальное состояние (из общего'!A:C,3,0)), "")</f>
        <v>Студент</v>
      </c>
      <c r="U707" s="9" t="s">
        <v>13284</v>
      </c>
      <c r="V707" s="9" t="s">
        <v>13284</v>
      </c>
      <c r="W707" s="12"/>
      <c r="X707" s="9" t="str">
        <f t="array" ref="X707">IFERROR(INDEX('Адреса общежитий (скрытый)'!$B$2:$B$9, MATCH(W707, 'Адреса общежитий (скрытый)'!$A$2:$A$9, 0)), "")</f>
        <v/>
      </c>
      <c r="Y707" s="18"/>
      <c r="Z707" s="18"/>
      <c r="AA707" s="18"/>
      <c r="AB707" s="18"/>
      <c r="AC707" s="18"/>
    </row>
    <row r="708" spans="1:29" ht="32.25" hidden="1" customHeight="1">
      <c r="A708" s="8">
        <v>2305088</v>
      </c>
      <c r="B708" s="9" t="s">
        <v>13284</v>
      </c>
      <c r="C708" s="9" t="s">
        <v>13284</v>
      </c>
      <c r="D708" s="9" t="s">
        <v>13284</v>
      </c>
      <c r="E708" s="9" t="s">
        <v>13284</v>
      </c>
      <c r="F708" s="9" t="s">
        <v>13284</v>
      </c>
      <c r="G708" s="9" t="s">
        <v>13284</v>
      </c>
      <c r="H708" s="9" t="s">
        <v>13284</v>
      </c>
      <c r="I708" s="9" t="s">
        <v>13284</v>
      </c>
      <c r="J708" s="9" t="s">
        <v>13284</v>
      </c>
      <c r="K708" s="9" t="s">
        <v>13284</v>
      </c>
      <c r="L708" s="9" t="s">
        <v>13284</v>
      </c>
      <c r="M708" s="9" t="s">
        <v>13284</v>
      </c>
      <c r="N708" s="9" t="s">
        <v>13284</v>
      </c>
      <c r="O708" s="9" t="s">
        <v>13284</v>
      </c>
      <c r="P708" s="9" t="s">
        <v>13284</v>
      </c>
      <c r="Q708" s="9" t="s">
        <v>13284</v>
      </c>
      <c r="R708" s="9" t="s">
        <v>13284</v>
      </c>
      <c r="S708" s="9" t="s">
        <v>13284</v>
      </c>
      <c r="T708" s="9" t="str">
        <f ca="1">IFERROR(IF(AND(VLOOKUP(A708, 'Актуальное состояние (из общего'!A:C,3,0) = "", A708 &lt;&gt; ""), "ПРОВЕРИТЬ", VLOOKUP(A708, 'Актуальное состояние (из общего'!A:C,3,0)), "")</f>
        <v>Студент</v>
      </c>
      <c r="U708" s="9" t="s">
        <v>13284</v>
      </c>
      <c r="V708" s="9" t="s">
        <v>13284</v>
      </c>
      <c r="W708" s="12"/>
      <c r="X708" s="9" t="str">
        <f t="array" ref="X708">IFERROR(INDEX('Адреса общежитий (скрытый)'!$B$2:$B$9, MATCH(W708, 'Адреса общежитий (скрытый)'!$A$2:$A$9, 0)), "")</f>
        <v/>
      </c>
      <c r="Y708" s="18"/>
      <c r="Z708" s="18"/>
      <c r="AA708" s="18"/>
      <c r="AB708" s="18"/>
      <c r="AC708" s="18"/>
    </row>
    <row r="709" spans="1:29" ht="32.25" customHeight="1">
      <c r="A709" s="8">
        <v>2303557</v>
      </c>
      <c r="B709" s="9" t="s">
        <v>13284</v>
      </c>
      <c r="C709" s="9" t="s">
        <v>13284</v>
      </c>
      <c r="D709" s="9" t="s">
        <v>13284</v>
      </c>
      <c r="E709" s="9" t="s">
        <v>13284</v>
      </c>
      <c r="F709" s="9" t="s">
        <v>13284</v>
      </c>
      <c r="G709" s="9" t="s">
        <v>13284</v>
      </c>
      <c r="H709" s="9" t="s">
        <v>13284</v>
      </c>
      <c r="I709" s="9" t="s">
        <v>13284</v>
      </c>
      <c r="J709" s="9" t="s">
        <v>13284</v>
      </c>
      <c r="K709" s="9" t="s">
        <v>13284</v>
      </c>
      <c r="L709" s="9" t="s">
        <v>13284</v>
      </c>
      <c r="M709" s="9" t="s">
        <v>13284</v>
      </c>
      <c r="N709" s="9" t="s">
        <v>13284</v>
      </c>
      <c r="O709" s="9" t="s">
        <v>13284</v>
      </c>
      <c r="P709" s="9" t="s">
        <v>13284</v>
      </c>
      <c r="Q709" s="9" t="s">
        <v>13284</v>
      </c>
      <c r="R709" s="9" t="s">
        <v>13284</v>
      </c>
      <c r="S709" s="9" t="s">
        <v>13284</v>
      </c>
      <c r="T709" s="9" t="str">
        <f ca="1">IFERROR(IF(AND(VLOOKUP(A709, 'Актуальное состояние (из общего'!A:C,3,0) = "", A709 &lt;&gt; ""), "ПРОВЕРИТЬ", VLOOKUP(A709, 'Актуальное состояние (из общего'!A:C,3,0)), "")</f>
        <v>Студент</v>
      </c>
      <c r="U709" s="9" t="s">
        <v>13284</v>
      </c>
      <c r="V709" s="9" t="s">
        <v>13284</v>
      </c>
      <c r="W709" s="12"/>
      <c r="X709" s="9" t="str">
        <f t="array" ref="X709">IFERROR(INDEX('Адреса общежитий (скрытый)'!$B$2:$B$9, MATCH(W709, 'Адреса общежитий (скрытый)'!$A$2:$A$9, 0)), "")</f>
        <v/>
      </c>
      <c r="Y709" s="18"/>
      <c r="Z709" s="18"/>
      <c r="AA709" s="18"/>
      <c r="AB709" s="18"/>
      <c r="AC709" s="18"/>
    </row>
    <row r="710" spans="1:29" ht="32.25" customHeight="1">
      <c r="A710" s="8">
        <v>2312318</v>
      </c>
      <c r="B710" s="9" t="s">
        <v>13284</v>
      </c>
      <c r="C710" s="9" t="s">
        <v>13284</v>
      </c>
      <c r="D710" s="9" t="s">
        <v>13284</v>
      </c>
      <c r="E710" s="9" t="s">
        <v>13284</v>
      </c>
      <c r="F710" s="9" t="s">
        <v>13284</v>
      </c>
      <c r="G710" s="9" t="s">
        <v>13284</v>
      </c>
      <c r="H710" s="9" t="s">
        <v>13284</v>
      </c>
      <c r="I710" s="9" t="s">
        <v>13284</v>
      </c>
      <c r="J710" s="9" t="s">
        <v>13284</v>
      </c>
      <c r="K710" s="9" t="s">
        <v>13284</v>
      </c>
      <c r="L710" s="9" t="s">
        <v>13284</v>
      </c>
      <c r="M710" s="9" t="s">
        <v>13284</v>
      </c>
      <c r="N710" s="9" t="s">
        <v>13284</v>
      </c>
      <c r="O710" s="9" t="s">
        <v>13284</v>
      </c>
      <c r="P710" s="9" t="s">
        <v>13284</v>
      </c>
      <c r="Q710" s="9" t="s">
        <v>13284</v>
      </c>
      <c r="R710" s="9" t="s">
        <v>13284</v>
      </c>
      <c r="S710" s="9" t="s">
        <v>13284</v>
      </c>
      <c r="T710" s="9" t="str">
        <f ca="1">IFERROR(IF(AND(VLOOKUP(A710, 'Актуальное состояние (из общего'!A:C,3,0) = "", A710 &lt;&gt; ""), "ПРОВЕРИТЬ", VLOOKUP(A710, 'Актуальное состояние (из общего'!A:C,3,0)), "")</f>
        <v>Студент</v>
      </c>
      <c r="U710" s="9" t="s">
        <v>13284</v>
      </c>
      <c r="V710" s="9" t="s">
        <v>13284</v>
      </c>
      <c r="W710" s="12"/>
      <c r="X710" s="9" t="str">
        <f t="array" ref="X710">IFERROR(INDEX('Адреса общежитий (скрытый)'!$B$2:$B$9, MATCH(W710, 'Адреса общежитий (скрытый)'!$A$2:$A$9, 0)), "")</f>
        <v/>
      </c>
      <c r="Y710" s="18"/>
      <c r="Z710" s="18"/>
      <c r="AA710" s="18"/>
      <c r="AB710" s="18"/>
      <c r="AC710" s="18"/>
    </row>
    <row r="711" spans="1:29" ht="32.25" customHeight="1">
      <c r="A711" s="8">
        <v>2313622</v>
      </c>
      <c r="B711" s="9" t="s">
        <v>13284</v>
      </c>
      <c r="C711" s="9" t="s">
        <v>13284</v>
      </c>
      <c r="D711" s="9" t="s">
        <v>13284</v>
      </c>
      <c r="E711" s="9" t="s">
        <v>13284</v>
      </c>
      <c r="F711" s="9" t="s">
        <v>13284</v>
      </c>
      <c r="G711" s="9" t="s">
        <v>13284</v>
      </c>
      <c r="H711" s="9" t="s">
        <v>13284</v>
      </c>
      <c r="I711" s="9" t="s">
        <v>13284</v>
      </c>
      <c r="J711" s="9" t="s">
        <v>13284</v>
      </c>
      <c r="K711" s="9" t="s">
        <v>13284</v>
      </c>
      <c r="L711" s="9" t="s">
        <v>13284</v>
      </c>
      <c r="M711" s="9" t="s">
        <v>13284</v>
      </c>
      <c r="N711" s="9" t="s">
        <v>13284</v>
      </c>
      <c r="O711" s="9" t="s">
        <v>13284</v>
      </c>
      <c r="P711" s="9" t="s">
        <v>13284</v>
      </c>
      <c r="Q711" s="9" t="s">
        <v>13284</v>
      </c>
      <c r="R711" s="9" t="s">
        <v>13284</v>
      </c>
      <c r="S711" s="9" t="s">
        <v>13284</v>
      </c>
      <c r="T711" s="9" t="str">
        <f ca="1">IFERROR(IF(AND(VLOOKUP(A711, 'Актуальное состояние (из общего'!A:C,3,0) = "", A711 &lt;&gt; ""), "ПРОВЕРИТЬ", VLOOKUP(A711, 'Актуальное состояние (из общего'!A:C,3,0)), "")</f>
        <v>Студент</v>
      </c>
      <c r="U711" s="9" t="s">
        <v>13284</v>
      </c>
      <c r="V711" s="9" t="s">
        <v>13284</v>
      </c>
      <c r="W711" s="12"/>
      <c r="X711" s="9" t="str">
        <f t="array" ref="X711">IFERROR(INDEX('Адреса общежитий (скрытый)'!$B$2:$B$9, MATCH(W711, 'Адреса общежитий (скрытый)'!$A$2:$A$9, 0)), "")</f>
        <v/>
      </c>
      <c r="Y711" s="18"/>
      <c r="Z711" s="18"/>
      <c r="AA711" s="18"/>
      <c r="AB711" s="18"/>
      <c r="AC711" s="18"/>
    </row>
    <row r="712" spans="1:29" ht="32.25" customHeight="1">
      <c r="A712" s="8">
        <v>2302340</v>
      </c>
      <c r="B712" s="9" t="s">
        <v>13284</v>
      </c>
      <c r="C712" s="9" t="s">
        <v>13284</v>
      </c>
      <c r="D712" s="9" t="s">
        <v>13284</v>
      </c>
      <c r="E712" s="9" t="s">
        <v>13284</v>
      </c>
      <c r="F712" s="9" t="s">
        <v>13284</v>
      </c>
      <c r="G712" s="9" t="s">
        <v>13284</v>
      </c>
      <c r="H712" s="9" t="s">
        <v>13284</v>
      </c>
      <c r="I712" s="9" t="s">
        <v>13284</v>
      </c>
      <c r="J712" s="9" t="s">
        <v>13284</v>
      </c>
      <c r="K712" s="9" t="s">
        <v>13284</v>
      </c>
      <c r="L712" s="9" t="s">
        <v>13284</v>
      </c>
      <c r="M712" s="9" t="s">
        <v>13284</v>
      </c>
      <c r="N712" s="9" t="s">
        <v>13284</v>
      </c>
      <c r="O712" s="9" t="s">
        <v>13284</v>
      </c>
      <c r="P712" s="9" t="s">
        <v>13284</v>
      </c>
      <c r="Q712" s="9" t="s">
        <v>13284</v>
      </c>
      <c r="R712" s="9" t="s">
        <v>13284</v>
      </c>
      <c r="S712" s="9" t="s">
        <v>13284</v>
      </c>
      <c r="T712" s="9" t="str">
        <f ca="1">IFERROR(IF(AND(VLOOKUP(A712, 'Актуальное состояние (из общего'!A:C,3,0) = "", A712 &lt;&gt; ""), "ПРОВЕРИТЬ", VLOOKUP(A712, 'Актуальное состояние (из общего'!A:C,3,0)), "")</f>
        <v>Студент</v>
      </c>
      <c r="U712" s="9" t="s">
        <v>13284</v>
      </c>
      <c r="V712" s="9" t="s">
        <v>13284</v>
      </c>
      <c r="W712" s="12"/>
      <c r="X712" s="9" t="str">
        <f t="array" ref="X712">IFERROR(INDEX('Адреса общежитий (скрытый)'!$B$2:$B$9, MATCH(W712, 'Адреса общежитий (скрытый)'!$A$2:$A$9, 0)), "")</f>
        <v/>
      </c>
      <c r="Y712" s="18"/>
      <c r="Z712" s="18"/>
      <c r="AA712" s="18"/>
      <c r="AB712" s="18"/>
      <c r="AC712" s="18"/>
    </row>
    <row r="713" spans="1:29" ht="32.25" customHeight="1">
      <c r="A713" s="8">
        <v>2313304</v>
      </c>
      <c r="B713" s="9" t="s">
        <v>13284</v>
      </c>
      <c r="C713" s="9" t="s">
        <v>13284</v>
      </c>
      <c r="D713" s="9" t="s">
        <v>13284</v>
      </c>
      <c r="E713" s="9" t="s">
        <v>13284</v>
      </c>
      <c r="F713" s="9" t="s">
        <v>13284</v>
      </c>
      <c r="G713" s="9" t="s">
        <v>13284</v>
      </c>
      <c r="H713" s="9" t="s">
        <v>13284</v>
      </c>
      <c r="I713" s="9" t="s">
        <v>13284</v>
      </c>
      <c r="J713" s="9" t="s">
        <v>13284</v>
      </c>
      <c r="K713" s="9" t="s">
        <v>13284</v>
      </c>
      <c r="L713" s="9" t="s">
        <v>13284</v>
      </c>
      <c r="M713" s="9" t="s">
        <v>13284</v>
      </c>
      <c r="N713" s="9" t="s">
        <v>13284</v>
      </c>
      <c r="O713" s="9" t="s">
        <v>13284</v>
      </c>
      <c r="P713" s="9" t="s">
        <v>13284</v>
      </c>
      <c r="Q713" s="9" t="s">
        <v>13284</v>
      </c>
      <c r="R713" s="9" t="s">
        <v>13284</v>
      </c>
      <c r="S713" s="9" t="s">
        <v>13284</v>
      </c>
      <c r="T713" s="9" t="str">
        <f ca="1">IFERROR(IF(AND(VLOOKUP(A713, 'Актуальное состояние (из общего'!A:C,3,0) = "", A713 &lt;&gt; ""), "ПРОВЕРИТЬ", VLOOKUP(A713, 'Актуальное состояние (из общего'!A:C,3,0)), "")</f>
        <v>Студент</v>
      </c>
      <c r="U713" s="9" t="s">
        <v>13284</v>
      </c>
      <c r="V713" s="9" t="s">
        <v>13284</v>
      </c>
      <c r="W713" s="12"/>
      <c r="X713" s="9" t="str">
        <f t="array" ref="X713">IFERROR(INDEX('Адреса общежитий (скрытый)'!$B$2:$B$9, MATCH(W713, 'Адреса общежитий (скрытый)'!$A$2:$A$9, 0)), "")</f>
        <v/>
      </c>
      <c r="Y713" s="18"/>
      <c r="Z713" s="18"/>
      <c r="AA713" s="18"/>
      <c r="AB713" s="18"/>
      <c r="AC713" s="18"/>
    </row>
    <row r="714" spans="1:29" ht="32.25" hidden="1" customHeight="1">
      <c r="A714" s="8">
        <v>2309578</v>
      </c>
      <c r="B714" s="9" t="s">
        <v>13284</v>
      </c>
      <c r="C714" s="9" t="s">
        <v>13284</v>
      </c>
      <c r="D714" s="9" t="s">
        <v>13284</v>
      </c>
      <c r="E714" s="9" t="s">
        <v>13284</v>
      </c>
      <c r="F714" s="9" t="s">
        <v>13284</v>
      </c>
      <c r="G714" s="9" t="s">
        <v>13284</v>
      </c>
      <c r="H714" s="9" t="s">
        <v>13284</v>
      </c>
      <c r="I714" s="9" t="s">
        <v>13284</v>
      </c>
      <c r="J714" s="9" t="s">
        <v>13284</v>
      </c>
      <c r="K714" s="9" t="s">
        <v>13284</v>
      </c>
      <c r="L714" s="9" t="s">
        <v>13284</v>
      </c>
      <c r="M714" s="9" t="s">
        <v>13284</v>
      </c>
      <c r="N714" s="9" t="s">
        <v>13284</v>
      </c>
      <c r="O714" s="9" t="s">
        <v>13284</v>
      </c>
      <c r="P714" s="9" t="s">
        <v>13284</v>
      </c>
      <c r="Q714" s="9" t="s">
        <v>13284</v>
      </c>
      <c r="R714" s="9" t="s">
        <v>13284</v>
      </c>
      <c r="S714" s="9" t="s">
        <v>13284</v>
      </c>
      <c r="T714" s="9" t="str">
        <f ca="1">IFERROR(IF(AND(VLOOKUP(A714, 'Актуальное состояние (из общего'!A:C,3,0) = "", A714 &lt;&gt; ""), "ПРОВЕРИТЬ", VLOOKUP(A714, 'Актуальное состояние (из общего'!A:C,3,0)), "")</f>
        <v>Студент</v>
      </c>
      <c r="U714" s="9" t="s">
        <v>13284</v>
      </c>
      <c r="V714" s="9" t="s">
        <v>13284</v>
      </c>
      <c r="W714" s="12"/>
      <c r="X714" s="9" t="str">
        <f t="array" ref="X714">IFERROR(INDEX('Адреса общежитий (скрытый)'!$B$2:$B$9, MATCH(W714, 'Адреса общежитий (скрытый)'!$A$2:$A$9, 0)), "")</f>
        <v/>
      </c>
      <c r="Y714" s="18"/>
      <c r="Z714" s="18"/>
      <c r="AA714" s="18"/>
      <c r="AB714" s="18"/>
      <c r="AC714" s="18"/>
    </row>
    <row r="715" spans="1:29" ht="32.25" hidden="1" customHeight="1">
      <c r="A715" s="8">
        <v>2303731</v>
      </c>
      <c r="B715" s="9" t="s">
        <v>13284</v>
      </c>
      <c r="C715" s="9" t="s">
        <v>13284</v>
      </c>
      <c r="D715" s="9" t="s">
        <v>13284</v>
      </c>
      <c r="E715" s="9" t="s">
        <v>13284</v>
      </c>
      <c r="F715" s="9" t="s">
        <v>13284</v>
      </c>
      <c r="G715" s="9" t="s">
        <v>13284</v>
      </c>
      <c r="H715" s="9" t="s">
        <v>13284</v>
      </c>
      <c r="I715" s="9" t="s">
        <v>13284</v>
      </c>
      <c r="J715" s="9" t="s">
        <v>13284</v>
      </c>
      <c r="K715" s="9" t="s">
        <v>13284</v>
      </c>
      <c r="L715" s="9" t="s">
        <v>13284</v>
      </c>
      <c r="M715" s="9" t="s">
        <v>13284</v>
      </c>
      <c r="N715" s="9" t="s">
        <v>13284</v>
      </c>
      <c r="O715" s="9" t="s">
        <v>13284</v>
      </c>
      <c r="P715" s="9" t="s">
        <v>13284</v>
      </c>
      <c r="Q715" s="9" t="s">
        <v>13284</v>
      </c>
      <c r="R715" s="9" t="s">
        <v>13284</v>
      </c>
      <c r="S715" s="9" t="s">
        <v>13284</v>
      </c>
      <c r="T715" s="9" t="str">
        <f ca="1">IFERROR(IF(AND(VLOOKUP(A715, 'Актуальное состояние (из общего'!A:C,3,0) = "", A715 &lt;&gt; ""), "ПРОВЕРИТЬ", VLOOKUP(A715, 'Актуальное состояние (из общего'!A:C,3,0)), "")</f>
        <v>Студент</v>
      </c>
      <c r="U715" s="9" t="s">
        <v>13284</v>
      </c>
      <c r="V715" s="9" t="s">
        <v>13284</v>
      </c>
      <c r="W715" s="12"/>
      <c r="X715" s="9" t="str">
        <f t="array" ref="X715">IFERROR(INDEX('Адреса общежитий (скрытый)'!$B$2:$B$9, MATCH(W715, 'Адреса общежитий (скрытый)'!$A$2:$A$9, 0)), "")</f>
        <v/>
      </c>
      <c r="Y715" s="18"/>
      <c r="Z715" s="18"/>
      <c r="AA715" s="18"/>
      <c r="AB715" s="18"/>
      <c r="AC715" s="18"/>
    </row>
    <row r="716" spans="1:29" ht="32.25" customHeight="1">
      <c r="A716" s="8">
        <v>2313454</v>
      </c>
      <c r="B716" s="9" t="s">
        <v>13284</v>
      </c>
      <c r="C716" s="9" t="s">
        <v>13284</v>
      </c>
      <c r="D716" s="9" t="s">
        <v>13284</v>
      </c>
      <c r="E716" s="9" t="s">
        <v>13284</v>
      </c>
      <c r="F716" s="9" t="s">
        <v>13284</v>
      </c>
      <c r="G716" s="9" t="s">
        <v>13284</v>
      </c>
      <c r="H716" s="9" t="s">
        <v>13284</v>
      </c>
      <c r="I716" s="9" t="s">
        <v>13284</v>
      </c>
      <c r="J716" s="9" t="s">
        <v>13284</v>
      </c>
      <c r="K716" s="9" t="s">
        <v>13284</v>
      </c>
      <c r="L716" s="9" t="s">
        <v>13284</v>
      </c>
      <c r="M716" s="9" t="s">
        <v>13284</v>
      </c>
      <c r="N716" s="9" t="s">
        <v>13284</v>
      </c>
      <c r="O716" s="9" t="s">
        <v>13284</v>
      </c>
      <c r="P716" s="9" t="s">
        <v>13284</v>
      </c>
      <c r="Q716" s="9" t="s">
        <v>13284</v>
      </c>
      <c r="R716" s="9" t="s">
        <v>13284</v>
      </c>
      <c r="S716" s="9" t="s">
        <v>13284</v>
      </c>
      <c r="T716" s="9" t="str">
        <f ca="1">IFERROR(IF(AND(VLOOKUP(A716, 'Актуальное состояние (из общего'!A:C,3,0) = "", A716 &lt;&gt; ""), "ПРОВЕРИТЬ", VLOOKUP(A716, 'Актуальное состояние (из общего'!A:C,3,0)), "")</f>
        <v>Студент</v>
      </c>
      <c r="U716" s="9" t="s">
        <v>13284</v>
      </c>
      <c r="V716" s="9" t="s">
        <v>13284</v>
      </c>
      <c r="W716" s="12" t="s">
        <v>76</v>
      </c>
      <c r="X716" s="9" t="str">
        <f t="array" ref="X716">IFERROR(INDEX('Адреса общежитий (скрытый)'!$B$2:$B$9, MATCH(W716, 'Адреса общежитий (скрытый)'!$A$2:$A$9, 0)), "")</f>
        <v>ул. Студенческая, д. 33, корп. 5,6</v>
      </c>
      <c r="Y716" s="18"/>
      <c r="Z716" s="18"/>
      <c r="AA716" s="18"/>
      <c r="AB716" s="18"/>
      <c r="AC716" s="18"/>
    </row>
    <row r="717" spans="1:29" ht="32.25" customHeight="1">
      <c r="A717" s="8">
        <v>2313187</v>
      </c>
      <c r="B717" s="9" t="s">
        <v>13284</v>
      </c>
      <c r="C717" s="9" t="s">
        <v>13284</v>
      </c>
      <c r="D717" s="9" t="s">
        <v>13284</v>
      </c>
      <c r="E717" s="9" t="s">
        <v>13284</v>
      </c>
      <c r="F717" s="9" t="s">
        <v>13284</v>
      </c>
      <c r="G717" s="9" t="s">
        <v>13284</v>
      </c>
      <c r="H717" s="9" t="s">
        <v>13284</v>
      </c>
      <c r="I717" s="9" t="s">
        <v>13284</v>
      </c>
      <c r="J717" s="9" t="s">
        <v>13284</v>
      </c>
      <c r="K717" s="9" t="s">
        <v>13284</v>
      </c>
      <c r="L717" s="9" t="s">
        <v>13284</v>
      </c>
      <c r="M717" s="9" t="s">
        <v>13284</v>
      </c>
      <c r="N717" s="9" t="s">
        <v>13284</v>
      </c>
      <c r="O717" s="9" t="s">
        <v>13284</v>
      </c>
      <c r="P717" s="9" t="s">
        <v>13284</v>
      </c>
      <c r="Q717" s="9" t="s">
        <v>13284</v>
      </c>
      <c r="R717" s="9" t="s">
        <v>13284</v>
      </c>
      <c r="S717" s="9" t="s">
        <v>13284</v>
      </c>
      <c r="T717" s="9" t="str">
        <f ca="1">IFERROR(IF(AND(VLOOKUP(A717, 'Актуальное состояние (из общего'!A:C,3,0) = "", A717 &lt;&gt; ""), "ПРОВЕРИТЬ", VLOOKUP(A717, 'Актуальное состояние (из общего'!A:C,3,0)), "")</f>
        <v>Студент</v>
      </c>
      <c r="U717" s="9" t="s">
        <v>13284</v>
      </c>
      <c r="V717" s="9" t="s">
        <v>13284</v>
      </c>
      <c r="W717" s="12"/>
      <c r="X717" s="9" t="str">
        <f t="array" ref="X717">IFERROR(INDEX('Адреса общежитий (скрытый)'!$B$2:$B$9, MATCH(W717, 'Адреса общежитий (скрытый)'!$A$2:$A$9, 0)), "")</f>
        <v/>
      </c>
      <c r="Y717" s="18"/>
      <c r="Z717" s="18"/>
      <c r="AA717" s="18"/>
      <c r="AB717" s="18"/>
      <c r="AC717" s="18"/>
    </row>
    <row r="718" spans="1:29" ht="32.25" hidden="1" customHeight="1">
      <c r="A718" s="8">
        <v>2302421</v>
      </c>
      <c r="B718" s="9" t="s">
        <v>13284</v>
      </c>
      <c r="C718" s="9" t="s">
        <v>13284</v>
      </c>
      <c r="D718" s="9" t="s">
        <v>13284</v>
      </c>
      <c r="E718" s="9" t="s">
        <v>13284</v>
      </c>
      <c r="F718" s="9" t="s">
        <v>13284</v>
      </c>
      <c r="G718" s="9" t="s">
        <v>13284</v>
      </c>
      <c r="H718" s="9" t="s">
        <v>13284</v>
      </c>
      <c r="I718" s="9" t="s">
        <v>13284</v>
      </c>
      <c r="J718" s="9" t="s">
        <v>13284</v>
      </c>
      <c r="K718" s="9" t="s">
        <v>13284</v>
      </c>
      <c r="L718" s="9" t="s">
        <v>13284</v>
      </c>
      <c r="M718" s="9" t="s">
        <v>13284</v>
      </c>
      <c r="N718" s="9" t="s">
        <v>13284</v>
      </c>
      <c r="O718" s="9" t="s">
        <v>13284</v>
      </c>
      <c r="P718" s="9" t="s">
        <v>13284</v>
      </c>
      <c r="Q718" s="9" t="s">
        <v>13284</v>
      </c>
      <c r="R718" s="9" t="s">
        <v>13284</v>
      </c>
      <c r="S718" s="9" t="s">
        <v>13284</v>
      </c>
      <c r="T718" s="9" t="str">
        <f ca="1">IFERROR(IF(AND(VLOOKUP(A718, 'Актуальное состояние (из общего'!A:C,3,0) = "", A718 &lt;&gt; ""), "ПРОВЕРИТЬ", VLOOKUP(A718, 'Актуальное состояние (из общего'!A:C,3,0)), "")</f>
        <v>Студент</v>
      </c>
      <c r="U718" s="9" t="s">
        <v>13284</v>
      </c>
      <c r="V718" s="9" t="s">
        <v>13284</v>
      </c>
      <c r="W718" s="12"/>
      <c r="X718" s="9" t="str">
        <f t="array" ref="X718">IFERROR(INDEX('Адреса общежитий (скрытый)'!$B$2:$B$9, MATCH(W718, 'Адреса общежитий (скрытый)'!$A$2:$A$9, 0)), "")</f>
        <v/>
      </c>
      <c r="Y718" s="18"/>
      <c r="Z718" s="18"/>
      <c r="AA718" s="18"/>
      <c r="AB718" s="18"/>
      <c r="AC718" s="18"/>
    </row>
    <row r="719" spans="1:29" ht="32.25" hidden="1" customHeight="1">
      <c r="A719" s="8">
        <v>2305263</v>
      </c>
      <c r="B719" s="9" t="s">
        <v>13284</v>
      </c>
      <c r="C719" s="9" t="s">
        <v>13284</v>
      </c>
      <c r="D719" s="9" t="s">
        <v>13284</v>
      </c>
      <c r="E719" s="9" t="s">
        <v>13284</v>
      </c>
      <c r="F719" s="9" t="s">
        <v>13284</v>
      </c>
      <c r="G719" s="9" t="s">
        <v>13284</v>
      </c>
      <c r="H719" s="9" t="s">
        <v>13284</v>
      </c>
      <c r="I719" s="9" t="s">
        <v>13284</v>
      </c>
      <c r="J719" s="9" t="s">
        <v>13284</v>
      </c>
      <c r="K719" s="9" t="s">
        <v>13284</v>
      </c>
      <c r="L719" s="9" t="s">
        <v>13284</v>
      </c>
      <c r="M719" s="9" t="s">
        <v>13284</v>
      </c>
      <c r="N719" s="9" t="s">
        <v>13284</v>
      </c>
      <c r="O719" s="9" t="s">
        <v>13284</v>
      </c>
      <c r="P719" s="9" t="s">
        <v>13284</v>
      </c>
      <c r="Q719" s="9" t="s">
        <v>13284</v>
      </c>
      <c r="R719" s="9" t="s">
        <v>13284</v>
      </c>
      <c r="S719" s="9" t="s">
        <v>13284</v>
      </c>
      <c r="T719" s="9" t="str">
        <f ca="1">IFERROR(IF(AND(VLOOKUP(A719, 'Актуальное состояние (из общего'!A:C,3,0) = "", A719 &lt;&gt; ""), "ПРОВЕРИТЬ", VLOOKUP(A719, 'Актуальное состояние (из общего'!A:C,3,0)), "")</f>
        <v>Студент</v>
      </c>
      <c r="U719" s="9" t="s">
        <v>13284</v>
      </c>
      <c r="V719" s="9" t="s">
        <v>13284</v>
      </c>
      <c r="W719" s="12"/>
      <c r="X719" s="9" t="str">
        <f t="array" ref="X719">IFERROR(INDEX('Адреса общежитий (скрытый)'!$B$2:$B$9, MATCH(W719, 'Адреса общежитий (скрытый)'!$A$2:$A$9, 0)), "")</f>
        <v/>
      </c>
      <c r="Y719" s="18"/>
      <c r="Z719" s="18"/>
      <c r="AA719" s="18"/>
      <c r="AB719" s="18"/>
      <c r="AC719" s="18"/>
    </row>
    <row r="720" spans="1:29" ht="32.25" customHeight="1">
      <c r="A720" s="8">
        <v>2311545</v>
      </c>
      <c r="B720" s="9" t="s">
        <v>13284</v>
      </c>
      <c r="C720" s="9" t="s">
        <v>13284</v>
      </c>
      <c r="D720" s="9" t="s">
        <v>13284</v>
      </c>
      <c r="E720" s="9" t="s">
        <v>13284</v>
      </c>
      <c r="F720" s="9" t="s">
        <v>13284</v>
      </c>
      <c r="G720" s="9" t="s">
        <v>13284</v>
      </c>
      <c r="H720" s="9" t="s">
        <v>13284</v>
      </c>
      <c r="I720" s="9" t="s">
        <v>13284</v>
      </c>
      <c r="J720" s="9" t="s">
        <v>13284</v>
      </c>
      <c r="K720" s="9" t="s">
        <v>13284</v>
      </c>
      <c r="L720" s="9" t="s">
        <v>13284</v>
      </c>
      <c r="M720" s="9" t="s">
        <v>13284</v>
      </c>
      <c r="N720" s="9" t="s">
        <v>13284</v>
      </c>
      <c r="O720" s="9" t="s">
        <v>13284</v>
      </c>
      <c r="P720" s="9" t="s">
        <v>13284</v>
      </c>
      <c r="Q720" s="9" t="s">
        <v>13284</v>
      </c>
      <c r="R720" s="9" t="s">
        <v>13284</v>
      </c>
      <c r="S720" s="9" t="s">
        <v>13284</v>
      </c>
      <c r="T720" s="9" t="str">
        <f ca="1">IFERROR(IF(AND(VLOOKUP(A720, 'Актуальное состояние (из общего'!A:C,3,0) = "", A720 &lt;&gt; ""), "ПРОВЕРИТЬ", VLOOKUP(A720, 'Актуальное состояние (из общего'!A:C,3,0)), "")</f>
        <v>Студент</v>
      </c>
      <c r="U720" s="9" t="s">
        <v>13284</v>
      </c>
      <c r="V720" s="9" t="s">
        <v>13284</v>
      </c>
      <c r="W720" s="12"/>
      <c r="X720" s="9" t="str">
        <f t="array" ref="X720">IFERROR(INDEX('Адреса общежитий (скрытый)'!$B$2:$B$9, MATCH(W720, 'Адреса общежитий (скрытый)'!$A$2:$A$9, 0)), "")</f>
        <v/>
      </c>
      <c r="Y720" s="18"/>
      <c r="Z720" s="18"/>
      <c r="AA720" s="18"/>
      <c r="AB720" s="18"/>
      <c r="AC720" s="18"/>
    </row>
    <row r="721" spans="1:29" ht="32.25" customHeight="1">
      <c r="A721" s="8">
        <v>2301379</v>
      </c>
      <c r="B721" s="9" t="s">
        <v>13284</v>
      </c>
      <c r="C721" s="9" t="s">
        <v>13284</v>
      </c>
      <c r="D721" s="9" t="s">
        <v>13284</v>
      </c>
      <c r="E721" s="9" t="s">
        <v>13284</v>
      </c>
      <c r="F721" s="9" t="s">
        <v>13284</v>
      </c>
      <c r="G721" s="9" t="s">
        <v>13284</v>
      </c>
      <c r="H721" s="9" t="s">
        <v>13284</v>
      </c>
      <c r="I721" s="9" t="s">
        <v>13284</v>
      </c>
      <c r="J721" s="9" t="s">
        <v>13284</v>
      </c>
      <c r="K721" s="9" t="s">
        <v>13284</v>
      </c>
      <c r="L721" s="9" t="s">
        <v>13284</v>
      </c>
      <c r="M721" s="9" t="s">
        <v>13284</v>
      </c>
      <c r="N721" s="9" t="s">
        <v>13284</v>
      </c>
      <c r="O721" s="9" t="s">
        <v>13284</v>
      </c>
      <c r="P721" s="9" t="s">
        <v>13284</v>
      </c>
      <c r="Q721" s="9" t="s">
        <v>13284</v>
      </c>
      <c r="R721" s="9" t="s">
        <v>13284</v>
      </c>
      <c r="S721" s="9" t="s">
        <v>13284</v>
      </c>
      <c r="T721" s="9" t="str">
        <f ca="1">IFERROR(IF(AND(VLOOKUP(A721, 'Актуальное состояние (из общего'!A:C,3,0) = "", A721 &lt;&gt; ""), "ПРОВЕРИТЬ", VLOOKUP(A721, 'Актуальное состояние (из общего'!A:C,3,0)), "")</f>
        <v>Студент</v>
      </c>
      <c r="U721" s="9" t="s">
        <v>13284</v>
      </c>
      <c r="V721" s="9" t="s">
        <v>13284</v>
      </c>
      <c r="W721" s="12"/>
      <c r="X721" s="9" t="str">
        <f t="array" ref="X721">IFERROR(INDEX('Адреса общежитий (скрытый)'!$B$2:$B$9, MATCH(W721, 'Адреса общежитий (скрытый)'!$A$2:$A$9, 0)), "")</f>
        <v/>
      </c>
      <c r="Y721" s="18"/>
      <c r="Z721" s="18"/>
      <c r="AA721" s="18"/>
      <c r="AB721" s="18"/>
      <c r="AC721" s="18"/>
    </row>
    <row r="722" spans="1:29" ht="32.25" customHeight="1">
      <c r="A722" s="8">
        <v>2312591</v>
      </c>
      <c r="B722" s="9" t="s">
        <v>13284</v>
      </c>
      <c r="C722" s="9" t="s">
        <v>13284</v>
      </c>
      <c r="D722" s="9" t="s">
        <v>13284</v>
      </c>
      <c r="E722" s="9" t="s">
        <v>13284</v>
      </c>
      <c r="F722" s="9" t="s">
        <v>13284</v>
      </c>
      <c r="G722" s="9" t="s">
        <v>13284</v>
      </c>
      <c r="H722" s="9" t="s">
        <v>13284</v>
      </c>
      <c r="I722" s="9" t="s">
        <v>13284</v>
      </c>
      <c r="J722" s="9" t="s">
        <v>13284</v>
      </c>
      <c r="K722" s="9" t="s">
        <v>13284</v>
      </c>
      <c r="L722" s="9" t="s">
        <v>13284</v>
      </c>
      <c r="M722" s="9" t="s">
        <v>13284</v>
      </c>
      <c r="N722" s="9" t="s">
        <v>13284</v>
      </c>
      <c r="O722" s="9" t="s">
        <v>13284</v>
      </c>
      <c r="P722" s="9" t="s">
        <v>13284</v>
      </c>
      <c r="Q722" s="9" t="s">
        <v>13284</v>
      </c>
      <c r="R722" s="9" t="s">
        <v>13284</v>
      </c>
      <c r="S722" s="9" t="s">
        <v>13284</v>
      </c>
      <c r="T722" s="9" t="str">
        <f ca="1">IFERROR(IF(AND(VLOOKUP(A722, 'Актуальное состояние (из общего'!A:C,3,0) = "", A722 &lt;&gt; ""), "ПРОВЕРИТЬ", VLOOKUP(A722, 'Актуальное состояние (из общего'!A:C,3,0)), "")</f>
        <v>Студент</v>
      </c>
      <c r="U722" s="9" t="s">
        <v>13284</v>
      </c>
      <c r="V722" s="9" t="s">
        <v>13284</v>
      </c>
      <c r="W722" s="12" t="s">
        <v>76</v>
      </c>
      <c r="X722" s="9" t="str">
        <f t="array" ref="X722">IFERROR(INDEX('Адреса общежитий (скрытый)'!$B$2:$B$9, MATCH(W722, 'Адреса общежитий (скрытый)'!$A$2:$A$9, 0)), "")</f>
        <v>ул. Студенческая, д. 33, корп. 5,6</v>
      </c>
      <c r="Y722" s="18"/>
      <c r="Z722" s="18"/>
      <c r="AA722" s="18"/>
      <c r="AB722" s="18"/>
      <c r="AC722" s="18"/>
    </row>
    <row r="723" spans="1:29" ht="32.25" customHeight="1">
      <c r="A723" s="8">
        <v>2304069</v>
      </c>
      <c r="B723" s="9" t="s">
        <v>13284</v>
      </c>
      <c r="C723" s="9" t="s">
        <v>13284</v>
      </c>
      <c r="D723" s="9" t="s">
        <v>13284</v>
      </c>
      <c r="E723" s="9" t="s">
        <v>13284</v>
      </c>
      <c r="F723" s="9" t="s">
        <v>13284</v>
      </c>
      <c r="G723" s="9" t="s">
        <v>13284</v>
      </c>
      <c r="H723" s="9" t="s">
        <v>13284</v>
      </c>
      <c r="I723" s="9" t="s">
        <v>13284</v>
      </c>
      <c r="J723" s="9" t="s">
        <v>13284</v>
      </c>
      <c r="K723" s="9" t="s">
        <v>13284</v>
      </c>
      <c r="L723" s="9" t="s">
        <v>13284</v>
      </c>
      <c r="M723" s="9" t="s">
        <v>13284</v>
      </c>
      <c r="N723" s="9" t="s">
        <v>13284</v>
      </c>
      <c r="O723" s="9" t="s">
        <v>13284</v>
      </c>
      <c r="P723" s="9" t="s">
        <v>13284</v>
      </c>
      <c r="Q723" s="9" t="s">
        <v>13284</v>
      </c>
      <c r="R723" s="9" t="s">
        <v>13284</v>
      </c>
      <c r="S723" s="9" t="s">
        <v>13284</v>
      </c>
      <c r="T723" s="9" t="str">
        <f ca="1">IFERROR(IF(AND(VLOOKUP(A723, 'Актуальное состояние (из общего'!A:C,3,0) = "", A723 &lt;&gt; ""), "ПРОВЕРИТЬ", VLOOKUP(A723, 'Актуальное состояние (из общего'!A:C,3,0)), "")</f>
        <v>Студент</v>
      </c>
      <c r="U723" s="9" t="s">
        <v>13284</v>
      </c>
      <c r="V723" s="9" t="s">
        <v>13284</v>
      </c>
      <c r="W723" s="12" t="s">
        <v>76</v>
      </c>
      <c r="X723" s="9" t="str">
        <f t="array" ref="X723">IFERROR(INDEX('Адреса общежитий (скрытый)'!$B$2:$B$9, MATCH(W723, 'Адреса общежитий (скрытый)'!$A$2:$A$9, 0)), "")</f>
        <v>ул. Студенческая, д. 33, корп. 5,6</v>
      </c>
      <c r="Y723" s="18"/>
      <c r="Z723" s="18"/>
      <c r="AA723" s="18"/>
      <c r="AB723" s="18"/>
      <c r="AC723" s="18"/>
    </row>
    <row r="724" spans="1:29" ht="32.25" hidden="1" customHeight="1">
      <c r="A724" s="8">
        <v>2306763</v>
      </c>
      <c r="B724" s="9" t="s">
        <v>13284</v>
      </c>
      <c r="C724" s="9" t="s">
        <v>13284</v>
      </c>
      <c r="D724" s="9" t="s">
        <v>13284</v>
      </c>
      <c r="E724" s="9" t="s">
        <v>13284</v>
      </c>
      <c r="F724" s="9" t="s">
        <v>13284</v>
      </c>
      <c r="G724" s="9" t="s">
        <v>13284</v>
      </c>
      <c r="H724" s="9" t="s">
        <v>13284</v>
      </c>
      <c r="I724" s="9" t="s">
        <v>13284</v>
      </c>
      <c r="J724" s="9" t="s">
        <v>13284</v>
      </c>
      <c r="K724" s="9" t="s">
        <v>13284</v>
      </c>
      <c r="L724" s="9" t="s">
        <v>13284</v>
      </c>
      <c r="M724" s="9" t="s">
        <v>13284</v>
      </c>
      <c r="N724" s="9" t="s">
        <v>13284</v>
      </c>
      <c r="O724" s="9" t="s">
        <v>13284</v>
      </c>
      <c r="P724" s="9" t="s">
        <v>13284</v>
      </c>
      <c r="Q724" s="9" t="s">
        <v>13284</v>
      </c>
      <c r="R724" s="9" t="s">
        <v>13284</v>
      </c>
      <c r="S724" s="9" t="s">
        <v>13284</v>
      </c>
      <c r="T724" s="9" t="str">
        <f ca="1">IFERROR(IF(AND(VLOOKUP(A724, 'Актуальное состояние (из общего'!A:C,3,0) = "", A724 &lt;&gt; ""), "ПРОВЕРИТЬ", VLOOKUP(A724, 'Актуальное состояние (из общего'!A:C,3,0)), "")</f>
        <v>Студент</v>
      </c>
      <c r="U724" s="9" t="s">
        <v>13284</v>
      </c>
      <c r="V724" s="9" t="s">
        <v>13284</v>
      </c>
      <c r="W724" s="12"/>
      <c r="X724" s="9" t="str">
        <f t="array" ref="X724">IFERROR(INDEX('Адреса общежитий (скрытый)'!$B$2:$B$9, MATCH(W724, 'Адреса общежитий (скрытый)'!$A$2:$A$9, 0)), "")</f>
        <v/>
      </c>
      <c r="Y724" s="18"/>
      <c r="Z724" s="18"/>
      <c r="AA724" s="18"/>
      <c r="AB724" s="18"/>
      <c r="AC724" s="18"/>
    </row>
    <row r="725" spans="1:29" ht="32.25" hidden="1" customHeight="1">
      <c r="A725" s="8">
        <v>2303070</v>
      </c>
      <c r="B725" s="9" t="s">
        <v>13284</v>
      </c>
      <c r="C725" s="9" t="s">
        <v>13284</v>
      </c>
      <c r="D725" s="9" t="s">
        <v>13284</v>
      </c>
      <c r="E725" s="9" t="s">
        <v>13284</v>
      </c>
      <c r="F725" s="9" t="s">
        <v>13284</v>
      </c>
      <c r="G725" s="9" t="s">
        <v>13284</v>
      </c>
      <c r="H725" s="9" t="s">
        <v>13284</v>
      </c>
      <c r="I725" s="9" t="s">
        <v>13284</v>
      </c>
      <c r="J725" s="9" t="s">
        <v>13284</v>
      </c>
      <c r="K725" s="9" t="s">
        <v>13284</v>
      </c>
      <c r="L725" s="9" t="s">
        <v>13284</v>
      </c>
      <c r="M725" s="9" t="s">
        <v>13284</v>
      </c>
      <c r="N725" s="9" t="s">
        <v>13284</v>
      </c>
      <c r="O725" s="9" t="s">
        <v>13284</v>
      </c>
      <c r="P725" s="9" t="s">
        <v>13284</v>
      </c>
      <c r="Q725" s="9" t="s">
        <v>13284</v>
      </c>
      <c r="R725" s="9" t="s">
        <v>13284</v>
      </c>
      <c r="S725" s="9" t="s">
        <v>13284</v>
      </c>
      <c r="T725" s="9" t="str">
        <f ca="1">IFERROR(IF(AND(VLOOKUP(A725, 'Актуальное состояние (из общего'!A:C,3,0) = "", A725 &lt;&gt; ""), "ПРОВЕРИТЬ", VLOOKUP(A725, 'Актуальное состояние (из общего'!A:C,3,0)), "")</f>
        <v>Студент</v>
      </c>
      <c r="U725" s="9" t="s">
        <v>13284</v>
      </c>
      <c r="V725" s="9" t="s">
        <v>13284</v>
      </c>
      <c r="W725" s="12"/>
      <c r="X725" s="9" t="str">
        <f t="array" ref="X725">IFERROR(INDEX('Адреса общежитий (скрытый)'!$B$2:$B$9, MATCH(W725, 'Адреса общежитий (скрытый)'!$A$2:$A$9, 0)), "")</f>
        <v/>
      </c>
      <c r="Y725" s="18"/>
      <c r="Z725" s="18"/>
      <c r="AA725" s="18"/>
      <c r="AB725" s="18"/>
      <c r="AC725" s="18"/>
    </row>
    <row r="726" spans="1:29" ht="32.25" customHeight="1">
      <c r="A726" s="8">
        <v>2309657</v>
      </c>
      <c r="B726" s="9" t="s">
        <v>13284</v>
      </c>
      <c r="C726" s="9" t="s">
        <v>13284</v>
      </c>
      <c r="D726" s="9" t="s">
        <v>13284</v>
      </c>
      <c r="E726" s="9" t="s">
        <v>13284</v>
      </c>
      <c r="F726" s="9" t="s">
        <v>13284</v>
      </c>
      <c r="G726" s="9" t="s">
        <v>13284</v>
      </c>
      <c r="H726" s="9" t="s">
        <v>13284</v>
      </c>
      <c r="I726" s="9" t="s">
        <v>13284</v>
      </c>
      <c r="J726" s="9" t="s">
        <v>13284</v>
      </c>
      <c r="K726" s="9" t="s">
        <v>13284</v>
      </c>
      <c r="L726" s="9" t="s">
        <v>13284</v>
      </c>
      <c r="M726" s="9" t="s">
        <v>13284</v>
      </c>
      <c r="N726" s="9" t="s">
        <v>13284</v>
      </c>
      <c r="O726" s="9" t="s">
        <v>13284</v>
      </c>
      <c r="P726" s="9" t="s">
        <v>13284</v>
      </c>
      <c r="Q726" s="9" t="s">
        <v>13284</v>
      </c>
      <c r="R726" s="9" t="s">
        <v>13284</v>
      </c>
      <c r="S726" s="9" t="s">
        <v>13284</v>
      </c>
      <c r="T726" s="9" t="str">
        <f ca="1">IFERROR(IF(AND(VLOOKUP(A726, 'Актуальное состояние (из общего'!A:C,3,0) = "", A726 &lt;&gt; ""), "ПРОВЕРИТЬ", VLOOKUP(A726, 'Актуальное состояние (из общего'!A:C,3,0)), "")</f>
        <v>Студент</v>
      </c>
      <c r="U726" s="9" t="s">
        <v>13284</v>
      </c>
      <c r="V726" s="9" t="s">
        <v>13284</v>
      </c>
      <c r="W726" s="12"/>
      <c r="X726" s="9" t="str">
        <f t="array" ref="X726">IFERROR(INDEX('Адреса общежитий (скрытый)'!$B$2:$B$9, MATCH(W726, 'Адреса общежитий (скрытый)'!$A$2:$A$9, 0)), "")</f>
        <v/>
      </c>
      <c r="Y726" s="18"/>
      <c r="Z726" s="18"/>
      <c r="AA726" s="18"/>
      <c r="AB726" s="18"/>
      <c r="AC726" s="18"/>
    </row>
    <row r="727" spans="1:29" ht="32.25" hidden="1" customHeight="1">
      <c r="A727" s="8">
        <v>2308882</v>
      </c>
      <c r="B727" s="9" t="s">
        <v>13284</v>
      </c>
      <c r="C727" s="9" t="s">
        <v>13284</v>
      </c>
      <c r="D727" s="9" t="s">
        <v>13284</v>
      </c>
      <c r="E727" s="9" t="s">
        <v>13284</v>
      </c>
      <c r="F727" s="9" t="s">
        <v>13284</v>
      </c>
      <c r="G727" s="9" t="s">
        <v>13284</v>
      </c>
      <c r="H727" s="9" t="s">
        <v>13284</v>
      </c>
      <c r="I727" s="9" t="s">
        <v>13284</v>
      </c>
      <c r="J727" s="9" t="s">
        <v>13284</v>
      </c>
      <c r="K727" s="9" t="s">
        <v>13284</v>
      </c>
      <c r="L727" s="9" t="s">
        <v>13284</v>
      </c>
      <c r="M727" s="9" t="s">
        <v>13284</v>
      </c>
      <c r="N727" s="9" t="s">
        <v>13284</v>
      </c>
      <c r="O727" s="9" t="s">
        <v>13284</v>
      </c>
      <c r="P727" s="9" t="s">
        <v>13284</v>
      </c>
      <c r="Q727" s="9" t="s">
        <v>13284</v>
      </c>
      <c r="R727" s="9" t="s">
        <v>13284</v>
      </c>
      <c r="S727" s="9" t="s">
        <v>13284</v>
      </c>
      <c r="T727" s="9" t="str">
        <f ca="1">IFERROR(IF(AND(VLOOKUP(A727, 'Актуальное состояние (из общего'!A:C,3,0) = "", A727 &lt;&gt; ""), "ПРОВЕРИТЬ", VLOOKUP(A727, 'Актуальное состояние (из общего'!A:C,3,0)), "")</f>
        <v>Студент</v>
      </c>
      <c r="U727" s="9" t="s">
        <v>13284</v>
      </c>
      <c r="V727" s="9" t="s">
        <v>13284</v>
      </c>
      <c r="W727" s="12"/>
      <c r="X727" s="9" t="str">
        <f t="array" ref="X727">IFERROR(INDEX('Адреса общежитий (скрытый)'!$B$2:$B$9, MATCH(W727, 'Адреса общежитий (скрытый)'!$A$2:$A$9, 0)), "")</f>
        <v/>
      </c>
      <c r="Y727" s="18"/>
      <c r="Z727" s="18"/>
      <c r="AA727" s="18"/>
      <c r="AB727" s="18"/>
      <c r="AC727" s="18"/>
    </row>
    <row r="728" spans="1:29" ht="32.25" hidden="1" customHeight="1">
      <c r="A728" s="8">
        <v>2309039</v>
      </c>
      <c r="B728" s="9" t="s">
        <v>13284</v>
      </c>
      <c r="C728" s="9" t="s">
        <v>13284</v>
      </c>
      <c r="D728" s="9" t="s">
        <v>13284</v>
      </c>
      <c r="E728" s="9" t="s">
        <v>13284</v>
      </c>
      <c r="F728" s="9" t="s">
        <v>13284</v>
      </c>
      <c r="G728" s="9" t="s">
        <v>13284</v>
      </c>
      <c r="H728" s="9" t="s">
        <v>13284</v>
      </c>
      <c r="I728" s="9" t="s">
        <v>13284</v>
      </c>
      <c r="J728" s="9" t="s">
        <v>13284</v>
      </c>
      <c r="K728" s="9" t="s">
        <v>13284</v>
      </c>
      <c r="L728" s="9" t="s">
        <v>13284</v>
      </c>
      <c r="M728" s="9" t="s">
        <v>13284</v>
      </c>
      <c r="N728" s="9" t="s">
        <v>13284</v>
      </c>
      <c r="O728" s="9" t="s">
        <v>13284</v>
      </c>
      <c r="P728" s="9" t="s">
        <v>13284</v>
      </c>
      <c r="Q728" s="9" t="s">
        <v>13284</v>
      </c>
      <c r="R728" s="9" t="s">
        <v>13284</v>
      </c>
      <c r="S728" s="9" t="s">
        <v>13284</v>
      </c>
      <c r="T728" s="9" t="str">
        <f ca="1">IFERROR(IF(AND(VLOOKUP(A728, 'Актуальное состояние (из общего'!A:C,3,0) = "", A728 &lt;&gt; ""), "ПРОВЕРИТЬ", VLOOKUP(A728, 'Актуальное состояние (из общего'!A:C,3,0)), "")</f>
        <v>Студент</v>
      </c>
      <c r="U728" s="9" t="s">
        <v>13284</v>
      </c>
      <c r="V728" s="9" t="s">
        <v>13284</v>
      </c>
      <c r="W728" s="12"/>
      <c r="X728" s="9" t="str">
        <f t="array" ref="X728">IFERROR(INDEX('Адреса общежитий (скрытый)'!$B$2:$B$9, MATCH(W728, 'Адреса общежитий (скрытый)'!$A$2:$A$9, 0)), "")</f>
        <v/>
      </c>
      <c r="Y728" s="18"/>
      <c r="Z728" s="18"/>
      <c r="AA728" s="18"/>
      <c r="AB728" s="18"/>
      <c r="AC728" s="18"/>
    </row>
    <row r="729" spans="1:29" ht="32.25" customHeight="1">
      <c r="A729" s="8">
        <v>2309959</v>
      </c>
      <c r="B729" s="9" t="s">
        <v>13284</v>
      </c>
      <c r="C729" s="9" t="s">
        <v>13284</v>
      </c>
      <c r="D729" s="9" t="s">
        <v>13284</v>
      </c>
      <c r="E729" s="9" t="s">
        <v>13284</v>
      </c>
      <c r="F729" s="9" t="s">
        <v>13284</v>
      </c>
      <c r="G729" s="9" t="s">
        <v>13284</v>
      </c>
      <c r="H729" s="9" t="s">
        <v>13284</v>
      </c>
      <c r="I729" s="9" t="s">
        <v>13284</v>
      </c>
      <c r="J729" s="9" t="s">
        <v>13284</v>
      </c>
      <c r="K729" s="9" t="s">
        <v>13284</v>
      </c>
      <c r="L729" s="9" t="s">
        <v>13284</v>
      </c>
      <c r="M729" s="9" t="s">
        <v>13284</v>
      </c>
      <c r="N729" s="9" t="s">
        <v>13284</v>
      </c>
      <c r="O729" s="9" t="s">
        <v>13284</v>
      </c>
      <c r="P729" s="9" t="s">
        <v>13284</v>
      </c>
      <c r="Q729" s="9" t="s">
        <v>13284</v>
      </c>
      <c r="R729" s="9" t="s">
        <v>13284</v>
      </c>
      <c r="S729" s="9" t="s">
        <v>13284</v>
      </c>
      <c r="T729" s="9" t="str">
        <f ca="1">IFERROR(IF(AND(VLOOKUP(A729, 'Актуальное состояние (из общего'!A:C,3,0) = "", A729 &lt;&gt; ""), "ПРОВЕРИТЬ", VLOOKUP(A729, 'Актуальное состояние (из общего'!A:C,3,0)), "")</f>
        <v>Студент</v>
      </c>
      <c r="U729" s="9" t="s">
        <v>13284</v>
      </c>
      <c r="V729" s="9" t="s">
        <v>13284</v>
      </c>
      <c r="W729" s="12"/>
      <c r="X729" s="9" t="str">
        <f t="array" ref="X729">IFERROR(INDEX('Адреса общежитий (скрытый)'!$B$2:$B$9, MATCH(W729, 'Адреса общежитий (скрытый)'!$A$2:$A$9, 0)), "")</f>
        <v/>
      </c>
      <c r="Y729" s="18"/>
      <c r="Z729" s="18"/>
      <c r="AA729" s="18"/>
      <c r="AB729" s="18"/>
      <c r="AC729" s="18"/>
    </row>
    <row r="730" spans="1:29" ht="32.25" customHeight="1">
      <c r="A730" s="8">
        <v>2311173</v>
      </c>
      <c r="B730" s="9" t="s">
        <v>13284</v>
      </c>
      <c r="C730" s="9" t="s">
        <v>13284</v>
      </c>
      <c r="D730" s="9" t="s">
        <v>13284</v>
      </c>
      <c r="E730" s="9" t="s">
        <v>13284</v>
      </c>
      <c r="F730" s="9" t="s">
        <v>13284</v>
      </c>
      <c r="G730" s="9" t="s">
        <v>13284</v>
      </c>
      <c r="H730" s="9" t="s">
        <v>13284</v>
      </c>
      <c r="I730" s="9" t="s">
        <v>13284</v>
      </c>
      <c r="J730" s="9" t="s">
        <v>13284</v>
      </c>
      <c r="K730" s="9" t="s">
        <v>13284</v>
      </c>
      <c r="L730" s="9" t="s">
        <v>13284</v>
      </c>
      <c r="M730" s="9" t="s">
        <v>13284</v>
      </c>
      <c r="N730" s="9" t="s">
        <v>13284</v>
      </c>
      <c r="O730" s="9" t="s">
        <v>13284</v>
      </c>
      <c r="P730" s="9" t="s">
        <v>13284</v>
      </c>
      <c r="Q730" s="9" t="s">
        <v>13284</v>
      </c>
      <c r="R730" s="9" t="s">
        <v>13284</v>
      </c>
      <c r="S730" s="9" t="s">
        <v>13284</v>
      </c>
      <c r="T730" s="9" t="str">
        <f ca="1">IFERROR(IF(AND(VLOOKUP(A730, 'Актуальное состояние (из общего'!A:C,3,0) = "", A730 &lt;&gt; ""), "ПРОВЕРИТЬ", VLOOKUP(A730, 'Актуальное состояние (из общего'!A:C,3,0)), "")</f>
        <v>Студент</v>
      </c>
      <c r="U730" s="9" t="s">
        <v>13284</v>
      </c>
      <c r="V730" s="9" t="s">
        <v>13284</v>
      </c>
      <c r="W730" s="12"/>
      <c r="X730" s="9" t="str">
        <f t="array" ref="X730">IFERROR(INDEX('Адреса общежитий (скрытый)'!$B$2:$B$9, MATCH(W730, 'Адреса общежитий (скрытый)'!$A$2:$A$9, 0)), "")</f>
        <v/>
      </c>
      <c r="Y730" s="18"/>
      <c r="Z730" s="18"/>
      <c r="AA730" s="18"/>
      <c r="AB730" s="18"/>
      <c r="AC730" s="18"/>
    </row>
    <row r="731" spans="1:29" ht="32.25" hidden="1" customHeight="1">
      <c r="A731" s="8">
        <v>2306930</v>
      </c>
      <c r="B731" s="9" t="s">
        <v>13284</v>
      </c>
      <c r="C731" s="9" t="s">
        <v>13284</v>
      </c>
      <c r="D731" s="9" t="s">
        <v>13284</v>
      </c>
      <c r="E731" s="9" t="s">
        <v>13284</v>
      </c>
      <c r="F731" s="9" t="s">
        <v>13284</v>
      </c>
      <c r="G731" s="9" t="s">
        <v>13284</v>
      </c>
      <c r="H731" s="9" t="s">
        <v>13284</v>
      </c>
      <c r="I731" s="9" t="s">
        <v>13284</v>
      </c>
      <c r="J731" s="9" t="s">
        <v>13284</v>
      </c>
      <c r="K731" s="9" t="s">
        <v>13284</v>
      </c>
      <c r="L731" s="9" t="s">
        <v>13284</v>
      </c>
      <c r="M731" s="9" t="s">
        <v>13284</v>
      </c>
      <c r="N731" s="9" t="s">
        <v>13284</v>
      </c>
      <c r="O731" s="9" t="s">
        <v>13284</v>
      </c>
      <c r="P731" s="9" t="s">
        <v>13284</v>
      </c>
      <c r="Q731" s="9" t="s">
        <v>13284</v>
      </c>
      <c r="R731" s="9" t="s">
        <v>13284</v>
      </c>
      <c r="S731" s="9" t="s">
        <v>13284</v>
      </c>
      <c r="T731" s="9" t="str">
        <f ca="1">IFERROR(IF(AND(VLOOKUP(A731, 'Актуальное состояние (из общего'!A:C,3,0) = "", A731 &lt;&gt; ""), "ПРОВЕРИТЬ", VLOOKUP(A731, 'Актуальное состояние (из общего'!A:C,3,0)), "")</f>
        <v>Студент</v>
      </c>
      <c r="U731" s="9" t="s">
        <v>13284</v>
      </c>
      <c r="V731" s="9" t="s">
        <v>13284</v>
      </c>
      <c r="W731" s="12"/>
      <c r="X731" s="9" t="str">
        <f t="array" ref="X731">IFERROR(INDEX('Адреса общежитий (скрытый)'!$B$2:$B$9, MATCH(W731, 'Адреса общежитий (скрытый)'!$A$2:$A$9, 0)), "")</f>
        <v/>
      </c>
      <c r="Y731" s="18"/>
      <c r="Z731" s="18"/>
      <c r="AA731" s="18"/>
      <c r="AB731" s="18"/>
      <c r="AC731" s="18"/>
    </row>
    <row r="732" spans="1:29" ht="32.25" customHeight="1">
      <c r="A732" s="8">
        <v>2312629</v>
      </c>
      <c r="B732" s="9" t="s">
        <v>13284</v>
      </c>
      <c r="C732" s="9" t="s">
        <v>13284</v>
      </c>
      <c r="D732" s="9" t="s">
        <v>13284</v>
      </c>
      <c r="E732" s="9" t="s">
        <v>13284</v>
      </c>
      <c r="F732" s="9" t="s">
        <v>13284</v>
      </c>
      <c r="G732" s="9" t="s">
        <v>13284</v>
      </c>
      <c r="H732" s="9" t="s">
        <v>13284</v>
      </c>
      <c r="I732" s="9" t="s">
        <v>13284</v>
      </c>
      <c r="J732" s="9" t="s">
        <v>13284</v>
      </c>
      <c r="K732" s="9" t="s">
        <v>13284</v>
      </c>
      <c r="L732" s="9" t="s">
        <v>13284</v>
      </c>
      <c r="M732" s="9" t="s">
        <v>13284</v>
      </c>
      <c r="N732" s="9" t="s">
        <v>13284</v>
      </c>
      <c r="O732" s="9" t="s">
        <v>13284</v>
      </c>
      <c r="P732" s="9" t="s">
        <v>13284</v>
      </c>
      <c r="Q732" s="9" t="s">
        <v>13284</v>
      </c>
      <c r="R732" s="9" t="s">
        <v>13284</v>
      </c>
      <c r="S732" s="9" t="s">
        <v>13284</v>
      </c>
      <c r="T732" s="9" t="str">
        <f ca="1">IFERROR(IF(AND(VLOOKUP(A732, 'Актуальное состояние (из общего'!A:C,3,0) = "", A732 &lt;&gt; ""), "ПРОВЕРИТЬ", VLOOKUP(A732, 'Актуальное состояние (из общего'!A:C,3,0)), "")</f>
        <v>Студент</v>
      </c>
      <c r="U732" s="9" t="s">
        <v>13284</v>
      </c>
      <c r="V732" s="9" t="s">
        <v>13284</v>
      </c>
      <c r="W732" s="12" t="s">
        <v>76</v>
      </c>
      <c r="X732" s="9" t="str">
        <f t="array" ref="X732">IFERROR(INDEX('Адреса общежитий (скрытый)'!$B$2:$B$9, MATCH(W732, 'Адреса общежитий (скрытый)'!$A$2:$A$9, 0)), "")</f>
        <v>ул. Студенческая, д. 33, корп. 5,6</v>
      </c>
      <c r="Y732" s="18"/>
      <c r="Z732" s="18"/>
      <c r="AA732" s="18"/>
      <c r="AB732" s="18"/>
      <c r="AC732" s="18"/>
    </row>
    <row r="733" spans="1:29" ht="32.25" customHeight="1">
      <c r="A733" s="8">
        <v>2300308</v>
      </c>
      <c r="B733" s="9" t="s">
        <v>13284</v>
      </c>
      <c r="C733" s="9" t="s">
        <v>13284</v>
      </c>
      <c r="D733" s="9" t="s">
        <v>13284</v>
      </c>
      <c r="E733" s="9" t="s">
        <v>13284</v>
      </c>
      <c r="F733" s="9" t="s">
        <v>13284</v>
      </c>
      <c r="G733" s="9" t="s">
        <v>13284</v>
      </c>
      <c r="H733" s="9" t="s">
        <v>13284</v>
      </c>
      <c r="I733" s="9" t="s">
        <v>13284</v>
      </c>
      <c r="J733" s="9" t="s">
        <v>13284</v>
      </c>
      <c r="K733" s="9" t="s">
        <v>13284</v>
      </c>
      <c r="L733" s="9" t="s">
        <v>13284</v>
      </c>
      <c r="M733" s="9" t="s">
        <v>13284</v>
      </c>
      <c r="N733" s="9" t="s">
        <v>13284</v>
      </c>
      <c r="O733" s="9" t="s">
        <v>13284</v>
      </c>
      <c r="P733" s="9" t="s">
        <v>13284</v>
      </c>
      <c r="Q733" s="9" t="s">
        <v>13284</v>
      </c>
      <c r="R733" s="9" t="s">
        <v>13284</v>
      </c>
      <c r="S733" s="9" t="s">
        <v>13284</v>
      </c>
      <c r="T733" s="9" t="str">
        <f ca="1">IFERROR(IF(AND(VLOOKUP(A733, 'Актуальное состояние (из общего'!A:C,3,0) = "", A733 &lt;&gt; ""), "ПРОВЕРИТЬ", VLOOKUP(A733, 'Актуальное состояние (из общего'!A:C,3,0)), "")</f>
        <v>Студент</v>
      </c>
      <c r="U733" s="9" t="s">
        <v>13284</v>
      </c>
      <c r="V733" s="9" t="s">
        <v>13284</v>
      </c>
      <c r="W733" s="9" t="s">
        <v>64</v>
      </c>
      <c r="X733" s="9" t="str">
        <f t="array" ref="X733">IFERROR(INDEX('Адреса общежитий (скрытый)'!$B$2:$B$9, MATCH(W733, 'Адреса общежитий (скрытый)'!$A$2:$A$9, 0)), "")</f>
        <v>проспект 60-летия Октября, д.11</v>
      </c>
      <c r="Y733" s="18"/>
      <c r="Z733" s="18"/>
      <c r="AA733" s="18"/>
      <c r="AB733" s="18"/>
      <c r="AC733" s="18"/>
    </row>
    <row r="734" spans="1:29" ht="32.25" customHeight="1">
      <c r="A734" s="8">
        <v>2300342</v>
      </c>
      <c r="B734" s="9" t="s">
        <v>13284</v>
      </c>
      <c r="C734" s="9" t="s">
        <v>13284</v>
      </c>
      <c r="D734" s="9" t="s">
        <v>13284</v>
      </c>
      <c r="E734" s="9" t="s">
        <v>13284</v>
      </c>
      <c r="F734" s="9" t="s">
        <v>13284</v>
      </c>
      <c r="G734" s="9" t="s">
        <v>13284</v>
      </c>
      <c r="H734" s="9" t="s">
        <v>13284</v>
      </c>
      <c r="I734" s="9" t="s">
        <v>13284</v>
      </c>
      <c r="J734" s="9" t="s">
        <v>13284</v>
      </c>
      <c r="K734" s="9" t="s">
        <v>13284</v>
      </c>
      <c r="L734" s="9" t="s">
        <v>13284</v>
      </c>
      <c r="M734" s="9" t="s">
        <v>13284</v>
      </c>
      <c r="N734" s="9" t="s">
        <v>13284</v>
      </c>
      <c r="O734" s="9" t="s">
        <v>13284</v>
      </c>
      <c r="P734" s="9" t="s">
        <v>13284</v>
      </c>
      <c r="Q734" s="9" t="s">
        <v>13284</v>
      </c>
      <c r="R734" s="9" t="s">
        <v>13284</v>
      </c>
      <c r="S734" s="9" t="s">
        <v>13284</v>
      </c>
      <c r="T734" s="9" t="str">
        <f ca="1">IFERROR(IF(AND(VLOOKUP(A734, 'Актуальное состояние (из общего'!A:C,3,0) = "", A734 &lt;&gt; ""), "ПРОВЕРИТЬ", VLOOKUP(A734, 'Актуальное состояние (из общего'!A:C,3,0)), "")</f>
        <v>Студент</v>
      </c>
      <c r="U734" s="9" t="s">
        <v>13284</v>
      </c>
      <c r="V734" s="9" t="s">
        <v>13284</v>
      </c>
      <c r="W734" s="12"/>
      <c r="X734" s="9" t="str">
        <f t="array" ref="X734">IFERROR(INDEX('Адреса общежитий (скрытый)'!$B$2:$B$9, MATCH(W734, 'Адреса общежитий (скрытый)'!$A$2:$A$9, 0)), "")</f>
        <v/>
      </c>
      <c r="Y734" s="18"/>
      <c r="Z734" s="18"/>
      <c r="AA734" s="18"/>
      <c r="AB734" s="18"/>
      <c r="AC734" s="18"/>
    </row>
    <row r="735" spans="1:29" ht="32.25" customHeight="1">
      <c r="A735" s="8">
        <v>2314368</v>
      </c>
      <c r="B735" s="9" t="s">
        <v>13284</v>
      </c>
      <c r="C735" s="9" t="s">
        <v>13284</v>
      </c>
      <c r="D735" s="9" t="s">
        <v>13284</v>
      </c>
      <c r="E735" s="9" t="s">
        <v>13284</v>
      </c>
      <c r="F735" s="9" t="s">
        <v>13284</v>
      </c>
      <c r="G735" s="9" t="s">
        <v>13284</v>
      </c>
      <c r="H735" s="9" t="s">
        <v>13284</v>
      </c>
      <c r="I735" s="9" t="s">
        <v>13284</v>
      </c>
      <c r="J735" s="9" t="s">
        <v>13284</v>
      </c>
      <c r="K735" s="9" t="s">
        <v>13284</v>
      </c>
      <c r="L735" s="9" t="s">
        <v>13284</v>
      </c>
      <c r="M735" s="9" t="s">
        <v>13284</v>
      </c>
      <c r="N735" s="9" t="s">
        <v>13284</v>
      </c>
      <c r="O735" s="9" t="s">
        <v>13284</v>
      </c>
      <c r="P735" s="9" t="s">
        <v>13284</v>
      </c>
      <c r="Q735" s="9" t="s">
        <v>13284</v>
      </c>
      <c r="R735" s="9" t="s">
        <v>13284</v>
      </c>
      <c r="S735" s="9" t="s">
        <v>13284</v>
      </c>
      <c r="T735" s="9" t="str">
        <f ca="1">IFERROR(IF(AND(VLOOKUP(A735, 'Актуальное состояние (из общего'!A:C,3,0) = "", A735 &lt;&gt; ""), "ПРОВЕРИТЬ", VLOOKUP(A735, 'Актуальное состояние (из общего'!A:C,3,0)), "")</f>
        <v>Студент</v>
      </c>
      <c r="U735" s="9" t="s">
        <v>13284</v>
      </c>
      <c r="V735" s="9" t="s">
        <v>13284</v>
      </c>
      <c r="W735" s="12"/>
      <c r="X735" s="9" t="str">
        <f t="array" ref="X735">IFERROR(INDEX('Адреса общежитий (скрытый)'!$B$2:$B$9, MATCH(W735, 'Адреса общежитий (скрытый)'!$A$2:$A$9, 0)), "")</f>
        <v/>
      </c>
      <c r="Y735" s="18"/>
      <c r="Z735" s="18"/>
      <c r="AA735" s="18"/>
      <c r="AB735" s="18"/>
      <c r="AC735" s="18"/>
    </row>
    <row r="736" spans="1:29" ht="32.25" customHeight="1">
      <c r="A736" s="8">
        <v>2302227</v>
      </c>
      <c r="B736" s="9" t="s">
        <v>13284</v>
      </c>
      <c r="C736" s="9" t="s">
        <v>13284</v>
      </c>
      <c r="D736" s="9" t="s">
        <v>13284</v>
      </c>
      <c r="E736" s="9" t="s">
        <v>13284</v>
      </c>
      <c r="F736" s="9" t="s">
        <v>13284</v>
      </c>
      <c r="G736" s="9" t="s">
        <v>13284</v>
      </c>
      <c r="H736" s="9" t="s">
        <v>13284</v>
      </c>
      <c r="I736" s="9" t="s">
        <v>13284</v>
      </c>
      <c r="J736" s="9" t="s">
        <v>13284</v>
      </c>
      <c r="K736" s="9" t="s">
        <v>13284</v>
      </c>
      <c r="L736" s="9" t="s">
        <v>13284</v>
      </c>
      <c r="M736" s="9" t="s">
        <v>13284</v>
      </c>
      <c r="N736" s="9" t="s">
        <v>13284</v>
      </c>
      <c r="O736" s="9" t="s">
        <v>13284</v>
      </c>
      <c r="P736" s="9" t="s">
        <v>13284</v>
      </c>
      <c r="Q736" s="9" t="s">
        <v>13284</v>
      </c>
      <c r="R736" s="9" t="s">
        <v>13284</v>
      </c>
      <c r="S736" s="9" t="s">
        <v>13284</v>
      </c>
      <c r="T736" s="9" t="str">
        <f ca="1">IFERROR(IF(AND(VLOOKUP(A736, 'Актуальное состояние (из общего'!A:C,3,0) = "", A736 &lt;&gt; ""), "ПРОВЕРИТЬ", VLOOKUP(A736, 'Актуальное состояние (из общего'!A:C,3,0)), "")</f>
        <v>Студент</v>
      </c>
      <c r="U736" s="9" t="s">
        <v>13284</v>
      </c>
      <c r="V736" s="9" t="s">
        <v>13284</v>
      </c>
      <c r="W736" s="12"/>
      <c r="X736" s="9" t="str">
        <f t="array" ref="X736">IFERROR(INDEX('Адреса общежитий (скрытый)'!$B$2:$B$9, MATCH(W736, 'Адреса общежитий (скрытый)'!$A$2:$A$9, 0)), "")</f>
        <v/>
      </c>
      <c r="Y736" s="18"/>
      <c r="Z736" s="18"/>
      <c r="AA736" s="18"/>
      <c r="AB736" s="18"/>
      <c r="AC736" s="18"/>
    </row>
    <row r="737" spans="1:29" ht="32.25" customHeight="1">
      <c r="A737" s="8">
        <v>2314429</v>
      </c>
      <c r="B737" s="9" t="s">
        <v>13284</v>
      </c>
      <c r="C737" s="9" t="s">
        <v>13284</v>
      </c>
      <c r="D737" s="9" t="s">
        <v>13284</v>
      </c>
      <c r="E737" s="9" t="s">
        <v>13284</v>
      </c>
      <c r="F737" s="9" t="s">
        <v>13284</v>
      </c>
      <c r="G737" s="9" t="s">
        <v>13284</v>
      </c>
      <c r="H737" s="9" t="s">
        <v>13284</v>
      </c>
      <c r="I737" s="9" t="s">
        <v>13284</v>
      </c>
      <c r="J737" s="9" t="s">
        <v>13284</v>
      </c>
      <c r="K737" s="9" t="s">
        <v>13284</v>
      </c>
      <c r="L737" s="9" t="s">
        <v>13284</v>
      </c>
      <c r="M737" s="9" t="s">
        <v>13284</v>
      </c>
      <c r="N737" s="9" t="s">
        <v>13284</v>
      </c>
      <c r="O737" s="9" t="s">
        <v>13284</v>
      </c>
      <c r="P737" s="9" t="s">
        <v>13284</v>
      </c>
      <c r="Q737" s="9" t="s">
        <v>13284</v>
      </c>
      <c r="R737" s="9" t="s">
        <v>13284</v>
      </c>
      <c r="S737" s="9" t="s">
        <v>13284</v>
      </c>
      <c r="T737" s="9" t="str">
        <f ca="1">IFERROR(IF(AND(VLOOKUP(A737, 'Актуальное состояние (из общего'!A:C,3,0) = "", A737 &lt;&gt; ""), "ПРОВЕРИТЬ", VLOOKUP(A737, 'Актуальное состояние (из общего'!A:C,3,0)), "")</f>
        <v>Студент</v>
      </c>
      <c r="U737" s="9" t="s">
        <v>13284</v>
      </c>
      <c r="V737" s="9" t="s">
        <v>13284</v>
      </c>
      <c r="W737" s="9" t="s">
        <v>64</v>
      </c>
      <c r="X737" s="9" t="str">
        <f t="array" ref="X737">IFERROR(INDEX('Адреса общежитий (скрытый)'!$B$2:$B$9, MATCH(W737, 'Адреса общежитий (скрытый)'!$A$2:$A$9, 0)), "")</f>
        <v>проспект 60-летия Октября, д.11</v>
      </c>
      <c r="Y737" s="18"/>
      <c r="Z737" s="18"/>
      <c r="AA737" s="18"/>
      <c r="AB737" s="18"/>
      <c r="AC737" s="18"/>
    </row>
    <row r="738" spans="1:29" ht="32.25" customHeight="1">
      <c r="A738" s="8">
        <v>2307225</v>
      </c>
      <c r="B738" s="9" t="s">
        <v>13284</v>
      </c>
      <c r="C738" s="9" t="s">
        <v>13284</v>
      </c>
      <c r="D738" s="9" t="s">
        <v>13284</v>
      </c>
      <c r="E738" s="9" t="s">
        <v>13284</v>
      </c>
      <c r="F738" s="9" t="s">
        <v>13284</v>
      </c>
      <c r="G738" s="9" t="s">
        <v>13284</v>
      </c>
      <c r="H738" s="9" t="s">
        <v>13284</v>
      </c>
      <c r="I738" s="9" t="s">
        <v>13284</v>
      </c>
      <c r="J738" s="9" t="s">
        <v>13284</v>
      </c>
      <c r="K738" s="9" t="s">
        <v>13284</v>
      </c>
      <c r="L738" s="9" t="s">
        <v>13284</v>
      </c>
      <c r="M738" s="9" t="s">
        <v>13284</v>
      </c>
      <c r="N738" s="9" t="s">
        <v>13284</v>
      </c>
      <c r="O738" s="9" t="s">
        <v>13284</v>
      </c>
      <c r="P738" s="9" t="s">
        <v>13284</v>
      </c>
      <c r="Q738" s="9" t="s">
        <v>13284</v>
      </c>
      <c r="R738" s="9" t="s">
        <v>13284</v>
      </c>
      <c r="S738" s="9" t="s">
        <v>13284</v>
      </c>
      <c r="T738" s="9" t="str">
        <f ca="1">IFERROR(IF(AND(VLOOKUP(A738, 'Актуальное состояние (из общего'!A:C,3,0) = "", A738 &lt;&gt; ""), "ПРОВЕРИТЬ", VLOOKUP(A738, 'Актуальное состояние (из общего'!A:C,3,0)), "")</f>
        <v>Студент</v>
      </c>
      <c r="U738" s="9" t="s">
        <v>13284</v>
      </c>
      <c r="V738" s="9" t="s">
        <v>13284</v>
      </c>
      <c r="W738" s="9" t="s">
        <v>64</v>
      </c>
      <c r="X738" s="9" t="str">
        <f t="array" ref="X738">IFERROR(INDEX('Адреса общежитий (скрытый)'!$B$2:$B$9, MATCH(W738, 'Адреса общежитий (скрытый)'!$A$2:$A$9, 0)), "")</f>
        <v>проспект 60-летия Октября, д.11</v>
      </c>
      <c r="Y738" s="18"/>
      <c r="Z738" s="18"/>
      <c r="AA738" s="18"/>
      <c r="AB738" s="18"/>
      <c r="AC738" s="18"/>
    </row>
    <row r="739" spans="1:29" ht="32.25" customHeight="1">
      <c r="A739" s="8">
        <v>2300345</v>
      </c>
      <c r="B739" s="9" t="s">
        <v>13284</v>
      </c>
      <c r="C739" s="9" t="s">
        <v>13284</v>
      </c>
      <c r="D739" s="9" t="s">
        <v>13284</v>
      </c>
      <c r="E739" s="9" t="s">
        <v>13284</v>
      </c>
      <c r="F739" s="9" t="s">
        <v>13284</v>
      </c>
      <c r="G739" s="9" t="s">
        <v>13284</v>
      </c>
      <c r="H739" s="9" t="s">
        <v>13284</v>
      </c>
      <c r="I739" s="9" t="s">
        <v>13284</v>
      </c>
      <c r="J739" s="9" t="s">
        <v>13284</v>
      </c>
      <c r="K739" s="9" t="s">
        <v>13284</v>
      </c>
      <c r="L739" s="9" t="s">
        <v>13284</v>
      </c>
      <c r="M739" s="9" t="s">
        <v>13284</v>
      </c>
      <c r="N739" s="9" t="s">
        <v>13284</v>
      </c>
      <c r="O739" s="9" t="s">
        <v>13284</v>
      </c>
      <c r="P739" s="9" t="s">
        <v>13284</v>
      </c>
      <c r="Q739" s="9" t="s">
        <v>13284</v>
      </c>
      <c r="R739" s="9" t="s">
        <v>13284</v>
      </c>
      <c r="S739" s="9" t="s">
        <v>13284</v>
      </c>
      <c r="T739" s="9" t="str">
        <f ca="1">IFERROR(IF(AND(VLOOKUP(A739, 'Актуальное состояние (из общего'!A:C,3,0) = "", A739 &lt;&gt; ""), "ПРОВЕРИТЬ", VLOOKUP(A739, 'Актуальное состояние (из общего'!A:C,3,0)), "")</f>
        <v>Студент</v>
      </c>
      <c r="U739" s="9" t="s">
        <v>13284</v>
      </c>
      <c r="V739" s="9" t="s">
        <v>13284</v>
      </c>
      <c r="W739" s="12"/>
      <c r="X739" s="9" t="str">
        <f t="array" ref="X739">IFERROR(INDEX('Адреса общежитий (скрытый)'!$B$2:$B$9, MATCH(W739, 'Адреса общежитий (скрытый)'!$A$2:$A$9, 0)), "")</f>
        <v/>
      </c>
      <c r="Y739" s="18"/>
      <c r="Z739" s="18"/>
      <c r="AA739" s="18"/>
      <c r="AB739" s="18"/>
      <c r="AC739" s="18"/>
    </row>
    <row r="740" spans="1:29" ht="32.25" customHeight="1">
      <c r="A740" s="8">
        <v>2312607</v>
      </c>
      <c r="B740" s="9" t="s">
        <v>13284</v>
      </c>
      <c r="C740" s="9" t="s">
        <v>13284</v>
      </c>
      <c r="D740" s="9" t="s">
        <v>13284</v>
      </c>
      <c r="E740" s="9" t="s">
        <v>13284</v>
      </c>
      <c r="F740" s="9" t="s">
        <v>13284</v>
      </c>
      <c r="G740" s="9" t="s">
        <v>13284</v>
      </c>
      <c r="H740" s="9" t="s">
        <v>13284</v>
      </c>
      <c r="I740" s="9" t="s">
        <v>13284</v>
      </c>
      <c r="J740" s="9" t="s">
        <v>13284</v>
      </c>
      <c r="K740" s="9" t="s">
        <v>13284</v>
      </c>
      <c r="L740" s="9" t="s">
        <v>13284</v>
      </c>
      <c r="M740" s="9" t="s">
        <v>13284</v>
      </c>
      <c r="N740" s="9" t="s">
        <v>13284</v>
      </c>
      <c r="O740" s="9" t="s">
        <v>13284</v>
      </c>
      <c r="P740" s="9" t="s">
        <v>13284</v>
      </c>
      <c r="Q740" s="9" t="s">
        <v>13284</v>
      </c>
      <c r="R740" s="9" t="s">
        <v>13284</v>
      </c>
      <c r="S740" s="9" t="s">
        <v>13284</v>
      </c>
      <c r="T740" s="9" t="str">
        <f ca="1">IFERROR(IF(AND(VLOOKUP(A740, 'Актуальное состояние (из общего'!A:C,3,0) = "", A740 &lt;&gt; ""), "ПРОВЕРИТЬ", VLOOKUP(A740, 'Актуальное состояние (из общего'!A:C,3,0)), "")</f>
        <v>Студент</v>
      </c>
      <c r="U740" s="9" t="s">
        <v>13284</v>
      </c>
      <c r="V740" s="9" t="s">
        <v>13284</v>
      </c>
      <c r="W740" s="9" t="s">
        <v>64</v>
      </c>
      <c r="X740" s="9" t="str">
        <f t="array" ref="X740">IFERROR(INDEX('Адреса общежитий (скрытый)'!$B$2:$B$9, MATCH(W740, 'Адреса общежитий (скрытый)'!$A$2:$A$9, 0)), "")</f>
        <v>проспект 60-летия Октября, д.11</v>
      </c>
      <c r="Y740" s="18"/>
      <c r="Z740" s="18"/>
      <c r="AA740" s="18"/>
      <c r="AB740" s="18"/>
      <c r="AC740" s="18"/>
    </row>
    <row r="741" spans="1:29" ht="32.25" customHeight="1">
      <c r="A741" s="8">
        <v>2314378</v>
      </c>
      <c r="B741" s="9" t="s">
        <v>13284</v>
      </c>
      <c r="C741" s="9" t="s">
        <v>13284</v>
      </c>
      <c r="D741" s="9" t="s">
        <v>13284</v>
      </c>
      <c r="E741" s="9" t="s">
        <v>13284</v>
      </c>
      <c r="F741" s="9" t="s">
        <v>13284</v>
      </c>
      <c r="G741" s="9" t="s">
        <v>13284</v>
      </c>
      <c r="H741" s="9" t="s">
        <v>13284</v>
      </c>
      <c r="I741" s="9" t="s">
        <v>13284</v>
      </c>
      <c r="J741" s="9" t="s">
        <v>13284</v>
      </c>
      <c r="K741" s="9" t="s">
        <v>13284</v>
      </c>
      <c r="L741" s="9" t="s">
        <v>13284</v>
      </c>
      <c r="M741" s="9" t="s">
        <v>13284</v>
      </c>
      <c r="N741" s="9" t="s">
        <v>13284</v>
      </c>
      <c r="O741" s="9" t="s">
        <v>13284</v>
      </c>
      <c r="P741" s="9" t="s">
        <v>13284</v>
      </c>
      <c r="Q741" s="9" t="s">
        <v>13284</v>
      </c>
      <c r="R741" s="9" t="s">
        <v>13284</v>
      </c>
      <c r="S741" s="9" t="s">
        <v>13284</v>
      </c>
      <c r="T741" s="9" t="str">
        <f ca="1">IFERROR(IF(AND(VLOOKUP(A741, 'Актуальное состояние (из общего'!A:C,3,0) = "", A741 &lt;&gt; ""), "ПРОВЕРИТЬ", VLOOKUP(A741, 'Актуальное состояние (из общего'!A:C,3,0)), "")</f>
        <v>Студент</v>
      </c>
      <c r="U741" s="9" t="s">
        <v>13284</v>
      </c>
      <c r="V741" s="9" t="s">
        <v>13284</v>
      </c>
      <c r="W741" s="12"/>
      <c r="X741" s="9" t="str">
        <f t="array" ref="X741">IFERROR(INDEX('Адреса общежитий (скрытый)'!$B$2:$B$9, MATCH(W741, 'Адреса общежитий (скрытый)'!$A$2:$A$9, 0)), "")</f>
        <v/>
      </c>
      <c r="Y741" s="18"/>
      <c r="Z741" s="18"/>
      <c r="AA741" s="18"/>
      <c r="AB741" s="18"/>
      <c r="AC741" s="18"/>
    </row>
    <row r="742" spans="1:29" ht="32.25" customHeight="1">
      <c r="A742" s="8">
        <v>2312754</v>
      </c>
      <c r="B742" s="9" t="s">
        <v>13284</v>
      </c>
      <c r="C742" s="9" t="s">
        <v>13284</v>
      </c>
      <c r="D742" s="9" t="s">
        <v>13284</v>
      </c>
      <c r="E742" s="9" t="s">
        <v>13284</v>
      </c>
      <c r="F742" s="9" t="s">
        <v>13284</v>
      </c>
      <c r="G742" s="9" t="s">
        <v>13284</v>
      </c>
      <c r="H742" s="9" t="s">
        <v>13284</v>
      </c>
      <c r="I742" s="9" t="s">
        <v>13284</v>
      </c>
      <c r="J742" s="9" t="s">
        <v>13284</v>
      </c>
      <c r="K742" s="9" t="s">
        <v>13284</v>
      </c>
      <c r="L742" s="9" t="s">
        <v>13284</v>
      </c>
      <c r="M742" s="9" t="s">
        <v>13284</v>
      </c>
      <c r="N742" s="9" t="s">
        <v>13284</v>
      </c>
      <c r="O742" s="9" t="s">
        <v>13284</v>
      </c>
      <c r="P742" s="9" t="s">
        <v>13284</v>
      </c>
      <c r="Q742" s="9" t="s">
        <v>13284</v>
      </c>
      <c r="R742" s="9" t="s">
        <v>13284</v>
      </c>
      <c r="S742" s="9" t="s">
        <v>13284</v>
      </c>
      <c r="T742" s="9" t="str">
        <f ca="1">IFERROR(IF(AND(VLOOKUP(A742, 'Актуальное состояние (из общего'!A:C,3,0) = "", A742 &lt;&gt; ""), "ПРОВЕРИТЬ", VLOOKUP(A742, 'Актуальное состояние (из общего'!A:C,3,0)), "")</f>
        <v>Студент</v>
      </c>
      <c r="U742" s="9" t="s">
        <v>13284</v>
      </c>
      <c r="V742" s="9" t="s">
        <v>13284</v>
      </c>
      <c r="W742" s="12" t="s">
        <v>319</v>
      </c>
      <c r="X742" s="9" t="str">
        <f t="array" ref="X742">IFERROR(INDEX('Адреса общежитий (скрытый)'!$B$2:$B$9, MATCH(W742, 'Адреса общежитий (скрытый)'!$A$2:$A$9, 0)), "")</f>
        <v>ул. Профсоюзная, д.83, корп. 2</v>
      </c>
      <c r="Y742" s="18"/>
      <c r="Z742" s="18"/>
      <c r="AA742" s="18"/>
      <c r="AB742" s="18"/>
      <c r="AC742" s="18"/>
    </row>
    <row r="743" spans="1:29" ht="32.25" customHeight="1">
      <c r="A743" s="8">
        <v>2300303</v>
      </c>
      <c r="B743" s="9" t="s">
        <v>13284</v>
      </c>
      <c r="C743" s="9" t="s">
        <v>13284</v>
      </c>
      <c r="D743" s="9" t="s">
        <v>13284</v>
      </c>
      <c r="E743" s="9" t="s">
        <v>13284</v>
      </c>
      <c r="F743" s="9" t="s">
        <v>13284</v>
      </c>
      <c r="G743" s="9" t="s">
        <v>13284</v>
      </c>
      <c r="H743" s="9" t="s">
        <v>13284</v>
      </c>
      <c r="I743" s="9" t="s">
        <v>13284</v>
      </c>
      <c r="J743" s="9" t="s">
        <v>13284</v>
      </c>
      <c r="K743" s="9" t="s">
        <v>13284</v>
      </c>
      <c r="L743" s="9" t="s">
        <v>13284</v>
      </c>
      <c r="M743" s="9" t="s">
        <v>13284</v>
      </c>
      <c r="N743" s="9" t="s">
        <v>13284</v>
      </c>
      <c r="O743" s="9" t="s">
        <v>13284</v>
      </c>
      <c r="P743" s="9" t="s">
        <v>13284</v>
      </c>
      <c r="Q743" s="9" t="s">
        <v>13284</v>
      </c>
      <c r="R743" s="9" t="s">
        <v>13284</v>
      </c>
      <c r="S743" s="9" t="s">
        <v>13284</v>
      </c>
      <c r="T743" s="9" t="str">
        <f ca="1">IFERROR(IF(AND(VLOOKUP(A743, 'Актуальное состояние (из общего'!A:C,3,0) = "", A743 &lt;&gt; ""), "ПРОВЕРИТЬ", VLOOKUP(A743, 'Актуальное состояние (из общего'!A:C,3,0)), "")</f>
        <v>Студент</v>
      </c>
      <c r="U743" s="9" t="s">
        <v>13284</v>
      </c>
      <c r="V743" s="9" t="s">
        <v>13284</v>
      </c>
      <c r="W743" s="12"/>
      <c r="X743" s="9" t="str">
        <f t="array" ref="X743">IFERROR(INDEX('Адреса общежитий (скрытый)'!$B$2:$B$9, MATCH(W743, 'Адреса общежитий (скрытый)'!$A$2:$A$9, 0)), "")</f>
        <v/>
      </c>
      <c r="Y743" s="18"/>
      <c r="Z743" s="18"/>
      <c r="AA743" s="18"/>
      <c r="AB743" s="18"/>
      <c r="AC743" s="18"/>
    </row>
    <row r="744" spans="1:29" ht="32.25" customHeight="1">
      <c r="A744" s="8">
        <v>2300307</v>
      </c>
      <c r="B744" s="9" t="s">
        <v>13284</v>
      </c>
      <c r="C744" s="9" t="s">
        <v>13284</v>
      </c>
      <c r="D744" s="9" t="s">
        <v>13284</v>
      </c>
      <c r="E744" s="9" t="s">
        <v>13284</v>
      </c>
      <c r="F744" s="9" t="s">
        <v>13284</v>
      </c>
      <c r="G744" s="9" t="s">
        <v>13284</v>
      </c>
      <c r="H744" s="9" t="s">
        <v>13284</v>
      </c>
      <c r="I744" s="9" t="s">
        <v>13284</v>
      </c>
      <c r="J744" s="9" t="s">
        <v>13284</v>
      </c>
      <c r="K744" s="9" t="s">
        <v>13284</v>
      </c>
      <c r="L744" s="9" t="s">
        <v>13284</v>
      </c>
      <c r="M744" s="9" t="s">
        <v>13284</v>
      </c>
      <c r="N744" s="9" t="s">
        <v>13284</v>
      </c>
      <c r="O744" s="9" t="s">
        <v>13284</v>
      </c>
      <c r="P744" s="9" t="s">
        <v>13284</v>
      </c>
      <c r="Q744" s="9" t="s">
        <v>13284</v>
      </c>
      <c r="R744" s="9" t="s">
        <v>13284</v>
      </c>
      <c r="S744" s="9" t="s">
        <v>13284</v>
      </c>
      <c r="T744" s="9" t="str">
        <f ca="1">IFERROR(IF(AND(VLOOKUP(A744, 'Актуальное состояние (из общего'!A:C,3,0) = "", A744 &lt;&gt; ""), "ПРОВЕРИТЬ", VLOOKUP(A744, 'Актуальное состояние (из общего'!A:C,3,0)), "")</f>
        <v>Студент</v>
      </c>
      <c r="U744" s="9" t="s">
        <v>13284</v>
      </c>
      <c r="V744" s="9" t="s">
        <v>13284</v>
      </c>
      <c r="W744" s="12"/>
      <c r="X744" s="9" t="str">
        <f t="array" ref="X744">IFERROR(INDEX('Адреса общежитий (скрытый)'!$B$2:$B$9, MATCH(W744, 'Адреса общежитий (скрытый)'!$A$2:$A$9, 0)), "")</f>
        <v/>
      </c>
      <c r="Y744" s="18"/>
      <c r="Z744" s="18"/>
      <c r="AA744" s="18"/>
      <c r="AB744" s="18"/>
      <c r="AC744" s="18"/>
    </row>
    <row r="745" spans="1:29" ht="32.25" customHeight="1">
      <c r="A745" s="8">
        <v>2300318</v>
      </c>
      <c r="B745" s="9" t="s">
        <v>13284</v>
      </c>
      <c r="C745" s="9" t="s">
        <v>13284</v>
      </c>
      <c r="D745" s="9" t="s">
        <v>13284</v>
      </c>
      <c r="E745" s="9" t="s">
        <v>13284</v>
      </c>
      <c r="F745" s="9" t="s">
        <v>13284</v>
      </c>
      <c r="G745" s="9" t="s">
        <v>13284</v>
      </c>
      <c r="H745" s="9" t="s">
        <v>13284</v>
      </c>
      <c r="I745" s="9" t="s">
        <v>13284</v>
      </c>
      <c r="J745" s="9" t="s">
        <v>13284</v>
      </c>
      <c r="K745" s="9" t="s">
        <v>13284</v>
      </c>
      <c r="L745" s="9" t="s">
        <v>13284</v>
      </c>
      <c r="M745" s="9" t="s">
        <v>13284</v>
      </c>
      <c r="N745" s="9" t="s">
        <v>13284</v>
      </c>
      <c r="O745" s="9" t="s">
        <v>13284</v>
      </c>
      <c r="P745" s="9" t="s">
        <v>13284</v>
      </c>
      <c r="Q745" s="9" t="s">
        <v>13284</v>
      </c>
      <c r="R745" s="9" t="s">
        <v>13284</v>
      </c>
      <c r="S745" s="9" t="s">
        <v>13284</v>
      </c>
      <c r="T745" s="9" t="str">
        <f ca="1">IFERROR(IF(AND(VLOOKUP(A745, 'Актуальное состояние (из общего'!A:C,3,0) = "", A745 &lt;&gt; ""), "ПРОВЕРИТЬ", VLOOKUP(A745, 'Актуальное состояние (из общего'!A:C,3,0)), "")</f>
        <v>Студент</v>
      </c>
      <c r="U745" s="9" t="s">
        <v>13284</v>
      </c>
      <c r="V745" s="9" t="s">
        <v>13284</v>
      </c>
      <c r="W745" s="9" t="s">
        <v>64</v>
      </c>
      <c r="X745" s="9" t="str">
        <f t="array" ref="X745">IFERROR(INDEX('Адреса общежитий (скрытый)'!$B$2:$B$9, MATCH(W745, 'Адреса общежитий (скрытый)'!$A$2:$A$9, 0)), "")</f>
        <v>проспект 60-летия Октября, д.11</v>
      </c>
      <c r="Y745" s="18"/>
      <c r="Z745" s="18"/>
      <c r="AA745" s="18"/>
      <c r="AB745" s="18"/>
      <c r="AC745" s="18"/>
    </row>
    <row r="746" spans="1:29" ht="32.25" customHeight="1">
      <c r="A746" s="8">
        <v>2300417</v>
      </c>
      <c r="B746" s="9" t="s">
        <v>13284</v>
      </c>
      <c r="C746" s="9" t="s">
        <v>13284</v>
      </c>
      <c r="D746" s="9" t="s">
        <v>13284</v>
      </c>
      <c r="E746" s="9" t="s">
        <v>13284</v>
      </c>
      <c r="F746" s="9" t="s">
        <v>13284</v>
      </c>
      <c r="G746" s="9" t="s">
        <v>13284</v>
      </c>
      <c r="H746" s="9" t="s">
        <v>13284</v>
      </c>
      <c r="I746" s="9" t="s">
        <v>13284</v>
      </c>
      <c r="J746" s="9" t="s">
        <v>13284</v>
      </c>
      <c r="K746" s="9" t="s">
        <v>13284</v>
      </c>
      <c r="L746" s="9" t="s">
        <v>13284</v>
      </c>
      <c r="M746" s="9" t="s">
        <v>13284</v>
      </c>
      <c r="N746" s="9" t="s">
        <v>13284</v>
      </c>
      <c r="O746" s="9" t="s">
        <v>13284</v>
      </c>
      <c r="P746" s="9" t="s">
        <v>13284</v>
      </c>
      <c r="Q746" s="9" t="s">
        <v>13284</v>
      </c>
      <c r="R746" s="9" t="s">
        <v>13284</v>
      </c>
      <c r="S746" s="9" t="s">
        <v>13284</v>
      </c>
      <c r="T746" s="9" t="str">
        <f ca="1">IFERROR(IF(AND(VLOOKUP(A746, 'Актуальное состояние (из общего'!A:C,3,0) = "", A746 &lt;&gt; ""), "ПРОВЕРИТЬ", VLOOKUP(A746, 'Актуальное состояние (из общего'!A:C,3,0)), "")</f>
        <v>Студент</v>
      </c>
      <c r="U746" s="9" t="s">
        <v>13284</v>
      </c>
      <c r="V746" s="9" t="s">
        <v>13284</v>
      </c>
      <c r="W746" s="9" t="s">
        <v>64</v>
      </c>
      <c r="X746" s="9" t="str">
        <f t="array" ref="X746">IFERROR(INDEX('Адреса общежитий (скрытый)'!$B$2:$B$9, MATCH(W746, 'Адреса общежитий (скрытый)'!$A$2:$A$9, 0)), "")</f>
        <v>проспект 60-летия Октября, д.11</v>
      </c>
      <c r="Y746" s="18"/>
      <c r="Z746" s="18"/>
      <c r="AA746" s="18"/>
      <c r="AB746" s="18"/>
      <c r="AC746" s="18"/>
    </row>
    <row r="747" spans="1:29" ht="32.25" customHeight="1">
      <c r="A747" s="8">
        <v>2300346</v>
      </c>
      <c r="B747" s="9" t="s">
        <v>13284</v>
      </c>
      <c r="C747" s="9" t="s">
        <v>13284</v>
      </c>
      <c r="D747" s="9" t="s">
        <v>13284</v>
      </c>
      <c r="E747" s="9" t="s">
        <v>13284</v>
      </c>
      <c r="F747" s="9" t="s">
        <v>13284</v>
      </c>
      <c r="G747" s="9" t="s">
        <v>13284</v>
      </c>
      <c r="H747" s="9" t="s">
        <v>13284</v>
      </c>
      <c r="I747" s="9" t="s">
        <v>13284</v>
      </c>
      <c r="J747" s="9" t="s">
        <v>13284</v>
      </c>
      <c r="K747" s="9" t="s">
        <v>13284</v>
      </c>
      <c r="L747" s="9" t="s">
        <v>13284</v>
      </c>
      <c r="M747" s="9" t="s">
        <v>13284</v>
      </c>
      <c r="N747" s="9" t="s">
        <v>13284</v>
      </c>
      <c r="O747" s="9" t="s">
        <v>13284</v>
      </c>
      <c r="P747" s="9" t="s">
        <v>13284</v>
      </c>
      <c r="Q747" s="9" t="s">
        <v>13284</v>
      </c>
      <c r="R747" s="9" t="s">
        <v>13284</v>
      </c>
      <c r="S747" s="9" t="s">
        <v>13284</v>
      </c>
      <c r="T747" s="9" t="str">
        <f ca="1">IFERROR(IF(AND(VLOOKUP(A747, 'Актуальное состояние (из общего'!A:C,3,0) = "", A747 &lt;&gt; ""), "ПРОВЕРИТЬ", VLOOKUP(A747, 'Актуальное состояние (из общего'!A:C,3,0)), "")</f>
        <v>Студент</v>
      </c>
      <c r="U747" s="9" t="s">
        <v>13284</v>
      </c>
      <c r="V747" s="9" t="s">
        <v>13284</v>
      </c>
      <c r="W747" s="12"/>
      <c r="X747" s="9" t="str">
        <f t="array" ref="X747">IFERROR(INDEX('Адреса общежитий (скрытый)'!$B$2:$B$9, MATCH(W747, 'Адреса общежитий (скрытый)'!$A$2:$A$9, 0)), "")</f>
        <v/>
      </c>
      <c r="Y747" s="18"/>
      <c r="Z747" s="18"/>
      <c r="AA747" s="18"/>
      <c r="AB747" s="18"/>
      <c r="AC747" s="18"/>
    </row>
    <row r="748" spans="1:29" ht="32.25" customHeight="1">
      <c r="A748" s="8">
        <v>2300347</v>
      </c>
      <c r="B748" s="9" t="s">
        <v>13284</v>
      </c>
      <c r="C748" s="9" t="s">
        <v>13284</v>
      </c>
      <c r="D748" s="9" t="s">
        <v>13284</v>
      </c>
      <c r="E748" s="9" t="s">
        <v>13284</v>
      </c>
      <c r="F748" s="9" t="s">
        <v>13284</v>
      </c>
      <c r="G748" s="9" t="s">
        <v>13284</v>
      </c>
      <c r="H748" s="9" t="s">
        <v>13284</v>
      </c>
      <c r="I748" s="9" t="s">
        <v>13284</v>
      </c>
      <c r="J748" s="9" t="s">
        <v>13284</v>
      </c>
      <c r="K748" s="9" t="s">
        <v>13284</v>
      </c>
      <c r="L748" s="9" t="s">
        <v>13284</v>
      </c>
      <c r="M748" s="9" t="s">
        <v>13284</v>
      </c>
      <c r="N748" s="9" t="s">
        <v>13284</v>
      </c>
      <c r="O748" s="9" t="s">
        <v>13284</v>
      </c>
      <c r="P748" s="9" t="s">
        <v>13284</v>
      </c>
      <c r="Q748" s="9" t="s">
        <v>13284</v>
      </c>
      <c r="R748" s="9" t="s">
        <v>13284</v>
      </c>
      <c r="S748" s="9" t="s">
        <v>13284</v>
      </c>
      <c r="T748" s="9" t="str">
        <f ca="1">IFERROR(IF(AND(VLOOKUP(A748, 'Актуальное состояние (из общего'!A:C,3,0) = "", A748 &lt;&gt; ""), "ПРОВЕРИТЬ", VLOOKUP(A748, 'Актуальное состояние (из общего'!A:C,3,0)), "")</f>
        <v>Студент</v>
      </c>
      <c r="U748" s="9" t="s">
        <v>13284</v>
      </c>
      <c r="V748" s="9" t="s">
        <v>13284</v>
      </c>
      <c r="W748" s="12" t="s">
        <v>76</v>
      </c>
      <c r="X748" s="9" t="str">
        <f t="array" ref="X748">IFERROR(INDEX('Адреса общежитий (скрытый)'!$B$2:$B$9, MATCH(W748, 'Адреса общежитий (скрытый)'!$A$2:$A$9, 0)), "")</f>
        <v>ул. Студенческая, д. 33, корп. 5,6</v>
      </c>
      <c r="Y748" s="18"/>
      <c r="Z748" s="18"/>
      <c r="AA748" s="18"/>
      <c r="AB748" s="18"/>
      <c r="AC748" s="18"/>
    </row>
    <row r="749" spans="1:29" ht="32.25" customHeight="1">
      <c r="A749" s="8">
        <v>2300338</v>
      </c>
      <c r="B749" s="9" t="s">
        <v>13284</v>
      </c>
      <c r="C749" s="9" t="s">
        <v>13284</v>
      </c>
      <c r="D749" s="9" t="s">
        <v>13284</v>
      </c>
      <c r="E749" s="9" t="s">
        <v>13284</v>
      </c>
      <c r="F749" s="9" t="s">
        <v>13284</v>
      </c>
      <c r="G749" s="9" t="s">
        <v>13284</v>
      </c>
      <c r="H749" s="9" t="s">
        <v>13284</v>
      </c>
      <c r="I749" s="9" t="s">
        <v>13284</v>
      </c>
      <c r="J749" s="9" t="s">
        <v>13284</v>
      </c>
      <c r="K749" s="9" t="s">
        <v>13284</v>
      </c>
      <c r="L749" s="9" t="s">
        <v>13284</v>
      </c>
      <c r="M749" s="9" t="s">
        <v>13284</v>
      </c>
      <c r="N749" s="9" t="s">
        <v>13284</v>
      </c>
      <c r="O749" s="9" t="s">
        <v>13284</v>
      </c>
      <c r="P749" s="9" t="s">
        <v>13284</v>
      </c>
      <c r="Q749" s="9" t="s">
        <v>13284</v>
      </c>
      <c r="R749" s="9" t="s">
        <v>13284</v>
      </c>
      <c r="S749" s="9" t="s">
        <v>13284</v>
      </c>
      <c r="T749" s="9" t="str">
        <f ca="1">IFERROR(IF(AND(VLOOKUP(A749, 'Актуальное состояние (из общего'!A:C,3,0) = "", A749 &lt;&gt; ""), "ПРОВЕРИТЬ", VLOOKUP(A749, 'Актуальное состояние (из общего'!A:C,3,0)), "")</f>
        <v>Студент</v>
      </c>
      <c r="U749" s="9" t="s">
        <v>13284</v>
      </c>
      <c r="V749" s="9" t="s">
        <v>13284</v>
      </c>
      <c r="W749" s="12"/>
      <c r="X749" s="9" t="str">
        <f t="array" ref="X749">IFERROR(INDEX('Адреса общежитий (скрытый)'!$B$2:$B$9, MATCH(W749, 'Адреса общежитий (скрытый)'!$A$2:$A$9, 0)), "")</f>
        <v/>
      </c>
      <c r="Y749" s="18"/>
      <c r="Z749" s="18"/>
      <c r="AA749" s="18"/>
      <c r="AB749" s="18"/>
      <c r="AC749" s="18"/>
    </row>
    <row r="750" spans="1:29" ht="32.25" customHeight="1">
      <c r="A750" s="8">
        <v>2300314</v>
      </c>
      <c r="B750" s="9" t="s">
        <v>13284</v>
      </c>
      <c r="C750" s="9" t="s">
        <v>13284</v>
      </c>
      <c r="D750" s="9" t="s">
        <v>13284</v>
      </c>
      <c r="E750" s="9" t="s">
        <v>13284</v>
      </c>
      <c r="F750" s="9" t="s">
        <v>13284</v>
      </c>
      <c r="G750" s="9" t="s">
        <v>13284</v>
      </c>
      <c r="H750" s="9" t="s">
        <v>13284</v>
      </c>
      <c r="I750" s="9" t="s">
        <v>13284</v>
      </c>
      <c r="J750" s="9" t="s">
        <v>13284</v>
      </c>
      <c r="K750" s="9" t="s">
        <v>13284</v>
      </c>
      <c r="L750" s="9" t="s">
        <v>13284</v>
      </c>
      <c r="M750" s="9" t="s">
        <v>13284</v>
      </c>
      <c r="N750" s="9" t="s">
        <v>13284</v>
      </c>
      <c r="O750" s="9" t="s">
        <v>13284</v>
      </c>
      <c r="P750" s="9" t="s">
        <v>13284</v>
      </c>
      <c r="Q750" s="9" t="s">
        <v>13284</v>
      </c>
      <c r="R750" s="9" t="s">
        <v>13284</v>
      </c>
      <c r="S750" s="9" t="s">
        <v>13284</v>
      </c>
      <c r="T750" s="9" t="str">
        <f ca="1">IFERROR(IF(AND(VLOOKUP(A750, 'Актуальное состояние (из общего'!A:C,3,0) = "", A750 &lt;&gt; ""), "ПРОВЕРИТЬ", VLOOKUP(A750, 'Актуальное состояние (из общего'!A:C,3,0)), "")</f>
        <v>Студент</v>
      </c>
      <c r="U750" s="9" t="s">
        <v>13284</v>
      </c>
      <c r="V750" s="9" t="s">
        <v>13284</v>
      </c>
      <c r="W750" s="12" t="s">
        <v>76</v>
      </c>
      <c r="X750" s="9" t="str">
        <f t="array" ref="X750">IFERROR(INDEX('Адреса общежитий (скрытый)'!$B$2:$B$9, MATCH(W750, 'Адреса общежитий (скрытый)'!$A$2:$A$9, 0)), "")</f>
        <v>ул. Студенческая, д. 33, корп. 5,6</v>
      </c>
      <c r="Y750" s="18"/>
      <c r="Z750" s="18"/>
      <c r="AA750" s="18"/>
      <c r="AB750" s="18"/>
      <c r="AC750" s="18"/>
    </row>
    <row r="751" spans="1:29" ht="32.25" customHeight="1">
      <c r="A751" s="8">
        <v>2300315</v>
      </c>
      <c r="B751" s="9" t="s">
        <v>13284</v>
      </c>
      <c r="C751" s="9" t="s">
        <v>13284</v>
      </c>
      <c r="D751" s="9" t="s">
        <v>13284</v>
      </c>
      <c r="E751" s="9" t="s">
        <v>13284</v>
      </c>
      <c r="F751" s="9" t="s">
        <v>13284</v>
      </c>
      <c r="G751" s="9" t="s">
        <v>13284</v>
      </c>
      <c r="H751" s="9" t="s">
        <v>13284</v>
      </c>
      <c r="I751" s="9" t="s">
        <v>13284</v>
      </c>
      <c r="J751" s="9" t="s">
        <v>13284</v>
      </c>
      <c r="K751" s="9" t="s">
        <v>13284</v>
      </c>
      <c r="L751" s="9" t="s">
        <v>13284</v>
      </c>
      <c r="M751" s="9" t="s">
        <v>13284</v>
      </c>
      <c r="N751" s="9" t="s">
        <v>13284</v>
      </c>
      <c r="O751" s="9" t="s">
        <v>13284</v>
      </c>
      <c r="P751" s="9" t="s">
        <v>13284</v>
      </c>
      <c r="Q751" s="9" t="s">
        <v>13284</v>
      </c>
      <c r="R751" s="9" t="s">
        <v>13284</v>
      </c>
      <c r="S751" s="9" t="s">
        <v>13284</v>
      </c>
      <c r="T751" s="9" t="str">
        <f ca="1">IFERROR(IF(AND(VLOOKUP(A751, 'Актуальное состояние (из общего'!A:C,3,0) = "", A751 &lt;&gt; ""), "ПРОВЕРИТЬ", VLOOKUP(A751, 'Актуальное состояние (из общего'!A:C,3,0)), "")</f>
        <v>Студент</v>
      </c>
      <c r="U751" s="9" t="s">
        <v>13284</v>
      </c>
      <c r="V751" s="9" t="s">
        <v>13284</v>
      </c>
      <c r="W751" s="12"/>
      <c r="X751" s="9" t="str">
        <f t="array" ref="X751">IFERROR(INDEX('Адреса общежитий (скрытый)'!$B$2:$B$9, MATCH(W751, 'Адреса общежитий (скрытый)'!$A$2:$A$9, 0)), "")</f>
        <v/>
      </c>
      <c r="Y751" s="18"/>
      <c r="Z751" s="18"/>
      <c r="AA751" s="18"/>
      <c r="AB751" s="18"/>
      <c r="AC751" s="18"/>
    </row>
    <row r="752" spans="1:29" ht="32.25" customHeight="1">
      <c r="A752" s="8">
        <v>2312837</v>
      </c>
      <c r="B752" s="9" t="s">
        <v>13284</v>
      </c>
      <c r="C752" s="9" t="s">
        <v>13284</v>
      </c>
      <c r="D752" s="9" t="s">
        <v>13284</v>
      </c>
      <c r="E752" s="9" t="s">
        <v>13284</v>
      </c>
      <c r="F752" s="9" t="s">
        <v>13284</v>
      </c>
      <c r="G752" s="9" t="s">
        <v>13284</v>
      </c>
      <c r="H752" s="9" t="s">
        <v>13284</v>
      </c>
      <c r="I752" s="9" t="s">
        <v>13284</v>
      </c>
      <c r="J752" s="9" t="s">
        <v>13284</v>
      </c>
      <c r="K752" s="9" t="s">
        <v>13284</v>
      </c>
      <c r="L752" s="9" t="s">
        <v>13284</v>
      </c>
      <c r="M752" s="9" t="s">
        <v>13284</v>
      </c>
      <c r="N752" s="9" t="s">
        <v>13284</v>
      </c>
      <c r="O752" s="9" t="s">
        <v>13284</v>
      </c>
      <c r="P752" s="9" t="s">
        <v>13284</v>
      </c>
      <c r="Q752" s="9" t="s">
        <v>13284</v>
      </c>
      <c r="R752" s="9" t="s">
        <v>13284</v>
      </c>
      <c r="S752" s="9" t="s">
        <v>13284</v>
      </c>
      <c r="T752" s="9" t="str">
        <f ca="1">IFERROR(IF(AND(VLOOKUP(A752, 'Актуальное состояние (из общего'!A:C,3,0) = "", A752 &lt;&gt; ""), "ПРОВЕРИТЬ", VLOOKUP(A752, 'Актуальное состояние (из общего'!A:C,3,0)), "")</f>
        <v>Студент</v>
      </c>
      <c r="U752" s="9" t="s">
        <v>13284</v>
      </c>
      <c r="V752" s="9" t="s">
        <v>13284</v>
      </c>
      <c r="W752" s="12"/>
      <c r="X752" s="9" t="str">
        <f t="array" ref="X752">IFERROR(INDEX('Адреса общежитий (скрытый)'!$B$2:$B$9, MATCH(W752, 'Адреса общежитий (скрытый)'!$A$2:$A$9, 0)), "")</f>
        <v/>
      </c>
      <c r="Y752" s="18"/>
      <c r="Z752" s="18"/>
      <c r="AA752" s="18"/>
      <c r="AB752" s="18"/>
      <c r="AC752" s="18"/>
    </row>
    <row r="753" spans="1:29" ht="32.25" customHeight="1">
      <c r="A753" s="8">
        <v>2300311</v>
      </c>
      <c r="B753" s="9" t="s">
        <v>13284</v>
      </c>
      <c r="C753" s="9" t="s">
        <v>13284</v>
      </c>
      <c r="D753" s="9" t="s">
        <v>13284</v>
      </c>
      <c r="E753" s="9" t="s">
        <v>13284</v>
      </c>
      <c r="F753" s="9" t="s">
        <v>13284</v>
      </c>
      <c r="G753" s="9" t="s">
        <v>13284</v>
      </c>
      <c r="H753" s="9" t="s">
        <v>13284</v>
      </c>
      <c r="I753" s="9" t="s">
        <v>13284</v>
      </c>
      <c r="J753" s="9" t="s">
        <v>13284</v>
      </c>
      <c r="K753" s="9" t="s">
        <v>13284</v>
      </c>
      <c r="L753" s="9" t="s">
        <v>13284</v>
      </c>
      <c r="M753" s="9" t="s">
        <v>13284</v>
      </c>
      <c r="N753" s="9" t="s">
        <v>13284</v>
      </c>
      <c r="O753" s="9" t="s">
        <v>13284</v>
      </c>
      <c r="P753" s="9" t="s">
        <v>13284</v>
      </c>
      <c r="Q753" s="9" t="s">
        <v>13284</v>
      </c>
      <c r="R753" s="9" t="s">
        <v>13284</v>
      </c>
      <c r="S753" s="9" t="s">
        <v>13284</v>
      </c>
      <c r="T753" s="9" t="str">
        <f ca="1">IFERROR(IF(AND(VLOOKUP(A753, 'Актуальное состояние (из общего'!A:C,3,0) = "", A753 &lt;&gt; ""), "ПРОВЕРИТЬ", VLOOKUP(A753, 'Актуальное состояние (из общего'!A:C,3,0)), "")</f>
        <v>Студент</v>
      </c>
      <c r="U753" s="9" t="s">
        <v>13284</v>
      </c>
      <c r="V753" s="9" t="s">
        <v>13284</v>
      </c>
      <c r="W753" s="12"/>
      <c r="X753" s="9" t="str">
        <f t="array" ref="X753">IFERROR(INDEX('Адреса общежитий (скрытый)'!$B$2:$B$9, MATCH(W753, 'Адреса общежитий (скрытый)'!$A$2:$A$9, 0)), "")</f>
        <v/>
      </c>
      <c r="Y753" s="18"/>
      <c r="Z753" s="18"/>
      <c r="AA753" s="18"/>
      <c r="AB753" s="18"/>
      <c r="AC753" s="18"/>
    </row>
    <row r="754" spans="1:29" ht="32.25" customHeight="1">
      <c r="A754" s="8">
        <v>2313944</v>
      </c>
      <c r="B754" s="9" t="s">
        <v>13284</v>
      </c>
      <c r="C754" s="9" t="s">
        <v>13284</v>
      </c>
      <c r="D754" s="9" t="s">
        <v>13284</v>
      </c>
      <c r="E754" s="9" t="s">
        <v>13284</v>
      </c>
      <c r="F754" s="9" t="s">
        <v>13284</v>
      </c>
      <c r="G754" s="9" t="s">
        <v>13284</v>
      </c>
      <c r="H754" s="9" t="s">
        <v>13284</v>
      </c>
      <c r="I754" s="9" t="s">
        <v>13284</v>
      </c>
      <c r="J754" s="9" t="s">
        <v>13284</v>
      </c>
      <c r="K754" s="9" t="s">
        <v>13284</v>
      </c>
      <c r="L754" s="9" t="s">
        <v>13284</v>
      </c>
      <c r="M754" s="9" t="s">
        <v>13284</v>
      </c>
      <c r="N754" s="9" t="s">
        <v>13284</v>
      </c>
      <c r="O754" s="9" t="s">
        <v>13284</v>
      </c>
      <c r="P754" s="9" t="s">
        <v>13284</v>
      </c>
      <c r="Q754" s="9" t="s">
        <v>13284</v>
      </c>
      <c r="R754" s="9" t="s">
        <v>13284</v>
      </c>
      <c r="S754" s="9" t="s">
        <v>13284</v>
      </c>
      <c r="T754" s="9" t="str">
        <f ca="1">IFERROR(IF(AND(VLOOKUP(A754, 'Актуальное состояние (из общего'!A:C,3,0) = "", A754 &lt;&gt; ""), "ПРОВЕРИТЬ", VLOOKUP(A754, 'Актуальное состояние (из общего'!A:C,3,0)), "")</f>
        <v>Студент</v>
      </c>
      <c r="U754" s="9" t="s">
        <v>13284</v>
      </c>
      <c r="V754" s="9" t="s">
        <v>13284</v>
      </c>
      <c r="W754" s="9" t="s">
        <v>319</v>
      </c>
      <c r="X754" s="9" t="str">
        <f t="array" ref="X754">IFERROR(INDEX('Адреса общежитий (скрытый)'!$B$2:$B$9, MATCH(W754, 'Адреса общежитий (скрытый)'!$A$2:$A$9, 0)), "")</f>
        <v>ул. Профсоюзная, д.83, корп. 2</v>
      </c>
      <c r="Y754" s="18"/>
      <c r="Z754" s="18"/>
      <c r="AA754" s="18"/>
      <c r="AB754" s="18"/>
      <c r="AC754" s="18"/>
    </row>
    <row r="755" spans="1:29" ht="32.25" customHeight="1">
      <c r="A755" s="8">
        <v>2300337</v>
      </c>
      <c r="B755" s="9" t="s">
        <v>13284</v>
      </c>
      <c r="C755" s="9" t="s">
        <v>13284</v>
      </c>
      <c r="D755" s="9" t="s">
        <v>13284</v>
      </c>
      <c r="E755" s="9" t="s">
        <v>13284</v>
      </c>
      <c r="F755" s="9" t="s">
        <v>13284</v>
      </c>
      <c r="G755" s="9" t="s">
        <v>13284</v>
      </c>
      <c r="H755" s="9" t="s">
        <v>13284</v>
      </c>
      <c r="I755" s="9" t="s">
        <v>13284</v>
      </c>
      <c r="J755" s="9" t="s">
        <v>13284</v>
      </c>
      <c r="K755" s="9" t="s">
        <v>13284</v>
      </c>
      <c r="L755" s="9" t="s">
        <v>13284</v>
      </c>
      <c r="M755" s="9" t="s">
        <v>13284</v>
      </c>
      <c r="N755" s="9" t="s">
        <v>13284</v>
      </c>
      <c r="O755" s="9" t="s">
        <v>13284</v>
      </c>
      <c r="P755" s="9" t="s">
        <v>13284</v>
      </c>
      <c r="Q755" s="9" t="s">
        <v>13284</v>
      </c>
      <c r="R755" s="9" t="s">
        <v>13284</v>
      </c>
      <c r="S755" s="9" t="s">
        <v>13284</v>
      </c>
      <c r="T755" s="9" t="str">
        <f ca="1">IFERROR(IF(AND(VLOOKUP(A755, 'Актуальное состояние (из общего'!A:C,3,0) = "", A755 &lt;&gt; ""), "ПРОВЕРИТЬ", VLOOKUP(A755, 'Актуальное состояние (из общего'!A:C,3,0)), "")</f>
        <v>Студент</v>
      </c>
      <c r="U755" s="9" t="s">
        <v>13284</v>
      </c>
      <c r="V755" s="9" t="s">
        <v>13284</v>
      </c>
      <c r="W755" s="12"/>
      <c r="X755" s="9" t="str">
        <f t="array" ref="X755">IFERROR(INDEX('Адреса общежитий (скрытый)'!$B$2:$B$9, MATCH(W755, 'Адреса общежитий (скрытый)'!$A$2:$A$9, 0)), "")</f>
        <v/>
      </c>
      <c r="Y755" s="18"/>
      <c r="Z755" s="18"/>
      <c r="AA755" s="18"/>
      <c r="AB755" s="18"/>
      <c r="AC755" s="18"/>
    </row>
    <row r="756" spans="1:29" ht="32.25" customHeight="1">
      <c r="A756" s="8">
        <v>2314624</v>
      </c>
      <c r="B756" s="9" t="s">
        <v>13284</v>
      </c>
      <c r="C756" s="9" t="s">
        <v>13284</v>
      </c>
      <c r="D756" s="9" t="s">
        <v>13284</v>
      </c>
      <c r="E756" s="9" t="s">
        <v>13284</v>
      </c>
      <c r="F756" s="9" t="s">
        <v>13284</v>
      </c>
      <c r="G756" s="9" t="s">
        <v>13284</v>
      </c>
      <c r="H756" s="9" t="s">
        <v>13284</v>
      </c>
      <c r="I756" s="9" t="s">
        <v>13284</v>
      </c>
      <c r="J756" s="9" t="s">
        <v>13284</v>
      </c>
      <c r="K756" s="9" t="s">
        <v>13284</v>
      </c>
      <c r="L756" s="9" t="s">
        <v>13284</v>
      </c>
      <c r="M756" s="9" t="s">
        <v>13284</v>
      </c>
      <c r="N756" s="9" t="s">
        <v>13284</v>
      </c>
      <c r="O756" s="9" t="s">
        <v>13284</v>
      </c>
      <c r="P756" s="9" t="s">
        <v>13284</v>
      </c>
      <c r="Q756" s="9" t="s">
        <v>13284</v>
      </c>
      <c r="R756" s="9" t="s">
        <v>13284</v>
      </c>
      <c r="S756" s="9" t="s">
        <v>13284</v>
      </c>
      <c r="T756" s="9" t="str">
        <f ca="1">IFERROR(IF(AND(VLOOKUP(A756, 'Актуальное состояние (из общего'!A:C,3,0) = "", A756 &lt;&gt; ""), "ПРОВЕРИТЬ", VLOOKUP(A756, 'Актуальное состояние (из общего'!A:C,3,0)), "")</f>
        <v>Студент</v>
      </c>
      <c r="U756" s="9" t="s">
        <v>13284</v>
      </c>
      <c r="V756" s="9" t="s">
        <v>13284</v>
      </c>
      <c r="W756" s="9" t="s">
        <v>64</v>
      </c>
      <c r="X756" s="9" t="str">
        <f t="array" ref="X756">IFERROR(INDEX('Адреса общежитий (скрытый)'!$B$2:$B$9, MATCH(W756, 'Адреса общежитий (скрытый)'!$A$2:$A$9, 0)), "")</f>
        <v>проспект 60-летия Октября, д.11</v>
      </c>
      <c r="Y756" s="18"/>
      <c r="Z756" s="18"/>
      <c r="AA756" s="18"/>
      <c r="AB756" s="18"/>
      <c r="AC756" s="18"/>
    </row>
    <row r="757" spans="1:29" ht="32.25" customHeight="1">
      <c r="A757" s="8">
        <v>2312865</v>
      </c>
      <c r="B757" s="9" t="s">
        <v>13284</v>
      </c>
      <c r="C757" s="9" t="s">
        <v>13284</v>
      </c>
      <c r="D757" s="9" t="s">
        <v>13284</v>
      </c>
      <c r="E757" s="9" t="s">
        <v>13284</v>
      </c>
      <c r="F757" s="9" t="s">
        <v>13284</v>
      </c>
      <c r="G757" s="9" t="s">
        <v>13284</v>
      </c>
      <c r="H757" s="9" t="s">
        <v>13284</v>
      </c>
      <c r="I757" s="9" t="s">
        <v>13284</v>
      </c>
      <c r="J757" s="9" t="s">
        <v>13284</v>
      </c>
      <c r="K757" s="9" t="s">
        <v>13284</v>
      </c>
      <c r="L757" s="9" t="s">
        <v>13284</v>
      </c>
      <c r="M757" s="9" t="s">
        <v>13284</v>
      </c>
      <c r="N757" s="9" t="s">
        <v>13284</v>
      </c>
      <c r="O757" s="9" t="s">
        <v>13284</v>
      </c>
      <c r="P757" s="9" t="s">
        <v>13284</v>
      </c>
      <c r="Q757" s="9" t="s">
        <v>13284</v>
      </c>
      <c r="R757" s="9" t="s">
        <v>13284</v>
      </c>
      <c r="S757" s="9" t="s">
        <v>13284</v>
      </c>
      <c r="T757" s="9" t="str">
        <f ca="1">IFERROR(IF(AND(VLOOKUP(A757, 'Актуальное состояние (из общего'!A:C,3,0) = "", A757 &lt;&gt; ""), "ПРОВЕРИТЬ", VLOOKUP(A757, 'Актуальное состояние (из общего'!A:C,3,0)), "")</f>
        <v>Студент</v>
      </c>
      <c r="U757" s="9" t="s">
        <v>13284</v>
      </c>
      <c r="V757" s="9" t="s">
        <v>13284</v>
      </c>
      <c r="W757" s="9" t="s">
        <v>196</v>
      </c>
      <c r="X757" s="9" t="str">
        <f t="array" ref="X757">IFERROR(INDEX('Адреса общежитий (скрытый)'!$B$2:$B$9, MATCH(W757, 'Адреса общежитий (скрытый)'!$A$2:$A$9, 0)), "")</f>
        <v>проспект 60-летия Октября, д.15</v>
      </c>
      <c r="Y757" s="18"/>
      <c r="Z757" s="18"/>
      <c r="AA757" s="18"/>
      <c r="AB757" s="18"/>
      <c r="AC757" s="18"/>
    </row>
    <row r="758" spans="1:29" ht="32.25" customHeight="1">
      <c r="A758" s="8">
        <v>2300306</v>
      </c>
      <c r="B758" s="9" t="s">
        <v>13284</v>
      </c>
      <c r="C758" s="9" t="s">
        <v>13284</v>
      </c>
      <c r="D758" s="9" t="s">
        <v>13284</v>
      </c>
      <c r="E758" s="9" t="s">
        <v>13284</v>
      </c>
      <c r="F758" s="9" t="s">
        <v>13284</v>
      </c>
      <c r="G758" s="9" t="s">
        <v>13284</v>
      </c>
      <c r="H758" s="9" t="s">
        <v>13284</v>
      </c>
      <c r="I758" s="9" t="s">
        <v>13284</v>
      </c>
      <c r="J758" s="9" t="s">
        <v>13284</v>
      </c>
      <c r="K758" s="9" t="s">
        <v>13284</v>
      </c>
      <c r="L758" s="9" t="s">
        <v>13284</v>
      </c>
      <c r="M758" s="9" t="s">
        <v>13284</v>
      </c>
      <c r="N758" s="9" t="s">
        <v>13284</v>
      </c>
      <c r="O758" s="9" t="s">
        <v>13284</v>
      </c>
      <c r="P758" s="9" t="s">
        <v>13284</v>
      </c>
      <c r="Q758" s="9" t="s">
        <v>13284</v>
      </c>
      <c r="R758" s="9" t="s">
        <v>13284</v>
      </c>
      <c r="S758" s="9" t="s">
        <v>13284</v>
      </c>
      <c r="T758" s="9" t="str">
        <f ca="1">IFERROR(IF(AND(VLOOKUP(A758, 'Актуальное состояние (из общего'!A:C,3,0) = "", A758 &lt;&gt; ""), "ПРОВЕРИТЬ", VLOOKUP(A758, 'Актуальное состояние (из общего'!A:C,3,0)), "")</f>
        <v>Студент</v>
      </c>
      <c r="U758" s="9" t="s">
        <v>13284</v>
      </c>
      <c r="V758" s="9" t="s">
        <v>13284</v>
      </c>
      <c r="W758" s="12"/>
      <c r="X758" s="9" t="str">
        <f t="array" ref="X758">IFERROR(INDEX('Адреса общежитий (скрытый)'!$B$2:$B$9, MATCH(W758, 'Адреса общежитий (скрытый)'!$A$2:$A$9, 0)), "")</f>
        <v/>
      </c>
      <c r="Y758" s="18"/>
      <c r="Z758" s="18"/>
      <c r="AA758" s="18"/>
      <c r="AB758" s="18"/>
      <c r="AC758" s="18"/>
    </row>
    <row r="759" spans="1:29" ht="32.25" customHeight="1">
      <c r="A759" s="8">
        <v>2300312</v>
      </c>
      <c r="B759" s="9" t="s">
        <v>13284</v>
      </c>
      <c r="C759" s="9" t="s">
        <v>13284</v>
      </c>
      <c r="D759" s="9" t="s">
        <v>13284</v>
      </c>
      <c r="E759" s="9" t="s">
        <v>13284</v>
      </c>
      <c r="F759" s="9" t="s">
        <v>13284</v>
      </c>
      <c r="G759" s="9" t="s">
        <v>13284</v>
      </c>
      <c r="H759" s="9" t="s">
        <v>13284</v>
      </c>
      <c r="I759" s="9" t="s">
        <v>13284</v>
      </c>
      <c r="J759" s="9" t="s">
        <v>13284</v>
      </c>
      <c r="K759" s="9" t="s">
        <v>13284</v>
      </c>
      <c r="L759" s="9" t="s">
        <v>13284</v>
      </c>
      <c r="M759" s="9" t="s">
        <v>13284</v>
      </c>
      <c r="N759" s="9" t="s">
        <v>13284</v>
      </c>
      <c r="O759" s="9" t="s">
        <v>13284</v>
      </c>
      <c r="P759" s="9" t="s">
        <v>13284</v>
      </c>
      <c r="Q759" s="9" t="s">
        <v>13284</v>
      </c>
      <c r="R759" s="9" t="s">
        <v>13284</v>
      </c>
      <c r="S759" s="9" t="s">
        <v>13284</v>
      </c>
      <c r="T759" s="9" t="str">
        <f ca="1">IFERROR(IF(AND(VLOOKUP(A759, 'Актуальное состояние (из общего'!A:C,3,0) = "", A759 &lt;&gt; ""), "ПРОВЕРИТЬ", VLOOKUP(A759, 'Актуальное состояние (из общего'!A:C,3,0)), "")</f>
        <v>Студент</v>
      </c>
      <c r="U759" s="9" t="s">
        <v>13284</v>
      </c>
      <c r="V759" s="9" t="s">
        <v>13284</v>
      </c>
      <c r="W759" s="12"/>
      <c r="X759" s="9" t="str">
        <f t="array" ref="X759">IFERROR(INDEX('Адреса общежитий (скрытый)'!$B$2:$B$9, MATCH(W759, 'Адреса общежитий (скрытый)'!$A$2:$A$9, 0)), "")</f>
        <v/>
      </c>
      <c r="Y759" s="18"/>
      <c r="Z759" s="18"/>
      <c r="AA759" s="18"/>
      <c r="AB759" s="18"/>
      <c r="AC759" s="18"/>
    </row>
    <row r="760" spans="1:29" ht="32.25" customHeight="1">
      <c r="A760" s="8">
        <v>2314422</v>
      </c>
      <c r="B760" s="9" t="s">
        <v>13284</v>
      </c>
      <c r="C760" s="9" t="s">
        <v>13284</v>
      </c>
      <c r="D760" s="9" t="s">
        <v>13284</v>
      </c>
      <c r="E760" s="9" t="s">
        <v>13284</v>
      </c>
      <c r="F760" s="9" t="s">
        <v>13284</v>
      </c>
      <c r="G760" s="9" t="s">
        <v>13284</v>
      </c>
      <c r="H760" s="9" t="s">
        <v>13284</v>
      </c>
      <c r="I760" s="9" t="s">
        <v>13284</v>
      </c>
      <c r="J760" s="9" t="s">
        <v>13284</v>
      </c>
      <c r="K760" s="9" t="s">
        <v>13284</v>
      </c>
      <c r="L760" s="9" t="s">
        <v>13284</v>
      </c>
      <c r="M760" s="9" t="s">
        <v>13284</v>
      </c>
      <c r="N760" s="9" t="s">
        <v>13284</v>
      </c>
      <c r="O760" s="9" t="s">
        <v>13284</v>
      </c>
      <c r="P760" s="9" t="s">
        <v>13284</v>
      </c>
      <c r="Q760" s="9" t="s">
        <v>13284</v>
      </c>
      <c r="R760" s="9" t="s">
        <v>13284</v>
      </c>
      <c r="S760" s="9" t="s">
        <v>13284</v>
      </c>
      <c r="T760" s="9" t="str">
        <f ca="1">IFERROR(IF(AND(VLOOKUP(A760, 'Актуальное состояние (из общего'!A:C,3,0) = "", A760 &lt;&gt; ""), "ПРОВЕРИТЬ", VLOOKUP(A760, 'Актуальное состояние (из общего'!A:C,3,0)), "")</f>
        <v>Студент</v>
      </c>
      <c r="U760" s="9" t="s">
        <v>13284</v>
      </c>
      <c r="V760" s="9" t="s">
        <v>13284</v>
      </c>
      <c r="W760" s="12" t="s">
        <v>76</v>
      </c>
      <c r="X760" s="9" t="str">
        <f t="array" ref="X760">IFERROR(INDEX('Адреса общежитий (скрытый)'!$B$2:$B$9, MATCH(W760, 'Адреса общежитий (скрытый)'!$A$2:$A$9, 0)), "")</f>
        <v>ул. Студенческая, д. 33, корп. 5,6</v>
      </c>
      <c r="Y760" s="18"/>
      <c r="Z760" s="18"/>
      <c r="AA760" s="18"/>
      <c r="AB760" s="18"/>
      <c r="AC760" s="18"/>
    </row>
    <row r="761" spans="1:29" ht="32.25" customHeight="1">
      <c r="A761" s="8">
        <v>2312656</v>
      </c>
      <c r="B761" s="9" t="s">
        <v>13284</v>
      </c>
      <c r="C761" s="9" t="s">
        <v>13284</v>
      </c>
      <c r="D761" s="9" t="s">
        <v>13284</v>
      </c>
      <c r="E761" s="9" t="s">
        <v>13284</v>
      </c>
      <c r="F761" s="9" t="s">
        <v>13284</v>
      </c>
      <c r="G761" s="9" t="s">
        <v>13284</v>
      </c>
      <c r="H761" s="9" t="s">
        <v>13284</v>
      </c>
      <c r="I761" s="9" t="s">
        <v>13284</v>
      </c>
      <c r="J761" s="9" t="s">
        <v>13284</v>
      </c>
      <c r="K761" s="9" t="s">
        <v>13284</v>
      </c>
      <c r="L761" s="9" t="s">
        <v>13284</v>
      </c>
      <c r="M761" s="9" t="s">
        <v>13284</v>
      </c>
      <c r="N761" s="9" t="s">
        <v>13284</v>
      </c>
      <c r="O761" s="9" t="s">
        <v>13284</v>
      </c>
      <c r="P761" s="9" t="s">
        <v>13284</v>
      </c>
      <c r="Q761" s="9" t="s">
        <v>13284</v>
      </c>
      <c r="R761" s="9" t="s">
        <v>13284</v>
      </c>
      <c r="S761" s="9" t="s">
        <v>13284</v>
      </c>
      <c r="T761" s="9" t="str">
        <f ca="1">IFERROR(IF(AND(VLOOKUP(A761, 'Актуальное состояние (из общего'!A:C,3,0) = "", A761 &lt;&gt; ""), "ПРОВЕРИТЬ", VLOOKUP(A761, 'Актуальное состояние (из общего'!A:C,3,0)), "")</f>
        <v>Студент</v>
      </c>
      <c r="U761" s="9" t="s">
        <v>13284</v>
      </c>
      <c r="V761" s="9" t="s">
        <v>13284</v>
      </c>
      <c r="W761" s="12" t="s">
        <v>76</v>
      </c>
      <c r="X761" s="9" t="str">
        <f t="array" ref="X761">IFERROR(INDEX('Адреса общежитий (скрытый)'!$B$2:$B$9, MATCH(W761, 'Адреса общежитий (скрытый)'!$A$2:$A$9, 0)), "")</f>
        <v>ул. Студенческая, д. 33, корп. 5,6</v>
      </c>
      <c r="Y761" s="18"/>
      <c r="Z761" s="18"/>
      <c r="AA761" s="18"/>
      <c r="AB761" s="18"/>
      <c r="AC761" s="18"/>
    </row>
    <row r="762" spans="1:29" ht="32.25" customHeight="1">
      <c r="A762" s="8">
        <v>2300316</v>
      </c>
      <c r="B762" s="9" t="s">
        <v>13284</v>
      </c>
      <c r="C762" s="9" t="s">
        <v>13284</v>
      </c>
      <c r="D762" s="9" t="s">
        <v>13284</v>
      </c>
      <c r="E762" s="9" t="s">
        <v>13284</v>
      </c>
      <c r="F762" s="9" t="s">
        <v>13284</v>
      </c>
      <c r="G762" s="9" t="s">
        <v>13284</v>
      </c>
      <c r="H762" s="9" t="s">
        <v>13284</v>
      </c>
      <c r="I762" s="9" t="s">
        <v>13284</v>
      </c>
      <c r="J762" s="9" t="s">
        <v>13284</v>
      </c>
      <c r="K762" s="9" t="s">
        <v>13284</v>
      </c>
      <c r="L762" s="9" t="s">
        <v>13284</v>
      </c>
      <c r="M762" s="9" t="s">
        <v>13284</v>
      </c>
      <c r="N762" s="9" t="s">
        <v>13284</v>
      </c>
      <c r="O762" s="9" t="s">
        <v>13284</v>
      </c>
      <c r="P762" s="9" t="s">
        <v>13284</v>
      </c>
      <c r="Q762" s="9" t="s">
        <v>13284</v>
      </c>
      <c r="R762" s="9" t="s">
        <v>13284</v>
      </c>
      <c r="S762" s="9" t="s">
        <v>13284</v>
      </c>
      <c r="T762" s="9" t="str">
        <f ca="1">IFERROR(IF(AND(VLOOKUP(A762, 'Актуальное состояние (из общего'!A:C,3,0) = "", A762 &lt;&gt; ""), "ПРОВЕРИТЬ", VLOOKUP(A762, 'Актуальное состояние (из общего'!A:C,3,0)), "")</f>
        <v>Студент</v>
      </c>
      <c r="U762" s="9" t="s">
        <v>13284</v>
      </c>
      <c r="V762" s="9" t="s">
        <v>13284</v>
      </c>
      <c r="W762" s="9" t="s">
        <v>64</v>
      </c>
      <c r="X762" s="9" t="str">
        <f t="array" ref="X762">IFERROR(INDEX('Адреса общежитий (скрытый)'!$B$2:$B$9, MATCH(W762, 'Адреса общежитий (скрытый)'!$A$2:$A$9, 0)), "")</f>
        <v>проспект 60-летия Октября, д.11</v>
      </c>
      <c r="Y762" s="18"/>
      <c r="Z762" s="18"/>
      <c r="AA762" s="18"/>
      <c r="AB762" s="18"/>
      <c r="AC762" s="18"/>
    </row>
    <row r="763" spans="1:29" ht="32.25" customHeight="1">
      <c r="A763" s="8">
        <v>2312625</v>
      </c>
      <c r="B763" s="9" t="s">
        <v>13284</v>
      </c>
      <c r="C763" s="9" t="s">
        <v>13284</v>
      </c>
      <c r="D763" s="9" t="s">
        <v>13284</v>
      </c>
      <c r="E763" s="9" t="s">
        <v>13284</v>
      </c>
      <c r="F763" s="9" t="s">
        <v>13284</v>
      </c>
      <c r="G763" s="9" t="s">
        <v>13284</v>
      </c>
      <c r="H763" s="9" t="s">
        <v>13284</v>
      </c>
      <c r="I763" s="9" t="s">
        <v>13284</v>
      </c>
      <c r="J763" s="9" t="s">
        <v>13284</v>
      </c>
      <c r="K763" s="9" t="s">
        <v>13284</v>
      </c>
      <c r="L763" s="9" t="s">
        <v>13284</v>
      </c>
      <c r="M763" s="9" t="s">
        <v>13284</v>
      </c>
      <c r="N763" s="9" t="s">
        <v>13284</v>
      </c>
      <c r="O763" s="9" t="s">
        <v>13284</v>
      </c>
      <c r="P763" s="9" t="s">
        <v>13284</v>
      </c>
      <c r="Q763" s="9" t="s">
        <v>13284</v>
      </c>
      <c r="R763" s="9" t="s">
        <v>13284</v>
      </c>
      <c r="S763" s="9" t="s">
        <v>13284</v>
      </c>
      <c r="T763" s="9" t="str">
        <f ca="1">IFERROR(IF(AND(VLOOKUP(A763, 'Актуальное состояние (из общего'!A:C,3,0) = "", A763 &lt;&gt; ""), "ПРОВЕРИТЬ", VLOOKUP(A763, 'Актуальное состояние (из общего'!A:C,3,0)), "")</f>
        <v>Студент</v>
      </c>
      <c r="U763" s="9" t="s">
        <v>13284</v>
      </c>
      <c r="V763" s="9" t="s">
        <v>13284</v>
      </c>
      <c r="W763" s="9" t="s">
        <v>64</v>
      </c>
      <c r="X763" s="9" t="str">
        <f t="array" ref="X763">IFERROR(INDEX('Адреса общежитий (скрытый)'!$B$2:$B$9, MATCH(W763, 'Адреса общежитий (скрытый)'!$A$2:$A$9, 0)), "")</f>
        <v>проспект 60-летия Октября, д.11</v>
      </c>
      <c r="Y763" s="18"/>
      <c r="Z763" s="18"/>
      <c r="AA763" s="18"/>
      <c r="AB763" s="18"/>
      <c r="AC763" s="18"/>
    </row>
    <row r="764" spans="1:29" ht="32.25" customHeight="1">
      <c r="A764" s="8">
        <v>2312667</v>
      </c>
      <c r="B764" s="9" t="s">
        <v>13284</v>
      </c>
      <c r="C764" s="9" t="s">
        <v>13284</v>
      </c>
      <c r="D764" s="9" t="s">
        <v>13284</v>
      </c>
      <c r="E764" s="9" t="s">
        <v>13284</v>
      </c>
      <c r="F764" s="9" t="s">
        <v>13284</v>
      </c>
      <c r="G764" s="9" t="s">
        <v>13284</v>
      </c>
      <c r="H764" s="9" t="s">
        <v>13284</v>
      </c>
      <c r="I764" s="9" t="s">
        <v>13284</v>
      </c>
      <c r="J764" s="9" t="s">
        <v>13284</v>
      </c>
      <c r="K764" s="9" t="s">
        <v>13284</v>
      </c>
      <c r="L764" s="9" t="s">
        <v>13284</v>
      </c>
      <c r="M764" s="9" t="s">
        <v>13284</v>
      </c>
      <c r="N764" s="9" t="s">
        <v>13284</v>
      </c>
      <c r="O764" s="9" t="s">
        <v>13284</v>
      </c>
      <c r="P764" s="9" t="s">
        <v>13284</v>
      </c>
      <c r="Q764" s="9" t="s">
        <v>13284</v>
      </c>
      <c r="R764" s="9" t="s">
        <v>13284</v>
      </c>
      <c r="S764" s="9" t="s">
        <v>13284</v>
      </c>
      <c r="T764" s="9" t="str">
        <f ca="1">IFERROR(IF(AND(VLOOKUP(A764, 'Актуальное состояние (из общего'!A:C,3,0) = "", A764 &lt;&gt; ""), "ПРОВЕРИТЬ", VLOOKUP(A764, 'Актуальное состояние (из общего'!A:C,3,0)), "")</f>
        <v>Студент</v>
      </c>
      <c r="U764" s="9" t="s">
        <v>13284</v>
      </c>
      <c r="V764" s="9" t="s">
        <v>13284</v>
      </c>
      <c r="W764" s="12" t="s">
        <v>76</v>
      </c>
      <c r="X764" s="9" t="str">
        <f t="array" ref="X764">IFERROR(INDEX('Адреса общежитий (скрытый)'!$B$2:$B$9, MATCH(W764, 'Адреса общежитий (скрытый)'!$A$2:$A$9, 0)), "")</f>
        <v>ул. Студенческая, д. 33, корп. 5,6</v>
      </c>
      <c r="Y764" s="18"/>
      <c r="Z764" s="18"/>
      <c r="AA764" s="18"/>
      <c r="AB764" s="18"/>
      <c r="AC764" s="18"/>
    </row>
    <row r="765" spans="1:29" ht="32.25" customHeight="1">
      <c r="A765" s="8">
        <v>2312652</v>
      </c>
      <c r="B765" s="9" t="s">
        <v>13284</v>
      </c>
      <c r="C765" s="9" t="s">
        <v>13284</v>
      </c>
      <c r="D765" s="9" t="s">
        <v>13284</v>
      </c>
      <c r="E765" s="9" t="s">
        <v>13284</v>
      </c>
      <c r="F765" s="9" t="s">
        <v>13284</v>
      </c>
      <c r="G765" s="9" t="s">
        <v>13284</v>
      </c>
      <c r="H765" s="9" t="s">
        <v>13284</v>
      </c>
      <c r="I765" s="9" t="s">
        <v>13284</v>
      </c>
      <c r="J765" s="9" t="s">
        <v>13284</v>
      </c>
      <c r="K765" s="9" t="s">
        <v>13284</v>
      </c>
      <c r="L765" s="9" t="s">
        <v>13284</v>
      </c>
      <c r="M765" s="9" t="s">
        <v>13284</v>
      </c>
      <c r="N765" s="9" t="s">
        <v>13284</v>
      </c>
      <c r="O765" s="9" t="s">
        <v>13284</v>
      </c>
      <c r="P765" s="9" t="s">
        <v>13284</v>
      </c>
      <c r="Q765" s="9" t="s">
        <v>13284</v>
      </c>
      <c r="R765" s="9" t="s">
        <v>13284</v>
      </c>
      <c r="S765" s="9" t="s">
        <v>13284</v>
      </c>
      <c r="T765" s="9" t="str">
        <f ca="1">IFERROR(IF(AND(VLOOKUP(A765, 'Актуальное состояние (из общего'!A:C,3,0) = "", A765 &lt;&gt; ""), "ПРОВЕРИТЬ", VLOOKUP(A765, 'Актуальное состояние (из общего'!A:C,3,0)), "")</f>
        <v>Студент</v>
      </c>
      <c r="U765" s="9" t="s">
        <v>13284</v>
      </c>
      <c r="V765" s="9" t="s">
        <v>13284</v>
      </c>
      <c r="W765" s="12"/>
      <c r="X765" s="9" t="str">
        <f t="array" ref="X765">IFERROR(INDEX('Адреса общежитий (скрытый)'!$B$2:$B$9, MATCH(W765, 'Адреса общежитий (скрытый)'!$A$2:$A$9, 0)), "")</f>
        <v/>
      </c>
      <c r="Y765" s="18"/>
      <c r="Z765" s="18"/>
      <c r="AA765" s="18"/>
      <c r="AB765" s="18"/>
      <c r="AC765" s="18"/>
    </row>
    <row r="766" spans="1:29" ht="32.25" customHeight="1">
      <c r="A766" s="8">
        <v>2312775</v>
      </c>
      <c r="B766" s="9" t="s">
        <v>13284</v>
      </c>
      <c r="C766" s="9" t="s">
        <v>13284</v>
      </c>
      <c r="D766" s="9" t="s">
        <v>13284</v>
      </c>
      <c r="E766" s="9" t="s">
        <v>13284</v>
      </c>
      <c r="F766" s="9" t="s">
        <v>13284</v>
      </c>
      <c r="G766" s="9" t="s">
        <v>13284</v>
      </c>
      <c r="H766" s="9" t="s">
        <v>13284</v>
      </c>
      <c r="I766" s="9" t="s">
        <v>13284</v>
      </c>
      <c r="J766" s="9" t="s">
        <v>13284</v>
      </c>
      <c r="K766" s="9" t="s">
        <v>13284</v>
      </c>
      <c r="L766" s="9" t="s">
        <v>13284</v>
      </c>
      <c r="M766" s="9" t="s">
        <v>13284</v>
      </c>
      <c r="N766" s="9" t="s">
        <v>13284</v>
      </c>
      <c r="O766" s="9" t="s">
        <v>13284</v>
      </c>
      <c r="P766" s="9" t="s">
        <v>13284</v>
      </c>
      <c r="Q766" s="9" t="s">
        <v>13284</v>
      </c>
      <c r="R766" s="9" t="s">
        <v>13284</v>
      </c>
      <c r="S766" s="9" t="s">
        <v>13284</v>
      </c>
      <c r="T766" s="9" t="str">
        <f ca="1">IFERROR(IF(AND(VLOOKUP(A766, 'Актуальное состояние (из общего'!A:C,3,0) = "", A766 &lt;&gt; ""), "ПРОВЕРИТЬ", VLOOKUP(A766, 'Актуальное состояние (из общего'!A:C,3,0)), "")</f>
        <v>Студент</v>
      </c>
      <c r="U766" s="9" t="s">
        <v>13284</v>
      </c>
      <c r="V766" s="9" t="s">
        <v>13284</v>
      </c>
      <c r="W766" s="12"/>
      <c r="X766" s="9" t="str">
        <f t="array" ref="X766">IFERROR(INDEX('Адреса общежитий (скрытый)'!$B$2:$B$9, MATCH(W766, 'Адреса общежитий (скрытый)'!$A$2:$A$9, 0)), "")</f>
        <v/>
      </c>
      <c r="Y766" s="18"/>
      <c r="Z766" s="18"/>
      <c r="AA766" s="18"/>
      <c r="AB766" s="18"/>
      <c r="AC766" s="18"/>
    </row>
    <row r="767" spans="1:29" ht="32.25" customHeight="1">
      <c r="A767" s="8">
        <v>2300302</v>
      </c>
      <c r="B767" s="9" t="s">
        <v>13284</v>
      </c>
      <c r="C767" s="9" t="s">
        <v>13284</v>
      </c>
      <c r="D767" s="9" t="s">
        <v>13284</v>
      </c>
      <c r="E767" s="9" t="s">
        <v>13284</v>
      </c>
      <c r="F767" s="9" t="s">
        <v>13284</v>
      </c>
      <c r="G767" s="9" t="s">
        <v>13284</v>
      </c>
      <c r="H767" s="9" t="s">
        <v>13284</v>
      </c>
      <c r="I767" s="9" t="s">
        <v>13284</v>
      </c>
      <c r="J767" s="9" t="s">
        <v>13284</v>
      </c>
      <c r="K767" s="9" t="s">
        <v>13284</v>
      </c>
      <c r="L767" s="9" t="s">
        <v>13284</v>
      </c>
      <c r="M767" s="9" t="s">
        <v>13284</v>
      </c>
      <c r="N767" s="9" t="s">
        <v>13284</v>
      </c>
      <c r="O767" s="9" t="s">
        <v>13284</v>
      </c>
      <c r="P767" s="9" t="s">
        <v>13284</v>
      </c>
      <c r="Q767" s="9" t="s">
        <v>13284</v>
      </c>
      <c r="R767" s="9" t="s">
        <v>13284</v>
      </c>
      <c r="S767" s="9" t="s">
        <v>13284</v>
      </c>
      <c r="T767" s="9" t="str">
        <f ca="1">IFERROR(IF(AND(VLOOKUP(A767, 'Актуальное состояние (из общего'!A:C,3,0) = "", A767 &lt;&gt; ""), "ПРОВЕРИТЬ", VLOOKUP(A767, 'Актуальное состояние (из общего'!A:C,3,0)), "")</f>
        <v>Студент</v>
      </c>
      <c r="U767" s="9" t="s">
        <v>13284</v>
      </c>
      <c r="V767" s="9" t="s">
        <v>13284</v>
      </c>
      <c r="W767" s="9" t="s">
        <v>64</v>
      </c>
      <c r="X767" s="9" t="str">
        <f t="array" ref="X767">IFERROR(INDEX('Адреса общежитий (скрытый)'!$B$2:$B$9, MATCH(W767, 'Адреса общежитий (скрытый)'!$A$2:$A$9, 0)), "")</f>
        <v>проспект 60-летия Октября, д.11</v>
      </c>
      <c r="Y767" s="18"/>
      <c r="Z767" s="18"/>
      <c r="AA767" s="18"/>
      <c r="AB767" s="18"/>
      <c r="AC767" s="18"/>
    </row>
    <row r="768" spans="1:29" ht="32.25" customHeight="1">
      <c r="A768" s="8">
        <v>2300301</v>
      </c>
      <c r="B768" s="9" t="s">
        <v>13284</v>
      </c>
      <c r="C768" s="9" t="s">
        <v>13284</v>
      </c>
      <c r="D768" s="9" t="s">
        <v>13284</v>
      </c>
      <c r="E768" s="9" t="s">
        <v>13284</v>
      </c>
      <c r="F768" s="9" t="s">
        <v>13284</v>
      </c>
      <c r="G768" s="9" t="s">
        <v>13284</v>
      </c>
      <c r="H768" s="9" t="s">
        <v>13284</v>
      </c>
      <c r="I768" s="9" t="s">
        <v>13284</v>
      </c>
      <c r="J768" s="9" t="s">
        <v>13284</v>
      </c>
      <c r="K768" s="9" t="s">
        <v>13284</v>
      </c>
      <c r="L768" s="9" t="s">
        <v>13284</v>
      </c>
      <c r="M768" s="9" t="s">
        <v>13284</v>
      </c>
      <c r="N768" s="9" t="s">
        <v>13284</v>
      </c>
      <c r="O768" s="9" t="s">
        <v>13284</v>
      </c>
      <c r="P768" s="9" t="s">
        <v>13284</v>
      </c>
      <c r="Q768" s="9" t="s">
        <v>13284</v>
      </c>
      <c r="R768" s="9" t="s">
        <v>13284</v>
      </c>
      <c r="S768" s="9" t="s">
        <v>13284</v>
      </c>
      <c r="T768" s="9" t="str">
        <f ca="1">IFERROR(IF(AND(VLOOKUP(A768, 'Актуальное состояние (из общего'!A:C,3,0) = "", A768 &lt;&gt; ""), "ПРОВЕРИТЬ", VLOOKUP(A768, 'Актуальное состояние (из общего'!A:C,3,0)), "")</f>
        <v>Студент</v>
      </c>
      <c r="U768" s="9" t="s">
        <v>13284</v>
      </c>
      <c r="V768" s="9" t="s">
        <v>13284</v>
      </c>
      <c r="W768" s="12"/>
      <c r="X768" s="9" t="str">
        <f t="array" ref="X768">IFERROR(INDEX('Адреса общежитий (скрытый)'!$B$2:$B$9, MATCH(W768, 'Адреса общежитий (скрытый)'!$A$2:$A$9, 0)), "")</f>
        <v/>
      </c>
      <c r="Y768" s="18"/>
      <c r="Z768" s="18"/>
      <c r="AA768" s="18"/>
      <c r="AB768" s="18"/>
      <c r="AC768" s="18"/>
    </row>
    <row r="769" spans="1:29" ht="32.25" customHeight="1">
      <c r="A769" s="8">
        <v>2300319</v>
      </c>
      <c r="B769" s="9" t="s">
        <v>13284</v>
      </c>
      <c r="C769" s="9" t="s">
        <v>13284</v>
      </c>
      <c r="D769" s="9" t="s">
        <v>13284</v>
      </c>
      <c r="E769" s="9" t="s">
        <v>13284</v>
      </c>
      <c r="F769" s="9" t="s">
        <v>13284</v>
      </c>
      <c r="G769" s="9" t="s">
        <v>13284</v>
      </c>
      <c r="H769" s="9" t="s">
        <v>13284</v>
      </c>
      <c r="I769" s="9" t="s">
        <v>13284</v>
      </c>
      <c r="J769" s="9" t="s">
        <v>13284</v>
      </c>
      <c r="K769" s="9" t="s">
        <v>13284</v>
      </c>
      <c r="L769" s="9" t="s">
        <v>13284</v>
      </c>
      <c r="M769" s="9" t="s">
        <v>13284</v>
      </c>
      <c r="N769" s="9" t="s">
        <v>13284</v>
      </c>
      <c r="O769" s="9" t="s">
        <v>13284</v>
      </c>
      <c r="P769" s="9" t="s">
        <v>13284</v>
      </c>
      <c r="Q769" s="9" t="s">
        <v>13284</v>
      </c>
      <c r="R769" s="9" t="s">
        <v>13284</v>
      </c>
      <c r="S769" s="9" t="s">
        <v>13284</v>
      </c>
      <c r="T769" s="9" t="str">
        <f ca="1">IFERROR(IF(AND(VLOOKUP(A769, 'Актуальное состояние (из общего'!A:C,3,0) = "", A769 &lt;&gt; ""), "ПРОВЕРИТЬ", VLOOKUP(A769, 'Актуальное состояние (из общего'!A:C,3,0)), "")</f>
        <v>Студент</v>
      </c>
      <c r="U769" s="9" t="s">
        <v>13284</v>
      </c>
      <c r="V769" s="9" t="s">
        <v>13284</v>
      </c>
      <c r="W769" s="12"/>
      <c r="X769" s="9" t="str">
        <f t="array" ref="X769">IFERROR(INDEX('Адреса общежитий (скрытый)'!$B$2:$B$9, MATCH(W769, 'Адреса общежитий (скрытый)'!$A$2:$A$9, 0)), "")</f>
        <v/>
      </c>
      <c r="Y769" s="18"/>
      <c r="Z769" s="18"/>
      <c r="AA769" s="18"/>
      <c r="AB769" s="18"/>
      <c r="AC769" s="18"/>
    </row>
    <row r="770" spans="1:29" ht="32.25" customHeight="1">
      <c r="A770" s="8">
        <v>2314616</v>
      </c>
      <c r="B770" s="9" t="s">
        <v>13284</v>
      </c>
      <c r="C770" s="9" t="s">
        <v>13284</v>
      </c>
      <c r="D770" s="9" t="s">
        <v>13284</v>
      </c>
      <c r="E770" s="9" t="s">
        <v>13284</v>
      </c>
      <c r="F770" s="9" t="s">
        <v>13284</v>
      </c>
      <c r="G770" s="9" t="s">
        <v>13284</v>
      </c>
      <c r="H770" s="9" t="s">
        <v>13284</v>
      </c>
      <c r="I770" s="9" t="s">
        <v>13284</v>
      </c>
      <c r="J770" s="9" t="s">
        <v>13284</v>
      </c>
      <c r="K770" s="9" t="s">
        <v>13284</v>
      </c>
      <c r="L770" s="9" t="s">
        <v>13284</v>
      </c>
      <c r="M770" s="9" t="s">
        <v>13284</v>
      </c>
      <c r="N770" s="9" t="s">
        <v>13284</v>
      </c>
      <c r="O770" s="9" t="s">
        <v>13284</v>
      </c>
      <c r="P770" s="9" t="s">
        <v>13284</v>
      </c>
      <c r="Q770" s="9" t="s">
        <v>13284</v>
      </c>
      <c r="R770" s="9" t="s">
        <v>13284</v>
      </c>
      <c r="S770" s="9" t="s">
        <v>13284</v>
      </c>
      <c r="T770" s="9" t="str">
        <f ca="1">IFERROR(IF(AND(VLOOKUP(A770, 'Актуальное состояние (из общего'!A:C,3,0) = "", A770 &lt;&gt; ""), "ПРОВЕРИТЬ", VLOOKUP(A770, 'Актуальное состояние (из общего'!A:C,3,0)), "")</f>
        <v>Студент</v>
      </c>
      <c r="U770" s="9" t="s">
        <v>13284</v>
      </c>
      <c r="V770" s="9" t="s">
        <v>13284</v>
      </c>
      <c r="W770" s="12"/>
      <c r="X770" s="9" t="str">
        <f t="array" ref="X770">IFERROR(INDEX('Адреса общежитий (скрытый)'!$B$2:$B$9, MATCH(W770, 'Адреса общежитий (скрытый)'!$A$2:$A$9, 0)), "")</f>
        <v/>
      </c>
      <c r="Y770" s="18"/>
      <c r="Z770" s="18"/>
      <c r="AA770" s="18"/>
      <c r="AB770" s="18"/>
      <c r="AC770" s="18"/>
    </row>
    <row r="771" spans="1:29" ht="32.25" customHeight="1">
      <c r="A771" s="8">
        <v>2314381</v>
      </c>
      <c r="B771" s="9" t="s">
        <v>13284</v>
      </c>
      <c r="C771" s="9" t="s">
        <v>13284</v>
      </c>
      <c r="D771" s="9" t="s">
        <v>13284</v>
      </c>
      <c r="E771" s="9" t="s">
        <v>13284</v>
      </c>
      <c r="F771" s="9" t="s">
        <v>13284</v>
      </c>
      <c r="G771" s="9" t="s">
        <v>13284</v>
      </c>
      <c r="H771" s="9" t="s">
        <v>13284</v>
      </c>
      <c r="I771" s="9" t="s">
        <v>13284</v>
      </c>
      <c r="J771" s="9" t="s">
        <v>13284</v>
      </c>
      <c r="K771" s="9" t="s">
        <v>13284</v>
      </c>
      <c r="L771" s="9" t="s">
        <v>13284</v>
      </c>
      <c r="M771" s="9" t="s">
        <v>13284</v>
      </c>
      <c r="N771" s="9" t="s">
        <v>13284</v>
      </c>
      <c r="O771" s="9" t="s">
        <v>13284</v>
      </c>
      <c r="P771" s="9" t="s">
        <v>13284</v>
      </c>
      <c r="Q771" s="9" t="s">
        <v>13284</v>
      </c>
      <c r="R771" s="9" t="s">
        <v>13284</v>
      </c>
      <c r="S771" s="9" t="s">
        <v>13284</v>
      </c>
      <c r="T771" s="9" t="str">
        <f ca="1">IFERROR(IF(AND(VLOOKUP(A771, 'Актуальное состояние (из общего'!A:C,3,0) = "", A771 &lt;&gt; ""), "ПРОВЕРИТЬ", VLOOKUP(A771, 'Актуальное состояние (из общего'!A:C,3,0)), "")</f>
        <v>Студент</v>
      </c>
      <c r="U771" s="9" t="s">
        <v>13284</v>
      </c>
      <c r="V771" s="9" t="s">
        <v>13284</v>
      </c>
      <c r="W771" s="12"/>
      <c r="X771" s="9" t="str">
        <f t="array" ref="X771">IFERROR(INDEX('Адреса общежитий (скрытый)'!$B$2:$B$9, MATCH(W771, 'Адреса общежитий (скрытый)'!$A$2:$A$9, 0)), "")</f>
        <v/>
      </c>
      <c r="Y771" s="18"/>
      <c r="Z771" s="18"/>
      <c r="AA771" s="18"/>
      <c r="AB771" s="18"/>
      <c r="AC771" s="18"/>
    </row>
    <row r="772" spans="1:29" ht="32.25" customHeight="1">
      <c r="A772" s="8">
        <v>2314448</v>
      </c>
      <c r="B772" s="9" t="s">
        <v>13284</v>
      </c>
      <c r="C772" s="9" t="s">
        <v>13284</v>
      </c>
      <c r="D772" s="9" t="s">
        <v>13284</v>
      </c>
      <c r="E772" s="9" t="s">
        <v>13284</v>
      </c>
      <c r="F772" s="9" t="s">
        <v>13284</v>
      </c>
      <c r="G772" s="9" t="s">
        <v>13284</v>
      </c>
      <c r="H772" s="9" t="s">
        <v>13284</v>
      </c>
      <c r="I772" s="9" t="s">
        <v>13284</v>
      </c>
      <c r="J772" s="9" t="s">
        <v>13284</v>
      </c>
      <c r="K772" s="9" t="s">
        <v>13284</v>
      </c>
      <c r="L772" s="9" t="s">
        <v>13284</v>
      </c>
      <c r="M772" s="9" t="s">
        <v>13284</v>
      </c>
      <c r="N772" s="9" t="s">
        <v>13284</v>
      </c>
      <c r="O772" s="9" t="s">
        <v>13284</v>
      </c>
      <c r="P772" s="9" t="s">
        <v>13284</v>
      </c>
      <c r="Q772" s="9" t="s">
        <v>13284</v>
      </c>
      <c r="R772" s="9" t="s">
        <v>13284</v>
      </c>
      <c r="S772" s="9" t="s">
        <v>13284</v>
      </c>
      <c r="T772" s="9" t="str">
        <f ca="1">IFERROR(IF(AND(VLOOKUP(A772, 'Актуальное состояние (из общего'!A:C,3,0) = "", A772 &lt;&gt; ""), "ПРОВЕРИТЬ", VLOOKUP(A772, 'Актуальное состояние (из общего'!A:C,3,0)), "")</f>
        <v>Студент</v>
      </c>
      <c r="U772" s="9" t="s">
        <v>13284</v>
      </c>
      <c r="V772" s="9" t="s">
        <v>13284</v>
      </c>
      <c r="W772" s="12"/>
      <c r="X772" s="9" t="str">
        <f t="array" ref="X772">IFERROR(INDEX('Адреса общежитий (скрытый)'!$B$2:$B$9, MATCH(W772, 'Адреса общежитий (скрытый)'!$A$2:$A$9, 0)), "")</f>
        <v/>
      </c>
      <c r="Y772" s="18"/>
      <c r="Z772" s="18"/>
      <c r="AA772" s="18"/>
      <c r="AB772" s="18"/>
      <c r="AC772" s="18"/>
    </row>
    <row r="773" spans="1:29" ht="32.25" customHeight="1">
      <c r="A773" s="8">
        <v>2312618</v>
      </c>
      <c r="B773" s="9" t="s">
        <v>13284</v>
      </c>
      <c r="C773" s="9" t="s">
        <v>13284</v>
      </c>
      <c r="D773" s="9" t="s">
        <v>13284</v>
      </c>
      <c r="E773" s="9" t="s">
        <v>13284</v>
      </c>
      <c r="F773" s="9" t="s">
        <v>13284</v>
      </c>
      <c r="G773" s="9" t="s">
        <v>13284</v>
      </c>
      <c r="H773" s="9" t="s">
        <v>13284</v>
      </c>
      <c r="I773" s="9" t="s">
        <v>13284</v>
      </c>
      <c r="J773" s="9" t="s">
        <v>13284</v>
      </c>
      <c r="K773" s="9" t="s">
        <v>13284</v>
      </c>
      <c r="L773" s="9" t="s">
        <v>13284</v>
      </c>
      <c r="M773" s="9" t="s">
        <v>13284</v>
      </c>
      <c r="N773" s="9" t="s">
        <v>13284</v>
      </c>
      <c r="O773" s="9" t="s">
        <v>13284</v>
      </c>
      <c r="P773" s="9" t="s">
        <v>13284</v>
      </c>
      <c r="Q773" s="9" t="s">
        <v>13284</v>
      </c>
      <c r="R773" s="9" t="s">
        <v>13284</v>
      </c>
      <c r="S773" s="9" t="s">
        <v>13284</v>
      </c>
      <c r="T773" s="9" t="str">
        <f ca="1">IFERROR(IF(AND(VLOOKUP(A773, 'Актуальное состояние (из общего'!A:C,3,0) = "", A773 &lt;&gt; ""), "ПРОВЕРИТЬ", VLOOKUP(A773, 'Актуальное состояние (из общего'!A:C,3,0)), "")</f>
        <v>Студент</v>
      </c>
      <c r="U773" s="9" t="s">
        <v>13284</v>
      </c>
      <c r="V773" s="9" t="s">
        <v>13284</v>
      </c>
      <c r="W773" s="9" t="s">
        <v>64</v>
      </c>
      <c r="X773" s="9" t="str">
        <f t="array" ref="X773">IFERROR(INDEX('Адреса общежитий (скрытый)'!$B$2:$B$9, MATCH(W773, 'Адреса общежитий (скрытый)'!$A$2:$A$9, 0)), "")</f>
        <v>проспект 60-летия Октября, д.11</v>
      </c>
      <c r="Y773" s="18"/>
      <c r="Z773" s="18"/>
      <c r="AA773" s="18"/>
      <c r="AB773" s="18"/>
      <c r="AC773" s="18"/>
    </row>
    <row r="774" spans="1:29" ht="32.25" customHeight="1">
      <c r="A774" s="8">
        <v>2300343</v>
      </c>
      <c r="B774" s="9" t="s">
        <v>13284</v>
      </c>
      <c r="C774" s="9" t="s">
        <v>13284</v>
      </c>
      <c r="D774" s="9" t="s">
        <v>13284</v>
      </c>
      <c r="E774" s="9" t="s">
        <v>13284</v>
      </c>
      <c r="F774" s="9" t="s">
        <v>13284</v>
      </c>
      <c r="G774" s="9" t="s">
        <v>13284</v>
      </c>
      <c r="H774" s="9" t="s">
        <v>13284</v>
      </c>
      <c r="I774" s="9" t="s">
        <v>13284</v>
      </c>
      <c r="J774" s="9" t="s">
        <v>13284</v>
      </c>
      <c r="K774" s="9" t="s">
        <v>13284</v>
      </c>
      <c r="L774" s="9" t="s">
        <v>13284</v>
      </c>
      <c r="M774" s="9" t="s">
        <v>13284</v>
      </c>
      <c r="N774" s="9" t="s">
        <v>13284</v>
      </c>
      <c r="O774" s="9" t="s">
        <v>13284</v>
      </c>
      <c r="P774" s="9" t="s">
        <v>13284</v>
      </c>
      <c r="Q774" s="9" t="s">
        <v>13284</v>
      </c>
      <c r="R774" s="9" t="s">
        <v>13284</v>
      </c>
      <c r="S774" s="9" t="s">
        <v>13284</v>
      </c>
      <c r="T774" s="9" t="str">
        <f ca="1">IFERROR(IF(AND(VLOOKUP(A774, 'Актуальное состояние (из общего'!A:C,3,0) = "", A774 &lt;&gt; ""), "ПРОВЕРИТЬ", VLOOKUP(A774, 'Актуальное состояние (из общего'!A:C,3,0)), "")</f>
        <v>Студент</v>
      </c>
      <c r="U774" s="9" t="s">
        <v>13284</v>
      </c>
      <c r="V774" s="9" t="s">
        <v>13284</v>
      </c>
      <c r="W774" s="12"/>
      <c r="X774" s="9" t="str">
        <f t="array" ref="X774">IFERROR(INDEX('Адреса общежитий (скрытый)'!$B$2:$B$9, MATCH(W774, 'Адреса общежитий (скрытый)'!$A$2:$A$9, 0)), "")</f>
        <v/>
      </c>
      <c r="Y774" s="18"/>
      <c r="Z774" s="18"/>
      <c r="AA774" s="18"/>
      <c r="AB774" s="18"/>
      <c r="AC774" s="18"/>
    </row>
    <row r="775" spans="1:29" ht="32.25" customHeight="1">
      <c r="A775" s="8">
        <v>2312805</v>
      </c>
      <c r="B775" s="9" t="s">
        <v>13284</v>
      </c>
      <c r="C775" s="9" t="s">
        <v>13284</v>
      </c>
      <c r="D775" s="9" t="s">
        <v>13284</v>
      </c>
      <c r="E775" s="9" t="s">
        <v>13284</v>
      </c>
      <c r="F775" s="9" t="s">
        <v>13284</v>
      </c>
      <c r="G775" s="9" t="s">
        <v>13284</v>
      </c>
      <c r="H775" s="9" t="s">
        <v>13284</v>
      </c>
      <c r="I775" s="9" t="s">
        <v>13284</v>
      </c>
      <c r="J775" s="9" t="s">
        <v>13284</v>
      </c>
      <c r="K775" s="9" t="s">
        <v>13284</v>
      </c>
      <c r="L775" s="9" t="s">
        <v>13284</v>
      </c>
      <c r="M775" s="9" t="s">
        <v>13284</v>
      </c>
      <c r="N775" s="9" t="s">
        <v>13284</v>
      </c>
      <c r="O775" s="9" t="s">
        <v>13284</v>
      </c>
      <c r="P775" s="9" t="s">
        <v>13284</v>
      </c>
      <c r="Q775" s="9" t="s">
        <v>13284</v>
      </c>
      <c r="R775" s="9" t="s">
        <v>13284</v>
      </c>
      <c r="S775" s="9" t="s">
        <v>13284</v>
      </c>
      <c r="T775" s="9" t="str">
        <f ca="1">IFERROR(IF(AND(VLOOKUP(A775, 'Актуальное состояние (из общего'!A:C,3,0) = "", A775 &lt;&gt; ""), "ПРОВЕРИТЬ", VLOOKUP(A775, 'Актуальное состояние (из общего'!A:C,3,0)), "")</f>
        <v>Студент</v>
      </c>
      <c r="U775" s="9" t="s">
        <v>13284</v>
      </c>
      <c r="V775" s="9" t="s">
        <v>13284</v>
      </c>
      <c r="W775" s="9" t="s">
        <v>64</v>
      </c>
      <c r="X775" s="9" t="str">
        <f t="array" ref="X775">IFERROR(INDEX('Адреса общежитий (скрытый)'!$B$2:$B$9, MATCH(W775, 'Адреса общежитий (скрытый)'!$A$2:$A$9, 0)), "")</f>
        <v>проспект 60-летия Октября, д.11</v>
      </c>
      <c r="Y775" s="18"/>
      <c r="Z775" s="18"/>
      <c r="AA775" s="18"/>
      <c r="AB775" s="18"/>
      <c r="AC775" s="18"/>
    </row>
    <row r="776" spans="1:29" ht="32.25" customHeight="1">
      <c r="A776" s="8">
        <v>2314620</v>
      </c>
      <c r="B776" s="9" t="s">
        <v>13284</v>
      </c>
      <c r="C776" s="9" t="s">
        <v>13284</v>
      </c>
      <c r="D776" s="9" t="s">
        <v>13284</v>
      </c>
      <c r="E776" s="9" t="s">
        <v>13284</v>
      </c>
      <c r="F776" s="9" t="s">
        <v>13284</v>
      </c>
      <c r="G776" s="9" t="s">
        <v>13284</v>
      </c>
      <c r="H776" s="9" t="s">
        <v>13284</v>
      </c>
      <c r="I776" s="9" t="s">
        <v>13284</v>
      </c>
      <c r="J776" s="9" t="s">
        <v>13284</v>
      </c>
      <c r="K776" s="9" t="s">
        <v>13284</v>
      </c>
      <c r="L776" s="9" t="s">
        <v>13284</v>
      </c>
      <c r="M776" s="9" t="s">
        <v>13284</v>
      </c>
      <c r="N776" s="9" t="s">
        <v>13284</v>
      </c>
      <c r="O776" s="9" t="s">
        <v>13284</v>
      </c>
      <c r="P776" s="9" t="s">
        <v>13284</v>
      </c>
      <c r="Q776" s="9" t="s">
        <v>13284</v>
      </c>
      <c r="R776" s="9" t="s">
        <v>13284</v>
      </c>
      <c r="S776" s="9" t="s">
        <v>13284</v>
      </c>
      <c r="T776" s="9" t="str">
        <f ca="1">IFERROR(IF(AND(VLOOKUP(A776, 'Актуальное состояние (из общего'!A:C,3,0) = "", A776 &lt;&gt; ""), "ПРОВЕРИТЬ", VLOOKUP(A776, 'Актуальное состояние (из общего'!A:C,3,0)), "")</f>
        <v>Студент</v>
      </c>
      <c r="U776" s="9" t="s">
        <v>13284</v>
      </c>
      <c r="V776" s="9" t="s">
        <v>13284</v>
      </c>
      <c r="W776" s="12"/>
      <c r="X776" s="9" t="str">
        <f t="array" ref="X776">IFERROR(INDEX('Адреса общежитий (скрытый)'!$B$2:$B$9, MATCH(W776, 'Адреса общежитий (скрытый)'!$A$2:$A$9, 0)), "")</f>
        <v/>
      </c>
      <c r="Y776" s="18"/>
      <c r="Z776" s="18"/>
      <c r="AA776" s="18"/>
      <c r="AB776" s="18"/>
      <c r="AC776" s="18"/>
    </row>
    <row r="777" spans="1:29" ht="32.25" customHeight="1">
      <c r="A777" s="8">
        <v>2312718</v>
      </c>
      <c r="B777" s="9" t="s">
        <v>13284</v>
      </c>
      <c r="C777" s="9" t="s">
        <v>13284</v>
      </c>
      <c r="D777" s="9" t="s">
        <v>13284</v>
      </c>
      <c r="E777" s="9" t="s">
        <v>13284</v>
      </c>
      <c r="F777" s="9" t="s">
        <v>13284</v>
      </c>
      <c r="G777" s="9" t="s">
        <v>13284</v>
      </c>
      <c r="H777" s="9" t="s">
        <v>13284</v>
      </c>
      <c r="I777" s="9" t="s">
        <v>13284</v>
      </c>
      <c r="J777" s="9" t="s">
        <v>13284</v>
      </c>
      <c r="K777" s="9" t="s">
        <v>13284</v>
      </c>
      <c r="L777" s="9" t="s">
        <v>13284</v>
      </c>
      <c r="M777" s="9" t="s">
        <v>13284</v>
      </c>
      <c r="N777" s="9" t="s">
        <v>13284</v>
      </c>
      <c r="O777" s="9" t="s">
        <v>13284</v>
      </c>
      <c r="P777" s="9" t="s">
        <v>13284</v>
      </c>
      <c r="Q777" s="9" t="s">
        <v>13284</v>
      </c>
      <c r="R777" s="9" t="s">
        <v>13284</v>
      </c>
      <c r="S777" s="9" t="s">
        <v>13284</v>
      </c>
      <c r="T777" s="9" t="str">
        <f ca="1">IFERROR(IF(AND(VLOOKUP(A777, 'Актуальное состояние (из общего'!A:C,3,0) = "", A777 &lt;&gt; ""), "ПРОВЕРИТЬ", VLOOKUP(A777, 'Актуальное состояние (из общего'!A:C,3,0)), "")</f>
        <v>Студент</v>
      </c>
      <c r="U777" s="9" t="s">
        <v>13284</v>
      </c>
      <c r="V777" s="9" t="s">
        <v>13284</v>
      </c>
      <c r="W777" s="9" t="s">
        <v>64</v>
      </c>
      <c r="X777" s="9" t="str">
        <f t="array" ref="X777">IFERROR(INDEX('Адреса общежитий (скрытый)'!$B$2:$B$9, MATCH(W777, 'Адреса общежитий (скрытый)'!$A$2:$A$9, 0)), "")</f>
        <v>проспект 60-летия Октября, д.11</v>
      </c>
      <c r="Y777" s="18"/>
      <c r="Z777" s="18"/>
      <c r="AA777" s="18"/>
      <c r="AB777" s="18"/>
      <c r="AC777" s="18"/>
    </row>
    <row r="778" spans="1:29" ht="32.25" customHeight="1">
      <c r="A778" s="8">
        <v>2312847</v>
      </c>
      <c r="B778" s="9" t="s">
        <v>13284</v>
      </c>
      <c r="C778" s="9" t="s">
        <v>13284</v>
      </c>
      <c r="D778" s="9" t="s">
        <v>13284</v>
      </c>
      <c r="E778" s="9" t="s">
        <v>13284</v>
      </c>
      <c r="F778" s="9" t="s">
        <v>13284</v>
      </c>
      <c r="G778" s="9" t="s">
        <v>13284</v>
      </c>
      <c r="H778" s="9" t="s">
        <v>13284</v>
      </c>
      <c r="I778" s="9" t="s">
        <v>13284</v>
      </c>
      <c r="J778" s="9" t="s">
        <v>13284</v>
      </c>
      <c r="K778" s="9" t="s">
        <v>13284</v>
      </c>
      <c r="L778" s="9" t="s">
        <v>13284</v>
      </c>
      <c r="M778" s="9" t="s">
        <v>13284</v>
      </c>
      <c r="N778" s="9" t="s">
        <v>13284</v>
      </c>
      <c r="O778" s="9" t="s">
        <v>13284</v>
      </c>
      <c r="P778" s="9" t="s">
        <v>13284</v>
      </c>
      <c r="Q778" s="9" t="s">
        <v>13284</v>
      </c>
      <c r="R778" s="9" t="s">
        <v>13284</v>
      </c>
      <c r="S778" s="9" t="s">
        <v>13284</v>
      </c>
      <c r="T778" s="9" t="str">
        <f ca="1">IFERROR(IF(AND(VLOOKUP(A778, 'Актуальное состояние (из общего'!A:C,3,0) = "", A778 &lt;&gt; ""), "ПРОВЕРИТЬ", VLOOKUP(A778, 'Актуальное состояние (из общего'!A:C,3,0)), "")</f>
        <v>Аспирант</v>
      </c>
      <c r="U778" s="9" t="s">
        <v>13284</v>
      </c>
      <c r="V778" s="9" t="s">
        <v>13284</v>
      </c>
      <c r="W778" s="9" t="s">
        <v>389</v>
      </c>
      <c r="X778" s="9" t="str">
        <f t="array" ref="X778">IFERROR(INDEX('Адреса общежитий (скрытый)'!$B$2:$B$9, MATCH(W778, 'Адреса общежитий (скрытый)'!$A$2:$A$9, 0)), "")</f>
        <v>2-ой Донской проезд, д. 9</v>
      </c>
      <c r="Y778" s="18"/>
      <c r="Z778" s="18"/>
      <c r="AA778" s="18"/>
      <c r="AB778" s="18"/>
      <c r="AC778" s="18"/>
    </row>
    <row r="779" spans="1:29" ht="32.25" customHeight="1">
      <c r="A779" s="8">
        <v>2312704</v>
      </c>
      <c r="B779" s="9" t="s">
        <v>13284</v>
      </c>
      <c r="C779" s="9" t="s">
        <v>13284</v>
      </c>
      <c r="D779" s="9" t="s">
        <v>13284</v>
      </c>
      <c r="E779" s="9" t="s">
        <v>13284</v>
      </c>
      <c r="F779" s="9" t="s">
        <v>13284</v>
      </c>
      <c r="G779" s="9" t="s">
        <v>13284</v>
      </c>
      <c r="H779" s="9" t="s">
        <v>13284</v>
      </c>
      <c r="I779" s="9" t="s">
        <v>13284</v>
      </c>
      <c r="J779" s="9" t="s">
        <v>13284</v>
      </c>
      <c r="K779" s="9" t="s">
        <v>13284</v>
      </c>
      <c r="L779" s="9" t="s">
        <v>13284</v>
      </c>
      <c r="M779" s="9" t="s">
        <v>13284</v>
      </c>
      <c r="N779" s="9" t="s">
        <v>13284</v>
      </c>
      <c r="O779" s="9" t="s">
        <v>13284</v>
      </c>
      <c r="P779" s="9" t="s">
        <v>13284</v>
      </c>
      <c r="Q779" s="9" t="s">
        <v>13284</v>
      </c>
      <c r="R779" s="9" t="s">
        <v>13284</v>
      </c>
      <c r="S779" s="9" t="s">
        <v>13284</v>
      </c>
      <c r="T779" s="9" t="str">
        <f ca="1">IFERROR(IF(AND(VLOOKUP(A779, 'Актуальное состояние (из общего'!A:C,3,0) = "", A779 &lt;&gt; ""), "ПРОВЕРИТЬ", VLOOKUP(A779, 'Актуальное состояние (из общего'!A:C,3,0)), "")</f>
        <v>Аспирант</v>
      </c>
      <c r="U779" s="9" t="s">
        <v>13284</v>
      </c>
      <c r="V779" s="9" t="s">
        <v>13284</v>
      </c>
      <c r="W779" s="12" t="s">
        <v>389</v>
      </c>
      <c r="X779" s="9" t="str">
        <f t="array" ref="X779">IFERROR(INDEX('Адреса общежитий (скрытый)'!$B$2:$B$9, MATCH(W779, 'Адреса общежитий (скрытый)'!$A$2:$A$9, 0)), "")</f>
        <v>2-ой Донской проезд, д. 9</v>
      </c>
      <c r="Y779" s="18"/>
      <c r="Z779" s="18"/>
      <c r="AA779" s="18"/>
      <c r="AB779" s="18"/>
      <c r="AC779" s="18"/>
    </row>
    <row r="780" spans="1:29" ht="32.25" customHeight="1">
      <c r="A780" s="8">
        <v>2312799</v>
      </c>
      <c r="B780" s="9" t="s">
        <v>13284</v>
      </c>
      <c r="C780" s="9" t="s">
        <v>13284</v>
      </c>
      <c r="D780" s="9" t="s">
        <v>13284</v>
      </c>
      <c r="E780" s="9" t="s">
        <v>13284</v>
      </c>
      <c r="F780" s="9" t="s">
        <v>13284</v>
      </c>
      <c r="G780" s="9" t="s">
        <v>13284</v>
      </c>
      <c r="H780" s="9" t="s">
        <v>13284</v>
      </c>
      <c r="I780" s="9" t="s">
        <v>13284</v>
      </c>
      <c r="J780" s="9" t="s">
        <v>13284</v>
      </c>
      <c r="K780" s="9" t="s">
        <v>13284</v>
      </c>
      <c r="L780" s="9" t="s">
        <v>13284</v>
      </c>
      <c r="M780" s="9" t="s">
        <v>13284</v>
      </c>
      <c r="N780" s="9" t="s">
        <v>13284</v>
      </c>
      <c r="O780" s="9" t="s">
        <v>13284</v>
      </c>
      <c r="P780" s="9" t="s">
        <v>13284</v>
      </c>
      <c r="Q780" s="9" t="s">
        <v>13284</v>
      </c>
      <c r="R780" s="9" t="s">
        <v>13284</v>
      </c>
      <c r="S780" s="9" t="s">
        <v>13284</v>
      </c>
      <c r="T780" s="9" t="str">
        <f ca="1">IFERROR(IF(AND(VLOOKUP(A780, 'Актуальное состояние (из общего'!A:C,3,0) = "", A780 &lt;&gt; ""), "ПРОВЕРИТЬ", VLOOKUP(A780, 'Актуальное состояние (из общего'!A:C,3,0)), "")</f>
        <v>Аспирант</v>
      </c>
      <c r="U780" s="9" t="s">
        <v>13284</v>
      </c>
      <c r="V780" s="9" t="s">
        <v>13284</v>
      </c>
      <c r="W780" s="12" t="s">
        <v>389</v>
      </c>
      <c r="X780" s="9" t="str">
        <f t="array" ref="X780">IFERROR(INDEX('Адреса общежитий (скрытый)'!$B$2:$B$9, MATCH(W780, 'Адреса общежитий (скрытый)'!$A$2:$A$9, 0)), "")</f>
        <v>2-ой Донской проезд, д. 9</v>
      </c>
      <c r="Y780" s="18"/>
      <c r="Z780" s="18"/>
      <c r="AA780" s="18"/>
      <c r="AB780" s="18"/>
      <c r="AC780" s="18"/>
    </row>
    <row r="781" spans="1:29" ht="32.25" customHeight="1">
      <c r="A781" s="8">
        <v>2312711</v>
      </c>
      <c r="B781" s="9" t="s">
        <v>13284</v>
      </c>
      <c r="C781" s="9" t="s">
        <v>13284</v>
      </c>
      <c r="D781" s="9" t="s">
        <v>13284</v>
      </c>
      <c r="E781" s="9" t="s">
        <v>13284</v>
      </c>
      <c r="F781" s="9" t="s">
        <v>13284</v>
      </c>
      <c r="G781" s="9" t="s">
        <v>13284</v>
      </c>
      <c r="H781" s="9" t="s">
        <v>13284</v>
      </c>
      <c r="I781" s="9" t="s">
        <v>13284</v>
      </c>
      <c r="J781" s="9" t="s">
        <v>13284</v>
      </c>
      <c r="K781" s="9" t="s">
        <v>13284</v>
      </c>
      <c r="L781" s="9" t="s">
        <v>13284</v>
      </c>
      <c r="M781" s="9" t="s">
        <v>13284</v>
      </c>
      <c r="N781" s="9" t="s">
        <v>13284</v>
      </c>
      <c r="O781" s="9" t="s">
        <v>13284</v>
      </c>
      <c r="P781" s="9" t="s">
        <v>13284</v>
      </c>
      <c r="Q781" s="9" t="s">
        <v>13284</v>
      </c>
      <c r="R781" s="9" t="s">
        <v>13284</v>
      </c>
      <c r="S781" s="9" t="s">
        <v>13284</v>
      </c>
      <c r="T781" s="9" t="str">
        <f ca="1">IFERROR(IF(AND(VLOOKUP(A781, 'Актуальное состояние (из общего'!A:C,3,0) = "", A781 &lt;&gt; ""), "ПРОВЕРИТЬ", VLOOKUP(A781, 'Актуальное состояние (из общего'!A:C,3,0)), "")</f>
        <v>Аспирант</v>
      </c>
      <c r="U781" s="9" t="s">
        <v>13284</v>
      </c>
      <c r="V781" s="9" t="s">
        <v>13284</v>
      </c>
      <c r="W781" s="12" t="s">
        <v>389</v>
      </c>
      <c r="X781" s="9" t="str">
        <f t="array" ref="X781">IFERROR(INDEX('Адреса общежитий (скрытый)'!$B$2:$B$9, MATCH(W781, 'Адреса общежитий (скрытый)'!$A$2:$A$9, 0)), "")</f>
        <v>2-ой Донской проезд, д. 9</v>
      </c>
      <c r="Y781" s="18"/>
      <c r="Z781" s="18"/>
      <c r="AA781" s="18"/>
      <c r="AB781" s="18"/>
      <c r="AC781" s="18"/>
    </row>
    <row r="782" spans="1:29" ht="32.25" customHeight="1">
      <c r="A782" s="8">
        <v>2312681</v>
      </c>
      <c r="B782" s="9" t="s">
        <v>13284</v>
      </c>
      <c r="C782" s="9" t="s">
        <v>13284</v>
      </c>
      <c r="D782" s="9" t="s">
        <v>13284</v>
      </c>
      <c r="E782" s="9" t="s">
        <v>13284</v>
      </c>
      <c r="F782" s="9" t="s">
        <v>13284</v>
      </c>
      <c r="G782" s="9" t="s">
        <v>13284</v>
      </c>
      <c r="H782" s="9" t="s">
        <v>13284</v>
      </c>
      <c r="I782" s="9" t="s">
        <v>13284</v>
      </c>
      <c r="J782" s="9" t="s">
        <v>13284</v>
      </c>
      <c r="K782" s="9" t="s">
        <v>13284</v>
      </c>
      <c r="L782" s="9" t="s">
        <v>13284</v>
      </c>
      <c r="M782" s="9" t="s">
        <v>13284</v>
      </c>
      <c r="N782" s="9" t="s">
        <v>13284</v>
      </c>
      <c r="O782" s="9" t="s">
        <v>13284</v>
      </c>
      <c r="P782" s="9" t="s">
        <v>13284</v>
      </c>
      <c r="Q782" s="9" t="s">
        <v>13284</v>
      </c>
      <c r="R782" s="9" t="s">
        <v>13284</v>
      </c>
      <c r="S782" s="9" t="s">
        <v>13284</v>
      </c>
      <c r="T782" s="9" t="str">
        <f ca="1">IFERROR(IF(AND(VLOOKUP(A782, 'Актуальное состояние (из общего'!A:C,3,0) = "", A782 &lt;&gt; ""), "ПРОВЕРИТЬ", VLOOKUP(A782, 'Актуальное состояние (из общего'!A:C,3,0)), "")</f>
        <v>Аспирант</v>
      </c>
      <c r="U782" s="9" t="s">
        <v>13284</v>
      </c>
      <c r="V782" s="9" t="s">
        <v>13284</v>
      </c>
      <c r="W782" s="12" t="s">
        <v>389</v>
      </c>
      <c r="X782" s="9" t="str">
        <f t="array" ref="X782">IFERROR(INDEX('Адреса общежитий (скрытый)'!$B$2:$B$9, MATCH(W782, 'Адреса общежитий (скрытый)'!$A$2:$A$9, 0)), "")</f>
        <v>2-ой Донской проезд, д. 9</v>
      </c>
      <c r="Y782" s="18"/>
      <c r="Z782" s="18"/>
      <c r="AA782" s="18"/>
      <c r="AB782" s="18"/>
      <c r="AC782" s="18"/>
    </row>
    <row r="783" spans="1:29" ht="32.25" customHeight="1">
      <c r="A783" s="8">
        <v>2312689</v>
      </c>
      <c r="B783" s="9" t="s">
        <v>13284</v>
      </c>
      <c r="C783" s="9" t="s">
        <v>13284</v>
      </c>
      <c r="D783" s="9" t="s">
        <v>13284</v>
      </c>
      <c r="E783" s="9" t="s">
        <v>13284</v>
      </c>
      <c r="F783" s="9" t="s">
        <v>13284</v>
      </c>
      <c r="G783" s="9" t="s">
        <v>13284</v>
      </c>
      <c r="H783" s="9" t="s">
        <v>13284</v>
      </c>
      <c r="I783" s="9" t="s">
        <v>13284</v>
      </c>
      <c r="J783" s="9" t="s">
        <v>13284</v>
      </c>
      <c r="K783" s="9" t="s">
        <v>13284</v>
      </c>
      <c r="L783" s="9" t="s">
        <v>13284</v>
      </c>
      <c r="M783" s="9" t="s">
        <v>13284</v>
      </c>
      <c r="N783" s="9" t="s">
        <v>13284</v>
      </c>
      <c r="O783" s="9" t="s">
        <v>13284</v>
      </c>
      <c r="P783" s="9" t="s">
        <v>13284</v>
      </c>
      <c r="Q783" s="9" t="s">
        <v>13284</v>
      </c>
      <c r="R783" s="9" t="s">
        <v>13284</v>
      </c>
      <c r="S783" s="9" t="s">
        <v>13284</v>
      </c>
      <c r="T783" s="9" t="str">
        <f ca="1">IFERROR(IF(AND(VLOOKUP(A783, 'Актуальное состояние (из общего'!A:C,3,0) = "", A783 &lt;&gt; ""), "ПРОВЕРИТЬ", VLOOKUP(A783, 'Актуальное состояние (из общего'!A:C,3,0)), "")</f>
        <v>Аспирант</v>
      </c>
      <c r="U783" s="9" t="s">
        <v>13284</v>
      </c>
      <c r="V783" s="9" t="s">
        <v>13284</v>
      </c>
      <c r="W783" s="12" t="s">
        <v>389</v>
      </c>
      <c r="X783" s="9" t="str">
        <f t="array" ref="X783">IFERROR(INDEX('Адреса общежитий (скрытый)'!$B$2:$B$9, MATCH(W783, 'Адреса общежитий (скрытый)'!$A$2:$A$9, 0)), "")</f>
        <v>2-ой Донской проезд, д. 9</v>
      </c>
      <c r="Y783" s="18"/>
      <c r="Z783" s="18"/>
      <c r="AA783" s="18"/>
      <c r="AB783" s="18"/>
      <c r="AC783" s="18"/>
    </row>
    <row r="784" spans="1:29" ht="32.25" customHeight="1">
      <c r="A784" s="8">
        <v>2312695</v>
      </c>
      <c r="B784" s="9" t="s">
        <v>13284</v>
      </c>
      <c r="C784" s="9" t="s">
        <v>13284</v>
      </c>
      <c r="D784" s="9" t="s">
        <v>13284</v>
      </c>
      <c r="E784" s="9" t="s">
        <v>13284</v>
      </c>
      <c r="F784" s="9" t="s">
        <v>13284</v>
      </c>
      <c r="G784" s="9" t="s">
        <v>13284</v>
      </c>
      <c r="H784" s="9" t="s">
        <v>13284</v>
      </c>
      <c r="I784" s="9" t="s">
        <v>13284</v>
      </c>
      <c r="J784" s="9" t="s">
        <v>13284</v>
      </c>
      <c r="K784" s="9" t="s">
        <v>13284</v>
      </c>
      <c r="L784" s="9" t="s">
        <v>13284</v>
      </c>
      <c r="M784" s="9" t="s">
        <v>13284</v>
      </c>
      <c r="N784" s="9" t="s">
        <v>13284</v>
      </c>
      <c r="O784" s="9" t="s">
        <v>13284</v>
      </c>
      <c r="P784" s="9" t="s">
        <v>13284</v>
      </c>
      <c r="Q784" s="9" t="s">
        <v>13284</v>
      </c>
      <c r="R784" s="9" t="s">
        <v>13284</v>
      </c>
      <c r="S784" s="9" t="s">
        <v>13284</v>
      </c>
      <c r="T784" s="9" t="str">
        <f ca="1">IFERROR(IF(AND(VLOOKUP(A784, 'Актуальное состояние (из общего'!A:C,3,0) = "", A784 &lt;&gt; ""), "ПРОВЕРИТЬ", VLOOKUP(A784, 'Актуальное состояние (из общего'!A:C,3,0)), "")</f>
        <v>Аспирант</v>
      </c>
      <c r="U784" s="9" t="s">
        <v>13284</v>
      </c>
      <c r="V784" s="9" t="s">
        <v>13284</v>
      </c>
      <c r="W784" s="12" t="s">
        <v>389</v>
      </c>
      <c r="X784" s="9" t="str">
        <f t="array" ref="X784">IFERROR(INDEX('Адреса общежитий (скрытый)'!$B$2:$B$9, MATCH(W784, 'Адреса общежитий (скрытый)'!$A$2:$A$9, 0)), "")</f>
        <v>2-ой Донской проезд, д. 9</v>
      </c>
      <c r="Y784" s="18"/>
      <c r="Z784" s="18"/>
      <c r="AA784" s="18"/>
      <c r="AB784" s="18"/>
      <c r="AC784" s="18"/>
    </row>
    <row r="785" spans="1:29" ht="32.25" customHeight="1">
      <c r="A785" s="8">
        <v>2312645</v>
      </c>
      <c r="B785" s="9" t="s">
        <v>13284</v>
      </c>
      <c r="C785" s="9" t="s">
        <v>13284</v>
      </c>
      <c r="D785" s="9" t="s">
        <v>13284</v>
      </c>
      <c r="E785" s="9" t="s">
        <v>13284</v>
      </c>
      <c r="F785" s="9" t="s">
        <v>13284</v>
      </c>
      <c r="G785" s="9" t="s">
        <v>13284</v>
      </c>
      <c r="H785" s="9" t="s">
        <v>13284</v>
      </c>
      <c r="I785" s="9" t="s">
        <v>13284</v>
      </c>
      <c r="J785" s="9" t="s">
        <v>13284</v>
      </c>
      <c r="K785" s="9" t="s">
        <v>13284</v>
      </c>
      <c r="L785" s="9" t="s">
        <v>13284</v>
      </c>
      <c r="M785" s="9" t="s">
        <v>13284</v>
      </c>
      <c r="N785" s="9" t="s">
        <v>13284</v>
      </c>
      <c r="O785" s="9" t="s">
        <v>13284</v>
      </c>
      <c r="P785" s="9" t="s">
        <v>13284</v>
      </c>
      <c r="Q785" s="9" t="s">
        <v>13284</v>
      </c>
      <c r="R785" s="9" t="s">
        <v>13284</v>
      </c>
      <c r="S785" s="9" t="s">
        <v>13284</v>
      </c>
      <c r="T785" s="9" t="str">
        <f ca="1">IFERROR(IF(AND(VLOOKUP(A785, 'Актуальное состояние (из общего'!A:C,3,0) = "", A785 &lt;&gt; ""), "ПРОВЕРИТЬ", VLOOKUP(A785, 'Актуальное состояние (из общего'!A:C,3,0)), "")</f>
        <v>Аспирант</v>
      </c>
      <c r="U785" s="9" t="s">
        <v>13284</v>
      </c>
      <c r="V785" s="9" t="s">
        <v>13284</v>
      </c>
      <c r="W785" s="12" t="s">
        <v>389</v>
      </c>
      <c r="X785" s="9" t="str">
        <f t="array" ref="X785">IFERROR(INDEX('Адреса общежитий (скрытый)'!$B$2:$B$9, MATCH(W785, 'Адреса общежитий (скрытый)'!$A$2:$A$9, 0)), "")</f>
        <v>2-ой Донской проезд, д. 9</v>
      </c>
      <c r="Y785" s="18"/>
      <c r="Z785" s="18"/>
      <c r="AA785" s="18"/>
      <c r="AB785" s="18"/>
      <c r="AC785" s="18"/>
    </row>
    <row r="786" spans="1:29" ht="32.25" customHeight="1">
      <c r="A786" s="8">
        <v>2303475</v>
      </c>
      <c r="B786" s="9" t="s">
        <v>13284</v>
      </c>
      <c r="C786" s="9" t="s">
        <v>13284</v>
      </c>
      <c r="D786" s="9" t="s">
        <v>13284</v>
      </c>
      <c r="E786" s="9" t="s">
        <v>13284</v>
      </c>
      <c r="F786" s="9" t="s">
        <v>13284</v>
      </c>
      <c r="G786" s="9" t="s">
        <v>13284</v>
      </c>
      <c r="H786" s="9" t="s">
        <v>13284</v>
      </c>
      <c r="I786" s="9" t="s">
        <v>13284</v>
      </c>
      <c r="J786" s="9" t="s">
        <v>13284</v>
      </c>
      <c r="K786" s="9" t="s">
        <v>13284</v>
      </c>
      <c r="L786" s="9" t="s">
        <v>13284</v>
      </c>
      <c r="M786" s="9" t="s">
        <v>13284</v>
      </c>
      <c r="N786" s="9" t="s">
        <v>13284</v>
      </c>
      <c r="O786" s="9" t="s">
        <v>13284</v>
      </c>
      <c r="P786" s="9" t="s">
        <v>13284</v>
      </c>
      <c r="Q786" s="9" t="s">
        <v>13284</v>
      </c>
      <c r="R786" s="9" t="s">
        <v>13284</v>
      </c>
      <c r="S786" s="9" t="s">
        <v>13284</v>
      </c>
      <c r="T786" s="9" t="str">
        <f ca="1">IFERROR(IF(AND(VLOOKUP(A786, 'Актуальное состояние (из общего'!A:C,3,0) = "", A786 &lt;&gt; ""), "ПРОВЕРИТЬ", VLOOKUP(A786, 'Актуальное состояние (из общего'!A:C,3,0)), "")</f>
        <v>Аспирант</v>
      </c>
      <c r="U786" s="9" t="s">
        <v>13284</v>
      </c>
      <c r="V786" s="9" t="s">
        <v>13284</v>
      </c>
      <c r="W786" s="12" t="s">
        <v>389</v>
      </c>
      <c r="X786" s="9" t="str">
        <f t="array" ref="X786">IFERROR(INDEX('Адреса общежитий (скрытый)'!$B$2:$B$9, MATCH(W786, 'Адреса общежитий (скрытый)'!$A$2:$A$9, 0)), "")</f>
        <v>2-ой Донской проезд, д. 9</v>
      </c>
      <c r="Y786" s="18"/>
      <c r="Z786" s="18"/>
      <c r="AA786" s="18"/>
      <c r="AB786" s="18"/>
      <c r="AC786" s="18"/>
    </row>
    <row r="787" spans="1:29" ht="32.25" customHeight="1">
      <c r="A787" s="8">
        <v>2312810</v>
      </c>
      <c r="B787" s="9" t="s">
        <v>13284</v>
      </c>
      <c r="C787" s="9" t="s">
        <v>13284</v>
      </c>
      <c r="D787" s="9" t="s">
        <v>13284</v>
      </c>
      <c r="E787" s="9" t="s">
        <v>13284</v>
      </c>
      <c r="F787" s="9" t="s">
        <v>13284</v>
      </c>
      <c r="G787" s="9" t="s">
        <v>13284</v>
      </c>
      <c r="H787" s="9" t="s">
        <v>13284</v>
      </c>
      <c r="I787" s="9" t="s">
        <v>13284</v>
      </c>
      <c r="J787" s="9" t="s">
        <v>13284</v>
      </c>
      <c r="K787" s="9" t="s">
        <v>13284</v>
      </c>
      <c r="L787" s="9" t="s">
        <v>13284</v>
      </c>
      <c r="M787" s="9" t="s">
        <v>13284</v>
      </c>
      <c r="N787" s="9" t="s">
        <v>13284</v>
      </c>
      <c r="O787" s="9" t="s">
        <v>13284</v>
      </c>
      <c r="P787" s="9" t="s">
        <v>13284</v>
      </c>
      <c r="Q787" s="9" t="s">
        <v>13284</v>
      </c>
      <c r="R787" s="9" t="s">
        <v>13284</v>
      </c>
      <c r="S787" s="9" t="s">
        <v>13284</v>
      </c>
      <c r="T787" s="9" t="str">
        <f ca="1">IFERROR(IF(AND(VLOOKUP(A787, 'Актуальное состояние (из общего'!A:C,3,0) = "", A787 &lt;&gt; ""), "ПРОВЕРИТЬ", VLOOKUP(A787, 'Актуальное состояние (из общего'!A:C,3,0)), "")</f>
        <v>Аспирант</v>
      </c>
      <c r="U787" s="9" t="s">
        <v>13284</v>
      </c>
      <c r="V787" s="9" t="s">
        <v>13284</v>
      </c>
      <c r="W787" s="12" t="s">
        <v>389</v>
      </c>
      <c r="X787" s="9" t="str">
        <f t="array" ref="X787">IFERROR(INDEX('Адреса общежитий (скрытый)'!$B$2:$B$9, MATCH(W787, 'Адреса общежитий (скрытый)'!$A$2:$A$9, 0)), "")</f>
        <v>2-ой Донской проезд, д. 9</v>
      </c>
      <c r="Y787" s="18"/>
      <c r="Z787" s="18"/>
      <c r="AA787" s="18"/>
      <c r="AB787" s="18"/>
      <c r="AC787" s="18"/>
    </row>
    <row r="788" spans="1:29" ht="32.25" customHeight="1">
      <c r="A788" s="8">
        <v>2314635</v>
      </c>
      <c r="B788" s="9" t="s">
        <v>13284</v>
      </c>
      <c r="C788" s="9" t="s">
        <v>13284</v>
      </c>
      <c r="D788" s="9" t="s">
        <v>13284</v>
      </c>
      <c r="E788" s="9" t="s">
        <v>13284</v>
      </c>
      <c r="F788" s="9" t="s">
        <v>13284</v>
      </c>
      <c r="G788" s="9" t="s">
        <v>13284</v>
      </c>
      <c r="H788" s="9" t="s">
        <v>13284</v>
      </c>
      <c r="I788" s="9" t="s">
        <v>13284</v>
      </c>
      <c r="J788" s="9" t="s">
        <v>13284</v>
      </c>
      <c r="K788" s="9" t="s">
        <v>13284</v>
      </c>
      <c r="L788" s="9" t="s">
        <v>13284</v>
      </c>
      <c r="M788" s="9" t="s">
        <v>13284</v>
      </c>
      <c r="N788" s="9" t="s">
        <v>13284</v>
      </c>
      <c r="O788" s="9" t="s">
        <v>13284</v>
      </c>
      <c r="P788" s="9" t="s">
        <v>13284</v>
      </c>
      <c r="Q788" s="9" t="s">
        <v>13284</v>
      </c>
      <c r="R788" s="9" t="s">
        <v>13284</v>
      </c>
      <c r="S788" s="9" t="s">
        <v>13284</v>
      </c>
      <c r="T788" s="9" t="str">
        <f ca="1">IFERROR(IF(AND(VLOOKUP(A788, 'Актуальное состояние (из общего'!A:C,3,0) = "", A788 &lt;&gt; ""), "ПРОВЕРИТЬ", VLOOKUP(A788, 'Актуальное состояние (из общего'!A:C,3,0)), "")</f>
        <v>Студент</v>
      </c>
      <c r="U788" s="9" t="s">
        <v>13284</v>
      </c>
      <c r="V788" s="9" t="s">
        <v>13284</v>
      </c>
      <c r="W788" s="12"/>
      <c r="X788" s="9" t="str">
        <f t="array" ref="X788">IFERROR(INDEX('Адреса общежитий (скрытый)'!$B$2:$B$9, MATCH(W788, 'Адреса общежитий (скрытый)'!$A$2:$A$9, 0)), "")</f>
        <v/>
      </c>
      <c r="Y788" s="18"/>
      <c r="Z788" s="18"/>
      <c r="AA788" s="18"/>
      <c r="AB788" s="18"/>
      <c r="AC788" s="18"/>
    </row>
    <row r="789" spans="1:29" ht="32.25" customHeight="1">
      <c r="A789" s="8">
        <v>2314450</v>
      </c>
      <c r="B789" s="9" t="s">
        <v>13284</v>
      </c>
      <c r="C789" s="9" t="s">
        <v>13284</v>
      </c>
      <c r="D789" s="9" t="s">
        <v>13284</v>
      </c>
      <c r="E789" s="9" t="s">
        <v>13284</v>
      </c>
      <c r="F789" s="9" t="s">
        <v>13284</v>
      </c>
      <c r="G789" s="9" t="s">
        <v>13284</v>
      </c>
      <c r="H789" s="9" t="s">
        <v>13284</v>
      </c>
      <c r="I789" s="9" t="s">
        <v>13284</v>
      </c>
      <c r="J789" s="9" t="s">
        <v>13284</v>
      </c>
      <c r="K789" s="9" t="s">
        <v>13284</v>
      </c>
      <c r="L789" s="9" t="s">
        <v>13284</v>
      </c>
      <c r="M789" s="9" t="s">
        <v>13284</v>
      </c>
      <c r="N789" s="9" t="s">
        <v>13284</v>
      </c>
      <c r="O789" s="9" t="s">
        <v>13284</v>
      </c>
      <c r="P789" s="9" t="s">
        <v>13284</v>
      </c>
      <c r="Q789" s="9" t="s">
        <v>13284</v>
      </c>
      <c r="R789" s="9" t="s">
        <v>13284</v>
      </c>
      <c r="S789" s="9" t="s">
        <v>13284</v>
      </c>
      <c r="T789" s="9" t="str">
        <f ca="1">IFERROR(IF(AND(VLOOKUP(A789, 'Актуальное состояние (из общего'!A:C,3,0) = "", A789 &lt;&gt; ""), "ПРОВЕРИТЬ", VLOOKUP(A789, 'Актуальное состояние (из общего'!A:C,3,0)), "")</f>
        <v>Студент</v>
      </c>
      <c r="U789" s="9" t="s">
        <v>13284</v>
      </c>
      <c r="V789" s="9" t="s">
        <v>13284</v>
      </c>
      <c r="W789" s="12"/>
      <c r="X789" s="9" t="str">
        <f t="array" ref="X789">IFERROR(INDEX('Адреса общежитий (скрытый)'!$B$2:$B$9, MATCH(W789, 'Адреса общежитий (скрытый)'!$A$2:$A$9, 0)), "")</f>
        <v/>
      </c>
      <c r="Y789" s="18"/>
      <c r="Z789" s="18"/>
      <c r="AA789" s="18"/>
      <c r="AB789" s="18"/>
      <c r="AC789" s="18"/>
    </row>
    <row r="790" spans="1:29" ht="32.25" customHeight="1">
      <c r="A790" s="8">
        <v>2312881</v>
      </c>
      <c r="B790" s="9" t="s">
        <v>13284</v>
      </c>
      <c r="C790" s="9" t="s">
        <v>13284</v>
      </c>
      <c r="D790" s="9" t="s">
        <v>13284</v>
      </c>
      <c r="E790" s="9" t="s">
        <v>13284</v>
      </c>
      <c r="F790" s="9" t="s">
        <v>13284</v>
      </c>
      <c r="G790" s="9" t="s">
        <v>13284</v>
      </c>
      <c r="H790" s="9" t="s">
        <v>13284</v>
      </c>
      <c r="I790" s="9" t="s">
        <v>13284</v>
      </c>
      <c r="J790" s="9" t="s">
        <v>13284</v>
      </c>
      <c r="K790" s="9" t="s">
        <v>13284</v>
      </c>
      <c r="L790" s="9" t="s">
        <v>13284</v>
      </c>
      <c r="M790" s="9" t="s">
        <v>13284</v>
      </c>
      <c r="N790" s="9" t="s">
        <v>13284</v>
      </c>
      <c r="O790" s="9" t="s">
        <v>13284</v>
      </c>
      <c r="P790" s="9" t="s">
        <v>13284</v>
      </c>
      <c r="Q790" s="9" t="s">
        <v>13284</v>
      </c>
      <c r="R790" s="9" t="s">
        <v>13284</v>
      </c>
      <c r="S790" s="9" t="s">
        <v>13284</v>
      </c>
      <c r="T790" s="9" t="str">
        <f ca="1">IFERROR(IF(AND(VLOOKUP(A790, 'Актуальное состояние (из общего'!A:C,3,0) = "", A790 &lt;&gt; ""), "ПРОВЕРИТЬ", VLOOKUP(A790, 'Актуальное состояние (из общего'!A:C,3,0)), "")</f>
        <v>Студент</v>
      </c>
      <c r="U790" s="9" t="s">
        <v>13284</v>
      </c>
      <c r="V790" s="9" t="s">
        <v>13284</v>
      </c>
      <c r="W790" s="12"/>
      <c r="X790" s="9" t="str">
        <f t="array" ref="X790">IFERROR(INDEX('Адреса общежитий (скрытый)'!$B$2:$B$9, MATCH(W790, 'Адреса общежитий (скрытый)'!$A$2:$A$9, 0)), "")</f>
        <v/>
      </c>
      <c r="Y790" s="18"/>
      <c r="Z790" s="18"/>
      <c r="AA790" s="18"/>
      <c r="AB790" s="18"/>
      <c r="AC790" s="18"/>
    </row>
    <row r="791" spans="1:29" ht="32.25" customHeight="1">
      <c r="A791" s="8">
        <v>2300340</v>
      </c>
      <c r="B791" s="9" t="s">
        <v>13284</v>
      </c>
      <c r="C791" s="9" t="s">
        <v>13284</v>
      </c>
      <c r="D791" s="9" t="s">
        <v>13284</v>
      </c>
      <c r="E791" s="9" t="s">
        <v>13284</v>
      </c>
      <c r="F791" s="9" t="s">
        <v>13284</v>
      </c>
      <c r="G791" s="9" t="s">
        <v>13284</v>
      </c>
      <c r="H791" s="9" t="s">
        <v>13284</v>
      </c>
      <c r="I791" s="9" t="s">
        <v>13284</v>
      </c>
      <c r="J791" s="9" t="s">
        <v>13284</v>
      </c>
      <c r="K791" s="9" t="s">
        <v>13284</v>
      </c>
      <c r="L791" s="9" t="s">
        <v>13284</v>
      </c>
      <c r="M791" s="9" t="s">
        <v>13284</v>
      </c>
      <c r="N791" s="9" t="s">
        <v>13284</v>
      </c>
      <c r="O791" s="9" t="s">
        <v>13284</v>
      </c>
      <c r="P791" s="9" t="s">
        <v>13284</v>
      </c>
      <c r="Q791" s="9" t="s">
        <v>13284</v>
      </c>
      <c r="R791" s="9" t="s">
        <v>13284</v>
      </c>
      <c r="S791" s="9" t="s">
        <v>13284</v>
      </c>
      <c r="T791" s="9" t="str">
        <f ca="1">IFERROR(IF(AND(VLOOKUP(A791, 'Актуальное состояние (из общего'!A:C,3,0) = "", A791 &lt;&gt; ""), "ПРОВЕРИТЬ", VLOOKUP(A791, 'Актуальное состояние (из общего'!A:C,3,0)), "")</f>
        <v>Студент</v>
      </c>
      <c r="U791" s="9" t="s">
        <v>13284</v>
      </c>
      <c r="V791" s="9" t="s">
        <v>13284</v>
      </c>
      <c r="W791" s="12"/>
      <c r="X791" s="9" t="str">
        <f t="array" ref="X791">IFERROR(INDEX('Адреса общежитий (скрытый)'!$B$2:$B$9, MATCH(W791, 'Адреса общежитий (скрытый)'!$A$2:$A$9, 0)), "")</f>
        <v/>
      </c>
      <c r="Y791" s="18"/>
      <c r="Z791" s="18"/>
      <c r="AA791" s="18"/>
      <c r="AB791" s="18"/>
      <c r="AC791" s="18"/>
    </row>
    <row r="792" spans="1:29" ht="32.25" customHeight="1">
      <c r="A792" s="8">
        <v>2314362</v>
      </c>
      <c r="B792" s="9" t="s">
        <v>13284</v>
      </c>
      <c r="C792" s="9" t="s">
        <v>13284</v>
      </c>
      <c r="D792" s="9" t="s">
        <v>13284</v>
      </c>
      <c r="E792" s="9" t="s">
        <v>13284</v>
      </c>
      <c r="F792" s="9" t="s">
        <v>13284</v>
      </c>
      <c r="G792" s="9" t="s">
        <v>13284</v>
      </c>
      <c r="H792" s="9" t="s">
        <v>13284</v>
      </c>
      <c r="I792" s="9" t="s">
        <v>13284</v>
      </c>
      <c r="J792" s="9" t="s">
        <v>13284</v>
      </c>
      <c r="K792" s="9" t="s">
        <v>13284</v>
      </c>
      <c r="L792" s="9" t="s">
        <v>13284</v>
      </c>
      <c r="M792" s="9" t="s">
        <v>13284</v>
      </c>
      <c r="N792" s="9" t="s">
        <v>13284</v>
      </c>
      <c r="O792" s="9" t="s">
        <v>13284</v>
      </c>
      <c r="P792" s="9" t="s">
        <v>13284</v>
      </c>
      <c r="Q792" s="9" t="s">
        <v>13284</v>
      </c>
      <c r="R792" s="9" t="s">
        <v>13284</v>
      </c>
      <c r="S792" s="9" t="s">
        <v>13284</v>
      </c>
      <c r="T792" s="9" t="str">
        <f ca="1">IFERROR(IF(AND(VLOOKUP(A792, 'Актуальное состояние (из общего'!A:C,3,0) = "", A792 &lt;&gt; ""), "ПРОВЕРИТЬ", VLOOKUP(A792, 'Актуальное состояние (из общего'!A:C,3,0)), "")</f>
        <v>Студент</v>
      </c>
      <c r="U792" s="9" t="s">
        <v>13284</v>
      </c>
      <c r="V792" s="9" t="s">
        <v>13284</v>
      </c>
      <c r="W792" s="12"/>
      <c r="X792" s="9" t="str">
        <f t="array" ref="X792">IFERROR(INDEX('Адреса общежитий (скрытый)'!$B$2:$B$9, MATCH(W792, 'Адреса общежитий (скрытый)'!$A$2:$A$9, 0)), "")</f>
        <v/>
      </c>
      <c r="Y792" s="18"/>
      <c r="Z792" s="18"/>
      <c r="AA792" s="18"/>
      <c r="AB792" s="18"/>
      <c r="AC792" s="18"/>
    </row>
    <row r="793" spans="1:29" ht="32.25" customHeight="1">
      <c r="A793" s="8">
        <v>2312706</v>
      </c>
      <c r="B793" s="9" t="s">
        <v>13284</v>
      </c>
      <c r="C793" s="9" t="s">
        <v>13284</v>
      </c>
      <c r="D793" s="9" t="s">
        <v>13284</v>
      </c>
      <c r="E793" s="9" t="s">
        <v>13284</v>
      </c>
      <c r="F793" s="9" t="s">
        <v>13284</v>
      </c>
      <c r="G793" s="9" t="s">
        <v>13284</v>
      </c>
      <c r="H793" s="9" t="s">
        <v>13284</v>
      </c>
      <c r="I793" s="9" t="s">
        <v>13284</v>
      </c>
      <c r="J793" s="9" t="s">
        <v>13284</v>
      </c>
      <c r="K793" s="9" t="s">
        <v>13284</v>
      </c>
      <c r="L793" s="9" t="s">
        <v>13284</v>
      </c>
      <c r="M793" s="9" t="s">
        <v>13284</v>
      </c>
      <c r="N793" s="9" t="s">
        <v>13284</v>
      </c>
      <c r="O793" s="9" t="s">
        <v>13284</v>
      </c>
      <c r="P793" s="9" t="s">
        <v>13284</v>
      </c>
      <c r="Q793" s="9" t="s">
        <v>13284</v>
      </c>
      <c r="R793" s="9" t="s">
        <v>13284</v>
      </c>
      <c r="S793" s="9" t="s">
        <v>13284</v>
      </c>
      <c r="T793" s="9" t="str">
        <f ca="1">IFERROR(IF(AND(VLOOKUP(A793, 'Актуальное состояние (из общего'!A:C,3,0) = "", A793 &lt;&gt; ""), "ПРОВЕРИТЬ", VLOOKUP(A793, 'Актуальное состояние (из общего'!A:C,3,0)), "")</f>
        <v>Студент</v>
      </c>
      <c r="U793" s="9" t="s">
        <v>13284</v>
      </c>
      <c r="V793" s="9" t="s">
        <v>13284</v>
      </c>
      <c r="W793" s="12"/>
      <c r="X793" s="9" t="str">
        <f t="array" ref="X793">IFERROR(INDEX('Адреса общежитий (скрытый)'!$B$2:$B$9, MATCH(W793, 'Адреса общежитий (скрытый)'!$A$2:$A$9, 0)), "")</f>
        <v/>
      </c>
      <c r="Y793" s="18"/>
      <c r="Z793" s="18"/>
      <c r="AA793" s="18"/>
      <c r="AB793" s="18"/>
      <c r="AC793" s="18"/>
    </row>
    <row r="794" spans="1:29" ht="32.25" customHeight="1">
      <c r="A794" s="8">
        <v>2312874</v>
      </c>
      <c r="B794" s="9" t="s">
        <v>13284</v>
      </c>
      <c r="C794" s="9" t="s">
        <v>13284</v>
      </c>
      <c r="D794" s="9" t="s">
        <v>13284</v>
      </c>
      <c r="E794" s="9" t="s">
        <v>13284</v>
      </c>
      <c r="F794" s="9" t="s">
        <v>13284</v>
      </c>
      <c r="G794" s="9" t="s">
        <v>13284</v>
      </c>
      <c r="H794" s="9" t="s">
        <v>13284</v>
      </c>
      <c r="I794" s="9" t="s">
        <v>13284</v>
      </c>
      <c r="J794" s="9" t="s">
        <v>13284</v>
      </c>
      <c r="K794" s="9" t="s">
        <v>13284</v>
      </c>
      <c r="L794" s="9" t="s">
        <v>13284</v>
      </c>
      <c r="M794" s="9" t="s">
        <v>13284</v>
      </c>
      <c r="N794" s="9" t="s">
        <v>13284</v>
      </c>
      <c r="O794" s="9" t="s">
        <v>13284</v>
      </c>
      <c r="P794" s="9" t="s">
        <v>13284</v>
      </c>
      <c r="Q794" s="9" t="s">
        <v>13284</v>
      </c>
      <c r="R794" s="9" t="s">
        <v>13284</v>
      </c>
      <c r="S794" s="9" t="s">
        <v>13284</v>
      </c>
      <c r="T794" s="9" t="str">
        <f ca="1">IFERROR(IF(AND(VLOOKUP(A794, 'Актуальное состояние (из общего'!A:C,3,0) = "", A794 &lt;&gt; ""), "ПРОВЕРИТЬ", VLOOKUP(A794, 'Актуальное состояние (из общего'!A:C,3,0)), "")</f>
        <v>Студент</v>
      </c>
      <c r="U794" s="9" t="s">
        <v>13284</v>
      </c>
      <c r="V794" s="9" t="s">
        <v>13284</v>
      </c>
      <c r="W794" s="12"/>
      <c r="X794" s="9" t="str">
        <f t="array" ref="X794">IFERROR(INDEX('Адреса общежитий (скрытый)'!$B$2:$B$9, MATCH(W794, 'Адреса общежитий (скрытый)'!$A$2:$A$9, 0)), "")</f>
        <v/>
      </c>
      <c r="Y794" s="18"/>
      <c r="Z794" s="18"/>
      <c r="AA794" s="18"/>
      <c r="AB794" s="18"/>
      <c r="AC794" s="18"/>
    </row>
    <row r="795" spans="1:29" ht="32.25" customHeight="1">
      <c r="A795" s="8">
        <v>2312925</v>
      </c>
      <c r="B795" s="9" t="s">
        <v>13284</v>
      </c>
      <c r="C795" s="9" t="s">
        <v>13284</v>
      </c>
      <c r="D795" s="9" t="s">
        <v>13284</v>
      </c>
      <c r="E795" s="9" t="s">
        <v>13284</v>
      </c>
      <c r="F795" s="9" t="s">
        <v>13284</v>
      </c>
      <c r="G795" s="9" t="s">
        <v>13284</v>
      </c>
      <c r="H795" s="9" t="s">
        <v>13284</v>
      </c>
      <c r="I795" s="9" t="s">
        <v>13284</v>
      </c>
      <c r="J795" s="9" t="s">
        <v>13284</v>
      </c>
      <c r="K795" s="9" t="s">
        <v>13284</v>
      </c>
      <c r="L795" s="9" t="s">
        <v>13284</v>
      </c>
      <c r="M795" s="9" t="s">
        <v>13284</v>
      </c>
      <c r="N795" s="9" t="s">
        <v>13284</v>
      </c>
      <c r="O795" s="9" t="s">
        <v>13284</v>
      </c>
      <c r="P795" s="9" t="s">
        <v>13284</v>
      </c>
      <c r="Q795" s="9" t="s">
        <v>13284</v>
      </c>
      <c r="R795" s="9" t="s">
        <v>13284</v>
      </c>
      <c r="S795" s="9" t="s">
        <v>13284</v>
      </c>
      <c r="T795" s="9" t="str">
        <f ca="1">IFERROR(IF(AND(VLOOKUP(A795, 'Актуальное состояние (из общего'!A:C,3,0) = "", A795 &lt;&gt; ""), "ПРОВЕРИТЬ", VLOOKUP(A795, 'Актуальное состояние (из общего'!A:C,3,0)), "")</f>
        <v>Студент</v>
      </c>
      <c r="U795" s="9" t="s">
        <v>13284</v>
      </c>
      <c r="V795" s="9" t="s">
        <v>13284</v>
      </c>
      <c r="W795" s="12"/>
      <c r="X795" s="9" t="str">
        <f t="array" ref="X795">IFERROR(INDEX('Адреса общежитий (скрытый)'!$B$2:$B$9, MATCH(W795, 'Адреса общежитий (скрытый)'!$A$2:$A$9, 0)), "")</f>
        <v/>
      </c>
      <c r="Y795" s="18"/>
      <c r="Z795" s="18"/>
      <c r="AA795" s="18"/>
      <c r="AB795" s="18"/>
      <c r="AC795" s="18"/>
    </row>
    <row r="796" spans="1:29" ht="32.25" customHeight="1">
      <c r="A796" s="8">
        <v>2312821</v>
      </c>
      <c r="B796" s="9" t="s">
        <v>13284</v>
      </c>
      <c r="C796" s="9" t="s">
        <v>13284</v>
      </c>
      <c r="D796" s="9" t="s">
        <v>13284</v>
      </c>
      <c r="E796" s="9" t="s">
        <v>13284</v>
      </c>
      <c r="F796" s="9" t="s">
        <v>13284</v>
      </c>
      <c r="G796" s="9" t="s">
        <v>13284</v>
      </c>
      <c r="H796" s="9" t="s">
        <v>13284</v>
      </c>
      <c r="I796" s="9" t="s">
        <v>13284</v>
      </c>
      <c r="J796" s="9" t="s">
        <v>13284</v>
      </c>
      <c r="K796" s="9" t="s">
        <v>13284</v>
      </c>
      <c r="L796" s="9" t="s">
        <v>13284</v>
      </c>
      <c r="M796" s="9" t="s">
        <v>13284</v>
      </c>
      <c r="N796" s="9" t="s">
        <v>13284</v>
      </c>
      <c r="O796" s="9" t="s">
        <v>13284</v>
      </c>
      <c r="P796" s="9" t="s">
        <v>13284</v>
      </c>
      <c r="Q796" s="9" t="s">
        <v>13284</v>
      </c>
      <c r="R796" s="9" t="s">
        <v>13284</v>
      </c>
      <c r="S796" s="9" t="s">
        <v>13284</v>
      </c>
      <c r="T796" s="9" t="str">
        <f ca="1">IFERROR(IF(AND(VLOOKUP(A796, 'Актуальное состояние (из общего'!A:C,3,0) = "", A796 &lt;&gt; ""), "ПРОВЕРИТЬ", VLOOKUP(A796, 'Актуальное состояние (из общего'!A:C,3,0)), "")</f>
        <v>Студент</v>
      </c>
      <c r="U796" s="9" t="s">
        <v>13284</v>
      </c>
      <c r="V796" s="9" t="s">
        <v>13284</v>
      </c>
      <c r="W796" s="12"/>
      <c r="X796" s="9" t="str">
        <f t="array" ref="X796">IFERROR(INDEX('Адреса общежитий (скрытый)'!$B$2:$B$9, MATCH(W796, 'Адреса общежитий (скрытый)'!$A$2:$A$9, 0)), "")</f>
        <v/>
      </c>
      <c r="Y796" s="18"/>
      <c r="Z796" s="18"/>
      <c r="AA796" s="18"/>
      <c r="AB796" s="18"/>
      <c r="AC796" s="18"/>
    </row>
    <row r="797" spans="1:29" ht="32.25" customHeight="1">
      <c r="A797" s="8">
        <v>2312892</v>
      </c>
      <c r="B797" s="9" t="s">
        <v>13284</v>
      </c>
      <c r="C797" s="9" t="s">
        <v>13284</v>
      </c>
      <c r="D797" s="9" t="s">
        <v>13284</v>
      </c>
      <c r="E797" s="9" t="s">
        <v>13284</v>
      </c>
      <c r="F797" s="9" t="s">
        <v>13284</v>
      </c>
      <c r="G797" s="9" t="s">
        <v>13284</v>
      </c>
      <c r="H797" s="9" t="s">
        <v>13284</v>
      </c>
      <c r="I797" s="9" t="s">
        <v>13284</v>
      </c>
      <c r="J797" s="9" t="s">
        <v>13284</v>
      </c>
      <c r="K797" s="9" t="s">
        <v>13284</v>
      </c>
      <c r="L797" s="9" t="s">
        <v>13284</v>
      </c>
      <c r="M797" s="9" t="s">
        <v>13284</v>
      </c>
      <c r="N797" s="9" t="s">
        <v>13284</v>
      </c>
      <c r="O797" s="9" t="s">
        <v>13284</v>
      </c>
      <c r="P797" s="9" t="s">
        <v>13284</v>
      </c>
      <c r="Q797" s="9" t="s">
        <v>13284</v>
      </c>
      <c r="R797" s="9" t="s">
        <v>13284</v>
      </c>
      <c r="S797" s="9" t="s">
        <v>13284</v>
      </c>
      <c r="T797" s="9" t="str">
        <f ca="1">IFERROR(IF(AND(VLOOKUP(A797, 'Актуальное состояние (из общего'!A:C,3,0) = "", A797 &lt;&gt; ""), "ПРОВЕРИТЬ", VLOOKUP(A797, 'Актуальное состояние (из общего'!A:C,3,0)), "")</f>
        <v>Студент</v>
      </c>
      <c r="U797" s="9" t="s">
        <v>13284</v>
      </c>
      <c r="V797" s="9" t="s">
        <v>13284</v>
      </c>
      <c r="W797" s="12"/>
      <c r="X797" s="9" t="str">
        <f t="array" ref="X797">IFERROR(INDEX('Адреса общежитий (скрытый)'!$B$2:$B$9, MATCH(W797, 'Адреса общежитий (скрытый)'!$A$2:$A$9, 0)), "")</f>
        <v/>
      </c>
      <c r="Y797" s="18"/>
      <c r="Z797" s="18"/>
      <c r="AA797" s="18"/>
      <c r="AB797" s="18"/>
      <c r="AC797" s="18"/>
    </row>
    <row r="798" spans="1:29" ht="32.25" customHeight="1">
      <c r="A798" s="8">
        <v>2300304</v>
      </c>
      <c r="B798" s="9" t="s">
        <v>13284</v>
      </c>
      <c r="C798" s="9" t="s">
        <v>13284</v>
      </c>
      <c r="D798" s="9" t="s">
        <v>13284</v>
      </c>
      <c r="E798" s="9" t="s">
        <v>13284</v>
      </c>
      <c r="F798" s="9" t="s">
        <v>13284</v>
      </c>
      <c r="G798" s="9" t="s">
        <v>13284</v>
      </c>
      <c r="H798" s="9" t="s">
        <v>13284</v>
      </c>
      <c r="I798" s="9" t="s">
        <v>13284</v>
      </c>
      <c r="J798" s="9" t="s">
        <v>13284</v>
      </c>
      <c r="K798" s="9" t="s">
        <v>13284</v>
      </c>
      <c r="L798" s="9" t="s">
        <v>13284</v>
      </c>
      <c r="M798" s="9" t="s">
        <v>13284</v>
      </c>
      <c r="N798" s="9" t="s">
        <v>13284</v>
      </c>
      <c r="O798" s="9" t="s">
        <v>13284</v>
      </c>
      <c r="P798" s="9" t="s">
        <v>13284</v>
      </c>
      <c r="Q798" s="9" t="s">
        <v>13284</v>
      </c>
      <c r="R798" s="9" t="s">
        <v>13284</v>
      </c>
      <c r="S798" s="9" t="s">
        <v>13284</v>
      </c>
      <c r="T798" s="9" t="str">
        <f ca="1">IFERROR(IF(AND(VLOOKUP(A798, 'Актуальное состояние (из общего'!A:C,3,0) = "", A798 &lt;&gt; ""), "ПРОВЕРИТЬ", VLOOKUP(A798, 'Актуальное состояние (из общего'!A:C,3,0)), "")</f>
        <v>Аспирант</v>
      </c>
      <c r="U798" s="9" t="s">
        <v>13284</v>
      </c>
      <c r="V798" s="9" t="s">
        <v>13284</v>
      </c>
      <c r="W798" s="12" t="s">
        <v>389</v>
      </c>
      <c r="X798" s="9" t="str">
        <f t="array" ref="X798">IFERROR(INDEX('Адреса общежитий (скрытый)'!$B$2:$B$9, MATCH(W798, 'Адреса общежитий (скрытый)'!$A$2:$A$9, 0)), "")</f>
        <v>2-ой Донской проезд, д. 9</v>
      </c>
      <c r="Y798" s="18"/>
      <c r="Z798" s="18"/>
      <c r="AA798" s="18"/>
      <c r="AB798" s="18"/>
      <c r="AC798" s="18"/>
    </row>
    <row r="799" spans="1:29" ht="32.25" customHeight="1">
      <c r="A799" s="8">
        <v>2300305</v>
      </c>
      <c r="B799" s="9" t="s">
        <v>13284</v>
      </c>
      <c r="C799" s="9" t="s">
        <v>13284</v>
      </c>
      <c r="D799" s="9" t="s">
        <v>13284</v>
      </c>
      <c r="E799" s="9" t="s">
        <v>13284</v>
      </c>
      <c r="F799" s="9" t="s">
        <v>13284</v>
      </c>
      <c r="G799" s="9" t="s">
        <v>13284</v>
      </c>
      <c r="H799" s="9" t="s">
        <v>13284</v>
      </c>
      <c r="I799" s="9" t="s">
        <v>13284</v>
      </c>
      <c r="J799" s="9" t="s">
        <v>13284</v>
      </c>
      <c r="K799" s="9" t="s">
        <v>13284</v>
      </c>
      <c r="L799" s="9" t="s">
        <v>13284</v>
      </c>
      <c r="M799" s="9" t="s">
        <v>13284</v>
      </c>
      <c r="N799" s="9" t="s">
        <v>13284</v>
      </c>
      <c r="O799" s="9" t="s">
        <v>13284</v>
      </c>
      <c r="P799" s="9" t="s">
        <v>13284</v>
      </c>
      <c r="Q799" s="9" t="s">
        <v>13284</v>
      </c>
      <c r="R799" s="9" t="s">
        <v>13284</v>
      </c>
      <c r="S799" s="9" t="s">
        <v>13284</v>
      </c>
      <c r="T799" s="9" t="str">
        <f ca="1">IFERROR(IF(AND(VLOOKUP(A799, 'Актуальное состояние (из общего'!A:C,3,0) = "", A799 &lt;&gt; ""), "ПРОВЕРИТЬ", VLOOKUP(A799, 'Актуальное состояние (из общего'!A:C,3,0)), "")</f>
        <v>Аспирант</v>
      </c>
      <c r="U799" s="9" t="s">
        <v>13284</v>
      </c>
      <c r="V799" s="9" t="s">
        <v>13284</v>
      </c>
      <c r="W799" s="12" t="s">
        <v>389</v>
      </c>
      <c r="X799" s="9" t="str">
        <f t="array" ref="X799">IFERROR(INDEX('Адреса общежитий (скрытый)'!$B$2:$B$9, MATCH(W799, 'Адреса общежитий (скрытый)'!$A$2:$A$9, 0)), "")</f>
        <v>2-ой Донской проезд, д. 9</v>
      </c>
      <c r="Y799" s="18"/>
      <c r="Z799" s="18"/>
      <c r="AA799" s="18"/>
      <c r="AB799" s="18"/>
      <c r="AC799" s="18"/>
    </row>
    <row r="800" spans="1:29" ht="32.25" hidden="1" customHeight="1">
      <c r="A800" s="8">
        <v>2306604</v>
      </c>
      <c r="B800" s="9" t="s">
        <v>13284</v>
      </c>
      <c r="C800" s="9" t="s">
        <v>13284</v>
      </c>
      <c r="D800" s="9" t="s">
        <v>13284</v>
      </c>
      <c r="E800" s="9" t="s">
        <v>13284</v>
      </c>
      <c r="F800" s="9" t="s">
        <v>13284</v>
      </c>
      <c r="G800" s="9" t="s">
        <v>13284</v>
      </c>
      <c r="H800" s="9" t="s">
        <v>13284</v>
      </c>
      <c r="I800" s="9" t="s">
        <v>13284</v>
      </c>
      <c r="J800" s="9" t="s">
        <v>13284</v>
      </c>
      <c r="K800" s="9" t="s">
        <v>13284</v>
      </c>
      <c r="L800" s="9" t="s">
        <v>13284</v>
      </c>
      <c r="M800" s="9" t="s">
        <v>13284</v>
      </c>
      <c r="N800" s="9" t="s">
        <v>13284</v>
      </c>
      <c r="O800" s="9" t="s">
        <v>13284</v>
      </c>
      <c r="P800" s="9" t="s">
        <v>13284</v>
      </c>
      <c r="Q800" s="9" t="s">
        <v>13284</v>
      </c>
      <c r="R800" s="9" t="s">
        <v>13284</v>
      </c>
      <c r="S800" s="9" t="s">
        <v>13284</v>
      </c>
      <c r="T800" s="9" t="str">
        <f ca="1">IFERROR(IF(AND(VLOOKUP(A800, 'Актуальное состояние (из общего'!A:C,3,0) = "", A800 &lt;&gt; ""), "ПРОВЕРИТЬ", VLOOKUP(A800, 'Актуальное состояние (из общего'!A:C,3,0)), "")</f>
        <v>Аспирант</v>
      </c>
      <c r="U800" s="9" t="s">
        <v>13284</v>
      </c>
      <c r="V800" s="9" t="s">
        <v>13284</v>
      </c>
      <c r="W800" s="12" t="s">
        <v>389</v>
      </c>
      <c r="X800" s="9" t="str">
        <f t="array" ref="X800">IFERROR(INDEX('Адреса общежитий (скрытый)'!$B$2:$B$9, MATCH(W800, 'Адреса общежитий (скрытый)'!$A$2:$A$9, 0)), "")</f>
        <v>2-ой Донской проезд, д. 9</v>
      </c>
      <c r="Y800" s="18"/>
      <c r="Z800" s="18"/>
      <c r="AA800" s="18"/>
      <c r="AB800" s="18"/>
      <c r="AC800" s="18"/>
    </row>
    <row r="801" spans="1:29" ht="32.25" customHeight="1">
      <c r="A801" s="8">
        <v>2311394</v>
      </c>
      <c r="B801" s="9" t="s">
        <v>13284</v>
      </c>
      <c r="C801" s="9" t="s">
        <v>13284</v>
      </c>
      <c r="D801" s="9" t="s">
        <v>13284</v>
      </c>
      <c r="E801" s="9" t="s">
        <v>13284</v>
      </c>
      <c r="F801" s="9" t="s">
        <v>13284</v>
      </c>
      <c r="G801" s="9" t="s">
        <v>13284</v>
      </c>
      <c r="H801" s="9" t="s">
        <v>13284</v>
      </c>
      <c r="I801" s="9" t="s">
        <v>13284</v>
      </c>
      <c r="J801" s="9" t="s">
        <v>13284</v>
      </c>
      <c r="K801" s="9" t="s">
        <v>13284</v>
      </c>
      <c r="L801" s="9" t="s">
        <v>13284</v>
      </c>
      <c r="M801" s="9" t="s">
        <v>13284</v>
      </c>
      <c r="N801" s="9" t="s">
        <v>13284</v>
      </c>
      <c r="O801" s="9" t="s">
        <v>13284</v>
      </c>
      <c r="P801" s="9" t="s">
        <v>13284</v>
      </c>
      <c r="Q801" s="9" t="s">
        <v>13284</v>
      </c>
      <c r="R801" s="9" t="s">
        <v>13284</v>
      </c>
      <c r="S801" s="9" t="s">
        <v>13284</v>
      </c>
      <c r="T801" s="9" t="str">
        <f ca="1">IFERROR(IF(AND(VLOOKUP(A801, 'Актуальное состояние (из общего'!A:C,3,0) = "", A801 &lt;&gt; ""), "ПРОВЕРИТЬ", VLOOKUP(A801, 'Актуальное состояние (из общего'!A:C,3,0)), "")</f>
        <v>Аспирант</v>
      </c>
      <c r="U801" s="9" t="s">
        <v>13284</v>
      </c>
      <c r="V801" s="9" t="s">
        <v>13284</v>
      </c>
      <c r="W801" s="12" t="s">
        <v>389</v>
      </c>
      <c r="X801" s="9" t="str">
        <f t="array" ref="X801">IFERROR(INDEX('Адреса общежитий (скрытый)'!$B$2:$B$9, MATCH(W801, 'Адреса общежитий (скрытый)'!$A$2:$A$9, 0)), "")</f>
        <v>2-ой Донской проезд, д. 9</v>
      </c>
      <c r="Y801" s="18"/>
      <c r="Z801" s="18"/>
      <c r="AA801" s="18"/>
      <c r="AB801" s="18"/>
      <c r="AC801" s="18"/>
    </row>
    <row r="802" spans="1:29" ht="32.25" customHeight="1">
      <c r="A802" s="8">
        <v>2311235</v>
      </c>
      <c r="B802" s="9" t="s">
        <v>13284</v>
      </c>
      <c r="C802" s="9" t="s">
        <v>13284</v>
      </c>
      <c r="D802" s="9" t="s">
        <v>13284</v>
      </c>
      <c r="E802" s="9" t="s">
        <v>13284</v>
      </c>
      <c r="F802" s="9" t="s">
        <v>13284</v>
      </c>
      <c r="G802" s="9" t="s">
        <v>13284</v>
      </c>
      <c r="H802" s="9" t="s">
        <v>13284</v>
      </c>
      <c r="I802" s="9" t="s">
        <v>13284</v>
      </c>
      <c r="J802" s="9" t="s">
        <v>13284</v>
      </c>
      <c r="K802" s="9" t="s">
        <v>13284</v>
      </c>
      <c r="L802" s="9" t="s">
        <v>13284</v>
      </c>
      <c r="M802" s="9" t="s">
        <v>13284</v>
      </c>
      <c r="N802" s="9" t="s">
        <v>13284</v>
      </c>
      <c r="O802" s="9" t="s">
        <v>13284</v>
      </c>
      <c r="P802" s="9" t="s">
        <v>13284</v>
      </c>
      <c r="Q802" s="9" t="s">
        <v>13284</v>
      </c>
      <c r="R802" s="9" t="s">
        <v>13284</v>
      </c>
      <c r="S802" s="9" t="s">
        <v>13284</v>
      </c>
      <c r="T802" s="9" t="str">
        <f ca="1">IFERROR(IF(AND(VLOOKUP(A802, 'Актуальное состояние (из общего'!A:C,3,0) = "", A802 &lt;&gt; ""), "ПРОВЕРИТЬ", VLOOKUP(A802, 'Актуальное состояние (из общего'!A:C,3,0)), "")</f>
        <v>Аспирант</v>
      </c>
      <c r="U802" s="9" t="s">
        <v>13284</v>
      </c>
      <c r="V802" s="9" t="s">
        <v>13284</v>
      </c>
      <c r="W802" s="12" t="s">
        <v>389</v>
      </c>
      <c r="X802" s="9" t="str">
        <f t="array" ref="X802">IFERROR(INDEX('Адреса общежитий (скрытый)'!$B$2:$B$9, MATCH(W802, 'Адреса общежитий (скрытый)'!$A$2:$A$9, 0)), "")</f>
        <v>2-ой Донской проезд, д. 9</v>
      </c>
      <c r="Y802" s="18"/>
      <c r="Z802" s="18"/>
      <c r="AA802" s="18"/>
      <c r="AB802" s="18"/>
      <c r="AC802" s="18"/>
    </row>
    <row r="803" spans="1:29" ht="32.25" hidden="1" customHeight="1">
      <c r="A803" s="8">
        <v>2311992</v>
      </c>
      <c r="B803" s="9" t="s">
        <v>13284</v>
      </c>
      <c r="C803" s="9" t="s">
        <v>13284</v>
      </c>
      <c r="D803" s="9" t="s">
        <v>13284</v>
      </c>
      <c r="E803" s="9" t="s">
        <v>13284</v>
      </c>
      <c r="F803" s="9" t="s">
        <v>13284</v>
      </c>
      <c r="G803" s="9" t="s">
        <v>13284</v>
      </c>
      <c r="H803" s="9" t="s">
        <v>13284</v>
      </c>
      <c r="I803" s="9" t="s">
        <v>13284</v>
      </c>
      <c r="J803" s="9" t="s">
        <v>13284</v>
      </c>
      <c r="K803" s="9" t="s">
        <v>13284</v>
      </c>
      <c r="L803" s="9" t="s">
        <v>13284</v>
      </c>
      <c r="M803" s="9" t="s">
        <v>13284</v>
      </c>
      <c r="N803" s="9" t="s">
        <v>13284</v>
      </c>
      <c r="O803" s="9" t="s">
        <v>13284</v>
      </c>
      <c r="P803" s="9" t="s">
        <v>13284</v>
      </c>
      <c r="Q803" s="9" t="s">
        <v>13284</v>
      </c>
      <c r="R803" s="9" t="s">
        <v>13284</v>
      </c>
      <c r="S803" s="9" t="s">
        <v>13284</v>
      </c>
      <c r="T803" s="9" t="str">
        <f ca="1">IFERROR(IF(AND(VLOOKUP(A803, 'Актуальное состояние (из общего'!A:C,3,0) = "", A803 &lt;&gt; ""), "ПРОВЕРИТЬ", VLOOKUP(A803, 'Актуальное состояние (из общего'!A:C,3,0)), "")</f>
        <v>Аспирант</v>
      </c>
      <c r="U803" s="9" t="s">
        <v>13284</v>
      </c>
      <c r="V803" s="9" t="s">
        <v>13284</v>
      </c>
      <c r="W803" s="12" t="s">
        <v>389</v>
      </c>
      <c r="X803" s="9" t="str">
        <f t="array" ref="X803">IFERROR(INDEX('Адреса общежитий (скрытый)'!$B$2:$B$9, MATCH(W803, 'Адреса общежитий (скрытый)'!$A$2:$A$9, 0)), "")</f>
        <v>2-ой Донской проезд, д. 9</v>
      </c>
      <c r="Y803" s="18"/>
      <c r="Z803" s="18"/>
      <c r="AA803" s="18"/>
      <c r="AB803" s="18"/>
      <c r="AC803" s="18"/>
    </row>
    <row r="804" spans="1:29" ht="32.25" hidden="1" customHeight="1">
      <c r="A804" s="8">
        <v>2312980</v>
      </c>
      <c r="B804" s="9" t="s">
        <v>13284</v>
      </c>
      <c r="C804" s="9" t="s">
        <v>13284</v>
      </c>
      <c r="D804" s="9" t="s">
        <v>13284</v>
      </c>
      <c r="E804" s="9" t="s">
        <v>13284</v>
      </c>
      <c r="F804" s="9" t="s">
        <v>13284</v>
      </c>
      <c r="G804" s="9" t="s">
        <v>13284</v>
      </c>
      <c r="H804" s="9" t="s">
        <v>13284</v>
      </c>
      <c r="I804" s="9" t="s">
        <v>13284</v>
      </c>
      <c r="J804" s="9" t="s">
        <v>13284</v>
      </c>
      <c r="K804" s="9" t="s">
        <v>13284</v>
      </c>
      <c r="L804" s="9" t="s">
        <v>13284</v>
      </c>
      <c r="M804" s="9" t="s">
        <v>13284</v>
      </c>
      <c r="N804" s="9" t="s">
        <v>13284</v>
      </c>
      <c r="O804" s="9" t="s">
        <v>13284</v>
      </c>
      <c r="P804" s="9" t="s">
        <v>13284</v>
      </c>
      <c r="Q804" s="9" t="s">
        <v>13284</v>
      </c>
      <c r="R804" s="9" t="s">
        <v>13284</v>
      </c>
      <c r="S804" s="9" t="s">
        <v>13284</v>
      </c>
      <c r="T804" s="9" t="str">
        <f ca="1">IFERROR(IF(AND(VLOOKUP(A804, 'Актуальное состояние (из общего'!A:C,3,0) = "", A804 &lt;&gt; ""), "ПРОВЕРИТЬ", VLOOKUP(A804, 'Актуальное состояние (из общего'!A:C,3,0)), "")</f>
        <v>Аспирант</v>
      </c>
      <c r="U804" s="9" t="s">
        <v>13284</v>
      </c>
      <c r="V804" s="9" t="s">
        <v>13284</v>
      </c>
      <c r="W804" s="12" t="s">
        <v>389</v>
      </c>
      <c r="X804" s="9" t="str">
        <f t="array" ref="X804">IFERROR(INDEX('Адреса общежитий (скрытый)'!$B$2:$B$9, MATCH(W804, 'Адреса общежитий (скрытый)'!$A$2:$A$9, 0)), "")</f>
        <v>2-ой Донской проезд, д. 9</v>
      </c>
      <c r="Y804" s="18"/>
      <c r="Z804" s="18"/>
      <c r="AA804" s="18"/>
      <c r="AB804" s="18"/>
      <c r="AC804" s="18"/>
    </row>
    <row r="805" spans="1:29" ht="32.25" hidden="1" customHeight="1">
      <c r="A805" s="8">
        <v>2310348</v>
      </c>
      <c r="B805" s="9" t="s">
        <v>13284</v>
      </c>
      <c r="C805" s="9" t="s">
        <v>13284</v>
      </c>
      <c r="D805" s="9" t="s">
        <v>13284</v>
      </c>
      <c r="E805" s="9" t="s">
        <v>13284</v>
      </c>
      <c r="F805" s="9" t="s">
        <v>13284</v>
      </c>
      <c r="G805" s="9" t="s">
        <v>13284</v>
      </c>
      <c r="H805" s="9" t="s">
        <v>13284</v>
      </c>
      <c r="I805" s="9" t="s">
        <v>13284</v>
      </c>
      <c r="J805" s="9" t="s">
        <v>13284</v>
      </c>
      <c r="K805" s="9" t="s">
        <v>13284</v>
      </c>
      <c r="L805" s="9" t="s">
        <v>13284</v>
      </c>
      <c r="M805" s="9" t="s">
        <v>13284</v>
      </c>
      <c r="N805" s="9" t="s">
        <v>13284</v>
      </c>
      <c r="O805" s="9" t="s">
        <v>13284</v>
      </c>
      <c r="P805" s="9" t="s">
        <v>13284</v>
      </c>
      <c r="Q805" s="9" t="s">
        <v>13284</v>
      </c>
      <c r="R805" s="9" t="s">
        <v>13284</v>
      </c>
      <c r="S805" s="9" t="s">
        <v>13284</v>
      </c>
      <c r="T805" s="9" t="str">
        <f ca="1">IFERROR(IF(AND(VLOOKUP(A805, 'Актуальное состояние (из общего'!A:C,3,0) = "", A805 &lt;&gt; ""), "ПРОВЕРИТЬ", VLOOKUP(A805, 'Актуальное состояние (из общего'!A:C,3,0)), "")</f>
        <v>Аспирант</v>
      </c>
      <c r="U805" s="9" t="s">
        <v>13284</v>
      </c>
      <c r="V805" s="9" t="s">
        <v>13284</v>
      </c>
      <c r="W805" s="12" t="s">
        <v>389</v>
      </c>
      <c r="X805" s="9" t="str">
        <f t="array" ref="X805">IFERROR(INDEX('Адреса общежитий (скрытый)'!$B$2:$B$9, MATCH(W805, 'Адреса общежитий (скрытый)'!$A$2:$A$9, 0)), "")</f>
        <v>2-ой Донской проезд, д. 9</v>
      </c>
      <c r="Y805" s="18"/>
      <c r="Z805" s="18"/>
      <c r="AA805" s="18"/>
      <c r="AB805" s="18"/>
      <c r="AC805" s="18"/>
    </row>
    <row r="806" spans="1:29" ht="32.25" hidden="1" customHeight="1">
      <c r="A806" s="8">
        <v>2309995</v>
      </c>
      <c r="B806" s="9" t="s">
        <v>13284</v>
      </c>
      <c r="C806" s="9" t="s">
        <v>13284</v>
      </c>
      <c r="D806" s="9" t="s">
        <v>13284</v>
      </c>
      <c r="E806" s="9" t="s">
        <v>13284</v>
      </c>
      <c r="F806" s="9" t="s">
        <v>13284</v>
      </c>
      <c r="G806" s="9" t="s">
        <v>13284</v>
      </c>
      <c r="H806" s="9" t="s">
        <v>13284</v>
      </c>
      <c r="I806" s="9" t="s">
        <v>13284</v>
      </c>
      <c r="J806" s="9" t="s">
        <v>13284</v>
      </c>
      <c r="K806" s="9" t="s">
        <v>13284</v>
      </c>
      <c r="L806" s="9" t="s">
        <v>13284</v>
      </c>
      <c r="M806" s="9" t="s">
        <v>13284</v>
      </c>
      <c r="N806" s="9" t="s">
        <v>13284</v>
      </c>
      <c r="O806" s="9" t="s">
        <v>13284</v>
      </c>
      <c r="P806" s="9" t="s">
        <v>13284</v>
      </c>
      <c r="Q806" s="9" t="s">
        <v>13284</v>
      </c>
      <c r="R806" s="9" t="s">
        <v>13284</v>
      </c>
      <c r="S806" s="9" t="s">
        <v>13284</v>
      </c>
      <c r="T806" s="9" t="str">
        <f ca="1">IFERROR(IF(AND(VLOOKUP(A806, 'Актуальное состояние (из общего'!A:C,3,0) = "", A806 &lt;&gt; ""), "ПРОВЕРИТЬ", VLOOKUP(A806, 'Актуальное состояние (из общего'!A:C,3,0)), "")</f>
        <v>Аспирант</v>
      </c>
      <c r="U806" s="9" t="s">
        <v>13284</v>
      </c>
      <c r="V806" s="9" t="s">
        <v>13284</v>
      </c>
      <c r="W806" s="12" t="s">
        <v>389</v>
      </c>
      <c r="X806" s="9" t="str">
        <f t="array" ref="X806">IFERROR(INDEX('Адреса общежитий (скрытый)'!$B$2:$B$9, MATCH(W806, 'Адреса общежитий (скрытый)'!$A$2:$A$9, 0)), "")</f>
        <v>2-ой Донской проезд, д. 9</v>
      </c>
      <c r="Y806" s="18"/>
      <c r="Z806" s="18"/>
      <c r="AA806" s="18"/>
      <c r="AB806" s="18"/>
      <c r="AC806" s="18"/>
    </row>
    <row r="807" spans="1:29" ht="32.25" hidden="1" customHeight="1">
      <c r="A807" s="8">
        <v>2309727</v>
      </c>
      <c r="B807" s="9" t="s">
        <v>13284</v>
      </c>
      <c r="C807" s="9" t="s">
        <v>13284</v>
      </c>
      <c r="D807" s="9" t="s">
        <v>13284</v>
      </c>
      <c r="E807" s="9" t="s">
        <v>13284</v>
      </c>
      <c r="F807" s="9" t="s">
        <v>13284</v>
      </c>
      <c r="G807" s="9" t="s">
        <v>13284</v>
      </c>
      <c r="H807" s="9" t="s">
        <v>13284</v>
      </c>
      <c r="I807" s="9" t="s">
        <v>13284</v>
      </c>
      <c r="J807" s="9" t="s">
        <v>13284</v>
      </c>
      <c r="K807" s="9" t="s">
        <v>13284</v>
      </c>
      <c r="L807" s="9" t="s">
        <v>13284</v>
      </c>
      <c r="M807" s="9" t="s">
        <v>13284</v>
      </c>
      <c r="N807" s="9" t="s">
        <v>13284</v>
      </c>
      <c r="O807" s="9" t="s">
        <v>13284</v>
      </c>
      <c r="P807" s="9" t="s">
        <v>13284</v>
      </c>
      <c r="Q807" s="9" t="s">
        <v>13284</v>
      </c>
      <c r="R807" s="9" t="s">
        <v>13284</v>
      </c>
      <c r="S807" s="9" t="s">
        <v>13284</v>
      </c>
      <c r="T807" s="9" t="str">
        <f ca="1">IFERROR(IF(AND(VLOOKUP(A807, 'Актуальное состояние (из общего'!A:C,3,0) = "", A807 &lt;&gt; ""), "ПРОВЕРИТЬ", VLOOKUP(A807, 'Актуальное состояние (из общего'!A:C,3,0)), "")</f>
        <v>Аспирант</v>
      </c>
      <c r="U807" s="9" t="s">
        <v>13284</v>
      </c>
      <c r="V807" s="9" t="s">
        <v>13284</v>
      </c>
      <c r="W807" s="12" t="s">
        <v>389</v>
      </c>
      <c r="X807" s="9" t="str">
        <f t="array" ref="X807">IFERROR(INDEX('Адреса общежитий (скрытый)'!$B$2:$B$9, MATCH(W807, 'Адреса общежитий (скрытый)'!$A$2:$A$9, 0)), "")</f>
        <v>2-ой Донской проезд, д. 9</v>
      </c>
      <c r="Y807" s="18"/>
      <c r="Z807" s="18"/>
      <c r="AA807" s="18"/>
      <c r="AB807" s="18"/>
      <c r="AC807" s="18"/>
    </row>
    <row r="808" spans="1:29" ht="32.25" customHeight="1">
      <c r="A808" s="8">
        <v>2308845</v>
      </c>
      <c r="B808" s="9" t="s">
        <v>13284</v>
      </c>
      <c r="C808" s="9" t="s">
        <v>13284</v>
      </c>
      <c r="D808" s="9" t="s">
        <v>13284</v>
      </c>
      <c r="E808" s="9" t="s">
        <v>13284</v>
      </c>
      <c r="F808" s="9" t="s">
        <v>13284</v>
      </c>
      <c r="G808" s="9" t="s">
        <v>13284</v>
      </c>
      <c r="H808" s="9" t="s">
        <v>13284</v>
      </c>
      <c r="I808" s="9" t="s">
        <v>13284</v>
      </c>
      <c r="J808" s="9" t="s">
        <v>13284</v>
      </c>
      <c r="K808" s="9" t="s">
        <v>13284</v>
      </c>
      <c r="L808" s="9" t="s">
        <v>13284</v>
      </c>
      <c r="M808" s="9" t="s">
        <v>13284</v>
      </c>
      <c r="N808" s="9" t="s">
        <v>13284</v>
      </c>
      <c r="O808" s="9" t="s">
        <v>13284</v>
      </c>
      <c r="P808" s="9" t="s">
        <v>13284</v>
      </c>
      <c r="Q808" s="9" t="s">
        <v>13284</v>
      </c>
      <c r="R808" s="9" t="s">
        <v>13284</v>
      </c>
      <c r="S808" s="9" t="s">
        <v>13284</v>
      </c>
      <c r="T808" s="9" t="str">
        <f ca="1">IFERROR(IF(AND(VLOOKUP(A808, 'Актуальное состояние (из общего'!A:C,3,0) = "", A808 &lt;&gt; ""), "ПРОВЕРИТЬ", VLOOKUP(A808, 'Актуальное состояние (из общего'!A:C,3,0)), "")</f>
        <v>Аспирант</v>
      </c>
      <c r="U808" s="9" t="s">
        <v>13284</v>
      </c>
      <c r="V808" s="9" t="s">
        <v>13284</v>
      </c>
      <c r="W808" s="12" t="s">
        <v>389</v>
      </c>
      <c r="X808" s="9" t="str">
        <f t="array" ref="X808">IFERROR(INDEX('Адреса общежитий (скрытый)'!$B$2:$B$9, MATCH(W808, 'Адреса общежитий (скрытый)'!$A$2:$A$9, 0)), "")</f>
        <v>2-ой Донской проезд, д. 9</v>
      </c>
      <c r="Y808" s="18"/>
      <c r="Z808" s="18"/>
      <c r="AA808" s="18"/>
      <c r="AB808" s="18"/>
      <c r="AC808" s="18"/>
    </row>
    <row r="809" spans="1:29" ht="32.25" hidden="1" customHeight="1">
      <c r="A809" s="8">
        <v>2311803</v>
      </c>
      <c r="B809" s="9" t="s">
        <v>13284</v>
      </c>
      <c r="C809" s="9" t="s">
        <v>13284</v>
      </c>
      <c r="D809" s="9" t="s">
        <v>13284</v>
      </c>
      <c r="E809" s="9" t="s">
        <v>13284</v>
      </c>
      <c r="F809" s="9" t="s">
        <v>13284</v>
      </c>
      <c r="G809" s="9" t="s">
        <v>13284</v>
      </c>
      <c r="H809" s="9" t="s">
        <v>13284</v>
      </c>
      <c r="I809" s="9" t="s">
        <v>13284</v>
      </c>
      <c r="J809" s="9" t="s">
        <v>13284</v>
      </c>
      <c r="K809" s="9" t="s">
        <v>13284</v>
      </c>
      <c r="L809" s="9" t="s">
        <v>13284</v>
      </c>
      <c r="M809" s="9" t="s">
        <v>13284</v>
      </c>
      <c r="N809" s="9" t="s">
        <v>13284</v>
      </c>
      <c r="O809" s="9" t="s">
        <v>13284</v>
      </c>
      <c r="P809" s="9" t="s">
        <v>13284</v>
      </c>
      <c r="Q809" s="9" t="s">
        <v>13284</v>
      </c>
      <c r="R809" s="9" t="s">
        <v>13284</v>
      </c>
      <c r="S809" s="9" t="s">
        <v>13284</v>
      </c>
      <c r="T809" s="9" t="str">
        <f ca="1">IFERROR(IF(AND(VLOOKUP(A809, 'Актуальное состояние (из общего'!A:C,3,0) = "", A809 &lt;&gt; ""), "ПРОВЕРИТЬ", VLOOKUP(A809, 'Актуальное состояние (из общего'!A:C,3,0)), "")</f>
        <v>Аспирант</v>
      </c>
      <c r="U809" s="9" t="s">
        <v>13284</v>
      </c>
      <c r="V809" s="9" t="s">
        <v>13284</v>
      </c>
      <c r="W809" s="12" t="s">
        <v>389</v>
      </c>
      <c r="X809" s="9" t="str">
        <f t="array" ref="X809">IFERROR(INDEX('Адреса общежитий (скрытый)'!$B$2:$B$9, MATCH(W809, 'Адреса общежитий (скрытый)'!$A$2:$A$9, 0)), "")</f>
        <v>2-ой Донской проезд, д. 9</v>
      </c>
      <c r="Y809" s="18"/>
      <c r="Z809" s="18"/>
      <c r="AA809" s="18"/>
      <c r="AB809" s="18"/>
      <c r="AC809" s="18"/>
    </row>
    <row r="810" spans="1:29" ht="32.25" customHeight="1">
      <c r="A810" s="8">
        <v>2300102</v>
      </c>
      <c r="B810" s="9" t="s">
        <v>13284</v>
      </c>
      <c r="C810" s="9" t="s">
        <v>13284</v>
      </c>
      <c r="D810" s="9" t="s">
        <v>13284</v>
      </c>
      <c r="E810" s="9" t="s">
        <v>13284</v>
      </c>
      <c r="F810" s="9" t="s">
        <v>13284</v>
      </c>
      <c r="G810" s="9" t="s">
        <v>13284</v>
      </c>
      <c r="H810" s="9" t="s">
        <v>13284</v>
      </c>
      <c r="I810" s="9" t="s">
        <v>13284</v>
      </c>
      <c r="J810" s="9" t="s">
        <v>13284</v>
      </c>
      <c r="K810" s="9" t="s">
        <v>13284</v>
      </c>
      <c r="L810" s="9" t="s">
        <v>13284</v>
      </c>
      <c r="M810" s="9" t="s">
        <v>13284</v>
      </c>
      <c r="N810" s="9" t="s">
        <v>13284</v>
      </c>
      <c r="O810" s="9" t="s">
        <v>13284</v>
      </c>
      <c r="P810" s="9" t="s">
        <v>13284</v>
      </c>
      <c r="Q810" s="9" t="s">
        <v>13284</v>
      </c>
      <c r="R810" s="9" t="s">
        <v>13284</v>
      </c>
      <c r="S810" s="9" t="s">
        <v>13284</v>
      </c>
      <c r="T810" s="9" t="str">
        <f ca="1">IFERROR(IF(AND(VLOOKUP(A810, 'Актуальное состояние (из общего'!A:C,3,0) = "", A810 &lt;&gt; ""), "ПРОВЕРИТЬ", VLOOKUP(A810, 'Актуальное состояние (из общего'!A:C,3,0)), "")</f>
        <v>Аспирант</v>
      </c>
      <c r="U810" s="9" t="s">
        <v>13284</v>
      </c>
      <c r="V810" s="9" t="s">
        <v>13284</v>
      </c>
      <c r="W810" s="12" t="s">
        <v>389</v>
      </c>
      <c r="X810" s="9" t="str">
        <f t="array" ref="X810">IFERROR(INDEX('Адреса общежитий (скрытый)'!$B$2:$B$9, MATCH(W810, 'Адреса общежитий (скрытый)'!$A$2:$A$9, 0)), "")</f>
        <v>2-ой Донской проезд, д. 9</v>
      </c>
      <c r="Y810" s="18"/>
      <c r="Z810" s="18"/>
      <c r="AA810" s="18"/>
      <c r="AB810" s="18"/>
      <c r="AC810" s="18"/>
    </row>
    <row r="811" spans="1:29" ht="32.25" hidden="1" customHeight="1">
      <c r="A811" s="8">
        <v>2312608</v>
      </c>
      <c r="B811" s="9" t="s">
        <v>13284</v>
      </c>
      <c r="C811" s="9" t="s">
        <v>13284</v>
      </c>
      <c r="D811" s="9" t="s">
        <v>13284</v>
      </c>
      <c r="E811" s="9" t="s">
        <v>13284</v>
      </c>
      <c r="F811" s="9" t="s">
        <v>13284</v>
      </c>
      <c r="G811" s="9" t="s">
        <v>13284</v>
      </c>
      <c r="H811" s="9" t="s">
        <v>13284</v>
      </c>
      <c r="I811" s="9" t="s">
        <v>13284</v>
      </c>
      <c r="J811" s="9" t="s">
        <v>13284</v>
      </c>
      <c r="K811" s="9" t="s">
        <v>13284</v>
      </c>
      <c r="L811" s="9" t="s">
        <v>13284</v>
      </c>
      <c r="M811" s="9" t="s">
        <v>13284</v>
      </c>
      <c r="N811" s="9" t="s">
        <v>13284</v>
      </c>
      <c r="O811" s="9" t="s">
        <v>13284</v>
      </c>
      <c r="P811" s="9" t="s">
        <v>13284</v>
      </c>
      <c r="Q811" s="9" t="s">
        <v>13284</v>
      </c>
      <c r="R811" s="9" t="s">
        <v>13284</v>
      </c>
      <c r="S811" s="9" t="s">
        <v>13284</v>
      </c>
      <c r="T811" s="9" t="str">
        <f ca="1">IFERROR(IF(AND(VLOOKUP(A811, 'Актуальное состояние (из общего'!A:C,3,0) = "", A811 &lt;&gt; ""), "ПРОВЕРИТЬ", VLOOKUP(A811, 'Актуальное состояние (из общего'!A:C,3,0)), "")</f>
        <v>Аспирант</v>
      </c>
      <c r="U811" s="9" t="s">
        <v>13284</v>
      </c>
      <c r="V811" s="9" t="s">
        <v>13284</v>
      </c>
      <c r="W811" s="12" t="s">
        <v>389</v>
      </c>
      <c r="X811" s="9" t="str">
        <f t="array" ref="X811">IFERROR(INDEX('Адреса общежитий (скрытый)'!$B$2:$B$9, MATCH(W811, 'Адреса общежитий (скрытый)'!$A$2:$A$9, 0)), "")</f>
        <v>2-ой Донской проезд, д. 9</v>
      </c>
      <c r="Y811" s="18"/>
      <c r="Z811" s="18"/>
      <c r="AA811" s="18"/>
      <c r="AB811" s="18"/>
      <c r="AC811" s="18"/>
    </row>
    <row r="812" spans="1:29" ht="32.25" customHeight="1">
      <c r="A812" s="8">
        <v>2311479</v>
      </c>
      <c r="B812" s="9" t="s">
        <v>13284</v>
      </c>
      <c r="C812" s="9" t="s">
        <v>13284</v>
      </c>
      <c r="D812" s="9" t="s">
        <v>13284</v>
      </c>
      <c r="E812" s="9" t="s">
        <v>13284</v>
      </c>
      <c r="F812" s="9" t="s">
        <v>13284</v>
      </c>
      <c r="G812" s="9" t="s">
        <v>13284</v>
      </c>
      <c r="H812" s="9" t="s">
        <v>13284</v>
      </c>
      <c r="I812" s="9" t="s">
        <v>13284</v>
      </c>
      <c r="J812" s="9" t="s">
        <v>13284</v>
      </c>
      <c r="K812" s="9" t="s">
        <v>13284</v>
      </c>
      <c r="L812" s="9" t="s">
        <v>13284</v>
      </c>
      <c r="M812" s="9" t="s">
        <v>13284</v>
      </c>
      <c r="N812" s="9" t="s">
        <v>13284</v>
      </c>
      <c r="O812" s="9" t="s">
        <v>13284</v>
      </c>
      <c r="P812" s="9" t="s">
        <v>13284</v>
      </c>
      <c r="Q812" s="9" t="s">
        <v>13284</v>
      </c>
      <c r="R812" s="9" t="s">
        <v>13284</v>
      </c>
      <c r="S812" s="9" t="s">
        <v>13284</v>
      </c>
      <c r="T812" s="9" t="str">
        <f ca="1">IFERROR(IF(AND(VLOOKUP(A812, 'Актуальное состояние (из общего'!A:C,3,0) = "", A812 &lt;&gt; ""), "ПРОВЕРИТЬ", VLOOKUP(A812, 'Актуальное состояние (из общего'!A:C,3,0)), "")</f>
        <v>Аспирант</v>
      </c>
      <c r="U812" s="9" t="s">
        <v>13284</v>
      </c>
      <c r="V812" s="9" t="s">
        <v>13284</v>
      </c>
      <c r="W812" s="12" t="s">
        <v>389</v>
      </c>
      <c r="X812" s="9" t="str">
        <f t="array" ref="X812">IFERROR(INDEX('Адреса общежитий (скрытый)'!$B$2:$B$9, MATCH(W812, 'Адреса общежитий (скрытый)'!$A$2:$A$9, 0)), "")</f>
        <v>2-ой Донской проезд, д. 9</v>
      </c>
      <c r="Y812" s="18"/>
      <c r="Z812" s="18"/>
      <c r="AA812" s="18"/>
      <c r="AB812" s="18"/>
      <c r="AC812" s="18"/>
    </row>
    <row r="813" spans="1:29" ht="32.25" customHeight="1">
      <c r="A813" s="8">
        <v>2312965</v>
      </c>
      <c r="B813" s="9" t="s">
        <v>13284</v>
      </c>
      <c r="C813" s="9" t="s">
        <v>13284</v>
      </c>
      <c r="D813" s="9" t="s">
        <v>13284</v>
      </c>
      <c r="E813" s="9" t="s">
        <v>13284</v>
      </c>
      <c r="F813" s="9" t="s">
        <v>13284</v>
      </c>
      <c r="G813" s="9" t="s">
        <v>13284</v>
      </c>
      <c r="H813" s="9" t="s">
        <v>13284</v>
      </c>
      <c r="I813" s="9" t="s">
        <v>13284</v>
      </c>
      <c r="J813" s="9" t="s">
        <v>13284</v>
      </c>
      <c r="K813" s="9" t="s">
        <v>13284</v>
      </c>
      <c r="L813" s="9" t="s">
        <v>13284</v>
      </c>
      <c r="M813" s="9" t="s">
        <v>13284</v>
      </c>
      <c r="N813" s="9" t="s">
        <v>13284</v>
      </c>
      <c r="O813" s="9" t="s">
        <v>13284</v>
      </c>
      <c r="P813" s="9" t="s">
        <v>13284</v>
      </c>
      <c r="Q813" s="9" t="s">
        <v>13284</v>
      </c>
      <c r="R813" s="9" t="s">
        <v>13284</v>
      </c>
      <c r="S813" s="9" t="s">
        <v>13284</v>
      </c>
      <c r="T813" s="9" t="str">
        <f ca="1">IFERROR(IF(AND(VLOOKUP(A813, 'Актуальное состояние (из общего'!A:C,3,0) = "", A813 &lt;&gt; ""), "ПРОВЕРИТЬ", VLOOKUP(A813, 'Актуальное состояние (из общего'!A:C,3,0)), "")</f>
        <v>Аспирант</v>
      </c>
      <c r="U813" s="9" t="s">
        <v>13284</v>
      </c>
      <c r="V813" s="9" t="s">
        <v>13284</v>
      </c>
      <c r="W813" s="12" t="s">
        <v>389</v>
      </c>
      <c r="X813" s="9" t="str">
        <f t="array" ref="X813">IFERROR(INDEX('Адреса общежитий (скрытый)'!$B$2:$B$9, MATCH(W813, 'Адреса общежитий (скрытый)'!$A$2:$A$9, 0)), "")</f>
        <v>2-ой Донской проезд, д. 9</v>
      </c>
      <c r="Y813" s="18"/>
      <c r="Z813" s="18"/>
      <c r="AA813" s="18"/>
      <c r="AB813" s="18"/>
      <c r="AC813" s="18"/>
    </row>
    <row r="814" spans="1:29" ht="32.25" customHeight="1">
      <c r="A814" s="8">
        <v>2302237</v>
      </c>
      <c r="B814" s="9" t="s">
        <v>13284</v>
      </c>
      <c r="C814" s="9" t="s">
        <v>13284</v>
      </c>
      <c r="D814" s="9" t="s">
        <v>13284</v>
      </c>
      <c r="E814" s="9" t="s">
        <v>13284</v>
      </c>
      <c r="F814" s="9" t="s">
        <v>13284</v>
      </c>
      <c r="G814" s="9" t="s">
        <v>13284</v>
      </c>
      <c r="H814" s="9" t="s">
        <v>13284</v>
      </c>
      <c r="I814" s="9" t="s">
        <v>13284</v>
      </c>
      <c r="J814" s="9" t="s">
        <v>13284</v>
      </c>
      <c r="K814" s="9" t="s">
        <v>13284</v>
      </c>
      <c r="L814" s="9" t="s">
        <v>13284</v>
      </c>
      <c r="M814" s="9" t="s">
        <v>13284</v>
      </c>
      <c r="N814" s="9" t="s">
        <v>13284</v>
      </c>
      <c r="O814" s="9" t="s">
        <v>13284</v>
      </c>
      <c r="P814" s="9" t="s">
        <v>13284</v>
      </c>
      <c r="Q814" s="9" t="s">
        <v>13284</v>
      </c>
      <c r="R814" s="9" t="s">
        <v>13284</v>
      </c>
      <c r="S814" s="9" t="s">
        <v>13284</v>
      </c>
      <c r="T814" s="9" t="str">
        <f ca="1">IFERROR(IF(AND(VLOOKUP(A814, 'Актуальное состояние (из общего'!A:C,3,0) = "", A814 &lt;&gt; ""), "ПРОВЕРИТЬ", VLOOKUP(A814, 'Актуальное состояние (из общего'!A:C,3,0)), "")</f>
        <v>Аспирант</v>
      </c>
      <c r="U814" s="9" t="s">
        <v>13284</v>
      </c>
      <c r="V814" s="9" t="s">
        <v>13284</v>
      </c>
      <c r="W814" s="12" t="s">
        <v>389</v>
      </c>
      <c r="X814" s="9" t="str">
        <f t="array" ref="X814">IFERROR(INDEX('Адреса общежитий (скрытый)'!$B$2:$B$9, MATCH(W814, 'Адреса общежитий (скрытый)'!$A$2:$A$9, 0)), "")</f>
        <v>2-ой Донской проезд, д. 9</v>
      </c>
      <c r="Y814" s="18"/>
      <c r="Z814" s="18"/>
      <c r="AA814" s="18"/>
      <c r="AB814" s="18"/>
      <c r="AC814" s="18"/>
    </row>
    <row r="815" spans="1:29" ht="32.25" customHeight="1">
      <c r="A815" s="8">
        <v>2312771</v>
      </c>
      <c r="B815" s="9" t="s">
        <v>13284</v>
      </c>
      <c r="C815" s="9" t="s">
        <v>13284</v>
      </c>
      <c r="D815" s="9" t="s">
        <v>13284</v>
      </c>
      <c r="E815" s="9" t="s">
        <v>13284</v>
      </c>
      <c r="F815" s="9" t="s">
        <v>13284</v>
      </c>
      <c r="G815" s="9" t="s">
        <v>13284</v>
      </c>
      <c r="H815" s="9" t="s">
        <v>13284</v>
      </c>
      <c r="I815" s="9" t="s">
        <v>13284</v>
      </c>
      <c r="J815" s="9" t="s">
        <v>13284</v>
      </c>
      <c r="K815" s="9" t="s">
        <v>13284</v>
      </c>
      <c r="L815" s="9" t="s">
        <v>13284</v>
      </c>
      <c r="M815" s="9" t="s">
        <v>13284</v>
      </c>
      <c r="N815" s="9" t="s">
        <v>13284</v>
      </c>
      <c r="O815" s="9" t="s">
        <v>13284</v>
      </c>
      <c r="P815" s="9" t="s">
        <v>13284</v>
      </c>
      <c r="Q815" s="9" t="s">
        <v>13284</v>
      </c>
      <c r="R815" s="9" t="s">
        <v>13284</v>
      </c>
      <c r="S815" s="9" t="s">
        <v>13284</v>
      </c>
      <c r="T815" s="9" t="str">
        <f ca="1">IFERROR(IF(AND(VLOOKUP(A815, 'Актуальное состояние (из общего'!A:C,3,0) = "", A815 &lt;&gt; ""), "ПРОВЕРИТЬ", VLOOKUP(A815, 'Актуальное состояние (из общего'!A:C,3,0)), "")</f>
        <v>Аспирант</v>
      </c>
      <c r="U815" s="9" t="s">
        <v>13284</v>
      </c>
      <c r="V815" s="9" t="s">
        <v>13284</v>
      </c>
      <c r="W815" s="12" t="s">
        <v>389</v>
      </c>
      <c r="X815" s="9" t="str">
        <f t="array" ref="X815">IFERROR(INDEX('Адреса общежитий (скрытый)'!$B$2:$B$9, MATCH(W815, 'Адреса общежитий (скрытый)'!$A$2:$A$9, 0)), "")</f>
        <v>2-ой Донской проезд, д. 9</v>
      </c>
      <c r="Y815" s="18"/>
      <c r="Z815" s="18"/>
      <c r="AA815" s="18"/>
      <c r="AB815" s="18"/>
      <c r="AC815" s="18"/>
    </row>
    <row r="816" spans="1:29" ht="32.25" customHeight="1">
      <c r="A816" s="8">
        <v>2309287</v>
      </c>
      <c r="B816" s="9" t="s">
        <v>13284</v>
      </c>
      <c r="C816" s="9" t="s">
        <v>13284</v>
      </c>
      <c r="D816" s="9" t="s">
        <v>13284</v>
      </c>
      <c r="E816" s="9" t="s">
        <v>13284</v>
      </c>
      <c r="F816" s="9" t="s">
        <v>13284</v>
      </c>
      <c r="G816" s="9" t="s">
        <v>13284</v>
      </c>
      <c r="H816" s="9" t="s">
        <v>13284</v>
      </c>
      <c r="I816" s="9" t="s">
        <v>13284</v>
      </c>
      <c r="J816" s="9" t="s">
        <v>13284</v>
      </c>
      <c r="K816" s="9" t="s">
        <v>13284</v>
      </c>
      <c r="L816" s="9" t="s">
        <v>13284</v>
      </c>
      <c r="M816" s="9" t="s">
        <v>13284</v>
      </c>
      <c r="N816" s="9" t="s">
        <v>13284</v>
      </c>
      <c r="O816" s="9" t="s">
        <v>13284</v>
      </c>
      <c r="P816" s="9" t="s">
        <v>13284</v>
      </c>
      <c r="Q816" s="9" t="s">
        <v>13284</v>
      </c>
      <c r="R816" s="9" t="s">
        <v>13284</v>
      </c>
      <c r="S816" s="9" t="s">
        <v>13284</v>
      </c>
      <c r="T816" s="9" t="str">
        <f ca="1">IFERROR(IF(AND(VLOOKUP(A816, 'Актуальное состояние (из общего'!A:C,3,0) = "", A816 &lt;&gt; ""), "ПРОВЕРИТЬ", VLOOKUP(A816, 'Актуальное состояние (из общего'!A:C,3,0)), "")</f>
        <v>Аспирант</v>
      </c>
      <c r="U816" s="9" t="s">
        <v>13284</v>
      </c>
      <c r="V816" s="9" t="s">
        <v>13284</v>
      </c>
      <c r="W816" s="12" t="s">
        <v>171</v>
      </c>
      <c r="X816" s="9" t="str">
        <f t="array" ref="X816">IFERROR(INDEX('Адреса общежитий (скрытый)'!$B$2:$B$9, MATCH(W816, 'Адреса общежитий (скрытый)'!$A$2:$A$9, 0)), "")</f>
        <v>ул. Академика Волгина, д. 4</v>
      </c>
      <c r="Y816" s="18" t="s">
        <v>9329</v>
      </c>
      <c r="Z816" s="18"/>
      <c r="AA816" s="18"/>
      <c r="AB816" s="18"/>
      <c r="AC816" s="18"/>
    </row>
    <row r="817" spans="1:29" ht="32.25" hidden="1" customHeight="1">
      <c r="A817" s="8">
        <v>2311663</v>
      </c>
      <c r="B817" s="9" t="s">
        <v>13284</v>
      </c>
      <c r="C817" s="9" t="s">
        <v>13284</v>
      </c>
      <c r="D817" s="9" t="s">
        <v>13284</v>
      </c>
      <c r="E817" s="9" t="s">
        <v>13284</v>
      </c>
      <c r="F817" s="9" t="s">
        <v>13284</v>
      </c>
      <c r="G817" s="9" t="s">
        <v>13284</v>
      </c>
      <c r="H817" s="9" t="s">
        <v>13284</v>
      </c>
      <c r="I817" s="9" t="s">
        <v>13284</v>
      </c>
      <c r="J817" s="9" t="s">
        <v>13284</v>
      </c>
      <c r="K817" s="9" t="s">
        <v>13284</v>
      </c>
      <c r="L817" s="9" t="s">
        <v>13284</v>
      </c>
      <c r="M817" s="9" t="s">
        <v>13284</v>
      </c>
      <c r="N817" s="9" t="s">
        <v>13284</v>
      </c>
      <c r="O817" s="9" t="s">
        <v>13284</v>
      </c>
      <c r="P817" s="9" t="s">
        <v>13284</v>
      </c>
      <c r="Q817" s="9" t="s">
        <v>13284</v>
      </c>
      <c r="R817" s="9" t="s">
        <v>13284</v>
      </c>
      <c r="S817" s="9" t="s">
        <v>13284</v>
      </c>
      <c r="T817" s="9" t="str">
        <f ca="1">IFERROR(IF(AND(VLOOKUP(A817, 'Актуальное состояние (из общего'!A:C,3,0) = "", A817 &lt;&gt; ""), "ПРОВЕРИТЬ", VLOOKUP(A817, 'Актуальное состояние (из общего'!A:C,3,0)), "")</f>
        <v>Аспирант</v>
      </c>
      <c r="U817" s="9" t="s">
        <v>13284</v>
      </c>
      <c r="V817" s="9" t="s">
        <v>13284</v>
      </c>
      <c r="W817" s="12" t="s">
        <v>389</v>
      </c>
      <c r="X817" s="9" t="str">
        <f t="array" ref="X817">IFERROR(INDEX('Адреса общежитий (скрытый)'!$B$2:$B$9, MATCH(W817, 'Адреса общежитий (скрытый)'!$A$2:$A$9, 0)), "")</f>
        <v>2-ой Донской проезд, д. 9</v>
      </c>
      <c r="Y817" s="18"/>
      <c r="Z817" s="18"/>
      <c r="AA817" s="18"/>
      <c r="AB817" s="18"/>
      <c r="AC817" s="18"/>
    </row>
    <row r="818" spans="1:29" ht="32.25" customHeight="1">
      <c r="A818" s="8">
        <v>2310558</v>
      </c>
      <c r="B818" s="9" t="s">
        <v>13284</v>
      </c>
      <c r="C818" s="9" t="s">
        <v>13284</v>
      </c>
      <c r="D818" s="9" t="s">
        <v>13284</v>
      </c>
      <c r="E818" s="9" t="s">
        <v>13284</v>
      </c>
      <c r="F818" s="9" t="s">
        <v>13284</v>
      </c>
      <c r="G818" s="9" t="s">
        <v>13284</v>
      </c>
      <c r="H818" s="9" t="s">
        <v>13284</v>
      </c>
      <c r="I818" s="9" t="s">
        <v>13284</v>
      </c>
      <c r="J818" s="9" t="s">
        <v>13284</v>
      </c>
      <c r="K818" s="9" t="s">
        <v>13284</v>
      </c>
      <c r="L818" s="9" t="s">
        <v>13284</v>
      </c>
      <c r="M818" s="9" t="s">
        <v>13284</v>
      </c>
      <c r="N818" s="9" t="s">
        <v>13284</v>
      </c>
      <c r="O818" s="9" t="s">
        <v>13284</v>
      </c>
      <c r="P818" s="9" t="s">
        <v>13284</v>
      </c>
      <c r="Q818" s="9" t="s">
        <v>13284</v>
      </c>
      <c r="R818" s="9" t="s">
        <v>13284</v>
      </c>
      <c r="S818" s="9" t="s">
        <v>13284</v>
      </c>
      <c r="T818" s="9" t="str">
        <f ca="1">IFERROR(IF(AND(VLOOKUP(A818, 'Актуальное состояние (из общего'!A:C,3,0) = "", A818 &lt;&gt; ""), "ПРОВЕРИТЬ", VLOOKUP(A818, 'Актуальное состояние (из общего'!A:C,3,0)), "")</f>
        <v>Аспирант</v>
      </c>
      <c r="U818" s="9" t="s">
        <v>13284</v>
      </c>
      <c r="V818" s="9" t="s">
        <v>13284</v>
      </c>
      <c r="W818" s="12" t="s">
        <v>389</v>
      </c>
      <c r="X818" s="9" t="str">
        <f t="array" ref="X818">IFERROR(INDEX('Адреса общежитий (скрытый)'!$B$2:$B$9, MATCH(W818, 'Адреса общежитий (скрытый)'!$A$2:$A$9, 0)), "")</f>
        <v>2-ой Донской проезд, д. 9</v>
      </c>
      <c r="Y818" s="18"/>
      <c r="Z818" s="18"/>
      <c r="AA818" s="18"/>
      <c r="AB818" s="18"/>
      <c r="AC818" s="18"/>
    </row>
    <row r="819" spans="1:29" ht="32.25" hidden="1" customHeight="1">
      <c r="A819" s="8">
        <v>2311932</v>
      </c>
      <c r="B819" s="9" t="s">
        <v>13284</v>
      </c>
      <c r="C819" s="9" t="s">
        <v>13284</v>
      </c>
      <c r="D819" s="9" t="s">
        <v>13284</v>
      </c>
      <c r="E819" s="9" t="s">
        <v>13284</v>
      </c>
      <c r="F819" s="9" t="s">
        <v>13284</v>
      </c>
      <c r="G819" s="9" t="s">
        <v>13284</v>
      </c>
      <c r="H819" s="9" t="s">
        <v>13284</v>
      </c>
      <c r="I819" s="9" t="s">
        <v>13284</v>
      </c>
      <c r="J819" s="9" t="s">
        <v>13284</v>
      </c>
      <c r="K819" s="9" t="s">
        <v>13284</v>
      </c>
      <c r="L819" s="9" t="s">
        <v>13284</v>
      </c>
      <c r="M819" s="9" t="s">
        <v>13284</v>
      </c>
      <c r="N819" s="9" t="s">
        <v>13284</v>
      </c>
      <c r="O819" s="9" t="s">
        <v>13284</v>
      </c>
      <c r="P819" s="9" t="s">
        <v>13284</v>
      </c>
      <c r="Q819" s="9" t="s">
        <v>13284</v>
      </c>
      <c r="R819" s="9" t="s">
        <v>13284</v>
      </c>
      <c r="S819" s="9" t="s">
        <v>13284</v>
      </c>
      <c r="T819" s="9" t="str">
        <f ca="1">IFERROR(IF(AND(VLOOKUP(A819, 'Актуальное состояние (из общего'!A:C,3,0) = "", A819 &lt;&gt; ""), "ПРОВЕРИТЬ", VLOOKUP(A819, 'Актуальное состояние (из общего'!A:C,3,0)), "")</f>
        <v>Аспирант</v>
      </c>
      <c r="U819" s="9" t="s">
        <v>13284</v>
      </c>
      <c r="V819" s="9" t="s">
        <v>13284</v>
      </c>
      <c r="W819" s="12" t="s">
        <v>389</v>
      </c>
      <c r="X819" s="9" t="str">
        <f t="array" ref="X819">IFERROR(INDEX('Адреса общежитий (скрытый)'!$B$2:$B$9, MATCH(W819, 'Адреса общежитий (скрытый)'!$A$2:$A$9, 0)), "")</f>
        <v>2-ой Донской проезд, д. 9</v>
      </c>
      <c r="Y819" s="18"/>
      <c r="Z819" s="18"/>
      <c r="AA819" s="18"/>
      <c r="AB819" s="18"/>
      <c r="AC819" s="18"/>
    </row>
    <row r="820" spans="1:29" ht="32.25" hidden="1" customHeight="1">
      <c r="A820" s="8">
        <v>2311288</v>
      </c>
      <c r="B820" s="9" t="s">
        <v>13284</v>
      </c>
      <c r="C820" s="9" t="s">
        <v>13284</v>
      </c>
      <c r="D820" s="9" t="s">
        <v>13284</v>
      </c>
      <c r="E820" s="9" t="s">
        <v>13284</v>
      </c>
      <c r="F820" s="9" t="s">
        <v>13284</v>
      </c>
      <c r="G820" s="9" t="s">
        <v>13284</v>
      </c>
      <c r="H820" s="9" t="s">
        <v>13284</v>
      </c>
      <c r="I820" s="9" t="s">
        <v>13284</v>
      </c>
      <c r="J820" s="9" t="s">
        <v>13284</v>
      </c>
      <c r="K820" s="9" t="s">
        <v>13284</v>
      </c>
      <c r="L820" s="9" t="s">
        <v>13284</v>
      </c>
      <c r="M820" s="9" t="s">
        <v>13284</v>
      </c>
      <c r="N820" s="9" t="s">
        <v>13284</v>
      </c>
      <c r="O820" s="9" t="s">
        <v>13284</v>
      </c>
      <c r="P820" s="9" t="s">
        <v>13284</v>
      </c>
      <c r="Q820" s="9" t="s">
        <v>13284</v>
      </c>
      <c r="R820" s="9" t="s">
        <v>13284</v>
      </c>
      <c r="S820" s="9" t="s">
        <v>13284</v>
      </c>
      <c r="T820" s="9" t="str">
        <f ca="1">IFERROR(IF(AND(VLOOKUP(A820, 'Актуальное состояние (из общего'!A:C,3,0) = "", A820 &lt;&gt; ""), "ПРОВЕРИТЬ", VLOOKUP(A820, 'Актуальное состояние (из общего'!A:C,3,0)), "")</f>
        <v>Аспирант</v>
      </c>
      <c r="U820" s="9" t="s">
        <v>13284</v>
      </c>
      <c r="V820" s="9" t="s">
        <v>13284</v>
      </c>
      <c r="W820" s="12" t="s">
        <v>389</v>
      </c>
      <c r="X820" s="9" t="str">
        <f t="array" ref="X820">IFERROR(INDEX('Адреса общежитий (скрытый)'!$B$2:$B$9, MATCH(W820, 'Адреса общежитий (скрытый)'!$A$2:$A$9, 0)), "")</f>
        <v>2-ой Донской проезд, д. 9</v>
      </c>
      <c r="Y820" s="18"/>
      <c r="Z820" s="18"/>
      <c r="AA820" s="18"/>
      <c r="AB820" s="18"/>
      <c r="AC820" s="18"/>
    </row>
    <row r="821" spans="1:29" ht="32.25" customHeight="1">
      <c r="A821" s="8">
        <v>2311726</v>
      </c>
      <c r="B821" s="9" t="s">
        <v>13284</v>
      </c>
      <c r="C821" s="9" t="s">
        <v>13284</v>
      </c>
      <c r="D821" s="9" t="s">
        <v>13284</v>
      </c>
      <c r="E821" s="9" t="s">
        <v>13284</v>
      </c>
      <c r="F821" s="9" t="s">
        <v>13284</v>
      </c>
      <c r="G821" s="9" t="s">
        <v>13284</v>
      </c>
      <c r="H821" s="9" t="s">
        <v>13284</v>
      </c>
      <c r="I821" s="9" t="s">
        <v>13284</v>
      </c>
      <c r="J821" s="9" t="s">
        <v>13284</v>
      </c>
      <c r="K821" s="9" t="s">
        <v>13284</v>
      </c>
      <c r="L821" s="9" t="s">
        <v>13284</v>
      </c>
      <c r="M821" s="9" t="s">
        <v>13284</v>
      </c>
      <c r="N821" s="9" t="s">
        <v>13284</v>
      </c>
      <c r="O821" s="9" t="s">
        <v>13284</v>
      </c>
      <c r="P821" s="9" t="s">
        <v>13284</v>
      </c>
      <c r="Q821" s="9" t="s">
        <v>13284</v>
      </c>
      <c r="R821" s="9" t="s">
        <v>13284</v>
      </c>
      <c r="S821" s="9" t="s">
        <v>13284</v>
      </c>
      <c r="T821" s="9" t="str">
        <f ca="1">IFERROR(IF(AND(VLOOKUP(A821, 'Актуальное состояние (из общего'!A:C,3,0) = "", A821 &lt;&gt; ""), "ПРОВЕРИТЬ", VLOOKUP(A821, 'Актуальное состояние (из общего'!A:C,3,0)), "")</f>
        <v>Аспирант</v>
      </c>
      <c r="U821" s="9" t="s">
        <v>13284</v>
      </c>
      <c r="V821" s="9" t="s">
        <v>13284</v>
      </c>
      <c r="W821" s="12" t="s">
        <v>389</v>
      </c>
      <c r="X821" s="9" t="str">
        <f t="array" ref="X821">IFERROR(INDEX('Адреса общежитий (скрытый)'!$B$2:$B$9, MATCH(W821, 'Адреса общежитий (скрытый)'!$A$2:$A$9, 0)), "")</f>
        <v>2-ой Донской проезд, д. 9</v>
      </c>
      <c r="Y821" s="18"/>
      <c r="Z821" s="18"/>
      <c r="AA821" s="18"/>
      <c r="AB821" s="18"/>
      <c r="AC821" s="18"/>
    </row>
    <row r="822" spans="1:29" ht="32.25" customHeight="1">
      <c r="A822" s="8">
        <v>2311576</v>
      </c>
      <c r="B822" s="9" t="s">
        <v>13284</v>
      </c>
      <c r="C822" s="9" t="s">
        <v>13284</v>
      </c>
      <c r="D822" s="9" t="s">
        <v>13284</v>
      </c>
      <c r="E822" s="9" t="s">
        <v>13284</v>
      </c>
      <c r="F822" s="9" t="s">
        <v>13284</v>
      </c>
      <c r="G822" s="9" t="s">
        <v>13284</v>
      </c>
      <c r="H822" s="9" t="s">
        <v>13284</v>
      </c>
      <c r="I822" s="9" t="s">
        <v>13284</v>
      </c>
      <c r="J822" s="9" t="s">
        <v>13284</v>
      </c>
      <c r="K822" s="9" t="s">
        <v>13284</v>
      </c>
      <c r="L822" s="9" t="s">
        <v>13284</v>
      </c>
      <c r="M822" s="9" t="s">
        <v>13284</v>
      </c>
      <c r="N822" s="9" t="s">
        <v>13284</v>
      </c>
      <c r="O822" s="9" t="s">
        <v>13284</v>
      </c>
      <c r="P822" s="9" t="s">
        <v>13284</v>
      </c>
      <c r="Q822" s="9" t="s">
        <v>13284</v>
      </c>
      <c r="R822" s="9" t="s">
        <v>13284</v>
      </c>
      <c r="S822" s="9" t="s">
        <v>13284</v>
      </c>
      <c r="T822" s="9" t="str">
        <f ca="1">IFERROR(IF(AND(VLOOKUP(A822, 'Актуальное состояние (из общего'!A:C,3,0) = "", A822 &lt;&gt; ""), "ПРОВЕРИТЬ", VLOOKUP(A822, 'Актуальное состояние (из общего'!A:C,3,0)), "")</f>
        <v>Аспирант</v>
      </c>
      <c r="U822" s="9" t="s">
        <v>13284</v>
      </c>
      <c r="V822" s="9" t="s">
        <v>13284</v>
      </c>
      <c r="W822" s="12" t="s">
        <v>389</v>
      </c>
      <c r="X822" s="9" t="str">
        <f t="array" ref="X822">IFERROR(INDEX('Адреса общежитий (скрытый)'!$B$2:$B$9, MATCH(W822, 'Адреса общежитий (скрытый)'!$A$2:$A$9, 0)), "")</f>
        <v>2-ой Донской проезд, д. 9</v>
      </c>
      <c r="Y822" s="18"/>
      <c r="Z822" s="18"/>
      <c r="AA822" s="18"/>
      <c r="AB822" s="18"/>
      <c r="AC822" s="18"/>
    </row>
    <row r="823" spans="1:29" ht="32.25" customHeight="1">
      <c r="A823" s="8">
        <v>2302251</v>
      </c>
      <c r="B823" s="9" t="s">
        <v>13284</v>
      </c>
      <c r="C823" s="9" t="s">
        <v>13284</v>
      </c>
      <c r="D823" s="9" t="s">
        <v>13284</v>
      </c>
      <c r="E823" s="9" t="s">
        <v>13284</v>
      </c>
      <c r="F823" s="9" t="s">
        <v>13284</v>
      </c>
      <c r="G823" s="9" t="s">
        <v>13284</v>
      </c>
      <c r="H823" s="9" t="s">
        <v>13284</v>
      </c>
      <c r="I823" s="9" t="s">
        <v>13284</v>
      </c>
      <c r="J823" s="9" t="s">
        <v>13284</v>
      </c>
      <c r="K823" s="9" t="s">
        <v>13284</v>
      </c>
      <c r="L823" s="9" t="s">
        <v>13284</v>
      </c>
      <c r="M823" s="9" t="s">
        <v>13284</v>
      </c>
      <c r="N823" s="9" t="s">
        <v>13284</v>
      </c>
      <c r="O823" s="9" t="s">
        <v>13284</v>
      </c>
      <c r="P823" s="9" t="s">
        <v>13284</v>
      </c>
      <c r="Q823" s="9" t="s">
        <v>13284</v>
      </c>
      <c r="R823" s="9" t="s">
        <v>13284</v>
      </c>
      <c r="S823" s="9" t="s">
        <v>13284</v>
      </c>
      <c r="T823" s="9" t="str">
        <f ca="1">IFERROR(IF(AND(VLOOKUP(A823, 'Актуальное состояние (из общего'!A:C,3,0) = "", A823 &lt;&gt; ""), "ПРОВЕРИТЬ", VLOOKUP(A823, 'Актуальное состояние (из общего'!A:C,3,0)), "")</f>
        <v>Аспирант</v>
      </c>
      <c r="U823" s="9" t="s">
        <v>13284</v>
      </c>
      <c r="V823" s="9" t="s">
        <v>13284</v>
      </c>
      <c r="W823" s="12" t="s">
        <v>389</v>
      </c>
      <c r="X823" s="9" t="str">
        <f t="array" ref="X823">IFERROR(INDEX('Адреса общежитий (скрытый)'!$B$2:$B$9, MATCH(W823, 'Адреса общежитий (скрытый)'!$A$2:$A$9, 0)), "")</f>
        <v>2-ой Донской проезд, д. 9</v>
      </c>
      <c r="Y823" s="18"/>
      <c r="Z823" s="18"/>
      <c r="AA823" s="18"/>
      <c r="AB823" s="18"/>
      <c r="AC823" s="18"/>
    </row>
    <row r="824" spans="1:29" ht="32.25" customHeight="1">
      <c r="A824" s="8">
        <v>2310031</v>
      </c>
      <c r="B824" s="9" t="s">
        <v>13284</v>
      </c>
      <c r="C824" s="9" t="s">
        <v>13284</v>
      </c>
      <c r="D824" s="9" t="s">
        <v>13284</v>
      </c>
      <c r="E824" s="9" t="s">
        <v>13284</v>
      </c>
      <c r="F824" s="9" t="s">
        <v>13284</v>
      </c>
      <c r="G824" s="9" t="s">
        <v>13284</v>
      </c>
      <c r="H824" s="9" t="s">
        <v>13284</v>
      </c>
      <c r="I824" s="9" t="s">
        <v>13284</v>
      </c>
      <c r="J824" s="9" t="s">
        <v>13284</v>
      </c>
      <c r="K824" s="9" t="s">
        <v>13284</v>
      </c>
      <c r="L824" s="9" t="s">
        <v>13284</v>
      </c>
      <c r="M824" s="9" t="s">
        <v>13284</v>
      </c>
      <c r="N824" s="9" t="s">
        <v>13284</v>
      </c>
      <c r="O824" s="9" t="s">
        <v>13284</v>
      </c>
      <c r="P824" s="9" t="s">
        <v>13284</v>
      </c>
      <c r="Q824" s="9" t="s">
        <v>13284</v>
      </c>
      <c r="R824" s="9" t="s">
        <v>13284</v>
      </c>
      <c r="S824" s="9" t="s">
        <v>13284</v>
      </c>
      <c r="T824" s="9" t="str">
        <f ca="1">IFERROR(IF(AND(VLOOKUP(A824, 'Актуальное состояние (из общего'!A:C,3,0) = "", A824 &lt;&gt; ""), "ПРОВЕРИТЬ", VLOOKUP(A824, 'Актуальное состояние (из общего'!A:C,3,0)), "")</f>
        <v>Аспирант</v>
      </c>
      <c r="U824" s="9" t="s">
        <v>13284</v>
      </c>
      <c r="V824" s="9" t="s">
        <v>13284</v>
      </c>
      <c r="W824" s="12" t="s">
        <v>389</v>
      </c>
      <c r="X824" s="9" t="str">
        <f t="array" ref="X824">IFERROR(INDEX('Адреса общежитий (скрытый)'!$B$2:$B$9, MATCH(W824, 'Адреса общежитий (скрытый)'!$A$2:$A$9, 0)), "")</f>
        <v>2-ой Донской проезд, д. 9</v>
      </c>
      <c r="Y824" s="18"/>
      <c r="Z824" s="18"/>
      <c r="AA824" s="18"/>
      <c r="AB824" s="18"/>
      <c r="AC824" s="18"/>
    </row>
    <row r="825" spans="1:29" ht="32.25" hidden="1" customHeight="1">
      <c r="A825" s="8">
        <v>2311132</v>
      </c>
      <c r="B825" s="9" t="s">
        <v>13284</v>
      </c>
      <c r="C825" s="9" t="s">
        <v>13284</v>
      </c>
      <c r="D825" s="9" t="s">
        <v>13284</v>
      </c>
      <c r="E825" s="9" t="s">
        <v>13284</v>
      </c>
      <c r="F825" s="9" t="s">
        <v>13284</v>
      </c>
      <c r="G825" s="9" t="s">
        <v>13284</v>
      </c>
      <c r="H825" s="9" t="s">
        <v>13284</v>
      </c>
      <c r="I825" s="9" t="s">
        <v>13284</v>
      </c>
      <c r="J825" s="9" t="s">
        <v>13284</v>
      </c>
      <c r="K825" s="9" t="s">
        <v>13284</v>
      </c>
      <c r="L825" s="9" t="s">
        <v>13284</v>
      </c>
      <c r="M825" s="9" t="s">
        <v>13284</v>
      </c>
      <c r="N825" s="9" t="s">
        <v>13284</v>
      </c>
      <c r="O825" s="9" t="s">
        <v>13284</v>
      </c>
      <c r="P825" s="9" t="s">
        <v>13284</v>
      </c>
      <c r="Q825" s="9" t="s">
        <v>13284</v>
      </c>
      <c r="R825" s="9" t="s">
        <v>13284</v>
      </c>
      <c r="S825" s="9" t="s">
        <v>13284</v>
      </c>
      <c r="T825" s="9" t="str">
        <f ca="1">IFERROR(IF(AND(VLOOKUP(A825, 'Актуальное состояние (из общего'!A:C,3,0) = "", A825 &lt;&gt; ""), "ПРОВЕРИТЬ", VLOOKUP(A825, 'Актуальное состояние (из общего'!A:C,3,0)), "")</f>
        <v>Аспирант</v>
      </c>
      <c r="U825" s="9" t="s">
        <v>13284</v>
      </c>
      <c r="V825" s="9" t="s">
        <v>13284</v>
      </c>
      <c r="W825" s="12" t="s">
        <v>389</v>
      </c>
      <c r="X825" s="9" t="str">
        <f t="array" ref="X825">IFERROR(INDEX('Адреса общежитий (скрытый)'!$B$2:$B$9, MATCH(W825, 'Адреса общежитий (скрытый)'!$A$2:$A$9, 0)), "")</f>
        <v>2-ой Донской проезд, д. 9</v>
      </c>
      <c r="Y825" s="18"/>
      <c r="Z825" s="18"/>
      <c r="AA825" s="18"/>
      <c r="AB825" s="18"/>
      <c r="AC825" s="18"/>
    </row>
    <row r="826" spans="1:29" ht="32.25" customHeight="1">
      <c r="A826" s="8">
        <v>2309178</v>
      </c>
      <c r="B826" s="9" t="s">
        <v>13284</v>
      </c>
      <c r="C826" s="9" t="s">
        <v>13284</v>
      </c>
      <c r="D826" s="9" t="s">
        <v>13284</v>
      </c>
      <c r="E826" s="9" t="s">
        <v>13284</v>
      </c>
      <c r="F826" s="9" t="s">
        <v>13284</v>
      </c>
      <c r="G826" s="9" t="s">
        <v>13284</v>
      </c>
      <c r="H826" s="9" t="s">
        <v>13284</v>
      </c>
      <c r="I826" s="9" t="s">
        <v>13284</v>
      </c>
      <c r="J826" s="9" t="s">
        <v>13284</v>
      </c>
      <c r="K826" s="9" t="s">
        <v>13284</v>
      </c>
      <c r="L826" s="9" t="s">
        <v>13284</v>
      </c>
      <c r="M826" s="9" t="s">
        <v>13284</v>
      </c>
      <c r="N826" s="9" t="s">
        <v>13284</v>
      </c>
      <c r="O826" s="9" t="s">
        <v>13284</v>
      </c>
      <c r="P826" s="9" t="s">
        <v>13284</v>
      </c>
      <c r="Q826" s="9" t="s">
        <v>13284</v>
      </c>
      <c r="R826" s="9" t="s">
        <v>13284</v>
      </c>
      <c r="S826" s="9" t="s">
        <v>13284</v>
      </c>
      <c r="T826" s="9" t="str">
        <f ca="1">IFERROR(IF(AND(VLOOKUP(A826, 'Актуальное состояние (из общего'!A:C,3,0) = "", A826 &lt;&gt; ""), "ПРОВЕРИТЬ", VLOOKUP(A826, 'Актуальное состояние (из общего'!A:C,3,0)), "")</f>
        <v>Аспирант</v>
      </c>
      <c r="U826" s="9" t="s">
        <v>13284</v>
      </c>
      <c r="V826" s="9" t="s">
        <v>13284</v>
      </c>
      <c r="W826" s="12" t="s">
        <v>389</v>
      </c>
      <c r="X826" s="9" t="str">
        <f t="array" ref="X826">IFERROR(INDEX('Адреса общежитий (скрытый)'!$B$2:$B$9, MATCH(W826, 'Адреса общежитий (скрытый)'!$A$2:$A$9, 0)), "")</f>
        <v>2-ой Донской проезд, д. 9</v>
      </c>
      <c r="Y826" s="18"/>
      <c r="Z826" s="18"/>
      <c r="AA826" s="18"/>
      <c r="AB826" s="18"/>
      <c r="AC826" s="18"/>
    </row>
    <row r="827" spans="1:29" ht="32.25" customHeight="1">
      <c r="A827" s="8">
        <v>2309958</v>
      </c>
      <c r="B827" s="9" t="s">
        <v>13284</v>
      </c>
      <c r="C827" s="9" t="s">
        <v>13284</v>
      </c>
      <c r="D827" s="9" t="s">
        <v>13284</v>
      </c>
      <c r="E827" s="9" t="s">
        <v>13284</v>
      </c>
      <c r="F827" s="9" t="s">
        <v>13284</v>
      </c>
      <c r="G827" s="9" t="s">
        <v>13284</v>
      </c>
      <c r="H827" s="9" t="s">
        <v>13284</v>
      </c>
      <c r="I827" s="9" t="s">
        <v>13284</v>
      </c>
      <c r="J827" s="9" t="s">
        <v>13284</v>
      </c>
      <c r="K827" s="9" t="s">
        <v>13284</v>
      </c>
      <c r="L827" s="9" t="s">
        <v>13284</v>
      </c>
      <c r="M827" s="9" t="s">
        <v>13284</v>
      </c>
      <c r="N827" s="9" t="s">
        <v>13284</v>
      </c>
      <c r="O827" s="9" t="s">
        <v>13284</v>
      </c>
      <c r="P827" s="9" t="s">
        <v>13284</v>
      </c>
      <c r="Q827" s="9" t="s">
        <v>13284</v>
      </c>
      <c r="R827" s="9" t="s">
        <v>13284</v>
      </c>
      <c r="S827" s="9" t="s">
        <v>13284</v>
      </c>
      <c r="T827" s="9" t="str">
        <f ca="1">IFERROR(IF(AND(VLOOKUP(A827, 'Актуальное состояние (из общего'!A:C,3,0) = "", A827 &lt;&gt; ""), "ПРОВЕРИТЬ", VLOOKUP(A827, 'Актуальное состояние (из общего'!A:C,3,0)), "")</f>
        <v>Аспирант</v>
      </c>
      <c r="U827" s="9" t="s">
        <v>13284</v>
      </c>
      <c r="V827" s="9" t="s">
        <v>13284</v>
      </c>
      <c r="W827" s="12" t="s">
        <v>171</v>
      </c>
      <c r="X827" s="9" t="str">
        <f t="array" ref="X827">IFERROR(INDEX('Адреса общежитий (скрытый)'!$B$2:$B$9, MATCH(W827, 'Адреса общежитий (скрытый)'!$A$2:$A$9, 0)), "")</f>
        <v>ул. Академика Волгина, д. 4</v>
      </c>
      <c r="Y827" s="18" t="s">
        <v>9330</v>
      </c>
      <c r="Z827" s="18"/>
      <c r="AA827" s="18"/>
      <c r="AB827" s="18"/>
      <c r="AC827" s="18"/>
    </row>
    <row r="828" spans="1:29" ht="32.25" hidden="1" customHeight="1">
      <c r="A828" s="8">
        <v>2309233</v>
      </c>
      <c r="B828" s="9" t="s">
        <v>13284</v>
      </c>
      <c r="C828" s="9" t="s">
        <v>13284</v>
      </c>
      <c r="D828" s="9" t="s">
        <v>13284</v>
      </c>
      <c r="E828" s="9" t="s">
        <v>13284</v>
      </c>
      <c r="F828" s="9" t="s">
        <v>13284</v>
      </c>
      <c r="G828" s="9" t="s">
        <v>13284</v>
      </c>
      <c r="H828" s="9" t="s">
        <v>13284</v>
      </c>
      <c r="I828" s="9" t="s">
        <v>13284</v>
      </c>
      <c r="J828" s="9" t="s">
        <v>13284</v>
      </c>
      <c r="K828" s="9" t="s">
        <v>13284</v>
      </c>
      <c r="L828" s="9" t="s">
        <v>13284</v>
      </c>
      <c r="M828" s="9" t="s">
        <v>13284</v>
      </c>
      <c r="N828" s="9" t="s">
        <v>13284</v>
      </c>
      <c r="O828" s="9" t="s">
        <v>13284</v>
      </c>
      <c r="P828" s="9" t="s">
        <v>13284</v>
      </c>
      <c r="Q828" s="9" t="s">
        <v>13284</v>
      </c>
      <c r="R828" s="9" t="s">
        <v>13284</v>
      </c>
      <c r="S828" s="9" t="s">
        <v>13284</v>
      </c>
      <c r="T828" s="9" t="str">
        <f ca="1">IFERROR(IF(AND(VLOOKUP(A828, 'Актуальное состояние (из общего'!A:C,3,0) = "", A828 &lt;&gt; ""), "ПРОВЕРИТЬ", VLOOKUP(A828, 'Актуальное состояние (из общего'!A:C,3,0)), "")</f>
        <v>Аспирант</v>
      </c>
      <c r="U828" s="9" t="s">
        <v>13284</v>
      </c>
      <c r="V828" s="9" t="s">
        <v>13284</v>
      </c>
      <c r="W828" s="12" t="s">
        <v>389</v>
      </c>
      <c r="X828" s="9" t="str">
        <f t="array" ref="X828">IFERROR(INDEX('Адреса общежитий (скрытый)'!$B$2:$B$9, MATCH(W828, 'Адреса общежитий (скрытый)'!$A$2:$A$9, 0)), "")</f>
        <v>2-ой Донской проезд, д. 9</v>
      </c>
      <c r="Y828" s="18"/>
      <c r="Z828" s="18"/>
      <c r="AA828" s="18"/>
      <c r="AB828" s="18"/>
      <c r="AC828" s="18"/>
    </row>
    <row r="829" spans="1:29" ht="32.25" hidden="1" customHeight="1">
      <c r="A829" s="8">
        <v>2311117</v>
      </c>
      <c r="B829" s="9" t="s">
        <v>13284</v>
      </c>
      <c r="C829" s="9" t="s">
        <v>13284</v>
      </c>
      <c r="D829" s="9" t="s">
        <v>13284</v>
      </c>
      <c r="E829" s="9" t="s">
        <v>13284</v>
      </c>
      <c r="F829" s="9" t="s">
        <v>13284</v>
      </c>
      <c r="G829" s="9" t="s">
        <v>13284</v>
      </c>
      <c r="H829" s="9" t="s">
        <v>13284</v>
      </c>
      <c r="I829" s="9" t="s">
        <v>13284</v>
      </c>
      <c r="J829" s="9" t="s">
        <v>13284</v>
      </c>
      <c r="K829" s="9" t="s">
        <v>13284</v>
      </c>
      <c r="L829" s="9" t="s">
        <v>13284</v>
      </c>
      <c r="M829" s="9" t="s">
        <v>13284</v>
      </c>
      <c r="N829" s="9" t="s">
        <v>13284</v>
      </c>
      <c r="O829" s="9" t="s">
        <v>13284</v>
      </c>
      <c r="P829" s="9" t="s">
        <v>13284</v>
      </c>
      <c r="Q829" s="9" t="s">
        <v>13284</v>
      </c>
      <c r="R829" s="9" t="s">
        <v>13284</v>
      </c>
      <c r="S829" s="9" t="s">
        <v>13284</v>
      </c>
      <c r="T829" s="9" t="str">
        <f ca="1">IFERROR(IF(AND(VLOOKUP(A829, 'Актуальное состояние (из общего'!A:C,3,0) = "", A829 &lt;&gt; ""), "ПРОВЕРИТЬ", VLOOKUP(A829, 'Актуальное состояние (из общего'!A:C,3,0)), "")</f>
        <v>Аспирант</v>
      </c>
      <c r="U829" s="9" t="s">
        <v>13284</v>
      </c>
      <c r="V829" s="9" t="s">
        <v>13284</v>
      </c>
      <c r="W829" s="12" t="s">
        <v>389</v>
      </c>
      <c r="X829" s="9" t="str">
        <f t="array" ref="X829">IFERROR(INDEX('Адреса общежитий (скрытый)'!$B$2:$B$9, MATCH(W829, 'Адреса общежитий (скрытый)'!$A$2:$A$9, 0)), "")</f>
        <v>2-ой Донской проезд, д. 9</v>
      </c>
      <c r="Y829" s="18"/>
      <c r="Z829" s="18"/>
      <c r="AA829" s="18"/>
      <c r="AB829" s="18"/>
      <c r="AC829" s="18"/>
    </row>
    <row r="830" spans="1:29" ht="32.25" hidden="1" customHeight="1">
      <c r="A830" s="8">
        <v>2312662</v>
      </c>
      <c r="B830" s="9" t="s">
        <v>13284</v>
      </c>
      <c r="C830" s="9" t="s">
        <v>13284</v>
      </c>
      <c r="D830" s="9" t="s">
        <v>13284</v>
      </c>
      <c r="E830" s="9" t="s">
        <v>13284</v>
      </c>
      <c r="F830" s="9" t="s">
        <v>13284</v>
      </c>
      <c r="G830" s="9" t="s">
        <v>13284</v>
      </c>
      <c r="H830" s="9" t="s">
        <v>13284</v>
      </c>
      <c r="I830" s="9" t="s">
        <v>13284</v>
      </c>
      <c r="J830" s="9" t="s">
        <v>13284</v>
      </c>
      <c r="K830" s="9" t="s">
        <v>13284</v>
      </c>
      <c r="L830" s="9" t="s">
        <v>13284</v>
      </c>
      <c r="M830" s="9" t="s">
        <v>13284</v>
      </c>
      <c r="N830" s="9" t="s">
        <v>13284</v>
      </c>
      <c r="O830" s="9" t="s">
        <v>13284</v>
      </c>
      <c r="P830" s="9" t="s">
        <v>13284</v>
      </c>
      <c r="Q830" s="9" t="s">
        <v>13284</v>
      </c>
      <c r="R830" s="9" t="s">
        <v>13284</v>
      </c>
      <c r="S830" s="9" t="s">
        <v>13284</v>
      </c>
      <c r="T830" s="9" t="str">
        <f ca="1">IFERROR(IF(AND(VLOOKUP(A830, 'Актуальное состояние (из общего'!A:C,3,0) = "", A830 &lt;&gt; ""), "ПРОВЕРИТЬ", VLOOKUP(A830, 'Актуальное состояние (из общего'!A:C,3,0)), "")</f>
        <v>Аспирант</v>
      </c>
      <c r="U830" s="9" t="s">
        <v>13284</v>
      </c>
      <c r="V830" s="9" t="s">
        <v>13284</v>
      </c>
      <c r="W830" s="12" t="s">
        <v>389</v>
      </c>
      <c r="X830" s="9" t="str">
        <f t="array" ref="X830">IFERROR(INDEX('Адреса общежитий (скрытый)'!$B$2:$B$9, MATCH(W830, 'Адреса общежитий (скрытый)'!$A$2:$A$9, 0)), "")</f>
        <v>2-ой Донской проезд, д. 9</v>
      </c>
      <c r="Y830" s="18"/>
      <c r="Z830" s="18"/>
      <c r="AA830" s="18"/>
      <c r="AB830" s="18"/>
      <c r="AC830" s="18"/>
    </row>
    <row r="831" spans="1:29" ht="32.25" hidden="1" customHeight="1">
      <c r="A831" s="8">
        <v>2312133</v>
      </c>
      <c r="B831" s="9" t="s">
        <v>13284</v>
      </c>
      <c r="C831" s="9" t="s">
        <v>13284</v>
      </c>
      <c r="D831" s="9" t="s">
        <v>13284</v>
      </c>
      <c r="E831" s="9" t="s">
        <v>13284</v>
      </c>
      <c r="F831" s="9" t="s">
        <v>13284</v>
      </c>
      <c r="G831" s="9" t="s">
        <v>13284</v>
      </c>
      <c r="H831" s="9" t="s">
        <v>13284</v>
      </c>
      <c r="I831" s="9" t="s">
        <v>13284</v>
      </c>
      <c r="J831" s="9" t="s">
        <v>13284</v>
      </c>
      <c r="K831" s="9" t="s">
        <v>13284</v>
      </c>
      <c r="L831" s="9" t="s">
        <v>13284</v>
      </c>
      <c r="M831" s="9" t="s">
        <v>13284</v>
      </c>
      <c r="N831" s="9" t="s">
        <v>13284</v>
      </c>
      <c r="O831" s="9" t="s">
        <v>13284</v>
      </c>
      <c r="P831" s="9" t="s">
        <v>13284</v>
      </c>
      <c r="Q831" s="9" t="s">
        <v>13284</v>
      </c>
      <c r="R831" s="9" t="s">
        <v>13284</v>
      </c>
      <c r="S831" s="9" t="s">
        <v>13284</v>
      </c>
      <c r="T831" s="9" t="str">
        <f ca="1">IFERROR(IF(AND(VLOOKUP(A831, 'Актуальное состояние (из общего'!A:C,3,0) = "", A831 &lt;&gt; ""), "ПРОВЕРИТЬ", VLOOKUP(A831, 'Актуальное состояние (из общего'!A:C,3,0)), "")</f>
        <v>Аспирант</v>
      </c>
      <c r="U831" s="9" t="s">
        <v>13284</v>
      </c>
      <c r="V831" s="9" t="s">
        <v>13284</v>
      </c>
      <c r="W831" s="12" t="s">
        <v>389</v>
      </c>
      <c r="X831" s="9" t="str">
        <f t="array" ref="X831">IFERROR(INDEX('Адреса общежитий (скрытый)'!$B$2:$B$9, MATCH(W831, 'Адреса общежитий (скрытый)'!$A$2:$A$9, 0)), "")</f>
        <v>2-ой Донской проезд, д. 9</v>
      </c>
      <c r="Y831" s="18"/>
      <c r="Z831" s="18"/>
      <c r="AA831" s="18"/>
      <c r="AB831" s="18"/>
      <c r="AC831" s="18"/>
    </row>
    <row r="832" spans="1:29" ht="32.25" hidden="1" customHeight="1">
      <c r="A832" s="8">
        <v>2311832</v>
      </c>
      <c r="B832" s="9" t="s">
        <v>13284</v>
      </c>
      <c r="C832" s="9" t="s">
        <v>13284</v>
      </c>
      <c r="D832" s="9" t="s">
        <v>13284</v>
      </c>
      <c r="E832" s="9" t="s">
        <v>13284</v>
      </c>
      <c r="F832" s="9" t="s">
        <v>13284</v>
      </c>
      <c r="G832" s="9" t="s">
        <v>13284</v>
      </c>
      <c r="H832" s="9" t="s">
        <v>13284</v>
      </c>
      <c r="I832" s="9" t="s">
        <v>13284</v>
      </c>
      <c r="J832" s="9" t="s">
        <v>13284</v>
      </c>
      <c r="K832" s="9" t="s">
        <v>13284</v>
      </c>
      <c r="L832" s="9" t="s">
        <v>13284</v>
      </c>
      <c r="M832" s="9" t="s">
        <v>13284</v>
      </c>
      <c r="N832" s="9" t="s">
        <v>13284</v>
      </c>
      <c r="O832" s="9" t="s">
        <v>13284</v>
      </c>
      <c r="P832" s="9" t="s">
        <v>13284</v>
      </c>
      <c r="Q832" s="9" t="s">
        <v>13284</v>
      </c>
      <c r="R832" s="9" t="s">
        <v>13284</v>
      </c>
      <c r="S832" s="9" t="s">
        <v>13284</v>
      </c>
      <c r="T832" s="9" t="str">
        <f ca="1">IFERROR(IF(AND(VLOOKUP(A832, 'Актуальное состояние (из общего'!A:C,3,0) = "", A832 &lt;&gt; ""), "ПРОВЕРИТЬ", VLOOKUP(A832, 'Актуальное состояние (из общего'!A:C,3,0)), "")</f>
        <v>Аспирант</v>
      </c>
      <c r="U832" s="9" t="s">
        <v>13284</v>
      </c>
      <c r="V832" s="9" t="s">
        <v>13284</v>
      </c>
      <c r="W832" s="12" t="s">
        <v>389</v>
      </c>
      <c r="X832" s="9" t="str">
        <f t="array" ref="X832">IFERROR(INDEX('Адреса общежитий (скрытый)'!$B$2:$B$9, MATCH(W832, 'Адреса общежитий (скрытый)'!$A$2:$A$9, 0)), "")</f>
        <v>2-ой Донской проезд, д. 9</v>
      </c>
      <c r="Y832" s="18"/>
      <c r="Z832" s="18"/>
      <c r="AA832" s="18"/>
      <c r="AB832" s="18"/>
      <c r="AC832" s="18"/>
    </row>
    <row r="833" spans="1:29" ht="32.25" hidden="1" customHeight="1">
      <c r="A833" s="8">
        <v>2310788</v>
      </c>
      <c r="B833" s="9" t="s">
        <v>13284</v>
      </c>
      <c r="C833" s="9" t="s">
        <v>13284</v>
      </c>
      <c r="D833" s="9" t="s">
        <v>13284</v>
      </c>
      <c r="E833" s="9" t="s">
        <v>13284</v>
      </c>
      <c r="F833" s="9" t="s">
        <v>13284</v>
      </c>
      <c r="G833" s="9" t="s">
        <v>13284</v>
      </c>
      <c r="H833" s="9" t="s">
        <v>13284</v>
      </c>
      <c r="I833" s="9" t="s">
        <v>13284</v>
      </c>
      <c r="J833" s="9" t="s">
        <v>13284</v>
      </c>
      <c r="K833" s="9" t="s">
        <v>13284</v>
      </c>
      <c r="L833" s="9" t="s">
        <v>13284</v>
      </c>
      <c r="M833" s="9" t="s">
        <v>13284</v>
      </c>
      <c r="N833" s="9" t="s">
        <v>13284</v>
      </c>
      <c r="O833" s="9" t="s">
        <v>13284</v>
      </c>
      <c r="P833" s="9" t="s">
        <v>13284</v>
      </c>
      <c r="Q833" s="9" t="s">
        <v>13284</v>
      </c>
      <c r="R833" s="9" t="s">
        <v>13284</v>
      </c>
      <c r="S833" s="9" t="s">
        <v>13284</v>
      </c>
      <c r="T833" s="9" t="str">
        <f ca="1">IFERROR(IF(AND(VLOOKUP(A833, 'Актуальное состояние (из общего'!A:C,3,0) = "", A833 &lt;&gt; ""), "ПРОВЕРИТЬ", VLOOKUP(A833, 'Актуальное состояние (из общего'!A:C,3,0)), "")</f>
        <v>Аспирант</v>
      </c>
      <c r="U833" s="9" t="s">
        <v>13284</v>
      </c>
      <c r="V833" s="9" t="s">
        <v>13284</v>
      </c>
      <c r="W833" s="12" t="s">
        <v>389</v>
      </c>
      <c r="X833" s="9" t="str">
        <f t="array" ref="X833">IFERROR(INDEX('Адреса общежитий (скрытый)'!$B$2:$B$9, MATCH(W833, 'Адреса общежитий (скрытый)'!$A$2:$A$9, 0)), "")</f>
        <v>2-ой Донской проезд, д. 9</v>
      </c>
      <c r="Y833" s="18"/>
      <c r="Z833" s="18"/>
      <c r="AA833" s="18"/>
      <c r="AB833" s="18"/>
      <c r="AC833" s="18"/>
    </row>
    <row r="834" spans="1:29" ht="32.25" hidden="1" customHeight="1">
      <c r="A834" s="8">
        <v>2308694</v>
      </c>
      <c r="B834" s="9" t="s">
        <v>13284</v>
      </c>
      <c r="C834" s="9" t="s">
        <v>13284</v>
      </c>
      <c r="D834" s="9" t="s">
        <v>13284</v>
      </c>
      <c r="E834" s="9" t="s">
        <v>13284</v>
      </c>
      <c r="F834" s="9" t="s">
        <v>13284</v>
      </c>
      <c r="G834" s="9" t="s">
        <v>13284</v>
      </c>
      <c r="H834" s="9" t="s">
        <v>13284</v>
      </c>
      <c r="I834" s="9" t="s">
        <v>13284</v>
      </c>
      <c r="J834" s="9" t="s">
        <v>13284</v>
      </c>
      <c r="K834" s="9" t="s">
        <v>13284</v>
      </c>
      <c r="L834" s="9" t="s">
        <v>13284</v>
      </c>
      <c r="M834" s="9" t="s">
        <v>13284</v>
      </c>
      <c r="N834" s="9" t="s">
        <v>13284</v>
      </c>
      <c r="O834" s="9" t="s">
        <v>13284</v>
      </c>
      <c r="P834" s="9" t="s">
        <v>13284</v>
      </c>
      <c r="Q834" s="9" t="s">
        <v>13284</v>
      </c>
      <c r="R834" s="9" t="s">
        <v>13284</v>
      </c>
      <c r="S834" s="9" t="s">
        <v>13284</v>
      </c>
      <c r="T834" s="9" t="str">
        <f ca="1">IFERROR(IF(AND(VLOOKUP(A834, 'Актуальное состояние (из общего'!A:C,3,0) = "", A834 &lt;&gt; ""), "ПРОВЕРИТЬ", VLOOKUP(A834, 'Актуальное состояние (из общего'!A:C,3,0)), "")</f>
        <v>Аспирант</v>
      </c>
      <c r="U834" s="9" t="s">
        <v>13284</v>
      </c>
      <c r="V834" s="9" t="s">
        <v>13284</v>
      </c>
      <c r="W834" s="12" t="s">
        <v>389</v>
      </c>
      <c r="X834" s="9" t="str">
        <f t="array" ref="X834">IFERROR(INDEX('Адреса общежитий (скрытый)'!$B$2:$B$9, MATCH(W834, 'Адреса общежитий (скрытый)'!$A$2:$A$9, 0)), "")</f>
        <v>2-ой Донской проезд, д. 9</v>
      </c>
      <c r="Y834" s="18"/>
      <c r="Z834" s="18"/>
      <c r="AA834" s="18"/>
      <c r="AB834" s="18"/>
      <c r="AC834" s="18"/>
    </row>
    <row r="835" spans="1:29" ht="32.25" hidden="1" customHeight="1">
      <c r="A835" s="8">
        <v>2311928</v>
      </c>
      <c r="B835" s="9" t="s">
        <v>13284</v>
      </c>
      <c r="C835" s="9" t="s">
        <v>13284</v>
      </c>
      <c r="D835" s="9" t="s">
        <v>13284</v>
      </c>
      <c r="E835" s="9" t="s">
        <v>13284</v>
      </c>
      <c r="F835" s="9" t="s">
        <v>13284</v>
      </c>
      <c r="G835" s="9" t="s">
        <v>13284</v>
      </c>
      <c r="H835" s="9" t="s">
        <v>13284</v>
      </c>
      <c r="I835" s="9" t="s">
        <v>13284</v>
      </c>
      <c r="J835" s="9" t="s">
        <v>13284</v>
      </c>
      <c r="K835" s="9" t="s">
        <v>13284</v>
      </c>
      <c r="L835" s="9" t="s">
        <v>13284</v>
      </c>
      <c r="M835" s="9" t="s">
        <v>13284</v>
      </c>
      <c r="N835" s="9" t="s">
        <v>13284</v>
      </c>
      <c r="O835" s="9" t="s">
        <v>13284</v>
      </c>
      <c r="P835" s="9" t="s">
        <v>13284</v>
      </c>
      <c r="Q835" s="9" t="s">
        <v>13284</v>
      </c>
      <c r="R835" s="9" t="s">
        <v>13284</v>
      </c>
      <c r="S835" s="9" t="s">
        <v>13284</v>
      </c>
      <c r="T835" s="9" t="str">
        <f ca="1">IFERROR(IF(AND(VLOOKUP(A835, 'Актуальное состояние (из общего'!A:C,3,0) = "", A835 &lt;&gt; ""), "ПРОВЕРИТЬ", VLOOKUP(A835, 'Актуальное состояние (из общего'!A:C,3,0)), "")</f>
        <v>Аспирант</v>
      </c>
      <c r="U835" s="9" t="s">
        <v>13284</v>
      </c>
      <c r="V835" s="9" t="s">
        <v>13284</v>
      </c>
      <c r="W835" s="12" t="s">
        <v>389</v>
      </c>
      <c r="X835" s="9" t="str">
        <f t="array" ref="X835">IFERROR(INDEX('Адреса общежитий (скрытый)'!$B$2:$B$9, MATCH(W835, 'Адреса общежитий (скрытый)'!$A$2:$A$9, 0)), "")</f>
        <v>2-ой Донской проезд, д. 9</v>
      </c>
      <c r="Y835" s="18"/>
      <c r="Z835" s="18"/>
      <c r="AA835" s="18"/>
      <c r="AB835" s="18"/>
      <c r="AC835" s="18"/>
    </row>
    <row r="836" spans="1:29" ht="32.25" hidden="1" customHeight="1">
      <c r="A836" s="8">
        <v>2303224</v>
      </c>
      <c r="B836" s="9" t="s">
        <v>13284</v>
      </c>
      <c r="C836" s="9" t="s">
        <v>13284</v>
      </c>
      <c r="D836" s="9" t="s">
        <v>13284</v>
      </c>
      <c r="E836" s="9" t="s">
        <v>13284</v>
      </c>
      <c r="F836" s="9" t="s">
        <v>13284</v>
      </c>
      <c r="G836" s="9" t="s">
        <v>13284</v>
      </c>
      <c r="H836" s="9" t="s">
        <v>13284</v>
      </c>
      <c r="I836" s="9" t="s">
        <v>13284</v>
      </c>
      <c r="J836" s="9" t="s">
        <v>13284</v>
      </c>
      <c r="K836" s="9" t="s">
        <v>13284</v>
      </c>
      <c r="L836" s="9" t="s">
        <v>13284</v>
      </c>
      <c r="M836" s="9" t="s">
        <v>13284</v>
      </c>
      <c r="N836" s="9" t="s">
        <v>13284</v>
      </c>
      <c r="O836" s="9" t="s">
        <v>13284</v>
      </c>
      <c r="P836" s="9" t="s">
        <v>13284</v>
      </c>
      <c r="Q836" s="9" t="s">
        <v>13284</v>
      </c>
      <c r="R836" s="9" t="s">
        <v>13284</v>
      </c>
      <c r="S836" s="9" t="s">
        <v>13284</v>
      </c>
      <c r="T836" s="9" t="str">
        <f ca="1">IFERROR(IF(AND(VLOOKUP(A836, 'Актуальное состояние (из общего'!A:C,3,0) = "", A836 &lt;&gt; ""), "ПРОВЕРИТЬ", VLOOKUP(A836, 'Актуальное состояние (из общего'!A:C,3,0)), "")</f>
        <v>Аспирант</v>
      </c>
      <c r="U836" s="9" t="s">
        <v>13284</v>
      </c>
      <c r="V836" s="9" t="s">
        <v>13284</v>
      </c>
      <c r="W836" s="12" t="s">
        <v>389</v>
      </c>
      <c r="X836" s="9" t="str">
        <f t="array" ref="X836">IFERROR(INDEX('Адреса общежитий (скрытый)'!$B$2:$B$9, MATCH(W836, 'Адреса общежитий (скрытый)'!$A$2:$A$9, 0)), "")</f>
        <v>2-ой Донской проезд, д. 9</v>
      </c>
      <c r="Y836" s="18"/>
      <c r="Z836" s="18"/>
      <c r="AA836" s="18"/>
      <c r="AB836" s="18"/>
      <c r="AC836" s="18"/>
    </row>
    <row r="837" spans="1:29" ht="32.25" hidden="1" customHeight="1">
      <c r="A837" s="8">
        <v>2311637</v>
      </c>
      <c r="B837" s="9" t="s">
        <v>13284</v>
      </c>
      <c r="C837" s="9" t="s">
        <v>13284</v>
      </c>
      <c r="D837" s="9" t="s">
        <v>13284</v>
      </c>
      <c r="E837" s="9" t="s">
        <v>13284</v>
      </c>
      <c r="F837" s="9" t="s">
        <v>13284</v>
      </c>
      <c r="G837" s="9" t="s">
        <v>13284</v>
      </c>
      <c r="H837" s="9" t="s">
        <v>13284</v>
      </c>
      <c r="I837" s="9" t="s">
        <v>13284</v>
      </c>
      <c r="J837" s="9" t="s">
        <v>13284</v>
      </c>
      <c r="K837" s="9" t="s">
        <v>13284</v>
      </c>
      <c r="L837" s="9" t="s">
        <v>13284</v>
      </c>
      <c r="M837" s="9" t="s">
        <v>13284</v>
      </c>
      <c r="N837" s="9" t="s">
        <v>13284</v>
      </c>
      <c r="O837" s="9" t="s">
        <v>13284</v>
      </c>
      <c r="P837" s="9" t="s">
        <v>13284</v>
      </c>
      <c r="Q837" s="9" t="s">
        <v>13284</v>
      </c>
      <c r="R837" s="9" t="s">
        <v>13284</v>
      </c>
      <c r="S837" s="9" t="s">
        <v>13284</v>
      </c>
      <c r="T837" s="9" t="str">
        <f ca="1">IFERROR(IF(AND(VLOOKUP(A837, 'Актуальное состояние (из общего'!A:C,3,0) = "", A837 &lt;&gt; ""), "ПРОВЕРИТЬ", VLOOKUP(A837, 'Актуальное состояние (из общего'!A:C,3,0)), "")</f>
        <v>Аспирант</v>
      </c>
      <c r="U837" s="9" t="s">
        <v>13284</v>
      </c>
      <c r="V837" s="9" t="s">
        <v>13284</v>
      </c>
      <c r="W837" s="12" t="s">
        <v>389</v>
      </c>
      <c r="X837" s="9" t="str">
        <f t="array" ref="X837">IFERROR(INDEX('Адреса общежитий (скрытый)'!$B$2:$B$9, MATCH(W837, 'Адреса общежитий (скрытый)'!$A$2:$A$9, 0)), "")</f>
        <v>2-ой Донской проезд, д. 9</v>
      </c>
      <c r="Y837" s="18"/>
      <c r="Z837" s="18"/>
      <c r="AA837" s="18"/>
      <c r="AB837" s="18"/>
      <c r="AC837" s="18"/>
    </row>
    <row r="838" spans="1:29" ht="32.25" hidden="1" customHeight="1">
      <c r="A838" s="8">
        <v>2312466</v>
      </c>
      <c r="B838" s="9" t="s">
        <v>13284</v>
      </c>
      <c r="C838" s="9" t="s">
        <v>13284</v>
      </c>
      <c r="D838" s="9" t="s">
        <v>13284</v>
      </c>
      <c r="E838" s="9" t="s">
        <v>13284</v>
      </c>
      <c r="F838" s="9" t="s">
        <v>13284</v>
      </c>
      <c r="G838" s="9" t="s">
        <v>13284</v>
      </c>
      <c r="H838" s="9" t="s">
        <v>13284</v>
      </c>
      <c r="I838" s="9" t="s">
        <v>13284</v>
      </c>
      <c r="J838" s="9" t="s">
        <v>13284</v>
      </c>
      <c r="K838" s="9" t="s">
        <v>13284</v>
      </c>
      <c r="L838" s="9" t="s">
        <v>13284</v>
      </c>
      <c r="M838" s="9" t="s">
        <v>13284</v>
      </c>
      <c r="N838" s="9" t="s">
        <v>13284</v>
      </c>
      <c r="O838" s="9" t="s">
        <v>13284</v>
      </c>
      <c r="P838" s="9" t="s">
        <v>13284</v>
      </c>
      <c r="Q838" s="9" t="s">
        <v>13284</v>
      </c>
      <c r="R838" s="9" t="s">
        <v>13284</v>
      </c>
      <c r="S838" s="9" t="s">
        <v>13284</v>
      </c>
      <c r="T838" s="9" t="str">
        <f ca="1">IFERROR(IF(AND(VLOOKUP(A838, 'Актуальное состояние (из общего'!A:C,3,0) = "", A838 &lt;&gt; ""), "ПРОВЕРИТЬ", VLOOKUP(A838, 'Актуальное состояние (из общего'!A:C,3,0)), "")</f>
        <v>Аспирант</v>
      </c>
      <c r="U838" s="9" t="s">
        <v>13284</v>
      </c>
      <c r="V838" s="9" t="s">
        <v>13284</v>
      </c>
      <c r="W838" s="12" t="s">
        <v>389</v>
      </c>
      <c r="X838" s="9" t="str">
        <f t="array" ref="X838">IFERROR(INDEX('Адреса общежитий (скрытый)'!$B$2:$B$9, MATCH(W838, 'Адреса общежитий (скрытый)'!$A$2:$A$9, 0)), "")</f>
        <v>2-ой Донской проезд, д. 9</v>
      </c>
      <c r="Y838" s="18"/>
      <c r="Z838" s="18"/>
      <c r="AA838" s="18"/>
      <c r="AB838" s="18"/>
      <c r="AC838" s="18"/>
    </row>
    <row r="839" spans="1:29" ht="32.25" customHeight="1">
      <c r="A839" s="8">
        <v>2311743</v>
      </c>
      <c r="B839" s="9" t="s">
        <v>13284</v>
      </c>
      <c r="C839" s="9" t="s">
        <v>13284</v>
      </c>
      <c r="D839" s="9" t="s">
        <v>13284</v>
      </c>
      <c r="E839" s="9" t="s">
        <v>13284</v>
      </c>
      <c r="F839" s="9" t="s">
        <v>13284</v>
      </c>
      <c r="G839" s="9" t="s">
        <v>13284</v>
      </c>
      <c r="H839" s="9" t="s">
        <v>13284</v>
      </c>
      <c r="I839" s="9" t="s">
        <v>13284</v>
      </c>
      <c r="J839" s="9" t="s">
        <v>13284</v>
      </c>
      <c r="K839" s="9" t="s">
        <v>13284</v>
      </c>
      <c r="L839" s="9" t="s">
        <v>13284</v>
      </c>
      <c r="M839" s="9" t="s">
        <v>13284</v>
      </c>
      <c r="N839" s="9" t="s">
        <v>13284</v>
      </c>
      <c r="O839" s="9" t="s">
        <v>13284</v>
      </c>
      <c r="P839" s="9" t="s">
        <v>13284</v>
      </c>
      <c r="Q839" s="9" t="s">
        <v>13284</v>
      </c>
      <c r="R839" s="9" t="s">
        <v>13284</v>
      </c>
      <c r="S839" s="9" t="s">
        <v>13284</v>
      </c>
      <c r="T839" s="9" t="str">
        <f ca="1">IFERROR(IF(AND(VLOOKUP(A839, 'Актуальное состояние (из общего'!A:C,3,0) = "", A839 &lt;&gt; ""), "ПРОВЕРИТЬ", VLOOKUP(A839, 'Актуальное состояние (из общего'!A:C,3,0)), "")</f>
        <v>Аспирант</v>
      </c>
      <c r="U839" s="9" t="s">
        <v>13284</v>
      </c>
      <c r="V839" s="9" t="s">
        <v>13284</v>
      </c>
      <c r="W839" s="12" t="s">
        <v>389</v>
      </c>
      <c r="X839" s="9" t="str">
        <f t="array" ref="X839">IFERROR(INDEX('Адреса общежитий (скрытый)'!$B$2:$B$9, MATCH(W839, 'Адреса общежитий (скрытый)'!$A$2:$A$9, 0)), "")</f>
        <v>2-ой Донской проезд, д. 9</v>
      </c>
      <c r="Y839" s="18"/>
      <c r="Z839" s="18"/>
      <c r="AA839" s="18"/>
      <c r="AB839" s="18"/>
      <c r="AC839" s="18"/>
    </row>
    <row r="840" spans="1:29" ht="32.25" hidden="1" customHeight="1">
      <c r="A840" s="8">
        <v>2311933</v>
      </c>
      <c r="B840" s="9" t="s">
        <v>13284</v>
      </c>
      <c r="C840" s="9" t="s">
        <v>13284</v>
      </c>
      <c r="D840" s="9" t="s">
        <v>13284</v>
      </c>
      <c r="E840" s="9" t="s">
        <v>13284</v>
      </c>
      <c r="F840" s="9" t="s">
        <v>13284</v>
      </c>
      <c r="G840" s="9" t="s">
        <v>13284</v>
      </c>
      <c r="H840" s="9" t="s">
        <v>13284</v>
      </c>
      <c r="I840" s="9" t="s">
        <v>13284</v>
      </c>
      <c r="J840" s="9" t="s">
        <v>13284</v>
      </c>
      <c r="K840" s="9" t="s">
        <v>13284</v>
      </c>
      <c r="L840" s="9" t="s">
        <v>13284</v>
      </c>
      <c r="M840" s="9" t="s">
        <v>13284</v>
      </c>
      <c r="N840" s="9" t="s">
        <v>13284</v>
      </c>
      <c r="O840" s="9" t="s">
        <v>13284</v>
      </c>
      <c r="P840" s="9" t="s">
        <v>13284</v>
      </c>
      <c r="Q840" s="9" t="s">
        <v>13284</v>
      </c>
      <c r="R840" s="9" t="s">
        <v>13284</v>
      </c>
      <c r="S840" s="9" t="s">
        <v>13284</v>
      </c>
      <c r="T840" s="9" t="str">
        <f ca="1">IFERROR(IF(AND(VLOOKUP(A840, 'Актуальное состояние (из общего'!A:C,3,0) = "", A840 &lt;&gt; ""), "ПРОВЕРИТЬ", VLOOKUP(A840, 'Актуальное состояние (из общего'!A:C,3,0)), "")</f>
        <v>Аспирант</v>
      </c>
      <c r="U840" s="9" t="s">
        <v>13284</v>
      </c>
      <c r="V840" s="9" t="s">
        <v>13284</v>
      </c>
      <c r="W840" s="12" t="s">
        <v>389</v>
      </c>
      <c r="X840" s="9" t="str">
        <f t="array" ref="X840">IFERROR(INDEX('Адреса общежитий (скрытый)'!$B$2:$B$9, MATCH(W840, 'Адреса общежитий (скрытый)'!$A$2:$A$9, 0)), "")</f>
        <v>2-ой Донской проезд, д. 9</v>
      </c>
      <c r="Y840" s="18"/>
      <c r="Z840" s="18"/>
      <c r="AA840" s="18"/>
      <c r="AB840" s="18"/>
      <c r="AC840" s="18"/>
    </row>
    <row r="841" spans="1:29" ht="32.25" hidden="1" customHeight="1">
      <c r="A841" s="8">
        <v>2309258</v>
      </c>
      <c r="B841" s="9" t="s">
        <v>13284</v>
      </c>
      <c r="C841" s="9" t="s">
        <v>13284</v>
      </c>
      <c r="D841" s="9" t="s">
        <v>13284</v>
      </c>
      <c r="E841" s="9" t="s">
        <v>13284</v>
      </c>
      <c r="F841" s="9" t="s">
        <v>13284</v>
      </c>
      <c r="G841" s="9" t="s">
        <v>13284</v>
      </c>
      <c r="H841" s="9" t="s">
        <v>13284</v>
      </c>
      <c r="I841" s="9" t="s">
        <v>13284</v>
      </c>
      <c r="J841" s="9" t="s">
        <v>13284</v>
      </c>
      <c r="K841" s="9" t="s">
        <v>13284</v>
      </c>
      <c r="L841" s="9" t="s">
        <v>13284</v>
      </c>
      <c r="M841" s="9" t="s">
        <v>13284</v>
      </c>
      <c r="N841" s="9" t="s">
        <v>13284</v>
      </c>
      <c r="O841" s="9" t="s">
        <v>13284</v>
      </c>
      <c r="P841" s="9" t="s">
        <v>13284</v>
      </c>
      <c r="Q841" s="9" t="s">
        <v>13284</v>
      </c>
      <c r="R841" s="9" t="s">
        <v>13284</v>
      </c>
      <c r="S841" s="9" t="s">
        <v>13284</v>
      </c>
      <c r="T841" s="9" t="str">
        <f ca="1">IFERROR(IF(AND(VLOOKUP(A841, 'Актуальное состояние (из общего'!A:C,3,0) = "", A841 &lt;&gt; ""), "ПРОВЕРИТЬ", VLOOKUP(A841, 'Актуальное состояние (из общего'!A:C,3,0)), "")</f>
        <v>Аспирант</v>
      </c>
      <c r="U841" s="9" t="s">
        <v>13284</v>
      </c>
      <c r="V841" s="9" t="s">
        <v>13284</v>
      </c>
      <c r="W841" s="12" t="s">
        <v>389</v>
      </c>
      <c r="X841" s="9" t="str">
        <f t="array" ref="X841">IFERROR(INDEX('Адреса общежитий (скрытый)'!$B$2:$B$9, MATCH(W841, 'Адреса общежитий (скрытый)'!$A$2:$A$9, 0)), "")</f>
        <v>2-ой Донской проезд, д. 9</v>
      </c>
      <c r="Y841" s="18"/>
      <c r="Z841" s="18"/>
      <c r="AA841" s="18"/>
      <c r="AB841" s="18"/>
      <c r="AC841" s="18"/>
    </row>
    <row r="842" spans="1:29" ht="32.25" hidden="1" customHeight="1">
      <c r="A842" s="8">
        <v>2303811</v>
      </c>
      <c r="B842" s="9" t="s">
        <v>13284</v>
      </c>
      <c r="C842" s="9" t="s">
        <v>13284</v>
      </c>
      <c r="D842" s="9" t="s">
        <v>13284</v>
      </c>
      <c r="E842" s="9" t="s">
        <v>13284</v>
      </c>
      <c r="F842" s="9" t="s">
        <v>13284</v>
      </c>
      <c r="G842" s="9" t="s">
        <v>13284</v>
      </c>
      <c r="H842" s="9" t="s">
        <v>13284</v>
      </c>
      <c r="I842" s="9" t="s">
        <v>13284</v>
      </c>
      <c r="J842" s="9" t="s">
        <v>13284</v>
      </c>
      <c r="K842" s="9" t="s">
        <v>13284</v>
      </c>
      <c r="L842" s="9" t="s">
        <v>13284</v>
      </c>
      <c r="M842" s="9" t="s">
        <v>13284</v>
      </c>
      <c r="N842" s="9" t="s">
        <v>13284</v>
      </c>
      <c r="O842" s="9" t="s">
        <v>13284</v>
      </c>
      <c r="P842" s="9" t="s">
        <v>13284</v>
      </c>
      <c r="Q842" s="9" t="s">
        <v>13284</v>
      </c>
      <c r="R842" s="9" t="s">
        <v>13284</v>
      </c>
      <c r="S842" s="9" t="s">
        <v>13284</v>
      </c>
      <c r="T842" s="9" t="str">
        <f ca="1">IFERROR(IF(AND(VLOOKUP(A842, 'Актуальное состояние (из общего'!A:C,3,0) = "", A842 &lt;&gt; ""), "ПРОВЕРИТЬ", VLOOKUP(A842, 'Актуальное состояние (из общего'!A:C,3,0)), "")</f>
        <v>Аспирант</v>
      </c>
      <c r="U842" s="9" t="s">
        <v>13284</v>
      </c>
      <c r="V842" s="9" t="s">
        <v>13284</v>
      </c>
      <c r="W842" s="12" t="s">
        <v>389</v>
      </c>
      <c r="X842" s="9" t="str">
        <f t="array" ref="X842">IFERROR(INDEX('Адреса общежитий (скрытый)'!$B$2:$B$9, MATCH(W842, 'Адреса общежитий (скрытый)'!$A$2:$A$9, 0)), "")</f>
        <v>2-ой Донской проезд, д. 9</v>
      </c>
      <c r="Y842" s="18"/>
      <c r="Z842" s="18"/>
      <c r="AA842" s="18"/>
      <c r="AB842" s="18"/>
      <c r="AC842" s="18"/>
    </row>
    <row r="843" spans="1:29" ht="32.25" hidden="1" customHeight="1">
      <c r="A843" s="8">
        <v>2312387</v>
      </c>
      <c r="B843" s="9" t="s">
        <v>13284</v>
      </c>
      <c r="C843" s="9" t="s">
        <v>13284</v>
      </c>
      <c r="D843" s="9" t="s">
        <v>13284</v>
      </c>
      <c r="E843" s="9" t="s">
        <v>13284</v>
      </c>
      <c r="F843" s="9" t="s">
        <v>13284</v>
      </c>
      <c r="G843" s="9" t="s">
        <v>13284</v>
      </c>
      <c r="H843" s="9" t="s">
        <v>13284</v>
      </c>
      <c r="I843" s="9" t="s">
        <v>13284</v>
      </c>
      <c r="J843" s="9" t="s">
        <v>13284</v>
      </c>
      <c r="K843" s="9" t="s">
        <v>13284</v>
      </c>
      <c r="L843" s="9" t="s">
        <v>13284</v>
      </c>
      <c r="M843" s="9" t="s">
        <v>13284</v>
      </c>
      <c r="N843" s="9" t="s">
        <v>13284</v>
      </c>
      <c r="O843" s="9" t="s">
        <v>13284</v>
      </c>
      <c r="P843" s="9" t="s">
        <v>13284</v>
      </c>
      <c r="Q843" s="9" t="s">
        <v>13284</v>
      </c>
      <c r="R843" s="9" t="s">
        <v>13284</v>
      </c>
      <c r="S843" s="9" t="s">
        <v>13284</v>
      </c>
      <c r="T843" s="9" t="str">
        <f ca="1">IFERROR(IF(AND(VLOOKUP(A843, 'Актуальное состояние (из общего'!A:C,3,0) = "", A843 &lt;&gt; ""), "ПРОВЕРИТЬ", VLOOKUP(A843, 'Актуальное состояние (из общего'!A:C,3,0)), "")</f>
        <v>Аспирант</v>
      </c>
      <c r="U843" s="9" t="s">
        <v>13284</v>
      </c>
      <c r="V843" s="9" t="s">
        <v>13284</v>
      </c>
      <c r="W843" s="12" t="s">
        <v>389</v>
      </c>
      <c r="X843" s="9" t="str">
        <f t="array" ref="X843">IFERROR(INDEX('Адреса общежитий (скрытый)'!$B$2:$B$9, MATCH(W843, 'Адреса общежитий (скрытый)'!$A$2:$A$9, 0)), "")</f>
        <v>2-ой Донской проезд, д. 9</v>
      </c>
      <c r="Y843" s="18"/>
      <c r="Z843" s="18"/>
      <c r="AA843" s="18"/>
      <c r="AB843" s="18"/>
      <c r="AC843" s="18"/>
    </row>
    <row r="844" spans="1:29" ht="32.25" hidden="1" customHeight="1">
      <c r="A844" s="8">
        <v>2308830</v>
      </c>
      <c r="B844" s="9" t="s">
        <v>13284</v>
      </c>
      <c r="C844" s="9" t="s">
        <v>13284</v>
      </c>
      <c r="D844" s="9" t="s">
        <v>13284</v>
      </c>
      <c r="E844" s="9" t="s">
        <v>13284</v>
      </c>
      <c r="F844" s="9" t="s">
        <v>13284</v>
      </c>
      <c r="G844" s="9" t="s">
        <v>13284</v>
      </c>
      <c r="H844" s="9" t="s">
        <v>13284</v>
      </c>
      <c r="I844" s="9" t="s">
        <v>13284</v>
      </c>
      <c r="J844" s="9" t="s">
        <v>13284</v>
      </c>
      <c r="K844" s="9" t="s">
        <v>13284</v>
      </c>
      <c r="L844" s="9" t="s">
        <v>13284</v>
      </c>
      <c r="M844" s="9" t="s">
        <v>13284</v>
      </c>
      <c r="N844" s="9" t="s">
        <v>13284</v>
      </c>
      <c r="O844" s="9" t="s">
        <v>13284</v>
      </c>
      <c r="P844" s="9" t="s">
        <v>13284</v>
      </c>
      <c r="Q844" s="9" t="s">
        <v>13284</v>
      </c>
      <c r="R844" s="9" t="s">
        <v>13284</v>
      </c>
      <c r="S844" s="9" t="s">
        <v>13284</v>
      </c>
      <c r="T844" s="9" t="str">
        <f ca="1">IFERROR(IF(AND(VLOOKUP(A844, 'Актуальное состояние (из общего'!A:C,3,0) = "", A844 &lt;&gt; ""), "ПРОВЕРИТЬ", VLOOKUP(A844, 'Актуальное состояние (из общего'!A:C,3,0)), "")</f>
        <v>Аспирант</v>
      </c>
      <c r="U844" s="9" t="s">
        <v>13284</v>
      </c>
      <c r="V844" s="9" t="s">
        <v>13284</v>
      </c>
      <c r="W844" s="12" t="s">
        <v>389</v>
      </c>
      <c r="X844" s="9" t="str">
        <f t="array" ref="X844">IFERROR(INDEX('Адреса общежитий (скрытый)'!$B$2:$B$9, MATCH(W844, 'Адреса общежитий (скрытый)'!$A$2:$A$9, 0)), "")</f>
        <v>2-ой Донской проезд, д. 9</v>
      </c>
      <c r="Y844" s="18"/>
      <c r="Z844" s="18"/>
      <c r="AA844" s="18"/>
      <c r="AB844" s="18"/>
      <c r="AC844" s="18"/>
    </row>
    <row r="845" spans="1:29" ht="32.25" hidden="1" customHeight="1">
      <c r="A845" s="8">
        <v>2311481</v>
      </c>
      <c r="B845" s="9" t="s">
        <v>13284</v>
      </c>
      <c r="C845" s="9" t="s">
        <v>13284</v>
      </c>
      <c r="D845" s="9" t="s">
        <v>13284</v>
      </c>
      <c r="E845" s="9" t="s">
        <v>13284</v>
      </c>
      <c r="F845" s="9" t="s">
        <v>13284</v>
      </c>
      <c r="G845" s="9" t="s">
        <v>13284</v>
      </c>
      <c r="H845" s="9" t="s">
        <v>13284</v>
      </c>
      <c r="I845" s="9" t="s">
        <v>13284</v>
      </c>
      <c r="J845" s="9" t="s">
        <v>13284</v>
      </c>
      <c r="K845" s="9" t="s">
        <v>13284</v>
      </c>
      <c r="L845" s="9" t="s">
        <v>13284</v>
      </c>
      <c r="M845" s="9" t="s">
        <v>13284</v>
      </c>
      <c r="N845" s="9" t="s">
        <v>13284</v>
      </c>
      <c r="O845" s="9" t="s">
        <v>13284</v>
      </c>
      <c r="P845" s="9" t="s">
        <v>13284</v>
      </c>
      <c r="Q845" s="9" t="s">
        <v>13284</v>
      </c>
      <c r="R845" s="9" t="s">
        <v>13284</v>
      </c>
      <c r="S845" s="9" t="s">
        <v>13284</v>
      </c>
      <c r="T845" s="9" t="str">
        <f ca="1">IFERROR(IF(AND(VLOOKUP(A845, 'Актуальное состояние (из общего'!A:C,3,0) = "", A845 &lt;&gt; ""), "ПРОВЕРИТЬ", VLOOKUP(A845, 'Актуальное состояние (из общего'!A:C,3,0)), "")</f>
        <v>Аспирант</v>
      </c>
      <c r="U845" s="9" t="s">
        <v>13284</v>
      </c>
      <c r="V845" s="9" t="s">
        <v>13284</v>
      </c>
      <c r="W845" s="12" t="s">
        <v>389</v>
      </c>
      <c r="X845" s="9" t="str">
        <f t="array" ref="X845">IFERROR(INDEX('Адреса общежитий (скрытый)'!$B$2:$B$9, MATCH(W845, 'Адреса общежитий (скрытый)'!$A$2:$A$9, 0)), "")</f>
        <v>2-ой Донской проезд, д. 9</v>
      </c>
      <c r="Y845" s="18"/>
      <c r="Z845" s="18"/>
      <c r="AA845" s="18"/>
      <c r="AB845" s="18"/>
      <c r="AC845" s="18"/>
    </row>
    <row r="846" spans="1:29" ht="32.25" hidden="1" customHeight="1">
      <c r="A846" s="8">
        <v>2303188</v>
      </c>
      <c r="B846" s="9" t="s">
        <v>13284</v>
      </c>
      <c r="C846" s="9" t="s">
        <v>13284</v>
      </c>
      <c r="D846" s="9" t="s">
        <v>13284</v>
      </c>
      <c r="E846" s="9" t="s">
        <v>13284</v>
      </c>
      <c r="F846" s="9" t="s">
        <v>13284</v>
      </c>
      <c r="G846" s="9" t="s">
        <v>13284</v>
      </c>
      <c r="H846" s="9" t="s">
        <v>13284</v>
      </c>
      <c r="I846" s="9" t="s">
        <v>13284</v>
      </c>
      <c r="J846" s="9" t="s">
        <v>13284</v>
      </c>
      <c r="K846" s="9" t="s">
        <v>13284</v>
      </c>
      <c r="L846" s="9" t="s">
        <v>13284</v>
      </c>
      <c r="M846" s="9" t="s">
        <v>13284</v>
      </c>
      <c r="N846" s="9" t="s">
        <v>13284</v>
      </c>
      <c r="O846" s="9" t="s">
        <v>13284</v>
      </c>
      <c r="P846" s="9" t="s">
        <v>13284</v>
      </c>
      <c r="Q846" s="9" t="s">
        <v>13284</v>
      </c>
      <c r="R846" s="9" t="s">
        <v>13284</v>
      </c>
      <c r="S846" s="9" t="s">
        <v>13284</v>
      </c>
      <c r="T846" s="9" t="str">
        <f ca="1">IFERROR(IF(AND(VLOOKUP(A846, 'Актуальное состояние (из общего'!A:C,3,0) = "", A846 &lt;&gt; ""), "ПРОВЕРИТЬ", VLOOKUP(A846, 'Актуальное состояние (из общего'!A:C,3,0)), "")</f>
        <v>Аспирант</v>
      </c>
      <c r="U846" s="9" t="s">
        <v>13284</v>
      </c>
      <c r="V846" s="9" t="s">
        <v>13284</v>
      </c>
      <c r="W846" s="12" t="s">
        <v>389</v>
      </c>
      <c r="X846" s="9" t="str">
        <f t="array" ref="X846">IFERROR(INDEX('Адреса общежитий (скрытый)'!$B$2:$B$9, MATCH(W846, 'Адреса общежитий (скрытый)'!$A$2:$A$9, 0)), "")</f>
        <v>2-ой Донской проезд, д. 9</v>
      </c>
      <c r="Y846" s="18"/>
      <c r="Z846" s="18"/>
      <c r="AA846" s="18"/>
      <c r="AB846" s="18"/>
      <c r="AC846" s="18"/>
    </row>
    <row r="847" spans="1:29" ht="32.25" customHeight="1">
      <c r="A847" s="8">
        <v>2311883</v>
      </c>
      <c r="B847" s="9" t="s">
        <v>13284</v>
      </c>
      <c r="C847" s="9" t="s">
        <v>13284</v>
      </c>
      <c r="D847" s="9" t="s">
        <v>13284</v>
      </c>
      <c r="E847" s="9" t="s">
        <v>13284</v>
      </c>
      <c r="F847" s="9" t="s">
        <v>13284</v>
      </c>
      <c r="G847" s="9" t="s">
        <v>13284</v>
      </c>
      <c r="H847" s="9" t="s">
        <v>13284</v>
      </c>
      <c r="I847" s="9" t="s">
        <v>13284</v>
      </c>
      <c r="J847" s="9" t="s">
        <v>13284</v>
      </c>
      <c r="K847" s="9" t="s">
        <v>13284</v>
      </c>
      <c r="L847" s="9" t="s">
        <v>13284</v>
      </c>
      <c r="M847" s="9" t="s">
        <v>13284</v>
      </c>
      <c r="N847" s="9" t="s">
        <v>13284</v>
      </c>
      <c r="O847" s="9" t="s">
        <v>13284</v>
      </c>
      <c r="P847" s="9" t="s">
        <v>13284</v>
      </c>
      <c r="Q847" s="9" t="s">
        <v>13284</v>
      </c>
      <c r="R847" s="9" t="s">
        <v>13284</v>
      </c>
      <c r="S847" s="9" t="s">
        <v>13284</v>
      </c>
      <c r="T847" s="9" t="str">
        <f ca="1">IFERROR(IF(AND(VLOOKUP(A847, 'Актуальное состояние (из общего'!A:C,3,0) = "", A847 &lt;&gt; ""), "ПРОВЕРИТЬ", VLOOKUP(A847, 'Актуальное состояние (из общего'!A:C,3,0)), "")</f>
        <v>Аспирант</v>
      </c>
      <c r="U847" s="9" t="s">
        <v>13284</v>
      </c>
      <c r="V847" s="9" t="s">
        <v>13284</v>
      </c>
      <c r="W847" s="12" t="s">
        <v>389</v>
      </c>
      <c r="X847" s="9" t="str">
        <f t="array" ref="X847">IFERROR(INDEX('Адреса общежитий (скрытый)'!$B$2:$B$9, MATCH(W847, 'Адреса общежитий (скрытый)'!$A$2:$A$9, 0)), "")</f>
        <v>2-ой Донской проезд, д. 9</v>
      </c>
      <c r="Y847" s="18"/>
      <c r="Z847" s="18"/>
      <c r="AA847" s="18"/>
      <c r="AB847" s="18"/>
      <c r="AC847" s="18"/>
    </row>
    <row r="848" spans="1:29" ht="32.25" hidden="1" customHeight="1">
      <c r="A848" s="8">
        <v>2300259</v>
      </c>
      <c r="B848" s="9" t="s">
        <v>13284</v>
      </c>
      <c r="C848" s="9" t="s">
        <v>13284</v>
      </c>
      <c r="D848" s="9" t="s">
        <v>13284</v>
      </c>
      <c r="E848" s="9" t="s">
        <v>13284</v>
      </c>
      <c r="F848" s="9" t="s">
        <v>13284</v>
      </c>
      <c r="G848" s="9" t="s">
        <v>13284</v>
      </c>
      <c r="H848" s="9" t="s">
        <v>13284</v>
      </c>
      <c r="I848" s="9" t="s">
        <v>13284</v>
      </c>
      <c r="J848" s="9" t="s">
        <v>13284</v>
      </c>
      <c r="K848" s="9" t="s">
        <v>13284</v>
      </c>
      <c r="L848" s="9" t="s">
        <v>13284</v>
      </c>
      <c r="M848" s="9" t="s">
        <v>13284</v>
      </c>
      <c r="N848" s="9" t="s">
        <v>13284</v>
      </c>
      <c r="O848" s="9" t="s">
        <v>13284</v>
      </c>
      <c r="P848" s="9" t="s">
        <v>13284</v>
      </c>
      <c r="Q848" s="9" t="s">
        <v>13284</v>
      </c>
      <c r="R848" s="9" t="s">
        <v>13284</v>
      </c>
      <c r="S848" s="9" t="s">
        <v>13284</v>
      </c>
      <c r="T848" s="9" t="str">
        <f ca="1">IFERROR(IF(AND(VLOOKUP(A848, 'Актуальное состояние (из общего'!A:C,3,0) = "", A848 &lt;&gt; ""), "ПРОВЕРИТЬ", VLOOKUP(A848, 'Актуальное состояние (из общего'!A:C,3,0)), "")</f>
        <v>Аспирант</v>
      </c>
      <c r="U848" s="9" t="s">
        <v>13284</v>
      </c>
      <c r="V848" s="9" t="s">
        <v>13284</v>
      </c>
      <c r="W848" s="12" t="s">
        <v>389</v>
      </c>
      <c r="X848" s="9" t="str">
        <f t="array" ref="X848">IFERROR(INDEX('Адреса общежитий (скрытый)'!$B$2:$B$9, MATCH(W848, 'Адреса общежитий (скрытый)'!$A$2:$A$9, 0)), "")</f>
        <v>2-ой Донской проезд, д. 9</v>
      </c>
      <c r="Y848" s="18"/>
      <c r="Z848" s="18"/>
      <c r="AA848" s="18"/>
      <c r="AB848" s="18"/>
      <c r="AC848" s="18"/>
    </row>
    <row r="849" spans="1:29" ht="32.25" hidden="1" customHeight="1">
      <c r="A849" s="8">
        <v>2310014</v>
      </c>
      <c r="B849" s="9" t="s">
        <v>13284</v>
      </c>
      <c r="C849" s="9" t="s">
        <v>13284</v>
      </c>
      <c r="D849" s="9" t="s">
        <v>13284</v>
      </c>
      <c r="E849" s="9" t="s">
        <v>13284</v>
      </c>
      <c r="F849" s="9" t="s">
        <v>13284</v>
      </c>
      <c r="G849" s="9" t="s">
        <v>13284</v>
      </c>
      <c r="H849" s="9" t="s">
        <v>13284</v>
      </c>
      <c r="I849" s="9" t="s">
        <v>13284</v>
      </c>
      <c r="J849" s="9" t="s">
        <v>13284</v>
      </c>
      <c r="K849" s="9" t="s">
        <v>13284</v>
      </c>
      <c r="L849" s="9" t="s">
        <v>13284</v>
      </c>
      <c r="M849" s="9" t="s">
        <v>13284</v>
      </c>
      <c r="N849" s="9" t="s">
        <v>13284</v>
      </c>
      <c r="O849" s="9" t="s">
        <v>13284</v>
      </c>
      <c r="P849" s="9" t="s">
        <v>13284</v>
      </c>
      <c r="Q849" s="9" t="s">
        <v>13284</v>
      </c>
      <c r="R849" s="9" t="s">
        <v>13284</v>
      </c>
      <c r="S849" s="9" t="s">
        <v>13284</v>
      </c>
      <c r="T849" s="9" t="str">
        <f ca="1">IFERROR(IF(AND(VLOOKUP(A849, 'Актуальное состояние (из общего'!A:C,3,0) = "", A849 &lt;&gt; ""), "ПРОВЕРИТЬ", VLOOKUP(A849, 'Актуальное состояние (из общего'!A:C,3,0)), "")</f>
        <v>Аспирант</v>
      </c>
      <c r="U849" s="9" t="s">
        <v>13284</v>
      </c>
      <c r="V849" s="9" t="s">
        <v>13284</v>
      </c>
      <c r="W849" s="12" t="s">
        <v>389</v>
      </c>
      <c r="X849" s="9" t="str">
        <f t="array" ref="X849">IFERROR(INDEX('Адреса общежитий (скрытый)'!$B$2:$B$9, MATCH(W849, 'Адреса общежитий (скрытый)'!$A$2:$A$9, 0)), "")</f>
        <v>2-ой Донской проезд, д. 9</v>
      </c>
      <c r="Y849" s="18"/>
      <c r="Z849" s="18"/>
      <c r="AA849" s="18"/>
      <c r="AB849" s="18"/>
      <c r="AC849" s="18"/>
    </row>
    <row r="850" spans="1:29" ht="32.25" hidden="1" customHeight="1">
      <c r="A850" s="8">
        <v>2311931</v>
      </c>
      <c r="B850" s="9" t="s">
        <v>13284</v>
      </c>
      <c r="C850" s="9" t="s">
        <v>13284</v>
      </c>
      <c r="D850" s="9" t="s">
        <v>13284</v>
      </c>
      <c r="E850" s="9" t="s">
        <v>13284</v>
      </c>
      <c r="F850" s="9" t="s">
        <v>13284</v>
      </c>
      <c r="G850" s="9" t="s">
        <v>13284</v>
      </c>
      <c r="H850" s="9" t="s">
        <v>13284</v>
      </c>
      <c r="I850" s="9" t="s">
        <v>13284</v>
      </c>
      <c r="J850" s="9" t="s">
        <v>13284</v>
      </c>
      <c r="K850" s="9" t="s">
        <v>13284</v>
      </c>
      <c r="L850" s="9" t="s">
        <v>13284</v>
      </c>
      <c r="M850" s="9" t="s">
        <v>13284</v>
      </c>
      <c r="N850" s="9" t="s">
        <v>13284</v>
      </c>
      <c r="O850" s="9" t="s">
        <v>13284</v>
      </c>
      <c r="P850" s="9" t="s">
        <v>13284</v>
      </c>
      <c r="Q850" s="9" t="s">
        <v>13284</v>
      </c>
      <c r="R850" s="9" t="s">
        <v>13284</v>
      </c>
      <c r="S850" s="9" t="s">
        <v>13284</v>
      </c>
      <c r="T850" s="9" t="str">
        <f ca="1">IFERROR(IF(AND(VLOOKUP(A850, 'Актуальное состояние (из общего'!A:C,3,0) = "", A850 &lt;&gt; ""), "ПРОВЕРИТЬ", VLOOKUP(A850, 'Актуальное состояние (из общего'!A:C,3,0)), "")</f>
        <v>Аспирант</v>
      </c>
      <c r="U850" s="9" t="s">
        <v>13284</v>
      </c>
      <c r="V850" s="9" t="s">
        <v>13284</v>
      </c>
      <c r="W850" s="12" t="s">
        <v>389</v>
      </c>
      <c r="X850" s="9" t="str">
        <f t="array" ref="X850">IFERROR(INDEX('Адреса общежитий (скрытый)'!$B$2:$B$9, MATCH(W850, 'Адреса общежитий (скрытый)'!$A$2:$A$9, 0)), "")</f>
        <v>2-ой Донской проезд, д. 9</v>
      </c>
      <c r="Y850" s="18"/>
      <c r="Z850" s="18"/>
      <c r="AA850" s="18"/>
      <c r="AB850" s="18"/>
      <c r="AC850" s="18"/>
    </row>
    <row r="851" spans="1:29" ht="32.25" customHeight="1">
      <c r="A851" s="8">
        <v>2308521</v>
      </c>
      <c r="B851" s="9" t="s">
        <v>13284</v>
      </c>
      <c r="C851" s="9" t="s">
        <v>13284</v>
      </c>
      <c r="D851" s="9" t="s">
        <v>13284</v>
      </c>
      <c r="E851" s="9" t="s">
        <v>13284</v>
      </c>
      <c r="F851" s="9" t="s">
        <v>13284</v>
      </c>
      <c r="G851" s="9" t="s">
        <v>13284</v>
      </c>
      <c r="H851" s="9" t="s">
        <v>13284</v>
      </c>
      <c r="I851" s="9" t="s">
        <v>13284</v>
      </c>
      <c r="J851" s="9" t="s">
        <v>13284</v>
      </c>
      <c r="K851" s="9" t="s">
        <v>13284</v>
      </c>
      <c r="L851" s="9" t="s">
        <v>13284</v>
      </c>
      <c r="M851" s="9" t="s">
        <v>13284</v>
      </c>
      <c r="N851" s="9" t="s">
        <v>13284</v>
      </c>
      <c r="O851" s="9" t="s">
        <v>13284</v>
      </c>
      <c r="P851" s="9" t="s">
        <v>13284</v>
      </c>
      <c r="Q851" s="9" t="s">
        <v>13284</v>
      </c>
      <c r="R851" s="9" t="s">
        <v>13284</v>
      </c>
      <c r="S851" s="9" t="s">
        <v>13284</v>
      </c>
      <c r="T851" s="9" t="str">
        <f ca="1">IFERROR(IF(AND(VLOOKUP(A851, 'Актуальное состояние (из общего'!A:C,3,0) = "", A851 &lt;&gt; ""), "ПРОВЕРИТЬ", VLOOKUP(A851, 'Актуальное состояние (из общего'!A:C,3,0)), "")</f>
        <v>Аспирант</v>
      </c>
      <c r="U851" s="9" t="s">
        <v>13284</v>
      </c>
      <c r="V851" s="9" t="s">
        <v>13284</v>
      </c>
      <c r="W851" s="12" t="s">
        <v>389</v>
      </c>
      <c r="X851" s="9" t="str">
        <f t="array" ref="X851">IFERROR(INDEX('Адреса общежитий (скрытый)'!$B$2:$B$9, MATCH(W851, 'Адреса общежитий (скрытый)'!$A$2:$A$9, 0)), "")</f>
        <v>2-ой Донской проезд, д. 9</v>
      </c>
      <c r="Y851" s="18"/>
      <c r="Z851" s="18"/>
      <c r="AA851" s="18"/>
      <c r="AB851" s="18"/>
      <c r="AC851" s="18"/>
    </row>
    <row r="852" spans="1:29" ht="32.25" hidden="1" customHeight="1">
      <c r="A852" s="8">
        <v>2311737</v>
      </c>
      <c r="B852" s="9" t="s">
        <v>13284</v>
      </c>
      <c r="C852" s="9" t="s">
        <v>13284</v>
      </c>
      <c r="D852" s="9" t="s">
        <v>13284</v>
      </c>
      <c r="E852" s="9" t="s">
        <v>13284</v>
      </c>
      <c r="F852" s="9" t="s">
        <v>13284</v>
      </c>
      <c r="G852" s="9" t="s">
        <v>13284</v>
      </c>
      <c r="H852" s="9" t="s">
        <v>13284</v>
      </c>
      <c r="I852" s="9" t="s">
        <v>13284</v>
      </c>
      <c r="J852" s="9" t="s">
        <v>13284</v>
      </c>
      <c r="K852" s="9" t="s">
        <v>13284</v>
      </c>
      <c r="L852" s="9" t="s">
        <v>13284</v>
      </c>
      <c r="M852" s="9" t="s">
        <v>13284</v>
      </c>
      <c r="N852" s="9" t="s">
        <v>13284</v>
      </c>
      <c r="O852" s="9" t="s">
        <v>13284</v>
      </c>
      <c r="P852" s="9" t="s">
        <v>13284</v>
      </c>
      <c r="Q852" s="9" t="s">
        <v>13284</v>
      </c>
      <c r="R852" s="9" t="s">
        <v>13284</v>
      </c>
      <c r="S852" s="9" t="s">
        <v>13284</v>
      </c>
      <c r="T852" s="9" t="str">
        <f ca="1">IFERROR(IF(AND(VLOOKUP(A852, 'Актуальное состояние (из общего'!A:C,3,0) = "", A852 &lt;&gt; ""), "ПРОВЕРИТЬ", VLOOKUP(A852, 'Актуальное состояние (из общего'!A:C,3,0)), "")</f>
        <v>Аспирант</v>
      </c>
      <c r="U852" s="9" t="s">
        <v>13284</v>
      </c>
      <c r="V852" s="9" t="s">
        <v>13284</v>
      </c>
      <c r="W852" s="12" t="s">
        <v>389</v>
      </c>
      <c r="X852" s="9" t="str">
        <f t="array" ref="X852">IFERROR(INDEX('Адреса общежитий (скрытый)'!$B$2:$B$9, MATCH(W852, 'Адреса общежитий (скрытый)'!$A$2:$A$9, 0)), "")</f>
        <v>2-ой Донской проезд, д. 9</v>
      </c>
      <c r="Y852" s="18"/>
      <c r="Z852" s="18"/>
      <c r="AA852" s="18"/>
      <c r="AB852" s="18"/>
      <c r="AC852" s="18"/>
    </row>
    <row r="853" spans="1:29" ht="32.25" hidden="1" customHeight="1">
      <c r="A853" s="8">
        <v>2311921</v>
      </c>
      <c r="B853" s="9" t="s">
        <v>13284</v>
      </c>
      <c r="C853" s="9" t="s">
        <v>13284</v>
      </c>
      <c r="D853" s="9" t="s">
        <v>13284</v>
      </c>
      <c r="E853" s="9" t="s">
        <v>13284</v>
      </c>
      <c r="F853" s="9" t="s">
        <v>13284</v>
      </c>
      <c r="G853" s="9" t="s">
        <v>13284</v>
      </c>
      <c r="H853" s="9" t="s">
        <v>13284</v>
      </c>
      <c r="I853" s="9" t="s">
        <v>13284</v>
      </c>
      <c r="J853" s="9" t="s">
        <v>13284</v>
      </c>
      <c r="K853" s="9" t="s">
        <v>13284</v>
      </c>
      <c r="L853" s="9" t="s">
        <v>13284</v>
      </c>
      <c r="M853" s="9" t="s">
        <v>13284</v>
      </c>
      <c r="N853" s="9" t="s">
        <v>13284</v>
      </c>
      <c r="O853" s="9" t="s">
        <v>13284</v>
      </c>
      <c r="P853" s="9" t="s">
        <v>13284</v>
      </c>
      <c r="Q853" s="9" t="s">
        <v>13284</v>
      </c>
      <c r="R853" s="9" t="s">
        <v>13284</v>
      </c>
      <c r="S853" s="9" t="s">
        <v>13284</v>
      </c>
      <c r="T853" s="9" t="str">
        <f ca="1">IFERROR(IF(AND(VLOOKUP(A853, 'Актуальное состояние (из общего'!A:C,3,0) = "", A853 &lt;&gt; ""), "ПРОВЕРИТЬ", VLOOKUP(A853, 'Актуальное состояние (из общего'!A:C,3,0)), "")</f>
        <v>Аспирант</v>
      </c>
      <c r="U853" s="9" t="s">
        <v>13284</v>
      </c>
      <c r="V853" s="9" t="s">
        <v>13284</v>
      </c>
      <c r="W853" s="12" t="s">
        <v>389</v>
      </c>
      <c r="X853" s="9" t="str">
        <f t="array" ref="X853">IFERROR(INDEX('Адреса общежитий (скрытый)'!$B$2:$B$9, MATCH(W853, 'Адреса общежитий (скрытый)'!$A$2:$A$9, 0)), "")</f>
        <v>2-ой Донской проезд, д. 9</v>
      </c>
      <c r="Y853" s="18"/>
      <c r="Z853" s="18"/>
      <c r="AA853" s="18"/>
      <c r="AB853" s="18"/>
      <c r="AC853" s="18"/>
    </row>
    <row r="854" spans="1:29" ht="32.25" hidden="1" customHeight="1">
      <c r="A854" s="8">
        <v>2311477</v>
      </c>
      <c r="B854" s="9" t="s">
        <v>13284</v>
      </c>
      <c r="C854" s="9" t="s">
        <v>13284</v>
      </c>
      <c r="D854" s="9" t="s">
        <v>13284</v>
      </c>
      <c r="E854" s="9" t="s">
        <v>13284</v>
      </c>
      <c r="F854" s="9" t="s">
        <v>13284</v>
      </c>
      <c r="G854" s="9" t="s">
        <v>13284</v>
      </c>
      <c r="H854" s="9" t="s">
        <v>13284</v>
      </c>
      <c r="I854" s="9" t="s">
        <v>13284</v>
      </c>
      <c r="J854" s="9" t="s">
        <v>13284</v>
      </c>
      <c r="K854" s="9" t="s">
        <v>13284</v>
      </c>
      <c r="L854" s="9" t="s">
        <v>13284</v>
      </c>
      <c r="M854" s="9" t="s">
        <v>13284</v>
      </c>
      <c r="N854" s="9" t="s">
        <v>13284</v>
      </c>
      <c r="O854" s="9" t="s">
        <v>13284</v>
      </c>
      <c r="P854" s="9" t="s">
        <v>13284</v>
      </c>
      <c r="Q854" s="9" t="s">
        <v>13284</v>
      </c>
      <c r="R854" s="9" t="s">
        <v>13284</v>
      </c>
      <c r="S854" s="9" t="s">
        <v>13284</v>
      </c>
      <c r="T854" s="9" t="str">
        <f ca="1">IFERROR(IF(AND(VLOOKUP(A854, 'Актуальное состояние (из общего'!A:C,3,0) = "", A854 &lt;&gt; ""), "ПРОВЕРИТЬ", VLOOKUP(A854, 'Актуальное состояние (из общего'!A:C,3,0)), "")</f>
        <v>Аспирант</v>
      </c>
      <c r="U854" s="9" t="s">
        <v>13284</v>
      </c>
      <c r="V854" s="9" t="s">
        <v>13284</v>
      </c>
      <c r="W854" s="12" t="s">
        <v>389</v>
      </c>
      <c r="X854" s="9" t="str">
        <f t="array" ref="X854">IFERROR(INDEX('Адреса общежитий (скрытый)'!$B$2:$B$9, MATCH(W854, 'Адреса общежитий (скрытый)'!$A$2:$A$9, 0)), "")</f>
        <v>2-ой Донской проезд, д. 9</v>
      </c>
      <c r="Y854" s="18"/>
      <c r="Z854" s="18"/>
      <c r="AA854" s="18"/>
      <c r="AB854" s="18"/>
      <c r="AC854" s="18"/>
    </row>
    <row r="855" spans="1:29" ht="32.25" hidden="1" customHeight="1">
      <c r="A855" s="8">
        <v>2312685</v>
      </c>
      <c r="B855" s="9" t="s">
        <v>13284</v>
      </c>
      <c r="C855" s="9" t="s">
        <v>13284</v>
      </c>
      <c r="D855" s="9" t="s">
        <v>13284</v>
      </c>
      <c r="E855" s="9" t="s">
        <v>13284</v>
      </c>
      <c r="F855" s="9" t="s">
        <v>13284</v>
      </c>
      <c r="G855" s="9" t="s">
        <v>13284</v>
      </c>
      <c r="H855" s="9" t="s">
        <v>13284</v>
      </c>
      <c r="I855" s="9" t="s">
        <v>13284</v>
      </c>
      <c r="J855" s="9" t="s">
        <v>13284</v>
      </c>
      <c r="K855" s="9" t="s">
        <v>13284</v>
      </c>
      <c r="L855" s="9" t="s">
        <v>13284</v>
      </c>
      <c r="M855" s="9" t="s">
        <v>13284</v>
      </c>
      <c r="N855" s="9" t="s">
        <v>13284</v>
      </c>
      <c r="O855" s="9" t="s">
        <v>13284</v>
      </c>
      <c r="P855" s="9" t="s">
        <v>13284</v>
      </c>
      <c r="Q855" s="9" t="s">
        <v>13284</v>
      </c>
      <c r="R855" s="9" t="s">
        <v>13284</v>
      </c>
      <c r="S855" s="9" t="s">
        <v>13284</v>
      </c>
      <c r="T855" s="9" t="str">
        <f ca="1">IFERROR(IF(AND(VLOOKUP(A855, 'Актуальное состояние (из общего'!A:C,3,0) = "", A855 &lt;&gt; ""), "ПРОВЕРИТЬ", VLOOKUP(A855, 'Актуальное состояние (из общего'!A:C,3,0)), "")</f>
        <v>Аспирант</v>
      </c>
      <c r="U855" s="9" t="s">
        <v>13284</v>
      </c>
      <c r="V855" s="9" t="s">
        <v>13284</v>
      </c>
      <c r="W855" s="12" t="s">
        <v>389</v>
      </c>
      <c r="X855" s="9" t="str">
        <f t="array" ref="X855">IFERROR(INDEX('Адреса общежитий (скрытый)'!$B$2:$B$9, MATCH(W855, 'Адреса общежитий (скрытый)'!$A$2:$A$9, 0)), "")</f>
        <v>2-ой Донской проезд, д. 9</v>
      </c>
      <c r="Y855" s="18"/>
      <c r="Z855" s="18"/>
      <c r="AA855" s="18"/>
      <c r="AB855" s="18"/>
      <c r="AC855" s="18"/>
    </row>
    <row r="856" spans="1:29" ht="32.25" hidden="1" customHeight="1">
      <c r="A856" s="8">
        <v>2312496</v>
      </c>
      <c r="B856" s="9" t="s">
        <v>13284</v>
      </c>
      <c r="C856" s="9" t="s">
        <v>13284</v>
      </c>
      <c r="D856" s="9" t="s">
        <v>13284</v>
      </c>
      <c r="E856" s="9" t="s">
        <v>13284</v>
      </c>
      <c r="F856" s="9" t="s">
        <v>13284</v>
      </c>
      <c r="G856" s="9" t="s">
        <v>13284</v>
      </c>
      <c r="H856" s="9" t="s">
        <v>13284</v>
      </c>
      <c r="I856" s="9" t="s">
        <v>13284</v>
      </c>
      <c r="J856" s="9" t="s">
        <v>13284</v>
      </c>
      <c r="K856" s="9" t="s">
        <v>13284</v>
      </c>
      <c r="L856" s="9" t="s">
        <v>13284</v>
      </c>
      <c r="M856" s="9" t="s">
        <v>13284</v>
      </c>
      <c r="N856" s="9" t="s">
        <v>13284</v>
      </c>
      <c r="O856" s="9" t="s">
        <v>13284</v>
      </c>
      <c r="P856" s="9" t="s">
        <v>13284</v>
      </c>
      <c r="Q856" s="9" t="s">
        <v>13284</v>
      </c>
      <c r="R856" s="9" t="s">
        <v>13284</v>
      </c>
      <c r="S856" s="9" t="s">
        <v>13284</v>
      </c>
      <c r="T856" s="9" t="str">
        <f ca="1">IFERROR(IF(AND(VLOOKUP(A856, 'Актуальное состояние (из общего'!A:C,3,0) = "", A856 &lt;&gt; ""), "ПРОВЕРИТЬ", VLOOKUP(A856, 'Актуальное состояние (из общего'!A:C,3,0)), "")</f>
        <v>Аспирант</v>
      </c>
      <c r="U856" s="9" t="s">
        <v>13284</v>
      </c>
      <c r="V856" s="9" t="s">
        <v>13284</v>
      </c>
      <c r="W856" s="12" t="s">
        <v>389</v>
      </c>
      <c r="X856" s="9" t="str">
        <f t="array" ref="X856">IFERROR(INDEX('Адреса общежитий (скрытый)'!$B$2:$B$9, MATCH(W856, 'Адреса общежитий (скрытый)'!$A$2:$A$9, 0)), "")</f>
        <v>2-ой Донской проезд, д. 9</v>
      </c>
      <c r="Y856" s="18"/>
      <c r="Z856" s="18"/>
      <c r="AA856" s="18"/>
      <c r="AB856" s="18"/>
      <c r="AC856" s="18"/>
    </row>
    <row r="857" spans="1:29" ht="32.25" customHeight="1">
      <c r="A857" s="8">
        <v>2310055</v>
      </c>
      <c r="B857" s="9" t="s">
        <v>13284</v>
      </c>
      <c r="C857" s="9" t="s">
        <v>13284</v>
      </c>
      <c r="D857" s="9" t="s">
        <v>13284</v>
      </c>
      <c r="E857" s="9" t="s">
        <v>13284</v>
      </c>
      <c r="F857" s="9" t="s">
        <v>13284</v>
      </c>
      <c r="G857" s="9" t="s">
        <v>13284</v>
      </c>
      <c r="H857" s="9" t="s">
        <v>13284</v>
      </c>
      <c r="I857" s="9" t="s">
        <v>13284</v>
      </c>
      <c r="J857" s="9" t="s">
        <v>13284</v>
      </c>
      <c r="K857" s="9" t="s">
        <v>13284</v>
      </c>
      <c r="L857" s="9" t="s">
        <v>13284</v>
      </c>
      <c r="M857" s="9" t="s">
        <v>13284</v>
      </c>
      <c r="N857" s="9" t="s">
        <v>13284</v>
      </c>
      <c r="O857" s="9" t="s">
        <v>13284</v>
      </c>
      <c r="P857" s="9" t="s">
        <v>13284</v>
      </c>
      <c r="Q857" s="9" t="s">
        <v>13284</v>
      </c>
      <c r="R857" s="9" t="s">
        <v>13284</v>
      </c>
      <c r="S857" s="9" t="s">
        <v>13284</v>
      </c>
      <c r="T857" s="9" t="str">
        <f ca="1">IFERROR(IF(AND(VLOOKUP(A857, 'Актуальное состояние (из общего'!A:C,3,0) = "", A857 &lt;&gt; ""), "ПРОВЕРИТЬ", VLOOKUP(A857, 'Актуальное состояние (из общего'!A:C,3,0)), "")</f>
        <v>Аспирант</v>
      </c>
      <c r="U857" s="9" t="s">
        <v>13284</v>
      </c>
      <c r="V857" s="9" t="s">
        <v>13284</v>
      </c>
      <c r="W857" s="12" t="s">
        <v>389</v>
      </c>
      <c r="X857" s="9" t="str">
        <f t="array" ref="X857">IFERROR(INDEX('Адреса общежитий (скрытый)'!$B$2:$B$9, MATCH(W857, 'Адреса общежитий (скрытый)'!$A$2:$A$9, 0)), "")</f>
        <v>2-ой Донской проезд, д. 9</v>
      </c>
      <c r="Y857" s="18"/>
      <c r="Z857" s="18"/>
      <c r="AA857" s="18"/>
      <c r="AB857" s="18"/>
      <c r="AC857" s="18"/>
    </row>
    <row r="858" spans="1:29" ht="32.25" customHeight="1">
      <c r="A858" s="8">
        <v>2311801</v>
      </c>
      <c r="B858" s="9" t="s">
        <v>13284</v>
      </c>
      <c r="C858" s="9" t="s">
        <v>13284</v>
      </c>
      <c r="D858" s="9" t="s">
        <v>13284</v>
      </c>
      <c r="E858" s="9" t="s">
        <v>13284</v>
      </c>
      <c r="F858" s="9" t="s">
        <v>13284</v>
      </c>
      <c r="G858" s="9" t="s">
        <v>13284</v>
      </c>
      <c r="H858" s="9" t="s">
        <v>13284</v>
      </c>
      <c r="I858" s="9" t="s">
        <v>13284</v>
      </c>
      <c r="J858" s="9" t="s">
        <v>13284</v>
      </c>
      <c r="K858" s="9" t="s">
        <v>13284</v>
      </c>
      <c r="L858" s="9" t="s">
        <v>13284</v>
      </c>
      <c r="M858" s="9" t="s">
        <v>13284</v>
      </c>
      <c r="N858" s="9" t="s">
        <v>13284</v>
      </c>
      <c r="O858" s="9" t="s">
        <v>13284</v>
      </c>
      <c r="P858" s="9" t="s">
        <v>13284</v>
      </c>
      <c r="Q858" s="9" t="s">
        <v>13284</v>
      </c>
      <c r="R858" s="9" t="s">
        <v>13284</v>
      </c>
      <c r="S858" s="9" t="s">
        <v>13284</v>
      </c>
      <c r="T858" s="9" t="str">
        <f ca="1">IFERROR(IF(AND(VLOOKUP(A858, 'Актуальное состояние (из общего'!A:C,3,0) = "", A858 &lt;&gt; ""), "ПРОВЕРИТЬ", VLOOKUP(A858, 'Актуальное состояние (из общего'!A:C,3,0)), "")</f>
        <v>Аспирант</v>
      </c>
      <c r="U858" s="9" t="s">
        <v>13284</v>
      </c>
      <c r="V858" s="9" t="s">
        <v>13284</v>
      </c>
      <c r="W858" s="12" t="s">
        <v>389</v>
      </c>
      <c r="X858" s="9" t="str">
        <f t="array" ref="X858">IFERROR(INDEX('Адреса общежитий (скрытый)'!$B$2:$B$9, MATCH(W858, 'Адреса общежитий (скрытый)'!$A$2:$A$9, 0)), "")</f>
        <v>2-ой Донской проезд, д. 9</v>
      </c>
      <c r="Y858" s="18"/>
      <c r="Z858" s="18"/>
      <c r="AA858" s="18"/>
      <c r="AB858" s="18"/>
      <c r="AC858" s="18"/>
    </row>
    <row r="859" spans="1:29" ht="32.25" hidden="1" customHeight="1">
      <c r="A859" s="8">
        <v>2312809</v>
      </c>
      <c r="B859" s="9" t="s">
        <v>13284</v>
      </c>
      <c r="C859" s="9" t="s">
        <v>13284</v>
      </c>
      <c r="D859" s="9" t="s">
        <v>13284</v>
      </c>
      <c r="E859" s="9" t="s">
        <v>13284</v>
      </c>
      <c r="F859" s="9" t="s">
        <v>13284</v>
      </c>
      <c r="G859" s="9" t="s">
        <v>13284</v>
      </c>
      <c r="H859" s="9" t="s">
        <v>13284</v>
      </c>
      <c r="I859" s="9" t="s">
        <v>13284</v>
      </c>
      <c r="J859" s="9" t="s">
        <v>13284</v>
      </c>
      <c r="K859" s="9" t="s">
        <v>13284</v>
      </c>
      <c r="L859" s="9" t="s">
        <v>13284</v>
      </c>
      <c r="M859" s="9" t="s">
        <v>13284</v>
      </c>
      <c r="N859" s="9" t="s">
        <v>13284</v>
      </c>
      <c r="O859" s="9" t="s">
        <v>13284</v>
      </c>
      <c r="P859" s="9" t="s">
        <v>13284</v>
      </c>
      <c r="Q859" s="9" t="s">
        <v>13284</v>
      </c>
      <c r="R859" s="9" t="s">
        <v>13284</v>
      </c>
      <c r="S859" s="9" t="s">
        <v>13284</v>
      </c>
      <c r="T859" s="9" t="str">
        <f ca="1">IFERROR(IF(AND(VLOOKUP(A859, 'Актуальное состояние (из общего'!A:C,3,0) = "", A859 &lt;&gt; ""), "ПРОВЕРИТЬ", VLOOKUP(A859, 'Актуальное состояние (из общего'!A:C,3,0)), "")</f>
        <v>Аспирант</v>
      </c>
      <c r="U859" s="9" t="s">
        <v>13284</v>
      </c>
      <c r="V859" s="9" t="s">
        <v>13284</v>
      </c>
      <c r="W859" s="12" t="s">
        <v>389</v>
      </c>
      <c r="X859" s="9" t="str">
        <f t="array" ref="X859">IFERROR(INDEX('Адреса общежитий (скрытый)'!$B$2:$B$9, MATCH(W859, 'Адреса общежитий (скрытый)'!$A$2:$A$9, 0)), "")</f>
        <v>2-ой Донской проезд, д. 9</v>
      </c>
      <c r="Y859" s="18"/>
      <c r="Z859" s="18"/>
      <c r="AA859" s="18"/>
      <c r="AB859" s="18"/>
      <c r="AC859" s="18"/>
    </row>
    <row r="860" spans="1:29" ht="32.25" customHeight="1">
      <c r="A860" s="8">
        <v>2301010</v>
      </c>
      <c r="B860" s="9" t="s">
        <v>13284</v>
      </c>
      <c r="C860" s="9" t="s">
        <v>13284</v>
      </c>
      <c r="D860" s="9" t="s">
        <v>13284</v>
      </c>
      <c r="E860" s="9" t="s">
        <v>13284</v>
      </c>
      <c r="F860" s="9" t="s">
        <v>13284</v>
      </c>
      <c r="G860" s="9" t="s">
        <v>13284</v>
      </c>
      <c r="H860" s="9" t="s">
        <v>13284</v>
      </c>
      <c r="I860" s="9" t="s">
        <v>13284</v>
      </c>
      <c r="J860" s="9" t="s">
        <v>13284</v>
      </c>
      <c r="K860" s="9" t="s">
        <v>13284</v>
      </c>
      <c r="L860" s="9" t="s">
        <v>13284</v>
      </c>
      <c r="M860" s="9" t="s">
        <v>13284</v>
      </c>
      <c r="N860" s="9" t="s">
        <v>13284</v>
      </c>
      <c r="O860" s="9" t="s">
        <v>13284</v>
      </c>
      <c r="P860" s="9" t="s">
        <v>13284</v>
      </c>
      <c r="Q860" s="9" t="s">
        <v>13284</v>
      </c>
      <c r="R860" s="9" t="s">
        <v>13284</v>
      </c>
      <c r="S860" s="9" t="s">
        <v>13284</v>
      </c>
      <c r="T860" s="9" t="str">
        <f ca="1">IFERROR(IF(AND(VLOOKUP(A860, 'Актуальное состояние (из общего'!A:C,3,0) = "", A860 &lt;&gt; ""), "ПРОВЕРИТЬ", VLOOKUP(A860, 'Актуальное состояние (из общего'!A:C,3,0)), "")</f>
        <v>Аспирант</v>
      </c>
      <c r="U860" s="9" t="s">
        <v>13284</v>
      </c>
      <c r="V860" s="9" t="s">
        <v>13284</v>
      </c>
      <c r="W860" s="12" t="s">
        <v>389</v>
      </c>
      <c r="X860" s="9" t="str">
        <f t="array" ref="X860">IFERROR(INDEX('Адреса общежитий (скрытый)'!$B$2:$B$9, MATCH(W860, 'Адреса общежитий (скрытый)'!$A$2:$A$9, 0)), "")</f>
        <v>2-ой Донской проезд, д. 9</v>
      </c>
      <c r="Y860" s="18"/>
      <c r="Z860" s="18"/>
      <c r="AA860" s="18"/>
      <c r="AB860" s="18"/>
      <c r="AC860" s="18"/>
    </row>
    <row r="861" spans="1:29" ht="32.25" customHeight="1">
      <c r="A861" s="8">
        <v>2311590</v>
      </c>
      <c r="B861" s="9" t="s">
        <v>13284</v>
      </c>
      <c r="C861" s="9" t="s">
        <v>13284</v>
      </c>
      <c r="D861" s="9" t="s">
        <v>13284</v>
      </c>
      <c r="E861" s="9" t="s">
        <v>13284</v>
      </c>
      <c r="F861" s="9" t="s">
        <v>13284</v>
      </c>
      <c r="G861" s="9" t="s">
        <v>13284</v>
      </c>
      <c r="H861" s="9" t="s">
        <v>13284</v>
      </c>
      <c r="I861" s="9" t="s">
        <v>13284</v>
      </c>
      <c r="J861" s="9" t="s">
        <v>13284</v>
      </c>
      <c r="K861" s="9" t="s">
        <v>13284</v>
      </c>
      <c r="L861" s="9" t="s">
        <v>13284</v>
      </c>
      <c r="M861" s="9" t="s">
        <v>13284</v>
      </c>
      <c r="N861" s="9" t="s">
        <v>13284</v>
      </c>
      <c r="O861" s="9" t="s">
        <v>13284</v>
      </c>
      <c r="P861" s="9" t="s">
        <v>13284</v>
      </c>
      <c r="Q861" s="9" t="s">
        <v>13284</v>
      </c>
      <c r="R861" s="9" t="s">
        <v>13284</v>
      </c>
      <c r="S861" s="9" t="s">
        <v>13284</v>
      </c>
      <c r="T861" s="9" t="str">
        <f ca="1">IFERROR(IF(AND(VLOOKUP(A861, 'Актуальное состояние (из общего'!A:C,3,0) = "", A861 &lt;&gt; ""), "ПРОВЕРИТЬ", VLOOKUP(A861, 'Актуальное состояние (из общего'!A:C,3,0)), "")</f>
        <v>Аспирант</v>
      </c>
      <c r="U861" s="9" t="s">
        <v>13284</v>
      </c>
      <c r="V861" s="9" t="s">
        <v>13284</v>
      </c>
      <c r="W861" s="12" t="s">
        <v>389</v>
      </c>
      <c r="X861" s="9" t="str">
        <f t="array" ref="X861">IFERROR(INDEX('Адреса общежитий (скрытый)'!$B$2:$B$9, MATCH(W861, 'Адреса общежитий (скрытый)'!$A$2:$A$9, 0)), "")</f>
        <v>2-ой Донской проезд, д. 9</v>
      </c>
      <c r="Y861" s="18"/>
      <c r="Z861" s="18"/>
      <c r="AA861" s="18"/>
      <c r="AB861" s="18"/>
      <c r="AC861" s="18"/>
    </row>
    <row r="862" spans="1:29" ht="32.25" hidden="1" customHeight="1">
      <c r="A862" s="8">
        <v>2311934</v>
      </c>
      <c r="B862" s="9" t="s">
        <v>13284</v>
      </c>
      <c r="C862" s="9" t="s">
        <v>13284</v>
      </c>
      <c r="D862" s="9" t="s">
        <v>13284</v>
      </c>
      <c r="E862" s="9" t="s">
        <v>13284</v>
      </c>
      <c r="F862" s="9" t="s">
        <v>13284</v>
      </c>
      <c r="G862" s="9" t="s">
        <v>13284</v>
      </c>
      <c r="H862" s="9" t="s">
        <v>13284</v>
      </c>
      <c r="I862" s="9" t="s">
        <v>13284</v>
      </c>
      <c r="J862" s="9" t="s">
        <v>13284</v>
      </c>
      <c r="K862" s="9" t="s">
        <v>13284</v>
      </c>
      <c r="L862" s="9" t="s">
        <v>13284</v>
      </c>
      <c r="M862" s="9" t="s">
        <v>13284</v>
      </c>
      <c r="N862" s="9" t="s">
        <v>13284</v>
      </c>
      <c r="O862" s="9" t="s">
        <v>13284</v>
      </c>
      <c r="P862" s="9" t="s">
        <v>13284</v>
      </c>
      <c r="Q862" s="9" t="s">
        <v>13284</v>
      </c>
      <c r="R862" s="9" t="s">
        <v>13284</v>
      </c>
      <c r="S862" s="9" t="s">
        <v>13284</v>
      </c>
      <c r="T862" s="9" t="str">
        <f ca="1">IFERROR(IF(AND(VLOOKUP(A862, 'Актуальное состояние (из общего'!A:C,3,0) = "", A862 &lt;&gt; ""), "ПРОВЕРИТЬ", VLOOKUP(A862, 'Актуальное состояние (из общего'!A:C,3,0)), "")</f>
        <v>Аспирант</v>
      </c>
      <c r="U862" s="9" t="s">
        <v>13284</v>
      </c>
      <c r="V862" s="9" t="s">
        <v>13284</v>
      </c>
      <c r="W862" s="12" t="s">
        <v>389</v>
      </c>
      <c r="X862" s="9" t="str">
        <f t="array" ref="X862">IFERROR(INDEX('Адреса общежитий (скрытый)'!$B$2:$B$9, MATCH(W862, 'Адреса общежитий (скрытый)'!$A$2:$A$9, 0)), "")</f>
        <v>2-ой Донской проезд, д. 9</v>
      </c>
      <c r="Y862" s="18"/>
      <c r="Z862" s="18"/>
      <c r="AA862" s="18"/>
      <c r="AB862" s="18"/>
      <c r="AC862" s="18"/>
    </row>
    <row r="863" spans="1:29" ht="32.25" hidden="1" customHeight="1">
      <c r="A863" s="8">
        <v>2312417</v>
      </c>
      <c r="B863" s="9" t="s">
        <v>13284</v>
      </c>
      <c r="C863" s="9" t="s">
        <v>13284</v>
      </c>
      <c r="D863" s="9" t="s">
        <v>13284</v>
      </c>
      <c r="E863" s="9" t="s">
        <v>13284</v>
      </c>
      <c r="F863" s="9" t="s">
        <v>13284</v>
      </c>
      <c r="G863" s="9" t="s">
        <v>13284</v>
      </c>
      <c r="H863" s="9" t="s">
        <v>13284</v>
      </c>
      <c r="I863" s="9" t="s">
        <v>13284</v>
      </c>
      <c r="J863" s="9" t="s">
        <v>13284</v>
      </c>
      <c r="K863" s="9" t="s">
        <v>13284</v>
      </c>
      <c r="L863" s="9" t="s">
        <v>13284</v>
      </c>
      <c r="M863" s="9" t="s">
        <v>13284</v>
      </c>
      <c r="N863" s="9" t="s">
        <v>13284</v>
      </c>
      <c r="O863" s="9" t="s">
        <v>13284</v>
      </c>
      <c r="P863" s="9" t="s">
        <v>13284</v>
      </c>
      <c r="Q863" s="9" t="s">
        <v>13284</v>
      </c>
      <c r="R863" s="9" t="s">
        <v>13284</v>
      </c>
      <c r="S863" s="9" t="s">
        <v>13284</v>
      </c>
      <c r="T863" s="9" t="str">
        <f ca="1">IFERROR(IF(AND(VLOOKUP(A863, 'Актуальное состояние (из общего'!A:C,3,0) = "", A863 &lt;&gt; ""), "ПРОВЕРИТЬ", VLOOKUP(A863, 'Актуальное состояние (из общего'!A:C,3,0)), "")</f>
        <v>Аспирант</v>
      </c>
      <c r="U863" s="9" t="s">
        <v>13284</v>
      </c>
      <c r="V863" s="9" t="s">
        <v>13284</v>
      </c>
      <c r="W863" s="12" t="s">
        <v>389</v>
      </c>
      <c r="X863" s="9" t="str">
        <f t="array" ref="X863">IFERROR(INDEX('Адреса общежитий (скрытый)'!$B$2:$B$9, MATCH(W863, 'Адреса общежитий (скрытый)'!$A$2:$A$9, 0)), "")</f>
        <v>2-ой Донской проезд, д. 9</v>
      </c>
      <c r="Y863" s="18"/>
      <c r="Z863" s="18"/>
      <c r="AA863" s="18"/>
      <c r="AB863" s="18"/>
      <c r="AC863" s="18"/>
    </row>
    <row r="864" spans="1:29" ht="32.25" hidden="1" customHeight="1">
      <c r="A864" s="8">
        <v>2309329</v>
      </c>
      <c r="B864" s="9" t="s">
        <v>13284</v>
      </c>
      <c r="C864" s="9" t="s">
        <v>13284</v>
      </c>
      <c r="D864" s="9" t="s">
        <v>13284</v>
      </c>
      <c r="E864" s="9" t="s">
        <v>13284</v>
      </c>
      <c r="F864" s="9" t="s">
        <v>13284</v>
      </c>
      <c r="G864" s="9" t="s">
        <v>13284</v>
      </c>
      <c r="H864" s="9" t="s">
        <v>13284</v>
      </c>
      <c r="I864" s="9" t="s">
        <v>13284</v>
      </c>
      <c r="J864" s="9" t="s">
        <v>13284</v>
      </c>
      <c r="K864" s="9" t="s">
        <v>13284</v>
      </c>
      <c r="L864" s="9" t="s">
        <v>13284</v>
      </c>
      <c r="M864" s="9" t="s">
        <v>13284</v>
      </c>
      <c r="N864" s="9" t="s">
        <v>13284</v>
      </c>
      <c r="O864" s="9" t="s">
        <v>13284</v>
      </c>
      <c r="P864" s="9" t="s">
        <v>13284</v>
      </c>
      <c r="Q864" s="9" t="s">
        <v>13284</v>
      </c>
      <c r="R864" s="9" t="s">
        <v>13284</v>
      </c>
      <c r="S864" s="9" t="s">
        <v>13284</v>
      </c>
      <c r="T864" s="9" t="str">
        <f ca="1">IFERROR(IF(AND(VLOOKUP(A864, 'Актуальное состояние (из общего'!A:C,3,0) = "", A864 &lt;&gt; ""), "ПРОВЕРИТЬ", VLOOKUP(A864, 'Актуальное состояние (из общего'!A:C,3,0)), "")</f>
        <v>Аспирант</v>
      </c>
      <c r="U864" s="9" t="s">
        <v>13284</v>
      </c>
      <c r="V864" s="9" t="s">
        <v>13284</v>
      </c>
      <c r="W864" s="12" t="s">
        <v>389</v>
      </c>
      <c r="X864" s="9" t="str">
        <f t="array" ref="X864">IFERROR(INDEX('Адреса общежитий (скрытый)'!$B$2:$B$9, MATCH(W864, 'Адреса общежитий (скрытый)'!$A$2:$A$9, 0)), "")</f>
        <v>2-ой Донской проезд, д. 9</v>
      </c>
      <c r="Y864" s="18"/>
      <c r="Z864" s="18"/>
      <c r="AA864" s="18"/>
      <c r="AB864" s="18"/>
      <c r="AC864" s="18"/>
    </row>
    <row r="865" spans="1:29" ht="32.25" hidden="1" customHeight="1">
      <c r="A865" s="8">
        <v>2312413</v>
      </c>
      <c r="B865" s="9" t="s">
        <v>13284</v>
      </c>
      <c r="C865" s="9" t="s">
        <v>13284</v>
      </c>
      <c r="D865" s="9" t="s">
        <v>13284</v>
      </c>
      <c r="E865" s="9" t="s">
        <v>13284</v>
      </c>
      <c r="F865" s="9" t="s">
        <v>13284</v>
      </c>
      <c r="G865" s="9" t="s">
        <v>13284</v>
      </c>
      <c r="H865" s="9" t="s">
        <v>13284</v>
      </c>
      <c r="I865" s="9" t="s">
        <v>13284</v>
      </c>
      <c r="J865" s="9" t="s">
        <v>13284</v>
      </c>
      <c r="K865" s="9" t="s">
        <v>13284</v>
      </c>
      <c r="L865" s="9" t="s">
        <v>13284</v>
      </c>
      <c r="M865" s="9" t="s">
        <v>13284</v>
      </c>
      <c r="N865" s="9" t="s">
        <v>13284</v>
      </c>
      <c r="O865" s="9" t="s">
        <v>13284</v>
      </c>
      <c r="P865" s="9" t="s">
        <v>13284</v>
      </c>
      <c r="Q865" s="9" t="s">
        <v>13284</v>
      </c>
      <c r="R865" s="9" t="s">
        <v>13284</v>
      </c>
      <c r="S865" s="9" t="s">
        <v>13284</v>
      </c>
      <c r="T865" s="9" t="str">
        <f ca="1">IFERROR(IF(AND(VLOOKUP(A865, 'Актуальное состояние (из общего'!A:C,3,0) = "", A865 &lt;&gt; ""), "ПРОВЕРИТЬ", VLOOKUP(A865, 'Актуальное состояние (из общего'!A:C,3,0)), "")</f>
        <v>Аспирант</v>
      </c>
      <c r="U865" s="9" t="s">
        <v>13284</v>
      </c>
      <c r="V865" s="9" t="s">
        <v>13284</v>
      </c>
      <c r="W865" s="12" t="s">
        <v>389</v>
      </c>
      <c r="X865" s="9" t="str">
        <f t="array" ref="X865">IFERROR(INDEX('Адреса общежитий (скрытый)'!$B$2:$B$9, MATCH(W865, 'Адреса общежитий (скрытый)'!$A$2:$A$9, 0)), "")</f>
        <v>2-ой Донской проезд, д. 9</v>
      </c>
      <c r="Y865" s="18"/>
      <c r="Z865" s="18"/>
      <c r="AA865" s="18"/>
      <c r="AB865" s="18"/>
      <c r="AC865" s="18"/>
    </row>
    <row r="866" spans="1:29" ht="32.25" hidden="1" customHeight="1">
      <c r="A866" s="8">
        <v>2312098</v>
      </c>
      <c r="B866" s="9" t="s">
        <v>13284</v>
      </c>
      <c r="C866" s="9" t="s">
        <v>13284</v>
      </c>
      <c r="D866" s="9" t="s">
        <v>13284</v>
      </c>
      <c r="E866" s="9" t="s">
        <v>13284</v>
      </c>
      <c r="F866" s="9" t="s">
        <v>13284</v>
      </c>
      <c r="G866" s="9" t="s">
        <v>13284</v>
      </c>
      <c r="H866" s="9" t="s">
        <v>13284</v>
      </c>
      <c r="I866" s="9" t="s">
        <v>13284</v>
      </c>
      <c r="J866" s="9" t="s">
        <v>13284</v>
      </c>
      <c r="K866" s="9" t="s">
        <v>13284</v>
      </c>
      <c r="L866" s="9" t="s">
        <v>13284</v>
      </c>
      <c r="M866" s="9" t="s">
        <v>13284</v>
      </c>
      <c r="N866" s="9" t="s">
        <v>13284</v>
      </c>
      <c r="O866" s="9" t="s">
        <v>13284</v>
      </c>
      <c r="P866" s="9" t="s">
        <v>13284</v>
      </c>
      <c r="Q866" s="9" t="s">
        <v>13284</v>
      </c>
      <c r="R866" s="9" t="s">
        <v>13284</v>
      </c>
      <c r="S866" s="9" t="s">
        <v>13284</v>
      </c>
      <c r="T866" s="9" t="str">
        <f ca="1">IFERROR(IF(AND(VLOOKUP(A866, 'Актуальное состояние (из общего'!A:C,3,0) = "", A866 &lt;&gt; ""), "ПРОВЕРИТЬ", VLOOKUP(A866, 'Актуальное состояние (из общего'!A:C,3,0)), "")</f>
        <v>Аспирант</v>
      </c>
      <c r="U866" s="9" t="s">
        <v>13284</v>
      </c>
      <c r="V866" s="9" t="s">
        <v>13284</v>
      </c>
      <c r="W866" s="12" t="s">
        <v>389</v>
      </c>
      <c r="X866" s="9" t="str">
        <f t="array" ref="X866">IFERROR(INDEX('Адреса общежитий (скрытый)'!$B$2:$B$9, MATCH(W866, 'Адреса общежитий (скрытый)'!$A$2:$A$9, 0)), "")</f>
        <v>2-ой Донской проезд, д. 9</v>
      </c>
      <c r="Y866" s="18"/>
      <c r="Z866" s="18"/>
      <c r="AA866" s="18"/>
      <c r="AB866" s="18"/>
      <c r="AC866" s="18"/>
    </row>
    <row r="867" spans="1:29" ht="32.25" hidden="1" customHeight="1">
      <c r="A867" s="8">
        <v>2312647</v>
      </c>
      <c r="B867" s="9" t="s">
        <v>13284</v>
      </c>
      <c r="C867" s="9" t="s">
        <v>13284</v>
      </c>
      <c r="D867" s="9" t="s">
        <v>13284</v>
      </c>
      <c r="E867" s="9" t="s">
        <v>13284</v>
      </c>
      <c r="F867" s="9" t="s">
        <v>13284</v>
      </c>
      <c r="G867" s="9" t="s">
        <v>13284</v>
      </c>
      <c r="H867" s="9" t="s">
        <v>13284</v>
      </c>
      <c r="I867" s="9" t="s">
        <v>13284</v>
      </c>
      <c r="J867" s="9" t="s">
        <v>13284</v>
      </c>
      <c r="K867" s="9" t="s">
        <v>13284</v>
      </c>
      <c r="L867" s="9" t="s">
        <v>13284</v>
      </c>
      <c r="M867" s="9" t="s">
        <v>13284</v>
      </c>
      <c r="N867" s="9" t="s">
        <v>13284</v>
      </c>
      <c r="O867" s="9" t="s">
        <v>13284</v>
      </c>
      <c r="P867" s="9" t="s">
        <v>13284</v>
      </c>
      <c r="Q867" s="9" t="s">
        <v>13284</v>
      </c>
      <c r="R867" s="9" t="s">
        <v>13284</v>
      </c>
      <c r="S867" s="9" t="s">
        <v>13284</v>
      </c>
      <c r="T867" s="9" t="str">
        <f ca="1">IFERROR(IF(AND(VLOOKUP(A867, 'Актуальное состояние (из общего'!A:C,3,0) = "", A867 &lt;&gt; ""), "ПРОВЕРИТЬ", VLOOKUP(A867, 'Актуальное состояние (из общего'!A:C,3,0)), "")</f>
        <v>Аспирант</v>
      </c>
      <c r="U867" s="9" t="s">
        <v>13284</v>
      </c>
      <c r="V867" s="9" t="s">
        <v>13284</v>
      </c>
      <c r="W867" s="12" t="s">
        <v>389</v>
      </c>
      <c r="X867" s="9" t="str">
        <f t="array" ref="X867">IFERROR(INDEX('Адреса общежитий (скрытый)'!$B$2:$B$9, MATCH(W867, 'Адреса общежитий (скрытый)'!$A$2:$A$9, 0)), "")</f>
        <v>2-ой Донской проезд, д. 9</v>
      </c>
      <c r="Y867" s="18"/>
      <c r="Z867" s="18"/>
      <c r="AA867" s="18"/>
      <c r="AB867" s="18"/>
      <c r="AC867" s="18"/>
    </row>
    <row r="868" spans="1:29" ht="32.25" hidden="1" customHeight="1">
      <c r="A868" s="8">
        <v>2312415</v>
      </c>
      <c r="B868" s="9" t="s">
        <v>13284</v>
      </c>
      <c r="C868" s="9" t="s">
        <v>13284</v>
      </c>
      <c r="D868" s="9" t="s">
        <v>13284</v>
      </c>
      <c r="E868" s="9" t="s">
        <v>13284</v>
      </c>
      <c r="F868" s="9" t="s">
        <v>13284</v>
      </c>
      <c r="G868" s="9" t="s">
        <v>13284</v>
      </c>
      <c r="H868" s="9" t="s">
        <v>13284</v>
      </c>
      <c r="I868" s="9" t="s">
        <v>13284</v>
      </c>
      <c r="J868" s="9" t="s">
        <v>13284</v>
      </c>
      <c r="K868" s="9" t="s">
        <v>13284</v>
      </c>
      <c r="L868" s="9" t="s">
        <v>13284</v>
      </c>
      <c r="M868" s="9" t="s">
        <v>13284</v>
      </c>
      <c r="N868" s="9" t="s">
        <v>13284</v>
      </c>
      <c r="O868" s="9" t="s">
        <v>13284</v>
      </c>
      <c r="P868" s="9" t="s">
        <v>13284</v>
      </c>
      <c r="Q868" s="9" t="s">
        <v>13284</v>
      </c>
      <c r="R868" s="9" t="s">
        <v>13284</v>
      </c>
      <c r="S868" s="9" t="s">
        <v>13284</v>
      </c>
      <c r="T868" s="9" t="str">
        <f ca="1">IFERROR(IF(AND(VLOOKUP(A868, 'Актуальное состояние (из общего'!A:C,3,0) = "", A868 &lt;&gt; ""), "ПРОВЕРИТЬ", VLOOKUP(A868, 'Актуальное состояние (из общего'!A:C,3,0)), "")</f>
        <v>Аспирант</v>
      </c>
      <c r="U868" s="9" t="s">
        <v>13284</v>
      </c>
      <c r="V868" s="9" t="s">
        <v>13284</v>
      </c>
      <c r="W868" s="12" t="s">
        <v>389</v>
      </c>
      <c r="X868" s="9" t="str">
        <f t="array" ref="X868">IFERROR(INDEX('Адреса общежитий (скрытый)'!$B$2:$B$9, MATCH(W868, 'Адреса общежитий (скрытый)'!$A$2:$A$9, 0)), "")</f>
        <v>2-ой Донской проезд, д. 9</v>
      </c>
      <c r="Y868" s="18"/>
      <c r="Z868" s="18"/>
      <c r="AA868" s="18"/>
      <c r="AB868" s="18"/>
      <c r="AC868" s="18"/>
    </row>
    <row r="869" spans="1:29" ht="32.25" customHeight="1">
      <c r="A869" s="8">
        <v>2310896</v>
      </c>
      <c r="B869" s="9" t="s">
        <v>13284</v>
      </c>
      <c r="C869" s="9" t="s">
        <v>13284</v>
      </c>
      <c r="D869" s="9" t="s">
        <v>13284</v>
      </c>
      <c r="E869" s="9" t="s">
        <v>13284</v>
      </c>
      <c r="F869" s="9" t="s">
        <v>13284</v>
      </c>
      <c r="G869" s="9" t="s">
        <v>13284</v>
      </c>
      <c r="H869" s="9" t="s">
        <v>13284</v>
      </c>
      <c r="I869" s="9" t="s">
        <v>13284</v>
      </c>
      <c r="J869" s="9" t="s">
        <v>13284</v>
      </c>
      <c r="K869" s="9" t="s">
        <v>13284</v>
      </c>
      <c r="L869" s="9" t="s">
        <v>13284</v>
      </c>
      <c r="M869" s="9" t="s">
        <v>13284</v>
      </c>
      <c r="N869" s="9" t="s">
        <v>13284</v>
      </c>
      <c r="O869" s="9" t="s">
        <v>13284</v>
      </c>
      <c r="P869" s="9" t="s">
        <v>13284</v>
      </c>
      <c r="Q869" s="9" t="s">
        <v>13284</v>
      </c>
      <c r="R869" s="9" t="s">
        <v>13284</v>
      </c>
      <c r="S869" s="9" t="s">
        <v>13284</v>
      </c>
      <c r="T869" s="9" t="str">
        <f ca="1">IFERROR(IF(AND(VLOOKUP(A869, 'Актуальное состояние (из общего'!A:C,3,0) = "", A869 &lt;&gt; ""), "ПРОВЕРИТЬ", VLOOKUP(A869, 'Актуальное состояние (из общего'!A:C,3,0)), "")</f>
        <v>Аспирант</v>
      </c>
      <c r="U869" s="9" t="s">
        <v>13284</v>
      </c>
      <c r="V869" s="9" t="s">
        <v>13284</v>
      </c>
      <c r="W869" s="12" t="s">
        <v>389</v>
      </c>
      <c r="X869" s="9" t="str">
        <f t="array" ref="X869">IFERROR(INDEX('Адреса общежитий (скрытый)'!$B$2:$B$9, MATCH(W869, 'Адреса общежитий (скрытый)'!$A$2:$A$9, 0)), "")</f>
        <v>2-ой Донской проезд, д. 9</v>
      </c>
      <c r="Y869" s="18"/>
      <c r="Z869" s="18"/>
      <c r="AA869" s="18"/>
      <c r="AB869" s="18"/>
      <c r="AC869" s="18"/>
    </row>
    <row r="870" spans="1:29" ht="32.25" hidden="1" customHeight="1">
      <c r="A870" s="8">
        <v>2311476</v>
      </c>
      <c r="B870" s="9" t="s">
        <v>13284</v>
      </c>
      <c r="C870" s="9" t="s">
        <v>13284</v>
      </c>
      <c r="D870" s="9" t="s">
        <v>13284</v>
      </c>
      <c r="E870" s="9" t="s">
        <v>13284</v>
      </c>
      <c r="F870" s="9" t="s">
        <v>13284</v>
      </c>
      <c r="G870" s="9" t="s">
        <v>13284</v>
      </c>
      <c r="H870" s="9" t="s">
        <v>13284</v>
      </c>
      <c r="I870" s="9" t="s">
        <v>13284</v>
      </c>
      <c r="J870" s="9" t="s">
        <v>13284</v>
      </c>
      <c r="K870" s="9" t="s">
        <v>13284</v>
      </c>
      <c r="L870" s="9" t="s">
        <v>13284</v>
      </c>
      <c r="M870" s="9" t="s">
        <v>13284</v>
      </c>
      <c r="N870" s="9" t="s">
        <v>13284</v>
      </c>
      <c r="O870" s="9" t="s">
        <v>13284</v>
      </c>
      <c r="P870" s="9" t="s">
        <v>13284</v>
      </c>
      <c r="Q870" s="9" t="s">
        <v>13284</v>
      </c>
      <c r="R870" s="9" t="s">
        <v>13284</v>
      </c>
      <c r="S870" s="9" t="s">
        <v>13284</v>
      </c>
      <c r="T870" s="9" t="str">
        <f ca="1">IFERROR(IF(AND(VLOOKUP(A870, 'Актуальное состояние (из общего'!A:C,3,0) = "", A870 &lt;&gt; ""), "ПРОВЕРИТЬ", VLOOKUP(A870, 'Актуальное состояние (из общего'!A:C,3,0)), "")</f>
        <v>Аспирант</v>
      </c>
      <c r="U870" s="9" t="s">
        <v>13284</v>
      </c>
      <c r="V870" s="9" t="s">
        <v>13284</v>
      </c>
      <c r="W870" s="12" t="s">
        <v>389</v>
      </c>
      <c r="X870" s="9" t="str">
        <f t="array" ref="X870">IFERROR(INDEX('Адреса общежитий (скрытый)'!$B$2:$B$9, MATCH(W870, 'Адреса общежитий (скрытый)'!$A$2:$A$9, 0)), "")</f>
        <v>2-ой Донской проезд, д. 9</v>
      </c>
      <c r="Y870" s="18"/>
      <c r="Z870" s="18"/>
      <c r="AA870" s="18"/>
      <c r="AB870" s="18"/>
      <c r="AC870" s="18"/>
    </row>
    <row r="871" spans="1:29" ht="32.25" hidden="1" customHeight="1">
      <c r="A871" s="8">
        <v>2300160</v>
      </c>
      <c r="B871" s="9" t="s">
        <v>13284</v>
      </c>
      <c r="C871" s="9" t="s">
        <v>13284</v>
      </c>
      <c r="D871" s="9" t="s">
        <v>13284</v>
      </c>
      <c r="E871" s="9" t="s">
        <v>13284</v>
      </c>
      <c r="F871" s="9" t="s">
        <v>13284</v>
      </c>
      <c r="G871" s="9" t="s">
        <v>13284</v>
      </c>
      <c r="H871" s="9" t="s">
        <v>13284</v>
      </c>
      <c r="I871" s="9" t="s">
        <v>13284</v>
      </c>
      <c r="J871" s="9" t="s">
        <v>13284</v>
      </c>
      <c r="K871" s="9" t="s">
        <v>13284</v>
      </c>
      <c r="L871" s="9" t="s">
        <v>13284</v>
      </c>
      <c r="M871" s="9" t="s">
        <v>13284</v>
      </c>
      <c r="N871" s="9" t="s">
        <v>13284</v>
      </c>
      <c r="O871" s="9" t="s">
        <v>13284</v>
      </c>
      <c r="P871" s="9" t="s">
        <v>13284</v>
      </c>
      <c r="Q871" s="9" t="s">
        <v>13284</v>
      </c>
      <c r="R871" s="9" t="s">
        <v>13284</v>
      </c>
      <c r="S871" s="9" t="s">
        <v>13284</v>
      </c>
      <c r="T871" s="9" t="str">
        <f ca="1">IFERROR(IF(AND(VLOOKUP(A871, 'Актуальное состояние (из общего'!A:C,3,0) = "", A871 &lt;&gt; ""), "ПРОВЕРИТЬ", VLOOKUP(A871, 'Актуальное состояние (из общего'!A:C,3,0)), "")</f>
        <v>Аспирант</v>
      </c>
      <c r="U871" s="9" t="s">
        <v>13284</v>
      </c>
      <c r="V871" s="9" t="s">
        <v>13284</v>
      </c>
      <c r="W871" s="12" t="s">
        <v>389</v>
      </c>
      <c r="X871" s="9" t="str">
        <f t="array" ref="X871">IFERROR(INDEX('Адреса общежитий (скрытый)'!$B$2:$B$9, MATCH(W871, 'Адреса общежитий (скрытый)'!$A$2:$A$9, 0)), "")</f>
        <v>2-ой Донской проезд, д. 9</v>
      </c>
      <c r="Y871" s="18"/>
      <c r="Z871" s="18"/>
      <c r="AA871" s="18"/>
      <c r="AB871" s="18"/>
      <c r="AC871" s="18"/>
    </row>
    <row r="872" spans="1:29" ht="32.25" customHeight="1">
      <c r="A872" s="8">
        <v>2300190</v>
      </c>
      <c r="B872" s="9" t="s">
        <v>13284</v>
      </c>
      <c r="C872" s="9" t="s">
        <v>13284</v>
      </c>
      <c r="D872" s="9" t="s">
        <v>13284</v>
      </c>
      <c r="E872" s="9" t="s">
        <v>13284</v>
      </c>
      <c r="F872" s="9" t="s">
        <v>13284</v>
      </c>
      <c r="G872" s="9" t="s">
        <v>13284</v>
      </c>
      <c r="H872" s="9" t="s">
        <v>13284</v>
      </c>
      <c r="I872" s="9" t="s">
        <v>13284</v>
      </c>
      <c r="J872" s="9" t="s">
        <v>13284</v>
      </c>
      <c r="K872" s="9" t="s">
        <v>13284</v>
      </c>
      <c r="L872" s="9" t="s">
        <v>13284</v>
      </c>
      <c r="M872" s="9" t="s">
        <v>13284</v>
      </c>
      <c r="N872" s="9" t="s">
        <v>13284</v>
      </c>
      <c r="O872" s="9" t="s">
        <v>13284</v>
      </c>
      <c r="P872" s="9" t="s">
        <v>13284</v>
      </c>
      <c r="Q872" s="9" t="s">
        <v>13284</v>
      </c>
      <c r="R872" s="9" t="s">
        <v>13284</v>
      </c>
      <c r="S872" s="9" t="s">
        <v>13284</v>
      </c>
      <c r="T872" s="9" t="str">
        <f ca="1">IFERROR(IF(AND(VLOOKUP(A872, 'Актуальное состояние (из общего'!A:C,3,0) = "", A872 &lt;&gt; ""), "ПРОВЕРИТЬ", VLOOKUP(A872, 'Актуальное состояние (из общего'!A:C,3,0)), "")</f>
        <v>Аспирант</v>
      </c>
      <c r="U872" s="9" t="s">
        <v>13284</v>
      </c>
      <c r="V872" s="9" t="s">
        <v>13284</v>
      </c>
      <c r="W872" s="12" t="s">
        <v>389</v>
      </c>
      <c r="X872" s="9" t="str">
        <f t="array" ref="X872">IFERROR(INDEX('Адреса общежитий (скрытый)'!$B$2:$B$9, MATCH(W872, 'Адреса общежитий (скрытый)'!$A$2:$A$9, 0)), "")</f>
        <v>2-ой Донской проезд, д. 9</v>
      </c>
      <c r="Y872" s="18"/>
      <c r="Z872" s="18"/>
      <c r="AA872" s="18"/>
      <c r="AB872" s="18"/>
      <c r="AC872" s="18"/>
    </row>
    <row r="873" spans="1:29" ht="32.25" hidden="1" customHeight="1">
      <c r="A873" s="8">
        <v>2310933</v>
      </c>
      <c r="B873" s="9" t="s">
        <v>13284</v>
      </c>
      <c r="C873" s="9" t="s">
        <v>13284</v>
      </c>
      <c r="D873" s="9" t="s">
        <v>13284</v>
      </c>
      <c r="E873" s="9" t="s">
        <v>13284</v>
      </c>
      <c r="F873" s="9" t="s">
        <v>13284</v>
      </c>
      <c r="G873" s="9" t="s">
        <v>13284</v>
      </c>
      <c r="H873" s="9" t="s">
        <v>13284</v>
      </c>
      <c r="I873" s="9" t="s">
        <v>13284</v>
      </c>
      <c r="J873" s="9" t="s">
        <v>13284</v>
      </c>
      <c r="K873" s="9" t="s">
        <v>13284</v>
      </c>
      <c r="L873" s="9" t="s">
        <v>13284</v>
      </c>
      <c r="M873" s="9" t="s">
        <v>13284</v>
      </c>
      <c r="N873" s="9" t="s">
        <v>13284</v>
      </c>
      <c r="O873" s="9" t="s">
        <v>13284</v>
      </c>
      <c r="P873" s="9" t="s">
        <v>13284</v>
      </c>
      <c r="Q873" s="9" t="s">
        <v>13284</v>
      </c>
      <c r="R873" s="9" t="s">
        <v>13284</v>
      </c>
      <c r="S873" s="9" t="s">
        <v>13284</v>
      </c>
      <c r="T873" s="9" t="str">
        <f ca="1">IFERROR(IF(AND(VLOOKUP(A873, 'Актуальное состояние (из общего'!A:C,3,0) = "", A873 &lt;&gt; ""), "ПРОВЕРИТЬ", VLOOKUP(A873, 'Актуальное состояние (из общего'!A:C,3,0)), "")</f>
        <v>Аспирант</v>
      </c>
      <c r="U873" s="9" t="s">
        <v>13284</v>
      </c>
      <c r="V873" s="9" t="s">
        <v>13284</v>
      </c>
      <c r="W873" s="12" t="s">
        <v>389</v>
      </c>
      <c r="X873" s="9" t="str">
        <f t="array" ref="X873">IFERROR(INDEX('Адреса общежитий (скрытый)'!$B$2:$B$9, MATCH(W873, 'Адреса общежитий (скрытый)'!$A$2:$A$9, 0)), "")</f>
        <v>2-ой Донской проезд, д. 9</v>
      </c>
      <c r="Y873" s="18"/>
      <c r="Z873" s="18"/>
      <c r="AA873" s="18"/>
      <c r="AB873" s="18"/>
      <c r="AC873" s="18"/>
    </row>
    <row r="874" spans="1:29" ht="32.25" hidden="1" customHeight="1">
      <c r="A874" s="8">
        <v>2311739</v>
      </c>
      <c r="B874" s="9" t="s">
        <v>13284</v>
      </c>
      <c r="C874" s="9" t="s">
        <v>13284</v>
      </c>
      <c r="D874" s="9" t="s">
        <v>13284</v>
      </c>
      <c r="E874" s="9" t="s">
        <v>13284</v>
      </c>
      <c r="F874" s="9" t="s">
        <v>13284</v>
      </c>
      <c r="G874" s="9" t="s">
        <v>13284</v>
      </c>
      <c r="H874" s="9" t="s">
        <v>13284</v>
      </c>
      <c r="I874" s="9" t="s">
        <v>13284</v>
      </c>
      <c r="J874" s="9" t="s">
        <v>13284</v>
      </c>
      <c r="K874" s="9" t="s">
        <v>13284</v>
      </c>
      <c r="L874" s="9" t="s">
        <v>13284</v>
      </c>
      <c r="M874" s="9" t="s">
        <v>13284</v>
      </c>
      <c r="N874" s="9" t="s">
        <v>13284</v>
      </c>
      <c r="O874" s="9" t="s">
        <v>13284</v>
      </c>
      <c r="P874" s="9" t="s">
        <v>13284</v>
      </c>
      <c r="Q874" s="9" t="s">
        <v>13284</v>
      </c>
      <c r="R874" s="9" t="s">
        <v>13284</v>
      </c>
      <c r="S874" s="9" t="s">
        <v>13284</v>
      </c>
      <c r="T874" s="9" t="str">
        <f ca="1">IFERROR(IF(AND(VLOOKUP(A874, 'Актуальное состояние (из общего'!A:C,3,0) = "", A874 &lt;&gt; ""), "ПРОВЕРИТЬ", VLOOKUP(A874, 'Актуальное состояние (из общего'!A:C,3,0)), "")</f>
        <v>Аспирант</v>
      </c>
      <c r="U874" s="9" t="s">
        <v>13284</v>
      </c>
      <c r="V874" s="9" t="s">
        <v>13284</v>
      </c>
      <c r="W874" s="12" t="s">
        <v>389</v>
      </c>
      <c r="X874" s="9" t="str">
        <f t="array" ref="X874">IFERROR(INDEX('Адреса общежитий (скрытый)'!$B$2:$B$9, MATCH(W874, 'Адреса общежитий (скрытый)'!$A$2:$A$9, 0)), "")</f>
        <v>2-ой Донской проезд, д. 9</v>
      </c>
      <c r="Y874" s="18"/>
      <c r="Z874" s="18"/>
      <c r="AA874" s="18"/>
      <c r="AB874" s="18"/>
      <c r="AC874" s="18"/>
    </row>
    <row r="875" spans="1:29" ht="32.25" hidden="1" customHeight="1">
      <c r="A875" s="8">
        <v>2309880</v>
      </c>
      <c r="B875" s="9" t="s">
        <v>13284</v>
      </c>
      <c r="C875" s="9" t="s">
        <v>13284</v>
      </c>
      <c r="D875" s="9" t="s">
        <v>13284</v>
      </c>
      <c r="E875" s="9" t="s">
        <v>13284</v>
      </c>
      <c r="F875" s="9" t="s">
        <v>13284</v>
      </c>
      <c r="G875" s="9" t="s">
        <v>13284</v>
      </c>
      <c r="H875" s="9" t="s">
        <v>13284</v>
      </c>
      <c r="I875" s="9" t="s">
        <v>13284</v>
      </c>
      <c r="J875" s="9" t="s">
        <v>13284</v>
      </c>
      <c r="K875" s="9" t="s">
        <v>13284</v>
      </c>
      <c r="L875" s="9" t="s">
        <v>13284</v>
      </c>
      <c r="M875" s="9" t="s">
        <v>13284</v>
      </c>
      <c r="N875" s="9" t="s">
        <v>13284</v>
      </c>
      <c r="O875" s="9" t="s">
        <v>13284</v>
      </c>
      <c r="P875" s="9" t="s">
        <v>13284</v>
      </c>
      <c r="Q875" s="9" t="s">
        <v>13284</v>
      </c>
      <c r="R875" s="9" t="s">
        <v>13284</v>
      </c>
      <c r="S875" s="9" t="s">
        <v>13284</v>
      </c>
      <c r="T875" s="9" t="str">
        <f ca="1">IFERROR(IF(AND(VLOOKUP(A875, 'Актуальное состояние (из общего'!A:C,3,0) = "", A875 &lt;&gt; ""), "ПРОВЕРИТЬ", VLOOKUP(A875, 'Актуальное состояние (из общего'!A:C,3,0)), "")</f>
        <v>Аспирант</v>
      </c>
      <c r="U875" s="9" t="s">
        <v>13284</v>
      </c>
      <c r="V875" s="9" t="s">
        <v>13284</v>
      </c>
      <c r="W875" s="12" t="s">
        <v>389</v>
      </c>
      <c r="X875" s="9" t="str">
        <f t="array" ref="X875">IFERROR(INDEX('Адреса общежитий (скрытый)'!$B$2:$B$9, MATCH(W875, 'Адреса общежитий (скрытый)'!$A$2:$A$9, 0)), "")</f>
        <v>2-ой Донской проезд, д. 9</v>
      </c>
      <c r="Y875" s="18"/>
      <c r="Z875" s="18"/>
      <c r="AA875" s="18"/>
      <c r="AB875" s="18"/>
      <c r="AC875" s="18"/>
    </row>
    <row r="876" spans="1:29" ht="32.25" customHeight="1">
      <c r="A876" s="8">
        <v>2312510</v>
      </c>
      <c r="B876" s="9" t="s">
        <v>13284</v>
      </c>
      <c r="C876" s="9" t="s">
        <v>13284</v>
      </c>
      <c r="D876" s="9" t="s">
        <v>13284</v>
      </c>
      <c r="E876" s="9" t="s">
        <v>13284</v>
      </c>
      <c r="F876" s="9" t="s">
        <v>13284</v>
      </c>
      <c r="G876" s="9" t="s">
        <v>13284</v>
      </c>
      <c r="H876" s="9" t="s">
        <v>13284</v>
      </c>
      <c r="I876" s="9" t="s">
        <v>13284</v>
      </c>
      <c r="J876" s="9" t="s">
        <v>13284</v>
      </c>
      <c r="K876" s="9" t="s">
        <v>13284</v>
      </c>
      <c r="L876" s="9" t="s">
        <v>13284</v>
      </c>
      <c r="M876" s="9" t="s">
        <v>13284</v>
      </c>
      <c r="N876" s="9" t="s">
        <v>13284</v>
      </c>
      <c r="O876" s="9" t="s">
        <v>13284</v>
      </c>
      <c r="P876" s="9" t="s">
        <v>13284</v>
      </c>
      <c r="Q876" s="9" t="s">
        <v>13284</v>
      </c>
      <c r="R876" s="9" t="s">
        <v>13284</v>
      </c>
      <c r="S876" s="9" t="s">
        <v>13284</v>
      </c>
      <c r="T876" s="9" t="str">
        <f ca="1">IFERROR(IF(AND(VLOOKUP(A876, 'Актуальное состояние (из общего'!A:C,3,0) = "", A876 &lt;&gt; ""), "ПРОВЕРИТЬ", VLOOKUP(A876, 'Актуальное состояние (из общего'!A:C,3,0)), "")</f>
        <v>Аспирант</v>
      </c>
      <c r="U876" s="9" t="s">
        <v>13284</v>
      </c>
      <c r="V876" s="9" t="s">
        <v>13284</v>
      </c>
      <c r="W876" s="12" t="s">
        <v>389</v>
      </c>
      <c r="X876" s="9" t="str">
        <f t="array" ref="X876">IFERROR(INDEX('Адреса общежитий (скрытый)'!$B$2:$B$9, MATCH(W876, 'Адреса общежитий (скрытый)'!$A$2:$A$9, 0)), "")</f>
        <v>2-ой Донской проезд, д. 9</v>
      </c>
      <c r="Y876" s="18"/>
      <c r="Z876" s="18"/>
      <c r="AA876" s="18"/>
      <c r="AB876" s="18"/>
      <c r="AC876" s="18"/>
    </row>
    <row r="877" spans="1:29" ht="32.25" hidden="1" customHeight="1">
      <c r="A877" s="8">
        <v>2311482</v>
      </c>
      <c r="B877" s="9" t="s">
        <v>13284</v>
      </c>
      <c r="C877" s="9" t="s">
        <v>13284</v>
      </c>
      <c r="D877" s="9" t="s">
        <v>13284</v>
      </c>
      <c r="E877" s="9" t="s">
        <v>13284</v>
      </c>
      <c r="F877" s="9" t="s">
        <v>13284</v>
      </c>
      <c r="G877" s="9" t="s">
        <v>13284</v>
      </c>
      <c r="H877" s="9" t="s">
        <v>13284</v>
      </c>
      <c r="I877" s="9" t="s">
        <v>13284</v>
      </c>
      <c r="J877" s="9" t="s">
        <v>13284</v>
      </c>
      <c r="K877" s="9" t="s">
        <v>13284</v>
      </c>
      <c r="L877" s="9" t="s">
        <v>13284</v>
      </c>
      <c r="M877" s="9" t="s">
        <v>13284</v>
      </c>
      <c r="N877" s="9" t="s">
        <v>13284</v>
      </c>
      <c r="O877" s="9" t="s">
        <v>13284</v>
      </c>
      <c r="P877" s="9" t="s">
        <v>13284</v>
      </c>
      <c r="Q877" s="9" t="s">
        <v>13284</v>
      </c>
      <c r="R877" s="9" t="s">
        <v>13284</v>
      </c>
      <c r="S877" s="9" t="s">
        <v>13284</v>
      </c>
      <c r="T877" s="9" t="str">
        <f ca="1">IFERROR(IF(AND(VLOOKUP(A877, 'Актуальное состояние (из общего'!A:C,3,0) = "", A877 &lt;&gt; ""), "ПРОВЕРИТЬ", VLOOKUP(A877, 'Актуальное состояние (из общего'!A:C,3,0)), "")</f>
        <v>Аспирант</v>
      </c>
      <c r="U877" s="9" t="s">
        <v>13284</v>
      </c>
      <c r="V877" s="9" t="s">
        <v>13284</v>
      </c>
      <c r="W877" s="12" t="s">
        <v>389</v>
      </c>
      <c r="X877" s="9" t="str">
        <f t="array" ref="X877">IFERROR(INDEX('Адреса общежитий (скрытый)'!$B$2:$B$9, MATCH(W877, 'Адреса общежитий (скрытый)'!$A$2:$A$9, 0)), "")</f>
        <v>2-ой Донской проезд, д. 9</v>
      </c>
      <c r="Y877" s="18"/>
      <c r="Z877" s="18"/>
      <c r="AA877" s="18"/>
      <c r="AB877" s="18"/>
      <c r="AC877" s="18"/>
    </row>
    <row r="878" spans="1:29" ht="32.25" hidden="1" customHeight="1">
      <c r="A878" s="8">
        <v>2300242</v>
      </c>
      <c r="B878" s="9" t="s">
        <v>13284</v>
      </c>
      <c r="C878" s="9" t="s">
        <v>13284</v>
      </c>
      <c r="D878" s="9" t="s">
        <v>13284</v>
      </c>
      <c r="E878" s="9" t="s">
        <v>13284</v>
      </c>
      <c r="F878" s="9" t="s">
        <v>13284</v>
      </c>
      <c r="G878" s="9" t="s">
        <v>13284</v>
      </c>
      <c r="H878" s="9" t="s">
        <v>13284</v>
      </c>
      <c r="I878" s="9" t="s">
        <v>13284</v>
      </c>
      <c r="J878" s="9" t="s">
        <v>13284</v>
      </c>
      <c r="K878" s="9" t="s">
        <v>13284</v>
      </c>
      <c r="L878" s="9" t="s">
        <v>13284</v>
      </c>
      <c r="M878" s="9" t="s">
        <v>13284</v>
      </c>
      <c r="N878" s="9" t="s">
        <v>13284</v>
      </c>
      <c r="O878" s="9" t="s">
        <v>13284</v>
      </c>
      <c r="P878" s="9" t="s">
        <v>13284</v>
      </c>
      <c r="Q878" s="9" t="s">
        <v>13284</v>
      </c>
      <c r="R878" s="9" t="s">
        <v>13284</v>
      </c>
      <c r="S878" s="9" t="s">
        <v>13284</v>
      </c>
      <c r="T878" s="9" t="str">
        <f ca="1">IFERROR(IF(AND(VLOOKUP(A878, 'Актуальное состояние (из общего'!A:C,3,0) = "", A878 &lt;&gt; ""), "ПРОВЕРИТЬ", VLOOKUP(A878, 'Актуальное состояние (из общего'!A:C,3,0)), "")</f>
        <v>Аспирант</v>
      </c>
      <c r="U878" s="9" t="s">
        <v>13284</v>
      </c>
      <c r="V878" s="9" t="s">
        <v>13284</v>
      </c>
      <c r="W878" s="12" t="s">
        <v>389</v>
      </c>
      <c r="X878" s="9" t="str">
        <f t="array" ref="X878">IFERROR(INDEX('Адреса общежитий (скрытый)'!$B$2:$B$9, MATCH(W878, 'Адреса общежитий (скрытый)'!$A$2:$A$9, 0)), "")</f>
        <v>2-ой Донской проезд, д. 9</v>
      </c>
      <c r="Y878" s="18"/>
      <c r="Z878" s="18"/>
      <c r="AA878" s="18"/>
      <c r="AB878" s="18"/>
      <c r="AC878" s="18"/>
    </row>
    <row r="879" spans="1:29" ht="32.25" customHeight="1">
      <c r="A879" s="8">
        <v>2309555</v>
      </c>
      <c r="B879" s="9" t="s">
        <v>13284</v>
      </c>
      <c r="C879" s="9" t="s">
        <v>13284</v>
      </c>
      <c r="D879" s="9" t="s">
        <v>13284</v>
      </c>
      <c r="E879" s="9" t="s">
        <v>13284</v>
      </c>
      <c r="F879" s="9" t="s">
        <v>13284</v>
      </c>
      <c r="G879" s="9" t="s">
        <v>13284</v>
      </c>
      <c r="H879" s="9" t="s">
        <v>13284</v>
      </c>
      <c r="I879" s="9" t="s">
        <v>13284</v>
      </c>
      <c r="J879" s="9" t="s">
        <v>13284</v>
      </c>
      <c r="K879" s="9" t="s">
        <v>13284</v>
      </c>
      <c r="L879" s="9" t="s">
        <v>13284</v>
      </c>
      <c r="M879" s="9" t="s">
        <v>13284</v>
      </c>
      <c r="N879" s="9" t="s">
        <v>13284</v>
      </c>
      <c r="O879" s="9" t="s">
        <v>13284</v>
      </c>
      <c r="P879" s="9" t="s">
        <v>13284</v>
      </c>
      <c r="Q879" s="9" t="s">
        <v>13284</v>
      </c>
      <c r="R879" s="9" t="s">
        <v>13284</v>
      </c>
      <c r="S879" s="9" t="s">
        <v>13284</v>
      </c>
      <c r="T879" s="9" t="str">
        <f ca="1">IFERROR(IF(AND(VLOOKUP(A879, 'Актуальное состояние (из общего'!A:C,3,0) = "", A879 &lt;&gt; ""), "ПРОВЕРИТЬ", VLOOKUP(A879, 'Актуальное состояние (из общего'!A:C,3,0)), "")</f>
        <v>Аспирант</v>
      </c>
      <c r="U879" s="9" t="s">
        <v>13284</v>
      </c>
      <c r="V879" s="9" t="s">
        <v>13284</v>
      </c>
      <c r="W879" s="12" t="s">
        <v>171</v>
      </c>
      <c r="X879" s="9" t="str">
        <f t="array" ref="X879">IFERROR(INDEX('Адреса общежитий (скрытый)'!$B$2:$B$9, MATCH(W879, 'Адреса общежитий (скрытый)'!$A$2:$A$9, 0)), "")</f>
        <v>ул. Академика Волгина, д. 4</v>
      </c>
      <c r="Y879" s="18" t="s">
        <v>8872</v>
      </c>
      <c r="Z879" s="18"/>
      <c r="AA879" s="18"/>
      <c r="AB879" s="18"/>
      <c r="AC879" s="18"/>
    </row>
    <row r="880" spans="1:29" ht="32.25" customHeight="1">
      <c r="A880" s="8">
        <v>2309633</v>
      </c>
      <c r="B880" s="9" t="s">
        <v>13284</v>
      </c>
      <c r="C880" s="9" t="s">
        <v>13284</v>
      </c>
      <c r="D880" s="9" t="s">
        <v>13284</v>
      </c>
      <c r="E880" s="9" t="s">
        <v>13284</v>
      </c>
      <c r="F880" s="9" t="s">
        <v>13284</v>
      </c>
      <c r="G880" s="9" t="s">
        <v>13284</v>
      </c>
      <c r="H880" s="9" t="s">
        <v>13284</v>
      </c>
      <c r="I880" s="9" t="s">
        <v>13284</v>
      </c>
      <c r="J880" s="9" t="s">
        <v>13284</v>
      </c>
      <c r="K880" s="9" t="s">
        <v>13284</v>
      </c>
      <c r="L880" s="9" t="s">
        <v>13284</v>
      </c>
      <c r="M880" s="9" t="s">
        <v>13284</v>
      </c>
      <c r="N880" s="9" t="s">
        <v>13284</v>
      </c>
      <c r="O880" s="9" t="s">
        <v>13284</v>
      </c>
      <c r="P880" s="9" t="s">
        <v>13284</v>
      </c>
      <c r="Q880" s="9" t="s">
        <v>13284</v>
      </c>
      <c r="R880" s="9" t="s">
        <v>13284</v>
      </c>
      <c r="S880" s="9" t="s">
        <v>13284</v>
      </c>
      <c r="T880" s="9" t="str">
        <f ca="1">IFERROR(IF(AND(VLOOKUP(A880, 'Актуальное состояние (из общего'!A:C,3,0) = "", A880 &lt;&gt; ""), "ПРОВЕРИТЬ", VLOOKUP(A880, 'Актуальное состояние (из общего'!A:C,3,0)), "")</f>
        <v>Аспирант</v>
      </c>
      <c r="U880" s="9" t="s">
        <v>13284</v>
      </c>
      <c r="V880" s="9" t="s">
        <v>13284</v>
      </c>
      <c r="W880" s="12" t="s">
        <v>389</v>
      </c>
      <c r="X880" s="9" t="str">
        <f t="array" ref="X880">IFERROR(INDEX('Адреса общежитий (скрытый)'!$B$2:$B$9, MATCH(W880, 'Адреса общежитий (скрытый)'!$A$2:$A$9, 0)), "")</f>
        <v>2-ой Донской проезд, д. 9</v>
      </c>
      <c r="Y880" s="18"/>
      <c r="Z880" s="18"/>
      <c r="AA880" s="18"/>
      <c r="AB880" s="18"/>
      <c r="AC880" s="18"/>
    </row>
    <row r="881" spans="1:29" ht="32.25" hidden="1" customHeight="1">
      <c r="A881" s="8">
        <v>2311780</v>
      </c>
      <c r="B881" s="9" t="s">
        <v>13284</v>
      </c>
      <c r="C881" s="9" t="s">
        <v>13284</v>
      </c>
      <c r="D881" s="9" t="s">
        <v>13284</v>
      </c>
      <c r="E881" s="9" t="s">
        <v>13284</v>
      </c>
      <c r="F881" s="9" t="s">
        <v>13284</v>
      </c>
      <c r="G881" s="9" t="s">
        <v>13284</v>
      </c>
      <c r="H881" s="9" t="s">
        <v>13284</v>
      </c>
      <c r="I881" s="9" t="s">
        <v>13284</v>
      </c>
      <c r="J881" s="9" t="s">
        <v>13284</v>
      </c>
      <c r="K881" s="9" t="s">
        <v>13284</v>
      </c>
      <c r="L881" s="9" t="s">
        <v>13284</v>
      </c>
      <c r="M881" s="9" t="s">
        <v>13284</v>
      </c>
      <c r="N881" s="9" t="s">
        <v>13284</v>
      </c>
      <c r="O881" s="9" t="s">
        <v>13284</v>
      </c>
      <c r="P881" s="9" t="s">
        <v>13284</v>
      </c>
      <c r="Q881" s="9" t="s">
        <v>13284</v>
      </c>
      <c r="R881" s="9" t="s">
        <v>13284</v>
      </c>
      <c r="S881" s="9" t="s">
        <v>13284</v>
      </c>
      <c r="T881" s="9" t="str">
        <f ca="1">IFERROR(IF(AND(VLOOKUP(A881, 'Актуальное состояние (из общего'!A:C,3,0) = "", A881 &lt;&gt; ""), "ПРОВЕРИТЬ", VLOOKUP(A881, 'Актуальное состояние (из общего'!A:C,3,0)), "")</f>
        <v>Аспирант</v>
      </c>
      <c r="U881" s="9" t="s">
        <v>13284</v>
      </c>
      <c r="V881" s="9" t="s">
        <v>13284</v>
      </c>
      <c r="W881" s="12" t="s">
        <v>389</v>
      </c>
      <c r="X881" s="9" t="str">
        <f t="array" ref="X881">IFERROR(INDEX('Адреса общежитий (скрытый)'!$B$2:$B$9, MATCH(W881, 'Адреса общежитий (скрытый)'!$A$2:$A$9, 0)), "")</f>
        <v>2-ой Донской проезд, д. 9</v>
      </c>
      <c r="Y881" s="18"/>
      <c r="Z881" s="18"/>
      <c r="AA881" s="18"/>
      <c r="AB881" s="18"/>
      <c r="AC881" s="18"/>
    </row>
    <row r="882" spans="1:29" ht="32.25" customHeight="1">
      <c r="A882" s="8">
        <v>2307217</v>
      </c>
      <c r="B882" s="9" t="s">
        <v>13284</v>
      </c>
      <c r="C882" s="9" t="s">
        <v>13284</v>
      </c>
      <c r="D882" s="9" t="s">
        <v>13284</v>
      </c>
      <c r="E882" s="9" t="s">
        <v>13284</v>
      </c>
      <c r="F882" s="9" t="s">
        <v>13284</v>
      </c>
      <c r="G882" s="9" t="s">
        <v>13284</v>
      </c>
      <c r="H882" s="9" t="s">
        <v>13284</v>
      </c>
      <c r="I882" s="9" t="s">
        <v>13284</v>
      </c>
      <c r="J882" s="9" t="s">
        <v>13284</v>
      </c>
      <c r="K882" s="9" t="s">
        <v>13284</v>
      </c>
      <c r="L882" s="9" t="s">
        <v>13284</v>
      </c>
      <c r="M882" s="9" t="s">
        <v>13284</v>
      </c>
      <c r="N882" s="9" t="s">
        <v>13284</v>
      </c>
      <c r="O882" s="9" t="s">
        <v>13284</v>
      </c>
      <c r="P882" s="9" t="s">
        <v>13284</v>
      </c>
      <c r="Q882" s="9" t="s">
        <v>13284</v>
      </c>
      <c r="R882" s="9" t="s">
        <v>13284</v>
      </c>
      <c r="S882" s="9" t="s">
        <v>13284</v>
      </c>
      <c r="T882" s="9" t="str">
        <f ca="1">IFERROR(IF(AND(VLOOKUP(A882, 'Актуальное состояние (из общего'!A:C,3,0) = "", A882 &lt;&gt; ""), "ПРОВЕРИТЬ", VLOOKUP(A882, 'Актуальное состояние (из общего'!A:C,3,0)), "")</f>
        <v>Аспирант</v>
      </c>
      <c r="U882" s="9" t="s">
        <v>13284</v>
      </c>
      <c r="V882" s="9" t="s">
        <v>13284</v>
      </c>
      <c r="W882" s="12" t="s">
        <v>389</v>
      </c>
      <c r="X882" s="9" t="str">
        <f t="array" ref="X882">IFERROR(INDEX('Адреса общежитий (скрытый)'!$B$2:$B$9, MATCH(W882, 'Адреса общежитий (скрытый)'!$A$2:$A$9, 0)), "")</f>
        <v>2-ой Донской проезд, д. 9</v>
      </c>
      <c r="Y882" s="18"/>
      <c r="Z882" s="18"/>
      <c r="AA882" s="18"/>
      <c r="AB882" s="18"/>
      <c r="AC882" s="18"/>
    </row>
    <row r="883" spans="1:29" ht="32.25" customHeight="1">
      <c r="A883" s="8">
        <v>2310330</v>
      </c>
      <c r="B883" s="9" t="s">
        <v>13284</v>
      </c>
      <c r="C883" s="9" t="s">
        <v>13284</v>
      </c>
      <c r="D883" s="9" t="s">
        <v>13284</v>
      </c>
      <c r="E883" s="9" t="s">
        <v>13284</v>
      </c>
      <c r="F883" s="9" t="s">
        <v>13284</v>
      </c>
      <c r="G883" s="9" t="s">
        <v>13284</v>
      </c>
      <c r="H883" s="9" t="s">
        <v>13284</v>
      </c>
      <c r="I883" s="9" t="s">
        <v>13284</v>
      </c>
      <c r="J883" s="9" t="s">
        <v>13284</v>
      </c>
      <c r="K883" s="9" t="s">
        <v>13284</v>
      </c>
      <c r="L883" s="9" t="s">
        <v>13284</v>
      </c>
      <c r="M883" s="9" t="s">
        <v>13284</v>
      </c>
      <c r="N883" s="9" t="s">
        <v>13284</v>
      </c>
      <c r="O883" s="9" t="s">
        <v>13284</v>
      </c>
      <c r="P883" s="9" t="s">
        <v>13284</v>
      </c>
      <c r="Q883" s="9" t="s">
        <v>13284</v>
      </c>
      <c r="R883" s="9" t="s">
        <v>13284</v>
      </c>
      <c r="S883" s="9" t="s">
        <v>13284</v>
      </c>
      <c r="T883" s="9" t="str">
        <f ca="1">IFERROR(IF(AND(VLOOKUP(A883, 'Актуальное состояние (из общего'!A:C,3,0) = "", A883 &lt;&gt; ""), "ПРОВЕРИТЬ", VLOOKUP(A883, 'Актуальное состояние (из общего'!A:C,3,0)), "")</f>
        <v>Аспирант</v>
      </c>
      <c r="U883" s="9" t="s">
        <v>13284</v>
      </c>
      <c r="V883" s="9" t="s">
        <v>13284</v>
      </c>
      <c r="W883" s="12" t="s">
        <v>389</v>
      </c>
      <c r="X883" s="9" t="str">
        <f t="array" ref="X883">IFERROR(INDEX('Адреса общежитий (скрытый)'!$B$2:$B$9, MATCH(W883, 'Адреса общежитий (скрытый)'!$A$2:$A$9, 0)), "")</f>
        <v>2-ой Донской проезд, д. 9</v>
      </c>
      <c r="Y883" s="18"/>
      <c r="Z883" s="18"/>
      <c r="AA883" s="18"/>
      <c r="AB883" s="18"/>
      <c r="AC883" s="18"/>
    </row>
    <row r="884" spans="1:29" ht="32.25" hidden="1" customHeight="1">
      <c r="A884" s="8">
        <v>2300165</v>
      </c>
      <c r="B884" s="9" t="s">
        <v>13284</v>
      </c>
      <c r="C884" s="9" t="s">
        <v>13284</v>
      </c>
      <c r="D884" s="9" t="s">
        <v>13284</v>
      </c>
      <c r="E884" s="9" t="s">
        <v>13284</v>
      </c>
      <c r="F884" s="9" t="s">
        <v>13284</v>
      </c>
      <c r="G884" s="9" t="s">
        <v>13284</v>
      </c>
      <c r="H884" s="9" t="s">
        <v>13284</v>
      </c>
      <c r="I884" s="9" t="s">
        <v>13284</v>
      </c>
      <c r="J884" s="9" t="s">
        <v>13284</v>
      </c>
      <c r="K884" s="9" t="s">
        <v>13284</v>
      </c>
      <c r="L884" s="9" t="s">
        <v>13284</v>
      </c>
      <c r="M884" s="9" t="s">
        <v>13284</v>
      </c>
      <c r="N884" s="9" t="s">
        <v>13284</v>
      </c>
      <c r="O884" s="9" t="s">
        <v>13284</v>
      </c>
      <c r="P884" s="9" t="s">
        <v>13284</v>
      </c>
      <c r="Q884" s="9" t="s">
        <v>13284</v>
      </c>
      <c r="R884" s="9" t="s">
        <v>13284</v>
      </c>
      <c r="S884" s="9" t="s">
        <v>13284</v>
      </c>
      <c r="T884" s="9" t="str">
        <f ca="1">IFERROR(IF(AND(VLOOKUP(A884, 'Актуальное состояние (из общего'!A:C,3,0) = "", A884 &lt;&gt; ""), "ПРОВЕРИТЬ", VLOOKUP(A884, 'Актуальное состояние (из общего'!A:C,3,0)), "")</f>
        <v>Аспирант</v>
      </c>
      <c r="U884" s="9" t="s">
        <v>13284</v>
      </c>
      <c r="V884" s="9" t="s">
        <v>13284</v>
      </c>
      <c r="W884" s="12" t="s">
        <v>389</v>
      </c>
      <c r="X884" s="9" t="str">
        <f t="array" ref="X884">IFERROR(INDEX('Адреса общежитий (скрытый)'!$B$2:$B$9, MATCH(W884, 'Адреса общежитий (скрытый)'!$A$2:$A$9, 0)), "")</f>
        <v>2-ой Донской проезд, д. 9</v>
      </c>
      <c r="Y884" s="18"/>
      <c r="Z884" s="18"/>
      <c r="AA884" s="18"/>
      <c r="AB884" s="18"/>
      <c r="AC884" s="18"/>
    </row>
    <row r="885" spans="1:29" ht="32.25" customHeight="1">
      <c r="A885" s="8">
        <v>2309151</v>
      </c>
      <c r="B885" s="9" t="s">
        <v>13284</v>
      </c>
      <c r="C885" s="9" t="s">
        <v>13284</v>
      </c>
      <c r="D885" s="9" t="s">
        <v>13284</v>
      </c>
      <c r="E885" s="9" t="s">
        <v>13284</v>
      </c>
      <c r="F885" s="9" t="s">
        <v>13284</v>
      </c>
      <c r="G885" s="9" t="s">
        <v>13284</v>
      </c>
      <c r="H885" s="9" t="s">
        <v>13284</v>
      </c>
      <c r="I885" s="9" t="s">
        <v>13284</v>
      </c>
      <c r="J885" s="9" t="s">
        <v>13284</v>
      </c>
      <c r="K885" s="9" t="s">
        <v>13284</v>
      </c>
      <c r="L885" s="9" t="s">
        <v>13284</v>
      </c>
      <c r="M885" s="9" t="s">
        <v>13284</v>
      </c>
      <c r="N885" s="9" t="s">
        <v>13284</v>
      </c>
      <c r="O885" s="9" t="s">
        <v>13284</v>
      </c>
      <c r="P885" s="9" t="s">
        <v>13284</v>
      </c>
      <c r="Q885" s="9" t="s">
        <v>13284</v>
      </c>
      <c r="R885" s="9" t="s">
        <v>13284</v>
      </c>
      <c r="S885" s="9" t="s">
        <v>13284</v>
      </c>
      <c r="T885" s="9" t="str">
        <f ca="1">IFERROR(IF(AND(VLOOKUP(A885, 'Актуальное состояние (из общего'!A:C,3,0) = "", A885 &lt;&gt; ""), "ПРОВЕРИТЬ", VLOOKUP(A885, 'Актуальное состояние (из общего'!A:C,3,0)), "")</f>
        <v>Аспирант</v>
      </c>
      <c r="U885" s="9" t="s">
        <v>13284</v>
      </c>
      <c r="V885" s="9" t="s">
        <v>13284</v>
      </c>
      <c r="W885" s="12" t="s">
        <v>389</v>
      </c>
      <c r="X885" s="9" t="str">
        <f t="array" ref="X885">IFERROR(INDEX('Адреса общежитий (скрытый)'!$B$2:$B$9, MATCH(W885, 'Адреса общежитий (скрытый)'!$A$2:$A$9, 0)), "")</f>
        <v>2-ой Донской проезд, д. 9</v>
      </c>
      <c r="Y885" s="18"/>
      <c r="Z885" s="18"/>
      <c r="AA885" s="18"/>
      <c r="AB885" s="18"/>
      <c r="AC885" s="18"/>
    </row>
    <row r="886" spans="1:29" ht="32.25" hidden="1" customHeight="1">
      <c r="A886" s="8">
        <v>2312411</v>
      </c>
      <c r="B886" s="9" t="s">
        <v>13284</v>
      </c>
      <c r="C886" s="9" t="s">
        <v>13284</v>
      </c>
      <c r="D886" s="9" t="s">
        <v>13284</v>
      </c>
      <c r="E886" s="9" t="s">
        <v>13284</v>
      </c>
      <c r="F886" s="9" t="s">
        <v>13284</v>
      </c>
      <c r="G886" s="9" t="s">
        <v>13284</v>
      </c>
      <c r="H886" s="9" t="s">
        <v>13284</v>
      </c>
      <c r="I886" s="9" t="s">
        <v>13284</v>
      </c>
      <c r="J886" s="9" t="s">
        <v>13284</v>
      </c>
      <c r="K886" s="9" t="s">
        <v>13284</v>
      </c>
      <c r="L886" s="9" t="s">
        <v>13284</v>
      </c>
      <c r="M886" s="9" t="s">
        <v>13284</v>
      </c>
      <c r="N886" s="9" t="s">
        <v>13284</v>
      </c>
      <c r="O886" s="9" t="s">
        <v>13284</v>
      </c>
      <c r="P886" s="9" t="s">
        <v>13284</v>
      </c>
      <c r="Q886" s="9" t="s">
        <v>13284</v>
      </c>
      <c r="R886" s="9" t="s">
        <v>13284</v>
      </c>
      <c r="S886" s="9" t="s">
        <v>13284</v>
      </c>
      <c r="T886" s="9" t="str">
        <f ca="1">IFERROR(IF(AND(VLOOKUP(A886, 'Актуальное состояние (из общего'!A:C,3,0) = "", A886 &lt;&gt; ""), "ПРОВЕРИТЬ", VLOOKUP(A886, 'Актуальное состояние (из общего'!A:C,3,0)), "")</f>
        <v>Аспирант</v>
      </c>
      <c r="U886" s="9" t="s">
        <v>13284</v>
      </c>
      <c r="V886" s="9" t="s">
        <v>13284</v>
      </c>
      <c r="W886" s="12" t="s">
        <v>389</v>
      </c>
      <c r="X886" s="9" t="str">
        <f t="array" ref="X886">IFERROR(INDEX('Адреса общежитий (скрытый)'!$B$2:$B$9, MATCH(W886, 'Адреса общежитий (скрытый)'!$A$2:$A$9, 0)), "")</f>
        <v>2-ой Донской проезд, д. 9</v>
      </c>
      <c r="Y886" s="18"/>
      <c r="Z886" s="18"/>
      <c r="AA886" s="18"/>
      <c r="AB886" s="18"/>
      <c r="AC886" s="18"/>
    </row>
    <row r="887" spans="1:29" ht="32.25" hidden="1" customHeight="1">
      <c r="A887" s="8">
        <v>2300359</v>
      </c>
      <c r="B887" s="9" t="s">
        <v>13284</v>
      </c>
      <c r="C887" s="9" t="s">
        <v>13284</v>
      </c>
      <c r="D887" s="9" t="s">
        <v>13284</v>
      </c>
      <c r="E887" s="9" t="s">
        <v>13284</v>
      </c>
      <c r="F887" s="9" t="s">
        <v>13284</v>
      </c>
      <c r="G887" s="9" t="s">
        <v>13284</v>
      </c>
      <c r="H887" s="9" t="s">
        <v>13284</v>
      </c>
      <c r="I887" s="9" t="s">
        <v>13284</v>
      </c>
      <c r="J887" s="9" t="s">
        <v>13284</v>
      </c>
      <c r="K887" s="9" t="s">
        <v>13284</v>
      </c>
      <c r="L887" s="9" t="s">
        <v>13284</v>
      </c>
      <c r="M887" s="9" t="s">
        <v>13284</v>
      </c>
      <c r="N887" s="9" t="s">
        <v>13284</v>
      </c>
      <c r="O887" s="9" t="s">
        <v>13284</v>
      </c>
      <c r="P887" s="9" t="s">
        <v>13284</v>
      </c>
      <c r="Q887" s="9" t="s">
        <v>13284</v>
      </c>
      <c r="R887" s="9" t="s">
        <v>13284</v>
      </c>
      <c r="S887" s="9" t="s">
        <v>13284</v>
      </c>
      <c r="T887" s="9" t="str">
        <f ca="1">IFERROR(IF(AND(VLOOKUP(A887, 'Актуальное состояние (из общего'!A:C,3,0) = "", A887 &lt;&gt; ""), "ПРОВЕРИТЬ", VLOOKUP(A887, 'Актуальное состояние (из общего'!A:C,3,0)), "")</f>
        <v>Аспирант</v>
      </c>
      <c r="U887" s="9" t="s">
        <v>13284</v>
      </c>
      <c r="V887" s="9" t="s">
        <v>13284</v>
      </c>
      <c r="W887" s="12" t="s">
        <v>389</v>
      </c>
      <c r="X887" s="9" t="str">
        <f t="array" ref="X887">IFERROR(INDEX('Адреса общежитий (скрытый)'!$B$2:$B$9, MATCH(W887, 'Адреса общежитий (скрытый)'!$A$2:$A$9, 0)), "")</f>
        <v>2-ой Донской проезд, д. 9</v>
      </c>
      <c r="Y887" s="18"/>
      <c r="Z887" s="18"/>
      <c r="AA887" s="18"/>
      <c r="AB887" s="18"/>
      <c r="AC887" s="18"/>
    </row>
    <row r="888" spans="1:29" ht="32.25" hidden="1" customHeight="1">
      <c r="A888" s="8">
        <v>2306374</v>
      </c>
      <c r="B888" s="9" t="s">
        <v>13284</v>
      </c>
      <c r="C888" s="9" t="s">
        <v>13284</v>
      </c>
      <c r="D888" s="9" t="s">
        <v>13284</v>
      </c>
      <c r="E888" s="9" t="s">
        <v>13284</v>
      </c>
      <c r="F888" s="9" t="s">
        <v>13284</v>
      </c>
      <c r="G888" s="9" t="s">
        <v>13284</v>
      </c>
      <c r="H888" s="9" t="s">
        <v>13284</v>
      </c>
      <c r="I888" s="9" t="s">
        <v>13284</v>
      </c>
      <c r="J888" s="9" t="s">
        <v>13284</v>
      </c>
      <c r="K888" s="9" t="s">
        <v>13284</v>
      </c>
      <c r="L888" s="9" t="s">
        <v>13284</v>
      </c>
      <c r="M888" s="9" t="s">
        <v>13284</v>
      </c>
      <c r="N888" s="9" t="s">
        <v>13284</v>
      </c>
      <c r="O888" s="9" t="s">
        <v>13284</v>
      </c>
      <c r="P888" s="9" t="s">
        <v>13284</v>
      </c>
      <c r="Q888" s="9" t="s">
        <v>13284</v>
      </c>
      <c r="R888" s="9" t="s">
        <v>13284</v>
      </c>
      <c r="S888" s="9" t="s">
        <v>13284</v>
      </c>
      <c r="T888" s="9" t="str">
        <f ca="1">IFERROR(IF(AND(VLOOKUP(A888, 'Актуальное состояние (из общего'!A:C,3,0) = "", A888 &lt;&gt; ""), "ПРОВЕРИТЬ", VLOOKUP(A888, 'Актуальное состояние (из общего'!A:C,3,0)), "")</f>
        <v>Аспирант</v>
      </c>
      <c r="U888" s="9" t="s">
        <v>13284</v>
      </c>
      <c r="V888" s="9" t="s">
        <v>13284</v>
      </c>
      <c r="W888" s="12" t="s">
        <v>389</v>
      </c>
      <c r="X888" s="9" t="str">
        <f t="array" ref="X888">IFERROR(INDEX('Адреса общежитий (скрытый)'!$B$2:$B$9, MATCH(W888, 'Адреса общежитий (скрытый)'!$A$2:$A$9, 0)), "")</f>
        <v>2-ой Донской проезд, д. 9</v>
      </c>
      <c r="Y888" s="18"/>
      <c r="Z888" s="18"/>
      <c r="AA888" s="18"/>
      <c r="AB888" s="18"/>
      <c r="AC888" s="18"/>
    </row>
    <row r="889" spans="1:29" ht="32.25" customHeight="1">
      <c r="A889" s="8">
        <v>2300181</v>
      </c>
      <c r="B889" s="9" t="s">
        <v>13284</v>
      </c>
      <c r="C889" s="9" t="s">
        <v>13284</v>
      </c>
      <c r="D889" s="9" t="s">
        <v>13284</v>
      </c>
      <c r="E889" s="9" t="s">
        <v>13284</v>
      </c>
      <c r="F889" s="9" t="s">
        <v>13284</v>
      </c>
      <c r="G889" s="9" t="s">
        <v>13284</v>
      </c>
      <c r="H889" s="9" t="s">
        <v>13284</v>
      </c>
      <c r="I889" s="9" t="s">
        <v>13284</v>
      </c>
      <c r="J889" s="9" t="s">
        <v>13284</v>
      </c>
      <c r="K889" s="9" t="s">
        <v>13284</v>
      </c>
      <c r="L889" s="9" t="s">
        <v>13284</v>
      </c>
      <c r="M889" s="9" t="s">
        <v>13284</v>
      </c>
      <c r="N889" s="9" t="s">
        <v>13284</v>
      </c>
      <c r="O889" s="9" t="s">
        <v>13284</v>
      </c>
      <c r="P889" s="9" t="s">
        <v>13284</v>
      </c>
      <c r="Q889" s="9" t="s">
        <v>13284</v>
      </c>
      <c r="R889" s="9" t="s">
        <v>13284</v>
      </c>
      <c r="S889" s="9" t="s">
        <v>13284</v>
      </c>
      <c r="T889" s="9" t="str">
        <f ca="1">IFERROR(IF(AND(VLOOKUP(A889, 'Актуальное состояние (из общего'!A:C,3,0) = "", A889 &lt;&gt; ""), "ПРОВЕРИТЬ", VLOOKUP(A889, 'Актуальное состояние (из общего'!A:C,3,0)), "")</f>
        <v>Аспирант</v>
      </c>
      <c r="U889" s="9" t="s">
        <v>13284</v>
      </c>
      <c r="V889" s="9" t="s">
        <v>13284</v>
      </c>
      <c r="W889" s="12" t="s">
        <v>389</v>
      </c>
      <c r="X889" s="9" t="str">
        <f t="array" ref="X889">IFERROR(INDEX('Адреса общежитий (скрытый)'!$B$2:$B$9, MATCH(W889, 'Адреса общежитий (скрытый)'!$A$2:$A$9, 0)), "")</f>
        <v>2-ой Донской проезд, д. 9</v>
      </c>
      <c r="Y889" s="18"/>
      <c r="Z889" s="18"/>
      <c r="AA889" s="18"/>
      <c r="AB889" s="18"/>
      <c r="AC889" s="18"/>
    </row>
    <row r="890" spans="1:29" ht="32.25" hidden="1" customHeight="1">
      <c r="A890" s="8">
        <v>2311012</v>
      </c>
      <c r="B890" s="9" t="s">
        <v>13284</v>
      </c>
      <c r="C890" s="9" t="s">
        <v>13284</v>
      </c>
      <c r="D890" s="9" t="s">
        <v>13284</v>
      </c>
      <c r="E890" s="9" t="s">
        <v>13284</v>
      </c>
      <c r="F890" s="9" t="s">
        <v>13284</v>
      </c>
      <c r="G890" s="9" t="s">
        <v>13284</v>
      </c>
      <c r="H890" s="9" t="s">
        <v>13284</v>
      </c>
      <c r="I890" s="9" t="s">
        <v>13284</v>
      </c>
      <c r="J890" s="9" t="s">
        <v>13284</v>
      </c>
      <c r="K890" s="9" t="s">
        <v>13284</v>
      </c>
      <c r="L890" s="9" t="s">
        <v>13284</v>
      </c>
      <c r="M890" s="9" t="s">
        <v>13284</v>
      </c>
      <c r="N890" s="9" t="s">
        <v>13284</v>
      </c>
      <c r="O890" s="9" t="s">
        <v>13284</v>
      </c>
      <c r="P890" s="9" t="s">
        <v>13284</v>
      </c>
      <c r="Q890" s="9" t="s">
        <v>13284</v>
      </c>
      <c r="R890" s="9" t="s">
        <v>13284</v>
      </c>
      <c r="S890" s="9" t="s">
        <v>13284</v>
      </c>
      <c r="T890" s="9" t="str">
        <f ca="1">IFERROR(IF(AND(VLOOKUP(A890, 'Актуальное состояние (из общего'!A:C,3,0) = "", A890 &lt;&gt; ""), "ПРОВЕРИТЬ", VLOOKUP(A890, 'Актуальное состояние (из общего'!A:C,3,0)), "")</f>
        <v>Аспирант</v>
      </c>
      <c r="U890" s="9" t="s">
        <v>13284</v>
      </c>
      <c r="V890" s="9" t="s">
        <v>13284</v>
      </c>
      <c r="W890" s="12" t="s">
        <v>389</v>
      </c>
      <c r="X890" s="9" t="str">
        <f t="array" ref="X890">IFERROR(INDEX('Адреса общежитий (скрытый)'!$B$2:$B$9, MATCH(W890, 'Адреса общежитий (скрытый)'!$A$2:$A$9, 0)), "")</f>
        <v>2-ой Донской проезд, д. 9</v>
      </c>
      <c r="Y890" s="18"/>
      <c r="Z890" s="18"/>
      <c r="AA890" s="18"/>
      <c r="AB890" s="18"/>
      <c r="AC890" s="18"/>
    </row>
    <row r="891" spans="1:29" ht="32.25" hidden="1" customHeight="1">
      <c r="A891" s="8">
        <v>2305574</v>
      </c>
      <c r="B891" s="9" t="s">
        <v>13284</v>
      </c>
      <c r="C891" s="9" t="s">
        <v>13284</v>
      </c>
      <c r="D891" s="9" t="s">
        <v>13284</v>
      </c>
      <c r="E891" s="9" t="s">
        <v>13284</v>
      </c>
      <c r="F891" s="9" t="s">
        <v>13284</v>
      </c>
      <c r="G891" s="9" t="s">
        <v>13284</v>
      </c>
      <c r="H891" s="9" t="s">
        <v>13284</v>
      </c>
      <c r="I891" s="9" t="s">
        <v>13284</v>
      </c>
      <c r="J891" s="9" t="s">
        <v>13284</v>
      </c>
      <c r="K891" s="9" t="s">
        <v>13284</v>
      </c>
      <c r="L891" s="9" t="s">
        <v>13284</v>
      </c>
      <c r="M891" s="9" t="s">
        <v>13284</v>
      </c>
      <c r="N891" s="9" t="s">
        <v>13284</v>
      </c>
      <c r="O891" s="9" t="s">
        <v>13284</v>
      </c>
      <c r="P891" s="9" t="s">
        <v>13284</v>
      </c>
      <c r="Q891" s="9" t="s">
        <v>13284</v>
      </c>
      <c r="R891" s="9" t="s">
        <v>13284</v>
      </c>
      <c r="S891" s="9" t="s">
        <v>13284</v>
      </c>
      <c r="T891" s="9" t="str">
        <f ca="1">IFERROR(IF(AND(VLOOKUP(A891, 'Актуальное состояние (из общего'!A:C,3,0) = "", A891 &lt;&gt; ""), "ПРОВЕРИТЬ", VLOOKUP(A891, 'Актуальное состояние (из общего'!A:C,3,0)), "")</f>
        <v>Аспирант</v>
      </c>
      <c r="U891" s="9" t="s">
        <v>13284</v>
      </c>
      <c r="V891" s="9" t="s">
        <v>13284</v>
      </c>
      <c r="W891" s="12" t="s">
        <v>389</v>
      </c>
      <c r="X891" s="9" t="str">
        <f t="array" ref="X891">IFERROR(INDEX('Адреса общежитий (скрытый)'!$B$2:$B$9, MATCH(W891, 'Адреса общежитий (скрытый)'!$A$2:$A$9, 0)), "")</f>
        <v>2-ой Донской проезд, д. 9</v>
      </c>
      <c r="Y891" s="18"/>
      <c r="Z891" s="18"/>
      <c r="AA891" s="18"/>
      <c r="AB891" s="18"/>
      <c r="AC891" s="18"/>
    </row>
    <row r="892" spans="1:29" ht="32.25" hidden="1" customHeight="1">
      <c r="A892" s="8">
        <v>2309838</v>
      </c>
      <c r="B892" s="9" t="s">
        <v>13284</v>
      </c>
      <c r="C892" s="9" t="s">
        <v>13284</v>
      </c>
      <c r="D892" s="9" t="s">
        <v>13284</v>
      </c>
      <c r="E892" s="9" t="s">
        <v>13284</v>
      </c>
      <c r="F892" s="9" t="s">
        <v>13284</v>
      </c>
      <c r="G892" s="9" t="s">
        <v>13284</v>
      </c>
      <c r="H892" s="9" t="s">
        <v>13284</v>
      </c>
      <c r="I892" s="9" t="s">
        <v>13284</v>
      </c>
      <c r="J892" s="9" t="s">
        <v>13284</v>
      </c>
      <c r="K892" s="9" t="s">
        <v>13284</v>
      </c>
      <c r="L892" s="9" t="s">
        <v>13284</v>
      </c>
      <c r="M892" s="9" t="s">
        <v>13284</v>
      </c>
      <c r="N892" s="9" t="s">
        <v>13284</v>
      </c>
      <c r="O892" s="9" t="s">
        <v>13284</v>
      </c>
      <c r="P892" s="9" t="s">
        <v>13284</v>
      </c>
      <c r="Q892" s="9" t="s">
        <v>13284</v>
      </c>
      <c r="R892" s="9" t="s">
        <v>13284</v>
      </c>
      <c r="S892" s="9" t="s">
        <v>13284</v>
      </c>
      <c r="T892" s="9" t="str">
        <f ca="1">IFERROR(IF(AND(VLOOKUP(A892, 'Актуальное состояние (из общего'!A:C,3,0) = "", A892 &lt;&gt; ""), "ПРОВЕРИТЬ", VLOOKUP(A892, 'Актуальное состояние (из общего'!A:C,3,0)), "")</f>
        <v>Аспирант</v>
      </c>
      <c r="U892" s="9" t="s">
        <v>13284</v>
      </c>
      <c r="V892" s="9" t="s">
        <v>13284</v>
      </c>
      <c r="W892" s="12" t="s">
        <v>389</v>
      </c>
      <c r="X892" s="9" t="str">
        <f t="array" ref="X892">IFERROR(INDEX('Адреса общежитий (скрытый)'!$B$2:$B$9, MATCH(W892, 'Адреса общежитий (скрытый)'!$A$2:$A$9, 0)), "")</f>
        <v>2-ой Донской проезд, д. 9</v>
      </c>
      <c r="Y892" s="18"/>
      <c r="Z892" s="18"/>
      <c r="AA892" s="18"/>
      <c r="AB892" s="18"/>
      <c r="AC892" s="18"/>
    </row>
    <row r="893" spans="1:29" ht="32.25" hidden="1" customHeight="1">
      <c r="A893" s="8">
        <v>2300255</v>
      </c>
      <c r="B893" s="9" t="s">
        <v>13284</v>
      </c>
      <c r="C893" s="9" t="s">
        <v>13284</v>
      </c>
      <c r="D893" s="9" t="s">
        <v>13284</v>
      </c>
      <c r="E893" s="9" t="s">
        <v>13284</v>
      </c>
      <c r="F893" s="9" t="s">
        <v>13284</v>
      </c>
      <c r="G893" s="9" t="s">
        <v>13284</v>
      </c>
      <c r="H893" s="9" t="s">
        <v>13284</v>
      </c>
      <c r="I893" s="9" t="s">
        <v>13284</v>
      </c>
      <c r="J893" s="9" t="s">
        <v>13284</v>
      </c>
      <c r="K893" s="9" t="s">
        <v>13284</v>
      </c>
      <c r="L893" s="9" t="s">
        <v>13284</v>
      </c>
      <c r="M893" s="9" t="s">
        <v>13284</v>
      </c>
      <c r="N893" s="9" t="s">
        <v>13284</v>
      </c>
      <c r="O893" s="9" t="s">
        <v>13284</v>
      </c>
      <c r="P893" s="9" t="s">
        <v>13284</v>
      </c>
      <c r="Q893" s="9" t="s">
        <v>13284</v>
      </c>
      <c r="R893" s="9" t="s">
        <v>13284</v>
      </c>
      <c r="S893" s="9" t="s">
        <v>13284</v>
      </c>
      <c r="T893" s="9" t="str">
        <f ca="1">IFERROR(IF(AND(VLOOKUP(A893, 'Актуальное состояние (из общего'!A:C,3,0) = "", A893 &lt;&gt; ""), "ПРОВЕРИТЬ", VLOOKUP(A893, 'Актуальное состояние (из общего'!A:C,3,0)), "")</f>
        <v>Аспирант</v>
      </c>
      <c r="U893" s="9" t="s">
        <v>13284</v>
      </c>
      <c r="V893" s="9" t="s">
        <v>13284</v>
      </c>
      <c r="W893" s="12" t="s">
        <v>389</v>
      </c>
      <c r="X893" s="9" t="str">
        <f t="array" ref="X893">IFERROR(INDEX('Адреса общежитий (скрытый)'!$B$2:$B$9, MATCH(W893, 'Адреса общежитий (скрытый)'!$A$2:$A$9, 0)), "")</f>
        <v>2-ой Донской проезд, д. 9</v>
      </c>
      <c r="Y893" s="18"/>
      <c r="Z893" s="18"/>
      <c r="AA893" s="18"/>
      <c r="AB893" s="18"/>
      <c r="AC893" s="18"/>
    </row>
    <row r="894" spans="1:29" ht="32.25" customHeight="1">
      <c r="A894" s="8">
        <v>2300275</v>
      </c>
      <c r="B894" s="9" t="s">
        <v>13284</v>
      </c>
      <c r="C894" s="9" t="s">
        <v>13284</v>
      </c>
      <c r="D894" s="9" t="s">
        <v>13284</v>
      </c>
      <c r="E894" s="9" t="s">
        <v>13284</v>
      </c>
      <c r="F894" s="9" t="s">
        <v>13284</v>
      </c>
      <c r="G894" s="9" t="s">
        <v>13284</v>
      </c>
      <c r="H894" s="9" t="s">
        <v>13284</v>
      </c>
      <c r="I894" s="9" t="s">
        <v>13284</v>
      </c>
      <c r="J894" s="9" t="s">
        <v>13284</v>
      </c>
      <c r="K894" s="9" t="s">
        <v>13284</v>
      </c>
      <c r="L894" s="9" t="s">
        <v>13284</v>
      </c>
      <c r="M894" s="9" t="s">
        <v>13284</v>
      </c>
      <c r="N894" s="9" t="s">
        <v>13284</v>
      </c>
      <c r="O894" s="9" t="s">
        <v>13284</v>
      </c>
      <c r="P894" s="9" t="s">
        <v>13284</v>
      </c>
      <c r="Q894" s="9" t="s">
        <v>13284</v>
      </c>
      <c r="R894" s="9" t="s">
        <v>13284</v>
      </c>
      <c r="S894" s="9" t="s">
        <v>13284</v>
      </c>
      <c r="T894" s="9" t="str">
        <f ca="1">IFERROR(IF(AND(VLOOKUP(A894, 'Актуальное состояние (из общего'!A:C,3,0) = "", A894 &lt;&gt; ""), "ПРОВЕРИТЬ", VLOOKUP(A894, 'Актуальное состояние (из общего'!A:C,3,0)), "")</f>
        <v>Аспирант</v>
      </c>
      <c r="U894" s="9" t="s">
        <v>13284</v>
      </c>
      <c r="V894" s="9" t="s">
        <v>13284</v>
      </c>
      <c r="W894" s="12" t="s">
        <v>389</v>
      </c>
      <c r="X894" s="9" t="str">
        <f t="array" ref="X894">IFERROR(INDEX('Адреса общежитий (скрытый)'!$B$2:$B$9, MATCH(W894, 'Адреса общежитий (скрытый)'!$A$2:$A$9, 0)), "")</f>
        <v>2-ой Донской проезд, д. 9</v>
      </c>
      <c r="Y894" s="18"/>
      <c r="Z894" s="18"/>
      <c r="AA894" s="18"/>
      <c r="AB894" s="18"/>
      <c r="AC894" s="18"/>
    </row>
    <row r="895" spans="1:29" ht="32.25" customHeight="1">
      <c r="A895" s="8">
        <v>2311924</v>
      </c>
      <c r="B895" s="9" t="s">
        <v>13284</v>
      </c>
      <c r="C895" s="9" t="s">
        <v>13284</v>
      </c>
      <c r="D895" s="9" t="s">
        <v>13284</v>
      </c>
      <c r="E895" s="9" t="s">
        <v>13284</v>
      </c>
      <c r="F895" s="9" t="s">
        <v>13284</v>
      </c>
      <c r="G895" s="9" t="s">
        <v>13284</v>
      </c>
      <c r="H895" s="9" t="s">
        <v>13284</v>
      </c>
      <c r="I895" s="9" t="s">
        <v>13284</v>
      </c>
      <c r="J895" s="9" t="s">
        <v>13284</v>
      </c>
      <c r="K895" s="9" t="s">
        <v>13284</v>
      </c>
      <c r="L895" s="9" t="s">
        <v>13284</v>
      </c>
      <c r="M895" s="9" t="s">
        <v>13284</v>
      </c>
      <c r="N895" s="9" t="s">
        <v>13284</v>
      </c>
      <c r="O895" s="9" t="s">
        <v>13284</v>
      </c>
      <c r="P895" s="9" t="s">
        <v>13284</v>
      </c>
      <c r="Q895" s="9" t="s">
        <v>13284</v>
      </c>
      <c r="R895" s="9" t="s">
        <v>13284</v>
      </c>
      <c r="S895" s="9" t="s">
        <v>13284</v>
      </c>
      <c r="T895" s="9" t="str">
        <f ca="1">IFERROR(IF(AND(VLOOKUP(A895, 'Актуальное состояние (из общего'!A:C,3,0) = "", A895 &lt;&gt; ""), "ПРОВЕРИТЬ", VLOOKUP(A895, 'Актуальное состояние (из общего'!A:C,3,0)), "")</f>
        <v>Аспирант</v>
      </c>
      <c r="U895" s="9" t="s">
        <v>13284</v>
      </c>
      <c r="V895" s="9" t="s">
        <v>13284</v>
      </c>
      <c r="W895" s="12" t="s">
        <v>389</v>
      </c>
      <c r="X895" s="9" t="str">
        <f t="array" ref="X895">IFERROR(INDEX('Адреса общежитий (скрытый)'!$B$2:$B$9, MATCH(W895, 'Адреса общежитий (скрытый)'!$A$2:$A$9, 0)), "")</f>
        <v>2-ой Донской проезд, д. 9</v>
      </c>
      <c r="Y895" s="18"/>
      <c r="Z895" s="18"/>
      <c r="AA895" s="18"/>
      <c r="AB895" s="18"/>
      <c r="AC895" s="18"/>
    </row>
    <row r="896" spans="1:29" ht="32.25" customHeight="1">
      <c r="A896" s="8">
        <v>2312421</v>
      </c>
      <c r="B896" s="9" t="s">
        <v>13284</v>
      </c>
      <c r="C896" s="9" t="s">
        <v>13284</v>
      </c>
      <c r="D896" s="9" t="s">
        <v>13284</v>
      </c>
      <c r="E896" s="9" t="s">
        <v>13284</v>
      </c>
      <c r="F896" s="9" t="s">
        <v>13284</v>
      </c>
      <c r="G896" s="9" t="s">
        <v>13284</v>
      </c>
      <c r="H896" s="9" t="s">
        <v>13284</v>
      </c>
      <c r="I896" s="9" t="s">
        <v>13284</v>
      </c>
      <c r="J896" s="9" t="s">
        <v>13284</v>
      </c>
      <c r="K896" s="9" t="s">
        <v>13284</v>
      </c>
      <c r="L896" s="9" t="s">
        <v>13284</v>
      </c>
      <c r="M896" s="9" t="s">
        <v>13284</v>
      </c>
      <c r="N896" s="9" t="s">
        <v>13284</v>
      </c>
      <c r="O896" s="9" t="s">
        <v>13284</v>
      </c>
      <c r="P896" s="9" t="s">
        <v>13284</v>
      </c>
      <c r="Q896" s="9" t="s">
        <v>13284</v>
      </c>
      <c r="R896" s="9" t="s">
        <v>13284</v>
      </c>
      <c r="S896" s="9" t="s">
        <v>13284</v>
      </c>
      <c r="T896" s="9" t="str">
        <f ca="1">IFERROR(IF(AND(VLOOKUP(A896, 'Актуальное состояние (из общего'!A:C,3,0) = "", A896 &lt;&gt; ""), "ПРОВЕРИТЬ", VLOOKUP(A896, 'Актуальное состояние (из общего'!A:C,3,0)), "")</f>
        <v>Аспирант</v>
      </c>
      <c r="U896" s="9" t="s">
        <v>13284</v>
      </c>
      <c r="V896" s="9" t="s">
        <v>13284</v>
      </c>
      <c r="W896" s="12" t="s">
        <v>389</v>
      </c>
      <c r="X896" s="9" t="str">
        <f t="array" ref="X896">IFERROR(INDEX('Адреса общежитий (скрытый)'!$B$2:$B$9, MATCH(W896, 'Адреса общежитий (скрытый)'!$A$2:$A$9, 0)), "")</f>
        <v>2-ой Донской проезд, д. 9</v>
      </c>
      <c r="Y896" s="18"/>
      <c r="Z896" s="18"/>
      <c r="AA896" s="18"/>
      <c r="AB896" s="18"/>
      <c r="AC896" s="18"/>
    </row>
    <row r="897" spans="1:29" ht="32.25" hidden="1" customHeight="1">
      <c r="A897" s="8">
        <v>2301974</v>
      </c>
      <c r="B897" s="9" t="s">
        <v>13284</v>
      </c>
      <c r="C897" s="9" t="s">
        <v>13284</v>
      </c>
      <c r="D897" s="9" t="s">
        <v>13284</v>
      </c>
      <c r="E897" s="9" t="s">
        <v>13284</v>
      </c>
      <c r="F897" s="9" t="s">
        <v>13284</v>
      </c>
      <c r="G897" s="9" t="s">
        <v>13284</v>
      </c>
      <c r="H897" s="9" t="s">
        <v>13284</v>
      </c>
      <c r="I897" s="9" t="s">
        <v>13284</v>
      </c>
      <c r="J897" s="9" t="s">
        <v>13284</v>
      </c>
      <c r="K897" s="9" t="s">
        <v>13284</v>
      </c>
      <c r="L897" s="9" t="s">
        <v>13284</v>
      </c>
      <c r="M897" s="9" t="s">
        <v>13284</v>
      </c>
      <c r="N897" s="9" t="s">
        <v>13284</v>
      </c>
      <c r="O897" s="9" t="s">
        <v>13284</v>
      </c>
      <c r="P897" s="9" t="s">
        <v>13284</v>
      </c>
      <c r="Q897" s="9" t="s">
        <v>13284</v>
      </c>
      <c r="R897" s="9" t="s">
        <v>13284</v>
      </c>
      <c r="S897" s="9" t="s">
        <v>13284</v>
      </c>
      <c r="T897" s="9" t="str">
        <f ca="1">IFERROR(IF(AND(VLOOKUP(A897, 'Актуальное состояние (из общего'!A:C,3,0) = "", A897 &lt;&gt; ""), "ПРОВЕРИТЬ", VLOOKUP(A897, 'Актуальное состояние (из общего'!A:C,3,0)), "")</f>
        <v>Аспирант</v>
      </c>
      <c r="U897" s="9" t="s">
        <v>13284</v>
      </c>
      <c r="V897" s="9" t="s">
        <v>13284</v>
      </c>
      <c r="W897" s="12" t="s">
        <v>389</v>
      </c>
      <c r="X897" s="9" t="str">
        <f t="array" ref="X897">IFERROR(INDEX('Адреса общежитий (скрытый)'!$B$2:$B$9, MATCH(W897, 'Адреса общежитий (скрытый)'!$A$2:$A$9, 0)), "")</f>
        <v>2-ой Донской проезд, д. 9</v>
      </c>
      <c r="Y897" s="18"/>
      <c r="Z897" s="18"/>
      <c r="AA897" s="18"/>
      <c r="AB897" s="18"/>
      <c r="AC897" s="18"/>
    </row>
    <row r="898" spans="1:29" ht="32.25" customHeight="1">
      <c r="A898" s="8">
        <v>2312275</v>
      </c>
      <c r="B898" s="9" t="s">
        <v>13284</v>
      </c>
      <c r="C898" s="9" t="s">
        <v>13284</v>
      </c>
      <c r="D898" s="9" t="s">
        <v>13284</v>
      </c>
      <c r="E898" s="9" t="s">
        <v>13284</v>
      </c>
      <c r="F898" s="9" t="s">
        <v>13284</v>
      </c>
      <c r="G898" s="9" t="s">
        <v>13284</v>
      </c>
      <c r="H898" s="9" t="s">
        <v>13284</v>
      </c>
      <c r="I898" s="9" t="s">
        <v>13284</v>
      </c>
      <c r="J898" s="9" t="s">
        <v>13284</v>
      </c>
      <c r="K898" s="9" t="s">
        <v>13284</v>
      </c>
      <c r="L898" s="9" t="s">
        <v>13284</v>
      </c>
      <c r="M898" s="9" t="s">
        <v>13284</v>
      </c>
      <c r="N898" s="9" t="s">
        <v>13284</v>
      </c>
      <c r="O898" s="9" t="s">
        <v>13284</v>
      </c>
      <c r="P898" s="9" t="s">
        <v>13284</v>
      </c>
      <c r="Q898" s="9" t="s">
        <v>13284</v>
      </c>
      <c r="R898" s="9" t="s">
        <v>13284</v>
      </c>
      <c r="S898" s="9" t="s">
        <v>13284</v>
      </c>
      <c r="T898" s="9" t="str">
        <f ca="1">IFERROR(IF(AND(VLOOKUP(A898, 'Актуальное состояние (из общего'!A:C,3,0) = "", A898 &lt;&gt; ""), "ПРОВЕРИТЬ", VLOOKUP(A898, 'Актуальное состояние (из общего'!A:C,3,0)), "")</f>
        <v>Аспирант</v>
      </c>
      <c r="U898" s="9" t="s">
        <v>13284</v>
      </c>
      <c r="V898" s="9" t="s">
        <v>13284</v>
      </c>
      <c r="W898" s="12" t="s">
        <v>389</v>
      </c>
      <c r="X898" s="9" t="str">
        <f t="array" ref="X898">IFERROR(INDEX('Адреса общежитий (скрытый)'!$B$2:$B$9, MATCH(W898, 'Адреса общежитий (скрытый)'!$A$2:$A$9, 0)), "")</f>
        <v>2-ой Донской проезд, д. 9</v>
      </c>
      <c r="Y898" s="18"/>
      <c r="Z898" s="18"/>
      <c r="AA898" s="18"/>
      <c r="AB898" s="18"/>
      <c r="AC898" s="18"/>
    </row>
    <row r="899" spans="1:29" ht="32.25" hidden="1" customHeight="1">
      <c r="A899" s="8">
        <v>2312061</v>
      </c>
      <c r="B899" s="9" t="s">
        <v>13284</v>
      </c>
      <c r="C899" s="9" t="s">
        <v>13284</v>
      </c>
      <c r="D899" s="9" t="s">
        <v>13284</v>
      </c>
      <c r="E899" s="9" t="s">
        <v>13284</v>
      </c>
      <c r="F899" s="9" t="s">
        <v>13284</v>
      </c>
      <c r="G899" s="9" t="s">
        <v>13284</v>
      </c>
      <c r="H899" s="9" t="s">
        <v>13284</v>
      </c>
      <c r="I899" s="9" t="s">
        <v>13284</v>
      </c>
      <c r="J899" s="9" t="s">
        <v>13284</v>
      </c>
      <c r="K899" s="9" t="s">
        <v>13284</v>
      </c>
      <c r="L899" s="9" t="s">
        <v>13284</v>
      </c>
      <c r="M899" s="9" t="s">
        <v>13284</v>
      </c>
      <c r="N899" s="9" t="s">
        <v>13284</v>
      </c>
      <c r="O899" s="9" t="s">
        <v>13284</v>
      </c>
      <c r="P899" s="9" t="s">
        <v>13284</v>
      </c>
      <c r="Q899" s="9" t="s">
        <v>13284</v>
      </c>
      <c r="R899" s="9" t="s">
        <v>13284</v>
      </c>
      <c r="S899" s="9" t="s">
        <v>13284</v>
      </c>
      <c r="T899" s="9" t="str">
        <f ca="1">IFERROR(IF(AND(VLOOKUP(A899, 'Актуальное состояние (из общего'!A:C,3,0) = "", A899 &lt;&gt; ""), "ПРОВЕРИТЬ", VLOOKUP(A899, 'Актуальное состояние (из общего'!A:C,3,0)), "")</f>
        <v>Аспирант</v>
      </c>
      <c r="U899" s="9" t="s">
        <v>13284</v>
      </c>
      <c r="V899" s="9" t="s">
        <v>13284</v>
      </c>
      <c r="W899" s="12" t="s">
        <v>389</v>
      </c>
      <c r="X899" s="9" t="str">
        <f t="array" ref="X899">IFERROR(INDEX('Адреса общежитий (скрытый)'!$B$2:$B$9, MATCH(W899, 'Адреса общежитий (скрытый)'!$A$2:$A$9, 0)), "")</f>
        <v>2-ой Донской проезд, д. 9</v>
      </c>
      <c r="Y899" s="18"/>
      <c r="Z899" s="18"/>
      <c r="AA899" s="18"/>
      <c r="AB899" s="18"/>
      <c r="AC899" s="18"/>
    </row>
    <row r="900" spans="1:29" ht="32.25" hidden="1" customHeight="1">
      <c r="A900" s="8">
        <v>2312181</v>
      </c>
      <c r="B900" s="9" t="s">
        <v>13284</v>
      </c>
      <c r="C900" s="9" t="s">
        <v>13284</v>
      </c>
      <c r="D900" s="9" t="s">
        <v>13284</v>
      </c>
      <c r="E900" s="9" t="s">
        <v>13284</v>
      </c>
      <c r="F900" s="9" t="s">
        <v>13284</v>
      </c>
      <c r="G900" s="9" t="s">
        <v>13284</v>
      </c>
      <c r="H900" s="9" t="s">
        <v>13284</v>
      </c>
      <c r="I900" s="9" t="s">
        <v>13284</v>
      </c>
      <c r="J900" s="9" t="s">
        <v>13284</v>
      </c>
      <c r="K900" s="9" t="s">
        <v>13284</v>
      </c>
      <c r="L900" s="9" t="s">
        <v>13284</v>
      </c>
      <c r="M900" s="9" t="s">
        <v>13284</v>
      </c>
      <c r="N900" s="9" t="s">
        <v>13284</v>
      </c>
      <c r="O900" s="9" t="s">
        <v>13284</v>
      </c>
      <c r="P900" s="9" t="s">
        <v>13284</v>
      </c>
      <c r="Q900" s="9" t="s">
        <v>13284</v>
      </c>
      <c r="R900" s="9" t="s">
        <v>13284</v>
      </c>
      <c r="S900" s="9" t="s">
        <v>13284</v>
      </c>
      <c r="T900" s="9" t="str">
        <f ca="1">IFERROR(IF(AND(VLOOKUP(A900, 'Актуальное состояние (из общего'!A:C,3,0) = "", A900 &lt;&gt; ""), "ПРОВЕРИТЬ", VLOOKUP(A900, 'Актуальное состояние (из общего'!A:C,3,0)), "")</f>
        <v>Аспирант</v>
      </c>
      <c r="U900" s="9" t="s">
        <v>13284</v>
      </c>
      <c r="V900" s="9" t="s">
        <v>13284</v>
      </c>
      <c r="W900" s="12" t="s">
        <v>389</v>
      </c>
      <c r="X900" s="9" t="str">
        <f t="array" ref="X900">IFERROR(INDEX('Адреса общежитий (скрытый)'!$B$2:$B$9, MATCH(W900, 'Адреса общежитий (скрытый)'!$A$2:$A$9, 0)), "")</f>
        <v>2-ой Донской проезд, д. 9</v>
      </c>
      <c r="Y900" s="18"/>
      <c r="Z900" s="18"/>
      <c r="AA900" s="18"/>
      <c r="AB900" s="18"/>
      <c r="AC900" s="18"/>
    </row>
    <row r="901" spans="1:29" ht="32.25" customHeight="1">
      <c r="A901" s="8">
        <v>2311711</v>
      </c>
      <c r="B901" s="9" t="s">
        <v>13284</v>
      </c>
      <c r="C901" s="9" t="s">
        <v>13284</v>
      </c>
      <c r="D901" s="9" t="s">
        <v>13284</v>
      </c>
      <c r="E901" s="9" t="s">
        <v>13284</v>
      </c>
      <c r="F901" s="9" t="s">
        <v>13284</v>
      </c>
      <c r="G901" s="9" t="s">
        <v>13284</v>
      </c>
      <c r="H901" s="9" t="s">
        <v>13284</v>
      </c>
      <c r="I901" s="9" t="s">
        <v>13284</v>
      </c>
      <c r="J901" s="9" t="s">
        <v>13284</v>
      </c>
      <c r="K901" s="9" t="s">
        <v>13284</v>
      </c>
      <c r="L901" s="9" t="s">
        <v>13284</v>
      </c>
      <c r="M901" s="9" t="s">
        <v>13284</v>
      </c>
      <c r="N901" s="9" t="s">
        <v>13284</v>
      </c>
      <c r="O901" s="9" t="s">
        <v>13284</v>
      </c>
      <c r="P901" s="9" t="s">
        <v>13284</v>
      </c>
      <c r="Q901" s="9" t="s">
        <v>13284</v>
      </c>
      <c r="R901" s="9" t="s">
        <v>13284</v>
      </c>
      <c r="S901" s="9" t="s">
        <v>13284</v>
      </c>
      <c r="T901" s="9" t="str">
        <f ca="1">IFERROR(IF(AND(VLOOKUP(A901, 'Актуальное состояние (из общего'!A:C,3,0) = "", A901 &lt;&gt; ""), "ПРОВЕРИТЬ", VLOOKUP(A901, 'Актуальное состояние (из общего'!A:C,3,0)), "")</f>
        <v>Аспирант</v>
      </c>
      <c r="U901" s="9" t="s">
        <v>13284</v>
      </c>
      <c r="V901" s="9" t="s">
        <v>13284</v>
      </c>
      <c r="W901" s="12" t="s">
        <v>389</v>
      </c>
      <c r="X901" s="9" t="str">
        <f t="array" ref="X901">IFERROR(INDEX('Адреса общежитий (скрытый)'!$B$2:$B$9, MATCH(W901, 'Адреса общежитий (скрытый)'!$A$2:$A$9, 0)), "")</f>
        <v>2-ой Донской проезд, д. 9</v>
      </c>
      <c r="Y901" s="18"/>
      <c r="Z901" s="18"/>
      <c r="AA901" s="18"/>
      <c r="AB901" s="18"/>
      <c r="AC901" s="18"/>
    </row>
    <row r="902" spans="1:29" ht="32.25" hidden="1" customHeight="1">
      <c r="A902" s="8">
        <v>2311804</v>
      </c>
      <c r="B902" s="9" t="s">
        <v>13284</v>
      </c>
      <c r="C902" s="9" t="s">
        <v>13284</v>
      </c>
      <c r="D902" s="9" t="s">
        <v>13284</v>
      </c>
      <c r="E902" s="9" t="s">
        <v>13284</v>
      </c>
      <c r="F902" s="9" t="s">
        <v>13284</v>
      </c>
      <c r="G902" s="9" t="s">
        <v>13284</v>
      </c>
      <c r="H902" s="9" t="s">
        <v>13284</v>
      </c>
      <c r="I902" s="9" t="s">
        <v>13284</v>
      </c>
      <c r="J902" s="9" t="s">
        <v>13284</v>
      </c>
      <c r="K902" s="9" t="s">
        <v>13284</v>
      </c>
      <c r="L902" s="9" t="s">
        <v>13284</v>
      </c>
      <c r="M902" s="9" t="s">
        <v>13284</v>
      </c>
      <c r="N902" s="9" t="s">
        <v>13284</v>
      </c>
      <c r="O902" s="9" t="s">
        <v>13284</v>
      </c>
      <c r="P902" s="9" t="s">
        <v>13284</v>
      </c>
      <c r="Q902" s="9" t="s">
        <v>13284</v>
      </c>
      <c r="R902" s="9" t="s">
        <v>13284</v>
      </c>
      <c r="S902" s="9" t="s">
        <v>13284</v>
      </c>
      <c r="T902" s="9" t="str">
        <f ca="1">IFERROR(IF(AND(VLOOKUP(A902, 'Актуальное состояние (из общего'!A:C,3,0) = "", A902 &lt;&gt; ""), "ПРОВЕРИТЬ", VLOOKUP(A902, 'Актуальное состояние (из общего'!A:C,3,0)), "")</f>
        <v>Аспирант</v>
      </c>
      <c r="U902" s="9" t="s">
        <v>13284</v>
      </c>
      <c r="V902" s="9" t="s">
        <v>13284</v>
      </c>
      <c r="W902" s="12" t="s">
        <v>389</v>
      </c>
      <c r="X902" s="9" t="str">
        <f t="array" ref="X902">IFERROR(INDEX('Адреса общежитий (скрытый)'!$B$2:$B$9, MATCH(W902, 'Адреса общежитий (скрытый)'!$A$2:$A$9, 0)), "")</f>
        <v>2-ой Донской проезд, д. 9</v>
      </c>
      <c r="Y902" s="18"/>
      <c r="Z902" s="18"/>
      <c r="AA902" s="18"/>
      <c r="AB902" s="18"/>
      <c r="AC902" s="18"/>
    </row>
    <row r="903" spans="1:29" ht="32.25" customHeight="1">
      <c r="A903" s="8">
        <v>2306185</v>
      </c>
      <c r="B903" s="9" t="s">
        <v>13284</v>
      </c>
      <c r="C903" s="9" t="s">
        <v>13284</v>
      </c>
      <c r="D903" s="9" t="s">
        <v>13284</v>
      </c>
      <c r="E903" s="9" t="s">
        <v>13284</v>
      </c>
      <c r="F903" s="9" t="s">
        <v>13284</v>
      </c>
      <c r="G903" s="9" t="s">
        <v>13284</v>
      </c>
      <c r="H903" s="9" t="s">
        <v>13284</v>
      </c>
      <c r="I903" s="9" t="s">
        <v>13284</v>
      </c>
      <c r="J903" s="9" t="s">
        <v>13284</v>
      </c>
      <c r="K903" s="9" t="s">
        <v>13284</v>
      </c>
      <c r="L903" s="9" t="s">
        <v>13284</v>
      </c>
      <c r="M903" s="9" t="s">
        <v>13284</v>
      </c>
      <c r="N903" s="9" t="s">
        <v>13284</v>
      </c>
      <c r="O903" s="9" t="s">
        <v>13284</v>
      </c>
      <c r="P903" s="9" t="s">
        <v>13284</v>
      </c>
      <c r="Q903" s="9" t="s">
        <v>13284</v>
      </c>
      <c r="R903" s="9" t="s">
        <v>13284</v>
      </c>
      <c r="S903" s="9" t="s">
        <v>13284</v>
      </c>
      <c r="T903" s="9" t="str">
        <f ca="1">IFERROR(IF(AND(VLOOKUP(A903, 'Актуальное состояние (из общего'!A:C,3,0) = "", A903 &lt;&gt; ""), "ПРОВЕРИТЬ", VLOOKUP(A903, 'Актуальное состояние (из общего'!A:C,3,0)), "")</f>
        <v>Аспирант</v>
      </c>
      <c r="U903" s="9" t="s">
        <v>13284</v>
      </c>
      <c r="V903" s="9" t="s">
        <v>13284</v>
      </c>
      <c r="W903" s="12" t="s">
        <v>389</v>
      </c>
      <c r="X903" s="9" t="str">
        <f t="array" ref="X903">IFERROR(INDEX('Адреса общежитий (скрытый)'!$B$2:$B$9, MATCH(W903, 'Адреса общежитий (скрытый)'!$A$2:$A$9, 0)), "")</f>
        <v>2-ой Донской проезд, д. 9</v>
      </c>
      <c r="Y903" s="18"/>
      <c r="Z903" s="18"/>
      <c r="AA903" s="18"/>
      <c r="AB903" s="18"/>
      <c r="AC903" s="18"/>
    </row>
    <row r="904" spans="1:29" ht="32.25" hidden="1" customHeight="1">
      <c r="A904" s="8">
        <v>2300967</v>
      </c>
      <c r="B904" s="9" t="s">
        <v>13284</v>
      </c>
      <c r="C904" s="9" t="s">
        <v>13284</v>
      </c>
      <c r="D904" s="9" t="s">
        <v>13284</v>
      </c>
      <c r="E904" s="9" t="s">
        <v>13284</v>
      </c>
      <c r="F904" s="9" t="s">
        <v>13284</v>
      </c>
      <c r="G904" s="9" t="s">
        <v>13284</v>
      </c>
      <c r="H904" s="9" t="s">
        <v>13284</v>
      </c>
      <c r="I904" s="9" t="s">
        <v>13284</v>
      </c>
      <c r="J904" s="9" t="s">
        <v>13284</v>
      </c>
      <c r="K904" s="9" t="s">
        <v>13284</v>
      </c>
      <c r="L904" s="9" t="s">
        <v>13284</v>
      </c>
      <c r="M904" s="9" t="s">
        <v>13284</v>
      </c>
      <c r="N904" s="9" t="s">
        <v>13284</v>
      </c>
      <c r="O904" s="9" t="s">
        <v>13284</v>
      </c>
      <c r="P904" s="9" t="s">
        <v>13284</v>
      </c>
      <c r="Q904" s="9" t="s">
        <v>13284</v>
      </c>
      <c r="R904" s="9" t="s">
        <v>13284</v>
      </c>
      <c r="S904" s="9" t="s">
        <v>13284</v>
      </c>
      <c r="T904" s="9" t="str">
        <f ca="1">IFERROR(IF(AND(VLOOKUP(A904, 'Актуальное состояние (из общего'!A:C,3,0) = "", A904 &lt;&gt; ""), "ПРОВЕРИТЬ", VLOOKUP(A904, 'Актуальное состояние (из общего'!A:C,3,0)), "")</f>
        <v>Аспирант</v>
      </c>
      <c r="U904" s="9" t="s">
        <v>13284</v>
      </c>
      <c r="V904" s="9" t="s">
        <v>13284</v>
      </c>
      <c r="W904" s="12" t="s">
        <v>389</v>
      </c>
      <c r="X904" s="9" t="str">
        <f t="array" ref="X904">IFERROR(INDEX('Адреса общежитий (скрытый)'!$B$2:$B$9, MATCH(W904, 'Адреса общежитий (скрытый)'!$A$2:$A$9, 0)), "")</f>
        <v>2-ой Донской проезд, д. 9</v>
      </c>
      <c r="Y904" s="18"/>
      <c r="Z904" s="18"/>
      <c r="AA904" s="18"/>
      <c r="AB904" s="18"/>
      <c r="AC904" s="18"/>
    </row>
    <row r="905" spans="1:29" ht="32.25" customHeight="1">
      <c r="A905" s="8">
        <v>2300168</v>
      </c>
      <c r="B905" s="9" t="s">
        <v>13284</v>
      </c>
      <c r="C905" s="9" t="s">
        <v>13284</v>
      </c>
      <c r="D905" s="9" t="s">
        <v>13284</v>
      </c>
      <c r="E905" s="9" t="s">
        <v>13284</v>
      </c>
      <c r="F905" s="9" t="s">
        <v>13284</v>
      </c>
      <c r="G905" s="9" t="s">
        <v>13284</v>
      </c>
      <c r="H905" s="9" t="s">
        <v>13284</v>
      </c>
      <c r="I905" s="9" t="s">
        <v>13284</v>
      </c>
      <c r="J905" s="9" t="s">
        <v>13284</v>
      </c>
      <c r="K905" s="9" t="s">
        <v>13284</v>
      </c>
      <c r="L905" s="9" t="s">
        <v>13284</v>
      </c>
      <c r="M905" s="9" t="s">
        <v>13284</v>
      </c>
      <c r="N905" s="9" t="s">
        <v>13284</v>
      </c>
      <c r="O905" s="9" t="s">
        <v>13284</v>
      </c>
      <c r="P905" s="9" t="s">
        <v>13284</v>
      </c>
      <c r="Q905" s="9" t="s">
        <v>13284</v>
      </c>
      <c r="R905" s="9" t="s">
        <v>13284</v>
      </c>
      <c r="S905" s="9" t="s">
        <v>13284</v>
      </c>
      <c r="T905" s="9" t="str">
        <f ca="1">IFERROR(IF(AND(VLOOKUP(A905, 'Актуальное состояние (из общего'!A:C,3,0) = "", A905 &lt;&gt; ""), "ПРОВЕРИТЬ", VLOOKUP(A905, 'Актуальное состояние (из общего'!A:C,3,0)), "")</f>
        <v>Аспирант</v>
      </c>
      <c r="U905" s="9" t="s">
        <v>13284</v>
      </c>
      <c r="V905" s="9" t="s">
        <v>13284</v>
      </c>
      <c r="W905" s="12" t="s">
        <v>196</v>
      </c>
      <c r="X905" s="9" t="str">
        <f t="array" ref="X905">IFERROR(INDEX('Адреса общежитий (скрытый)'!$B$2:$B$9, MATCH(W905, 'Адреса общежитий (скрытый)'!$A$2:$A$9, 0)), "")</f>
        <v>проспект 60-летия Октября, д.15</v>
      </c>
      <c r="Y905" s="18" t="s">
        <v>9331</v>
      </c>
      <c r="Z905" s="18"/>
      <c r="AA905" s="18"/>
      <c r="AB905" s="18"/>
      <c r="AC905" s="18"/>
    </row>
    <row r="906" spans="1:29" ht="32.25" hidden="1" customHeight="1">
      <c r="A906" s="8">
        <v>2309279</v>
      </c>
      <c r="B906" s="9" t="s">
        <v>13284</v>
      </c>
      <c r="C906" s="9" t="s">
        <v>13284</v>
      </c>
      <c r="D906" s="9" t="s">
        <v>13284</v>
      </c>
      <c r="E906" s="9" t="s">
        <v>13284</v>
      </c>
      <c r="F906" s="9" t="s">
        <v>13284</v>
      </c>
      <c r="G906" s="9" t="s">
        <v>13284</v>
      </c>
      <c r="H906" s="9" t="s">
        <v>13284</v>
      </c>
      <c r="I906" s="9" t="s">
        <v>13284</v>
      </c>
      <c r="J906" s="9" t="s">
        <v>13284</v>
      </c>
      <c r="K906" s="9" t="s">
        <v>13284</v>
      </c>
      <c r="L906" s="9" t="s">
        <v>13284</v>
      </c>
      <c r="M906" s="9" t="s">
        <v>13284</v>
      </c>
      <c r="N906" s="9" t="s">
        <v>13284</v>
      </c>
      <c r="O906" s="9" t="s">
        <v>13284</v>
      </c>
      <c r="P906" s="9" t="s">
        <v>13284</v>
      </c>
      <c r="Q906" s="9" t="s">
        <v>13284</v>
      </c>
      <c r="R906" s="9" t="s">
        <v>13284</v>
      </c>
      <c r="S906" s="9" t="s">
        <v>13284</v>
      </c>
      <c r="T906" s="9" t="str">
        <f ca="1">IFERROR(IF(AND(VLOOKUP(A906, 'Актуальное состояние (из общего'!A:C,3,0) = "", A906 &lt;&gt; ""), "ПРОВЕРИТЬ", VLOOKUP(A906, 'Актуальное состояние (из общего'!A:C,3,0)), "")</f>
        <v>Аспирант</v>
      </c>
      <c r="U906" s="9" t="s">
        <v>13284</v>
      </c>
      <c r="V906" s="9" t="s">
        <v>13284</v>
      </c>
      <c r="W906" s="12" t="s">
        <v>389</v>
      </c>
      <c r="X906" s="9" t="str">
        <f t="array" ref="X906">IFERROR(INDEX('Адреса общежитий (скрытый)'!$B$2:$B$9, MATCH(W906, 'Адреса общежитий (скрытый)'!$A$2:$A$9, 0)), "")</f>
        <v>2-ой Донской проезд, д. 9</v>
      </c>
      <c r="Y906" s="18"/>
      <c r="Z906" s="18"/>
      <c r="AA906" s="18"/>
      <c r="AB906" s="18"/>
      <c r="AC906" s="18"/>
    </row>
    <row r="907" spans="1:29" ht="32.25" customHeight="1">
      <c r="A907" s="8">
        <v>2308497</v>
      </c>
      <c r="B907" s="9" t="s">
        <v>13284</v>
      </c>
      <c r="C907" s="9" t="s">
        <v>13284</v>
      </c>
      <c r="D907" s="9" t="s">
        <v>13284</v>
      </c>
      <c r="E907" s="9" t="s">
        <v>13284</v>
      </c>
      <c r="F907" s="9" t="s">
        <v>13284</v>
      </c>
      <c r="G907" s="9" t="s">
        <v>13284</v>
      </c>
      <c r="H907" s="9" t="s">
        <v>13284</v>
      </c>
      <c r="I907" s="9" t="s">
        <v>13284</v>
      </c>
      <c r="J907" s="9" t="s">
        <v>13284</v>
      </c>
      <c r="K907" s="9" t="s">
        <v>13284</v>
      </c>
      <c r="L907" s="9" t="s">
        <v>13284</v>
      </c>
      <c r="M907" s="9" t="s">
        <v>13284</v>
      </c>
      <c r="N907" s="9" t="s">
        <v>13284</v>
      </c>
      <c r="O907" s="9" t="s">
        <v>13284</v>
      </c>
      <c r="P907" s="9" t="s">
        <v>13284</v>
      </c>
      <c r="Q907" s="9" t="s">
        <v>13284</v>
      </c>
      <c r="R907" s="9" t="s">
        <v>13284</v>
      </c>
      <c r="S907" s="9" t="s">
        <v>13284</v>
      </c>
      <c r="T907" s="9" t="str">
        <f ca="1">IFERROR(IF(AND(VLOOKUP(A907, 'Актуальное состояние (из общего'!A:C,3,0) = "", A907 &lt;&gt; ""), "ПРОВЕРИТЬ", VLOOKUP(A907, 'Актуальное состояние (из общего'!A:C,3,0)), "")</f>
        <v>Аспирант</v>
      </c>
      <c r="U907" s="9" t="s">
        <v>13284</v>
      </c>
      <c r="V907" s="9" t="s">
        <v>13284</v>
      </c>
      <c r="W907" s="12" t="s">
        <v>389</v>
      </c>
      <c r="X907" s="9" t="str">
        <f t="array" ref="X907">IFERROR(INDEX('Адреса общежитий (скрытый)'!$B$2:$B$9, MATCH(W907, 'Адреса общежитий (скрытый)'!$A$2:$A$9, 0)), "")</f>
        <v>2-ой Донской проезд, д. 9</v>
      </c>
      <c r="Y907" s="18"/>
      <c r="Z907" s="18"/>
      <c r="AA907" s="18"/>
      <c r="AB907" s="18"/>
      <c r="AC907" s="18"/>
    </row>
    <row r="908" spans="1:29" ht="32.25" hidden="1" customHeight="1">
      <c r="A908" s="8">
        <v>2312419</v>
      </c>
      <c r="B908" s="9" t="s">
        <v>13284</v>
      </c>
      <c r="C908" s="9" t="s">
        <v>13284</v>
      </c>
      <c r="D908" s="9" t="s">
        <v>13284</v>
      </c>
      <c r="E908" s="9" t="s">
        <v>13284</v>
      </c>
      <c r="F908" s="9" t="s">
        <v>13284</v>
      </c>
      <c r="G908" s="9" t="s">
        <v>13284</v>
      </c>
      <c r="H908" s="9" t="s">
        <v>13284</v>
      </c>
      <c r="I908" s="9" t="s">
        <v>13284</v>
      </c>
      <c r="J908" s="9" t="s">
        <v>13284</v>
      </c>
      <c r="K908" s="9" t="s">
        <v>13284</v>
      </c>
      <c r="L908" s="9" t="s">
        <v>13284</v>
      </c>
      <c r="M908" s="9" t="s">
        <v>13284</v>
      </c>
      <c r="N908" s="9" t="s">
        <v>13284</v>
      </c>
      <c r="O908" s="9" t="s">
        <v>13284</v>
      </c>
      <c r="P908" s="9" t="s">
        <v>13284</v>
      </c>
      <c r="Q908" s="9" t="s">
        <v>13284</v>
      </c>
      <c r="R908" s="9" t="s">
        <v>13284</v>
      </c>
      <c r="S908" s="9" t="s">
        <v>13284</v>
      </c>
      <c r="T908" s="9" t="str">
        <f ca="1">IFERROR(IF(AND(VLOOKUP(A908, 'Актуальное состояние (из общего'!A:C,3,0) = "", A908 &lt;&gt; ""), "ПРОВЕРИТЬ", VLOOKUP(A908, 'Актуальное состояние (из общего'!A:C,3,0)), "")</f>
        <v>Аспирант</v>
      </c>
      <c r="U908" s="9" t="s">
        <v>13284</v>
      </c>
      <c r="V908" s="9" t="s">
        <v>13284</v>
      </c>
      <c r="W908" s="12" t="s">
        <v>389</v>
      </c>
      <c r="X908" s="9" t="str">
        <f t="array" ref="X908">IFERROR(INDEX('Адреса общежитий (скрытый)'!$B$2:$B$9, MATCH(W908, 'Адреса общежитий (скрытый)'!$A$2:$A$9, 0)), "")</f>
        <v>2-ой Донской проезд, д. 9</v>
      </c>
      <c r="Y908" s="18"/>
      <c r="Z908" s="18"/>
      <c r="AA908" s="18"/>
      <c r="AB908" s="18"/>
      <c r="AC908" s="18"/>
    </row>
    <row r="909" spans="1:29" ht="32.25" customHeight="1">
      <c r="A909" s="8">
        <v>2312972</v>
      </c>
      <c r="B909" s="9" t="s">
        <v>13284</v>
      </c>
      <c r="C909" s="9" t="s">
        <v>13284</v>
      </c>
      <c r="D909" s="9" t="s">
        <v>13284</v>
      </c>
      <c r="E909" s="9" t="s">
        <v>13284</v>
      </c>
      <c r="F909" s="9" t="s">
        <v>13284</v>
      </c>
      <c r="G909" s="9" t="s">
        <v>13284</v>
      </c>
      <c r="H909" s="9" t="s">
        <v>13284</v>
      </c>
      <c r="I909" s="9" t="s">
        <v>13284</v>
      </c>
      <c r="J909" s="9" t="s">
        <v>13284</v>
      </c>
      <c r="K909" s="9" t="s">
        <v>13284</v>
      </c>
      <c r="L909" s="9" t="s">
        <v>13284</v>
      </c>
      <c r="M909" s="9" t="s">
        <v>13284</v>
      </c>
      <c r="N909" s="9" t="s">
        <v>13284</v>
      </c>
      <c r="O909" s="9" t="s">
        <v>13284</v>
      </c>
      <c r="P909" s="9" t="s">
        <v>13284</v>
      </c>
      <c r="Q909" s="9" t="s">
        <v>13284</v>
      </c>
      <c r="R909" s="9" t="s">
        <v>13284</v>
      </c>
      <c r="S909" s="9" t="s">
        <v>13284</v>
      </c>
      <c r="T909" s="9" t="str">
        <f ca="1">IFERROR(IF(AND(VLOOKUP(A909, 'Актуальное состояние (из общего'!A:C,3,0) = "", A909 &lt;&gt; ""), "ПРОВЕРИТЬ", VLOOKUP(A909, 'Актуальное состояние (из общего'!A:C,3,0)), "")</f>
        <v>Аспирант</v>
      </c>
      <c r="U909" s="9" t="s">
        <v>13284</v>
      </c>
      <c r="V909" s="9" t="s">
        <v>13284</v>
      </c>
      <c r="W909" s="12" t="s">
        <v>389</v>
      </c>
      <c r="X909" s="9" t="str">
        <f t="array" ref="X909">IFERROR(INDEX('Адреса общежитий (скрытый)'!$B$2:$B$9, MATCH(W909, 'Адреса общежитий (скрытый)'!$A$2:$A$9, 0)), "")</f>
        <v>2-ой Донской проезд, д. 9</v>
      </c>
      <c r="Y909" s="18"/>
      <c r="Z909" s="18"/>
      <c r="AA909" s="18"/>
      <c r="AB909" s="18"/>
      <c r="AC909" s="18"/>
    </row>
    <row r="910" spans="1:29" ht="32.25" customHeight="1">
      <c r="A910" s="8">
        <v>2300101</v>
      </c>
      <c r="B910" s="9" t="s">
        <v>13284</v>
      </c>
      <c r="C910" s="9" t="s">
        <v>13284</v>
      </c>
      <c r="D910" s="9" t="s">
        <v>13284</v>
      </c>
      <c r="E910" s="9" t="s">
        <v>13284</v>
      </c>
      <c r="F910" s="9" t="s">
        <v>13284</v>
      </c>
      <c r="G910" s="9" t="s">
        <v>13284</v>
      </c>
      <c r="H910" s="9" t="s">
        <v>13284</v>
      </c>
      <c r="I910" s="9" t="s">
        <v>13284</v>
      </c>
      <c r="J910" s="9" t="s">
        <v>13284</v>
      </c>
      <c r="K910" s="9" t="s">
        <v>13284</v>
      </c>
      <c r="L910" s="9" t="s">
        <v>13284</v>
      </c>
      <c r="M910" s="9" t="s">
        <v>13284</v>
      </c>
      <c r="N910" s="9" t="s">
        <v>13284</v>
      </c>
      <c r="O910" s="9" t="s">
        <v>13284</v>
      </c>
      <c r="P910" s="9" t="s">
        <v>13284</v>
      </c>
      <c r="Q910" s="9" t="s">
        <v>13284</v>
      </c>
      <c r="R910" s="9" t="s">
        <v>13284</v>
      </c>
      <c r="S910" s="9" t="s">
        <v>13284</v>
      </c>
      <c r="T910" s="9" t="str">
        <f ca="1">IFERROR(IF(AND(VLOOKUP(A910, 'Актуальное состояние (из общего'!A:C,3,0) = "", A910 &lt;&gt; ""), "ПРОВЕРИТЬ", VLOOKUP(A910, 'Актуальное состояние (из общего'!A:C,3,0)), "")</f>
        <v>Аспирант</v>
      </c>
      <c r="U910" s="9" t="s">
        <v>13284</v>
      </c>
      <c r="V910" s="9" t="s">
        <v>13284</v>
      </c>
      <c r="W910" s="12" t="s">
        <v>389</v>
      </c>
      <c r="X910" s="9" t="str">
        <f t="array" ref="X910">IFERROR(INDEX('Адреса общежитий (скрытый)'!$B$2:$B$9, MATCH(W910, 'Адреса общежитий (скрытый)'!$A$2:$A$9, 0)), "")</f>
        <v>2-ой Донской проезд, д. 9</v>
      </c>
      <c r="Y910" s="18"/>
      <c r="Z910" s="18"/>
      <c r="AA910" s="18"/>
      <c r="AB910" s="18"/>
      <c r="AC910" s="18"/>
    </row>
    <row r="911" spans="1:29" ht="32.25" hidden="1" customHeight="1">
      <c r="A911" s="8">
        <v>2307358</v>
      </c>
      <c r="B911" s="9" t="s">
        <v>13284</v>
      </c>
      <c r="C911" s="9" t="s">
        <v>13284</v>
      </c>
      <c r="D911" s="9" t="s">
        <v>13284</v>
      </c>
      <c r="E911" s="9" t="s">
        <v>13284</v>
      </c>
      <c r="F911" s="9" t="s">
        <v>13284</v>
      </c>
      <c r="G911" s="9" t="s">
        <v>13284</v>
      </c>
      <c r="H911" s="9" t="s">
        <v>13284</v>
      </c>
      <c r="I911" s="9" t="s">
        <v>13284</v>
      </c>
      <c r="J911" s="9" t="s">
        <v>13284</v>
      </c>
      <c r="K911" s="9" t="s">
        <v>13284</v>
      </c>
      <c r="L911" s="9" t="s">
        <v>13284</v>
      </c>
      <c r="M911" s="9" t="s">
        <v>13284</v>
      </c>
      <c r="N911" s="9" t="s">
        <v>13284</v>
      </c>
      <c r="O911" s="9" t="s">
        <v>13284</v>
      </c>
      <c r="P911" s="9" t="s">
        <v>13284</v>
      </c>
      <c r="Q911" s="9" t="s">
        <v>13284</v>
      </c>
      <c r="R911" s="9" t="s">
        <v>13284</v>
      </c>
      <c r="S911" s="9" t="s">
        <v>13284</v>
      </c>
      <c r="T911" s="9" t="str">
        <f ca="1">IFERROR(IF(AND(VLOOKUP(A911, 'Актуальное состояние (из общего'!A:C,3,0) = "", A911 &lt;&gt; ""), "ПРОВЕРИТЬ", VLOOKUP(A911, 'Актуальное состояние (из общего'!A:C,3,0)), "")</f>
        <v>Аспирант</v>
      </c>
      <c r="U911" s="9" t="s">
        <v>13284</v>
      </c>
      <c r="V911" s="9" t="s">
        <v>13284</v>
      </c>
      <c r="W911" s="12" t="s">
        <v>389</v>
      </c>
      <c r="X911" s="9" t="str">
        <f t="array" ref="X911">IFERROR(INDEX('Адреса общежитий (скрытый)'!$B$2:$B$9, MATCH(W911, 'Адреса общежитий (скрытый)'!$A$2:$A$9, 0)), "")</f>
        <v>2-ой Донской проезд, д. 9</v>
      </c>
      <c r="Y911" s="18"/>
      <c r="Z911" s="18"/>
      <c r="AA911" s="18"/>
      <c r="AB911" s="18"/>
      <c r="AC911" s="18"/>
    </row>
    <row r="912" spans="1:29" ht="32.25" hidden="1" customHeight="1">
      <c r="A912" s="8">
        <v>2301405</v>
      </c>
      <c r="B912" s="9" t="s">
        <v>13284</v>
      </c>
      <c r="C912" s="9" t="s">
        <v>13284</v>
      </c>
      <c r="D912" s="9" t="s">
        <v>13284</v>
      </c>
      <c r="E912" s="9" t="s">
        <v>13284</v>
      </c>
      <c r="F912" s="9" t="s">
        <v>13284</v>
      </c>
      <c r="G912" s="9" t="s">
        <v>13284</v>
      </c>
      <c r="H912" s="9" t="s">
        <v>13284</v>
      </c>
      <c r="I912" s="9" t="s">
        <v>13284</v>
      </c>
      <c r="J912" s="9" t="s">
        <v>13284</v>
      </c>
      <c r="K912" s="9" t="s">
        <v>13284</v>
      </c>
      <c r="L912" s="9" t="s">
        <v>13284</v>
      </c>
      <c r="M912" s="9" t="s">
        <v>13284</v>
      </c>
      <c r="N912" s="9" t="s">
        <v>13284</v>
      </c>
      <c r="O912" s="9" t="s">
        <v>13284</v>
      </c>
      <c r="P912" s="9" t="s">
        <v>13284</v>
      </c>
      <c r="Q912" s="9" t="s">
        <v>13284</v>
      </c>
      <c r="R912" s="9" t="s">
        <v>13284</v>
      </c>
      <c r="S912" s="9" t="s">
        <v>13284</v>
      </c>
      <c r="T912" s="9" t="str">
        <f ca="1">IFERROR(IF(AND(VLOOKUP(A912, 'Актуальное состояние (из общего'!A:C,3,0) = "", A912 &lt;&gt; ""), "ПРОВЕРИТЬ", VLOOKUP(A912, 'Актуальное состояние (из общего'!A:C,3,0)), "")</f>
        <v>Аспирант</v>
      </c>
      <c r="U912" s="9" t="s">
        <v>13284</v>
      </c>
      <c r="V912" s="9" t="s">
        <v>13284</v>
      </c>
      <c r="W912" s="12" t="s">
        <v>389</v>
      </c>
      <c r="X912" s="9" t="str">
        <f t="array" ref="X912">IFERROR(INDEX('Адреса общежитий (скрытый)'!$B$2:$B$9, MATCH(W912, 'Адреса общежитий (скрытый)'!$A$2:$A$9, 0)), "")</f>
        <v>2-ой Донской проезд, д. 9</v>
      </c>
      <c r="Y912" s="18"/>
      <c r="Z912" s="18"/>
      <c r="AA912" s="18"/>
      <c r="AB912" s="18"/>
      <c r="AC912" s="18"/>
    </row>
    <row r="913" spans="1:29" ht="32.25" customHeight="1">
      <c r="A913" s="8">
        <v>2309781</v>
      </c>
      <c r="B913" s="9" t="s">
        <v>13284</v>
      </c>
      <c r="C913" s="9" t="s">
        <v>13284</v>
      </c>
      <c r="D913" s="9" t="s">
        <v>13284</v>
      </c>
      <c r="E913" s="9" t="s">
        <v>13284</v>
      </c>
      <c r="F913" s="9" t="s">
        <v>13284</v>
      </c>
      <c r="G913" s="9" t="s">
        <v>13284</v>
      </c>
      <c r="H913" s="9" t="s">
        <v>13284</v>
      </c>
      <c r="I913" s="9" t="s">
        <v>13284</v>
      </c>
      <c r="J913" s="9" t="s">
        <v>13284</v>
      </c>
      <c r="K913" s="9" t="s">
        <v>13284</v>
      </c>
      <c r="L913" s="9" t="s">
        <v>13284</v>
      </c>
      <c r="M913" s="9" t="s">
        <v>13284</v>
      </c>
      <c r="N913" s="9" t="s">
        <v>13284</v>
      </c>
      <c r="O913" s="9" t="s">
        <v>13284</v>
      </c>
      <c r="P913" s="9" t="s">
        <v>13284</v>
      </c>
      <c r="Q913" s="9" t="s">
        <v>13284</v>
      </c>
      <c r="R913" s="9" t="s">
        <v>13284</v>
      </c>
      <c r="S913" s="9" t="s">
        <v>13284</v>
      </c>
      <c r="T913" s="9" t="str">
        <f ca="1">IFERROR(IF(AND(VLOOKUP(A913, 'Актуальное состояние (из общего'!A:C,3,0) = "", A913 &lt;&gt; ""), "ПРОВЕРИТЬ", VLOOKUP(A913, 'Актуальное состояние (из общего'!A:C,3,0)), "")</f>
        <v>Аспирант</v>
      </c>
      <c r="U913" s="9" t="s">
        <v>13284</v>
      </c>
      <c r="V913" s="9" t="s">
        <v>13284</v>
      </c>
      <c r="W913" s="12" t="s">
        <v>389</v>
      </c>
      <c r="X913" s="9" t="str">
        <f t="array" ref="X913">IFERROR(INDEX('Адреса общежитий (скрытый)'!$B$2:$B$9, MATCH(W913, 'Адреса общежитий (скрытый)'!$A$2:$A$9, 0)), "")</f>
        <v>2-ой Донской проезд, д. 9</v>
      </c>
      <c r="Y913" s="18"/>
      <c r="Z913" s="18"/>
      <c r="AA913" s="18"/>
      <c r="AB913" s="18"/>
      <c r="AC913" s="18"/>
    </row>
    <row r="914" spans="1:29" ht="32.25" customHeight="1">
      <c r="A914" s="8">
        <v>2312906</v>
      </c>
      <c r="B914" s="9" t="s">
        <v>13284</v>
      </c>
      <c r="C914" s="9" t="s">
        <v>13284</v>
      </c>
      <c r="D914" s="9" t="s">
        <v>13284</v>
      </c>
      <c r="E914" s="9" t="s">
        <v>13284</v>
      </c>
      <c r="F914" s="9" t="s">
        <v>13284</v>
      </c>
      <c r="G914" s="9" t="s">
        <v>13284</v>
      </c>
      <c r="H914" s="9" t="s">
        <v>13284</v>
      </c>
      <c r="I914" s="9" t="s">
        <v>13284</v>
      </c>
      <c r="J914" s="9" t="s">
        <v>13284</v>
      </c>
      <c r="K914" s="9" t="s">
        <v>13284</v>
      </c>
      <c r="L914" s="9" t="s">
        <v>13284</v>
      </c>
      <c r="M914" s="9" t="s">
        <v>13284</v>
      </c>
      <c r="N914" s="9" t="s">
        <v>13284</v>
      </c>
      <c r="O914" s="9" t="s">
        <v>13284</v>
      </c>
      <c r="P914" s="9" t="s">
        <v>13284</v>
      </c>
      <c r="Q914" s="9" t="s">
        <v>13284</v>
      </c>
      <c r="R914" s="9" t="s">
        <v>13284</v>
      </c>
      <c r="S914" s="9" t="s">
        <v>13284</v>
      </c>
      <c r="T914" s="9" t="str">
        <f ca="1">IFERROR(IF(AND(VLOOKUP(A914, 'Актуальное состояние (из общего'!A:C,3,0) = "", A914 &lt;&gt; ""), "ПРОВЕРИТЬ", VLOOKUP(A914, 'Актуальное состояние (из общего'!A:C,3,0)), "")</f>
        <v>Аспирант</v>
      </c>
      <c r="U914" s="9" t="s">
        <v>13284</v>
      </c>
      <c r="V914" s="9" t="s">
        <v>13284</v>
      </c>
      <c r="W914" s="12" t="s">
        <v>389</v>
      </c>
      <c r="X914" s="9" t="str">
        <f t="array" ref="X914">IFERROR(INDEX('Адреса общежитий (скрытый)'!$B$2:$B$9, MATCH(W914, 'Адреса общежитий (скрытый)'!$A$2:$A$9, 0)), "")</f>
        <v>2-ой Донской проезд, д. 9</v>
      </c>
      <c r="Y914" s="18"/>
      <c r="Z914" s="18"/>
      <c r="AA914" s="18"/>
      <c r="AB914" s="18"/>
      <c r="AC914" s="18"/>
    </row>
    <row r="915" spans="1:29" ht="32.25" customHeight="1">
      <c r="A915" s="8">
        <v>2312157</v>
      </c>
      <c r="B915" s="9" t="s">
        <v>13284</v>
      </c>
      <c r="C915" s="9" t="s">
        <v>13284</v>
      </c>
      <c r="D915" s="9" t="s">
        <v>13284</v>
      </c>
      <c r="E915" s="9" t="s">
        <v>13284</v>
      </c>
      <c r="F915" s="9" t="s">
        <v>13284</v>
      </c>
      <c r="G915" s="9" t="s">
        <v>13284</v>
      </c>
      <c r="H915" s="9" t="s">
        <v>13284</v>
      </c>
      <c r="I915" s="9" t="s">
        <v>13284</v>
      </c>
      <c r="J915" s="9" t="s">
        <v>13284</v>
      </c>
      <c r="K915" s="9" t="s">
        <v>13284</v>
      </c>
      <c r="L915" s="9" t="s">
        <v>13284</v>
      </c>
      <c r="M915" s="9" t="s">
        <v>13284</v>
      </c>
      <c r="N915" s="9" t="s">
        <v>13284</v>
      </c>
      <c r="O915" s="9" t="s">
        <v>13284</v>
      </c>
      <c r="P915" s="9" t="s">
        <v>13284</v>
      </c>
      <c r="Q915" s="9" t="s">
        <v>13284</v>
      </c>
      <c r="R915" s="9" t="s">
        <v>13284</v>
      </c>
      <c r="S915" s="9" t="s">
        <v>13284</v>
      </c>
      <c r="T915" s="9" t="str">
        <f ca="1">IFERROR(IF(AND(VLOOKUP(A915, 'Актуальное состояние (из общего'!A:C,3,0) = "", A915 &lt;&gt; ""), "ПРОВЕРИТЬ", VLOOKUP(A915, 'Актуальное состояние (из общего'!A:C,3,0)), "")</f>
        <v>Аспирант</v>
      </c>
      <c r="U915" s="9" t="s">
        <v>13284</v>
      </c>
      <c r="V915" s="9" t="s">
        <v>13284</v>
      </c>
      <c r="W915" s="12" t="s">
        <v>389</v>
      </c>
      <c r="X915" s="9" t="str">
        <f t="array" ref="X915">IFERROR(INDEX('Адреса общежитий (скрытый)'!$B$2:$B$9, MATCH(W915, 'Адреса общежитий (скрытый)'!$A$2:$A$9, 0)), "")</f>
        <v>2-ой Донской проезд, д. 9</v>
      </c>
      <c r="Y915" s="18"/>
      <c r="Z915" s="18"/>
      <c r="AA915" s="18"/>
      <c r="AB915" s="18"/>
      <c r="AC915" s="18"/>
    </row>
    <row r="916" spans="1:29" ht="32.25" customHeight="1">
      <c r="A916" s="8">
        <v>2312973</v>
      </c>
      <c r="B916" s="9" t="s">
        <v>13284</v>
      </c>
      <c r="C916" s="9" t="s">
        <v>13284</v>
      </c>
      <c r="D916" s="9" t="s">
        <v>13284</v>
      </c>
      <c r="E916" s="9" t="s">
        <v>13284</v>
      </c>
      <c r="F916" s="9" t="s">
        <v>13284</v>
      </c>
      <c r="G916" s="9" t="s">
        <v>13284</v>
      </c>
      <c r="H916" s="9" t="s">
        <v>13284</v>
      </c>
      <c r="I916" s="9" t="s">
        <v>13284</v>
      </c>
      <c r="J916" s="9" t="s">
        <v>13284</v>
      </c>
      <c r="K916" s="9" t="s">
        <v>13284</v>
      </c>
      <c r="L916" s="9" t="s">
        <v>13284</v>
      </c>
      <c r="M916" s="9" t="s">
        <v>13284</v>
      </c>
      <c r="N916" s="9" t="s">
        <v>13284</v>
      </c>
      <c r="O916" s="9" t="s">
        <v>13284</v>
      </c>
      <c r="P916" s="9" t="s">
        <v>13284</v>
      </c>
      <c r="Q916" s="9" t="s">
        <v>13284</v>
      </c>
      <c r="R916" s="9" t="s">
        <v>13284</v>
      </c>
      <c r="S916" s="9" t="s">
        <v>13284</v>
      </c>
      <c r="T916" s="9" t="str">
        <f ca="1">IFERROR(IF(AND(VLOOKUP(A916, 'Актуальное состояние (из общего'!A:C,3,0) = "", A916 &lt;&gt; ""), "ПРОВЕРИТЬ", VLOOKUP(A916, 'Актуальное состояние (из общего'!A:C,3,0)), "")</f>
        <v>Аспирант</v>
      </c>
      <c r="U916" s="9" t="s">
        <v>13284</v>
      </c>
      <c r="V916" s="9" t="s">
        <v>13284</v>
      </c>
      <c r="W916" s="12" t="s">
        <v>389</v>
      </c>
      <c r="X916" s="9" t="str">
        <f t="array" ref="X916">IFERROR(INDEX('Адреса общежитий (скрытый)'!$B$2:$B$9, MATCH(W916, 'Адреса общежитий (скрытый)'!$A$2:$A$9, 0)), "")</f>
        <v>2-ой Донской проезд, д. 9</v>
      </c>
      <c r="Y916" s="18"/>
      <c r="Z916" s="18"/>
      <c r="AA916" s="18"/>
      <c r="AB916" s="18"/>
      <c r="AC916" s="18"/>
    </row>
    <row r="917" spans="1:29" ht="32.25" customHeight="1">
      <c r="A917" s="8">
        <v>2310722</v>
      </c>
      <c r="B917" s="9" t="s">
        <v>13284</v>
      </c>
      <c r="C917" s="9" t="s">
        <v>13284</v>
      </c>
      <c r="D917" s="9" t="s">
        <v>13284</v>
      </c>
      <c r="E917" s="9" t="s">
        <v>13284</v>
      </c>
      <c r="F917" s="9" t="s">
        <v>13284</v>
      </c>
      <c r="G917" s="9" t="s">
        <v>13284</v>
      </c>
      <c r="H917" s="9" t="s">
        <v>13284</v>
      </c>
      <c r="I917" s="9" t="s">
        <v>13284</v>
      </c>
      <c r="J917" s="9" t="s">
        <v>13284</v>
      </c>
      <c r="K917" s="9" t="s">
        <v>13284</v>
      </c>
      <c r="L917" s="9" t="s">
        <v>13284</v>
      </c>
      <c r="M917" s="9" t="s">
        <v>13284</v>
      </c>
      <c r="N917" s="9" t="s">
        <v>13284</v>
      </c>
      <c r="O917" s="9" t="s">
        <v>13284</v>
      </c>
      <c r="P917" s="9" t="s">
        <v>13284</v>
      </c>
      <c r="Q917" s="9" t="s">
        <v>13284</v>
      </c>
      <c r="R917" s="9" t="s">
        <v>13284</v>
      </c>
      <c r="S917" s="9" t="s">
        <v>13284</v>
      </c>
      <c r="T917" s="9" t="str">
        <f ca="1">IFERROR(IF(AND(VLOOKUP(A917, 'Актуальное состояние (из общего'!A:C,3,0) = "", A917 &lt;&gt; ""), "ПРОВЕРИТЬ", VLOOKUP(A917, 'Актуальное состояние (из общего'!A:C,3,0)), "")</f>
        <v>Аспирант</v>
      </c>
      <c r="U917" s="9" t="s">
        <v>13284</v>
      </c>
      <c r="V917" s="9" t="s">
        <v>13284</v>
      </c>
      <c r="W917" s="12" t="s">
        <v>389</v>
      </c>
      <c r="X917" s="9" t="str">
        <f t="array" ref="X917">IFERROR(INDEX('Адреса общежитий (скрытый)'!$B$2:$B$9, MATCH(W917, 'Адреса общежитий (скрытый)'!$A$2:$A$9, 0)), "")</f>
        <v>2-ой Донской проезд, д. 9</v>
      </c>
      <c r="Y917" s="18"/>
      <c r="Z917" s="18"/>
      <c r="AA917" s="18"/>
      <c r="AB917" s="18"/>
      <c r="AC917" s="18"/>
    </row>
    <row r="918" spans="1:29" ht="32.25" hidden="1" customHeight="1">
      <c r="A918" s="8">
        <v>2312953</v>
      </c>
      <c r="B918" s="9" t="s">
        <v>13284</v>
      </c>
      <c r="C918" s="9" t="s">
        <v>13284</v>
      </c>
      <c r="D918" s="9" t="s">
        <v>13284</v>
      </c>
      <c r="E918" s="9" t="s">
        <v>13284</v>
      </c>
      <c r="F918" s="9" t="s">
        <v>13284</v>
      </c>
      <c r="G918" s="9" t="s">
        <v>13284</v>
      </c>
      <c r="H918" s="9" t="s">
        <v>13284</v>
      </c>
      <c r="I918" s="9" t="s">
        <v>13284</v>
      </c>
      <c r="J918" s="9" t="s">
        <v>13284</v>
      </c>
      <c r="K918" s="9" t="s">
        <v>13284</v>
      </c>
      <c r="L918" s="9" t="s">
        <v>13284</v>
      </c>
      <c r="M918" s="9" t="s">
        <v>13284</v>
      </c>
      <c r="N918" s="9" t="s">
        <v>13284</v>
      </c>
      <c r="O918" s="9" t="s">
        <v>13284</v>
      </c>
      <c r="P918" s="9" t="s">
        <v>13284</v>
      </c>
      <c r="Q918" s="9" t="s">
        <v>13284</v>
      </c>
      <c r="R918" s="9" t="s">
        <v>13284</v>
      </c>
      <c r="S918" s="9" t="s">
        <v>13284</v>
      </c>
      <c r="T918" s="9" t="str">
        <f ca="1">IFERROR(IF(AND(VLOOKUP(A918, 'Актуальное состояние (из общего'!A:C,3,0) = "", A918 &lt;&gt; ""), "ПРОВЕРИТЬ", VLOOKUP(A918, 'Актуальное состояние (из общего'!A:C,3,0)), "")</f>
        <v>Аспирант</v>
      </c>
      <c r="U918" s="9" t="s">
        <v>13284</v>
      </c>
      <c r="V918" s="9" t="s">
        <v>13284</v>
      </c>
      <c r="W918" s="12" t="s">
        <v>389</v>
      </c>
      <c r="X918" s="9" t="str">
        <f t="array" ref="X918">IFERROR(INDEX('Адреса общежитий (скрытый)'!$B$2:$B$9, MATCH(W918, 'Адреса общежитий (скрытый)'!$A$2:$A$9, 0)), "")</f>
        <v>2-ой Донской проезд, д. 9</v>
      </c>
      <c r="Y918" s="18"/>
      <c r="Z918" s="18"/>
      <c r="AA918" s="18"/>
      <c r="AB918" s="18"/>
      <c r="AC918" s="18"/>
    </row>
    <row r="919" spans="1:29" ht="32.25" customHeight="1">
      <c r="A919" s="8">
        <v>2311935</v>
      </c>
      <c r="B919" s="9" t="s">
        <v>13284</v>
      </c>
      <c r="C919" s="9" t="s">
        <v>13284</v>
      </c>
      <c r="D919" s="9" t="s">
        <v>13284</v>
      </c>
      <c r="E919" s="9" t="s">
        <v>13284</v>
      </c>
      <c r="F919" s="9" t="s">
        <v>13284</v>
      </c>
      <c r="G919" s="9" t="s">
        <v>13284</v>
      </c>
      <c r="H919" s="9" t="s">
        <v>13284</v>
      </c>
      <c r="I919" s="9" t="s">
        <v>13284</v>
      </c>
      <c r="J919" s="9" t="s">
        <v>13284</v>
      </c>
      <c r="K919" s="9" t="s">
        <v>13284</v>
      </c>
      <c r="L919" s="9" t="s">
        <v>13284</v>
      </c>
      <c r="M919" s="9" t="s">
        <v>13284</v>
      </c>
      <c r="N919" s="9" t="s">
        <v>13284</v>
      </c>
      <c r="O919" s="9" t="s">
        <v>13284</v>
      </c>
      <c r="P919" s="9" t="s">
        <v>13284</v>
      </c>
      <c r="Q919" s="9" t="s">
        <v>13284</v>
      </c>
      <c r="R919" s="9" t="s">
        <v>13284</v>
      </c>
      <c r="S919" s="9" t="s">
        <v>13284</v>
      </c>
      <c r="T919" s="9" t="str">
        <f ca="1">IFERROR(IF(AND(VLOOKUP(A919, 'Актуальное состояние (из общего'!A:C,3,0) = "", A919 &lt;&gt; ""), "ПРОВЕРИТЬ", VLOOKUP(A919, 'Актуальное состояние (из общего'!A:C,3,0)), "")</f>
        <v>Аспирант</v>
      </c>
      <c r="U919" s="9" t="s">
        <v>13284</v>
      </c>
      <c r="V919" s="9" t="s">
        <v>13284</v>
      </c>
      <c r="W919" s="12" t="s">
        <v>389</v>
      </c>
      <c r="X919" s="9" t="str">
        <f t="array" ref="X919">IFERROR(INDEX('Адреса общежитий (скрытый)'!$B$2:$B$9, MATCH(W919, 'Адреса общежитий (скрытый)'!$A$2:$A$9, 0)), "")</f>
        <v>2-ой Донской проезд, д. 9</v>
      </c>
      <c r="Y919" s="18"/>
      <c r="Z919" s="18"/>
      <c r="AA919" s="18"/>
      <c r="AB919" s="18"/>
      <c r="AC919" s="18"/>
    </row>
    <row r="920" spans="1:29" ht="32.25" customHeight="1">
      <c r="A920" s="8">
        <v>2312019</v>
      </c>
      <c r="B920" s="9" t="s">
        <v>13284</v>
      </c>
      <c r="C920" s="9" t="s">
        <v>13284</v>
      </c>
      <c r="D920" s="9" t="s">
        <v>13284</v>
      </c>
      <c r="E920" s="9" t="s">
        <v>13284</v>
      </c>
      <c r="F920" s="9" t="s">
        <v>13284</v>
      </c>
      <c r="G920" s="9" t="s">
        <v>13284</v>
      </c>
      <c r="H920" s="9" t="s">
        <v>13284</v>
      </c>
      <c r="I920" s="9" t="s">
        <v>13284</v>
      </c>
      <c r="J920" s="9" t="s">
        <v>13284</v>
      </c>
      <c r="K920" s="9" t="s">
        <v>13284</v>
      </c>
      <c r="L920" s="9" t="s">
        <v>13284</v>
      </c>
      <c r="M920" s="9" t="s">
        <v>13284</v>
      </c>
      <c r="N920" s="9" t="s">
        <v>13284</v>
      </c>
      <c r="O920" s="9" t="s">
        <v>13284</v>
      </c>
      <c r="P920" s="9" t="s">
        <v>13284</v>
      </c>
      <c r="Q920" s="9" t="s">
        <v>13284</v>
      </c>
      <c r="R920" s="9" t="s">
        <v>13284</v>
      </c>
      <c r="S920" s="9" t="s">
        <v>13284</v>
      </c>
      <c r="T920" s="9" t="str">
        <f ca="1">IFERROR(IF(AND(VLOOKUP(A920, 'Актуальное состояние (из общего'!A:C,3,0) = "", A920 &lt;&gt; ""), "ПРОВЕРИТЬ", VLOOKUP(A920, 'Актуальное состояние (из общего'!A:C,3,0)), "")</f>
        <v>Аспирант</v>
      </c>
      <c r="U920" s="9" t="s">
        <v>13284</v>
      </c>
      <c r="V920" s="9" t="s">
        <v>13284</v>
      </c>
      <c r="W920" s="12" t="s">
        <v>389</v>
      </c>
      <c r="X920" s="9" t="str">
        <f t="array" ref="X920">IFERROR(INDEX('Адреса общежитий (скрытый)'!$B$2:$B$9, MATCH(W920, 'Адреса общежитий (скрытый)'!$A$2:$A$9, 0)), "")</f>
        <v>2-ой Донской проезд, д. 9</v>
      </c>
      <c r="Y920" s="18"/>
      <c r="Z920" s="18"/>
      <c r="AA920" s="18"/>
      <c r="AB920" s="18"/>
      <c r="AC920" s="18"/>
    </row>
    <row r="921" spans="1:29" ht="32.25" hidden="1" customHeight="1">
      <c r="A921" s="8">
        <v>2304031</v>
      </c>
      <c r="B921" s="9" t="s">
        <v>13284</v>
      </c>
      <c r="C921" s="9" t="s">
        <v>13284</v>
      </c>
      <c r="D921" s="9" t="s">
        <v>13284</v>
      </c>
      <c r="E921" s="9" t="s">
        <v>13284</v>
      </c>
      <c r="F921" s="9" t="s">
        <v>13284</v>
      </c>
      <c r="G921" s="9" t="s">
        <v>13284</v>
      </c>
      <c r="H921" s="9" t="s">
        <v>13284</v>
      </c>
      <c r="I921" s="9" t="s">
        <v>13284</v>
      </c>
      <c r="J921" s="9" t="s">
        <v>13284</v>
      </c>
      <c r="K921" s="9" t="s">
        <v>13284</v>
      </c>
      <c r="L921" s="9" t="s">
        <v>13284</v>
      </c>
      <c r="M921" s="9" t="s">
        <v>13284</v>
      </c>
      <c r="N921" s="9" t="s">
        <v>13284</v>
      </c>
      <c r="O921" s="9" t="s">
        <v>13284</v>
      </c>
      <c r="P921" s="9" t="s">
        <v>13284</v>
      </c>
      <c r="Q921" s="9" t="s">
        <v>13284</v>
      </c>
      <c r="R921" s="9" t="s">
        <v>13284</v>
      </c>
      <c r="S921" s="9" t="s">
        <v>13284</v>
      </c>
      <c r="T921" s="9" t="str">
        <f ca="1">IFERROR(IF(AND(VLOOKUP(A921, 'Актуальное состояние (из общего'!A:C,3,0) = "", A921 &lt;&gt; ""), "ПРОВЕРИТЬ", VLOOKUP(A921, 'Актуальное состояние (из общего'!A:C,3,0)), "")</f>
        <v>Аспирант</v>
      </c>
      <c r="U921" s="9" t="s">
        <v>13284</v>
      </c>
      <c r="V921" s="9" t="s">
        <v>13284</v>
      </c>
      <c r="W921" s="12" t="s">
        <v>389</v>
      </c>
      <c r="X921" s="9" t="str">
        <f t="array" ref="X921">IFERROR(INDEX('Адреса общежитий (скрытый)'!$B$2:$B$9, MATCH(W921, 'Адреса общежитий (скрытый)'!$A$2:$A$9, 0)), "")</f>
        <v>2-ой Донской проезд, д. 9</v>
      </c>
      <c r="Y921" s="18"/>
      <c r="Z921" s="18"/>
      <c r="AA921" s="18"/>
      <c r="AB921" s="18"/>
      <c r="AC921" s="18"/>
    </row>
    <row r="922" spans="1:29" ht="32.25" customHeight="1">
      <c r="A922" s="8">
        <v>2312422</v>
      </c>
      <c r="B922" s="9" t="s">
        <v>13284</v>
      </c>
      <c r="C922" s="9" t="s">
        <v>13284</v>
      </c>
      <c r="D922" s="9" t="s">
        <v>13284</v>
      </c>
      <c r="E922" s="9" t="s">
        <v>13284</v>
      </c>
      <c r="F922" s="9" t="s">
        <v>13284</v>
      </c>
      <c r="G922" s="9" t="s">
        <v>13284</v>
      </c>
      <c r="H922" s="9" t="s">
        <v>13284</v>
      </c>
      <c r="I922" s="9" t="s">
        <v>13284</v>
      </c>
      <c r="J922" s="9" t="s">
        <v>13284</v>
      </c>
      <c r="K922" s="9" t="s">
        <v>13284</v>
      </c>
      <c r="L922" s="9" t="s">
        <v>13284</v>
      </c>
      <c r="M922" s="9" t="s">
        <v>13284</v>
      </c>
      <c r="N922" s="9" t="s">
        <v>13284</v>
      </c>
      <c r="O922" s="9" t="s">
        <v>13284</v>
      </c>
      <c r="P922" s="9" t="s">
        <v>13284</v>
      </c>
      <c r="Q922" s="9" t="s">
        <v>13284</v>
      </c>
      <c r="R922" s="9" t="s">
        <v>13284</v>
      </c>
      <c r="S922" s="9" t="s">
        <v>13284</v>
      </c>
      <c r="T922" s="9" t="str">
        <f ca="1">IFERROR(IF(AND(VLOOKUP(A922, 'Актуальное состояние (из общего'!A:C,3,0) = "", A922 &lt;&gt; ""), "ПРОВЕРИТЬ", VLOOKUP(A922, 'Актуальное состояние (из общего'!A:C,3,0)), "")</f>
        <v>Аспирант</v>
      </c>
      <c r="U922" s="9" t="s">
        <v>13284</v>
      </c>
      <c r="V922" s="9" t="s">
        <v>13284</v>
      </c>
      <c r="W922" s="12" t="s">
        <v>389</v>
      </c>
      <c r="X922" s="9" t="str">
        <f t="array" ref="X922">IFERROR(INDEX('Адреса общежитий (скрытый)'!$B$2:$B$9, MATCH(W922, 'Адреса общежитий (скрытый)'!$A$2:$A$9, 0)), "")</f>
        <v>2-ой Донской проезд, д. 9</v>
      </c>
      <c r="Y922" s="18"/>
      <c r="Z922" s="18"/>
      <c r="AA922" s="18"/>
      <c r="AB922" s="18"/>
      <c r="AC922" s="18"/>
    </row>
    <row r="923" spans="1:29" ht="32.25" hidden="1" customHeight="1">
      <c r="A923" s="8">
        <v>2300258</v>
      </c>
      <c r="B923" s="9" t="s">
        <v>13284</v>
      </c>
      <c r="C923" s="9" t="s">
        <v>13284</v>
      </c>
      <c r="D923" s="9" t="s">
        <v>13284</v>
      </c>
      <c r="E923" s="9" t="s">
        <v>13284</v>
      </c>
      <c r="F923" s="9" t="s">
        <v>13284</v>
      </c>
      <c r="G923" s="9" t="s">
        <v>13284</v>
      </c>
      <c r="H923" s="9" t="s">
        <v>13284</v>
      </c>
      <c r="I923" s="9" t="s">
        <v>13284</v>
      </c>
      <c r="J923" s="9" t="s">
        <v>13284</v>
      </c>
      <c r="K923" s="9" t="s">
        <v>13284</v>
      </c>
      <c r="L923" s="9" t="s">
        <v>13284</v>
      </c>
      <c r="M923" s="9" t="s">
        <v>13284</v>
      </c>
      <c r="N923" s="9" t="s">
        <v>13284</v>
      </c>
      <c r="O923" s="9" t="s">
        <v>13284</v>
      </c>
      <c r="P923" s="9" t="s">
        <v>13284</v>
      </c>
      <c r="Q923" s="9" t="s">
        <v>13284</v>
      </c>
      <c r="R923" s="9" t="s">
        <v>13284</v>
      </c>
      <c r="S923" s="9" t="s">
        <v>13284</v>
      </c>
      <c r="T923" s="9" t="str">
        <f ca="1">IFERROR(IF(AND(VLOOKUP(A923, 'Актуальное состояние (из общего'!A:C,3,0) = "", A923 &lt;&gt; ""), "ПРОВЕРИТЬ", VLOOKUP(A923, 'Актуальное состояние (из общего'!A:C,3,0)), "")</f>
        <v>Аспирант</v>
      </c>
      <c r="U923" s="9" t="s">
        <v>13284</v>
      </c>
      <c r="V923" s="9" t="s">
        <v>13284</v>
      </c>
      <c r="W923" s="12" t="s">
        <v>389</v>
      </c>
      <c r="X923" s="9" t="str">
        <f t="array" ref="X923">IFERROR(INDEX('Адреса общежитий (скрытый)'!$B$2:$B$9, MATCH(W923, 'Адреса общежитий (скрытый)'!$A$2:$A$9, 0)), "")</f>
        <v>2-ой Донской проезд, д. 9</v>
      </c>
      <c r="Y923" s="18"/>
      <c r="Z923" s="18"/>
      <c r="AA923" s="18"/>
      <c r="AB923" s="18"/>
      <c r="AC923" s="18"/>
    </row>
    <row r="924" spans="1:29" ht="32.25" customHeight="1">
      <c r="A924" s="8">
        <v>2308769</v>
      </c>
      <c r="B924" s="9" t="s">
        <v>13284</v>
      </c>
      <c r="C924" s="9" t="s">
        <v>13284</v>
      </c>
      <c r="D924" s="9" t="s">
        <v>13284</v>
      </c>
      <c r="E924" s="9" t="s">
        <v>13284</v>
      </c>
      <c r="F924" s="9" t="s">
        <v>13284</v>
      </c>
      <c r="G924" s="9" t="s">
        <v>13284</v>
      </c>
      <c r="H924" s="9" t="s">
        <v>13284</v>
      </c>
      <c r="I924" s="9" t="s">
        <v>13284</v>
      </c>
      <c r="J924" s="9" t="s">
        <v>13284</v>
      </c>
      <c r="K924" s="9" t="s">
        <v>13284</v>
      </c>
      <c r="L924" s="9" t="s">
        <v>13284</v>
      </c>
      <c r="M924" s="9" t="s">
        <v>13284</v>
      </c>
      <c r="N924" s="9" t="s">
        <v>13284</v>
      </c>
      <c r="O924" s="9" t="s">
        <v>13284</v>
      </c>
      <c r="P924" s="9" t="s">
        <v>13284</v>
      </c>
      <c r="Q924" s="9" t="s">
        <v>13284</v>
      </c>
      <c r="R924" s="9" t="s">
        <v>13284</v>
      </c>
      <c r="S924" s="9" t="s">
        <v>13284</v>
      </c>
      <c r="T924" s="9" t="str">
        <f ca="1">IFERROR(IF(AND(VLOOKUP(A924, 'Актуальное состояние (из общего'!A:C,3,0) = "", A924 &lt;&gt; ""), "ПРОВЕРИТЬ", VLOOKUP(A924, 'Актуальное состояние (из общего'!A:C,3,0)), "")</f>
        <v>Аспирант</v>
      </c>
      <c r="U924" s="9" t="s">
        <v>13284</v>
      </c>
      <c r="V924" s="9" t="s">
        <v>13284</v>
      </c>
      <c r="W924" s="12" t="s">
        <v>389</v>
      </c>
      <c r="X924" s="9" t="str">
        <f t="array" ref="X924">IFERROR(INDEX('Адреса общежитий (скрытый)'!$B$2:$B$9, MATCH(W924, 'Адреса общежитий (скрытый)'!$A$2:$A$9, 0)), "")</f>
        <v>2-ой Донской проезд, д. 9</v>
      </c>
      <c r="Y924" s="18"/>
      <c r="Z924" s="18"/>
      <c r="AA924" s="18"/>
      <c r="AB924" s="18"/>
      <c r="AC924" s="18"/>
    </row>
    <row r="925" spans="1:29" ht="32.25" customHeight="1">
      <c r="A925" s="8">
        <v>2300096</v>
      </c>
      <c r="B925" s="9" t="s">
        <v>13284</v>
      </c>
      <c r="C925" s="9" t="s">
        <v>13284</v>
      </c>
      <c r="D925" s="9" t="s">
        <v>13284</v>
      </c>
      <c r="E925" s="9" t="s">
        <v>13284</v>
      </c>
      <c r="F925" s="9" t="s">
        <v>13284</v>
      </c>
      <c r="G925" s="9" t="s">
        <v>13284</v>
      </c>
      <c r="H925" s="9" t="s">
        <v>13284</v>
      </c>
      <c r="I925" s="9" t="s">
        <v>13284</v>
      </c>
      <c r="J925" s="9" t="s">
        <v>13284</v>
      </c>
      <c r="K925" s="9" t="s">
        <v>13284</v>
      </c>
      <c r="L925" s="9" t="s">
        <v>13284</v>
      </c>
      <c r="M925" s="9" t="s">
        <v>13284</v>
      </c>
      <c r="N925" s="9" t="s">
        <v>13284</v>
      </c>
      <c r="O925" s="9" t="s">
        <v>13284</v>
      </c>
      <c r="P925" s="9" t="s">
        <v>13284</v>
      </c>
      <c r="Q925" s="9" t="s">
        <v>13284</v>
      </c>
      <c r="R925" s="9" t="s">
        <v>13284</v>
      </c>
      <c r="S925" s="9" t="s">
        <v>13284</v>
      </c>
      <c r="T925" s="9" t="str">
        <f ca="1">IFERROR(IF(AND(VLOOKUP(A925, 'Актуальное состояние (из общего'!A:C,3,0) = "", A925 &lt;&gt; ""), "ПРОВЕРИТЬ", VLOOKUP(A925, 'Актуальное состояние (из общего'!A:C,3,0)), "")</f>
        <v>Аспирант</v>
      </c>
      <c r="U925" s="9" t="s">
        <v>13284</v>
      </c>
      <c r="V925" s="9" t="s">
        <v>13284</v>
      </c>
      <c r="W925" s="12" t="s">
        <v>389</v>
      </c>
      <c r="X925" s="9" t="str">
        <f t="array" ref="X925">IFERROR(INDEX('Адреса общежитий (скрытый)'!$B$2:$B$9, MATCH(W925, 'Адреса общежитий (скрытый)'!$A$2:$A$9, 0)), "")</f>
        <v>2-ой Донской проезд, д. 9</v>
      </c>
      <c r="Y925" s="18"/>
      <c r="Z925" s="18"/>
      <c r="AA925" s="18"/>
      <c r="AB925" s="18"/>
      <c r="AC925" s="18"/>
    </row>
    <row r="926" spans="1:29" ht="32.25" customHeight="1">
      <c r="A926" s="8">
        <v>2312751</v>
      </c>
      <c r="B926" s="9" t="s">
        <v>13284</v>
      </c>
      <c r="C926" s="9" t="s">
        <v>13284</v>
      </c>
      <c r="D926" s="9" t="s">
        <v>13284</v>
      </c>
      <c r="E926" s="9" t="s">
        <v>13284</v>
      </c>
      <c r="F926" s="9" t="s">
        <v>13284</v>
      </c>
      <c r="G926" s="9" t="s">
        <v>13284</v>
      </c>
      <c r="H926" s="9" t="s">
        <v>13284</v>
      </c>
      <c r="I926" s="9" t="s">
        <v>13284</v>
      </c>
      <c r="J926" s="9" t="s">
        <v>13284</v>
      </c>
      <c r="K926" s="9" t="s">
        <v>13284</v>
      </c>
      <c r="L926" s="9" t="s">
        <v>13284</v>
      </c>
      <c r="M926" s="9" t="s">
        <v>13284</v>
      </c>
      <c r="N926" s="9" t="s">
        <v>13284</v>
      </c>
      <c r="O926" s="9" t="s">
        <v>13284</v>
      </c>
      <c r="P926" s="9" t="s">
        <v>13284</v>
      </c>
      <c r="Q926" s="9" t="s">
        <v>13284</v>
      </c>
      <c r="R926" s="9" t="s">
        <v>13284</v>
      </c>
      <c r="S926" s="9" t="s">
        <v>13284</v>
      </c>
      <c r="T926" s="9" t="str">
        <f ca="1">IFERROR(IF(AND(VLOOKUP(A926, 'Актуальное состояние (из общего'!A:C,3,0) = "", A926 &lt;&gt; ""), "ПРОВЕРИТЬ", VLOOKUP(A926, 'Актуальное состояние (из общего'!A:C,3,0)), "")</f>
        <v>Аспирант</v>
      </c>
      <c r="U926" s="9" t="s">
        <v>13284</v>
      </c>
      <c r="V926" s="9" t="s">
        <v>13284</v>
      </c>
      <c r="W926" s="12" t="s">
        <v>389</v>
      </c>
      <c r="X926" s="9" t="str">
        <f t="array" ref="X926">IFERROR(INDEX('Адреса общежитий (скрытый)'!$B$2:$B$9, MATCH(W926, 'Адреса общежитий (скрытый)'!$A$2:$A$9, 0)), "")</f>
        <v>2-ой Донской проезд, д. 9</v>
      </c>
      <c r="Y926" s="18"/>
      <c r="Z926" s="18"/>
      <c r="AA926" s="18"/>
      <c r="AB926" s="18"/>
      <c r="AC926" s="18"/>
    </row>
    <row r="927" spans="1:29" ht="32.25" hidden="1" customHeight="1">
      <c r="A927" s="8">
        <v>2311475</v>
      </c>
      <c r="B927" s="9" t="s">
        <v>13284</v>
      </c>
      <c r="C927" s="9" t="s">
        <v>13284</v>
      </c>
      <c r="D927" s="9" t="s">
        <v>13284</v>
      </c>
      <c r="E927" s="9" t="s">
        <v>13284</v>
      </c>
      <c r="F927" s="9" t="s">
        <v>13284</v>
      </c>
      <c r="G927" s="9" t="s">
        <v>13284</v>
      </c>
      <c r="H927" s="9" t="s">
        <v>13284</v>
      </c>
      <c r="I927" s="9" t="s">
        <v>13284</v>
      </c>
      <c r="J927" s="9" t="s">
        <v>13284</v>
      </c>
      <c r="K927" s="9" t="s">
        <v>13284</v>
      </c>
      <c r="L927" s="9" t="s">
        <v>13284</v>
      </c>
      <c r="M927" s="9" t="s">
        <v>13284</v>
      </c>
      <c r="N927" s="9" t="s">
        <v>13284</v>
      </c>
      <c r="O927" s="9" t="s">
        <v>13284</v>
      </c>
      <c r="P927" s="9" t="s">
        <v>13284</v>
      </c>
      <c r="Q927" s="9" t="s">
        <v>13284</v>
      </c>
      <c r="R927" s="9" t="s">
        <v>13284</v>
      </c>
      <c r="S927" s="9" t="s">
        <v>13284</v>
      </c>
      <c r="T927" s="9" t="str">
        <f ca="1">IFERROR(IF(AND(VLOOKUP(A927, 'Актуальное состояние (из общего'!A:C,3,0) = "", A927 &lt;&gt; ""), "ПРОВЕРИТЬ", VLOOKUP(A927, 'Актуальное состояние (из общего'!A:C,3,0)), "")</f>
        <v>Аспирант</v>
      </c>
      <c r="U927" s="9" t="s">
        <v>13284</v>
      </c>
      <c r="V927" s="9" t="s">
        <v>13284</v>
      </c>
      <c r="W927" s="12" t="s">
        <v>389</v>
      </c>
      <c r="X927" s="9" t="str">
        <f t="array" ref="X927">IFERROR(INDEX('Адреса общежитий (скрытый)'!$B$2:$B$9, MATCH(W927, 'Адреса общежитий (скрытый)'!$A$2:$A$9, 0)), "")</f>
        <v>2-ой Донской проезд, д. 9</v>
      </c>
      <c r="Y927" s="18"/>
      <c r="Z927" s="18"/>
      <c r="AA927" s="18"/>
      <c r="AB927" s="18"/>
      <c r="AC927" s="18"/>
    </row>
    <row r="928" spans="1:29" ht="32.25" hidden="1" customHeight="1">
      <c r="A928" s="8">
        <v>2311845</v>
      </c>
      <c r="B928" s="9" t="s">
        <v>13284</v>
      </c>
      <c r="C928" s="9" t="s">
        <v>13284</v>
      </c>
      <c r="D928" s="9" t="s">
        <v>13284</v>
      </c>
      <c r="E928" s="9" t="s">
        <v>13284</v>
      </c>
      <c r="F928" s="9" t="s">
        <v>13284</v>
      </c>
      <c r="G928" s="9" t="s">
        <v>13284</v>
      </c>
      <c r="H928" s="9" t="s">
        <v>13284</v>
      </c>
      <c r="I928" s="9" t="s">
        <v>13284</v>
      </c>
      <c r="J928" s="9" t="s">
        <v>13284</v>
      </c>
      <c r="K928" s="9" t="s">
        <v>13284</v>
      </c>
      <c r="L928" s="9" t="s">
        <v>13284</v>
      </c>
      <c r="M928" s="9" t="s">
        <v>13284</v>
      </c>
      <c r="N928" s="9" t="s">
        <v>13284</v>
      </c>
      <c r="O928" s="9" t="s">
        <v>13284</v>
      </c>
      <c r="P928" s="9" t="s">
        <v>13284</v>
      </c>
      <c r="Q928" s="9" t="s">
        <v>13284</v>
      </c>
      <c r="R928" s="9" t="s">
        <v>13284</v>
      </c>
      <c r="S928" s="9" t="s">
        <v>13284</v>
      </c>
      <c r="T928" s="9" t="str">
        <f ca="1">IFERROR(IF(AND(VLOOKUP(A928, 'Актуальное состояние (из общего'!A:C,3,0) = "", A928 &lt;&gt; ""), "ПРОВЕРИТЬ", VLOOKUP(A928, 'Актуальное состояние (из общего'!A:C,3,0)), "")</f>
        <v>Аспирант</v>
      </c>
      <c r="U928" s="9" t="s">
        <v>13284</v>
      </c>
      <c r="V928" s="9" t="s">
        <v>13284</v>
      </c>
      <c r="W928" s="12" t="s">
        <v>389</v>
      </c>
      <c r="X928" s="9" t="str">
        <f t="array" ref="X928">IFERROR(INDEX('Адреса общежитий (скрытый)'!$B$2:$B$9, MATCH(W928, 'Адреса общежитий (скрытый)'!$A$2:$A$9, 0)), "")</f>
        <v>2-ой Донской проезд, д. 9</v>
      </c>
      <c r="Y928" s="18"/>
      <c r="Z928" s="18"/>
      <c r="AA928" s="18"/>
      <c r="AB928" s="18"/>
      <c r="AC928" s="18"/>
    </row>
    <row r="929" spans="1:29" ht="32.25" customHeight="1">
      <c r="A929" s="8">
        <v>2300109</v>
      </c>
      <c r="B929" s="9" t="s">
        <v>13284</v>
      </c>
      <c r="C929" s="9" t="s">
        <v>13284</v>
      </c>
      <c r="D929" s="9" t="s">
        <v>13284</v>
      </c>
      <c r="E929" s="9" t="s">
        <v>13284</v>
      </c>
      <c r="F929" s="9" t="s">
        <v>13284</v>
      </c>
      <c r="G929" s="9" t="s">
        <v>13284</v>
      </c>
      <c r="H929" s="9" t="s">
        <v>13284</v>
      </c>
      <c r="I929" s="9" t="s">
        <v>13284</v>
      </c>
      <c r="J929" s="9" t="s">
        <v>13284</v>
      </c>
      <c r="K929" s="9" t="s">
        <v>13284</v>
      </c>
      <c r="L929" s="9" t="s">
        <v>13284</v>
      </c>
      <c r="M929" s="9" t="s">
        <v>13284</v>
      </c>
      <c r="N929" s="9" t="s">
        <v>13284</v>
      </c>
      <c r="O929" s="9" t="s">
        <v>13284</v>
      </c>
      <c r="P929" s="9" t="s">
        <v>13284</v>
      </c>
      <c r="Q929" s="9" t="s">
        <v>13284</v>
      </c>
      <c r="R929" s="9" t="s">
        <v>13284</v>
      </c>
      <c r="S929" s="9" t="s">
        <v>13284</v>
      </c>
      <c r="T929" s="9" t="str">
        <f ca="1">IFERROR(IF(AND(VLOOKUP(A929, 'Актуальное состояние (из общего'!A:C,3,0) = "", A929 &lt;&gt; ""), "ПРОВЕРИТЬ", VLOOKUP(A929, 'Актуальное состояние (из общего'!A:C,3,0)), "")</f>
        <v>Аспирант</v>
      </c>
      <c r="U929" s="9" t="s">
        <v>13284</v>
      </c>
      <c r="V929" s="9" t="s">
        <v>13284</v>
      </c>
      <c r="W929" s="12" t="s">
        <v>389</v>
      </c>
      <c r="X929" s="9" t="str">
        <f t="array" ref="X929">IFERROR(INDEX('Адреса общежитий (скрытый)'!$B$2:$B$9, MATCH(W929, 'Адреса общежитий (скрытый)'!$A$2:$A$9, 0)), "")</f>
        <v>2-ой Донской проезд, д. 9</v>
      </c>
      <c r="Y929" s="18"/>
      <c r="Z929" s="18"/>
      <c r="AA929" s="18"/>
      <c r="AB929" s="18"/>
      <c r="AC929" s="18"/>
    </row>
    <row r="930" spans="1:29" ht="32.25" hidden="1" customHeight="1">
      <c r="A930" s="8">
        <v>2300278</v>
      </c>
      <c r="B930" s="9" t="s">
        <v>13284</v>
      </c>
      <c r="C930" s="9" t="s">
        <v>13284</v>
      </c>
      <c r="D930" s="9" t="s">
        <v>13284</v>
      </c>
      <c r="E930" s="9" t="s">
        <v>13284</v>
      </c>
      <c r="F930" s="9" t="s">
        <v>13284</v>
      </c>
      <c r="G930" s="9" t="s">
        <v>13284</v>
      </c>
      <c r="H930" s="9" t="s">
        <v>13284</v>
      </c>
      <c r="I930" s="9" t="s">
        <v>13284</v>
      </c>
      <c r="J930" s="9" t="s">
        <v>13284</v>
      </c>
      <c r="K930" s="9" t="s">
        <v>13284</v>
      </c>
      <c r="L930" s="9" t="s">
        <v>13284</v>
      </c>
      <c r="M930" s="9" t="s">
        <v>13284</v>
      </c>
      <c r="N930" s="9" t="s">
        <v>13284</v>
      </c>
      <c r="O930" s="9" t="s">
        <v>13284</v>
      </c>
      <c r="P930" s="9" t="s">
        <v>13284</v>
      </c>
      <c r="Q930" s="9" t="s">
        <v>13284</v>
      </c>
      <c r="R930" s="9" t="s">
        <v>13284</v>
      </c>
      <c r="S930" s="9" t="s">
        <v>13284</v>
      </c>
      <c r="T930" s="9" t="str">
        <f ca="1">IFERROR(IF(AND(VLOOKUP(A930, 'Актуальное состояние (из общего'!A:C,3,0) = "", A930 &lt;&gt; ""), "ПРОВЕРИТЬ", VLOOKUP(A930, 'Актуальное состояние (из общего'!A:C,3,0)), "")</f>
        <v>Аспирант</v>
      </c>
      <c r="U930" s="9" t="s">
        <v>13284</v>
      </c>
      <c r="V930" s="9" t="s">
        <v>13284</v>
      </c>
      <c r="W930" s="12" t="s">
        <v>389</v>
      </c>
      <c r="X930" s="9" t="str">
        <f t="array" ref="X930">IFERROR(INDEX('Адреса общежитий (скрытый)'!$B$2:$B$9, MATCH(W930, 'Адреса общежитий (скрытый)'!$A$2:$A$9, 0)), "")</f>
        <v>2-ой Донской проезд, д. 9</v>
      </c>
      <c r="Y930" s="18"/>
      <c r="Z930" s="18"/>
      <c r="AA930" s="18"/>
      <c r="AB930" s="18"/>
      <c r="AC930" s="18"/>
    </row>
    <row r="931" spans="1:29" ht="32.25" customHeight="1">
      <c r="A931" s="8">
        <v>2300136</v>
      </c>
      <c r="B931" s="9" t="s">
        <v>13284</v>
      </c>
      <c r="C931" s="9" t="s">
        <v>13284</v>
      </c>
      <c r="D931" s="9" t="s">
        <v>13284</v>
      </c>
      <c r="E931" s="9" t="s">
        <v>13284</v>
      </c>
      <c r="F931" s="9" t="s">
        <v>13284</v>
      </c>
      <c r="G931" s="9" t="s">
        <v>13284</v>
      </c>
      <c r="H931" s="9" t="s">
        <v>13284</v>
      </c>
      <c r="I931" s="9" t="s">
        <v>13284</v>
      </c>
      <c r="J931" s="9" t="s">
        <v>13284</v>
      </c>
      <c r="K931" s="9" t="s">
        <v>13284</v>
      </c>
      <c r="L931" s="9" t="s">
        <v>13284</v>
      </c>
      <c r="M931" s="9" t="s">
        <v>13284</v>
      </c>
      <c r="N931" s="9" t="s">
        <v>13284</v>
      </c>
      <c r="O931" s="9" t="s">
        <v>13284</v>
      </c>
      <c r="P931" s="9" t="s">
        <v>13284</v>
      </c>
      <c r="Q931" s="9" t="s">
        <v>13284</v>
      </c>
      <c r="R931" s="9" t="s">
        <v>13284</v>
      </c>
      <c r="S931" s="9" t="s">
        <v>13284</v>
      </c>
      <c r="T931" s="9" t="str">
        <f ca="1">IFERROR(IF(AND(VLOOKUP(A931, 'Актуальное состояние (из общего'!A:C,3,0) = "", A931 &lt;&gt; ""), "ПРОВЕРИТЬ", VLOOKUP(A931, 'Актуальное состояние (из общего'!A:C,3,0)), "")</f>
        <v>Аспирант</v>
      </c>
      <c r="U931" s="9" t="s">
        <v>196</v>
      </c>
      <c r="V931" s="9" t="s">
        <v>13284</v>
      </c>
      <c r="W931" s="12" t="s">
        <v>196</v>
      </c>
      <c r="X931" s="9" t="str">
        <f t="array" ref="X931">IFERROR(INDEX('Адреса общежитий (скрытый)'!$B$2:$B$9, MATCH(W931, 'Адреса общежитий (скрытый)'!$A$2:$A$9, 0)), "")</f>
        <v>проспект 60-летия Октября, д.15</v>
      </c>
      <c r="Y931" s="18" t="s">
        <v>6051</v>
      </c>
      <c r="Z931" s="18"/>
      <c r="AA931" s="18"/>
      <c r="AB931" s="18"/>
      <c r="AC931" s="18"/>
    </row>
    <row r="932" spans="1:29" ht="32.25" customHeight="1">
      <c r="A932" s="8">
        <v>2311599</v>
      </c>
      <c r="B932" s="9" t="s">
        <v>13284</v>
      </c>
      <c r="C932" s="9" t="s">
        <v>13284</v>
      </c>
      <c r="D932" s="9" t="s">
        <v>13284</v>
      </c>
      <c r="E932" s="9" t="s">
        <v>13284</v>
      </c>
      <c r="F932" s="9" t="s">
        <v>13284</v>
      </c>
      <c r="G932" s="9" t="s">
        <v>13284</v>
      </c>
      <c r="H932" s="9" t="s">
        <v>13284</v>
      </c>
      <c r="I932" s="9" t="s">
        <v>13284</v>
      </c>
      <c r="J932" s="9" t="s">
        <v>13284</v>
      </c>
      <c r="K932" s="9" t="s">
        <v>13284</v>
      </c>
      <c r="L932" s="9" t="s">
        <v>13284</v>
      </c>
      <c r="M932" s="9" t="s">
        <v>13284</v>
      </c>
      <c r="N932" s="9" t="s">
        <v>13284</v>
      </c>
      <c r="O932" s="9" t="s">
        <v>13284</v>
      </c>
      <c r="P932" s="9" t="s">
        <v>13284</v>
      </c>
      <c r="Q932" s="9" t="s">
        <v>13284</v>
      </c>
      <c r="R932" s="9" t="s">
        <v>13284</v>
      </c>
      <c r="S932" s="9" t="s">
        <v>13284</v>
      </c>
      <c r="T932" s="9" t="str">
        <f ca="1">IFERROR(IF(AND(VLOOKUP(A932, 'Актуальное состояние (из общего'!A:C,3,0) = "", A932 &lt;&gt; ""), "ПРОВЕРИТЬ", VLOOKUP(A932, 'Актуальное состояние (из общего'!A:C,3,0)), "")</f>
        <v>Аспирант</v>
      </c>
      <c r="U932" s="9" t="s">
        <v>13284</v>
      </c>
      <c r="V932" s="9" t="s">
        <v>13284</v>
      </c>
      <c r="W932" s="12" t="s">
        <v>389</v>
      </c>
      <c r="X932" s="9" t="str">
        <f t="array" ref="X932">IFERROR(INDEX('Адреса общежитий (скрытый)'!$B$2:$B$9, MATCH(W932, 'Адреса общежитий (скрытый)'!$A$2:$A$9, 0)), "")</f>
        <v>2-ой Донской проезд, д. 9</v>
      </c>
      <c r="Y932" s="18"/>
      <c r="Z932" s="18"/>
      <c r="AA932" s="18"/>
      <c r="AB932" s="18"/>
      <c r="AC932" s="18"/>
    </row>
    <row r="933" spans="1:29" ht="32.25" customHeight="1">
      <c r="A933" s="8">
        <v>2310267</v>
      </c>
      <c r="B933" s="9" t="s">
        <v>13284</v>
      </c>
      <c r="C933" s="9" t="s">
        <v>13284</v>
      </c>
      <c r="D933" s="9" t="s">
        <v>13284</v>
      </c>
      <c r="E933" s="9" t="s">
        <v>13284</v>
      </c>
      <c r="F933" s="9" t="s">
        <v>13284</v>
      </c>
      <c r="G933" s="9" t="s">
        <v>13284</v>
      </c>
      <c r="H933" s="9" t="s">
        <v>13284</v>
      </c>
      <c r="I933" s="9" t="s">
        <v>13284</v>
      </c>
      <c r="J933" s="9" t="s">
        <v>13284</v>
      </c>
      <c r="K933" s="9" t="s">
        <v>13284</v>
      </c>
      <c r="L933" s="9" t="s">
        <v>13284</v>
      </c>
      <c r="M933" s="9" t="s">
        <v>13284</v>
      </c>
      <c r="N933" s="9" t="s">
        <v>13284</v>
      </c>
      <c r="O933" s="9" t="s">
        <v>13284</v>
      </c>
      <c r="P933" s="9" t="s">
        <v>13284</v>
      </c>
      <c r="Q933" s="9" t="s">
        <v>13284</v>
      </c>
      <c r="R933" s="9" t="s">
        <v>13284</v>
      </c>
      <c r="S933" s="9" t="s">
        <v>13284</v>
      </c>
      <c r="T933" s="9" t="str">
        <f ca="1">IFERROR(IF(AND(VLOOKUP(A933, 'Актуальное состояние (из общего'!A:C,3,0) = "", A933 &lt;&gt; ""), "ПРОВЕРИТЬ", VLOOKUP(A933, 'Актуальное состояние (из общего'!A:C,3,0)), "")</f>
        <v>Аспирант</v>
      </c>
      <c r="U933" s="9" t="s">
        <v>13284</v>
      </c>
      <c r="V933" s="9" t="s">
        <v>13284</v>
      </c>
      <c r="W933" s="12" t="s">
        <v>389</v>
      </c>
      <c r="X933" s="9" t="str">
        <f t="array" ref="X933">IFERROR(INDEX('Адреса общежитий (скрытый)'!$B$2:$B$9, MATCH(W933, 'Адреса общежитий (скрытый)'!$A$2:$A$9, 0)), "")</f>
        <v>2-ой Донской проезд, д. 9</v>
      </c>
      <c r="Y933" s="18"/>
      <c r="Z933" s="18"/>
      <c r="AA933" s="18"/>
      <c r="AB933" s="18"/>
      <c r="AC933" s="18"/>
    </row>
    <row r="934" spans="1:29" ht="32.25" customHeight="1">
      <c r="A934" s="8">
        <v>2300110</v>
      </c>
      <c r="B934" s="9" t="s">
        <v>13284</v>
      </c>
      <c r="C934" s="9" t="s">
        <v>13284</v>
      </c>
      <c r="D934" s="9" t="s">
        <v>13284</v>
      </c>
      <c r="E934" s="9" t="s">
        <v>13284</v>
      </c>
      <c r="F934" s="9" t="s">
        <v>13284</v>
      </c>
      <c r="G934" s="9" t="s">
        <v>13284</v>
      </c>
      <c r="H934" s="9" t="s">
        <v>13284</v>
      </c>
      <c r="I934" s="9" t="s">
        <v>13284</v>
      </c>
      <c r="J934" s="9" t="s">
        <v>13284</v>
      </c>
      <c r="K934" s="9" t="s">
        <v>13284</v>
      </c>
      <c r="L934" s="9" t="s">
        <v>13284</v>
      </c>
      <c r="M934" s="9" t="s">
        <v>13284</v>
      </c>
      <c r="N934" s="9" t="s">
        <v>13284</v>
      </c>
      <c r="O934" s="9" t="s">
        <v>13284</v>
      </c>
      <c r="P934" s="9" t="s">
        <v>13284</v>
      </c>
      <c r="Q934" s="9" t="s">
        <v>13284</v>
      </c>
      <c r="R934" s="9" t="s">
        <v>13284</v>
      </c>
      <c r="S934" s="9" t="s">
        <v>13284</v>
      </c>
      <c r="T934" s="9" t="str">
        <f ca="1">IFERROR(IF(AND(VLOOKUP(A934, 'Актуальное состояние (из общего'!A:C,3,0) = "", A934 &lt;&gt; ""), "ПРОВЕРИТЬ", VLOOKUP(A934, 'Актуальное состояние (из общего'!A:C,3,0)), "")</f>
        <v>Аспирант</v>
      </c>
      <c r="U934" s="9" t="s">
        <v>13284</v>
      </c>
      <c r="V934" s="9" t="s">
        <v>13284</v>
      </c>
      <c r="W934" s="12" t="s">
        <v>389</v>
      </c>
      <c r="X934" s="9" t="str">
        <f t="array" ref="X934">IFERROR(INDEX('Адреса общежитий (скрытый)'!$B$2:$B$9, MATCH(W934, 'Адреса общежитий (скрытый)'!$A$2:$A$9, 0)), "")</f>
        <v>2-ой Донской проезд, д. 9</v>
      </c>
      <c r="Y934" s="18"/>
      <c r="Z934" s="18"/>
      <c r="AA934" s="18"/>
      <c r="AB934" s="18"/>
      <c r="AC934" s="18"/>
    </row>
    <row r="935" spans="1:29" ht="32.25" customHeight="1">
      <c r="A935" s="8">
        <v>2311445</v>
      </c>
      <c r="B935" s="9" t="s">
        <v>13284</v>
      </c>
      <c r="C935" s="9" t="s">
        <v>13284</v>
      </c>
      <c r="D935" s="9" t="s">
        <v>13284</v>
      </c>
      <c r="E935" s="9" t="s">
        <v>13284</v>
      </c>
      <c r="F935" s="9" t="s">
        <v>13284</v>
      </c>
      <c r="G935" s="9" t="s">
        <v>13284</v>
      </c>
      <c r="H935" s="9" t="s">
        <v>13284</v>
      </c>
      <c r="I935" s="9" t="s">
        <v>13284</v>
      </c>
      <c r="J935" s="9" t="s">
        <v>13284</v>
      </c>
      <c r="K935" s="9" t="s">
        <v>13284</v>
      </c>
      <c r="L935" s="9" t="s">
        <v>13284</v>
      </c>
      <c r="M935" s="9" t="s">
        <v>13284</v>
      </c>
      <c r="N935" s="9" t="s">
        <v>13284</v>
      </c>
      <c r="O935" s="9" t="s">
        <v>13284</v>
      </c>
      <c r="P935" s="9" t="s">
        <v>13284</v>
      </c>
      <c r="Q935" s="9" t="s">
        <v>13284</v>
      </c>
      <c r="R935" s="9" t="s">
        <v>13284</v>
      </c>
      <c r="S935" s="9" t="s">
        <v>13284</v>
      </c>
      <c r="T935" s="9" t="str">
        <f ca="1">IFERROR(IF(AND(VLOOKUP(A935, 'Актуальное состояние (из общего'!A:C,3,0) = "", A935 &lt;&gt; ""), "ПРОВЕРИТЬ", VLOOKUP(A935, 'Актуальное состояние (из общего'!A:C,3,0)), "")</f>
        <v>Аспирант</v>
      </c>
      <c r="U935" s="9" t="s">
        <v>13284</v>
      </c>
      <c r="V935" s="9" t="s">
        <v>13284</v>
      </c>
      <c r="W935" s="12" t="s">
        <v>389</v>
      </c>
      <c r="X935" s="9" t="str">
        <f t="array" ref="X935">IFERROR(INDEX('Адреса общежитий (скрытый)'!$B$2:$B$9, MATCH(W935, 'Адреса общежитий (скрытый)'!$A$2:$A$9, 0)), "")</f>
        <v>2-ой Донской проезд, д. 9</v>
      </c>
      <c r="Y935" s="18"/>
      <c r="Z935" s="18"/>
      <c r="AA935" s="18"/>
      <c r="AB935" s="18"/>
      <c r="AC935" s="18"/>
    </row>
    <row r="936" spans="1:29" ht="32.25" customHeight="1">
      <c r="A936" s="8">
        <v>2300108</v>
      </c>
      <c r="B936" s="9" t="s">
        <v>13284</v>
      </c>
      <c r="C936" s="9" t="s">
        <v>13284</v>
      </c>
      <c r="D936" s="9" t="s">
        <v>13284</v>
      </c>
      <c r="E936" s="9" t="s">
        <v>13284</v>
      </c>
      <c r="F936" s="9" t="s">
        <v>13284</v>
      </c>
      <c r="G936" s="9" t="s">
        <v>13284</v>
      </c>
      <c r="H936" s="9" t="s">
        <v>13284</v>
      </c>
      <c r="I936" s="9" t="s">
        <v>13284</v>
      </c>
      <c r="J936" s="9" t="s">
        <v>13284</v>
      </c>
      <c r="K936" s="9" t="s">
        <v>13284</v>
      </c>
      <c r="L936" s="9" t="s">
        <v>13284</v>
      </c>
      <c r="M936" s="9" t="s">
        <v>13284</v>
      </c>
      <c r="N936" s="9" t="s">
        <v>13284</v>
      </c>
      <c r="O936" s="9" t="s">
        <v>13284</v>
      </c>
      <c r="P936" s="9" t="s">
        <v>13284</v>
      </c>
      <c r="Q936" s="9" t="s">
        <v>13284</v>
      </c>
      <c r="R936" s="9" t="s">
        <v>13284</v>
      </c>
      <c r="S936" s="9" t="s">
        <v>13284</v>
      </c>
      <c r="T936" s="9" t="str">
        <f ca="1">IFERROR(IF(AND(VLOOKUP(A936, 'Актуальное состояние (из общего'!A:C,3,0) = "", A936 &lt;&gt; ""), "ПРОВЕРИТЬ", VLOOKUP(A936, 'Актуальное состояние (из общего'!A:C,3,0)), "")</f>
        <v>Аспирант</v>
      </c>
      <c r="U936" s="9" t="s">
        <v>13284</v>
      </c>
      <c r="V936" s="9" t="s">
        <v>13284</v>
      </c>
      <c r="W936" s="12" t="s">
        <v>389</v>
      </c>
      <c r="X936" s="9" t="str">
        <f t="array" ref="X936">IFERROR(INDEX('Адреса общежитий (скрытый)'!$B$2:$B$9, MATCH(W936, 'Адреса общежитий (скрытый)'!$A$2:$A$9, 0)), "")</f>
        <v>2-ой Донской проезд, д. 9</v>
      </c>
      <c r="Y936" s="18"/>
      <c r="Z936" s="18"/>
      <c r="AA936" s="18"/>
      <c r="AB936" s="18"/>
      <c r="AC936" s="18"/>
    </row>
    <row r="937" spans="1:29" ht="32.25" customHeight="1">
      <c r="A937" s="8">
        <v>2312958</v>
      </c>
      <c r="B937" s="9" t="s">
        <v>13284</v>
      </c>
      <c r="C937" s="9" t="s">
        <v>13284</v>
      </c>
      <c r="D937" s="9" t="s">
        <v>13284</v>
      </c>
      <c r="E937" s="9" t="s">
        <v>13284</v>
      </c>
      <c r="F937" s="9" t="s">
        <v>13284</v>
      </c>
      <c r="G937" s="9" t="s">
        <v>13284</v>
      </c>
      <c r="H937" s="9" t="s">
        <v>13284</v>
      </c>
      <c r="I937" s="9" t="s">
        <v>13284</v>
      </c>
      <c r="J937" s="9" t="s">
        <v>13284</v>
      </c>
      <c r="K937" s="9" t="s">
        <v>13284</v>
      </c>
      <c r="L937" s="9" t="s">
        <v>13284</v>
      </c>
      <c r="M937" s="9" t="s">
        <v>13284</v>
      </c>
      <c r="N937" s="9" t="s">
        <v>13284</v>
      </c>
      <c r="O937" s="9" t="s">
        <v>13284</v>
      </c>
      <c r="P937" s="9" t="s">
        <v>13284</v>
      </c>
      <c r="Q937" s="9" t="s">
        <v>13284</v>
      </c>
      <c r="R937" s="9" t="s">
        <v>13284</v>
      </c>
      <c r="S937" s="9" t="s">
        <v>13284</v>
      </c>
      <c r="T937" s="9" t="str">
        <f ca="1">IFERROR(IF(AND(VLOOKUP(A937, 'Актуальное состояние (из общего'!A:C,3,0) = "", A937 &lt;&gt; ""), "ПРОВЕРИТЬ", VLOOKUP(A937, 'Актуальное состояние (из общего'!A:C,3,0)), "")</f>
        <v>Аспирант</v>
      </c>
      <c r="U937" s="9" t="s">
        <v>13284</v>
      </c>
      <c r="V937" s="9" t="s">
        <v>13284</v>
      </c>
      <c r="W937" s="12" t="s">
        <v>389</v>
      </c>
      <c r="X937" s="9" t="str">
        <f t="array" ref="X937">IFERROR(INDEX('Адреса общежитий (скрытый)'!$B$2:$B$9, MATCH(W937, 'Адреса общежитий (скрытый)'!$A$2:$A$9, 0)), "")</f>
        <v>2-ой Донской проезд, д. 9</v>
      </c>
      <c r="Y937" s="18"/>
      <c r="Z937" s="18"/>
      <c r="AA937" s="18"/>
      <c r="AB937" s="18"/>
      <c r="AC937" s="18"/>
    </row>
    <row r="938" spans="1:29" ht="32.25" hidden="1" customHeight="1">
      <c r="A938" s="8">
        <v>2312491</v>
      </c>
      <c r="B938" s="9" t="s">
        <v>13284</v>
      </c>
      <c r="C938" s="9" t="s">
        <v>13284</v>
      </c>
      <c r="D938" s="9" t="s">
        <v>13284</v>
      </c>
      <c r="E938" s="9" t="s">
        <v>13284</v>
      </c>
      <c r="F938" s="9" t="s">
        <v>13284</v>
      </c>
      <c r="G938" s="9" t="s">
        <v>13284</v>
      </c>
      <c r="H938" s="9" t="s">
        <v>13284</v>
      </c>
      <c r="I938" s="9" t="s">
        <v>13284</v>
      </c>
      <c r="J938" s="9" t="s">
        <v>13284</v>
      </c>
      <c r="K938" s="9" t="s">
        <v>13284</v>
      </c>
      <c r="L938" s="9" t="s">
        <v>13284</v>
      </c>
      <c r="M938" s="9" t="s">
        <v>13284</v>
      </c>
      <c r="N938" s="9" t="s">
        <v>13284</v>
      </c>
      <c r="O938" s="9" t="s">
        <v>13284</v>
      </c>
      <c r="P938" s="9" t="s">
        <v>13284</v>
      </c>
      <c r="Q938" s="9" t="s">
        <v>13284</v>
      </c>
      <c r="R938" s="9" t="s">
        <v>13284</v>
      </c>
      <c r="S938" s="9" t="s">
        <v>13284</v>
      </c>
      <c r="T938" s="9" t="str">
        <f ca="1">IFERROR(IF(AND(VLOOKUP(A938, 'Актуальное состояние (из общего'!A:C,3,0) = "", A938 &lt;&gt; ""), "ПРОВЕРИТЬ", VLOOKUP(A938, 'Актуальное состояние (из общего'!A:C,3,0)), "")</f>
        <v>Аспирант</v>
      </c>
      <c r="U938" s="9" t="s">
        <v>13284</v>
      </c>
      <c r="V938" s="9" t="s">
        <v>13284</v>
      </c>
      <c r="W938" s="12" t="s">
        <v>389</v>
      </c>
      <c r="X938" s="9" t="str">
        <f t="array" ref="X938">IFERROR(INDEX('Адреса общежитий (скрытый)'!$B$2:$B$9, MATCH(W938, 'Адреса общежитий (скрытый)'!$A$2:$A$9, 0)), "")</f>
        <v>2-ой Донской проезд, д. 9</v>
      </c>
      <c r="Y938" s="18"/>
      <c r="Z938" s="18"/>
      <c r="AA938" s="18"/>
      <c r="AB938" s="18"/>
      <c r="AC938" s="18"/>
    </row>
    <row r="939" spans="1:29" ht="32.25" customHeight="1">
      <c r="A939" s="8">
        <v>2300182</v>
      </c>
      <c r="B939" s="9" t="s">
        <v>13284</v>
      </c>
      <c r="C939" s="9" t="s">
        <v>13284</v>
      </c>
      <c r="D939" s="9" t="s">
        <v>13284</v>
      </c>
      <c r="E939" s="9" t="s">
        <v>13284</v>
      </c>
      <c r="F939" s="9" t="s">
        <v>13284</v>
      </c>
      <c r="G939" s="9" t="s">
        <v>13284</v>
      </c>
      <c r="H939" s="9" t="s">
        <v>13284</v>
      </c>
      <c r="I939" s="9" t="s">
        <v>13284</v>
      </c>
      <c r="J939" s="9" t="s">
        <v>13284</v>
      </c>
      <c r="K939" s="9" t="s">
        <v>13284</v>
      </c>
      <c r="L939" s="9" t="s">
        <v>13284</v>
      </c>
      <c r="M939" s="9" t="s">
        <v>13284</v>
      </c>
      <c r="N939" s="9" t="s">
        <v>13284</v>
      </c>
      <c r="O939" s="9" t="s">
        <v>13284</v>
      </c>
      <c r="P939" s="9" t="s">
        <v>13284</v>
      </c>
      <c r="Q939" s="9" t="s">
        <v>13284</v>
      </c>
      <c r="R939" s="9" t="s">
        <v>13284</v>
      </c>
      <c r="S939" s="9" t="s">
        <v>13284</v>
      </c>
      <c r="T939" s="9" t="str">
        <f ca="1">IFERROR(IF(AND(VLOOKUP(A939, 'Актуальное состояние (из общего'!A:C,3,0) = "", A939 &lt;&gt; ""), "ПРОВЕРИТЬ", VLOOKUP(A939, 'Актуальное состояние (из общего'!A:C,3,0)), "")</f>
        <v>Аспирант</v>
      </c>
      <c r="U939" s="9" t="s">
        <v>13284</v>
      </c>
      <c r="V939" s="9" t="s">
        <v>13284</v>
      </c>
      <c r="W939" s="12"/>
      <c r="X939" s="9" t="str">
        <f t="array" ref="X939">IFERROR(INDEX('Адреса общежитий (скрытый)'!$B$2:$B$9, MATCH(W939, 'Адреса общежитий (скрытый)'!$A$2:$A$9, 0)), "")</f>
        <v/>
      </c>
      <c r="Y939" s="18"/>
      <c r="Z939" s="18"/>
      <c r="AA939" s="18"/>
      <c r="AB939" s="18"/>
      <c r="AC939" s="18"/>
    </row>
    <row r="940" spans="1:29" ht="32.25" customHeight="1">
      <c r="A940" s="8">
        <v>2301898</v>
      </c>
      <c r="B940" s="9" t="s">
        <v>13284</v>
      </c>
      <c r="C940" s="9" t="s">
        <v>13284</v>
      </c>
      <c r="D940" s="9" t="s">
        <v>13284</v>
      </c>
      <c r="E940" s="9" t="s">
        <v>13284</v>
      </c>
      <c r="F940" s="9" t="s">
        <v>13284</v>
      </c>
      <c r="G940" s="9" t="s">
        <v>13284</v>
      </c>
      <c r="H940" s="9" t="s">
        <v>13284</v>
      </c>
      <c r="I940" s="9" t="s">
        <v>13284</v>
      </c>
      <c r="J940" s="9" t="s">
        <v>13284</v>
      </c>
      <c r="K940" s="9" t="s">
        <v>13284</v>
      </c>
      <c r="L940" s="9" t="s">
        <v>13284</v>
      </c>
      <c r="M940" s="9" t="s">
        <v>13284</v>
      </c>
      <c r="N940" s="9" t="s">
        <v>13284</v>
      </c>
      <c r="O940" s="9" t="s">
        <v>13284</v>
      </c>
      <c r="P940" s="9" t="s">
        <v>13284</v>
      </c>
      <c r="Q940" s="9" t="s">
        <v>13284</v>
      </c>
      <c r="R940" s="9" t="s">
        <v>13284</v>
      </c>
      <c r="S940" s="9" t="s">
        <v>13284</v>
      </c>
      <c r="T940" s="9" t="str">
        <f ca="1">IFERROR(IF(AND(VLOOKUP(A940, 'Актуальное состояние (из общего'!A:C,3,0) = "", A940 &lt;&gt; ""), "ПРОВЕРИТЬ", VLOOKUP(A940, 'Актуальное состояние (из общего'!A:C,3,0)), "")</f>
        <v>Аспирант</v>
      </c>
      <c r="U940" s="9" t="s">
        <v>13284</v>
      </c>
      <c r="V940" s="9" t="s">
        <v>13284</v>
      </c>
      <c r="W940" s="12" t="s">
        <v>389</v>
      </c>
      <c r="X940" s="9" t="str">
        <f t="array" ref="X940">IFERROR(INDEX('Адреса общежитий (скрытый)'!$B$2:$B$9, MATCH(W940, 'Адреса общежитий (скрытый)'!$A$2:$A$9, 0)), "")</f>
        <v>2-ой Донской проезд, д. 9</v>
      </c>
      <c r="Y940" s="18"/>
      <c r="Z940" s="18"/>
      <c r="AA940" s="18"/>
      <c r="AB940" s="18"/>
      <c r="AC940" s="18"/>
    </row>
    <row r="941" spans="1:29" ht="32.25" hidden="1" customHeight="1">
      <c r="A941" s="8">
        <v>2312783</v>
      </c>
      <c r="B941" s="9" t="s">
        <v>13284</v>
      </c>
      <c r="C941" s="9" t="s">
        <v>13284</v>
      </c>
      <c r="D941" s="9" t="s">
        <v>13284</v>
      </c>
      <c r="E941" s="9" t="s">
        <v>13284</v>
      </c>
      <c r="F941" s="9" t="s">
        <v>13284</v>
      </c>
      <c r="G941" s="9" t="s">
        <v>13284</v>
      </c>
      <c r="H941" s="9" t="s">
        <v>13284</v>
      </c>
      <c r="I941" s="9" t="s">
        <v>13284</v>
      </c>
      <c r="J941" s="9" t="s">
        <v>13284</v>
      </c>
      <c r="K941" s="9" t="s">
        <v>13284</v>
      </c>
      <c r="L941" s="9" t="s">
        <v>13284</v>
      </c>
      <c r="M941" s="9" t="s">
        <v>13284</v>
      </c>
      <c r="N941" s="9" t="s">
        <v>13284</v>
      </c>
      <c r="O941" s="9" t="s">
        <v>13284</v>
      </c>
      <c r="P941" s="9" t="s">
        <v>13284</v>
      </c>
      <c r="Q941" s="9" t="s">
        <v>13284</v>
      </c>
      <c r="R941" s="9" t="s">
        <v>13284</v>
      </c>
      <c r="S941" s="9" t="s">
        <v>13284</v>
      </c>
      <c r="T941" s="9" t="str">
        <f ca="1">IFERROR(IF(AND(VLOOKUP(A941, 'Актуальное состояние (из общего'!A:C,3,0) = "", A941 &lt;&gt; ""), "ПРОВЕРИТЬ", VLOOKUP(A941, 'Актуальное состояние (из общего'!A:C,3,0)), "")</f>
        <v>Аспирант</v>
      </c>
      <c r="U941" s="9" t="s">
        <v>13284</v>
      </c>
      <c r="V941" s="9" t="s">
        <v>13284</v>
      </c>
      <c r="W941" s="12" t="s">
        <v>389</v>
      </c>
      <c r="X941" s="9" t="str">
        <f t="array" ref="X941">IFERROR(INDEX('Адреса общежитий (скрытый)'!$B$2:$B$9, MATCH(W941, 'Адреса общежитий (скрытый)'!$A$2:$A$9, 0)), "")</f>
        <v>2-ой Донской проезд, д. 9</v>
      </c>
      <c r="Y941" s="18"/>
      <c r="Z941" s="18"/>
      <c r="AA941" s="18"/>
      <c r="AB941" s="18"/>
      <c r="AC941" s="18"/>
    </row>
    <row r="942" spans="1:29" ht="32.25" hidden="1" customHeight="1">
      <c r="A942" s="8">
        <v>2312969</v>
      </c>
      <c r="B942" s="9" t="s">
        <v>13284</v>
      </c>
      <c r="C942" s="9" t="s">
        <v>13284</v>
      </c>
      <c r="D942" s="9" t="s">
        <v>13284</v>
      </c>
      <c r="E942" s="9" t="s">
        <v>13284</v>
      </c>
      <c r="F942" s="9" t="s">
        <v>13284</v>
      </c>
      <c r="G942" s="9" t="s">
        <v>13284</v>
      </c>
      <c r="H942" s="9" t="s">
        <v>13284</v>
      </c>
      <c r="I942" s="9" t="s">
        <v>13284</v>
      </c>
      <c r="J942" s="9" t="s">
        <v>13284</v>
      </c>
      <c r="K942" s="9" t="s">
        <v>13284</v>
      </c>
      <c r="L942" s="9" t="s">
        <v>13284</v>
      </c>
      <c r="M942" s="9" t="s">
        <v>13284</v>
      </c>
      <c r="N942" s="9" t="s">
        <v>13284</v>
      </c>
      <c r="O942" s="9" t="s">
        <v>13284</v>
      </c>
      <c r="P942" s="9" t="s">
        <v>13284</v>
      </c>
      <c r="Q942" s="9" t="s">
        <v>13284</v>
      </c>
      <c r="R942" s="9" t="s">
        <v>13284</v>
      </c>
      <c r="S942" s="9" t="s">
        <v>13284</v>
      </c>
      <c r="T942" s="9" t="str">
        <f ca="1">IFERROR(IF(AND(VLOOKUP(A942, 'Актуальное состояние (из общего'!A:C,3,0) = "", A942 &lt;&gt; ""), "ПРОВЕРИТЬ", VLOOKUP(A942, 'Актуальное состояние (из общего'!A:C,3,0)), "")</f>
        <v>Аспирант</v>
      </c>
      <c r="U942" s="9" t="s">
        <v>13284</v>
      </c>
      <c r="V942" s="9" t="s">
        <v>13284</v>
      </c>
      <c r="W942" s="12" t="s">
        <v>389</v>
      </c>
      <c r="X942" s="9" t="str">
        <f t="array" ref="X942">IFERROR(INDEX('Адреса общежитий (скрытый)'!$B$2:$B$9, MATCH(W942, 'Адреса общежитий (скрытый)'!$A$2:$A$9, 0)), "")</f>
        <v>2-ой Донской проезд, д. 9</v>
      </c>
      <c r="Y942" s="18"/>
      <c r="Z942" s="18"/>
      <c r="AA942" s="18"/>
      <c r="AB942" s="18"/>
      <c r="AC942" s="18"/>
    </row>
    <row r="943" spans="1:29" ht="32.25" customHeight="1">
      <c r="A943" s="8">
        <v>2309651</v>
      </c>
      <c r="B943" s="9" t="s">
        <v>13284</v>
      </c>
      <c r="C943" s="9" t="s">
        <v>13284</v>
      </c>
      <c r="D943" s="9" t="s">
        <v>13284</v>
      </c>
      <c r="E943" s="9" t="s">
        <v>13284</v>
      </c>
      <c r="F943" s="9" t="s">
        <v>13284</v>
      </c>
      <c r="G943" s="9" t="s">
        <v>13284</v>
      </c>
      <c r="H943" s="9" t="s">
        <v>13284</v>
      </c>
      <c r="I943" s="9" t="s">
        <v>13284</v>
      </c>
      <c r="J943" s="9" t="s">
        <v>13284</v>
      </c>
      <c r="K943" s="9" t="s">
        <v>13284</v>
      </c>
      <c r="L943" s="9" t="s">
        <v>13284</v>
      </c>
      <c r="M943" s="9" t="s">
        <v>13284</v>
      </c>
      <c r="N943" s="9" t="s">
        <v>13284</v>
      </c>
      <c r="O943" s="9" t="s">
        <v>13284</v>
      </c>
      <c r="P943" s="9" t="s">
        <v>13284</v>
      </c>
      <c r="Q943" s="9" t="s">
        <v>13284</v>
      </c>
      <c r="R943" s="9" t="s">
        <v>13284</v>
      </c>
      <c r="S943" s="9" t="s">
        <v>13284</v>
      </c>
      <c r="T943" s="9" t="str">
        <f ca="1">IFERROR(IF(AND(VLOOKUP(A943, 'Актуальное состояние (из общего'!A:C,3,0) = "", A943 &lt;&gt; ""), "ПРОВЕРИТЬ", VLOOKUP(A943, 'Актуальное состояние (из общего'!A:C,3,0)), "")</f>
        <v>Аспирант</v>
      </c>
      <c r="U943" s="9" t="s">
        <v>13284</v>
      </c>
      <c r="V943" s="9" t="s">
        <v>13284</v>
      </c>
      <c r="W943" s="12" t="s">
        <v>389</v>
      </c>
      <c r="X943" s="9" t="str">
        <f t="array" ref="X943">IFERROR(INDEX('Адреса общежитий (скрытый)'!$B$2:$B$9, MATCH(W943, 'Адреса общежитий (скрытый)'!$A$2:$A$9, 0)), "")</f>
        <v>2-ой Донской проезд, д. 9</v>
      </c>
      <c r="Y943" s="18"/>
      <c r="Z943" s="18"/>
      <c r="AA943" s="18"/>
      <c r="AB943" s="18"/>
      <c r="AC943" s="18"/>
    </row>
    <row r="944" spans="1:29" ht="32.25" hidden="1" customHeight="1">
      <c r="A944" s="8">
        <v>2309897</v>
      </c>
      <c r="B944" s="9" t="s">
        <v>13284</v>
      </c>
      <c r="C944" s="9" t="s">
        <v>13284</v>
      </c>
      <c r="D944" s="9" t="s">
        <v>13284</v>
      </c>
      <c r="E944" s="9" t="s">
        <v>13284</v>
      </c>
      <c r="F944" s="9" t="s">
        <v>13284</v>
      </c>
      <c r="G944" s="9" t="s">
        <v>13284</v>
      </c>
      <c r="H944" s="9" t="s">
        <v>13284</v>
      </c>
      <c r="I944" s="9" t="s">
        <v>13284</v>
      </c>
      <c r="J944" s="9" t="s">
        <v>13284</v>
      </c>
      <c r="K944" s="9" t="s">
        <v>13284</v>
      </c>
      <c r="L944" s="9" t="s">
        <v>13284</v>
      </c>
      <c r="M944" s="9" t="s">
        <v>13284</v>
      </c>
      <c r="N944" s="9" t="s">
        <v>13284</v>
      </c>
      <c r="O944" s="9" t="s">
        <v>13284</v>
      </c>
      <c r="P944" s="9" t="s">
        <v>13284</v>
      </c>
      <c r="Q944" s="9" t="s">
        <v>13284</v>
      </c>
      <c r="R944" s="9" t="s">
        <v>13284</v>
      </c>
      <c r="S944" s="9" t="s">
        <v>13284</v>
      </c>
      <c r="T944" s="9" t="str">
        <f ca="1">IFERROR(IF(AND(VLOOKUP(A944, 'Актуальное состояние (из общего'!A:C,3,0) = "", A944 &lt;&gt; ""), "ПРОВЕРИТЬ", VLOOKUP(A944, 'Актуальное состояние (из общего'!A:C,3,0)), "")</f>
        <v>Аспирант</v>
      </c>
      <c r="U944" s="9" t="s">
        <v>13284</v>
      </c>
      <c r="V944" s="9" t="s">
        <v>13284</v>
      </c>
      <c r="W944" s="12" t="s">
        <v>389</v>
      </c>
      <c r="X944" s="9" t="str">
        <f t="array" ref="X944">IFERROR(INDEX('Адреса общежитий (скрытый)'!$B$2:$B$9, MATCH(W944, 'Адреса общежитий (скрытый)'!$A$2:$A$9, 0)), "")</f>
        <v>2-ой Донской проезд, д. 9</v>
      </c>
      <c r="Y944" s="18"/>
      <c r="Z944" s="18"/>
      <c r="AA944" s="18"/>
      <c r="AB944" s="18"/>
      <c r="AC944" s="18"/>
    </row>
    <row r="945" spans="1:29" ht="32.25" hidden="1" customHeight="1">
      <c r="A945" s="8">
        <v>2300279</v>
      </c>
      <c r="B945" s="9" t="s">
        <v>13284</v>
      </c>
      <c r="C945" s="9" t="s">
        <v>13284</v>
      </c>
      <c r="D945" s="9" t="s">
        <v>13284</v>
      </c>
      <c r="E945" s="9" t="s">
        <v>13284</v>
      </c>
      <c r="F945" s="9" t="s">
        <v>13284</v>
      </c>
      <c r="G945" s="9" t="s">
        <v>13284</v>
      </c>
      <c r="H945" s="9" t="s">
        <v>13284</v>
      </c>
      <c r="I945" s="9" t="s">
        <v>13284</v>
      </c>
      <c r="J945" s="9" t="s">
        <v>13284</v>
      </c>
      <c r="K945" s="9" t="s">
        <v>13284</v>
      </c>
      <c r="L945" s="9" t="s">
        <v>13284</v>
      </c>
      <c r="M945" s="9" t="s">
        <v>13284</v>
      </c>
      <c r="N945" s="9" t="s">
        <v>13284</v>
      </c>
      <c r="O945" s="9" t="s">
        <v>13284</v>
      </c>
      <c r="P945" s="9" t="s">
        <v>13284</v>
      </c>
      <c r="Q945" s="9" t="s">
        <v>13284</v>
      </c>
      <c r="R945" s="9" t="s">
        <v>13284</v>
      </c>
      <c r="S945" s="9" t="s">
        <v>13284</v>
      </c>
      <c r="T945" s="9" t="str">
        <f ca="1">IFERROR(IF(AND(VLOOKUP(A945, 'Актуальное состояние (из общего'!A:C,3,0) = "", A945 &lt;&gt; ""), "ПРОВЕРИТЬ", VLOOKUP(A945, 'Актуальное состояние (из общего'!A:C,3,0)), "")</f>
        <v>Аспирант</v>
      </c>
      <c r="U945" s="9" t="s">
        <v>13284</v>
      </c>
      <c r="V945" s="9" t="s">
        <v>13284</v>
      </c>
      <c r="W945" s="12" t="s">
        <v>389</v>
      </c>
      <c r="X945" s="9" t="str">
        <f t="array" ref="X945">IFERROR(INDEX('Адреса общежитий (скрытый)'!$B$2:$B$9, MATCH(W945, 'Адреса общежитий (скрытый)'!$A$2:$A$9, 0)), "")</f>
        <v>2-ой Донской проезд, д. 9</v>
      </c>
      <c r="Y945" s="18"/>
      <c r="Z945" s="18"/>
      <c r="AA945" s="18"/>
      <c r="AB945" s="18"/>
      <c r="AC945" s="18"/>
    </row>
    <row r="946" spans="1:29" ht="32.25" customHeight="1">
      <c r="A946" s="8">
        <v>2300166</v>
      </c>
      <c r="B946" s="9" t="s">
        <v>13284</v>
      </c>
      <c r="C946" s="9" t="s">
        <v>13284</v>
      </c>
      <c r="D946" s="9" t="s">
        <v>13284</v>
      </c>
      <c r="E946" s="9" t="s">
        <v>13284</v>
      </c>
      <c r="F946" s="9" t="s">
        <v>13284</v>
      </c>
      <c r="G946" s="9" t="s">
        <v>13284</v>
      </c>
      <c r="H946" s="9" t="s">
        <v>13284</v>
      </c>
      <c r="I946" s="9" t="s">
        <v>13284</v>
      </c>
      <c r="J946" s="9" t="s">
        <v>13284</v>
      </c>
      <c r="K946" s="9" t="s">
        <v>13284</v>
      </c>
      <c r="L946" s="9" t="s">
        <v>13284</v>
      </c>
      <c r="M946" s="9" t="s">
        <v>13284</v>
      </c>
      <c r="N946" s="9" t="s">
        <v>13284</v>
      </c>
      <c r="O946" s="9" t="s">
        <v>13284</v>
      </c>
      <c r="P946" s="9" t="s">
        <v>13284</v>
      </c>
      <c r="Q946" s="9" t="s">
        <v>13284</v>
      </c>
      <c r="R946" s="9" t="s">
        <v>13284</v>
      </c>
      <c r="S946" s="9" t="s">
        <v>13284</v>
      </c>
      <c r="T946" s="9" t="str">
        <f ca="1">IFERROR(IF(AND(VLOOKUP(A946, 'Актуальное состояние (из общего'!A:C,3,0) = "", A946 &lt;&gt; ""), "ПРОВЕРИТЬ", VLOOKUP(A946, 'Актуальное состояние (из общего'!A:C,3,0)), "")</f>
        <v>Аспирант</v>
      </c>
      <c r="U946" s="9" t="s">
        <v>13284</v>
      </c>
      <c r="V946" s="9" t="s">
        <v>13284</v>
      </c>
      <c r="W946" s="12" t="s">
        <v>389</v>
      </c>
      <c r="X946" s="9" t="str">
        <f t="array" ref="X946">IFERROR(INDEX('Адреса общежитий (скрытый)'!$B$2:$B$9, MATCH(W946, 'Адреса общежитий (скрытый)'!$A$2:$A$9, 0)), "")</f>
        <v>2-ой Донской проезд, д. 9</v>
      </c>
      <c r="Y946" s="18"/>
      <c r="Z946" s="18"/>
      <c r="AA946" s="18"/>
      <c r="AB946" s="18"/>
      <c r="AC946" s="18"/>
    </row>
    <row r="947" spans="1:29" ht="32.25" customHeight="1">
      <c r="A947" s="8">
        <v>2312942</v>
      </c>
      <c r="B947" s="9" t="s">
        <v>13284</v>
      </c>
      <c r="C947" s="9" t="s">
        <v>13284</v>
      </c>
      <c r="D947" s="9" t="s">
        <v>13284</v>
      </c>
      <c r="E947" s="9" t="s">
        <v>13284</v>
      </c>
      <c r="F947" s="9" t="s">
        <v>13284</v>
      </c>
      <c r="G947" s="9" t="s">
        <v>13284</v>
      </c>
      <c r="H947" s="9" t="s">
        <v>13284</v>
      </c>
      <c r="I947" s="9" t="s">
        <v>13284</v>
      </c>
      <c r="J947" s="9" t="s">
        <v>13284</v>
      </c>
      <c r="K947" s="9" t="s">
        <v>13284</v>
      </c>
      <c r="L947" s="9" t="s">
        <v>13284</v>
      </c>
      <c r="M947" s="9" t="s">
        <v>13284</v>
      </c>
      <c r="N947" s="9" t="s">
        <v>13284</v>
      </c>
      <c r="O947" s="9" t="s">
        <v>13284</v>
      </c>
      <c r="P947" s="9" t="s">
        <v>13284</v>
      </c>
      <c r="Q947" s="9" t="s">
        <v>13284</v>
      </c>
      <c r="R947" s="9" t="s">
        <v>13284</v>
      </c>
      <c r="S947" s="9" t="s">
        <v>13284</v>
      </c>
      <c r="T947" s="9" t="str">
        <f ca="1">IFERROR(IF(AND(VLOOKUP(A947, 'Актуальное состояние (из общего'!A:C,3,0) = "", A947 &lt;&gt; ""), "ПРОВЕРИТЬ", VLOOKUP(A947, 'Актуальное состояние (из общего'!A:C,3,0)), "")</f>
        <v>Аспирант</v>
      </c>
      <c r="U947" s="9" t="s">
        <v>13284</v>
      </c>
      <c r="V947" s="9" t="s">
        <v>13284</v>
      </c>
      <c r="W947" s="12" t="s">
        <v>389</v>
      </c>
      <c r="X947" s="9" t="str">
        <f t="array" ref="X947">IFERROR(INDEX('Адреса общежитий (скрытый)'!$B$2:$B$9, MATCH(W947, 'Адреса общежитий (скрытый)'!$A$2:$A$9, 0)), "")</f>
        <v>2-ой Донской проезд, д. 9</v>
      </c>
      <c r="Y947" s="18"/>
      <c r="Z947" s="18"/>
      <c r="AA947" s="18"/>
      <c r="AB947" s="18"/>
      <c r="AC947" s="18"/>
    </row>
    <row r="948" spans="1:29" ht="32.25" hidden="1" customHeight="1">
      <c r="A948" s="8">
        <v>2312947</v>
      </c>
      <c r="B948" s="9" t="s">
        <v>13284</v>
      </c>
      <c r="C948" s="9" t="s">
        <v>13284</v>
      </c>
      <c r="D948" s="9" t="s">
        <v>13284</v>
      </c>
      <c r="E948" s="9" t="s">
        <v>13284</v>
      </c>
      <c r="F948" s="9" t="s">
        <v>13284</v>
      </c>
      <c r="G948" s="9" t="s">
        <v>13284</v>
      </c>
      <c r="H948" s="9" t="s">
        <v>13284</v>
      </c>
      <c r="I948" s="9" t="s">
        <v>13284</v>
      </c>
      <c r="J948" s="9" t="s">
        <v>13284</v>
      </c>
      <c r="K948" s="9" t="s">
        <v>13284</v>
      </c>
      <c r="L948" s="9" t="s">
        <v>13284</v>
      </c>
      <c r="M948" s="9" t="s">
        <v>13284</v>
      </c>
      <c r="N948" s="9" t="s">
        <v>13284</v>
      </c>
      <c r="O948" s="9" t="s">
        <v>13284</v>
      </c>
      <c r="P948" s="9" t="s">
        <v>13284</v>
      </c>
      <c r="Q948" s="9" t="s">
        <v>13284</v>
      </c>
      <c r="R948" s="9" t="s">
        <v>13284</v>
      </c>
      <c r="S948" s="9" t="s">
        <v>13284</v>
      </c>
      <c r="T948" s="9" t="str">
        <f ca="1">IFERROR(IF(AND(VLOOKUP(A948, 'Актуальное состояние (из общего'!A:C,3,0) = "", A948 &lt;&gt; ""), "ПРОВЕРИТЬ", VLOOKUP(A948, 'Актуальное состояние (из общего'!A:C,3,0)), "")</f>
        <v>Аспирант</v>
      </c>
      <c r="U948" s="9" t="s">
        <v>13284</v>
      </c>
      <c r="V948" s="9" t="s">
        <v>13284</v>
      </c>
      <c r="W948" s="12" t="s">
        <v>389</v>
      </c>
      <c r="X948" s="9" t="str">
        <f t="array" ref="X948">IFERROR(INDEX('Адреса общежитий (скрытый)'!$B$2:$B$9, MATCH(W948, 'Адреса общежитий (скрытый)'!$A$2:$A$9, 0)), "")</f>
        <v>2-ой Донской проезд, д. 9</v>
      </c>
      <c r="Y948" s="18"/>
      <c r="Z948" s="18"/>
      <c r="AA948" s="18"/>
      <c r="AB948" s="18"/>
      <c r="AC948" s="18"/>
    </row>
    <row r="949" spans="1:29" ht="32.25" hidden="1" customHeight="1">
      <c r="A949" s="8">
        <v>2300276</v>
      </c>
      <c r="B949" s="9" t="s">
        <v>13284</v>
      </c>
      <c r="C949" s="9" t="s">
        <v>13284</v>
      </c>
      <c r="D949" s="9" t="s">
        <v>13284</v>
      </c>
      <c r="E949" s="9" t="s">
        <v>13284</v>
      </c>
      <c r="F949" s="9" t="s">
        <v>13284</v>
      </c>
      <c r="G949" s="9" t="s">
        <v>13284</v>
      </c>
      <c r="H949" s="9" t="s">
        <v>13284</v>
      </c>
      <c r="I949" s="9" t="s">
        <v>13284</v>
      </c>
      <c r="J949" s="9" t="s">
        <v>13284</v>
      </c>
      <c r="K949" s="9" t="s">
        <v>13284</v>
      </c>
      <c r="L949" s="9" t="s">
        <v>13284</v>
      </c>
      <c r="M949" s="9" t="s">
        <v>13284</v>
      </c>
      <c r="N949" s="9" t="s">
        <v>13284</v>
      </c>
      <c r="O949" s="9" t="s">
        <v>13284</v>
      </c>
      <c r="P949" s="9" t="s">
        <v>13284</v>
      </c>
      <c r="Q949" s="9" t="s">
        <v>13284</v>
      </c>
      <c r="R949" s="9" t="s">
        <v>13284</v>
      </c>
      <c r="S949" s="9" t="s">
        <v>13284</v>
      </c>
      <c r="T949" s="9" t="str">
        <f ca="1">IFERROR(IF(AND(VLOOKUP(A949, 'Актуальное состояние (из общего'!A:C,3,0) = "", A949 &lt;&gt; ""), "ПРОВЕРИТЬ", VLOOKUP(A949, 'Актуальное состояние (из общего'!A:C,3,0)), "")</f>
        <v>Аспирант</v>
      </c>
      <c r="U949" s="9" t="s">
        <v>13284</v>
      </c>
      <c r="V949" s="9" t="s">
        <v>13284</v>
      </c>
      <c r="W949" s="12" t="s">
        <v>389</v>
      </c>
      <c r="X949" s="9" t="str">
        <f t="array" ref="X949">IFERROR(INDEX('Адреса общежитий (скрытый)'!$B$2:$B$9, MATCH(W949, 'Адреса общежитий (скрытый)'!$A$2:$A$9, 0)), "")</f>
        <v>2-ой Донской проезд, д. 9</v>
      </c>
      <c r="Y949" s="18"/>
      <c r="Z949" s="18"/>
      <c r="AA949" s="18"/>
      <c r="AB949" s="18"/>
      <c r="AC949" s="18"/>
    </row>
    <row r="950" spans="1:29" ht="32.25" hidden="1" customHeight="1">
      <c r="A950" s="8">
        <v>2300271</v>
      </c>
      <c r="B950" s="9" t="s">
        <v>13284</v>
      </c>
      <c r="C950" s="9" t="s">
        <v>13284</v>
      </c>
      <c r="D950" s="9" t="s">
        <v>13284</v>
      </c>
      <c r="E950" s="9" t="s">
        <v>13284</v>
      </c>
      <c r="F950" s="9" t="s">
        <v>13284</v>
      </c>
      <c r="G950" s="9" t="s">
        <v>13284</v>
      </c>
      <c r="H950" s="9" t="s">
        <v>13284</v>
      </c>
      <c r="I950" s="9" t="s">
        <v>13284</v>
      </c>
      <c r="J950" s="9" t="s">
        <v>13284</v>
      </c>
      <c r="K950" s="9" t="s">
        <v>13284</v>
      </c>
      <c r="L950" s="9" t="s">
        <v>13284</v>
      </c>
      <c r="M950" s="9" t="s">
        <v>13284</v>
      </c>
      <c r="N950" s="9" t="s">
        <v>13284</v>
      </c>
      <c r="O950" s="9" t="s">
        <v>13284</v>
      </c>
      <c r="P950" s="9" t="s">
        <v>13284</v>
      </c>
      <c r="Q950" s="9" t="s">
        <v>13284</v>
      </c>
      <c r="R950" s="9" t="s">
        <v>13284</v>
      </c>
      <c r="S950" s="9" t="s">
        <v>13284</v>
      </c>
      <c r="T950" s="9" t="str">
        <f ca="1">IFERROR(IF(AND(VLOOKUP(A950, 'Актуальное состояние (из общего'!A:C,3,0) = "", A950 &lt;&gt; ""), "ПРОВЕРИТЬ", VLOOKUP(A950, 'Актуальное состояние (из общего'!A:C,3,0)), "")</f>
        <v>Аспирант</v>
      </c>
      <c r="U950" s="9" t="s">
        <v>13284</v>
      </c>
      <c r="V950" s="9" t="s">
        <v>13284</v>
      </c>
      <c r="W950" s="12" t="s">
        <v>389</v>
      </c>
      <c r="X950" s="9" t="str">
        <f t="array" ref="X950">IFERROR(INDEX('Адреса общежитий (скрытый)'!$B$2:$B$9, MATCH(W950, 'Адреса общежитий (скрытый)'!$A$2:$A$9, 0)), "")</f>
        <v>2-ой Донской проезд, д. 9</v>
      </c>
      <c r="Y950" s="18"/>
      <c r="Z950" s="18"/>
      <c r="AA950" s="18"/>
      <c r="AB950" s="18"/>
      <c r="AC950" s="18"/>
    </row>
    <row r="951" spans="1:29" ht="32.25" hidden="1" customHeight="1">
      <c r="A951" s="8">
        <v>2311920</v>
      </c>
      <c r="B951" s="9" t="s">
        <v>13284</v>
      </c>
      <c r="C951" s="9" t="s">
        <v>13284</v>
      </c>
      <c r="D951" s="9" t="s">
        <v>13284</v>
      </c>
      <c r="E951" s="9" t="s">
        <v>13284</v>
      </c>
      <c r="F951" s="9" t="s">
        <v>13284</v>
      </c>
      <c r="G951" s="9" t="s">
        <v>13284</v>
      </c>
      <c r="H951" s="9" t="s">
        <v>13284</v>
      </c>
      <c r="I951" s="9" t="s">
        <v>13284</v>
      </c>
      <c r="J951" s="9" t="s">
        <v>13284</v>
      </c>
      <c r="K951" s="9" t="s">
        <v>13284</v>
      </c>
      <c r="L951" s="9" t="s">
        <v>13284</v>
      </c>
      <c r="M951" s="9" t="s">
        <v>13284</v>
      </c>
      <c r="N951" s="9" t="s">
        <v>13284</v>
      </c>
      <c r="O951" s="9" t="s">
        <v>13284</v>
      </c>
      <c r="P951" s="9" t="s">
        <v>13284</v>
      </c>
      <c r="Q951" s="9" t="s">
        <v>13284</v>
      </c>
      <c r="R951" s="9" t="s">
        <v>13284</v>
      </c>
      <c r="S951" s="9" t="s">
        <v>13284</v>
      </c>
      <c r="T951" s="9" t="str">
        <f ca="1">IFERROR(IF(AND(VLOOKUP(A951, 'Актуальное состояние (из общего'!A:C,3,0) = "", A951 &lt;&gt; ""), "ПРОВЕРИТЬ", VLOOKUP(A951, 'Актуальное состояние (из общего'!A:C,3,0)), "")</f>
        <v>Аспирант</v>
      </c>
      <c r="U951" s="9" t="s">
        <v>13284</v>
      </c>
      <c r="V951" s="9" t="s">
        <v>13284</v>
      </c>
      <c r="W951" s="12" t="s">
        <v>389</v>
      </c>
      <c r="X951" s="9" t="str">
        <f t="array" ref="X951">IFERROR(INDEX('Адреса общежитий (скрытый)'!$B$2:$B$9, MATCH(W951, 'Адреса общежитий (скрытый)'!$A$2:$A$9, 0)), "")</f>
        <v>2-ой Донской проезд, д. 9</v>
      </c>
      <c r="Y951" s="18"/>
      <c r="Z951" s="18"/>
      <c r="AA951" s="18"/>
      <c r="AB951" s="18"/>
      <c r="AC951" s="18"/>
    </row>
    <row r="952" spans="1:29" ht="32.25" hidden="1" customHeight="1">
      <c r="A952" s="8">
        <v>2312418</v>
      </c>
      <c r="B952" s="9" t="s">
        <v>13284</v>
      </c>
      <c r="C952" s="9" t="s">
        <v>13284</v>
      </c>
      <c r="D952" s="9" t="s">
        <v>13284</v>
      </c>
      <c r="E952" s="9" t="s">
        <v>13284</v>
      </c>
      <c r="F952" s="9" t="s">
        <v>13284</v>
      </c>
      <c r="G952" s="9" t="s">
        <v>13284</v>
      </c>
      <c r="H952" s="9" t="s">
        <v>13284</v>
      </c>
      <c r="I952" s="9" t="s">
        <v>13284</v>
      </c>
      <c r="J952" s="9" t="s">
        <v>13284</v>
      </c>
      <c r="K952" s="9" t="s">
        <v>13284</v>
      </c>
      <c r="L952" s="9" t="s">
        <v>13284</v>
      </c>
      <c r="M952" s="9" t="s">
        <v>13284</v>
      </c>
      <c r="N952" s="9" t="s">
        <v>13284</v>
      </c>
      <c r="O952" s="9" t="s">
        <v>13284</v>
      </c>
      <c r="P952" s="9" t="s">
        <v>13284</v>
      </c>
      <c r="Q952" s="9" t="s">
        <v>13284</v>
      </c>
      <c r="R952" s="9" t="s">
        <v>13284</v>
      </c>
      <c r="S952" s="9" t="s">
        <v>13284</v>
      </c>
      <c r="T952" s="9" t="str">
        <f ca="1">IFERROR(IF(AND(VLOOKUP(A952, 'Актуальное состояние (из общего'!A:C,3,0) = "", A952 &lt;&gt; ""), "ПРОВЕРИТЬ", VLOOKUP(A952, 'Актуальное состояние (из общего'!A:C,3,0)), "")</f>
        <v>Аспирант</v>
      </c>
      <c r="U952" s="9" t="s">
        <v>13284</v>
      </c>
      <c r="V952" s="9" t="s">
        <v>13284</v>
      </c>
      <c r="W952" s="12" t="s">
        <v>389</v>
      </c>
      <c r="X952" s="9" t="str">
        <f t="array" ref="X952">IFERROR(INDEX('Адреса общежитий (скрытый)'!$B$2:$B$9, MATCH(W952, 'Адреса общежитий (скрытый)'!$A$2:$A$9, 0)), "")</f>
        <v>2-ой Донской проезд, д. 9</v>
      </c>
      <c r="Y952" s="18"/>
      <c r="Z952" s="18"/>
      <c r="AA952" s="18"/>
      <c r="AB952" s="18"/>
      <c r="AC952" s="18"/>
    </row>
    <row r="953" spans="1:29" ht="32.25" hidden="1" customHeight="1">
      <c r="A953" s="8">
        <v>2308924</v>
      </c>
      <c r="B953" s="9" t="s">
        <v>13284</v>
      </c>
      <c r="C953" s="9" t="s">
        <v>13284</v>
      </c>
      <c r="D953" s="9" t="s">
        <v>13284</v>
      </c>
      <c r="E953" s="9" t="s">
        <v>13284</v>
      </c>
      <c r="F953" s="9" t="s">
        <v>13284</v>
      </c>
      <c r="G953" s="9" t="s">
        <v>13284</v>
      </c>
      <c r="H953" s="9" t="s">
        <v>13284</v>
      </c>
      <c r="I953" s="9" t="s">
        <v>13284</v>
      </c>
      <c r="J953" s="9" t="s">
        <v>13284</v>
      </c>
      <c r="K953" s="9" t="s">
        <v>13284</v>
      </c>
      <c r="L953" s="9" t="s">
        <v>13284</v>
      </c>
      <c r="M953" s="9" t="s">
        <v>13284</v>
      </c>
      <c r="N953" s="9" t="s">
        <v>13284</v>
      </c>
      <c r="O953" s="9" t="s">
        <v>13284</v>
      </c>
      <c r="P953" s="9" t="s">
        <v>13284</v>
      </c>
      <c r="Q953" s="9" t="s">
        <v>13284</v>
      </c>
      <c r="R953" s="9" t="s">
        <v>13284</v>
      </c>
      <c r="S953" s="9" t="s">
        <v>13284</v>
      </c>
      <c r="T953" s="9" t="str">
        <f ca="1">IFERROR(IF(AND(VLOOKUP(A953, 'Актуальное состояние (из общего'!A:C,3,0) = "", A953 &lt;&gt; ""), "ПРОВЕРИТЬ", VLOOKUP(A953, 'Актуальное состояние (из общего'!A:C,3,0)), "")</f>
        <v>Аспирант</v>
      </c>
      <c r="U953" s="9" t="s">
        <v>13284</v>
      </c>
      <c r="V953" s="9" t="s">
        <v>13284</v>
      </c>
      <c r="W953" s="12" t="s">
        <v>389</v>
      </c>
      <c r="X953" s="9" t="str">
        <f t="array" ref="X953">IFERROR(INDEX('Адреса общежитий (скрытый)'!$B$2:$B$9, MATCH(W953, 'Адреса общежитий (скрытый)'!$A$2:$A$9, 0)), "")</f>
        <v>2-ой Донской проезд, д. 9</v>
      </c>
      <c r="Y953" s="18"/>
      <c r="Z953" s="18"/>
      <c r="AA953" s="18"/>
      <c r="AB953" s="18"/>
      <c r="AC953" s="18"/>
    </row>
    <row r="954" spans="1:29" ht="32.25" hidden="1" customHeight="1">
      <c r="A954" s="8">
        <v>2312329</v>
      </c>
      <c r="B954" s="9" t="s">
        <v>13284</v>
      </c>
      <c r="C954" s="9" t="s">
        <v>13284</v>
      </c>
      <c r="D954" s="9" t="s">
        <v>13284</v>
      </c>
      <c r="E954" s="9" t="s">
        <v>13284</v>
      </c>
      <c r="F954" s="9" t="s">
        <v>13284</v>
      </c>
      <c r="G954" s="9" t="s">
        <v>13284</v>
      </c>
      <c r="H954" s="9" t="s">
        <v>13284</v>
      </c>
      <c r="I954" s="9" t="s">
        <v>13284</v>
      </c>
      <c r="J954" s="9" t="s">
        <v>13284</v>
      </c>
      <c r="K954" s="9" t="s">
        <v>13284</v>
      </c>
      <c r="L954" s="9" t="s">
        <v>13284</v>
      </c>
      <c r="M954" s="9" t="s">
        <v>13284</v>
      </c>
      <c r="N954" s="9" t="s">
        <v>13284</v>
      </c>
      <c r="O954" s="9" t="s">
        <v>13284</v>
      </c>
      <c r="P954" s="9" t="s">
        <v>13284</v>
      </c>
      <c r="Q954" s="9" t="s">
        <v>13284</v>
      </c>
      <c r="R954" s="9" t="s">
        <v>13284</v>
      </c>
      <c r="S954" s="9" t="s">
        <v>13284</v>
      </c>
      <c r="T954" s="9" t="str">
        <f ca="1">IFERROR(IF(AND(VLOOKUP(A954, 'Актуальное состояние (из общего'!A:C,3,0) = "", A954 &lt;&gt; ""), "ПРОВЕРИТЬ", VLOOKUP(A954, 'Актуальное состояние (из общего'!A:C,3,0)), "")</f>
        <v>Аспирант</v>
      </c>
      <c r="U954" s="9" t="s">
        <v>13284</v>
      </c>
      <c r="V954" s="9" t="s">
        <v>13284</v>
      </c>
      <c r="W954" s="12" t="s">
        <v>389</v>
      </c>
      <c r="X954" s="9" t="str">
        <f t="array" ref="X954">IFERROR(INDEX('Адреса общежитий (скрытый)'!$B$2:$B$9, MATCH(W954, 'Адреса общежитий (скрытый)'!$A$2:$A$9, 0)), "")</f>
        <v>2-ой Донской проезд, д. 9</v>
      </c>
      <c r="Y954" s="18"/>
      <c r="Z954" s="18"/>
      <c r="AA954" s="18"/>
      <c r="AB954" s="18"/>
      <c r="AC954" s="18"/>
    </row>
    <row r="955" spans="1:29" ht="32.25" customHeight="1">
      <c r="A955" s="8">
        <v>2309397</v>
      </c>
      <c r="B955" s="9" t="s">
        <v>13284</v>
      </c>
      <c r="C955" s="9" t="s">
        <v>13284</v>
      </c>
      <c r="D955" s="9" t="s">
        <v>13284</v>
      </c>
      <c r="E955" s="9" t="s">
        <v>13284</v>
      </c>
      <c r="F955" s="9" t="s">
        <v>13284</v>
      </c>
      <c r="G955" s="9" t="s">
        <v>13284</v>
      </c>
      <c r="H955" s="9" t="s">
        <v>13284</v>
      </c>
      <c r="I955" s="9" t="s">
        <v>13284</v>
      </c>
      <c r="J955" s="9" t="s">
        <v>13284</v>
      </c>
      <c r="K955" s="9" t="s">
        <v>13284</v>
      </c>
      <c r="L955" s="9" t="s">
        <v>13284</v>
      </c>
      <c r="M955" s="9" t="s">
        <v>13284</v>
      </c>
      <c r="N955" s="9" t="s">
        <v>13284</v>
      </c>
      <c r="O955" s="9" t="s">
        <v>13284</v>
      </c>
      <c r="P955" s="9" t="s">
        <v>13284</v>
      </c>
      <c r="Q955" s="9" t="s">
        <v>13284</v>
      </c>
      <c r="R955" s="9" t="s">
        <v>13284</v>
      </c>
      <c r="S955" s="9" t="s">
        <v>13284</v>
      </c>
      <c r="T955" s="9" t="str">
        <f ca="1">IFERROR(IF(AND(VLOOKUP(A955, 'Актуальное состояние (из общего'!A:C,3,0) = "", A955 &lt;&gt; ""), "ПРОВЕРИТЬ", VLOOKUP(A955, 'Актуальное состояние (из общего'!A:C,3,0)), "")</f>
        <v>Аспирант</v>
      </c>
      <c r="U955" s="9" t="s">
        <v>13284</v>
      </c>
      <c r="V955" s="9" t="s">
        <v>13284</v>
      </c>
      <c r="W955" s="12" t="s">
        <v>389</v>
      </c>
      <c r="X955" s="9" t="str">
        <f t="array" ref="X955">IFERROR(INDEX('Адреса общежитий (скрытый)'!$B$2:$B$9, MATCH(W955, 'Адреса общежитий (скрытый)'!$A$2:$A$9, 0)), "")</f>
        <v>2-ой Донской проезд, д. 9</v>
      </c>
      <c r="Y955" s="18"/>
      <c r="Z955" s="18"/>
      <c r="AA955" s="18"/>
      <c r="AB955" s="18"/>
      <c r="AC955" s="18"/>
    </row>
    <row r="956" spans="1:29" ht="32.25" hidden="1" customHeight="1">
      <c r="A956" s="8">
        <v>2304972</v>
      </c>
      <c r="B956" s="9" t="s">
        <v>13284</v>
      </c>
      <c r="C956" s="9" t="s">
        <v>13284</v>
      </c>
      <c r="D956" s="9" t="s">
        <v>13284</v>
      </c>
      <c r="E956" s="9" t="s">
        <v>13284</v>
      </c>
      <c r="F956" s="9" t="s">
        <v>13284</v>
      </c>
      <c r="G956" s="9" t="s">
        <v>13284</v>
      </c>
      <c r="H956" s="9" t="s">
        <v>13284</v>
      </c>
      <c r="I956" s="9" t="s">
        <v>13284</v>
      </c>
      <c r="J956" s="9" t="s">
        <v>13284</v>
      </c>
      <c r="K956" s="9" t="s">
        <v>13284</v>
      </c>
      <c r="L956" s="9" t="s">
        <v>13284</v>
      </c>
      <c r="M956" s="9" t="s">
        <v>13284</v>
      </c>
      <c r="N956" s="9" t="s">
        <v>13284</v>
      </c>
      <c r="O956" s="9" t="s">
        <v>13284</v>
      </c>
      <c r="P956" s="9" t="s">
        <v>13284</v>
      </c>
      <c r="Q956" s="9" t="s">
        <v>13284</v>
      </c>
      <c r="R956" s="9" t="s">
        <v>13284</v>
      </c>
      <c r="S956" s="9" t="s">
        <v>13284</v>
      </c>
      <c r="T956" s="9" t="str">
        <f ca="1">IFERROR(IF(AND(VLOOKUP(A956, 'Актуальное состояние (из общего'!A:C,3,0) = "", A956 &lt;&gt; ""), "ПРОВЕРИТЬ", VLOOKUP(A956, 'Актуальное состояние (из общего'!A:C,3,0)), "")</f>
        <v>Аспирант</v>
      </c>
      <c r="U956" s="9" t="s">
        <v>13284</v>
      </c>
      <c r="V956" s="9" t="s">
        <v>13284</v>
      </c>
      <c r="W956" s="12" t="s">
        <v>389</v>
      </c>
      <c r="X956" s="9" t="str">
        <f t="array" ref="X956">IFERROR(INDEX('Адреса общежитий (скрытый)'!$B$2:$B$9, MATCH(W956, 'Адреса общежитий (скрытый)'!$A$2:$A$9, 0)), "")</f>
        <v>2-ой Донской проезд, д. 9</v>
      </c>
      <c r="Y956" s="18"/>
      <c r="Z956" s="18"/>
      <c r="AA956" s="18"/>
      <c r="AB956" s="18"/>
      <c r="AC956" s="18"/>
    </row>
    <row r="957" spans="1:29" ht="32.25" customHeight="1">
      <c r="A957" s="8">
        <v>2308751</v>
      </c>
      <c r="B957" s="9" t="s">
        <v>13284</v>
      </c>
      <c r="C957" s="9" t="s">
        <v>13284</v>
      </c>
      <c r="D957" s="9" t="s">
        <v>13284</v>
      </c>
      <c r="E957" s="9" t="s">
        <v>13284</v>
      </c>
      <c r="F957" s="9" t="s">
        <v>13284</v>
      </c>
      <c r="G957" s="9" t="s">
        <v>13284</v>
      </c>
      <c r="H957" s="9" t="s">
        <v>13284</v>
      </c>
      <c r="I957" s="9" t="s">
        <v>13284</v>
      </c>
      <c r="J957" s="9" t="s">
        <v>13284</v>
      </c>
      <c r="K957" s="9" t="s">
        <v>13284</v>
      </c>
      <c r="L957" s="9" t="s">
        <v>13284</v>
      </c>
      <c r="M957" s="9" t="s">
        <v>13284</v>
      </c>
      <c r="N957" s="9" t="s">
        <v>13284</v>
      </c>
      <c r="O957" s="9" t="s">
        <v>13284</v>
      </c>
      <c r="P957" s="9" t="s">
        <v>13284</v>
      </c>
      <c r="Q957" s="9" t="s">
        <v>13284</v>
      </c>
      <c r="R957" s="9" t="s">
        <v>13284</v>
      </c>
      <c r="S957" s="9" t="s">
        <v>13284</v>
      </c>
      <c r="T957" s="9" t="str">
        <f ca="1">IFERROR(IF(AND(VLOOKUP(A957, 'Актуальное состояние (из общего'!A:C,3,0) = "", A957 &lt;&gt; ""), "ПРОВЕРИТЬ", VLOOKUP(A957, 'Актуальное состояние (из общего'!A:C,3,0)), "")</f>
        <v>Аспирант</v>
      </c>
      <c r="U957" s="9" t="s">
        <v>13284</v>
      </c>
      <c r="V957" s="9" t="s">
        <v>13284</v>
      </c>
      <c r="W957" s="12" t="s">
        <v>389</v>
      </c>
      <c r="X957" s="9" t="str">
        <f t="array" ref="X957">IFERROR(INDEX('Адреса общежитий (скрытый)'!$B$2:$B$9, MATCH(W957, 'Адреса общежитий (скрытый)'!$A$2:$A$9, 0)), "")</f>
        <v>2-ой Донской проезд, д. 9</v>
      </c>
      <c r="Y957" s="18"/>
      <c r="Z957" s="18"/>
      <c r="AA957" s="18"/>
      <c r="AB957" s="18"/>
      <c r="AC957" s="18"/>
    </row>
    <row r="958" spans="1:29" ht="32.25" customHeight="1">
      <c r="A958" s="8">
        <v>2303403</v>
      </c>
      <c r="B958" s="9" t="s">
        <v>13284</v>
      </c>
      <c r="C958" s="9" t="s">
        <v>13284</v>
      </c>
      <c r="D958" s="9" t="s">
        <v>13284</v>
      </c>
      <c r="E958" s="9" t="s">
        <v>13284</v>
      </c>
      <c r="F958" s="9" t="s">
        <v>13284</v>
      </c>
      <c r="G958" s="9" t="s">
        <v>13284</v>
      </c>
      <c r="H958" s="9" t="s">
        <v>13284</v>
      </c>
      <c r="I958" s="9" t="s">
        <v>13284</v>
      </c>
      <c r="J958" s="9" t="s">
        <v>13284</v>
      </c>
      <c r="K958" s="9" t="s">
        <v>13284</v>
      </c>
      <c r="L958" s="9" t="s">
        <v>13284</v>
      </c>
      <c r="M958" s="9" t="s">
        <v>13284</v>
      </c>
      <c r="N958" s="9" t="s">
        <v>13284</v>
      </c>
      <c r="O958" s="9" t="s">
        <v>13284</v>
      </c>
      <c r="P958" s="9" t="s">
        <v>13284</v>
      </c>
      <c r="Q958" s="9" t="s">
        <v>13284</v>
      </c>
      <c r="R958" s="9" t="s">
        <v>13284</v>
      </c>
      <c r="S958" s="9" t="s">
        <v>13284</v>
      </c>
      <c r="T958" s="9" t="str">
        <f ca="1">IFERROR(IF(AND(VLOOKUP(A958, 'Актуальное состояние (из общего'!A:C,3,0) = "", A958 &lt;&gt; ""), "ПРОВЕРИТЬ", VLOOKUP(A958, 'Актуальное состояние (из общего'!A:C,3,0)), "")</f>
        <v>Аспирант</v>
      </c>
      <c r="U958" s="9" t="s">
        <v>13284</v>
      </c>
      <c r="V958" s="9" t="s">
        <v>13284</v>
      </c>
      <c r="W958" s="12" t="s">
        <v>389</v>
      </c>
      <c r="X958" s="9" t="str">
        <f t="array" ref="X958">IFERROR(INDEX('Адреса общежитий (скрытый)'!$B$2:$B$9, MATCH(W958, 'Адреса общежитий (скрытый)'!$A$2:$A$9, 0)), "")</f>
        <v>2-ой Донской проезд, д. 9</v>
      </c>
      <c r="Y958" s="18"/>
      <c r="Z958" s="18"/>
      <c r="AA958" s="18"/>
      <c r="AB958" s="18"/>
      <c r="AC958" s="18"/>
    </row>
    <row r="959" spans="1:29" ht="32.25" hidden="1" customHeight="1">
      <c r="A959" s="8">
        <v>2308152</v>
      </c>
      <c r="B959" s="9" t="s">
        <v>13284</v>
      </c>
      <c r="C959" s="9" t="s">
        <v>13284</v>
      </c>
      <c r="D959" s="9" t="s">
        <v>13284</v>
      </c>
      <c r="E959" s="9" t="s">
        <v>13284</v>
      </c>
      <c r="F959" s="9" t="s">
        <v>13284</v>
      </c>
      <c r="G959" s="9" t="s">
        <v>13284</v>
      </c>
      <c r="H959" s="9" t="s">
        <v>13284</v>
      </c>
      <c r="I959" s="9" t="s">
        <v>13284</v>
      </c>
      <c r="J959" s="9" t="s">
        <v>13284</v>
      </c>
      <c r="K959" s="9" t="s">
        <v>13284</v>
      </c>
      <c r="L959" s="9" t="s">
        <v>13284</v>
      </c>
      <c r="M959" s="9" t="s">
        <v>13284</v>
      </c>
      <c r="N959" s="9" t="s">
        <v>13284</v>
      </c>
      <c r="O959" s="9" t="s">
        <v>13284</v>
      </c>
      <c r="P959" s="9" t="s">
        <v>13284</v>
      </c>
      <c r="Q959" s="9" t="s">
        <v>13284</v>
      </c>
      <c r="R959" s="9" t="s">
        <v>13284</v>
      </c>
      <c r="S959" s="9" t="s">
        <v>13284</v>
      </c>
      <c r="T959" s="9" t="str">
        <f ca="1">IFERROR(IF(AND(VLOOKUP(A959, 'Актуальное состояние (из общего'!A:C,3,0) = "", A959 &lt;&gt; ""), "ПРОВЕРИТЬ", VLOOKUP(A959, 'Актуальное состояние (из общего'!A:C,3,0)), "")</f>
        <v>Аспирант</v>
      </c>
      <c r="U959" s="9" t="s">
        <v>13284</v>
      </c>
      <c r="V959" s="9" t="s">
        <v>13284</v>
      </c>
      <c r="W959" s="12" t="s">
        <v>389</v>
      </c>
      <c r="X959" s="9" t="str">
        <f t="array" ref="X959">IFERROR(INDEX('Адреса общежитий (скрытый)'!$B$2:$B$9, MATCH(W959, 'Адреса общежитий (скрытый)'!$A$2:$A$9, 0)), "")</f>
        <v>2-ой Донской проезд, д. 9</v>
      </c>
      <c r="Y959" s="18"/>
      <c r="Z959" s="18"/>
      <c r="AA959" s="18"/>
      <c r="AB959" s="18"/>
      <c r="AC959" s="18"/>
    </row>
    <row r="960" spans="1:29" ht="32.25" customHeight="1">
      <c r="A960" s="8">
        <v>2312967</v>
      </c>
      <c r="B960" s="9" t="s">
        <v>13284</v>
      </c>
      <c r="C960" s="9" t="s">
        <v>13284</v>
      </c>
      <c r="D960" s="9" t="s">
        <v>13284</v>
      </c>
      <c r="E960" s="9" t="s">
        <v>13284</v>
      </c>
      <c r="F960" s="9" t="s">
        <v>13284</v>
      </c>
      <c r="G960" s="9" t="s">
        <v>13284</v>
      </c>
      <c r="H960" s="9" t="s">
        <v>13284</v>
      </c>
      <c r="I960" s="9" t="s">
        <v>13284</v>
      </c>
      <c r="J960" s="9" t="s">
        <v>13284</v>
      </c>
      <c r="K960" s="9" t="s">
        <v>13284</v>
      </c>
      <c r="L960" s="9" t="s">
        <v>13284</v>
      </c>
      <c r="M960" s="9" t="s">
        <v>13284</v>
      </c>
      <c r="N960" s="9" t="s">
        <v>13284</v>
      </c>
      <c r="O960" s="9" t="s">
        <v>13284</v>
      </c>
      <c r="P960" s="9" t="s">
        <v>13284</v>
      </c>
      <c r="Q960" s="9" t="s">
        <v>13284</v>
      </c>
      <c r="R960" s="9" t="s">
        <v>13284</v>
      </c>
      <c r="S960" s="9" t="s">
        <v>13284</v>
      </c>
      <c r="T960" s="9" t="str">
        <f ca="1">IFERROR(IF(AND(VLOOKUP(A960, 'Актуальное состояние (из общего'!A:C,3,0) = "", A960 &lt;&gt; ""), "ПРОВЕРИТЬ", VLOOKUP(A960, 'Актуальное состояние (из общего'!A:C,3,0)), "")</f>
        <v>Аспирант</v>
      </c>
      <c r="U960" s="9" t="s">
        <v>13284</v>
      </c>
      <c r="V960" s="9" t="s">
        <v>13284</v>
      </c>
      <c r="W960" s="12" t="s">
        <v>389</v>
      </c>
      <c r="X960" s="9" t="str">
        <f t="array" ref="X960">IFERROR(INDEX('Адреса общежитий (скрытый)'!$B$2:$B$9, MATCH(W960, 'Адреса общежитий (скрытый)'!$A$2:$A$9, 0)), "")</f>
        <v>2-ой Донской проезд, д. 9</v>
      </c>
      <c r="Y960" s="18"/>
      <c r="Z960" s="18"/>
      <c r="AA960" s="18"/>
      <c r="AB960" s="18"/>
      <c r="AC960" s="18"/>
    </row>
    <row r="961" spans="1:29" ht="32.25" customHeight="1">
      <c r="A961" s="8">
        <v>2312978</v>
      </c>
      <c r="B961" s="9" t="s">
        <v>13284</v>
      </c>
      <c r="C961" s="9" t="s">
        <v>13284</v>
      </c>
      <c r="D961" s="9" t="s">
        <v>13284</v>
      </c>
      <c r="E961" s="9" t="s">
        <v>13284</v>
      </c>
      <c r="F961" s="9" t="s">
        <v>13284</v>
      </c>
      <c r="G961" s="9" t="s">
        <v>13284</v>
      </c>
      <c r="H961" s="9" t="s">
        <v>13284</v>
      </c>
      <c r="I961" s="9" t="s">
        <v>13284</v>
      </c>
      <c r="J961" s="9" t="s">
        <v>13284</v>
      </c>
      <c r="K961" s="9" t="s">
        <v>13284</v>
      </c>
      <c r="L961" s="9" t="s">
        <v>13284</v>
      </c>
      <c r="M961" s="9" t="s">
        <v>13284</v>
      </c>
      <c r="N961" s="9" t="s">
        <v>13284</v>
      </c>
      <c r="O961" s="9" t="s">
        <v>13284</v>
      </c>
      <c r="P961" s="9" t="s">
        <v>13284</v>
      </c>
      <c r="Q961" s="9" t="s">
        <v>13284</v>
      </c>
      <c r="R961" s="9" t="s">
        <v>13284</v>
      </c>
      <c r="S961" s="9" t="s">
        <v>13284</v>
      </c>
      <c r="T961" s="9" t="str">
        <f ca="1">IFERROR(IF(AND(VLOOKUP(A961, 'Актуальное состояние (из общего'!A:C,3,0) = "", A961 &lt;&gt; ""), "ПРОВЕРИТЬ", VLOOKUP(A961, 'Актуальное состояние (из общего'!A:C,3,0)), "")</f>
        <v>Аспирант</v>
      </c>
      <c r="U961" s="9" t="s">
        <v>13284</v>
      </c>
      <c r="V961" s="9" t="s">
        <v>13284</v>
      </c>
      <c r="W961" s="12" t="s">
        <v>389</v>
      </c>
      <c r="X961" s="9" t="str">
        <f t="array" ref="X961">IFERROR(INDEX('Адреса общежитий (скрытый)'!$B$2:$B$9, MATCH(W961, 'Адреса общежитий (скрытый)'!$A$2:$A$9, 0)), "")</f>
        <v>2-ой Донской проезд, д. 9</v>
      </c>
      <c r="Y961" s="18"/>
      <c r="Z961" s="18"/>
      <c r="AA961" s="18"/>
      <c r="AB961" s="18"/>
      <c r="AC961" s="18"/>
    </row>
    <row r="962" spans="1:29" ht="32.25" customHeight="1">
      <c r="A962" s="8">
        <v>2300105</v>
      </c>
      <c r="B962" s="9" t="s">
        <v>13284</v>
      </c>
      <c r="C962" s="9" t="s">
        <v>13284</v>
      </c>
      <c r="D962" s="9" t="s">
        <v>13284</v>
      </c>
      <c r="E962" s="9" t="s">
        <v>13284</v>
      </c>
      <c r="F962" s="9" t="s">
        <v>13284</v>
      </c>
      <c r="G962" s="9" t="s">
        <v>13284</v>
      </c>
      <c r="H962" s="9" t="s">
        <v>13284</v>
      </c>
      <c r="I962" s="9" t="s">
        <v>13284</v>
      </c>
      <c r="J962" s="9" t="s">
        <v>13284</v>
      </c>
      <c r="K962" s="9" t="s">
        <v>13284</v>
      </c>
      <c r="L962" s="9" t="s">
        <v>13284</v>
      </c>
      <c r="M962" s="9" t="s">
        <v>13284</v>
      </c>
      <c r="N962" s="9" t="s">
        <v>13284</v>
      </c>
      <c r="O962" s="9" t="s">
        <v>13284</v>
      </c>
      <c r="P962" s="9" t="s">
        <v>13284</v>
      </c>
      <c r="Q962" s="9" t="s">
        <v>13284</v>
      </c>
      <c r="R962" s="9" t="s">
        <v>13284</v>
      </c>
      <c r="S962" s="9" t="s">
        <v>13284</v>
      </c>
      <c r="T962" s="9" t="str">
        <f ca="1">IFERROR(IF(AND(VLOOKUP(A962, 'Актуальное состояние (из общего'!A:C,3,0) = "", A962 &lt;&gt; ""), "ПРОВЕРИТЬ", VLOOKUP(A962, 'Актуальное состояние (из общего'!A:C,3,0)), "")</f>
        <v>Аспирант</v>
      </c>
      <c r="U962" s="9" t="s">
        <v>13284</v>
      </c>
      <c r="V962" s="9" t="s">
        <v>13284</v>
      </c>
      <c r="W962" s="12" t="s">
        <v>389</v>
      </c>
      <c r="X962" s="9" t="str">
        <f t="array" ref="X962">IFERROR(INDEX('Адреса общежитий (скрытый)'!$B$2:$B$9, MATCH(W962, 'Адреса общежитий (скрытый)'!$A$2:$A$9, 0)), "")</f>
        <v>2-ой Донской проезд, д. 9</v>
      </c>
      <c r="Y962" s="18"/>
      <c r="Z962" s="18"/>
      <c r="AA962" s="18"/>
      <c r="AB962" s="18"/>
      <c r="AC962" s="18"/>
    </row>
    <row r="963" spans="1:29" ht="32.25" customHeight="1">
      <c r="A963" s="8">
        <v>2305036</v>
      </c>
      <c r="B963" s="9" t="s">
        <v>13284</v>
      </c>
      <c r="C963" s="9" t="s">
        <v>13284</v>
      </c>
      <c r="D963" s="9" t="s">
        <v>13284</v>
      </c>
      <c r="E963" s="9" t="s">
        <v>13284</v>
      </c>
      <c r="F963" s="9" t="s">
        <v>13284</v>
      </c>
      <c r="G963" s="9" t="s">
        <v>13284</v>
      </c>
      <c r="H963" s="9" t="s">
        <v>13284</v>
      </c>
      <c r="I963" s="9" t="s">
        <v>13284</v>
      </c>
      <c r="J963" s="9" t="s">
        <v>13284</v>
      </c>
      <c r="K963" s="9" t="s">
        <v>13284</v>
      </c>
      <c r="L963" s="9" t="s">
        <v>13284</v>
      </c>
      <c r="M963" s="9" t="s">
        <v>13284</v>
      </c>
      <c r="N963" s="9" t="s">
        <v>13284</v>
      </c>
      <c r="O963" s="9" t="s">
        <v>13284</v>
      </c>
      <c r="P963" s="9" t="s">
        <v>13284</v>
      </c>
      <c r="Q963" s="9" t="s">
        <v>13284</v>
      </c>
      <c r="R963" s="9" t="s">
        <v>13284</v>
      </c>
      <c r="S963" s="9" t="s">
        <v>13284</v>
      </c>
      <c r="T963" s="9" t="str">
        <f ca="1">IFERROR(IF(AND(VLOOKUP(A963, 'Актуальное состояние (из общего'!A:C,3,0) = "", A963 &lt;&gt; ""), "ПРОВЕРИТЬ", VLOOKUP(A963, 'Актуальное состояние (из общего'!A:C,3,0)), "")</f>
        <v>Аспирант</v>
      </c>
      <c r="U963" s="9" t="s">
        <v>13284</v>
      </c>
      <c r="V963" s="9" t="s">
        <v>13284</v>
      </c>
      <c r="W963" s="12" t="s">
        <v>389</v>
      </c>
      <c r="X963" s="9" t="str">
        <f t="array" ref="X963">IFERROR(INDEX('Адреса общежитий (скрытый)'!$B$2:$B$9, MATCH(W963, 'Адреса общежитий (скрытый)'!$A$2:$A$9, 0)), "")</f>
        <v>2-ой Донской проезд, д. 9</v>
      </c>
      <c r="Y963" s="18"/>
      <c r="Z963" s="18"/>
      <c r="AA963" s="18"/>
      <c r="AB963" s="18"/>
      <c r="AC963" s="18"/>
    </row>
    <row r="964" spans="1:29" ht="32.25" customHeight="1">
      <c r="A964" s="8">
        <v>2300090</v>
      </c>
      <c r="B964" s="9" t="s">
        <v>13284</v>
      </c>
      <c r="C964" s="9" t="s">
        <v>13284</v>
      </c>
      <c r="D964" s="9" t="s">
        <v>13284</v>
      </c>
      <c r="E964" s="9" t="s">
        <v>13284</v>
      </c>
      <c r="F964" s="9" t="s">
        <v>13284</v>
      </c>
      <c r="G964" s="9" t="s">
        <v>13284</v>
      </c>
      <c r="H964" s="9" t="s">
        <v>13284</v>
      </c>
      <c r="I964" s="9" t="s">
        <v>13284</v>
      </c>
      <c r="J964" s="9" t="s">
        <v>13284</v>
      </c>
      <c r="K964" s="9" t="s">
        <v>13284</v>
      </c>
      <c r="L964" s="9" t="s">
        <v>13284</v>
      </c>
      <c r="M964" s="9" t="s">
        <v>13284</v>
      </c>
      <c r="N964" s="9" t="s">
        <v>13284</v>
      </c>
      <c r="O964" s="9" t="s">
        <v>13284</v>
      </c>
      <c r="P964" s="9" t="s">
        <v>13284</v>
      </c>
      <c r="Q964" s="9" t="s">
        <v>13284</v>
      </c>
      <c r="R964" s="9" t="s">
        <v>13284</v>
      </c>
      <c r="S964" s="9" t="s">
        <v>13284</v>
      </c>
      <c r="T964" s="9" t="str">
        <f ca="1">IFERROR(IF(AND(VLOOKUP(A964, 'Актуальное состояние (из общего'!A:C,3,0) = "", A964 &lt;&gt; ""), "ПРОВЕРИТЬ", VLOOKUP(A964, 'Актуальное состояние (из общего'!A:C,3,0)), "")</f>
        <v>Аспирант</v>
      </c>
      <c r="U964" s="9" t="s">
        <v>13284</v>
      </c>
      <c r="V964" s="9" t="s">
        <v>13284</v>
      </c>
      <c r="W964" s="12" t="s">
        <v>389</v>
      </c>
      <c r="X964" s="9" t="str">
        <f t="array" ref="X964">IFERROR(INDEX('Адреса общежитий (скрытый)'!$B$2:$B$9, MATCH(W964, 'Адреса общежитий (скрытый)'!$A$2:$A$9, 0)), "")</f>
        <v>2-ой Донской проезд, д. 9</v>
      </c>
      <c r="Y964" s="18"/>
      <c r="Z964" s="18"/>
      <c r="AA964" s="18"/>
      <c r="AB964" s="18"/>
      <c r="AC964" s="18"/>
    </row>
    <row r="965" spans="1:29" ht="32.25" customHeight="1">
      <c r="A965" s="8">
        <v>2310234</v>
      </c>
      <c r="B965" s="9" t="s">
        <v>13284</v>
      </c>
      <c r="C965" s="9" t="s">
        <v>13284</v>
      </c>
      <c r="D965" s="9" t="s">
        <v>13284</v>
      </c>
      <c r="E965" s="9" t="s">
        <v>13284</v>
      </c>
      <c r="F965" s="9" t="s">
        <v>13284</v>
      </c>
      <c r="G965" s="9" t="s">
        <v>13284</v>
      </c>
      <c r="H965" s="9" t="s">
        <v>13284</v>
      </c>
      <c r="I965" s="9" t="s">
        <v>13284</v>
      </c>
      <c r="J965" s="9" t="s">
        <v>13284</v>
      </c>
      <c r="K965" s="9" t="s">
        <v>13284</v>
      </c>
      <c r="L965" s="9" t="s">
        <v>13284</v>
      </c>
      <c r="M965" s="9" t="s">
        <v>13284</v>
      </c>
      <c r="N965" s="9" t="s">
        <v>13284</v>
      </c>
      <c r="O965" s="9" t="s">
        <v>13284</v>
      </c>
      <c r="P965" s="9" t="s">
        <v>13284</v>
      </c>
      <c r="Q965" s="9" t="s">
        <v>13284</v>
      </c>
      <c r="R965" s="9" t="s">
        <v>13284</v>
      </c>
      <c r="S965" s="9" t="s">
        <v>13284</v>
      </c>
      <c r="T965" s="9" t="str">
        <f ca="1">IFERROR(IF(AND(VLOOKUP(A965, 'Актуальное состояние (из общего'!A:C,3,0) = "", A965 &lt;&gt; ""), "ПРОВЕРИТЬ", VLOOKUP(A965, 'Актуальное состояние (из общего'!A:C,3,0)), "")</f>
        <v>Аспирант</v>
      </c>
      <c r="U965" s="9" t="s">
        <v>13284</v>
      </c>
      <c r="V965" s="9" t="s">
        <v>13284</v>
      </c>
      <c r="W965" s="12" t="s">
        <v>389</v>
      </c>
      <c r="X965" s="9" t="str">
        <f t="array" ref="X965">IFERROR(INDEX('Адреса общежитий (скрытый)'!$B$2:$B$9, MATCH(W965, 'Адреса общежитий (скрытый)'!$A$2:$A$9, 0)), "")</f>
        <v>2-ой Донской проезд, д. 9</v>
      </c>
      <c r="Y965" s="18"/>
      <c r="Z965" s="18"/>
      <c r="AA965" s="18"/>
      <c r="AB965" s="18"/>
      <c r="AC965" s="18"/>
    </row>
    <row r="966" spans="1:29" ht="32.25" hidden="1" customHeight="1">
      <c r="A966" s="8">
        <v>2311929</v>
      </c>
      <c r="B966" s="9" t="s">
        <v>13284</v>
      </c>
      <c r="C966" s="9" t="s">
        <v>13284</v>
      </c>
      <c r="D966" s="9" t="s">
        <v>13284</v>
      </c>
      <c r="E966" s="9" t="s">
        <v>13284</v>
      </c>
      <c r="F966" s="9" t="s">
        <v>13284</v>
      </c>
      <c r="G966" s="9" t="s">
        <v>13284</v>
      </c>
      <c r="H966" s="9" t="s">
        <v>13284</v>
      </c>
      <c r="I966" s="9" t="s">
        <v>13284</v>
      </c>
      <c r="J966" s="9" t="s">
        <v>13284</v>
      </c>
      <c r="K966" s="9" t="s">
        <v>13284</v>
      </c>
      <c r="L966" s="9" t="s">
        <v>13284</v>
      </c>
      <c r="M966" s="9" t="s">
        <v>13284</v>
      </c>
      <c r="N966" s="9" t="s">
        <v>13284</v>
      </c>
      <c r="O966" s="9" t="s">
        <v>13284</v>
      </c>
      <c r="P966" s="9" t="s">
        <v>13284</v>
      </c>
      <c r="Q966" s="9" t="s">
        <v>13284</v>
      </c>
      <c r="R966" s="9" t="s">
        <v>13284</v>
      </c>
      <c r="S966" s="9" t="s">
        <v>13284</v>
      </c>
      <c r="T966" s="9" t="str">
        <f ca="1">IFERROR(IF(AND(VLOOKUP(A966, 'Актуальное состояние (из общего'!A:C,3,0) = "", A966 &lt;&gt; ""), "ПРОВЕРИТЬ", VLOOKUP(A966, 'Актуальное состояние (из общего'!A:C,3,0)), "")</f>
        <v>Аспирант</v>
      </c>
      <c r="U966" s="9" t="s">
        <v>13284</v>
      </c>
      <c r="V966" s="9" t="s">
        <v>13284</v>
      </c>
      <c r="W966" s="12" t="s">
        <v>389</v>
      </c>
      <c r="X966" s="9" t="str">
        <f t="array" ref="X966">IFERROR(INDEX('Адреса общежитий (скрытый)'!$B$2:$B$9, MATCH(W966, 'Адреса общежитий (скрытый)'!$A$2:$A$9, 0)), "")</f>
        <v>2-ой Донской проезд, д. 9</v>
      </c>
      <c r="Y966" s="18"/>
      <c r="Z966" s="18"/>
      <c r="AA966" s="18"/>
      <c r="AB966" s="18"/>
      <c r="AC966" s="18"/>
    </row>
    <row r="967" spans="1:29" ht="32.25" hidden="1" customHeight="1">
      <c r="A967" s="8">
        <v>2310250</v>
      </c>
      <c r="B967" s="9" t="s">
        <v>13284</v>
      </c>
      <c r="C967" s="9" t="s">
        <v>13284</v>
      </c>
      <c r="D967" s="9" t="s">
        <v>13284</v>
      </c>
      <c r="E967" s="9" t="s">
        <v>13284</v>
      </c>
      <c r="F967" s="9" t="s">
        <v>13284</v>
      </c>
      <c r="G967" s="9" t="s">
        <v>13284</v>
      </c>
      <c r="H967" s="9" t="s">
        <v>13284</v>
      </c>
      <c r="I967" s="9" t="s">
        <v>13284</v>
      </c>
      <c r="J967" s="9" t="s">
        <v>13284</v>
      </c>
      <c r="K967" s="9" t="s">
        <v>13284</v>
      </c>
      <c r="L967" s="9" t="s">
        <v>13284</v>
      </c>
      <c r="M967" s="9" t="s">
        <v>13284</v>
      </c>
      <c r="N967" s="9" t="s">
        <v>13284</v>
      </c>
      <c r="O967" s="9" t="s">
        <v>13284</v>
      </c>
      <c r="P967" s="9" t="s">
        <v>13284</v>
      </c>
      <c r="Q967" s="9" t="s">
        <v>13284</v>
      </c>
      <c r="R967" s="9" t="s">
        <v>13284</v>
      </c>
      <c r="S967" s="9" t="s">
        <v>13284</v>
      </c>
      <c r="T967" s="9" t="str">
        <f ca="1">IFERROR(IF(AND(VLOOKUP(A967, 'Актуальное состояние (из общего'!A:C,3,0) = "", A967 &lt;&gt; ""), "ПРОВЕРИТЬ", VLOOKUP(A967, 'Актуальное состояние (из общего'!A:C,3,0)), "")</f>
        <v>Аспирант</v>
      </c>
      <c r="U967" s="9" t="s">
        <v>13284</v>
      </c>
      <c r="V967" s="9" t="s">
        <v>13284</v>
      </c>
      <c r="W967" s="12" t="s">
        <v>389</v>
      </c>
      <c r="X967" s="9" t="str">
        <f t="array" ref="X967">IFERROR(INDEX('Адреса общежитий (скрытый)'!$B$2:$B$9, MATCH(W967, 'Адреса общежитий (скрытый)'!$A$2:$A$9, 0)), "")</f>
        <v>2-ой Донской проезд, д. 9</v>
      </c>
      <c r="Y967" s="18"/>
      <c r="Z967" s="18"/>
      <c r="AA967" s="18"/>
      <c r="AB967" s="18"/>
      <c r="AC967" s="18"/>
    </row>
    <row r="968" spans="1:29" ht="32.25" customHeight="1">
      <c r="A968" s="8">
        <v>2309121</v>
      </c>
      <c r="B968" s="9" t="s">
        <v>13284</v>
      </c>
      <c r="C968" s="9" t="s">
        <v>13284</v>
      </c>
      <c r="D968" s="9" t="s">
        <v>13284</v>
      </c>
      <c r="E968" s="9" t="s">
        <v>13284</v>
      </c>
      <c r="F968" s="9" t="s">
        <v>13284</v>
      </c>
      <c r="G968" s="9" t="s">
        <v>13284</v>
      </c>
      <c r="H968" s="9" t="s">
        <v>13284</v>
      </c>
      <c r="I968" s="9" t="s">
        <v>13284</v>
      </c>
      <c r="J968" s="9" t="s">
        <v>13284</v>
      </c>
      <c r="K968" s="9" t="s">
        <v>13284</v>
      </c>
      <c r="L968" s="9" t="s">
        <v>13284</v>
      </c>
      <c r="M968" s="9" t="s">
        <v>13284</v>
      </c>
      <c r="N968" s="9" t="s">
        <v>13284</v>
      </c>
      <c r="O968" s="9" t="s">
        <v>13284</v>
      </c>
      <c r="P968" s="9" t="s">
        <v>13284</v>
      </c>
      <c r="Q968" s="9" t="s">
        <v>13284</v>
      </c>
      <c r="R968" s="9" t="s">
        <v>13284</v>
      </c>
      <c r="S968" s="9" t="s">
        <v>13284</v>
      </c>
      <c r="T968" s="9" t="str">
        <f ca="1">IFERROR(IF(AND(VLOOKUP(A968, 'Актуальное состояние (из общего'!A:C,3,0) = "", A968 &lt;&gt; ""), "ПРОВЕРИТЬ", VLOOKUP(A968, 'Актуальное состояние (из общего'!A:C,3,0)), "")</f>
        <v>Аспирант</v>
      </c>
      <c r="U968" s="9" t="s">
        <v>13284</v>
      </c>
      <c r="V968" s="9" t="s">
        <v>13284</v>
      </c>
      <c r="W968" s="12" t="s">
        <v>389</v>
      </c>
      <c r="X968" s="9" t="str">
        <f t="array" ref="X968">IFERROR(INDEX('Адреса общежитий (скрытый)'!$B$2:$B$9, MATCH(W968, 'Адреса общежитий (скрытый)'!$A$2:$A$9, 0)), "")</f>
        <v>2-ой Донской проезд, д. 9</v>
      </c>
      <c r="Y968" s="18"/>
      <c r="Z968" s="18"/>
      <c r="AA968" s="18"/>
      <c r="AB968" s="18"/>
      <c r="AC968" s="18"/>
    </row>
    <row r="969" spans="1:29" ht="32.25" customHeight="1">
      <c r="A969" s="8">
        <v>2300087</v>
      </c>
      <c r="B969" s="9" t="s">
        <v>13284</v>
      </c>
      <c r="C969" s="9" t="s">
        <v>13284</v>
      </c>
      <c r="D969" s="9" t="s">
        <v>13284</v>
      </c>
      <c r="E969" s="9" t="s">
        <v>13284</v>
      </c>
      <c r="F969" s="9" t="s">
        <v>13284</v>
      </c>
      <c r="G969" s="9" t="s">
        <v>13284</v>
      </c>
      <c r="H969" s="9" t="s">
        <v>13284</v>
      </c>
      <c r="I969" s="9" t="s">
        <v>13284</v>
      </c>
      <c r="J969" s="9" t="s">
        <v>13284</v>
      </c>
      <c r="K969" s="9" t="s">
        <v>13284</v>
      </c>
      <c r="L969" s="9" t="s">
        <v>13284</v>
      </c>
      <c r="M969" s="9" t="s">
        <v>13284</v>
      </c>
      <c r="N969" s="9" t="s">
        <v>13284</v>
      </c>
      <c r="O969" s="9" t="s">
        <v>13284</v>
      </c>
      <c r="P969" s="9" t="s">
        <v>13284</v>
      </c>
      <c r="Q969" s="9" t="s">
        <v>13284</v>
      </c>
      <c r="R969" s="9" t="s">
        <v>13284</v>
      </c>
      <c r="S969" s="9" t="s">
        <v>13284</v>
      </c>
      <c r="T969" s="9" t="str">
        <f ca="1">IFERROR(IF(AND(VLOOKUP(A969, 'Актуальное состояние (из общего'!A:C,3,0) = "", A969 &lt;&gt; ""), "ПРОВЕРИТЬ", VLOOKUP(A969, 'Актуальное состояние (из общего'!A:C,3,0)), "")</f>
        <v>Аспирант</v>
      </c>
      <c r="U969" s="9" t="s">
        <v>196</v>
      </c>
      <c r="V969" s="9" t="s">
        <v>13284</v>
      </c>
      <c r="W969" s="12" t="s">
        <v>196</v>
      </c>
      <c r="X969" s="9" t="str">
        <f t="array" ref="X969">IFERROR(INDEX('Адреса общежитий (скрытый)'!$B$2:$B$9, MATCH(W969, 'Адреса общежитий (скрытый)'!$A$2:$A$9, 0)), "")</f>
        <v>проспект 60-летия Октября, д.15</v>
      </c>
      <c r="Y969" s="18"/>
      <c r="Z969" s="18"/>
      <c r="AA969" s="18"/>
      <c r="AB969" s="18"/>
      <c r="AC969" s="18"/>
    </row>
    <row r="970" spans="1:29" ht="32.25" hidden="1" customHeight="1">
      <c r="A970" s="8">
        <v>2311255</v>
      </c>
      <c r="B970" s="9" t="s">
        <v>13284</v>
      </c>
      <c r="C970" s="9" t="s">
        <v>13284</v>
      </c>
      <c r="D970" s="9" t="s">
        <v>13284</v>
      </c>
      <c r="E970" s="9" t="s">
        <v>13284</v>
      </c>
      <c r="F970" s="9" t="s">
        <v>13284</v>
      </c>
      <c r="G970" s="9" t="s">
        <v>13284</v>
      </c>
      <c r="H970" s="9" t="s">
        <v>13284</v>
      </c>
      <c r="I970" s="9" t="s">
        <v>13284</v>
      </c>
      <c r="J970" s="9" t="s">
        <v>13284</v>
      </c>
      <c r="K970" s="9" t="s">
        <v>13284</v>
      </c>
      <c r="L970" s="9" t="s">
        <v>13284</v>
      </c>
      <c r="M970" s="9" t="s">
        <v>13284</v>
      </c>
      <c r="N970" s="9" t="s">
        <v>13284</v>
      </c>
      <c r="O970" s="9" t="s">
        <v>13284</v>
      </c>
      <c r="P970" s="9" t="s">
        <v>13284</v>
      </c>
      <c r="Q970" s="9" t="s">
        <v>13284</v>
      </c>
      <c r="R970" s="9" t="s">
        <v>13284</v>
      </c>
      <c r="S970" s="9" t="s">
        <v>13284</v>
      </c>
      <c r="T970" s="9" t="str">
        <f ca="1">IFERROR(IF(AND(VLOOKUP(A970, 'Актуальное состояние (из общего'!A:C,3,0) = "", A970 &lt;&gt; ""), "ПРОВЕРИТЬ", VLOOKUP(A970, 'Актуальное состояние (из общего'!A:C,3,0)), "")</f>
        <v>Аспирант</v>
      </c>
      <c r="U970" s="9" t="s">
        <v>13284</v>
      </c>
      <c r="V970" s="9" t="s">
        <v>13284</v>
      </c>
      <c r="W970" s="12" t="s">
        <v>389</v>
      </c>
      <c r="X970" s="9" t="str">
        <f t="array" ref="X970">IFERROR(INDEX('Адреса общежитий (скрытый)'!$B$2:$B$9, MATCH(W970, 'Адреса общежитий (скрытый)'!$A$2:$A$9, 0)), "")</f>
        <v>2-ой Донской проезд, д. 9</v>
      </c>
      <c r="Y970" s="18"/>
      <c r="Z970" s="18"/>
      <c r="AA970" s="18"/>
      <c r="AB970" s="18"/>
      <c r="AC970" s="18"/>
    </row>
    <row r="971" spans="1:29" ht="32.25" customHeight="1">
      <c r="A971" s="8">
        <v>2300152</v>
      </c>
      <c r="B971" s="9" t="s">
        <v>13284</v>
      </c>
      <c r="C971" s="9" t="s">
        <v>13284</v>
      </c>
      <c r="D971" s="9" t="s">
        <v>13284</v>
      </c>
      <c r="E971" s="9" t="s">
        <v>13284</v>
      </c>
      <c r="F971" s="9" t="s">
        <v>13284</v>
      </c>
      <c r="G971" s="9" t="s">
        <v>13284</v>
      </c>
      <c r="H971" s="9" t="s">
        <v>13284</v>
      </c>
      <c r="I971" s="9" t="s">
        <v>13284</v>
      </c>
      <c r="J971" s="9" t="s">
        <v>13284</v>
      </c>
      <c r="K971" s="9" t="s">
        <v>13284</v>
      </c>
      <c r="L971" s="9" t="s">
        <v>13284</v>
      </c>
      <c r="M971" s="9" t="s">
        <v>13284</v>
      </c>
      <c r="N971" s="9" t="s">
        <v>13284</v>
      </c>
      <c r="O971" s="9" t="s">
        <v>13284</v>
      </c>
      <c r="P971" s="9" t="s">
        <v>13284</v>
      </c>
      <c r="Q971" s="9" t="s">
        <v>13284</v>
      </c>
      <c r="R971" s="9" t="s">
        <v>13284</v>
      </c>
      <c r="S971" s="9" t="s">
        <v>13284</v>
      </c>
      <c r="T971" s="9" t="str">
        <f ca="1">IFERROR(IF(AND(VLOOKUP(A971, 'Актуальное состояние (из общего'!A:C,3,0) = "", A971 &lt;&gt; ""), "ПРОВЕРИТЬ", VLOOKUP(A971, 'Актуальное состояние (из общего'!A:C,3,0)), "")</f>
        <v>Аспирант</v>
      </c>
      <c r="U971" s="9" t="s">
        <v>13284</v>
      </c>
      <c r="V971" s="9" t="s">
        <v>13284</v>
      </c>
      <c r="W971" s="12" t="s">
        <v>389</v>
      </c>
      <c r="X971" s="9" t="str">
        <f t="array" ref="X971">IFERROR(INDEX('Адреса общежитий (скрытый)'!$B$2:$B$9, MATCH(W971, 'Адреса общежитий (скрытый)'!$A$2:$A$9, 0)), "")</f>
        <v>2-ой Донской проезд, д. 9</v>
      </c>
      <c r="Y971" s="18"/>
      <c r="Z971" s="18"/>
      <c r="AA971" s="18"/>
      <c r="AB971" s="18"/>
      <c r="AC971" s="18"/>
    </row>
    <row r="972" spans="1:29" ht="32.25" customHeight="1">
      <c r="A972" s="8">
        <v>2300170</v>
      </c>
      <c r="B972" s="9" t="s">
        <v>13284</v>
      </c>
      <c r="C972" s="9" t="s">
        <v>13284</v>
      </c>
      <c r="D972" s="9" t="s">
        <v>13284</v>
      </c>
      <c r="E972" s="9" t="s">
        <v>13284</v>
      </c>
      <c r="F972" s="9" t="s">
        <v>13284</v>
      </c>
      <c r="G972" s="9" t="s">
        <v>13284</v>
      </c>
      <c r="H972" s="9" t="s">
        <v>13284</v>
      </c>
      <c r="I972" s="9" t="s">
        <v>13284</v>
      </c>
      <c r="J972" s="9" t="s">
        <v>13284</v>
      </c>
      <c r="K972" s="9" t="s">
        <v>13284</v>
      </c>
      <c r="L972" s="9" t="s">
        <v>13284</v>
      </c>
      <c r="M972" s="9" t="s">
        <v>13284</v>
      </c>
      <c r="N972" s="9" t="s">
        <v>13284</v>
      </c>
      <c r="O972" s="9" t="s">
        <v>13284</v>
      </c>
      <c r="P972" s="9" t="s">
        <v>13284</v>
      </c>
      <c r="Q972" s="9" t="s">
        <v>13284</v>
      </c>
      <c r="R972" s="9" t="s">
        <v>13284</v>
      </c>
      <c r="S972" s="9" t="s">
        <v>13284</v>
      </c>
      <c r="T972" s="9" t="str">
        <f ca="1">IFERROR(IF(AND(VLOOKUP(A972, 'Актуальное состояние (из общего'!A:C,3,0) = "", A972 &lt;&gt; ""), "ПРОВЕРИТЬ", VLOOKUP(A972, 'Актуальное состояние (из общего'!A:C,3,0)), "")</f>
        <v>Аспирант</v>
      </c>
      <c r="U972" s="9" t="s">
        <v>13284</v>
      </c>
      <c r="V972" s="9" t="s">
        <v>13284</v>
      </c>
      <c r="W972" s="12" t="s">
        <v>389</v>
      </c>
      <c r="X972" s="9" t="str">
        <f t="array" ref="X972">IFERROR(INDEX('Адреса общежитий (скрытый)'!$B$2:$B$9, MATCH(W972, 'Адреса общежитий (скрытый)'!$A$2:$A$9, 0)), "")</f>
        <v>2-ой Донской проезд, д. 9</v>
      </c>
      <c r="Y972" s="18"/>
      <c r="Z972" s="18"/>
      <c r="AA972" s="18"/>
      <c r="AB972" s="18"/>
      <c r="AC972" s="18"/>
    </row>
    <row r="973" spans="1:29" ht="32.25" hidden="1" customHeight="1">
      <c r="A973" s="8">
        <v>2309570</v>
      </c>
      <c r="B973" s="9" t="s">
        <v>13284</v>
      </c>
      <c r="C973" s="9" t="s">
        <v>13284</v>
      </c>
      <c r="D973" s="9" t="s">
        <v>13284</v>
      </c>
      <c r="E973" s="9" t="s">
        <v>13284</v>
      </c>
      <c r="F973" s="9" t="s">
        <v>13284</v>
      </c>
      <c r="G973" s="9" t="s">
        <v>13284</v>
      </c>
      <c r="H973" s="9" t="s">
        <v>13284</v>
      </c>
      <c r="I973" s="9" t="s">
        <v>13284</v>
      </c>
      <c r="J973" s="9" t="s">
        <v>13284</v>
      </c>
      <c r="K973" s="9" t="s">
        <v>13284</v>
      </c>
      <c r="L973" s="9" t="s">
        <v>13284</v>
      </c>
      <c r="M973" s="9" t="s">
        <v>13284</v>
      </c>
      <c r="N973" s="9" t="s">
        <v>13284</v>
      </c>
      <c r="O973" s="9" t="s">
        <v>13284</v>
      </c>
      <c r="P973" s="9" t="s">
        <v>13284</v>
      </c>
      <c r="Q973" s="9" t="s">
        <v>13284</v>
      </c>
      <c r="R973" s="9" t="s">
        <v>13284</v>
      </c>
      <c r="S973" s="9" t="s">
        <v>13284</v>
      </c>
      <c r="T973" s="9" t="str">
        <f ca="1">IFERROR(IF(AND(VLOOKUP(A973, 'Актуальное состояние (из общего'!A:C,3,0) = "", A973 &lt;&gt; ""), "ПРОВЕРИТЬ", VLOOKUP(A973, 'Актуальное состояние (из общего'!A:C,3,0)), "")</f>
        <v>Аспирант</v>
      </c>
      <c r="U973" s="9" t="s">
        <v>13284</v>
      </c>
      <c r="V973" s="9" t="s">
        <v>13284</v>
      </c>
      <c r="W973" s="12" t="s">
        <v>389</v>
      </c>
      <c r="X973" s="9" t="str">
        <f t="array" ref="X973">IFERROR(INDEX('Адреса общежитий (скрытый)'!$B$2:$B$9, MATCH(W973, 'Адреса общежитий (скрытый)'!$A$2:$A$9, 0)), "")</f>
        <v>2-ой Донской проезд, д. 9</v>
      </c>
      <c r="Y973" s="18"/>
      <c r="Z973" s="18"/>
      <c r="AA973" s="18"/>
      <c r="AB973" s="18"/>
      <c r="AC973" s="18"/>
    </row>
    <row r="974" spans="1:29" ht="32.25" customHeight="1">
      <c r="A974" s="8">
        <v>2300288</v>
      </c>
      <c r="B974" s="9" t="s">
        <v>13284</v>
      </c>
      <c r="C974" s="9" t="s">
        <v>13284</v>
      </c>
      <c r="D974" s="9" t="s">
        <v>13284</v>
      </c>
      <c r="E974" s="9" t="s">
        <v>13284</v>
      </c>
      <c r="F974" s="9" t="s">
        <v>13284</v>
      </c>
      <c r="G974" s="9" t="s">
        <v>13284</v>
      </c>
      <c r="H974" s="9" t="s">
        <v>13284</v>
      </c>
      <c r="I974" s="9" t="s">
        <v>13284</v>
      </c>
      <c r="J974" s="9" t="s">
        <v>13284</v>
      </c>
      <c r="K974" s="9" t="s">
        <v>13284</v>
      </c>
      <c r="L974" s="9" t="s">
        <v>13284</v>
      </c>
      <c r="M974" s="9" t="s">
        <v>13284</v>
      </c>
      <c r="N974" s="9" t="s">
        <v>13284</v>
      </c>
      <c r="O974" s="9" t="s">
        <v>13284</v>
      </c>
      <c r="P974" s="9" t="s">
        <v>13284</v>
      </c>
      <c r="Q974" s="9" t="s">
        <v>13284</v>
      </c>
      <c r="R974" s="9" t="s">
        <v>13284</v>
      </c>
      <c r="S974" s="9" t="s">
        <v>13284</v>
      </c>
      <c r="T974" s="9" t="str">
        <f ca="1">IFERROR(IF(AND(VLOOKUP(A974, 'Актуальное состояние (из общего'!A:C,3,0) = "", A974 &lt;&gt; ""), "ПРОВЕРИТЬ", VLOOKUP(A974, 'Актуальное состояние (из общего'!A:C,3,0)), "")</f>
        <v>Аспирант</v>
      </c>
      <c r="U974" s="9" t="s">
        <v>13284</v>
      </c>
      <c r="V974" s="9" t="s">
        <v>13284</v>
      </c>
      <c r="W974" s="12" t="s">
        <v>389</v>
      </c>
      <c r="X974" s="9" t="str">
        <f t="array" ref="X974">IFERROR(INDEX('Адреса общежитий (скрытый)'!$B$2:$B$9, MATCH(W974, 'Адреса общежитий (скрытый)'!$A$2:$A$9, 0)), "")</f>
        <v>2-ой Донской проезд, д. 9</v>
      </c>
      <c r="Y974" s="18"/>
      <c r="Z974" s="18"/>
      <c r="AA974" s="18"/>
      <c r="AB974" s="18"/>
      <c r="AC974" s="18"/>
    </row>
    <row r="975" spans="1:29" ht="32.25" hidden="1" customHeight="1">
      <c r="A975" s="8">
        <v>2309168</v>
      </c>
      <c r="B975" s="9" t="s">
        <v>13284</v>
      </c>
      <c r="C975" s="9" t="s">
        <v>13284</v>
      </c>
      <c r="D975" s="9" t="s">
        <v>13284</v>
      </c>
      <c r="E975" s="9" t="s">
        <v>13284</v>
      </c>
      <c r="F975" s="9" t="s">
        <v>13284</v>
      </c>
      <c r="G975" s="9" t="s">
        <v>13284</v>
      </c>
      <c r="H975" s="9" t="s">
        <v>13284</v>
      </c>
      <c r="I975" s="9" t="s">
        <v>13284</v>
      </c>
      <c r="J975" s="9" t="s">
        <v>13284</v>
      </c>
      <c r="K975" s="9" t="s">
        <v>13284</v>
      </c>
      <c r="L975" s="9" t="s">
        <v>13284</v>
      </c>
      <c r="M975" s="9" t="s">
        <v>13284</v>
      </c>
      <c r="N975" s="9" t="s">
        <v>13284</v>
      </c>
      <c r="O975" s="9" t="s">
        <v>13284</v>
      </c>
      <c r="P975" s="9" t="s">
        <v>13284</v>
      </c>
      <c r="Q975" s="9" t="s">
        <v>13284</v>
      </c>
      <c r="R975" s="9" t="s">
        <v>13284</v>
      </c>
      <c r="S975" s="9" t="s">
        <v>13284</v>
      </c>
      <c r="T975" s="9" t="str">
        <f ca="1">IFERROR(IF(AND(VLOOKUP(A975, 'Актуальное состояние (из общего'!A:C,3,0) = "", A975 &lt;&gt; ""), "ПРОВЕРИТЬ", VLOOKUP(A975, 'Актуальное состояние (из общего'!A:C,3,0)), "")</f>
        <v>Аспирант</v>
      </c>
      <c r="U975" s="9" t="s">
        <v>13284</v>
      </c>
      <c r="V975" s="9" t="s">
        <v>13284</v>
      </c>
      <c r="W975" s="12" t="s">
        <v>389</v>
      </c>
      <c r="X975" s="9" t="str">
        <f t="array" ref="X975">IFERROR(INDEX('Адреса общежитий (скрытый)'!$B$2:$B$9, MATCH(W975, 'Адреса общежитий (скрытый)'!$A$2:$A$9, 0)), "")</f>
        <v>2-ой Донской проезд, д. 9</v>
      </c>
      <c r="Y975" s="18"/>
      <c r="Z975" s="18"/>
      <c r="AA975" s="18"/>
      <c r="AB975" s="18"/>
      <c r="AC975" s="18"/>
    </row>
    <row r="976" spans="1:29" ht="32.25" customHeight="1">
      <c r="A976" s="8">
        <v>2300173</v>
      </c>
      <c r="B976" s="9" t="s">
        <v>13284</v>
      </c>
      <c r="C976" s="9" t="s">
        <v>13284</v>
      </c>
      <c r="D976" s="9" t="s">
        <v>13284</v>
      </c>
      <c r="E976" s="9" t="s">
        <v>13284</v>
      </c>
      <c r="F976" s="9" t="s">
        <v>13284</v>
      </c>
      <c r="G976" s="9" t="s">
        <v>13284</v>
      </c>
      <c r="H976" s="9" t="s">
        <v>13284</v>
      </c>
      <c r="I976" s="9" t="s">
        <v>13284</v>
      </c>
      <c r="J976" s="9" t="s">
        <v>13284</v>
      </c>
      <c r="K976" s="9" t="s">
        <v>13284</v>
      </c>
      <c r="L976" s="9" t="s">
        <v>13284</v>
      </c>
      <c r="M976" s="9" t="s">
        <v>13284</v>
      </c>
      <c r="N976" s="9" t="s">
        <v>13284</v>
      </c>
      <c r="O976" s="9" t="s">
        <v>13284</v>
      </c>
      <c r="P976" s="9" t="s">
        <v>13284</v>
      </c>
      <c r="Q976" s="9" t="s">
        <v>13284</v>
      </c>
      <c r="R976" s="9" t="s">
        <v>13284</v>
      </c>
      <c r="S976" s="9" t="s">
        <v>13284</v>
      </c>
      <c r="T976" s="9" t="str">
        <f ca="1">IFERROR(IF(AND(VLOOKUP(A976, 'Актуальное состояние (из общего'!A:C,3,0) = "", A976 &lt;&gt; ""), "ПРОВЕРИТЬ", VLOOKUP(A976, 'Актуальное состояние (из общего'!A:C,3,0)), "")</f>
        <v>Аспирант</v>
      </c>
      <c r="U976" s="9" t="s">
        <v>13284</v>
      </c>
      <c r="V976" s="9" t="s">
        <v>13284</v>
      </c>
      <c r="W976" s="12" t="s">
        <v>389</v>
      </c>
      <c r="X976" s="9" t="str">
        <f t="array" ref="X976">IFERROR(INDEX('Адреса общежитий (скрытый)'!$B$2:$B$9, MATCH(W976, 'Адреса общежитий (скрытый)'!$A$2:$A$9, 0)), "")</f>
        <v>2-ой Донской проезд, д. 9</v>
      </c>
      <c r="Y976" s="18"/>
      <c r="Z976" s="18"/>
      <c r="AA976" s="18"/>
      <c r="AB976" s="18"/>
      <c r="AC976" s="18"/>
    </row>
    <row r="977" spans="1:29" ht="32.25" hidden="1" customHeight="1">
      <c r="A977" s="8">
        <v>2300141</v>
      </c>
      <c r="B977" s="9" t="s">
        <v>13284</v>
      </c>
      <c r="C977" s="9" t="s">
        <v>13284</v>
      </c>
      <c r="D977" s="9" t="s">
        <v>13284</v>
      </c>
      <c r="E977" s="9" t="s">
        <v>13284</v>
      </c>
      <c r="F977" s="9" t="s">
        <v>13284</v>
      </c>
      <c r="G977" s="9" t="s">
        <v>13284</v>
      </c>
      <c r="H977" s="9" t="s">
        <v>13284</v>
      </c>
      <c r="I977" s="9" t="s">
        <v>13284</v>
      </c>
      <c r="J977" s="9" t="s">
        <v>13284</v>
      </c>
      <c r="K977" s="9" t="s">
        <v>13284</v>
      </c>
      <c r="L977" s="9" t="s">
        <v>13284</v>
      </c>
      <c r="M977" s="9" t="s">
        <v>13284</v>
      </c>
      <c r="N977" s="9" t="s">
        <v>13284</v>
      </c>
      <c r="O977" s="9" t="s">
        <v>13284</v>
      </c>
      <c r="P977" s="9" t="s">
        <v>13284</v>
      </c>
      <c r="Q977" s="9" t="s">
        <v>13284</v>
      </c>
      <c r="R977" s="9" t="s">
        <v>13284</v>
      </c>
      <c r="S977" s="9" t="s">
        <v>13284</v>
      </c>
      <c r="T977" s="9" t="str">
        <f ca="1">IFERROR(IF(AND(VLOOKUP(A977, 'Актуальное состояние (из общего'!A:C,3,0) = "", A977 &lt;&gt; ""), "ПРОВЕРИТЬ", VLOOKUP(A977, 'Актуальное состояние (из общего'!A:C,3,0)), "")</f>
        <v>Аспирант</v>
      </c>
      <c r="U977" s="9" t="s">
        <v>13284</v>
      </c>
      <c r="V977" s="9" t="s">
        <v>13284</v>
      </c>
      <c r="W977" s="12" t="s">
        <v>389</v>
      </c>
      <c r="X977" s="9" t="str">
        <f t="array" ref="X977">IFERROR(INDEX('Адреса общежитий (скрытый)'!$B$2:$B$9, MATCH(W977, 'Адреса общежитий (скрытый)'!$A$2:$A$9, 0)), "")</f>
        <v>2-ой Донской проезд, д. 9</v>
      </c>
      <c r="Y977" s="18"/>
      <c r="Z977" s="18"/>
      <c r="AA977" s="18"/>
      <c r="AB977" s="18"/>
      <c r="AC977" s="18"/>
    </row>
    <row r="978" spans="1:29" ht="32.25" customHeight="1">
      <c r="A978" s="8">
        <v>2300103</v>
      </c>
      <c r="B978" s="9" t="s">
        <v>13284</v>
      </c>
      <c r="C978" s="9" t="s">
        <v>13284</v>
      </c>
      <c r="D978" s="9" t="s">
        <v>13284</v>
      </c>
      <c r="E978" s="9" t="s">
        <v>13284</v>
      </c>
      <c r="F978" s="9" t="s">
        <v>13284</v>
      </c>
      <c r="G978" s="9" t="s">
        <v>13284</v>
      </c>
      <c r="H978" s="9" t="s">
        <v>13284</v>
      </c>
      <c r="I978" s="9" t="s">
        <v>13284</v>
      </c>
      <c r="J978" s="9" t="s">
        <v>13284</v>
      </c>
      <c r="K978" s="9" t="s">
        <v>13284</v>
      </c>
      <c r="L978" s="9" t="s">
        <v>13284</v>
      </c>
      <c r="M978" s="9" t="s">
        <v>13284</v>
      </c>
      <c r="N978" s="9" t="s">
        <v>13284</v>
      </c>
      <c r="O978" s="9" t="s">
        <v>13284</v>
      </c>
      <c r="P978" s="9" t="s">
        <v>13284</v>
      </c>
      <c r="Q978" s="9" t="s">
        <v>13284</v>
      </c>
      <c r="R978" s="9" t="s">
        <v>13284</v>
      </c>
      <c r="S978" s="9" t="s">
        <v>13284</v>
      </c>
      <c r="T978" s="9" t="str">
        <f ca="1">IFERROR(IF(AND(VLOOKUP(A978, 'Актуальное состояние (из общего'!A:C,3,0) = "", A978 &lt;&gt; ""), "ПРОВЕРИТЬ", VLOOKUP(A978, 'Актуальное состояние (из общего'!A:C,3,0)), "")</f>
        <v>Аспирант</v>
      </c>
      <c r="U978" s="9" t="s">
        <v>13284</v>
      </c>
      <c r="V978" s="9" t="s">
        <v>13284</v>
      </c>
      <c r="W978" s="12" t="s">
        <v>389</v>
      </c>
      <c r="X978" s="9" t="str">
        <f t="array" ref="X978">IFERROR(INDEX('Адреса общежитий (скрытый)'!$B$2:$B$9, MATCH(W978, 'Адреса общежитий (скрытый)'!$A$2:$A$9, 0)), "")</f>
        <v>2-ой Донской проезд, д. 9</v>
      </c>
      <c r="Y978" s="18"/>
      <c r="Z978" s="18"/>
      <c r="AA978" s="18"/>
      <c r="AB978" s="18"/>
      <c r="AC978" s="18"/>
    </row>
    <row r="979" spans="1:29" ht="32.25" customHeight="1">
      <c r="A979" s="8">
        <v>2304921</v>
      </c>
      <c r="B979" s="9" t="s">
        <v>13284</v>
      </c>
      <c r="C979" s="9" t="s">
        <v>13284</v>
      </c>
      <c r="D979" s="9" t="s">
        <v>13284</v>
      </c>
      <c r="E979" s="9" t="s">
        <v>13284</v>
      </c>
      <c r="F979" s="9" t="s">
        <v>13284</v>
      </c>
      <c r="G979" s="9" t="s">
        <v>13284</v>
      </c>
      <c r="H979" s="9" t="s">
        <v>13284</v>
      </c>
      <c r="I979" s="9" t="s">
        <v>13284</v>
      </c>
      <c r="J979" s="9" t="s">
        <v>13284</v>
      </c>
      <c r="K979" s="9" t="s">
        <v>13284</v>
      </c>
      <c r="L979" s="9" t="s">
        <v>13284</v>
      </c>
      <c r="M979" s="9" t="s">
        <v>13284</v>
      </c>
      <c r="N979" s="9" t="s">
        <v>13284</v>
      </c>
      <c r="O979" s="9" t="s">
        <v>13284</v>
      </c>
      <c r="P979" s="9" t="s">
        <v>13284</v>
      </c>
      <c r="Q979" s="9" t="s">
        <v>13284</v>
      </c>
      <c r="R979" s="9" t="s">
        <v>13284</v>
      </c>
      <c r="S979" s="9" t="s">
        <v>13284</v>
      </c>
      <c r="T979" s="9" t="str">
        <f ca="1">IFERROR(IF(AND(VLOOKUP(A979, 'Актуальное состояние (из общего'!A:C,3,0) = "", A979 &lt;&gt; ""), "ПРОВЕРИТЬ", VLOOKUP(A979, 'Актуальное состояние (из общего'!A:C,3,0)), "")</f>
        <v>Аспирант</v>
      </c>
      <c r="U979" s="9" t="s">
        <v>13284</v>
      </c>
      <c r="V979" s="9" t="s">
        <v>13284</v>
      </c>
      <c r="W979" s="12" t="s">
        <v>389</v>
      </c>
      <c r="X979" s="9" t="str">
        <f t="array" ref="X979">IFERROR(INDEX('Адреса общежитий (скрытый)'!$B$2:$B$9, MATCH(W979, 'Адреса общежитий (скрытый)'!$A$2:$A$9, 0)), "")</f>
        <v>2-ой Донской проезд, д. 9</v>
      </c>
      <c r="Y979" s="18"/>
      <c r="Z979" s="18"/>
      <c r="AA979" s="18"/>
      <c r="AB979" s="18"/>
      <c r="AC979" s="18"/>
    </row>
    <row r="980" spans="1:29" ht="32.25" hidden="1" customHeight="1">
      <c r="A980" s="8">
        <v>2300167</v>
      </c>
      <c r="B980" s="9" t="s">
        <v>13284</v>
      </c>
      <c r="C980" s="9" t="s">
        <v>13284</v>
      </c>
      <c r="D980" s="9" t="s">
        <v>13284</v>
      </c>
      <c r="E980" s="9" t="s">
        <v>13284</v>
      </c>
      <c r="F980" s="9" t="s">
        <v>13284</v>
      </c>
      <c r="G980" s="9" t="s">
        <v>13284</v>
      </c>
      <c r="H980" s="9" t="s">
        <v>13284</v>
      </c>
      <c r="I980" s="9" t="s">
        <v>13284</v>
      </c>
      <c r="J980" s="9" t="s">
        <v>13284</v>
      </c>
      <c r="K980" s="9" t="s">
        <v>13284</v>
      </c>
      <c r="L980" s="9" t="s">
        <v>13284</v>
      </c>
      <c r="M980" s="9" t="s">
        <v>13284</v>
      </c>
      <c r="N980" s="9" t="s">
        <v>13284</v>
      </c>
      <c r="O980" s="9" t="s">
        <v>13284</v>
      </c>
      <c r="P980" s="9" t="s">
        <v>13284</v>
      </c>
      <c r="Q980" s="9" t="s">
        <v>13284</v>
      </c>
      <c r="R980" s="9" t="s">
        <v>13284</v>
      </c>
      <c r="S980" s="9" t="s">
        <v>13284</v>
      </c>
      <c r="T980" s="9" t="str">
        <f ca="1">IFERROR(IF(AND(VLOOKUP(A980, 'Актуальное состояние (из общего'!A:C,3,0) = "", A980 &lt;&gt; ""), "ПРОВЕРИТЬ", VLOOKUP(A980, 'Актуальное состояние (из общего'!A:C,3,0)), "")</f>
        <v>Аспирант</v>
      </c>
      <c r="U980" s="9" t="s">
        <v>13284</v>
      </c>
      <c r="V980" s="9" t="s">
        <v>13284</v>
      </c>
      <c r="W980" s="12" t="s">
        <v>389</v>
      </c>
      <c r="X980" s="9" t="str">
        <f t="array" ref="X980">IFERROR(INDEX('Адреса общежитий (скрытый)'!$B$2:$B$9, MATCH(W980, 'Адреса общежитий (скрытый)'!$A$2:$A$9, 0)), "")</f>
        <v>2-ой Донской проезд, д. 9</v>
      </c>
      <c r="Y980" s="18"/>
      <c r="Z980" s="18"/>
      <c r="AA980" s="18"/>
      <c r="AB980" s="18"/>
      <c r="AC980" s="18"/>
    </row>
    <row r="981" spans="1:29" ht="32.25" hidden="1" customHeight="1">
      <c r="A981" s="8">
        <v>2300177</v>
      </c>
      <c r="B981" s="9" t="s">
        <v>13284</v>
      </c>
      <c r="C981" s="9" t="s">
        <v>13284</v>
      </c>
      <c r="D981" s="9" t="s">
        <v>13284</v>
      </c>
      <c r="E981" s="9" t="s">
        <v>13284</v>
      </c>
      <c r="F981" s="9" t="s">
        <v>13284</v>
      </c>
      <c r="G981" s="9" t="s">
        <v>13284</v>
      </c>
      <c r="H981" s="9" t="s">
        <v>13284</v>
      </c>
      <c r="I981" s="9" t="s">
        <v>13284</v>
      </c>
      <c r="J981" s="9" t="s">
        <v>13284</v>
      </c>
      <c r="K981" s="9" t="s">
        <v>13284</v>
      </c>
      <c r="L981" s="9" t="s">
        <v>13284</v>
      </c>
      <c r="M981" s="9" t="s">
        <v>13284</v>
      </c>
      <c r="N981" s="9" t="s">
        <v>13284</v>
      </c>
      <c r="O981" s="9" t="s">
        <v>13284</v>
      </c>
      <c r="P981" s="9" t="s">
        <v>13284</v>
      </c>
      <c r="Q981" s="9" t="s">
        <v>13284</v>
      </c>
      <c r="R981" s="9" t="s">
        <v>13284</v>
      </c>
      <c r="S981" s="9" t="s">
        <v>13284</v>
      </c>
      <c r="T981" s="9" t="str">
        <f ca="1">IFERROR(IF(AND(VLOOKUP(A981, 'Актуальное состояние (из общего'!A:C,3,0) = "", A981 &lt;&gt; ""), "ПРОВЕРИТЬ", VLOOKUP(A981, 'Актуальное состояние (из общего'!A:C,3,0)), "")</f>
        <v>Аспирант</v>
      </c>
      <c r="U981" s="9" t="s">
        <v>13284</v>
      </c>
      <c r="V981" s="9" t="s">
        <v>13284</v>
      </c>
      <c r="W981" s="12" t="s">
        <v>389</v>
      </c>
      <c r="X981" s="9" t="str">
        <f t="array" ref="X981">IFERROR(INDEX('Адреса общежитий (скрытый)'!$B$2:$B$9, MATCH(W981, 'Адреса общежитий (скрытый)'!$A$2:$A$9, 0)), "")</f>
        <v>2-ой Донской проезд, д. 9</v>
      </c>
      <c r="Y981" s="18"/>
      <c r="Z981" s="18"/>
      <c r="AA981" s="18"/>
      <c r="AB981" s="18"/>
      <c r="AC981" s="18"/>
    </row>
    <row r="982" spans="1:29" ht="32.25" customHeight="1">
      <c r="A982" s="8">
        <v>2300148</v>
      </c>
      <c r="B982" s="9" t="s">
        <v>13284</v>
      </c>
      <c r="C982" s="9" t="s">
        <v>13284</v>
      </c>
      <c r="D982" s="9" t="s">
        <v>13284</v>
      </c>
      <c r="E982" s="9" t="s">
        <v>13284</v>
      </c>
      <c r="F982" s="9" t="s">
        <v>13284</v>
      </c>
      <c r="G982" s="9" t="s">
        <v>13284</v>
      </c>
      <c r="H982" s="9" t="s">
        <v>13284</v>
      </c>
      <c r="I982" s="9" t="s">
        <v>13284</v>
      </c>
      <c r="J982" s="9" t="s">
        <v>13284</v>
      </c>
      <c r="K982" s="9" t="s">
        <v>13284</v>
      </c>
      <c r="L982" s="9" t="s">
        <v>13284</v>
      </c>
      <c r="M982" s="9" t="s">
        <v>13284</v>
      </c>
      <c r="N982" s="9" t="s">
        <v>13284</v>
      </c>
      <c r="O982" s="9" t="s">
        <v>13284</v>
      </c>
      <c r="P982" s="9" t="s">
        <v>13284</v>
      </c>
      <c r="Q982" s="9" t="s">
        <v>13284</v>
      </c>
      <c r="R982" s="9" t="s">
        <v>13284</v>
      </c>
      <c r="S982" s="9" t="s">
        <v>13284</v>
      </c>
      <c r="T982" s="9" t="str">
        <f ca="1">IFERROR(IF(AND(VLOOKUP(A982, 'Актуальное состояние (из общего'!A:C,3,0) = "", A982 &lt;&gt; ""), "ПРОВЕРИТЬ", VLOOKUP(A982, 'Актуальное состояние (из общего'!A:C,3,0)), "")</f>
        <v>Аспирант</v>
      </c>
      <c r="U982" s="9" t="s">
        <v>13284</v>
      </c>
      <c r="V982" s="9" t="s">
        <v>13284</v>
      </c>
      <c r="W982" s="12" t="s">
        <v>389</v>
      </c>
      <c r="X982" s="9" t="str">
        <f t="array" ref="X982">IFERROR(INDEX('Адреса общежитий (скрытый)'!$B$2:$B$9, MATCH(W982, 'Адреса общежитий (скрытый)'!$A$2:$A$9, 0)), "")</f>
        <v>2-ой Донской проезд, д. 9</v>
      </c>
      <c r="Y982" s="18"/>
      <c r="Z982" s="18"/>
      <c r="AA982" s="18"/>
      <c r="AB982" s="18"/>
      <c r="AC982" s="18"/>
    </row>
    <row r="983" spans="1:29" ht="32.25" customHeight="1">
      <c r="A983" s="8">
        <v>2300100</v>
      </c>
      <c r="B983" s="9" t="s">
        <v>13284</v>
      </c>
      <c r="C983" s="9" t="s">
        <v>13284</v>
      </c>
      <c r="D983" s="9" t="s">
        <v>13284</v>
      </c>
      <c r="E983" s="9" t="s">
        <v>13284</v>
      </c>
      <c r="F983" s="9" t="s">
        <v>13284</v>
      </c>
      <c r="G983" s="9" t="s">
        <v>13284</v>
      </c>
      <c r="H983" s="9" t="s">
        <v>13284</v>
      </c>
      <c r="I983" s="9" t="s">
        <v>13284</v>
      </c>
      <c r="J983" s="9" t="s">
        <v>13284</v>
      </c>
      <c r="K983" s="9" t="s">
        <v>13284</v>
      </c>
      <c r="L983" s="9" t="s">
        <v>13284</v>
      </c>
      <c r="M983" s="9" t="s">
        <v>13284</v>
      </c>
      <c r="N983" s="9" t="s">
        <v>13284</v>
      </c>
      <c r="O983" s="9" t="s">
        <v>13284</v>
      </c>
      <c r="P983" s="9" t="s">
        <v>13284</v>
      </c>
      <c r="Q983" s="9" t="s">
        <v>13284</v>
      </c>
      <c r="R983" s="9" t="s">
        <v>13284</v>
      </c>
      <c r="S983" s="9" t="s">
        <v>13284</v>
      </c>
      <c r="T983" s="9" t="str">
        <f ca="1">IFERROR(IF(AND(VLOOKUP(A983, 'Актуальное состояние (из общего'!A:C,3,0) = "", A983 &lt;&gt; ""), "ПРОВЕРИТЬ", VLOOKUP(A983, 'Актуальное состояние (из общего'!A:C,3,0)), "")</f>
        <v>Аспирант</v>
      </c>
      <c r="U983" s="9" t="s">
        <v>13284</v>
      </c>
      <c r="V983" s="9" t="s">
        <v>13284</v>
      </c>
      <c r="W983" s="12" t="s">
        <v>389</v>
      </c>
      <c r="X983" s="9" t="str">
        <f t="array" ref="X983">IFERROR(INDEX('Адреса общежитий (скрытый)'!$B$2:$B$9, MATCH(W983, 'Адреса общежитий (скрытый)'!$A$2:$A$9, 0)), "")</f>
        <v>2-ой Донской проезд, д. 9</v>
      </c>
      <c r="Y983" s="18"/>
      <c r="Z983" s="18"/>
      <c r="AA983" s="18"/>
      <c r="AB983" s="18"/>
      <c r="AC983" s="18"/>
    </row>
    <row r="984" spans="1:29" ht="32.25" hidden="1" customHeight="1">
      <c r="A984" s="8">
        <v>2312966</v>
      </c>
      <c r="B984" s="9" t="s">
        <v>13284</v>
      </c>
      <c r="C984" s="9" t="s">
        <v>13284</v>
      </c>
      <c r="D984" s="9" t="s">
        <v>13284</v>
      </c>
      <c r="E984" s="9" t="s">
        <v>13284</v>
      </c>
      <c r="F984" s="9" t="s">
        <v>13284</v>
      </c>
      <c r="G984" s="9" t="s">
        <v>13284</v>
      </c>
      <c r="H984" s="9" t="s">
        <v>13284</v>
      </c>
      <c r="I984" s="9" t="s">
        <v>13284</v>
      </c>
      <c r="J984" s="9" t="s">
        <v>13284</v>
      </c>
      <c r="K984" s="9" t="s">
        <v>13284</v>
      </c>
      <c r="L984" s="9" t="s">
        <v>13284</v>
      </c>
      <c r="M984" s="9" t="s">
        <v>13284</v>
      </c>
      <c r="N984" s="9" t="s">
        <v>13284</v>
      </c>
      <c r="O984" s="9" t="s">
        <v>13284</v>
      </c>
      <c r="P984" s="9" t="s">
        <v>13284</v>
      </c>
      <c r="Q984" s="9" t="s">
        <v>13284</v>
      </c>
      <c r="R984" s="9" t="s">
        <v>13284</v>
      </c>
      <c r="S984" s="9" t="s">
        <v>13284</v>
      </c>
      <c r="T984" s="9" t="str">
        <f ca="1">IFERROR(IF(AND(VLOOKUP(A984, 'Актуальное состояние (из общего'!A:C,3,0) = "", A984 &lt;&gt; ""), "ПРОВЕРИТЬ", VLOOKUP(A984, 'Актуальное состояние (из общего'!A:C,3,0)), "")</f>
        <v>Аспирант</v>
      </c>
      <c r="U984" s="9" t="s">
        <v>13284</v>
      </c>
      <c r="V984" s="9" t="s">
        <v>13284</v>
      </c>
      <c r="W984" s="12" t="s">
        <v>389</v>
      </c>
      <c r="X984" s="9" t="str">
        <f t="array" ref="X984">IFERROR(INDEX('Адреса общежитий (скрытый)'!$B$2:$B$9, MATCH(W984, 'Адреса общежитий (скрытый)'!$A$2:$A$9, 0)), "")</f>
        <v>2-ой Донской проезд, д. 9</v>
      </c>
      <c r="Y984" s="18"/>
      <c r="Z984" s="18"/>
      <c r="AA984" s="18"/>
      <c r="AB984" s="18"/>
      <c r="AC984" s="18"/>
    </row>
    <row r="985" spans="1:29" ht="32.25" customHeight="1">
      <c r="A985" s="8">
        <v>2302987</v>
      </c>
      <c r="B985" s="9" t="s">
        <v>13284</v>
      </c>
      <c r="C985" s="9" t="s">
        <v>13284</v>
      </c>
      <c r="D985" s="9" t="s">
        <v>13284</v>
      </c>
      <c r="E985" s="9" t="s">
        <v>13284</v>
      </c>
      <c r="F985" s="9" t="s">
        <v>13284</v>
      </c>
      <c r="G985" s="9" t="s">
        <v>13284</v>
      </c>
      <c r="H985" s="9" t="s">
        <v>13284</v>
      </c>
      <c r="I985" s="9" t="s">
        <v>13284</v>
      </c>
      <c r="J985" s="9" t="s">
        <v>13284</v>
      </c>
      <c r="K985" s="9" t="s">
        <v>13284</v>
      </c>
      <c r="L985" s="9" t="s">
        <v>13284</v>
      </c>
      <c r="M985" s="9" t="s">
        <v>13284</v>
      </c>
      <c r="N985" s="9" t="s">
        <v>13284</v>
      </c>
      <c r="O985" s="9" t="s">
        <v>13284</v>
      </c>
      <c r="P985" s="9" t="s">
        <v>13284</v>
      </c>
      <c r="Q985" s="9" t="s">
        <v>13284</v>
      </c>
      <c r="R985" s="9" t="s">
        <v>13284</v>
      </c>
      <c r="S985" s="9" t="s">
        <v>13284</v>
      </c>
      <c r="T985" s="9" t="str">
        <f ca="1">IFERROR(IF(AND(VLOOKUP(A985, 'Актуальное состояние (из общего'!A:C,3,0) = "", A985 &lt;&gt; ""), "ПРОВЕРИТЬ", VLOOKUP(A985, 'Актуальное состояние (из общего'!A:C,3,0)), "")</f>
        <v>Аспирант</v>
      </c>
      <c r="U985" s="9" t="s">
        <v>13284</v>
      </c>
      <c r="V985" s="9" t="s">
        <v>13284</v>
      </c>
      <c r="W985" s="12" t="s">
        <v>389</v>
      </c>
      <c r="X985" s="9" t="str">
        <f t="array" ref="X985">IFERROR(INDEX('Адреса общежитий (скрытый)'!$B$2:$B$9, MATCH(W985, 'Адреса общежитий (скрытый)'!$A$2:$A$9, 0)), "")</f>
        <v>2-ой Донской проезд, д. 9</v>
      </c>
      <c r="Y985" s="18"/>
      <c r="Z985" s="18"/>
      <c r="AA985" s="18"/>
      <c r="AB985" s="18"/>
      <c r="AC985" s="18"/>
    </row>
    <row r="986" spans="1:29" ht="32.25" customHeight="1">
      <c r="A986" s="8">
        <v>2311692</v>
      </c>
      <c r="B986" s="9" t="s">
        <v>13284</v>
      </c>
      <c r="C986" s="9" t="s">
        <v>13284</v>
      </c>
      <c r="D986" s="9" t="s">
        <v>13284</v>
      </c>
      <c r="E986" s="9" t="s">
        <v>13284</v>
      </c>
      <c r="F986" s="9" t="s">
        <v>13284</v>
      </c>
      <c r="G986" s="9" t="s">
        <v>13284</v>
      </c>
      <c r="H986" s="9" t="s">
        <v>13284</v>
      </c>
      <c r="I986" s="9" t="s">
        <v>13284</v>
      </c>
      <c r="J986" s="9" t="s">
        <v>13284</v>
      </c>
      <c r="K986" s="9" t="s">
        <v>13284</v>
      </c>
      <c r="L986" s="9" t="s">
        <v>13284</v>
      </c>
      <c r="M986" s="9" t="s">
        <v>13284</v>
      </c>
      <c r="N986" s="9" t="s">
        <v>13284</v>
      </c>
      <c r="O986" s="9" t="s">
        <v>13284</v>
      </c>
      <c r="P986" s="9" t="s">
        <v>13284</v>
      </c>
      <c r="Q986" s="9" t="s">
        <v>13284</v>
      </c>
      <c r="R986" s="9" t="s">
        <v>13284</v>
      </c>
      <c r="S986" s="9" t="s">
        <v>13284</v>
      </c>
      <c r="T986" s="9" t="str">
        <f ca="1">IFERROR(IF(AND(VLOOKUP(A986, 'Актуальное состояние (из общего'!A:C,3,0) = "", A986 &lt;&gt; ""), "ПРОВЕРИТЬ", VLOOKUP(A986, 'Актуальное состояние (из общего'!A:C,3,0)), "")</f>
        <v>Аспирант</v>
      </c>
      <c r="U986" s="9" t="s">
        <v>13284</v>
      </c>
      <c r="V986" s="9" t="s">
        <v>13284</v>
      </c>
      <c r="W986" s="12" t="s">
        <v>389</v>
      </c>
      <c r="X986" s="9" t="str">
        <f t="array" ref="X986">IFERROR(INDEX('Адреса общежитий (скрытый)'!$B$2:$B$9, MATCH(W986, 'Адреса общежитий (скрытый)'!$A$2:$A$9, 0)), "")</f>
        <v>2-ой Донской проезд, д. 9</v>
      </c>
      <c r="Y986" s="18"/>
      <c r="Z986" s="18"/>
      <c r="AA986" s="18"/>
      <c r="AB986" s="18"/>
      <c r="AC986" s="18"/>
    </row>
    <row r="987" spans="1:29" ht="32.25" customHeight="1">
      <c r="A987" s="8">
        <v>2300396</v>
      </c>
      <c r="B987" s="9" t="s">
        <v>13284</v>
      </c>
      <c r="C987" s="9" t="s">
        <v>13284</v>
      </c>
      <c r="D987" s="9" t="s">
        <v>13284</v>
      </c>
      <c r="E987" s="9" t="s">
        <v>13284</v>
      </c>
      <c r="F987" s="9" t="s">
        <v>13284</v>
      </c>
      <c r="G987" s="9" t="s">
        <v>13284</v>
      </c>
      <c r="H987" s="9" t="s">
        <v>13284</v>
      </c>
      <c r="I987" s="9" t="s">
        <v>13284</v>
      </c>
      <c r="J987" s="9" t="s">
        <v>13284</v>
      </c>
      <c r="K987" s="9" t="s">
        <v>13284</v>
      </c>
      <c r="L987" s="9" t="s">
        <v>13284</v>
      </c>
      <c r="M987" s="9" t="s">
        <v>13284</v>
      </c>
      <c r="N987" s="9" t="s">
        <v>13284</v>
      </c>
      <c r="O987" s="9" t="s">
        <v>13284</v>
      </c>
      <c r="P987" s="9" t="s">
        <v>13284</v>
      </c>
      <c r="Q987" s="9" t="s">
        <v>13284</v>
      </c>
      <c r="R987" s="9" t="s">
        <v>13284</v>
      </c>
      <c r="S987" s="9" t="s">
        <v>13284</v>
      </c>
      <c r="T987" s="9" t="str">
        <f ca="1">IFERROR(IF(AND(VLOOKUP(A987, 'Актуальное состояние (из общего'!A:C,3,0) = "", A987 &lt;&gt; ""), "ПРОВЕРИТЬ", VLOOKUP(A987, 'Актуальное состояние (из общего'!A:C,3,0)), "")</f>
        <v>Аспирант</v>
      </c>
      <c r="U987" s="9" t="s">
        <v>13284</v>
      </c>
      <c r="V987" s="9" t="s">
        <v>13284</v>
      </c>
      <c r="W987" s="12" t="s">
        <v>64</v>
      </c>
      <c r="X987" s="9" t="str">
        <f t="array" ref="X987">IFERROR(INDEX('Адреса общежитий (скрытый)'!$B$2:$B$9, MATCH(W987, 'Адреса общежитий (скрытый)'!$A$2:$A$9, 0)), "")</f>
        <v>проспект 60-летия Октября, д.11</v>
      </c>
      <c r="Y987" s="18" t="s">
        <v>9332</v>
      </c>
      <c r="Z987" s="18"/>
      <c r="AA987" s="18"/>
      <c r="AB987" s="18"/>
      <c r="AC987" s="18"/>
    </row>
    <row r="988" spans="1:29" ht="32.25" hidden="1" customHeight="1">
      <c r="A988" s="8">
        <v>2302211</v>
      </c>
      <c r="B988" s="9" t="s">
        <v>13284</v>
      </c>
      <c r="C988" s="9" t="s">
        <v>13284</v>
      </c>
      <c r="D988" s="9" t="s">
        <v>13284</v>
      </c>
      <c r="E988" s="9" t="s">
        <v>13284</v>
      </c>
      <c r="F988" s="9" t="s">
        <v>13284</v>
      </c>
      <c r="G988" s="9" t="s">
        <v>13284</v>
      </c>
      <c r="H988" s="9" t="s">
        <v>13284</v>
      </c>
      <c r="I988" s="9" t="s">
        <v>13284</v>
      </c>
      <c r="J988" s="9" t="s">
        <v>13284</v>
      </c>
      <c r="K988" s="9" t="s">
        <v>13284</v>
      </c>
      <c r="L988" s="9" t="s">
        <v>13284</v>
      </c>
      <c r="M988" s="9" t="s">
        <v>13284</v>
      </c>
      <c r="N988" s="9" t="s">
        <v>13284</v>
      </c>
      <c r="O988" s="9" t="s">
        <v>13284</v>
      </c>
      <c r="P988" s="9" t="s">
        <v>13284</v>
      </c>
      <c r="Q988" s="9" t="s">
        <v>13284</v>
      </c>
      <c r="R988" s="9" t="s">
        <v>13284</v>
      </c>
      <c r="S988" s="9" t="s">
        <v>13284</v>
      </c>
      <c r="T988" s="9" t="str">
        <f ca="1">IFERROR(IF(AND(VLOOKUP(A988, 'Актуальное состояние (из общего'!A:C,3,0) = "", A988 &lt;&gt; ""), "ПРОВЕРИТЬ", VLOOKUP(A988, 'Актуальное состояние (из общего'!A:C,3,0)), "")</f>
        <v>Аспирант</v>
      </c>
      <c r="U988" s="9" t="s">
        <v>13284</v>
      </c>
      <c r="V988" s="9" t="s">
        <v>13284</v>
      </c>
      <c r="W988" s="12" t="s">
        <v>389</v>
      </c>
      <c r="X988" s="9" t="str">
        <f t="array" ref="X988">IFERROR(INDEX('Адреса общежитий (скрытый)'!$B$2:$B$9, MATCH(W988, 'Адреса общежитий (скрытый)'!$A$2:$A$9, 0)), "")</f>
        <v>2-ой Донской проезд, д. 9</v>
      </c>
      <c r="Y988" s="18"/>
      <c r="Z988" s="18"/>
      <c r="AA988" s="18"/>
      <c r="AB988" s="18"/>
      <c r="AC988" s="18"/>
    </row>
    <row r="989" spans="1:29" ht="32.25" hidden="1" customHeight="1">
      <c r="A989" s="8">
        <v>2300162</v>
      </c>
      <c r="B989" s="9" t="s">
        <v>13284</v>
      </c>
      <c r="C989" s="9" t="s">
        <v>13284</v>
      </c>
      <c r="D989" s="9" t="s">
        <v>13284</v>
      </c>
      <c r="E989" s="9" t="s">
        <v>13284</v>
      </c>
      <c r="F989" s="9" t="s">
        <v>13284</v>
      </c>
      <c r="G989" s="9" t="s">
        <v>13284</v>
      </c>
      <c r="H989" s="9" t="s">
        <v>13284</v>
      </c>
      <c r="I989" s="9" t="s">
        <v>13284</v>
      </c>
      <c r="J989" s="9" t="s">
        <v>13284</v>
      </c>
      <c r="K989" s="9" t="s">
        <v>13284</v>
      </c>
      <c r="L989" s="9" t="s">
        <v>13284</v>
      </c>
      <c r="M989" s="9" t="s">
        <v>13284</v>
      </c>
      <c r="N989" s="9" t="s">
        <v>13284</v>
      </c>
      <c r="O989" s="9" t="s">
        <v>13284</v>
      </c>
      <c r="P989" s="9" t="s">
        <v>13284</v>
      </c>
      <c r="Q989" s="9" t="s">
        <v>13284</v>
      </c>
      <c r="R989" s="9" t="s">
        <v>13284</v>
      </c>
      <c r="S989" s="9" t="s">
        <v>13284</v>
      </c>
      <c r="T989" s="9" t="str">
        <f ca="1">IFERROR(IF(AND(VLOOKUP(A989, 'Актуальное состояние (из общего'!A:C,3,0) = "", A989 &lt;&gt; ""), "ПРОВЕРИТЬ", VLOOKUP(A989, 'Актуальное состояние (из общего'!A:C,3,0)), "")</f>
        <v>Аспирант</v>
      </c>
      <c r="U989" s="9" t="s">
        <v>13284</v>
      </c>
      <c r="V989" s="9" t="s">
        <v>13284</v>
      </c>
      <c r="W989" s="12" t="s">
        <v>389</v>
      </c>
      <c r="X989" s="9" t="str">
        <f t="array" ref="X989">IFERROR(INDEX('Адреса общежитий (скрытый)'!$B$2:$B$9, MATCH(W989, 'Адреса общежитий (скрытый)'!$A$2:$A$9, 0)), "")</f>
        <v>2-ой Донской проезд, д. 9</v>
      </c>
      <c r="Y989" s="18"/>
      <c r="Z989" s="18"/>
      <c r="AA989" s="18"/>
      <c r="AB989" s="18"/>
      <c r="AC989" s="18"/>
    </row>
    <row r="990" spans="1:29" ht="32.25" hidden="1" customHeight="1">
      <c r="A990" s="8">
        <v>2300164</v>
      </c>
      <c r="B990" s="9" t="s">
        <v>13284</v>
      </c>
      <c r="C990" s="9" t="s">
        <v>13284</v>
      </c>
      <c r="D990" s="9" t="s">
        <v>13284</v>
      </c>
      <c r="E990" s="9" t="s">
        <v>13284</v>
      </c>
      <c r="F990" s="9" t="s">
        <v>13284</v>
      </c>
      <c r="G990" s="9" t="s">
        <v>13284</v>
      </c>
      <c r="H990" s="9" t="s">
        <v>13284</v>
      </c>
      <c r="I990" s="9" t="s">
        <v>13284</v>
      </c>
      <c r="J990" s="9" t="s">
        <v>13284</v>
      </c>
      <c r="K990" s="9" t="s">
        <v>13284</v>
      </c>
      <c r="L990" s="9" t="s">
        <v>13284</v>
      </c>
      <c r="M990" s="9" t="s">
        <v>13284</v>
      </c>
      <c r="N990" s="9" t="s">
        <v>13284</v>
      </c>
      <c r="O990" s="9" t="s">
        <v>13284</v>
      </c>
      <c r="P990" s="9" t="s">
        <v>13284</v>
      </c>
      <c r="Q990" s="9" t="s">
        <v>13284</v>
      </c>
      <c r="R990" s="9" t="s">
        <v>13284</v>
      </c>
      <c r="S990" s="9" t="s">
        <v>13284</v>
      </c>
      <c r="T990" s="9" t="str">
        <f ca="1">IFERROR(IF(AND(VLOOKUP(A990, 'Актуальное состояние (из общего'!A:C,3,0) = "", A990 &lt;&gt; ""), "ПРОВЕРИТЬ", VLOOKUP(A990, 'Актуальное состояние (из общего'!A:C,3,0)), "")</f>
        <v>Аспирант</v>
      </c>
      <c r="U990" s="9" t="s">
        <v>13284</v>
      </c>
      <c r="V990" s="9" t="s">
        <v>13284</v>
      </c>
      <c r="W990" s="12" t="s">
        <v>389</v>
      </c>
      <c r="X990" s="9" t="str">
        <f t="array" ref="X990">IFERROR(INDEX('Адреса общежитий (скрытый)'!$B$2:$B$9, MATCH(W990, 'Адреса общежитий (скрытый)'!$A$2:$A$9, 0)), "")</f>
        <v>2-ой Донской проезд, д. 9</v>
      </c>
      <c r="Y990" s="18"/>
      <c r="Z990" s="18"/>
      <c r="AA990" s="18"/>
      <c r="AB990" s="18"/>
      <c r="AC990" s="18"/>
    </row>
    <row r="991" spans="1:29" ht="32.25" customHeight="1">
      <c r="A991" s="8">
        <v>2311635</v>
      </c>
      <c r="B991" s="9" t="s">
        <v>13284</v>
      </c>
      <c r="C991" s="9" t="s">
        <v>13284</v>
      </c>
      <c r="D991" s="9" t="s">
        <v>13284</v>
      </c>
      <c r="E991" s="9" t="s">
        <v>13284</v>
      </c>
      <c r="F991" s="9" t="s">
        <v>13284</v>
      </c>
      <c r="G991" s="9" t="s">
        <v>13284</v>
      </c>
      <c r="H991" s="9" t="s">
        <v>13284</v>
      </c>
      <c r="I991" s="9" t="s">
        <v>13284</v>
      </c>
      <c r="J991" s="9" t="s">
        <v>13284</v>
      </c>
      <c r="K991" s="9" t="s">
        <v>13284</v>
      </c>
      <c r="L991" s="9" t="s">
        <v>13284</v>
      </c>
      <c r="M991" s="9" t="s">
        <v>13284</v>
      </c>
      <c r="N991" s="9" t="s">
        <v>13284</v>
      </c>
      <c r="O991" s="9" t="s">
        <v>13284</v>
      </c>
      <c r="P991" s="9" t="s">
        <v>13284</v>
      </c>
      <c r="Q991" s="9" t="s">
        <v>13284</v>
      </c>
      <c r="R991" s="9" t="s">
        <v>13284</v>
      </c>
      <c r="S991" s="9" t="s">
        <v>13284</v>
      </c>
      <c r="T991" s="9" t="str">
        <f ca="1">IFERROR(IF(AND(VLOOKUP(A991, 'Актуальное состояние (из общего'!A:C,3,0) = "", A991 &lt;&gt; ""), "ПРОВЕРИТЬ", VLOOKUP(A991, 'Актуальное состояние (из общего'!A:C,3,0)), "")</f>
        <v>Аспирант</v>
      </c>
      <c r="U991" s="9" t="s">
        <v>13284</v>
      </c>
      <c r="V991" s="9" t="s">
        <v>13284</v>
      </c>
      <c r="W991" s="12" t="s">
        <v>389</v>
      </c>
      <c r="X991" s="9" t="str">
        <f t="array" ref="X991">IFERROR(INDEX('Адреса общежитий (скрытый)'!$B$2:$B$9, MATCH(W991, 'Адреса общежитий (скрытый)'!$A$2:$A$9, 0)), "")</f>
        <v>2-ой Донской проезд, д. 9</v>
      </c>
      <c r="Y991" s="18"/>
      <c r="Z991" s="18"/>
      <c r="AA991" s="18"/>
      <c r="AB991" s="18"/>
      <c r="AC991" s="18"/>
    </row>
    <row r="992" spans="1:29" ht="32.25" customHeight="1">
      <c r="A992" s="8">
        <v>2312985</v>
      </c>
      <c r="B992" s="9" t="s">
        <v>13284</v>
      </c>
      <c r="C992" s="9" t="s">
        <v>13284</v>
      </c>
      <c r="D992" s="9" t="s">
        <v>13284</v>
      </c>
      <c r="E992" s="9" t="s">
        <v>13284</v>
      </c>
      <c r="F992" s="9" t="s">
        <v>13284</v>
      </c>
      <c r="G992" s="9" t="s">
        <v>13284</v>
      </c>
      <c r="H992" s="9" t="s">
        <v>13284</v>
      </c>
      <c r="I992" s="9" t="s">
        <v>13284</v>
      </c>
      <c r="J992" s="9" t="s">
        <v>13284</v>
      </c>
      <c r="K992" s="9" t="s">
        <v>13284</v>
      </c>
      <c r="L992" s="9" t="s">
        <v>13284</v>
      </c>
      <c r="M992" s="9" t="s">
        <v>13284</v>
      </c>
      <c r="N992" s="9" t="s">
        <v>13284</v>
      </c>
      <c r="O992" s="9" t="s">
        <v>13284</v>
      </c>
      <c r="P992" s="9" t="s">
        <v>13284</v>
      </c>
      <c r="Q992" s="9" t="s">
        <v>13284</v>
      </c>
      <c r="R992" s="9" t="s">
        <v>13284</v>
      </c>
      <c r="S992" s="9" t="s">
        <v>13284</v>
      </c>
      <c r="T992" s="9" t="str">
        <f ca="1">IFERROR(IF(AND(VLOOKUP(A992, 'Актуальное состояние (из общего'!A:C,3,0) = "", A992 &lt;&gt; ""), "ПРОВЕРИТЬ", VLOOKUP(A992, 'Актуальное состояние (из общего'!A:C,3,0)), "")</f>
        <v>Аспирант</v>
      </c>
      <c r="U992" s="9" t="s">
        <v>13284</v>
      </c>
      <c r="V992" s="9" t="s">
        <v>13284</v>
      </c>
      <c r="W992" s="12" t="s">
        <v>389</v>
      </c>
      <c r="X992" s="9" t="str">
        <f t="array" ref="X992">IFERROR(INDEX('Адреса общежитий (скрытый)'!$B$2:$B$9, MATCH(W992, 'Адреса общежитий (скрытый)'!$A$2:$A$9, 0)), "")</f>
        <v>2-ой Донской проезд, д. 9</v>
      </c>
      <c r="Y992" s="18"/>
      <c r="Z992" s="18"/>
      <c r="AA992" s="18"/>
      <c r="AB992" s="18"/>
      <c r="AC992" s="18"/>
    </row>
    <row r="993" spans="1:29" ht="32.25" customHeight="1">
      <c r="A993" s="8">
        <v>2302150</v>
      </c>
      <c r="B993" s="9" t="s">
        <v>13284</v>
      </c>
      <c r="C993" s="9" t="s">
        <v>13284</v>
      </c>
      <c r="D993" s="9" t="s">
        <v>13284</v>
      </c>
      <c r="E993" s="9" t="s">
        <v>13284</v>
      </c>
      <c r="F993" s="9" t="s">
        <v>13284</v>
      </c>
      <c r="G993" s="9" t="s">
        <v>13284</v>
      </c>
      <c r="H993" s="9" t="s">
        <v>13284</v>
      </c>
      <c r="I993" s="9" t="s">
        <v>13284</v>
      </c>
      <c r="J993" s="9" t="s">
        <v>13284</v>
      </c>
      <c r="K993" s="9" t="s">
        <v>13284</v>
      </c>
      <c r="L993" s="9" t="s">
        <v>13284</v>
      </c>
      <c r="M993" s="9" t="s">
        <v>13284</v>
      </c>
      <c r="N993" s="9" t="s">
        <v>13284</v>
      </c>
      <c r="O993" s="9" t="s">
        <v>13284</v>
      </c>
      <c r="P993" s="9" t="s">
        <v>13284</v>
      </c>
      <c r="Q993" s="9" t="s">
        <v>13284</v>
      </c>
      <c r="R993" s="9" t="s">
        <v>13284</v>
      </c>
      <c r="S993" s="9" t="s">
        <v>13284</v>
      </c>
      <c r="T993" s="9" t="str">
        <f ca="1">IFERROR(IF(AND(VLOOKUP(A993, 'Актуальное состояние (из общего'!A:C,3,0) = "", A993 &lt;&gt; ""), "ПРОВЕРИТЬ", VLOOKUP(A993, 'Актуальное состояние (из общего'!A:C,3,0)), "")</f>
        <v>Аспирант</v>
      </c>
      <c r="U993" s="9" t="s">
        <v>13284</v>
      </c>
      <c r="V993" s="9" t="s">
        <v>13284</v>
      </c>
      <c r="W993" s="12" t="s">
        <v>389</v>
      </c>
      <c r="X993" s="9" t="str">
        <f t="array" ref="X993">IFERROR(INDEX('Адреса общежитий (скрытый)'!$B$2:$B$9, MATCH(W993, 'Адреса общежитий (скрытый)'!$A$2:$A$9, 0)), "")</f>
        <v>2-ой Донской проезд, д. 9</v>
      </c>
      <c r="Y993" s="18"/>
      <c r="Z993" s="18"/>
      <c r="AA993" s="18"/>
      <c r="AB993" s="18"/>
      <c r="AC993" s="18"/>
    </row>
    <row r="994" spans="1:29" ht="32.25" customHeight="1">
      <c r="A994" s="8">
        <v>2300828</v>
      </c>
      <c r="B994" s="9" t="s">
        <v>13284</v>
      </c>
      <c r="C994" s="9" t="s">
        <v>13284</v>
      </c>
      <c r="D994" s="9" t="s">
        <v>13284</v>
      </c>
      <c r="E994" s="9" t="s">
        <v>13284</v>
      </c>
      <c r="F994" s="9" t="s">
        <v>13284</v>
      </c>
      <c r="G994" s="9" t="s">
        <v>13284</v>
      </c>
      <c r="H994" s="9" t="s">
        <v>13284</v>
      </c>
      <c r="I994" s="9" t="s">
        <v>13284</v>
      </c>
      <c r="J994" s="9" t="s">
        <v>13284</v>
      </c>
      <c r="K994" s="9" t="s">
        <v>13284</v>
      </c>
      <c r="L994" s="9" t="s">
        <v>13284</v>
      </c>
      <c r="M994" s="9" t="s">
        <v>13284</v>
      </c>
      <c r="N994" s="9" t="s">
        <v>13284</v>
      </c>
      <c r="O994" s="9" t="s">
        <v>13284</v>
      </c>
      <c r="P994" s="9" t="s">
        <v>13284</v>
      </c>
      <c r="Q994" s="9" t="s">
        <v>13284</v>
      </c>
      <c r="R994" s="9" t="s">
        <v>13284</v>
      </c>
      <c r="S994" s="9" t="s">
        <v>13284</v>
      </c>
      <c r="T994" s="9" t="str">
        <f ca="1">IFERROR(IF(AND(VLOOKUP(A994, 'Актуальное состояние (из общего'!A:C,3,0) = "", A994 &lt;&gt; ""), "ПРОВЕРИТЬ", VLOOKUP(A994, 'Актуальное состояние (из общего'!A:C,3,0)), "")</f>
        <v>Студент</v>
      </c>
      <c r="U994" s="9" t="s">
        <v>13284</v>
      </c>
      <c r="V994" s="9" t="s">
        <v>13284</v>
      </c>
      <c r="W994" s="12"/>
      <c r="X994" s="9" t="str">
        <f t="array" ref="X994">IFERROR(INDEX('Адреса общежитий (скрытый)'!$B$2:$B$9, MATCH(W994, 'Адреса общежитий (скрытый)'!$A$2:$A$9, 0)), "")</f>
        <v/>
      </c>
      <c r="Y994" s="18"/>
      <c r="Z994" s="18"/>
      <c r="AA994" s="18"/>
      <c r="AB994" s="18"/>
      <c r="AC994" s="18"/>
    </row>
    <row r="995" spans="1:29" ht="32.25" customHeight="1">
      <c r="A995" s="8">
        <v>2310938</v>
      </c>
      <c r="B995" s="9" t="s">
        <v>13284</v>
      </c>
      <c r="C995" s="9" t="s">
        <v>13284</v>
      </c>
      <c r="D995" s="9" t="s">
        <v>13284</v>
      </c>
      <c r="E995" s="9" t="s">
        <v>13284</v>
      </c>
      <c r="F995" s="9" t="s">
        <v>13284</v>
      </c>
      <c r="G995" s="9" t="s">
        <v>13284</v>
      </c>
      <c r="H995" s="9" t="s">
        <v>13284</v>
      </c>
      <c r="I995" s="9" t="s">
        <v>13284</v>
      </c>
      <c r="J995" s="9" t="s">
        <v>13284</v>
      </c>
      <c r="K995" s="9" t="s">
        <v>13284</v>
      </c>
      <c r="L995" s="9" t="s">
        <v>13284</v>
      </c>
      <c r="M995" s="9" t="s">
        <v>13284</v>
      </c>
      <c r="N995" s="9" t="s">
        <v>13284</v>
      </c>
      <c r="O995" s="9" t="s">
        <v>13284</v>
      </c>
      <c r="P995" s="9" t="s">
        <v>13284</v>
      </c>
      <c r="Q995" s="9" t="s">
        <v>13284</v>
      </c>
      <c r="R995" s="9" t="s">
        <v>13284</v>
      </c>
      <c r="S995" s="9" t="s">
        <v>13284</v>
      </c>
      <c r="T995" s="9" t="str">
        <f ca="1">IFERROR(IF(AND(VLOOKUP(A995, 'Актуальное состояние (из общего'!A:C,3,0) = "", A995 &lt;&gt; ""), "ПРОВЕРИТЬ", VLOOKUP(A995, 'Актуальное состояние (из общего'!A:C,3,0)), "")</f>
        <v>Студент</v>
      </c>
      <c r="U995" s="9" t="s">
        <v>13284</v>
      </c>
      <c r="V995" s="9" t="s">
        <v>13284</v>
      </c>
      <c r="W995" s="12"/>
      <c r="X995" s="9" t="str">
        <f t="array" ref="X995">IFERROR(INDEX('Адреса общежитий (скрытый)'!$B$2:$B$9, MATCH(W995, 'Адреса общежитий (скрытый)'!$A$2:$A$9, 0)), "")</f>
        <v/>
      </c>
      <c r="Y995" s="18"/>
      <c r="Z995" s="18"/>
      <c r="AA995" s="18"/>
      <c r="AB995" s="18"/>
      <c r="AC995" s="18"/>
    </row>
    <row r="996" spans="1:29" ht="32.25" customHeight="1">
      <c r="A996" s="8">
        <v>2305193</v>
      </c>
      <c r="B996" s="9" t="s">
        <v>13284</v>
      </c>
      <c r="C996" s="9" t="s">
        <v>13284</v>
      </c>
      <c r="D996" s="9" t="s">
        <v>13284</v>
      </c>
      <c r="E996" s="9" t="s">
        <v>13284</v>
      </c>
      <c r="F996" s="9" t="s">
        <v>13284</v>
      </c>
      <c r="G996" s="9" t="s">
        <v>13284</v>
      </c>
      <c r="H996" s="9" t="s">
        <v>13284</v>
      </c>
      <c r="I996" s="9" t="s">
        <v>13284</v>
      </c>
      <c r="J996" s="9" t="s">
        <v>13284</v>
      </c>
      <c r="K996" s="9" t="s">
        <v>13284</v>
      </c>
      <c r="L996" s="9" t="s">
        <v>13284</v>
      </c>
      <c r="M996" s="9" t="s">
        <v>13284</v>
      </c>
      <c r="N996" s="9" t="s">
        <v>13284</v>
      </c>
      <c r="O996" s="9" t="s">
        <v>13284</v>
      </c>
      <c r="P996" s="9" t="s">
        <v>13284</v>
      </c>
      <c r="Q996" s="9" t="s">
        <v>13284</v>
      </c>
      <c r="R996" s="9" t="s">
        <v>13284</v>
      </c>
      <c r="S996" s="9" t="s">
        <v>13284</v>
      </c>
      <c r="T996" s="9" t="str">
        <f ca="1">IFERROR(IF(AND(VLOOKUP(A996, 'Актуальное состояние (из общего'!A:C,3,0) = "", A996 &lt;&gt; ""), "ПРОВЕРИТЬ", VLOOKUP(A996, 'Актуальное состояние (из общего'!A:C,3,0)), "")</f>
        <v>Студент</v>
      </c>
      <c r="U996" s="9" t="s">
        <v>13284</v>
      </c>
      <c r="V996" s="9" t="s">
        <v>13284</v>
      </c>
      <c r="W996" s="12"/>
      <c r="X996" s="9" t="str">
        <f t="array" ref="X996">IFERROR(INDEX('Адреса общежитий (скрытый)'!$B$2:$B$9, MATCH(W996, 'Адреса общежитий (скрытый)'!$A$2:$A$9, 0)), "")</f>
        <v/>
      </c>
      <c r="Y996" s="18"/>
      <c r="Z996" s="18"/>
      <c r="AA996" s="18"/>
      <c r="AB996" s="18"/>
      <c r="AC996" s="18"/>
    </row>
    <row r="997" spans="1:29" ht="32.25" hidden="1" customHeight="1">
      <c r="A997" s="8">
        <v>2304292</v>
      </c>
      <c r="B997" s="9" t="s">
        <v>13284</v>
      </c>
      <c r="C997" s="9" t="s">
        <v>13284</v>
      </c>
      <c r="D997" s="9" t="s">
        <v>13284</v>
      </c>
      <c r="E997" s="9" t="s">
        <v>13284</v>
      </c>
      <c r="F997" s="9" t="s">
        <v>13284</v>
      </c>
      <c r="G997" s="9" t="s">
        <v>13284</v>
      </c>
      <c r="H997" s="9" t="s">
        <v>13284</v>
      </c>
      <c r="I997" s="9" t="s">
        <v>13284</v>
      </c>
      <c r="J997" s="9" t="s">
        <v>13284</v>
      </c>
      <c r="K997" s="9" t="s">
        <v>13284</v>
      </c>
      <c r="L997" s="9" t="s">
        <v>13284</v>
      </c>
      <c r="M997" s="9" t="s">
        <v>13284</v>
      </c>
      <c r="N997" s="9" t="s">
        <v>13284</v>
      </c>
      <c r="O997" s="9" t="s">
        <v>13284</v>
      </c>
      <c r="P997" s="9" t="s">
        <v>13284</v>
      </c>
      <c r="Q997" s="9" t="s">
        <v>13284</v>
      </c>
      <c r="R997" s="9" t="s">
        <v>13284</v>
      </c>
      <c r="S997" s="9" t="s">
        <v>13284</v>
      </c>
      <c r="T997" s="9" t="str">
        <f ca="1">IFERROR(IF(AND(VLOOKUP(A997, 'Актуальное состояние (из общего'!A:C,3,0) = "", A997 &lt;&gt; ""), "ПРОВЕРИТЬ", VLOOKUP(A997, 'Актуальное состояние (из общего'!A:C,3,0)), "")</f>
        <v>Студент</v>
      </c>
      <c r="U997" s="9" t="s">
        <v>13284</v>
      </c>
      <c r="V997" s="9" t="s">
        <v>13284</v>
      </c>
      <c r="W997" s="12"/>
      <c r="X997" s="9" t="str">
        <f t="array" ref="X997">IFERROR(INDEX('Адреса общежитий (скрытый)'!$B$2:$B$9, MATCH(W997, 'Адреса общежитий (скрытый)'!$A$2:$A$9, 0)), "")</f>
        <v/>
      </c>
      <c r="Y997" s="18"/>
      <c r="Z997" s="18"/>
      <c r="AA997" s="18"/>
      <c r="AB997" s="18"/>
      <c r="AC997" s="18"/>
    </row>
    <row r="998" spans="1:29" ht="32.25" customHeight="1">
      <c r="A998" s="8">
        <v>2305445</v>
      </c>
      <c r="B998" s="9" t="s">
        <v>13284</v>
      </c>
      <c r="C998" s="9" t="s">
        <v>13284</v>
      </c>
      <c r="D998" s="9" t="s">
        <v>13284</v>
      </c>
      <c r="E998" s="9" t="s">
        <v>13284</v>
      </c>
      <c r="F998" s="9" t="s">
        <v>13284</v>
      </c>
      <c r="G998" s="9" t="s">
        <v>13284</v>
      </c>
      <c r="H998" s="9" t="s">
        <v>13284</v>
      </c>
      <c r="I998" s="9" t="s">
        <v>13284</v>
      </c>
      <c r="J998" s="9" t="s">
        <v>13284</v>
      </c>
      <c r="K998" s="9" t="s">
        <v>13284</v>
      </c>
      <c r="L998" s="9" t="s">
        <v>13284</v>
      </c>
      <c r="M998" s="9" t="s">
        <v>13284</v>
      </c>
      <c r="N998" s="9" t="s">
        <v>13284</v>
      </c>
      <c r="O998" s="9" t="s">
        <v>13284</v>
      </c>
      <c r="P998" s="9" t="s">
        <v>13284</v>
      </c>
      <c r="Q998" s="9" t="s">
        <v>13284</v>
      </c>
      <c r="R998" s="9" t="s">
        <v>13284</v>
      </c>
      <c r="S998" s="9" t="s">
        <v>13284</v>
      </c>
      <c r="T998" s="9" t="str">
        <f ca="1">IFERROR(IF(AND(VLOOKUP(A998, 'Актуальное состояние (из общего'!A:C,3,0) = "", A998 &lt;&gt; ""), "ПРОВЕРИТЬ", VLOOKUP(A998, 'Актуальное состояние (из общего'!A:C,3,0)), "")</f>
        <v>Студент</v>
      </c>
      <c r="U998" s="9" t="s">
        <v>13284</v>
      </c>
      <c r="V998" s="9" t="s">
        <v>13284</v>
      </c>
      <c r="W998" s="12"/>
      <c r="X998" s="9" t="str">
        <f t="array" ref="X998">IFERROR(INDEX('Адреса общежитий (скрытый)'!$B$2:$B$9, MATCH(W998, 'Адреса общежитий (скрытый)'!$A$2:$A$9, 0)), "")</f>
        <v/>
      </c>
      <c r="Y998" s="18"/>
      <c r="Z998" s="18"/>
      <c r="AA998" s="18"/>
      <c r="AB998" s="18"/>
      <c r="AC998" s="18"/>
    </row>
    <row r="999" spans="1:29" ht="32.25" customHeight="1">
      <c r="A999" s="8">
        <v>2305746</v>
      </c>
      <c r="B999" s="9" t="s">
        <v>13284</v>
      </c>
      <c r="C999" s="9" t="s">
        <v>13284</v>
      </c>
      <c r="D999" s="9" t="s">
        <v>13284</v>
      </c>
      <c r="E999" s="9" t="s">
        <v>13284</v>
      </c>
      <c r="F999" s="9" t="s">
        <v>13284</v>
      </c>
      <c r="G999" s="9" t="s">
        <v>13284</v>
      </c>
      <c r="H999" s="9" t="s">
        <v>13284</v>
      </c>
      <c r="I999" s="9" t="s">
        <v>13284</v>
      </c>
      <c r="J999" s="9" t="s">
        <v>13284</v>
      </c>
      <c r="K999" s="9" t="s">
        <v>13284</v>
      </c>
      <c r="L999" s="9" t="s">
        <v>13284</v>
      </c>
      <c r="M999" s="9" t="s">
        <v>13284</v>
      </c>
      <c r="N999" s="9" t="s">
        <v>13284</v>
      </c>
      <c r="O999" s="9" t="s">
        <v>13284</v>
      </c>
      <c r="P999" s="9" t="s">
        <v>13284</v>
      </c>
      <c r="Q999" s="9" t="s">
        <v>13284</v>
      </c>
      <c r="R999" s="9" t="s">
        <v>13284</v>
      </c>
      <c r="S999" s="9" t="s">
        <v>13284</v>
      </c>
      <c r="T999" s="9" t="str">
        <f ca="1">IFERROR(IF(AND(VLOOKUP(A999, 'Актуальное состояние (из общего'!A:C,3,0) = "", A999 &lt;&gt; ""), "ПРОВЕРИТЬ", VLOOKUP(A999, 'Актуальное состояние (из общего'!A:C,3,0)), "")</f>
        <v>Студент</v>
      </c>
      <c r="U999" s="9" t="s">
        <v>13284</v>
      </c>
      <c r="V999" s="9" t="s">
        <v>13284</v>
      </c>
      <c r="W999" s="12"/>
      <c r="X999" s="9" t="str">
        <f t="array" ref="X999">IFERROR(INDEX('Адреса общежитий (скрытый)'!$B$2:$B$9, MATCH(W999, 'Адреса общежитий (скрытый)'!$A$2:$A$9, 0)), "")</f>
        <v/>
      </c>
      <c r="Y999" s="18"/>
      <c r="Z999" s="18"/>
      <c r="AA999" s="18"/>
      <c r="AB999" s="18"/>
      <c r="AC999" s="18"/>
    </row>
    <row r="1000" spans="1:29" ht="32.25" hidden="1" customHeight="1">
      <c r="A1000" s="8">
        <v>2310642</v>
      </c>
      <c r="B1000" s="9" t="s">
        <v>13284</v>
      </c>
      <c r="C1000" s="9" t="s">
        <v>13284</v>
      </c>
      <c r="D1000" s="9" t="s">
        <v>13284</v>
      </c>
      <c r="E1000" s="9" t="s">
        <v>13284</v>
      </c>
      <c r="F1000" s="9" t="s">
        <v>13284</v>
      </c>
      <c r="G1000" s="9" t="s">
        <v>13284</v>
      </c>
      <c r="H1000" s="9" t="s">
        <v>13284</v>
      </c>
      <c r="I1000" s="9" t="s">
        <v>13284</v>
      </c>
      <c r="J1000" s="9" t="s">
        <v>13284</v>
      </c>
      <c r="K1000" s="9" t="s">
        <v>13284</v>
      </c>
      <c r="L1000" s="9" t="s">
        <v>13284</v>
      </c>
      <c r="M1000" s="9" t="s">
        <v>13284</v>
      </c>
      <c r="N1000" s="9" t="s">
        <v>13284</v>
      </c>
      <c r="O1000" s="9" t="s">
        <v>13284</v>
      </c>
      <c r="P1000" s="9" t="s">
        <v>13284</v>
      </c>
      <c r="Q1000" s="9" t="s">
        <v>13284</v>
      </c>
      <c r="R1000" s="9" t="s">
        <v>13284</v>
      </c>
      <c r="S1000" s="9" t="s">
        <v>13284</v>
      </c>
      <c r="T1000" s="9" t="str">
        <f ca="1">IFERROR(IF(AND(VLOOKUP(A1000, 'Актуальное состояние (из общего'!A:C,3,0) = "", A1000 &lt;&gt; ""), "ПРОВЕРИТЬ", VLOOKUP(A1000, 'Актуальное состояние (из общего'!A:C,3,0)), "")</f>
        <v>Студент</v>
      </c>
      <c r="U1000" s="9" t="s">
        <v>13284</v>
      </c>
      <c r="V1000" s="9" t="s">
        <v>13284</v>
      </c>
      <c r="W1000" s="12"/>
      <c r="X1000" s="9" t="str">
        <f t="array" ref="X1000">IFERROR(INDEX('Адреса общежитий (скрытый)'!$B$2:$B$9, MATCH(W1000, 'Адреса общежитий (скрытый)'!$A$2:$A$9, 0)), "")</f>
        <v/>
      </c>
      <c r="Y1000" s="18"/>
      <c r="Z1000" s="18"/>
      <c r="AA1000" s="18"/>
      <c r="AB1000" s="18"/>
      <c r="AC1000" s="18"/>
    </row>
    <row r="1001" spans="1:29" ht="32.25" customHeight="1">
      <c r="A1001" s="8">
        <v>2309370</v>
      </c>
      <c r="B1001" s="9" t="s">
        <v>13284</v>
      </c>
      <c r="C1001" s="9" t="s">
        <v>13284</v>
      </c>
      <c r="D1001" s="9" t="s">
        <v>13284</v>
      </c>
      <c r="E1001" s="9" t="s">
        <v>13284</v>
      </c>
      <c r="F1001" s="9" t="s">
        <v>13284</v>
      </c>
      <c r="G1001" s="9" t="s">
        <v>13284</v>
      </c>
      <c r="H1001" s="9" t="s">
        <v>13284</v>
      </c>
      <c r="I1001" s="9" t="s">
        <v>13284</v>
      </c>
      <c r="J1001" s="9" t="s">
        <v>13284</v>
      </c>
      <c r="K1001" s="9" t="s">
        <v>13284</v>
      </c>
      <c r="L1001" s="9" t="s">
        <v>13284</v>
      </c>
      <c r="M1001" s="9" t="s">
        <v>13284</v>
      </c>
      <c r="N1001" s="9" t="s">
        <v>13284</v>
      </c>
      <c r="O1001" s="9" t="s">
        <v>13284</v>
      </c>
      <c r="P1001" s="9" t="s">
        <v>13284</v>
      </c>
      <c r="Q1001" s="9" t="s">
        <v>13284</v>
      </c>
      <c r="R1001" s="9" t="s">
        <v>13284</v>
      </c>
      <c r="S1001" s="9" t="s">
        <v>13284</v>
      </c>
      <c r="T1001" s="9" t="str">
        <f ca="1">IFERROR(IF(AND(VLOOKUP(A1001, 'Актуальное состояние (из общего'!A:C,3,0) = "", A1001 &lt;&gt; ""), "ПРОВЕРИТЬ", VLOOKUP(A1001, 'Актуальное состояние (из общего'!A:C,3,0)), "")</f>
        <v>Студент</v>
      </c>
      <c r="U1001" s="9" t="s">
        <v>13284</v>
      </c>
      <c r="V1001" s="9" t="s">
        <v>13284</v>
      </c>
      <c r="W1001" s="12"/>
      <c r="X1001" s="9" t="str">
        <f t="array" ref="X1001">IFERROR(INDEX('Адреса общежитий (скрытый)'!$B$2:$B$9, MATCH(W1001, 'Адреса общежитий (скрытый)'!$A$2:$A$9, 0)), "")</f>
        <v/>
      </c>
      <c r="Y1001" s="18"/>
      <c r="Z1001" s="18"/>
      <c r="AA1001" s="18"/>
      <c r="AB1001" s="18"/>
      <c r="AC1001" s="18"/>
    </row>
    <row r="1002" spans="1:29" ht="32.25" customHeight="1">
      <c r="A1002" s="8">
        <v>2305137</v>
      </c>
      <c r="B1002" s="9" t="s">
        <v>13284</v>
      </c>
      <c r="C1002" s="9" t="s">
        <v>13284</v>
      </c>
      <c r="D1002" s="9" t="s">
        <v>13284</v>
      </c>
      <c r="E1002" s="9" t="s">
        <v>13284</v>
      </c>
      <c r="F1002" s="9" t="s">
        <v>13284</v>
      </c>
      <c r="G1002" s="9" t="s">
        <v>13284</v>
      </c>
      <c r="H1002" s="9" t="s">
        <v>13284</v>
      </c>
      <c r="I1002" s="9" t="s">
        <v>13284</v>
      </c>
      <c r="J1002" s="9" t="s">
        <v>13284</v>
      </c>
      <c r="K1002" s="9" t="s">
        <v>13284</v>
      </c>
      <c r="L1002" s="9" t="s">
        <v>13284</v>
      </c>
      <c r="M1002" s="9" t="s">
        <v>13284</v>
      </c>
      <c r="N1002" s="9" t="s">
        <v>13284</v>
      </c>
      <c r="O1002" s="9" t="s">
        <v>13284</v>
      </c>
      <c r="P1002" s="9" t="s">
        <v>13284</v>
      </c>
      <c r="Q1002" s="9" t="s">
        <v>13284</v>
      </c>
      <c r="R1002" s="9" t="s">
        <v>13284</v>
      </c>
      <c r="S1002" s="9" t="s">
        <v>13284</v>
      </c>
      <c r="T1002" s="9" t="str">
        <f ca="1">IFERROR(IF(AND(VLOOKUP(A1002, 'Актуальное состояние (из общего'!A:C,3,0) = "", A1002 &lt;&gt; ""), "ПРОВЕРИТЬ", VLOOKUP(A1002, 'Актуальное состояние (из общего'!A:C,3,0)), "")</f>
        <v>Студент</v>
      </c>
      <c r="U1002" s="9" t="s">
        <v>13284</v>
      </c>
      <c r="V1002" s="9" t="s">
        <v>13284</v>
      </c>
      <c r="W1002" s="12"/>
      <c r="X1002" s="9" t="str">
        <f t="array" ref="X1002">IFERROR(INDEX('Адреса общежитий (скрытый)'!$B$2:$B$9, MATCH(W1002, 'Адреса общежитий (скрытый)'!$A$2:$A$9, 0)), "")</f>
        <v/>
      </c>
      <c r="Y1002" s="18"/>
      <c r="Z1002" s="18"/>
      <c r="AA1002" s="18"/>
      <c r="AB1002" s="18"/>
      <c r="AC1002" s="18"/>
    </row>
    <row r="1003" spans="1:29" ht="32.25" customHeight="1">
      <c r="A1003" s="8">
        <v>2306841</v>
      </c>
      <c r="B1003" s="9" t="s">
        <v>13284</v>
      </c>
      <c r="C1003" s="9" t="s">
        <v>13284</v>
      </c>
      <c r="D1003" s="9" t="s">
        <v>13284</v>
      </c>
      <c r="E1003" s="9" t="s">
        <v>13284</v>
      </c>
      <c r="F1003" s="9" t="s">
        <v>13284</v>
      </c>
      <c r="G1003" s="9" t="s">
        <v>13284</v>
      </c>
      <c r="H1003" s="9" t="s">
        <v>13284</v>
      </c>
      <c r="I1003" s="9" t="s">
        <v>13284</v>
      </c>
      <c r="J1003" s="9" t="s">
        <v>13284</v>
      </c>
      <c r="K1003" s="9" t="s">
        <v>13284</v>
      </c>
      <c r="L1003" s="9" t="s">
        <v>13284</v>
      </c>
      <c r="M1003" s="9" t="s">
        <v>13284</v>
      </c>
      <c r="N1003" s="9" t="s">
        <v>13284</v>
      </c>
      <c r="O1003" s="9" t="s">
        <v>13284</v>
      </c>
      <c r="P1003" s="9" t="s">
        <v>13284</v>
      </c>
      <c r="Q1003" s="9" t="s">
        <v>13284</v>
      </c>
      <c r="R1003" s="9" t="s">
        <v>13284</v>
      </c>
      <c r="S1003" s="9" t="s">
        <v>13284</v>
      </c>
      <c r="T1003" s="9" t="str">
        <f ca="1">IFERROR(IF(AND(VLOOKUP(A1003, 'Актуальное состояние (из общего'!A:C,3,0) = "", A1003 &lt;&gt; ""), "ПРОВЕРИТЬ", VLOOKUP(A1003, 'Актуальное состояние (из общего'!A:C,3,0)), "")</f>
        <v>Студент</v>
      </c>
      <c r="U1003" s="9" t="s">
        <v>13284</v>
      </c>
      <c r="V1003" s="9" t="s">
        <v>13284</v>
      </c>
      <c r="W1003" s="12"/>
      <c r="X1003" s="9" t="str">
        <f t="array" ref="X1003">IFERROR(INDEX('Адреса общежитий (скрытый)'!$B$2:$B$9, MATCH(W1003, 'Адреса общежитий (скрытый)'!$A$2:$A$9, 0)), "")</f>
        <v/>
      </c>
      <c r="Y1003" s="18"/>
      <c r="Z1003" s="18"/>
      <c r="AA1003" s="18"/>
      <c r="AB1003" s="18"/>
      <c r="AC1003" s="18"/>
    </row>
    <row r="1004" spans="1:29" ht="32.25" hidden="1" customHeight="1">
      <c r="A1004" s="8">
        <v>2315491</v>
      </c>
      <c r="B1004" s="9" t="s">
        <v>13284</v>
      </c>
      <c r="C1004" s="9" t="s">
        <v>13284</v>
      </c>
      <c r="D1004" s="9" t="s">
        <v>13284</v>
      </c>
      <c r="E1004" s="9" t="s">
        <v>13284</v>
      </c>
      <c r="F1004" s="9" t="s">
        <v>13284</v>
      </c>
      <c r="G1004" s="9" t="s">
        <v>13284</v>
      </c>
      <c r="H1004" s="9" t="s">
        <v>13284</v>
      </c>
      <c r="I1004" s="9" t="s">
        <v>13284</v>
      </c>
      <c r="J1004" s="9" t="s">
        <v>13284</v>
      </c>
      <c r="K1004" s="9" t="s">
        <v>13284</v>
      </c>
      <c r="L1004" s="9" t="s">
        <v>13284</v>
      </c>
      <c r="M1004" s="9" t="s">
        <v>13284</v>
      </c>
      <c r="N1004" s="9" t="s">
        <v>13284</v>
      </c>
      <c r="O1004" s="9" t="s">
        <v>13284</v>
      </c>
      <c r="P1004" s="9" t="s">
        <v>13284</v>
      </c>
      <c r="Q1004" s="9" t="s">
        <v>13284</v>
      </c>
      <c r="R1004" s="9" t="s">
        <v>13284</v>
      </c>
      <c r="S1004" s="9" t="s">
        <v>13284</v>
      </c>
      <c r="T1004" s="9" t="str">
        <f ca="1">IFERROR(IF(AND(VLOOKUP(A1004, 'Актуальное состояние (из общего'!A:C,3,0) = "", A1004 &lt;&gt; ""), "ПРОВЕРИТЬ", VLOOKUP(A1004, 'Актуальное состояние (из общего'!A:C,3,0)), "")</f>
        <v>Студент</v>
      </c>
      <c r="U1004" s="9" t="s">
        <v>13284</v>
      </c>
      <c r="V1004" s="9" t="s">
        <v>13284</v>
      </c>
      <c r="W1004" s="12"/>
      <c r="X1004" s="9" t="str">
        <f t="array" ref="X1004">IFERROR(INDEX('Адреса общежитий (скрытый)'!$B$2:$B$9, MATCH(W1004, 'Адреса общежитий (скрытый)'!$A$2:$A$9, 0)), "")</f>
        <v/>
      </c>
      <c r="Y1004" s="18"/>
      <c r="Z1004" s="18"/>
      <c r="AA1004" s="18"/>
      <c r="AB1004" s="18"/>
      <c r="AC1004" s="18"/>
    </row>
    <row r="1005" spans="1:29" ht="32.25" hidden="1" customHeight="1">
      <c r="A1005" s="8">
        <v>2303083</v>
      </c>
      <c r="B1005" s="9" t="s">
        <v>13284</v>
      </c>
      <c r="C1005" s="9" t="s">
        <v>13284</v>
      </c>
      <c r="D1005" s="9" t="s">
        <v>13284</v>
      </c>
      <c r="E1005" s="9" t="s">
        <v>13284</v>
      </c>
      <c r="F1005" s="9" t="s">
        <v>13284</v>
      </c>
      <c r="G1005" s="9" t="s">
        <v>13284</v>
      </c>
      <c r="H1005" s="9" t="s">
        <v>13284</v>
      </c>
      <c r="I1005" s="9" t="s">
        <v>13284</v>
      </c>
      <c r="J1005" s="9" t="s">
        <v>13284</v>
      </c>
      <c r="K1005" s="9" t="s">
        <v>13284</v>
      </c>
      <c r="L1005" s="9" t="s">
        <v>13284</v>
      </c>
      <c r="M1005" s="9" t="s">
        <v>13284</v>
      </c>
      <c r="N1005" s="9" t="s">
        <v>13284</v>
      </c>
      <c r="O1005" s="9" t="s">
        <v>13284</v>
      </c>
      <c r="P1005" s="9" t="s">
        <v>13284</v>
      </c>
      <c r="Q1005" s="9" t="s">
        <v>13284</v>
      </c>
      <c r="R1005" s="9" t="s">
        <v>13284</v>
      </c>
      <c r="S1005" s="9" t="s">
        <v>13284</v>
      </c>
      <c r="T1005" s="9" t="str">
        <f ca="1">IFERROR(IF(AND(VLOOKUP(A1005, 'Актуальное состояние (из общего'!A:C,3,0) = "", A1005 &lt;&gt; ""), "ПРОВЕРИТЬ", VLOOKUP(A1005, 'Актуальное состояние (из общего'!A:C,3,0)), "")</f>
        <v>Студент</v>
      </c>
      <c r="U1005" s="9" t="s">
        <v>13284</v>
      </c>
      <c r="V1005" s="9" t="s">
        <v>13284</v>
      </c>
      <c r="W1005" s="12"/>
      <c r="X1005" s="9" t="str">
        <f t="array" ref="X1005">IFERROR(INDEX('Адреса общежитий (скрытый)'!$B$2:$B$9, MATCH(W1005, 'Адреса общежитий (скрытый)'!$A$2:$A$9, 0)), "")</f>
        <v/>
      </c>
      <c r="Y1005" s="18"/>
      <c r="Z1005" s="18"/>
      <c r="AA1005" s="18"/>
      <c r="AB1005" s="18"/>
      <c r="AC1005" s="18"/>
    </row>
    <row r="1006" spans="1:29" ht="32.25" customHeight="1">
      <c r="A1006" s="8">
        <v>2300826</v>
      </c>
      <c r="B1006" s="9" t="s">
        <v>13284</v>
      </c>
      <c r="C1006" s="9" t="s">
        <v>13284</v>
      </c>
      <c r="D1006" s="9" t="s">
        <v>13284</v>
      </c>
      <c r="E1006" s="9" t="s">
        <v>13284</v>
      </c>
      <c r="F1006" s="9" t="s">
        <v>13284</v>
      </c>
      <c r="G1006" s="9" t="s">
        <v>13284</v>
      </c>
      <c r="H1006" s="9" t="s">
        <v>13284</v>
      </c>
      <c r="I1006" s="9" t="s">
        <v>13284</v>
      </c>
      <c r="J1006" s="9" t="s">
        <v>13284</v>
      </c>
      <c r="K1006" s="9" t="s">
        <v>13284</v>
      </c>
      <c r="L1006" s="9" t="s">
        <v>13284</v>
      </c>
      <c r="M1006" s="9" t="s">
        <v>13284</v>
      </c>
      <c r="N1006" s="9" t="s">
        <v>13284</v>
      </c>
      <c r="O1006" s="9" t="s">
        <v>13284</v>
      </c>
      <c r="P1006" s="9" t="s">
        <v>13284</v>
      </c>
      <c r="Q1006" s="9" t="s">
        <v>13284</v>
      </c>
      <c r="R1006" s="9" t="s">
        <v>13284</v>
      </c>
      <c r="S1006" s="9" t="s">
        <v>13284</v>
      </c>
      <c r="T1006" s="9" t="str">
        <f ca="1">IFERROR(IF(AND(VLOOKUP(A1006, 'Актуальное состояние (из общего'!A:C,3,0) = "", A1006 &lt;&gt; ""), "ПРОВЕРИТЬ", VLOOKUP(A1006, 'Актуальное состояние (из общего'!A:C,3,0)), "")</f>
        <v>Студент</v>
      </c>
      <c r="U1006" s="9" t="s">
        <v>13284</v>
      </c>
      <c r="V1006" s="9" t="s">
        <v>13284</v>
      </c>
      <c r="W1006" s="12"/>
      <c r="X1006" s="9" t="str">
        <f t="array" ref="X1006">IFERROR(INDEX('Адреса общежитий (скрытый)'!$B$2:$B$9, MATCH(W1006, 'Адреса общежитий (скрытый)'!$A$2:$A$9, 0)), "")</f>
        <v/>
      </c>
      <c r="Y1006" s="18"/>
      <c r="Z1006" s="18"/>
      <c r="AA1006" s="18"/>
      <c r="AB1006" s="18"/>
      <c r="AC1006" s="18"/>
    </row>
    <row r="1007" spans="1:29" ht="32.25" hidden="1" customHeight="1">
      <c r="A1007" s="8">
        <v>2300590</v>
      </c>
      <c r="B1007" s="9" t="s">
        <v>13284</v>
      </c>
      <c r="C1007" s="9" t="s">
        <v>13284</v>
      </c>
      <c r="D1007" s="9" t="s">
        <v>13284</v>
      </c>
      <c r="E1007" s="9" t="s">
        <v>13284</v>
      </c>
      <c r="F1007" s="9" t="s">
        <v>13284</v>
      </c>
      <c r="G1007" s="9" t="s">
        <v>13284</v>
      </c>
      <c r="H1007" s="9" t="s">
        <v>13284</v>
      </c>
      <c r="I1007" s="9" t="s">
        <v>13284</v>
      </c>
      <c r="J1007" s="9" t="s">
        <v>13284</v>
      </c>
      <c r="K1007" s="9" t="s">
        <v>13284</v>
      </c>
      <c r="L1007" s="9" t="s">
        <v>13284</v>
      </c>
      <c r="M1007" s="9" t="s">
        <v>13284</v>
      </c>
      <c r="N1007" s="9" t="s">
        <v>13284</v>
      </c>
      <c r="O1007" s="9" t="s">
        <v>13284</v>
      </c>
      <c r="P1007" s="9" t="s">
        <v>13284</v>
      </c>
      <c r="Q1007" s="9" t="s">
        <v>13284</v>
      </c>
      <c r="R1007" s="9" t="s">
        <v>13284</v>
      </c>
      <c r="S1007" s="9" t="s">
        <v>13284</v>
      </c>
      <c r="T1007" s="9" t="str">
        <f ca="1">IFERROR(IF(AND(VLOOKUP(A1007, 'Актуальное состояние (из общего'!A:C,3,0) = "", A1007 &lt;&gt; ""), "ПРОВЕРИТЬ", VLOOKUP(A1007, 'Актуальное состояние (из общего'!A:C,3,0)), "")</f>
        <v>Студент</v>
      </c>
      <c r="U1007" s="9" t="s">
        <v>13284</v>
      </c>
      <c r="V1007" s="9" t="s">
        <v>13284</v>
      </c>
      <c r="W1007" s="12"/>
      <c r="X1007" s="9" t="str">
        <f t="array" ref="X1007">IFERROR(INDEX('Адреса общежитий (скрытый)'!$B$2:$B$9, MATCH(W1007, 'Адреса общежитий (скрытый)'!$A$2:$A$9, 0)), "")</f>
        <v/>
      </c>
      <c r="Y1007" s="18"/>
      <c r="Z1007" s="18"/>
      <c r="AA1007" s="18"/>
      <c r="AB1007" s="18"/>
      <c r="AC1007" s="18"/>
    </row>
    <row r="1008" spans="1:29" ht="32.25" customHeight="1">
      <c r="A1008" s="8">
        <v>2311859</v>
      </c>
      <c r="B1008" s="9" t="s">
        <v>13284</v>
      </c>
      <c r="C1008" s="9" t="s">
        <v>13284</v>
      </c>
      <c r="D1008" s="9" t="s">
        <v>13284</v>
      </c>
      <c r="E1008" s="9" t="s">
        <v>13284</v>
      </c>
      <c r="F1008" s="9" t="s">
        <v>13284</v>
      </c>
      <c r="G1008" s="9" t="s">
        <v>13284</v>
      </c>
      <c r="H1008" s="9" t="s">
        <v>13284</v>
      </c>
      <c r="I1008" s="9" t="s">
        <v>13284</v>
      </c>
      <c r="J1008" s="9" t="s">
        <v>13284</v>
      </c>
      <c r="K1008" s="9" t="s">
        <v>13284</v>
      </c>
      <c r="L1008" s="9" t="s">
        <v>13284</v>
      </c>
      <c r="M1008" s="9" t="s">
        <v>13284</v>
      </c>
      <c r="N1008" s="9" t="s">
        <v>13284</v>
      </c>
      <c r="O1008" s="9" t="s">
        <v>13284</v>
      </c>
      <c r="P1008" s="9" t="s">
        <v>13284</v>
      </c>
      <c r="Q1008" s="9" t="s">
        <v>13284</v>
      </c>
      <c r="R1008" s="9" t="s">
        <v>13284</v>
      </c>
      <c r="S1008" s="9" t="s">
        <v>13284</v>
      </c>
      <c r="T1008" s="9" t="str">
        <f ca="1">IFERROR(IF(AND(VLOOKUP(A1008, 'Актуальное состояние (из общего'!A:C,3,0) = "", A1008 &lt;&gt; ""), "ПРОВЕРИТЬ", VLOOKUP(A1008, 'Актуальное состояние (из общего'!A:C,3,0)), "")</f>
        <v>Студент</v>
      </c>
      <c r="U1008" s="9" t="s">
        <v>13284</v>
      </c>
      <c r="V1008" s="9" t="s">
        <v>13284</v>
      </c>
      <c r="W1008" s="12"/>
      <c r="X1008" s="9" t="str">
        <f t="array" ref="X1008">IFERROR(INDEX('Адреса общежитий (скрытый)'!$B$2:$B$9, MATCH(W1008, 'Адреса общежитий (скрытый)'!$A$2:$A$9, 0)), "")</f>
        <v/>
      </c>
      <c r="Y1008" s="18"/>
      <c r="Z1008" s="18"/>
      <c r="AA1008" s="18"/>
      <c r="AB1008" s="18"/>
      <c r="AC1008" s="18"/>
    </row>
    <row r="1009" spans="1:29" ht="32.25" customHeight="1">
      <c r="A1009" s="8">
        <v>2305155</v>
      </c>
      <c r="B1009" s="9" t="s">
        <v>13284</v>
      </c>
      <c r="C1009" s="9" t="s">
        <v>13284</v>
      </c>
      <c r="D1009" s="9" t="s">
        <v>13284</v>
      </c>
      <c r="E1009" s="9" t="s">
        <v>13284</v>
      </c>
      <c r="F1009" s="9" t="s">
        <v>13284</v>
      </c>
      <c r="G1009" s="9" t="s">
        <v>13284</v>
      </c>
      <c r="H1009" s="9" t="s">
        <v>13284</v>
      </c>
      <c r="I1009" s="9" t="s">
        <v>13284</v>
      </c>
      <c r="J1009" s="9" t="s">
        <v>13284</v>
      </c>
      <c r="K1009" s="9" t="s">
        <v>13284</v>
      </c>
      <c r="L1009" s="9" t="s">
        <v>13284</v>
      </c>
      <c r="M1009" s="9" t="s">
        <v>13284</v>
      </c>
      <c r="N1009" s="9" t="s">
        <v>13284</v>
      </c>
      <c r="O1009" s="9" t="s">
        <v>13284</v>
      </c>
      <c r="P1009" s="9" t="s">
        <v>13284</v>
      </c>
      <c r="Q1009" s="9" t="s">
        <v>13284</v>
      </c>
      <c r="R1009" s="9" t="s">
        <v>13284</v>
      </c>
      <c r="S1009" s="9" t="s">
        <v>13284</v>
      </c>
      <c r="T1009" s="9" t="str">
        <f ca="1">IFERROR(IF(AND(VLOOKUP(A1009, 'Актуальное состояние (из общего'!A:C,3,0) = "", A1009 &lt;&gt; ""), "ПРОВЕРИТЬ", VLOOKUP(A1009, 'Актуальное состояние (из общего'!A:C,3,0)), "")</f>
        <v>Студент</v>
      </c>
      <c r="U1009" s="9" t="s">
        <v>13284</v>
      </c>
      <c r="V1009" s="9" t="s">
        <v>13284</v>
      </c>
      <c r="W1009" s="12"/>
      <c r="X1009" s="9" t="str">
        <f t="array" ref="X1009">IFERROR(INDEX('Адреса общежитий (скрытый)'!$B$2:$B$9, MATCH(W1009, 'Адреса общежитий (скрытый)'!$A$2:$A$9, 0)), "")</f>
        <v/>
      </c>
      <c r="Y1009" s="18"/>
      <c r="Z1009" s="18"/>
      <c r="AA1009" s="18"/>
      <c r="AB1009" s="18"/>
      <c r="AC1009" s="18"/>
    </row>
    <row r="1010" spans="1:29" ht="32.25" hidden="1" customHeight="1">
      <c r="A1010" s="8">
        <v>2315489</v>
      </c>
      <c r="B1010" s="9" t="s">
        <v>13284</v>
      </c>
      <c r="C1010" s="9" t="s">
        <v>13284</v>
      </c>
      <c r="D1010" s="9" t="s">
        <v>13284</v>
      </c>
      <c r="E1010" s="9" t="s">
        <v>13284</v>
      </c>
      <c r="F1010" s="9" t="s">
        <v>13284</v>
      </c>
      <c r="G1010" s="9" t="s">
        <v>13284</v>
      </c>
      <c r="H1010" s="9" t="s">
        <v>13284</v>
      </c>
      <c r="I1010" s="9" t="s">
        <v>13284</v>
      </c>
      <c r="J1010" s="9" t="s">
        <v>13284</v>
      </c>
      <c r="K1010" s="9" t="s">
        <v>13284</v>
      </c>
      <c r="L1010" s="9" t="s">
        <v>13284</v>
      </c>
      <c r="M1010" s="9" t="s">
        <v>13284</v>
      </c>
      <c r="N1010" s="9" t="s">
        <v>13284</v>
      </c>
      <c r="O1010" s="9" t="s">
        <v>13284</v>
      </c>
      <c r="P1010" s="9" t="s">
        <v>13284</v>
      </c>
      <c r="Q1010" s="9" t="s">
        <v>13284</v>
      </c>
      <c r="R1010" s="9" t="s">
        <v>13284</v>
      </c>
      <c r="S1010" s="9" t="s">
        <v>13284</v>
      </c>
      <c r="T1010" s="9" t="str">
        <f ca="1">IFERROR(IF(AND(VLOOKUP(A1010, 'Актуальное состояние (из общего'!A:C,3,0) = "", A1010 &lt;&gt; ""), "ПРОВЕРИТЬ", VLOOKUP(A1010, 'Актуальное состояние (из общего'!A:C,3,0)), "")</f>
        <v>Студент</v>
      </c>
      <c r="U1010" s="9" t="s">
        <v>13284</v>
      </c>
      <c r="V1010" s="9" t="s">
        <v>13284</v>
      </c>
      <c r="W1010" s="12"/>
      <c r="X1010" s="9" t="str">
        <f t="array" ref="X1010">IFERROR(INDEX('Адреса общежитий (скрытый)'!$B$2:$B$9, MATCH(W1010, 'Адреса общежитий (скрытый)'!$A$2:$A$9, 0)), "")</f>
        <v/>
      </c>
      <c r="Y1010" s="18"/>
      <c r="Z1010" s="18"/>
      <c r="AA1010" s="18"/>
      <c r="AB1010" s="18"/>
      <c r="AC1010" s="18"/>
    </row>
    <row r="1011" spans="1:29" ht="32.25" hidden="1" customHeight="1">
      <c r="A1011" s="8">
        <v>2313667</v>
      </c>
      <c r="B1011" s="9" t="s">
        <v>13284</v>
      </c>
      <c r="C1011" s="9" t="s">
        <v>13284</v>
      </c>
      <c r="D1011" s="9" t="s">
        <v>13284</v>
      </c>
      <c r="E1011" s="9" t="s">
        <v>13284</v>
      </c>
      <c r="F1011" s="9" t="s">
        <v>13284</v>
      </c>
      <c r="G1011" s="9" t="s">
        <v>13284</v>
      </c>
      <c r="H1011" s="9" t="s">
        <v>13284</v>
      </c>
      <c r="I1011" s="9" t="s">
        <v>13284</v>
      </c>
      <c r="J1011" s="9" t="s">
        <v>13284</v>
      </c>
      <c r="K1011" s="9" t="s">
        <v>13284</v>
      </c>
      <c r="L1011" s="9" t="s">
        <v>13284</v>
      </c>
      <c r="M1011" s="9" t="s">
        <v>13284</v>
      </c>
      <c r="N1011" s="9" t="s">
        <v>13284</v>
      </c>
      <c r="O1011" s="9" t="s">
        <v>13284</v>
      </c>
      <c r="P1011" s="9" t="s">
        <v>13284</v>
      </c>
      <c r="Q1011" s="9" t="s">
        <v>13284</v>
      </c>
      <c r="R1011" s="9" t="s">
        <v>13284</v>
      </c>
      <c r="S1011" s="9" t="s">
        <v>13284</v>
      </c>
      <c r="T1011" s="9" t="str">
        <f ca="1">IFERROR(IF(AND(VLOOKUP(A1011, 'Актуальное состояние (из общего'!A:C,3,0) = "", A1011 &lt;&gt; ""), "ПРОВЕРИТЬ", VLOOKUP(A1011, 'Актуальное состояние (из общего'!A:C,3,0)), "")</f>
        <v>Студент</v>
      </c>
      <c r="U1011" s="9" t="s">
        <v>13284</v>
      </c>
      <c r="V1011" s="9" t="s">
        <v>13284</v>
      </c>
      <c r="W1011" s="12"/>
      <c r="X1011" s="9" t="str">
        <f t="array" ref="X1011">IFERROR(INDEX('Адреса общежитий (скрытый)'!$B$2:$B$9, MATCH(W1011, 'Адреса общежитий (скрытый)'!$A$2:$A$9, 0)), "")</f>
        <v/>
      </c>
      <c r="Y1011" s="18"/>
      <c r="Z1011" s="18"/>
      <c r="AA1011" s="18"/>
      <c r="AB1011" s="18"/>
      <c r="AC1011" s="18"/>
    </row>
    <row r="1012" spans="1:29" ht="32.25" hidden="1" customHeight="1">
      <c r="A1012" s="8">
        <v>2315492</v>
      </c>
      <c r="B1012" s="9" t="s">
        <v>13284</v>
      </c>
      <c r="C1012" s="9" t="s">
        <v>13284</v>
      </c>
      <c r="D1012" s="9" t="s">
        <v>13284</v>
      </c>
      <c r="E1012" s="9" t="s">
        <v>13284</v>
      </c>
      <c r="F1012" s="9" t="s">
        <v>13284</v>
      </c>
      <c r="G1012" s="9" t="s">
        <v>13284</v>
      </c>
      <c r="H1012" s="9" t="s">
        <v>13284</v>
      </c>
      <c r="I1012" s="9" t="s">
        <v>13284</v>
      </c>
      <c r="J1012" s="9" t="s">
        <v>13284</v>
      </c>
      <c r="K1012" s="9" t="s">
        <v>13284</v>
      </c>
      <c r="L1012" s="9" t="s">
        <v>13284</v>
      </c>
      <c r="M1012" s="9" t="s">
        <v>13284</v>
      </c>
      <c r="N1012" s="9" t="s">
        <v>13284</v>
      </c>
      <c r="O1012" s="9" t="s">
        <v>13284</v>
      </c>
      <c r="P1012" s="9" t="s">
        <v>13284</v>
      </c>
      <c r="Q1012" s="9" t="s">
        <v>13284</v>
      </c>
      <c r="R1012" s="9" t="s">
        <v>13284</v>
      </c>
      <c r="S1012" s="9" t="s">
        <v>13284</v>
      </c>
      <c r="T1012" s="9" t="str">
        <f ca="1">IFERROR(IF(AND(VLOOKUP(A1012, 'Актуальное состояние (из общего'!A:C,3,0) = "", A1012 &lt;&gt; ""), "ПРОВЕРИТЬ", VLOOKUP(A1012, 'Актуальное состояние (из общего'!A:C,3,0)), "")</f>
        <v>Студент</v>
      </c>
      <c r="U1012" s="9" t="s">
        <v>13284</v>
      </c>
      <c r="V1012" s="9" t="s">
        <v>13284</v>
      </c>
      <c r="W1012" s="12"/>
      <c r="X1012" s="9" t="str">
        <f t="array" ref="X1012">IFERROR(INDEX('Адреса общежитий (скрытый)'!$B$2:$B$9, MATCH(W1012, 'Адреса общежитий (скрытый)'!$A$2:$A$9, 0)), "")</f>
        <v/>
      </c>
      <c r="Y1012" s="18"/>
      <c r="Z1012" s="18"/>
      <c r="AA1012" s="18"/>
      <c r="AB1012" s="18"/>
      <c r="AC1012" s="18"/>
    </row>
    <row r="1013" spans="1:29" ht="32.25" customHeight="1">
      <c r="A1013" s="8">
        <v>2311990</v>
      </c>
      <c r="B1013" s="9" t="s">
        <v>13284</v>
      </c>
      <c r="C1013" s="9" t="s">
        <v>13284</v>
      </c>
      <c r="D1013" s="9" t="s">
        <v>13284</v>
      </c>
      <c r="E1013" s="9" t="s">
        <v>13284</v>
      </c>
      <c r="F1013" s="9" t="s">
        <v>13284</v>
      </c>
      <c r="G1013" s="9" t="s">
        <v>13284</v>
      </c>
      <c r="H1013" s="9" t="s">
        <v>13284</v>
      </c>
      <c r="I1013" s="9" t="s">
        <v>13284</v>
      </c>
      <c r="J1013" s="9" t="s">
        <v>13284</v>
      </c>
      <c r="K1013" s="9" t="s">
        <v>13284</v>
      </c>
      <c r="L1013" s="9" t="s">
        <v>13284</v>
      </c>
      <c r="M1013" s="9" t="s">
        <v>13284</v>
      </c>
      <c r="N1013" s="9" t="s">
        <v>13284</v>
      </c>
      <c r="O1013" s="9" t="s">
        <v>13284</v>
      </c>
      <c r="P1013" s="9" t="s">
        <v>13284</v>
      </c>
      <c r="Q1013" s="9" t="s">
        <v>13284</v>
      </c>
      <c r="R1013" s="9" t="s">
        <v>13284</v>
      </c>
      <c r="S1013" s="9" t="s">
        <v>13284</v>
      </c>
      <c r="T1013" s="9" t="str">
        <f ca="1">IFERROR(IF(AND(VLOOKUP(A1013, 'Актуальное состояние (из общего'!A:C,3,0) = "", A1013 &lt;&gt; ""), "ПРОВЕРИТЬ", VLOOKUP(A1013, 'Актуальное состояние (из общего'!A:C,3,0)), "")</f>
        <v>Студент</v>
      </c>
      <c r="U1013" s="9" t="s">
        <v>13284</v>
      </c>
      <c r="V1013" s="9" t="s">
        <v>13284</v>
      </c>
      <c r="W1013" s="12"/>
      <c r="X1013" s="9" t="str">
        <f t="array" ref="X1013">IFERROR(INDEX('Адреса общежитий (скрытый)'!$B$2:$B$9, MATCH(W1013, 'Адреса общежитий (скрытый)'!$A$2:$A$9, 0)), "")</f>
        <v/>
      </c>
      <c r="Y1013" s="18"/>
      <c r="Z1013" s="18"/>
      <c r="AA1013" s="18"/>
      <c r="AB1013" s="18"/>
      <c r="AC1013" s="18"/>
    </row>
    <row r="1014" spans="1:29" ht="32.25" hidden="1" customHeight="1">
      <c r="A1014" s="8">
        <v>2302984</v>
      </c>
      <c r="B1014" s="9" t="s">
        <v>13284</v>
      </c>
      <c r="C1014" s="9" t="s">
        <v>13284</v>
      </c>
      <c r="D1014" s="9" t="s">
        <v>13284</v>
      </c>
      <c r="E1014" s="9" t="s">
        <v>13284</v>
      </c>
      <c r="F1014" s="9" t="s">
        <v>13284</v>
      </c>
      <c r="G1014" s="9" t="s">
        <v>13284</v>
      </c>
      <c r="H1014" s="9" t="s">
        <v>13284</v>
      </c>
      <c r="I1014" s="9" t="s">
        <v>13284</v>
      </c>
      <c r="J1014" s="9" t="s">
        <v>13284</v>
      </c>
      <c r="K1014" s="9" t="s">
        <v>13284</v>
      </c>
      <c r="L1014" s="9" t="s">
        <v>13284</v>
      </c>
      <c r="M1014" s="9" t="s">
        <v>13284</v>
      </c>
      <c r="N1014" s="9" t="s">
        <v>13284</v>
      </c>
      <c r="O1014" s="9" t="s">
        <v>13284</v>
      </c>
      <c r="P1014" s="9" t="s">
        <v>13284</v>
      </c>
      <c r="Q1014" s="9" t="s">
        <v>13284</v>
      </c>
      <c r="R1014" s="9" t="s">
        <v>13284</v>
      </c>
      <c r="S1014" s="9" t="s">
        <v>13284</v>
      </c>
      <c r="T1014" s="9" t="str">
        <f ca="1">IFERROR(IF(AND(VLOOKUP(A1014, 'Актуальное состояние (из общего'!A:C,3,0) = "", A1014 &lt;&gt; ""), "ПРОВЕРИТЬ", VLOOKUP(A1014, 'Актуальное состояние (из общего'!A:C,3,0)), "")</f>
        <v>Студент</v>
      </c>
      <c r="U1014" s="9" t="s">
        <v>13284</v>
      </c>
      <c r="V1014" s="9" t="s">
        <v>13284</v>
      </c>
      <c r="W1014" s="12"/>
      <c r="X1014" s="9" t="str">
        <f t="array" ref="X1014">IFERROR(INDEX('Адреса общежитий (скрытый)'!$B$2:$B$9, MATCH(W1014, 'Адреса общежитий (скрытый)'!$A$2:$A$9, 0)), "")</f>
        <v/>
      </c>
      <c r="Y1014" s="18"/>
      <c r="Z1014" s="18"/>
      <c r="AA1014" s="18"/>
      <c r="AB1014" s="18"/>
      <c r="AC1014" s="18"/>
    </row>
    <row r="1015" spans="1:29" ht="32.25" customHeight="1">
      <c r="A1015" s="8">
        <v>2308116</v>
      </c>
      <c r="B1015" s="9" t="s">
        <v>13284</v>
      </c>
      <c r="C1015" s="9" t="s">
        <v>13284</v>
      </c>
      <c r="D1015" s="9" t="s">
        <v>13284</v>
      </c>
      <c r="E1015" s="9" t="s">
        <v>13284</v>
      </c>
      <c r="F1015" s="9" t="s">
        <v>13284</v>
      </c>
      <c r="G1015" s="9" t="s">
        <v>13284</v>
      </c>
      <c r="H1015" s="9" t="s">
        <v>13284</v>
      </c>
      <c r="I1015" s="9" t="s">
        <v>13284</v>
      </c>
      <c r="J1015" s="9" t="s">
        <v>13284</v>
      </c>
      <c r="K1015" s="9" t="s">
        <v>13284</v>
      </c>
      <c r="L1015" s="9" t="s">
        <v>13284</v>
      </c>
      <c r="M1015" s="9" t="s">
        <v>13284</v>
      </c>
      <c r="N1015" s="9" t="s">
        <v>13284</v>
      </c>
      <c r="O1015" s="9" t="s">
        <v>13284</v>
      </c>
      <c r="P1015" s="9" t="s">
        <v>13284</v>
      </c>
      <c r="Q1015" s="9" t="s">
        <v>13284</v>
      </c>
      <c r="R1015" s="9" t="s">
        <v>13284</v>
      </c>
      <c r="S1015" s="9" t="s">
        <v>13284</v>
      </c>
      <c r="T1015" s="9" t="str">
        <f ca="1">IFERROR(IF(AND(VLOOKUP(A1015, 'Актуальное состояние (из общего'!A:C,3,0) = "", A1015 &lt;&gt; ""), "ПРОВЕРИТЬ", VLOOKUP(A1015, 'Актуальное состояние (из общего'!A:C,3,0)), "")</f>
        <v>Студент</v>
      </c>
      <c r="U1015" s="9" t="s">
        <v>13284</v>
      </c>
      <c r="V1015" s="9" t="s">
        <v>13284</v>
      </c>
      <c r="W1015" s="12"/>
      <c r="X1015" s="9" t="str">
        <f t="array" ref="X1015">IFERROR(INDEX('Адреса общежитий (скрытый)'!$B$2:$B$9, MATCH(W1015, 'Адреса общежитий (скрытый)'!$A$2:$A$9, 0)), "")</f>
        <v/>
      </c>
      <c r="Y1015" s="18"/>
      <c r="Z1015" s="18"/>
      <c r="AA1015" s="18"/>
      <c r="AB1015" s="18"/>
      <c r="AC1015" s="18"/>
    </row>
    <row r="1016" spans="1:29" ht="32.25" hidden="1" customHeight="1">
      <c r="A1016" s="8">
        <v>2302058</v>
      </c>
      <c r="B1016" s="9" t="s">
        <v>13284</v>
      </c>
      <c r="C1016" s="9" t="s">
        <v>13284</v>
      </c>
      <c r="D1016" s="9" t="s">
        <v>13284</v>
      </c>
      <c r="E1016" s="9" t="s">
        <v>13284</v>
      </c>
      <c r="F1016" s="9" t="s">
        <v>13284</v>
      </c>
      <c r="G1016" s="9" t="s">
        <v>13284</v>
      </c>
      <c r="H1016" s="9" t="s">
        <v>13284</v>
      </c>
      <c r="I1016" s="9" t="s">
        <v>13284</v>
      </c>
      <c r="J1016" s="9" t="s">
        <v>13284</v>
      </c>
      <c r="K1016" s="9" t="s">
        <v>13284</v>
      </c>
      <c r="L1016" s="9" t="s">
        <v>13284</v>
      </c>
      <c r="M1016" s="9" t="s">
        <v>13284</v>
      </c>
      <c r="N1016" s="9" t="s">
        <v>13284</v>
      </c>
      <c r="O1016" s="9" t="s">
        <v>13284</v>
      </c>
      <c r="P1016" s="9" t="s">
        <v>13284</v>
      </c>
      <c r="Q1016" s="9" t="s">
        <v>13284</v>
      </c>
      <c r="R1016" s="9" t="s">
        <v>13284</v>
      </c>
      <c r="S1016" s="9" t="s">
        <v>13284</v>
      </c>
      <c r="T1016" s="9" t="str">
        <f ca="1">IFERROR(IF(AND(VLOOKUP(A1016, 'Актуальное состояние (из общего'!A:C,3,0) = "", A1016 &lt;&gt; ""), "ПРОВЕРИТЬ", VLOOKUP(A1016, 'Актуальное состояние (из общего'!A:C,3,0)), "")</f>
        <v>Студент</v>
      </c>
      <c r="U1016" s="9" t="s">
        <v>13284</v>
      </c>
      <c r="V1016" s="9" t="s">
        <v>13284</v>
      </c>
      <c r="W1016" s="12"/>
      <c r="X1016" s="9" t="str">
        <f t="array" ref="X1016">IFERROR(INDEX('Адреса общежитий (скрытый)'!$B$2:$B$9, MATCH(W1016, 'Адреса общежитий (скрытый)'!$A$2:$A$9, 0)), "")</f>
        <v/>
      </c>
      <c r="Y1016" s="18"/>
      <c r="Z1016" s="18"/>
      <c r="AA1016" s="18"/>
      <c r="AB1016" s="18"/>
      <c r="AC1016" s="18"/>
    </row>
    <row r="1017" spans="1:29" ht="32.25" hidden="1" customHeight="1">
      <c r="A1017" s="8">
        <v>2308192</v>
      </c>
      <c r="B1017" s="9" t="s">
        <v>13284</v>
      </c>
      <c r="C1017" s="9" t="s">
        <v>13284</v>
      </c>
      <c r="D1017" s="9" t="s">
        <v>13284</v>
      </c>
      <c r="E1017" s="9" t="s">
        <v>13284</v>
      </c>
      <c r="F1017" s="9" t="s">
        <v>13284</v>
      </c>
      <c r="G1017" s="9" t="s">
        <v>13284</v>
      </c>
      <c r="H1017" s="9" t="s">
        <v>13284</v>
      </c>
      <c r="I1017" s="9" t="s">
        <v>13284</v>
      </c>
      <c r="J1017" s="9" t="s">
        <v>13284</v>
      </c>
      <c r="K1017" s="9" t="s">
        <v>13284</v>
      </c>
      <c r="L1017" s="9" t="s">
        <v>13284</v>
      </c>
      <c r="M1017" s="9" t="s">
        <v>13284</v>
      </c>
      <c r="N1017" s="9" t="s">
        <v>13284</v>
      </c>
      <c r="O1017" s="9" t="s">
        <v>13284</v>
      </c>
      <c r="P1017" s="9" t="s">
        <v>13284</v>
      </c>
      <c r="Q1017" s="9" t="s">
        <v>13284</v>
      </c>
      <c r="R1017" s="9" t="s">
        <v>13284</v>
      </c>
      <c r="S1017" s="9" t="s">
        <v>13284</v>
      </c>
      <c r="T1017" s="9" t="str">
        <f ca="1">IFERROR(IF(AND(VLOOKUP(A1017, 'Актуальное состояние (из общего'!A:C,3,0) = "", A1017 &lt;&gt; ""), "ПРОВЕРИТЬ", VLOOKUP(A1017, 'Актуальное состояние (из общего'!A:C,3,0)), "")</f>
        <v>Студент</v>
      </c>
      <c r="U1017" s="9" t="s">
        <v>13284</v>
      </c>
      <c r="V1017" s="9" t="s">
        <v>13284</v>
      </c>
      <c r="W1017" s="12"/>
      <c r="X1017" s="9" t="str">
        <f t="array" ref="X1017">IFERROR(INDEX('Адреса общежитий (скрытый)'!$B$2:$B$9, MATCH(W1017, 'Адреса общежитий (скрытый)'!$A$2:$A$9, 0)), "")</f>
        <v/>
      </c>
      <c r="Y1017" s="18"/>
      <c r="Z1017" s="18"/>
      <c r="AA1017" s="18"/>
      <c r="AB1017" s="18"/>
      <c r="AC1017" s="18"/>
    </row>
    <row r="1018" spans="1:29" ht="32.25" customHeight="1">
      <c r="A1018" s="8">
        <v>2308767</v>
      </c>
      <c r="B1018" s="9" t="s">
        <v>13284</v>
      </c>
      <c r="C1018" s="9" t="s">
        <v>13284</v>
      </c>
      <c r="D1018" s="9" t="s">
        <v>13284</v>
      </c>
      <c r="E1018" s="9" t="s">
        <v>13284</v>
      </c>
      <c r="F1018" s="9" t="s">
        <v>13284</v>
      </c>
      <c r="G1018" s="9" t="s">
        <v>13284</v>
      </c>
      <c r="H1018" s="9" t="s">
        <v>13284</v>
      </c>
      <c r="I1018" s="9" t="s">
        <v>13284</v>
      </c>
      <c r="J1018" s="9" t="s">
        <v>13284</v>
      </c>
      <c r="K1018" s="9" t="s">
        <v>13284</v>
      </c>
      <c r="L1018" s="9" t="s">
        <v>13284</v>
      </c>
      <c r="M1018" s="9" t="s">
        <v>13284</v>
      </c>
      <c r="N1018" s="9" t="s">
        <v>13284</v>
      </c>
      <c r="O1018" s="9" t="s">
        <v>13284</v>
      </c>
      <c r="P1018" s="9" t="s">
        <v>13284</v>
      </c>
      <c r="Q1018" s="9" t="s">
        <v>13284</v>
      </c>
      <c r="R1018" s="9" t="s">
        <v>13284</v>
      </c>
      <c r="S1018" s="9" t="s">
        <v>13284</v>
      </c>
      <c r="T1018" s="9" t="str">
        <f ca="1">IFERROR(IF(AND(VLOOKUP(A1018, 'Актуальное состояние (из общего'!A:C,3,0) = "", A1018 &lt;&gt; ""), "ПРОВЕРИТЬ", VLOOKUP(A1018, 'Актуальное состояние (из общего'!A:C,3,0)), "")</f>
        <v>Студент</v>
      </c>
      <c r="U1018" s="9" t="s">
        <v>13284</v>
      </c>
      <c r="V1018" s="9" t="s">
        <v>13284</v>
      </c>
      <c r="W1018" s="12"/>
      <c r="X1018" s="9" t="str">
        <f t="array" ref="X1018">IFERROR(INDEX('Адреса общежитий (скрытый)'!$B$2:$B$9, MATCH(W1018, 'Адреса общежитий (скрытый)'!$A$2:$A$9, 0)), "")</f>
        <v/>
      </c>
      <c r="Y1018" s="18"/>
      <c r="Z1018" s="18"/>
      <c r="AA1018" s="18"/>
      <c r="AB1018" s="18"/>
      <c r="AC1018" s="18"/>
    </row>
    <row r="1019" spans="1:29" ht="32.25" customHeight="1">
      <c r="A1019" s="8">
        <v>2305468</v>
      </c>
      <c r="B1019" s="9" t="s">
        <v>13284</v>
      </c>
      <c r="C1019" s="9" t="s">
        <v>13284</v>
      </c>
      <c r="D1019" s="9" t="s">
        <v>13284</v>
      </c>
      <c r="E1019" s="9" t="s">
        <v>13284</v>
      </c>
      <c r="F1019" s="9" t="s">
        <v>13284</v>
      </c>
      <c r="G1019" s="9" t="s">
        <v>13284</v>
      </c>
      <c r="H1019" s="9" t="s">
        <v>13284</v>
      </c>
      <c r="I1019" s="9" t="s">
        <v>13284</v>
      </c>
      <c r="J1019" s="9" t="s">
        <v>13284</v>
      </c>
      <c r="K1019" s="9" t="s">
        <v>13284</v>
      </c>
      <c r="L1019" s="9" t="s">
        <v>13284</v>
      </c>
      <c r="M1019" s="9" t="s">
        <v>13284</v>
      </c>
      <c r="N1019" s="9" t="s">
        <v>13284</v>
      </c>
      <c r="O1019" s="9" t="s">
        <v>13284</v>
      </c>
      <c r="P1019" s="9" t="s">
        <v>13284</v>
      </c>
      <c r="Q1019" s="9" t="s">
        <v>13284</v>
      </c>
      <c r="R1019" s="9" t="s">
        <v>13284</v>
      </c>
      <c r="S1019" s="9" t="s">
        <v>13284</v>
      </c>
      <c r="T1019" s="9" t="str">
        <f ca="1">IFERROR(IF(AND(VLOOKUP(A1019, 'Актуальное состояние (из общего'!A:C,3,0) = "", A1019 &lt;&gt; ""), "ПРОВЕРИТЬ", VLOOKUP(A1019, 'Актуальное состояние (из общего'!A:C,3,0)), "")</f>
        <v>Студент</v>
      </c>
      <c r="U1019" s="9" t="s">
        <v>13284</v>
      </c>
      <c r="V1019" s="9" t="s">
        <v>13284</v>
      </c>
      <c r="W1019" s="12"/>
      <c r="X1019" s="9" t="str">
        <f t="array" ref="X1019">IFERROR(INDEX('Адреса общежитий (скрытый)'!$B$2:$B$9, MATCH(W1019, 'Адреса общежитий (скрытый)'!$A$2:$A$9, 0)), "")</f>
        <v/>
      </c>
      <c r="Y1019" s="18"/>
      <c r="Z1019" s="18"/>
      <c r="AA1019" s="18"/>
      <c r="AB1019" s="18"/>
      <c r="AC1019" s="18"/>
    </row>
    <row r="1020" spans="1:29" ht="32.25" hidden="1" customHeight="1">
      <c r="A1020" s="8">
        <v>2304903</v>
      </c>
      <c r="B1020" s="9" t="s">
        <v>13284</v>
      </c>
      <c r="C1020" s="9" t="s">
        <v>13284</v>
      </c>
      <c r="D1020" s="9" t="s">
        <v>13284</v>
      </c>
      <c r="E1020" s="9" t="s">
        <v>13284</v>
      </c>
      <c r="F1020" s="9" t="s">
        <v>13284</v>
      </c>
      <c r="G1020" s="9" t="s">
        <v>13284</v>
      </c>
      <c r="H1020" s="9" t="s">
        <v>13284</v>
      </c>
      <c r="I1020" s="9" t="s">
        <v>13284</v>
      </c>
      <c r="J1020" s="9" t="s">
        <v>13284</v>
      </c>
      <c r="K1020" s="9" t="s">
        <v>13284</v>
      </c>
      <c r="L1020" s="9" t="s">
        <v>13284</v>
      </c>
      <c r="M1020" s="9" t="s">
        <v>13284</v>
      </c>
      <c r="N1020" s="9" t="s">
        <v>13284</v>
      </c>
      <c r="O1020" s="9" t="s">
        <v>13284</v>
      </c>
      <c r="P1020" s="9" t="s">
        <v>13284</v>
      </c>
      <c r="Q1020" s="9" t="s">
        <v>13284</v>
      </c>
      <c r="R1020" s="9" t="s">
        <v>13284</v>
      </c>
      <c r="S1020" s="9" t="s">
        <v>13284</v>
      </c>
      <c r="T1020" s="9" t="str">
        <f ca="1">IFERROR(IF(AND(VLOOKUP(A1020, 'Актуальное состояние (из общего'!A:C,3,0) = "", A1020 &lt;&gt; ""), "ПРОВЕРИТЬ", VLOOKUP(A1020, 'Актуальное состояние (из общего'!A:C,3,0)), "")</f>
        <v>Студент</v>
      </c>
      <c r="U1020" s="9" t="s">
        <v>13284</v>
      </c>
      <c r="V1020" s="9" t="s">
        <v>13284</v>
      </c>
      <c r="W1020" s="12"/>
      <c r="X1020" s="9" t="str">
        <f t="array" ref="X1020">IFERROR(INDEX('Адреса общежитий (скрытый)'!$B$2:$B$9, MATCH(W1020, 'Адреса общежитий (скрытый)'!$A$2:$A$9, 0)), "")</f>
        <v/>
      </c>
      <c r="Y1020" s="18"/>
      <c r="Z1020" s="18"/>
      <c r="AA1020" s="18"/>
      <c r="AB1020" s="18"/>
      <c r="AC1020" s="18"/>
    </row>
    <row r="1021" spans="1:29" ht="32.25" customHeight="1">
      <c r="A1021" s="8">
        <v>2311580</v>
      </c>
      <c r="B1021" s="9" t="s">
        <v>13284</v>
      </c>
      <c r="C1021" s="9" t="s">
        <v>13284</v>
      </c>
      <c r="D1021" s="9" t="s">
        <v>13284</v>
      </c>
      <c r="E1021" s="9" t="s">
        <v>13284</v>
      </c>
      <c r="F1021" s="9" t="s">
        <v>13284</v>
      </c>
      <c r="G1021" s="9" t="s">
        <v>13284</v>
      </c>
      <c r="H1021" s="9" t="s">
        <v>13284</v>
      </c>
      <c r="I1021" s="9" t="s">
        <v>13284</v>
      </c>
      <c r="J1021" s="9" t="s">
        <v>13284</v>
      </c>
      <c r="K1021" s="9" t="s">
        <v>13284</v>
      </c>
      <c r="L1021" s="9" t="s">
        <v>13284</v>
      </c>
      <c r="M1021" s="9" t="s">
        <v>13284</v>
      </c>
      <c r="N1021" s="9" t="s">
        <v>13284</v>
      </c>
      <c r="O1021" s="9" t="s">
        <v>13284</v>
      </c>
      <c r="P1021" s="9" t="s">
        <v>13284</v>
      </c>
      <c r="Q1021" s="9" t="s">
        <v>13284</v>
      </c>
      <c r="R1021" s="9" t="s">
        <v>13284</v>
      </c>
      <c r="S1021" s="9" t="s">
        <v>13284</v>
      </c>
      <c r="T1021" s="9" t="str">
        <f ca="1">IFERROR(IF(AND(VLOOKUP(A1021, 'Актуальное состояние (из общего'!A:C,3,0) = "", A1021 &lt;&gt; ""), "ПРОВЕРИТЬ", VLOOKUP(A1021, 'Актуальное состояние (из общего'!A:C,3,0)), "")</f>
        <v>Студент</v>
      </c>
      <c r="U1021" s="9" t="s">
        <v>13284</v>
      </c>
      <c r="V1021" s="9" t="s">
        <v>13284</v>
      </c>
      <c r="W1021" s="12"/>
      <c r="X1021" s="9" t="str">
        <f t="array" ref="X1021">IFERROR(INDEX('Адреса общежитий (скрытый)'!$B$2:$B$9, MATCH(W1021, 'Адреса общежитий (скрытый)'!$A$2:$A$9, 0)), "")</f>
        <v/>
      </c>
      <c r="Y1021" s="18"/>
      <c r="Z1021" s="18"/>
      <c r="AA1021" s="18"/>
      <c r="AB1021" s="18"/>
      <c r="AC1021" s="18"/>
    </row>
    <row r="1022" spans="1:29" ht="32.25" customHeight="1">
      <c r="A1022" s="8">
        <v>2308027</v>
      </c>
      <c r="B1022" s="9" t="s">
        <v>13284</v>
      </c>
      <c r="C1022" s="9" t="s">
        <v>13284</v>
      </c>
      <c r="D1022" s="9" t="s">
        <v>13284</v>
      </c>
      <c r="E1022" s="9" t="s">
        <v>13284</v>
      </c>
      <c r="F1022" s="9" t="s">
        <v>13284</v>
      </c>
      <c r="G1022" s="9" t="s">
        <v>13284</v>
      </c>
      <c r="H1022" s="9" t="s">
        <v>13284</v>
      </c>
      <c r="I1022" s="9" t="s">
        <v>13284</v>
      </c>
      <c r="J1022" s="9" t="s">
        <v>13284</v>
      </c>
      <c r="K1022" s="9" t="s">
        <v>13284</v>
      </c>
      <c r="L1022" s="9" t="s">
        <v>13284</v>
      </c>
      <c r="M1022" s="9" t="s">
        <v>13284</v>
      </c>
      <c r="N1022" s="9" t="s">
        <v>13284</v>
      </c>
      <c r="O1022" s="9" t="s">
        <v>13284</v>
      </c>
      <c r="P1022" s="9" t="s">
        <v>13284</v>
      </c>
      <c r="Q1022" s="9" t="s">
        <v>13284</v>
      </c>
      <c r="R1022" s="9" t="s">
        <v>13284</v>
      </c>
      <c r="S1022" s="9" t="s">
        <v>13284</v>
      </c>
      <c r="T1022" s="9" t="str">
        <f ca="1">IFERROR(IF(AND(VLOOKUP(A1022, 'Актуальное состояние (из общего'!A:C,3,0) = "", A1022 &lt;&gt; ""), "ПРОВЕРИТЬ", VLOOKUP(A1022, 'Актуальное состояние (из общего'!A:C,3,0)), "")</f>
        <v>Студент</v>
      </c>
      <c r="U1022" s="9" t="s">
        <v>13284</v>
      </c>
      <c r="V1022" s="9" t="s">
        <v>13284</v>
      </c>
      <c r="W1022" s="12"/>
      <c r="X1022" s="9" t="str">
        <f t="array" ref="X1022">IFERROR(INDEX('Адреса общежитий (скрытый)'!$B$2:$B$9, MATCH(W1022, 'Адреса общежитий (скрытый)'!$A$2:$A$9, 0)), "")</f>
        <v/>
      </c>
      <c r="Y1022" s="18"/>
      <c r="Z1022" s="18"/>
      <c r="AA1022" s="18"/>
      <c r="AB1022" s="18"/>
      <c r="AC1022" s="18"/>
    </row>
    <row r="1023" spans="1:29" ht="32.25" customHeight="1">
      <c r="A1023" s="8">
        <v>2302142</v>
      </c>
      <c r="B1023" s="9" t="s">
        <v>13284</v>
      </c>
      <c r="C1023" s="9" t="s">
        <v>13284</v>
      </c>
      <c r="D1023" s="9" t="s">
        <v>13284</v>
      </c>
      <c r="E1023" s="9" t="s">
        <v>13284</v>
      </c>
      <c r="F1023" s="9" t="s">
        <v>13284</v>
      </c>
      <c r="G1023" s="9" t="s">
        <v>13284</v>
      </c>
      <c r="H1023" s="9" t="s">
        <v>13284</v>
      </c>
      <c r="I1023" s="9" t="s">
        <v>13284</v>
      </c>
      <c r="J1023" s="9" t="s">
        <v>13284</v>
      </c>
      <c r="K1023" s="9" t="s">
        <v>13284</v>
      </c>
      <c r="L1023" s="9" t="s">
        <v>13284</v>
      </c>
      <c r="M1023" s="9" t="s">
        <v>13284</v>
      </c>
      <c r="N1023" s="9" t="s">
        <v>13284</v>
      </c>
      <c r="O1023" s="9" t="s">
        <v>13284</v>
      </c>
      <c r="P1023" s="9" t="s">
        <v>13284</v>
      </c>
      <c r="Q1023" s="9" t="s">
        <v>13284</v>
      </c>
      <c r="R1023" s="9" t="s">
        <v>13284</v>
      </c>
      <c r="S1023" s="9" t="s">
        <v>13284</v>
      </c>
      <c r="T1023" s="9" t="str">
        <f ca="1">IFERROR(IF(AND(VLOOKUP(A1023, 'Актуальное состояние (из общего'!A:C,3,0) = "", A1023 &lt;&gt; ""), "ПРОВЕРИТЬ", VLOOKUP(A1023, 'Актуальное состояние (из общего'!A:C,3,0)), "")</f>
        <v>Студент</v>
      </c>
      <c r="U1023" s="9" t="s">
        <v>13284</v>
      </c>
      <c r="V1023" s="9" t="s">
        <v>13284</v>
      </c>
      <c r="W1023" s="12"/>
      <c r="X1023" s="9" t="str">
        <f t="array" ref="X1023">IFERROR(INDEX('Адреса общежитий (скрытый)'!$B$2:$B$9, MATCH(W1023, 'Адреса общежитий (скрытый)'!$A$2:$A$9, 0)), "")</f>
        <v/>
      </c>
      <c r="Y1023" s="18"/>
      <c r="Z1023" s="18"/>
      <c r="AA1023" s="18"/>
      <c r="AB1023" s="18"/>
      <c r="AC1023" s="18"/>
    </row>
    <row r="1024" spans="1:29" ht="32.25" customHeight="1">
      <c r="A1024" s="8">
        <v>2310199</v>
      </c>
      <c r="B1024" s="9" t="s">
        <v>13284</v>
      </c>
      <c r="C1024" s="9" t="s">
        <v>13284</v>
      </c>
      <c r="D1024" s="9" t="s">
        <v>13284</v>
      </c>
      <c r="E1024" s="9" t="s">
        <v>13284</v>
      </c>
      <c r="F1024" s="9" t="s">
        <v>13284</v>
      </c>
      <c r="G1024" s="9" t="s">
        <v>13284</v>
      </c>
      <c r="H1024" s="9" t="s">
        <v>13284</v>
      </c>
      <c r="I1024" s="9" t="s">
        <v>13284</v>
      </c>
      <c r="J1024" s="9" t="s">
        <v>13284</v>
      </c>
      <c r="K1024" s="9" t="s">
        <v>13284</v>
      </c>
      <c r="L1024" s="9" t="s">
        <v>13284</v>
      </c>
      <c r="M1024" s="9" t="s">
        <v>13284</v>
      </c>
      <c r="N1024" s="9" t="s">
        <v>13284</v>
      </c>
      <c r="O1024" s="9" t="s">
        <v>13284</v>
      </c>
      <c r="P1024" s="9" t="s">
        <v>13284</v>
      </c>
      <c r="Q1024" s="9" t="s">
        <v>13284</v>
      </c>
      <c r="R1024" s="9" t="s">
        <v>13284</v>
      </c>
      <c r="S1024" s="9" t="s">
        <v>13284</v>
      </c>
      <c r="T1024" s="9" t="str">
        <f ca="1">IFERROR(IF(AND(VLOOKUP(A1024, 'Актуальное состояние (из общего'!A:C,3,0) = "", A1024 &lt;&gt; ""), "ПРОВЕРИТЬ", VLOOKUP(A1024, 'Актуальное состояние (из общего'!A:C,3,0)), "")</f>
        <v>Студент</v>
      </c>
      <c r="U1024" s="9" t="s">
        <v>13284</v>
      </c>
      <c r="V1024" s="9" t="s">
        <v>13284</v>
      </c>
      <c r="W1024" s="12"/>
      <c r="X1024" s="9" t="str">
        <f t="array" ref="X1024">IFERROR(INDEX('Адреса общежитий (скрытый)'!$B$2:$B$9, MATCH(W1024, 'Адреса общежитий (скрытый)'!$A$2:$A$9, 0)), "")</f>
        <v/>
      </c>
      <c r="Y1024" s="18"/>
      <c r="Z1024" s="18"/>
      <c r="AA1024" s="18"/>
      <c r="AB1024" s="18"/>
      <c r="AC1024" s="18"/>
    </row>
    <row r="1025" spans="1:29" ht="32.25" hidden="1" customHeight="1">
      <c r="A1025" s="8">
        <v>2302454</v>
      </c>
      <c r="B1025" s="9" t="s">
        <v>13284</v>
      </c>
      <c r="C1025" s="9" t="s">
        <v>13284</v>
      </c>
      <c r="D1025" s="9" t="s">
        <v>13284</v>
      </c>
      <c r="E1025" s="9" t="s">
        <v>13284</v>
      </c>
      <c r="F1025" s="9" t="s">
        <v>13284</v>
      </c>
      <c r="G1025" s="9" t="s">
        <v>13284</v>
      </c>
      <c r="H1025" s="9" t="s">
        <v>13284</v>
      </c>
      <c r="I1025" s="9" t="s">
        <v>13284</v>
      </c>
      <c r="J1025" s="9" t="s">
        <v>13284</v>
      </c>
      <c r="K1025" s="9" t="s">
        <v>13284</v>
      </c>
      <c r="L1025" s="9" t="s">
        <v>13284</v>
      </c>
      <c r="M1025" s="9" t="s">
        <v>13284</v>
      </c>
      <c r="N1025" s="9" t="s">
        <v>13284</v>
      </c>
      <c r="O1025" s="9" t="s">
        <v>13284</v>
      </c>
      <c r="P1025" s="9" t="s">
        <v>13284</v>
      </c>
      <c r="Q1025" s="9" t="s">
        <v>13284</v>
      </c>
      <c r="R1025" s="9" t="s">
        <v>13284</v>
      </c>
      <c r="S1025" s="9" t="s">
        <v>13284</v>
      </c>
      <c r="T1025" s="9" t="str">
        <f ca="1">IFERROR(IF(AND(VLOOKUP(A1025, 'Актуальное состояние (из общего'!A:C,3,0) = "", A1025 &lt;&gt; ""), "ПРОВЕРИТЬ", VLOOKUP(A1025, 'Актуальное состояние (из общего'!A:C,3,0)), "")</f>
        <v>Студент</v>
      </c>
      <c r="U1025" s="9" t="s">
        <v>13284</v>
      </c>
      <c r="V1025" s="9" t="s">
        <v>13284</v>
      </c>
      <c r="W1025" s="12"/>
      <c r="X1025" s="9" t="str">
        <f t="array" ref="X1025">IFERROR(INDEX('Адреса общежитий (скрытый)'!$B$2:$B$9, MATCH(W1025, 'Адреса общежитий (скрытый)'!$A$2:$A$9, 0)), "")</f>
        <v/>
      </c>
      <c r="Y1025" s="18"/>
      <c r="Z1025" s="18"/>
      <c r="AA1025" s="18"/>
      <c r="AB1025" s="18"/>
      <c r="AC1025" s="18"/>
    </row>
    <row r="1026" spans="1:29" ht="32.25" customHeight="1">
      <c r="A1026" s="8">
        <v>2309678</v>
      </c>
      <c r="B1026" s="9" t="s">
        <v>13284</v>
      </c>
      <c r="C1026" s="9" t="s">
        <v>13284</v>
      </c>
      <c r="D1026" s="9" t="s">
        <v>13284</v>
      </c>
      <c r="E1026" s="9" t="s">
        <v>13284</v>
      </c>
      <c r="F1026" s="9" t="s">
        <v>13284</v>
      </c>
      <c r="G1026" s="9" t="s">
        <v>13284</v>
      </c>
      <c r="H1026" s="9" t="s">
        <v>13284</v>
      </c>
      <c r="I1026" s="9" t="s">
        <v>13284</v>
      </c>
      <c r="J1026" s="9" t="s">
        <v>13284</v>
      </c>
      <c r="K1026" s="9" t="s">
        <v>13284</v>
      </c>
      <c r="L1026" s="9" t="s">
        <v>13284</v>
      </c>
      <c r="M1026" s="9" t="s">
        <v>13284</v>
      </c>
      <c r="N1026" s="9" t="s">
        <v>13284</v>
      </c>
      <c r="O1026" s="9" t="s">
        <v>13284</v>
      </c>
      <c r="P1026" s="9" t="s">
        <v>13284</v>
      </c>
      <c r="Q1026" s="9" t="s">
        <v>13284</v>
      </c>
      <c r="R1026" s="9" t="s">
        <v>13284</v>
      </c>
      <c r="S1026" s="9" t="s">
        <v>13284</v>
      </c>
      <c r="T1026" s="9" t="str">
        <f ca="1">IFERROR(IF(AND(VLOOKUP(A1026, 'Актуальное состояние (из общего'!A:C,3,0) = "", A1026 &lt;&gt; ""), "ПРОВЕРИТЬ", VLOOKUP(A1026, 'Актуальное состояние (из общего'!A:C,3,0)), "")</f>
        <v>Студент</v>
      </c>
      <c r="U1026" s="9" t="s">
        <v>13284</v>
      </c>
      <c r="V1026" s="9" t="s">
        <v>13284</v>
      </c>
      <c r="W1026" s="12"/>
      <c r="X1026" s="9" t="str">
        <f t="array" ref="X1026">IFERROR(INDEX('Адреса общежитий (скрытый)'!$B$2:$B$9, MATCH(W1026, 'Адреса общежитий (скрытый)'!$A$2:$A$9, 0)), "")</f>
        <v/>
      </c>
      <c r="Y1026" s="18"/>
      <c r="Z1026" s="18"/>
      <c r="AA1026" s="18"/>
      <c r="AB1026" s="18"/>
      <c r="AC1026" s="18"/>
    </row>
    <row r="1027" spans="1:29" ht="32.25" hidden="1" customHeight="1">
      <c r="A1027" s="8">
        <v>2307197</v>
      </c>
      <c r="B1027" s="9" t="s">
        <v>13284</v>
      </c>
      <c r="C1027" s="9" t="s">
        <v>13284</v>
      </c>
      <c r="D1027" s="9" t="s">
        <v>13284</v>
      </c>
      <c r="E1027" s="9" t="s">
        <v>13284</v>
      </c>
      <c r="F1027" s="9" t="s">
        <v>13284</v>
      </c>
      <c r="G1027" s="9" t="s">
        <v>13284</v>
      </c>
      <c r="H1027" s="9" t="s">
        <v>13284</v>
      </c>
      <c r="I1027" s="9" t="s">
        <v>13284</v>
      </c>
      <c r="J1027" s="9" t="s">
        <v>13284</v>
      </c>
      <c r="K1027" s="9" t="s">
        <v>13284</v>
      </c>
      <c r="L1027" s="9" t="s">
        <v>13284</v>
      </c>
      <c r="M1027" s="9" t="s">
        <v>13284</v>
      </c>
      <c r="N1027" s="9" t="s">
        <v>13284</v>
      </c>
      <c r="O1027" s="9" t="s">
        <v>13284</v>
      </c>
      <c r="P1027" s="9" t="s">
        <v>13284</v>
      </c>
      <c r="Q1027" s="9" t="s">
        <v>13284</v>
      </c>
      <c r="R1027" s="9" t="s">
        <v>13284</v>
      </c>
      <c r="S1027" s="9" t="s">
        <v>13284</v>
      </c>
      <c r="T1027" s="9" t="str">
        <f ca="1">IFERROR(IF(AND(VLOOKUP(A1027, 'Актуальное состояние (из общего'!A:C,3,0) = "", A1027 &lt;&gt; ""), "ПРОВЕРИТЬ", VLOOKUP(A1027, 'Актуальное состояние (из общего'!A:C,3,0)), "")</f>
        <v>Студент</v>
      </c>
      <c r="U1027" s="9" t="s">
        <v>13284</v>
      </c>
      <c r="V1027" s="9" t="s">
        <v>13284</v>
      </c>
      <c r="W1027" s="12"/>
      <c r="X1027" s="9" t="str">
        <f t="array" ref="X1027">IFERROR(INDEX('Адреса общежитий (скрытый)'!$B$2:$B$9, MATCH(W1027, 'Адреса общежитий (скрытый)'!$A$2:$A$9, 0)), "")</f>
        <v/>
      </c>
      <c r="Y1027" s="18"/>
      <c r="Z1027" s="18"/>
      <c r="AA1027" s="18"/>
      <c r="AB1027" s="18"/>
      <c r="AC1027" s="18"/>
    </row>
    <row r="1028" spans="1:29" ht="32.25" hidden="1" customHeight="1">
      <c r="A1028" s="8">
        <v>2306102</v>
      </c>
      <c r="B1028" s="9" t="s">
        <v>13284</v>
      </c>
      <c r="C1028" s="9" t="s">
        <v>13284</v>
      </c>
      <c r="D1028" s="9" t="s">
        <v>13284</v>
      </c>
      <c r="E1028" s="9" t="s">
        <v>13284</v>
      </c>
      <c r="F1028" s="9" t="s">
        <v>13284</v>
      </c>
      <c r="G1028" s="9" t="s">
        <v>13284</v>
      </c>
      <c r="H1028" s="9" t="s">
        <v>13284</v>
      </c>
      <c r="I1028" s="9" t="s">
        <v>13284</v>
      </c>
      <c r="J1028" s="9" t="s">
        <v>13284</v>
      </c>
      <c r="K1028" s="9" t="s">
        <v>13284</v>
      </c>
      <c r="L1028" s="9" t="s">
        <v>13284</v>
      </c>
      <c r="M1028" s="9" t="s">
        <v>13284</v>
      </c>
      <c r="N1028" s="9" t="s">
        <v>13284</v>
      </c>
      <c r="O1028" s="9" t="s">
        <v>13284</v>
      </c>
      <c r="P1028" s="9" t="s">
        <v>13284</v>
      </c>
      <c r="Q1028" s="9" t="s">
        <v>13284</v>
      </c>
      <c r="R1028" s="9" t="s">
        <v>13284</v>
      </c>
      <c r="S1028" s="9" t="s">
        <v>13284</v>
      </c>
      <c r="T1028" s="9" t="str">
        <f ca="1">IFERROR(IF(AND(VLOOKUP(A1028, 'Актуальное состояние (из общего'!A:C,3,0) = "", A1028 &lt;&gt; ""), "ПРОВЕРИТЬ", VLOOKUP(A1028, 'Актуальное состояние (из общего'!A:C,3,0)), "")</f>
        <v>Студент</v>
      </c>
      <c r="U1028" s="9" t="s">
        <v>13284</v>
      </c>
      <c r="V1028" s="9" t="s">
        <v>13284</v>
      </c>
      <c r="W1028" s="12"/>
      <c r="X1028" s="9" t="str">
        <f t="array" ref="X1028">IFERROR(INDEX('Адреса общежитий (скрытый)'!$B$2:$B$9, MATCH(W1028, 'Адреса общежитий (скрытый)'!$A$2:$A$9, 0)), "")</f>
        <v/>
      </c>
      <c r="Y1028" s="18"/>
      <c r="Z1028" s="18"/>
      <c r="AA1028" s="18"/>
      <c r="AB1028" s="18"/>
      <c r="AC1028" s="18"/>
    </row>
    <row r="1029" spans="1:29" ht="32.25" customHeight="1">
      <c r="A1029" s="8">
        <v>2311382</v>
      </c>
      <c r="B1029" s="9" t="s">
        <v>13284</v>
      </c>
      <c r="C1029" s="9" t="s">
        <v>13284</v>
      </c>
      <c r="D1029" s="9" t="s">
        <v>13284</v>
      </c>
      <c r="E1029" s="9" t="s">
        <v>13284</v>
      </c>
      <c r="F1029" s="9" t="s">
        <v>13284</v>
      </c>
      <c r="G1029" s="9" t="s">
        <v>13284</v>
      </c>
      <c r="H1029" s="9" t="s">
        <v>13284</v>
      </c>
      <c r="I1029" s="9" t="s">
        <v>13284</v>
      </c>
      <c r="J1029" s="9" t="s">
        <v>13284</v>
      </c>
      <c r="K1029" s="9" t="s">
        <v>13284</v>
      </c>
      <c r="L1029" s="9" t="s">
        <v>13284</v>
      </c>
      <c r="M1029" s="9" t="s">
        <v>13284</v>
      </c>
      <c r="N1029" s="9" t="s">
        <v>13284</v>
      </c>
      <c r="O1029" s="9" t="s">
        <v>13284</v>
      </c>
      <c r="P1029" s="9" t="s">
        <v>13284</v>
      </c>
      <c r="Q1029" s="9" t="s">
        <v>13284</v>
      </c>
      <c r="R1029" s="9" t="s">
        <v>13284</v>
      </c>
      <c r="S1029" s="9" t="s">
        <v>13284</v>
      </c>
      <c r="T1029" s="9" t="str">
        <f ca="1">IFERROR(IF(AND(VLOOKUP(A1029, 'Актуальное состояние (из общего'!A:C,3,0) = "", A1029 &lt;&gt; ""), "ПРОВЕРИТЬ", VLOOKUP(A1029, 'Актуальное состояние (из общего'!A:C,3,0)), "")</f>
        <v>Студент</v>
      </c>
      <c r="U1029" s="9" t="s">
        <v>13284</v>
      </c>
      <c r="V1029" s="9" t="s">
        <v>13284</v>
      </c>
      <c r="W1029" s="12"/>
      <c r="X1029" s="9" t="str">
        <f t="array" ref="X1029">IFERROR(INDEX('Адреса общежитий (скрытый)'!$B$2:$B$9, MATCH(W1029, 'Адреса общежитий (скрытый)'!$A$2:$A$9, 0)), "")</f>
        <v/>
      </c>
      <c r="Y1029" s="18"/>
      <c r="Z1029" s="18"/>
      <c r="AA1029" s="18"/>
      <c r="AB1029" s="18"/>
      <c r="AC1029" s="18"/>
    </row>
    <row r="1030" spans="1:29" ht="32.25" hidden="1" customHeight="1">
      <c r="A1030" s="8">
        <v>2315488</v>
      </c>
      <c r="B1030" s="9" t="s">
        <v>13284</v>
      </c>
      <c r="C1030" s="9" t="s">
        <v>13284</v>
      </c>
      <c r="D1030" s="9" t="s">
        <v>13284</v>
      </c>
      <c r="E1030" s="9" t="s">
        <v>13284</v>
      </c>
      <c r="F1030" s="9" t="s">
        <v>13284</v>
      </c>
      <c r="G1030" s="9" t="s">
        <v>13284</v>
      </c>
      <c r="H1030" s="9" t="s">
        <v>13284</v>
      </c>
      <c r="I1030" s="9" t="s">
        <v>13284</v>
      </c>
      <c r="J1030" s="9" t="s">
        <v>13284</v>
      </c>
      <c r="K1030" s="9" t="s">
        <v>13284</v>
      </c>
      <c r="L1030" s="9" t="s">
        <v>13284</v>
      </c>
      <c r="M1030" s="9" t="s">
        <v>13284</v>
      </c>
      <c r="N1030" s="9" t="s">
        <v>13284</v>
      </c>
      <c r="O1030" s="9" t="s">
        <v>13284</v>
      </c>
      <c r="P1030" s="9" t="s">
        <v>13284</v>
      </c>
      <c r="Q1030" s="9" t="s">
        <v>13284</v>
      </c>
      <c r="R1030" s="9" t="s">
        <v>13284</v>
      </c>
      <c r="S1030" s="9" t="s">
        <v>13284</v>
      </c>
      <c r="T1030" s="9" t="str">
        <f ca="1">IFERROR(IF(AND(VLOOKUP(A1030, 'Актуальное состояние (из общего'!A:C,3,0) = "", A1030 &lt;&gt; ""), "ПРОВЕРИТЬ", VLOOKUP(A1030, 'Актуальное состояние (из общего'!A:C,3,0)), "")</f>
        <v>Студент</v>
      </c>
      <c r="U1030" s="9" t="s">
        <v>13284</v>
      </c>
      <c r="V1030" s="9" t="s">
        <v>13284</v>
      </c>
      <c r="W1030" s="12"/>
      <c r="X1030" s="9" t="str">
        <f t="array" ref="X1030">IFERROR(INDEX('Адреса общежитий (скрытый)'!$B$2:$B$9, MATCH(W1030, 'Адреса общежитий (скрытый)'!$A$2:$A$9, 0)), "")</f>
        <v/>
      </c>
      <c r="Y1030" s="18"/>
      <c r="Z1030" s="18"/>
      <c r="AA1030" s="18"/>
      <c r="AB1030" s="18"/>
      <c r="AC1030" s="18"/>
    </row>
    <row r="1031" spans="1:29" ht="32.25" hidden="1" customHeight="1">
      <c r="A1031" s="8">
        <v>2301294</v>
      </c>
      <c r="B1031" s="9" t="s">
        <v>13284</v>
      </c>
      <c r="C1031" s="9" t="s">
        <v>13284</v>
      </c>
      <c r="D1031" s="9" t="s">
        <v>13284</v>
      </c>
      <c r="E1031" s="9" t="s">
        <v>13284</v>
      </c>
      <c r="F1031" s="9" t="s">
        <v>13284</v>
      </c>
      <c r="G1031" s="9" t="s">
        <v>13284</v>
      </c>
      <c r="H1031" s="9" t="s">
        <v>13284</v>
      </c>
      <c r="I1031" s="9" t="s">
        <v>13284</v>
      </c>
      <c r="J1031" s="9" t="s">
        <v>13284</v>
      </c>
      <c r="K1031" s="9" t="s">
        <v>13284</v>
      </c>
      <c r="L1031" s="9" t="s">
        <v>13284</v>
      </c>
      <c r="M1031" s="9" t="s">
        <v>13284</v>
      </c>
      <c r="N1031" s="9" t="s">
        <v>13284</v>
      </c>
      <c r="O1031" s="9" t="s">
        <v>13284</v>
      </c>
      <c r="P1031" s="9" t="s">
        <v>13284</v>
      </c>
      <c r="Q1031" s="9" t="s">
        <v>13284</v>
      </c>
      <c r="R1031" s="9" t="s">
        <v>13284</v>
      </c>
      <c r="S1031" s="9" t="s">
        <v>13284</v>
      </c>
      <c r="T1031" s="9" t="str">
        <f ca="1">IFERROR(IF(AND(VLOOKUP(A1031, 'Актуальное состояние (из общего'!A:C,3,0) = "", A1031 &lt;&gt; ""), "ПРОВЕРИТЬ", VLOOKUP(A1031, 'Актуальное состояние (из общего'!A:C,3,0)), "")</f>
        <v>Студент</v>
      </c>
      <c r="U1031" s="9" t="s">
        <v>13284</v>
      </c>
      <c r="V1031" s="9" t="s">
        <v>13284</v>
      </c>
      <c r="W1031" s="12"/>
      <c r="X1031" s="9" t="str">
        <f t="array" ref="X1031">IFERROR(INDEX('Адреса общежитий (скрытый)'!$B$2:$B$9, MATCH(W1031, 'Адреса общежитий (скрытый)'!$A$2:$A$9, 0)), "")</f>
        <v/>
      </c>
      <c r="Y1031" s="18"/>
      <c r="Z1031" s="18"/>
      <c r="AA1031" s="18"/>
      <c r="AB1031" s="18"/>
      <c r="AC1031" s="18"/>
    </row>
    <row r="1032" spans="1:29" ht="32.25" hidden="1" customHeight="1">
      <c r="A1032" s="8">
        <v>2310648</v>
      </c>
      <c r="B1032" s="9" t="s">
        <v>13284</v>
      </c>
      <c r="C1032" s="9" t="s">
        <v>13284</v>
      </c>
      <c r="D1032" s="9" t="s">
        <v>13284</v>
      </c>
      <c r="E1032" s="9" t="s">
        <v>13284</v>
      </c>
      <c r="F1032" s="9" t="s">
        <v>13284</v>
      </c>
      <c r="G1032" s="9" t="s">
        <v>13284</v>
      </c>
      <c r="H1032" s="9" t="s">
        <v>13284</v>
      </c>
      <c r="I1032" s="9" t="s">
        <v>13284</v>
      </c>
      <c r="J1032" s="9" t="s">
        <v>13284</v>
      </c>
      <c r="K1032" s="9" t="s">
        <v>13284</v>
      </c>
      <c r="L1032" s="9" t="s">
        <v>13284</v>
      </c>
      <c r="M1032" s="9" t="s">
        <v>13284</v>
      </c>
      <c r="N1032" s="9" t="s">
        <v>13284</v>
      </c>
      <c r="O1032" s="9" t="s">
        <v>13284</v>
      </c>
      <c r="P1032" s="9" t="s">
        <v>13284</v>
      </c>
      <c r="Q1032" s="9" t="s">
        <v>13284</v>
      </c>
      <c r="R1032" s="9" t="s">
        <v>13284</v>
      </c>
      <c r="S1032" s="9" t="s">
        <v>13284</v>
      </c>
      <c r="T1032" s="9" t="str">
        <f ca="1">IFERROR(IF(AND(VLOOKUP(A1032, 'Актуальное состояние (из общего'!A:C,3,0) = "", A1032 &lt;&gt; ""), "ПРОВЕРИТЬ", VLOOKUP(A1032, 'Актуальное состояние (из общего'!A:C,3,0)), "")</f>
        <v>Студент</v>
      </c>
      <c r="U1032" s="9" t="s">
        <v>13284</v>
      </c>
      <c r="V1032" s="9" t="s">
        <v>13284</v>
      </c>
      <c r="W1032" s="12"/>
      <c r="X1032" s="9" t="str">
        <f t="array" ref="X1032">IFERROR(INDEX('Адреса общежитий (скрытый)'!$B$2:$B$9, MATCH(W1032, 'Адреса общежитий (скрытый)'!$A$2:$A$9, 0)), "")</f>
        <v/>
      </c>
      <c r="Y1032" s="18"/>
      <c r="Z1032" s="18"/>
      <c r="AA1032" s="18"/>
      <c r="AB1032" s="18"/>
      <c r="AC1032" s="18"/>
    </row>
    <row r="1033" spans="1:29" ht="32.25" customHeight="1">
      <c r="A1033" s="8">
        <v>2315363</v>
      </c>
      <c r="B1033" s="9" t="s">
        <v>13284</v>
      </c>
      <c r="C1033" s="9" t="s">
        <v>13284</v>
      </c>
      <c r="D1033" s="9" t="s">
        <v>13284</v>
      </c>
      <c r="E1033" s="9" t="s">
        <v>13284</v>
      </c>
      <c r="F1033" s="9" t="s">
        <v>13284</v>
      </c>
      <c r="G1033" s="9" t="s">
        <v>13284</v>
      </c>
      <c r="H1033" s="9" t="s">
        <v>13284</v>
      </c>
      <c r="I1033" s="9" t="s">
        <v>13284</v>
      </c>
      <c r="J1033" s="9" t="s">
        <v>13284</v>
      </c>
      <c r="K1033" s="9" t="s">
        <v>13284</v>
      </c>
      <c r="L1033" s="9" t="s">
        <v>13284</v>
      </c>
      <c r="M1033" s="9" t="s">
        <v>13284</v>
      </c>
      <c r="N1033" s="9" t="s">
        <v>13284</v>
      </c>
      <c r="O1033" s="9" t="s">
        <v>13284</v>
      </c>
      <c r="P1033" s="9" t="s">
        <v>13284</v>
      </c>
      <c r="Q1033" s="9" t="s">
        <v>13284</v>
      </c>
      <c r="R1033" s="9" t="s">
        <v>13284</v>
      </c>
      <c r="S1033" s="9" t="s">
        <v>13284</v>
      </c>
      <c r="T1033" s="9" t="str">
        <f ca="1">IFERROR(IF(AND(VLOOKUP(A1033, 'Актуальное состояние (из общего'!A:C,3,0) = "", A1033 &lt;&gt; ""), "ПРОВЕРИТЬ", VLOOKUP(A1033, 'Актуальное состояние (из общего'!A:C,3,0)), "")</f>
        <v>Студент</v>
      </c>
      <c r="U1033" s="9" t="s">
        <v>13284</v>
      </c>
      <c r="V1033" s="9" t="s">
        <v>13284</v>
      </c>
      <c r="W1033" s="12"/>
      <c r="X1033" s="9" t="str">
        <f t="array" ref="X1033">IFERROR(INDEX('Адреса общежитий (скрытый)'!$B$2:$B$9, MATCH(W1033, 'Адреса общежитий (скрытый)'!$A$2:$A$9, 0)), "")</f>
        <v/>
      </c>
      <c r="Y1033" s="18"/>
      <c r="Z1033" s="18"/>
      <c r="AA1033" s="18"/>
      <c r="AB1033" s="18"/>
      <c r="AC1033" s="18"/>
    </row>
    <row r="1034" spans="1:29" ht="32.25" customHeight="1">
      <c r="A1034" s="8">
        <v>2306462</v>
      </c>
      <c r="B1034" s="9" t="s">
        <v>13284</v>
      </c>
      <c r="C1034" s="9" t="s">
        <v>13284</v>
      </c>
      <c r="D1034" s="9" t="s">
        <v>13284</v>
      </c>
      <c r="E1034" s="9" t="s">
        <v>13284</v>
      </c>
      <c r="F1034" s="9" t="s">
        <v>13284</v>
      </c>
      <c r="G1034" s="9" t="s">
        <v>13284</v>
      </c>
      <c r="H1034" s="9" t="s">
        <v>13284</v>
      </c>
      <c r="I1034" s="9" t="s">
        <v>13284</v>
      </c>
      <c r="J1034" s="9" t="s">
        <v>13284</v>
      </c>
      <c r="K1034" s="9" t="s">
        <v>13284</v>
      </c>
      <c r="L1034" s="9" t="s">
        <v>13284</v>
      </c>
      <c r="M1034" s="9" t="s">
        <v>13284</v>
      </c>
      <c r="N1034" s="9" t="s">
        <v>13284</v>
      </c>
      <c r="O1034" s="9" t="s">
        <v>13284</v>
      </c>
      <c r="P1034" s="9" t="s">
        <v>13284</v>
      </c>
      <c r="Q1034" s="9" t="s">
        <v>13284</v>
      </c>
      <c r="R1034" s="9" t="s">
        <v>13284</v>
      </c>
      <c r="S1034" s="9" t="s">
        <v>13284</v>
      </c>
      <c r="T1034" s="9" t="str">
        <f ca="1">IFERROR(IF(AND(VLOOKUP(A1034, 'Актуальное состояние (из общего'!A:C,3,0) = "", A1034 &lt;&gt; ""), "ПРОВЕРИТЬ", VLOOKUP(A1034, 'Актуальное состояние (из общего'!A:C,3,0)), "")</f>
        <v>Студент</v>
      </c>
      <c r="U1034" s="9" t="s">
        <v>13284</v>
      </c>
      <c r="V1034" s="9" t="s">
        <v>13284</v>
      </c>
      <c r="W1034" s="12"/>
      <c r="X1034" s="9" t="str">
        <f t="array" ref="X1034">IFERROR(INDEX('Адреса общежитий (скрытый)'!$B$2:$B$9, MATCH(W1034, 'Адреса общежитий (скрытый)'!$A$2:$A$9, 0)), "")</f>
        <v/>
      </c>
      <c r="Y1034" s="18"/>
      <c r="Z1034" s="18"/>
      <c r="AA1034" s="18"/>
      <c r="AB1034" s="18"/>
      <c r="AC1034" s="18"/>
    </row>
    <row r="1035" spans="1:29" ht="32.25" hidden="1" customHeight="1">
      <c r="A1035" s="8">
        <v>2309356</v>
      </c>
      <c r="B1035" s="9" t="s">
        <v>13284</v>
      </c>
      <c r="C1035" s="9" t="s">
        <v>13284</v>
      </c>
      <c r="D1035" s="9" t="s">
        <v>13284</v>
      </c>
      <c r="E1035" s="9" t="s">
        <v>13284</v>
      </c>
      <c r="F1035" s="9" t="s">
        <v>13284</v>
      </c>
      <c r="G1035" s="9" t="s">
        <v>13284</v>
      </c>
      <c r="H1035" s="9" t="s">
        <v>13284</v>
      </c>
      <c r="I1035" s="9" t="s">
        <v>13284</v>
      </c>
      <c r="J1035" s="9" t="s">
        <v>13284</v>
      </c>
      <c r="K1035" s="9" t="s">
        <v>13284</v>
      </c>
      <c r="L1035" s="9" t="s">
        <v>13284</v>
      </c>
      <c r="M1035" s="9" t="s">
        <v>13284</v>
      </c>
      <c r="N1035" s="9" t="s">
        <v>13284</v>
      </c>
      <c r="O1035" s="9" t="s">
        <v>13284</v>
      </c>
      <c r="P1035" s="9" t="s">
        <v>13284</v>
      </c>
      <c r="Q1035" s="9" t="s">
        <v>13284</v>
      </c>
      <c r="R1035" s="9" t="s">
        <v>13284</v>
      </c>
      <c r="S1035" s="9" t="s">
        <v>13284</v>
      </c>
      <c r="T1035" s="9" t="str">
        <f ca="1">IFERROR(IF(AND(VLOOKUP(A1035, 'Актуальное состояние (из общего'!A:C,3,0) = "", A1035 &lt;&gt; ""), "ПРОВЕРИТЬ", VLOOKUP(A1035, 'Актуальное состояние (из общего'!A:C,3,0)), "")</f>
        <v>Студент</v>
      </c>
      <c r="U1035" s="9" t="s">
        <v>13284</v>
      </c>
      <c r="V1035" s="9" t="s">
        <v>13284</v>
      </c>
      <c r="W1035" s="12"/>
      <c r="X1035" s="9" t="str">
        <f t="array" ref="X1035">IFERROR(INDEX('Адреса общежитий (скрытый)'!$B$2:$B$9, MATCH(W1035, 'Адреса общежитий (скрытый)'!$A$2:$A$9, 0)), "")</f>
        <v/>
      </c>
      <c r="Y1035" s="18"/>
      <c r="Z1035" s="18"/>
      <c r="AA1035" s="18"/>
      <c r="AB1035" s="18"/>
      <c r="AC1035" s="18"/>
    </row>
    <row r="1036" spans="1:29" ht="32.25" customHeight="1">
      <c r="A1036" s="8">
        <v>2305296</v>
      </c>
      <c r="B1036" s="9" t="s">
        <v>13284</v>
      </c>
      <c r="C1036" s="9" t="s">
        <v>13284</v>
      </c>
      <c r="D1036" s="9" t="s">
        <v>13284</v>
      </c>
      <c r="E1036" s="9" t="s">
        <v>13284</v>
      </c>
      <c r="F1036" s="9" t="s">
        <v>13284</v>
      </c>
      <c r="G1036" s="9" t="s">
        <v>13284</v>
      </c>
      <c r="H1036" s="9" t="s">
        <v>13284</v>
      </c>
      <c r="I1036" s="9" t="s">
        <v>13284</v>
      </c>
      <c r="J1036" s="9" t="s">
        <v>13284</v>
      </c>
      <c r="K1036" s="9" t="s">
        <v>13284</v>
      </c>
      <c r="L1036" s="9" t="s">
        <v>13284</v>
      </c>
      <c r="M1036" s="9" t="s">
        <v>13284</v>
      </c>
      <c r="N1036" s="9" t="s">
        <v>13284</v>
      </c>
      <c r="O1036" s="9" t="s">
        <v>13284</v>
      </c>
      <c r="P1036" s="9" t="s">
        <v>13284</v>
      </c>
      <c r="Q1036" s="9" t="s">
        <v>13284</v>
      </c>
      <c r="R1036" s="9" t="s">
        <v>13284</v>
      </c>
      <c r="S1036" s="9" t="s">
        <v>13284</v>
      </c>
      <c r="T1036" s="9" t="str">
        <f ca="1">IFERROR(IF(AND(VLOOKUP(A1036, 'Актуальное состояние (из общего'!A:C,3,0) = "", A1036 &lt;&gt; ""), "ПРОВЕРИТЬ", VLOOKUP(A1036, 'Актуальное состояние (из общего'!A:C,3,0)), "")</f>
        <v>Студент</v>
      </c>
      <c r="U1036" s="9" t="s">
        <v>13284</v>
      </c>
      <c r="V1036" s="9" t="s">
        <v>13284</v>
      </c>
      <c r="W1036" s="12"/>
      <c r="X1036" s="9" t="str">
        <f t="array" ref="X1036">IFERROR(INDEX('Адреса общежитий (скрытый)'!$B$2:$B$9, MATCH(W1036, 'Адреса общежитий (скрытый)'!$A$2:$A$9, 0)), "")</f>
        <v/>
      </c>
      <c r="Y1036" s="18"/>
      <c r="Z1036" s="18"/>
      <c r="AA1036" s="18"/>
      <c r="AB1036" s="18"/>
      <c r="AC1036" s="18"/>
    </row>
    <row r="1037" spans="1:29" ht="32.25" customHeight="1">
      <c r="A1037" s="8">
        <v>2307803</v>
      </c>
      <c r="B1037" s="9" t="s">
        <v>13284</v>
      </c>
      <c r="C1037" s="9" t="s">
        <v>13284</v>
      </c>
      <c r="D1037" s="9" t="s">
        <v>13284</v>
      </c>
      <c r="E1037" s="9" t="s">
        <v>13284</v>
      </c>
      <c r="F1037" s="9" t="s">
        <v>13284</v>
      </c>
      <c r="G1037" s="9" t="s">
        <v>13284</v>
      </c>
      <c r="H1037" s="9" t="s">
        <v>13284</v>
      </c>
      <c r="I1037" s="9" t="s">
        <v>13284</v>
      </c>
      <c r="J1037" s="9" t="s">
        <v>13284</v>
      </c>
      <c r="K1037" s="9" t="s">
        <v>13284</v>
      </c>
      <c r="L1037" s="9" t="s">
        <v>13284</v>
      </c>
      <c r="M1037" s="9" t="s">
        <v>13284</v>
      </c>
      <c r="N1037" s="9" t="s">
        <v>13284</v>
      </c>
      <c r="O1037" s="9" t="s">
        <v>13284</v>
      </c>
      <c r="P1037" s="9" t="s">
        <v>13284</v>
      </c>
      <c r="Q1037" s="9" t="s">
        <v>13284</v>
      </c>
      <c r="R1037" s="9" t="s">
        <v>13284</v>
      </c>
      <c r="S1037" s="9" t="s">
        <v>13284</v>
      </c>
      <c r="T1037" s="9" t="str">
        <f ca="1">IFERROR(IF(AND(VLOOKUP(A1037, 'Актуальное состояние (из общего'!A:C,3,0) = "", A1037 &lt;&gt; ""), "ПРОВЕРИТЬ", VLOOKUP(A1037, 'Актуальное состояние (из общего'!A:C,3,0)), "")</f>
        <v>Студент</v>
      </c>
      <c r="U1037" s="9" t="s">
        <v>13284</v>
      </c>
      <c r="V1037" s="9" t="s">
        <v>13284</v>
      </c>
      <c r="W1037" s="12"/>
      <c r="X1037" s="9" t="str">
        <f t="array" ref="X1037">IFERROR(INDEX('Адреса общежитий (скрытый)'!$B$2:$B$9, MATCH(W1037, 'Адреса общежитий (скрытый)'!$A$2:$A$9, 0)), "")</f>
        <v/>
      </c>
      <c r="Y1037" s="18"/>
      <c r="Z1037" s="18"/>
      <c r="AA1037" s="18"/>
      <c r="AB1037" s="18"/>
      <c r="AC1037" s="18"/>
    </row>
    <row r="1038" spans="1:29" ht="32.25" customHeight="1">
      <c r="A1038" s="8">
        <v>2307868</v>
      </c>
      <c r="B1038" s="9" t="s">
        <v>13284</v>
      </c>
      <c r="C1038" s="9" t="s">
        <v>13284</v>
      </c>
      <c r="D1038" s="9" t="s">
        <v>13284</v>
      </c>
      <c r="E1038" s="9" t="s">
        <v>13284</v>
      </c>
      <c r="F1038" s="9" t="s">
        <v>13284</v>
      </c>
      <c r="G1038" s="9" t="s">
        <v>13284</v>
      </c>
      <c r="H1038" s="9" t="s">
        <v>13284</v>
      </c>
      <c r="I1038" s="9" t="s">
        <v>13284</v>
      </c>
      <c r="J1038" s="9" t="s">
        <v>13284</v>
      </c>
      <c r="K1038" s="9" t="s">
        <v>13284</v>
      </c>
      <c r="L1038" s="9" t="s">
        <v>13284</v>
      </c>
      <c r="M1038" s="9" t="s">
        <v>13284</v>
      </c>
      <c r="N1038" s="9" t="s">
        <v>13284</v>
      </c>
      <c r="O1038" s="9" t="s">
        <v>13284</v>
      </c>
      <c r="P1038" s="9" t="s">
        <v>13284</v>
      </c>
      <c r="Q1038" s="9" t="s">
        <v>13284</v>
      </c>
      <c r="R1038" s="9" t="s">
        <v>13284</v>
      </c>
      <c r="S1038" s="9" t="s">
        <v>13284</v>
      </c>
      <c r="T1038" s="9" t="str">
        <f ca="1">IFERROR(IF(AND(VLOOKUP(A1038, 'Актуальное состояние (из общего'!A:C,3,0) = "", A1038 &lt;&gt; ""), "ПРОВЕРИТЬ", VLOOKUP(A1038, 'Актуальное состояние (из общего'!A:C,3,0)), "")</f>
        <v>Студент</v>
      </c>
      <c r="U1038" s="9" t="s">
        <v>13284</v>
      </c>
      <c r="V1038" s="9" t="s">
        <v>13284</v>
      </c>
      <c r="W1038" s="12"/>
      <c r="X1038" s="9" t="str">
        <f t="array" ref="X1038">IFERROR(INDEX('Адреса общежитий (скрытый)'!$B$2:$B$9, MATCH(W1038, 'Адреса общежитий (скрытый)'!$A$2:$A$9, 0)), "")</f>
        <v/>
      </c>
      <c r="Y1038" s="18"/>
      <c r="Z1038" s="18"/>
      <c r="AA1038" s="18"/>
      <c r="AB1038" s="18"/>
      <c r="AC1038" s="18"/>
    </row>
    <row r="1039" spans="1:29" ht="32.25" customHeight="1">
      <c r="A1039" s="8">
        <v>2302661</v>
      </c>
      <c r="B1039" s="9" t="s">
        <v>13284</v>
      </c>
      <c r="C1039" s="9" t="s">
        <v>13284</v>
      </c>
      <c r="D1039" s="9" t="s">
        <v>13284</v>
      </c>
      <c r="E1039" s="9" t="s">
        <v>13284</v>
      </c>
      <c r="F1039" s="9" t="s">
        <v>13284</v>
      </c>
      <c r="G1039" s="9" t="s">
        <v>13284</v>
      </c>
      <c r="H1039" s="9" t="s">
        <v>13284</v>
      </c>
      <c r="I1039" s="9" t="s">
        <v>13284</v>
      </c>
      <c r="J1039" s="9" t="s">
        <v>13284</v>
      </c>
      <c r="K1039" s="9" t="s">
        <v>13284</v>
      </c>
      <c r="L1039" s="9" t="s">
        <v>13284</v>
      </c>
      <c r="M1039" s="9" t="s">
        <v>13284</v>
      </c>
      <c r="N1039" s="9" t="s">
        <v>13284</v>
      </c>
      <c r="O1039" s="9" t="s">
        <v>13284</v>
      </c>
      <c r="P1039" s="9" t="s">
        <v>13284</v>
      </c>
      <c r="Q1039" s="9" t="s">
        <v>13284</v>
      </c>
      <c r="R1039" s="9" t="s">
        <v>13284</v>
      </c>
      <c r="S1039" s="9" t="s">
        <v>13284</v>
      </c>
      <c r="T1039" s="9" t="str">
        <f ca="1">IFERROR(IF(AND(VLOOKUP(A1039, 'Актуальное состояние (из общего'!A:C,3,0) = "", A1039 &lt;&gt; ""), "ПРОВЕРИТЬ", VLOOKUP(A1039, 'Актуальное состояние (из общего'!A:C,3,0)), "")</f>
        <v>Студент</v>
      </c>
      <c r="U1039" s="9" t="s">
        <v>13284</v>
      </c>
      <c r="V1039" s="9" t="s">
        <v>13284</v>
      </c>
      <c r="W1039" s="12"/>
      <c r="X1039" s="9" t="str">
        <f t="array" ref="X1039">IFERROR(INDEX('Адреса общежитий (скрытый)'!$B$2:$B$9, MATCH(W1039, 'Адреса общежитий (скрытый)'!$A$2:$A$9, 0)), "")</f>
        <v/>
      </c>
      <c r="Y1039" s="18"/>
      <c r="Z1039" s="18"/>
      <c r="AA1039" s="18"/>
      <c r="AB1039" s="18"/>
      <c r="AC1039" s="18"/>
    </row>
    <row r="1040" spans="1:29" ht="32.25" hidden="1" customHeight="1">
      <c r="A1040" s="8">
        <v>2310617</v>
      </c>
      <c r="B1040" s="9" t="s">
        <v>13284</v>
      </c>
      <c r="C1040" s="9" t="s">
        <v>13284</v>
      </c>
      <c r="D1040" s="9" t="s">
        <v>13284</v>
      </c>
      <c r="E1040" s="9" t="s">
        <v>13284</v>
      </c>
      <c r="F1040" s="9" t="s">
        <v>13284</v>
      </c>
      <c r="G1040" s="9" t="s">
        <v>13284</v>
      </c>
      <c r="H1040" s="9" t="s">
        <v>13284</v>
      </c>
      <c r="I1040" s="9" t="s">
        <v>13284</v>
      </c>
      <c r="J1040" s="9" t="s">
        <v>13284</v>
      </c>
      <c r="K1040" s="9" t="s">
        <v>13284</v>
      </c>
      <c r="L1040" s="9" t="s">
        <v>13284</v>
      </c>
      <c r="M1040" s="9" t="s">
        <v>13284</v>
      </c>
      <c r="N1040" s="9" t="s">
        <v>13284</v>
      </c>
      <c r="O1040" s="9" t="s">
        <v>13284</v>
      </c>
      <c r="P1040" s="9" t="s">
        <v>13284</v>
      </c>
      <c r="Q1040" s="9" t="s">
        <v>13284</v>
      </c>
      <c r="R1040" s="9" t="s">
        <v>13284</v>
      </c>
      <c r="S1040" s="9" t="s">
        <v>13284</v>
      </c>
      <c r="T1040" s="9" t="str">
        <f ca="1">IFERROR(IF(AND(VLOOKUP(A1040, 'Актуальное состояние (из общего'!A:C,3,0) = "", A1040 &lt;&gt; ""), "ПРОВЕРИТЬ", VLOOKUP(A1040, 'Актуальное состояние (из общего'!A:C,3,0)), "")</f>
        <v>Студент</v>
      </c>
      <c r="U1040" s="9" t="s">
        <v>13284</v>
      </c>
      <c r="V1040" s="9" t="s">
        <v>13284</v>
      </c>
      <c r="W1040" s="12"/>
      <c r="X1040" s="9" t="str">
        <f t="array" ref="X1040">IFERROR(INDEX('Адреса общежитий (скрытый)'!$B$2:$B$9, MATCH(W1040, 'Адреса общежитий (скрытый)'!$A$2:$A$9, 0)), "")</f>
        <v/>
      </c>
      <c r="Y1040" s="18"/>
      <c r="Z1040" s="18"/>
      <c r="AA1040" s="18"/>
      <c r="AB1040" s="18"/>
      <c r="AC1040" s="18"/>
    </row>
    <row r="1041" spans="1:29" ht="32.25" customHeight="1">
      <c r="A1041" s="8">
        <v>2302621</v>
      </c>
      <c r="B1041" s="9" t="s">
        <v>13284</v>
      </c>
      <c r="C1041" s="9" t="s">
        <v>13284</v>
      </c>
      <c r="D1041" s="9" t="s">
        <v>13284</v>
      </c>
      <c r="E1041" s="9" t="s">
        <v>13284</v>
      </c>
      <c r="F1041" s="9" t="s">
        <v>13284</v>
      </c>
      <c r="G1041" s="9" t="s">
        <v>13284</v>
      </c>
      <c r="H1041" s="9" t="s">
        <v>13284</v>
      </c>
      <c r="I1041" s="9" t="s">
        <v>13284</v>
      </c>
      <c r="J1041" s="9" t="s">
        <v>13284</v>
      </c>
      <c r="K1041" s="9" t="s">
        <v>13284</v>
      </c>
      <c r="L1041" s="9" t="s">
        <v>13284</v>
      </c>
      <c r="M1041" s="9" t="s">
        <v>13284</v>
      </c>
      <c r="N1041" s="9" t="s">
        <v>13284</v>
      </c>
      <c r="O1041" s="9" t="s">
        <v>13284</v>
      </c>
      <c r="P1041" s="9" t="s">
        <v>13284</v>
      </c>
      <c r="Q1041" s="9" t="s">
        <v>13284</v>
      </c>
      <c r="R1041" s="9" t="s">
        <v>13284</v>
      </c>
      <c r="S1041" s="9" t="s">
        <v>13284</v>
      </c>
      <c r="T1041" s="9" t="str">
        <f ca="1">IFERROR(IF(AND(VLOOKUP(A1041, 'Актуальное состояние (из общего'!A:C,3,0) = "", A1041 &lt;&gt; ""), "ПРОВЕРИТЬ", VLOOKUP(A1041, 'Актуальное состояние (из общего'!A:C,3,0)), "")</f>
        <v>Студент</v>
      </c>
      <c r="U1041" s="9" t="s">
        <v>13284</v>
      </c>
      <c r="V1041" s="9" t="s">
        <v>13284</v>
      </c>
      <c r="W1041" s="12"/>
      <c r="X1041" s="9" t="str">
        <f t="array" ref="X1041">IFERROR(INDEX('Адреса общежитий (скрытый)'!$B$2:$B$9, MATCH(W1041, 'Адреса общежитий (скрытый)'!$A$2:$A$9, 0)), "")</f>
        <v/>
      </c>
      <c r="Y1041" s="18"/>
      <c r="Z1041" s="18"/>
      <c r="AA1041" s="18"/>
      <c r="AB1041" s="18"/>
      <c r="AC1041" s="18"/>
    </row>
    <row r="1042" spans="1:29" ht="32.25" customHeight="1">
      <c r="A1042" s="8">
        <v>2312363</v>
      </c>
      <c r="B1042" s="9" t="s">
        <v>13284</v>
      </c>
      <c r="C1042" s="9" t="s">
        <v>13284</v>
      </c>
      <c r="D1042" s="9" t="s">
        <v>13284</v>
      </c>
      <c r="E1042" s="9" t="s">
        <v>13284</v>
      </c>
      <c r="F1042" s="9" t="s">
        <v>13284</v>
      </c>
      <c r="G1042" s="9" t="s">
        <v>13284</v>
      </c>
      <c r="H1042" s="9" t="s">
        <v>13284</v>
      </c>
      <c r="I1042" s="9" t="s">
        <v>13284</v>
      </c>
      <c r="J1042" s="9" t="s">
        <v>13284</v>
      </c>
      <c r="K1042" s="9" t="s">
        <v>13284</v>
      </c>
      <c r="L1042" s="9" t="s">
        <v>13284</v>
      </c>
      <c r="M1042" s="9" t="s">
        <v>13284</v>
      </c>
      <c r="N1042" s="9" t="s">
        <v>13284</v>
      </c>
      <c r="O1042" s="9" t="s">
        <v>13284</v>
      </c>
      <c r="P1042" s="9" t="s">
        <v>13284</v>
      </c>
      <c r="Q1042" s="9" t="s">
        <v>13284</v>
      </c>
      <c r="R1042" s="9" t="s">
        <v>13284</v>
      </c>
      <c r="S1042" s="9" t="s">
        <v>13284</v>
      </c>
      <c r="T1042" s="9" t="str">
        <f ca="1">IFERROR(IF(AND(VLOOKUP(A1042, 'Актуальное состояние (из общего'!A:C,3,0) = "", A1042 &lt;&gt; ""), "ПРОВЕРИТЬ", VLOOKUP(A1042, 'Актуальное состояние (из общего'!A:C,3,0)), "")</f>
        <v>Студент</v>
      </c>
      <c r="U1042" s="9" t="s">
        <v>13284</v>
      </c>
      <c r="V1042" s="9" t="s">
        <v>13284</v>
      </c>
      <c r="W1042" s="9" t="s">
        <v>319</v>
      </c>
      <c r="X1042" s="9" t="str">
        <f t="array" ref="X1042">IFERROR(INDEX('Адреса общежитий (скрытый)'!$B$2:$B$9, MATCH(W1042, 'Адреса общежитий (скрытый)'!$A$2:$A$9, 0)), "")</f>
        <v>ул. Профсоюзная, д.83, корп. 2</v>
      </c>
      <c r="Y1042" s="18"/>
      <c r="Z1042" s="18"/>
      <c r="AA1042" s="18"/>
      <c r="AB1042" s="18"/>
      <c r="AC1042" s="18"/>
    </row>
    <row r="1043" spans="1:29" ht="32.25" hidden="1" customHeight="1">
      <c r="A1043" s="8">
        <v>2310883</v>
      </c>
      <c r="B1043" s="9" t="s">
        <v>13284</v>
      </c>
      <c r="C1043" s="9" t="s">
        <v>13284</v>
      </c>
      <c r="D1043" s="9" t="s">
        <v>13284</v>
      </c>
      <c r="E1043" s="9" t="s">
        <v>13284</v>
      </c>
      <c r="F1043" s="9" t="s">
        <v>13284</v>
      </c>
      <c r="G1043" s="9" t="s">
        <v>13284</v>
      </c>
      <c r="H1043" s="9" t="s">
        <v>13284</v>
      </c>
      <c r="I1043" s="9" t="s">
        <v>13284</v>
      </c>
      <c r="J1043" s="9" t="s">
        <v>13284</v>
      </c>
      <c r="K1043" s="9" t="s">
        <v>13284</v>
      </c>
      <c r="L1043" s="9" t="s">
        <v>13284</v>
      </c>
      <c r="M1043" s="9" t="s">
        <v>13284</v>
      </c>
      <c r="N1043" s="9" t="s">
        <v>13284</v>
      </c>
      <c r="O1043" s="9" t="s">
        <v>13284</v>
      </c>
      <c r="P1043" s="9" t="s">
        <v>13284</v>
      </c>
      <c r="Q1043" s="9" t="s">
        <v>13284</v>
      </c>
      <c r="R1043" s="9" t="s">
        <v>13284</v>
      </c>
      <c r="S1043" s="9" t="s">
        <v>13284</v>
      </c>
      <c r="T1043" s="9" t="str">
        <f ca="1">IFERROR(IF(AND(VLOOKUP(A1043, 'Актуальное состояние (из общего'!A:C,3,0) = "", A1043 &lt;&gt; ""), "ПРОВЕРИТЬ", VLOOKUP(A1043, 'Актуальное состояние (из общего'!A:C,3,0)), "")</f>
        <v>Студент</v>
      </c>
      <c r="U1043" s="9" t="s">
        <v>13284</v>
      </c>
      <c r="V1043" s="9" t="s">
        <v>13284</v>
      </c>
      <c r="W1043" s="12"/>
      <c r="X1043" s="9" t="str">
        <f t="array" ref="X1043">IFERROR(INDEX('Адреса общежитий (скрытый)'!$B$2:$B$9, MATCH(W1043, 'Адреса общежитий (скрытый)'!$A$2:$A$9, 0)), "")</f>
        <v/>
      </c>
      <c r="Y1043" s="18"/>
      <c r="Z1043" s="18"/>
      <c r="AA1043" s="18"/>
      <c r="AB1043" s="18"/>
      <c r="AC1043" s="18"/>
    </row>
    <row r="1044" spans="1:29" ht="32.25" hidden="1" customHeight="1">
      <c r="A1044" s="8">
        <v>2301877</v>
      </c>
      <c r="B1044" s="9" t="s">
        <v>13284</v>
      </c>
      <c r="C1044" s="9" t="s">
        <v>13284</v>
      </c>
      <c r="D1044" s="9" t="s">
        <v>13284</v>
      </c>
      <c r="E1044" s="9" t="s">
        <v>13284</v>
      </c>
      <c r="F1044" s="9" t="s">
        <v>13284</v>
      </c>
      <c r="G1044" s="9" t="s">
        <v>13284</v>
      </c>
      <c r="H1044" s="9" t="s">
        <v>13284</v>
      </c>
      <c r="I1044" s="9" t="s">
        <v>13284</v>
      </c>
      <c r="J1044" s="9" t="s">
        <v>13284</v>
      </c>
      <c r="K1044" s="9" t="s">
        <v>13284</v>
      </c>
      <c r="L1044" s="9" t="s">
        <v>13284</v>
      </c>
      <c r="M1044" s="9" t="s">
        <v>13284</v>
      </c>
      <c r="N1044" s="9" t="s">
        <v>13284</v>
      </c>
      <c r="O1044" s="9" t="s">
        <v>13284</v>
      </c>
      <c r="P1044" s="9" t="s">
        <v>13284</v>
      </c>
      <c r="Q1044" s="9" t="s">
        <v>13284</v>
      </c>
      <c r="R1044" s="9" t="s">
        <v>13284</v>
      </c>
      <c r="S1044" s="9" t="s">
        <v>13284</v>
      </c>
      <c r="T1044" s="9" t="str">
        <f ca="1">IFERROR(IF(AND(VLOOKUP(A1044, 'Актуальное состояние (из общего'!A:C,3,0) = "", A1044 &lt;&gt; ""), "ПРОВЕРИТЬ", VLOOKUP(A1044, 'Актуальное состояние (из общего'!A:C,3,0)), "")</f>
        <v>Студент</v>
      </c>
      <c r="U1044" s="9" t="s">
        <v>13284</v>
      </c>
      <c r="V1044" s="9" t="s">
        <v>13284</v>
      </c>
      <c r="W1044" s="12"/>
      <c r="X1044" s="9" t="str">
        <f t="array" ref="X1044">IFERROR(INDEX('Адреса общежитий (скрытый)'!$B$2:$B$9, MATCH(W1044, 'Адреса общежитий (скрытый)'!$A$2:$A$9, 0)), "")</f>
        <v/>
      </c>
      <c r="Y1044" s="18"/>
      <c r="Z1044" s="18"/>
      <c r="AA1044" s="18"/>
      <c r="AB1044" s="18"/>
      <c r="AC1044" s="18"/>
    </row>
    <row r="1045" spans="1:29" ht="32.25" customHeight="1">
      <c r="A1045" s="8">
        <v>2308490</v>
      </c>
      <c r="B1045" s="9" t="s">
        <v>13284</v>
      </c>
      <c r="C1045" s="9" t="s">
        <v>13284</v>
      </c>
      <c r="D1045" s="9" t="s">
        <v>13284</v>
      </c>
      <c r="E1045" s="9" t="s">
        <v>13284</v>
      </c>
      <c r="F1045" s="9" t="s">
        <v>13284</v>
      </c>
      <c r="G1045" s="9" t="s">
        <v>13284</v>
      </c>
      <c r="H1045" s="9" t="s">
        <v>13284</v>
      </c>
      <c r="I1045" s="9" t="s">
        <v>13284</v>
      </c>
      <c r="J1045" s="9" t="s">
        <v>13284</v>
      </c>
      <c r="K1045" s="9" t="s">
        <v>13284</v>
      </c>
      <c r="L1045" s="9" t="s">
        <v>13284</v>
      </c>
      <c r="M1045" s="9" t="s">
        <v>13284</v>
      </c>
      <c r="N1045" s="9" t="s">
        <v>13284</v>
      </c>
      <c r="O1045" s="9" t="s">
        <v>13284</v>
      </c>
      <c r="P1045" s="9" t="s">
        <v>13284</v>
      </c>
      <c r="Q1045" s="9" t="s">
        <v>13284</v>
      </c>
      <c r="R1045" s="9" t="s">
        <v>13284</v>
      </c>
      <c r="S1045" s="9" t="s">
        <v>13284</v>
      </c>
      <c r="T1045" s="9" t="str">
        <f ca="1">IFERROR(IF(AND(VLOOKUP(A1045, 'Актуальное состояние (из общего'!A:C,3,0) = "", A1045 &lt;&gt; ""), "ПРОВЕРИТЬ", VLOOKUP(A1045, 'Актуальное состояние (из общего'!A:C,3,0)), "")</f>
        <v>Студент</v>
      </c>
      <c r="U1045" s="9" t="s">
        <v>13284</v>
      </c>
      <c r="V1045" s="9" t="s">
        <v>13284</v>
      </c>
      <c r="W1045" s="12"/>
      <c r="X1045" s="9" t="str">
        <f t="array" ref="X1045">IFERROR(INDEX('Адреса общежитий (скрытый)'!$B$2:$B$9, MATCH(W1045, 'Адреса общежитий (скрытый)'!$A$2:$A$9, 0)), "")</f>
        <v/>
      </c>
      <c r="Y1045" s="18"/>
      <c r="Z1045" s="18"/>
      <c r="AA1045" s="18"/>
      <c r="AB1045" s="18"/>
      <c r="AC1045" s="18"/>
    </row>
    <row r="1046" spans="1:29" ht="32.25" customHeight="1">
      <c r="A1046" s="8">
        <v>2301201</v>
      </c>
      <c r="B1046" s="9" t="s">
        <v>13284</v>
      </c>
      <c r="C1046" s="9" t="s">
        <v>13284</v>
      </c>
      <c r="D1046" s="9" t="s">
        <v>13284</v>
      </c>
      <c r="E1046" s="9" t="s">
        <v>13284</v>
      </c>
      <c r="F1046" s="9" t="s">
        <v>13284</v>
      </c>
      <c r="G1046" s="9" t="s">
        <v>13284</v>
      </c>
      <c r="H1046" s="9" t="s">
        <v>13284</v>
      </c>
      <c r="I1046" s="9" t="s">
        <v>13284</v>
      </c>
      <c r="J1046" s="9" t="s">
        <v>13284</v>
      </c>
      <c r="K1046" s="9" t="s">
        <v>13284</v>
      </c>
      <c r="L1046" s="9" t="s">
        <v>13284</v>
      </c>
      <c r="M1046" s="9" t="s">
        <v>13284</v>
      </c>
      <c r="N1046" s="9" t="s">
        <v>13284</v>
      </c>
      <c r="O1046" s="9" t="s">
        <v>13284</v>
      </c>
      <c r="P1046" s="9" t="s">
        <v>13284</v>
      </c>
      <c r="Q1046" s="9" t="s">
        <v>13284</v>
      </c>
      <c r="R1046" s="9" t="s">
        <v>13284</v>
      </c>
      <c r="S1046" s="9" t="s">
        <v>13284</v>
      </c>
      <c r="T1046" s="9" t="str">
        <f ca="1">IFERROR(IF(AND(VLOOKUP(A1046, 'Актуальное состояние (из общего'!A:C,3,0) = "", A1046 &lt;&gt; ""), "ПРОВЕРИТЬ", VLOOKUP(A1046, 'Актуальное состояние (из общего'!A:C,3,0)), "")</f>
        <v>Студент</v>
      </c>
      <c r="U1046" s="9" t="s">
        <v>13284</v>
      </c>
      <c r="V1046" s="9" t="s">
        <v>13284</v>
      </c>
      <c r="W1046" s="12"/>
      <c r="X1046" s="9" t="str">
        <f t="array" ref="X1046">IFERROR(INDEX('Адреса общежитий (скрытый)'!$B$2:$B$9, MATCH(W1046, 'Адреса общежитий (скрытый)'!$A$2:$A$9, 0)), "")</f>
        <v/>
      </c>
      <c r="Y1046" s="18"/>
      <c r="Z1046" s="18"/>
      <c r="AA1046" s="18"/>
      <c r="AB1046" s="18"/>
      <c r="AC1046" s="18"/>
    </row>
    <row r="1047" spans="1:29" ht="32.25" customHeight="1">
      <c r="A1047" s="8">
        <v>2306903</v>
      </c>
      <c r="B1047" s="9" t="s">
        <v>13284</v>
      </c>
      <c r="C1047" s="9" t="s">
        <v>13284</v>
      </c>
      <c r="D1047" s="9" t="s">
        <v>13284</v>
      </c>
      <c r="E1047" s="9" t="s">
        <v>13284</v>
      </c>
      <c r="F1047" s="9" t="s">
        <v>13284</v>
      </c>
      <c r="G1047" s="9" t="s">
        <v>13284</v>
      </c>
      <c r="H1047" s="9" t="s">
        <v>13284</v>
      </c>
      <c r="I1047" s="9" t="s">
        <v>13284</v>
      </c>
      <c r="J1047" s="9" t="s">
        <v>13284</v>
      </c>
      <c r="K1047" s="9" t="s">
        <v>13284</v>
      </c>
      <c r="L1047" s="9" t="s">
        <v>13284</v>
      </c>
      <c r="M1047" s="9" t="s">
        <v>13284</v>
      </c>
      <c r="N1047" s="9" t="s">
        <v>13284</v>
      </c>
      <c r="O1047" s="9" t="s">
        <v>13284</v>
      </c>
      <c r="P1047" s="9" t="s">
        <v>13284</v>
      </c>
      <c r="Q1047" s="9" t="s">
        <v>13284</v>
      </c>
      <c r="R1047" s="9" t="s">
        <v>13284</v>
      </c>
      <c r="S1047" s="9" t="s">
        <v>13284</v>
      </c>
      <c r="T1047" s="9" t="str">
        <f ca="1">IFERROR(IF(AND(VLOOKUP(A1047, 'Актуальное состояние (из общего'!A:C,3,0) = "", A1047 &lt;&gt; ""), "ПРОВЕРИТЬ", VLOOKUP(A1047, 'Актуальное состояние (из общего'!A:C,3,0)), "")</f>
        <v>Студент</v>
      </c>
      <c r="U1047" s="9" t="s">
        <v>13284</v>
      </c>
      <c r="V1047" s="9" t="s">
        <v>13284</v>
      </c>
      <c r="W1047" s="12"/>
      <c r="X1047" s="9" t="str">
        <f t="array" ref="X1047">IFERROR(INDEX('Адреса общежитий (скрытый)'!$B$2:$B$9, MATCH(W1047, 'Адреса общежитий (скрытый)'!$A$2:$A$9, 0)), "")</f>
        <v/>
      </c>
      <c r="Y1047" s="18"/>
      <c r="Z1047" s="18"/>
      <c r="AA1047" s="18"/>
      <c r="AB1047" s="18"/>
      <c r="AC1047" s="18"/>
    </row>
    <row r="1048" spans="1:29" ht="32.25" customHeight="1">
      <c r="A1048" s="8">
        <v>2307885</v>
      </c>
      <c r="B1048" s="9" t="s">
        <v>13284</v>
      </c>
      <c r="C1048" s="9" t="s">
        <v>13284</v>
      </c>
      <c r="D1048" s="9" t="s">
        <v>13284</v>
      </c>
      <c r="E1048" s="9" t="s">
        <v>13284</v>
      </c>
      <c r="F1048" s="9" t="s">
        <v>13284</v>
      </c>
      <c r="G1048" s="9" t="s">
        <v>13284</v>
      </c>
      <c r="H1048" s="9" t="s">
        <v>13284</v>
      </c>
      <c r="I1048" s="9" t="s">
        <v>13284</v>
      </c>
      <c r="J1048" s="9" t="s">
        <v>13284</v>
      </c>
      <c r="K1048" s="9" t="s">
        <v>13284</v>
      </c>
      <c r="L1048" s="9" t="s">
        <v>13284</v>
      </c>
      <c r="M1048" s="9" t="s">
        <v>13284</v>
      </c>
      <c r="N1048" s="9" t="s">
        <v>13284</v>
      </c>
      <c r="O1048" s="9" t="s">
        <v>13284</v>
      </c>
      <c r="P1048" s="9" t="s">
        <v>13284</v>
      </c>
      <c r="Q1048" s="9" t="s">
        <v>13284</v>
      </c>
      <c r="R1048" s="9" t="s">
        <v>13284</v>
      </c>
      <c r="S1048" s="9" t="s">
        <v>13284</v>
      </c>
      <c r="T1048" s="9" t="str">
        <f ca="1">IFERROR(IF(AND(VLOOKUP(A1048, 'Актуальное состояние (из общего'!A:C,3,0) = "", A1048 &lt;&gt; ""), "ПРОВЕРИТЬ", VLOOKUP(A1048, 'Актуальное состояние (из общего'!A:C,3,0)), "")</f>
        <v>Студент</v>
      </c>
      <c r="U1048" s="9" t="s">
        <v>13284</v>
      </c>
      <c r="V1048" s="9" t="s">
        <v>13284</v>
      </c>
      <c r="W1048" s="12"/>
      <c r="X1048" s="9" t="str">
        <f t="array" ref="X1048">IFERROR(INDEX('Адреса общежитий (скрытый)'!$B$2:$B$9, MATCH(W1048, 'Адреса общежитий (скрытый)'!$A$2:$A$9, 0)), "")</f>
        <v/>
      </c>
      <c r="Y1048" s="18"/>
      <c r="Z1048" s="18"/>
      <c r="AA1048" s="18"/>
      <c r="AB1048" s="18"/>
      <c r="AC1048" s="18"/>
    </row>
    <row r="1049" spans="1:29" ht="32.25" hidden="1" customHeight="1">
      <c r="A1049" s="8">
        <v>2303742</v>
      </c>
      <c r="B1049" s="9" t="s">
        <v>13284</v>
      </c>
      <c r="C1049" s="9" t="s">
        <v>13284</v>
      </c>
      <c r="D1049" s="9" t="s">
        <v>13284</v>
      </c>
      <c r="E1049" s="9" t="s">
        <v>13284</v>
      </c>
      <c r="F1049" s="9" t="s">
        <v>13284</v>
      </c>
      <c r="G1049" s="9" t="s">
        <v>13284</v>
      </c>
      <c r="H1049" s="9" t="s">
        <v>13284</v>
      </c>
      <c r="I1049" s="9" t="s">
        <v>13284</v>
      </c>
      <c r="J1049" s="9" t="s">
        <v>13284</v>
      </c>
      <c r="K1049" s="9" t="s">
        <v>13284</v>
      </c>
      <c r="L1049" s="9" t="s">
        <v>13284</v>
      </c>
      <c r="M1049" s="9" t="s">
        <v>13284</v>
      </c>
      <c r="N1049" s="9" t="s">
        <v>13284</v>
      </c>
      <c r="O1049" s="9" t="s">
        <v>13284</v>
      </c>
      <c r="P1049" s="9" t="s">
        <v>13284</v>
      </c>
      <c r="Q1049" s="9" t="s">
        <v>13284</v>
      </c>
      <c r="R1049" s="9" t="s">
        <v>13284</v>
      </c>
      <c r="S1049" s="9" t="s">
        <v>13284</v>
      </c>
      <c r="T1049" s="9" t="str">
        <f ca="1">IFERROR(IF(AND(VLOOKUP(A1049, 'Актуальное состояние (из общего'!A:C,3,0) = "", A1049 &lt;&gt; ""), "ПРОВЕРИТЬ", VLOOKUP(A1049, 'Актуальное состояние (из общего'!A:C,3,0)), "")</f>
        <v>Студент</v>
      </c>
      <c r="U1049" s="9" t="s">
        <v>13284</v>
      </c>
      <c r="V1049" s="9" t="s">
        <v>13284</v>
      </c>
      <c r="W1049" s="12"/>
      <c r="X1049" s="9" t="str">
        <f t="array" ref="X1049">IFERROR(INDEX('Адреса общежитий (скрытый)'!$B$2:$B$9, MATCH(W1049, 'Адреса общежитий (скрытый)'!$A$2:$A$9, 0)), "")</f>
        <v/>
      </c>
      <c r="Y1049" s="18"/>
      <c r="Z1049" s="18"/>
      <c r="AA1049" s="18"/>
      <c r="AB1049" s="18"/>
      <c r="AC1049" s="18"/>
    </row>
    <row r="1050" spans="1:29" ht="32.25" hidden="1" customHeight="1">
      <c r="A1050" s="8">
        <v>2313729</v>
      </c>
      <c r="B1050" s="9" t="s">
        <v>13284</v>
      </c>
      <c r="C1050" s="9" t="s">
        <v>13284</v>
      </c>
      <c r="D1050" s="9" t="s">
        <v>13284</v>
      </c>
      <c r="E1050" s="9" t="s">
        <v>13284</v>
      </c>
      <c r="F1050" s="9" t="s">
        <v>13284</v>
      </c>
      <c r="G1050" s="9" t="s">
        <v>13284</v>
      </c>
      <c r="H1050" s="9" t="s">
        <v>13284</v>
      </c>
      <c r="I1050" s="9" t="s">
        <v>13284</v>
      </c>
      <c r="J1050" s="9" t="s">
        <v>13284</v>
      </c>
      <c r="K1050" s="9" t="s">
        <v>13284</v>
      </c>
      <c r="L1050" s="9" t="s">
        <v>13284</v>
      </c>
      <c r="M1050" s="9" t="s">
        <v>13284</v>
      </c>
      <c r="N1050" s="9" t="s">
        <v>13284</v>
      </c>
      <c r="O1050" s="9" t="s">
        <v>13284</v>
      </c>
      <c r="P1050" s="9" t="s">
        <v>13284</v>
      </c>
      <c r="Q1050" s="9" t="s">
        <v>13284</v>
      </c>
      <c r="R1050" s="9" t="s">
        <v>13284</v>
      </c>
      <c r="S1050" s="9" t="s">
        <v>13284</v>
      </c>
      <c r="T1050" s="9" t="str">
        <f ca="1">IFERROR(IF(AND(VLOOKUP(A1050, 'Актуальное состояние (из общего'!A:C,3,0) = "", A1050 &lt;&gt; ""), "ПРОВЕРИТЬ", VLOOKUP(A1050, 'Актуальное состояние (из общего'!A:C,3,0)), "")</f>
        <v>Студент</v>
      </c>
      <c r="U1050" s="9" t="s">
        <v>13284</v>
      </c>
      <c r="V1050" s="9" t="s">
        <v>13284</v>
      </c>
      <c r="W1050" s="12"/>
      <c r="X1050" s="9" t="str">
        <f t="array" ref="X1050">IFERROR(INDEX('Адреса общежитий (скрытый)'!$B$2:$B$9, MATCH(W1050, 'Адреса общежитий (скрытый)'!$A$2:$A$9, 0)), "")</f>
        <v/>
      </c>
      <c r="Y1050" s="18"/>
      <c r="Z1050" s="18"/>
      <c r="AA1050" s="18"/>
      <c r="AB1050" s="18"/>
      <c r="AC1050" s="18"/>
    </row>
    <row r="1051" spans="1:29" ht="32.25" customHeight="1">
      <c r="A1051" s="8">
        <v>2315257</v>
      </c>
      <c r="B1051" s="9" t="s">
        <v>13284</v>
      </c>
      <c r="C1051" s="9" t="s">
        <v>13284</v>
      </c>
      <c r="D1051" s="9" t="s">
        <v>13284</v>
      </c>
      <c r="E1051" s="9" t="s">
        <v>13284</v>
      </c>
      <c r="F1051" s="9" t="s">
        <v>13284</v>
      </c>
      <c r="G1051" s="9" t="s">
        <v>13284</v>
      </c>
      <c r="H1051" s="9" t="s">
        <v>13284</v>
      </c>
      <c r="I1051" s="9" t="s">
        <v>13284</v>
      </c>
      <c r="J1051" s="9" t="s">
        <v>13284</v>
      </c>
      <c r="K1051" s="9" t="s">
        <v>13284</v>
      </c>
      <c r="L1051" s="9" t="s">
        <v>13284</v>
      </c>
      <c r="M1051" s="9" t="s">
        <v>13284</v>
      </c>
      <c r="N1051" s="9" t="s">
        <v>13284</v>
      </c>
      <c r="O1051" s="9" t="s">
        <v>13284</v>
      </c>
      <c r="P1051" s="9" t="s">
        <v>13284</v>
      </c>
      <c r="Q1051" s="9" t="s">
        <v>13284</v>
      </c>
      <c r="R1051" s="9" t="s">
        <v>13284</v>
      </c>
      <c r="S1051" s="9" t="s">
        <v>13284</v>
      </c>
      <c r="T1051" s="9" t="str">
        <f ca="1">IFERROR(IF(AND(VLOOKUP(A1051, 'Актуальное состояние (из общего'!A:C,3,0) = "", A1051 &lt;&gt; ""), "ПРОВЕРИТЬ", VLOOKUP(A1051, 'Актуальное состояние (из общего'!A:C,3,0)), "")</f>
        <v>Студент</v>
      </c>
      <c r="U1051" s="9" t="s">
        <v>13284</v>
      </c>
      <c r="V1051" s="9" t="s">
        <v>13284</v>
      </c>
      <c r="W1051" s="12"/>
      <c r="X1051" s="9" t="str">
        <f t="array" ref="X1051">IFERROR(INDEX('Адреса общежитий (скрытый)'!$B$2:$B$9, MATCH(W1051, 'Адреса общежитий (скрытый)'!$A$2:$A$9, 0)), "")</f>
        <v/>
      </c>
      <c r="Y1051" s="18"/>
      <c r="Z1051" s="18"/>
      <c r="AA1051" s="18"/>
      <c r="AB1051" s="18"/>
      <c r="AC1051" s="18"/>
    </row>
    <row r="1052" spans="1:29" ht="32.25" customHeight="1">
      <c r="A1052" s="8">
        <v>2313376</v>
      </c>
      <c r="B1052" s="9" t="s">
        <v>13284</v>
      </c>
      <c r="C1052" s="9" t="s">
        <v>13284</v>
      </c>
      <c r="D1052" s="9" t="s">
        <v>13284</v>
      </c>
      <c r="E1052" s="9" t="s">
        <v>13284</v>
      </c>
      <c r="F1052" s="9" t="s">
        <v>13284</v>
      </c>
      <c r="G1052" s="9" t="s">
        <v>13284</v>
      </c>
      <c r="H1052" s="9" t="s">
        <v>13284</v>
      </c>
      <c r="I1052" s="9" t="s">
        <v>13284</v>
      </c>
      <c r="J1052" s="9" t="s">
        <v>13284</v>
      </c>
      <c r="K1052" s="9" t="s">
        <v>13284</v>
      </c>
      <c r="L1052" s="9" t="s">
        <v>13284</v>
      </c>
      <c r="M1052" s="9" t="s">
        <v>13284</v>
      </c>
      <c r="N1052" s="9" t="s">
        <v>13284</v>
      </c>
      <c r="O1052" s="9" t="s">
        <v>13284</v>
      </c>
      <c r="P1052" s="9" t="s">
        <v>13284</v>
      </c>
      <c r="Q1052" s="9" t="s">
        <v>13284</v>
      </c>
      <c r="R1052" s="9" t="s">
        <v>13284</v>
      </c>
      <c r="S1052" s="9" t="s">
        <v>13284</v>
      </c>
      <c r="T1052" s="9" t="str">
        <f ca="1">IFERROR(IF(AND(VLOOKUP(A1052, 'Актуальное состояние (из общего'!A:C,3,0) = "", A1052 &lt;&gt; ""), "ПРОВЕРИТЬ", VLOOKUP(A1052, 'Актуальное состояние (из общего'!A:C,3,0)), "")</f>
        <v>Студент</v>
      </c>
      <c r="U1052" s="9" t="s">
        <v>13284</v>
      </c>
      <c r="V1052" s="9" t="s">
        <v>13284</v>
      </c>
      <c r="W1052" s="12"/>
      <c r="X1052" s="9" t="str">
        <f t="array" ref="X1052">IFERROR(INDEX('Адреса общежитий (скрытый)'!$B$2:$B$9, MATCH(W1052, 'Адреса общежитий (скрытый)'!$A$2:$A$9, 0)), "")</f>
        <v/>
      </c>
      <c r="Y1052" s="18"/>
      <c r="Z1052" s="18"/>
      <c r="AA1052" s="18"/>
      <c r="AB1052" s="18"/>
      <c r="AC1052" s="18"/>
    </row>
    <row r="1053" spans="1:29" ht="32.25" hidden="1" customHeight="1">
      <c r="A1053" s="8">
        <v>2300658</v>
      </c>
      <c r="B1053" s="9" t="s">
        <v>13284</v>
      </c>
      <c r="C1053" s="9" t="s">
        <v>13284</v>
      </c>
      <c r="D1053" s="9" t="s">
        <v>13284</v>
      </c>
      <c r="E1053" s="9" t="s">
        <v>13284</v>
      </c>
      <c r="F1053" s="9" t="s">
        <v>13284</v>
      </c>
      <c r="G1053" s="9" t="s">
        <v>13284</v>
      </c>
      <c r="H1053" s="9" t="s">
        <v>13284</v>
      </c>
      <c r="I1053" s="9" t="s">
        <v>13284</v>
      </c>
      <c r="J1053" s="9" t="s">
        <v>13284</v>
      </c>
      <c r="K1053" s="9" t="s">
        <v>13284</v>
      </c>
      <c r="L1053" s="9" t="s">
        <v>13284</v>
      </c>
      <c r="M1053" s="9" t="s">
        <v>13284</v>
      </c>
      <c r="N1053" s="9" t="s">
        <v>13284</v>
      </c>
      <c r="O1053" s="9" t="s">
        <v>13284</v>
      </c>
      <c r="P1053" s="9" t="s">
        <v>13284</v>
      </c>
      <c r="Q1053" s="9" t="s">
        <v>13284</v>
      </c>
      <c r="R1053" s="9" t="s">
        <v>13284</v>
      </c>
      <c r="S1053" s="9" t="s">
        <v>13284</v>
      </c>
      <c r="T1053" s="9" t="str">
        <f ca="1">IFERROR(IF(AND(VLOOKUP(A1053, 'Актуальное состояние (из общего'!A:C,3,0) = "", A1053 &lt;&gt; ""), "ПРОВЕРИТЬ", VLOOKUP(A1053, 'Актуальное состояние (из общего'!A:C,3,0)), "")</f>
        <v>Студент</v>
      </c>
      <c r="U1053" s="9" t="s">
        <v>13284</v>
      </c>
      <c r="V1053" s="9" t="s">
        <v>13284</v>
      </c>
      <c r="W1053" s="12"/>
      <c r="X1053" s="9" t="str">
        <f t="array" ref="X1053">IFERROR(INDEX('Адреса общежитий (скрытый)'!$B$2:$B$9, MATCH(W1053, 'Адреса общежитий (скрытый)'!$A$2:$A$9, 0)), "")</f>
        <v/>
      </c>
      <c r="Y1053" s="18"/>
      <c r="Z1053" s="18"/>
      <c r="AA1053" s="18"/>
      <c r="AB1053" s="18"/>
      <c r="AC1053" s="18"/>
    </row>
    <row r="1054" spans="1:29" ht="32.25" customHeight="1">
      <c r="A1054" s="8">
        <v>2307189</v>
      </c>
      <c r="B1054" s="9" t="s">
        <v>13284</v>
      </c>
      <c r="C1054" s="9" t="s">
        <v>13284</v>
      </c>
      <c r="D1054" s="9" t="s">
        <v>13284</v>
      </c>
      <c r="E1054" s="9" t="s">
        <v>13284</v>
      </c>
      <c r="F1054" s="9" t="s">
        <v>13284</v>
      </c>
      <c r="G1054" s="9" t="s">
        <v>13284</v>
      </c>
      <c r="H1054" s="9" t="s">
        <v>13284</v>
      </c>
      <c r="I1054" s="9" t="s">
        <v>13284</v>
      </c>
      <c r="J1054" s="9" t="s">
        <v>13284</v>
      </c>
      <c r="K1054" s="9" t="s">
        <v>13284</v>
      </c>
      <c r="L1054" s="9" t="s">
        <v>13284</v>
      </c>
      <c r="M1054" s="9" t="s">
        <v>13284</v>
      </c>
      <c r="N1054" s="9" t="s">
        <v>13284</v>
      </c>
      <c r="O1054" s="9" t="s">
        <v>13284</v>
      </c>
      <c r="P1054" s="9" t="s">
        <v>13284</v>
      </c>
      <c r="Q1054" s="9" t="s">
        <v>13284</v>
      </c>
      <c r="R1054" s="9" t="s">
        <v>13284</v>
      </c>
      <c r="S1054" s="9" t="s">
        <v>13284</v>
      </c>
      <c r="T1054" s="9" t="str">
        <f ca="1">IFERROR(IF(AND(VLOOKUP(A1054, 'Актуальное состояние (из общего'!A:C,3,0) = "", A1054 &lt;&gt; ""), "ПРОВЕРИТЬ", VLOOKUP(A1054, 'Актуальное состояние (из общего'!A:C,3,0)), "")</f>
        <v>Студент</v>
      </c>
      <c r="U1054" s="9" t="s">
        <v>13284</v>
      </c>
      <c r="V1054" s="9" t="s">
        <v>13284</v>
      </c>
      <c r="W1054" s="12"/>
      <c r="X1054" s="9" t="str">
        <f t="array" ref="X1054">IFERROR(INDEX('Адреса общежитий (скрытый)'!$B$2:$B$9, MATCH(W1054, 'Адреса общежитий (скрытый)'!$A$2:$A$9, 0)), "")</f>
        <v/>
      </c>
      <c r="Y1054" s="18"/>
      <c r="Z1054" s="18"/>
      <c r="AA1054" s="18"/>
      <c r="AB1054" s="18"/>
      <c r="AC1054" s="18"/>
    </row>
    <row r="1055" spans="1:29" ht="32.25" customHeight="1">
      <c r="A1055" s="8">
        <v>2304542</v>
      </c>
      <c r="B1055" s="9" t="s">
        <v>13284</v>
      </c>
      <c r="C1055" s="9" t="s">
        <v>13284</v>
      </c>
      <c r="D1055" s="9" t="s">
        <v>13284</v>
      </c>
      <c r="E1055" s="9" t="s">
        <v>13284</v>
      </c>
      <c r="F1055" s="9" t="s">
        <v>13284</v>
      </c>
      <c r="G1055" s="9" t="s">
        <v>13284</v>
      </c>
      <c r="H1055" s="9" t="s">
        <v>13284</v>
      </c>
      <c r="I1055" s="9" t="s">
        <v>13284</v>
      </c>
      <c r="J1055" s="9" t="s">
        <v>13284</v>
      </c>
      <c r="K1055" s="9" t="s">
        <v>13284</v>
      </c>
      <c r="L1055" s="9" t="s">
        <v>13284</v>
      </c>
      <c r="M1055" s="9" t="s">
        <v>13284</v>
      </c>
      <c r="N1055" s="9" t="s">
        <v>13284</v>
      </c>
      <c r="O1055" s="9" t="s">
        <v>13284</v>
      </c>
      <c r="P1055" s="9" t="s">
        <v>13284</v>
      </c>
      <c r="Q1055" s="9" t="s">
        <v>13284</v>
      </c>
      <c r="R1055" s="9" t="s">
        <v>13284</v>
      </c>
      <c r="S1055" s="9" t="s">
        <v>13284</v>
      </c>
      <c r="T1055" s="9" t="str">
        <f ca="1">IFERROR(IF(AND(VLOOKUP(A1055, 'Актуальное состояние (из общего'!A:C,3,0) = "", A1055 &lt;&gt; ""), "ПРОВЕРИТЬ", VLOOKUP(A1055, 'Актуальное состояние (из общего'!A:C,3,0)), "")</f>
        <v>Студент</v>
      </c>
      <c r="U1055" s="9" t="s">
        <v>13284</v>
      </c>
      <c r="V1055" s="9" t="s">
        <v>13284</v>
      </c>
      <c r="W1055" s="12"/>
      <c r="X1055" s="9" t="str">
        <f t="array" ref="X1055">IFERROR(INDEX('Адреса общежитий (скрытый)'!$B$2:$B$9, MATCH(W1055, 'Адреса общежитий (скрытый)'!$A$2:$A$9, 0)), "")</f>
        <v/>
      </c>
      <c r="Y1055" s="18"/>
      <c r="Z1055" s="18"/>
      <c r="AA1055" s="18"/>
      <c r="AB1055" s="18"/>
      <c r="AC1055" s="18"/>
    </row>
    <row r="1056" spans="1:29" ht="32.25" customHeight="1">
      <c r="A1056" s="8">
        <v>2301831</v>
      </c>
      <c r="B1056" s="9" t="s">
        <v>13284</v>
      </c>
      <c r="C1056" s="9" t="s">
        <v>13284</v>
      </c>
      <c r="D1056" s="9" t="s">
        <v>13284</v>
      </c>
      <c r="E1056" s="9" t="s">
        <v>13284</v>
      </c>
      <c r="F1056" s="9" t="s">
        <v>13284</v>
      </c>
      <c r="G1056" s="9" t="s">
        <v>13284</v>
      </c>
      <c r="H1056" s="9" t="s">
        <v>13284</v>
      </c>
      <c r="I1056" s="9" t="s">
        <v>13284</v>
      </c>
      <c r="J1056" s="9" t="s">
        <v>13284</v>
      </c>
      <c r="K1056" s="9" t="s">
        <v>13284</v>
      </c>
      <c r="L1056" s="9" t="s">
        <v>13284</v>
      </c>
      <c r="M1056" s="9" t="s">
        <v>13284</v>
      </c>
      <c r="N1056" s="9" t="s">
        <v>13284</v>
      </c>
      <c r="O1056" s="9" t="s">
        <v>13284</v>
      </c>
      <c r="P1056" s="9" t="s">
        <v>13284</v>
      </c>
      <c r="Q1056" s="9" t="s">
        <v>13284</v>
      </c>
      <c r="R1056" s="9" t="s">
        <v>13284</v>
      </c>
      <c r="S1056" s="9" t="s">
        <v>13284</v>
      </c>
      <c r="T1056" s="9" t="str">
        <f ca="1">IFERROR(IF(AND(VLOOKUP(A1056, 'Актуальное состояние (из общего'!A:C,3,0) = "", A1056 &lt;&gt; ""), "ПРОВЕРИТЬ", VLOOKUP(A1056, 'Актуальное состояние (из общего'!A:C,3,0)), "")</f>
        <v>Студент</v>
      </c>
      <c r="U1056" s="9" t="s">
        <v>13284</v>
      </c>
      <c r="V1056" s="9" t="s">
        <v>13284</v>
      </c>
      <c r="W1056" s="12"/>
      <c r="X1056" s="9" t="str">
        <f t="array" ref="X1056">IFERROR(INDEX('Адреса общежитий (скрытый)'!$B$2:$B$9, MATCH(W1056, 'Адреса общежитий (скрытый)'!$A$2:$A$9, 0)), "")</f>
        <v/>
      </c>
      <c r="Y1056" s="18"/>
      <c r="Z1056" s="18"/>
      <c r="AA1056" s="18"/>
      <c r="AB1056" s="18"/>
      <c r="AC1056" s="18"/>
    </row>
    <row r="1057" spans="1:29" ht="32.25" hidden="1" customHeight="1">
      <c r="A1057" s="8">
        <v>2311203</v>
      </c>
      <c r="B1057" s="9" t="s">
        <v>13284</v>
      </c>
      <c r="C1057" s="9" t="s">
        <v>13284</v>
      </c>
      <c r="D1057" s="9" t="s">
        <v>13284</v>
      </c>
      <c r="E1057" s="9" t="s">
        <v>13284</v>
      </c>
      <c r="F1057" s="9" t="s">
        <v>13284</v>
      </c>
      <c r="G1057" s="9" t="s">
        <v>13284</v>
      </c>
      <c r="H1057" s="9" t="s">
        <v>13284</v>
      </c>
      <c r="I1057" s="9" t="s">
        <v>13284</v>
      </c>
      <c r="J1057" s="9" t="s">
        <v>13284</v>
      </c>
      <c r="K1057" s="9" t="s">
        <v>13284</v>
      </c>
      <c r="L1057" s="9" t="s">
        <v>13284</v>
      </c>
      <c r="M1057" s="9" t="s">
        <v>13284</v>
      </c>
      <c r="N1057" s="9" t="s">
        <v>13284</v>
      </c>
      <c r="O1057" s="9" t="s">
        <v>13284</v>
      </c>
      <c r="P1057" s="9" t="s">
        <v>13284</v>
      </c>
      <c r="Q1057" s="9" t="s">
        <v>13284</v>
      </c>
      <c r="R1057" s="9" t="s">
        <v>13284</v>
      </c>
      <c r="S1057" s="9" t="s">
        <v>13284</v>
      </c>
      <c r="T1057" s="9" t="str">
        <f ca="1">IFERROR(IF(AND(VLOOKUP(A1057, 'Актуальное состояние (из общего'!A:C,3,0) = "", A1057 &lt;&gt; ""), "ПРОВЕРИТЬ", VLOOKUP(A1057, 'Актуальное состояние (из общего'!A:C,3,0)), "")</f>
        <v>Студент</v>
      </c>
      <c r="U1057" s="9" t="s">
        <v>13284</v>
      </c>
      <c r="V1057" s="9" t="s">
        <v>13284</v>
      </c>
      <c r="W1057" s="12"/>
      <c r="X1057" s="9" t="str">
        <f t="array" ref="X1057">IFERROR(INDEX('Адреса общежитий (скрытый)'!$B$2:$B$9, MATCH(W1057, 'Адреса общежитий (скрытый)'!$A$2:$A$9, 0)), "")</f>
        <v/>
      </c>
      <c r="Y1057" s="18"/>
      <c r="Z1057" s="18"/>
      <c r="AA1057" s="18"/>
      <c r="AB1057" s="18"/>
      <c r="AC1057" s="18"/>
    </row>
    <row r="1058" spans="1:29" ht="32.25" customHeight="1">
      <c r="A1058" s="8">
        <v>2309999</v>
      </c>
      <c r="B1058" s="9" t="s">
        <v>13284</v>
      </c>
      <c r="C1058" s="9" t="s">
        <v>13284</v>
      </c>
      <c r="D1058" s="9" t="s">
        <v>13284</v>
      </c>
      <c r="E1058" s="9" t="s">
        <v>13284</v>
      </c>
      <c r="F1058" s="9" t="s">
        <v>13284</v>
      </c>
      <c r="G1058" s="9" t="s">
        <v>13284</v>
      </c>
      <c r="H1058" s="9" t="s">
        <v>13284</v>
      </c>
      <c r="I1058" s="9" t="s">
        <v>13284</v>
      </c>
      <c r="J1058" s="9" t="s">
        <v>13284</v>
      </c>
      <c r="K1058" s="9" t="s">
        <v>13284</v>
      </c>
      <c r="L1058" s="9" t="s">
        <v>13284</v>
      </c>
      <c r="M1058" s="9" t="s">
        <v>13284</v>
      </c>
      <c r="N1058" s="9" t="s">
        <v>13284</v>
      </c>
      <c r="O1058" s="9" t="s">
        <v>13284</v>
      </c>
      <c r="P1058" s="9" t="s">
        <v>13284</v>
      </c>
      <c r="Q1058" s="9" t="s">
        <v>13284</v>
      </c>
      <c r="R1058" s="9" t="s">
        <v>13284</v>
      </c>
      <c r="S1058" s="9" t="s">
        <v>13284</v>
      </c>
      <c r="T1058" s="9" t="str">
        <f ca="1">IFERROR(IF(AND(VLOOKUP(A1058, 'Актуальное состояние (из общего'!A:C,3,0) = "", A1058 &lt;&gt; ""), "ПРОВЕРИТЬ", VLOOKUP(A1058, 'Актуальное состояние (из общего'!A:C,3,0)), "")</f>
        <v>Студент</v>
      </c>
      <c r="U1058" s="9" t="s">
        <v>13284</v>
      </c>
      <c r="V1058" s="9" t="s">
        <v>13284</v>
      </c>
      <c r="W1058" s="9" t="s">
        <v>319</v>
      </c>
      <c r="X1058" s="9" t="str">
        <f t="array" ref="X1058">IFERROR(INDEX('Адреса общежитий (скрытый)'!$B$2:$B$9, MATCH(W1058, 'Адреса общежитий (скрытый)'!$A$2:$A$9, 0)), "")</f>
        <v>ул. Профсоюзная, д.83, корп. 2</v>
      </c>
      <c r="Y1058" s="18"/>
      <c r="Z1058" s="18"/>
      <c r="AA1058" s="18"/>
      <c r="AB1058" s="18"/>
      <c r="AC1058" s="18"/>
    </row>
    <row r="1059" spans="1:29" ht="32.25" customHeight="1">
      <c r="A1059" s="8">
        <v>2303118</v>
      </c>
      <c r="B1059" s="9" t="s">
        <v>13284</v>
      </c>
      <c r="C1059" s="9" t="s">
        <v>13284</v>
      </c>
      <c r="D1059" s="9" t="s">
        <v>13284</v>
      </c>
      <c r="E1059" s="9" t="s">
        <v>13284</v>
      </c>
      <c r="F1059" s="9" t="s">
        <v>13284</v>
      </c>
      <c r="G1059" s="9" t="s">
        <v>13284</v>
      </c>
      <c r="H1059" s="9" t="s">
        <v>13284</v>
      </c>
      <c r="I1059" s="9" t="s">
        <v>13284</v>
      </c>
      <c r="J1059" s="9" t="s">
        <v>13284</v>
      </c>
      <c r="K1059" s="9" t="s">
        <v>13284</v>
      </c>
      <c r="L1059" s="9" t="s">
        <v>13284</v>
      </c>
      <c r="M1059" s="9" t="s">
        <v>13284</v>
      </c>
      <c r="N1059" s="9" t="s">
        <v>13284</v>
      </c>
      <c r="O1059" s="9" t="s">
        <v>13284</v>
      </c>
      <c r="P1059" s="9" t="s">
        <v>13284</v>
      </c>
      <c r="Q1059" s="9" t="s">
        <v>13284</v>
      </c>
      <c r="R1059" s="9" t="s">
        <v>13284</v>
      </c>
      <c r="S1059" s="9" t="s">
        <v>13284</v>
      </c>
      <c r="T1059" s="9" t="str">
        <f ca="1">IFERROR(IF(AND(VLOOKUP(A1059, 'Актуальное состояние (из общего'!A:C,3,0) = "", A1059 &lt;&gt; ""), "ПРОВЕРИТЬ", VLOOKUP(A1059, 'Актуальное состояние (из общего'!A:C,3,0)), "")</f>
        <v>Студент</v>
      </c>
      <c r="U1059" s="9" t="s">
        <v>13284</v>
      </c>
      <c r="V1059" s="9" t="s">
        <v>13284</v>
      </c>
      <c r="W1059" s="12"/>
      <c r="X1059" s="9" t="str">
        <f t="array" ref="X1059">IFERROR(INDEX('Адреса общежитий (скрытый)'!$B$2:$B$9, MATCH(W1059, 'Адреса общежитий (скрытый)'!$A$2:$A$9, 0)), "")</f>
        <v/>
      </c>
      <c r="Y1059" s="18"/>
      <c r="Z1059" s="18"/>
      <c r="AA1059" s="18"/>
      <c r="AB1059" s="18"/>
      <c r="AC1059" s="18"/>
    </row>
    <row r="1060" spans="1:29" ht="32.25" hidden="1" customHeight="1">
      <c r="A1060" s="8">
        <v>2305974</v>
      </c>
      <c r="B1060" s="9" t="s">
        <v>13284</v>
      </c>
      <c r="C1060" s="9" t="s">
        <v>13284</v>
      </c>
      <c r="D1060" s="9" t="s">
        <v>13284</v>
      </c>
      <c r="E1060" s="9" t="s">
        <v>13284</v>
      </c>
      <c r="F1060" s="9" t="s">
        <v>13284</v>
      </c>
      <c r="G1060" s="9" t="s">
        <v>13284</v>
      </c>
      <c r="H1060" s="9" t="s">
        <v>13284</v>
      </c>
      <c r="I1060" s="9" t="s">
        <v>13284</v>
      </c>
      <c r="J1060" s="9" t="s">
        <v>13284</v>
      </c>
      <c r="K1060" s="9" t="s">
        <v>13284</v>
      </c>
      <c r="L1060" s="9" t="s">
        <v>13284</v>
      </c>
      <c r="M1060" s="9" t="s">
        <v>13284</v>
      </c>
      <c r="N1060" s="9" t="s">
        <v>13284</v>
      </c>
      <c r="O1060" s="9" t="s">
        <v>13284</v>
      </c>
      <c r="P1060" s="9" t="s">
        <v>13284</v>
      </c>
      <c r="Q1060" s="9" t="s">
        <v>13284</v>
      </c>
      <c r="R1060" s="9" t="s">
        <v>13284</v>
      </c>
      <c r="S1060" s="9" t="s">
        <v>13284</v>
      </c>
      <c r="T1060" s="9" t="str">
        <f ca="1">IFERROR(IF(AND(VLOOKUP(A1060, 'Актуальное состояние (из общего'!A:C,3,0) = "", A1060 &lt;&gt; ""), "ПРОВЕРИТЬ", VLOOKUP(A1060, 'Актуальное состояние (из общего'!A:C,3,0)), "")</f>
        <v>Студент</v>
      </c>
      <c r="U1060" s="9" t="s">
        <v>13284</v>
      </c>
      <c r="V1060" s="9" t="s">
        <v>13284</v>
      </c>
      <c r="W1060" s="12"/>
      <c r="X1060" s="9" t="str">
        <f t="array" ref="X1060">IFERROR(INDEX('Адреса общежитий (скрытый)'!$B$2:$B$9, MATCH(W1060, 'Адреса общежитий (скрытый)'!$A$2:$A$9, 0)), "")</f>
        <v/>
      </c>
      <c r="Y1060" s="18"/>
      <c r="Z1060" s="18"/>
      <c r="AA1060" s="18"/>
      <c r="AB1060" s="18"/>
      <c r="AC1060" s="18"/>
    </row>
    <row r="1061" spans="1:29" ht="32.25" hidden="1" customHeight="1">
      <c r="A1061" s="8">
        <v>2304258</v>
      </c>
      <c r="B1061" s="9" t="s">
        <v>13284</v>
      </c>
      <c r="C1061" s="9" t="s">
        <v>13284</v>
      </c>
      <c r="D1061" s="9" t="s">
        <v>13284</v>
      </c>
      <c r="E1061" s="9" t="s">
        <v>13284</v>
      </c>
      <c r="F1061" s="9" t="s">
        <v>13284</v>
      </c>
      <c r="G1061" s="9" t="s">
        <v>13284</v>
      </c>
      <c r="H1061" s="9" t="s">
        <v>13284</v>
      </c>
      <c r="I1061" s="9" t="s">
        <v>13284</v>
      </c>
      <c r="J1061" s="9" t="s">
        <v>13284</v>
      </c>
      <c r="K1061" s="9" t="s">
        <v>13284</v>
      </c>
      <c r="L1061" s="9" t="s">
        <v>13284</v>
      </c>
      <c r="M1061" s="9" t="s">
        <v>13284</v>
      </c>
      <c r="N1061" s="9" t="s">
        <v>13284</v>
      </c>
      <c r="O1061" s="9" t="s">
        <v>13284</v>
      </c>
      <c r="P1061" s="9" t="s">
        <v>13284</v>
      </c>
      <c r="Q1061" s="9" t="s">
        <v>13284</v>
      </c>
      <c r="R1061" s="9" t="s">
        <v>13284</v>
      </c>
      <c r="S1061" s="9" t="s">
        <v>13284</v>
      </c>
      <c r="T1061" s="9" t="str">
        <f ca="1">IFERROR(IF(AND(VLOOKUP(A1061, 'Актуальное состояние (из общего'!A:C,3,0) = "", A1061 &lt;&gt; ""), "ПРОВЕРИТЬ", VLOOKUP(A1061, 'Актуальное состояние (из общего'!A:C,3,0)), "")</f>
        <v>Студент</v>
      </c>
      <c r="U1061" s="9" t="s">
        <v>13284</v>
      </c>
      <c r="V1061" s="9" t="s">
        <v>13284</v>
      </c>
      <c r="W1061" s="12"/>
      <c r="X1061" s="9" t="str">
        <f t="array" ref="X1061">IFERROR(INDEX('Адреса общежитий (скрытый)'!$B$2:$B$9, MATCH(W1061, 'Адреса общежитий (скрытый)'!$A$2:$A$9, 0)), "")</f>
        <v/>
      </c>
      <c r="Y1061" s="18"/>
      <c r="Z1061" s="18"/>
      <c r="AA1061" s="18"/>
      <c r="AB1061" s="18"/>
      <c r="AC1061" s="18"/>
    </row>
    <row r="1062" spans="1:29" ht="32.25" customHeight="1">
      <c r="A1062" s="8">
        <v>2306696</v>
      </c>
      <c r="B1062" s="9" t="s">
        <v>13284</v>
      </c>
      <c r="C1062" s="9" t="s">
        <v>13284</v>
      </c>
      <c r="D1062" s="9" t="s">
        <v>13284</v>
      </c>
      <c r="E1062" s="9" t="s">
        <v>13284</v>
      </c>
      <c r="F1062" s="9" t="s">
        <v>13284</v>
      </c>
      <c r="G1062" s="9" t="s">
        <v>13284</v>
      </c>
      <c r="H1062" s="9" t="s">
        <v>13284</v>
      </c>
      <c r="I1062" s="9" t="s">
        <v>13284</v>
      </c>
      <c r="J1062" s="9" t="s">
        <v>13284</v>
      </c>
      <c r="K1062" s="9" t="s">
        <v>13284</v>
      </c>
      <c r="L1062" s="9" t="s">
        <v>13284</v>
      </c>
      <c r="M1062" s="9" t="s">
        <v>13284</v>
      </c>
      <c r="N1062" s="9" t="s">
        <v>13284</v>
      </c>
      <c r="O1062" s="9" t="s">
        <v>13284</v>
      </c>
      <c r="P1062" s="9" t="s">
        <v>13284</v>
      </c>
      <c r="Q1062" s="9" t="s">
        <v>13284</v>
      </c>
      <c r="R1062" s="9" t="s">
        <v>13284</v>
      </c>
      <c r="S1062" s="9" t="s">
        <v>13284</v>
      </c>
      <c r="T1062" s="9" t="str">
        <f ca="1">IFERROR(IF(AND(VLOOKUP(A1062, 'Актуальное состояние (из общего'!A:C,3,0) = "", A1062 &lt;&gt; ""), "ПРОВЕРИТЬ", VLOOKUP(A1062, 'Актуальное состояние (из общего'!A:C,3,0)), "")</f>
        <v>Студент</v>
      </c>
      <c r="U1062" s="9" t="s">
        <v>13284</v>
      </c>
      <c r="V1062" s="9" t="s">
        <v>13284</v>
      </c>
      <c r="W1062" s="12"/>
      <c r="X1062" s="9" t="str">
        <f t="array" ref="X1062">IFERROR(INDEX('Адреса общежитий (скрытый)'!$B$2:$B$9, MATCH(W1062, 'Адреса общежитий (скрытый)'!$A$2:$A$9, 0)), "")</f>
        <v/>
      </c>
      <c r="Y1062" s="18"/>
      <c r="Z1062" s="18"/>
      <c r="AA1062" s="18"/>
      <c r="AB1062" s="18"/>
      <c r="AC1062" s="18"/>
    </row>
    <row r="1063" spans="1:29" ht="32.25" hidden="1" customHeight="1">
      <c r="A1063" s="8">
        <v>2311319</v>
      </c>
      <c r="B1063" s="9" t="s">
        <v>13284</v>
      </c>
      <c r="C1063" s="9" t="s">
        <v>13284</v>
      </c>
      <c r="D1063" s="9" t="s">
        <v>13284</v>
      </c>
      <c r="E1063" s="9" t="s">
        <v>13284</v>
      </c>
      <c r="F1063" s="9" t="s">
        <v>13284</v>
      </c>
      <c r="G1063" s="9" t="s">
        <v>13284</v>
      </c>
      <c r="H1063" s="9" t="s">
        <v>13284</v>
      </c>
      <c r="I1063" s="9" t="s">
        <v>13284</v>
      </c>
      <c r="J1063" s="9" t="s">
        <v>13284</v>
      </c>
      <c r="K1063" s="9" t="s">
        <v>13284</v>
      </c>
      <c r="L1063" s="9" t="s">
        <v>13284</v>
      </c>
      <c r="M1063" s="9" t="s">
        <v>13284</v>
      </c>
      <c r="N1063" s="9" t="s">
        <v>13284</v>
      </c>
      <c r="O1063" s="9" t="s">
        <v>13284</v>
      </c>
      <c r="P1063" s="9" t="s">
        <v>13284</v>
      </c>
      <c r="Q1063" s="9" t="s">
        <v>13284</v>
      </c>
      <c r="R1063" s="9" t="s">
        <v>13284</v>
      </c>
      <c r="S1063" s="9" t="s">
        <v>13284</v>
      </c>
      <c r="T1063" s="9" t="str">
        <f ca="1">IFERROR(IF(AND(VLOOKUP(A1063, 'Актуальное состояние (из общего'!A:C,3,0) = "", A1063 &lt;&gt; ""), "ПРОВЕРИТЬ", VLOOKUP(A1063, 'Актуальное состояние (из общего'!A:C,3,0)), "")</f>
        <v>Студент</v>
      </c>
      <c r="U1063" s="9" t="s">
        <v>13284</v>
      </c>
      <c r="V1063" s="9" t="s">
        <v>13284</v>
      </c>
      <c r="W1063" s="12"/>
      <c r="X1063" s="9" t="str">
        <f t="array" ref="X1063">IFERROR(INDEX('Адреса общежитий (скрытый)'!$B$2:$B$9, MATCH(W1063, 'Адреса общежитий (скрытый)'!$A$2:$A$9, 0)), "")</f>
        <v/>
      </c>
      <c r="Y1063" s="18"/>
      <c r="Z1063" s="18"/>
      <c r="AA1063" s="18"/>
      <c r="AB1063" s="18"/>
      <c r="AC1063" s="18"/>
    </row>
    <row r="1064" spans="1:29" ht="32.25" hidden="1" customHeight="1">
      <c r="A1064" s="8">
        <v>2300770</v>
      </c>
      <c r="B1064" s="9" t="s">
        <v>13284</v>
      </c>
      <c r="C1064" s="9" t="s">
        <v>13284</v>
      </c>
      <c r="D1064" s="9" t="s">
        <v>13284</v>
      </c>
      <c r="E1064" s="9" t="s">
        <v>13284</v>
      </c>
      <c r="F1064" s="9" t="s">
        <v>13284</v>
      </c>
      <c r="G1064" s="9" t="s">
        <v>13284</v>
      </c>
      <c r="H1064" s="9" t="s">
        <v>13284</v>
      </c>
      <c r="I1064" s="9" t="s">
        <v>13284</v>
      </c>
      <c r="J1064" s="9" t="s">
        <v>13284</v>
      </c>
      <c r="K1064" s="9" t="s">
        <v>13284</v>
      </c>
      <c r="L1064" s="9" t="s">
        <v>13284</v>
      </c>
      <c r="M1064" s="9" t="s">
        <v>13284</v>
      </c>
      <c r="N1064" s="9" t="s">
        <v>13284</v>
      </c>
      <c r="O1064" s="9" t="s">
        <v>13284</v>
      </c>
      <c r="P1064" s="9" t="s">
        <v>13284</v>
      </c>
      <c r="Q1064" s="9" t="s">
        <v>13284</v>
      </c>
      <c r="R1064" s="9" t="s">
        <v>13284</v>
      </c>
      <c r="S1064" s="9" t="s">
        <v>13284</v>
      </c>
      <c r="T1064" s="9" t="str">
        <f ca="1">IFERROR(IF(AND(VLOOKUP(A1064, 'Актуальное состояние (из общего'!A:C,3,0) = "", A1064 &lt;&gt; ""), "ПРОВЕРИТЬ", VLOOKUP(A1064, 'Актуальное состояние (из общего'!A:C,3,0)), "")</f>
        <v>Студент</v>
      </c>
      <c r="U1064" s="9" t="s">
        <v>13284</v>
      </c>
      <c r="V1064" s="9" t="s">
        <v>13284</v>
      </c>
      <c r="W1064" s="12"/>
      <c r="X1064" s="9" t="str">
        <f t="array" ref="X1064">IFERROR(INDEX('Адреса общежитий (скрытый)'!$B$2:$B$9, MATCH(W1064, 'Адреса общежитий (скрытый)'!$A$2:$A$9, 0)), "")</f>
        <v/>
      </c>
      <c r="Y1064" s="18"/>
      <c r="Z1064" s="18"/>
      <c r="AA1064" s="18"/>
      <c r="AB1064" s="18"/>
      <c r="AC1064" s="18"/>
    </row>
    <row r="1065" spans="1:29" ht="32.25" hidden="1" customHeight="1">
      <c r="A1065" s="8">
        <v>2304602</v>
      </c>
      <c r="B1065" s="9" t="s">
        <v>13284</v>
      </c>
      <c r="C1065" s="9" t="s">
        <v>13284</v>
      </c>
      <c r="D1065" s="9" t="s">
        <v>13284</v>
      </c>
      <c r="E1065" s="9" t="s">
        <v>13284</v>
      </c>
      <c r="F1065" s="9" t="s">
        <v>13284</v>
      </c>
      <c r="G1065" s="9" t="s">
        <v>13284</v>
      </c>
      <c r="H1065" s="9" t="s">
        <v>13284</v>
      </c>
      <c r="I1065" s="9" t="s">
        <v>13284</v>
      </c>
      <c r="J1065" s="9" t="s">
        <v>13284</v>
      </c>
      <c r="K1065" s="9" t="s">
        <v>13284</v>
      </c>
      <c r="L1065" s="9" t="s">
        <v>13284</v>
      </c>
      <c r="M1065" s="9" t="s">
        <v>13284</v>
      </c>
      <c r="N1065" s="9" t="s">
        <v>13284</v>
      </c>
      <c r="O1065" s="9" t="s">
        <v>13284</v>
      </c>
      <c r="P1065" s="9" t="s">
        <v>13284</v>
      </c>
      <c r="Q1065" s="9" t="s">
        <v>13284</v>
      </c>
      <c r="R1065" s="9" t="s">
        <v>13284</v>
      </c>
      <c r="S1065" s="9" t="s">
        <v>13284</v>
      </c>
      <c r="T1065" s="9" t="str">
        <f ca="1">IFERROR(IF(AND(VLOOKUP(A1065, 'Актуальное состояние (из общего'!A:C,3,0) = "", A1065 &lt;&gt; ""), "ПРОВЕРИТЬ", VLOOKUP(A1065, 'Актуальное состояние (из общего'!A:C,3,0)), "")</f>
        <v>Студент</v>
      </c>
      <c r="U1065" s="9" t="s">
        <v>13284</v>
      </c>
      <c r="V1065" s="9" t="s">
        <v>13284</v>
      </c>
      <c r="W1065" s="12"/>
      <c r="X1065" s="9" t="str">
        <f t="array" ref="X1065">IFERROR(INDEX('Адреса общежитий (скрытый)'!$B$2:$B$9, MATCH(W1065, 'Адреса общежитий (скрытый)'!$A$2:$A$9, 0)), "")</f>
        <v/>
      </c>
      <c r="Y1065" s="18"/>
      <c r="Z1065" s="18"/>
      <c r="AA1065" s="18"/>
      <c r="AB1065" s="18"/>
      <c r="AC1065" s="18"/>
    </row>
    <row r="1066" spans="1:29" ht="32.25" customHeight="1">
      <c r="A1066" s="8">
        <v>2302752</v>
      </c>
      <c r="B1066" s="9" t="s">
        <v>13284</v>
      </c>
      <c r="C1066" s="9" t="s">
        <v>13284</v>
      </c>
      <c r="D1066" s="9" t="s">
        <v>13284</v>
      </c>
      <c r="E1066" s="9" t="s">
        <v>13284</v>
      </c>
      <c r="F1066" s="9" t="s">
        <v>13284</v>
      </c>
      <c r="G1066" s="9" t="s">
        <v>13284</v>
      </c>
      <c r="H1066" s="9" t="s">
        <v>13284</v>
      </c>
      <c r="I1066" s="9" t="s">
        <v>13284</v>
      </c>
      <c r="J1066" s="9" t="s">
        <v>13284</v>
      </c>
      <c r="K1066" s="9" t="s">
        <v>13284</v>
      </c>
      <c r="L1066" s="9" t="s">
        <v>13284</v>
      </c>
      <c r="M1066" s="9" t="s">
        <v>13284</v>
      </c>
      <c r="N1066" s="9" t="s">
        <v>13284</v>
      </c>
      <c r="O1066" s="9" t="s">
        <v>13284</v>
      </c>
      <c r="P1066" s="9" t="s">
        <v>13284</v>
      </c>
      <c r="Q1066" s="9" t="s">
        <v>13284</v>
      </c>
      <c r="R1066" s="9" t="s">
        <v>13284</v>
      </c>
      <c r="S1066" s="9" t="s">
        <v>13284</v>
      </c>
      <c r="T1066" s="9" t="str">
        <f ca="1">IFERROR(IF(AND(VLOOKUP(A1066, 'Актуальное состояние (из общего'!A:C,3,0) = "", A1066 &lt;&gt; ""), "ПРОВЕРИТЬ", VLOOKUP(A1066, 'Актуальное состояние (из общего'!A:C,3,0)), "")</f>
        <v>Студент</v>
      </c>
      <c r="U1066" s="9" t="s">
        <v>13284</v>
      </c>
      <c r="V1066" s="9" t="s">
        <v>13284</v>
      </c>
      <c r="W1066" s="12"/>
      <c r="X1066" s="9" t="str">
        <f t="array" ref="X1066">IFERROR(INDEX('Адреса общежитий (скрытый)'!$B$2:$B$9, MATCH(W1066, 'Адреса общежитий (скрытый)'!$A$2:$A$9, 0)), "")</f>
        <v/>
      </c>
      <c r="Y1066" s="18"/>
      <c r="Z1066" s="18"/>
      <c r="AA1066" s="18"/>
      <c r="AB1066" s="18"/>
      <c r="AC1066" s="18"/>
    </row>
    <row r="1067" spans="1:29" ht="32.25" hidden="1" customHeight="1">
      <c r="A1067" s="8">
        <v>2310477</v>
      </c>
      <c r="B1067" s="9" t="s">
        <v>13284</v>
      </c>
      <c r="C1067" s="9" t="s">
        <v>13284</v>
      </c>
      <c r="D1067" s="9" t="s">
        <v>13284</v>
      </c>
      <c r="E1067" s="9" t="s">
        <v>13284</v>
      </c>
      <c r="F1067" s="9" t="s">
        <v>13284</v>
      </c>
      <c r="G1067" s="9" t="s">
        <v>13284</v>
      </c>
      <c r="H1067" s="9" t="s">
        <v>13284</v>
      </c>
      <c r="I1067" s="9" t="s">
        <v>13284</v>
      </c>
      <c r="J1067" s="9" t="s">
        <v>13284</v>
      </c>
      <c r="K1067" s="9" t="s">
        <v>13284</v>
      </c>
      <c r="L1067" s="9" t="s">
        <v>13284</v>
      </c>
      <c r="M1067" s="9" t="s">
        <v>13284</v>
      </c>
      <c r="N1067" s="9" t="s">
        <v>13284</v>
      </c>
      <c r="O1067" s="9" t="s">
        <v>13284</v>
      </c>
      <c r="P1067" s="9" t="s">
        <v>13284</v>
      </c>
      <c r="Q1067" s="9" t="s">
        <v>13284</v>
      </c>
      <c r="R1067" s="9" t="s">
        <v>13284</v>
      </c>
      <c r="S1067" s="9" t="s">
        <v>13284</v>
      </c>
      <c r="T1067" s="9" t="str">
        <f ca="1">IFERROR(IF(AND(VLOOKUP(A1067, 'Актуальное состояние (из общего'!A:C,3,0) = "", A1067 &lt;&gt; ""), "ПРОВЕРИТЬ", VLOOKUP(A1067, 'Актуальное состояние (из общего'!A:C,3,0)), "")</f>
        <v>Студент</v>
      </c>
      <c r="U1067" s="9" t="s">
        <v>13284</v>
      </c>
      <c r="V1067" s="9" t="s">
        <v>13284</v>
      </c>
      <c r="W1067" s="12"/>
      <c r="X1067" s="9" t="str">
        <f t="array" ref="X1067">IFERROR(INDEX('Адреса общежитий (скрытый)'!$B$2:$B$9, MATCH(W1067, 'Адреса общежитий (скрытый)'!$A$2:$A$9, 0)), "")</f>
        <v/>
      </c>
      <c r="Y1067" s="18"/>
      <c r="Z1067" s="18"/>
      <c r="AA1067" s="18"/>
      <c r="AB1067" s="18"/>
      <c r="AC1067" s="18"/>
    </row>
    <row r="1068" spans="1:29" ht="32.25" customHeight="1">
      <c r="A1068" s="8">
        <v>2306350</v>
      </c>
      <c r="B1068" s="9" t="s">
        <v>13284</v>
      </c>
      <c r="C1068" s="9" t="s">
        <v>13284</v>
      </c>
      <c r="D1068" s="9" t="s">
        <v>13284</v>
      </c>
      <c r="E1068" s="9" t="s">
        <v>13284</v>
      </c>
      <c r="F1068" s="9" t="s">
        <v>13284</v>
      </c>
      <c r="G1068" s="9" t="s">
        <v>13284</v>
      </c>
      <c r="H1068" s="9" t="s">
        <v>13284</v>
      </c>
      <c r="I1068" s="9" t="s">
        <v>13284</v>
      </c>
      <c r="J1068" s="9" t="s">
        <v>13284</v>
      </c>
      <c r="K1068" s="9" t="s">
        <v>13284</v>
      </c>
      <c r="L1068" s="9" t="s">
        <v>13284</v>
      </c>
      <c r="M1068" s="9" t="s">
        <v>13284</v>
      </c>
      <c r="N1068" s="9" t="s">
        <v>13284</v>
      </c>
      <c r="O1068" s="9" t="s">
        <v>13284</v>
      </c>
      <c r="P1068" s="9" t="s">
        <v>13284</v>
      </c>
      <c r="Q1068" s="9" t="s">
        <v>13284</v>
      </c>
      <c r="R1068" s="9" t="s">
        <v>13284</v>
      </c>
      <c r="S1068" s="9" t="s">
        <v>13284</v>
      </c>
      <c r="T1068" s="9" t="str">
        <f ca="1">IFERROR(IF(AND(VLOOKUP(A1068, 'Актуальное состояние (из общего'!A:C,3,0) = "", A1068 &lt;&gt; ""), "ПРОВЕРИТЬ", VLOOKUP(A1068, 'Актуальное состояние (из общего'!A:C,3,0)), "")</f>
        <v>Студент</v>
      </c>
      <c r="U1068" s="9" t="s">
        <v>13284</v>
      </c>
      <c r="V1068" s="9" t="s">
        <v>13284</v>
      </c>
      <c r="W1068" s="12"/>
      <c r="X1068" s="9" t="str">
        <f t="array" ref="X1068">IFERROR(INDEX('Адреса общежитий (скрытый)'!$B$2:$B$9, MATCH(W1068, 'Адреса общежитий (скрытый)'!$A$2:$A$9, 0)), "")</f>
        <v/>
      </c>
      <c r="Y1068" s="18"/>
      <c r="Z1068" s="18"/>
      <c r="AA1068" s="18"/>
      <c r="AB1068" s="18"/>
      <c r="AC1068" s="18"/>
    </row>
    <row r="1069" spans="1:29" ht="32.25" customHeight="1">
      <c r="A1069" s="8">
        <v>2305541</v>
      </c>
      <c r="B1069" s="9" t="s">
        <v>13284</v>
      </c>
      <c r="C1069" s="9" t="s">
        <v>13284</v>
      </c>
      <c r="D1069" s="9" t="s">
        <v>13284</v>
      </c>
      <c r="E1069" s="9" t="s">
        <v>13284</v>
      </c>
      <c r="F1069" s="9" t="s">
        <v>13284</v>
      </c>
      <c r="G1069" s="9" t="s">
        <v>13284</v>
      </c>
      <c r="H1069" s="9" t="s">
        <v>13284</v>
      </c>
      <c r="I1069" s="9" t="s">
        <v>13284</v>
      </c>
      <c r="J1069" s="9" t="s">
        <v>13284</v>
      </c>
      <c r="K1069" s="9" t="s">
        <v>13284</v>
      </c>
      <c r="L1069" s="9" t="s">
        <v>13284</v>
      </c>
      <c r="M1069" s="9" t="s">
        <v>13284</v>
      </c>
      <c r="N1069" s="9" t="s">
        <v>13284</v>
      </c>
      <c r="O1069" s="9" t="s">
        <v>13284</v>
      </c>
      <c r="P1069" s="9" t="s">
        <v>13284</v>
      </c>
      <c r="Q1069" s="9" t="s">
        <v>13284</v>
      </c>
      <c r="R1069" s="9" t="s">
        <v>13284</v>
      </c>
      <c r="S1069" s="9" t="s">
        <v>13284</v>
      </c>
      <c r="T1069" s="9" t="str">
        <f ca="1">IFERROR(IF(AND(VLOOKUP(A1069, 'Актуальное состояние (из общего'!A:C,3,0) = "", A1069 &lt;&gt; ""), "ПРОВЕРИТЬ", VLOOKUP(A1069, 'Актуальное состояние (из общего'!A:C,3,0)), "")</f>
        <v>Студент</v>
      </c>
      <c r="U1069" s="9" t="s">
        <v>13284</v>
      </c>
      <c r="V1069" s="9" t="s">
        <v>13284</v>
      </c>
      <c r="W1069" s="9" t="s">
        <v>319</v>
      </c>
      <c r="X1069" s="9" t="str">
        <f t="array" ref="X1069">IFERROR(INDEX('Адреса общежитий (скрытый)'!$B$2:$B$9, MATCH(W1069, 'Адреса общежитий (скрытый)'!$A$2:$A$9, 0)), "")</f>
        <v>ул. Профсоюзная, д.83, корп. 2</v>
      </c>
      <c r="Y1069" s="18"/>
      <c r="Z1069" s="18"/>
      <c r="AA1069" s="18"/>
      <c r="AB1069" s="18"/>
      <c r="AC1069" s="18"/>
    </row>
    <row r="1070" spans="1:29" ht="32.25" customHeight="1">
      <c r="A1070" s="8">
        <v>2311969</v>
      </c>
      <c r="B1070" s="9" t="s">
        <v>13284</v>
      </c>
      <c r="C1070" s="9" t="s">
        <v>13284</v>
      </c>
      <c r="D1070" s="9" t="s">
        <v>13284</v>
      </c>
      <c r="E1070" s="9" t="s">
        <v>13284</v>
      </c>
      <c r="F1070" s="9" t="s">
        <v>13284</v>
      </c>
      <c r="G1070" s="9" t="s">
        <v>13284</v>
      </c>
      <c r="H1070" s="9" t="s">
        <v>13284</v>
      </c>
      <c r="I1070" s="9" t="s">
        <v>13284</v>
      </c>
      <c r="J1070" s="9" t="s">
        <v>13284</v>
      </c>
      <c r="K1070" s="9" t="s">
        <v>13284</v>
      </c>
      <c r="L1070" s="9" t="s">
        <v>13284</v>
      </c>
      <c r="M1070" s="9" t="s">
        <v>13284</v>
      </c>
      <c r="N1070" s="9" t="s">
        <v>13284</v>
      </c>
      <c r="O1070" s="9" t="s">
        <v>13284</v>
      </c>
      <c r="P1070" s="9" t="s">
        <v>13284</v>
      </c>
      <c r="Q1070" s="9" t="s">
        <v>13284</v>
      </c>
      <c r="R1070" s="9" t="s">
        <v>13284</v>
      </c>
      <c r="S1070" s="9" t="s">
        <v>13284</v>
      </c>
      <c r="T1070" s="9" t="str">
        <f ca="1">IFERROR(IF(AND(VLOOKUP(A1070, 'Актуальное состояние (из общего'!A:C,3,0) = "", A1070 &lt;&gt; ""), "ПРОВЕРИТЬ", VLOOKUP(A1070, 'Актуальное состояние (из общего'!A:C,3,0)), "")</f>
        <v>Студент</v>
      </c>
      <c r="U1070" s="9" t="s">
        <v>13284</v>
      </c>
      <c r="V1070" s="9" t="s">
        <v>13284</v>
      </c>
      <c r="W1070" s="12"/>
      <c r="X1070" s="9" t="str">
        <f t="array" ref="X1070">IFERROR(INDEX('Адреса общежитий (скрытый)'!$B$2:$B$9, MATCH(W1070, 'Адреса общежитий (скрытый)'!$A$2:$A$9, 0)), "")</f>
        <v/>
      </c>
      <c r="Y1070" s="18"/>
      <c r="Z1070" s="18"/>
      <c r="AA1070" s="18"/>
      <c r="AB1070" s="18"/>
      <c r="AC1070" s="18"/>
    </row>
    <row r="1071" spans="1:29" ht="32.25" hidden="1" customHeight="1">
      <c r="A1071" s="8">
        <v>2301955</v>
      </c>
      <c r="B1071" s="9" t="s">
        <v>13284</v>
      </c>
      <c r="C1071" s="9" t="s">
        <v>13284</v>
      </c>
      <c r="D1071" s="9" t="s">
        <v>13284</v>
      </c>
      <c r="E1071" s="9" t="s">
        <v>13284</v>
      </c>
      <c r="F1071" s="9" t="s">
        <v>13284</v>
      </c>
      <c r="G1071" s="9" t="s">
        <v>13284</v>
      </c>
      <c r="H1071" s="9" t="s">
        <v>13284</v>
      </c>
      <c r="I1071" s="9" t="s">
        <v>13284</v>
      </c>
      <c r="J1071" s="9" t="s">
        <v>13284</v>
      </c>
      <c r="K1071" s="9" t="s">
        <v>13284</v>
      </c>
      <c r="L1071" s="9" t="s">
        <v>13284</v>
      </c>
      <c r="M1071" s="9" t="s">
        <v>13284</v>
      </c>
      <c r="N1071" s="9" t="s">
        <v>13284</v>
      </c>
      <c r="O1071" s="9" t="s">
        <v>13284</v>
      </c>
      <c r="P1071" s="9" t="s">
        <v>13284</v>
      </c>
      <c r="Q1071" s="9" t="s">
        <v>13284</v>
      </c>
      <c r="R1071" s="9" t="s">
        <v>13284</v>
      </c>
      <c r="S1071" s="9" t="s">
        <v>13284</v>
      </c>
      <c r="T1071" s="9" t="str">
        <f ca="1">IFERROR(IF(AND(VLOOKUP(A1071, 'Актуальное состояние (из общего'!A:C,3,0) = "", A1071 &lt;&gt; ""), "ПРОВЕРИТЬ", VLOOKUP(A1071, 'Актуальное состояние (из общего'!A:C,3,0)), "")</f>
        <v>Студент</v>
      </c>
      <c r="U1071" s="9" t="s">
        <v>13284</v>
      </c>
      <c r="V1071" s="9" t="s">
        <v>13284</v>
      </c>
      <c r="W1071" s="12"/>
      <c r="X1071" s="9" t="str">
        <f t="array" ref="X1071">IFERROR(INDEX('Адреса общежитий (скрытый)'!$B$2:$B$9, MATCH(W1071, 'Адреса общежитий (скрытый)'!$A$2:$A$9, 0)), "")</f>
        <v/>
      </c>
      <c r="Y1071" s="18"/>
      <c r="Z1071" s="18"/>
      <c r="AA1071" s="18"/>
      <c r="AB1071" s="18"/>
      <c r="AC1071" s="18"/>
    </row>
    <row r="1072" spans="1:29" ht="32.25" hidden="1" customHeight="1">
      <c r="A1072" s="8">
        <v>2302271</v>
      </c>
      <c r="B1072" s="9" t="s">
        <v>13284</v>
      </c>
      <c r="C1072" s="9" t="s">
        <v>13284</v>
      </c>
      <c r="D1072" s="9" t="s">
        <v>13284</v>
      </c>
      <c r="E1072" s="9" t="s">
        <v>13284</v>
      </c>
      <c r="F1072" s="9" t="s">
        <v>13284</v>
      </c>
      <c r="G1072" s="9" t="s">
        <v>13284</v>
      </c>
      <c r="H1072" s="9" t="s">
        <v>13284</v>
      </c>
      <c r="I1072" s="9" t="s">
        <v>13284</v>
      </c>
      <c r="J1072" s="9" t="s">
        <v>13284</v>
      </c>
      <c r="K1072" s="9" t="s">
        <v>13284</v>
      </c>
      <c r="L1072" s="9" t="s">
        <v>13284</v>
      </c>
      <c r="M1072" s="9" t="s">
        <v>13284</v>
      </c>
      <c r="N1072" s="9" t="s">
        <v>13284</v>
      </c>
      <c r="O1072" s="9" t="s">
        <v>13284</v>
      </c>
      <c r="P1072" s="9" t="s">
        <v>13284</v>
      </c>
      <c r="Q1072" s="9" t="s">
        <v>13284</v>
      </c>
      <c r="R1072" s="9" t="s">
        <v>13284</v>
      </c>
      <c r="S1072" s="9" t="s">
        <v>13284</v>
      </c>
      <c r="T1072" s="9" t="str">
        <f ca="1">IFERROR(IF(AND(VLOOKUP(A1072, 'Актуальное состояние (из общего'!A:C,3,0) = "", A1072 &lt;&gt; ""), "ПРОВЕРИТЬ", VLOOKUP(A1072, 'Актуальное состояние (из общего'!A:C,3,0)), "")</f>
        <v>Студент</v>
      </c>
      <c r="U1072" s="9" t="s">
        <v>13284</v>
      </c>
      <c r="V1072" s="9" t="s">
        <v>13284</v>
      </c>
      <c r="W1072" s="12"/>
      <c r="X1072" s="9" t="str">
        <f t="array" ref="X1072">IFERROR(INDEX('Адреса общежитий (скрытый)'!$B$2:$B$9, MATCH(W1072, 'Адреса общежитий (скрытый)'!$A$2:$A$9, 0)), "")</f>
        <v/>
      </c>
      <c r="Y1072" s="18"/>
      <c r="Z1072" s="18"/>
      <c r="AA1072" s="18"/>
      <c r="AB1072" s="18"/>
      <c r="AC1072" s="18"/>
    </row>
    <row r="1073" spans="1:29" ht="32.25" hidden="1" customHeight="1">
      <c r="A1073" s="8">
        <v>2303476</v>
      </c>
      <c r="B1073" s="9" t="s">
        <v>13284</v>
      </c>
      <c r="C1073" s="9" t="s">
        <v>13284</v>
      </c>
      <c r="D1073" s="9" t="s">
        <v>13284</v>
      </c>
      <c r="E1073" s="9" t="s">
        <v>13284</v>
      </c>
      <c r="F1073" s="9" t="s">
        <v>13284</v>
      </c>
      <c r="G1073" s="9" t="s">
        <v>13284</v>
      </c>
      <c r="H1073" s="9" t="s">
        <v>13284</v>
      </c>
      <c r="I1073" s="9" t="s">
        <v>13284</v>
      </c>
      <c r="J1073" s="9" t="s">
        <v>13284</v>
      </c>
      <c r="K1073" s="9" t="s">
        <v>13284</v>
      </c>
      <c r="L1073" s="9" t="s">
        <v>13284</v>
      </c>
      <c r="M1073" s="9" t="s">
        <v>13284</v>
      </c>
      <c r="N1073" s="9" t="s">
        <v>13284</v>
      </c>
      <c r="O1073" s="9" t="s">
        <v>13284</v>
      </c>
      <c r="P1073" s="9" t="s">
        <v>13284</v>
      </c>
      <c r="Q1073" s="9" t="s">
        <v>13284</v>
      </c>
      <c r="R1073" s="9" t="s">
        <v>13284</v>
      </c>
      <c r="S1073" s="9" t="s">
        <v>13284</v>
      </c>
      <c r="T1073" s="9" t="str">
        <f ca="1">IFERROR(IF(AND(VLOOKUP(A1073, 'Актуальное состояние (из общего'!A:C,3,0) = "", A1073 &lt;&gt; ""), "ПРОВЕРИТЬ", VLOOKUP(A1073, 'Актуальное состояние (из общего'!A:C,3,0)), "")</f>
        <v>Студент</v>
      </c>
      <c r="U1073" s="9" t="s">
        <v>13284</v>
      </c>
      <c r="V1073" s="9" t="s">
        <v>13284</v>
      </c>
      <c r="W1073" s="12"/>
      <c r="X1073" s="9" t="str">
        <f t="array" ref="X1073">IFERROR(INDEX('Адреса общежитий (скрытый)'!$B$2:$B$9, MATCH(W1073, 'Адреса общежитий (скрытый)'!$A$2:$A$9, 0)), "")</f>
        <v/>
      </c>
      <c r="Y1073" s="18"/>
      <c r="Z1073" s="18"/>
      <c r="AA1073" s="18"/>
      <c r="AB1073" s="18"/>
      <c r="AC1073" s="18"/>
    </row>
    <row r="1074" spans="1:29" ht="32.25" customHeight="1">
      <c r="A1074" s="8">
        <v>2304488</v>
      </c>
      <c r="B1074" s="9" t="s">
        <v>13284</v>
      </c>
      <c r="C1074" s="9" t="s">
        <v>13284</v>
      </c>
      <c r="D1074" s="9" t="s">
        <v>13284</v>
      </c>
      <c r="E1074" s="9" t="s">
        <v>13284</v>
      </c>
      <c r="F1074" s="9" t="s">
        <v>13284</v>
      </c>
      <c r="G1074" s="9" t="s">
        <v>13284</v>
      </c>
      <c r="H1074" s="9" t="s">
        <v>13284</v>
      </c>
      <c r="I1074" s="9" t="s">
        <v>13284</v>
      </c>
      <c r="J1074" s="9" t="s">
        <v>13284</v>
      </c>
      <c r="K1074" s="9" t="s">
        <v>13284</v>
      </c>
      <c r="L1074" s="9" t="s">
        <v>13284</v>
      </c>
      <c r="M1074" s="9" t="s">
        <v>13284</v>
      </c>
      <c r="N1074" s="9" t="s">
        <v>13284</v>
      </c>
      <c r="O1074" s="9" t="s">
        <v>13284</v>
      </c>
      <c r="P1074" s="9" t="s">
        <v>13284</v>
      </c>
      <c r="Q1074" s="9" t="s">
        <v>13284</v>
      </c>
      <c r="R1074" s="9" t="s">
        <v>13284</v>
      </c>
      <c r="S1074" s="9" t="s">
        <v>13284</v>
      </c>
      <c r="T1074" s="9" t="str">
        <f ca="1">IFERROR(IF(AND(VLOOKUP(A1074, 'Актуальное состояние (из общего'!A:C,3,0) = "", A1074 &lt;&gt; ""), "ПРОВЕРИТЬ", VLOOKUP(A1074, 'Актуальное состояние (из общего'!A:C,3,0)), "")</f>
        <v>Студент</v>
      </c>
      <c r="U1074" s="9" t="s">
        <v>13284</v>
      </c>
      <c r="V1074" s="9" t="s">
        <v>13284</v>
      </c>
      <c r="W1074" s="12"/>
      <c r="X1074" s="9" t="str">
        <f t="array" ref="X1074">IFERROR(INDEX('Адреса общежитий (скрытый)'!$B$2:$B$9, MATCH(W1074, 'Адреса общежитий (скрытый)'!$A$2:$A$9, 0)), "")</f>
        <v/>
      </c>
      <c r="Y1074" s="18"/>
      <c r="Z1074" s="18"/>
      <c r="AA1074" s="18"/>
      <c r="AB1074" s="18"/>
      <c r="AC1074" s="18"/>
    </row>
    <row r="1075" spans="1:29" ht="32.25" customHeight="1">
      <c r="A1075" s="8">
        <v>2315493</v>
      </c>
      <c r="B1075" s="9" t="s">
        <v>13284</v>
      </c>
      <c r="C1075" s="9" t="s">
        <v>13284</v>
      </c>
      <c r="D1075" s="9" t="s">
        <v>13284</v>
      </c>
      <c r="E1075" s="9" t="s">
        <v>13284</v>
      </c>
      <c r="F1075" s="9" t="s">
        <v>13284</v>
      </c>
      <c r="G1075" s="9" t="s">
        <v>13284</v>
      </c>
      <c r="H1075" s="9" t="s">
        <v>13284</v>
      </c>
      <c r="I1075" s="9" t="s">
        <v>13284</v>
      </c>
      <c r="J1075" s="9" t="s">
        <v>13284</v>
      </c>
      <c r="K1075" s="9" t="s">
        <v>13284</v>
      </c>
      <c r="L1075" s="9" t="s">
        <v>13284</v>
      </c>
      <c r="M1075" s="9" t="s">
        <v>13284</v>
      </c>
      <c r="N1075" s="9" t="s">
        <v>13284</v>
      </c>
      <c r="O1075" s="9" t="s">
        <v>13284</v>
      </c>
      <c r="P1075" s="9" t="s">
        <v>13284</v>
      </c>
      <c r="Q1075" s="9" t="s">
        <v>13284</v>
      </c>
      <c r="R1075" s="9" t="s">
        <v>13284</v>
      </c>
      <c r="S1075" s="9" t="s">
        <v>13284</v>
      </c>
      <c r="T1075" s="9" t="str">
        <f ca="1">IFERROR(IF(AND(VLOOKUP(A1075, 'Актуальное состояние (из общего'!A:C,3,0) = "", A1075 &lt;&gt; ""), "ПРОВЕРИТЬ", VLOOKUP(A1075, 'Актуальное состояние (из общего'!A:C,3,0)), "")</f>
        <v>Студент</v>
      </c>
      <c r="U1075" s="9" t="s">
        <v>13284</v>
      </c>
      <c r="V1075" s="9" t="s">
        <v>13284</v>
      </c>
      <c r="W1075" s="12"/>
      <c r="X1075" s="9" t="str">
        <f t="array" ref="X1075">IFERROR(INDEX('Адреса общежитий (скрытый)'!$B$2:$B$9, MATCH(W1075, 'Адреса общежитий (скрытый)'!$A$2:$A$9, 0)), "")</f>
        <v/>
      </c>
      <c r="Y1075" s="18"/>
      <c r="Z1075" s="18"/>
      <c r="AA1075" s="18"/>
      <c r="AB1075" s="18"/>
      <c r="AC1075" s="18"/>
    </row>
    <row r="1076" spans="1:29" ht="32.25" hidden="1" customHeight="1">
      <c r="A1076" s="8">
        <v>2302523</v>
      </c>
      <c r="B1076" s="9" t="s">
        <v>13284</v>
      </c>
      <c r="C1076" s="9" t="s">
        <v>13284</v>
      </c>
      <c r="D1076" s="9" t="s">
        <v>13284</v>
      </c>
      <c r="E1076" s="9" t="s">
        <v>13284</v>
      </c>
      <c r="F1076" s="9" t="s">
        <v>13284</v>
      </c>
      <c r="G1076" s="9" t="s">
        <v>13284</v>
      </c>
      <c r="H1076" s="9" t="s">
        <v>13284</v>
      </c>
      <c r="I1076" s="9" t="s">
        <v>13284</v>
      </c>
      <c r="J1076" s="9" t="s">
        <v>13284</v>
      </c>
      <c r="K1076" s="9" t="s">
        <v>13284</v>
      </c>
      <c r="L1076" s="9" t="s">
        <v>13284</v>
      </c>
      <c r="M1076" s="9" t="s">
        <v>13284</v>
      </c>
      <c r="N1076" s="9" t="s">
        <v>13284</v>
      </c>
      <c r="O1076" s="9" t="s">
        <v>13284</v>
      </c>
      <c r="P1076" s="9" t="s">
        <v>13284</v>
      </c>
      <c r="Q1076" s="9" t="s">
        <v>13284</v>
      </c>
      <c r="R1076" s="9" t="s">
        <v>13284</v>
      </c>
      <c r="S1076" s="9" t="s">
        <v>13284</v>
      </c>
      <c r="T1076" s="9" t="str">
        <f ca="1">IFERROR(IF(AND(VLOOKUP(A1076, 'Актуальное состояние (из общего'!A:C,3,0) = "", A1076 &lt;&gt; ""), "ПРОВЕРИТЬ", VLOOKUP(A1076, 'Актуальное состояние (из общего'!A:C,3,0)), "")</f>
        <v>Студент</v>
      </c>
      <c r="U1076" s="9" t="s">
        <v>13284</v>
      </c>
      <c r="V1076" s="9" t="s">
        <v>13284</v>
      </c>
      <c r="W1076" s="12"/>
      <c r="X1076" s="9" t="str">
        <f t="array" ref="X1076">IFERROR(INDEX('Адреса общежитий (скрытый)'!$B$2:$B$9, MATCH(W1076, 'Адреса общежитий (скрытый)'!$A$2:$A$9, 0)), "")</f>
        <v/>
      </c>
      <c r="Y1076" s="18"/>
      <c r="Z1076" s="18"/>
      <c r="AA1076" s="18"/>
      <c r="AB1076" s="18"/>
      <c r="AC1076" s="18"/>
    </row>
    <row r="1077" spans="1:29" ht="32.25" customHeight="1">
      <c r="A1077" s="8">
        <v>2305896</v>
      </c>
      <c r="B1077" s="9" t="s">
        <v>13284</v>
      </c>
      <c r="C1077" s="9" t="s">
        <v>13284</v>
      </c>
      <c r="D1077" s="9" t="s">
        <v>13284</v>
      </c>
      <c r="E1077" s="9" t="s">
        <v>13284</v>
      </c>
      <c r="F1077" s="9" t="s">
        <v>13284</v>
      </c>
      <c r="G1077" s="9" t="s">
        <v>13284</v>
      </c>
      <c r="H1077" s="9" t="s">
        <v>13284</v>
      </c>
      <c r="I1077" s="9" t="s">
        <v>13284</v>
      </c>
      <c r="J1077" s="9" t="s">
        <v>13284</v>
      </c>
      <c r="K1077" s="9" t="s">
        <v>13284</v>
      </c>
      <c r="L1077" s="9" t="s">
        <v>13284</v>
      </c>
      <c r="M1077" s="9" t="s">
        <v>13284</v>
      </c>
      <c r="N1077" s="9" t="s">
        <v>13284</v>
      </c>
      <c r="O1077" s="9" t="s">
        <v>13284</v>
      </c>
      <c r="P1077" s="9" t="s">
        <v>13284</v>
      </c>
      <c r="Q1077" s="9" t="s">
        <v>13284</v>
      </c>
      <c r="R1077" s="9" t="s">
        <v>13284</v>
      </c>
      <c r="S1077" s="9" t="s">
        <v>13284</v>
      </c>
      <c r="T1077" s="9" t="str">
        <f ca="1">IFERROR(IF(AND(VLOOKUP(A1077, 'Актуальное состояние (из общего'!A:C,3,0) = "", A1077 &lt;&gt; ""), "ПРОВЕРИТЬ", VLOOKUP(A1077, 'Актуальное состояние (из общего'!A:C,3,0)), "")</f>
        <v>Студент</v>
      </c>
      <c r="U1077" s="9" t="s">
        <v>13284</v>
      </c>
      <c r="V1077" s="9" t="s">
        <v>13284</v>
      </c>
      <c r="W1077" s="12"/>
      <c r="X1077" s="9" t="str">
        <f t="array" ref="X1077">IFERROR(INDEX('Адреса общежитий (скрытый)'!$B$2:$B$9, MATCH(W1077, 'Адреса общежитий (скрытый)'!$A$2:$A$9, 0)), "")</f>
        <v/>
      </c>
      <c r="Y1077" s="18"/>
      <c r="Z1077" s="18"/>
      <c r="AA1077" s="18"/>
      <c r="AB1077" s="18"/>
      <c r="AC1077" s="18"/>
    </row>
    <row r="1078" spans="1:29" ht="32.25" customHeight="1">
      <c r="A1078" s="8">
        <v>2312121</v>
      </c>
      <c r="B1078" s="9" t="s">
        <v>13284</v>
      </c>
      <c r="C1078" s="9" t="s">
        <v>13284</v>
      </c>
      <c r="D1078" s="9" t="s">
        <v>13284</v>
      </c>
      <c r="E1078" s="9" t="s">
        <v>13284</v>
      </c>
      <c r="F1078" s="9" t="s">
        <v>13284</v>
      </c>
      <c r="G1078" s="9" t="s">
        <v>13284</v>
      </c>
      <c r="H1078" s="9" t="s">
        <v>13284</v>
      </c>
      <c r="I1078" s="9" t="s">
        <v>13284</v>
      </c>
      <c r="J1078" s="9" t="s">
        <v>13284</v>
      </c>
      <c r="K1078" s="9" t="s">
        <v>13284</v>
      </c>
      <c r="L1078" s="9" t="s">
        <v>13284</v>
      </c>
      <c r="M1078" s="9" t="s">
        <v>13284</v>
      </c>
      <c r="N1078" s="9" t="s">
        <v>13284</v>
      </c>
      <c r="O1078" s="9" t="s">
        <v>13284</v>
      </c>
      <c r="P1078" s="9" t="s">
        <v>13284</v>
      </c>
      <c r="Q1078" s="9" t="s">
        <v>13284</v>
      </c>
      <c r="R1078" s="9" t="s">
        <v>13284</v>
      </c>
      <c r="S1078" s="9" t="s">
        <v>13284</v>
      </c>
      <c r="T1078" s="9" t="str">
        <f ca="1">IFERROR(IF(AND(VLOOKUP(A1078, 'Актуальное состояние (из общего'!A:C,3,0) = "", A1078 &lt;&gt; ""), "ПРОВЕРИТЬ", VLOOKUP(A1078, 'Актуальное состояние (из общего'!A:C,3,0)), "")</f>
        <v>Студент</v>
      </c>
      <c r="U1078" s="9" t="s">
        <v>13284</v>
      </c>
      <c r="V1078" s="9" t="s">
        <v>13284</v>
      </c>
      <c r="W1078" s="12"/>
      <c r="X1078" s="9" t="str">
        <f t="array" ref="X1078">IFERROR(INDEX('Адреса общежитий (скрытый)'!$B$2:$B$9, MATCH(W1078, 'Адреса общежитий (скрытый)'!$A$2:$A$9, 0)), "")</f>
        <v/>
      </c>
      <c r="Y1078" s="18"/>
      <c r="Z1078" s="18"/>
      <c r="AA1078" s="18"/>
      <c r="AB1078" s="18"/>
      <c r="AC1078" s="18"/>
    </row>
    <row r="1079" spans="1:29" ht="32.25" hidden="1" customHeight="1">
      <c r="A1079" s="8">
        <v>2310383</v>
      </c>
      <c r="B1079" s="9" t="s">
        <v>13284</v>
      </c>
      <c r="C1079" s="9" t="s">
        <v>13284</v>
      </c>
      <c r="D1079" s="9" t="s">
        <v>13284</v>
      </c>
      <c r="E1079" s="9" t="s">
        <v>13284</v>
      </c>
      <c r="F1079" s="9" t="s">
        <v>13284</v>
      </c>
      <c r="G1079" s="9" t="s">
        <v>13284</v>
      </c>
      <c r="H1079" s="9" t="s">
        <v>13284</v>
      </c>
      <c r="I1079" s="9" t="s">
        <v>13284</v>
      </c>
      <c r="J1079" s="9" t="s">
        <v>13284</v>
      </c>
      <c r="K1079" s="9" t="s">
        <v>13284</v>
      </c>
      <c r="L1079" s="9" t="s">
        <v>13284</v>
      </c>
      <c r="M1079" s="9" t="s">
        <v>13284</v>
      </c>
      <c r="N1079" s="9" t="s">
        <v>13284</v>
      </c>
      <c r="O1079" s="9" t="s">
        <v>13284</v>
      </c>
      <c r="P1079" s="9" t="s">
        <v>13284</v>
      </c>
      <c r="Q1079" s="9" t="s">
        <v>13284</v>
      </c>
      <c r="R1079" s="9" t="s">
        <v>13284</v>
      </c>
      <c r="S1079" s="9" t="s">
        <v>13284</v>
      </c>
      <c r="T1079" s="9" t="str">
        <f ca="1">IFERROR(IF(AND(VLOOKUP(A1079, 'Актуальное состояние (из общего'!A:C,3,0) = "", A1079 &lt;&gt; ""), "ПРОВЕРИТЬ", VLOOKUP(A1079, 'Актуальное состояние (из общего'!A:C,3,0)), "")</f>
        <v>Студент</v>
      </c>
      <c r="U1079" s="9" t="s">
        <v>13284</v>
      </c>
      <c r="V1079" s="9" t="s">
        <v>13284</v>
      </c>
      <c r="W1079" s="12"/>
      <c r="X1079" s="9" t="str">
        <f t="array" ref="X1079">IFERROR(INDEX('Адреса общежитий (скрытый)'!$B$2:$B$9, MATCH(W1079, 'Адреса общежитий (скрытый)'!$A$2:$A$9, 0)), "")</f>
        <v/>
      </c>
      <c r="Y1079" s="18"/>
      <c r="Z1079" s="18"/>
      <c r="AA1079" s="18"/>
      <c r="AB1079" s="18"/>
      <c r="AC1079" s="18"/>
    </row>
    <row r="1080" spans="1:29" ht="32.25" customHeight="1">
      <c r="A1080" s="8">
        <v>2304083</v>
      </c>
      <c r="B1080" s="9" t="s">
        <v>13284</v>
      </c>
      <c r="C1080" s="9" t="s">
        <v>13284</v>
      </c>
      <c r="D1080" s="9" t="s">
        <v>13284</v>
      </c>
      <c r="E1080" s="9" t="s">
        <v>13284</v>
      </c>
      <c r="F1080" s="9" t="s">
        <v>13284</v>
      </c>
      <c r="G1080" s="9" t="s">
        <v>13284</v>
      </c>
      <c r="H1080" s="9" t="s">
        <v>13284</v>
      </c>
      <c r="I1080" s="9" t="s">
        <v>13284</v>
      </c>
      <c r="J1080" s="9" t="s">
        <v>13284</v>
      </c>
      <c r="K1080" s="9" t="s">
        <v>13284</v>
      </c>
      <c r="L1080" s="9" t="s">
        <v>13284</v>
      </c>
      <c r="M1080" s="9" t="s">
        <v>13284</v>
      </c>
      <c r="N1080" s="9" t="s">
        <v>13284</v>
      </c>
      <c r="O1080" s="9" t="s">
        <v>13284</v>
      </c>
      <c r="P1080" s="9" t="s">
        <v>13284</v>
      </c>
      <c r="Q1080" s="9" t="s">
        <v>13284</v>
      </c>
      <c r="R1080" s="9" t="s">
        <v>13284</v>
      </c>
      <c r="S1080" s="9" t="s">
        <v>13284</v>
      </c>
      <c r="T1080" s="9" t="str">
        <f ca="1">IFERROR(IF(AND(VLOOKUP(A1080, 'Актуальное состояние (из общего'!A:C,3,0) = "", A1080 &lt;&gt; ""), "ПРОВЕРИТЬ", VLOOKUP(A1080, 'Актуальное состояние (из общего'!A:C,3,0)), "")</f>
        <v>Студент</v>
      </c>
      <c r="U1080" s="9" t="s">
        <v>13284</v>
      </c>
      <c r="V1080" s="9" t="s">
        <v>13284</v>
      </c>
      <c r="W1080" s="12"/>
      <c r="X1080" s="9" t="str">
        <f t="array" ref="X1080">IFERROR(INDEX('Адреса общежитий (скрытый)'!$B$2:$B$9, MATCH(W1080, 'Адреса общежитий (скрытый)'!$A$2:$A$9, 0)), "")</f>
        <v/>
      </c>
      <c r="Y1080" s="18"/>
      <c r="Z1080" s="18"/>
      <c r="AA1080" s="18"/>
      <c r="AB1080" s="18"/>
      <c r="AC1080" s="18"/>
    </row>
    <row r="1081" spans="1:29" ht="32.25" customHeight="1">
      <c r="A1081" s="8">
        <v>2309262</v>
      </c>
      <c r="B1081" s="9" t="s">
        <v>13284</v>
      </c>
      <c r="C1081" s="9" t="s">
        <v>13284</v>
      </c>
      <c r="D1081" s="9" t="s">
        <v>13284</v>
      </c>
      <c r="E1081" s="9" t="s">
        <v>13284</v>
      </c>
      <c r="F1081" s="9" t="s">
        <v>13284</v>
      </c>
      <c r="G1081" s="9" t="s">
        <v>13284</v>
      </c>
      <c r="H1081" s="9" t="s">
        <v>13284</v>
      </c>
      <c r="I1081" s="9" t="s">
        <v>13284</v>
      </c>
      <c r="J1081" s="9" t="s">
        <v>13284</v>
      </c>
      <c r="K1081" s="9" t="s">
        <v>13284</v>
      </c>
      <c r="L1081" s="9" t="s">
        <v>13284</v>
      </c>
      <c r="M1081" s="9" t="s">
        <v>13284</v>
      </c>
      <c r="N1081" s="9" t="s">
        <v>13284</v>
      </c>
      <c r="O1081" s="9" t="s">
        <v>13284</v>
      </c>
      <c r="P1081" s="9" t="s">
        <v>13284</v>
      </c>
      <c r="Q1081" s="9" t="s">
        <v>13284</v>
      </c>
      <c r="R1081" s="9" t="s">
        <v>13284</v>
      </c>
      <c r="S1081" s="9" t="s">
        <v>13284</v>
      </c>
      <c r="T1081" s="9" t="str">
        <f ca="1">IFERROR(IF(AND(VLOOKUP(A1081, 'Актуальное состояние (из общего'!A:C,3,0) = "", A1081 &lt;&gt; ""), "ПРОВЕРИТЬ", VLOOKUP(A1081, 'Актуальное состояние (из общего'!A:C,3,0)), "")</f>
        <v>Студент</v>
      </c>
      <c r="U1081" s="9" t="s">
        <v>13284</v>
      </c>
      <c r="V1081" s="9" t="s">
        <v>13284</v>
      </c>
      <c r="W1081" s="12"/>
      <c r="X1081" s="9" t="str">
        <f t="array" ref="X1081">IFERROR(INDEX('Адреса общежитий (скрытый)'!$B$2:$B$9, MATCH(W1081, 'Адреса общежитий (скрытый)'!$A$2:$A$9, 0)), "")</f>
        <v/>
      </c>
      <c r="Y1081" s="18"/>
      <c r="Z1081" s="18"/>
      <c r="AA1081" s="18"/>
      <c r="AB1081" s="18"/>
      <c r="AC1081" s="18"/>
    </row>
    <row r="1082" spans="1:29" ht="32.25" hidden="1" customHeight="1">
      <c r="A1082" s="8">
        <v>2313043</v>
      </c>
      <c r="B1082" s="9" t="s">
        <v>13284</v>
      </c>
      <c r="C1082" s="9" t="s">
        <v>13284</v>
      </c>
      <c r="D1082" s="9" t="s">
        <v>13284</v>
      </c>
      <c r="E1082" s="9" t="s">
        <v>13284</v>
      </c>
      <c r="F1082" s="9" t="s">
        <v>13284</v>
      </c>
      <c r="G1082" s="9" t="s">
        <v>13284</v>
      </c>
      <c r="H1082" s="9" t="s">
        <v>13284</v>
      </c>
      <c r="I1082" s="9" t="s">
        <v>13284</v>
      </c>
      <c r="J1082" s="9" t="s">
        <v>13284</v>
      </c>
      <c r="K1082" s="9" t="s">
        <v>13284</v>
      </c>
      <c r="L1082" s="9" t="s">
        <v>13284</v>
      </c>
      <c r="M1082" s="9" t="s">
        <v>13284</v>
      </c>
      <c r="N1082" s="9" t="s">
        <v>13284</v>
      </c>
      <c r="O1082" s="9" t="s">
        <v>13284</v>
      </c>
      <c r="P1082" s="9" t="s">
        <v>13284</v>
      </c>
      <c r="Q1082" s="9" t="s">
        <v>13284</v>
      </c>
      <c r="R1082" s="9" t="s">
        <v>13284</v>
      </c>
      <c r="S1082" s="9" t="s">
        <v>13284</v>
      </c>
      <c r="T1082" s="9" t="str">
        <f ca="1">IFERROR(IF(AND(VLOOKUP(A1082, 'Актуальное состояние (из общего'!A:C,3,0) = "", A1082 &lt;&gt; ""), "ПРОВЕРИТЬ", VLOOKUP(A1082, 'Актуальное состояние (из общего'!A:C,3,0)), "")</f>
        <v>Студент</v>
      </c>
      <c r="U1082" s="9" t="s">
        <v>13284</v>
      </c>
      <c r="V1082" s="9" t="s">
        <v>13284</v>
      </c>
      <c r="W1082" s="12"/>
      <c r="X1082" s="9" t="str">
        <f t="array" ref="X1082">IFERROR(INDEX('Адреса общежитий (скрытый)'!$B$2:$B$9, MATCH(W1082, 'Адреса общежитий (скрытый)'!$A$2:$A$9, 0)), "")</f>
        <v/>
      </c>
      <c r="Y1082" s="18"/>
      <c r="Z1082" s="18"/>
      <c r="AA1082" s="18"/>
      <c r="AB1082" s="18"/>
      <c r="AC1082" s="18"/>
    </row>
    <row r="1083" spans="1:29" ht="32.25" customHeight="1">
      <c r="A1083" s="8">
        <v>2310191</v>
      </c>
      <c r="B1083" s="9" t="s">
        <v>13284</v>
      </c>
      <c r="C1083" s="9" t="s">
        <v>13284</v>
      </c>
      <c r="D1083" s="9" t="s">
        <v>13284</v>
      </c>
      <c r="E1083" s="9" t="s">
        <v>13284</v>
      </c>
      <c r="F1083" s="9" t="s">
        <v>13284</v>
      </c>
      <c r="G1083" s="9" t="s">
        <v>13284</v>
      </c>
      <c r="H1083" s="9" t="s">
        <v>13284</v>
      </c>
      <c r="I1083" s="9" t="s">
        <v>13284</v>
      </c>
      <c r="J1083" s="9" t="s">
        <v>13284</v>
      </c>
      <c r="K1083" s="9" t="s">
        <v>13284</v>
      </c>
      <c r="L1083" s="9" t="s">
        <v>13284</v>
      </c>
      <c r="M1083" s="9" t="s">
        <v>13284</v>
      </c>
      <c r="N1083" s="9" t="s">
        <v>13284</v>
      </c>
      <c r="O1083" s="9" t="s">
        <v>13284</v>
      </c>
      <c r="P1083" s="9" t="s">
        <v>13284</v>
      </c>
      <c r="Q1083" s="9" t="s">
        <v>13284</v>
      </c>
      <c r="R1083" s="9" t="s">
        <v>13284</v>
      </c>
      <c r="S1083" s="9" t="s">
        <v>13284</v>
      </c>
      <c r="T1083" s="9" t="str">
        <f ca="1">IFERROR(IF(AND(VLOOKUP(A1083, 'Актуальное состояние (из общего'!A:C,3,0) = "", A1083 &lt;&gt; ""), "ПРОВЕРИТЬ", VLOOKUP(A1083, 'Актуальное состояние (из общего'!A:C,3,0)), "")</f>
        <v>Студент</v>
      </c>
      <c r="U1083" s="9" t="s">
        <v>13284</v>
      </c>
      <c r="V1083" s="9" t="s">
        <v>13284</v>
      </c>
      <c r="W1083" s="12"/>
      <c r="X1083" s="9" t="str">
        <f t="array" ref="X1083">IFERROR(INDEX('Адреса общежитий (скрытый)'!$B$2:$B$9, MATCH(W1083, 'Адреса общежитий (скрытый)'!$A$2:$A$9, 0)), "")</f>
        <v/>
      </c>
      <c r="Y1083" s="18"/>
      <c r="Z1083" s="18"/>
      <c r="AA1083" s="18"/>
      <c r="AB1083" s="18"/>
      <c r="AC1083" s="18"/>
    </row>
    <row r="1084" spans="1:29" ht="32.25" hidden="1" customHeight="1">
      <c r="A1084" s="8">
        <v>2304211</v>
      </c>
      <c r="B1084" s="9" t="s">
        <v>13284</v>
      </c>
      <c r="C1084" s="9" t="s">
        <v>13284</v>
      </c>
      <c r="D1084" s="9" t="s">
        <v>13284</v>
      </c>
      <c r="E1084" s="9" t="s">
        <v>13284</v>
      </c>
      <c r="F1084" s="9" t="s">
        <v>13284</v>
      </c>
      <c r="G1084" s="9" t="s">
        <v>13284</v>
      </c>
      <c r="H1084" s="9" t="s">
        <v>13284</v>
      </c>
      <c r="I1084" s="9" t="s">
        <v>13284</v>
      </c>
      <c r="J1084" s="9" t="s">
        <v>13284</v>
      </c>
      <c r="K1084" s="9" t="s">
        <v>13284</v>
      </c>
      <c r="L1084" s="9" t="s">
        <v>13284</v>
      </c>
      <c r="M1084" s="9" t="s">
        <v>13284</v>
      </c>
      <c r="N1084" s="9" t="s">
        <v>13284</v>
      </c>
      <c r="O1084" s="9" t="s">
        <v>13284</v>
      </c>
      <c r="P1084" s="9" t="s">
        <v>13284</v>
      </c>
      <c r="Q1084" s="9" t="s">
        <v>13284</v>
      </c>
      <c r="R1084" s="9" t="s">
        <v>13284</v>
      </c>
      <c r="S1084" s="9" t="s">
        <v>13284</v>
      </c>
      <c r="T1084" s="9" t="str">
        <f ca="1">IFERROR(IF(AND(VLOOKUP(A1084, 'Актуальное состояние (из общего'!A:C,3,0) = "", A1084 &lt;&gt; ""), "ПРОВЕРИТЬ", VLOOKUP(A1084, 'Актуальное состояние (из общего'!A:C,3,0)), "")</f>
        <v>Студент</v>
      </c>
      <c r="U1084" s="9" t="s">
        <v>13284</v>
      </c>
      <c r="V1084" s="9" t="s">
        <v>13284</v>
      </c>
      <c r="W1084" s="12"/>
      <c r="X1084" s="9" t="str">
        <f t="array" ref="X1084">IFERROR(INDEX('Адреса общежитий (скрытый)'!$B$2:$B$9, MATCH(W1084, 'Адреса общежитий (скрытый)'!$A$2:$A$9, 0)), "")</f>
        <v/>
      </c>
      <c r="Y1084" s="18"/>
      <c r="Z1084" s="18"/>
      <c r="AA1084" s="18"/>
      <c r="AB1084" s="18"/>
      <c r="AC1084" s="18"/>
    </row>
    <row r="1085" spans="1:29" ht="32.25" hidden="1" customHeight="1">
      <c r="A1085" s="8">
        <v>2306609</v>
      </c>
      <c r="B1085" s="9" t="s">
        <v>13284</v>
      </c>
      <c r="C1085" s="9" t="s">
        <v>13284</v>
      </c>
      <c r="D1085" s="9" t="s">
        <v>13284</v>
      </c>
      <c r="E1085" s="9" t="s">
        <v>13284</v>
      </c>
      <c r="F1085" s="9" t="s">
        <v>13284</v>
      </c>
      <c r="G1085" s="9" t="s">
        <v>13284</v>
      </c>
      <c r="H1085" s="9" t="s">
        <v>13284</v>
      </c>
      <c r="I1085" s="9" t="s">
        <v>13284</v>
      </c>
      <c r="J1085" s="9" t="s">
        <v>13284</v>
      </c>
      <c r="K1085" s="9" t="s">
        <v>13284</v>
      </c>
      <c r="L1085" s="9" t="s">
        <v>13284</v>
      </c>
      <c r="M1085" s="9" t="s">
        <v>13284</v>
      </c>
      <c r="N1085" s="9" t="s">
        <v>13284</v>
      </c>
      <c r="O1085" s="9" t="s">
        <v>13284</v>
      </c>
      <c r="P1085" s="9" t="s">
        <v>13284</v>
      </c>
      <c r="Q1085" s="9" t="s">
        <v>13284</v>
      </c>
      <c r="R1085" s="9" t="s">
        <v>13284</v>
      </c>
      <c r="S1085" s="9" t="s">
        <v>13284</v>
      </c>
      <c r="T1085" s="9" t="str">
        <f ca="1">IFERROR(IF(AND(VLOOKUP(A1085, 'Актуальное состояние (из общего'!A:C,3,0) = "", A1085 &lt;&gt; ""), "ПРОВЕРИТЬ", VLOOKUP(A1085, 'Актуальное состояние (из общего'!A:C,3,0)), "")</f>
        <v>Студент</v>
      </c>
      <c r="U1085" s="9" t="s">
        <v>13284</v>
      </c>
      <c r="V1085" s="9" t="s">
        <v>13284</v>
      </c>
      <c r="W1085" s="12"/>
      <c r="X1085" s="9" t="str">
        <f t="array" ref="X1085">IFERROR(INDEX('Адреса общежитий (скрытый)'!$B$2:$B$9, MATCH(W1085, 'Адреса общежитий (скрытый)'!$A$2:$A$9, 0)), "")</f>
        <v/>
      </c>
      <c r="Y1085" s="18"/>
      <c r="Z1085" s="18"/>
      <c r="AA1085" s="18"/>
      <c r="AB1085" s="18"/>
      <c r="AC1085" s="18"/>
    </row>
    <row r="1086" spans="1:29" ht="32.25" customHeight="1">
      <c r="A1086" s="8">
        <v>2308327</v>
      </c>
      <c r="B1086" s="9" t="s">
        <v>13284</v>
      </c>
      <c r="C1086" s="9" t="s">
        <v>13284</v>
      </c>
      <c r="D1086" s="9" t="s">
        <v>13284</v>
      </c>
      <c r="E1086" s="9" t="s">
        <v>13284</v>
      </c>
      <c r="F1086" s="9" t="s">
        <v>13284</v>
      </c>
      <c r="G1086" s="9" t="s">
        <v>13284</v>
      </c>
      <c r="H1086" s="9" t="s">
        <v>13284</v>
      </c>
      <c r="I1086" s="9" t="s">
        <v>13284</v>
      </c>
      <c r="J1086" s="9" t="s">
        <v>13284</v>
      </c>
      <c r="K1086" s="9" t="s">
        <v>13284</v>
      </c>
      <c r="L1086" s="9" t="s">
        <v>13284</v>
      </c>
      <c r="M1086" s="9" t="s">
        <v>13284</v>
      </c>
      <c r="N1086" s="9" t="s">
        <v>13284</v>
      </c>
      <c r="O1086" s="9" t="s">
        <v>13284</v>
      </c>
      <c r="P1086" s="9" t="s">
        <v>13284</v>
      </c>
      <c r="Q1086" s="9" t="s">
        <v>13284</v>
      </c>
      <c r="R1086" s="9" t="s">
        <v>13284</v>
      </c>
      <c r="S1086" s="9" t="s">
        <v>13284</v>
      </c>
      <c r="T1086" s="9" t="str">
        <f ca="1">IFERROR(IF(AND(VLOOKUP(A1086, 'Актуальное состояние (из общего'!A:C,3,0) = "", A1086 &lt;&gt; ""), "ПРОВЕРИТЬ", VLOOKUP(A1086, 'Актуальное состояние (из общего'!A:C,3,0)), "")</f>
        <v>Студент</v>
      </c>
      <c r="U1086" s="9" t="s">
        <v>13284</v>
      </c>
      <c r="V1086" s="9" t="s">
        <v>13284</v>
      </c>
      <c r="W1086" s="12"/>
      <c r="X1086" s="9" t="str">
        <f t="array" ref="X1086">IFERROR(INDEX('Адреса общежитий (скрытый)'!$B$2:$B$9, MATCH(W1086, 'Адреса общежитий (скрытый)'!$A$2:$A$9, 0)), "")</f>
        <v/>
      </c>
      <c r="Y1086" s="18"/>
      <c r="Z1086" s="18"/>
      <c r="AA1086" s="18"/>
      <c r="AB1086" s="18"/>
      <c r="AC1086" s="18"/>
    </row>
    <row r="1087" spans="1:29" ht="32.25" hidden="1" customHeight="1">
      <c r="A1087" s="8">
        <v>2304940</v>
      </c>
      <c r="B1087" s="9" t="s">
        <v>13284</v>
      </c>
      <c r="C1087" s="9" t="s">
        <v>13284</v>
      </c>
      <c r="D1087" s="9" t="s">
        <v>13284</v>
      </c>
      <c r="E1087" s="9" t="s">
        <v>13284</v>
      </c>
      <c r="F1087" s="9" t="s">
        <v>13284</v>
      </c>
      <c r="G1087" s="9" t="s">
        <v>13284</v>
      </c>
      <c r="H1087" s="9" t="s">
        <v>13284</v>
      </c>
      <c r="I1087" s="9" t="s">
        <v>13284</v>
      </c>
      <c r="J1087" s="9" t="s">
        <v>13284</v>
      </c>
      <c r="K1087" s="9" t="s">
        <v>13284</v>
      </c>
      <c r="L1087" s="9" t="s">
        <v>13284</v>
      </c>
      <c r="M1087" s="9" t="s">
        <v>13284</v>
      </c>
      <c r="N1087" s="9" t="s">
        <v>13284</v>
      </c>
      <c r="O1087" s="9" t="s">
        <v>13284</v>
      </c>
      <c r="P1087" s="9" t="s">
        <v>13284</v>
      </c>
      <c r="Q1087" s="9" t="s">
        <v>13284</v>
      </c>
      <c r="R1087" s="9" t="s">
        <v>13284</v>
      </c>
      <c r="S1087" s="9" t="s">
        <v>13284</v>
      </c>
      <c r="T1087" s="9" t="str">
        <f ca="1">IFERROR(IF(AND(VLOOKUP(A1087, 'Актуальное состояние (из общего'!A:C,3,0) = "", A1087 &lt;&gt; ""), "ПРОВЕРИТЬ", VLOOKUP(A1087, 'Актуальное состояние (из общего'!A:C,3,0)), "")</f>
        <v>Студент</v>
      </c>
      <c r="U1087" s="9" t="s">
        <v>13284</v>
      </c>
      <c r="V1087" s="9" t="s">
        <v>13284</v>
      </c>
      <c r="W1087" s="12"/>
      <c r="X1087" s="9" t="str">
        <f t="array" ref="X1087">IFERROR(INDEX('Адреса общежитий (скрытый)'!$B$2:$B$9, MATCH(W1087, 'Адреса общежитий (скрытый)'!$A$2:$A$9, 0)), "")</f>
        <v/>
      </c>
      <c r="Y1087" s="18"/>
      <c r="Z1087" s="18"/>
      <c r="AA1087" s="18"/>
      <c r="AB1087" s="18"/>
      <c r="AC1087" s="18"/>
    </row>
    <row r="1088" spans="1:29" ht="32.25" hidden="1" customHeight="1">
      <c r="A1088" s="8">
        <v>2309763</v>
      </c>
      <c r="B1088" s="9" t="s">
        <v>13284</v>
      </c>
      <c r="C1088" s="9" t="s">
        <v>13284</v>
      </c>
      <c r="D1088" s="9" t="s">
        <v>13284</v>
      </c>
      <c r="E1088" s="9" t="s">
        <v>13284</v>
      </c>
      <c r="F1088" s="9" t="s">
        <v>13284</v>
      </c>
      <c r="G1088" s="9" t="s">
        <v>13284</v>
      </c>
      <c r="H1088" s="9" t="s">
        <v>13284</v>
      </c>
      <c r="I1088" s="9" t="s">
        <v>13284</v>
      </c>
      <c r="J1088" s="9" t="s">
        <v>13284</v>
      </c>
      <c r="K1088" s="9" t="s">
        <v>13284</v>
      </c>
      <c r="L1088" s="9" t="s">
        <v>13284</v>
      </c>
      <c r="M1088" s="9" t="s">
        <v>13284</v>
      </c>
      <c r="N1088" s="9" t="s">
        <v>13284</v>
      </c>
      <c r="O1088" s="9" t="s">
        <v>13284</v>
      </c>
      <c r="P1088" s="9" t="s">
        <v>13284</v>
      </c>
      <c r="Q1088" s="9" t="s">
        <v>13284</v>
      </c>
      <c r="R1088" s="9" t="s">
        <v>13284</v>
      </c>
      <c r="S1088" s="9" t="s">
        <v>13284</v>
      </c>
      <c r="T1088" s="9" t="str">
        <f ca="1">IFERROR(IF(AND(VLOOKUP(A1088, 'Актуальное состояние (из общего'!A:C,3,0) = "", A1088 &lt;&gt; ""), "ПРОВЕРИТЬ", VLOOKUP(A1088, 'Актуальное состояние (из общего'!A:C,3,0)), "")</f>
        <v>Студент</v>
      </c>
      <c r="U1088" s="9" t="s">
        <v>13284</v>
      </c>
      <c r="V1088" s="9" t="s">
        <v>13284</v>
      </c>
      <c r="W1088" s="12"/>
      <c r="X1088" s="9" t="str">
        <f t="array" ref="X1088">IFERROR(INDEX('Адреса общежитий (скрытый)'!$B$2:$B$9, MATCH(W1088, 'Адреса общежитий (скрытый)'!$A$2:$A$9, 0)), "")</f>
        <v/>
      </c>
      <c r="Y1088" s="18"/>
      <c r="Z1088" s="18"/>
      <c r="AA1088" s="18"/>
      <c r="AB1088" s="18"/>
      <c r="AC1088" s="18"/>
    </row>
    <row r="1089" spans="1:29" ht="32.25" hidden="1" customHeight="1">
      <c r="A1089" s="8">
        <v>2303303</v>
      </c>
      <c r="B1089" s="9" t="s">
        <v>13284</v>
      </c>
      <c r="C1089" s="9" t="s">
        <v>13284</v>
      </c>
      <c r="D1089" s="9" t="s">
        <v>13284</v>
      </c>
      <c r="E1089" s="9" t="s">
        <v>13284</v>
      </c>
      <c r="F1089" s="9" t="s">
        <v>13284</v>
      </c>
      <c r="G1089" s="9" t="s">
        <v>13284</v>
      </c>
      <c r="H1089" s="9" t="s">
        <v>13284</v>
      </c>
      <c r="I1089" s="9" t="s">
        <v>13284</v>
      </c>
      <c r="J1089" s="9" t="s">
        <v>13284</v>
      </c>
      <c r="K1089" s="9" t="s">
        <v>13284</v>
      </c>
      <c r="L1089" s="9" t="s">
        <v>13284</v>
      </c>
      <c r="M1089" s="9" t="s">
        <v>13284</v>
      </c>
      <c r="N1089" s="9" t="s">
        <v>13284</v>
      </c>
      <c r="O1089" s="9" t="s">
        <v>13284</v>
      </c>
      <c r="P1089" s="9" t="s">
        <v>13284</v>
      </c>
      <c r="Q1089" s="9" t="s">
        <v>13284</v>
      </c>
      <c r="R1089" s="9" t="s">
        <v>13284</v>
      </c>
      <c r="S1089" s="9" t="s">
        <v>13284</v>
      </c>
      <c r="T1089" s="9" t="str">
        <f ca="1">IFERROR(IF(AND(VLOOKUP(A1089, 'Актуальное состояние (из общего'!A:C,3,0) = "", A1089 &lt;&gt; ""), "ПРОВЕРИТЬ", VLOOKUP(A1089, 'Актуальное состояние (из общего'!A:C,3,0)), "")</f>
        <v>Студент</v>
      </c>
      <c r="U1089" s="9" t="s">
        <v>13284</v>
      </c>
      <c r="V1089" s="9" t="s">
        <v>13284</v>
      </c>
      <c r="W1089" s="12"/>
      <c r="X1089" s="9" t="str">
        <f t="array" ref="X1089">IFERROR(INDEX('Адреса общежитий (скрытый)'!$B$2:$B$9, MATCH(W1089, 'Адреса общежитий (скрытый)'!$A$2:$A$9, 0)), "")</f>
        <v/>
      </c>
      <c r="Y1089" s="18"/>
      <c r="Z1089" s="18"/>
      <c r="AA1089" s="18"/>
      <c r="AB1089" s="18"/>
      <c r="AC1089" s="18"/>
    </row>
    <row r="1090" spans="1:29" ht="32.25" hidden="1" customHeight="1">
      <c r="A1090" s="8">
        <v>2308480</v>
      </c>
      <c r="B1090" s="9" t="s">
        <v>13284</v>
      </c>
      <c r="C1090" s="9" t="s">
        <v>13284</v>
      </c>
      <c r="D1090" s="9" t="s">
        <v>13284</v>
      </c>
      <c r="E1090" s="9" t="s">
        <v>13284</v>
      </c>
      <c r="F1090" s="9" t="s">
        <v>13284</v>
      </c>
      <c r="G1090" s="9" t="s">
        <v>13284</v>
      </c>
      <c r="H1090" s="9" t="s">
        <v>13284</v>
      </c>
      <c r="I1090" s="9" t="s">
        <v>13284</v>
      </c>
      <c r="J1090" s="9" t="s">
        <v>13284</v>
      </c>
      <c r="K1090" s="9" t="s">
        <v>13284</v>
      </c>
      <c r="L1090" s="9" t="s">
        <v>13284</v>
      </c>
      <c r="M1090" s="9" t="s">
        <v>13284</v>
      </c>
      <c r="N1090" s="9" t="s">
        <v>13284</v>
      </c>
      <c r="O1090" s="9" t="s">
        <v>13284</v>
      </c>
      <c r="P1090" s="9" t="s">
        <v>13284</v>
      </c>
      <c r="Q1090" s="9" t="s">
        <v>13284</v>
      </c>
      <c r="R1090" s="9" t="s">
        <v>13284</v>
      </c>
      <c r="S1090" s="9" t="s">
        <v>13284</v>
      </c>
      <c r="T1090" s="9" t="str">
        <f ca="1">IFERROR(IF(AND(VLOOKUP(A1090, 'Актуальное состояние (из общего'!A:C,3,0) = "", A1090 &lt;&gt; ""), "ПРОВЕРИТЬ", VLOOKUP(A1090, 'Актуальное состояние (из общего'!A:C,3,0)), "")</f>
        <v>Студент</v>
      </c>
      <c r="U1090" s="9" t="s">
        <v>13284</v>
      </c>
      <c r="V1090" s="9" t="s">
        <v>13284</v>
      </c>
      <c r="W1090" s="12"/>
      <c r="X1090" s="9" t="str">
        <f t="array" ref="X1090">IFERROR(INDEX('Адреса общежитий (скрытый)'!$B$2:$B$9, MATCH(W1090, 'Адреса общежитий (скрытый)'!$A$2:$A$9, 0)), "")</f>
        <v/>
      </c>
      <c r="Y1090" s="18"/>
      <c r="Z1090" s="18"/>
      <c r="AA1090" s="18"/>
      <c r="AB1090" s="18"/>
      <c r="AC1090" s="18"/>
    </row>
    <row r="1091" spans="1:29" ht="32.25" customHeight="1">
      <c r="A1091" s="8">
        <v>2304984</v>
      </c>
      <c r="B1091" s="9" t="s">
        <v>13284</v>
      </c>
      <c r="C1091" s="9" t="s">
        <v>13284</v>
      </c>
      <c r="D1091" s="9" t="s">
        <v>13284</v>
      </c>
      <c r="E1091" s="9" t="s">
        <v>13284</v>
      </c>
      <c r="F1091" s="9" t="s">
        <v>13284</v>
      </c>
      <c r="G1091" s="9" t="s">
        <v>13284</v>
      </c>
      <c r="H1091" s="9" t="s">
        <v>13284</v>
      </c>
      <c r="I1091" s="9" t="s">
        <v>13284</v>
      </c>
      <c r="J1091" s="9" t="s">
        <v>13284</v>
      </c>
      <c r="K1091" s="9" t="s">
        <v>13284</v>
      </c>
      <c r="L1091" s="9" t="s">
        <v>13284</v>
      </c>
      <c r="M1091" s="9" t="s">
        <v>13284</v>
      </c>
      <c r="N1091" s="9" t="s">
        <v>13284</v>
      </c>
      <c r="O1091" s="9" t="s">
        <v>13284</v>
      </c>
      <c r="P1091" s="9" t="s">
        <v>13284</v>
      </c>
      <c r="Q1091" s="9" t="s">
        <v>13284</v>
      </c>
      <c r="R1091" s="9" t="s">
        <v>13284</v>
      </c>
      <c r="S1091" s="9" t="s">
        <v>13284</v>
      </c>
      <c r="T1091" s="9" t="str">
        <f ca="1">IFERROR(IF(AND(VLOOKUP(A1091, 'Актуальное состояние (из общего'!A:C,3,0) = "", A1091 &lt;&gt; ""), "ПРОВЕРИТЬ", VLOOKUP(A1091, 'Актуальное состояние (из общего'!A:C,3,0)), "")</f>
        <v>Студент</v>
      </c>
      <c r="U1091" s="9" t="s">
        <v>13284</v>
      </c>
      <c r="V1091" s="9" t="s">
        <v>13284</v>
      </c>
      <c r="W1091" s="12"/>
      <c r="X1091" s="9" t="str">
        <f t="array" ref="X1091">IFERROR(INDEX('Адреса общежитий (скрытый)'!$B$2:$B$9, MATCH(W1091, 'Адреса общежитий (скрытый)'!$A$2:$A$9, 0)), "")</f>
        <v/>
      </c>
      <c r="Y1091" s="18"/>
      <c r="Z1091" s="18"/>
      <c r="AA1091" s="18"/>
      <c r="AB1091" s="18"/>
      <c r="AC1091" s="18"/>
    </row>
    <row r="1092" spans="1:29" ht="32.25" hidden="1" customHeight="1">
      <c r="A1092" s="8">
        <v>2301795</v>
      </c>
      <c r="B1092" s="9" t="s">
        <v>13284</v>
      </c>
      <c r="C1092" s="9" t="s">
        <v>13284</v>
      </c>
      <c r="D1092" s="9" t="s">
        <v>13284</v>
      </c>
      <c r="E1092" s="9" t="s">
        <v>13284</v>
      </c>
      <c r="F1092" s="9" t="s">
        <v>13284</v>
      </c>
      <c r="G1092" s="9" t="s">
        <v>13284</v>
      </c>
      <c r="H1092" s="9" t="s">
        <v>13284</v>
      </c>
      <c r="I1092" s="9" t="s">
        <v>13284</v>
      </c>
      <c r="J1092" s="9" t="s">
        <v>13284</v>
      </c>
      <c r="K1092" s="9" t="s">
        <v>13284</v>
      </c>
      <c r="L1092" s="9" t="s">
        <v>13284</v>
      </c>
      <c r="M1092" s="9" t="s">
        <v>13284</v>
      </c>
      <c r="N1092" s="9" t="s">
        <v>13284</v>
      </c>
      <c r="O1092" s="9" t="s">
        <v>13284</v>
      </c>
      <c r="P1092" s="9" t="s">
        <v>13284</v>
      </c>
      <c r="Q1092" s="9" t="s">
        <v>13284</v>
      </c>
      <c r="R1092" s="9" t="s">
        <v>13284</v>
      </c>
      <c r="S1092" s="9" t="s">
        <v>13284</v>
      </c>
      <c r="T1092" s="9" t="str">
        <f ca="1">IFERROR(IF(AND(VLOOKUP(A1092, 'Актуальное состояние (из общего'!A:C,3,0) = "", A1092 &lt;&gt; ""), "ПРОВЕРИТЬ", VLOOKUP(A1092, 'Актуальное состояние (из общего'!A:C,3,0)), "")</f>
        <v>Студент</v>
      </c>
      <c r="U1092" s="9" t="s">
        <v>13284</v>
      </c>
      <c r="V1092" s="9" t="s">
        <v>13284</v>
      </c>
      <c r="W1092" s="12"/>
      <c r="X1092" s="9" t="str">
        <f t="array" ref="X1092">IFERROR(INDEX('Адреса общежитий (скрытый)'!$B$2:$B$9, MATCH(W1092, 'Адреса общежитий (скрытый)'!$A$2:$A$9, 0)), "")</f>
        <v/>
      </c>
      <c r="Y1092" s="18"/>
      <c r="Z1092" s="18"/>
      <c r="AA1092" s="18"/>
      <c r="AB1092" s="18"/>
      <c r="AC1092" s="18"/>
    </row>
    <row r="1093" spans="1:29" ht="32.25" hidden="1" customHeight="1">
      <c r="A1093" s="8">
        <v>2307718</v>
      </c>
      <c r="B1093" s="9" t="s">
        <v>13284</v>
      </c>
      <c r="C1093" s="9" t="s">
        <v>13284</v>
      </c>
      <c r="D1093" s="9" t="s">
        <v>13284</v>
      </c>
      <c r="E1093" s="9" t="s">
        <v>13284</v>
      </c>
      <c r="F1093" s="9" t="s">
        <v>13284</v>
      </c>
      <c r="G1093" s="9" t="s">
        <v>13284</v>
      </c>
      <c r="H1093" s="9" t="s">
        <v>13284</v>
      </c>
      <c r="I1093" s="9" t="s">
        <v>13284</v>
      </c>
      <c r="J1093" s="9" t="s">
        <v>13284</v>
      </c>
      <c r="K1093" s="9" t="s">
        <v>13284</v>
      </c>
      <c r="L1093" s="9" t="s">
        <v>13284</v>
      </c>
      <c r="M1093" s="9" t="s">
        <v>13284</v>
      </c>
      <c r="N1093" s="9" t="s">
        <v>13284</v>
      </c>
      <c r="O1093" s="9" t="s">
        <v>13284</v>
      </c>
      <c r="P1093" s="9" t="s">
        <v>13284</v>
      </c>
      <c r="Q1093" s="9" t="s">
        <v>13284</v>
      </c>
      <c r="R1093" s="9" t="s">
        <v>13284</v>
      </c>
      <c r="S1093" s="9" t="s">
        <v>13284</v>
      </c>
      <c r="T1093" s="9" t="str">
        <f ca="1">IFERROR(IF(AND(VLOOKUP(A1093, 'Актуальное состояние (из общего'!A:C,3,0) = "", A1093 &lt;&gt; ""), "ПРОВЕРИТЬ", VLOOKUP(A1093, 'Актуальное состояние (из общего'!A:C,3,0)), "")</f>
        <v>Студент</v>
      </c>
      <c r="U1093" s="9" t="s">
        <v>13284</v>
      </c>
      <c r="V1093" s="9" t="s">
        <v>13284</v>
      </c>
      <c r="W1093" s="12"/>
      <c r="X1093" s="9" t="str">
        <f t="array" ref="X1093">IFERROR(INDEX('Адреса общежитий (скрытый)'!$B$2:$B$9, MATCH(W1093, 'Адреса общежитий (скрытый)'!$A$2:$A$9, 0)), "")</f>
        <v/>
      </c>
      <c r="Y1093" s="18"/>
      <c r="Z1093" s="18"/>
      <c r="AA1093" s="18"/>
      <c r="AB1093" s="18"/>
      <c r="AC1093" s="18"/>
    </row>
    <row r="1094" spans="1:29" ht="32.25" hidden="1" customHeight="1">
      <c r="A1094" s="8">
        <v>2303725</v>
      </c>
      <c r="B1094" s="9" t="s">
        <v>13284</v>
      </c>
      <c r="C1094" s="9" t="s">
        <v>13284</v>
      </c>
      <c r="D1094" s="9" t="s">
        <v>13284</v>
      </c>
      <c r="E1094" s="9" t="s">
        <v>13284</v>
      </c>
      <c r="F1094" s="9" t="s">
        <v>13284</v>
      </c>
      <c r="G1094" s="9" t="s">
        <v>13284</v>
      </c>
      <c r="H1094" s="9" t="s">
        <v>13284</v>
      </c>
      <c r="I1094" s="9" t="s">
        <v>13284</v>
      </c>
      <c r="J1094" s="9" t="s">
        <v>13284</v>
      </c>
      <c r="K1094" s="9" t="s">
        <v>13284</v>
      </c>
      <c r="L1094" s="9" t="s">
        <v>13284</v>
      </c>
      <c r="M1094" s="9" t="s">
        <v>13284</v>
      </c>
      <c r="N1094" s="9" t="s">
        <v>13284</v>
      </c>
      <c r="O1094" s="9" t="s">
        <v>13284</v>
      </c>
      <c r="P1094" s="9" t="s">
        <v>13284</v>
      </c>
      <c r="Q1094" s="9" t="s">
        <v>13284</v>
      </c>
      <c r="R1094" s="9" t="s">
        <v>13284</v>
      </c>
      <c r="S1094" s="9" t="s">
        <v>13284</v>
      </c>
      <c r="T1094" s="9" t="str">
        <f ca="1">IFERROR(IF(AND(VLOOKUP(A1094, 'Актуальное состояние (из общего'!A:C,3,0) = "", A1094 &lt;&gt; ""), "ПРОВЕРИТЬ", VLOOKUP(A1094, 'Актуальное состояние (из общего'!A:C,3,0)), "")</f>
        <v>Студент</v>
      </c>
      <c r="U1094" s="9" t="s">
        <v>13284</v>
      </c>
      <c r="V1094" s="9" t="s">
        <v>13284</v>
      </c>
      <c r="W1094" s="12"/>
      <c r="X1094" s="9" t="str">
        <f t="array" ref="X1094">IFERROR(INDEX('Адреса общежитий (скрытый)'!$B$2:$B$9, MATCH(W1094, 'Адреса общежитий (скрытый)'!$A$2:$A$9, 0)), "")</f>
        <v/>
      </c>
      <c r="Y1094" s="18"/>
      <c r="Z1094" s="18"/>
      <c r="AA1094" s="18"/>
      <c r="AB1094" s="18"/>
      <c r="AC1094" s="18"/>
    </row>
    <row r="1095" spans="1:29" ht="32.25" hidden="1" customHeight="1">
      <c r="A1095" s="8">
        <v>2304774</v>
      </c>
      <c r="B1095" s="9" t="s">
        <v>13284</v>
      </c>
      <c r="C1095" s="9" t="s">
        <v>13284</v>
      </c>
      <c r="D1095" s="9" t="s">
        <v>13284</v>
      </c>
      <c r="E1095" s="9" t="s">
        <v>13284</v>
      </c>
      <c r="F1095" s="9" t="s">
        <v>13284</v>
      </c>
      <c r="G1095" s="9" t="s">
        <v>13284</v>
      </c>
      <c r="H1095" s="9" t="s">
        <v>13284</v>
      </c>
      <c r="I1095" s="9" t="s">
        <v>13284</v>
      </c>
      <c r="J1095" s="9" t="s">
        <v>13284</v>
      </c>
      <c r="K1095" s="9" t="s">
        <v>13284</v>
      </c>
      <c r="L1095" s="9" t="s">
        <v>13284</v>
      </c>
      <c r="M1095" s="9" t="s">
        <v>13284</v>
      </c>
      <c r="N1095" s="9" t="s">
        <v>13284</v>
      </c>
      <c r="O1095" s="9" t="s">
        <v>13284</v>
      </c>
      <c r="P1095" s="9" t="s">
        <v>13284</v>
      </c>
      <c r="Q1095" s="9" t="s">
        <v>13284</v>
      </c>
      <c r="R1095" s="9" t="s">
        <v>13284</v>
      </c>
      <c r="S1095" s="9" t="s">
        <v>13284</v>
      </c>
      <c r="T1095" s="9" t="str">
        <f ca="1">IFERROR(IF(AND(VLOOKUP(A1095, 'Актуальное состояние (из общего'!A:C,3,0) = "", A1095 &lt;&gt; ""), "ПРОВЕРИТЬ", VLOOKUP(A1095, 'Актуальное состояние (из общего'!A:C,3,0)), "")</f>
        <v>Студент</v>
      </c>
      <c r="U1095" s="9" t="s">
        <v>13284</v>
      </c>
      <c r="V1095" s="9" t="s">
        <v>13284</v>
      </c>
      <c r="W1095" s="12"/>
      <c r="X1095" s="9" t="str">
        <f t="array" ref="X1095">IFERROR(INDEX('Адреса общежитий (скрытый)'!$B$2:$B$9, MATCH(W1095, 'Адреса общежитий (скрытый)'!$A$2:$A$9, 0)), "")</f>
        <v/>
      </c>
      <c r="Y1095" s="18"/>
      <c r="Z1095" s="18"/>
      <c r="AA1095" s="18"/>
      <c r="AB1095" s="18"/>
      <c r="AC1095" s="18"/>
    </row>
    <row r="1096" spans="1:29" ht="32.25" hidden="1" customHeight="1">
      <c r="A1096" s="8">
        <v>2305966</v>
      </c>
      <c r="B1096" s="9" t="s">
        <v>13284</v>
      </c>
      <c r="C1096" s="9" t="s">
        <v>13284</v>
      </c>
      <c r="D1096" s="9" t="s">
        <v>13284</v>
      </c>
      <c r="E1096" s="9" t="s">
        <v>13284</v>
      </c>
      <c r="F1096" s="9" t="s">
        <v>13284</v>
      </c>
      <c r="G1096" s="9" t="s">
        <v>13284</v>
      </c>
      <c r="H1096" s="9" t="s">
        <v>13284</v>
      </c>
      <c r="I1096" s="9" t="s">
        <v>13284</v>
      </c>
      <c r="J1096" s="9" t="s">
        <v>13284</v>
      </c>
      <c r="K1096" s="9" t="s">
        <v>13284</v>
      </c>
      <c r="L1096" s="9" t="s">
        <v>13284</v>
      </c>
      <c r="M1096" s="9" t="s">
        <v>13284</v>
      </c>
      <c r="N1096" s="9" t="s">
        <v>13284</v>
      </c>
      <c r="O1096" s="9" t="s">
        <v>13284</v>
      </c>
      <c r="P1096" s="9" t="s">
        <v>13284</v>
      </c>
      <c r="Q1096" s="9" t="s">
        <v>13284</v>
      </c>
      <c r="R1096" s="9" t="s">
        <v>13284</v>
      </c>
      <c r="S1096" s="9" t="s">
        <v>13284</v>
      </c>
      <c r="T1096" s="9" t="str">
        <f ca="1">IFERROR(IF(AND(VLOOKUP(A1096, 'Актуальное состояние (из общего'!A:C,3,0) = "", A1096 &lt;&gt; ""), "ПРОВЕРИТЬ", VLOOKUP(A1096, 'Актуальное состояние (из общего'!A:C,3,0)), "")</f>
        <v>Студент</v>
      </c>
      <c r="U1096" s="9" t="s">
        <v>13284</v>
      </c>
      <c r="V1096" s="9" t="s">
        <v>13284</v>
      </c>
      <c r="W1096" s="12"/>
      <c r="X1096" s="9" t="str">
        <f t="array" ref="X1096">IFERROR(INDEX('Адреса общежитий (скрытый)'!$B$2:$B$9, MATCH(W1096, 'Адреса общежитий (скрытый)'!$A$2:$A$9, 0)), "")</f>
        <v/>
      </c>
      <c r="Y1096" s="18"/>
      <c r="Z1096" s="18"/>
      <c r="AA1096" s="18"/>
      <c r="AB1096" s="18"/>
      <c r="AC1096" s="18"/>
    </row>
    <row r="1097" spans="1:29" ht="32.25" customHeight="1">
      <c r="A1097" s="8">
        <v>2312474</v>
      </c>
      <c r="B1097" s="9" t="s">
        <v>13284</v>
      </c>
      <c r="C1097" s="9" t="s">
        <v>13284</v>
      </c>
      <c r="D1097" s="9" t="s">
        <v>13284</v>
      </c>
      <c r="E1097" s="9" t="s">
        <v>13284</v>
      </c>
      <c r="F1097" s="9" t="s">
        <v>13284</v>
      </c>
      <c r="G1097" s="9" t="s">
        <v>13284</v>
      </c>
      <c r="H1097" s="9" t="s">
        <v>13284</v>
      </c>
      <c r="I1097" s="9" t="s">
        <v>13284</v>
      </c>
      <c r="J1097" s="9" t="s">
        <v>13284</v>
      </c>
      <c r="K1097" s="9" t="s">
        <v>13284</v>
      </c>
      <c r="L1097" s="9" t="s">
        <v>13284</v>
      </c>
      <c r="M1097" s="9" t="s">
        <v>13284</v>
      </c>
      <c r="N1097" s="9" t="s">
        <v>13284</v>
      </c>
      <c r="O1097" s="9" t="s">
        <v>13284</v>
      </c>
      <c r="P1097" s="9" t="s">
        <v>13284</v>
      </c>
      <c r="Q1097" s="9" t="s">
        <v>13284</v>
      </c>
      <c r="R1097" s="9" t="s">
        <v>13284</v>
      </c>
      <c r="S1097" s="9" t="s">
        <v>13284</v>
      </c>
      <c r="T1097" s="9" t="str">
        <f ca="1">IFERROR(IF(AND(VLOOKUP(A1097, 'Актуальное состояние (из общего'!A:C,3,0) = "", A1097 &lt;&gt; ""), "ПРОВЕРИТЬ", VLOOKUP(A1097, 'Актуальное состояние (из общего'!A:C,3,0)), "")</f>
        <v>Студент</v>
      </c>
      <c r="U1097" s="9" t="s">
        <v>13284</v>
      </c>
      <c r="V1097" s="9" t="s">
        <v>13284</v>
      </c>
      <c r="W1097" s="12"/>
      <c r="X1097" s="9" t="str">
        <f t="array" ref="X1097">IFERROR(INDEX('Адреса общежитий (скрытый)'!$B$2:$B$9, MATCH(W1097, 'Адреса общежитий (скрытый)'!$A$2:$A$9, 0)), "")</f>
        <v/>
      </c>
      <c r="Y1097" s="18"/>
      <c r="Z1097" s="18"/>
      <c r="AA1097" s="18"/>
      <c r="AB1097" s="18"/>
      <c r="AC1097" s="18"/>
    </row>
    <row r="1098" spans="1:29" ht="32.25" customHeight="1">
      <c r="A1098" s="8">
        <v>2311308</v>
      </c>
      <c r="B1098" s="9" t="s">
        <v>13284</v>
      </c>
      <c r="C1098" s="9" t="s">
        <v>13284</v>
      </c>
      <c r="D1098" s="9" t="s">
        <v>13284</v>
      </c>
      <c r="E1098" s="9" t="s">
        <v>13284</v>
      </c>
      <c r="F1098" s="9" t="s">
        <v>13284</v>
      </c>
      <c r="G1098" s="9" t="s">
        <v>13284</v>
      </c>
      <c r="H1098" s="9" t="s">
        <v>13284</v>
      </c>
      <c r="I1098" s="9" t="s">
        <v>13284</v>
      </c>
      <c r="J1098" s="9" t="s">
        <v>13284</v>
      </c>
      <c r="K1098" s="9" t="s">
        <v>13284</v>
      </c>
      <c r="L1098" s="9" t="s">
        <v>13284</v>
      </c>
      <c r="M1098" s="9" t="s">
        <v>13284</v>
      </c>
      <c r="N1098" s="9" t="s">
        <v>13284</v>
      </c>
      <c r="O1098" s="9" t="s">
        <v>13284</v>
      </c>
      <c r="P1098" s="9" t="s">
        <v>13284</v>
      </c>
      <c r="Q1098" s="9" t="s">
        <v>13284</v>
      </c>
      <c r="R1098" s="9" t="s">
        <v>13284</v>
      </c>
      <c r="S1098" s="9" t="s">
        <v>13284</v>
      </c>
      <c r="T1098" s="9" t="str">
        <f ca="1">IFERROR(IF(AND(VLOOKUP(A1098, 'Актуальное состояние (из общего'!A:C,3,0) = "", A1098 &lt;&gt; ""), "ПРОВЕРИТЬ", VLOOKUP(A1098, 'Актуальное состояние (из общего'!A:C,3,0)), "")</f>
        <v>Студент</v>
      </c>
      <c r="U1098" s="9" t="s">
        <v>13284</v>
      </c>
      <c r="V1098" s="9" t="s">
        <v>13284</v>
      </c>
      <c r="W1098" s="9" t="s">
        <v>319</v>
      </c>
      <c r="X1098" s="9" t="str">
        <f t="array" ref="X1098">IFERROR(INDEX('Адреса общежитий (скрытый)'!$B$2:$B$9, MATCH(W1098, 'Адреса общежитий (скрытый)'!$A$2:$A$9, 0)), "")</f>
        <v>ул. Профсоюзная, д.83, корп. 2</v>
      </c>
      <c r="Y1098" s="18"/>
      <c r="Z1098" s="18"/>
      <c r="AA1098" s="18"/>
      <c r="AB1098" s="18"/>
      <c r="AC1098" s="18"/>
    </row>
    <row r="1099" spans="1:29" ht="32.25" hidden="1" customHeight="1">
      <c r="A1099" s="8">
        <v>2304208</v>
      </c>
      <c r="B1099" s="9" t="s">
        <v>13284</v>
      </c>
      <c r="C1099" s="9" t="s">
        <v>13284</v>
      </c>
      <c r="D1099" s="9" t="s">
        <v>13284</v>
      </c>
      <c r="E1099" s="9" t="s">
        <v>13284</v>
      </c>
      <c r="F1099" s="9" t="s">
        <v>13284</v>
      </c>
      <c r="G1099" s="9" t="s">
        <v>13284</v>
      </c>
      <c r="H1099" s="9" t="s">
        <v>13284</v>
      </c>
      <c r="I1099" s="9" t="s">
        <v>13284</v>
      </c>
      <c r="J1099" s="9" t="s">
        <v>13284</v>
      </c>
      <c r="K1099" s="9" t="s">
        <v>13284</v>
      </c>
      <c r="L1099" s="9" t="s">
        <v>13284</v>
      </c>
      <c r="M1099" s="9" t="s">
        <v>13284</v>
      </c>
      <c r="N1099" s="9" t="s">
        <v>13284</v>
      </c>
      <c r="O1099" s="9" t="s">
        <v>13284</v>
      </c>
      <c r="P1099" s="9" t="s">
        <v>13284</v>
      </c>
      <c r="Q1099" s="9" t="s">
        <v>13284</v>
      </c>
      <c r="R1099" s="9" t="s">
        <v>13284</v>
      </c>
      <c r="S1099" s="9" t="s">
        <v>13284</v>
      </c>
      <c r="T1099" s="9" t="str">
        <f ca="1">IFERROR(IF(AND(VLOOKUP(A1099, 'Актуальное состояние (из общего'!A:C,3,0) = "", A1099 &lt;&gt; ""), "ПРОВЕРИТЬ", VLOOKUP(A1099, 'Актуальное состояние (из общего'!A:C,3,0)), "")</f>
        <v>Студент</v>
      </c>
      <c r="U1099" s="9" t="s">
        <v>13284</v>
      </c>
      <c r="V1099" s="9" t="s">
        <v>13284</v>
      </c>
      <c r="W1099" s="12"/>
      <c r="X1099" s="9" t="str">
        <f t="array" ref="X1099">IFERROR(INDEX('Адреса общежитий (скрытый)'!$B$2:$B$9, MATCH(W1099, 'Адреса общежитий (скрытый)'!$A$2:$A$9, 0)), "")</f>
        <v/>
      </c>
      <c r="Y1099" s="18"/>
      <c r="Z1099" s="18"/>
      <c r="AA1099" s="18"/>
      <c r="AB1099" s="18"/>
      <c r="AC1099" s="18"/>
    </row>
    <row r="1100" spans="1:29" ht="32.25" hidden="1" customHeight="1">
      <c r="A1100" s="8">
        <v>2308511</v>
      </c>
      <c r="B1100" s="9" t="s">
        <v>13284</v>
      </c>
      <c r="C1100" s="9" t="s">
        <v>13284</v>
      </c>
      <c r="D1100" s="9" t="s">
        <v>13284</v>
      </c>
      <c r="E1100" s="9" t="s">
        <v>13284</v>
      </c>
      <c r="F1100" s="9" t="s">
        <v>13284</v>
      </c>
      <c r="G1100" s="9" t="s">
        <v>13284</v>
      </c>
      <c r="H1100" s="9" t="s">
        <v>13284</v>
      </c>
      <c r="I1100" s="9" t="s">
        <v>13284</v>
      </c>
      <c r="J1100" s="9" t="s">
        <v>13284</v>
      </c>
      <c r="K1100" s="9" t="s">
        <v>13284</v>
      </c>
      <c r="L1100" s="9" t="s">
        <v>13284</v>
      </c>
      <c r="M1100" s="9" t="s">
        <v>13284</v>
      </c>
      <c r="N1100" s="9" t="s">
        <v>13284</v>
      </c>
      <c r="O1100" s="9" t="s">
        <v>13284</v>
      </c>
      <c r="P1100" s="9" t="s">
        <v>13284</v>
      </c>
      <c r="Q1100" s="9" t="s">
        <v>13284</v>
      </c>
      <c r="R1100" s="9" t="s">
        <v>13284</v>
      </c>
      <c r="S1100" s="9" t="s">
        <v>13284</v>
      </c>
      <c r="T1100" s="9" t="str">
        <f ca="1">IFERROR(IF(AND(VLOOKUP(A1100, 'Актуальное состояние (из общего'!A:C,3,0) = "", A1100 &lt;&gt; ""), "ПРОВЕРИТЬ", VLOOKUP(A1100, 'Актуальное состояние (из общего'!A:C,3,0)), "")</f>
        <v>Студент</v>
      </c>
      <c r="U1100" s="9" t="s">
        <v>13284</v>
      </c>
      <c r="V1100" s="9" t="s">
        <v>13284</v>
      </c>
      <c r="W1100" s="12"/>
      <c r="X1100" s="9" t="str">
        <f t="array" ref="X1100">IFERROR(INDEX('Адреса общежитий (скрытый)'!$B$2:$B$9, MATCH(W1100, 'Адреса общежитий (скрытый)'!$A$2:$A$9, 0)), "")</f>
        <v/>
      </c>
      <c r="Y1100" s="18"/>
      <c r="Z1100" s="18"/>
      <c r="AA1100" s="18"/>
      <c r="AB1100" s="18"/>
      <c r="AC1100" s="18"/>
    </row>
    <row r="1101" spans="1:29" ht="32.25" hidden="1" customHeight="1">
      <c r="A1101" s="8">
        <v>2301874</v>
      </c>
      <c r="B1101" s="9" t="s">
        <v>13284</v>
      </c>
      <c r="C1101" s="9" t="s">
        <v>13284</v>
      </c>
      <c r="D1101" s="9" t="s">
        <v>13284</v>
      </c>
      <c r="E1101" s="9" t="s">
        <v>13284</v>
      </c>
      <c r="F1101" s="9" t="s">
        <v>13284</v>
      </c>
      <c r="G1101" s="9" t="s">
        <v>13284</v>
      </c>
      <c r="H1101" s="9" t="s">
        <v>13284</v>
      </c>
      <c r="I1101" s="9" t="s">
        <v>13284</v>
      </c>
      <c r="J1101" s="9" t="s">
        <v>13284</v>
      </c>
      <c r="K1101" s="9" t="s">
        <v>13284</v>
      </c>
      <c r="L1101" s="9" t="s">
        <v>13284</v>
      </c>
      <c r="M1101" s="9" t="s">
        <v>13284</v>
      </c>
      <c r="N1101" s="9" t="s">
        <v>13284</v>
      </c>
      <c r="O1101" s="9" t="s">
        <v>13284</v>
      </c>
      <c r="P1101" s="9" t="s">
        <v>13284</v>
      </c>
      <c r="Q1101" s="9" t="s">
        <v>13284</v>
      </c>
      <c r="R1101" s="9" t="s">
        <v>13284</v>
      </c>
      <c r="S1101" s="9" t="s">
        <v>13284</v>
      </c>
      <c r="T1101" s="9" t="str">
        <f ca="1">IFERROR(IF(AND(VLOOKUP(A1101, 'Актуальное состояние (из общего'!A:C,3,0) = "", A1101 &lt;&gt; ""), "ПРОВЕРИТЬ", VLOOKUP(A1101, 'Актуальное состояние (из общего'!A:C,3,0)), "")</f>
        <v>Студент</v>
      </c>
      <c r="U1101" s="9" t="s">
        <v>13284</v>
      </c>
      <c r="V1101" s="9" t="s">
        <v>13284</v>
      </c>
      <c r="W1101" s="12"/>
      <c r="X1101" s="9" t="str">
        <f t="array" ref="X1101">IFERROR(INDEX('Адреса общежитий (скрытый)'!$B$2:$B$9, MATCH(W1101, 'Адреса общежитий (скрытый)'!$A$2:$A$9, 0)), "")</f>
        <v/>
      </c>
      <c r="Y1101" s="18"/>
      <c r="Z1101" s="18"/>
      <c r="AA1101" s="18"/>
      <c r="AB1101" s="18"/>
      <c r="AC1101" s="18"/>
    </row>
    <row r="1102" spans="1:29" ht="32.25" hidden="1" customHeight="1">
      <c r="A1102" s="8">
        <v>2302500</v>
      </c>
      <c r="B1102" s="9" t="s">
        <v>13284</v>
      </c>
      <c r="C1102" s="9" t="s">
        <v>13284</v>
      </c>
      <c r="D1102" s="9" t="s">
        <v>13284</v>
      </c>
      <c r="E1102" s="9" t="s">
        <v>13284</v>
      </c>
      <c r="F1102" s="9" t="s">
        <v>13284</v>
      </c>
      <c r="G1102" s="9" t="s">
        <v>13284</v>
      </c>
      <c r="H1102" s="9" t="s">
        <v>13284</v>
      </c>
      <c r="I1102" s="9" t="s">
        <v>13284</v>
      </c>
      <c r="J1102" s="9" t="s">
        <v>13284</v>
      </c>
      <c r="K1102" s="9" t="s">
        <v>13284</v>
      </c>
      <c r="L1102" s="9" t="s">
        <v>13284</v>
      </c>
      <c r="M1102" s="9" t="s">
        <v>13284</v>
      </c>
      <c r="N1102" s="9" t="s">
        <v>13284</v>
      </c>
      <c r="O1102" s="9" t="s">
        <v>13284</v>
      </c>
      <c r="P1102" s="9" t="s">
        <v>13284</v>
      </c>
      <c r="Q1102" s="9" t="s">
        <v>13284</v>
      </c>
      <c r="R1102" s="9" t="s">
        <v>13284</v>
      </c>
      <c r="S1102" s="9" t="s">
        <v>13284</v>
      </c>
      <c r="T1102" s="9" t="str">
        <f ca="1">IFERROR(IF(AND(VLOOKUP(A1102, 'Актуальное состояние (из общего'!A:C,3,0) = "", A1102 &lt;&gt; ""), "ПРОВЕРИТЬ", VLOOKUP(A1102, 'Актуальное состояние (из общего'!A:C,3,0)), "")</f>
        <v>Студент</v>
      </c>
      <c r="U1102" s="9" t="s">
        <v>13284</v>
      </c>
      <c r="V1102" s="9" t="s">
        <v>13284</v>
      </c>
      <c r="W1102" s="12"/>
      <c r="X1102" s="9" t="str">
        <f t="array" ref="X1102">IFERROR(INDEX('Адреса общежитий (скрытый)'!$B$2:$B$9, MATCH(W1102, 'Адреса общежитий (скрытый)'!$A$2:$A$9, 0)), "")</f>
        <v/>
      </c>
      <c r="Y1102" s="18"/>
      <c r="Z1102" s="18"/>
      <c r="AA1102" s="18"/>
      <c r="AB1102" s="18"/>
      <c r="AC1102" s="18"/>
    </row>
    <row r="1103" spans="1:29" ht="32.25" hidden="1" customHeight="1">
      <c r="A1103" s="8">
        <v>2301706</v>
      </c>
      <c r="B1103" s="9" t="s">
        <v>13284</v>
      </c>
      <c r="C1103" s="9" t="s">
        <v>13284</v>
      </c>
      <c r="D1103" s="9" t="s">
        <v>13284</v>
      </c>
      <c r="E1103" s="9" t="s">
        <v>13284</v>
      </c>
      <c r="F1103" s="9" t="s">
        <v>13284</v>
      </c>
      <c r="G1103" s="9" t="s">
        <v>13284</v>
      </c>
      <c r="H1103" s="9" t="s">
        <v>13284</v>
      </c>
      <c r="I1103" s="9" t="s">
        <v>13284</v>
      </c>
      <c r="J1103" s="9" t="s">
        <v>13284</v>
      </c>
      <c r="K1103" s="9" t="s">
        <v>13284</v>
      </c>
      <c r="L1103" s="9" t="s">
        <v>13284</v>
      </c>
      <c r="M1103" s="9" t="s">
        <v>13284</v>
      </c>
      <c r="N1103" s="9" t="s">
        <v>13284</v>
      </c>
      <c r="O1103" s="9" t="s">
        <v>13284</v>
      </c>
      <c r="P1103" s="9" t="s">
        <v>13284</v>
      </c>
      <c r="Q1103" s="9" t="s">
        <v>13284</v>
      </c>
      <c r="R1103" s="9" t="s">
        <v>13284</v>
      </c>
      <c r="S1103" s="9" t="s">
        <v>13284</v>
      </c>
      <c r="T1103" s="9" t="str">
        <f ca="1">IFERROR(IF(AND(VLOOKUP(A1103, 'Актуальное состояние (из общего'!A:C,3,0) = "", A1103 &lt;&gt; ""), "ПРОВЕРИТЬ", VLOOKUP(A1103, 'Актуальное состояние (из общего'!A:C,3,0)), "")</f>
        <v>Студент</v>
      </c>
      <c r="U1103" s="9" t="s">
        <v>13284</v>
      </c>
      <c r="V1103" s="9" t="s">
        <v>13284</v>
      </c>
      <c r="W1103" s="12"/>
      <c r="X1103" s="9" t="str">
        <f t="array" ref="X1103">IFERROR(INDEX('Адреса общежитий (скрытый)'!$B$2:$B$9, MATCH(W1103, 'Адреса общежитий (скрытый)'!$A$2:$A$9, 0)), "")</f>
        <v/>
      </c>
      <c r="Y1103" s="18"/>
      <c r="Z1103" s="18"/>
      <c r="AA1103" s="18"/>
      <c r="AB1103" s="18"/>
      <c r="AC1103" s="18"/>
    </row>
    <row r="1104" spans="1:29" ht="32.25" customHeight="1">
      <c r="A1104" s="8">
        <v>2303608</v>
      </c>
      <c r="B1104" s="9" t="s">
        <v>13284</v>
      </c>
      <c r="C1104" s="9" t="s">
        <v>13284</v>
      </c>
      <c r="D1104" s="9" t="s">
        <v>13284</v>
      </c>
      <c r="E1104" s="9" t="s">
        <v>13284</v>
      </c>
      <c r="F1104" s="9" t="s">
        <v>13284</v>
      </c>
      <c r="G1104" s="9" t="s">
        <v>13284</v>
      </c>
      <c r="H1104" s="9" t="s">
        <v>13284</v>
      </c>
      <c r="I1104" s="9" t="s">
        <v>13284</v>
      </c>
      <c r="J1104" s="9" t="s">
        <v>13284</v>
      </c>
      <c r="K1104" s="9" t="s">
        <v>13284</v>
      </c>
      <c r="L1104" s="9" t="s">
        <v>13284</v>
      </c>
      <c r="M1104" s="9" t="s">
        <v>13284</v>
      </c>
      <c r="N1104" s="9" t="s">
        <v>13284</v>
      </c>
      <c r="O1104" s="9" t="s">
        <v>13284</v>
      </c>
      <c r="P1104" s="9" t="s">
        <v>13284</v>
      </c>
      <c r="Q1104" s="9" t="s">
        <v>13284</v>
      </c>
      <c r="R1104" s="9" t="s">
        <v>13284</v>
      </c>
      <c r="S1104" s="9" t="s">
        <v>13284</v>
      </c>
      <c r="T1104" s="9" t="str">
        <f ca="1">IFERROR(IF(AND(VLOOKUP(A1104, 'Актуальное состояние (из общего'!A:C,3,0) = "", A1104 &lt;&gt; ""), "ПРОВЕРИТЬ", VLOOKUP(A1104, 'Актуальное состояние (из общего'!A:C,3,0)), "")</f>
        <v>Студент</v>
      </c>
      <c r="U1104" s="9" t="s">
        <v>13284</v>
      </c>
      <c r="V1104" s="9" t="s">
        <v>13284</v>
      </c>
      <c r="W1104" s="9" t="s">
        <v>319</v>
      </c>
      <c r="X1104" s="9" t="str">
        <f t="array" ref="X1104">IFERROR(INDEX('Адреса общежитий (скрытый)'!$B$2:$B$9, MATCH(W1104, 'Адреса общежитий (скрытый)'!$A$2:$A$9, 0)), "")</f>
        <v>ул. Профсоюзная, д.83, корп. 2</v>
      </c>
      <c r="Y1104" s="18"/>
      <c r="Z1104" s="18"/>
      <c r="AA1104" s="18"/>
      <c r="AB1104" s="18"/>
      <c r="AC1104" s="18"/>
    </row>
    <row r="1105" spans="1:29" ht="32.25" hidden="1" customHeight="1">
      <c r="A1105" s="8">
        <v>2303197</v>
      </c>
      <c r="B1105" s="9" t="s">
        <v>13284</v>
      </c>
      <c r="C1105" s="9" t="s">
        <v>13284</v>
      </c>
      <c r="D1105" s="9" t="s">
        <v>13284</v>
      </c>
      <c r="E1105" s="9" t="s">
        <v>13284</v>
      </c>
      <c r="F1105" s="9" t="s">
        <v>13284</v>
      </c>
      <c r="G1105" s="9" t="s">
        <v>13284</v>
      </c>
      <c r="H1105" s="9" t="s">
        <v>13284</v>
      </c>
      <c r="I1105" s="9" t="s">
        <v>13284</v>
      </c>
      <c r="J1105" s="9" t="s">
        <v>13284</v>
      </c>
      <c r="K1105" s="9" t="s">
        <v>13284</v>
      </c>
      <c r="L1105" s="9" t="s">
        <v>13284</v>
      </c>
      <c r="M1105" s="9" t="s">
        <v>13284</v>
      </c>
      <c r="N1105" s="9" t="s">
        <v>13284</v>
      </c>
      <c r="O1105" s="9" t="s">
        <v>13284</v>
      </c>
      <c r="P1105" s="9" t="s">
        <v>13284</v>
      </c>
      <c r="Q1105" s="9" t="s">
        <v>13284</v>
      </c>
      <c r="R1105" s="9" t="s">
        <v>13284</v>
      </c>
      <c r="S1105" s="9" t="s">
        <v>13284</v>
      </c>
      <c r="T1105" s="9" t="str">
        <f ca="1">IFERROR(IF(AND(VLOOKUP(A1105, 'Актуальное состояние (из общего'!A:C,3,0) = "", A1105 &lt;&gt; ""), "ПРОВЕРИТЬ", VLOOKUP(A1105, 'Актуальное состояние (из общего'!A:C,3,0)), "")</f>
        <v>Студент</v>
      </c>
      <c r="U1105" s="9" t="s">
        <v>13284</v>
      </c>
      <c r="V1105" s="9" t="s">
        <v>13284</v>
      </c>
      <c r="W1105" s="12"/>
      <c r="X1105" s="9" t="str">
        <f t="array" ref="X1105">IFERROR(INDEX('Адреса общежитий (скрытый)'!$B$2:$B$9, MATCH(W1105, 'Адреса общежитий (скрытый)'!$A$2:$A$9, 0)), "")</f>
        <v/>
      </c>
      <c r="Y1105" s="18"/>
      <c r="Z1105" s="18"/>
      <c r="AA1105" s="18"/>
      <c r="AB1105" s="18"/>
      <c r="AC1105" s="18"/>
    </row>
    <row r="1106" spans="1:29" ht="32.25" hidden="1" customHeight="1">
      <c r="A1106" s="8">
        <v>2302151</v>
      </c>
      <c r="B1106" s="9" t="s">
        <v>13284</v>
      </c>
      <c r="C1106" s="9" t="s">
        <v>13284</v>
      </c>
      <c r="D1106" s="9" t="s">
        <v>13284</v>
      </c>
      <c r="E1106" s="9" t="s">
        <v>13284</v>
      </c>
      <c r="F1106" s="9" t="s">
        <v>13284</v>
      </c>
      <c r="G1106" s="9" t="s">
        <v>13284</v>
      </c>
      <c r="H1106" s="9" t="s">
        <v>13284</v>
      </c>
      <c r="I1106" s="9" t="s">
        <v>13284</v>
      </c>
      <c r="J1106" s="9" t="s">
        <v>13284</v>
      </c>
      <c r="K1106" s="9" t="s">
        <v>13284</v>
      </c>
      <c r="L1106" s="9" t="s">
        <v>13284</v>
      </c>
      <c r="M1106" s="9" t="s">
        <v>13284</v>
      </c>
      <c r="N1106" s="9" t="s">
        <v>13284</v>
      </c>
      <c r="O1106" s="9" t="s">
        <v>13284</v>
      </c>
      <c r="P1106" s="9" t="s">
        <v>13284</v>
      </c>
      <c r="Q1106" s="9" t="s">
        <v>13284</v>
      </c>
      <c r="R1106" s="9" t="s">
        <v>13284</v>
      </c>
      <c r="S1106" s="9" t="s">
        <v>13284</v>
      </c>
      <c r="T1106" s="9" t="str">
        <f ca="1">IFERROR(IF(AND(VLOOKUP(A1106, 'Актуальное состояние (из общего'!A:C,3,0) = "", A1106 &lt;&gt; ""), "ПРОВЕРИТЬ", VLOOKUP(A1106, 'Актуальное состояние (из общего'!A:C,3,0)), "")</f>
        <v>Студент</v>
      </c>
      <c r="U1106" s="9" t="s">
        <v>13284</v>
      </c>
      <c r="V1106" s="9" t="s">
        <v>13284</v>
      </c>
      <c r="W1106" s="12"/>
      <c r="X1106" s="9" t="str">
        <f t="array" ref="X1106">IFERROR(INDEX('Адреса общежитий (скрытый)'!$B$2:$B$9, MATCH(W1106, 'Адреса общежитий (скрытый)'!$A$2:$A$9, 0)), "")</f>
        <v/>
      </c>
      <c r="Y1106" s="18"/>
      <c r="Z1106" s="18"/>
      <c r="AA1106" s="18"/>
      <c r="AB1106" s="18"/>
      <c r="AC1106" s="18"/>
    </row>
    <row r="1107" spans="1:29" ht="32.25" hidden="1" customHeight="1">
      <c r="A1107" s="8">
        <v>2307442</v>
      </c>
      <c r="B1107" s="9" t="s">
        <v>13284</v>
      </c>
      <c r="C1107" s="9" t="s">
        <v>13284</v>
      </c>
      <c r="D1107" s="9" t="s">
        <v>13284</v>
      </c>
      <c r="E1107" s="9" t="s">
        <v>13284</v>
      </c>
      <c r="F1107" s="9" t="s">
        <v>13284</v>
      </c>
      <c r="G1107" s="9" t="s">
        <v>13284</v>
      </c>
      <c r="H1107" s="9" t="s">
        <v>13284</v>
      </c>
      <c r="I1107" s="9" t="s">
        <v>13284</v>
      </c>
      <c r="J1107" s="9" t="s">
        <v>13284</v>
      </c>
      <c r="K1107" s="9" t="s">
        <v>13284</v>
      </c>
      <c r="L1107" s="9" t="s">
        <v>13284</v>
      </c>
      <c r="M1107" s="9" t="s">
        <v>13284</v>
      </c>
      <c r="N1107" s="9" t="s">
        <v>13284</v>
      </c>
      <c r="O1107" s="9" t="s">
        <v>13284</v>
      </c>
      <c r="P1107" s="9" t="s">
        <v>13284</v>
      </c>
      <c r="Q1107" s="9" t="s">
        <v>13284</v>
      </c>
      <c r="R1107" s="9" t="s">
        <v>13284</v>
      </c>
      <c r="S1107" s="9" t="s">
        <v>13284</v>
      </c>
      <c r="T1107" s="9" t="str">
        <f ca="1">IFERROR(IF(AND(VLOOKUP(A1107, 'Актуальное состояние (из общего'!A:C,3,0) = "", A1107 &lt;&gt; ""), "ПРОВЕРИТЬ", VLOOKUP(A1107, 'Актуальное состояние (из общего'!A:C,3,0)), "")</f>
        <v>Студент</v>
      </c>
      <c r="U1107" s="9" t="s">
        <v>13284</v>
      </c>
      <c r="V1107" s="9" t="s">
        <v>13284</v>
      </c>
      <c r="W1107" s="12"/>
      <c r="X1107" s="9" t="str">
        <f t="array" ref="X1107">IFERROR(INDEX('Адреса общежитий (скрытый)'!$B$2:$B$9, MATCH(W1107, 'Адреса общежитий (скрытый)'!$A$2:$A$9, 0)), "")</f>
        <v/>
      </c>
      <c r="Y1107" s="18"/>
      <c r="Z1107" s="18"/>
      <c r="AA1107" s="18"/>
      <c r="AB1107" s="18"/>
      <c r="AC1107" s="18"/>
    </row>
    <row r="1108" spans="1:29" ht="32.25" hidden="1" customHeight="1">
      <c r="A1108" s="8">
        <v>2308281</v>
      </c>
      <c r="B1108" s="9" t="s">
        <v>13284</v>
      </c>
      <c r="C1108" s="9" t="s">
        <v>13284</v>
      </c>
      <c r="D1108" s="9" t="s">
        <v>13284</v>
      </c>
      <c r="E1108" s="9" t="s">
        <v>13284</v>
      </c>
      <c r="F1108" s="9" t="s">
        <v>13284</v>
      </c>
      <c r="G1108" s="9" t="s">
        <v>13284</v>
      </c>
      <c r="H1108" s="9" t="s">
        <v>13284</v>
      </c>
      <c r="I1108" s="9" t="s">
        <v>13284</v>
      </c>
      <c r="J1108" s="9" t="s">
        <v>13284</v>
      </c>
      <c r="K1108" s="9" t="s">
        <v>13284</v>
      </c>
      <c r="L1108" s="9" t="s">
        <v>13284</v>
      </c>
      <c r="M1108" s="9" t="s">
        <v>13284</v>
      </c>
      <c r="N1108" s="9" t="s">
        <v>13284</v>
      </c>
      <c r="O1108" s="9" t="s">
        <v>13284</v>
      </c>
      <c r="P1108" s="9" t="s">
        <v>13284</v>
      </c>
      <c r="Q1108" s="9" t="s">
        <v>13284</v>
      </c>
      <c r="R1108" s="9" t="s">
        <v>13284</v>
      </c>
      <c r="S1108" s="9" t="s">
        <v>13284</v>
      </c>
      <c r="T1108" s="9" t="str">
        <f ca="1">IFERROR(IF(AND(VLOOKUP(A1108, 'Актуальное состояние (из общего'!A:C,3,0) = "", A1108 &lt;&gt; ""), "ПРОВЕРИТЬ", VLOOKUP(A1108, 'Актуальное состояние (из общего'!A:C,3,0)), "")</f>
        <v>Студент</v>
      </c>
      <c r="U1108" s="9" t="s">
        <v>13284</v>
      </c>
      <c r="V1108" s="9" t="s">
        <v>13284</v>
      </c>
      <c r="W1108" s="12"/>
      <c r="X1108" s="9" t="str">
        <f t="array" ref="X1108">IFERROR(INDEX('Адреса общежитий (скрытый)'!$B$2:$B$9, MATCH(W1108, 'Адреса общежитий (скрытый)'!$A$2:$A$9, 0)), "")</f>
        <v/>
      </c>
      <c r="Y1108" s="18"/>
      <c r="Z1108" s="18"/>
      <c r="AA1108" s="18"/>
      <c r="AB1108" s="18"/>
      <c r="AC1108" s="18"/>
    </row>
    <row r="1109" spans="1:29" ht="32.25" hidden="1" customHeight="1">
      <c r="A1109" s="8">
        <v>2312782</v>
      </c>
      <c r="B1109" s="9" t="s">
        <v>13284</v>
      </c>
      <c r="C1109" s="9" t="s">
        <v>13284</v>
      </c>
      <c r="D1109" s="9" t="s">
        <v>13284</v>
      </c>
      <c r="E1109" s="9" t="s">
        <v>13284</v>
      </c>
      <c r="F1109" s="9" t="s">
        <v>13284</v>
      </c>
      <c r="G1109" s="9" t="s">
        <v>13284</v>
      </c>
      <c r="H1109" s="9" t="s">
        <v>13284</v>
      </c>
      <c r="I1109" s="9" t="s">
        <v>13284</v>
      </c>
      <c r="J1109" s="9" t="s">
        <v>13284</v>
      </c>
      <c r="K1109" s="9" t="s">
        <v>13284</v>
      </c>
      <c r="L1109" s="9" t="s">
        <v>13284</v>
      </c>
      <c r="M1109" s="9" t="s">
        <v>13284</v>
      </c>
      <c r="N1109" s="9" t="s">
        <v>13284</v>
      </c>
      <c r="O1109" s="9" t="s">
        <v>13284</v>
      </c>
      <c r="P1109" s="9" t="s">
        <v>13284</v>
      </c>
      <c r="Q1109" s="9" t="s">
        <v>13284</v>
      </c>
      <c r="R1109" s="9" t="s">
        <v>13284</v>
      </c>
      <c r="S1109" s="9" t="s">
        <v>13284</v>
      </c>
      <c r="T1109" s="9" t="str">
        <f ca="1">IFERROR(IF(AND(VLOOKUP(A1109, 'Актуальное состояние (из общего'!A:C,3,0) = "", A1109 &lt;&gt; ""), "ПРОВЕРИТЬ", VLOOKUP(A1109, 'Актуальное состояние (из общего'!A:C,3,0)), "")</f>
        <v>Студент</v>
      </c>
      <c r="U1109" s="9" t="s">
        <v>13284</v>
      </c>
      <c r="V1109" s="9" t="s">
        <v>13284</v>
      </c>
      <c r="W1109" s="12"/>
      <c r="X1109" s="9" t="str">
        <f t="array" ref="X1109">IFERROR(INDEX('Адреса общежитий (скрытый)'!$B$2:$B$9, MATCH(W1109, 'Адреса общежитий (скрытый)'!$A$2:$A$9, 0)), "")</f>
        <v/>
      </c>
      <c r="Y1109" s="18"/>
      <c r="Z1109" s="18"/>
      <c r="AA1109" s="18"/>
      <c r="AB1109" s="18"/>
      <c r="AC1109" s="18"/>
    </row>
    <row r="1110" spans="1:29" ht="32.25" hidden="1" customHeight="1">
      <c r="A1110" s="8">
        <v>2308050</v>
      </c>
      <c r="B1110" s="9" t="s">
        <v>13284</v>
      </c>
      <c r="C1110" s="9" t="s">
        <v>13284</v>
      </c>
      <c r="D1110" s="9" t="s">
        <v>13284</v>
      </c>
      <c r="E1110" s="9" t="s">
        <v>13284</v>
      </c>
      <c r="F1110" s="9" t="s">
        <v>13284</v>
      </c>
      <c r="G1110" s="9" t="s">
        <v>13284</v>
      </c>
      <c r="H1110" s="9" t="s">
        <v>13284</v>
      </c>
      <c r="I1110" s="9" t="s">
        <v>13284</v>
      </c>
      <c r="J1110" s="9" t="s">
        <v>13284</v>
      </c>
      <c r="K1110" s="9" t="s">
        <v>13284</v>
      </c>
      <c r="L1110" s="9" t="s">
        <v>13284</v>
      </c>
      <c r="M1110" s="9" t="s">
        <v>13284</v>
      </c>
      <c r="N1110" s="9" t="s">
        <v>13284</v>
      </c>
      <c r="O1110" s="9" t="s">
        <v>13284</v>
      </c>
      <c r="P1110" s="9" t="s">
        <v>13284</v>
      </c>
      <c r="Q1110" s="9" t="s">
        <v>13284</v>
      </c>
      <c r="R1110" s="9" t="s">
        <v>13284</v>
      </c>
      <c r="S1110" s="9" t="s">
        <v>13284</v>
      </c>
      <c r="T1110" s="9" t="str">
        <f ca="1">IFERROR(IF(AND(VLOOKUP(A1110, 'Актуальное состояние (из общего'!A:C,3,0) = "", A1110 &lt;&gt; ""), "ПРОВЕРИТЬ", VLOOKUP(A1110, 'Актуальное состояние (из общего'!A:C,3,0)), "")</f>
        <v>Студент</v>
      </c>
      <c r="U1110" s="9" t="s">
        <v>13284</v>
      </c>
      <c r="V1110" s="9" t="s">
        <v>13284</v>
      </c>
      <c r="W1110" s="12"/>
      <c r="X1110" s="9" t="str">
        <f t="array" ref="X1110">IFERROR(INDEX('Адреса общежитий (скрытый)'!$B$2:$B$9, MATCH(W1110, 'Адреса общежитий (скрытый)'!$A$2:$A$9, 0)), "")</f>
        <v/>
      </c>
      <c r="Y1110" s="18"/>
      <c r="Z1110" s="18"/>
      <c r="AA1110" s="18"/>
      <c r="AB1110" s="18"/>
      <c r="AC1110" s="18"/>
    </row>
    <row r="1111" spans="1:29" ht="32.25" customHeight="1">
      <c r="A1111" s="8">
        <v>2307615</v>
      </c>
      <c r="B1111" s="9" t="s">
        <v>13284</v>
      </c>
      <c r="C1111" s="9" t="s">
        <v>13284</v>
      </c>
      <c r="D1111" s="9" t="s">
        <v>13284</v>
      </c>
      <c r="E1111" s="9" t="s">
        <v>13284</v>
      </c>
      <c r="F1111" s="9" t="s">
        <v>13284</v>
      </c>
      <c r="G1111" s="9" t="s">
        <v>13284</v>
      </c>
      <c r="H1111" s="9" t="s">
        <v>13284</v>
      </c>
      <c r="I1111" s="9" t="s">
        <v>13284</v>
      </c>
      <c r="J1111" s="9" t="s">
        <v>13284</v>
      </c>
      <c r="K1111" s="9" t="s">
        <v>13284</v>
      </c>
      <c r="L1111" s="9" t="s">
        <v>13284</v>
      </c>
      <c r="M1111" s="9" t="s">
        <v>13284</v>
      </c>
      <c r="N1111" s="9" t="s">
        <v>13284</v>
      </c>
      <c r="O1111" s="9" t="s">
        <v>13284</v>
      </c>
      <c r="P1111" s="9" t="s">
        <v>13284</v>
      </c>
      <c r="Q1111" s="9" t="s">
        <v>13284</v>
      </c>
      <c r="R1111" s="9" t="s">
        <v>13284</v>
      </c>
      <c r="S1111" s="9" t="s">
        <v>13284</v>
      </c>
      <c r="T1111" s="9" t="str">
        <f ca="1">IFERROR(IF(AND(VLOOKUP(A1111, 'Актуальное состояние (из общего'!A:C,3,0) = "", A1111 &lt;&gt; ""), "ПРОВЕРИТЬ", VLOOKUP(A1111, 'Актуальное состояние (из общего'!A:C,3,0)), "")</f>
        <v>Студент</v>
      </c>
      <c r="U1111" s="9" t="s">
        <v>13284</v>
      </c>
      <c r="V1111" s="9" t="s">
        <v>13284</v>
      </c>
      <c r="W1111" s="12"/>
      <c r="X1111" s="9" t="str">
        <f t="array" ref="X1111">IFERROR(INDEX('Адреса общежитий (скрытый)'!$B$2:$B$9, MATCH(W1111, 'Адреса общежитий (скрытый)'!$A$2:$A$9, 0)), "")</f>
        <v/>
      </c>
      <c r="Y1111" s="18"/>
      <c r="Z1111" s="18"/>
      <c r="AA1111" s="18"/>
      <c r="AB1111" s="18"/>
      <c r="AC1111" s="18"/>
    </row>
    <row r="1112" spans="1:29" ht="32.25" customHeight="1">
      <c r="A1112" s="8">
        <v>2302976</v>
      </c>
      <c r="B1112" s="9" t="s">
        <v>13284</v>
      </c>
      <c r="C1112" s="9" t="s">
        <v>13284</v>
      </c>
      <c r="D1112" s="9" t="s">
        <v>13284</v>
      </c>
      <c r="E1112" s="9" t="s">
        <v>13284</v>
      </c>
      <c r="F1112" s="9" t="s">
        <v>13284</v>
      </c>
      <c r="G1112" s="9" t="s">
        <v>13284</v>
      </c>
      <c r="H1112" s="9" t="s">
        <v>13284</v>
      </c>
      <c r="I1112" s="9" t="s">
        <v>13284</v>
      </c>
      <c r="J1112" s="9" t="s">
        <v>13284</v>
      </c>
      <c r="K1112" s="9" t="s">
        <v>13284</v>
      </c>
      <c r="L1112" s="9" t="s">
        <v>13284</v>
      </c>
      <c r="M1112" s="9" t="s">
        <v>13284</v>
      </c>
      <c r="N1112" s="9" t="s">
        <v>13284</v>
      </c>
      <c r="O1112" s="9" t="s">
        <v>13284</v>
      </c>
      <c r="P1112" s="9" t="s">
        <v>13284</v>
      </c>
      <c r="Q1112" s="9" t="s">
        <v>13284</v>
      </c>
      <c r="R1112" s="9" t="s">
        <v>13284</v>
      </c>
      <c r="S1112" s="9" t="s">
        <v>13284</v>
      </c>
      <c r="T1112" s="9" t="str">
        <f ca="1">IFERROR(IF(AND(VLOOKUP(A1112, 'Актуальное состояние (из общего'!A:C,3,0) = "", A1112 &lt;&gt; ""), "ПРОВЕРИТЬ", VLOOKUP(A1112, 'Актуальное состояние (из общего'!A:C,3,0)), "")</f>
        <v>Студент</v>
      </c>
      <c r="U1112" s="9" t="s">
        <v>13284</v>
      </c>
      <c r="V1112" s="9" t="s">
        <v>13284</v>
      </c>
      <c r="W1112" s="9" t="s">
        <v>319</v>
      </c>
      <c r="X1112" s="9" t="str">
        <f t="array" ref="X1112">IFERROR(INDEX('Адреса общежитий (скрытый)'!$B$2:$B$9, MATCH(W1112, 'Адреса общежитий (скрытый)'!$A$2:$A$9, 0)), "")</f>
        <v>ул. Профсоюзная, д.83, корп. 2</v>
      </c>
      <c r="Y1112" s="18"/>
      <c r="Z1112" s="18"/>
      <c r="AA1112" s="18"/>
      <c r="AB1112" s="18"/>
      <c r="AC1112" s="18"/>
    </row>
    <row r="1113" spans="1:29" ht="32.25" hidden="1" customHeight="1">
      <c r="A1113" s="8">
        <v>2303807</v>
      </c>
      <c r="B1113" s="9" t="s">
        <v>13284</v>
      </c>
      <c r="C1113" s="9" t="s">
        <v>13284</v>
      </c>
      <c r="D1113" s="9" t="s">
        <v>13284</v>
      </c>
      <c r="E1113" s="9" t="s">
        <v>13284</v>
      </c>
      <c r="F1113" s="9" t="s">
        <v>13284</v>
      </c>
      <c r="G1113" s="9" t="s">
        <v>13284</v>
      </c>
      <c r="H1113" s="9" t="s">
        <v>13284</v>
      </c>
      <c r="I1113" s="9" t="s">
        <v>13284</v>
      </c>
      <c r="J1113" s="9" t="s">
        <v>13284</v>
      </c>
      <c r="K1113" s="9" t="s">
        <v>13284</v>
      </c>
      <c r="L1113" s="9" t="s">
        <v>13284</v>
      </c>
      <c r="M1113" s="9" t="s">
        <v>13284</v>
      </c>
      <c r="N1113" s="9" t="s">
        <v>13284</v>
      </c>
      <c r="O1113" s="9" t="s">
        <v>13284</v>
      </c>
      <c r="P1113" s="9" t="s">
        <v>13284</v>
      </c>
      <c r="Q1113" s="9" t="s">
        <v>13284</v>
      </c>
      <c r="R1113" s="9" t="s">
        <v>13284</v>
      </c>
      <c r="S1113" s="9" t="s">
        <v>13284</v>
      </c>
      <c r="T1113" s="9" t="str">
        <f ca="1">IFERROR(IF(AND(VLOOKUP(A1113, 'Актуальное состояние (из общего'!A:C,3,0) = "", A1113 &lt;&gt; ""), "ПРОВЕРИТЬ", VLOOKUP(A1113, 'Актуальное состояние (из общего'!A:C,3,0)), "")</f>
        <v>Студент</v>
      </c>
      <c r="U1113" s="9" t="s">
        <v>13284</v>
      </c>
      <c r="V1113" s="9" t="s">
        <v>13284</v>
      </c>
      <c r="W1113" s="12"/>
      <c r="X1113" s="9" t="str">
        <f t="array" ref="X1113">IFERROR(INDEX('Адреса общежитий (скрытый)'!$B$2:$B$9, MATCH(W1113, 'Адреса общежитий (скрытый)'!$A$2:$A$9, 0)), "")</f>
        <v/>
      </c>
      <c r="Y1113" s="18"/>
      <c r="Z1113" s="18"/>
      <c r="AA1113" s="18"/>
      <c r="AB1113" s="18"/>
      <c r="AC1113" s="18"/>
    </row>
    <row r="1114" spans="1:29" ht="32.25" customHeight="1">
      <c r="A1114" s="8">
        <v>2313106</v>
      </c>
      <c r="B1114" s="9" t="s">
        <v>13284</v>
      </c>
      <c r="C1114" s="9" t="s">
        <v>13284</v>
      </c>
      <c r="D1114" s="9" t="s">
        <v>13284</v>
      </c>
      <c r="E1114" s="9" t="s">
        <v>13284</v>
      </c>
      <c r="F1114" s="9" t="s">
        <v>13284</v>
      </c>
      <c r="G1114" s="9" t="s">
        <v>13284</v>
      </c>
      <c r="H1114" s="9" t="s">
        <v>13284</v>
      </c>
      <c r="I1114" s="9" t="s">
        <v>13284</v>
      </c>
      <c r="J1114" s="9" t="s">
        <v>13284</v>
      </c>
      <c r="K1114" s="9" t="s">
        <v>13284</v>
      </c>
      <c r="L1114" s="9" t="s">
        <v>13284</v>
      </c>
      <c r="M1114" s="9" t="s">
        <v>13284</v>
      </c>
      <c r="N1114" s="9" t="s">
        <v>13284</v>
      </c>
      <c r="O1114" s="9" t="s">
        <v>13284</v>
      </c>
      <c r="P1114" s="9" t="s">
        <v>13284</v>
      </c>
      <c r="Q1114" s="9" t="s">
        <v>13284</v>
      </c>
      <c r="R1114" s="9" t="s">
        <v>13284</v>
      </c>
      <c r="S1114" s="9" t="s">
        <v>13284</v>
      </c>
      <c r="T1114" s="9" t="str">
        <f ca="1">IFERROR(IF(AND(VLOOKUP(A1114, 'Актуальное состояние (из общего'!A:C,3,0) = "", A1114 &lt;&gt; ""), "ПРОВЕРИТЬ", VLOOKUP(A1114, 'Актуальное состояние (из общего'!A:C,3,0)), "")</f>
        <v>Студент</v>
      </c>
      <c r="U1114" s="9" t="s">
        <v>13284</v>
      </c>
      <c r="V1114" s="9" t="s">
        <v>13284</v>
      </c>
      <c r="W1114" s="9" t="s">
        <v>319</v>
      </c>
      <c r="X1114" s="9" t="str">
        <f t="array" ref="X1114">IFERROR(INDEX('Адреса общежитий (скрытый)'!$B$2:$B$9, MATCH(W1114, 'Адреса общежитий (скрытый)'!$A$2:$A$9, 0)), "")</f>
        <v>ул. Профсоюзная, д.83, корп. 2</v>
      </c>
      <c r="Y1114" s="18"/>
      <c r="Z1114" s="18"/>
      <c r="AA1114" s="18"/>
      <c r="AB1114" s="18"/>
      <c r="AC1114" s="18"/>
    </row>
    <row r="1115" spans="1:29" ht="32.25" hidden="1" customHeight="1">
      <c r="A1115" s="8">
        <v>2311214</v>
      </c>
      <c r="B1115" s="9" t="s">
        <v>13284</v>
      </c>
      <c r="C1115" s="9" t="s">
        <v>13284</v>
      </c>
      <c r="D1115" s="9" t="s">
        <v>13284</v>
      </c>
      <c r="E1115" s="9" t="s">
        <v>13284</v>
      </c>
      <c r="F1115" s="9" t="s">
        <v>13284</v>
      </c>
      <c r="G1115" s="9" t="s">
        <v>13284</v>
      </c>
      <c r="H1115" s="9" t="s">
        <v>13284</v>
      </c>
      <c r="I1115" s="9" t="s">
        <v>13284</v>
      </c>
      <c r="J1115" s="9" t="s">
        <v>13284</v>
      </c>
      <c r="K1115" s="9" t="s">
        <v>13284</v>
      </c>
      <c r="L1115" s="9" t="s">
        <v>13284</v>
      </c>
      <c r="M1115" s="9" t="s">
        <v>13284</v>
      </c>
      <c r="N1115" s="9" t="s">
        <v>13284</v>
      </c>
      <c r="O1115" s="9" t="s">
        <v>13284</v>
      </c>
      <c r="P1115" s="9" t="s">
        <v>13284</v>
      </c>
      <c r="Q1115" s="9" t="s">
        <v>13284</v>
      </c>
      <c r="R1115" s="9" t="s">
        <v>13284</v>
      </c>
      <c r="S1115" s="9" t="s">
        <v>13284</v>
      </c>
      <c r="T1115" s="9" t="str">
        <f ca="1">IFERROR(IF(AND(VLOOKUP(A1115, 'Актуальное состояние (из общего'!A:C,3,0) = "", A1115 &lt;&gt; ""), "ПРОВЕРИТЬ", VLOOKUP(A1115, 'Актуальное состояние (из общего'!A:C,3,0)), "")</f>
        <v>Студент</v>
      </c>
      <c r="U1115" s="9" t="s">
        <v>13284</v>
      </c>
      <c r="V1115" s="9" t="s">
        <v>13284</v>
      </c>
      <c r="W1115" s="12"/>
      <c r="X1115" s="9" t="str">
        <f t="array" ref="X1115">IFERROR(INDEX('Адреса общежитий (скрытый)'!$B$2:$B$9, MATCH(W1115, 'Адреса общежитий (скрытый)'!$A$2:$A$9, 0)), "")</f>
        <v/>
      </c>
      <c r="Y1115" s="18"/>
      <c r="Z1115" s="18"/>
      <c r="AA1115" s="18"/>
      <c r="AB1115" s="18"/>
      <c r="AC1115" s="18"/>
    </row>
    <row r="1116" spans="1:29" ht="32.25" hidden="1" customHeight="1">
      <c r="A1116" s="8">
        <v>2301360</v>
      </c>
      <c r="B1116" s="9" t="s">
        <v>13284</v>
      </c>
      <c r="C1116" s="9" t="s">
        <v>13284</v>
      </c>
      <c r="D1116" s="9" t="s">
        <v>13284</v>
      </c>
      <c r="E1116" s="9" t="s">
        <v>13284</v>
      </c>
      <c r="F1116" s="9" t="s">
        <v>13284</v>
      </c>
      <c r="G1116" s="9" t="s">
        <v>13284</v>
      </c>
      <c r="H1116" s="9" t="s">
        <v>13284</v>
      </c>
      <c r="I1116" s="9" t="s">
        <v>13284</v>
      </c>
      <c r="J1116" s="9" t="s">
        <v>13284</v>
      </c>
      <c r="K1116" s="9" t="s">
        <v>13284</v>
      </c>
      <c r="L1116" s="9" t="s">
        <v>13284</v>
      </c>
      <c r="M1116" s="9" t="s">
        <v>13284</v>
      </c>
      <c r="N1116" s="9" t="s">
        <v>13284</v>
      </c>
      <c r="O1116" s="9" t="s">
        <v>13284</v>
      </c>
      <c r="P1116" s="9" t="s">
        <v>13284</v>
      </c>
      <c r="Q1116" s="9" t="s">
        <v>13284</v>
      </c>
      <c r="R1116" s="9" t="s">
        <v>13284</v>
      </c>
      <c r="S1116" s="9" t="s">
        <v>13284</v>
      </c>
      <c r="T1116" s="9" t="str">
        <f ca="1">IFERROR(IF(AND(VLOOKUP(A1116, 'Актуальное состояние (из общего'!A:C,3,0) = "", A1116 &lt;&gt; ""), "ПРОВЕРИТЬ", VLOOKUP(A1116, 'Актуальное состояние (из общего'!A:C,3,0)), "")</f>
        <v>Студент</v>
      </c>
      <c r="U1116" s="9" t="s">
        <v>13284</v>
      </c>
      <c r="V1116" s="9" t="s">
        <v>13284</v>
      </c>
      <c r="W1116" s="12"/>
      <c r="X1116" s="9" t="str">
        <f t="array" ref="X1116">IFERROR(INDEX('Адреса общежитий (скрытый)'!$B$2:$B$9, MATCH(W1116, 'Адреса общежитий (скрытый)'!$A$2:$A$9, 0)), "")</f>
        <v/>
      </c>
      <c r="Y1116" s="18"/>
      <c r="Z1116" s="18"/>
      <c r="AA1116" s="18"/>
      <c r="AB1116" s="18"/>
      <c r="AC1116" s="18"/>
    </row>
    <row r="1117" spans="1:29" ht="32.25" hidden="1" customHeight="1">
      <c r="A1117" s="8">
        <v>2311850</v>
      </c>
      <c r="B1117" s="9" t="s">
        <v>13284</v>
      </c>
      <c r="C1117" s="9" t="s">
        <v>13284</v>
      </c>
      <c r="D1117" s="9" t="s">
        <v>13284</v>
      </c>
      <c r="E1117" s="9" t="s">
        <v>13284</v>
      </c>
      <c r="F1117" s="9" t="s">
        <v>13284</v>
      </c>
      <c r="G1117" s="9" t="s">
        <v>13284</v>
      </c>
      <c r="H1117" s="9" t="s">
        <v>13284</v>
      </c>
      <c r="I1117" s="9" t="s">
        <v>13284</v>
      </c>
      <c r="J1117" s="9" t="s">
        <v>13284</v>
      </c>
      <c r="K1117" s="9" t="s">
        <v>13284</v>
      </c>
      <c r="L1117" s="9" t="s">
        <v>13284</v>
      </c>
      <c r="M1117" s="9" t="s">
        <v>13284</v>
      </c>
      <c r="N1117" s="9" t="s">
        <v>13284</v>
      </c>
      <c r="O1117" s="9" t="s">
        <v>13284</v>
      </c>
      <c r="P1117" s="9" t="s">
        <v>13284</v>
      </c>
      <c r="Q1117" s="9" t="s">
        <v>13284</v>
      </c>
      <c r="R1117" s="9" t="s">
        <v>13284</v>
      </c>
      <c r="S1117" s="9" t="s">
        <v>13284</v>
      </c>
      <c r="T1117" s="9" t="str">
        <f ca="1">IFERROR(IF(AND(VLOOKUP(A1117, 'Актуальное состояние (из общего'!A:C,3,0) = "", A1117 &lt;&gt; ""), "ПРОВЕРИТЬ", VLOOKUP(A1117, 'Актуальное состояние (из общего'!A:C,3,0)), "")</f>
        <v>Студент</v>
      </c>
      <c r="U1117" s="9" t="s">
        <v>13284</v>
      </c>
      <c r="V1117" s="9" t="s">
        <v>13284</v>
      </c>
      <c r="W1117" s="12"/>
      <c r="X1117" s="9" t="str">
        <f t="array" ref="X1117">IFERROR(INDEX('Адреса общежитий (скрытый)'!$B$2:$B$9, MATCH(W1117, 'Адреса общежитий (скрытый)'!$A$2:$A$9, 0)), "")</f>
        <v/>
      </c>
      <c r="Y1117" s="18"/>
      <c r="Z1117" s="18"/>
      <c r="AA1117" s="18"/>
      <c r="AB1117" s="18"/>
      <c r="AC1117" s="18"/>
    </row>
    <row r="1118" spans="1:29" ht="32.25" hidden="1" customHeight="1">
      <c r="A1118" s="8">
        <v>2309701</v>
      </c>
      <c r="B1118" s="9" t="s">
        <v>13284</v>
      </c>
      <c r="C1118" s="9" t="s">
        <v>13284</v>
      </c>
      <c r="D1118" s="9" t="s">
        <v>13284</v>
      </c>
      <c r="E1118" s="9" t="s">
        <v>13284</v>
      </c>
      <c r="F1118" s="9" t="s">
        <v>13284</v>
      </c>
      <c r="G1118" s="9" t="s">
        <v>13284</v>
      </c>
      <c r="H1118" s="9" t="s">
        <v>13284</v>
      </c>
      <c r="I1118" s="9" t="s">
        <v>13284</v>
      </c>
      <c r="J1118" s="9" t="s">
        <v>13284</v>
      </c>
      <c r="K1118" s="9" t="s">
        <v>13284</v>
      </c>
      <c r="L1118" s="9" t="s">
        <v>13284</v>
      </c>
      <c r="M1118" s="9" t="s">
        <v>13284</v>
      </c>
      <c r="N1118" s="9" t="s">
        <v>13284</v>
      </c>
      <c r="O1118" s="9" t="s">
        <v>13284</v>
      </c>
      <c r="P1118" s="9" t="s">
        <v>13284</v>
      </c>
      <c r="Q1118" s="9" t="s">
        <v>13284</v>
      </c>
      <c r="R1118" s="9" t="s">
        <v>13284</v>
      </c>
      <c r="S1118" s="9" t="s">
        <v>13284</v>
      </c>
      <c r="T1118" s="9" t="str">
        <f ca="1">IFERROR(IF(AND(VLOOKUP(A1118, 'Актуальное состояние (из общего'!A:C,3,0) = "", A1118 &lt;&gt; ""), "ПРОВЕРИТЬ", VLOOKUP(A1118, 'Актуальное состояние (из общего'!A:C,3,0)), "")</f>
        <v>Студент</v>
      </c>
      <c r="U1118" s="9" t="s">
        <v>13284</v>
      </c>
      <c r="V1118" s="9" t="s">
        <v>13284</v>
      </c>
      <c r="W1118" s="12"/>
      <c r="X1118" s="9" t="str">
        <f t="array" ref="X1118">IFERROR(INDEX('Адреса общежитий (скрытый)'!$B$2:$B$9, MATCH(W1118, 'Адреса общежитий (скрытый)'!$A$2:$A$9, 0)), "")</f>
        <v/>
      </c>
      <c r="Y1118" s="18"/>
      <c r="Z1118" s="18"/>
      <c r="AA1118" s="18"/>
      <c r="AB1118" s="18"/>
      <c r="AC1118" s="18"/>
    </row>
    <row r="1119" spans="1:29" ht="32.25" hidden="1" customHeight="1">
      <c r="A1119" s="8">
        <v>2312323</v>
      </c>
      <c r="B1119" s="9" t="s">
        <v>13284</v>
      </c>
      <c r="C1119" s="9" t="s">
        <v>13284</v>
      </c>
      <c r="D1119" s="9" t="s">
        <v>13284</v>
      </c>
      <c r="E1119" s="9" t="s">
        <v>13284</v>
      </c>
      <c r="F1119" s="9" t="s">
        <v>13284</v>
      </c>
      <c r="G1119" s="9" t="s">
        <v>13284</v>
      </c>
      <c r="H1119" s="9" t="s">
        <v>13284</v>
      </c>
      <c r="I1119" s="9" t="s">
        <v>13284</v>
      </c>
      <c r="J1119" s="9" t="s">
        <v>13284</v>
      </c>
      <c r="K1119" s="9" t="s">
        <v>13284</v>
      </c>
      <c r="L1119" s="9" t="s">
        <v>13284</v>
      </c>
      <c r="M1119" s="9" t="s">
        <v>13284</v>
      </c>
      <c r="N1119" s="9" t="s">
        <v>13284</v>
      </c>
      <c r="O1119" s="9" t="s">
        <v>13284</v>
      </c>
      <c r="P1119" s="9" t="s">
        <v>13284</v>
      </c>
      <c r="Q1119" s="9" t="s">
        <v>13284</v>
      </c>
      <c r="R1119" s="9" t="s">
        <v>13284</v>
      </c>
      <c r="S1119" s="9" t="s">
        <v>13284</v>
      </c>
      <c r="T1119" s="9" t="str">
        <f ca="1">IFERROR(IF(AND(VLOOKUP(A1119, 'Актуальное состояние (из общего'!A:C,3,0) = "", A1119 &lt;&gt; ""), "ПРОВЕРИТЬ", VLOOKUP(A1119, 'Актуальное состояние (из общего'!A:C,3,0)), "")</f>
        <v>Студент</v>
      </c>
      <c r="U1119" s="9" t="s">
        <v>13284</v>
      </c>
      <c r="V1119" s="9" t="s">
        <v>13284</v>
      </c>
      <c r="W1119" s="12"/>
      <c r="X1119" s="9" t="str">
        <f t="array" ref="X1119">IFERROR(INDEX('Адреса общежитий (скрытый)'!$B$2:$B$9, MATCH(W1119, 'Адреса общежитий (скрытый)'!$A$2:$A$9, 0)), "")</f>
        <v/>
      </c>
      <c r="Y1119" s="18"/>
      <c r="Z1119" s="18"/>
      <c r="AA1119" s="18"/>
      <c r="AB1119" s="18"/>
      <c r="AC1119" s="18"/>
    </row>
    <row r="1120" spans="1:29" ht="32.25" hidden="1" customHeight="1">
      <c r="A1120" s="8">
        <v>2304549</v>
      </c>
      <c r="B1120" s="9" t="s">
        <v>13284</v>
      </c>
      <c r="C1120" s="9" t="s">
        <v>13284</v>
      </c>
      <c r="D1120" s="9" t="s">
        <v>13284</v>
      </c>
      <c r="E1120" s="9" t="s">
        <v>13284</v>
      </c>
      <c r="F1120" s="9" t="s">
        <v>13284</v>
      </c>
      <c r="G1120" s="9" t="s">
        <v>13284</v>
      </c>
      <c r="H1120" s="9" t="s">
        <v>13284</v>
      </c>
      <c r="I1120" s="9" t="s">
        <v>13284</v>
      </c>
      <c r="J1120" s="9" t="s">
        <v>13284</v>
      </c>
      <c r="K1120" s="9" t="s">
        <v>13284</v>
      </c>
      <c r="L1120" s="9" t="s">
        <v>13284</v>
      </c>
      <c r="M1120" s="9" t="s">
        <v>13284</v>
      </c>
      <c r="N1120" s="9" t="s">
        <v>13284</v>
      </c>
      <c r="O1120" s="9" t="s">
        <v>13284</v>
      </c>
      <c r="P1120" s="9" t="s">
        <v>13284</v>
      </c>
      <c r="Q1120" s="9" t="s">
        <v>13284</v>
      </c>
      <c r="R1120" s="9" t="s">
        <v>13284</v>
      </c>
      <c r="S1120" s="9" t="s">
        <v>13284</v>
      </c>
      <c r="T1120" s="9" t="str">
        <f ca="1">IFERROR(IF(AND(VLOOKUP(A1120, 'Актуальное состояние (из общего'!A:C,3,0) = "", A1120 &lt;&gt; ""), "ПРОВЕРИТЬ", VLOOKUP(A1120, 'Актуальное состояние (из общего'!A:C,3,0)), "")</f>
        <v>Студент</v>
      </c>
      <c r="U1120" s="9" t="s">
        <v>13284</v>
      </c>
      <c r="V1120" s="9" t="s">
        <v>13284</v>
      </c>
      <c r="W1120" s="12"/>
      <c r="X1120" s="9" t="str">
        <f t="array" ref="X1120">IFERROR(INDEX('Адреса общежитий (скрытый)'!$B$2:$B$9, MATCH(W1120, 'Адреса общежитий (скрытый)'!$A$2:$A$9, 0)), "")</f>
        <v/>
      </c>
      <c r="Y1120" s="18"/>
      <c r="Z1120" s="18"/>
      <c r="AA1120" s="18"/>
      <c r="AB1120" s="18"/>
      <c r="AC1120" s="18"/>
    </row>
    <row r="1121" spans="1:29" ht="32.25" customHeight="1">
      <c r="A1121" s="8">
        <v>2304618</v>
      </c>
      <c r="B1121" s="9" t="s">
        <v>13284</v>
      </c>
      <c r="C1121" s="9" t="s">
        <v>13284</v>
      </c>
      <c r="D1121" s="9" t="s">
        <v>13284</v>
      </c>
      <c r="E1121" s="9" t="s">
        <v>13284</v>
      </c>
      <c r="F1121" s="9" t="s">
        <v>13284</v>
      </c>
      <c r="G1121" s="9" t="s">
        <v>13284</v>
      </c>
      <c r="H1121" s="9" t="s">
        <v>13284</v>
      </c>
      <c r="I1121" s="9" t="s">
        <v>13284</v>
      </c>
      <c r="J1121" s="9" t="s">
        <v>13284</v>
      </c>
      <c r="K1121" s="9" t="s">
        <v>13284</v>
      </c>
      <c r="L1121" s="9" t="s">
        <v>13284</v>
      </c>
      <c r="M1121" s="9" t="s">
        <v>13284</v>
      </c>
      <c r="N1121" s="9" t="s">
        <v>13284</v>
      </c>
      <c r="O1121" s="9" t="s">
        <v>13284</v>
      </c>
      <c r="P1121" s="9" t="s">
        <v>13284</v>
      </c>
      <c r="Q1121" s="9" t="s">
        <v>13284</v>
      </c>
      <c r="R1121" s="9" t="s">
        <v>13284</v>
      </c>
      <c r="S1121" s="9" t="s">
        <v>13284</v>
      </c>
      <c r="T1121" s="9" t="str">
        <f ca="1">IFERROR(IF(AND(VLOOKUP(A1121, 'Актуальное состояние (из общего'!A:C,3,0) = "", A1121 &lt;&gt; ""), "ПРОВЕРИТЬ", VLOOKUP(A1121, 'Актуальное состояние (из общего'!A:C,3,0)), "")</f>
        <v>Студент</v>
      </c>
      <c r="U1121" s="9" t="s">
        <v>13284</v>
      </c>
      <c r="V1121" s="9" t="s">
        <v>13284</v>
      </c>
      <c r="W1121" s="12"/>
      <c r="X1121" s="9" t="str">
        <f t="array" ref="X1121">IFERROR(INDEX('Адреса общежитий (скрытый)'!$B$2:$B$9, MATCH(W1121, 'Адреса общежитий (скрытый)'!$A$2:$A$9, 0)), "")</f>
        <v/>
      </c>
      <c r="Y1121" s="18"/>
      <c r="Z1121" s="18"/>
      <c r="AA1121" s="18"/>
      <c r="AB1121" s="18"/>
      <c r="AC1121" s="18"/>
    </row>
    <row r="1122" spans="1:29" ht="32.25" hidden="1" customHeight="1">
      <c r="A1122" s="8">
        <v>2302964</v>
      </c>
      <c r="B1122" s="9" t="s">
        <v>13284</v>
      </c>
      <c r="C1122" s="9" t="s">
        <v>13284</v>
      </c>
      <c r="D1122" s="9" t="s">
        <v>13284</v>
      </c>
      <c r="E1122" s="9" t="s">
        <v>13284</v>
      </c>
      <c r="F1122" s="9" t="s">
        <v>13284</v>
      </c>
      <c r="G1122" s="9" t="s">
        <v>13284</v>
      </c>
      <c r="H1122" s="9" t="s">
        <v>13284</v>
      </c>
      <c r="I1122" s="9" t="s">
        <v>13284</v>
      </c>
      <c r="J1122" s="9" t="s">
        <v>13284</v>
      </c>
      <c r="K1122" s="9" t="s">
        <v>13284</v>
      </c>
      <c r="L1122" s="9" t="s">
        <v>13284</v>
      </c>
      <c r="M1122" s="9" t="s">
        <v>13284</v>
      </c>
      <c r="N1122" s="9" t="s">
        <v>13284</v>
      </c>
      <c r="O1122" s="9" t="s">
        <v>13284</v>
      </c>
      <c r="P1122" s="9" t="s">
        <v>13284</v>
      </c>
      <c r="Q1122" s="9" t="s">
        <v>13284</v>
      </c>
      <c r="R1122" s="9" t="s">
        <v>13284</v>
      </c>
      <c r="S1122" s="9" t="s">
        <v>13284</v>
      </c>
      <c r="T1122" s="9" t="str">
        <f ca="1">IFERROR(IF(AND(VLOOKUP(A1122, 'Актуальное состояние (из общего'!A:C,3,0) = "", A1122 &lt;&gt; ""), "ПРОВЕРИТЬ", VLOOKUP(A1122, 'Актуальное состояние (из общего'!A:C,3,0)), "")</f>
        <v>Студент</v>
      </c>
      <c r="U1122" s="9" t="s">
        <v>13284</v>
      </c>
      <c r="V1122" s="9" t="s">
        <v>13284</v>
      </c>
      <c r="W1122" s="12"/>
      <c r="X1122" s="9" t="str">
        <f t="array" ref="X1122">IFERROR(INDEX('Адреса общежитий (скрытый)'!$B$2:$B$9, MATCH(W1122, 'Адреса общежитий (скрытый)'!$A$2:$A$9, 0)), "")</f>
        <v/>
      </c>
      <c r="Y1122" s="18"/>
      <c r="Z1122" s="18"/>
      <c r="AA1122" s="18"/>
      <c r="AB1122" s="18"/>
      <c r="AC1122" s="18"/>
    </row>
    <row r="1123" spans="1:29" ht="32.25" customHeight="1">
      <c r="A1123" s="8">
        <v>2310166</v>
      </c>
      <c r="B1123" s="9" t="s">
        <v>13284</v>
      </c>
      <c r="C1123" s="9" t="s">
        <v>13284</v>
      </c>
      <c r="D1123" s="9" t="s">
        <v>13284</v>
      </c>
      <c r="E1123" s="9" t="s">
        <v>13284</v>
      </c>
      <c r="F1123" s="9" t="s">
        <v>13284</v>
      </c>
      <c r="G1123" s="9" t="s">
        <v>13284</v>
      </c>
      <c r="H1123" s="9" t="s">
        <v>13284</v>
      </c>
      <c r="I1123" s="9" t="s">
        <v>13284</v>
      </c>
      <c r="J1123" s="9" t="s">
        <v>13284</v>
      </c>
      <c r="K1123" s="9" t="s">
        <v>13284</v>
      </c>
      <c r="L1123" s="9" t="s">
        <v>13284</v>
      </c>
      <c r="M1123" s="9" t="s">
        <v>13284</v>
      </c>
      <c r="N1123" s="9" t="s">
        <v>13284</v>
      </c>
      <c r="O1123" s="9" t="s">
        <v>13284</v>
      </c>
      <c r="P1123" s="9" t="s">
        <v>13284</v>
      </c>
      <c r="Q1123" s="9" t="s">
        <v>13284</v>
      </c>
      <c r="R1123" s="9" t="s">
        <v>13284</v>
      </c>
      <c r="S1123" s="9" t="s">
        <v>13284</v>
      </c>
      <c r="T1123" s="9" t="str">
        <f ca="1">IFERROR(IF(AND(VLOOKUP(A1123, 'Актуальное состояние (из общего'!A:C,3,0) = "", A1123 &lt;&gt; ""), "ПРОВЕРИТЬ", VLOOKUP(A1123, 'Актуальное состояние (из общего'!A:C,3,0)), "")</f>
        <v>Студент</v>
      </c>
      <c r="U1123" s="9" t="s">
        <v>13284</v>
      </c>
      <c r="V1123" s="9" t="s">
        <v>13284</v>
      </c>
      <c r="W1123" s="12"/>
      <c r="X1123" s="9" t="str">
        <f t="array" ref="X1123">IFERROR(INDEX('Адреса общежитий (скрытый)'!$B$2:$B$9, MATCH(W1123, 'Адреса общежитий (скрытый)'!$A$2:$A$9, 0)), "")</f>
        <v/>
      </c>
      <c r="Y1123" s="18"/>
      <c r="Z1123" s="18"/>
      <c r="AA1123" s="18"/>
      <c r="AB1123" s="18"/>
      <c r="AC1123" s="18"/>
    </row>
    <row r="1124" spans="1:29" ht="32.25" customHeight="1">
      <c r="A1124" s="8">
        <v>2306075</v>
      </c>
      <c r="B1124" s="9" t="s">
        <v>13284</v>
      </c>
      <c r="C1124" s="9" t="s">
        <v>13284</v>
      </c>
      <c r="D1124" s="9" t="s">
        <v>13284</v>
      </c>
      <c r="E1124" s="9" t="s">
        <v>13284</v>
      </c>
      <c r="F1124" s="9" t="s">
        <v>13284</v>
      </c>
      <c r="G1124" s="9" t="s">
        <v>13284</v>
      </c>
      <c r="H1124" s="9" t="s">
        <v>13284</v>
      </c>
      <c r="I1124" s="9" t="s">
        <v>13284</v>
      </c>
      <c r="J1124" s="9" t="s">
        <v>13284</v>
      </c>
      <c r="K1124" s="9" t="s">
        <v>13284</v>
      </c>
      <c r="L1124" s="9" t="s">
        <v>13284</v>
      </c>
      <c r="M1124" s="9" t="s">
        <v>13284</v>
      </c>
      <c r="N1124" s="9" t="s">
        <v>13284</v>
      </c>
      <c r="O1124" s="9" t="s">
        <v>13284</v>
      </c>
      <c r="P1124" s="9" t="s">
        <v>13284</v>
      </c>
      <c r="Q1124" s="9" t="s">
        <v>13284</v>
      </c>
      <c r="R1124" s="9" t="s">
        <v>13284</v>
      </c>
      <c r="S1124" s="9" t="s">
        <v>13284</v>
      </c>
      <c r="T1124" s="9" t="str">
        <f ca="1">IFERROR(IF(AND(VLOOKUP(A1124, 'Актуальное состояние (из общего'!A:C,3,0) = "", A1124 &lt;&gt; ""), "ПРОВЕРИТЬ", VLOOKUP(A1124, 'Актуальное состояние (из общего'!A:C,3,0)), "")</f>
        <v>Студент</v>
      </c>
      <c r="U1124" s="9" t="s">
        <v>13284</v>
      </c>
      <c r="V1124" s="9" t="s">
        <v>13284</v>
      </c>
      <c r="W1124" s="12"/>
      <c r="X1124" s="9" t="str">
        <f t="array" ref="X1124">IFERROR(INDEX('Адреса общежитий (скрытый)'!$B$2:$B$9, MATCH(W1124, 'Адреса общежитий (скрытый)'!$A$2:$A$9, 0)), "")</f>
        <v/>
      </c>
      <c r="Y1124" s="18"/>
      <c r="Z1124" s="18"/>
      <c r="AA1124" s="18"/>
      <c r="AB1124" s="18"/>
      <c r="AC1124" s="18"/>
    </row>
    <row r="1125" spans="1:29" ht="32.25" customHeight="1">
      <c r="A1125" s="8">
        <v>2309582</v>
      </c>
      <c r="B1125" s="9" t="s">
        <v>13284</v>
      </c>
      <c r="C1125" s="9" t="s">
        <v>13284</v>
      </c>
      <c r="D1125" s="9" t="s">
        <v>13284</v>
      </c>
      <c r="E1125" s="9" t="s">
        <v>13284</v>
      </c>
      <c r="F1125" s="9" t="s">
        <v>13284</v>
      </c>
      <c r="G1125" s="9" t="s">
        <v>13284</v>
      </c>
      <c r="H1125" s="9" t="s">
        <v>13284</v>
      </c>
      <c r="I1125" s="9" t="s">
        <v>13284</v>
      </c>
      <c r="J1125" s="9" t="s">
        <v>13284</v>
      </c>
      <c r="K1125" s="9" t="s">
        <v>13284</v>
      </c>
      <c r="L1125" s="9" t="s">
        <v>13284</v>
      </c>
      <c r="M1125" s="9" t="s">
        <v>13284</v>
      </c>
      <c r="N1125" s="9" t="s">
        <v>13284</v>
      </c>
      <c r="O1125" s="9" t="s">
        <v>13284</v>
      </c>
      <c r="P1125" s="9" t="s">
        <v>13284</v>
      </c>
      <c r="Q1125" s="9" t="s">
        <v>13284</v>
      </c>
      <c r="R1125" s="9" t="s">
        <v>13284</v>
      </c>
      <c r="S1125" s="9" t="s">
        <v>13284</v>
      </c>
      <c r="T1125" s="9" t="str">
        <f ca="1">IFERROR(IF(AND(VLOOKUP(A1125, 'Актуальное состояние (из общего'!A:C,3,0) = "", A1125 &lt;&gt; ""), "ПРОВЕРИТЬ", VLOOKUP(A1125, 'Актуальное состояние (из общего'!A:C,3,0)), "")</f>
        <v>Студент</v>
      </c>
      <c r="U1125" s="9" t="s">
        <v>13284</v>
      </c>
      <c r="V1125" s="9" t="s">
        <v>13284</v>
      </c>
      <c r="W1125" s="12"/>
      <c r="X1125" s="9" t="str">
        <f t="array" ref="X1125">IFERROR(INDEX('Адреса общежитий (скрытый)'!$B$2:$B$9, MATCH(W1125, 'Адреса общежитий (скрытый)'!$A$2:$A$9, 0)), "")</f>
        <v/>
      </c>
      <c r="Y1125" s="18"/>
      <c r="Z1125" s="18"/>
      <c r="AA1125" s="18"/>
      <c r="AB1125" s="18"/>
      <c r="AC1125" s="18"/>
    </row>
    <row r="1126" spans="1:29" ht="32.25" hidden="1" customHeight="1">
      <c r="A1126" s="8">
        <v>2305902</v>
      </c>
      <c r="B1126" s="9" t="s">
        <v>13284</v>
      </c>
      <c r="C1126" s="9" t="s">
        <v>13284</v>
      </c>
      <c r="D1126" s="9" t="s">
        <v>13284</v>
      </c>
      <c r="E1126" s="9" t="s">
        <v>13284</v>
      </c>
      <c r="F1126" s="9" t="s">
        <v>13284</v>
      </c>
      <c r="G1126" s="9" t="s">
        <v>13284</v>
      </c>
      <c r="H1126" s="9" t="s">
        <v>13284</v>
      </c>
      <c r="I1126" s="9" t="s">
        <v>13284</v>
      </c>
      <c r="J1126" s="9" t="s">
        <v>13284</v>
      </c>
      <c r="K1126" s="9" t="s">
        <v>13284</v>
      </c>
      <c r="L1126" s="9" t="s">
        <v>13284</v>
      </c>
      <c r="M1126" s="9" t="s">
        <v>13284</v>
      </c>
      <c r="N1126" s="9" t="s">
        <v>13284</v>
      </c>
      <c r="O1126" s="9" t="s">
        <v>13284</v>
      </c>
      <c r="P1126" s="9" t="s">
        <v>13284</v>
      </c>
      <c r="Q1126" s="9" t="s">
        <v>13284</v>
      </c>
      <c r="R1126" s="9" t="s">
        <v>13284</v>
      </c>
      <c r="S1126" s="9" t="s">
        <v>13284</v>
      </c>
      <c r="T1126" s="9" t="str">
        <f ca="1">IFERROR(IF(AND(VLOOKUP(A1126, 'Актуальное состояние (из общего'!A:C,3,0) = "", A1126 &lt;&gt; ""), "ПРОВЕРИТЬ", VLOOKUP(A1126, 'Актуальное состояние (из общего'!A:C,3,0)), "")</f>
        <v>Студент</v>
      </c>
      <c r="U1126" s="9" t="s">
        <v>13284</v>
      </c>
      <c r="V1126" s="9" t="s">
        <v>13284</v>
      </c>
      <c r="W1126" s="12"/>
      <c r="X1126" s="9" t="str">
        <f t="array" ref="X1126">IFERROR(INDEX('Адреса общежитий (скрытый)'!$B$2:$B$9, MATCH(W1126, 'Адреса общежитий (скрытый)'!$A$2:$A$9, 0)), "")</f>
        <v/>
      </c>
      <c r="Y1126" s="18"/>
      <c r="Z1126" s="18"/>
      <c r="AA1126" s="18"/>
      <c r="AB1126" s="18"/>
      <c r="AC1126" s="18"/>
    </row>
    <row r="1127" spans="1:29" ht="32.25" hidden="1" customHeight="1">
      <c r="A1127" s="8">
        <v>2303496</v>
      </c>
      <c r="B1127" s="9" t="s">
        <v>13284</v>
      </c>
      <c r="C1127" s="9" t="s">
        <v>13284</v>
      </c>
      <c r="D1127" s="9" t="s">
        <v>13284</v>
      </c>
      <c r="E1127" s="9" t="s">
        <v>13284</v>
      </c>
      <c r="F1127" s="9" t="s">
        <v>13284</v>
      </c>
      <c r="G1127" s="9" t="s">
        <v>13284</v>
      </c>
      <c r="H1127" s="9" t="s">
        <v>13284</v>
      </c>
      <c r="I1127" s="9" t="s">
        <v>13284</v>
      </c>
      <c r="J1127" s="9" t="s">
        <v>13284</v>
      </c>
      <c r="K1127" s="9" t="s">
        <v>13284</v>
      </c>
      <c r="L1127" s="9" t="s">
        <v>13284</v>
      </c>
      <c r="M1127" s="9" t="s">
        <v>13284</v>
      </c>
      <c r="N1127" s="9" t="s">
        <v>13284</v>
      </c>
      <c r="O1127" s="9" t="s">
        <v>13284</v>
      </c>
      <c r="P1127" s="9" t="s">
        <v>13284</v>
      </c>
      <c r="Q1127" s="9" t="s">
        <v>13284</v>
      </c>
      <c r="R1127" s="9" t="s">
        <v>13284</v>
      </c>
      <c r="S1127" s="9" t="s">
        <v>13284</v>
      </c>
      <c r="T1127" s="9" t="str">
        <f ca="1">IFERROR(IF(AND(VLOOKUP(A1127, 'Актуальное состояние (из общего'!A:C,3,0) = "", A1127 &lt;&gt; ""), "ПРОВЕРИТЬ", VLOOKUP(A1127, 'Актуальное состояние (из общего'!A:C,3,0)), "")</f>
        <v>Студент</v>
      </c>
      <c r="U1127" s="9" t="s">
        <v>13284</v>
      </c>
      <c r="V1127" s="9" t="s">
        <v>13284</v>
      </c>
      <c r="W1127" s="12"/>
      <c r="X1127" s="9" t="str">
        <f t="array" ref="X1127">IFERROR(INDEX('Адреса общежитий (скрытый)'!$B$2:$B$9, MATCH(W1127, 'Адреса общежитий (скрытый)'!$A$2:$A$9, 0)), "")</f>
        <v/>
      </c>
      <c r="Y1127" s="18"/>
      <c r="Z1127" s="18"/>
      <c r="AA1127" s="18"/>
      <c r="AB1127" s="18"/>
      <c r="AC1127" s="18"/>
    </row>
    <row r="1128" spans="1:29" ht="32.25" customHeight="1">
      <c r="A1128" s="8">
        <v>2312047</v>
      </c>
      <c r="B1128" s="9" t="s">
        <v>13284</v>
      </c>
      <c r="C1128" s="9" t="s">
        <v>13284</v>
      </c>
      <c r="D1128" s="9" t="s">
        <v>13284</v>
      </c>
      <c r="E1128" s="9" t="s">
        <v>13284</v>
      </c>
      <c r="F1128" s="9" t="s">
        <v>13284</v>
      </c>
      <c r="G1128" s="9" t="s">
        <v>13284</v>
      </c>
      <c r="H1128" s="9" t="s">
        <v>13284</v>
      </c>
      <c r="I1128" s="9" t="s">
        <v>13284</v>
      </c>
      <c r="J1128" s="9" t="s">
        <v>13284</v>
      </c>
      <c r="K1128" s="9" t="s">
        <v>13284</v>
      </c>
      <c r="L1128" s="9" t="s">
        <v>13284</v>
      </c>
      <c r="M1128" s="9" t="s">
        <v>13284</v>
      </c>
      <c r="N1128" s="9" t="s">
        <v>13284</v>
      </c>
      <c r="O1128" s="9" t="s">
        <v>13284</v>
      </c>
      <c r="P1128" s="9" t="s">
        <v>13284</v>
      </c>
      <c r="Q1128" s="9" t="s">
        <v>13284</v>
      </c>
      <c r="R1128" s="9" t="s">
        <v>13284</v>
      </c>
      <c r="S1128" s="9" t="s">
        <v>13284</v>
      </c>
      <c r="T1128" s="9" t="str">
        <f ca="1">IFERROR(IF(AND(VLOOKUP(A1128, 'Актуальное состояние (из общего'!A:C,3,0) = "", A1128 &lt;&gt; ""), "ПРОВЕРИТЬ", VLOOKUP(A1128, 'Актуальное состояние (из общего'!A:C,3,0)), "")</f>
        <v>Студент</v>
      </c>
      <c r="U1128" s="9" t="s">
        <v>13284</v>
      </c>
      <c r="V1128" s="9" t="s">
        <v>13284</v>
      </c>
      <c r="W1128" s="12"/>
      <c r="X1128" s="9" t="str">
        <f t="array" ref="X1128">IFERROR(INDEX('Адреса общежитий (скрытый)'!$B$2:$B$9, MATCH(W1128, 'Адреса общежитий (скрытый)'!$A$2:$A$9, 0)), "")</f>
        <v/>
      </c>
      <c r="Y1128" s="18"/>
      <c r="Z1128" s="18"/>
      <c r="AA1128" s="18"/>
      <c r="AB1128" s="18"/>
      <c r="AC1128" s="18"/>
    </row>
    <row r="1129" spans="1:29" ht="32.25" hidden="1" customHeight="1">
      <c r="A1129" s="8">
        <v>2302322</v>
      </c>
      <c r="B1129" s="9" t="s">
        <v>13284</v>
      </c>
      <c r="C1129" s="9" t="s">
        <v>13284</v>
      </c>
      <c r="D1129" s="9" t="s">
        <v>13284</v>
      </c>
      <c r="E1129" s="9" t="s">
        <v>13284</v>
      </c>
      <c r="F1129" s="9" t="s">
        <v>13284</v>
      </c>
      <c r="G1129" s="9" t="s">
        <v>13284</v>
      </c>
      <c r="H1129" s="9" t="s">
        <v>13284</v>
      </c>
      <c r="I1129" s="9" t="s">
        <v>13284</v>
      </c>
      <c r="J1129" s="9" t="s">
        <v>13284</v>
      </c>
      <c r="K1129" s="9" t="s">
        <v>13284</v>
      </c>
      <c r="L1129" s="9" t="s">
        <v>13284</v>
      </c>
      <c r="M1129" s="9" t="s">
        <v>13284</v>
      </c>
      <c r="N1129" s="9" t="s">
        <v>13284</v>
      </c>
      <c r="O1129" s="9" t="s">
        <v>13284</v>
      </c>
      <c r="P1129" s="9" t="s">
        <v>13284</v>
      </c>
      <c r="Q1129" s="9" t="s">
        <v>13284</v>
      </c>
      <c r="R1129" s="9" t="s">
        <v>13284</v>
      </c>
      <c r="S1129" s="9" t="s">
        <v>13284</v>
      </c>
      <c r="T1129" s="9" t="str">
        <f ca="1">IFERROR(IF(AND(VLOOKUP(A1129, 'Актуальное состояние (из общего'!A:C,3,0) = "", A1129 &lt;&gt; ""), "ПРОВЕРИТЬ", VLOOKUP(A1129, 'Актуальное состояние (из общего'!A:C,3,0)), "")</f>
        <v>Студент</v>
      </c>
      <c r="U1129" s="9" t="s">
        <v>13284</v>
      </c>
      <c r="V1129" s="9" t="s">
        <v>13284</v>
      </c>
      <c r="W1129" s="12"/>
      <c r="X1129" s="9" t="str">
        <f t="array" ref="X1129">IFERROR(INDEX('Адреса общежитий (скрытый)'!$B$2:$B$9, MATCH(W1129, 'Адреса общежитий (скрытый)'!$A$2:$A$9, 0)), "")</f>
        <v/>
      </c>
      <c r="Y1129" s="18"/>
      <c r="Z1129" s="18"/>
      <c r="AA1129" s="18"/>
      <c r="AB1129" s="18"/>
      <c r="AC1129" s="18"/>
    </row>
    <row r="1130" spans="1:29" ht="32.25" hidden="1" customHeight="1">
      <c r="A1130" s="8">
        <v>2301040</v>
      </c>
      <c r="B1130" s="9" t="s">
        <v>13284</v>
      </c>
      <c r="C1130" s="9" t="s">
        <v>13284</v>
      </c>
      <c r="D1130" s="9" t="s">
        <v>13284</v>
      </c>
      <c r="E1130" s="9" t="s">
        <v>13284</v>
      </c>
      <c r="F1130" s="9" t="s">
        <v>13284</v>
      </c>
      <c r="G1130" s="9" t="s">
        <v>13284</v>
      </c>
      <c r="H1130" s="9" t="s">
        <v>13284</v>
      </c>
      <c r="I1130" s="9" t="s">
        <v>13284</v>
      </c>
      <c r="J1130" s="9" t="s">
        <v>13284</v>
      </c>
      <c r="K1130" s="9" t="s">
        <v>13284</v>
      </c>
      <c r="L1130" s="9" t="s">
        <v>13284</v>
      </c>
      <c r="M1130" s="9" t="s">
        <v>13284</v>
      </c>
      <c r="N1130" s="9" t="s">
        <v>13284</v>
      </c>
      <c r="O1130" s="9" t="s">
        <v>13284</v>
      </c>
      <c r="P1130" s="9" t="s">
        <v>13284</v>
      </c>
      <c r="Q1130" s="9" t="s">
        <v>13284</v>
      </c>
      <c r="R1130" s="9" t="s">
        <v>13284</v>
      </c>
      <c r="S1130" s="9" t="s">
        <v>13284</v>
      </c>
      <c r="T1130" s="9" t="str">
        <f ca="1">IFERROR(IF(AND(VLOOKUP(A1130, 'Актуальное состояние (из общего'!A:C,3,0) = "", A1130 &lt;&gt; ""), "ПРОВЕРИТЬ", VLOOKUP(A1130, 'Актуальное состояние (из общего'!A:C,3,0)), "")</f>
        <v>Студент</v>
      </c>
      <c r="U1130" s="9" t="s">
        <v>13284</v>
      </c>
      <c r="V1130" s="9" t="s">
        <v>13284</v>
      </c>
      <c r="W1130" s="12"/>
      <c r="X1130" s="9" t="str">
        <f t="array" ref="X1130">IFERROR(INDEX('Адреса общежитий (скрытый)'!$B$2:$B$9, MATCH(W1130, 'Адреса общежитий (скрытый)'!$A$2:$A$9, 0)), "")</f>
        <v/>
      </c>
      <c r="Y1130" s="18"/>
      <c r="Z1130" s="18"/>
      <c r="AA1130" s="18"/>
      <c r="AB1130" s="18"/>
      <c r="AC1130" s="18"/>
    </row>
    <row r="1131" spans="1:29" ht="32.25" customHeight="1">
      <c r="A1131" s="8">
        <v>2305144</v>
      </c>
      <c r="B1131" s="9" t="s">
        <v>13284</v>
      </c>
      <c r="C1131" s="9" t="s">
        <v>13284</v>
      </c>
      <c r="D1131" s="9" t="s">
        <v>13284</v>
      </c>
      <c r="E1131" s="9" t="s">
        <v>13284</v>
      </c>
      <c r="F1131" s="9" t="s">
        <v>13284</v>
      </c>
      <c r="G1131" s="9" t="s">
        <v>13284</v>
      </c>
      <c r="H1131" s="9" t="s">
        <v>13284</v>
      </c>
      <c r="I1131" s="9" t="s">
        <v>13284</v>
      </c>
      <c r="J1131" s="9" t="s">
        <v>13284</v>
      </c>
      <c r="K1131" s="9" t="s">
        <v>13284</v>
      </c>
      <c r="L1131" s="9" t="s">
        <v>13284</v>
      </c>
      <c r="M1131" s="9" t="s">
        <v>13284</v>
      </c>
      <c r="N1131" s="9" t="s">
        <v>13284</v>
      </c>
      <c r="O1131" s="9" t="s">
        <v>13284</v>
      </c>
      <c r="P1131" s="9" t="s">
        <v>13284</v>
      </c>
      <c r="Q1131" s="9" t="s">
        <v>13284</v>
      </c>
      <c r="R1131" s="9" t="s">
        <v>13284</v>
      </c>
      <c r="S1131" s="9" t="s">
        <v>13284</v>
      </c>
      <c r="T1131" s="9" t="str">
        <f ca="1">IFERROR(IF(AND(VLOOKUP(A1131, 'Актуальное состояние (из общего'!A:C,3,0) = "", A1131 &lt;&gt; ""), "ПРОВЕРИТЬ", VLOOKUP(A1131, 'Актуальное состояние (из общего'!A:C,3,0)), "")</f>
        <v>Студент</v>
      </c>
      <c r="U1131" s="9" t="s">
        <v>13284</v>
      </c>
      <c r="V1131" s="9" t="s">
        <v>13284</v>
      </c>
      <c r="W1131" s="12"/>
      <c r="X1131" s="9" t="str">
        <f t="array" ref="X1131">IFERROR(INDEX('Адреса общежитий (скрытый)'!$B$2:$B$9, MATCH(W1131, 'Адреса общежитий (скрытый)'!$A$2:$A$9, 0)), "")</f>
        <v/>
      </c>
      <c r="Y1131" s="18"/>
      <c r="Z1131" s="18"/>
      <c r="AA1131" s="18"/>
      <c r="AB1131" s="18"/>
      <c r="AC1131" s="18"/>
    </row>
    <row r="1132" spans="1:29" ht="32.25" hidden="1" customHeight="1">
      <c r="A1132" s="8">
        <v>2308428</v>
      </c>
      <c r="B1132" s="9" t="s">
        <v>13284</v>
      </c>
      <c r="C1132" s="9" t="s">
        <v>13284</v>
      </c>
      <c r="D1132" s="9" t="s">
        <v>13284</v>
      </c>
      <c r="E1132" s="9" t="s">
        <v>13284</v>
      </c>
      <c r="F1132" s="9" t="s">
        <v>13284</v>
      </c>
      <c r="G1132" s="9" t="s">
        <v>13284</v>
      </c>
      <c r="H1132" s="9" t="s">
        <v>13284</v>
      </c>
      <c r="I1132" s="9" t="s">
        <v>13284</v>
      </c>
      <c r="J1132" s="9" t="s">
        <v>13284</v>
      </c>
      <c r="K1132" s="9" t="s">
        <v>13284</v>
      </c>
      <c r="L1132" s="9" t="s">
        <v>13284</v>
      </c>
      <c r="M1132" s="9" t="s">
        <v>13284</v>
      </c>
      <c r="N1132" s="9" t="s">
        <v>13284</v>
      </c>
      <c r="O1132" s="9" t="s">
        <v>13284</v>
      </c>
      <c r="P1132" s="9" t="s">
        <v>13284</v>
      </c>
      <c r="Q1132" s="9" t="s">
        <v>13284</v>
      </c>
      <c r="R1132" s="9" t="s">
        <v>13284</v>
      </c>
      <c r="S1132" s="9" t="s">
        <v>13284</v>
      </c>
      <c r="T1132" s="9" t="str">
        <f ca="1">IFERROR(IF(AND(VLOOKUP(A1132, 'Актуальное состояние (из общего'!A:C,3,0) = "", A1132 &lt;&gt; ""), "ПРОВЕРИТЬ", VLOOKUP(A1132, 'Актуальное состояние (из общего'!A:C,3,0)), "")</f>
        <v>Студент</v>
      </c>
      <c r="U1132" s="9" t="s">
        <v>13284</v>
      </c>
      <c r="V1132" s="9" t="s">
        <v>13284</v>
      </c>
      <c r="W1132" s="12"/>
      <c r="X1132" s="9" t="str">
        <f t="array" ref="X1132">IFERROR(INDEX('Адреса общежитий (скрытый)'!$B$2:$B$9, MATCH(W1132, 'Адреса общежитий (скрытый)'!$A$2:$A$9, 0)), "")</f>
        <v/>
      </c>
      <c r="Y1132" s="18"/>
      <c r="Z1132" s="18"/>
      <c r="AA1132" s="18"/>
      <c r="AB1132" s="18"/>
      <c r="AC1132" s="18"/>
    </row>
    <row r="1133" spans="1:29" ht="32.25" hidden="1" customHeight="1">
      <c r="A1133" s="8">
        <v>2308938</v>
      </c>
      <c r="B1133" s="9" t="s">
        <v>13284</v>
      </c>
      <c r="C1133" s="9" t="s">
        <v>13284</v>
      </c>
      <c r="D1133" s="9" t="s">
        <v>13284</v>
      </c>
      <c r="E1133" s="9" t="s">
        <v>13284</v>
      </c>
      <c r="F1133" s="9" t="s">
        <v>13284</v>
      </c>
      <c r="G1133" s="9" t="s">
        <v>13284</v>
      </c>
      <c r="H1133" s="9" t="s">
        <v>13284</v>
      </c>
      <c r="I1133" s="9" t="s">
        <v>13284</v>
      </c>
      <c r="J1133" s="9" t="s">
        <v>13284</v>
      </c>
      <c r="K1133" s="9" t="s">
        <v>13284</v>
      </c>
      <c r="L1133" s="9" t="s">
        <v>13284</v>
      </c>
      <c r="M1133" s="9" t="s">
        <v>13284</v>
      </c>
      <c r="N1133" s="9" t="s">
        <v>13284</v>
      </c>
      <c r="O1133" s="9" t="s">
        <v>13284</v>
      </c>
      <c r="P1133" s="9" t="s">
        <v>13284</v>
      </c>
      <c r="Q1133" s="9" t="s">
        <v>13284</v>
      </c>
      <c r="R1133" s="9" t="s">
        <v>13284</v>
      </c>
      <c r="S1133" s="9" t="s">
        <v>13284</v>
      </c>
      <c r="T1133" s="9" t="str">
        <f ca="1">IFERROR(IF(AND(VLOOKUP(A1133, 'Актуальное состояние (из общего'!A:C,3,0) = "", A1133 &lt;&gt; ""), "ПРОВЕРИТЬ", VLOOKUP(A1133, 'Актуальное состояние (из общего'!A:C,3,0)), "")</f>
        <v>Студент</v>
      </c>
      <c r="U1133" s="9" t="s">
        <v>13284</v>
      </c>
      <c r="V1133" s="9" t="s">
        <v>13284</v>
      </c>
      <c r="W1133" s="12"/>
      <c r="X1133" s="9" t="str">
        <f t="array" ref="X1133">IFERROR(INDEX('Адреса общежитий (скрытый)'!$B$2:$B$9, MATCH(W1133, 'Адреса общежитий (скрытый)'!$A$2:$A$9, 0)), "")</f>
        <v/>
      </c>
      <c r="Y1133" s="18"/>
      <c r="Z1133" s="18"/>
      <c r="AA1133" s="18"/>
      <c r="AB1133" s="18"/>
      <c r="AC1133" s="18"/>
    </row>
    <row r="1134" spans="1:29" ht="32.25" hidden="1" customHeight="1">
      <c r="A1134" s="8">
        <v>2302302</v>
      </c>
      <c r="B1134" s="9" t="s">
        <v>13284</v>
      </c>
      <c r="C1134" s="9" t="s">
        <v>13284</v>
      </c>
      <c r="D1134" s="9" t="s">
        <v>13284</v>
      </c>
      <c r="E1134" s="9" t="s">
        <v>13284</v>
      </c>
      <c r="F1134" s="9" t="s">
        <v>13284</v>
      </c>
      <c r="G1134" s="9" t="s">
        <v>13284</v>
      </c>
      <c r="H1134" s="9" t="s">
        <v>13284</v>
      </c>
      <c r="I1134" s="9" t="s">
        <v>13284</v>
      </c>
      <c r="J1134" s="9" t="s">
        <v>13284</v>
      </c>
      <c r="K1134" s="9" t="s">
        <v>13284</v>
      </c>
      <c r="L1134" s="9" t="s">
        <v>13284</v>
      </c>
      <c r="M1134" s="9" t="s">
        <v>13284</v>
      </c>
      <c r="N1134" s="9" t="s">
        <v>13284</v>
      </c>
      <c r="O1134" s="9" t="s">
        <v>13284</v>
      </c>
      <c r="P1134" s="9" t="s">
        <v>13284</v>
      </c>
      <c r="Q1134" s="9" t="s">
        <v>13284</v>
      </c>
      <c r="R1134" s="9" t="s">
        <v>13284</v>
      </c>
      <c r="S1134" s="9" t="s">
        <v>13284</v>
      </c>
      <c r="T1134" s="9" t="str">
        <f ca="1">IFERROR(IF(AND(VLOOKUP(A1134, 'Актуальное состояние (из общего'!A:C,3,0) = "", A1134 &lt;&gt; ""), "ПРОВЕРИТЬ", VLOOKUP(A1134, 'Актуальное состояние (из общего'!A:C,3,0)), "")</f>
        <v>Студент</v>
      </c>
      <c r="U1134" s="9" t="s">
        <v>13284</v>
      </c>
      <c r="V1134" s="9" t="s">
        <v>13284</v>
      </c>
      <c r="W1134" s="12"/>
      <c r="X1134" s="9" t="str">
        <f t="array" ref="X1134">IFERROR(INDEX('Адреса общежитий (скрытый)'!$B$2:$B$9, MATCH(W1134, 'Адреса общежитий (скрытый)'!$A$2:$A$9, 0)), "")</f>
        <v/>
      </c>
      <c r="Y1134" s="18"/>
      <c r="Z1134" s="18"/>
      <c r="AA1134" s="18"/>
      <c r="AB1134" s="18"/>
      <c r="AC1134" s="18"/>
    </row>
    <row r="1135" spans="1:29" ht="32.25" hidden="1" customHeight="1">
      <c r="A1135" s="8">
        <v>2307513</v>
      </c>
      <c r="B1135" s="9" t="s">
        <v>13284</v>
      </c>
      <c r="C1135" s="9" t="s">
        <v>13284</v>
      </c>
      <c r="D1135" s="9" t="s">
        <v>13284</v>
      </c>
      <c r="E1135" s="9" t="s">
        <v>13284</v>
      </c>
      <c r="F1135" s="9" t="s">
        <v>13284</v>
      </c>
      <c r="G1135" s="9" t="s">
        <v>13284</v>
      </c>
      <c r="H1135" s="9" t="s">
        <v>13284</v>
      </c>
      <c r="I1135" s="9" t="s">
        <v>13284</v>
      </c>
      <c r="J1135" s="9" t="s">
        <v>13284</v>
      </c>
      <c r="K1135" s="9" t="s">
        <v>13284</v>
      </c>
      <c r="L1135" s="9" t="s">
        <v>13284</v>
      </c>
      <c r="M1135" s="9" t="s">
        <v>13284</v>
      </c>
      <c r="N1135" s="9" t="s">
        <v>13284</v>
      </c>
      <c r="O1135" s="9" t="s">
        <v>13284</v>
      </c>
      <c r="P1135" s="9" t="s">
        <v>13284</v>
      </c>
      <c r="Q1135" s="9" t="s">
        <v>13284</v>
      </c>
      <c r="R1135" s="9" t="s">
        <v>13284</v>
      </c>
      <c r="S1135" s="9" t="s">
        <v>13284</v>
      </c>
      <c r="T1135" s="9" t="str">
        <f ca="1">IFERROR(IF(AND(VLOOKUP(A1135, 'Актуальное состояние (из общего'!A:C,3,0) = "", A1135 &lt;&gt; ""), "ПРОВЕРИТЬ", VLOOKUP(A1135, 'Актуальное состояние (из общего'!A:C,3,0)), "")</f>
        <v>Студент</v>
      </c>
      <c r="U1135" s="9" t="s">
        <v>13284</v>
      </c>
      <c r="V1135" s="9" t="s">
        <v>13284</v>
      </c>
      <c r="W1135" s="12"/>
      <c r="X1135" s="9" t="str">
        <f t="array" ref="X1135">IFERROR(INDEX('Адреса общежитий (скрытый)'!$B$2:$B$9, MATCH(W1135, 'Адреса общежитий (скрытый)'!$A$2:$A$9, 0)), "")</f>
        <v/>
      </c>
      <c r="Y1135" s="18"/>
      <c r="Z1135" s="18"/>
      <c r="AA1135" s="18"/>
      <c r="AB1135" s="18"/>
      <c r="AC1135" s="18"/>
    </row>
    <row r="1136" spans="1:29" ht="32.25" customHeight="1">
      <c r="A1136" s="8">
        <v>2303518</v>
      </c>
      <c r="B1136" s="9" t="s">
        <v>13284</v>
      </c>
      <c r="C1136" s="9" t="s">
        <v>13284</v>
      </c>
      <c r="D1136" s="9" t="s">
        <v>13284</v>
      </c>
      <c r="E1136" s="9" t="s">
        <v>13284</v>
      </c>
      <c r="F1136" s="9" t="s">
        <v>13284</v>
      </c>
      <c r="G1136" s="9" t="s">
        <v>13284</v>
      </c>
      <c r="H1136" s="9" t="s">
        <v>13284</v>
      </c>
      <c r="I1136" s="9" t="s">
        <v>13284</v>
      </c>
      <c r="J1136" s="9" t="s">
        <v>13284</v>
      </c>
      <c r="K1136" s="9" t="s">
        <v>13284</v>
      </c>
      <c r="L1136" s="9" t="s">
        <v>13284</v>
      </c>
      <c r="M1136" s="9" t="s">
        <v>13284</v>
      </c>
      <c r="N1136" s="9" t="s">
        <v>13284</v>
      </c>
      <c r="O1136" s="9" t="s">
        <v>13284</v>
      </c>
      <c r="P1136" s="9" t="s">
        <v>13284</v>
      </c>
      <c r="Q1136" s="9" t="s">
        <v>13284</v>
      </c>
      <c r="R1136" s="9" t="s">
        <v>13284</v>
      </c>
      <c r="S1136" s="9" t="s">
        <v>13284</v>
      </c>
      <c r="T1136" s="9" t="str">
        <f ca="1">IFERROR(IF(AND(VLOOKUP(A1136, 'Актуальное состояние (из общего'!A:C,3,0) = "", A1136 &lt;&gt; ""), "ПРОВЕРИТЬ", VLOOKUP(A1136, 'Актуальное состояние (из общего'!A:C,3,0)), "")</f>
        <v>Студент</v>
      </c>
      <c r="U1136" s="9" t="s">
        <v>13284</v>
      </c>
      <c r="V1136" s="9" t="s">
        <v>13284</v>
      </c>
      <c r="W1136" s="12"/>
      <c r="X1136" s="9" t="str">
        <f t="array" ref="X1136">IFERROR(INDEX('Адреса общежитий (скрытый)'!$B$2:$B$9, MATCH(W1136, 'Адреса общежитий (скрытый)'!$A$2:$A$9, 0)), "")</f>
        <v/>
      </c>
      <c r="Y1136" s="18"/>
      <c r="Z1136" s="18"/>
      <c r="AA1136" s="18"/>
      <c r="AB1136" s="18"/>
      <c r="AC1136" s="18"/>
    </row>
    <row r="1137" spans="1:29" ht="32.25" hidden="1" customHeight="1">
      <c r="A1137" s="8">
        <v>2301878</v>
      </c>
      <c r="B1137" s="9" t="s">
        <v>13284</v>
      </c>
      <c r="C1137" s="9" t="s">
        <v>13284</v>
      </c>
      <c r="D1137" s="9" t="s">
        <v>13284</v>
      </c>
      <c r="E1137" s="9" t="s">
        <v>13284</v>
      </c>
      <c r="F1137" s="9" t="s">
        <v>13284</v>
      </c>
      <c r="G1137" s="9" t="s">
        <v>13284</v>
      </c>
      <c r="H1137" s="9" t="s">
        <v>13284</v>
      </c>
      <c r="I1137" s="9" t="s">
        <v>13284</v>
      </c>
      <c r="J1137" s="9" t="s">
        <v>13284</v>
      </c>
      <c r="K1137" s="9" t="s">
        <v>13284</v>
      </c>
      <c r="L1137" s="9" t="s">
        <v>13284</v>
      </c>
      <c r="M1137" s="9" t="s">
        <v>13284</v>
      </c>
      <c r="N1137" s="9" t="s">
        <v>13284</v>
      </c>
      <c r="O1137" s="9" t="s">
        <v>13284</v>
      </c>
      <c r="P1137" s="9" t="s">
        <v>13284</v>
      </c>
      <c r="Q1137" s="9" t="s">
        <v>13284</v>
      </c>
      <c r="R1137" s="9" t="s">
        <v>13284</v>
      </c>
      <c r="S1137" s="9" t="s">
        <v>13284</v>
      </c>
      <c r="T1137" s="9" t="str">
        <f ca="1">IFERROR(IF(AND(VLOOKUP(A1137, 'Актуальное состояние (из общего'!A:C,3,0) = "", A1137 &lt;&gt; ""), "ПРОВЕРИТЬ", VLOOKUP(A1137, 'Актуальное состояние (из общего'!A:C,3,0)), "")</f>
        <v>Студент</v>
      </c>
      <c r="U1137" s="9" t="s">
        <v>13284</v>
      </c>
      <c r="V1137" s="9" t="s">
        <v>13284</v>
      </c>
      <c r="W1137" s="12"/>
      <c r="X1137" s="9" t="str">
        <f t="array" ref="X1137">IFERROR(INDEX('Адреса общежитий (скрытый)'!$B$2:$B$9, MATCH(W1137, 'Адреса общежитий (скрытый)'!$A$2:$A$9, 0)), "")</f>
        <v/>
      </c>
      <c r="Y1137" s="18"/>
      <c r="Z1137" s="18"/>
      <c r="AA1137" s="18"/>
      <c r="AB1137" s="18"/>
      <c r="AC1137" s="18"/>
    </row>
    <row r="1138" spans="1:29" ht="32.25" customHeight="1">
      <c r="A1138" s="8">
        <v>2315115</v>
      </c>
      <c r="B1138" s="9" t="s">
        <v>13284</v>
      </c>
      <c r="C1138" s="9" t="s">
        <v>13284</v>
      </c>
      <c r="D1138" s="9" t="s">
        <v>13284</v>
      </c>
      <c r="E1138" s="9" t="s">
        <v>13284</v>
      </c>
      <c r="F1138" s="9" t="s">
        <v>13284</v>
      </c>
      <c r="G1138" s="9" t="s">
        <v>13284</v>
      </c>
      <c r="H1138" s="9" t="s">
        <v>13284</v>
      </c>
      <c r="I1138" s="9" t="s">
        <v>13284</v>
      </c>
      <c r="J1138" s="9" t="s">
        <v>13284</v>
      </c>
      <c r="K1138" s="9" t="s">
        <v>13284</v>
      </c>
      <c r="L1138" s="9" t="s">
        <v>13284</v>
      </c>
      <c r="M1138" s="9" t="s">
        <v>13284</v>
      </c>
      <c r="N1138" s="9" t="s">
        <v>13284</v>
      </c>
      <c r="O1138" s="9" t="s">
        <v>13284</v>
      </c>
      <c r="P1138" s="9" t="s">
        <v>13284</v>
      </c>
      <c r="Q1138" s="9" t="s">
        <v>13284</v>
      </c>
      <c r="R1138" s="9" t="s">
        <v>13284</v>
      </c>
      <c r="S1138" s="9" t="s">
        <v>13284</v>
      </c>
      <c r="T1138" s="9" t="str">
        <f ca="1">IFERROR(IF(AND(VLOOKUP(A1138, 'Актуальное состояние (из общего'!A:C,3,0) = "", A1138 &lt;&gt; ""), "ПРОВЕРИТЬ", VLOOKUP(A1138, 'Актуальное состояние (из общего'!A:C,3,0)), "")</f>
        <v>Студент</v>
      </c>
      <c r="U1138" s="9" t="s">
        <v>13284</v>
      </c>
      <c r="V1138" s="9" t="s">
        <v>13284</v>
      </c>
      <c r="W1138" s="9" t="s">
        <v>319</v>
      </c>
      <c r="X1138" s="9" t="str">
        <f t="array" ref="X1138">IFERROR(INDEX('Адреса общежитий (скрытый)'!$B$2:$B$9, MATCH(W1138, 'Адреса общежитий (скрытый)'!$A$2:$A$9, 0)), "")</f>
        <v>ул. Профсоюзная, д.83, корп. 2</v>
      </c>
      <c r="Y1138" s="18"/>
      <c r="Z1138" s="18"/>
      <c r="AA1138" s="18"/>
      <c r="AB1138" s="18"/>
      <c r="AC1138" s="18"/>
    </row>
    <row r="1139" spans="1:29" ht="32.25" customHeight="1">
      <c r="A1139" s="8">
        <v>2311149</v>
      </c>
      <c r="B1139" s="9" t="s">
        <v>13284</v>
      </c>
      <c r="C1139" s="9" t="s">
        <v>13284</v>
      </c>
      <c r="D1139" s="9" t="s">
        <v>13284</v>
      </c>
      <c r="E1139" s="9" t="s">
        <v>13284</v>
      </c>
      <c r="F1139" s="9" t="s">
        <v>13284</v>
      </c>
      <c r="G1139" s="9" t="s">
        <v>13284</v>
      </c>
      <c r="H1139" s="9" t="s">
        <v>13284</v>
      </c>
      <c r="I1139" s="9" t="s">
        <v>13284</v>
      </c>
      <c r="J1139" s="9" t="s">
        <v>13284</v>
      </c>
      <c r="K1139" s="9" t="s">
        <v>13284</v>
      </c>
      <c r="L1139" s="9" t="s">
        <v>13284</v>
      </c>
      <c r="M1139" s="9" t="s">
        <v>13284</v>
      </c>
      <c r="N1139" s="9" t="s">
        <v>13284</v>
      </c>
      <c r="O1139" s="9" t="s">
        <v>13284</v>
      </c>
      <c r="P1139" s="9" t="s">
        <v>13284</v>
      </c>
      <c r="Q1139" s="9" t="s">
        <v>13284</v>
      </c>
      <c r="R1139" s="9" t="s">
        <v>13284</v>
      </c>
      <c r="S1139" s="9" t="s">
        <v>13284</v>
      </c>
      <c r="T1139" s="9" t="str">
        <f ca="1">IFERROR(IF(AND(VLOOKUP(A1139, 'Актуальное состояние (из общего'!A:C,3,0) = "", A1139 &lt;&gt; ""), "ПРОВЕРИТЬ", VLOOKUP(A1139, 'Актуальное состояние (из общего'!A:C,3,0)), "")</f>
        <v>Студент</v>
      </c>
      <c r="U1139" s="9" t="s">
        <v>13284</v>
      </c>
      <c r="V1139" s="9" t="s">
        <v>13284</v>
      </c>
      <c r="W1139" s="12"/>
      <c r="X1139" s="9" t="str">
        <f t="array" ref="X1139">IFERROR(INDEX('Адреса общежитий (скрытый)'!$B$2:$B$9, MATCH(W1139, 'Адреса общежитий (скрытый)'!$A$2:$A$9, 0)), "")</f>
        <v/>
      </c>
      <c r="Y1139" s="18"/>
      <c r="Z1139" s="18"/>
      <c r="AA1139" s="18"/>
      <c r="AB1139" s="18"/>
      <c r="AC1139" s="18"/>
    </row>
    <row r="1140" spans="1:29" ht="32.25" customHeight="1">
      <c r="A1140" s="8">
        <v>2303121</v>
      </c>
      <c r="B1140" s="9" t="s">
        <v>13284</v>
      </c>
      <c r="C1140" s="9" t="s">
        <v>13284</v>
      </c>
      <c r="D1140" s="9" t="s">
        <v>13284</v>
      </c>
      <c r="E1140" s="9" t="s">
        <v>13284</v>
      </c>
      <c r="F1140" s="9" t="s">
        <v>13284</v>
      </c>
      <c r="G1140" s="9" t="s">
        <v>13284</v>
      </c>
      <c r="H1140" s="9" t="s">
        <v>13284</v>
      </c>
      <c r="I1140" s="9" t="s">
        <v>13284</v>
      </c>
      <c r="J1140" s="9" t="s">
        <v>13284</v>
      </c>
      <c r="K1140" s="9" t="s">
        <v>13284</v>
      </c>
      <c r="L1140" s="9" t="s">
        <v>13284</v>
      </c>
      <c r="M1140" s="9" t="s">
        <v>13284</v>
      </c>
      <c r="N1140" s="9" t="s">
        <v>13284</v>
      </c>
      <c r="O1140" s="9" t="s">
        <v>13284</v>
      </c>
      <c r="P1140" s="9" t="s">
        <v>13284</v>
      </c>
      <c r="Q1140" s="9" t="s">
        <v>13284</v>
      </c>
      <c r="R1140" s="9" t="s">
        <v>13284</v>
      </c>
      <c r="S1140" s="9" t="s">
        <v>13284</v>
      </c>
      <c r="T1140" s="9" t="str">
        <f ca="1">IFERROR(IF(AND(VLOOKUP(A1140, 'Актуальное состояние (из общего'!A:C,3,0) = "", A1140 &lt;&gt; ""), "ПРОВЕРИТЬ", VLOOKUP(A1140, 'Актуальное состояние (из общего'!A:C,3,0)), "")</f>
        <v>Студент</v>
      </c>
      <c r="U1140" s="9" t="s">
        <v>13284</v>
      </c>
      <c r="V1140" s="9" t="s">
        <v>13284</v>
      </c>
      <c r="W1140" s="12"/>
      <c r="X1140" s="9" t="str">
        <f t="array" ref="X1140">IFERROR(INDEX('Адреса общежитий (скрытый)'!$B$2:$B$9, MATCH(W1140, 'Адреса общежитий (скрытый)'!$A$2:$A$9, 0)), "")</f>
        <v/>
      </c>
      <c r="Y1140" s="18" t="s">
        <v>3513</v>
      </c>
      <c r="Z1140" s="18"/>
      <c r="AA1140" s="18"/>
      <c r="AB1140" s="18"/>
      <c r="AC1140" s="18"/>
    </row>
    <row r="1141" spans="1:29" ht="32.25" hidden="1" customHeight="1">
      <c r="A1141" s="8">
        <v>2313348</v>
      </c>
      <c r="B1141" s="9" t="s">
        <v>13284</v>
      </c>
      <c r="C1141" s="9" t="s">
        <v>13284</v>
      </c>
      <c r="D1141" s="9" t="s">
        <v>13284</v>
      </c>
      <c r="E1141" s="9" t="s">
        <v>13284</v>
      </c>
      <c r="F1141" s="9" t="s">
        <v>13284</v>
      </c>
      <c r="G1141" s="9" t="s">
        <v>13284</v>
      </c>
      <c r="H1141" s="9" t="s">
        <v>13284</v>
      </c>
      <c r="I1141" s="9" t="s">
        <v>13284</v>
      </c>
      <c r="J1141" s="9" t="s">
        <v>13284</v>
      </c>
      <c r="K1141" s="9" t="s">
        <v>13284</v>
      </c>
      <c r="L1141" s="9" t="s">
        <v>13284</v>
      </c>
      <c r="M1141" s="9" t="s">
        <v>13284</v>
      </c>
      <c r="N1141" s="9" t="s">
        <v>13284</v>
      </c>
      <c r="O1141" s="9" t="s">
        <v>13284</v>
      </c>
      <c r="P1141" s="9" t="s">
        <v>13284</v>
      </c>
      <c r="Q1141" s="9" t="s">
        <v>13284</v>
      </c>
      <c r="R1141" s="9" t="s">
        <v>13284</v>
      </c>
      <c r="S1141" s="9" t="s">
        <v>13284</v>
      </c>
      <c r="T1141" s="9" t="str">
        <f ca="1">IFERROR(IF(AND(VLOOKUP(A1141, 'Актуальное состояние (из общего'!A:C,3,0) = "", A1141 &lt;&gt; ""), "ПРОВЕРИТЬ", VLOOKUP(A1141, 'Актуальное состояние (из общего'!A:C,3,0)), "")</f>
        <v>Студент</v>
      </c>
      <c r="U1141" s="9" t="s">
        <v>13284</v>
      </c>
      <c r="V1141" s="9" t="s">
        <v>13284</v>
      </c>
      <c r="W1141" s="12"/>
      <c r="X1141" s="9" t="str">
        <f t="array" ref="X1141">IFERROR(INDEX('Адреса общежитий (скрытый)'!$B$2:$B$9, MATCH(W1141, 'Адреса общежитий (скрытый)'!$A$2:$A$9, 0)), "")</f>
        <v/>
      </c>
      <c r="Y1141" s="18"/>
      <c r="Z1141" s="18"/>
      <c r="AA1141" s="18"/>
      <c r="AB1141" s="18"/>
      <c r="AC1141" s="18"/>
    </row>
    <row r="1142" spans="1:29" ht="32.25" hidden="1" customHeight="1">
      <c r="A1142" s="8">
        <v>2305964</v>
      </c>
      <c r="B1142" s="9" t="s">
        <v>13284</v>
      </c>
      <c r="C1142" s="9" t="s">
        <v>13284</v>
      </c>
      <c r="D1142" s="9" t="s">
        <v>13284</v>
      </c>
      <c r="E1142" s="9" t="s">
        <v>13284</v>
      </c>
      <c r="F1142" s="9" t="s">
        <v>13284</v>
      </c>
      <c r="G1142" s="9" t="s">
        <v>13284</v>
      </c>
      <c r="H1142" s="9" t="s">
        <v>13284</v>
      </c>
      <c r="I1142" s="9" t="s">
        <v>13284</v>
      </c>
      <c r="J1142" s="9" t="s">
        <v>13284</v>
      </c>
      <c r="K1142" s="9" t="s">
        <v>13284</v>
      </c>
      <c r="L1142" s="9" t="s">
        <v>13284</v>
      </c>
      <c r="M1142" s="9" t="s">
        <v>13284</v>
      </c>
      <c r="N1142" s="9" t="s">
        <v>13284</v>
      </c>
      <c r="O1142" s="9" t="s">
        <v>13284</v>
      </c>
      <c r="P1142" s="9" t="s">
        <v>13284</v>
      </c>
      <c r="Q1142" s="9" t="s">
        <v>13284</v>
      </c>
      <c r="R1142" s="9" t="s">
        <v>13284</v>
      </c>
      <c r="S1142" s="9" t="s">
        <v>13284</v>
      </c>
      <c r="T1142" s="9" t="str">
        <f ca="1">IFERROR(IF(AND(VLOOKUP(A1142, 'Актуальное состояние (из общего'!A:C,3,0) = "", A1142 &lt;&gt; ""), "ПРОВЕРИТЬ", VLOOKUP(A1142, 'Актуальное состояние (из общего'!A:C,3,0)), "")</f>
        <v>Студент</v>
      </c>
      <c r="U1142" s="9" t="s">
        <v>13284</v>
      </c>
      <c r="V1142" s="9" t="s">
        <v>13284</v>
      </c>
      <c r="W1142" s="12"/>
      <c r="X1142" s="9" t="str">
        <f t="array" ref="X1142">IFERROR(INDEX('Адреса общежитий (скрытый)'!$B$2:$B$9, MATCH(W1142, 'Адреса общежитий (скрытый)'!$A$2:$A$9, 0)), "")</f>
        <v/>
      </c>
      <c r="Y1142" s="18"/>
      <c r="Z1142" s="18"/>
      <c r="AA1142" s="18"/>
      <c r="AB1142" s="18"/>
      <c r="AC1142" s="18"/>
    </row>
    <row r="1143" spans="1:29" ht="32.25" customHeight="1">
      <c r="A1143" s="8">
        <v>2313958</v>
      </c>
      <c r="B1143" s="9" t="s">
        <v>13284</v>
      </c>
      <c r="C1143" s="9" t="s">
        <v>13284</v>
      </c>
      <c r="D1143" s="9" t="s">
        <v>13284</v>
      </c>
      <c r="E1143" s="9" t="s">
        <v>13284</v>
      </c>
      <c r="F1143" s="9" t="s">
        <v>13284</v>
      </c>
      <c r="G1143" s="9" t="s">
        <v>13284</v>
      </c>
      <c r="H1143" s="9" t="s">
        <v>13284</v>
      </c>
      <c r="I1143" s="9" t="s">
        <v>13284</v>
      </c>
      <c r="J1143" s="9" t="s">
        <v>13284</v>
      </c>
      <c r="K1143" s="9" t="s">
        <v>13284</v>
      </c>
      <c r="L1143" s="9" t="s">
        <v>13284</v>
      </c>
      <c r="M1143" s="9" t="s">
        <v>13284</v>
      </c>
      <c r="N1143" s="9" t="s">
        <v>13284</v>
      </c>
      <c r="O1143" s="9" t="s">
        <v>13284</v>
      </c>
      <c r="P1143" s="9" t="s">
        <v>13284</v>
      </c>
      <c r="Q1143" s="9" t="s">
        <v>13284</v>
      </c>
      <c r="R1143" s="9" t="s">
        <v>13284</v>
      </c>
      <c r="S1143" s="9" t="s">
        <v>13284</v>
      </c>
      <c r="T1143" s="9" t="str">
        <f ca="1">IFERROR(IF(AND(VLOOKUP(A1143, 'Актуальное состояние (из общего'!A:C,3,0) = "", A1143 &lt;&gt; ""), "ПРОВЕРИТЬ", VLOOKUP(A1143, 'Актуальное состояние (из общего'!A:C,3,0)), "")</f>
        <v>Студент</v>
      </c>
      <c r="U1143" s="9" t="s">
        <v>13284</v>
      </c>
      <c r="V1143" s="9" t="s">
        <v>13284</v>
      </c>
      <c r="W1143" s="9" t="s">
        <v>319</v>
      </c>
      <c r="X1143" s="9" t="str">
        <f t="array" ref="X1143">IFERROR(INDEX('Адреса общежитий (скрытый)'!$B$2:$B$9, MATCH(W1143, 'Адреса общежитий (скрытый)'!$A$2:$A$9, 0)), "")</f>
        <v>ул. Профсоюзная, д.83, корп. 2</v>
      </c>
      <c r="Y1143" s="18"/>
      <c r="Z1143" s="18"/>
      <c r="AA1143" s="18"/>
      <c r="AB1143" s="18"/>
      <c r="AC1143" s="18"/>
    </row>
    <row r="1144" spans="1:29" ht="32.25" hidden="1" customHeight="1">
      <c r="A1144" s="8">
        <v>2306898</v>
      </c>
      <c r="B1144" s="9" t="s">
        <v>13284</v>
      </c>
      <c r="C1144" s="9" t="s">
        <v>13284</v>
      </c>
      <c r="D1144" s="9" t="s">
        <v>13284</v>
      </c>
      <c r="E1144" s="9" t="s">
        <v>13284</v>
      </c>
      <c r="F1144" s="9" t="s">
        <v>13284</v>
      </c>
      <c r="G1144" s="9" t="s">
        <v>13284</v>
      </c>
      <c r="H1144" s="9" t="s">
        <v>13284</v>
      </c>
      <c r="I1144" s="9" t="s">
        <v>13284</v>
      </c>
      <c r="J1144" s="9" t="s">
        <v>13284</v>
      </c>
      <c r="K1144" s="9" t="s">
        <v>13284</v>
      </c>
      <c r="L1144" s="9" t="s">
        <v>13284</v>
      </c>
      <c r="M1144" s="9" t="s">
        <v>13284</v>
      </c>
      <c r="N1144" s="9" t="s">
        <v>13284</v>
      </c>
      <c r="O1144" s="9" t="s">
        <v>13284</v>
      </c>
      <c r="P1144" s="9" t="s">
        <v>13284</v>
      </c>
      <c r="Q1144" s="9" t="s">
        <v>13284</v>
      </c>
      <c r="R1144" s="9" t="s">
        <v>13284</v>
      </c>
      <c r="S1144" s="9" t="s">
        <v>13284</v>
      </c>
      <c r="T1144" s="9" t="str">
        <f ca="1">IFERROR(IF(AND(VLOOKUP(A1144, 'Актуальное состояние (из общего'!A:C,3,0) = "", A1144 &lt;&gt; ""), "ПРОВЕРИТЬ", VLOOKUP(A1144, 'Актуальное состояние (из общего'!A:C,3,0)), "")</f>
        <v>Студент</v>
      </c>
      <c r="U1144" s="9" t="s">
        <v>13284</v>
      </c>
      <c r="V1144" s="9" t="s">
        <v>13284</v>
      </c>
      <c r="W1144" s="12"/>
      <c r="X1144" s="9" t="str">
        <f t="array" ref="X1144">IFERROR(INDEX('Адреса общежитий (скрытый)'!$B$2:$B$9, MATCH(W1144, 'Адреса общежитий (скрытый)'!$A$2:$A$9, 0)), "")</f>
        <v/>
      </c>
      <c r="Y1144" s="18"/>
      <c r="Z1144" s="18"/>
      <c r="AA1144" s="18"/>
      <c r="AB1144" s="18"/>
      <c r="AC1144" s="18"/>
    </row>
    <row r="1145" spans="1:29" ht="32.25" customHeight="1">
      <c r="A1145" s="8">
        <v>2310567</v>
      </c>
      <c r="B1145" s="9" t="s">
        <v>13284</v>
      </c>
      <c r="C1145" s="9" t="s">
        <v>13284</v>
      </c>
      <c r="D1145" s="9" t="s">
        <v>13284</v>
      </c>
      <c r="E1145" s="9" t="s">
        <v>13284</v>
      </c>
      <c r="F1145" s="9" t="s">
        <v>13284</v>
      </c>
      <c r="G1145" s="9" t="s">
        <v>13284</v>
      </c>
      <c r="H1145" s="9" t="s">
        <v>13284</v>
      </c>
      <c r="I1145" s="9" t="s">
        <v>13284</v>
      </c>
      <c r="J1145" s="9" t="s">
        <v>13284</v>
      </c>
      <c r="K1145" s="9" t="s">
        <v>13284</v>
      </c>
      <c r="L1145" s="9" t="s">
        <v>13284</v>
      </c>
      <c r="M1145" s="9" t="s">
        <v>13284</v>
      </c>
      <c r="N1145" s="9" t="s">
        <v>13284</v>
      </c>
      <c r="O1145" s="9" t="s">
        <v>13284</v>
      </c>
      <c r="P1145" s="9" t="s">
        <v>13284</v>
      </c>
      <c r="Q1145" s="9" t="s">
        <v>13284</v>
      </c>
      <c r="R1145" s="9" t="s">
        <v>13284</v>
      </c>
      <c r="S1145" s="9" t="s">
        <v>13284</v>
      </c>
      <c r="T1145" s="9" t="str">
        <f ca="1">IFERROR(IF(AND(VLOOKUP(A1145, 'Актуальное состояние (из общего'!A:C,3,0) = "", A1145 &lt;&gt; ""), "ПРОВЕРИТЬ", VLOOKUP(A1145, 'Актуальное состояние (из общего'!A:C,3,0)), "")</f>
        <v>Студент</v>
      </c>
      <c r="U1145" s="9" t="s">
        <v>13284</v>
      </c>
      <c r="V1145" s="9" t="s">
        <v>13284</v>
      </c>
      <c r="W1145" s="9" t="s">
        <v>319</v>
      </c>
      <c r="X1145" s="9" t="str">
        <f t="array" ref="X1145">IFERROR(INDEX('Адреса общежитий (скрытый)'!$B$2:$B$9, MATCH(W1145, 'Адреса общежитий (скрытый)'!$A$2:$A$9, 0)), "")</f>
        <v>ул. Профсоюзная, д.83, корп. 2</v>
      </c>
      <c r="Y1145" s="18"/>
      <c r="Z1145" s="18"/>
      <c r="AA1145" s="18"/>
      <c r="AB1145" s="18"/>
      <c r="AC1145" s="18"/>
    </row>
    <row r="1146" spans="1:29" ht="32.25" hidden="1" customHeight="1">
      <c r="A1146" s="8">
        <v>2309069</v>
      </c>
      <c r="B1146" s="9" t="s">
        <v>13284</v>
      </c>
      <c r="C1146" s="9" t="s">
        <v>13284</v>
      </c>
      <c r="D1146" s="9" t="s">
        <v>13284</v>
      </c>
      <c r="E1146" s="9" t="s">
        <v>13284</v>
      </c>
      <c r="F1146" s="9" t="s">
        <v>13284</v>
      </c>
      <c r="G1146" s="9" t="s">
        <v>13284</v>
      </c>
      <c r="H1146" s="9" t="s">
        <v>13284</v>
      </c>
      <c r="I1146" s="9" t="s">
        <v>13284</v>
      </c>
      <c r="J1146" s="9" t="s">
        <v>13284</v>
      </c>
      <c r="K1146" s="9" t="s">
        <v>13284</v>
      </c>
      <c r="L1146" s="9" t="s">
        <v>13284</v>
      </c>
      <c r="M1146" s="9" t="s">
        <v>13284</v>
      </c>
      <c r="N1146" s="9" t="s">
        <v>13284</v>
      </c>
      <c r="O1146" s="9" t="s">
        <v>13284</v>
      </c>
      <c r="P1146" s="9" t="s">
        <v>13284</v>
      </c>
      <c r="Q1146" s="9" t="s">
        <v>13284</v>
      </c>
      <c r="R1146" s="9" t="s">
        <v>13284</v>
      </c>
      <c r="S1146" s="9" t="s">
        <v>13284</v>
      </c>
      <c r="T1146" s="9" t="str">
        <f ca="1">IFERROR(IF(AND(VLOOKUP(A1146, 'Актуальное состояние (из общего'!A:C,3,0) = "", A1146 &lt;&gt; ""), "ПРОВЕРИТЬ", VLOOKUP(A1146, 'Актуальное состояние (из общего'!A:C,3,0)), "")</f>
        <v>Студент</v>
      </c>
      <c r="U1146" s="9" t="s">
        <v>13284</v>
      </c>
      <c r="V1146" s="9" t="s">
        <v>13284</v>
      </c>
      <c r="W1146" s="12"/>
      <c r="X1146" s="9" t="str">
        <f t="array" ref="X1146">IFERROR(INDEX('Адреса общежитий (скрытый)'!$B$2:$B$9, MATCH(W1146, 'Адреса общежитий (скрытый)'!$A$2:$A$9, 0)), "")</f>
        <v/>
      </c>
      <c r="Y1146" s="18"/>
      <c r="Z1146" s="18"/>
      <c r="AA1146" s="18"/>
      <c r="AB1146" s="18"/>
      <c r="AC1146" s="18"/>
    </row>
    <row r="1147" spans="1:29" ht="32.25" hidden="1" customHeight="1">
      <c r="A1147" s="8">
        <v>2303800</v>
      </c>
      <c r="B1147" s="9" t="s">
        <v>13284</v>
      </c>
      <c r="C1147" s="9" t="s">
        <v>13284</v>
      </c>
      <c r="D1147" s="9" t="s">
        <v>13284</v>
      </c>
      <c r="E1147" s="9" t="s">
        <v>13284</v>
      </c>
      <c r="F1147" s="9" t="s">
        <v>13284</v>
      </c>
      <c r="G1147" s="9" t="s">
        <v>13284</v>
      </c>
      <c r="H1147" s="9" t="s">
        <v>13284</v>
      </c>
      <c r="I1147" s="9" t="s">
        <v>13284</v>
      </c>
      <c r="J1147" s="9" t="s">
        <v>13284</v>
      </c>
      <c r="K1147" s="9" t="s">
        <v>13284</v>
      </c>
      <c r="L1147" s="9" t="s">
        <v>13284</v>
      </c>
      <c r="M1147" s="9" t="s">
        <v>13284</v>
      </c>
      <c r="N1147" s="9" t="s">
        <v>13284</v>
      </c>
      <c r="O1147" s="9" t="s">
        <v>13284</v>
      </c>
      <c r="P1147" s="9" t="s">
        <v>13284</v>
      </c>
      <c r="Q1147" s="9" t="s">
        <v>13284</v>
      </c>
      <c r="R1147" s="9" t="s">
        <v>13284</v>
      </c>
      <c r="S1147" s="9" t="s">
        <v>13284</v>
      </c>
      <c r="T1147" s="9" t="str">
        <f ca="1">IFERROR(IF(AND(VLOOKUP(A1147, 'Актуальное состояние (из общего'!A:C,3,0) = "", A1147 &lt;&gt; ""), "ПРОВЕРИТЬ", VLOOKUP(A1147, 'Актуальное состояние (из общего'!A:C,3,0)), "")</f>
        <v>Студент</v>
      </c>
      <c r="U1147" s="9" t="s">
        <v>13284</v>
      </c>
      <c r="V1147" s="9" t="s">
        <v>13284</v>
      </c>
      <c r="W1147" s="12"/>
      <c r="X1147" s="9" t="str">
        <f t="array" ref="X1147">IFERROR(INDEX('Адреса общежитий (скрытый)'!$B$2:$B$9, MATCH(W1147, 'Адреса общежитий (скрытый)'!$A$2:$A$9, 0)), "")</f>
        <v/>
      </c>
      <c r="Y1147" s="18"/>
      <c r="Z1147" s="18"/>
      <c r="AA1147" s="18"/>
      <c r="AB1147" s="18"/>
      <c r="AC1147" s="18"/>
    </row>
    <row r="1148" spans="1:29" ht="32.25" customHeight="1">
      <c r="A1148" s="8">
        <v>2309719</v>
      </c>
      <c r="B1148" s="9" t="s">
        <v>13284</v>
      </c>
      <c r="C1148" s="9" t="s">
        <v>13284</v>
      </c>
      <c r="D1148" s="9" t="s">
        <v>13284</v>
      </c>
      <c r="E1148" s="9" t="s">
        <v>13284</v>
      </c>
      <c r="F1148" s="9" t="s">
        <v>13284</v>
      </c>
      <c r="G1148" s="9" t="s">
        <v>13284</v>
      </c>
      <c r="H1148" s="9" t="s">
        <v>13284</v>
      </c>
      <c r="I1148" s="9" t="s">
        <v>13284</v>
      </c>
      <c r="J1148" s="9" t="s">
        <v>13284</v>
      </c>
      <c r="K1148" s="9" t="s">
        <v>13284</v>
      </c>
      <c r="L1148" s="9" t="s">
        <v>13284</v>
      </c>
      <c r="M1148" s="9" t="s">
        <v>13284</v>
      </c>
      <c r="N1148" s="9" t="s">
        <v>13284</v>
      </c>
      <c r="O1148" s="9" t="s">
        <v>13284</v>
      </c>
      <c r="P1148" s="9" t="s">
        <v>13284</v>
      </c>
      <c r="Q1148" s="9" t="s">
        <v>13284</v>
      </c>
      <c r="R1148" s="9" t="s">
        <v>13284</v>
      </c>
      <c r="S1148" s="9" t="s">
        <v>13284</v>
      </c>
      <c r="T1148" s="9" t="str">
        <f ca="1">IFERROR(IF(AND(VLOOKUP(A1148, 'Актуальное состояние (из общего'!A:C,3,0) = "", A1148 &lt;&gt; ""), "ПРОВЕРИТЬ", VLOOKUP(A1148, 'Актуальное состояние (из общего'!A:C,3,0)), "")</f>
        <v>Студент</v>
      </c>
      <c r="U1148" s="9" t="s">
        <v>13284</v>
      </c>
      <c r="V1148" s="9" t="s">
        <v>13284</v>
      </c>
      <c r="W1148" s="12"/>
      <c r="X1148" s="9" t="str">
        <f t="array" ref="X1148">IFERROR(INDEX('Адреса общежитий (скрытый)'!$B$2:$B$9, MATCH(W1148, 'Адреса общежитий (скрытый)'!$A$2:$A$9, 0)), "")</f>
        <v/>
      </c>
      <c r="Y1148" s="18"/>
      <c r="Z1148" s="18"/>
      <c r="AA1148" s="18"/>
      <c r="AB1148" s="18"/>
      <c r="AC1148" s="18"/>
    </row>
    <row r="1149" spans="1:29" ht="32.25" customHeight="1">
      <c r="A1149" s="8">
        <v>2305391</v>
      </c>
      <c r="B1149" s="9" t="s">
        <v>13284</v>
      </c>
      <c r="C1149" s="9" t="s">
        <v>13284</v>
      </c>
      <c r="D1149" s="9" t="s">
        <v>13284</v>
      </c>
      <c r="E1149" s="9" t="s">
        <v>13284</v>
      </c>
      <c r="F1149" s="9" t="s">
        <v>13284</v>
      </c>
      <c r="G1149" s="9" t="s">
        <v>13284</v>
      </c>
      <c r="H1149" s="9" t="s">
        <v>13284</v>
      </c>
      <c r="I1149" s="9" t="s">
        <v>13284</v>
      </c>
      <c r="J1149" s="9" t="s">
        <v>13284</v>
      </c>
      <c r="K1149" s="9" t="s">
        <v>13284</v>
      </c>
      <c r="L1149" s="9" t="s">
        <v>13284</v>
      </c>
      <c r="M1149" s="9" t="s">
        <v>13284</v>
      </c>
      <c r="N1149" s="9" t="s">
        <v>13284</v>
      </c>
      <c r="O1149" s="9" t="s">
        <v>13284</v>
      </c>
      <c r="P1149" s="9" t="s">
        <v>13284</v>
      </c>
      <c r="Q1149" s="9" t="s">
        <v>13284</v>
      </c>
      <c r="R1149" s="9" t="s">
        <v>13284</v>
      </c>
      <c r="S1149" s="9" t="s">
        <v>13284</v>
      </c>
      <c r="T1149" s="9" t="str">
        <f ca="1">IFERROR(IF(AND(VLOOKUP(A1149, 'Актуальное состояние (из общего'!A:C,3,0) = "", A1149 &lt;&gt; ""), "ПРОВЕРИТЬ", VLOOKUP(A1149, 'Актуальное состояние (из общего'!A:C,3,0)), "")</f>
        <v>Студент</v>
      </c>
      <c r="U1149" s="9" t="s">
        <v>13284</v>
      </c>
      <c r="V1149" s="9" t="s">
        <v>13284</v>
      </c>
      <c r="W1149" s="12"/>
      <c r="X1149" s="9" t="str">
        <f t="array" ref="X1149">IFERROR(INDEX('Адреса общежитий (скрытый)'!$B$2:$B$9, MATCH(W1149, 'Адреса общежитий (скрытый)'!$A$2:$A$9, 0)), "")</f>
        <v/>
      </c>
      <c r="Y1149" s="18"/>
      <c r="Z1149" s="18"/>
      <c r="AA1149" s="18"/>
      <c r="AB1149" s="18"/>
      <c r="AC1149" s="18"/>
    </row>
    <row r="1150" spans="1:29" ht="32.25" customHeight="1">
      <c r="A1150" s="8">
        <v>2312756</v>
      </c>
      <c r="B1150" s="9" t="s">
        <v>13284</v>
      </c>
      <c r="C1150" s="9" t="s">
        <v>13284</v>
      </c>
      <c r="D1150" s="9" t="s">
        <v>13284</v>
      </c>
      <c r="E1150" s="9" t="s">
        <v>13284</v>
      </c>
      <c r="F1150" s="9" t="s">
        <v>13284</v>
      </c>
      <c r="G1150" s="9" t="s">
        <v>13284</v>
      </c>
      <c r="H1150" s="9" t="s">
        <v>13284</v>
      </c>
      <c r="I1150" s="9" t="s">
        <v>13284</v>
      </c>
      <c r="J1150" s="9" t="s">
        <v>13284</v>
      </c>
      <c r="K1150" s="9" t="s">
        <v>13284</v>
      </c>
      <c r="L1150" s="9" t="s">
        <v>13284</v>
      </c>
      <c r="M1150" s="9" t="s">
        <v>13284</v>
      </c>
      <c r="N1150" s="9" t="s">
        <v>13284</v>
      </c>
      <c r="O1150" s="9" t="s">
        <v>13284</v>
      </c>
      <c r="P1150" s="9" t="s">
        <v>13284</v>
      </c>
      <c r="Q1150" s="9" t="s">
        <v>13284</v>
      </c>
      <c r="R1150" s="9" t="s">
        <v>13284</v>
      </c>
      <c r="S1150" s="9" t="s">
        <v>13284</v>
      </c>
      <c r="T1150" s="9" t="str">
        <f ca="1">IFERROR(IF(AND(VLOOKUP(A1150, 'Актуальное состояние (из общего'!A:C,3,0) = "", A1150 &lt;&gt; ""), "ПРОВЕРИТЬ", VLOOKUP(A1150, 'Актуальное состояние (из общего'!A:C,3,0)), "")</f>
        <v>Студент</v>
      </c>
      <c r="U1150" s="9" t="s">
        <v>13284</v>
      </c>
      <c r="V1150" s="9" t="s">
        <v>13284</v>
      </c>
      <c r="W1150" s="9" t="s">
        <v>319</v>
      </c>
      <c r="X1150" s="9" t="str">
        <f t="array" ref="X1150">IFERROR(INDEX('Адреса общежитий (скрытый)'!$B$2:$B$9, MATCH(W1150, 'Адреса общежитий (скрытый)'!$A$2:$A$9, 0)), "")</f>
        <v>ул. Профсоюзная, д.83, корп. 2</v>
      </c>
      <c r="Y1150" s="18"/>
      <c r="Z1150" s="18"/>
      <c r="AA1150" s="18"/>
      <c r="AB1150" s="18"/>
      <c r="AC1150" s="18"/>
    </row>
    <row r="1151" spans="1:29" ht="32.25" hidden="1" customHeight="1">
      <c r="A1151" s="8">
        <v>2312316</v>
      </c>
      <c r="B1151" s="9" t="s">
        <v>13284</v>
      </c>
      <c r="C1151" s="9" t="s">
        <v>13284</v>
      </c>
      <c r="D1151" s="9" t="s">
        <v>13284</v>
      </c>
      <c r="E1151" s="9" t="s">
        <v>13284</v>
      </c>
      <c r="F1151" s="9" t="s">
        <v>13284</v>
      </c>
      <c r="G1151" s="9" t="s">
        <v>13284</v>
      </c>
      <c r="H1151" s="9" t="s">
        <v>13284</v>
      </c>
      <c r="I1151" s="9" t="s">
        <v>13284</v>
      </c>
      <c r="J1151" s="9" t="s">
        <v>13284</v>
      </c>
      <c r="K1151" s="9" t="s">
        <v>13284</v>
      </c>
      <c r="L1151" s="9" t="s">
        <v>13284</v>
      </c>
      <c r="M1151" s="9" t="s">
        <v>13284</v>
      </c>
      <c r="N1151" s="9" t="s">
        <v>13284</v>
      </c>
      <c r="O1151" s="9" t="s">
        <v>13284</v>
      </c>
      <c r="P1151" s="9" t="s">
        <v>13284</v>
      </c>
      <c r="Q1151" s="9" t="s">
        <v>13284</v>
      </c>
      <c r="R1151" s="9" t="s">
        <v>13284</v>
      </c>
      <c r="S1151" s="9" t="s">
        <v>13284</v>
      </c>
      <c r="T1151" s="9" t="str">
        <f ca="1">IFERROR(IF(AND(VLOOKUP(A1151, 'Актуальное состояние (из общего'!A:C,3,0) = "", A1151 &lt;&gt; ""), "ПРОВЕРИТЬ", VLOOKUP(A1151, 'Актуальное состояние (из общего'!A:C,3,0)), "")</f>
        <v>Студент</v>
      </c>
      <c r="U1151" s="9" t="s">
        <v>13284</v>
      </c>
      <c r="V1151" s="9" t="s">
        <v>13284</v>
      </c>
      <c r="W1151" s="12"/>
      <c r="X1151" s="9" t="str">
        <f t="array" ref="X1151">IFERROR(INDEX('Адреса общежитий (скрытый)'!$B$2:$B$9, MATCH(W1151, 'Адреса общежитий (скрытый)'!$A$2:$A$9, 0)), "")</f>
        <v/>
      </c>
      <c r="Y1151" s="18"/>
      <c r="Z1151" s="18"/>
      <c r="AA1151" s="18"/>
      <c r="AB1151" s="18"/>
      <c r="AC1151" s="18"/>
    </row>
    <row r="1152" spans="1:29" ht="32.25" customHeight="1">
      <c r="A1152" s="8">
        <v>2304614</v>
      </c>
      <c r="B1152" s="9" t="s">
        <v>13284</v>
      </c>
      <c r="C1152" s="9" t="s">
        <v>13284</v>
      </c>
      <c r="D1152" s="9" t="s">
        <v>13284</v>
      </c>
      <c r="E1152" s="9" t="s">
        <v>13284</v>
      </c>
      <c r="F1152" s="9" t="s">
        <v>13284</v>
      </c>
      <c r="G1152" s="9" t="s">
        <v>13284</v>
      </c>
      <c r="H1152" s="9" t="s">
        <v>13284</v>
      </c>
      <c r="I1152" s="9" t="s">
        <v>13284</v>
      </c>
      <c r="J1152" s="9" t="s">
        <v>13284</v>
      </c>
      <c r="K1152" s="9" t="s">
        <v>13284</v>
      </c>
      <c r="L1152" s="9" t="s">
        <v>13284</v>
      </c>
      <c r="M1152" s="9" t="s">
        <v>13284</v>
      </c>
      <c r="N1152" s="9" t="s">
        <v>13284</v>
      </c>
      <c r="O1152" s="9" t="s">
        <v>13284</v>
      </c>
      <c r="P1152" s="9" t="s">
        <v>13284</v>
      </c>
      <c r="Q1152" s="9" t="s">
        <v>13284</v>
      </c>
      <c r="R1152" s="9" t="s">
        <v>13284</v>
      </c>
      <c r="S1152" s="9" t="s">
        <v>13284</v>
      </c>
      <c r="T1152" s="9" t="str">
        <f ca="1">IFERROR(IF(AND(VLOOKUP(A1152, 'Актуальное состояние (из общего'!A:C,3,0) = "", A1152 &lt;&gt; ""), "ПРОВЕРИТЬ", VLOOKUP(A1152, 'Актуальное состояние (из общего'!A:C,3,0)), "")</f>
        <v>Студент</v>
      </c>
      <c r="U1152" s="9" t="s">
        <v>13284</v>
      </c>
      <c r="V1152" s="9" t="s">
        <v>13284</v>
      </c>
      <c r="W1152" s="12"/>
      <c r="X1152" s="9" t="str">
        <f t="array" ref="X1152">IFERROR(INDEX('Адреса общежитий (скрытый)'!$B$2:$B$9, MATCH(W1152, 'Адреса общежитий (скрытый)'!$A$2:$A$9, 0)), "")</f>
        <v/>
      </c>
      <c r="Y1152" s="18"/>
      <c r="Z1152" s="18"/>
      <c r="AA1152" s="18"/>
      <c r="AB1152" s="18"/>
      <c r="AC1152" s="18"/>
    </row>
    <row r="1153" spans="1:29" ht="32.25" customHeight="1">
      <c r="A1153" s="8">
        <v>2311194</v>
      </c>
      <c r="B1153" s="9" t="s">
        <v>13284</v>
      </c>
      <c r="C1153" s="9" t="s">
        <v>13284</v>
      </c>
      <c r="D1153" s="9" t="s">
        <v>13284</v>
      </c>
      <c r="E1153" s="9" t="s">
        <v>13284</v>
      </c>
      <c r="F1153" s="9" t="s">
        <v>13284</v>
      </c>
      <c r="G1153" s="9" t="s">
        <v>13284</v>
      </c>
      <c r="H1153" s="9" t="s">
        <v>13284</v>
      </c>
      <c r="I1153" s="9" t="s">
        <v>13284</v>
      </c>
      <c r="J1153" s="9" t="s">
        <v>13284</v>
      </c>
      <c r="K1153" s="9" t="s">
        <v>13284</v>
      </c>
      <c r="L1153" s="9" t="s">
        <v>13284</v>
      </c>
      <c r="M1153" s="9" t="s">
        <v>13284</v>
      </c>
      <c r="N1153" s="9" t="s">
        <v>13284</v>
      </c>
      <c r="O1153" s="9" t="s">
        <v>13284</v>
      </c>
      <c r="P1153" s="9" t="s">
        <v>13284</v>
      </c>
      <c r="Q1153" s="9" t="s">
        <v>13284</v>
      </c>
      <c r="R1153" s="9" t="s">
        <v>13284</v>
      </c>
      <c r="S1153" s="9" t="s">
        <v>13284</v>
      </c>
      <c r="T1153" s="9" t="str">
        <f ca="1">IFERROR(IF(AND(VLOOKUP(A1153, 'Актуальное состояние (из общего'!A:C,3,0) = "", A1153 &lt;&gt; ""), "ПРОВЕРИТЬ", VLOOKUP(A1153, 'Актуальное состояние (из общего'!A:C,3,0)), "")</f>
        <v>Студент</v>
      </c>
      <c r="U1153" s="9" t="s">
        <v>13284</v>
      </c>
      <c r="V1153" s="9" t="s">
        <v>13284</v>
      </c>
      <c r="W1153" s="9" t="s">
        <v>319</v>
      </c>
      <c r="X1153" s="9" t="str">
        <f t="array" ref="X1153">IFERROR(INDEX('Адреса общежитий (скрытый)'!$B$2:$B$9, MATCH(W1153, 'Адреса общежитий (скрытый)'!$A$2:$A$9, 0)), "")</f>
        <v>ул. Профсоюзная, д.83, корп. 2</v>
      </c>
      <c r="Y1153" s="18"/>
      <c r="Z1153" s="18"/>
      <c r="AA1153" s="18"/>
      <c r="AB1153" s="18"/>
      <c r="AC1153" s="18"/>
    </row>
    <row r="1154" spans="1:29" ht="32.25" hidden="1" customHeight="1">
      <c r="A1154" s="8">
        <v>2306034</v>
      </c>
      <c r="B1154" s="9" t="s">
        <v>13284</v>
      </c>
      <c r="C1154" s="9" t="s">
        <v>13284</v>
      </c>
      <c r="D1154" s="9" t="s">
        <v>13284</v>
      </c>
      <c r="E1154" s="9" t="s">
        <v>13284</v>
      </c>
      <c r="F1154" s="9" t="s">
        <v>13284</v>
      </c>
      <c r="G1154" s="9" t="s">
        <v>13284</v>
      </c>
      <c r="H1154" s="9" t="s">
        <v>13284</v>
      </c>
      <c r="I1154" s="9" t="s">
        <v>13284</v>
      </c>
      <c r="J1154" s="9" t="s">
        <v>13284</v>
      </c>
      <c r="K1154" s="9" t="s">
        <v>13284</v>
      </c>
      <c r="L1154" s="9" t="s">
        <v>13284</v>
      </c>
      <c r="M1154" s="9" t="s">
        <v>13284</v>
      </c>
      <c r="N1154" s="9" t="s">
        <v>13284</v>
      </c>
      <c r="O1154" s="9" t="s">
        <v>13284</v>
      </c>
      <c r="P1154" s="9" t="s">
        <v>13284</v>
      </c>
      <c r="Q1154" s="9" t="s">
        <v>13284</v>
      </c>
      <c r="R1154" s="9" t="s">
        <v>13284</v>
      </c>
      <c r="S1154" s="9" t="s">
        <v>13284</v>
      </c>
      <c r="T1154" s="9" t="str">
        <f ca="1">IFERROR(IF(AND(VLOOKUP(A1154, 'Актуальное состояние (из общего'!A:C,3,0) = "", A1154 &lt;&gt; ""), "ПРОВЕРИТЬ", VLOOKUP(A1154, 'Актуальное состояние (из общего'!A:C,3,0)), "")</f>
        <v>Студент</v>
      </c>
      <c r="U1154" s="9" t="s">
        <v>13284</v>
      </c>
      <c r="V1154" s="9" t="s">
        <v>13284</v>
      </c>
      <c r="W1154" s="12"/>
      <c r="X1154" s="9" t="str">
        <f t="array" ref="X1154">IFERROR(INDEX('Адреса общежитий (скрытый)'!$B$2:$B$9, MATCH(W1154, 'Адреса общежитий (скрытый)'!$A$2:$A$9, 0)), "")</f>
        <v/>
      </c>
      <c r="Y1154" s="18"/>
      <c r="Z1154" s="18"/>
      <c r="AA1154" s="18"/>
      <c r="AB1154" s="18"/>
      <c r="AC1154" s="18"/>
    </row>
    <row r="1155" spans="1:29" ht="32.25" customHeight="1">
      <c r="A1155" s="8">
        <v>2308811</v>
      </c>
      <c r="B1155" s="9" t="s">
        <v>13284</v>
      </c>
      <c r="C1155" s="9" t="s">
        <v>13284</v>
      </c>
      <c r="D1155" s="9" t="s">
        <v>13284</v>
      </c>
      <c r="E1155" s="9" t="s">
        <v>13284</v>
      </c>
      <c r="F1155" s="9" t="s">
        <v>13284</v>
      </c>
      <c r="G1155" s="9" t="s">
        <v>13284</v>
      </c>
      <c r="H1155" s="9" t="s">
        <v>13284</v>
      </c>
      <c r="I1155" s="9" t="s">
        <v>13284</v>
      </c>
      <c r="J1155" s="9" t="s">
        <v>13284</v>
      </c>
      <c r="K1155" s="9" t="s">
        <v>13284</v>
      </c>
      <c r="L1155" s="9" t="s">
        <v>13284</v>
      </c>
      <c r="M1155" s="9" t="s">
        <v>13284</v>
      </c>
      <c r="N1155" s="9" t="s">
        <v>13284</v>
      </c>
      <c r="O1155" s="9" t="s">
        <v>13284</v>
      </c>
      <c r="P1155" s="9" t="s">
        <v>13284</v>
      </c>
      <c r="Q1155" s="9" t="s">
        <v>13284</v>
      </c>
      <c r="R1155" s="9" t="s">
        <v>13284</v>
      </c>
      <c r="S1155" s="9" t="s">
        <v>13284</v>
      </c>
      <c r="T1155" s="9" t="str">
        <f ca="1">IFERROR(IF(AND(VLOOKUP(A1155, 'Актуальное состояние (из общего'!A:C,3,0) = "", A1155 &lt;&gt; ""), "ПРОВЕРИТЬ", VLOOKUP(A1155, 'Актуальное состояние (из общего'!A:C,3,0)), "")</f>
        <v>Студент</v>
      </c>
      <c r="U1155" s="9" t="s">
        <v>13284</v>
      </c>
      <c r="V1155" s="9" t="s">
        <v>13284</v>
      </c>
      <c r="W1155" s="12"/>
      <c r="X1155" s="9" t="str">
        <f t="array" ref="X1155">IFERROR(INDEX('Адреса общежитий (скрытый)'!$B$2:$B$9, MATCH(W1155, 'Адреса общежитий (скрытый)'!$A$2:$A$9, 0)), "")</f>
        <v/>
      </c>
      <c r="Y1155" s="18"/>
      <c r="Z1155" s="18"/>
      <c r="AA1155" s="18"/>
      <c r="AB1155" s="18"/>
      <c r="AC1155" s="18"/>
    </row>
    <row r="1156" spans="1:29" ht="32.25" hidden="1" customHeight="1">
      <c r="A1156" s="8">
        <v>2302131</v>
      </c>
      <c r="B1156" s="9" t="s">
        <v>13284</v>
      </c>
      <c r="C1156" s="9" t="s">
        <v>13284</v>
      </c>
      <c r="D1156" s="9" t="s">
        <v>13284</v>
      </c>
      <c r="E1156" s="9" t="s">
        <v>13284</v>
      </c>
      <c r="F1156" s="9" t="s">
        <v>13284</v>
      </c>
      <c r="G1156" s="9" t="s">
        <v>13284</v>
      </c>
      <c r="H1156" s="9" t="s">
        <v>13284</v>
      </c>
      <c r="I1156" s="9" t="s">
        <v>13284</v>
      </c>
      <c r="J1156" s="9" t="s">
        <v>13284</v>
      </c>
      <c r="K1156" s="9" t="s">
        <v>13284</v>
      </c>
      <c r="L1156" s="9" t="s">
        <v>13284</v>
      </c>
      <c r="M1156" s="9" t="s">
        <v>13284</v>
      </c>
      <c r="N1156" s="9" t="s">
        <v>13284</v>
      </c>
      <c r="O1156" s="9" t="s">
        <v>13284</v>
      </c>
      <c r="P1156" s="9" t="s">
        <v>13284</v>
      </c>
      <c r="Q1156" s="9" t="s">
        <v>13284</v>
      </c>
      <c r="R1156" s="9" t="s">
        <v>13284</v>
      </c>
      <c r="S1156" s="9" t="s">
        <v>13284</v>
      </c>
      <c r="T1156" s="9" t="str">
        <f ca="1">IFERROR(IF(AND(VLOOKUP(A1156, 'Актуальное состояние (из общего'!A:C,3,0) = "", A1156 &lt;&gt; ""), "ПРОВЕРИТЬ", VLOOKUP(A1156, 'Актуальное состояние (из общего'!A:C,3,0)), "")</f>
        <v>Студент</v>
      </c>
      <c r="U1156" s="9" t="s">
        <v>13284</v>
      </c>
      <c r="V1156" s="9" t="s">
        <v>13284</v>
      </c>
      <c r="W1156" s="12"/>
      <c r="X1156" s="9" t="str">
        <f t="array" ref="X1156">IFERROR(INDEX('Адреса общежитий (скрытый)'!$B$2:$B$9, MATCH(W1156, 'Адреса общежитий (скрытый)'!$A$2:$A$9, 0)), "")</f>
        <v/>
      </c>
      <c r="Y1156" s="18"/>
      <c r="Z1156" s="18"/>
      <c r="AA1156" s="18"/>
      <c r="AB1156" s="18"/>
      <c r="AC1156" s="18"/>
    </row>
    <row r="1157" spans="1:29" ht="32.25" hidden="1" customHeight="1">
      <c r="A1157" s="8">
        <v>2306540</v>
      </c>
      <c r="B1157" s="9" t="s">
        <v>13284</v>
      </c>
      <c r="C1157" s="9" t="s">
        <v>13284</v>
      </c>
      <c r="D1157" s="9" t="s">
        <v>13284</v>
      </c>
      <c r="E1157" s="9" t="s">
        <v>13284</v>
      </c>
      <c r="F1157" s="9" t="s">
        <v>13284</v>
      </c>
      <c r="G1157" s="9" t="s">
        <v>13284</v>
      </c>
      <c r="H1157" s="9" t="s">
        <v>13284</v>
      </c>
      <c r="I1157" s="9" t="s">
        <v>13284</v>
      </c>
      <c r="J1157" s="9" t="s">
        <v>13284</v>
      </c>
      <c r="K1157" s="9" t="s">
        <v>13284</v>
      </c>
      <c r="L1157" s="9" t="s">
        <v>13284</v>
      </c>
      <c r="M1157" s="9" t="s">
        <v>13284</v>
      </c>
      <c r="N1157" s="9" t="s">
        <v>13284</v>
      </c>
      <c r="O1157" s="9" t="s">
        <v>13284</v>
      </c>
      <c r="P1157" s="9" t="s">
        <v>13284</v>
      </c>
      <c r="Q1157" s="9" t="s">
        <v>13284</v>
      </c>
      <c r="R1157" s="9" t="s">
        <v>13284</v>
      </c>
      <c r="S1157" s="9" t="s">
        <v>13284</v>
      </c>
      <c r="T1157" s="9" t="str">
        <f ca="1">IFERROR(IF(AND(VLOOKUP(A1157, 'Актуальное состояние (из общего'!A:C,3,0) = "", A1157 &lt;&gt; ""), "ПРОВЕРИТЬ", VLOOKUP(A1157, 'Актуальное состояние (из общего'!A:C,3,0)), "")</f>
        <v>Студент</v>
      </c>
      <c r="U1157" s="9" t="s">
        <v>13284</v>
      </c>
      <c r="V1157" s="9" t="s">
        <v>13284</v>
      </c>
      <c r="W1157" s="12"/>
      <c r="X1157" s="9" t="str">
        <f t="array" ref="X1157">IFERROR(INDEX('Адреса общежитий (скрытый)'!$B$2:$B$9, MATCH(W1157, 'Адреса общежитий (скрытый)'!$A$2:$A$9, 0)), "")</f>
        <v/>
      </c>
      <c r="Y1157" s="18"/>
      <c r="Z1157" s="18"/>
      <c r="AA1157" s="18"/>
      <c r="AB1157" s="18"/>
      <c r="AC1157" s="18"/>
    </row>
    <row r="1158" spans="1:29" ht="32.25" hidden="1" customHeight="1">
      <c r="A1158" s="8">
        <v>2308056</v>
      </c>
      <c r="B1158" s="9" t="s">
        <v>13284</v>
      </c>
      <c r="C1158" s="9" t="s">
        <v>13284</v>
      </c>
      <c r="D1158" s="9" t="s">
        <v>13284</v>
      </c>
      <c r="E1158" s="9" t="s">
        <v>13284</v>
      </c>
      <c r="F1158" s="9" t="s">
        <v>13284</v>
      </c>
      <c r="G1158" s="9" t="s">
        <v>13284</v>
      </c>
      <c r="H1158" s="9" t="s">
        <v>13284</v>
      </c>
      <c r="I1158" s="9" t="s">
        <v>13284</v>
      </c>
      <c r="J1158" s="9" t="s">
        <v>13284</v>
      </c>
      <c r="K1158" s="9" t="s">
        <v>13284</v>
      </c>
      <c r="L1158" s="9" t="s">
        <v>13284</v>
      </c>
      <c r="M1158" s="9" t="s">
        <v>13284</v>
      </c>
      <c r="N1158" s="9" t="s">
        <v>13284</v>
      </c>
      <c r="O1158" s="9" t="s">
        <v>13284</v>
      </c>
      <c r="P1158" s="9" t="s">
        <v>13284</v>
      </c>
      <c r="Q1158" s="9" t="s">
        <v>13284</v>
      </c>
      <c r="R1158" s="9" t="s">
        <v>13284</v>
      </c>
      <c r="S1158" s="9" t="s">
        <v>13284</v>
      </c>
      <c r="T1158" s="9" t="str">
        <f ca="1">IFERROR(IF(AND(VLOOKUP(A1158, 'Актуальное состояние (из общего'!A:C,3,0) = "", A1158 &lt;&gt; ""), "ПРОВЕРИТЬ", VLOOKUP(A1158, 'Актуальное состояние (из общего'!A:C,3,0)), "")</f>
        <v>Студент</v>
      </c>
      <c r="U1158" s="9" t="s">
        <v>13284</v>
      </c>
      <c r="V1158" s="9" t="s">
        <v>13284</v>
      </c>
      <c r="W1158" s="12"/>
      <c r="X1158" s="9" t="str">
        <f t="array" ref="X1158">IFERROR(INDEX('Адреса общежитий (скрытый)'!$B$2:$B$9, MATCH(W1158, 'Адреса общежитий (скрытый)'!$A$2:$A$9, 0)), "")</f>
        <v/>
      </c>
      <c r="Y1158" s="18"/>
      <c r="Z1158" s="18"/>
      <c r="AA1158" s="18"/>
      <c r="AB1158" s="18"/>
      <c r="AC1158" s="18"/>
    </row>
    <row r="1159" spans="1:29" ht="32.25" customHeight="1">
      <c r="A1159" s="8">
        <v>2307238</v>
      </c>
      <c r="B1159" s="9" t="s">
        <v>13284</v>
      </c>
      <c r="C1159" s="9" t="s">
        <v>13284</v>
      </c>
      <c r="D1159" s="9" t="s">
        <v>13284</v>
      </c>
      <c r="E1159" s="9" t="s">
        <v>13284</v>
      </c>
      <c r="F1159" s="9" t="s">
        <v>13284</v>
      </c>
      <c r="G1159" s="9" t="s">
        <v>13284</v>
      </c>
      <c r="H1159" s="9" t="s">
        <v>13284</v>
      </c>
      <c r="I1159" s="9" t="s">
        <v>13284</v>
      </c>
      <c r="J1159" s="9" t="s">
        <v>13284</v>
      </c>
      <c r="K1159" s="9" t="s">
        <v>13284</v>
      </c>
      <c r="L1159" s="9" t="s">
        <v>13284</v>
      </c>
      <c r="M1159" s="9" t="s">
        <v>13284</v>
      </c>
      <c r="N1159" s="9" t="s">
        <v>13284</v>
      </c>
      <c r="O1159" s="9" t="s">
        <v>13284</v>
      </c>
      <c r="P1159" s="9" t="s">
        <v>13284</v>
      </c>
      <c r="Q1159" s="9" t="s">
        <v>13284</v>
      </c>
      <c r="R1159" s="9" t="s">
        <v>13284</v>
      </c>
      <c r="S1159" s="9" t="s">
        <v>13284</v>
      </c>
      <c r="T1159" s="9" t="str">
        <f ca="1">IFERROR(IF(AND(VLOOKUP(A1159, 'Актуальное состояние (из общего'!A:C,3,0) = "", A1159 &lt;&gt; ""), "ПРОВЕРИТЬ", VLOOKUP(A1159, 'Актуальное состояние (из общего'!A:C,3,0)), "")</f>
        <v>Студент</v>
      </c>
      <c r="U1159" s="9" t="s">
        <v>13284</v>
      </c>
      <c r="V1159" s="9" t="s">
        <v>13284</v>
      </c>
      <c r="W1159" s="9" t="s">
        <v>319</v>
      </c>
      <c r="X1159" s="9" t="str">
        <f t="array" ref="X1159">IFERROR(INDEX('Адреса общежитий (скрытый)'!$B$2:$B$9, MATCH(W1159, 'Адреса общежитий (скрытый)'!$A$2:$A$9, 0)), "")</f>
        <v>ул. Профсоюзная, д.83, корп. 2</v>
      </c>
      <c r="Y1159" s="18"/>
      <c r="Z1159" s="18"/>
      <c r="AA1159" s="18"/>
      <c r="AB1159" s="18"/>
      <c r="AC1159" s="18"/>
    </row>
    <row r="1160" spans="1:29" ht="32.25" hidden="1" customHeight="1">
      <c r="A1160" s="8">
        <v>2306922</v>
      </c>
      <c r="B1160" s="9" t="s">
        <v>13284</v>
      </c>
      <c r="C1160" s="9" t="s">
        <v>13284</v>
      </c>
      <c r="D1160" s="9" t="s">
        <v>13284</v>
      </c>
      <c r="E1160" s="9" t="s">
        <v>13284</v>
      </c>
      <c r="F1160" s="9" t="s">
        <v>13284</v>
      </c>
      <c r="G1160" s="9" t="s">
        <v>13284</v>
      </c>
      <c r="H1160" s="9" t="s">
        <v>13284</v>
      </c>
      <c r="I1160" s="9" t="s">
        <v>13284</v>
      </c>
      <c r="J1160" s="9" t="s">
        <v>13284</v>
      </c>
      <c r="K1160" s="9" t="s">
        <v>13284</v>
      </c>
      <c r="L1160" s="9" t="s">
        <v>13284</v>
      </c>
      <c r="M1160" s="9" t="s">
        <v>13284</v>
      </c>
      <c r="N1160" s="9" t="s">
        <v>13284</v>
      </c>
      <c r="O1160" s="9" t="s">
        <v>13284</v>
      </c>
      <c r="P1160" s="9" t="s">
        <v>13284</v>
      </c>
      <c r="Q1160" s="9" t="s">
        <v>13284</v>
      </c>
      <c r="R1160" s="9" t="s">
        <v>13284</v>
      </c>
      <c r="S1160" s="9" t="s">
        <v>13284</v>
      </c>
      <c r="T1160" s="9" t="str">
        <f ca="1">IFERROR(IF(AND(VLOOKUP(A1160, 'Актуальное состояние (из общего'!A:C,3,0) = "", A1160 &lt;&gt; ""), "ПРОВЕРИТЬ", VLOOKUP(A1160, 'Актуальное состояние (из общего'!A:C,3,0)), "")</f>
        <v>Студент</v>
      </c>
      <c r="U1160" s="9" t="s">
        <v>13284</v>
      </c>
      <c r="V1160" s="9" t="s">
        <v>13284</v>
      </c>
      <c r="W1160" s="12"/>
      <c r="X1160" s="9" t="str">
        <f t="array" ref="X1160">IFERROR(INDEX('Адреса общежитий (скрытый)'!$B$2:$B$9, MATCH(W1160, 'Адреса общежитий (скрытый)'!$A$2:$A$9, 0)), "")</f>
        <v/>
      </c>
      <c r="Y1160" s="18"/>
      <c r="Z1160" s="18"/>
      <c r="AA1160" s="18"/>
      <c r="AB1160" s="18"/>
      <c r="AC1160" s="18"/>
    </row>
    <row r="1161" spans="1:29" ht="32.25" customHeight="1">
      <c r="A1161" s="8">
        <v>2308355</v>
      </c>
      <c r="B1161" s="9" t="s">
        <v>13284</v>
      </c>
      <c r="C1161" s="9" t="s">
        <v>13284</v>
      </c>
      <c r="D1161" s="9" t="s">
        <v>13284</v>
      </c>
      <c r="E1161" s="9" t="s">
        <v>13284</v>
      </c>
      <c r="F1161" s="9" t="s">
        <v>13284</v>
      </c>
      <c r="G1161" s="9" t="s">
        <v>13284</v>
      </c>
      <c r="H1161" s="9" t="s">
        <v>13284</v>
      </c>
      <c r="I1161" s="9" t="s">
        <v>13284</v>
      </c>
      <c r="J1161" s="9" t="s">
        <v>13284</v>
      </c>
      <c r="K1161" s="9" t="s">
        <v>13284</v>
      </c>
      <c r="L1161" s="9" t="s">
        <v>13284</v>
      </c>
      <c r="M1161" s="9" t="s">
        <v>13284</v>
      </c>
      <c r="N1161" s="9" t="s">
        <v>13284</v>
      </c>
      <c r="O1161" s="9" t="s">
        <v>13284</v>
      </c>
      <c r="P1161" s="9" t="s">
        <v>13284</v>
      </c>
      <c r="Q1161" s="9" t="s">
        <v>13284</v>
      </c>
      <c r="R1161" s="9" t="s">
        <v>13284</v>
      </c>
      <c r="S1161" s="9" t="s">
        <v>13284</v>
      </c>
      <c r="T1161" s="9" t="str">
        <f ca="1">IFERROR(IF(AND(VLOOKUP(A1161, 'Актуальное состояние (из общего'!A:C,3,0) = "", A1161 &lt;&gt; ""), "ПРОВЕРИТЬ", VLOOKUP(A1161, 'Актуальное состояние (из общего'!A:C,3,0)), "")</f>
        <v>Студент</v>
      </c>
      <c r="U1161" s="9" t="s">
        <v>13284</v>
      </c>
      <c r="V1161" s="9" t="s">
        <v>13284</v>
      </c>
      <c r="W1161" s="12"/>
      <c r="X1161" s="9" t="str">
        <f t="array" ref="X1161">IFERROR(INDEX('Адреса общежитий (скрытый)'!$B$2:$B$9, MATCH(W1161, 'Адреса общежитий (скрытый)'!$A$2:$A$9, 0)), "")</f>
        <v/>
      </c>
      <c r="Y1161" s="18"/>
      <c r="Z1161" s="18"/>
      <c r="AA1161" s="18"/>
      <c r="AB1161" s="18"/>
      <c r="AC1161" s="18"/>
    </row>
    <row r="1162" spans="1:29" ht="32.25" hidden="1" customHeight="1">
      <c r="A1162" s="8">
        <v>2306361</v>
      </c>
      <c r="B1162" s="9" t="s">
        <v>13284</v>
      </c>
      <c r="C1162" s="9" t="s">
        <v>13284</v>
      </c>
      <c r="D1162" s="9" t="s">
        <v>13284</v>
      </c>
      <c r="E1162" s="9" t="s">
        <v>13284</v>
      </c>
      <c r="F1162" s="9" t="s">
        <v>13284</v>
      </c>
      <c r="G1162" s="9" t="s">
        <v>13284</v>
      </c>
      <c r="H1162" s="9" t="s">
        <v>13284</v>
      </c>
      <c r="I1162" s="9" t="s">
        <v>13284</v>
      </c>
      <c r="J1162" s="9" t="s">
        <v>13284</v>
      </c>
      <c r="K1162" s="9" t="s">
        <v>13284</v>
      </c>
      <c r="L1162" s="9" t="s">
        <v>13284</v>
      </c>
      <c r="M1162" s="9" t="s">
        <v>13284</v>
      </c>
      <c r="N1162" s="9" t="s">
        <v>13284</v>
      </c>
      <c r="O1162" s="9" t="s">
        <v>13284</v>
      </c>
      <c r="P1162" s="9" t="s">
        <v>13284</v>
      </c>
      <c r="Q1162" s="9" t="s">
        <v>13284</v>
      </c>
      <c r="R1162" s="9" t="s">
        <v>13284</v>
      </c>
      <c r="S1162" s="9" t="s">
        <v>13284</v>
      </c>
      <c r="T1162" s="9" t="str">
        <f ca="1">IFERROR(IF(AND(VLOOKUP(A1162, 'Актуальное состояние (из общего'!A:C,3,0) = "", A1162 &lt;&gt; ""), "ПРОВЕРИТЬ", VLOOKUP(A1162, 'Актуальное состояние (из общего'!A:C,3,0)), "")</f>
        <v>Студент</v>
      </c>
      <c r="U1162" s="9" t="s">
        <v>13284</v>
      </c>
      <c r="V1162" s="9" t="s">
        <v>13284</v>
      </c>
      <c r="W1162" s="12"/>
      <c r="X1162" s="9" t="str">
        <f t="array" ref="X1162">IFERROR(INDEX('Адреса общежитий (скрытый)'!$B$2:$B$9, MATCH(W1162, 'Адреса общежитий (скрытый)'!$A$2:$A$9, 0)), "")</f>
        <v/>
      </c>
      <c r="Y1162" s="18"/>
      <c r="Z1162" s="18"/>
      <c r="AA1162" s="18"/>
      <c r="AB1162" s="18"/>
      <c r="AC1162" s="18"/>
    </row>
    <row r="1163" spans="1:29" ht="32.25" hidden="1" customHeight="1">
      <c r="A1163" s="8">
        <v>2306427</v>
      </c>
      <c r="B1163" s="9" t="s">
        <v>13284</v>
      </c>
      <c r="C1163" s="9" t="s">
        <v>13284</v>
      </c>
      <c r="D1163" s="9" t="s">
        <v>13284</v>
      </c>
      <c r="E1163" s="9" t="s">
        <v>13284</v>
      </c>
      <c r="F1163" s="9" t="s">
        <v>13284</v>
      </c>
      <c r="G1163" s="9" t="s">
        <v>13284</v>
      </c>
      <c r="H1163" s="9" t="s">
        <v>13284</v>
      </c>
      <c r="I1163" s="9" t="s">
        <v>13284</v>
      </c>
      <c r="J1163" s="9" t="s">
        <v>13284</v>
      </c>
      <c r="K1163" s="9" t="s">
        <v>13284</v>
      </c>
      <c r="L1163" s="9" t="s">
        <v>13284</v>
      </c>
      <c r="M1163" s="9" t="s">
        <v>13284</v>
      </c>
      <c r="N1163" s="9" t="s">
        <v>13284</v>
      </c>
      <c r="O1163" s="9" t="s">
        <v>13284</v>
      </c>
      <c r="P1163" s="9" t="s">
        <v>13284</v>
      </c>
      <c r="Q1163" s="9" t="s">
        <v>13284</v>
      </c>
      <c r="R1163" s="9" t="s">
        <v>13284</v>
      </c>
      <c r="S1163" s="9" t="s">
        <v>13284</v>
      </c>
      <c r="T1163" s="9" t="str">
        <f ca="1">IFERROR(IF(AND(VLOOKUP(A1163, 'Актуальное состояние (из общего'!A:C,3,0) = "", A1163 &lt;&gt; ""), "ПРОВЕРИТЬ", VLOOKUP(A1163, 'Актуальное состояние (из общего'!A:C,3,0)), "")</f>
        <v>Студент</v>
      </c>
      <c r="U1163" s="9" t="s">
        <v>13284</v>
      </c>
      <c r="V1163" s="9" t="s">
        <v>13284</v>
      </c>
      <c r="W1163" s="12"/>
      <c r="X1163" s="9" t="str">
        <f t="array" ref="X1163">IFERROR(INDEX('Адреса общежитий (скрытый)'!$B$2:$B$9, MATCH(W1163, 'Адреса общежитий (скрытый)'!$A$2:$A$9, 0)), "")</f>
        <v/>
      </c>
      <c r="Y1163" s="18"/>
      <c r="Z1163" s="18"/>
      <c r="AA1163" s="18"/>
      <c r="AB1163" s="18"/>
      <c r="AC1163" s="18"/>
    </row>
    <row r="1164" spans="1:29" ht="32.25" customHeight="1">
      <c r="A1164" s="8">
        <v>2311139</v>
      </c>
      <c r="B1164" s="9" t="s">
        <v>13284</v>
      </c>
      <c r="C1164" s="9" t="s">
        <v>13284</v>
      </c>
      <c r="D1164" s="9" t="s">
        <v>13284</v>
      </c>
      <c r="E1164" s="9" t="s">
        <v>13284</v>
      </c>
      <c r="F1164" s="9" t="s">
        <v>13284</v>
      </c>
      <c r="G1164" s="9" t="s">
        <v>13284</v>
      </c>
      <c r="H1164" s="9" t="s">
        <v>13284</v>
      </c>
      <c r="I1164" s="9" t="s">
        <v>13284</v>
      </c>
      <c r="J1164" s="9" t="s">
        <v>13284</v>
      </c>
      <c r="K1164" s="9" t="s">
        <v>13284</v>
      </c>
      <c r="L1164" s="9" t="s">
        <v>13284</v>
      </c>
      <c r="M1164" s="9" t="s">
        <v>13284</v>
      </c>
      <c r="N1164" s="9" t="s">
        <v>13284</v>
      </c>
      <c r="O1164" s="9" t="s">
        <v>13284</v>
      </c>
      <c r="P1164" s="9" t="s">
        <v>13284</v>
      </c>
      <c r="Q1164" s="9" t="s">
        <v>13284</v>
      </c>
      <c r="R1164" s="9" t="s">
        <v>13284</v>
      </c>
      <c r="S1164" s="9" t="s">
        <v>13284</v>
      </c>
      <c r="T1164" s="9" t="str">
        <f ca="1">IFERROR(IF(AND(VLOOKUP(A1164, 'Актуальное состояние (из общего'!A:C,3,0) = "", A1164 &lt;&gt; ""), "ПРОВЕРИТЬ", VLOOKUP(A1164, 'Актуальное состояние (из общего'!A:C,3,0)), "")</f>
        <v>Студент</v>
      </c>
      <c r="U1164" s="9" t="s">
        <v>13284</v>
      </c>
      <c r="V1164" s="9" t="s">
        <v>13284</v>
      </c>
      <c r="W1164" s="9" t="s">
        <v>319</v>
      </c>
      <c r="X1164" s="9" t="str">
        <f t="array" ref="X1164">IFERROR(INDEX('Адреса общежитий (скрытый)'!$B$2:$B$9, MATCH(W1164, 'Адреса общежитий (скрытый)'!$A$2:$A$9, 0)), "")</f>
        <v>ул. Профсоюзная, д.83, корп. 2</v>
      </c>
      <c r="Y1164" s="18"/>
      <c r="Z1164" s="18"/>
      <c r="AA1164" s="18"/>
      <c r="AB1164" s="18"/>
      <c r="AC1164" s="18"/>
    </row>
    <row r="1165" spans="1:29" ht="32.25" hidden="1" customHeight="1">
      <c r="A1165" s="8">
        <v>2304790</v>
      </c>
      <c r="B1165" s="9" t="s">
        <v>13284</v>
      </c>
      <c r="C1165" s="9" t="s">
        <v>13284</v>
      </c>
      <c r="D1165" s="9" t="s">
        <v>13284</v>
      </c>
      <c r="E1165" s="9" t="s">
        <v>13284</v>
      </c>
      <c r="F1165" s="9" t="s">
        <v>13284</v>
      </c>
      <c r="G1165" s="9" t="s">
        <v>13284</v>
      </c>
      <c r="H1165" s="9" t="s">
        <v>13284</v>
      </c>
      <c r="I1165" s="9" t="s">
        <v>13284</v>
      </c>
      <c r="J1165" s="9" t="s">
        <v>13284</v>
      </c>
      <c r="K1165" s="9" t="s">
        <v>13284</v>
      </c>
      <c r="L1165" s="9" t="s">
        <v>13284</v>
      </c>
      <c r="M1165" s="9" t="s">
        <v>13284</v>
      </c>
      <c r="N1165" s="9" t="s">
        <v>13284</v>
      </c>
      <c r="O1165" s="9" t="s">
        <v>13284</v>
      </c>
      <c r="P1165" s="9" t="s">
        <v>13284</v>
      </c>
      <c r="Q1165" s="9" t="s">
        <v>13284</v>
      </c>
      <c r="R1165" s="9" t="s">
        <v>13284</v>
      </c>
      <c r="S1165" s="9" t="s">
        <v>13284</v>
      </c>
      <c r="T1165" s="9" t="str">
        <f ca="1">IFERROR(IF(AND(VLOOKUP(A1165, 'Актуальное состояние (из общего'!A:C,3,0) = "", A1165 &lt;&gt; ""), "ПРОВЕРИТЬ", VLOOKUP(A1165, 'Актуальное состояние (из общего'!A:C,3,0)), "")</f>
        <v>Студент</v>
      </c>
      <c r="U1165" s="9" t="s">
        <v>13284</v>
      </c>
      <c r="V1165" s="9" t="s">
        <v>13284</v>
      </c>
      <c r="W1165" s="12"/>
      <c r="X1165" s="9" t="str">
        <f t="array" ref="X1165">IFERROR(INDEX('Адреса общежитий (скрытый)'!$B$2:$B$9, MATCH(W1165, 'Адреса общежитий (скрытый)'!$A$2:$A$9, 0)), "")</f>
        <v/>
      </c>
      <c r="Y1165" s="18"/>
      <c r="Z1165" s="18"/>
      <c r="AA1165" s="18"/>
      <c r="AB1165" s="18"/>
      <c r="AC1165" s="18"/>
    </row>
    <row r="1166" spans="1:29" ht="32.25" hidden="1" customHeight="1">
      <c r="A1166" s="8">
        <v>2306440</v>
      </c>
      <c r="B1166" s="9" t="s">
        <v>13284</v>
      </c>
      <c r="C1166" s="9" t="s">
        <v>13284</v>
      </c>
      <c r="D1166" s="9" t="s">
        <v>13284</v>
      </c>
      <c r="E1166" s="9" t="s">
        <v>13284</v>
      </c>
      <c r="F1166" s="9" t="s">
        <v>13284</v>
      </c>
      <c r="G1166" s="9" t="s">
        <v>13284</v>
      </c>
      <c r="H1166" s="9" t="s">
        <v>13284</v>
      </c>
      <c r="I1166" s="9" t="s">
        <v>13284</v>
      </c>
      <c r="J1166" s="9" t="s">
        <v>13284</v>
      </c>
      <c r="K1166" s="9" t="s">
        <v>13284</v>
      </c>
      <c r="L1166" s="9" t="s">
        <v>13284</v>
      </c>
      <c r="M1166" s="9" t="s">
        <v>13284</v>
      </c>
      <c r="N1166" s="9" t="s">
        <v>13284</v>
      </c>
      <c r="O1166" s="9" t="s">
        <v>13284</v>
      </c>
      <c r="P1166" s="9" t="s">
        <v>13284</v>
      </c>
      <c r="Q1166" s="9" t="s">
        <v>13284</v>
      </c>
      <c r="R1166" s="9" t="s">
        <v>13284</v>
      </c>
      <c r="S1166" s="9" t="s">
        <v>13284</v>
      </c>
      <c r="T1166" s="9" t="str">
        <f ca="1">IFERROR(IF(AND(VLOOKUP(A1166, 'Актуальное состояние (из общего'!A:C,3,0) = "", A1166 &lt;&gt; ""), "ПРОВЕРИТЬ", VLOOKUP(A1166, 'Актуальное состояние (из общего'!A:C,3,0)), "")</f>
        <v>Студент</v>
      </c>
      <c r="U1166" s="9" t="s">
        <v>13284</v>
      </c>
      <c r="V1166" s="9" t="s">
        <v>13284</v>
      </c>
      <c r="W1166" s="12"/>
      <c r="X1166" s="9" t="str">
        <f t="array" ref="X1166">IFERROR(INDEX('Адреса общежитий (скрытый)'!$B$2:$B$9, MATCH(W1166, 'Адреса общежитий (скрытый)'!$A$2:$A$9, 0)), "")</f>
        <v/>
      </c>
      <c r="Y1166" s="18"/>
      <c r="Z1166" s="18"/>
      <c r="AA1166" s="18"/>
      <c r="AB1166" s="18"/>
      <c r="AC1166" s="18"/>
    </row>
    <row r="1167" spans="1:29" ht="32.25" customHeight="1">
      <c r="A1167" s="8">
        <v>2312815</v>
      </c>
      <c r="B1167" s="9" t="s">
        <v>13284</v>
      </c>
      <c r="C1167" s="9" t="s">
        <v>13284</v>
      </c>
      <c r="D1167" s="9" t="s">
        <v>13284</v>
      </c>
      <c r="E1167" s="9" t="s">
        <v>13284</v>
      </c>
      <c r="F1167" s="9" t="s">
        <v>13284</v>
      </c>
      <c r="G1167" s="9" t="s">
        <v>13284</v>
      </c>
      <c r="H1167" s="9" t="s">
        <v>13284</v>
      </c>
      <c r="I1167" s="9" t="s">
        <v>13284</v>
      </c>
      <c r="J1167" s="9" t="s">
        <v>13284</v>
      </c>
      <c r="K1167" s="9" t="s">
        <v>13284</v>
      </c>
      <c r="L1167" s="9" t="s">
        <v>13284</v>
      </c>
      <c r="M1167" s="9" t="s">
        <v>13284</v>
      </c>
      <c r="N1167" s="9" t="s">
        <v>13284</v>
      </c>
      <c r="O1167" s="9" t="s">
        <v>13284</v>
      </c>
      <c r="P1167" s="9" t="s">
        <v>13284</v>
      </c>
      <c r="Q1167" s="9" t="s">
        <v>13284</v>
      </c>
      <c r="R1167" s="9" t="s">
        <v>13284</v>
      </c>
      <c r="S1167" s="9" t="s">
        <v>13284</v>
      </c>
      <c r="T1167" s="9" t="str">
        <f ca="1">IFERROR(IF(AND(VLOOKUP(A1167, 'Актуальное состояние (из общего'!A:C,3,0) = "", A1167 &lt;&gt; ""), "ПРОВЕРИТЬ", VLOOKUP(A1167, 'Актуальное состояние (из общего'!A:C,3,0)), "")</f>
        <v>Студент</v>
      </c>
      <c r="U1167" s="9" t="s">
        <v>13284</v>
      </c>
      <c r="V1167" s="9" t="s">
        <v>13284</v>
      </c>
      <c r="W1167" s="9" t="s">
        <v>319</v>
      </c>
      <c r="X1167" s="9" t="str">
        <f t="array" ref="X1167">IFERROR(INDEX('Адреса общежитий (скрытый)'!$B$2:$B$9, MATCH(W1167, 'Адреса общежитий (скрытый)'!$A$2:$A$9, 0)), "")</f>
        <v>ул. Профсоюзная, д.83, корп. 2</v>
      </c>
      <c r="Y1167" s="18"/>
      <c r="Z1167" s="18"/>
      <c r="AA1167" s="18"/>
      <c r="AB1167" s="18"/>
      <c r="AC1167" s="18"/>
    </row>
    <row r="1168" spans="1:29" ht="32.25" hidden="1" customHeight="1">
      <c r="A1168" s="8">
        <v>2309160</v>
      </c>
      <c r="B1168" s="9" t="s">
        <v>13284</v>
      </c>
      <c r="C1168" s="9" t="s">
        <v>13284</v>
      </c>
      <c r="D1168" s="9" t="s">
        <v>13284</v>
      </c>
      <c r="E1168" s="9" t="s">
        <v>13284</v>
      </c>
      <c r="F1168" s="9" t="s">
        <v>13284</v>
      </c>
      <c r="G1168" s="9" t="s">
        <v>13284</v>
      </c>
      <c r="H1168" s="9" t="s">
        <v>13284</v>
      </c>
      <c r="I1168" s="9" t="s">
        <v>13284</v>
      </c>
      <c r="J1168" s="9" t="s">
        <v>13284</v>
      </c>
      <c r="K1168" s="9" t="s">
        <v>13284</v>
      </c>
      <c r="L1168" s="9" t="s">
        <v>13284</v>
      </c>
      <c r="M1168" s="9" t="s">
        <v>13284</v>
      </c>
      <c r="N1168" s="9" t="s">
        <v>13284</v>
      </c>
      <c r="O1168" s="9" t="s">
        <v>13284</v>
      </c>
      <c r="P1168" s="9" t="s">
        <v>13284</v>
      </c>
      <c r="Q1168" s="9" t="s">
        <v>13284</v>
      </c>
      <c r="R1168" s="9" t="s">
        <v>13284</v>
      </c>
      <c r="S1168" s="9" t="s">
        <v>13284</v>
      </c>
      <c r="T1168" s="9" t="str">
        <f ca="1">IFERROR(IF(AND(VLOOKUP(A1168, 'Актуальное состояние (из общего'!A:C,3,0) = "", A1168 &lt;&gt; ""), "ПРОВЕРИТЬ", VLOOKUP(A1168, 'Актуальное состояние (из общего'!A:C,3,0)), "")</f>
        <v>Студент</v>
      </c>
      <c r="U1168" s="9" t="s">
        <v>13284</v>
      </c>
      <c r="V1168" s="9" t="s">
        <v>13284</v>
      </c>
      <c r="W1168" s="12"/>
      <c r="X1168" s="9" t="str">
        <f t="array" ref="X1168">IFERROR(INDEX('Адреса общежитий (скрытый)'!$B$2:$B$9, MATCH(W1168, 'Адреса общежитий (скрытый)'!$A$2:$A$9, 0)), "")</f>
        <v/>
      </c>
      <c r="Y1168" s="18"/>
      <c r="Z1168" s="18"/>
      <c r="AA1168" s="18"/>
      <c r="AB1168" s="18"/>
      <c r="AC1168" s="18"/>
    </row>
    <row r="1169" spans="1:29" ht="32.25" hidden="1" customHeight="1">
      <c r="A1169" s="8">
        <v>2305028</v>
      </c>
      <c r="B1169" s="9" t="s">
        <v>13284</v>
      </c>
      <c r="C1169" s="9" t="s">
        <v>13284</v>
      </c>
      <c r="D1169" s="9" t="s">
        <v>13284</v>
      </c>
      <c r="E1169" s="9" t="s">
        <v>13284</v>
      </c>
      <c r="F1169" s="9" t="s">
        <v>13284</v>
      </c>
      <c r="G1169" s="9" t="s">
        <v>13284</v>
      </c>
      <c r="H1169" s="9" t="s">
        <v>13284</v>
      </c>
      <c r="I1169" s="9" t="s">
        <v>13284</v>
      </c>
      <c r="J1169" s="9" t="s">
        <v>13284</v>
      </c>
      <c r="K1169" s="9" t="s">
        <v>13284</v>
      </c>
      <c r="L1169" s="9" t="s">
        <v>13284</v>
      </c>
      <c r="M1169" s="9" t="s">
        <v>13284</v>
      </c>
      <c r="N1169" s="9" t="s">
        <v>13284</v>
      </c>
      <c r="O1169" s="9" t="s">
        <v>13284</v>
      </c>
      <c r="P1169" s="9" t="s">
        <v>13284</v>
      </c>
      <c r="Q1169" s="9" t="s">
        <v>13284</v>
      </c>
      <c r="R1169" s="9" t="s">
        <v>13284</v>
      </c>
      <c r="S1169" s="9" t="s">
        <v>13284</v>
      </c>
      <c r="T1169" s="9" t="str">
        <f ca="1">IFERROR(IF(AND(VLOOKUP(A1169, 'Актуальное состояние (из общего'!A:C,3,0) = "", A1169 &lt;&gt; ""), "ПРОВЕРИТЬ", VLOOKUP(A1169, 'Актуальное состояние (из общего'!A:C,3,0)), "")</f>
        <v>Студент</v>
      </c>
      <c r="U1169" s="9" t="s">
        <v>13284</v>
      </c>
      <c r="V1169" s="9" t="s">
        <v>13284</v>
      </c>
      <c r="W1169" s="12"/>
      <c r="X1169" s="9" t="str">
        <f t="array" ref="X1169">IFERROR(INDEX('Адреса общежитий (скрытый)'!$B$2:$B$9, MATCH(W1169, 'Адреса общежитий (скрытый)'!$A$2:$A$9, 0)), "")</f>
        <v/>
      </c>
      <c r="Y1169" s="18"/>
      <c r="Z1169" s="18"/>
      <c r="AA1169" s="18"/>
      <c r="AB1169" s="18"/>
      <c r="AC1169" s="18"/>
    </row>
    <row r="1170" spans="1:29" ht="32.25" customHeight="1">
      <c r="A1170" s="8">
        <v>2311003</v>
      </c>
      <c r="B1170" s="9" t="s">
        <v>13284</v>
      </c>
      <c r="C1170" s="9" t="s">
        <v>13284</v>
      </c>
      <c r="D1170" s="9" t="s">
        <v>13284</v>
      </c>
      <c r="E1170" s="9" t="s">
        <v>13284</v>
      </c>
      <c r="F1170" s="9" t="s">
        <v>13284</v>
      </c>
      <c r="G1170" s="9" t="s">
        <v>13284</v>
      </c>
      <c r="H1170" s="9" t="s">
        <v>13284</v>
      </c>
      <c r="I1170" s="9" t="s">
        <v>13284</v>
      </c>
      <c r="J1170" s="9" t="s">
        <v>13284</v>
      </c>
      <c r="K1170" s="9" t="s">
        <v>13284</v>
      </c>
      <c r="L1170" s="9" t="s">
        <v>13284</v>
      </c>
      <c r="M1170" s="9" t="s">
        <v>13284</v>
      </c>
      <c r="N1170" s="9" t="s">
        <v>13284</v>
      </c>
      <c r="O1170" s="9" t="s">
        <v>13284</v>
      </c>
      <c r="P1170" s="9" t="s">
        <v>13284</v>
      </c>
      <c r="Q1170" s="9" t="s">
        <v>13284</v>
      </c>
      <c r="R1170" s="9" t="s">
        <v>13284</v>
      </c>
      <c r="S1170" s="9" t="s">
        <v>13284</v>
      </c>
      <c r="T1170" s="9" t="str">
        <f ca="1">IFERROR(IF(AND(VLOOKUP(A1170, 'Актуальное состояние (из общего'!A:C,3,0) = "", A1170 &lt;&gt; ""), "ПРОВЕРИТЬ", VLOOKUP(A1170, 'Актуальное состояние (из общего'!A:C,3,0)), "")</f>
        <v>Студент</v>
      </c>
      <c r="U1170" s="9" t="s">
        <v>13284</v>
      </c>
      <c r="V1170" s="9" t="s">
        <v>13284</v>
      </c>
      <c r="W1170" s="12"/>
      <c r="X1170" s="9" t="str">
        <f t="array" ref="X1170">IFERROR(INDEX('Адреса общежитий (скрытый)'!$B$2:$B$9, MATCH(W1170, 'Адреса общежитий (скрытый)'!$A$2:$A$9, 0)), "")</f>
        <v/>
      </c>
      <c r="Y1170" s="18"/>
      <c r="Z1170" s="18"/>
      <c r="AA1170" s="18"/>
      <c r="AB1170" s="18"/>
      <c r="AC1170" s="18"/>
    </row>
    <row r="1171" spans="1:29" ht="32.25" hidden="1" customHeight="1">
      <c r="A1171" s="8">
        <v>2304164</v>
      </c>
      <c r="B1171" s="9" t="s">
        <v>13284</v>
      </c>
      <c r="C1171" s="9" t="s">
        <v>13284</v>
      </c>
      <c r="D1171" s="9" t="s">
        <v>13284</v>
      </c>
      <c r="E1171" s="9" t="s">
        <v>13284</v>
      </c>
      <c r="F1171" s="9" t="s">
        <v>13284</v>
      </c>
      <c r="G1171" s="9" t="s">
        <v>13284</v>
      </c>
      <c r="H1171" s="9" t="s">
        <v>13284</v>
      </c>
      <c r="I1171" s="9" t="s">
        <v>13284</v>
      </c>
      <c r="J1171" s="9" t="s">
        <v>13284</v>
      </c>
      <c r="K1171" s="9" t="s">
        <v>13284</v>
      </c>
      <c r="L1171" s="9" t="s">
        <v>13284</v>
      </c>
      <c r="M1171" s="9" t="s">
        <v>13284</v>
      </c>
      <c r="N1171" s="9" t="s">
        <v>13284</v>
      </c>
      <c r="O1171" s="9" t="s">
        <v>13284</v>
      </c>
      <c r="P1171" s="9" t="s">
        <v>13284</v>
      </c>
      <c r="Q1171" s="9" t="s">
        <v>13284</v>
      </c>
      <c r="R1171" s="9" t="s">
        <v>13284</v>
      </c>
      <c r="S1171" s="9" t="s">
        <v>13284</v>
      </c>
      <c r="T1171" s="9" t="str">
        <f ca="1">IFERROR(IF(AND(VLOOKUP(A1171, 'Актуальное состояние (из общего'!A:C,3,0) = "", A1171 &lt;&gt; ""), "ПРОВЕРИТЬ", VLOOKUP(A1171, 'Актуальное состояние (из общего'!A:C,3,0)), "")</f>
        <v>Студент</v>
      </c>
      <c r="U1171" s="9" t="s">
        <v>13284</v>
      </c>
      <c r="V1171" s="9" t="s">
        <v>13284</v>
      </c>
      <c r="W1171" s="12"/>
      <c r="X1171" s="9" t="str">
        <f t="array" ref="X1171">IFERROR(INDEX('Адреса общежитий (скрытый)'!$B$2:$B$9, MATCH(W1171, 'Адреса общежитий (скрытый)'!$A$2:$A$9, 0)), "")</f>
        <v/>
      </c>
      <c r="Y1171" s="18"/>
      <c r="Z1171" s="18"/>
      <c r="AA1171" s="18"/>
      <c r="AB1171" s="18"/>
      <c r="AC1171" s="18"/>
    </row>
    <row r="1172" spans="1:29" ht="32.25" customHeight="1">
      <c r="A1172" s="8">
        <v>2311176</v>
      </c>
      <c r="B1172" s="9" t="s">
        <v>13284</v>
      </c>
      <c r="C1172" s="9" t="s">
        <v>13284</v>
      </c>
      <c r="D1172" s="9" t="s">
        <v>13284</v>
      </c>
      <c r="E1172" s="9" t="s">
        <v>13284</v>
      </c>
      <c r="F1172" s="9" t="s">
        <v>13284</v>
      </c>
      <c r="G1172" s="9" t="s">
        <v>13284</v>
      </c>
      <c r="H1172" s="9" t="s">
        <v>13284</v>
      </c>
      <c r="I1172" s="9" t="s">
        <v>13284</v>
      </c>
      <c r="J1172" s="9" t="s">
        <v>13284</v>
      </c>
      <c r="K1172" s="9" t="s">
        <v>13284</v>
      </c>
      <c r="L1172" s="9" t="s">
        <v>13284</v>
      </c>
      <c r="M1172" s="9" t="s">
        <v>13284</v>
      </c>
      <c r="N1172" s="9" t="s">
        <v>13284</v>
      </c>
      <c r="O1172" s="9" t="s">
        <v>13284</v>
      </c>
      <c r="P1172" s="9" t="s">
        <v>13284</v>
      </c>
      <c r="Q1172" s="9" t="s">
        <v>13284</v>
      </c>
      <c r="R1172" s="9" t="s">
        <v>13284</v>
      </c>
      <c r="S1172" s="9" t="s">
        <v>13284</v>
      </c>
      <c r="T1172" s="9" t="str">
        <f ca="1">IFERROR(IF(AND(VLOOKUP(A1172, 'Актуальное состояние (из общего'!A:C,3,0) = "", A1172 &lt;&gt; ""), "ПРОВЕРИТЬ", VLOOKUP(A1172, 'Актуальное состояние (из общего'!A:C,3,0)), "")</f>
        <v>Студент</v>
      </c>
      <c r="U1172" s="9" t="s">
        <v>13284</v>
      </c>
      <c r="V1172" s="9" t="s">
        <v>13284</v>
      </c>
      <c r="W1172" s="12"/>
      <c r="X1172" s="9" t="str">
        <f t="array" ref="X1172">IFERROR(INDEX('Адреса общежитий (скрытый)'!$B$2:$B$9, MATCH(W1172, 'Адреса общежитий (скрытый)'!$A$2:$A$9, 0)), "")</f>
        <v/>
      </c>
      <c r="Y1172" s="18"/>
      <c r="Z1172" s="18"/>
      <c r="AA1172" s="18"/>
      <c r="AB1172" s="18"/>
      <c r="AC1172" s="18"/>
    </row>
    <row r="1173" spans="1:29" ht="32.25" customHeight="1">
      <c r="A1173" s="8">
        <v>2312787</v>
      </c>
      <c r="B1173" s="9" t="s">
        <v>13284</v>
      </c>
      <c r="C1173" s="9" t="s">
        <v>13284</v>
      </c>
      <c r="D1173" s="9" t="s">
        <v>13284</v>
      </c>
      <c r="E1173" s="9" t="s">
        <v>13284</v>
      </c>
      <c r="F1173" s="9" t="s">
        <v>13284</v>
      </c>
      <c r="G1173" s="9" t="s">
        <v>13284</v>
      </c>
      <c r="H1173" s="9" t="s">
        <v>13284</v>
      </c>
      <c r="I1173" s="9" t="s">
        <v>13284</v>
      </c>
      <c r="J1173" s="9" t="s">
        <v>13284</v>
      </c>
      <c r="K1173" s="9" t="s">
        <v>13284</v>
      </c>
      <c r="L1173" s="9" t="s">
        <v>13284</v>
      </c>
      <c r="M1173" s="9" t="s">
        <v>13284</v>
      </c>
      <c r="N1173" s="9" t="s">
        <v>13284</v>
      </c>
      <c r="O1173" s="9" t="s">
        <v>13284</v>
      </c>
      <c r="P1173" s="9" t="s">
        <v>13284</v>
      </c>
      <c r="Q1173" s="9" t="s">
        <v>13284</v>
      </c>
      <c r="R1173" s="9" t="s">
        <v>13284</v>
      </c>
      <c r="S1173" s="9" t="s">
        <v>13284</v>
      </c>
      <c r="T1173" s="9" t="str">
        <f ca="1">IFERROR(IF(AND(VLOOKUP(A1173, 'Актуальное состояние (из общего'!A:C,3,0) = "", A1173 &lt;&gt; ""), "ПРОВЕРИТЬ", VLOOKUP(A1173, 'Актуальное состояние (из общего'!A:C,3,0)), "")</f>
        <v>Студент</v>
      </c>
      <c r="U1173" s="9" t="s">
        <v>13284</v>
      </c>
      <c r="V1173" s="9" t="s">
        <v>13284</v>
      </c>
      <c r="W1173" s="9" t="s">
        <v>319</v>
      </c>
      <c r="X1173" s="9" t="str">
        <f t="array" ref="X1173">IFERROR(INDEX('Адреса общежитий (скрытый)'!$B$2:$B$9, MATCH(W1173, 'Адреса общежитий (скрытый)'!$A$2:$A$9, 0)), "")</f>
        <v>ул. Профсоюзная, д.83, корп. 2</v>
      </c>
      <c r="Y1173" s="18"/>
      <c r="Z1173" s="18"/>
      <c r="AA1173" s="18"/>
      <c r="AB1173" s="18"/>
      <c r="AC1173" s="18"/>
    </row>
    <row r="1174" spans="1:29" ht="32.25" customHeight="1">
      <c r="A1174" s="8">
        <v>2308545</v>
      </c>
      <c r="B1174" s="9" t="s">
        <v>13284</v>
      </c>
      <c r="C1174" s="9" t="s">
        <v>13284</v>
      </c>
      <c r="D1174" s="9" t="s">
        <v>13284</v>
      </c>
      <c r="E1174" s="9" t="s">
        <v>13284</v>
      </c>
      <c r="F1174" s="9" t="s">
        <v>13284</v>
      </c>
      <c r="G1174" s="9" t="s">
        <v>13284</v>
      </c>
      <c r="H1174" s="9" t="s">
        <v>13284</v>
      </c>
      <c r="I1174" s="9" t="s">
        <v>13284</v>
      </c>
      <c r="J1174" s="9" t="s">
        <v>13284</v>
      </c>
      <c r="K1174" s="9" t="s">
        <v>13284</v>
      </c>
      <c r="L1174" s="9" t="s">
        <v>13284</v>
      </c>
      <c r="M1174" s="9" t="s">
        <v>13284</v>
      </c>
      <c r="N1174" s="9" t="s">
        <v>13284</v>
      </c>
      <c r="O1174" s="9" t="s">
        <v>13284</v>
      </c>
      <c r="P1174" s="9" t="s">
        <v>13284</v>
      </c>
      <c r="Q1174" s="9" t="s">
        <v>13284</v>
      </c>
      <c r="R1174" s="9" t="s">
        <v>13284</v>
      </c>
      <c r="S1174" s="9" t="s">
        <v>13284</v>
      </c>
      <c r="T1174" s="9" t="str">
        <f ca="1">IFERROR(IF(AND(VLOOKUP(A1174, 'Актуальное состояние (из общего'!A:C,3,0) = "", A1174 &lt;&gt; ""), "ПРОВЕРИТЬ", VLOOKUP(A1174, 'Актуальное состояние (из общего'!A:C,3,0)), "")</f>
        <v>Студент</v>
      </c>
      <c r="U1174" s="9" t="s">
        <v>13284</v>
      </c>
      <c r="V1174" s="9" t="s">
        <v>13284</v>
      </c>
      <c r="W1174" s="12"/>
      <c r="X1174" s="9" t="str">
        <f t="array" ref="X1174">IFERROR(INDEX('Адреса общежитий (скрытый)'!$B$2:$B$9, MATCH(W1174, 'Адреса общежитий (скрытый)'!$A$2:$A$9, 0)), "")</f>
        <v/>
      </c>
      <c r="Y1174" s="18"/>
      <c r="Z1174" s="18"/>
      <c r="AA1174" s="18"/>
      <c r="AB1174" s="18"/>
      <c r="AC1174" s="18"/>
    </row>
    <row r="1175" spans="1:29" ht="32.25" hidden="1" customHeight="1">
      <c r="A1175" s="8">
        <v>2303381</v>
      </c>
      <c r="B1175" s="9" t="s">
        <v>13284</v>
      </c>
      <c r="C1175" s="9" t="s">
        <v>13284</v>
      </c>
      <c r="D1175" s="9" t="s">
        <v>13284</v>
      </c>
      <c r="E1175" s="9" t="s">
        <v>13284</v>
      </c>
      <c r="F1175" s="9" t="s">
        <v>13284</v>
      </c>
      <c r="G1175" s="9" t="s">
        <v>13284</v>
      </c>
      <c r="H1175" s="9" t="s">
        <v>13284</v>
      </c>
      <c r="I1175" s="9" t="s">
        <v>13284</v>
      </c>
      <c r="J1175" s="9" t="s">
        <v>13284</v>
      </c>
      <c r="K1175" s="9" t="s">
        <v>13284</v>
      </c>
      <c r="L1175" s="9" t="s">
        <v>13284</v>
      </c>
      <c r="M1175" s="9" t="s">
        <v>13284</v>
      </c>
      <c r="N1175" s="9" t="s">
        <v>13284</v>
      </c>
      <c r="O1175" s="9" t="s">
        <v>13284</v>
      </c>
      <c r="P1175" s="9" t="s">
        <v>13284</v>
      </c>
      <c r="Q1175" s="9" t="s">
        <v>13284</v>
      </c>
      <c r="R1175" s="9" t="s">
        <v>13284</v>
      </c>
      <c r="S1175" s="9" t="s">
        <v>13284</v>
      </c>
      <c r="T1175" s="9" t="str">
        <f ca="1">IFERROR(IF(AND(VLOOKUP(A1175, 'Актуальное состояние (из общего'!A:C,3,0) = "", A1175 &lt;&gt; ""), "ПРОВЕРИТЬ", VLOOKUP(A1175, 'Актуальное состояние (из общего'!A:C,3,0)), "")</f>
        <v>Студент</v>
      </c>
      <c r="U1175" s="9" t="s">
        <v>13284</v>
      </c>
      <c r="V1175" s="9" t="s">
        <v>13284</v>
      </c>
      <c r="W1175" s="12"/>
      <c r="X1175" s="9" t="str">
        <f t="array" ref="X1175">IFERROR(INDEX('Адреса общежитий (скрытый)'!$B$2:$B$9, MATCH(W1175, 'Адреса общежитий (скрытый)'!$A$2:$A$9, 0)), "")</f>
        <v/>
      </c>
      <c r="Y1175" s="18"/>
      <c r="Z1175" s="18"/>
      <c r="AA1175" s="18"/>
      <c r="AB1175" s="18"/>
      <c r="AC1175" s="18"/>
    </row>
    <row r="1176" spans="1:29" ht="32.25" customHeight="1">
      <c r="A1176" s="8">
        <v>2305789</v>
      </c>
      <c r="B1176" s="9" t="s">
        <v>13284</v>
      </c>
      <c r="C1176" s="9" t="s">
        <v>13284</v>
      </c>
      <c r="D1176" s="9" t="s">
        <v>13284</v>
      </c>
      <c r="E1176" s="9" t="s">
        <v>13284</v>
      </c>
      <c r="F1176" s="9" t="s">
        <v>13284</v>
      </c>
      <c r="G1176" s="9" t="s">
        <v>13284</v>
      </c>
      <c r="H1176" s="9" t="s">
        <v>13284</v>
      </c>
      <c r="I1176" s="9" t="s">
        <v>13284</v>
      </c>
      <c r="J1176" s="9" t="s">
        <v>13284</v>
      </c>
      <c r="K1176" s="9" t="s">
        <v>13284</v>
      </c>
      <c r="L1176" s="9" t="s">
        <v>13284</v>
      </c>
      <c r="M1176" s="9" t="s">
        <v>13284</v>
      </c>
      <c r="N1176" s="9" t="s">
        <v>13284</v>
      </c>
      <c r="O1176" s="9" t="s">
        <v>13284</v>
      </c>
      <c r="P1176" s="9" t="s">
        <v>13284</v>
      </c>
      <c r="Q1176" s="9" t="s">
        <v>13284</v>
      </c>
      <c r="R1176" s="9" t="s">
        <v>13284</v>
      </c>
      <c r="S1176" s="9" t="s">
        <v>13284</v>
      </c>
      <c r="T1176" s="9" t="str">
        <f ca="1">IFERROR(IF(AND(VLOOKUP(A1176, 'Актуальное состояние (из общего'!A:C,3,0) = "", A1176 &lt;&gt; ""), "ПРОВЕРИТЬ", VLOOKUP(A1176, 'Актуальное состояние (из общего'!A:C,3,0)), "")</f>
        <v>Студент</v>
      </c>
      <c r="U1176" s="9" t="s">
        <v>13284</v>
      </c>
      <c r="V1176" s="9" t="s">
        <v>13284</v>
      </c>
      <c r="W1176" s="9" t="s">
        <v>319</v>
      </c>
      <c r="X1176" s="9" t="str">
        <f t="array" ref="X1176">IFERROR(INDEX('Адреса общежитий (скрытый)'!$B$2:$B$9, MATCH(W1176, 'Адреса общежитий (скрытый)'!$A$2:$A$9, 0)), "")</f>
        <v>ул. Профсоюзная, д.83, корп. 2</v>
      </c>
      <c r="Y1176" s="18"/>
      <c r="Z1176" s="18"/>
      <c r="AA1176" s="18"/>
      <c r="AB1176" s="18"/>
      <c r="AC1176" s="18"/>
    </row>
    <row r="1177" spans="1:29" ht="32.25" customHeight="1">
      <c r="A1177" s="8">
        <v>2308752</v>
      </c>
      <c r="B1177" s="9" t="s">
        <v>13284</v>
      </c>
      <c r="C1177" s="9" t="s">
        <v>13284</v>
      </c>
      <c r="D1177" s="9" t="s">
        <v>13284</v>
      </c>
      <c r="E1177" s="9" t="s">
        <v>13284</v>
      </c>
      <c r="F1177" s="9" t="s">
        <v>13284</v>
      </c>
      <c r="G1177" s="9" t="s">
        <v>13284</v>
      </c>
      <c r="H1177" s="9" t="s">
        <v>13284</v>
      </c>
      <c r="I1177" s="9" t="s">
        <v>13284</v>
      </c>
      <c r="J1177" s="9" t="s">
        <v>13284</v>
      </c>
      <c r="K1177" s="9" t="s">
        <v>13284</v>
      </c>
      <c r="L1177" s="9" t="s">
        <v>13284</v>
      </c>
      <c r="M1177" s="9" t="s">
        <v>13284</v>
      </c>
      <c r="N1177" s="9" t="s">
        <v>13284</v>
      </c>
      <c r="O1177" s="9" t="s">
        <v>13284</v>
      </c>
      <c r="P1177" s="9" t="s">
        <v>13284</v>
      </c>
      <c r="Q1177" s="9" t="s">
        <v>13284</v>
      </c>
      <c r="R1177" s="9" t="s">
        <v>13284</v>
      </c>
      <c r="S1177" s="9" t="s">
        <v>13284</v>
      </c>
      <c r="T1177" s="9" t="str">
        <f ca="1">IFERROR(IF(AND(VLOOKUP(A1177, 'Актуальное состояние (из общего'!A:C,3,0) = "", A1177 &lt;&gt; ""), "ПРОВЕРИТЬ", VLOOKUP(A1177, 'Актуальное состояние (из общего'!A:C,3,0)), "")</f>
        <v>Студент</v>
      </c>
      <c r="U1177" s="9" t="s">
        <v>13284</v>
      </c>
      <c r="V1177" s="9" t="s">
        <v>13284</v>
      </c>
      <c r="W1177" s="12"/>
      <c r="X1177" s="9" t="str">
        <f t="array" ref="X1177">IFERROR(INDEX('Адреса общежитий (скрытый)'!$B$2:$B$9, MATCH(W1177, 'Адреса общежитий (скрытый)'!$A$2:$A$9, 0)), "")</f>
        <v/>
      </c>
      <c r="Y1177" s="18"/>
      <c r="Z1177" s="18"/>
      <c r="AA1177" s="18"/>
      <c r="AB1177" s="18"/>
      <c r="AC1177" s="18"/>
    </row>
    <row r="1178" spans="1:29" ht="32.25" hidden="1" customHeight="1">
      <c r="A1178" s="8">
        <v>2308210</v>
      </c>
      <c r="B1178" s="9" t="s">
        <v>13284</v>
      </c>
      <c r="C1178" s="9" t="s">
        <v>13284</v>
      </c>
      <c r="D1178" s="9" t="s">
        <v>13284</v>
      </c>
      <c r="E1178" s="9" t="s">
        <v>13284</v>
      </c>
      <c r="F1178" s="9" t="s">
        <v>13284</v>
      </c>
      <c r="G1178" s="9" t="s">
        <v>13284</v>
      </c>
      <c r="H1178" s="9" t="s">
        <v>13284</v>
      </c>
      <c r="I1178" s="9" t="s">
        <v>13284</v>
      </c>
      <c r="J1178" s="9" t="s">
        <v>13284</v>
      </c>
      <c r="K1178" s="9" t="s">
        <v>13284</v>
      </c>
      <c r="L1178" s="9" t="s">
        <v>13284</v>
      </c>
      <c r="M1178" s="9" t="s">
        <v>13284</v>
      </c>
      <c r="N1178" s="9" t="s">
        <v>13284</v>
      </c>
      <c r="O1178" s="9" t="s">
        <v>13284</v>
      </c>
      <c r="P1178" s="9" t="s">
        <v>13284</v>
      </c>
      <c r="Q1178" s="9" t="s">
        <v>13284</v>
      </c>
      <c r="R1178" s="9" t="s">
        <v>13284</v>
      </c>
      <c r="S1178" s="9" t="s">
        <v>13284</v>
      </c>
      <c r="T1178" s="9" t="str">
        <f ca="1">IFERROR(IF(AND(VLOOKUP(A1178, 'Актуальное состояние (из общего'!A:C,3,0) = "", A1178 &lt;&gt; ""), "ПРОВЕРИТЬ", VLOOKUP(A1178, 'Актуальное состояние (из общего'!A:C,3,0)), "")</f>
        <v>Студент</v>
      </c>
      <c r="U1178" s="9" t="s">
        <v>13284</v>
      </c>
      <c r="V1178" s="9" t="s">
        <v>13284</v>
      </c>
      <c r="W1178" s="12"/>
      <c r="X1178" s="9" t="str">
        <f t="array" ref="X1178">IFERROR(INDEX('Адреса общежитий (скрытый)'!$B$2:$B$9, MATCH(W1178, 'Адреса общежитий (скрытый)'!$A$2:$A$9, 0)), "")</f>
        <v/>
      </c>
      <c r="Y1178" s="18"/>
      <c r="Z1178" s="18"/>
      <c r="AA1178" s="18"/>
      <c r="AB1178" s="18"/>
      <c r="AC1178" s="18"/>
    </row>
    <row r="1179" spans="1:29" ht="32.25" hidden="1" customHeight="1">
      <c r="A1179" s="8">
        <v>2302219</v>
      </c>
      <c r="B1179" s="9" t="s">
        <v>13284</v>
      </c>
      <c r="C1179" s="9" t="s">
        <v>13284</v>
      </c>
      <c r="D1179" s="9" t="s">
        <v>13284</v>
      </c>
      <c r="E1179" s="9" t="s">
        <v>13284</v>
      </c>
      <c r="F1179" s="9" t="s">
        <v>13284</v>
      </c>
      <c r="G1179" s="9" t="s">
        <v>13284</v>
      </c>
      <c r="H1179" s="9" t="s">
        <v>13284</v>
      </c>
      <c r="I1179" s="9" t="s">
        <v>13284</v>
      </c>
      <c r="J1179" s="9" t="s">
        <v>13284</v>
      </c>
      <c r="K1179" s="9" t="s">
        <v>13284</v>
      </c>
      <c r="L1179" s="9" t="s">
        <v>13284</v>
      </c>
      <c r="M1179" s="9" t="s">
        <v>13284</v>
      </c>
      <c r="N1179" s="9" t="s">
        <v>13284</v>
      </c>
      <c r="O1179" s="9" t="s">
        <v>13284</v>
      </c>
      <c r="P1179" s="9" t="s">
        <v>13284</v>
      </c>
      <c r="Q1179" s="9" t="s">
        <v>13284</v>
      </c>
      <c r="R1179" s="9" t="s">
        <v>13284</v>
      </c>
      <c r="S1179" s="9" t="s">
        <v>13284</v>
      </c>
      <c r="T1179" s="9" t="str">
        <f ca="1">IFERROR(IF(AND(VLOOKUP(A1179, 'Актуальное состояние (из общего'!A:C,3,0) = "", A1179 &lt;&gt; ""), "ПРОВЕРИТЬ", VLOOKUP(A1179, 'Актуальное состояние (из общего'!A:C,3,0)), "")</f>
        <v>Студент</v>
      </c>
      <c r="U1179" s="9" t="s">
        <v>13284</v>
      </c>
      <c r="V1179" s="9" t="s">
        <v>13284</v>
      </c>
      <c r="W1179" s="12"/>
      <c r="X1179" s="9" t="str">
        <f t="array" ref="X1179">IFERROR(INDEX('Адреса общежитий (скрытый)'!$B$2:$B$9, MATCH(W1179, 'Адреса общежитий (скрытый)'!$A$2:$A$9, 0)), "")</f>
        <v/>
      </c>
      <c r="Y1179" s="18"/>
      <c r="Z1179" s="18"/>
      <c r="AA1179" s="18"/>
      <c r="AB1179" s="18"/>
      <c r="AC1179" s="18"/>
    </row>
    <row r="1180" spans="1:29" ht="32.25" hidden="1" customHeight="1">
      <c r="A1180" s="8">
        <v>2315490</v>
      </c>
      <c r="B1180" s="9" t="s">
        <v>13284</v>
      </c>
      <c r="C1180" s="9" t="s">
        <v>13284</v>
      </c>
      <c r="D1180" s="9" t="s">
        <v>13284</v>
      </c>
      <c r="E1180" s="9" t="s">
        <v>13284</v>
      </c>
      <c r="F1180" s="9" t="s">
        <v>13284</v>
      </c>
      <c r="G1180" s="9" t="s">
        <v>13284</v>
      </c>
      <c r="H1180" s="9" t="s">
        <v>13284</v>
      </c>
      <c r="I1180" s="9" t="s">
        <v>13284</v>
      </c>
      <c r="J1180" s="9" t="s">
        <v>13284</v>
      </c>
      <c r="K1180" s="9" t="s">
        <v>13284</v>
      </c>
      <c r="L1180" s="9" t="s">
        <v>13284</v>
      </c>
      <c r="M1180" s="9" t="s">
        <v>13284</v>
      </c>
      <c r="N1180" s="9" t="s">
        <v>13284</v>
      </c>
      <c r="O1180" s="9" t="s">
        <v>13284</v>
      </c>
      <c r="P1180" s="9" t="s">
        <v>13284</v>
      </c>
      <c r="Q1180" s="9" t="s">
        <v>13284</v>
      </c>
      <c r="R1180" s="9" t="s">
        <v>13284</v>
      </c>
      <c r="S1180" s="9" t="s">
        <v>13284</v>
      </c>
      <c r="T1180" s="9" t="str">
        <f ca="1">IFERROR(IF(AND(VLOOKUP(A1180, 'Актуальное состояние (из общего'!A:C,3,0) = "", A1180 &lt;&gt; ""), "ПРОВЕРИТЬ", VLOOKUP(A1180, 'Актуальное состояние (из общего'!A:C,3,0)), "")</f>
        <v>Студент</v>
      </c>
      <c r="U1180" s="9" t="s">
        <v>13284</v>
      </c>
      <c r="V1180" s="9" t="s">
        <v>13284</v>
      </c>
      <c r="W1180" s="12"/>
      <c r="X1180" s="9" t="str">
        <f t="array" ref="X1180">IFERROR(INDEX('Адреса общежитий (скрытый)'!$B$2:$B$9, MATCH(W1180, 'Адреса общежитий (скрытый)'!$A$2:$A$9, 0)), "")</f>
        <v/>
      </c>
      <c r="Y1180" s="18"/>
      <c r="Z1180" s="18"/>
      <c r="AA1180" s="18"/>
      <c r="AB1180" s="18"/>
      <c r="AC1180" s="18"/>
    </row>
    <row r="1181" spans="1:29" ht="32.25" hidden="1" customHeight="1">
      <c r="A1181" s="8">
        <v>2302651</v>
      </c>
      <c r="B1181" s="9" t="s">
        <v>13284</v>
      </c>
      <c r="C1181" s="9" t="s">
        <v>13284</v>
      </c>
      <c r="D1181" s="9" t="s">
        <v>13284</v>
      </c>
      <c r="E1181" s="9" t="s">
        <v>13284</v>
      </c>
      <c r="F1181" s="9" t="s">
        <v>13284</v>
      </c>
      <c r="G1181" s="9" t="s">
        <v>13284</v>
      </c>
      <c r="H1181" s="9" t="s">
        <v>13284</v>
      </c>
      <c r="I1181" s="9" t="s">
        <v>13284</v>
      </c>
      <c r="J1181" s="9" t="s">
        <v>13284</v>
      </c>
      <c r="K1181" s="9" t="s">
        <v>13284</v>
      </c>
      <c r="L1181" s="9" t="s">
        <v>13284</v>
      </c>
      <c r="M1181" s="9" t="s">
        <v>13284</v>
      </c>
      <c r="N1181" s="9" t="s">
        <v>13284</v>
      </c>
      <c r="O1181" s="9" t="s">
        <v>13284</v>
      </c>
      <c r="P1181" s="9" t="s">
        <v>13284</v>
      </c>
      <c r="Q1181" s="9" t="s">
        <v>13284</v>
      </c>
      <c r="R1181" s="9" t="s">
        <v>13284</v>
      </c>
      <c r="S1181" s="9" t="s">
        <v>13284</v>
      </c>
      <c r="T1181" s="9" t="str">
        <f ca="1">IFERROR(IF(AND(VLOOKUP(A1181, 'Актуальное состояние (из общего'!A:C,3,0) = "", A1181 &lt;&gt; ""), "ПРОВЕРИТЬ", VLOOKUP(A1181, 'Актуальное состояние (из общего'!A:C,3,0)), "")</f>
        <v>Студент</v>
      </c>
      <c r="U1181" s="9" t="s">
        <v>13284</v>
      </c>
      <c r="V1181" s="9" t="s">
        <v>13284</v>
      </c>
      <c r="W1181" s="12"/>
      <c r="X1181" s="9" t="str">
        <f t="array" ref="X1181">IFERROR(INDEX('Адреса общежитий (скрытый)'!$B$2:$B$9, MATCH(W1181, 'Адреса общежитий (скрытый)'!$A$2:$A$9, 0)), "")</f>
        <v/>
      </c>
      <c r="Y1181" s="18"/>
      <c r="Z1181" s="18"/>
      <c r="AA1181" s="18"/>
      <c r="AB1181" s="18"/>
      <c r="AC1181" s="18"/>
    </row>
    <row r="1182" spans="1:29" ht="32.25" hidden="1" customHeight="1">
      <c r="A1182" s="8">
        <v>2302394</v>
      </c>
      <c r="B1182" s="9" t="s">
        <v>13284</v>
      </c>
      <c r="C1182" s="9" t="s">
        <v>13284</v>
      </c>
      <c r="D1182" s="9" t="s">
        <v>13284</v>
      </c>
      <c r="E1182" s="9" t="s">
        <v>13284</v>
      </c>
      <c r="F1182" s="9" t="s">
        <v>13284</v>
      </c>
      <c r="G1182" s="9" t="s">
        <v>13284</v>
      </c>
      <c r="H1182" s="9" t="s">
        <v>13284</v>
      </c>
      <c r="I1182" s="9" t="s">
        <v>13284</v>
      </c>
      <c r="J1182" s="9" t="s">
        <v>13284</v>
      </c>
      <c r="K1182" s="9" t="s">
        <v>13284</v>
      </c>
      <c r="L1182" s="9" t="s">
        <v>13284</v>
      </c>
      <c r="M1182" s="9" t="s">
        <v>13284</v>
      </c>
      <c r="N1182" s="9" t="s">
        <v>13284</v>
      </c>
      <c r="O1182" s="9" t="s">
        <v>13284</v>
      </c>
      <c r="P1182" s="9" t="s">
        <v>13284</v>
      </c>
      <c r="Q1182" s="9" t="s">
        <v>13284</v>
      </c>
      <c r="R1182" s="9" t="s">
        <v>13284</v>
      </c>
      <c r="S1182" s="9" t="s">
        <v>13284</v>
      </c>
      <c r="T1182" s="9" t="str">
        <f ca="1">IFERROR(IF(AND(VLOOKUP(A1182, 'Актуальное состояние (из общего'!A:C,3,0) = "", A1182 &lt;&gt; ""), "ПРОВЕРИТЬ", VLOOKUP(A1182, 'Актуальное состояние (из общего'!A:C,3,0)), "")</f>
        <v>Студент</v>
      </c>
      <c r="U1182" s="9" t="s">
        <v>13284</v>
      </c>
      <c r="V1182" s="9" t="s">
        <v>13284</v>
      </c>
      <c r="W1182" s="12"/>
      <c r="X1182" s="9" t="str">
        <f t="array" ref="X1182">IFERROR(INDEX('Адреса общежитий (скрытый)'!$B$2:$B$9, MATCH(W1182, 'Адреса общежитий (скрытый)'!$A$2:$A$9, 0)), "")</f>
        <v/>
      </c>
      <c r="Y1182" s="18"/>
      <c r="Z1182" s="18"/>
      <c r="AA1182" s="18"/>
      <c r="AB1182" s="18"/>
      <c r="AC1182" s="18"/>
    </row>
    <row r="1183" spans="1:29" ht="32.25" hidden="1" customHeight="1">
      <c r="A1183" s="8">
        <v>2300353</v>
      </c>
      <c r="B1183" s="9" t="s">
        <v>13284</v>
      </c>
      <c r="C1183" s="9" t="s">
        <v>13284</v>
      </c>
      <c r="D1183" s="9" t="s">
        <v>13284</v>
      </c>
      <c r="E1183" s="9" t="s">
        <v>13284</v>
      </c>
      <c r="F1183" s="9" t="s">
        <v>13284</v>
      </c>
      <c r="G1183" s="9" t="s">
        <v>13284</v>
      </c>
      <c r="H1183" s="9" t="s">
        <v>13284</v>
      </c>
      <c r="I1183" s="9" t="s">
        <v>13284</v>
      </c>
      <c r="J1183" s="9" t="s">
        <v>13284</v>
      </c>
      <c r="K1183" s="9" t="s">
        <v>13284</v>
      </c>
      <c r="L1183" s="9" t="s">
        <v>13284</v>
      </c>
      <c r="M1183" s="9" t="s">
        <v>13284</v>
      </c>
      <c r="N1183" s="9" t="s">
        <v>13284</v>
      </c>
      <c r="O1183" s="9" t="s">
        <v>13284</v>
      </c>
      <c r="P1183" s="9" t="s">
        <v>13284</v>
      </c>
      <c r="Q1183" s="9" t="s">
        <v>13284</v>
      </c>
      <c r="R1183" s="9" t="s">
        <v>13284</v>
      </c>
      <c r="S1183" s="9" t="s">
        <v>13284</v>
      </c>
      <c r="T1183" s="9" t="str">
        <f ca="1">IFERROR(IF(AND(VLOOKUP(A1183, 'Актуальное состояние (из общего'!A:C,3,0) = "", A1183 &lt;&gt; ""), "ПРОВЕРИТЬ", VLOOKUP(A1183, 'Актуальное состояние (из общего'!A:C,3,0)), "")</f>
        <v>Студент</v>
      </c>
      <c r="U1183" s="9" t="s">
        <v>13284</v>
      </c>
      <c r="V1183" s="9" t="s">
        <v>13284</v>
      </c>
      <c r="W1183" s="12"/>
      <c r="X1183" s="9" t="str">
        <f t="array" ref="X1183">IFERROR(INDEX('Адреса общежитий (скрытый)'!$B$2:$B$9, MATCH(W1183, 'Адреса общежитий (скрытый)'!$A$2:$A$9, 0)), "")</f>
        <v/>
      </c>
      <c r="Y1183" s="18"/>
      <c r="Z1183" s="18"/>
      <c r="AA1183" s="18"/>
      <c r="AB1183" s="18"/>
      <c r="AC1183" s="18"/>
    </row>
    <row r="1184" spans="1:29" ht="32.25" customHeight="1">
      <c r="A1184" s="8">
        <v>2313026</v>
      </c>
      <c r="B1184" s="9" t="s">
        <v>13284</v>
      </c>
      <c r="C1184" s="9" t="s">
        <v>13284</v>
      </c>
      <c r="D1184" s="9" t="s">
        <v>13284</v>
      </c>
      <c r="E1184" s="9" t="s">
        <v>13284</v>
      </c>
      <c r="F1184" s="9" t="s">
        <v>13284</v>
      </c>
      <c r="G1184" s="9" t="s">
        <v>13284</v>
      </c>
      <c r="H1184" s="9" t="s">
        <v>13284</v>
      </c>
      <c r="I1184" s="9" t="s">
        <v>13284</v>
      </c>
      <c r="J1184" s="9" t="s">
        <v>13284</v>
      </c>
      <c r="K1184" s="9" t="s">
        <v>13284</v>
      </c>
      <c r="L1184" s="9" t="s">
        <v>13284</v>
      </c>
      <c r="M1184" s="9" t="s">
        <v>13284</v>
      </c>
      <c r="N1184" s="9" t="s">
        <v>13284</v>
      </c>
      <c r="O1184" s="9" t="s">
        <v>13284</v>
      </c>
      <c r="P1184" s="9" t="s">
        <v>13284</v>
      </c>
      <c r="Q1184" s="9" t="s">
        <v>13284</v>
      </c>
      <c r="R1184" s="9" t="s">
        <v>13284</v>
      </c>
      <c r="S1184" s="9" t="s">
        <v>13284</v>
      </c>
      <c r="T1184" s="9" t="str">
        <f ca="1">IFERROR(IF(AND(VLOOKUP(A1184, 'Актуальное состояние (из общего'!A:C,3,0) = "", A1184 &lt;&gt; ""), "ПРОВЕРИТЬ", VLOOKUP(A1184, 'Актуальное состояние (из общего'!A:C,3,0)), "")</f>
        <v>Студент</v>
      </c>
      <c r="U1184" s="9" t="s">
        <v>13284</v>
      </c>
      <c r="V1184" s="9" t="s">
        <v>13284</v>
      </c>
      <c r="W1184" s="12"/>
      <c r="X1184" s="9" t="str">
        <f t="array" ref="X1184">IFERROR(INDEX('Адреса общежитий (скрытый)'!$B$2:$B$9, MATCH(W1184, 'Адреса общежитий (скрытый)'!$A$2:$A$9, 0)), "")</f>
        <v/>
      </c>
      <c r="Y1184" s="18"/>
      <c r="Z1184" s="18"/>
      <c r="AA1184" s="18"/>
      <c r="AB1184" s="18"/>
      <c r="AC1184" s="18"/>
    </row>
    <row r="1185" spans="1:29" ht="32.25" hidden="1" customHeight="1">
      <c r="A1185" s="8">
        <v>2310736</v>
      </c>
      <c r="B1185" s="9" t="s">
        <v>13284</v>
      </c>
      <c r="C1185" s="9" t="s">
        <v>13284</v>
      </c>
      <c r="D1185" s="9" t="s">
        <v>13284</v>
      </c>
      <c r="E1185" s="9" t="s">
        <v>13284</v>
      </c>
      <c r="F1185" s="9" t="s">
        <v>13284</v>
      </c>
      <c r="G1185" s="9" t="s">
        <v>13284</v>
      </c>
      <c r="H1185" s="9" t="s">
        <v>13284</v>
      </c>
      <c r="I1185" s="9" t="s">
        <v>13284</v>
      </c>
      <c r="J1185" s="9" t="s">
        <v>13284</v>
      </c>
      <c r="K1185" s="9" t="s">
        <v>13284</v>
      </c>
      <c r="L1185" s="9" t="s">
        <v>13284</v>
      </c>
      <c r="M1185" s="9" t="s">
        <v>13284</v>
      </c>
      <c r="N1185" s="9" t="s">
        <v>13284</v>
      </c>
      <c r="O1185" s="9" t="s">
        <v>13284</v>
      </c>
      <c r="P1185" s="9" t="s">
        <v>13284</v>
      </c>
      <c r="Q1185" s="9" t="s">
        <v>13284</v>
      </c>
      <c r="R1185" s="9" t="s">
        <v>13284</v>
      </c>
      <c r="S1185" s="9" t="s">
        <v>13284</v>
      </c>
      <c r="T1185" s="9" t="str">
        <f ca="1">IFERROR(IF(AND(VLOOKUP(A1185, 'Актуальное состояние (из общего'!A:C,3,0) = "", A1185 &lt;&gt; ""), "ПРОВЕРИТЬ", VLOOKUP(A1185, 'Актуальное состояние (из общего'!A:C,3,0)), "")</f>
        <v>Студент</v>
      </c>
      <c r="U1185" s="9" t="s">
        <v>13284</v>
      </c>
      <c r="V1185" s="9" t="s">
        <v>13284</v>
      </c>
      <c r="W1185" s="12"/>
      <c r="X1185" s="9" t="str">
        <f t="array" ref="X1185">IFERROR(INDEX('Адреса общежитий (скрытый)'!$B$2:$B$9, MATCH(W1185, 'Адреса общежитий (скрытый)'!$A$2:$A$9, 0)), "")</f>
        <v/>
      </c>
      <c r="Y1185" s="18"/>
      <c r="Z1185" s="18"/>
      <c r="AA1185" s="18"/>
      <c r="AB1185" s="18"/>
      <c r="AC1185" s="18"/>
    </row>
    <row r="1186" spans="1:29" ht="32.25" customHeight="1">
      <c r="A1186" s="8">
        <v>2315255</v>
      </c>
      <c r="B1186" s="9" t="s">
        <v>13284</v>
      </c>
      <c r="C1186" s="9" t="s">
        <v>13284</v>
      </c>
      <c r="D1186" s="9" t="s">
        <v>13284</v>
      </c>
      <c r="E1186" s="9" t="s">
        <v>13284</v>
      </c>
      <c r="F1186" s="9" t="s">
        <v>13284</v>
      </c>
      <c r="G1186" s="9" t="s">
        <v>13284</v>
      </c>
      <c r="H1186" s="9" t="s">
        <v>13284</v>
      </c>
      <c r="I1186" s="9" t="s">
        <v>13284</v>
      </c>
      <c r="J1186" s="9" t="s">
        <v>13284</v>
      </c>
      <c r="K1186" s="9" t="s">
        <v>13284</v>
      </c>
      <c r="L1186" s="9" t="s">
        <v>13284</v>
      </c>
      <c r="M1186" s="9" t="s">
        <v>13284</v>
      </c>
      <c r="N1186" s="9" t="s">
        <v>13284</v>
      </c>
      <c r="O1186" s="9" t="s">
        <v>13284</v>
      </c>
      <c r="P1186" s="9" t="s">
        <v>13284</v>
      </c>
      <c r="Q1186" s="9" t="s">
        <v>13284</v>
      </c>
      <c r="R1186" s="9" t="s">
        <v>13284</v>
      </c>
      <c r="S1186" s="9" t="s">
        <v>13284</v>
      </c>
      <c r="T1186" s="9" t="str">
        <f ca="1">IFERROR(IF(AND(VLOOKUP(A1186, 'Актуальное состояние (из общего'!A:C,3,0) = "", A1186 &lt;&gt; ""), "ПРОВЕРИТЬ", VLOOKUP(A1186, 'Актуальное состояние (из общего'!A:C,3,0)), "")</f>
        <v>Студент</v>
      </c>
      <c r="U1186" s="9" t="s">
        <v>13284</v>
      </c>
      <c r="V1186" s="9" t="s">
        <v>13284</v>
      </c>
      <c r="W1186" s="12"/>
      <c r="X1186" s="9" t="str">
        <f t="array" ref="X1186">IFERROR(INDEX('Адреса общежитий (скрытый)'!$B$2:$B$9, MATCH(W1186, 'Адреса общежитий (скрытый)'!$A$2:$A$9, 0)), "")</f>
        <v/>
      </c>
      <c r="Y1186" s="18"/>
      <c r="Z1186" s="18"/>
      <c r="AA1186" s="18"/>
      <c r="AB1186" s="18"/>
      <c r="AC1186" s="18"/>
    </row>
    <row r="1187" spans="1:29" ht="32.25" hidden="1" customHeight="1">
      <c r="A1187" s="8">
        <v>2306422</v>
      </c>
      <c r="B1187" s="9" t="s">
        <v>13284</v>
      </c>
      <c r="C1187" s="9" t="s">
        <v>13284</v>
      </c>
      <c r="D1187" s="9" t="s">
        <v>13284</v>
      </c>
      <c r="E1187" s="9" t="s">
        <v>13284</v>
      </c>
      <c r="F1187" s="9" t="s">
        <v>13284</v>
      </c>
      <c r="G1187" s="9" t="s">
        <v>13284</v>
      </c>
      <c r="H1187" s="9" t="s">
        <v>13284</v>
      </c>
      <c r="I1187" s="9" t="s">
        <v>13284</v>
      </c>
      <c r="J1187" s="9" t="s">
        <v>13284</v>
      </c>
      <c r="K1187" s="9" t="s">
        <v>13284</v>
      </c>
      <c r="L1187" s="9" t="s">
        <v>13284</v>
      </c>
      <c r="M1187" s="9" t="s">
        <v>13284</v>
      </c>
      <c r="N1187" s="9" t="s">
        <v>13284</v>
      </c>
      <c r="O1187" s="9" t="s">
        <v>13284</v>
      </c>
      <c r="P1187" s="9" t="s">
        <v>13284</v>
      </c>
      <c r="Q1187" s="9" t="s">
        <v>13284</v>
      </c>
      <c r="R1187" s="9" t="s">
        <v>13284</v>
      </c>
      <c r="S1187" s="9" t="s">
        <v>13284</v>
      </c>
      <c r="T1187" s="9" t="str">
        <f ca="1">IFERROR(IF(AND(VLOOKUP(A1187, 'Актуальное состояние (из общего'!A:C,3,0) = "", A1187 &lt;&gt; ""), "ПРОВЕРИТЬ", VLOOKUP(A1187, 'Актуальное состояние (из общего'!A:C,3,0)), "")</f>
        <v>Студент</v>
      </c>
      <c r="U1187" s="9" t="s">
        <v>13284</v>
      </c>
      <c r="V1187" s="9" t="s">
        <v>13284</v>
      </c>
      <c r="W1187" s="12"/>
      <c r="X1187" s="9" t="str">
        <f t="array" ref="X1187">IFERROR(INDEX('Адреса общежитий (скрытый)'!$B$2:$B$9, MATCH(W1187, 'Адреса общежитий (скрытый)'!$A$2:$A$9, 0)), "")</f>
        <v/>
      </c>
      <c r="Y1187" s="18"/>
      <c r="Z1187" s="18"/>
      <c r="AA1187" s="18"/>
      <c r="AB1187" s="18"/>
      <c r="AC1187" s="18"/>
    </row>
    <row r="1188" spans="1:29" ht="32.25" customHeight="1">
      <c r="A1188" s="8">
        <v>2302930</v>
      </c>
      <c r="B1188" s="9" t="s">
        <v>13284</v>
      </c>
      <c r="C1188" s="9" t="s">
        <v>13284</v>
      </c>
      <c r="D1188" s="9" t="s">
        <v>13284</v>
      </c>
      <c r="E1188" s="9" t="s">
        <v>13284</v>
      </c>
      <c r="F1188" s="9" t="s">
        <v>13284</v>
      </c>
      <c r="G1188" s="9" t="s">
        <v>13284</v>
      </c>
      <c r="H1188" s="9" t="s">
        <v>13284</v>
      </c>
      <c r="I1188" s="9" t="s">
        <v>13284</v>
      </c>
      <c r="J1188" s="9" t="s">
        <v>13284</v>
      </c>
      <c r="K1188" s="9" t="s">
        <v>13284</v>
      </c>
      <c r="L1188" s="9" t="s">
        <v>13284</v>
      </c>
      <c r="M1188" s="9" t="s">
        <v>13284</v>
      </c>
      <c r="N1188" s="9" t="s">
        <v>13284</v>
      </c>
      <c r="O1188" s="9" t="s">
        <v>13284</v>
      </c>
      <c r="P1188" s="9" t="s">
        <v>13284</v>
      </c>
      <c r="Q1188" s="9" t="s">
        <v>13284</v>
      </c>
      <c r="R1188" s="9" t="s">
        <v>13284</v>
      </c>
      <c r="S1188" s="9" t="s">
        <v>13284</v>
      </c>
      <c r="T1188" s="9" t="str">
        <f ca="1">IFERROR(IF(AND(VLOOKUP(A1188, 'Актуальное состояние (из общего'!A:C,3,0) = "", A1188 &lt;&gt; ""), "ПРОВЕРИТЬ", VLOOKUP(A1188, 'Актуальное состояние (из общего'!A:C,3,0)), "")</f>
        <v>Студент</v>
      </c>
      <c r="U1188" s="9" t="s">
        <v>13284</v>
      </c>
      <c r="V1188" s="9" t="s">
        <v>13284</v>
      </c>
      <c r="W1188" s="9" t="s">
        <v>319</v>
      </c>
      <c r="X1188" s="9" t="str">
        <f t="array" ref="X1188">IFERROR(INDEX('Адреса общежитий (скрытый)'!$B$2:$B$9, MATCH(W1188, 'Адреса общежитий (скрытый)'!$A$2:$A$9, 0)), "")</f>
        <v>ул. Профсоюзная, д.83, корп. 2</v>
      </c>
      <c r="Y1188" s="18"/>
      <c r="Z1188" s="18"/>
      <c r="AA1188" s="18"/>
      <c r="AB1188" s="18"/>
      <c r="AC1188" s="18"/>
    </row>
    <row r="1189" spans="1:29" ht="32.25" customHeight="1">
      <c r="A1189" s="8">
        <v>2313090</v>
      </c>
      <c r="B1189" s="9" t="s">
        <v>13284</v>
      </c>
      <c r="C1189" s="9" t="s">
        <v>13284</v>
      </c>
      <c r="D1189" s="9" t="s">
        <v>13284</v>
      </c>
      <c r="E1189" s="9" t="s">
        <v>13284</v>
      </c>
      <c r="F1189" s="9" t="s">
        <v>13284</v>
      </c>
      <c r="G1189" s="9" t="s">
        <v>13284</v>
      </c>
      <c r="H1189" s="9" t="s">
        <v>13284</v>
      </c>
      <c r="I1189" s="9" t="s">
        <v>13284</v>
      </c>
      <c r="J1189" s="9" t="s">
        <v>13284</v>
      </c>
      <c r="K1189" s="9" t="s">
        <v>13284</v>
      </c>
      <c r="L1189" s="9" t="s">
        <v>13284</v>
      </c>
      <c r="M1189" s="9" t="s">
        <v>13284</v>
      </c>
      <c r="N1189" s="9" t="s">
        <v>13284</v>
      </c>
      <c r="O1189" s="9" t="s">
        <v>13284</v>
      </c>
      <c r="P1189" s="9" t="s">
        <v>13284</v>
      </c>
      <c r="Q1189" s="9" t="s">
        <v>13284</v>
      </c>
      <c r="R1189" s="9" t="s">
        <v>13284</v>
      </c>
      <c r="S1189" s="9" t="s">
        <v>13284</v>
      </c>
      <c r="T1189" s="9" t="str">
        <f ca="1">IFERROR(IF(AND(VLOOKUP(A1189, 'Актуальное состояние (из общего'!A:C,3,0) = "", A1189 &lt;&gt; ""), "ПРОВЕРИТЬ", VLOOKUP(A1189, 'Актуальное состояние (из общего'!A:C,3,0)), "")</f>
        <v>Студент</v>
      </c>
      <c r="U1189" s="9" t="s">
        <v>13284</v>
      </c>
      <c r="V1189" s="9" t="s">
        <v>13284</v>
      </c>
      <c r="W1189" s="12"/>
      <c r="X1189" s="9" t="str">
        <f t="array" ref="X1189">IFERROR(INDEX('Адреса общежитий (скрытый)'!$B$2:$B$9, MATCH(W1189, 'Адреса общежитий (скрытый)'!$A$2:$A$9, 0)), "")</f>
        <v/>
      </c>
      <c r="Y1189" s="18"/>
      <c r="Z1189" s="18"/>
      <c r="AA1189" s="18"/>
      <c r="AB1189" s="18"/>
      <c r="AC1189" s="18"/>
    </row>
    <row r="1190" spans="1:29" ht="32.25" hidden="1" customHeight="1">
      <c r="A1190" s="8">
        <v>2302178</v>
      </c>
      <c r="B1190" s="9" t="s">
        <v>13284</v>
      </c>
      <c r="C1190" s="9" t="s">
        <v>13284</v>
      </c>
      <c r="D1190" s="9" t="s">
        <v>13284</v>
      </c>
      <c r="E1190" s="9" t="s">
        <v>13284</v>
      </c>
      <c r="F1190" s="9" t="s">
        <v>13284</v>
      </c>
      <c r="G1190" s="9" t="s">
        <v>13284</v>
      </c>
      <c r="H1190" s="9" t="s">
        <v>13284</v>
      </c>
      <c r="I1190" s="9" t="s">
        <v>13284</v>
      </c>
      <c r="J1190" s="9" t="s">
        <v>13284</v>
      </c>
      <c r="K1190" s="9" t="s">
        <v>13284</v>
      </c>
      <c r="L1190" s="9" t="s">
        <v>13284</v>
      </c>
      <c r="M1190" s="9" t="s">
        <v>13284</v>
      </c>
      <c r="N1190" s="9" t="s">
        <v>13284</v>
      </c>
      <c r="O1190" s="9" t="s">
        <v>13284</v>
      </c>
      <c r="P1190" s="9" t="s">
        <v>13284</v>
      </c>
      <c r="Q1190" s="9" t="s">
        <v>13284</v>
      </c>
      <c r="R1190" s="9" t="s">
        <v>13284</v>
      </c>
      <c r="S1190" s="9" t="s">
        <v>13284</v>
      </c>
      <c r="T1190" s="9" t="str">
        <f ca="1">IFERROR(IF(AND(VLOOKUP(A1190, 'Актуальное состояние (из общего'!A:C,3,0) = "", A1190 &lt;&gt; ""), "ПРОВЕРИТЬ", VLOOKUP(A1190, 'Актуальное состояние (из общего'!A:C,3,0)), "")</f>
        <v>Студент</v>
      </c>
      <c r="U1190" s="9" t="s">
        <v>13284</v>
      </c>
      <c r="V1190" s="9" t="s">
        <v>13284</v>
      </c>
      <c r="W1190" s="12"/>
      <c r="X1190" s="9" t="str">
        <f t="array" ref="X1190">IFERROR(INDEX('Адреса общежитий (скрытый)'!$B$2:$B$9, MATCH(W1190, 'Адреса общежитий (скрытый)'!$A$2:$A$9, 0)), "")</f>
        <v/>
      </c>
      <c r="Y1190" s="18"/>
      <c r="Z1190" s="18"/>
      <c r="AA1190" s="18"/>
      <c r="AB1190" s="18"/>
      <c r="AC1190" s="18"/>
    </row>
    <row r="1191" spans="1:29" ht="32.25" hidden="1" customHeight="1">
      <c r="A1191" s="8">
        <v>2305261</v>
      </c>
      <c r="B1191" s="9" t="s">
        <v>13284</v>
      </c>
      <c r="C1191" s="9" t="s">
        <v>13284</v>
      </c>
      <c r="D1191" s="9" t="s">
        <v>13284</v>
      </c>
      <c r="E1191" s="9" t="s">
        <v>13284</v>
      </c>
      <c r="F1191" s="9" t="s">
        <v>13284</v>
      </c>
      <c r="G1191" s="9" t="s">
        <v>13284</v>
      </c>
      <c r="H1191" s="9" t="s">
        <v>13284</v>
      </c>
      <c r="I1191" s="9" t="s">
        <v>13284</v>
      </c>
      <c r="J1191" s="9" t="s">
        <v>13284</v>
      </c>
      <c r="K1191" s="9" t="s">
        <v>13284</v>
      </c>
      <c r="L1191" s="9" t="s">
        <v>13284</v>
      </c>
      <c r="M1191" s="9" t="s">
        <v>13284</v>
      </c>
      <c r="N1191" s="9" t="s">
        <v>13284</v>
      </c>
      <c r="O1191" s="9" t="s">
        <v>13284</v>
      </c>
      <c r="P1191" s="9" t="s">
        <v>13284</v>
      </c>
      <c r="Q1191" s="9" t="s">
        <v>13284</v>
      </c>
      <c r="R1191" s="9" t="s">
        <v>13284</v>
      </c>
      <c r="S1191" s="9" t="s">
        <v>13284</v>
      </c>
      <c r="T1191" s="9" t="str">
        <f ca="1">IFERROR(IF(AND(VLOOKUP(A1191, 'Актуальное состояние (из общего'!A:C,3,0) = "", A1191 &lt;&gt; ""), "ПРОВЕРИТЬ", VLOOKUP(A1191, 'Актуальное состояние (из общего'!A:C,3,0)), "")</f>
        <v>Студент</v>
      </c>
      <c r="U1191" s="9" t="s">
        <v>13284</v>
      </c>
      <c r="V1191" s="9" t="s">
        <v>13284</v>
      </c>
      <c r="W1191" s="12"/>
      <c r="X1191" s="9" t="str">
        <f t="array" ref="X1191">IFERROR(INDEX('Адреса общежитий (скрытый)'!$B$2:$B$9, MATCH(W1191, 'Адреса общежитий (скрытый)'!$A$2:$A$9, 0)), "")</f>
        <v/>
      </c>
      <c r="Y1191" s="18"/>
      <c r="Z1191" s="18"/>
      <c r="AA1191" s="18"/>
      <c r="AB1191" s="18"/>
      <c r="AC1191" s="18"/>
    </row>
    <row r="1192" spans="1:29" ht="32.25" customHeight="1">
      <c r="A1192" s="8">
        <v>2304191</v>
      </c>
      <c r="B1192" s="9" t="s">
        <v>13284</v>
      </c>
      <c r="C1192" s="9" t="s">
        <v>13284</v>
      </c>
      <c r="D1192" s="9" t="s">
        <v>13284</v>
      </c>
      <c r="E1192" s="9" t="s">
        <v>13284</v>
      </c>
      <c r="F1192" s="9" t="s">
        <v>13284</v>
      </c>
      <c r="G1192" s="9" t="s">
        <v>13284</v>
      </c>
      <c r="H1192" s="9" t="s">
        <v>13284</v>
      </c>
      <c r="I1192" s="9" t="s">
        <v>13284</v>
      </c>
      <c r="J1192" s="9" t="s">
        <v>13284</v>
      </c>
      <c r="K1192" s="9" t="s">
        <v>13284</v>
      </c>
      <c r="L1192" s="9" t="s">
        <v>13284</v>
      </c>
      <c r="M1192" s="9" t="s">
        <v>13284</v>
      </c>
      <c r="N1192" s="9" t="s">
        <v>13284</v>
      </c>
      <c r="O1192" s="9" t="s">
        <v>13284</v>
      </c>
      <c r="P1192" s="9" t="s">
        <v>13284</v>
      </c>
      <c r="Q1192" s="9" t="s">
        <v>13284</v>
      </c>
      <c r="R1192" s="9" t="s">
        <v>13284</v>
      </c>
      <c r="S1192" s="9" t="s">
        <v>13284</v>
      </c>
      <c r="T1192" s="9" t="str">
        <f ca="1">IFERROR(IF(AND(VLOOKUP(A1192, 'Актуальное состояние (из общего'!A:C,3,0) = "", A1192 &lt;&gt; ""), "ПРОВЕРИТЬ", VLOOKUP(A1192, 'Актуальное состояние (из общего'!A:C,3,0)), "")</f>
        <v>Студент</v>
      </c>
      <c r="U1192" s="9" t="s">
        <v>13284</v>
      </c>
      <c r="V1192" s="9" t="s">
        <v>13284</v>
      </c>
      <c r="W1192" s="12"/>
      <c r="X1192" s="9" t="str">
        <f t="array" ref="X1192">IFERROR(INDEX('Адреса общежитий (скрытый)'!$B$2:$B$9, MATCH(W1192, 'Адреса общежитий (скрытый)'!$A$2:$A$9, 0)), "")</f>
        <v/>
      </c>
      <c r="Y1192" s="18"/>
      <c r="Z1192" s="18"/>
      <c r="AA1192" s="18"/>
      <c r="AB1192" s="18"/>
      <c r="AC1192" s="18"/>
    </row>
    <row r="1193" spans="1:29" ht="32.25" hidden="1" customHeight="1">
      <c r="A1193" s="8">
        <v>2305275</v>
      </c>
      <c r="B1193" s="9" t="s">
        <v>13284</v>
      </c>
      <c r="C1193" s="9" t="s">
        <v>13284</v>
      </c>
      <c r="D1193" s="9" t="s">
        <v>13284</v>
      </c>
      <c r="E1193" s="9" t="s">
        <v>13284</v>
      </c>
      <c r="F1193" s="9" t="s">
        <v>13284</v>
      </c>
      <c r="G1193" s="9" t="s">
        <v>13284</v>
      </c>
      <c r="H1193" s="9" t="s">
        <v>13284</v>
      </c>
      <c r="I1193" s="9" t="s">
        <v>13284</v>
      </c>
      <c r="J1193" s="9" t="s">
        <v>13284</v>
      </c>
      <c r="K1193" s="9" t="s">
        <v>13284</v>
      </c>
      <c r="L1193" s="9" t="s">
        <v>13284</v>
      </c>
      <c r="M1193" s="9" t="s">
        <v>13284</v>
      </c>
      <c r="N1193" s="9" t="s">
        <v>13284</v>
      </c>
      <c r="O1193" s="9" t="s">
        <v>13284</v>
      </c>
      <c r="P1193" s="9" t="s">
        <v>13284</v>
      </c>
      <c r="Q1193" s="9" t="s">
        <v>13284</v>
      </c>
      <c r="R1193" s="9" t="s">
        <v>13284</v>
      </c>
      <c r="S1193" s="9" t="s">
        <v>13284</v>
      </c>
      <c r="T1193" s="9" t="str">
        <f ca="1">IFERROR(IF(AND(VLOOKUP(A1193, 'Актуальное состояние (из общего'!A:C,3,0) = "", A1193 &lt;&gt; ""), "ПРОВЕРИТЬ", VLOOKUP(A1193, 'Актуальное состояние (из общего'!A:C,3,0)), "")</f>
        <v>Студент</v>
      </c>
      <c r="U1193" s="9" t="s">
        <v>13284</v>
      </c>
      <c r="V1193" s="9" t="s">
        <v>13284</v>
      </c>
      <c r="W1193" s="12"/>
      <c r="X1193" s="9" t="str">
        <f t="array" ref="X1193">IFERROR(INDEX('Адреса общежитий (скрытый)'!$B$2:$B$9, MATCH(W1193, 'Адреса общежитий (скрытый)'!$A$2:$A$9, 0)), "")</f>
        <v/>
      </c>
      <c r="Y1193" s="18"/>
      <c r="Z1193" s="18"/>
      <c r="AA1193" s="18"/>
      <c r="AB1193" s="18"/>
      <c r="AC1193" s="18"/>
    </row>
    <row r="1194" spans="1:29" ht="32.25" hidden="1" customHeight="1">
      <c r="A1194" s="8">
        <v>2302369</v>
      </c>
      <c r="B1194" s="9" t="s">
        <v>13284</v>
      </c>
      <c r="C1194" s="9" t="s">
        <v>13284</v>
      </c>
      <c r="D1194" s="9" t="s">
        <v>13284</v>
      </c>
      <c r="E1194" s="9" t="s">
        <v>13284</v>
      </c>
      <c r="F1194" s="9" t="s">
        <v>13284</v>
      </c>
      <c r="G1194" s="9" t="s">
        <v>13284</v>
      </c>
      <c r="H1194" s="9" t="s">
        <v>13284</v>
      </c>
      <c r="I1194" s="9" t="s">
        <v>13284</v>
      </c>
      <c r="J1194" s="9" t="s">
        <v>13284</v>
      </c>
      <c r="K1194" s="9" t="s">
        <v>13284</v>
      </c>
      <c r="L1194" s="9" t="s">
        <v>13284</v>
      </c>
      <c r="M1194" s="9" t="s">
        <v>13284</v>
      </c>
      <c r="N1194" s="9" t="s">
        <v>13284</v>
      </c>
      <c r="O1194" s="9" t="s">
        <v>13284</v>
      </c>
      <c r="P1194" s="9" t="s">
        <v>13284</v>
      </c>
      <c r="Q1194" s="9" t="s">
        <v>13284</v>
      </c>
      <c r="R1194" s="9" t="s">
        <v>13284</v>
      </c>
      <c r="S1194" s="9" t="s">
        <v>13284</v>
      </c>
      <c r="T1194" s="9" t="str">
        <f ca="1">IFERROR(IF(AND(VLOOKUP(A1194, 'Актуальное состояние (из общего'!A:C,3,0) = "", A1194 &lt;&gt; ""), "ПРОВЕРИТЬ", VLOOKUP(A1194, 'Актуальное состояние (из общего'!A:C,3,0)), "")</f>
        <v>Студент</v>
      </c>
      <c r="U1194" s="9" t="s">
        <v>13284</v>
      </c>
      <c r="V1194" s="9" t="s">
        <v>13284</v>
      </c>
      <c r="W1194" s="12"/>
      <c r="X1194" s="9" t="str">
        <f t="array" ref="X1194">IFERROR(INDEX('Адреса общежитий (скрытый)'!$B$2:$B$9, MATCH(W1194, 'Адреса общежитий (скрытый)'!$A$2:$A$9, 0)), "")</f>
        <v/>
      </c>
      <c r="Y1194" s="18"/>
      <c r="Z1194" s="18"/>
      <c r="AA1194" s="18"/>
      <c r="AB1194" s="18"/>
      <c r="AC1194" s="18"/>
    </row>
    <row r="1195" spans="1:29" ht="32.25" hidden="1" customHeight="1">
      <c r="A1195" s="8">
        <v>2303579</v>
      </c>
      <c r="B1195" s="9" t="s">
        <v>13284</v>
      </c>
      <c r="C1195" s="9" t="s">
        <v>13284</v>
      </c>
      <c r="D1195" s="9" t="s">
        <v>13284</v>
      </c>
      <c r="E1195" s="9" t="s">
        <v>13284</v>
      </c>
      <c r="F1195" s="9" t="s">
        <v>13284</v>
      </c>
      <c r="G1195" s="9" t="s">
        <v>13284</v>
      </c>
      <c r="H1195" s="9" t="s">
        <v>13284</v>
      </c>
      <c r="I1195" s="9" t="s">
        <v>13284</v>
      </c>
      <c r="J1195" s="9" t="s">
        <v>13284</v>
      </c>
      <c r="K1195" s="9" t="s">
        <v>13284</v>
      </c>
      <c r="L1195" s="9" t="s">
        <v>13284</v>
      </c>
      <c r="M1195" s="9" t="s">
        <v>13284</v>
      </c>
      <c r="N1195" s="9" t="s">
        <v>13284</v>
      </c>
      <c r="O1195" s="9" t="s">
        <v>13284</v>
      </c>
      <c r="P1195" s="9" t="s">
        <v>13284</v>
      </c>
      <c r="Q1195" s="9" t="s">
        <v>13284</v>
      </c>
      <c r="R1195" s="9" t="s">
        <v>13284</v>
      </c>
      <c r="S1195" s="9" t="s">
        <v>13284</v>
      </c>
      <c r="T1195" s="9" t="str">
        <f ca="1">IFERROR(IF(AND(VLOOKUP(A1195, 'Актуальное состояние (из общего'!A:C,3,0) = "", A1195 &lt;&gt; ""), "ПРОВЕРИТЬ", VLOOKUP(A1195, 'Актуальное состояние (из общего'!A:C,3,0)), "")</f>
        <v>Студент</v>
      </c>
      <c r="U1195" s="9" t="s">
        <v>13284</v>
      </c>
      <c r="V1195" s="9" t="s">
        <v>13284</v>
      </c>
      <c r="W1195" s="12"/>
      <c r="X1195" s="9" t="str">
        <f t="array" ref="X1195">IFERROR(INDEX('Адреса общежитий (скрытый)'!$B$2:$B$9, MATCH(W1195, 'Адреса общежитий (скрытый)'!$A$2:$A$9, 0)), "")</f>
        <v/>
      </c>
      <c r="Y1195" s="18"/>
      <c r="Z1195" s="18"/>
      <c r="AA1195" s="18"/>
      <c r="AB1195" s="18"/>
      <c r="AC1195" s="18"/>
    </row>
    <row r="1196" spans="1:29" ht="32.25" customHeight="1">
      <c r="A1196" s="8">
        <v>2304460</v>
      </c>
      <c r="B1196" s="9" t="s">
        <v>13284</v>
      </c>
      <c r="C1196" s="9" t="s">
        <v>13284</v>
      </c>
      <c r="D1196" s="9" t="s">
        <v>13284</v>
      </c>
      <c r="E1196" s="9" t="s">
        <v>13284</v>
      </c>
      <c r="F1196" s="9" t="s">
        <v>13284</v>
      </c>
      <c r="G1196" s="9" t="s">
        <v>13284</v>
      </c>
      <c r="H1196" s="9" t="s">
        <v>13284</v>
      </c>
      <c r="I1196" s="9" t="s">
        <v>13284</v>
      </c>
      <c r="J1196" s="9" t="s">
        <v>13284</v>
      </c>
      <c r="K1196" s="9" t="s">
        <v>13284</v>
      </c>
      <c r="L1196" s="9" t="s">
        <v>13284</v>
      </c>
      <c r="M1196" s="9" t="s">
        <v>13284</v>
      </c>
      <c r="N1196" s="9" t="s">
        <v>13284</v>
      </c>
      <c r="O1196" s="9" t="s">
        <v>13284</v>
      </c>
      <c r="P1196" s="9" t="s">
        <v>13284</v>
      </c>
      <c r="Q1196" s="9" t="s">
        <v>13284</v>
      </c>
      <c r="R1196" s="9" t="s">
        <v>13284</v>
      </c>
      <c r="S1196" s="9" t="s">
        <v>13284</v>
      </c>
      <c r="T1196" s="9" t="str">
        <f ca="1">IFERROR(IF(AND(VLOOKUP(A1196, 'Актуальное состояние (из общего'!A:C,3,0) = "", A1196 &lt;&gt; ""), "ПРОВЕРИТЬ", VLOOKUP(A1196, 'Актуальное состояние (из общего'!A:C,3,0)), "")</f>
        <v>Студент</v>
      </c>
      <c r="U1196" s="9" t="s">
        <v>13284</v>
      </c>
      <c r="V1196" s="9" t="s">
        <v>13284</v>
      </c>
      <c r="W1196" s="12"/>
      <c r="X1196" s="9" t="str">
        <f t="array" ref="X1196">IFERROR(INDEX('Адреса общежитий (скрытый)'!$B$2:$B$9, MATCH(W1196, 'Адреса общежитий (скрытый)'!$A$2:$A$9, 0)), "")</f>
        <v/>
      </c>
      <c r="Y1196" s="18"/>
      <c r="Z1196" s="18"/>
      <c r="AA1196" s="18"/>
      <c r="AB1196" s="18"/>
      <c r="AC1196" s="18"/>
    </row>
    <row r="1197" spans="1:29" ht="32.25" hidden="1" customHeight="1">
      <c r="A1197" s="8">
        <v>2307493</v>
      </c>
      <c r="B1197" s="9" t="s">
        <v>13284</v>
      </c>
      <c r="C1197" s="9" t="s">
        <v>13284</v>
      </c>
      <c r="D1197" s="9" t="s">
        <v>13284</v>
      </c>
      <c r="E1197" s="9" t="s">
        <v>13284</v>
      </c>
      <c r="F1197" s="9" t="s">
        <v>13284</v>
      </c>
      <c r="G1197" s="9" t="s">
        <v>13284</v>
      </c>
      <c r="H1197" s="9" t="s">
        <v>13284</v>
      </c>
      <c r="I1197" s="9" t="s">
        <v>13284</v>
      </c>
      <c r="J1197" s="9" t="s">
        <v>13284</v>
      </c>
      <c r="K1197" s="9" t="s">
        <v>13284</v>
      </c>
      <c r="L1197" s="9" t="s">
        <v>13284</v>
      </c>
      <c r="M1197" s="9" t="s">
        <v>13284</v>
      </c>
      <c r="N1197" s="9" t="s">
        <v>13284</v>
      </c>
      <c r="O1197" s="9" t="s">
        <v>13284</v>
      </c>
      <c r="P1197" s="9" t="s">
        <v>13284</v>
      </c>
      <c r="Q1197" s="9" t="s">
        <v>13284</v>
      </c>
      <c r="R1197" s="9" t="s">
        <v>13284</v>
      </c>
      <c r="S1197" s="9" t="s">
        <v>13284</v>
      </c>
      <c r="T1197" s="9" t="str">
        <f ca="1">IFERROR(IF(AND(VLOOKUP(A1197, 'Актуальное состояние (из общего'!A:C,3,0) = "", A1197 &lt;&gt; ""), "ПРОВЕРИТЬ", VLOOKUP(A1197, 'Актуальное состояние (из общего'!A:C,3,0)), "")</f>
        <v>Студент</v>
      </c>
      <c r="U1197" s="9" t="s">
        <v>13284</v>
      </c>
      <c r="V1197" s="9" t="s">
        <v>13284</v>
      </c>
      <c r="W1197" s="12"/>
      <c r="X1197" s="9" t="str">
        <f t="array" ref="X1197">IFERROR(INDEX('Адреса общежитий (скрытый)'!$B$2:$B$9, MATCH(W1197, 'Адреса общежитий (скрытый)'!$A$2:$A$9, 0)), "")</f>
        <v/>
      </c>
      <c r="Y1197" s="18"/>
      <c r="Z1197" s="18"/>
      <c r="AA1197" s="18"/>
      <c r="AB1197" s="18"/>
      <c r="AC1197" s="18"/>
    </row>
    <row r="1198" spans="1:29" ht="32.25" customHeight="1">
      <c r="A1198" s="8">
        <v>2310541</v>
      </c>
      <c r="B1198" s="9" t="s">
        <v>13284</v>
      </c>
      <c r="C1198" s="9" t="s">
        <v>13284</v>
      </c>
      <c r="D1198" s="9" t="s">
        <v>13284</v>
      </c>
      <c r="E1198" s="9" t="s">
        <v>13284</v>
      </c>
      <c r="F1198" s="9" t="s">
        <v>13284</v>
      </c>
      <c r="G1198" s="9" t="s">
        <v>13284</v>
      </c>
      <c r="H1198" s="9" t="s">
        <v>13284</v>
      </c>
      <c r="I1198" s="9" t="s">
        <v>13284</v>
      </c>
      <c r="J1198" s="9" t="s">
        <v>13284</v>
      </c>
      <c r="K1198" s="9" t="s">
        <v>13284</v>
      </c>
      <c r="L1198" s="9" t="s">
        <v>13284</v>
      </c>
      <c r="M1198" s="9" t="s">
        <v>13284</v>
      </c>
      <c r="N1198" s="9" t="s">
        <v>13284</v>
      </c>
      <c r="O1198" s="9" t="s">
        <v>13284</v>
      </c>
      <c r="P1198" s="9" t="s">
        <v>13284</v>
      </c>
      <c r="Q1198" s="9" t="s">
        <v>13284</v>
      </c>
      <c r="R1198" s="9" t="s">
        <v>13284</v>
      </c>
      <c r="S1198" s="9" t="s">
        <v>13284</v>
      </c>
      <c r="T1198" s="9" t="str">
        <f ca="1">IFERROR(IF(AND(VLOOKUP(A1198, 'Актуальное состояние (из общего'!A:C,3,0) = "", A1198 &lt;&gt; ""), "ПРОВЕРИТЬ", VLOOKUP(A1198, 'Актуальное состояние (из общего'!A:C,3,0)), "")</f>
        <v>Студент</v>
      </c>
      <c r="U1198" s="9" t="s">
        <v>13284</v>
      </c>
      <c r="V1198" s="9" t="s">
        <v>13284</v>
      </c>
      <c r="W1198" s="12"/>
      <c r="X1198" s="9" t="str">
        <f t="array" ref="X1198">IFERROR(INDEX('Адреса общежитий (скрытый)'!$B$2:$B$9, MATCH(W1198, 'Адреса общежитий (скрытый)'!$A$2:$A$9, 0)), "")</f>
        <v/>
      </c>
      <c r="Y1198" s="18"/>
      <c r="Z1198" s="18"/>
      <c r="AA1198" s="18"/>
      <c r="AB1198" s="18"/>
      <c r="AC1198" s="18"/>
    </row>
    <row r="1199" spans="1:29" ht="32.25" customHeight="1">
      <c r="A1199" s="8">
        <v>2306445</v>
      </c>
      <c r="B1199" s="9" t="s">
        <v>13284</v>
      </c>
      <c r="C1199" s="9" t="s">
        <v>13284</v>
      </c>
      <c r="D1199" s="9" t="s">
        <v>13284</v>
      </c>
      <c r="E1199" s="9" t="s">
        <v>13284</v>
      </c>
      <c r="F1199" s="9" t="s">
        <v>13284</v>
      </c>
      <c r="G1199" s="9" t="s">
        <v>13284</v>
      </c>
      <c r="H1199" s="9" t="s">
        <v>13284</v>
      </c>
      <c r="I1199" s="9" t="s">
        <v>13284</v>
      </c>
      <c r="J1199" s="9" t="s">
        <v>13284</v>
      </c>
      <c r="K1199" s="9" t="s">
        <v>13284</v>
      </c>
      <c r="L1199" s="9" t="s">
        <v>13284</v>
      </c>
      <c r="M1199" s="9" t="s">
        <v>13284</v>
      </c>
      <c r="N1199" s="9" t="s">
        <v>13284</v>
      </c>
      <c r="O1199" s="9" t="s">
        <v>13284</v>
      </c>
      <c r="P1199" s="9" t="s">
        <v>13284</v>
      </c>
      <c r="Q1199" s="9" t="s">
        <v>13284</v>
      </c>
      <c r="R1199" s="9" t="s">
        <v>13284</v>
      </c>
      <c r="S1199" s="9" t="s">
        <v>13284</v>
      </c>
      <c r="T1199" s="9" t="str">
        <f ca="1">IFERROR(IF(AND(VLOOKUP(A1199, 'Актуальное состояние (из общего'!A:C,3,0) = "", A1199 &lt;&gt; ""), "ПРОВЕРИТЬ", VLOOKUP(A1199, 'Актуальное состояние (из общего'!A:C,3,0)), "")</f>
        <v>Студент</v>
      </c>
      <c r="U1199" s="9" t="s">
        <v>13284</v>
      </c>
      <c r="V1199" s="9" t="s">
        <v>13284</v>
      </c>
      <c r="W1199" s="12"/>
      <c r="X1199" s="9" t="str">
        <f t="array" ref="X1199">IFERROR(INDEX('Адреса общежитий (скрытый)'!$B$2:$B$9, MATCH(W1199, 'Адреса общежитий (скрытый)'!$A$2:$A$9, 0)), "")</f>
        <v/>
      </c>
      <c r="Y1199" s="18"/>
      <c r="Z1199" s="18"/>
      <c r="AA1199" s="18"/>
      <c r="AB1199" s="18"/>
      <c r="AC1199" s="18"/>
    </row>
    <row r="1200" spans="1:29" ht="32.25" customHeight="1">
      <c r="A1200" s="8">
        <v>2304950</v>
      </c>
      <c r="B1200" s="9" t="s">
        <v>13284</v>
      </c>
      <c r="C1200" s="9" t="s">
        <v>13284</v>
      </c>
      <c r="D1200" s="9" t="s">
        <v>13284</v>
      </c>
      <c r="E1200" s="9" t="s">
        <v>13284</v>
      </c>
      <c r="F1200" s="9" t="s">
        <v>13284</v>
      </c>
      <c r="G1200" s="9" t="s">
        <v>13284</v>
      </c>
      <c r="H1200" s="9" t="s">
        <v>13284</v>
      </c>
      <c r="I1200" s="9" t="s">
        <v>13284</v>
      </c>
      <c r="J1200" s="9" t="s">
        <v>13284</v>
      </c>
      <c r="K1200" s="9" t="s">
        <v>13284</v>
      </c>
      <c r="L1200" s="9" t="s">
        <v>13284</v>
      </c>
      <c r="M1200" s="9" t="s">
        <v>13284</v>
      </c>
      <c r="N1200" s="9" t="s">
        <v>13284</v>
      </c>
      <c r="O1200" s="9" t="s">
        <v>13284</v>
      </c>
      <c r="P1200" s="9" t="s">
        <v>13284</v>
      </c>
      <c r="Q1200" s="9" t="s">
        <v>13284</v>
      </c>
      <c r="R1200" s="9" t="s">
        <v>13284</v>
      </c>
      <c r="S1200" s="9" t="s">
        <v>13284</v>
      </c>
      <c r="T1200" s="9" t="str">
        <f ca="1">IFERROR(IF(AND(VLOOKUP(A1200, 'Актуальное состояние (из общего'!A:C,3,0) = "", A1200 &lt;&gt; ""), "ПРОВЕРИТЬ", VLOOKUP(A1200, 'Актуальное состояние (из общего'!A:C,3,0)), "")</f>
        <v>Студент</v>
      </c>
      <c r="U1200" s="9" t="s">
        <v>13284</v>
      </c>
      <c r="V1200" s="9" t="s">
        <v>13284</v>
      </c>
      <c r="W1200" s="12"/>
      <c r="X1200" s="9" t="str">
        <f t="array" ref="X1200">IFERROR(INDEX('Адреса общежитий (скрытый)'!$B$2:$B$9, MATCH(W1200, 'Адреса общежитий (скрытый)'!$A$2:$A$9, 0)), "")</f>
        <v/>
      </c>
      <c r="Y1200" s="18" t="s">
        <v>4358</v>
      </c>
      <c r="Z1200" s="18"/>
      <c r="AA1200" s="18"/>
      <c r="AB1200" s="18"/>
      <c r="AC1200" s="18"/>
    </row>
    <row r="1201" spans="1:29" ht="32.25" customHeight="1">
      <c r="A1201" s="8">
        <v>2313566</v>
      </c>
      <c r="B1201" s="9" t="s">
        <v>13284</v>
      </c>
      <c r="C1201" s="9" t="s">
        <v>13284</v>
      </c>
      <c r="D1201" s="9" t="s">
        <v>13284</v>
      </c>
      <c r="E1201" s="9" t="s">
        <v>13284</v>
      </c>
      <c r="F1201" s="9" t="s">
        <v>13284</v>
      </c>
      <c r="G1201" s="9" t="s">
        <v>13284</v>
      </c>
      <c r="H1201" s="9" t="s">
        <v>13284</v>
      </c>
      <c r="I1201" s="9" t="s">
        <v>13284</v>
      </c>
      <c r="J1201" s="9" t="s">
        <v>13284</v>
      </c>
      <c r="K1201" s="9" t="s">
        <v>13284</v>
      </c>
      <c r="L1201" s="9" t="s">
        <v>13284</v>
      </c>
      <c r="M1201" s="9" t="s">
        <v>13284</v>
      </c>
      <c r="N1201" s="9" t="s">
        <v>13284</v>
      </c>
      <c r="O1201" s="9" t="s">
        <v>13284</v>
      </c>
      <c r="P1201" s="9" t="s">
        <v>13284</v>
      </c>
      <c r="Q1201" s="9" t="s">
        <v>13284</v>
      </c>
      <c r="R1201" s="9" t="s">
        <v>13284</v>
      </c>
      <c r="S1201" s="9" t="s">
        <v>13284</v>
      </c>
      <c r="T1201" s="9" t="str">
        <f ca="1">IFERROR(IF(AND(VLOOKUP(A1201, 'Актуальное состояние (из общего'!A:C,3,0) = "", A1201 &lt;&gt; ""), "ПРОВЕРИТЬ", VLOOKUP(A1201, 'Актуальное состояние (из общего'!A:C,3,0)), "")</f>
        <v>Студент</v>
      </c>
      <c r="U1201" s="9" t="s">
        <v>13284</v>
      </c>
      <c r="V1201" s="9" t="s">
        <v>13284</v>
      </c>
      <c r="W1201" s="9" t="s">
        <v>319</v>
      </c>
      <c r="X1201" s="9" t="str">
        <f t="array" ref="X1201">IFERROR(INDEX('Адреса общежитий (скрытый)'!$B$2:$B$9, MATCH(W1201, 'Адреса общежитий (скрытый)'!$A$2:$A$9, 0)), "")</f>
        <v>ул. Профсоюзная, д.83, корп. 2</v>
      </c>
      <c r="Y1201" s="18"/>
      <c r="Z1201" s="18"/>
      <c r="AA1201" s="18"/>
      <c r="AB1201" s="18"/>
      <c r="AC1201" s="18"/>
    </row>
    <row r="1202" spans="1:29" ht="32.25" hidden="1" customHeight="1">
      <c r="A1202" s="8">
        <v>2305719</v>
      </c>
      <c r="B1202" s="9" t="s">
        <v>13284</v>
      </c>
      <c r="C1202" s="9" t="s">
        <v>13284</v>
      </c>
      <c r="D1202" s="9" t="s">
        <v>13284</v>
      </c>
      <c r="E1202" s="9" t="s">
        <v>13284</v>
      </c>
      <c r="F1202" s="9" t="s">
        <v>13284</v>
      </c>
      <c r="G1202" s="9" t="s">
        <v>13284</v>
      </c>
      <c r="H1202" s="9" t="s">
        <v>13284</v>
      </c>
      <c r="I1202" s="9" t="s">
        <v>13284</v>
      </c>
      <c r="J1202" s="9" t="s">
        <v>13284</v>
      </c>
      <c r="K1202" s="9" t="s">
        <v>13284</v>
      </c>
      <c r="L1202" s="9" t="s">
        <v>13284</v>
      </c>
      <c r="M1202" s="9" t="s">
        <v>13284</v>
      </c>
      <c r="N1202" s="9" t="s">
        <v>13284</v>
      </c>
      <c r="O1202" s="9" t="s">
        <v>13284</v>
      </c>
      <c r="P1202" s="9" t="s">
        <v>13284</v>
      </c>
      <c r="Q1202" s="9" t="s">
        <v>13284</v>
      </c>
      <c r="R1202" s="9" t="s">
        <v>13284</v>
      </c>
      <c r="S1202" s="9" t="s">
        <v>13284</v>
      </c>
      <c r="T1202" s="9" t="str">
        <f ca="1">IFERROR(IF(AND(VLOOKUP(A1202, 'Актуальное состояние (из общего'!A:C,3,0) = "", A1202 &lt;&gt; ""), "ПРОВЕРИТЬ", VLOOKUP(A1202, 'Актуальное состояние (из общего'!A:C,3,0)), "")</f>
        <v>Студент</v>
      </c>
      <c r="U1202" s="9" t="s">
        <v>13284</v>
      </c>
      <c r="V1202" s="9" t="s">
        <v>13284</v>
      </c>
      <c r="W1202" s="12"/>
      <c r="X1202" s="9" t="str">
        <f t="array" ref="X1202">IFERROR(INDEX('Адреса общежитий (скрытый)'!$B$2:$B$9, MATCH(W1202, 'Адреса общежитий (скрытый)'!$A$2:$A$9, 0)), "")</f>
        <v/>
      </c>
      <c r="Y1202" s="18"/>
      <c r="Z1202" s="18"/>
      <c r="AA1202" s="18"/>
      <c r="AB1202" s="18"/>
      <c r="AC1202" s="18"/>
    </row>
    <row r="1203" spans="1:29" ht="32.25" hidden="1" customHeight="1">
      <c r="A1203" s="8">
        <v>2313467</v>
      </c>
      <c r="B1203" s="9" t="s">
        <v>13284</v>
      </c>
      <c r="C1203" s="9" t="s">
        <v>13284</v>
      </c>
      <c r="D1203" s="9" t="s">
        <v>13284</v>
      </c>
      <c r="E1203" s="9" t="s">
        <v>13284</v>
      </c>
      <c r="F1203" s="9" t="s">
        <v>13284</v>
      </c>
      <c r="G1203" s="9" t="s">
        <v>13284</v>
      </c>
      <c r="H1203" s="9" t="s">
        <v>13284</v>
      </c>
      <c r="I1203" s="9" t="s">
        <v>13284</v>
      </c>
      <c r="J1203" s="9" t="s">
        <v>13284</v>
      </c>
      <c r="K1203" s="9" t="s">
        <v>13284</v>
      </c>
      <c r="L1203" s="9" t="s">
        <v>13284</v>
      </c>
      <c r="M1203" s="9" t="s">
        <v>13284</v>
      </c>
      <c r="N1203" s="9" t="s">
        <v>13284</v>
      </c>
      <c r="O1203" s="9" t="s">
        <v>13284</v>
      </c>
      <c r="P1203" s="9" t="s">
        <v>13284</v>
      </c>
      <c r="Q1203" s="9" t="s">
        <v>13284</v>
      </c>
      <c r="R1203" s="9" t="s">
        <v>13284</v>
      </c>
      <c r="S1203" s="9" t="s">
        <v>13284</v>
      </c>
      <c r="T1203" s="9" t="str">
        <f ca="1">IFERROR(IF(AND(VLOOKUP(A1203, 'Актуальное состояние (из общего'!A:C,3,0) = "", A1203 &lt;&gt; ""), "ПРОВЕРИТЬ", VLOOKUP(A1203, 'Актуальное состояние (из общего'!A:C,3,0)), "")</f>
        <v>Студент</v>
      </c>
      <c r="U1203" s="9" t="s">
        <v>13284</v>
      </c>
      <c r="V1203" s="9" t="s">
        <v>13284</v>
      </c>
      <c r="W1203" s="12"/>
      <c r="X1203" s="9" t="str">
        <f t="array" ref="X1203">IFERROR(INDEX('Адреса общежитий (скрытый)'!$B$2:$B$9, MATCH(W1203, 'Адреса общежитий (скрытый)'!$A$2:$A$9, 0)), "")</f>
        <v/>
      </c>
      <c r="Y1203" s="18"/>
      <c r="Z1203" s="18"/>
      <c r="AA1203" s="18"/>
      <c r="AB1203" s="18"/>
      <c r="AC1203" s="18"/>
    </row>
    <row r="1204" spans="1:29" ht="32.25" hidden="1" customHeight="1">
      <c r="A1204" s="8">
        <v>2313200</v>
      </c>
      <c r="B1204" s="9" t="s">
        <v>13284</v>
      </c>
      <c r="C1204" s="9" t="s">
        <v>13284</v>
      </c>
      <c r="D1204" s="9" t="s">
        <v>13284</v>
      </c>
      <c r="E1204" s="9" t="s">
        <v>13284</v>
      </c>
      <c r="F1204" s="9" t="s">
        <v>13284</v>
      </c>
      <c r="G1204" s="9" t="s">
        <v>13284</v>
      </c>
      <c r="H1204" s="9" t="s">
        <v>13284</v>
      </c>
      <c r="I1204" s="9" t="s">
        <v>13284</v>
      </c>
      <c r="J1204" s="9" t="s">
        <v>13284</v>
      </c>
      <c r="K1204" s="9" t="s">
        <v>13284</v>
      </c>
      <c r="L1204" s="9" t="s">
        <v>13284</v>
      </c>
      <c r="M1204" s="9" t="s">
        <v>13284</v>
      </c>
      <c r="N1204" s="9" t="s">
        <v>13284</v>
      </c>
      <c r="O1204" s="9" t="s">
        <v>13284</v>
      </c>
      <c r="P1204" s="9" t="s">
        <v>13284</v>
      </c>
      <c r="Q1204" s="9" t="s">
        <v>13284</v>
      </c>
      <c r="R1204" s="9" t="s">
        <v>13284</v>
      </c>
      <c r="S1204" s="9" t="s">
        <v>13284</v>
      </c>
      <c r="T1204" s="9" t="str">
        <f ca="1">IFERROR(IF(AND(VLOOKUP(A1204, 'Актуальное состояние (из общего'!A:C,3,0) = "", A1204 &lt;&gt; ""), "ПРОВЕРИТЬ", VLOOKUP(A1204, 'Актуальное состояние (из общего'!A:C,3,0)), "")</f>
        <v>Студент</v>
      </c>
      <c r="U1204" s="9" t="s">
        <v>13284</v>
      </c>
      <c r="V1204" s="9" t="s">
        <v>13284</v>
      </c>
      <c r="W1204" s="12"/>
      <c r="X1204" s="9" t="str">
        <f t="array" ref="X1204">IFERROR(INDEX('Адреса общежитий (скрытый)'!$B$2:$B$9, MATCH(W1204, 'Адреса общежитий (скрытый)'!$A$2:$A$9, 0)), "")</f>
        <v/>
      </c>
      <c r="Y1204" s="18"/>
      <c r="Z1204" s="18"/>
      <c r="AA1204" s="18"/>
      <c r="AB1204" s="18"/>
      <c r="AC1204" s="18"/>
    </row>
    <row r="1205" spans="1:29" ht="32.25" hidden="1" customHeight="1">
      <c r="A1205" s="8">
        <v>2306091</v>
      </c>
      <c r="B1205" s="9" t="s">
        <v>13284</v>
      </c>
      <c r="C1205" s="9" t="s">
        <v>13284</v>
      </c>
      <c r="D1205" s="9" t="s">
        <v>13284</v>
      </c>
      <c r="E1205" s="9" t="s">
        <v>13284</v>
      </c>
      <c r="F1205" s="9" t="s">
        <v>13284</v>
      </c>
      <c r="G1205" s="9" t="s">
        <v>13284</v>
      </c>
      <c r="H1205" s="9" t="s">
        <v>13284</v>
      </c>
      <c r="I1205" s="9" t="s">
        <v>13284</v>
      </c>
      <c r="J1205" s="9" t="s">
        <v>13284</v>
      </c>
      <c r="K1205" s="9" t="s">
        <v>13284</v>
      </c>
      <c r="L1205" s="9" t="s">
        <v>13284</v>
      </c>
      <c r="M1205" s="9" t="s">
        <v>13284</v>
      </c>
      <c r="N1205" s="9" t="s">
        <v>13284</v>
      </c>
      <c r="O1205" s="9" t="s">
        <v>13284</v>
      </c>
      <c r="P1205" s="9" t="s">
        <v>13284</v>
      </c>
      <c r="Q1205" s="9" t="s">
        <v>13284</v>
      </c>
      <c r="R1205" s="9" t="s">
        <v>13284</v>
      </c>
      <c r="S1205" s="9" t="s">
        <v>13284</v>
      </c>
      <c r="T1205" s="9" t="str">
        <f ca="1">IFERROR(IF(AND(VLOOKUP(A1205, 'Актуальное состояние (из общего'!A:C,3,0) = "", A1205 &lt;&gt; ""), "ПРОВЕРИТЬ", VLOOKUP(A1205, 'Актуальное состояние (из общего'!A:C,3,0)), "")</f>
        <v>Студент</v>
      </c>
      <c r="U1205" s="9" t="s">
        <v>13284</v>
      </c>
      <c r="V1205" s="9" t="s">
        <v>13284</v>
      </c>
      <c r="W1205" s="12"/>
      <c r="X1205" s="9" t="str">
        <f t="array" ref="X1205">IFERROR(INDEX('Адреса общежитий (скрытый)'!$B$2:$B$9, MATCH(W1205, 'Адреса общежитий (скрытый)'!$A$2:$A$9, 0)), "")</f>
        <v/>
      </c>
      <c r="Y1205" s="18"/>
      <c r="Z1205" s="18"/>
      <c r="AA1205" s="18"/>
      <c r="AB1205" s="18"/>
      <c r="AC1205" s="18"/>
    </row>
    <row r="1206" spans="1:29" ht="32.25" hidden="1" customHeight="1">
      <c r="A1206" s="8">
        <v>2309312</v>
      </c>
      <c r="B1206" s="9" t="s">
        <v>13284</v>
      </c>
      <c r="C1206" s="9" t="s">
        <v>13284</v>
      </c>
      <c r="D1206" s="9" t="s">
        <v>13284</v>
      </c>
      <c r="E1206" s="9" t="s">
        <v>13284</v>
      </c>
      <c r="F1206" s="9" t="s">
        <v>13284</v>
      </c>
      <c r="G1206" s="9" t="s">
        <v>13284</v>
      </c>
      <c r="H1206" s="9" t="s">
        <v>13284</v>
      </c>
      <c r="I1206" s="9" t="s">
        <v>13284</v>
      </c>
      <c r="J1206" s="9" t="s">
        <v>13284</v>
      </c>
      <c r="K1206" s="9" t="s">
        <v>13284</v>
      </c>
      <c r="L1206" s="9" t="s">
        <v>13284</v>
      </c>
      <c r="M1206" s="9" t="s">
        <v>13284</v>
      </c>
      <c r="N1206" s="9" t="s">
        <v>13284</v>
      </c>
      <c r="O1206" s="9" t="s">
        <v>13284</v>
      </c>
      <c r="P1206" s="9" t="s">
        <v>13284</v>
      </c>
      <c r="Q1206" s="9" t="s">
        <v>13284</v>
      </c>
      <c r="R1206" s="9" t="s">
        <v>13284</v>
      </c>
      <c r="S1206" s="9" t="s">
        <v>13284</v>
      </c>
      <c r="T1206" s="9" t="str">
        <f ca="1">IFERROR(IF(AND(VLOOKUP(A1206, 'Актуальное состояние (из общего'!A:C,3,0) = "", A1206 &lt;&gt; ""), "ПРОВЕРИТЬ", VLOOKUP(A1206, 'Актуальное состояние (из общего'!A:C,3,0)), "")</f>
        <v>Студент</v>
      </c>
      <c r="U1206" s="9" t="s">
        <v>13284</v>
      </c>
      <c r="V1206" s="9" t="s">
        <v>13284</v>
      </c>
      <c r="W1206" s="12"/>
      <c r="X1206" s="9" t="str">
        <f t="array" ref="X1206">IFERROR(INDEX('Адреса общежитий (скрытый)'!$B$2:$B$9, MATCH(W1206, 'Адреса общежитий (скрытый)'!$A$2:$A$9, 0)), "")</f>
        <v/>
      </c>
      <c r="Y1206" s="18"/>
      <c r="Z1206" s="18"/>
      <c r="AA1206" s="18"/>
      <c r="AB1206" s="18"/>
      <c r="AC1206" s="18"/>
    </row>
    <row r="1207" spans="1:29" ht="32.25" customHeight="1">
      <c r="A1207" s="8">
        <v>2313424</v>
      </c>
      <c r="B1207" s="9" t="s">
        <v>13284</v>
      </c>
      <c r="C1207" s="9" t="s">
        <v>13284</v>
      </c>
      <c r="D1207" s="9" t="s">
        <v>13284</v>
      </c>
      <c r="E1207" s="9" t="s">
        <v>13284</v>
      </c>
      <c r="F1207" s="9" t="s">
        <v>13284</v>
      </c>
      <c r="G1207" s="9" t="s">
        <v>13284</v>
      </c>
      <c r="H1207" s="9" t="s">
        <v>13284</v>
      </c>
      <c r="I1207" s="9" t="s">
        <v>13284</v>
      </c>
      <c r="J1207" s="9" t="s">
        <v>13284</v>
      </c>
      <c r="K1207" s="9" t="s">
        <v>13284</v>
      </c>
      <c r="L1207" s="9" t="s">
        <v>13284</v>
      </c>
      <c r="M1207" s="9" t="s">
        <v>13284</v>
      </c>
      <c r="N1207" s="9" t="s">
        <v>13284</v>
      </c>
      <c r="O1207" s="9" t="s">
        <v>13284</v>
      </c>
      <c r="P1207" s="9" t="s">
        <v>13284</v>
      </c>
      <c r="Q1207" s="9" t="s">
        <v>13284</v>
      </c>
      <c r="R1207" s="9" t="s">
        <v>13284</v>
      </c>
      <c r="S1207" s="9" t="s">
        <v>13284</v>
      </c>
      <c r="T1207" s="9" t="str">
        <f ca="1">IFERROR(IF(AND(VLOOKUP(A1207, 'Актуальное состояние (из общего'!A:C,3,0) = "", A1207 &lt;&gt; ""), "ПРОВЕРИТЬ", VLOOKUP(A1207, 'Актуальное состояние (из общего'!A:C,3,0)), "")</f>
        <v>Студент</v>
      </c>
      <c r="U1207" s="9" t="s">
        <v>13284</v>
      </c>
      <c r="V1207" s="9" t="s">
        <v>13284</v>
      </c>
      <c r="W1207" s="12"/>
      <c r="X1207" s="9" t="str">
        <f t="array" ref="X1207">IFERROR(INDEX('Адреса общежитий (скрытый)'!$B$2:$B$9, MATCH(W1207, 'Адреса общежитий (скрытый)'!$A$2:$A$9, 0)), "")</f>
        <v/>
      </c>
      <c r="Y1207" s="18"/>
      <c r="Z1207" s="18"/>
      <c r="AA1207" s="18"/>
      <c r="AB1207" s="18"/>
      <c r="AC1207" s="18"/>
    </row>
    <row r="1208" spans="1:29" ht="32.25" hidden="1" customHeight="1">
      <c r="A1208" s="8">
        <v>2302520</v>
      </c>
      <c r="B1208" s="9" t="s">
        <v>13284</v>
      </c>
      <c r="C1208" s="9" t="s">
        <v>13284</v>
      </c>
      <c r="D1208" s="9" t="s">
        <v>13284</v>
      </c>
      <c r="E1208" s="9" t="s">
        <v>13284</v>
      </c>
      <c r="F1208" s="9" t="s">
        <v>13284</v>
      </c>
      <c r="G1208" s="9" t="s">
        <v>13284</v>
      </c>
      <c r="H1208" s="9" t="s">
        <v>13284</v>
      </c>
      <c r="I1208" s="9" t="s">
        <v>13284</v>
      </c>
      <c r="J1208" s="9" t="s">
        <v>13284</v>
      </c>
      <c r="K1208" s="9" t="s">
        <v>13284</v>
      </c>
      <c r="L1208" s="9" t="s">
        <v>13284</v>
      </c>
      <c r="M1208" s="9" t="s">
        <v>13284</v>
      </c>
      <c r="N1208" s="9" t="s">
        <v>13284</v>
      </c>
      <c r="O1208" s="9" t="s">
        <v>13284</v>
      </c>
      <c r="P1208" s="9" t="s">
        <v>13284</v>
      </c>
      <c r="Q1208" s="9" t="s">
        <v>13284</v>
      </c>
      <c r="R1208" s="9" t="s">
        <v>13284</v>
      </c>
      <c r="S1208" s="9" t="s">
        <v>13284</v>
      </c>
      <c r="T1208" s="9" t="str">
        <f ca="1">IFERROR(IF(AND(VLOOKUP(A1208, 'Актуальное состояние (из общего'!A:C,3,0) = "", A1208 &lt;&gt; ""), "ПРОВЕРИТЬ", VLOOKUP(A1208, 'Актуальное состояние (из общего'!A:C,3,0)), "")</f>
        <v>Студент</v>
      </c>
      <c r="U1208" s="9" t="s">
        <v>13284</v>
      </c>
      <c r="V1208" s="9" t="s">
        <v>13284</v>
      </c>
      <c r="W1208" s="12"/>
      <c r="X1208" s="9" t="str">
        <f t="array" ref="X1208">IFERROR(INDEX('Адреса общежитий (скрытый)'!$B$2:$B$9, MATCH(W1208, 'Адреса общежитий (скрытый)'!$A$2:$A$9, 0)), "")</f>
        <v/>
      </c>
      <c r="Y1208" s="18"/>
      <c r="Z1208" s="18"/>
      <c r="AA1208" s="18"/>
      <c r="AB1208" s="18"/>
      <c r="AC1208" s="18"/>
    </row>
    <row r="1209" spans="1:29" ht="32.25" hidden="1" customHeight="1">
      <c r="A1209" s="8">
        <v>2314018</v>
      </c>
      <c r="B1209" s="9" t="s">
        <v>13284</v>
      </c>
      <c r="C1209" s="9" t="s">
        <v>13284</v>
      </c>
      <c r="D1209" s="9" t="s">
        <v>13284</v>
      </c>
      <c r="E1209" s="9" t="s">
        <v>13284</v>
      </c>
      <c r="F1209" s="9" t="s">
        <v>13284</v>
      </c>
      <c r="G1209" s="9" t="s">
        <v>13284</v>
      </c>
      <c r="H1209" s="9" t="s">
        <v>13284</v>
      </c>
      <c r="I1209" s="9" t="s">
        <v>13284</v>
      </c>
      <c r="J1209" s="9" t="s">
        <v>13284</v>
      </c>
      <c r="K1209" s="9" t="s">
        <v>13284</v>
      </c>
      <c r="L1209" s="9" t="s">
        <v>13284</v>
      </c>
      <c r="M1209" s="9" t="s">
        <v>13284</v>
      </c>
      <c r="N1209" s="9" t="s">
        <v>13284</v>
      </c>
      <c r="O1209" s="9" t="s">
        <v>13284</v>
      </c>
      <c r="P1209" s="9" t="s">
        <v>13284</v>
      </c>
      <c r="Q1209" s="9" t="s">
        <v>13284</v>
      </c>
      <c r="R1209" s="9" t="s">
        <v>13284</v>
      </c>
      <c r="S1209" s="9" t="s">
        <v>13284</v>
      </c>
      <c r="T1209" s="9" t="str">
        <f ca="1">IFERROR(IF(AND(VLOOKUP(A1209, 'Актуальное состояние (из общего'!A:C,3,0) = "", A1209 &lt;&gt; ""), "ПРОВЕРИТЬ", VLOOKUP(A1209, 'Актуальное состояние (из общего'!A:C,3,0)), "")</f>
        <v>Студент</v>
      </c>
      <c r="U1209" s="9" t="s">
        <v>13284</v>
      </c>
      <c r="V1209" s="9" t="s">
        <v>13284</v>
      </c>
      <c r="W1209" s="12"/>
      <c r="X1209" s="9" t="str">
        <f t="array" ref="X1209">IFERROR(INDEX('Адреса общежитий (скрытый)'!$B$2:$B$9, MATCH(W1209, 'Адреса общежитий (скрытый)'!$A$2:$A$9, 0)), "")</f>
        <v/>
      </c>
      <c r="Y1209" s="18"/>
      <c r="Z1209" s="18"/>
      <c r="AA1209" s="18"/>
      <c r="AB1209" s="18"/>
      <c r="AC1209" s="18"/>
    </row>
    <row r="1210" spans="1:29" ht="32.25" customHeight="1">
      <c r="A1210" s="8">
        <v>2308500</v>
      </c>
      <c r="B1210" s="9" t="s">
        <v>13284</v>
      </c>
      <c r="C1210" s="9" t="s">
        <v>13284</v>
      </c>
      <c r="D1210" s="9" t="s">
        <v>13284</v>
      </c>
      <c r="E1210" s="9" t="s">
        <v>13284</v>
      </c>
      <c r="F1210" s="9" t="s">
        <v>13284</v>
      </c>
      <c r="G1210" s="9" t="s">
        <v>13284</v>
      </c>
      <c r="H1210" s="9" t="s">
        <v>13284</v>
      </c>
      <c r="I1210" s="9" t="s">
        <v>13284</v>
      </c>
      <c r="J1210" s="9" t="s">
        <v>13284</v>
      </c>
      <c r="K1210" s="9" t="s">
        <v>13284</v>
      </c>
      <c r="L1210" s="9" t="s">
        <v>13284</v>
      </c>
      <c r="M1210" s="9" t="s">
        <v>13284</v>
      </c>
      <c r="N1210" s="9" t="s">
        <v>13284</v>
      </c>
      <c r="O1210" s="9" t="s">
        <v>13284</v>
      </c>
      <c r="P1210" s="9" t="s">
        <v>13284</v>
      </c>
      <c r="Q1210" s="9" t="s">
        <v>13284</v>
      </c>
      <c r="R1210" s="9" t="s">
        <v>13284</v>
      </c>
      <c r="S1210" s="9" t="s">
        <v>13284</v>
      </c>
      <c r="T1210" s="9" t="str">
        <f ca="1">IFERROR(IF(AND(VLOOKUP(A1210, 'Актуальное состояние (из общего'!A:C,3,0) = "", A1210 &lt;&gt; ""), "ПРОВЕРИТЬ", VLOOKUP(A1210, 'Актуальное состояние (из общего'!A:C,3,0)), "")</f>
        <v>Студент</v>
      </c>
      <c r="U1210" s="9" t="s">
        <v>13284</v>
      </c>
      <c r="V1210" s="9" t="s">
        <v>13284</v>
      </c>
      <c r="W1210" s="12"/>
      <c r="X1210" s="9" t="str">
        <f t="array" ref="X1210">IFERROR(INDEX('Адреса общежитий (скрытый)'!$B$2:$B$9, MATCH(W1210, 'Адреса общежитий (скрытый)'!$A$2:$A$9, 0)), "")</f>
        <v/>
      </c>
      <c r="Y1210" s="18"/>
      <c r="Z1210" s="18"/>
      <c r="AA1210" s="18"/>
      <c r="AB1210" s="18"/>
      <c r="AC1210" s="18"/>
    </row>
    <row r="1211" spans="1:29" ht="32.25" hidden="1" customHeight="1">
      <c r="A1211" s="8">
        <v>2306633</v>
      </c>
      <c r="B1211" s="9" t="s">
        <v>13284</v>
      </c>
      <c r="C1211" s="9" t="s">
        <v>13284</v>
      </c>
      <c r="D1211" s="9" t="s">
        <v>13284</v>
      </c>
      <c r="E1211" s="9" t="s">
        <v>13284</v>
      </c>
      <c r="F1211" s="9" t="s">
        <v>13284</v>
      </c>
      <c r="G1211" s="9" t="s">
        <v>13284</v>
      </c>
      <c r="H1211" s="9" t="s">
        <v>13284</v>
      </c>
      <c r="I1211" s="9" t="s">
        <v>13284</v>
      </c>
      <c r="J1211" s="9" t="s">
        <v>13284</v>
      </c>
      <c r="K1211" s="9" t="s">
        <v>13284</v>
      </c>
      <c r="L1211" s="9" t="s">
        <v>13284</v>
      </c>
      <c r="M1211" s="9" t="s">
        <v>13284</v>
      </c>
      <c r="N1211" s="9" t="s">
        <v>13284</v>
      </c>
      <c r="O1211" s="9" t="s">
        <v>13284</v>
      </c>
      <c r="P1211" s="9" t="s">
        <v>13284</v>
      </c>
      <c r="Q1211" s="9" t="s">
        <v>13284</v>
      </c>
      <c r="R1211" s="9" t="s">
        <v>13284</v>
      </c>
      <c r="S1211" s="9" t="s">
        <v>13284</v>
      </c>
      <c r="T1211" s="9" t="str">
        <f ca="1">IFERROR(IF(AND(VLOOKUP(A1211, 'Актуальное состояние (из общего'!A:C,3,0) = "", A1211 &lt;&gt; ""), "ПРОВЕРИТЬ", VLOOKUP(A1211, 'Актуальное состояние (из общего'!A:C,3,0)), "")</f>
        <v>Студент</v>
      </c>
      <c r="U1211" s="9" t="s">
        <v>13284</v>
      </c>
      <c r="V1211" s="9" t="s">
        <v>13284</v>
      </c>
      <c r="W1211" s="12"/>
      <c r="X1211" s="9" t="str">
        <f t="array" ref="X1211">IFERROR(INDEX('Адреса общежитий (скрытый)'!$B$2:$B$9, MATCH(W1211, 'Адреса общежитий (скрытый)'!$A$2:$A$9, 0)), "")</f>
        <v/>
      </c>
      <c r="Y1211" s="18"/>
      <c r="Z1211" s="18"/>
      <c r="AA1211" s="18"/>
      <c r="AB1211" s="18"/>
      <c r="AC1211" s="18"/>
    </row>
    <row r="1212" spans="1:29" ht="32.25" customHeight="1">
      <c r="A1212" s="8">
        <v>2301534</v>
      </c>
      <c r="B1212" s="9" t="s">
        <v>13284</v>
      </c>
      <c r="C1212" s="9" t="s">
        <v>13284</v>
      </c>
      <c r="D1212" s="9" t="s">
        <v>13284</v>
      </c>
      <c r="E1212" s="9" t="s">
        <v>13284</v>
      </c>
      <c r="F1212" s="9" t="s">
        <v>13284</v>
      </c>
      <c r="G1212" s="9" t="s">
        <v>13284</v>
      </c>
      <c r="H1212" s="9" t="s">
        <v>13284</v>
      </c>
      <c r="I1212" s="9" t="s">
        <v>13284</v>
      </c>
      <c r="J1212" s="9" t="s">
        <v>13284</v>
      </c>
      <c r="K1212" s="9" t="s">
        <v>13284</v>
      </c>
      <c r="L1212" s="9" t="s">
        <v>13284</v>
      </c>
      <c r="M1212" s="9" t="s">
        <v>13284</v>
      </c>
      <c r="N1212" s="9" t="s">
        <v>13284</v>
      </c>
      <c r="O1212" s="9" t="s">
        <v>13284</v>
      </c>
      <c r="P1212" s="9" t="s">
        <v>13284</v>
      </c>
      <c r="Q1212" s="9" t="s">
        <v>13284</v>
      </c>
      <c r="R1212" s="9" t="s">
        <v>13284</v>
      </c>
      <c r="S1212" s="9" t="s">
        <v>13284</v>
      </c>
      <c r="T1212" s="9" t="str">
        <f ca="1">IFERROR(IF(AND(VLOOKUP(A1212, 'Актуальное состояние (из общего'!A:C,3,0) = "", A1212 &lt;&gt; ""), "ПРОВЕРИТЬ", VLOOKUP(A1212, 'Актуальное состояние (из общего'!A:C,3,0)), "")</f>
        <v>Студент</v>
      </c>
      <c r="U1212" s="9" t="s">
        <v>13284</v>
      </c>
      <c r="V1212" s="9" t="s">
        <v>13284</v>
      </c>
      <c r="W1212" s="9" t="s">
        <v>319</v>
      </c>
      <c r="X1212" s="9" t="str">
        <f t="array" ref="X1212">IFERROR(INDEX('Адреса общежитий (скрытый)'!$B$2:$B$9, MATCH(W1212, 'Адреса общежитий (скрытый)'!$A$2:$A$9, 0)), "")</f>
        <v>ул. Профсоюзная, д.83, корп. 2</v>
      </c>
      <c r="Y1212" s="18"/>
      <c r="Z1212" s="18"/>
      <c r="AA1212" s="18"/>
      <c r="AB1212" s="18"/>
      <c r="AC1212" s="18"/>
    </row>
    <row r="1213" spans="1:29" ht="32.25" hidden="1" customHeight="1">
      <c r="A1213" s="8">
        <v>2310405</v>
      </c>
      <c r="B1213" s="9" t="s">
        <v>13284</v>
      </c>
      <c r="C1213" s="9" t="s">
        <v>13284</v>
      </c>
      <c r="D1213" s="9" t="s">
        <v>13284</v>
      </c>
      <c r="E1213" s="9" t="s">
        <v>13284</v>
      </c>
      <c r="F1213" s="9" t="s">
        <v>13284</v>
      </c>
      <c r="G1213" s="9" t="s">
        <v>13284</v>
      </c>
      <c r="H1213" s="9" t="s">
        <v>13284</v>
      </c>
      <c r="I1213" s="9" t="s">
        <v>13284</v>
      </c>
      <c r="J1213" s="9" t="s">
        <v>13284</v>
      </c>
      <c r="K1213" s="9" t="s">
        <v>13284</v>
      </c>
      <c r="L1213" s="9" t="s">
        <v>13284</v>
      </c>
      <c r="M1213" s="9" t="s">
        <v>13284</v>
      </c>
      <c r="N1213" s="9" t="s">
        <v>13284</v>
      </c>
      <c r="O1213" s="9" t="s">
        <v>13284</v>
      </c>
      <c r="P1213" s="9" t="s">
        <v>13284</v>
      </c>
      <c r="Q1213" s="9" t="s">
        <v>13284</v>
      </c>
      <c r="R1213" s="9" t="s">
        <v>13284</v>
      </c>
      <c r="S1213" s="9" t="s">
        <v>13284</v>
      </c>
      <c r="T1213" s="9" t="str">
        <f ca="1">IFERROR(IF(AND(VLOOKUP(A1213, 'Актуальное состояние (из общего'!A:C,3,0) = "", A1213 &lt;&gt; ""), "ПРОВЕРИТЬ", VLOOKUP(A1213, 'Актуальное состояние (из общего'!A:C,3,0)), "")</f>
        <v>Студент</v>
      </c>
      <c r="U1213" s="9" t="s">
        <v>13284</v>
      </c>
      <c r="V1213" s="9" t="s">
        <v>13284</v>
      </c>
      <c r="W1213" s="12"/>
      <c r="X1213" s="9" t="str">
        <f t="array" ref="X1213">IFERROR(INDEX('Адреса общежитий (скрытый)'!$B$2:$B$9, MATCH(W1213, 'Адреса общежитий (скрытый)'!$A$2:$A$9, 0)), "")</f>
        <v/>
      </c>
      <c r="Y1213" s="18"/>
      <c r="Z1213" s="18"/>
      <c r="AA1213" s="18"/>
      <c r="AB1213" s="18"/>
      <c r="AC1213" s="18"/>
    </row>
    <row r="1214" spans="1:29" ht="32.25" customHeight="1">
      <c r="A1214" s="8">
        <v>2315253</v>
      </c>
      <c r="B1214" s="9" t="s">
        <v>13284</v>
      </c>
      <c r="C1214" s="9" t="s">
        <v>13284</v>
      </c>
      <c r="D1214" s="9" t="s">
        <v>13284</v>
      </c>
      <c r="E1214" s="9" t="s">
        <v>13284</v>
      </c>
      <c r="F1214" s="9" t="s">
        <v>13284</v>
      </c>
      <c r="G1214" s="9" t="s">
        <v>13284</v>
      </c>
      <c r="H1214" s="9" t="s">
        <v>13284</v>
      </c>
      <c r="I1214" s="9" t="s">
        <v>13284</v>
      </c>
      <c r="J1214" s="9" t="s">
        <v>13284</v>
      </c>
      <c r="K1214" s="9" t="s">
        <v>13284</v>
      </c>
      <c r="L1214" s="9" t="s">
        <v>13284</v>
      </c>
      <c r="M1214" s="9" t="s">
        <v>13284</v>
      </c>
      <c r="N1214" s="9" t="s">
        <v>13284</v>
      </c>
      <c r="O1214" s="9" t="s">
        <v>13284</v>
      </c>
      <c r="P1214" s="9" t="s">
        <v>13284</v>
      </c>
      <c r="Q1214" s="9" t="s">
        <v>13284</v>
      </c>
      <c r="R1214" s="9" t="s">
        <v>13284</v>
      </c>
      <c r="S1214" s="9" t="s">
        <v>13284</v>
      </c>
      <c r="T1214" s="9" t="str">
        <f ca="1">IFERROR(IF(AND(VLOOKUP(A1214, 'Актуальное состояние (из общего'!A:C,3,0) = "", A1214 &lt;&gt; ""), "ПРОВЕРИТЬ", VLOOKUP(A1214, 'Актуальное состояние (из общего'!A:C,3,0)), "")</f>
        <v>Студент</v>
      </c>
      <c r="U1214" s="9" t="s">
        <v>13284</v>
      </c>
      <c r="V1214" s="9" t="s">
        <v>13284</v>
      </c>
      <c r="W1214" s="12"/>
      <c r="X1214" s="9" t="str">
        <f t="array" ref="X1214">IFERROR(INDEX('Адреса общежитий (скрытый)'!$B$2:$B$9, MATCH(W1214, 'Адреса общежитий (скрытый)'!$A$2:$A$9, 0)), "")</f>
        <v/>
      </c>
      <c r="Y1214" s="18"/>
      <c r="Z1214" s="18"/>
      <c r="AA1214" s="18"/>
      <c r="AB1214" s="18"/>
      <c r="AC1214" s="18"/>
    </row>
    <row r="1215" spans="1:29" ht="32.25" customHeight="1">
      <c r="A1215" s="8">
        <v>2312160</v>
      </c>
      <c r="B1215" s="9" t="s">
        <v>13284</v>
      </c>
      <c r="C1215" s="9" t="s">
        <v>13284</v>
      </c>
      <c r="D1215" s="9" t="s">
        <v>13284</v>
      </c>
      <c r="E1215" s="9" t="s">
        <v>13284</v>
      </c>
      <c r="F1215" s="9" t="s">
        <v>13284</v>
      </c>
      <c r="G1215" s="9" t="s">
        <v>13284</v>
      </c>
      <c r="H1215" s="9" t="s">
        <v>13284</v>
      </c>
      <c r="I1215" s="9" t="s">
        <v>13284</v>
      </c>
      <c r="J1215" s="9" t="s">
        <v>13284</v>
      </c>
      <c r="K1215" s="9" t="s">
        <v>13284</v>
      </c>
      <c r="L1215" s="9" t="s">
        <v>13284</v>
      </c>
      <c r="M1215" s="9" t="s">
        <v>13284</v>
      </c>
      <c r="N1215" s="9" t="s">
        <v>13284</v>
      </c>
      <c r="O1215" s="9" t="s">
        <v>13284</v>
      </c>
      <c r="P1215" s="9" t="s">
        <v>13284</v>
      </c>
      <c r="Q1215" s="9" t="s">
        <v>13284</v>
      </c>
      <c r="R1215" s="9" t="s">
        <v>13284</v>
      </c>
      <c r="S1215" s="9" t="s">
        <v>13284</v>
      </c>
      <c r="T1215" s="9" t="str">
        <f ca="1">IFERROR(IF(AND(VLOOKUP(A1215, 'Актуальное состояние (из общего'!A:C,3,0) = "", A1215 &lt;&gt; ""), "ПРОВЕРИТЬ", VLOOKUP(A1215, 'Актуальное состояние (из общего'!A:C,3,0)), "")</f>
        <v>Студент</v>
      </c>
      <c r="U1215" s="9" t="s">
        <v>13284</v>
      </c>
      <c r="V1215" s="9" t="s">
        <v>13284</v>
      </c>
      <c r="W1215" s="12"/>
      <c r="X1215" s="9" t="str">
        <f t="array" ref="X1215">IFERROR(INDEX('Адреса общежитий (скрытый)'!$B$2:$B$9, MATCH(W1215, 'Адреса общежитий (скрытый)'!$A$2:$A$9, 0)), "")</f>
        <v/>
      </c>
      <c r="Y1215" s="18"/>
      <c r="Z1215" s="18"/>
      <c r="AA1215" s="18"/>
      <c r="AB1215" s="18"/>
      <c r="AC1215" s="18"/>
    </row>
    <row r="1216" spans="1:29" ht="32.25" hidden="1" customHeight="1">
      <c r="A1216" s="8">
        <v>2315145</v>
      </c>
      <c r="B1216" s="9" t="s">
        <v>13284</v>
      </c>
      <c r="C1216" s="9" t="s">
        <v>13284</v>
      </c>
      <c r="D1216" s="9" t="s">
        <v>13284</v>
      </c>
      <c r="E1216" s="9" t="s">
        <v>13284</v>
      </c>
      <c r="F1216" s="9" t="s">
        <v>13284</v>
      </c>
      <c r="G1216" s="9" t="s">
        <v>13284</v>
      </c>
      <c r="H1216" s="9" t="s">
        <v>13284</v>
      </c>
      <c r="I1216" s="9" t="s">
        <v>13284</v>
      </c>
      <c r="J1216" s="9" t="s">
        <v>13284</v>
      </c>
      <c r="K1216" s="9" t="s">
        <v>13284</v>
      </c>
      <c r="L1216" s="9" t="s">
        <v>13284</v>
      </c>
      <c r="M1216" s="9" t="s">
        <v>13284</v>
      </c>
      <c r="N1216" s="9" t="s">
        <v>13284</v>
      </c>
      <c r="O1216" s="9" t="s">
        <v>13284</v>
      </c>
      <c r="P1216" s="9" t="s">
        <v>13284</v>
      </c>
      <c r="Q1216" s="9" t="s">
        <v>13284</v>
      </c>
      <c r="R1216" s="9" t="s">
        <v>13284</v>
      </c>
      <c r="S1216" s="9" t="s">
        <v>13284</v>
      </c>
      <c r="T1216" s="9" t="str">
        <f ca="1">IFERROR(IF(AND(VLOOKUP(A1216, 'Актуальное состояние (из общего'!A:C,3,0) = "", A1216 &lt;&gt; ""), "ПРОВЕРИТЬ", VLOOKUP(A1216, 'Актуальное состояние (из общего'!A:C,3,0)), "")</f>
        <v>Студент</v>
      </c>
      <c r="U1216" s="9" t="s">
        <v>13284</v>
      </c>
      <c r="V1216" s="9" t="s">
        <v>13284</v>
      </c>
      <c r="W1216" s="12"/>
      <c r="X1216" s="9" t="str">
        <f t="array" ref="X1216">IFERROR(INDEX('Адреса общежитий (скрытый)'!$B$2:$B$9, MATCH(W1216, 'Адреса общежитий (скрытый)'!$A$2:$A$9, 0)), "")</f>
        <v/>
      </c>
      <c r="Y1216" s="18"/>
      <c r="Z1216" s="18"/>
      <c r="AA1216" s="18"/>
      <c r="AB1216" s="18"/>
      <c r="AC1216" s="18"/>
    </row>
    <row r="1217" spans="1:29" ht="32.25" hidden="1" customHeight="1">
      <c r="A1217" s="8">
        <v>2307800</v>
      </c>
      <c r="B1217" s="9" t="s">
        <v>13284</v>
      </c>
      <c r="C1217" s="9" t="s">
        <v>13284</v>
      </c>
      <c r="D1217" s="9" t="s">
        <v>13284</v>
      </c>
      <c r="E1217" s="9" t="s">
        <v>13284</v>
      </c>
      <c r="F1217" s="9" t="s">
        <v>13284</v>
      </c>
      <c r="G1217" s="9" t="s">
        <v>13284</v>
      </c>
      <c r="H1217" s="9" t="s">
        <v>13284</v>
      </c>
      <c r="I1217" s="9" t="s">
        <v>13284</v>
      </c>
      <c r="J1217" s="9" t="s">
        <v>13284</v>
      </c>
      <c r="K1217" s="9" t="s">
        <v>13284</v>
      </c>
      <c r="L1217" s="9" t="s">
        <v>13284</v>
      </c>
      <c r="M1217" s="9" t="s">
        <v>13284</v>
      </c>
      <c r="N1217" s="9" t="s">
        <v>13284</v>
      </c>
      <c r="O1217" s="9" t="s">
        <v>13284</v>
      </c>
      <c r="P1217" s="9" t="s">
        <v>13284</v>
      </c>
      <c r="Q1217" s="9" t="s">
        <v>13284</v>
      </c>
      <c r="R1217" s="9" t="s">
        <v>13284</v>
      </c>
      <c r="S1217" s="9" t="s">
        <v>13284</v>
      </c>
      <c r="T1217" s="9" t="str">
        <f ca="1">IFERROR(IF(AND(VLOOKUP(A1217, 'Актуальное состояние (из общего'!A:C,3,0) = "", A1217 &lt;&gt; ""), "ПРОВЕРИТЬ", VLOOKUP(A1217, 'Актуальное состояние (из общего'!A:C,3,0)), "")</f>
        <v>Студент</v>
      </c>
      <c r="U1217" s="9" t="s">
        <v>13284</v>
      </c>
      <c r="V1217" s="9" t="s">
        <v>13284</v>
      </c>
      <c r="W1217" s="12"/>
      <c r="X1217" s="9" t="str">
        <f t="array" ref="X1217">IFERROR(INDEX('Адреса общежитий (скрытый)'!$B$2:$B$9, MATCH(W1217, 'Адреса общежитий (скрытый)'!$A$2:$A$9, 0)), "")</f>
        <v/>
      </c>
      <c r="Y1217" s="18"/>
      <c r="Z1217" s="18"/>
      <c r="AA1217" s="18"/>
      <c r="AB1217" s="18"/>
      <c r="AC1217" s="18"/>
    </row>
    <row r="1218" spans="1:29" ht="32.25" hidden="1" customHeight="1">
      <c r="A1218" s="8">
        <v>2310878</v>
      </c>
      <c r="B1218" s="9" t="s">
        <v>13284</v>
      </c>
      <c r="C1218" s="9" t="s">
        <v>13284</v>
      </c>
      <c r="D1218" s="9" t="s">
        <v>13284</v>
      </c>
      <c r="E1218" s="9" t="s">
        <v>13284</v>
      </c>
      <c r="F1218" s="9" t="s">
        <v>13284</v>
      </c>
      <c r="G1218" s="9" t="s">
        <v>13284</v>
      </c>
      <c r="H1218" s="9" t="s">
        <v>13284</v>
      </c>
      <c r="I1218" s="9" t="s">
        <v>13284</v>
      </c>
      <c r="J1218" s="9" t="s">
        <v>13284</v>
      </c>
      <c r="K1218" s="9" t="s">
        <v>13284</v>
      </c>
      <c r="L1218" s="9" t="s">
        <v>13284</v>
      </c>
      <c r="M1218" s="9" t="s">
        <v>13284</v>
      </c>
      <c r="N1218" s="9" t="s">
        <v>13284</v>
      </c>
      <c r="O1218" s="9" t="s">
        <v>13284</v>
      </c>
      <c r="P1218" s="9" t="s">
        <v>13284</v>
      </c>
      <c r="Q1218" s="9" t="s">
        <v>13284</v>
      </c>
      <c r="R1218" s="9" t="s">
        <v>13284</v>
      </c>
      <c r="S1218" s="9" t="s">
        <v>13284</v>
      </c>
      <c r="T1218" s="9" t="str">
        <f ca="1">IFERROR(IF(AND(VLOOKUP(A1218, 'Актуальное состояние (из общего'!A:C,3,0) = "", A1218 &lt;&gt; ""), "ПРОВЕРИТЬ", VLOOKUP(A1218, 'Актуальное состояние (из общего'!A:C,3,0)), "")</f>
        <v>Студент</v>
      </c>
      <c r="U1218" s="9" t="s">
        <v>13284</v>
      </c>
      <c r="V1218" s="9" t="s">
        <v>13284</v>
      </c>
      <c r="W1218" s="12"/>
      <c r="X1218" s="9" t="str">
        <f t="array" ref="X1218">IFERROR(INDEX('Адреса общежитий (скрытый)'!$B$2:$B$9, MATCH(W1218, 'Адреса общежитий (скрытый)'!$A$2:$A$9, 0)), "")</f>
        <v/>
      </c>
      <c r="Y1218" s="18"/>
      <c r="Z1218" s="18"/>
      <c r="AA1218" s="18"/>
      <c r="AB1218" s="18"/>
      <c r="AC1218" s="18"/>
    </row>
    <row r="1219" spans="1:29" ht="32.25" hidden="1" customHeight="1">
      <c r="A1219" s="8">
        <v>2306625</v>
      </c>
      <c r="B1219" s="9" t="s">
        <v>13284</v>
      </c>
      <c r="C1219" s="9" t="s">
        <v>13284</v>
      </c>
      <c r="D1219" s="9" t="s">
        <v>13284</v>
      </c>
      <c r="E1219" s="9" t="s">
        <v>13284</v>
      </c>
      <c r="F1219" s="9" t="s">
        <v>13284</v>
      </c>
      <c r="G1219" s="9" t="s">
        <v>13284</v>
      </c>
      <c r="H1219" s="9" t="s">
        <v>13284</v>
      </c>
      <c r="I1219" s="9" t="s">
        <v>13284</v>
      </c>
      <c r="J1219" s="9" t="s">
        <v>13284</v>
      </c>
      <c r="K1219" s="9" t="s">
        <v>13284</v>
      </c>
      <c r="L1219" s="9" t="s">
        <v>13284</v>
      </c>
      <c r="M1219" s="9" t="s">
        <v>13284</v>
      </c>
      <c r="N1219" s="9" t="s">
        <v>13284</v>
      </c>
      <c r="O1219" s="9" t="s">
        <v>13284</v>
      </c>
      <c r="P1219" s="9" t="s">
        <v>13284</v>
      </c>
      <c r="Q1219" s="9" t="s">
        <v>13284</v>
      </c>
      <c r="R1219" s="9" t="s">
        <v>13284</v>
      </c>
      <c r="S1219" s="9" t="s">
        <v>13284</v>
      </c>
      <c r="T1219" s="9" t="str">
        <f ca="1">IFERROR(IF(AND(VLOOKUP(A1219, 'Актуальное состояние (из общего'!A:C,3,0) = "", A1219 &lt;&gt; ""), "ПРОВЕРИТЬ", VLOOKUP(A1219, 'Актуальное состояние (из общего'!A:C,3,0)), "")</f>
        <v>Студент</v>
      </c>
      <c r="U1219" s="9" t="s">
        <v>13284</v>
      </c>
      <c r="V1219" s="9" t="s">
        <v>13284</v>
      </c>
      <c r="W1219" s="12"/>
      <c r="X1219" s="9" t="str">
        <f t="array" ref="X1219">IFERROR(INDEX('Адреса общежитий (скрытый)'!$B$2:$B$9, MATCH(W1219, 'Адреса общежитий (скрытый)'!$A$2:$A$9, 0)), "")</f>
        <v/>
      </c>
      <c r="Y1219" s="18"/>
      <c r="Z1219" s="18"/>
      <c r="AA1219" s="18"/>
      <c r="AB1219" s="18"/>
      <c r="AC1219" s="18"/>
    </row>
    <row r="1220" spans="1:29" ht="32.25" hidden="1" customHeight="1">
      <c r="A1220" s="8">
        <v>2306760</v>
      </c>
      <c r="B1220" s="9" t="s">
        <v>13284</v>
      </c>
      <c r="C1220" s="9" t="s">
        <v>13284</v>
      </c>
      <c r="D1220" s="9" t="s">
        <v>13284</v>
      </c>
      <c r="E1220" s="9" t="s">
        <v>13284</v>
      </c>
      <c r="F1220" s="9" t="s">
        <v>13284</v>
      </c>
      <c r="G1220" s="9" t="s">
        <v>13284</v>
      </c>
      <c r="H1220" s="9" t="s">
        <v>13284</v>
      </c>
      <c r="I1220" s="9" t="s">
        <v>13284</v>
      </c>
      <c r="J1220" s="9" t="s">
        <v>13284</v>
      </c>
      <c r="K1220" s="9" t="s">
        <v>13284</v>
      </c>
      <c r="L1220" s="9" t="s">
        <v>13284</v>
      </c>
      <c r="M1220" s="9" t="s">
        <v>13284</v>
      </c>
      <c r="N1220" s="9" t="s">
        <v>13284</v>
      </c>
      <c r="O1220" s="9" t="s">
        <v>13284</v>
      </c>
      <c r="P1220" s="9" t="s">
        <v>13284</v>
      </c>
      <c r="Q1220" s="9" t="s">
        <v>13284</v>
      </c>
      <c r="R1220" s="9" t="s">
        <v>13284</v>
      </c>
      <c r="S1220" s="9" t="s">
        <v>13284</v>
      </c>
      <c r="T1220" s="9" t="str">
        <f ca="1">IFERROR(IF(AND(VLOOKUP(A1220, 'Актуальное состояние (из общего'!A:C,3,0) = "", A1220 &lt;&gt; ""), "ПРОВЕРИТЬ", VLOOKUP(A1220, 'Актуальное состояние (из общего'!A:C,3,0)), "")</f>
        <v>Студент</v>
      </c>
      <c r="U1220" s="9" t="s">
        <v>13284</v>
      </c>
      <c r="V1220" s="9" t="s">
        <v>13284</v>
      </c>
      <c r="W1220" s="12"/>
      <c r="X1220" s="9" t="str">
        <f t="array" ref="X1220">IFERROR(INDEX('Адреса общежитий (скрытый)'!$B$2:$B$9, MATCH(W1220, 'Адреса общежитий (скрытый)'!$A$2:$A$9, 0)), "")</f>
        <v/>
      </c>
      <c r="Y1220" s="18"/>
      <c r="Z1220" s="18"/>
      <c r="AA1220" s="18"/>
      <c r="AB1220" s="18"/>
      <c r="AC1220" s="18"/>
    </row>
    <row r="1221" spans="1:29" ht="32.25" hidden="1" customHeight="1">
      <c r="A1221" s="8">
        <v>2308563</v>
      </c>
      <c r="B1221" s="9" t="s">
        <v>13284</v>
      </c>
      <c r="C1221" s="9" t="s">
        <v>13284</v>
      </c>
      <c r="D1221" s="9" t="s">
        <v>13284</v>
      </c>
      <c r="E1221" s="9" t="s">
        <v>13284</v>
      </c>
      <c r="F1221" s="9" t="s">
        <v>13284</v>
      </c>
      <c r="G1221" s="9" t="s">
        <v>13284</v>
      </c>
      <c r="H1221" s="9" t="s">
        <v>13284</v>
      </c>
      <c r="I1221" s="9" t="s">
        <v>13284</v>
      </c>
      <c r="J1221" s="9" t="s">
        <v>13284</v>
      </c>
      <c r="K1221" s="9" t="s">
        <v>13284</v>
      </c>
      <c r="L1221" s="9" t="s">
        <v>13284</v>
      </c>
      <c r="M1221" s="9" t="s">
        <v>13284</v>
      </c>
      <c r="N1221" s="9" t="s">
        <v>13284</v>
      </c>
      <c r="O1221" s="9" t="s">
        <v>13284</v>
      </c>
      <c r="P1221" s="9" t="s">
        <v>13284</v>
      </c>
      <c r="Q1221" s="9" t="s">
        <v>13284</v>
      </c>
      <c r="R1221" s="9" t="s">
        <v>13284</v>
      </c>
      <c r="S1221" s="9" t="s">
        <v>13284</v>
      </c>
      <c r="T1221" s="9" t="str">
        <f ca="1">IFERROR(IF(AND(VLOOKUP(A1221, 'Актуальное состояние (из общего'!A:C,3,0) = "", A1221 &lt;&gt; ""), "ПРОВЕРИТЬ", VLOOKUP(A1221, 'Актуальное состояние (из общего'!A:C,3,0)), "")</f>
        <v>Студент</v>
      </c>
      <c r="U1221" s="9" t="s">
        <v>13284</v>
      </c>
      <c r="V1221" s="9" t="s">
        <v>13284</v>
      </c>
      <c r="W1221" s="12"/>
      <c r="X1221" s="9" t="str">
        <f t="array" ref="X1221">IFERROR(INDEX('Адреса общежитий (скрытый)'!$B$2:$B$9, MATCH(W1221, 'Адреса общежитий (скрытый)'!$A$2:$A$9, 0)), "")</f>
        <v/>
      </c>
      <c r="Y1221" s="18"/>
      <c r="Z1221" s="18"/>
      <c r="AA1221" s="18"/>
      <c r="AB1221" s="18"/>
      <c r="AC1221" s="18"/>
    </row>
    <row r="1222" spans="1:29" ht="32.25" customHeight="1">
      <c r="A1222" s="8">
        <v>2304175</v>
      </c>
      <c r="B1222" s="9" t="s">
        <v>13284</v>
      </c>
      <c r="C1222" s="9" t="s">
        <v>13284</v>
      </c>
      <c r="D1222" s="9" t="s">
        <v>13284</v>
      </c>
      <c r="E1222" s="9" t="s">
        <v>13284</v>
      </c>
      <c r="F1222" s="9" t="s">
        <v>13284</v>
      </c>
      <c r="G1222" s="9" t="s">
        <v>13284</v>
      </c>
      <c r="H1222" s="9" t="s">
        <v>13284</v>
      </c>
      <c r="I1222" s="9" t="s">
        <v>13284</v>
      </c>
      <c r="J1222" s="9" t="s">
        <v>13284</v>
      </c>
      <c r="K1222" s="9" t="s">
        <v>13284</v>
      </c>
      <c r="L1222" s="9" t="s">
        <v>13284</v>
      </c>
      <c r="M1222" s="9" t="s">
        <v>13284</v>
      </c>
      <c r="N1222" s="9" t="s">
        <v>13284</v>
      </c>
      <c r="O1222" s="9" t="s">
        <v>13284</v>
      </c>
      <c r="P1222" s="9" t="s">
        <v>13284</v>
      </c>
      <c r="Q1222" s="9" t="s">
        <v>13284</v>
      </c>
      <c r="R1222" s="9" t="s">
        <v>13284</v>
      </c>
      <c r="S1222" s="9" t="s">
        <v>13284</v>
      </c>
      <c r="T1222" s="9" t="str">
        <f ca="1">IFERROR(IF(AND(VLOOKUP(A1222, 'Актуальное состояние (из общего'!A:C,3,0) = "", A1222 &lt;&gt; ""), "ПРОВЕРИТЬ", VLOOKUP(A1222, 'Актуальное состояние (из общего'!A:C,3,0)), "")</f>
        <v>Студент</v>
      </c>
      <c r="U1222" s="9" t="s">
        <v>13284</v>
      </c>
      <c r="V1222" s="9" t="s">
        <v>13284</v>
      </c>
      <c r="W1222" s="12"/>
      <c r="X1222" s="9" t="str">
        <f t="array" ref="X1222">IFERROR(INDEX('Адреса общежитий (скрытый)'!$B$2:$B$9, MATCH(W1222, 'Адреса общежитий (скрытый)'!$A$2:$A$9, 0)), "")</f>
        <v/>
      </c>
      <c r="Y1222" s="18"/>
      <c r="Z1222" s="18"/>
      <c r="AA1222" s="18"/>
      <c r="AB1222" s="18"/>
      <c r="AC1222" s="18"/>
    </row>
    <row r="1223" spans="1:29" ht="32.25" hidden="1" customHeight="1">
      <c r="A1223" s="8">
        <v>2311290</v>
      </c>
      <c r="B1223" s="9" t="s">
        <v>13284</v>
      </c>
      <c r="C1223" s="9" t="s">
        <v>13284</v>
      </c>
      <c r="D1223" s="9" t="s">
        <v>13284</v>
      </c>
      <c r="E1223" s="9" t="s">
        <v>13284</v>
      </c>
      <c r="F1223" s="9" t="s">
        <v>13284</v>
      </c>
      <c r="G1223" s="9" t="s">
        <v>13284</v>
      </c>
      <c r="H1223" s="9" t="s">
        <v>13284</v>
      </c>
      <c r="I1223" s="9" t="s">
        <v>13284</v>
      </c>
      <c r="J1223" s="9" t="s">
        <v>13284</v>
      </c>
      <c r="K1223" s="9" t="s">
        <v>13284</v>
      </c>
      <c r="L1223" s="9" t="s">
        <v>13284</v>
      </c>
      <c r="M1223" s="9" t="s">
        <v>13284</v>
      </c>
      <c r="N1223" s="9" t="s">
        <v>13284</v>
      </c>
      <c r="O1223" s="9" t="s">
        <v>13284</v>
      </c>
      <c r="P1223" s="9" t="s">
        <v>13284</v>
      </c>
      <c r="Q1223" s="9" t="s">
        <v>13284</v>
      </c>
      <c r="R1223" s="9" t="s">
        <v>13284</v>
      </c>
      <c r="S1223" s="9" t="s">
        <v>13284</v>
      </c>
      <c r="T1223" s="9" t="str">
        <f ca="1">IFERROR(IF(AND(VLOOKUP(A1223, 'Актуальное состояние (из общего'!A:C,3,0) = "", A1223 &lt;&gt; ""), "ПРОВЕРИТЬ", VLOOKUP(A1223, 'Актуальное состояние (из общего'!A:C,3,0)), "")</f>
        <v>Студент</v>
      </c>
      <c r="U1223" s="9" t="s">
        <v>13284</v>
      </c>
      <c r="V1223" s="9" t="s">
        <v>13284</v>
      </c>
      <c r="W1223" s="12"/>
      <c r="X1223" s="9" t="str">
        <f t="array" ref="X1223">IFERROR(INDEX('Адреса общежитий (скрытый)'!$B$2:$B$9, MATCH(W1223, 'Адреса общежитий (скрытый)'!$A$2:$A$9, 0)), "")</f>
        <v/>
      </c>
      <c r="Y1223" s="18"/>
      <c r="Z1223" s="18"/>
      <c r="AA1223" s="18"/>
      <c r="AB1223" s="18"/>
      <c r="AC1223" s="18"/>
    </row>
    <row r="1224" spans="1:29" ht="32.25" customHeight="1">
      <c r="A1224" s="8">
        <v>2304485</v>
      </c>
      <c r="B1224" s="9" t="s">
        <v>13284</v>
      </c>
      <c r="C1224" s="9" t="s">
        <v>13284</v>
      </c>
      <c r="D1224" s="9" t="s">
        <v>13284</v>
      </c>
      <c r="E1224" s="9" t="s">
        <v>13284</v>
      </c>
      <c r="F1224" s="9" t="s">
        <v>13284</v>
      </c>
      <c r="G1224" s="9" t="s">
        <v>13284</v>
      </c>
      <c r="H1224" s="9" t="s">
        <v>13284</v>
      </c>
      <c r="I1224" s="9" t="s">
        <v>13284</v>
      </c>
      <c r="J1224" s="9" t="s">
        <v>13284</v>
      </c>
      <c r="K1224" s="9" t="s">
        <v>13284</v>
      </c>
      <c r="L1224" s="9" t="s">
        <v>13284</v>
      </c>
      <c r="M1224" s="9" t="s">
        <v>13284</v>
      </c>
      <c r="N1224" s="9" t="s">
        <v>13284</v>
      </c>
      <c r="O1224" s="9" t="s">
        <v>13284</v>
      </c>
      <c r="P1224" s="9" t="s">
        <v>13284</v>
      </c>
      <c r="Q1224" s="9" t="s">
        <v>13284</v>
      </c>
      <c r="R1224" s="9" t="s">
        <v>13284</v>
      </c>
      <c r="S1224" s="9" t="s">
        <v>13284</v>
      </c>
      <c r="T1224" s="9" t="str">
        <f ca="1">IFERROR(IF(AND(VLOOKUP(A1224, 'Актуальное состояние (из общего'!A:C,3,0) = "", A1224 &lt;&gt; ""), "ПРОВЕРИТЬ", VLOOKUP(A1224, 'Актуальное состояние (из общего'!A:C,3,0)), "")</f>
        <v>Студент</v>
      </c>
      <c r="U1224" s="9" t="s">
        <v>13284</v>
      </c>
      <c r="V1224" s="9" t="s">
        <v>13284</v>
      </c>
      <c r="W1224" s="12"/>
      <c r="X1224" s="9" t="str">
        <f t="array" ref="X1224">IFERROR(INDEX('Адреса общежитий (скрытый)'!$B$2:$B$9, MATCH(W1224, 'Адреса общежитий (скрытый)'!$A$2:$A$9, 0)), "")</f>
        <v/>
      </c>
      <c r="Y1224" s="18"/>
      <c r="Z1224" s="18"/>
      <c r="AA1224" s="18"/>
      <c r="AB1224" s="18"/>
      <c r="AC1224" s="18"/>
    </row>
    <row r="1225" spans="1:29" ht="32.25" hidden="1" customHeight="1">
      <c r="A1225" s="8">
        <v>2315216</v>
      </c>
      <c r="B1225" s="9" t="s">
        <v>13284</v>
      </c>
      <c r="C1225" s="9" t="s">
        <v>13284</v>
      </c>
      <c r="D1225" s="9" t="s">
        <v>13284</v>
      </c>
      <c r="E1225" s="9" t="s">
        <v>13284</v>
      </c>
      <c r="F1225" s="9" t="s">
        <v>13284</v>
      </c>
      <c r="G1225" s="9" t="s">
        <v>13284</v>
      </c>
      <c r="H1225" s="9" t="s">
        <v>13284</v>
      </c>
      <c r="I1225" s="9" t="s">
        <v>13284</v>
      </c>
      <c r="J1225" s="9" t="s">
        <v>13284</v>
      </c>
      <c r="K1225" s="9" t="s">
        <v>13284</v>
      </c>
      <c r="L1225" s="9" t="s">
        <v>13284</v>
      </c>
      <c r="M1225" s="9" t="s">
        <v>13284</v>
      </c>
      <c r="N1225" s="9" t="s">
        <v>13284</v>
      </c>
      <c r="O1225" s="9" t="s">
        <v>13284</v>
      </c>
      <c r="P1225" s="9" t="s">
        <v>13284</v>
      </c>
      <c r="Q1225" s="9" t="s">
        <v>13284</v>
      </c>
      <c r="R1225" s="9" t="s">
        <v>13284</v>
      </c>
      <c r="S1225" s="9" t="s">
        <v>13284</v>
      </c>
      <c r="T1225" s="9" t="str">
        <f ca="1">IFERROR(IF(AND(VLOOKUP(A1225, 'Актуальное состояние (из общего'!A:C,3,0) = "", A1225 &lt;&gt; ""), "ПРОВЕРИТЬ", VLOOKUP(A1225, 'Актуальное состояние (из общего'!A:C,3,0)), "")</f>
        <v>Студент</v>
      </c>
      <c r="U1225" s="9" t="s">
        <v>13284</v>
      </c>
      <c r="V1225" s="9" t="s">
        <v>13284</v>
      </c>
      <c r="W1225" s="12"/>
      <c r="X1225" s="9" t="str">
        <f t="array" ref="X1225">IFERROR(INDEX('Адреса общежитий (скрытый)'!$B$2:$B$9, MATCH(W1225, 'Адреса общежитий (скрытый)'!$A$2:$A$9, 0)), "")</f>
        <v/>
      </c>
      <c r="Y1225" s="18"/>
      <c r="Z1225" s="18"/>
      <c r="AA1225" s="18"/>
      <c r="AB1225" s="18"/>
      <c r="AC1225" s="18"/>
    </row>
    <row r="1226" spans="1:29" ht="32.25" customHeight="1">
      <c r="A1226" s="8">
        <v>2306174</v>
      </c>
      <c r="B1226" s="9" t="s">
        <v>13284</v>
      </c>
      <c r="C1226" s="9" t="s">
        <v>13284</v>
      </c>
      <c r="D1226" s="9" t="s">
        <v>13284</v>
      </c>
      <c r="E1226" s="9" t="s">
        <v>13284</v>
      </c>
      <c r="F1226" s="9" t="s">
        <v>13284</v>
      </c>
      <c r="G1226" s="9" t="s">
        <v>13284</v>
      </c>
      <c r="H1226" s="9" t="s">
        <v>13284</v>
      </c>
      <c r="I1226" s="9" t="s">
        <v>13284</v>
      </c>
      <c r="J1226" s="9" t="s">
        <v>13284</v>
      </c>
      <c r="K1226" s="9" t="s">
        <v>13284</v>
      </c>
      <c r="L1226" s="9" t="s">
        <v>13284</v>
      </c>
      <c r="M1226" s="9" t="s">
        <v>13284</v>
      </c>
      <c r="N1226" s="9" t="s">
        <v>13284</v>
      </c>
      <c r="O1226" s="9" t="s">
        <v>13284</v>
      </c>
      <c r="P1226" s="9" t="s">
        <v>13284</v>
      </c>
      <c r="Q1226" s="9" t="s">
        <v>13284</v>
      </c>
      <c r="R1226" s="9" t="s">
        <v>13284</v>
      </c>
      <c r="S1226" s="9" t="s">
        <v>13284</v>
      </c>
      <c r="T1226" s="9" t="str">
        <f ca="1">IFERROR(IF(AND(VLOOKUP(A1226, 'Актуальное состояние (из общего'!A:C,3,0) = "", A1226 &lt;&gt; ""), "ПРОВЕРИТЬ", VLOOKUP(A1226, 'Актуальное состояние (из общего'!A:C,3,0)), "")</f>
        <v>Студент</v>
      </c>
      <c r="U1226" s="9" t="s">
        <v>13284</v>
      </c>
      <c r="V1226" s="9" t="s">
        <v>13284</v>
      </c>
      <c r="W1226" s="12"/>
      <c r="X1226" s="9" t="str">
        <f t="array" ref="X1226">IFERROR(INDEX('Адреса общежитий (скрытый)'!$B$2:$B$9, MATCH(W1226, 'Адреса общежитий (скрытый)'!$A$2:$A$9, 0)), "")</f>
        <v/>
      </c>
      <c r="Y1226" s="18"/>
      <c r="Z1226" s="18"/>
      <c r="AA1226" s="18"/>
      <c r="AB1226" s="18"/>
      <c r="AC1226" s="18"/>
    </row>
    <row r="1227" spans="1:29" ht="32.25" hidden="1" customHeight="1">
      <c r="A1227" s="8">
        <v>2306608</v>
      </c>
      <c r="B1227" s="9" t="s">
        <v>13284</v>
      </c>
      <c r="C1227" s="9" t="s">
        <v>13284</v>
      </c>
      <c r="D1227" s="9" t="s">
        <v>13284</v>
      </c>
      <c r="E1227" s="9" t="s">
        <v>13284</v>
      </c>
      <c r="F1227" s="9" t="s">
        <v>13284</v>
      </c>
      <c r="G1227" s="9" t="s">
        <v>13284</v>
      </c>
      <c r="H1227" s="9" t="s">
        <v>13284</v>
      </c>
      <c r="I1227" s="9" t="s">
        <v>13284</v>
      </c>
      <c r="J1227" s="9" t="s">
        <v>13284</v>
      </c>
      <c r="K1227" s="9" t="s">
        <v>13284</v>
      </c>
      <c r="L1227" s="9" t="s">
        <v>13284</v>
      </c>
      <c r="M1227" s="9" t="s">
        <v>13284</v>
      </c>
      <c r="N1227" s="9" t="s">
        <v>13284</v>
      </c>
      <c r="O1227" s="9" t="s">
        <v>13284</v>
      </c>
      <c r="P1227" s="9" t="s">
        <v>13284</v>
      </c>
      <c r="Q1227" s="9" t="s">
        <v>13284</v>
      </c>
      <c r="R1227" s="9" t="s">
        <v>13284</v>
      </c>
      <c r="S1227" s="9" t="s">
        <v>13284</v>
      </c>
      <c r="T1227" s="9" t="str">
        <f ca="1">IFERROR(IF(AND(VLOOKUP(A1227, 'Актуальное состояние (из общего'!A:C,3,0) = "", A1227 &lt;&gt; ""), "ПРОВЕРИТЬ", VLOOKUP(A1227, 'Актуальное состояние (из общего'!A:C,3,0)), "")</f>
        <v>Студент</v>
      </c>
      <c r="U1227" s="9" t="s">
        <v>13284</v>
      </c>
      <c r="V1227" s="9" t="s">
        <v>13284</v>
      </c>
      <c r="W1227" s="12"/>
      <c r="X1227" s="9" t="str">
        <f t="array" ref="X1227">IFERROR(INDEX('Адреса общежитий (скрытый)'!$B$2:$B$9, MATCH(W1227, 'Адреса общежитий (скрытый)'!$A$2:$A$9, 0)), "")</f>
        <v/>
      </c>
      <c r="Y1227" s="18"/>
      <c r="Z1227" s="18"/>
      <c r="AA1227" s="18"/>
      <c r="AB1227" s="18"/>
      <c r="AC1227" s="18"/>
    </row>
    <row r="1228" spans="1:29" ht="32.25" customHeight="1">
      <c r="A1228" s="8">
        <v>2302946</v>
      </c>
      <c r="B1228" s="9" t="s">
        <v>13284</v>
      </c>
      <c r="C1228" s="9" t="s">
        <v>13284</v>
      </c>
      <c r="D1228" s="9" t="s">
        <v>13284</v>
      </c>
      <c r="E1228" s="9" t="s">
        <v>13284</v>
      </c>
      <c r="F1228" s="9" t="s">
        <v>13284</v>
      </c>
      <c r="G1228" s="9" t="s">
        <v>13284</v>
      </c>
      <c r="H1228" s="9" t="s">
        <v>13284</v>
      </c>
      <c r="I1228" s="9" t="s">
        <v>13284</v>
      </c>
      <c r="J1228" s="9" t="s">
        <v>13284</v>
      </c>
      <c r="K1228" s="9" t="s">
        <v>13284</v>
      </c>
      <c r="L1228" s="9" t="s">
        <v>13284</v>
      </c>
      <c r="M1228" s="9" t="s">
        <v>13284</v>
      </c>
      <c r="N1228" s="9" t="s">
        <v>13284</v>
      </c>
      <c r="O1228" s="9" t="s">
        <v>13284</v>
      </c>
      <c r="P1228" s="9" t="s">
        <v>13284</v>
      </c>
      <c r="Q1228" s="9" t="s">
        <v>13284</v>
      </c>
      <c r="R1228" s="9" t="s">
        <v>13284</v>
      </c>
      <c r="S1228" s="9" t="s">
        <v>13284</v>
      </c>
      <c r="T1228" s="9" t="str">
        <f ca="1">IFERROR(IF(AND(VLOOKUP(A1228, 'Актуальное состояние (из общего'!A:C,3,0) = "", A1228 &lt;&gt; ""), "ПРОВЕРИТЬ", VLOOKUP(A1228, 'Актуальное состояние (из общего'!A:C,3,0)), "")</f>
        <v>Студент</v>
      </c>
      <c r="U1228" s="9" t="s">
        <v>13284</v>
      </c>
      <c r="V1228" s="9" t="s">
        <v>13284</v>
      </c>
      <c r="W1228" s="9" t="s">
        <v>319</v>
      </c>
      <c r="X1228" s="9" t="str">
        <f t="array" ref="X1228">IFERROR(INDEX('Адреса общежитий (скрытый)'!$B$2:$B$9, MATCH(W1228, 'Адреса общежитий (скрытый)'!$A$2:$A$9, 0)), "")</f>
        <v>ул. Профсоюзная, д.83, корп. 2</v>
      </c>
      <c r="Y1228" s="18"/>
      <c r="Z1228" s="18"/>
      <c r="AA1228" s="18"/>
      <c r="AB1228" s="18"/>
      <c r="AC1228" s="18"/>
    </row>
    <row r="1229" spans="1:29" ht="32.25" hidden="1" customHeight="1">
      <c r="A1229" s="8">
        <v>2302249</v>
      </c>
      <c r="B1229" s="9" t="s">
        <v>13284</v>
      </c>
      <c r="C1229" s="9" t="s">
        <v>13284</v>
      </c>
      <c r="D1229" s="9" t="s">
        <v>13284</v>
      </c>
      <c r="E1229" s="9" t="s">
        <v>13284</v>
      </c>
      <c r="F1229" s="9" t="s">
        <v>13284</v>
      </c>
      <c r="G1229" s="9" t="s">
        <v>13284</v>
      </c>
      <c r="H1229" s="9" t="s">
        <v>13284</v>
      </c>
      <c r="I1229" s="9" t="s">
        <v>13284</v>
      </c>
      <c r="J1229" s="9" t="s">
        <v>13284</v>
      </c>
      <c r="K1229" s="9" t="s">
        <v>13284</v>
      </c>
      <c r="L1229" s="9" t="s">
        <v>13284</v>
      </c>
      <c r="M1229" s="9" t="s">
        <v>13284</v>
      </c>
      <c r="N1229" s="9" t="s">
        <v>13284</v>
      </c>
      <c r="O1229" s="9" t="s">
        <v>13284</v>
      </c>
      <c r="P1229" s="9" t="s">
        <v>13284</v>
      </c>
      <c r="Q1229" s="9" t="s">
        <v>13284</v>
      </c>
      <c r="R1229" s="9" t="s">
        <v>13284</v>
      </c>
      <c r="S1229" s="9" t="s">
        <v>13284</v>
      </c>
      <c r="T1229" s="9" t="str">
        <f ca="1">IFERROR(IF(AND(VLOOKUP(A1229, 'Актуальное состояние (из общего'!A:C,3,0) = "", A1229 &lt;&gt; ""), "ПРОВЕРИТЬ", VLOOKUP(A1229, 'Актуальное состояние (из общего'!A:C,3,0)), "")</f>
        <v>Студент</v>
      </c>
      <c r="U1229" s="9" t="s">
        <v>13284</v>
      </c>
      <c r="V1229" s="9" t="s">
        <v>13284</v>
      </c>
      <c r="W1229" s="12"/>
      <c r="X1229" s="9" t="str">
        <f t="array" ref="X1229">IFERROR(INDEX('Адреса общежитий (скрытый)'!$B$2:$B$9, MATCH(W1229, 'Адреса общежитий (скрытый)'!$A$2:$A$9, 0)), "")</f>
        <v/>
      </c>
      <c r="Y1229" s="18"/>
      <c r="Z1229" s="18"/>
      <c r="AA1229" s="18"/>
      <c r="AB1229" s="18"/>
      <c r="AC1229" s="18"/>
    </row>
    <row r="1230" spans="1:29" ht="32.25" hidden="1" customHeight="1">
      <c r="A1230" s="8">
        <v>2305881</v>
      </c>
      <c r="B1230" s="9" t="s">
        <v>13284</v>
      </c>
      <c r="C1230" s="9" t="s">
        <v>13284</v>
      </c>
      <c r="D1230" s="9" t="s">
        <v>13284</v>
      </c>
      <c r="E1230" s="9" t="s">
        <v>13284</v>
      </c>
      <c r="F1230" s="9" t="s">
        <v>13284</v>
      </c>
      <c r="G1230" s="9" t="s">
        <v>13284</v>
      </c>
      <c r="H1230" s="9" t="s">
        <v>13284</v>
      </c>
      <c r="I1230" s="9" t="s">
        <v>13284</v>
      </c>
      <c r="J1230" s="9" t="s">
        <v>13284</v>
      </c>
      <c r="K1230" s="9" t="s">
        <v>13284</v>
      </c>
      <c r="L1230" s="9" t="s">
        <v>13284</v>
      </c>
      <c r="M1230" s="9" t="s">
        <v>13284</v>
      </c>
      <c r="N1230" s="9" t="s">
        <v>13284</v>
      </c>
      <c r="O1230" s="9" t="s">
        <v>13284</v>
      </c>
      <c r="P1230" s="9" t="s">
        <v>13284</v>
      </c>
      <c r="Q1230" s="9" t="s">
        <v>13284</v>
      </c>
      <c r="R1230" s="9" t="s">
        <v>13284</v>
      </c>
      <c r="S1230" s="9" t="s">
        <v>13284</v>
      </c>
      <c r="T1230" s="9" t="str">
        <f ca="1">IFERROR(IF(AND(VLOOKUP(A1230, 'Актуальное состояние (из общего'!A:C,3,0) = "", A1230 &lt;&gt; ""), "ПРОВЕРИТЬ", VLOOKUP(A1230, 'Актуальное состояние (из общего'!A:C,3,0)), "")</f>
        <v>Студент</v>
      </c>
      <c r="U1230" s="9" t="s">
        <v>13284</v>
      </c>
      <c r="V1230" s="9" t="s">
        <v>13284</v>
      </c>
      <c r="W1230" s="12"/>
      <c r="X1230" s="9" t="str">
        <f t="array" ref="X1230">IFERROR(INDEX('Адреса общежитий (скрытый)'!$B$2:$B$9, MATCH(W1230, 'Адреса общежитий (скрытый)'!$A$2:$A$9, 0)), "")</f>
        <v/>
      </c>
      <c r="Y1230" s="18"/>
      <c r="Z1230" s="18"/>
      <c r="AA1230" s="18"/>
      <c r="AB1230" s="18"/>
      <c r="AC1230" s="18"/>
    </row>
    <row r="1231" spans="1:29" ht="32.25" customHeight="1">
      <c r="A1231" s="8">
        <v>2306927</v>
      </c>
      <c r="B1231" s="9" t="s">
        <v>13284</v>
      </c>
      <c r="C1231" s="9" t="s">
        <v>13284</v>
      </c>
      <c r="D1231" s="9" t="s">
        <v>13284</v>
      </c>
      <c r="E1231" s="9" t="s">
        <v>13284</v>
      </c>
      <c r="F1231" s="9" t="s">
        <v>13284</v>
      </c>
      <c r="G1231" s="9" t="s">
        <v>13284</v>
      </c>
      <c r="H1231" s="9" t="s">
        <v>13284</v>
      </c>
      <c r="I1231" s="9" t="s">
        <v>13284</v>
      </c>
      <c r="J1231" s="9" t="s">
        <v>13284</v>
      </c>
      <c r="K1231" s="9" t="s">
        <v>13284</v>
      </c>
      <c r="L1231" s="9" t="s">
        <v>13284</v>
      </c>
      <c r="M1231" s="9" t="s">
        <v>13284</v>
      </c>
      <c r="N1231" s="9" t="s">
        <v>13284</v>
      </c>
      <c r="O1231" s="9" t="s">
        <v>13284</v>
      </c>
      <c r="P1231" s="9" t="s">
        <v>13284</v>
      </c>
      <c r="Q1231" s="9" t="s">
        <v>13284</v>
      </c>
      <c r="R1231" s="9" t="s">
        <v>13284</v>
      </c>
      <c r="S1231" s="9" t="s">
        <v>13284</v>
      </c>
      <c r="T1231" s="9" t="str">
        <f ca="1">IFERROR(IF(AND(VLOOKUP(A1231, 'Актуальное состояние (из общего'!A:C,3,0) = "", A1231 &lt;&gt; ""), "ПРОВЕРИТЬ", VLOOKUP(A1231, 'Актуальное состояние (из общего'!A:C,3,0)), "")</f>
        <v>Студент</v>
      </c>
      <c r="U1231" s="9" t="s">
        <v>13284</v>
      </c>
      <c r="V1231" s="9" t="s">
        <v>13284</v>
      </c>
      <c r="W1231" s="9" t="s">
        <v>319</v>
      </c>
      <c r="X1231" s="9" t="str">
        <f t="array" ref="X1231">IFERROR(INDEX('Адреса общежитий (скрытый)'!$B$2:$B$9, MATCH(W1231, 'Адреса общежитий (скрытый)'!$A$2:$A$9, 0)), "")</f>
        <v>ул. Профсоюзная, д.83, корп. 2</v>
      </c>
      <c r="Y1231" s="18"/>
      <c r="Z1231" s="18"/>
      <c r="AA1231" s="18"/>
      <c r="AB1231" s="18"/>
      <c r="AC1231" s="18"/>
    </row>
    <row r="1232" spans="1:29" ht="32.25" hidden="1" customHeight="1">
      <c r="A1232" s="8">
        <v>2302381</v>
      </c>
      <c r="B1232" s="9" t="s">
        <v>13284</v>
      </c>
      <c r="C1232" s="9" t="s">
        <v>13284</v>
      </c>
      <c r="D1232" s="9" t="s">
        <v>13284</v>
      </c>
      <c r="E1232" s="9" t="s">
        <v>13284</v>
      </c>
      <c r="F1232" s="9" t="s">
        <v>13284</v>
      </c>
      <c r="G1232" s="9" t="s">
        <v>13284</v>
      </c>
      <c r="H1232" s="9" t="s">
        <v>13284</v>
      </c>
      <c r="I1232" s="9" t="s">
        <v>13284</v>
      </c>
      <c r="J1232" s="9" t="s">
        <v>13284</v>
      </c>
      <c r="K1232" s="9" t="s">
        <v>13284</v>
      </c>
      <c r="L1232" s="9" t="s">
        <v>13284</v>
      </c>
      <c r="M1232" s="9" t="s">
        <v>13284</v>
      </c>
      <c r="N1232" s="9" t="s">
        <v>13284</v>
      </c>
      <c r="O1232" s="9" t="s">
        <v>13284</v>
      </c>
      <c r="P1232" s="9" t="s">
        <v>13284</v>
      </c>
      <c r="Q1232" s="9" t="s">
        <v>13284</v>
      </c>
      <c r="R1232" s="9" t="s">
        <v>13284</v>
      </c>
      <c r="S1232" s="9" t="s">
        <v>13284</v>
      </c>
      <c r="T1232" s="9" t="str">
        <f ca="1">IFERROR(IF(AND(VLOOKUP(A1232, 'Актуальное состояние (из общего'!A:C,3,0) = "", A1232 &lt;&gt; ""), "ПРОВЕРИТЬ", VLOOKUP(A1232, 'Актуальное состояние (из общего'!A:C,3,0)), "")</f>
        <v>Студент</v>
      </c>
      <c r="U1232" s="9" t="s">
        <v>13284</v>
      </c>
      <c r="V1232" s="9" t="s">
        <v>13284</v>
      </c>
      <c r="W1232" s="12"/>
      <c r="X1232" s="9" t="str">
        <f t="array" ref="X1232">IFERROR(INDEX('Адреса общежитий (скрытый)'!$B$2:$B$9, MATCH(W1232, 'Адреса общежитий (скрытый)'!$A$2:$A$9, 0)), "")</f>
        <v/>
      </c>
      <c r="Y1232" s="18"/>
      <c r="Z1232" s="18"/>
      <c r="AA1232" s="18"/>
      <c r="AB1232" s="18"/>
      <c r="AC1232" s="18"/>
    </row>
    <row r="1233" spans="1:29" ht="32.25" hidden="1" customHeight="1">
      <c r="A1233" s="8">
        <v>2306905</v>
      </c>
      <c r="B1233" s="9" t="s">
        <v>13284</v>
      </c>
      <c r="C1233" s="9" t="s">
        <v>13284</v>
      </c>
      <c r="D1233" s="9" t="s">
        <v>13284</v>
      </c>
      <c r="E1233" s="9" t="s">
        <v>13284</v>
      </c>
      <c r="F1233" s="9" t="s">
        <v>13284</v>
      </c>
      <c r="G1233" s="9" t="s">
        <v>13284</v>
      </c>
      <c r="H1233" s="9" t="s">
        <v>13284</v>
      </c>
      <c r="I1233" s="9" t="s">
        <v>13284</v>
      </c>
      <c r="J1233" s="9" t="s">
        <v>13284</v>
      </c>
      <c r="K1233" s="9" t="s">
        <v>13284</v>
      </c>
      <c r="L1233" s="9" t="s">
        <v>13284</v>
      </c>
      <c r="M1233" s="9" t="s">
        <v>13284</v>
      </c>
      <c r="N1233" s="9" t="s">
        <v>13284</v>
      </c>
      <c r="O1233" s="9" t="s">
        <v>13284</v>
      </c>
      <c r="P1233" s="9" t="s">
        <v>13284</v>
      </c>
      <c r="Q1233" s="9" t="s">
        <v>13284</v>
      </c>
      <c r="R1233" s="9" t="s">
        <v>13284</v>
      </c>
      <c r="S1233" s="9" t="s">
        <v>13284</v>
      </c>
      <c r="T1233" s="9" t="str">
        <f ca="1">IFERROR(IF(AND(VLOOKUP(A1233, 'Актуальное состояние (из общего'!A:C,3,0) = "", A1233 &lt;&gt; ""), "ПРОВЕРИТЬ", VLOOKUP(A1233, 'Актуальное состояние (из общего'!A:C,3,0)), "")</f>
        <v>Студент</v>
      </c>
      <c r="U1233" s="9" t="s">
        <v>13284</v>
      </c>
      <c r="V1233" s="9" t="s">
        <v>13284</v>
      </c>
      <c r="W1233" s="12"/>
      <c r="X1233" s="9" t="str">
        <f t="array" ref="X1233">IFERROR(INDEX('Адреса общежитий (скрытый)'!$B$2:$B$9, MATCH(W1233, 'Адреса общежитий (скрытый)'!$A$2:$A$9, 0)), "")</f>
        <v/>
      </c>
      <c r="Y1233" s="18"/>
      <c r="Z1233" s="18"/>
      <c r="AA1233" s="18"/>
      <c r="AB1233" s="18"/>
      <c r="AC1233" s="18"/>
    </row>
    <row r="1234" spans="1:29" ht="32.25" hidden="1" customHeight="1">
      <c r="A1234" s="8">
        <v>2303986</v>
      </c>
      <c r="B1234" s="9" t="s">
        <v>13284</v>
      </c>
      <c r="C1234" s="9" t="s">
        <v>13284</v>
      </c>
      <c r="D1234" s="9" t="s">
        <v>13284</v>
      </c>
      <c r="E1234" s="9" t="s">
        <v>13284</v>
      </c>
      <c r="F1234" s="9" t="s">
        <v>13284</v>
      </c>
      <c r="G1234" s="9" t="s">
        <v>13284</v>
      </c>
      <c r="H1234" s="9" t="s">
        <v>13284</v>
      </c>
      <c r="I1234" s="9" t="s">
        <v>13284</v>
      </c>
      <c r="J1234" s="9" t="s">
        <v>13284</v>
      </c>
      <c r="K1234" s="9" t="s">
        <v>13284</v>
      </c>
      <c r="L1234" s="9" t="s">
        <v>13284</v>
      </c>
      <c r="M1234" s="9" t="s">
        <v>13284</v>
      </c>
      <c r="N1234" s="9" t="s">
        <v>13284</v>
      </c>
      <c r="O1234" s="9" t="s">
        <v>13284</v>
      </c>
      <c r="P1234" s="9" t="s">
        <v>13284</v>
      </c>
      <c r="Q1234" s="9" t="s">
        <v>13284</v>
      </c>
      <c r="R1234" s="9" t="s">
        <v>13284</v>
      </c>
      <c r="S1234" s="9" t="s">
        <v>13284</v>
      </c>
      <c r="T1234" s="9" t="str">
        <f ca="1">IFERROR(IF(AND(VLOOKUP(A1234, 'Актуальное состояние (из общего'!A:C,3,0) = "", A1234 &lt;&gt; ""), "ПРОВЕРИТЬ", VLOOKUP(A1234, 'Актуальное состояние (из общего'!A:C,3,0)), "")</f>
        <v>Студент</v>
      </c>
      <c r="U1234" s="9" t="s">
        <v>13284</v>
      </c>
      <c r="V1234" s="9" t="s">
        <v>13284</v>
      </c>
      <c r="W1234" s="12"/>
      <c r="X1234" s="9" t="str">
        <f t="array" ref="X1234">IFERROR(INDEX('Адреса общежитий (скрытый)'!$B$2:$B$9, MATCH(W1234, 'Адреса общежитий (скрытый)'!$A$2:$A$9, 0)), "")</f>
        <v/>
      </c>
      <c r="Y1234" s="18"/>
      <c r="Z1234" s="18"/>
      <c r="AA1234" s="18"/>
      <c r="AB1234" s="18"/>
      <c r="AC1234" s="18"/>
    </row>
    <row r="1235" spans="1:29" ht="32.25" hidden="1" customHeight="1">
      <c r="A1235" s="8">
        <v>2300704</v>
      </c>
      <c r="B1235" s="9" t="s">
        <v>13284</v>
      </c>
      <c r="C1235" s="9" t="s">
        <v>13284</v>
      </c>
      <c r="D1235" s="9" t="s">
        <v>13284</v>
      </c>
      <c r="E1235" s="9" t="s">
        <v>13284</v>
      </c>
      <c r="F1235" s="9" t="s">
        <v>13284</v>
      </c>
      <c r="G1235" s="9" t="s">
        <v>13284</v>
      </c>
      <c r="H1235" s="9" t="s">
        <v>13284</v>
      </c>
      <c r="I1235" s="9" t="s">
        <v>13284</v>
      </c>
      <c r="J1235" s="9" t="s">
        <v>13284</v>
      </c>
      <c r="K1235" s="9" t="s">
        <v>13284</v>
      </c>
      <c r="L1235" s="9" t="s">
        <v>13284</v>
      </c>
      <c r="M1235" s="9" t="s">
        <v>13284</v>
      </c>
      <c r="N1235" s="9" t="s">
        <v>13284</v>
      </c>
      <c r="O1235" s="9" t="s">
        <v>13284</v>
      </c>
      <c r="P1235" s="9" t="s">
        <v>13284</v>
      </c>
      <c r="Q1235" s="9" t="s">
        <v>13284</v>
      </c>
      <c r="R1235" s="9" t="s">
        <v>13284</v>
      </c>
      <c r="S1235" s="9" t="s">
        <v>13284</v>
      </c>
      <c r="T1235" s="9" t="str">
        <f ca="1">IFERROR(IF(AND(VLOOKUP(A1235, 'Актуальное состояние (из общего'!A:C,3,0) = "", A1235 &lt;&gt; ""), "ПРОВЕРИТЬ", VLOOKUP(A1235, 'Актуальное состояние (из общего'!A:C,3,0)), "")</f>
        <v>Студент</v>
      </c>
      <c r="U1235" s="9" t="s">
        <v>13284</v>
      </c>
      <c r="V1235" s="9" t="s">
        <v>13284</v>
      </c>
      <c r="W1235" s="12"/>
      <c r="X1235" s="9" t="str">
        <f t="array" ref="X1235">IFERROR(INDEX('Адреса общежитий (скрытый)'!$B$2:$B$9, MATCH(W1235, 'Адреса общежитий (скрытый)'!$A$2:$A$9, 0)), "")</f>
        <v/>
      </c>
      <c r="Y1235" s="18"/>
      <c r="Z1235" s="18"/>
      <c r="AA1235" s="18"/>
      <c r="AB1235" s="18"/>
      <c r="AC1235" s="18"/>
    </row>
    <row r="1236" spans="1:29" ht="32.25" customHeight="1">
      <c r="A1236" s="8">
        <v>2306136</v>
      </c>
      <c r="B1236" s="9" t="s">
        <v>13284</v>
      </c>
      <c r="C1236" s="9" t="s">
        <v>13284</v>
      </c>
      <c r="D1236" s="9" t="s">
        <v>13284</v>
      </c>
      <c r="E1236" s="9" t="s">
        <v>13284</v>
      </c>
      <c r="F1236" s="9" t="s">
        <v>13284</v>
      </c>
      <c r="G1236" s="9" t="s">
        <v>13284</v>
      </c>
      <c r="H1236" s="9" t="s">
        <v>13284</v>
      </c>
      <c r="I1236" s="9" t="s">
        <v>13284</v>
      </c>
      <c r="J1236" s="9" t="s">
        <v>13284</v>
      </c>
      <c r="K1236" s="9" t="s">
        <v>13284</v>
      </c>
      <c r="L1236" s="9" t="s">
        <v>13284</v>
      </c>
      <c r="M1236" s="9" t="s">
        <v>13284</v>
      </c>
      <c r="N1236" s="9" t="s">
        <v>13284</v>
      </c>
      <c r="O1236" s="9" t="s">
        <v>13284</v>
      </c>
      <c r="P1236" s="9" t="s">
        <v>13284</v>
      </c>
      <c r="Q1236" s="9" t="s">
        <v>13284</v>
      </c>
      <c r="R1236" s="9" t="s">
        <v>13284</v>
      </c>
      <c r="S1236" s="9" t="s">
        <v>13284</v>
      </c>
      <c r="T1236" s="9" t="str">
        <f ca="1">IFERROR(IF(AND(VLOOKUP(A1236, 'Актуальное состояние (из общего'!A:C,3,0) = "", A1236 &lt;&gt; ""), "ПРОВЕРИТЬ", VLOOKUP(A1236, 'Актуальное состояние (из общего'!A:C,3,0)), "")</f>
        <v>Студент</v>
      </c>
      <c r="U1236" s="9" t="s">
        <v>13284</v>
      </c>
      <c r="V1236" s="9" t="s">
        <v>13284</v>
      </c>
      <c r="W1236" s="12"/>
      <c r="X1236" s="9" t="str">
        <f t="array" ref="X1236">IFERROR(INDEX('Адреса общежитий (скрытый)'!$B$2:$B$9, MATCH(W1236, 'Адреса общежитий (скрытый)'!$A$2:$A$9, 0)), "")</f>
        <v/>
      </c>
      <c r="Y1236" s="18"/>
      <c r="Z1236" s="18"/>
      <c r="AA1236" s="18"/>
      <c r="AB1236" s="18"/>
      <c r="AC1236" s="18"/>
    </row>
    <row r="1237" spans="1:29" ht="32.25" hidden="1" customHeight="1">
      <c r="A1237" s="8">
        <v>2306320</v>
      </c>
      <c r="B1237" s="9" t="s">
        <v>13284</v>
      </c>
      <c r="C1237" s="9" t="s">
        <v>13284</v>
      </c>
      <c r="D1237" s="9" t="s">
        <v>13284</v>
      </c>
      <c r="E1237" s="9" t="s">
        <v>13284</v>
      </c>
      <c r="F1237" s="9" t="s">
        <v>13284</v>
      </c>
      <c r="G1237" s="9" t="s">
        <v>13284</v>
      </c>
      <c r="H1237" s="9" t="s">
        <v>13284</v>
      </c>
      <c r="I1237" s="9" t="s">
        <v>13284</v>
      </c>
      <c r="J1237" s="9" t="s">
        <v>13284</v>
      </c>
      <c r="K1237" s="9" t="s">
        <v>13284</v>
      </c>
      <c r="L1237" s="9" t="s">
        <v>13284</v>
      </c>
      <c r="M1237" s="9" t="s">
        <v>13284</v>
      </c>
      <c r="N1237" s="9" t="s">
        <v>13284</v>
      </c>
      <c r="O1237" s="9" t="s">
        <v>13284</v>
      </c>
      <c r="P1237" s="9" t="s">
        <v>13284</v>
      </c>
      <c r="Q1237" s="9" t="s">
        <v>13284</v>
      </c>
      <c r="R1237" s="9" t="s">
        <v>13284</v>
      </c>
      <c r="S1237" s="9" t="s">
        <v>13284</v>
      </c>
      <c r="T1237" s="9" t="str">
        <f ca="1">IFERROR(IF(AND(VLOOKUP(A1237, 'Актуальное состояние (из общего'!A:C,3,0) = "", A1237 &lt;&gt; ""), "ПРОВЕРИТЬ", VLOOKUP(A1237, 'Актуальное состояние (из общего'!A:C,3,0)), "")</f>
        <v>Студент</v>
      </c>
      <c r="U1237" s="9" t="s">
        <v>13284</v>
      </c>
      <c r="V1237" s="9" t="s">
        <v>13284</v>
      </c>
      <c r="W1237" s="12"/>
      <c r="X1237" s="9" t="str">
        <f t="array" ref="X1237">IFERROR(INDEX('Адреса общежитий (скрытый)'!$B$2:$B$9, MATCH(W1237, 'Адреса общежитий (скрытый)'!$A$2:$A$9, 0)), "")</f>
        <v/>
      </c>
      <c r="Y1237" s="18"/>
      <c r="Z1237" s="18"/>
      <c r="AA1237" s="18"/>
      <c r="AB1237" s="18"/>
      <c r="AC1237" s="18"/>
    </row>
    <row r="1238" spans="1:29" ht="32.25" customHeight="1">
      <c r="A1238" s="8">
        <v>2300563</v>
      </c>
      <c r="B1238" s="9" t="s">
        <v>13284</v>
      </c>
      <c r="C1238" s="9" t="s">
        <v>13284</v>
      </c>
      <c r="D1238" s="9" t="s">
        <v>13284</v>
      </c>
      <c r="E1238" s="9" t="s">
        <v>13284</v>
      </c>
      <c r="F1238" s="9" t="s">
        <v>13284</v>
      </c>
      <c r="G1238" s="9" t="s">
        <v>13284</v>
      </c>
      <c r="H1238" s="9" t="s">
        <v>13284</v>
      </c>
      <c r="I1238" s="9" t="s">
        <v>13284</v>
      </c>
      <c r="J1238" s="9" t="s">
        <v>13284</v>
      </c>
      <c r="K1238" s="9" t="s">
        <v>13284</v>
      </c>
      <c r="L1238" s="9" t="s">
        <v>13284</v>
      </c>
      <c r="M1238" s="9" t="s">
        <v>13284</v>
      </c>
      <c r="N1238" s="9" t="s">
        <v>13284</v>
      </c>
      <c r="O1238" s="9" t="s">
        <v>13284</v>
      </c>
      <c r="P1238" s="9" t="s">
        <v>13284</v>
      </c>
      <c r="Q1238" s="9" t="s">
        <v>13284</v>
      </c>
      <c r="R1238" s="9" t="s">
        <v>13284</v>
      </c>
      <c r="S1238" s="9" t="s">
        <v>13284</v>
      </c>
      <c r="T1238" s="9" t="str">
        <f ca="1">IFERROR(IF(AND(VLOOKUP(A1238, 'Актуальное состояние (из общего'!A:C,3,0) = "", A1238 &lt;&gt; ""), "ПРОВЕРИТЬ", VLOOKUP(A1238, 'Актуальное состояние (из общего'!A:C,3,0)), "")</f>
        <v>Студент</v>
      </c>
      <c r="U1238" s="9" t="s">
        <v>13284</v>
      </c>
      <c r="V1238" s="9" t="s">
        <v>13284</v>
      </c>
      <c r="W1238" s="12"/>
      <c r="X1238" s="9" t="str">
        <f t="array" ref="X1238">IFERROR(INDEX('Адреса общежитий (скрытый)'!$B$2:$B$9, MATCH(W1238, 'Адреса общежитий (скрытый)'!$A$2:$A$9, 0)), "")</f>
        <v/>
      </c>
      <c r="Y1238" s="18"/>
      <c r="Z1238" s="18"/>
      <c r="AA1238" s="18"/>
      <c r="AB1238" s="18"/>
      <c r="AC1238" s="18"/>
    </row>
    <row r="1239" spans="1:29" ht="32.25" hidden="1" customHeight="1">
      <c r="A1239" s="8">
        <v>2301867</v>
      </c>
      <c r="B1239" s="9" t="s">
        <v>13284</v>
      </c>
      <c r="C1239" s="9" t="s">
        <v>13284</v>
      </c>
      <c r="D1239" s="9" t="s">
        <v>13284</v>
      </c>
      <c r="E1239" s="9" t="s">
        <v>13284</v>
      </c>
      <c r="F1239" s="9" t="s">
        <v>13284</v>
      </c>
      <c r="G1239" s="9" t="s">
        <v>13284</v>
      </c>
      <c r="H1239" s="9" t="s">
        <v>13284</v>
      </c>
      <c r="I1239" s="9" t="s">
        <v>13284</v>
      </c>
      <c r="J1239" s="9" t="s">
        <v>13284</v>
      </c>
      <c r="K1239" s="9" t="s">
        <v>13284</v>
      </c>
      <c r="L1239" s="9" t="s">
        <v>13284</v>
      </c>
      <c r="M1239" s="9" t="s">
        <v>13284</v>
      </c>
      <c r="N1239" s="9" t="s">
        <v>13284</v>
      </c>
      <c r="O1239" s="9" t="s">
        <v>13284</v>
      </c>
      <c r="P1239" s="9" t="s">
        <v>13284</v>
      </c>
      <c r="Q1239" s="9" t="s">
        <v>13284</v>
      </c>
      <c r="R1239" s="9" t="s">
        <v>13284</v>
      </c>
      <c r="S1239" s="9" t="s">
        <v>13284</v>
      </c>
      <c r="T1239" s="9" t="str">
        <f ca="1">IFERROR(IF(AND(VLOOKUP(A1239, 'Актуальное состояние (из общего'!A:C,3,0) = "", A1239 &lt;&gt; ""), "ПРОВЕРИТЬ", VLOOKUP(A1239, 'Актуальное состояние (из общего'!A:C,3,0)), "")</f>
        <v>Студент</v>
      </c>
      <c r="U1239" s="9" t="s">
        <v>13284</v>
      </c>
      <c r="V1239" s="9" t="s">
        <v>13284</v>
      </c>
      <c r="W1239" s="12"/>
      <c r="X1239" s="9" t="str">
        <f t="array" ref="X1239">IFERROR(INDEX('Адреса общежитий (скрытый)'!$B$2:$B$9, MATCH(W1239, 'Адреса общежитий (скрытый)'!$A$2:$A$9, 0)), "")</f>
        <v/>
      </c>
      <c r="Y1239" s="18"/>
      <c r="Z1239" s="18"/>
      <c r="AA1239" s="18"/>
      <c r="AB1239" s="18"/>
      <c r="AC1239" s="18"/>
    </row>
    <row r="1240" spans="1:29" ht="32.25" hidden="1" customHeight="1">
      <c r="A1240" s="8">
        <v>2305490</v>
      </c>
      <c r="B1240" s="9" t="s">
        <v>13284</v>
      </c>
      <c r="C1240" s="9" t="s">
        <v>13284</v>
      </c>
      <c r="D1240" s="9" t="s">
        <v>13284</v>
      </c>
      <c r="E1240" s="9" t="s">
        <v>13284</v>
      </c>
      <c r="F1240" s="9" t="s">
        <v>13284</v>
      </c>
      <c r="G1240" s="9" t="s">
        <v>13284</v>
      </c>
      <c r="H1240" s="9" t="s">
        <v>13284</v>
      </c>
      <c r="I1240" s="9" t="s">
        <v>13284</v>
      </c>
      <c r="J1240" s="9" t="s">
        <v>13284</v>
      </c>
      <c r="K1240" s="9" t="s">
        <v>13284</v>
      </c>
      <c r="L1240" s="9" t="s">
        <v>13284</v>
      </c>
      <c r="M1240" s="9" t="s">
        <v>13284</v>
      </c>
      <c r="N1240" s="9" t="s">
        <v>13284</v>
      </c>
      <c r="O1240" s="9" t="s">
        <v>13284</v>
      </c>
      <c r="P1240" s="9" t="s">
        <v>13284</v>
      </c>
      <c r="Q1240" s="9" t="s">
        <v>13284</v>
      </c>
      <c r="R1240" s="9" t="s">
        <v>13284</v>
      </c>
      <c r="S1240" s="9" t="s">
        <v>13284</v>
      </c>
      <c r="T1240" s="9" t="str">
        <f ca="1">IFERROR(IF(AND(VLOOKUP(A1240, 'Актуальное состояние (из общего'!A:C,3,0) = "", A1240 &lt;&gt; ""), "ПРОВЕРИТЬ", VLOOKUP(A1240, 'Актуальное состояние (из общего'!A:C,3,0)), "")</f>
        <v>Студент</v>
      </c>
      <c r="U1240" s="9" t="s">
        <v>13284</v>
      </c>
      <c r="V1240" s="9" t="s">
        <v>13284</v>
      </c>
      <c r="W1240" s="12"/>
      <c r="X1240" s="9" t="str">
        <f t="array" ref="X1240">IFERROR(INDEX('Адреса общежитий (скрытый)'!$B$2:$B$9, MATCH(W1240, 'Адреса общежитий (скрытый)'!$A$2:$A$9, 0)), "")</f>
        <v/>
      </c>
      <c r="Y1240" s="18"/>
      <c r="Z1240" s="18"/>
      <c r="AA1240" s="18"/>
      <c r="AB1240" s="18"/>
      <c r="AC1240" s="18"/>
    </row>
    <row r="1241" spans="1:29" ht="32.25" customHeight="1">
      <c r="A1241" s="8">
        <v>2309796</v>
      </c>
      <c r="B1241" s="9" t="s">
        <v>13284</v>
      </c>
      <c r="C1241" s="9" t="s">
        <v>13284</v>
      </c>
      <c r="D1241" s="9" t="s">
        <v>13284</v>
      </c>
      <c r="E1241" s="9" t="s">
        <v>13284</v>
      </c>
      <c r="F1241" s="9" t="s">
        <v>13284</v>
      </c>
      <c r="G1241" s="9" t="s">
        <v>13284</v>
      </c>
      <c r="H1241" s="9" t="s">
        <v>13284</v>
      </c>
      <c r="I1241" s="9" t="s">
        <v>13284</v>
      </c>
      <c r="J1241" s="9" t="s">
        <v>13284</v>
      </c>
      <c r="K1241" s="9" t="s">
        <v>13284</v>
      </c>
      <c r="L1241" s="9" t="s">
        <v>13284</v>
      </c>
      <c r="M1241" s="9" t="s">
        <v>13284</v>
      </c>
      <c r="N1241" s="9" t="s">
        <v>13284</v>
      </c>
      <c r="O1241" s="9" t="s">
        <v>13284</v>
      </c>
      <c r="P1241" s="9" t="s">
        <v>13284</v>
      </c>
      <c r="Q1241" s="9" t="s">
        <v>13284</v>
      </c>
      <c r="R1241" s="9" t="s">
        <v>13284</v>
      </c>
      <c r="S1241" s="9" t="s">
        <v>13284</v>
      </c>
      <c r="T1241" s="9" t="str">
        <f ca="1">IFERROR(IF(AND(VLOOKUP(A1241, 'Актуальное состояние (из общего'!A:C,3,0) = "", A1241 &lt;&gt; ""), "ПРОВЕРИТЬ", VLOOKUP(A1241, 'Актуальное состояние (из общего'!A:C,3,0)), "")</f>
        <v>Студент</v>
      </c>
      <c r="U1241" s="9" t="s">
        <v>13284</v>
      </c>
      <c r="V1241" s="9" t="s">
        <v>13284</v>
      </c>
      <c r="W1241" s="9" t="s">
        <v>319</v>
      </c>
      <c r="X1241" s="9" t="str">
        <f t="array" ref="X1241">IFERROR(INDEX('Адреса общежитий (скрытый)'!$B$2:$B$9, MATCH(W1241, 'Адреса общежитий (скрытый)'!$A$2:$A$9, 0)), "")</f>
        <v>ул. Профсоюзная, д.83, корп. 2</v>
      </c>
      <c r="Y1241" s="18"/>
      <c r="Z1241" s="18"/>
      <c r="AA1241" s="18"/>
      <c r="AB1241" s="18"/>
      <c r="AC1241" s="18"/>
    </row>
    <row r="1242" spans="1:29" ht="32.25" customHeight="1">
      <c r="A1242" s="8">
        <v>2306312</v>
      </c>
      <c r="B1242" s="9" t="s">
        <v>13284</v>
      </c>
      <c r="C1242" s="9" t="s">
        <v>13284</v>
      </c>
      <c r="D1242" s="9" t="s">
        <v>13284</v>
      </c>
      <c r="E1242" s="9" t="s">
        <v>13284</v>
      </c>
      <c r="F1242" s="9" t="s">
        <v>13284</v>
      </c>
      <c r="G1242" s="9" t="s">
        <v>13284</v>
      </c>
      <c r="H1242" s="9" t="s">
        <v>13284</v>
      </c>
      <c r="I1242" s="9" t="s">
        <v>13284</v>
      </c>
      <c r="J1242" s="9" t="s">
        <v>13284</v>
      </c>
      <c r="K1242" s="9" t="s">
        <v>13284</v>
      </c>
      <c r="L1242" s="9" t="s">
        <v>13284</v>
      </c>
      <c r="M1242" s="9" t="s">
        <v>13284</v>
      </c>
      <c r="N1242" s="9" t="s">
        <v>13284</v>
      </c>
      <c r="O1242" s="9" t="s">
        <v>13284</v>
      </c>
      <c r="P1242" s="9" t="s">
        <v>13284</v>
      </c>
      <c r="Q1242" s="9" t="s">
        <v>13284</v>
      </c>
      <c r="R1242" s="9" t="s">
        <v>13284</v>
      </c>
      <c r="S1242" s="9" t="s">
        <v>13284</v>
      </c>
      <c r="T1242" s="9" t="str">
        <f ca="1">IFERROR(IF(AND(VLOOKUP(A1242, 'Актуальное состояние (из общего'!A:C,3,0) = "", A1242 &lt;&gt; ""), "ПРОВЕРИТЬ", VLOOKUP(A1242, 'Актуальное состояние (из общего'!A:C,3,0)), "")</f>
        <v>Студент</v>
      </c>
      <c r="U1242" s="9" t="s">
        <v>13284</v>
      </c>
      <c r="V1242" s="9" t="s">
        <v>13284</v>
      </c>
      <c r="W1242" s="9" t="s">
        <v>319</v>
      </c>
      <c r="X1242" s="9" t="str">
        <f t="array" ref="X1242">IFERROR(INDEX('Адреса общежитий (скрытый)'!$B$2:$B$9, MATCH(W1242, 'Адреса общежитий (скрытый)'!$A$2:$A$9, 0)), "")</f>
        <v>ул. Профсоюзная, д.83, корп. 2</v>
      </c>
      <c r="Y1242" s="18"/>
      <c r="Z1242" s="18"/>
      <c r="AA1242" s="18"/>
      <c r="AB1242" s="18"/>
      <c r="AC1242" s="18"/>
    </row>
    <row r="1243" spans="1:29" ht="32.25" hidden="1" customHeight="1">
      <c r="A1243" s="8">
        <v>2309382</v>
      </c>
      <c r="B1243" s="9" t="s">
        <v>13284</v>
      </c>
      <c r="C1243" s="9" t="s">
        <v>13284</v>
      </c>
      <c r="D1243" s="9" t="s">
        <v>13284</v>
      </c>
      <c r="E1243" s="9" t="s">
        <v>13284</v>
      </c>
      <c r="F1243" s="9" t="s">
        <v>13284</v>
      </c>
      <c r="G1243" s="9" t="s">
        <v>13284</v>
      </c>
      <c r="H1243" s="9" t="s">
        <v>13284</v>
      </c>
      <c r="I1243" s="9" t="s">
        <v>13284</v>
      </c>
      <c r="J1243" s="9" t="s">
        <v>13284</v>
      </c>
      <c r="K1243" s="9" t="s">
        <v>13284</v>
      </c>
      <c r="L1243" s="9" t="s">
        <v>13284</v>
      </c>
      <c r="M1243" s="9" t="s">
        <v>13284</v>
      </c>
      <c r="N1243" s="9" t="s">
        <v>13284</v>
      </c>
      <c r="O1243" s="9" t="s">
        <v>13284</v>
      </c>
      <c r="P1243" s="9" t="s">
        <v>13284</v>
      </c>
      <c r="Q1243" s="9" t="s">
        <v>13284</v>
      </c>
      <c r="R1243" s="9" t="s">
        <v>13284</v>
      </c>
      <c r="S1243" s="9" t="s">
        <v>13284</v>
      </c>
      <c r="T1243" s="9" t="str">
        <f ca="1">IFERROR(IF(AND(VLOOKUP(A1243, 'Актуальное состояние (из общего'!A:C,3,0) = "", A1243 &lt;&gt; ""), "ПРОВЕРИТЬ", VLOOKUP(A1243, 'Актуальное состояние (из общего'!A:C,3,0)), "")</f>
        <v>Студент</v>
      </c>
      <c r="U1243" s="9" t="s">
        <v>13284</v>
      </c>
      <c r="V1243" s="9" t="s">
        <v>13284</v>
      </c>
      <c r="W1243" s="12"/>
      <c r="X1243" s="9" t="str">
        <f t="array" ref="X1243">IFERROR(INDEX('Адреса общежитий (скрытый)'!$B$2:$B$9, MATCH(W1243, 'Адреса общежитий (скрытый)'!$A$2:$A$9, 0)), "")</f>
        <v/>
      </c>
      <c r="Y1243" s="18"/>
      <c r="Z1243" s="18"/>
      <c r="AA1243" s="18"/>
      <c r="AB1243" s="18"/>
      <c r="AC1243" s="18"/>
    </row>
    <row r="1244" spans="1:29" ht="32.25" customHeight="1">
      <c r="A1244" s="8">
        <v>2309945</v>
      </c>
      <c r="B1244" s="9" t="s">
        <v>13284</v>
      </c>
      <c r="C1244" s="9" t="s">
        <v>13284</v>
      </c>
      <c r="D1244" s="9" t="s">
        <v>13284</v>
      </c>
      <c r="E1244" s="9" t="s">
        <v>13284</v>
      </c>
      <c r="F1244" s="9" t="s">
        <v>13284</v>
      </c>
      <c r="G1244" s="9" t="s">
        <v>13284</v>
      </c>
      <c r="H1244" s="9" t="s">
        <v>13284</v>
      </c>
      <c r="I1244" s="9" t="s">
        <v>13284</v>
      </c>
      <c r="J1244" s="9" t="s">
        <v>13284</v>
      </c>
      <c r="K1244" s="9" t="s">
        <v>13284</v>
      </c>
      <c r="L1244" s="9" t="s">
        <v>13284</v>
      </c>
      <c r="M1244" s="9" t="s">
        <v>13284</v>
      </c>
      <c r="N1244" s="9" t="s">
        <v>13284</v>
      </c>
      <c r="O1244" s="9" t="s">
        <v>13284</v>
      </c>
      <c r="P1244" s="9" t="s">
        <v>13284</v>
      </c>
      <c r="Q1244" s="9" t="s">
        <v>13284</v>
      </c>
      <c r="R1244" s="9" t="s">
        <v>13284</v>
      </c>
      <c r="S1244" s="9" t="s">
        <v>13284</v>
      </c>
      <c r="T1244" s="9" t="str">
        <f ca="1">IFERROR(IF(AND(VLOOKUP(A1244, 'Актуальное состояние (из общего'!A:C,3,0) = "", A1244 &lt;&gt; ""), "ПРОВЕРИТЬ", VLOOKUP(A1244, 'Актуальное состояние (из общего'!A:C,3,0)), "")</f>
        <v>Студент</v>
      </c>
      <c r="U1244" s="9" t="s">
        <v>13284</v>
      </c>
      <c r="V1244" s="9" t="s">
        <v>13284</v>
      </c>
      <c r="W1244" s="12"/>
      <c r="X1244" s="9" t="str">
        <f t="array" ref="X1244">IFERROR(INDEX('Адреса общежитий (скрытый)'!$B$2:$B$9, MATCH(W1244, 'Адреса общежитий (скрытый)'!$A$2:$A$9, 0)), "")</f>
        <v/>
      </c>
      <c r="Y1244" s="18"/>
      <c r="Z1244" s="18"/>
      <c r="AA1244" s="18"/>
      <c r="AB1244" s="18"/>
      <c r="AC1244" s="18"/>
    </row>
    <row r="1245" spans="1:29" ht="32.25" customHeight="1">
      <c r="A1245" s="8">
        <v>2313933</v>
      </c>
      <c r="B1245" s="9" t="s">
        <v>13284</v>
      </c>
      <c r="C1245" s="9" t="s">
        <v>13284</v>
      </c>
      <c r="D1245" s="9" t="s">
        <v>13284</v>
      </c>
      <c r="E1245" s="9" t="s">
        <v>13284</v>
      </c>
      <c r="F1245" s="9" t="s">
        <v>13284</v>
      </c>
      <c r="G1245" s="9" t="s">
        <v>13284</v>
      </c>
      <c r="H1245" s="9" t="s">
        <v>13284</v>
      </c>
      <c r="I1245" s="9" t="s">
        <v>13284</v>
      </c>
      <c r="J1245" s="9" t="s">
        <v>13284</v>
      </c>
      <c r="K1245" s="9" t="s">
        <v>13284</v>
      </c>
      <c r="L1245" s="9" t="s">
        <v>13284</v>
      </c>
      <c r="M1245" s="9" t="s">
        <v>13284</v>
      </c>
      <c r="N1245" s="9" t="s">
        <v>13284</v>
      </c>
      <c r="O1245" s="9" t="s">
        <v>13284</v>
      </c>
      <c r="P1245" s="9" t="s">
        <v>13284</v>
      </c>
      <c r="Q1245" s="9" t="s">
        <v>13284</v>
      </c>
      <c r="R1245" s="9" t="s">
        <v>13284</v>
      </c>
      <c r="S1245" s="9" t="s">
        <v>13284</v>
      </c>
      <c r="T1245" s="9" t="str">
        <f ca="1">IFERROR(IF(AND(VLOOKUP(A1245, 'Актуальное состояние (из общего'!A:C,3,0) = "", A1245 &lt;&gt; ""), "ПРОВЕРИТЬ", VLOOKUP(A1245, 'Актуальное состояние (из общего'!A:C,3,0)), "")</f>
        <v>Студент</v>
      </c>
      <c r="U1245" s="9" t="s">
        <v>13284</v>
      </c>
      <c r="V1245" s="9" t="s">
        <v>13284</v>
      </c>
      <c r="W1245" s="12"/>
      <c r="X1245" s="9" t="str">
        <f t="array" ref="X1245">IFERROR(INDEX('Адреса общежитий (скрытый)'!$B$2:$B$9, MATCH(W1245, 'Адреса общежитий (скрытый)'!$A$2:$A$9, 0)), "")</f>
        <v/>
      </c>
      <c r="Y1245" s="18"/>
      <c r="Z1245" s="18"/>
      <c r="AA1245" s="18"/>
      <c r="AB1245" s="18"/>
      <c r="AC1245" s="18"/>
    </row>
    <row r="1246" spans="1:29" ht="32.25" customHeight="1">
      <c r="A1246" s="8">
        <v>2305989</v>
      </c>
      <c r="B1246" s="9" t="s">
        <v>13284</v>
      </c>
      <c r="C1246" s="9" t="s">
        <v>13284</v>
      </c>
      <c r="D1246" s="9" t="s">
        <v>13284</v>
      </c>
      <c r="E1246" s="9" t="s">
        <v>13284</v>
      </c>
      <c r="F1246" s="9" t="s">
        <v>13284</v>
      </c>
      <c r="G1246" s="9" t="s">
        <v>13284</v>
      </c>
      <c r="H1246" s="9" t="s">
        <v>13284</v>
      </c>
      <c r="I1246" s="9" t="s">
        <v>13284</v>
      </c>
      <c r="J1246" s="9" t="s">
        <v>13284</v>
      </c>
      <c r="K1246" s="9" t="s">
        <v>13284</v>
      </c>
      <c r="L1246" s="9" t="s">
        <v>13284</v>
      </c>
      <c r="M1246" s="9" t="s">
        <v>13284</v>
      </c>
      <c r="N1246" s="9" t="s">
        <v>13284</v>
      </c>
      <c r="O1246" s="9" t="s">
        <v>13284</v>
      </c>
      <c r="P1246" s="9" t="s">
        <v>13284</v>
      </c>
      <c r="Q1246" s="9" t="s">
        <v>13284</v>
      </c>
      <c r="R1246" s="9" t="s">
        <v>13284</v>
      </c>
      <c r="S1246" s="9" t="s">
        <v>13284</v>
      </c>
      <c r="T1246" s="9" t="str">
        <f ca="1">IFERROR(IF(AND(VLOOKUP(A1246, 'Актуальное состояние (из общего'!A:C,3,0) = "", A1246 &lt;&gt; ""), "ПРОВЕРИТЬ", VLOOKUP(A1246, 'Актуальное состояние (из общего'!A:C,3,0)), "")</f>
        <v>Студент</v>
      </c>
      <c r="U1246" s="9" t="s">
        <v>13284</v>
      </c>
      <c r="V1246" s="9" t="s">
        <v>13284</v>
      </c>
      <c r="W1246" s="12"/>
      <c r="X1246" s="9" t="s">
        <v>1526</v>
      </c>
      <c r="Y1246" s="18"/>
      <c r="Z1246" s="18"/>
      <c r="AA1246" s="18"/>
      <c r="AB1246" s="18"/>
      <c r="AC1246" s="18"/>
    </row>
    <row r="1247" spans="1:29" ht="32.25" hidden="1" customHeight="1">
      <c r="A1247" s="8">
        <v>2308569</v>
      </c>
      <c r="B1247" s="9" t="s">
        <v>13284</v>
      </c>
      <c r="C1247" s="9" t="s">
        <v>13284</v>
      </c>
      <c r="D1247" s="9" t="s">
        <v>13284</v>
      </c>
      <c r="E1247" s="9" t="s">
        <v>13284</v>
      </c>
      <c r="F1247" s="9" t="s">
        <v>13284</v>
      </c>
      <c r="G1247" s="9" t="s">
        <v>13284</v>
      </c>
      <c r="H1247" s="9" t="s">
        <v>13284</v>
      </c>
      <c r="I1247" s="9" t="s">
        <v>13284</v>
      </c>
      <c r="J1247" s="9" t="s">
        <v>13284</v>
      </c>
      <c r="K1247" s="9" t="s">
        <v>13284</v>
      </c>
      <c r="L1247" s="9" t="s">
        <v>13284</v>
      </c>
      <c r="M1247" s="9" t="s">
        <v>13284</v>
      </c>
      <c r="N1247" s="9" t="s">
        <v>13284</v>
      </c>
      <c r="O1247" s="9" t="s">
        <v>13284</v>
      </c>
      <c r="P1247" s="9" t="s">
        <v>13284</v>
      </c>
      <c r="Q1247" s="9" t="s">
        <v>13284</v>
      </c>
      <c r="R1247" s="9" t="s">
        <v>13284</v>
      </c>
      <c r="S1247" s="9" t="s">
        <v>13284</v>
      </c>
      <c r="T1247" s="9" t="str">
        <f ca="1">IFERROR(IF(AND(VLOOKUP(A1247, 'Актуальное состояние (из общего'!A:C,3,0) = "", A1247 &lt;&gt; ""), "ПРОВЕРИТЬ", VLOOKUP(A1247, 'Актуальное состояние (из общего'!A:C,3,0)), "")</f>
        <v>Студент</v>
      </c>
      <c r="U1247" s="9" t="s">
        <v>13284</v>
      </c>
      <c r="V1247" s="9" t="s">
        <v>13284</v>
      </c>
      <c r="W1247" s="12"/>
      <c r="X1247" s="9" t="str">
        <f t="array" ref="X1247">IFERROR(INDEX('Адреса общежитий (скрытый)'!$B$2:$B$9, MATCH(W1247, 'Адреса общежитий (скрытый)'!$A$2:$A$9, 0)), "")</f>
        <v/>
      </c>
      <c r="Y1247" s="18"/>
      <c r="Z1247" s="18"/>
      <c r="AA1247" s="18"/>
      <c r="AB1247" s="18"/>
      <c r="AC1247" s="18"/>
    </row>
    <row r="1248" spans="1:29" ht="32.25" hidden="1" customHeight="1">
      <c r="A1248" s="8">
        <v>2309331</v>
      </c>
      <c r="B1248" s="9" t="s">
        <v>13284</v>
      </c>
      <c r="C1248" s="9" t="s">
        <v>13284</v>
      </c>
      <c r="D1248" s="9" t="s">
        <v>13284</v>
      </c>
      <c r="E1248" s="9" t="s">
        <v>13284</v>
      </c>
      <c r="F1248" s="9" t="s">
        <v>13284</v>
      </c>
      <c r="G1248" s="9" t="s">
        <v>13284</v>
      </c>
      <c r="H1248" s="9" t="s">
        <v>13284</v>
      </c>
      <c r="I1248" s="9" t="s">
        <v>13284</v>
      </c>
      <c r="J1248" s="9" t="s">
        <v>13284</v>
      </c>
      <c r="K1248" s="9" t="s">
        <v>13284</v>
      </c>
      <c r="L1248" s="9" t="s">
        <v>13284</v>
      </c>
      <c r="M1248" s="9" t="s">
        <v>13284</v>
      </c>
      <c r="N1248" s="9" t="s">
        <v>13284</v>
      </c>
      <c r="O1248" s="9" t="s">
        <v>13284</v>
      </c>
      <c r="P1248" s="9" t="s">
        <v>13284</v>
      </c>
      <c r="Q1248" s="9" t="s">
        <v>13284</v>
      </c>
      <c r="R1248" s="9" t="s">
        <v>13284</v>
      </c>
      <c r="S1248" s="9" t="s">
        <v>13284</v>
      </c>
      <c r="T1248" s="9" t="str">
        <f ca="1">IFERROR(IF(AND(VLOOKUP(A1248, 'Актуальное состояние (из общего'!A:C,3,0) = "", A1248 &lt;&gt; ""), "ПРОВЕРИТЬ", VLOOKUP(A1248, 'Актуальное состояние (из общего'!A:C,3,0)), "")</f>
        <v>Студент</v>
      </c>
      <c r="U1248" s="9" t="s">
        <v>13284</v>
      </c>
      <c r="V1248" s="9" t="s">
        <v>13284</v>
      </c>
      <c r="W1248" s="12"/>
      <c r="X1248" s="9" t="str">
        <f t="array" ref="X1248">IFERROR(INDEX('Адреса общежитий (скрытый)'!$B$2:$B$9, MATCH(W1248, 'Адреса общежитий (скрытый)'!$A$2:$A$9, 0)), "")</f>
        <v/>
      </c>
      <c r="Y1248" s="18"/>
      <c r="Z1248" s="18"/>
      <c r="AA1248" s="18"/>
      <c r="AB1248" s="18"/>
      <c r="AC1248" s="18"/>
    </row>
    <row r="1249" spans="1:29" ht="32.25" customHeight="1">
      <c r="A1249" s="8">
        <v>2307913</v>
      </c>
      <c r="B1249" s="9" t="s">
        <v>13284</v>
      </c>
      <c r="C1249" s="9" t="s">
        <v>13284</v>
      </c>
      <c r="D1249" s="9" t="s">
        <v>13284</v>
      </c>
      <c r="E1249" s="9" t="s">
        <v>13284</v>
      </c>
      <c r="F1249" s="9" t="s">
        <v>13284</v>
      </c>
      <c r="G1249" s="9" t="s">
        <v>13284</v>
      </c>
      <c r="H1249" s="9" t="s">
        <v>13284</v>
      </c>
      <c r="I1249" s="9" t="s">
        <v>13284</v>
      </c>
      <c r="J1249" s="9" t="s">
        <v>13284</v>
      </c>
      <c r="K1249" s="9" t="s">
        <v>13284</v>
      </c>
      <c r="L1249" s="9" t="s">
        <v>13284</v>
      </c>
      <c r="M1249" s="9" t="s">
        <v>13284</v>
      </c>
      <c r="N1249" s="9" t="s">
        <v>13284</v>
      </c>
      <c r="O1249" s="9" t="s">
        <v>13284</v>
      </c>
      <c r="P1249" s="9" t="s">
        <v>13284</v>
      </c>
      <c r="Q1249" s="9" t="s">
        <v>13284</v>
      </c>
      <c r="R1249" s="9" t="s">
        <v>13284</v>
      </c>
      <c r="S1249" s="9" t="s">
        <v>13284</v>
      </c>
      <c r="T1249" s="9" t="str">
        <f ca="1">IFERROR(IF(AND(VLOOKUP(A1249, 'Актуальное состояние (из общего'!A:C,3,0) = "", A1249 &lt;&gt; ""), "ПРОВЕРИТЬ", VLOOKUP(A1249, 'Актуальное состояние (из общего'!A:C,3,0)), "")</f>
        <v>Студент</v>
      </c>
      <c r="U1249" s="9" t="s">
        <v>13284</v>
      </c>
      <c r="V1249" s="9" t="s">
        <v>13284</v>
      </c>
      <c r="W1249" s="12"/>
      <c r="X1249" s="9" t="str">
        <f t="array" ref="X1249">IFERROR(INDEX('Адреса общежитий (скрытый)'!$B$2:$B$9, MATCH(W1249, 'Адреса общежитий (скрытый)'!$A$2:$A$9, 0)), "")</f>
        <v/>
      </c>
      <c r="Y1249" s="18"/>
      <c r="Z1249" s="18"/>
      <c r="AA1249" s="18"/>
      <c r="AB1249" s="18"/>
      <c r="AC1249" s="18"/>
    </row>
    <row r="1250" spans="1:29" ht="32.25" hidden="1" customHeight="1">
      <c r="A1250" s="8">
        <v>2301183</v>
      </c>
      <c r="B1250" s="9" t="s">
        <v>13284</v>
      </c>
      <c r="C1250" s="9" t="s">
        <v>13284</v>
      </c>
      <c r="D1250" s="9" t="s">
        <v>13284</v>
      </c>
      <c r="E1250" s="9" t="s">
        <v>13284</v>
      </c>
      <c r="F1250" s="9" t="s">
        <v>13284</v>
      </c>
      <c r="G1250" s="9" t="s">
        <v>13284</v>
      </c>
      <c r="H1250" s="9" t="s">
        <v>13284</v>
      </c>
      <c r="I1250" s="9" t="s">
        <v>13284</v>
      </c>
      <c r="J1250" s="9" t="s">
        <v>13284</v>
      </c>
      <c r="K1250" s="9" t="s">
        <v>13284</v>
      </c>
      <c r="L1250" s="9" t="s">
        <v>13284</v>
      </c>
      <c r="M1250" s="9" t="s">
        <v>13284</v>
      </c>
      <c r="N1250" s="9" t="s">
        <v>13284</v>
      </c>
      <c r="O1250" s="9" t="s">
        <v>13284</v>
      </c>
      <c r="P1250" s="9" t="s">
        <v>13284</v>
      </c>
      <c r="Q1250" s="9" t="s">
        <v>13284</v>
      </c>
      <c r="R1250" s="9" t="s">
        <v>13284</v>
      </c>
      <c r="S1250" s="9" t="s">
        <v>13284</v>
      </c>
      <c r="T1250" s="9" t="str">
        <f ca="1">IFERROR(IF(AND(VLOOKUP(A1250, 'Актуальное состояние (из общего'!A:C,3,0) = "", A1250 &lt;&gt; ""), "ПРОВЕРИТЬ", VLOOKUP(A1250, 'Актуальное состояние (из общего'!A:C,3,0)), "")</f>
        <v>Студент</v>
      </c>
      <c r="U1250" s="9" t="s">
        <v>13284</v>
      </c>
      <c r="V1250" s="9" t="s">
        <v>13284</v>
      </c>
      <c r="W1250" s="12"/>
      <c r="X1250" s="9" t="str">
        <f t="array" ref="X1250">IFERROR(INDEX('Адреса общежитий (скрытый)'!$B$2:$B$9, MATCH(W1250, 'Адреса общежитий (скрытый)'!$A$2:$A$9, 0)), "")</f>
        <v/>
      </c>
      <c r="Y1250" s="18"/>
      <c r="Z1250" s="18"/>
      <c r="AA1250" s="18"/>
      <c r="AB1250" s="18"/>
      <c r="AC1250" s="18"/>
    </row>
    <row r="1251" spans="1:29" ht="32.25" customHeight="1">
      <c r="A1251" s="8">
        <v>2313089</v>
      </c>
      <c r="B1251" s="9" t="s">
        <v>13284</v>
      </c>
      <c r="C1251" s="9" t="s">
        <v>13284</v>
      </c>
      <c r="D1251" s="9" t="s">
        <v>13284</v>
      </c>
      <c r="E1251" s="9" t="s">
        <v>13284</v>
      </c>
      <c r="F1251" s="9" t="s">
        <v>13284</v>
      </c>
      <c r="G1251" s="9" t="s">
        <v>13284</v>
      </c>
      <c r="H1251" s="9" t="s">
        <v>13284</v>
      </c>
      <c r="I1251" s="9" t="s">
        <v>13284</v>
      </c>
      <c r="J1251" s="9" t="s">
        <v>13284</v>
      </c>
      <c r="K1251" s="9" t="s">
        <v>13284</v>
      </c>
      <c r="L1251" s="9" t="s">
        <v>13284</v>
      </c>
      <c r="M1251" s="9" t="s">
        <v>13284</v>
      </c>
      <c r="N1251" s="9" t="s">
        <v>13284</v>
      </c>
      <c r="O1251" s="9" t="s">
        <v>13284</v>
      </c>
      <c r="P1251" s="9" t="s">
        <v>13284</v>
      </c>
      <c r="Q1251" s="9" t="s">
        <v>13284</v>
      </c>
      <c r="R1251" s="9" t="s">
        <v>13284</v>
      </c>
      <c r="S1251" s="9" t="s">
        <v>13284</v>
      </c>
      <c r="T1251" s="9" t="str">
        <f ca="1">IFERROR(IF(AND(VLOOKUP(A1251, 'Актуальное состояние (из общего'!A:C,3,0) = "", A1251 &lt;&gt; ""), "ПРОВЕРИТЬ", VLOOKUP(A1251, 'Актуальное состояние (из общего'!A:C,3,0)), "")</f>
        <v>Студент</v>
      </c>
      <c r="U1251" s="9" t="s">
        <v>13284</v>
      </c>
      <c r="V1251" s="9" t="s">
        <v>13284</v>
      </c>
      <c r="W1251" s="12"/>
      <c r="X1251" s="9" t="str">
        <f t="array" ref="X1251">IFERROR(INDEX('Адреса общежитий (скрытый)'!$B$2:$B$9, MATCH(W1251, 'Адреса общежитий (скрытый)'!$A$2:$A$9, 0)), "")</f>
        <v/>
      </c>
      <c r="Y1251" s="18"/>
      <c r="Z1251" s="18"/>
      <c r="AA1251" s="18"/>
      <c r="AB1251" s="18"/>
      <c r="AC1251" s="18"/>
    </row>
    <row r="1252" spans="1:29" ht="32.25" hidden="1" customHeight="1">
      <c r="A1252" s="8">
        <v>2302611</v>
      </c>
      <c r="B1252" s="9" t="s">
        <v>13284</v>
      </c>
      <c r="C1252" s="9" t="s">
        <v>13284</v>
      </c>
      <c r="D1252" s="9" t="s">
        <v>13284</v>
      </c>
      <c r="E1252" s="9" t="s">
        <v>13284</v>
      </c>
      <c r="F1252" s="9" t="s">
        <v>13284</v>
      </c>
      <c r="G1252" s="9" t="s">
        <v>13284</v>
      </c>
      <c r="H1252" s="9" t="s">
        <v>13284</v>
      </c>
      <c r="I1252" s="9" t="s">
        <v>13284</v>
      </c>
      <c r="J1252" s="9" t="s">
        <v>13284</v>
      </c>
      <c r="K1252" s="9" t="s">
        <v>13284</v>
      </c>
      <c r="L1252" s="9" t="s">
        <v>13284</v>
      </c>
      <c r="M1252" s="9" t="s">
        <v>13284</v>
      </c>
      <c r="N1252" s="9" t="s">
        <v>13284</v>
      </c>
      <c r="O1252" s="9" t="s">
        <v>13284</v>
      </c>
      <c r="P1252" s="9" t="s">
        <v>13284</v>
      </c>
      <c r="Q1252" s="9" t="s">
        <v>13284</v>
      </c>
      <c r="R1252" s="9" t="s">
        <v>13284</v>
      </c>
      <c r="S1252" s="9" t="s">
        <v>13284</v>
      </c>
      <c r="T1252" s="9" t="str">
        <f ca="1">IFERROR(IF(AND(VLOOKUP(A1252, 'Актуальное состояние (из общего'!A:C,3,0) = "", A1252 &lt;&gt; ""), "ПРОВЕРИТЬ", VLOOKUP(A1252, 'Актуальное состояние (из общего'!A:C,3,0)), "")</f>
        <v>Студент</v>
      </c>
      <c r="U1252" s="9" t="s">
        <v>13284</v>
      </c>
      <c r="V1252" s="9" t="s">
        <v>13284</v>
      </c>
      <c r="W1252" s="12"/>
      <c r="X1252" s="9" t="str">
        <f t="array" ref="X1252">IFERROR(INDEX('Адреса общежитий (скрытый)'!$B$2:$B$9, MATCH(W1252, 'Адреса общежитий (скрытый)'!$A$2:$A$9, 0)), "")</f>
        <v/>
      </c>
      <c r="Y1252" s="18"/>
      <c r="Z1252" s="18"/>
      <c r="AA1252" s="18"/>
      <c r="AB1252" s="18"/>
      <c r="AC1252" s="18"/>
    </row>
    <row r="1253" spans="1:29" ht="32.25" hidden="1" customHeight="1">
      <c r="A1253" s="8">
        <v>2303101</v>
      </c>
      <c r="B1253" s="9" t="s">
        <v>13284</v>
      </c>
      <c r="C1253" s="9" t="s">
        <v>13284</v>
      </c>
      <c r="D1253" s="9" t="s">
        <v>13284</v>
      </c>
      <c r="E1253" s="9" t="s">
        <v>13284</v>
      </c>
      <c r="F1253" s="9" t="s">
        <v>13284</v>
      </c>
      <c r="G1253" s="9" t="s">
        <v>13284</v>
      </c>
      <c r="H1253" s="9" t="s">
        <v>13284</v>
      </c>
      <c r="I1253" s="9" t="s">
        <v>13284</v>
      </c>
      <c r="J1253" s="9" t="s">
        <v>13284</v>
      </c>
      <c r="K1253" s="9" t="s">
        <v>13284</v>
      </c>
      <c r="L1253" s="9" t="s">
        <v>13284</v>
      </c>
      <c r="M1253" s="9" t="s">
        <v>13284</v>
      </c>
      <c r="N1253" s="9" t="s">
        <v>13284</v>
      </c>
      <c r="O1253" s="9" t="s">
        <v>13284</v>
      </c>
      <c r="P1253" s="9" t="s">
        <v>13284</v>
      </c>
      <c r="Q1253" s="9" t="s">
        <v>13284</v>
      </c>
      <c r="R1253" s="9" t="s">
        <v>13284</v>
      </c>
      <c r="S1253" s="9" t="s">
        <v>13284</v>
      </c>
      <c r="T1253" s="9" t="str">
        <f ca="1">IFERROR(IF(AND(VLOOKUP(A1253, 'Актуальное состояние (из общего'!A:C,3,0) = "", A1253 &lt;&gt; ""), "ПРОВЕРИТЬ", VLOOKUP(A1253, 'Актуальное состояние (из общего'!A:C,3,0)), "")</f>
        <v>Студент</v>
      </c>
      <c r="U1253" s="9" t="s">
        <v>13284</v>
      </c>
      <c r="V1253" s="9" t="s">
        <v>13284</v>
      </c>
      <c r="W1253" s="12"/>
      <c r="X1253" s="9" t="str">
        <f t="array" ref="X1253">IFERROR(INDEX('Адреса общежитий (скрытый)'!$B$2:$B$9, MATCH(W1253, 'Адреса общежитий (скрытый)'!$A$2:$A$9, 0)), "")</f>
        <v/>
      </c>
      <c r="Y1253" s="18"/>
      <c r="Z1253" s="18"/>
      <c r="AA1253" s="18"/>
      <c r="AB1253" s="18"/>
      <c r="AC1253" s="18"/>
    </row>
    <row r="1254" spans="1:29" ht="32.25" customHeight="1">
      <c r="A1254" s="8">
        <v>2308884</v>
      </c>
      <c r="B1254" s="9" t="s">
        <v>13284</v>
      </c>
      <c r="C1254" s="9" t="s">
        <v>13284</v>
      </c>
      <c r="D1254" s="9" t="s">
        <v>13284</v>
      </c>
      <c r="E1254" s="9" t="s">
        <v>13284</v>
      </c>
      <c r="F1254" s="9" t="s">
        <v>13284</v>
      </c>
      <c r="G1254" s="9" t="s">
        <v>13284</v>
      </c>
      <c r="H1254" s="9" t="s">
        <v>13284</v>
      </c>
      <c r="I1254" s="9" t="s">
        <v>13284</v>
      </c>
      <c r="J1254" s="9" t="s">
        <v>13284</v>
      </c>
      <c r="K1254" s="9" t="s">
        <v>13284</v>
      </c>
      <c r="L1254" s="9" t="s">
        <v>13284</v>
      </c>
      <c r="M1254" s="9" t="s">
        <v>13284</v>
      </c>
      <c r="N1254" s="9" t="s">
        <v>13284</v>
      </c>
      <c r="O1254" s="9" t="s">
        <v>13284</v>
      </c>
      <c r="P1254" s="9" t="s">
        <v>13284</v>
      </c>
      <c r="Q1254" s="9" t="s">
        <v>13284</v>
      </c>
      <c r="R1254" s="9" t="s">
        <v>13284</v>
      </c>
      <c r="S1254" s="9" t="s">
        <v>13284</v>
      </c>
      <c r="T1254" s="9" t="str">
        <f ca="1">IFERROR(IF(AND(VLOOKUP(A1254, 'Актуальное состояние (из общего'!A:C,3,0) = "", A1254 &lt;&gt; ""), "ПРОВЕРИТЬ", VLOOKUP(A1254, 'Актуальное состояние (из общего'!A:C,3,0)), "")</f>
        <v>Студент</v>
      </c>
      <c r="U1254" s="9" t="s">
        <v>13284</v>
      </c>
      <c r="V1254" s="9" t="s">
        <v>13284</v>
      </c>
      <c r="W1254" s="12"/>
      <c r="X1254" s="9" t="str">
        <f t="array" ref="X1254">IFERROR(INDEX('Адреса общежитий (скрытый)'!$B$2:$B$9, MATCH(W1254, 'Адреса общежитий (скрытый)'!$A$2:$A$9, 0)), "")</f>
        <v/>
      </c>
      <c r="Y1254" s="18"/>
      <c r="Z1254" s="18"/>
      <c r="AA1254" s="18"/>
      <c r="AB1254" s="18"/>
      <c r="AC1254" s="18"/>
    </row>
    <row r="1255" spans="1:29" ht="32.25" hidden="1" customHeight="1">
      <c r="A1255" s="8">
        <v>2306227</v>
      </c>
      <c r="B1255" s="9" t="s">
        <v>13284</v>
      </c>
      <c r="C1255" s="9" t="s">
        <v>13284</v>
      </c>
      <c r="D1255" s="9" t="s">
        <v>13284</v>
      </c>
      <c r="E1255" s="9" t="s">
        <v>13284</v>
      </c>
      <c r="F1255" s="9" t="s">
        <v>13284</v>
      </c>
      <c r="G1255" s="9" t="s">
        <v>13284</v>
      </c>
      <c r="H1255" s="9" t="s">
        <v>13284</v>
      </c>
      <c r="I1255" s="9" t="s">
        <v>13284</v>
      </c>
      <c r="J1255" s="9" t="s">
        <v>13284</v>
      </c>
      <c r="K1255" s="9" t="s">
        <v>13284</v>
      </c>
      <c r="L1255" s="9" t="s">
        <v>13284</v>
      </c>
      <c r="M1255" s="9" t="s">
        <v>13284</v>
      </c>
      <c r="N1255" s="9" t="s">
        <v>13284</v>
      </c>
      <c r="O1255" s="9" t="s">
        <v>13284</v>
      </c>
      <c r="P1255" s="9" t="s">
        <v>13284</v>
      </c>
      <c r="Q1255" s="9" t="s">
        <v>13284</v>
      </c>
      <c r="R1255" s="9" t="s">
        <v>13284</v>
      </c>
      <c r="S1255" s="9" t="s">
        <v>13284</v>
      </c>
      <c r="T1255" s="9" t="str">
        <f ca="1">IFERROR(IF(AND(VLOOKUP(A1255, 'Актуальное состояние (из общего'!A:C,3,0) = "", A1255 &lt;&gt; ""), "ПРОВЕРИТЬ", VLOOKUP(A1255, 'Актуальное состояние (из общего'!A:C,3,0)), "")</f>
        <v>Студент</v>
      </c>
      <c r="U1255" s="9" t="s">
        <v>13284</v>
      </c>
      <c r="V1255" s="9" t="s">
        <v>13284</v>
      </c>
      <c r="W1255" s="12"/>
      <c r="X1255" s="9" t="str">
        <f t="array" ref="X1255">IFERROR(INDEX('Адреса общежитий (скрытый)'!$B$2:$B$9, MATCH(W1255, 'Адреса общежитий (скрытый)'!$A$2:$A$9, 0)), "")</f>
        <v/>
      </c>
      <c r="Y1255" s="18"/>
      <c r="Z1255" s="18"/>
      <c r="AA1255" s="18"/>
      <c r="AB1255" s="18"/>
      <c r="AC1255" s="18"/>
    </row>
    <row r="1256" spans="1:29" ht="32.25" hidden="1" customHeight="1">
      <c r="A1256" s="8">
        <v>2307366</v>
      </c>
      <c r="B1256" s="9" t="s">
        <v>13284</v>
      </c>
      <c r="C1256" s="9" t="s">
        <v>13284</v>
      </c>
      <c r="D1256" s="9" t="s">
        <v>13284</v>
      </c>
      <c r="E1256" s="9" t="s">
        <v>13284</v>
      </c>
      <c r="F1256" s="9" t="s">
        <v>13284</v>
      </c>
      <c r="G1256" s="9" t="s">
        <v>13284</v>
      </c>
      <c r="H1256" s="9" t="s">
        <v>13284</v>
      </c>
      <c r="I1256" s="9" t="s">
        <v>13284</v>
      </c>
      <c r="J1256" s="9" t="s">
        <v>13284</v>
      </c>
      <c r="K1256" s="9" t="s">
        <v>13284</v>
      </c>
      <c r="L1256" s="9" t="s">
        <v>13284</v>
      </c>
      <c r="M1256" s="9" t="s">
        <v>13284</v>
      </c>
      <c r="N1256" s="9" t="s">
        <v>13284</v>
      </c>
      <c r="O1256" s="9" t="s">
        <v>13284</v>
      </c>
      <c r="P1256" s="9" t="s">
        <v>13284</v>
      </c>
      <c r="Q1256" s="9" t="s">
        <v>13284</v>
      </c>
      <c r="R1256" s="9" t="s">
        <v>13284</v>
      </c>
      <c r="S1256" s="9" t="s">
        <v>13284</v>
      </c>
      <c r="T1256" s="9" t="str">
        <f ca="1">IFERROR(IF(AND(VLOOKUP(A1256, 'Актуальное состояние (из общего'!A:C,3,0) = "", A1256 &lt;&gt; ""), "ПРОВЕРИТЬ", VLOOKUP(A1256, 'Актуальное состояние (из общего'!A:C,3,0)), "")</f>
        <v>Студент</v>
      </c>
      <c r="U1256" s="9" t="s">
        <v>13284</v>
      </c>
      <c r="V1256" s="9" t="s">
        <v>13284</v>
      </c>
      <c r="W1256" s="12"/>
      <c r="X1256" s="9" t="str">
        <f t="array" ref="X1256">IFERROR(INDEX('Адреса общежитий (скрытый)'!$B$2:$B$9, MATCH(W1256, 'Адреса общежитий (скрытый)'!$A$2:$A$9, 0)), "")</f>
        <v/>
      </c>
      <c r="Y1256" s="18"/>
      <c r="Z1256" s="18"/>
      <c r="AA1256" s="18"/>
      <c r="AB1256" s="18"/>
      <c r="AC1256" s="18"/>
    </row>
    <row r="1257" spans="1:29" ht="32.25" hidden="1" customHeight="1">
      <c r="A1257" s="8">
        <v>2303364</v>
      </c>
      <c r="B1257" s="9" t="s">
        <v>13284</v>
      </c>
      <c r="C1257" s="9" t="s">
        <v>13284</v>
      </c>
      <c r="D1257" s="9" t="s">
        <v>13284</v>
      </c>
      <c r="E1257" s="9" t="s">
        <v>13284</v>
      </c>
      <c r="F1257" s="9" t="s">
        <v>13284</v>
      </c>
      <c r="G1257" s="9" t="s">
        <v>13284</v>
      </c>
      <c r="H1257" s="9" t="s">
        <v>13284</v>
      </c>
      <c r="I1257" s="9" t="s">
        <v>13284</v>
      </c>
      <c r="J1257" s="9" t="s">
        <v>13284</v>
      </c>
      <c r="K1257" s="9" t="s">
        <v>13284</v>
      </c>
      <c r="L1257" s="9" t="s">
        <v>13284</v>
      </c>
      <c r="M1257" s="9" t="s">
        <v>13284</v>
      </c>
      <c r="N1257" s="9" t="s">
        <v>13284</v>
      </c>
      <c r="O1257" s="9" t="s">
        <v>13284</v>
      </c>
      <c r="P1257" s="9" t="s">
        <v>13284</v>
      </c>
      <c r="Q1257" s="9" t="s">
        <v>13284</v>
      </c>
      <c r="R1257" s="9" t="s">
        <v>13284</v>
      </c>
      <c r="S1257" s="9" t="s">
        <v>13284</v>
      </c>
      <c r="T1257" s="9" t="str">
        <f ca="1">IFERROR(IF(AND(VLOOKUP(A1257, 'Актуальное состояние (из общего'!A:C,3,0) = "", A1257 &lt;&gt; ""), "ПРОВЕРИТЬ", VLOOKUP(A1257, 'Актуальное состояние (из общего'!A:C,3,0)), "")</f>
        <v>Студент</v>
      </c>
      <c r="U1257" s="9" t="s">
        <v>13284</v>
      </c>
      <c r="V1257" s="9" t="s">
        <v>13284</v>
      </c>
      <c r="W1257" s="12"/>
      <c r="X1257" s="9" t="str">
        <f t="array" ref="X1257">IFERROR(INDEX('Адреса общежитий (скрытый)'!$B$2:$B$9, MATCH(W1257, 'Адреса общежитий (скрытый)'!$A$2:$A$9, 0)), "")</f>
        <v/>
      </c>
      <c r="Y1257" s="18"/>
      <c r="Z1257" s="18"/>
      <c r="AA1257" s="18"/>
      <c r="AB1257" s="18"/>
      <c r="AC1257" s="18"/>
    </row>
    <row r="1258" spans="1:29" ht="32.25" hidden="1" customHeight="1">
      <c r="A1258" s="8">
        <v>2309441</v>
      </c>
      <c r="B1258" s="9" t="s">
        <v>13284</v>
      </c>
      <c r="C1258" s="9" t="s">
        <v>13284</v>
      </c>
      <c r="D1258" s="9" t="s">
        <v>13284</v>
      </c>
      <c r="E1258" s="9" t="s">
        <v>13284</v>
      </c>
      <c r="F1258" s="9" t="s">
        <v>13284</v>
      </c>
      <c r="G1258" s="9" t="s">
        <v>13284</v>
      </c>
      <c r="H1258" s="9" t="s">
        <v>13284</v>
      </c>
      <c r="I1258" s="9" t="s">
        <v>13284</v>
      </c>
      <c r="J1258" s="9" t="s">
        <v>13284</v>
      </c>
      <c r="K1258" s="9" t="s">
        <v>13284</v>
      </c>
      <c r="L1258" s="9" t="s">
        <v>13284</v>
      </c>
      <c r="M1258" s="9" t="s">
        <v>13284</v>
      </c>
      <c r="N1258" s="9" t="s">
        <v>13284</v>
      </c>
      <c r="O1258" s="9" t="s">
        <v>13284</v>
      </c>
      <c r="P1258" s="9" t="s">
        <v>13284</v>
      </c>
      <c r="Q1258" s="9" t="s">
        <v>13284</v>
      </c>
      <c r="R1258" s="9" t="s">
        <v>13284</v>
      </c>
      <c r="S1258" s="9" t="s">
        <v>13284</v>
      </c>
      <c r="T1258" s="9" t="str">
        <f ca="1">IFERROR(IF(AND(VLOOKUP(A1258, 'Актуальное состояние (из общего'!A:C,3,0) = "", A1258 &lt;&gt; ""), "ПРОВЕРИТЬ", VLOOKUP(A1258, 'Актуальное состояние (из общего'!A:C,3,0)), "")</f>
        <v>Студент</v>
      </c>
      <c r="U1258" s="9" t="s">
        <v>13284</v>
      </c>
      <c r="V1258" s="9" t="s">
        <v>13284</v>
      </c>
      <c r="W1258" s="12"/>
      <c r="X1258" s="9" t="str">
        <f t="array" ref="X1258">IFERROR(INDEX('Адреса общежитий (скрытый)'!$B$2:$B$9, MATCH(W1258, 'Адреса общежитий (скрытый)'!$A$2:$A$9, 0)), "")</f>
        <v/>
      </c>
      <c r="Y1258" s="18"/>
      <c r="Z1258" s="18"/>
      <c r="AA1258" s="18"/>
      <c r="AB1258" s="18"/>
      <c r="AC1258" s="18"/>
    </row>
    <row r="1259" spans="1:29" ht="32.25" hidden="1" customHeight="1">
      <c r="A1259" s="8">
        <v>2302623</v>
      </c>
      <c r="B1259" s="9" t="s">
        <v>13284</v>
      </c>
      <c r="C1259" s="9" t="s">
        <v>13284</v>
      </c>
      <c r="D1259" s="9" t="s">
        <v>13284</v>
      </c>
      <c r="E1259" s="9" t="s">
        <v>13284</v>
      </c>
      <c r="F1259" s="9" t="s">
        <v>13284</v>
      </c>
      <c r="G1259" s="9" t="s">
        <v>13284</v>
      </c>
      <c r="H1259" s="9" t="s">
        <v>13284</v>
      </c>
      <c r="I1259" s="9" t="s">
        <v>13284</v>
      </c>
      <c r="J1259" s="9" t="s">
        <v>13284</v>
      </c>
      <c r="K1259" s="9" t="s">
        <v>13284</v>
      </c>
      <c r="L1259" s="9" t="s">
        <v>13284</v>
      </c>
      <c r="M1259" s="9" t="s">
        <v>13284</v>
      </c>
      <c r="N1259" s="9" t="s">
        <v>13284</v>
      </c>
      <c r="O1259" s="9" t="s">
        <v>13284</v>
      </c>
      <c r="P1259" s="9" t="s">
        <v>13284</v>
      </c>
      <c r="Q1259" s="9" t="s">
        <v>13284</v>
      </c>
      <c r="R1259" s="9" t="s">
        <v>13284</v>
      </c>
      <c r="S1259" s="9" t="s">
        <v>13284</v>
      </c>
      <c r="T1259" s="9" t="str">
        <f ca="1">IFERROR(IF(AND(VLOOKUP(A1259, 'Актуальное состояние (из общего'!A:C,3,0) = "", A1259 &lt;&gt; ""), "ПРОВЕРИТЬ", VLOOKUP(A1259, 'Актуальное состояние (из общего'!A:C,3,0)), "")</f>
        <v>Студент</v>
      </c>
      <c r="U1259" s="9" t="s">
        <v>13284</v>
      </c>
      <c r="V1259" s="9" t="s">
        <v>13284</v>
      </c>
      <c r="W1259" s="12"/>
      <c r="X1259" s="9" t="str">
        <f t="array" ref="X1259">IFERROR(INDEX('Адреса общежитий (скрытый)'!$B$2:$B$9, MATCH(W1259, 'Адреса общежитий (скрытый)'!$A$2:$A$9, 0)), "")</f>
        <v/>
      </c>
      <c r="Y1259" s="18"/>
      <c r="Z1259" s="18"/>
      <c r="AA1259" s="18"/>
      <c r="AB1259" s="18"/>
      <c r="AC1259" s="18"/>
    </row>
    <row r="1260" spans="1:29" ht="32.25" hidden="1" customHeight="1">
      <c r="A1260" s="8">
        <v>2308953</v>
      </c>
      <c r="B1260" s="9" t="s">
        <v>13284</v>
      </c>
      <c r="C1260" s="9" t="s">
        <v>13284</v>
      </c>
      <c r="D1260" s="9" t="s">
        <v>13284</v>
      </c>
      <c r="E1260" s="9" t="s">
        <v>13284</v>
      </c>
      <c r="F1260" s="9" t="s">
        <v>13284</v>
      </c>
      <c r="G1260" s="9" t="s">
        <v>13284</v>
      </c>
      <c r="H1260" s="9" t="s">
        <v>13284</v>
      </c>
      <c r="I1260" s="9" t="s">
        <v>13284</v>
      </c>
      <c r="J1260" s="9" t="s">
        <v>13284</v>
      </c>
      <c r="K1260" s="9" t="s">
        <v>13284</v>
      </c>
      <c r="L1260" s="9" t="s">
        <v>13284</v>
      </c>
      <c r="M1260" s="9" t="s">
        <v>13284</v>
      </c>
      <c r="N1260" s="9" t="s">
        <v>13284</v>
      </c>
      <c r="O1260" s="9" t="s">
        <v>13284</v>
      </c>
      <c r="P1260" s="9" t="s">
        <v>13284</v>
      </c>
      <c r="Q1260" s="9" t="s">
        <v>13284</v>
      </c>
      <c r="R1260" s="9" t="s">
        <v>13284</v>
      </c>
      <c r="S1260" s="9" t="s">
        <v>13284</v>
      </c>
      <c r="T1260" s="9" t="str">
        <f ca="1">IFERROR(IF(AND(VLOOKUP(A1260, 'Актуальное состояние (из общего'!A:C,3,0) = "", A1260 &lt;&gt; ""), "ПРОВЕРИТЬ", VLOOKUP(A1260, 'Актуальное состояние (из общего'!A:C,3,0)), "")</f>
        <v>Студент</v>
      </c>
      <c r="U1260" s="9" t="s">
        <v>13284</v>
      </c>
      <c r="V1260" s="9" t="s">
        <v>13284</v>
      </c>
      <c r="W1260" s="12"/>
      <c r="X1260" s="9" t="str">
        <f t="array" ref="X1260">IFERROR(INDEX('Адреса общежитий (скрытый)'!$B$2:$B$9, MATCH(W1260, 'Адреса общежитий (скрытый)'!$A$2:$A$9, 0)), "")</f>
        <v/>
      </c>
      <c r="Y1260" s="18"/>
      <c r="Z1260" s="18"/>
      <c r="AA1260" s="18"/>
      <c r="AB1260" s="18"/>
      <c r="AC1260" s="18"/>
    </row>
    <row r="1261" spans="1:29" ht="32.25" customHeight="1">
      <c r="A1261" s="8">
        <v>2308310</v>
      </c>
      <c r="B1261" s="9" t="s">
        <v>13284</v>
      </c>
      <c r="C1261" s="9" t="s">
        <v>13284</v>
      </c>
      <c r="D1261" s="9" t="s">
        <v>13284</v>
      </c>
      <c r="E1261" s="9" t="s">
        <v>13284</v>
      </c>
      <c r="F1261" s="9" t="s">
        <v>13284</v>
      </c>
      <c r="G1261" s="9" t="s">
        <v>13284</v>
      </c>
      <c r="H1261" s="9" t="s">
        <v>13284</v>
      </c>
      <c r="I1261" s="9" t="s">
        <v>13284</v>
      </c>
      <c r="J1261" s="9" t="s">
        <v>13284</v>
      </c>
      <c r="K1261" s="9" t="s">
        <v>13284</v>
      </c>
      <c r="L1261" s="9" t="s">
        <v>13284</v>
      </c>
      <c r="M1261" s="9" t="s">
        <v>13284</v>
      </c>
      <c r="N1261" s="9" t="s">
        <v>13284</v>
      </c>
      <c r="O1261" s="9" t="s">
        <v>13284</v>
      </c>
      <c r="P1261" s="9" t="s">
        <v>13284</v>
      </c>
      <c r="Q1261" s="9" t="s">
        <v>13284</v>
      </c>
      <c r="R1261" s="9" t="s">
        <v>13284</v>
      </c>
      <c r="S1261" s="9" t="s">
        <v>13284</v>
      </c>
      <c r="T1261" s="9" t="str">
        <f ca="1">IFERROR(IF(AND(VLOOKUP(A1261, 'Актуальное состояние (из общего'!A:C,3,0) = "", A1261 &lt;&gt; ""), "ПРОВЕРИТЬ", VLOOKUP(A1261, 'Актуальное состояние (из общего'!A:C,3,0)), "")</f>
        <v>Студент</v>
      </c>
      <c r="U1261" s="9" t="s">
        <v>13284</v>
      </c>
      <c r="V1261" s="9" t="s">
        <v>13284</v>
      </c>
      <c r="W1261" s="9" t="s">
        <v>319</v>
      </c>
      <c r="X1261" s="9" t="str">
        <f t="array" ref="X1261">IFERROR(INDEX('Адреса общежитий (скрытый)'!$B$2:$B$9, MATCH(W1261, 'Адреса общежитий (скрытый)'!$A$2:$A$9, 0)), "")</f>
        <v>ул. Профсоюзная, д.83, корп. 2</v>
      </c>
      <c r="Y1261" s="18"/>
      <c r="Z1261" s="18"/>
      <c r="AA1261" s="18"/>
      <c r="AB1261" s="18"/>
      <c r="AC1261" s="18"/>
    </row>
    <row r="1262" spans="1:29" ht="32.25" customHeight="1">
      <c r="A1262" s="8">
        <v>2313820</v>
      </c>
      <c r="B1262" s="9" t="s">
        <v>13284</v>
      </c>
      <c r="C1262" s="9" t="s">
        <v>13284</v>
      </c>
      <c r="D1262" s="9" t="s">
        <v>13284</v>
      </c>
      <c r="E1262" s="9" t="s">
        <v>13284</v>
      </c>
      <c r="F1262" s="9" t="s">
        <v>13284</v>
      </c>
      <c r="G1262" s="9" t="s">
        <v>13284</v>
      </c>
      <c r="H1262" s="9" t="s">
        <v>13284</v>
      </c>
      <c r="I1262" s="9" t="s">
        <v>13284</v>
      </c>
      <c r="J1262" s="9" t="s">
        <v>13284</v>
      </c>
      <c r="K1262" s="9" t="s">
        <v>13284</v>
      </c>
      <c r="L1262" s="9" t="s">
        <v>13284</v>
      </c>
      <c r="M1262" s="9" t="s">
        <v>13284</v>
      </c>
      <c r="N1262" s="9" t="s">
        <v>13284</v>
      </c>
      <c r="O1262" s="9" t="s">
        <v>13284</v>
      </c>
      <c r="P1262" s="9" t="s">
        <v>13284</v>
      </c>
      <c r="Q1262" s="9" t="s">
        <v>13284</v>
      </c>
      <c r="R1262" s="9" t="s">
        <v>13284</v>
      </c>
      <c r="S1262" s="9" t="s">
        <v>13284</v>
      </c>
      <c r="T1262" s="9" t="str">
        <f ca="1">IFERROR(IF(AND(VLOOKUP(A1262, 'Актуальное состояние (из общего'!A:C,3,0) = "", A1262 &lt;&gt; ""), "ПРОВЕРИТЬ", VLOOKUP(A1262, 'Актуальное состояние (из общего'!A:C,3,0)), "")</f>
        <v>Студент</v>
      </c>
      <c r="U1262" s="9" t="s">
        <v>13284</v>
      </c>
      <c r="V1262" s="9" t="s">
        <v>13284</v>
      </c>
      <c r="W1262" s="9" t="s">
        <v>319</v>
      </c>
      <c r="X1262" s="9" t="str">
        <f t="array" ref="X1262">IFERROR(INDEX('Адреса общежитий (скрытый)'!$B$2:$B$9, MATCH(W1262, 'Адреса общежитий (скрытый)'!$A$2:$A$9, 0)), "")</f>
        <v>ул. Профсоюзная, д.83, корп. 2</v>
      </c>
      <c r="Y1262" s="18"/>
      <c r="Z1262" s="18"/>
      <c r="AA1262" s="18"/>
      <c r="AB1262" s="18"/>
      <c r="AC1262" s="18"/>
    </row>
    <row r="1263" spans="1:29" ht="32.25" hidden="1" customHeight="1">
      <c r="A1263" s="8">
        <v>2309114</v>
      </c>
      <c r="B1263" s="9" t="s">
        <v>13284</v>
      </c>
      <c r="C1263" s="9" t="s">
        <v>13284</v>
      </c>
      <c r="D1263" s="9" t="s">
        <v>13284</v>
      </c>
      <c r="E1263" s="9" t="s">
        <v>13284</v>
      </c>
      <c r="F1263" s="9" t="s">
        <v>13284</v>
      </c>
      <c r="G1263" s="9" t="s">
        <v>13284</v>
      </c>
      <c r="H1263" s="9" t="s">
        <v>13284</v>
      </c>
      <c r="I1263" s="9" t="s">
        <v>13284</v>
      </c>
      <c r="J1263" s="9" t="s">
        <v>13284</v>
      </c>
      <c r="K1263" s="9" t="s">
        <v>13284</v>
      </c>
      <c r="L1263" s="9" t="s">
        <v>13284</v>
      </c>
      <c r="M1263" s="9" t="s">
        <v>13284</v>
      </c>
      <c r="N1263" s="9" t="s">
        <v>13284</v>
      </c>
      <c r="O1263" s="9" t="s">
        <v>13284</v>
      </c>
      <c r="P1263" s="9" t="s">
        <v>13284</v>
      </c>
      <c r="Q1263" s="9" t="s">
        <v>13284</v>
      </c>
      <c r="R1263" s="9" t="s">
        <v>13284</v>
      </c>
      <c r="S1263" s="9" t="s">
        <v>13284</v>
      </c>
      <c r="T1263" s="9" t="str">
        <f ca="1">IFERROR(IF(AND(VLOOKUP(A1263, 'Актуальное состояние (из общего'!A:C,3,0) = "", A1263 &lt;&gt; ""), "ПРОВЕРИТЬ", VLOOKUP(A1263, 'Актуальное состояние (из общего'!A:C,3,0)), "")</f>
        <v>Студент</v>
      </c>
      <c r="U1263" s="9" t="s">
        <v>13284</v>
      </c>
      <c r="V1263" s="9" t="s">
        <v>13284</v>
      </c>
      <c r="W1263" s="12"/>
      <c r="X1263" s="9" t="str">
        <f t="array" ref="X1263">IFERROR(INDEX('Адреса общежитий (скрытый)'!$B$2:$B$9, MATCH(W1263, 'Адреса общежитий (скрытый)'!$A$2:$A$9, 0)), "")</f>
        <v/>
      </c>
      <c r="Y1263" s="18"/>
      <c r="Z1263" s="18"/>
      <c r="AA1263" s="18"/>
      <c r="AB1263" s="18"/>
      <c r="AC1263" s="18"/>
    </row>
    <row r="1264" spans="1:29" ht="32.25" hidden="1" customHeight="1">
      <c r="A1264" s="8">
        <v>2309695</v>
      </c>
      <c r="B1264" s="9" t="s">
        <v>13284</v>
      </c>
      <c r="C1264" s="9" t="s">
        <v>13284</v>
      </c>
      <c r="D1264" s="9" t="s">
        <v>13284</v>
      </c>
      <c r="E1264" s="9" t="s">
        <v>13284</v>
      </c>
      <c r="F1264" s="9" t="s">
        <v>13284</v>
      </c>
      <c r="G1264" s="9" t="s">
        <v>13284</v>
      </c>
      <c r="H1264" s="9" t="s">
        <v>13284</v>
      </c>
      <c r="I1264" s="9" t="s">
        <v>13284</v>
      </c>
      <c r="J1264" s="9" t="s">
        <v>13284</v>
      </c>
      <c r="K1264" s="9" t="s">
        <v>13284</v>
      </c>
      <c r="L1264" s="9" t="s">
        <v>13284</v>
      </c>
      <c r="M1264" s="9" t="s">
        <v>13284</v>
      </c>
      <c r="N1264" s="9" t="s">
        <v>13284</v>
      </c>
      <c r="O1264" s="9" t="s">
        <v>13284</v>
      </c>
      <c r="P1264" s="9" t="s">
        <v>13284</v>
      </c>
      <c r="Q1264" s="9" t="s">
        <v>13284</v>
      </c>
      <c r="R1264" s="9" t="s">
        <v>13284</v>
      </c>
      <c r="S1264" s="9" t="s">
        <v>13284</v>
      </c>
      <c r="T1264" s="9" t="str">
        <f ca="1">IFERROR(IF(AND(VLOOKUP(A1264, 'Актуальное состояние (из общего'!A:C,3,0) = "", A1264 &lt;&gt; ""), "ПРОВЕРИТЬ", VLOOKUP(A1264, 'Актуальное состояние (из общего'!A:C,3,0)), "")</f>
        <v>Студент</v>
      </c>
      <c r="U1264" s="9" t="s">
        <v>13284</v>
      </c>
      <c r="V1264" s="9" t="s">
        <v>13284</v>
      </c>
      <c r="W1264" s="12"/>
      <c r="X1264" s="9" t="str">
        <f t="array" ref="X1264">IFERROR(INDEX('Адреса общежитий (скрытый)'!$B$2:$B$9, MATCH(W1264, 'Адреса общежитий (скрытый)'!$A$2:$A$9, 0)), "")</f>
        <v/>
      </c>
      <c r="Y1264" s="18"/>
      <c r="Z1264" s="18"/>
      <c r="AA1264" s="18"/>
      <c r="AB1264" s="18"/>
      <c r="AC1264" s="18"/>
    </row>
    <row r="1265" spans="1:29" ht="32.25" hidden="1" customHeight="1">
      <c r="A1265" s="8">
        <v>2302398</v>
      </c>
      <c r="B1265" s="9" t="s">
        <v>13284</v>
      </c>
      <c r="C1265" s="9" t="s">
        <v>13284</v>
      </c>
      <c r="D1265" s="9" t="s">
        <v>13284</v>
      </c>
      <c r="E1265" s="9" t="s">
        <v>13284</v>
      </c>
      <c r="F1265" s="9" t="s">
        <v>13284</v>
      </c>
      <c r="G1265" s="9" t="s">
        <v>13284</v>
      </c>
      <c r="H1265" s="9" t="s">
        <v>13284</v>
      </c>
      <c r="I1265" s="9" t="s">
        <v>13284</v>
      </c>
      <c r="J1265" s="9" t="s">
        <v>13284</v>
      </c>
      <c r="K1265" s="9" t="s">
        <v>13284</v>
      </c>
      <c r="L1265" s="9" t="s">
        <v>13284</v>
      </c>
      <c r="M1265" s="9" t="s">
        <v>13284</v>
      </c>
      <c r="N1265" s="9" t="s">
        <v>13284</v>
      </c>
      <c r="O1265" s="9" t="s">
        <v>13284</v>
      </c>
      <c r="P1265" s="9" t="s">
        <v>13284</v>
      </c>
      <c r="Q1265" s="9" t="s">
        <v>13284</v>
      </c>
      <c r="R1265" s="9" t="s">
        <v>13284</v>
      </c>
      <c r="S1265" s="9" t="s">
        <v>13284</v>
      </c>
      <c r="T1265" s="9" t="str">
        <f ca="1">IFERROR(IF(AND(VLOOKUP(A1265, 'Актуальное состояние (из общего'!A:C,3,0) = "", A1265 &lt;&gt; ""), "ПРОВЕРИТЬ", VLOOKUP(A1265, 'Актуальное состояние (из общего'!A:C,3,0)), "")</f>
        <v>Студент</v>
      </c>
      <c r="U1265" s="9" t="s">
        <v>13284</v>
      </c>
      <c r="V1265" s="9" t="s">
        <v>13284</v>
      </c>
      <c r="W1265" s="12"/>
      <c r="X1265" s="9" t="str">
        <f t="array" ref="X1265">IFERROR(INDEX('Адреса общежитий (скрытый)'!$B$2:$B$9, MATCH(W1265, 'Адреса общежитий (скрытый)'!$A$2:$A$9, 0)), "")</f>
        <v/>
      </c>
      <c r="Y1265" s="18"/>
      <c r="Z1265" s="18"/>
      <c r="AA1265" s="18"/>
      <c r="AB1265" s="18"/>
      <c r="AC1265" s="18"/>
    </row>
    <row r="1266" spans="1:29" ht="32.25" customHeight="1">
      <c r="A1266" s="8">
        <v>2315354</v>
      </c>
      <c r="B1266" s="9" t="s">
        <v>13284</v>
      </c>
      <c r="C1266" s="9" t="s">
        <v>13284</v>
      </c>
      <c r="D1266" s="9" t="s">
        <v>13284</v>
      </c>
      <c r="E1266" s="9" t="s">
        <v>13284</v>
      </c>
      <c r="F1266" s="9" t="s">
        <v>13284</v>
      </c>
      <c r="G1266" s="9" t="s">
        <v>13284</v>
      </c>
      <c r="H1266" s="9" t="s">
        <v>13284</v>
      </c>
      <c r="I1266" s="9" t="s">
        <v>13284</v>
      </c>
      <c r="J1266" s="9" t="s">
        <v>13284</v>
      </c>
      <c r="K1266" s="9" t="s">
        <v>13284</v>
      </c>
      <c r="L1266" s="9" t="s">
        <v>13284</v>
      </c>
      <c r="M1266" s="9" t="s">
        <v>13284</v>
      </c>
      <c r="N1266" s="9" t="s">
        <v>13284</v>
      </c>
      <c r="O1266" s="9" t="s">
        <v>13284</v>
      </c>
      <c r="P1266" s="9" t="s">
        <v>13284</v>
      </c>
      <c r="Q1266" s="9" t="s">
        <v>13284</v>
      </c>
      <c r="R1266" s="9" t="s">
        <v>13284</v>
      </c>
      <c r="S1266" s="9" t="s">
        <v>13284</v>
      </c>
      <c r="T1266" s="9" t="str">
        <f ca="1">IFERROR(IF(AND(VLOOKUP(A1266, 'Актуальное состояние (из общего'!A:C,3,0) = "", A1266 &lt;&gt; ""), "ПРОВЕРИТЬ", VLOOKUP(A1266, 'Актуальное состояние (из общего'!A:C,3,0)), "")</f>
        <v>Студент</v>
      </c>
      <c r="U1266" s="9" t="s">
        <v>13284</v>
      </c>
      <c r="V1266" s="9" t="s">
        <v>13284</v>
      </c>
      <c r="W1266" s="12"/>
      <c r="X1266" s="9" t="str">
        <f t="array" ref="X1266">IFERROR(INDEX('Адреса общежитий (скрытый)'!$B$2:$B$9, MATCH(W1266, 'Адреса общежитий (скрытый)'!$A$2:$A$9, 0)), "")</f>
        <v/>
      </c>
      <c r="Y1266" s="18"/>
      <c r="Z1266" s="18"/>
      <c r="AA1266" s="18"/>
      <c r="AB1266" s="18"/>
      <c r="AC1266" s="18"/>
    </row>
    <row r="1267" spans="1:29" ht="32.25" hidden="1" customHeight="1">
      <c r="A1267" s="8">
        <v>2304065</v>
      </c>
      <c r="B1267" s="9" t="s">
        <v>13284</v>
      </c>
      <c r="C1267" s="9" t="s">
        <v>13284</v>
      </c>
      <c r="D1267" s="9" t="s">
        <v>13284</v>
      </c>
      <c r="E1267" s="9" t="s">
        <v>13284</v>
      </c>
      <c r="F1267" s="9" t="s">
        <v>13284</v>
      </c>
      <c r="G1267" s="9" t="s">
        <v>13284</v>
      </c>
      <c r="H1267" s="9" t="s">
        <v>13284</v>
      </c>
      <c r="I1267" s="9" t="s">
        <v>13284</v>
      </c>
      <c r="J1267" s="9" t="s">
        <v>13284</v>
      </c>
      <c r="K1267" s="9" t="s">
        <v>13284</v>
      </c>
      <c r="L1267" s="9" t="s">
        <v>13284</v>
      </c>
      <c r="M1267" s="9" t="s">
        <v>13284</v>
      </c>
      <c r="N1267" s="9" t="s">
        <v>13284</v>
      </c>
      <c r="O1267" s="9" t="s">
        <v>13284</v>
      </c>
      <c r="P1267" s="9" t="s">
        <v>13284</v>
      </c>
      <c r="Q1267" s="9" t="s">
        <v>13284</v>
      </c>
      <c r="R1267" s="9" t="s">
        <v>13284</v>
      </c>
      <c r="S1267" s="9" t="s">
        <v>13284</v>
      </c>
      <c r="T1267" s="9" t="str">
        <f ca="1">IFERROR(IF(AND(VLOOKUP(A1267, 'Актуальное состояние (из общего'!A:C,3,0) = "", A1267 &lt;&gt; ""), "ПРОВЕРИТЬ", VLOOKUP(A1267, 'Актуальное состояние (из общего'!A:C,3,0)), "")</f>
        <v>Студент</v>
      </c>
      <c r="U1267" s="9" t="s">
        <v>13284</v>
      </c>
      <c r="V1267" s="9" t="s">
        <v>13284</v>
      </c>
      <c r="W1267" s="12"/>
      <c r="X1267" s="9" t="str">
        <f t="array" ref="X1267">IFERROR(INDEX('Адреса общежитий (скрытый)'!$B$2:$B$9, MATCH(W1267, 'Адреса общежитий (скрытый)'!$A$2:$A$9, 0)), "")</f>
        <v/>
      </c>
      <c r="Y1267" s="18"/>
      <c r="Z1267" s="18"/>
      <c r="AA1267" s="18"/>
      <c r="AB1267" s="18"/>
      <c r="AC1267" s="18"/>
    </row>
    <row r="1268" spans="1:29" ht="32.25" customHeight="1">
      <c r="A1268" s="8">
        <v>2306554</v>
      </c>
      <c r="B1268" s="9" t="s">
        <v>13284</v>
      </c>
      <c r="C1268" s="9" t="s">
        <v>13284</v>
      </c>
      <c r="D1268" s="9" t="s">
        <v>13284</v>
      </c>
      <c r="E1268" s="9" t="s">
        <v>13284</v>
      </c>
      <c r="F1268" s="9" t="s">
        <v>13284</v>
      </c>
      <c r="G1268" s="9" t="s">
        <v>13284</v>
      </c>
      <c r="H1268" s="9" t="s">
        <v>13284</v>
      </c>
      <c r="I1268" s="9" t="s">
        <v>13284</v>
      </c>
      <c r="J1268" s="9" t="s">
        <v>13284</v>
      </c>
      <c r="K1268" s="9" t="s">
        <v>13284</v>
      </c>
      <c r="L1268" s="9" t="s">
        <v>13284</v>
      </c>
      <c r="M1268" s="9" t="s">
        <v>13284</v>
      </c>
      <c r="N1268" s="9" t="s">
        <v>13284</v>
      </c>
      <c r="O1268" s="9" t="s">
        <v>13284</v>
      </c>
      <c r="P1268" s="9" t="s">
        <v>13284</v>
      </c>
      <c r="Q1268" s="9" t="s">
        <v>13284</v>
      </c>
      <c r="R1268" s="9" t="s">
        <v>13284</v>
      </c>
      <c r="S1268" s="9" t="s">
        <v>13284</v>
      </c>
      <c r="T1268" s="9" t="str">
        <f ca="1">IFERROR(IF(AND(VLOOKUP(A1268, 'Актуальное состояние (из общего'!A:C,3,0) = "", A1268 &lt;&gt; ""), "ПРОВЕРИТЬ", VLOOKUP(A1268, 'Актуальное состояние (из общего'!A:C,3,0)), "")</f>
        <v>Студент</v>
      </c>
      <c r="U1268" s="9" t="s">
        <v>13284</v>
      </c>
      <c r="V1268" s="9" t="s">
        <v>13284</v>
      </c>
      <c r="W1268" s="12"/>
      <c r="X1268" s="9" t="str">
        <f t="array" ref="X1268">IFERROR(INDEX('Адреса общежитий (скрытый)'!$B$2:$B$9, MATCH(W1268, 'Адреса общежитий (скрытый)'!$A$2:$A$9, 0)), "")</f>
        <v/>
      </c>
      <c r="Y1268" s="18"/>
      <c r="Z1268" s="18"/>
      <c r="AA1268" s="18"/>
      <c r="AB1268" s="18"/>
      <c r="AC1268" s="18"/>
    </row>
    <row r="1269" spans="1:29" ht="32.25" hidden="1" customHeight="1">
      <c r="A1269" s="8">
        <v>2302023</v>
      </c>
      <c r="B1269" s="9" t="s">
        <v>13284</v>
      </c>
      <c r="C1269" s="9" t="s">
        <v>13284</v>
      </c>
      <c r="D1269" s="9" t="s">
        <v>13284</v>
      </c>
      <c r="E1269" s="9" t="s">
        <v>13284</v>
      </c>
      <c r="F1269" s="9" t="s">
        <v>13284</v>
      </c>
      <c r="G1269" s="9" t="s">
        <v>13284</v>
      </c>
      <c r="H1269" s="9" t="s">
        <v>13284</v>
      </c>
      <c r="I1269" s="9" t="s">
        <v>13284</v>
      </c>
      <c r="J1269" s="9" t="s">
        <v>13284</v>
      </c>
      <c r="K1269" s="9" t="s">
        <v>13284</v>
      </c>
      <c r="L1269" s="9" t="s">
        <v>13284</v>
      </c>
      <c r="M1269" s="9" t="s">
        <v>13284</v>
      </c>
      <c r="N1269" s="9" t="s">
        <v>13284</v>
      </c>
      <c r="O1269" s="9" t="s">
        <v>13284</v>
      </c>
      <c r="P1269" s="9" t="s">
        <v>13284</v>
      </c>
      <c r="Q1269" s="9" t="s">
        <v>13284</v>
      </c>
      <c r="R1269" s="9" t="s">
        <v>13284</v>
      </c>
      <c r="S1269" s="9" t="s">
        <v>13284</v>
      </c>
      <c r="T1269" s="9" t="str">
        <f ca="1">IFERROR(IF(AND(VLOOKUP(A1269, 'Актуальное состояние (из общего'!A:C,3,0) = "", A1269 &lt;&gt; ""), "ПРОВЕРИТЬ", VLOOKUP(A1269, 'Актуальное состояние (из общего'!A:C,3,0)), "")</f>
        <v>Студент</v>
      </c>
      <c r="U1269" s="9" t="s">
        <v>13284</v>
      </c>
      <c r="V1269" s="9" t="s">
        <v>13284</v>
      </c>
      <c r="W1269" s="12"/>
      <c r="X1269" s="9" t="str">
        <f t="array" ref="X1269">IFERROR(INDEX('Адреса общежитий (скрытый)'!$B$2:$B$9, MATCH(W1269, 'Адреса общежитий (скрытый)'!$A$2:$A$9, 0)), "")</f>
        <v/>
      </c>
      <c r="Y1269" s="18"/>
      <c r="Z1269" s="18"/>
      <c r="AA1269" s="18"/>
      <c r="AB1269" s="18"/>
      <c r="AC1269" s="18"/>
    </row>
    <row r="1270" spans="1:29" ht="32.25" hidden="1" customHeight="1">
      <c r="A1270" s="8">
        <v>2306812</v>
      </c>
      <c r="B1270" s="9" t="s">
        <v>13284</v>
      </c>
      <c r="C1270" s="9" t="s">
        <v>13284</v>
      </c>
      <c r="D1270" s="9" t="s">
        <v>13284</v>
      </c>
      <c r="E1270" s="9" t="s">
        <v>13284</v>
      </c>
      <c r="F1270" s="9" t="s">
        <v>13284</v>
      </c>
      <c r="G1270" s="9" t="s">
        <v>13284</v>
      </c>
      <c r="H1270" s="9" t="s">
        <v>13284</v>
      </c>
      <c r="I1270" s="9" t="s">
        <v>13284</v>
      </c>
      <c r="J1270" s="9" t="s">
        <v>13284</v>
      </c>
      <c r="K1270" s="9" t="s">
        <v>13284</v>
      </c>
      <c r="L1270" s="9" t="s">
        <v>13284</v>
      </c>
      <c r="M1270" s="9" t="s">
        <v>13284</v>
      </c>
      <c r="N1270" s="9" t="s">
        <v>13284</v>
      </c>
      <c r="O1270" s="9" t="s">
        <v>13284</v>
      </c>
      <c r="P1270" s="9" t="s">
        <v>13284</v>
      </c>
      <c r="Q1270" s="9" t="s">
        <v>13284</v>
      </c>
      <c r="R1270" s="9" t="s">
        <v>13284</v>
      </c>
      <c r="S1270" s="9" t="s">
        <v>13284</v>
      </c>
      <c r="T1270" s="9" t="str">
        <f ca="1">IFERROR(IF(AND(VLOOKUP(A1270, 'Актуальное состояние (из общего'!A:C,3,0) = "", A1270 &lt;&gt; ""), "ПРОВЕРИТЬ", VLOOKUP(A1270, 'Актуальное состояние (из общего'!A:C,3,0)), "")</f>
        <v>Студент</v>
      </c>
      <c r="U1270" s="9" t="s">
        <v>13284</v>
      </c>
      <c r="V1270" s="9" t="s">
        <v>13284</v>
      </c>
      <c r="W1270" s="12"/>
      <c r="X1270" s="9" t="str">
        <f t="array" ref="X1270">IFERROR(INDEX('Адреса общежитий (скрытый)'!$B$2:$B$9, MATCH(W1270, 'Адреса общежитий (скрытый)'!$A$2:$A$9, 0)), "")</f>
        <v/>
      </c>
      <c r="Y1270" s="18"/>
      <c r="Z1270" s="18"/>
      <c r="AA1270" s="18"/>
      <c r="AB1270" s="18"/>
      <c r="AC1270" s="18"/>
    </row>
    <row r="1271" spans="1:29" ht="32.25" hidden="1" customHeight="1">
      <c r="A1271" s="8">
        <v>2302153</v>
      </c>
      <c r="B1271" s="9" t="s">
        <v>13284</v>
      </c>
      <c r="C1271" s="9" t="s">
        <v>13284</v>
      </c>
      <c r="D1271" s="9" t="s">
        <v>13284</v>
      </c>
      <c r="E1271" s="9" t="s">
        <v>13284</v>
      </c>
      <c r="F1271" s="9" t="s">
        <v>13284</v>
      </c>
      <c r="G1271" s="9" t="s">
        <v>13284</v>
      </c>
      <c r="H1271" s="9" t="s">
        <v>13284</v>
      </c>
      <c r="I1271" s="9" t="s">
        <v>13284</v>
      </c>
      <c r="J1271" s="9" t="s">
        <v>13284</v>
      </c>
      <c r="K1271" s="9" t="s">
        <v>13284</v>
      </c>
      <c r="L1271" s="9" t="s">
        <v>13284</v>
      </c>
      <c r="M1271" s="9" t="s">
        <v>13284</v>
      </c>
      <c r="N1271" s="9" t="s">
        <v>13284</v>
      </c>
      <c r="O1271" s="9" t="s">
        <v>13284</v>
      </c>
      <c r="P1271" s="9" t="s">
        <v>13284</v>
      </c>
      <c r="Q1271" s="9" t="s">
        <v>13284</v>
      </c>
      <c r="R1271" s="9" t="s">
        <v>13284</v>
      </c>
      <c r="S1271" s="9" t="s">
        <v>13284</v>
      </c>
      <c r="T1271" s="9" t="str">
        <f ca="1">IFERROR(IF(AND(VLOOKUP(A1271, 'Актуальное состояние (из общего'!A:C,3,0) = "", A1271 &lt;&gt; ""), "ПРОВЕРИТЬ", VLOOKUP(A1271, 'Актуальное состояние (из общего'!A:C,3,0)), "")</f>
        <v>Студент</v>
      </c>
      <c r="U1271" s="9" t="s">
        <v>13284</v>
      </c>
      <c r="V1271" s="9" t="s">
        <v>13284</v>
      </c>
      <c r="W1271" s="12"/>
      <c r="X1271" s="9" t="str">
        <f t="array" ref="X1271">IFERROR(INDEX('Адреса общежитий (скрытый)'!$B$2:$B$9, MATCH(W1271, 'Адреса общежитий (скрытый)'!$A$2:$A$9, 0)), "")</f>
        <v/>
      </c>
      <c r="Y1271" s="18"/>
      <c r="Z1271" s="18"/>
      <c r="AA1271" s="18"/>
      <c r="AB1271" s="18"/>
      <c r="AC1271" s="18"/>
    </row>
    <row r="1272" spans="1:29" ht="32.25" hidden="1" customHeight="1">
      <c r="A1272" s="8">
        <v>2307205</v>
      </c>
      <c r="B1272" s="9" t="s">
        <v>13284</v>
      </c>
      <c r="C1272" s="9" t="s">
        <v>13284</v>
      </c>
      <c r="D1272" s="9" t="s">
        <v>13284</v>
      </c>
      <c r="E1272" s="9" t="s">
        <v>13284</v>
      </c>
      <c r="F1272" s="9" t="s">
        <v>13284</v>
      </c>
      <c r="G1272" s="9" t="s">
        <v>13284</v>
      </c>
      <c r="H1272" s="9" t="s">
        <v>13284</v>
      </c>
      <c r="I1272" s="9" t="s">
        <v>13284</v>
      </c>
      <c r="J1272" s="9" t="s">
        <v>13284</v>
      </c>
      <c r="K1272" s="9" t="s">
        <v>13284</v>
      </c>
      <c r="L1272" s="9" t="s">
        <v>13284</v>
      </c>
      <c r="M1272" s="9" t="s">
        <v>13284</v>
      </c>
      <c r="N1272" s="9" t="s">
        <v>13284</v>
      </c>
      <c r="O1272" s="9" t="s">
        <v>13284</v>
      </c>
      <c r="P1272" s="9" t="s">
        <v>13284</v>
      </c>
      <c r="Q1272" s="9" t="s">
        <v>13284</v>
      </c>
      <c r="R1272" s="9" t="s">
        <v>13284</v>
      </c>
      <c r="S1272" s="9" t="s">
        <v>13284</v>
      </c>
      <c r="T1272" s="9" t="str">
        <f ca="1">IFERROR(IF(AND(VLOOKUP(A1272, 'Актуальное состояние (из общего'!A:C,3,0) = "", A1272 &lt;&gt; ""), "ПРОВЕРИТЬ", VLOOKUP(A1272, 'Актуальное состояние (из общего'!A:C,3,0)), "")</f>
        <v>Студент</v>
      </c>
      <c r="U1272" s="9" t="s">
        <v>13284</v>
      </c>
      <c r="V1272" s="9" t="s">
        <v>13284</v>
      </c>
      <c r="W1272" s="12"/>
      <c r="X1272" s="9" t="str">
        <f t="array" ref="X1272">IFERROR(INDEX('Адреса общежитий (скрытый)'!$B$2:$B$9, MATCH(W1272, 'Адреса общежитий (скрытый)'!$A$2:$A$9, 0)), "")</f>
        <v/>
      </c>
      <c r="Y1272" s="18"/>
      <c r="Z1272" s="18"/>
      <c r="AA1272" s="18"/>
      <c r="AB1272" s="18"/>
      <c r="AC1272" s="18"/>
    </row>
    <row r="1273" spans="1:29" ht="32.25" hidden="1" customHeight="1">
      <c r="A1273" s="8">
        <v>2302297</v>
      </c>
      <c r="B1273" s="9" t="s">
        <v>13284</v>
      </c>
      <c r="C1273" s="9" t="s">
        <v>13284</v>
      </c>
      <c r="D1273" s="9" t="s">
        <v>13284</v>
      </c>
      <c r="E1273" s="9" t="s">
        <v>13284</v>
      </c>
      <c r="F1273" s="9" t="s">
        <v>13284</v>
      </c>
      <c r="G1273" s="9" t="s">
        <v>13284</v>
      </c>
      <c r="H1273" s="9" t="s">
        <v>13284</v>
      </c>
      <c r="I1273" s="9" t="s">
        <v>13284</v>
      </c>
      <c r="J1273" s="9" t="s">
        <v>13284</v>
      </c>
      <c r="K1273" s="9" t="s">
        <v>13284</v>
      </c>
      <c r="L1273" s="9" t="s">
        <v>13284</v>
      </c>
      <c r="M1273" s="9" t="s">
        <v>13284</v>
      </c>
      <c r="N1273" s="9" t="s">
        <v>13284</v>
      </c>
      <c r="O1273" s="9" t="s">
        <v>13284</v>
      </c>
      <c r="P1273" s="9" t="s">
        <v>13284</v>
      </c>
      <c r="Q1273" s="9" t="s">
        <v>13284</v>
      </c>
      <c r="R1273" s="9" t="s">
        <v>13284</v>
      </c>
      <c r="S1273" s="9" t="s">
        <v>13284</v>
      </c>
      <c r="T1273" s="9" t="str">
        <f ca="1">IFERROR(IF(AND(VLOOKUP(A1273, 'Актуальное состояние (из общего'!A:C,3,0) = "", A1273 &lt;&gt; ""), "ПРОВЕРИТЬ", VLOOKUP(A1273, 'Актуальное состояние (из общего'!A:C,3,0)), "")</f>
        <v>Студент</v>
      </c>
      <c r="U1273" s="9" t="s">
        <v>13284</v>
      </c>
      <c r="V1273" s="9" t="s">
        <v>13284</v>
      </c>
      <c r="W1273" s="12"/>
      <c r="X1273" s="9" t="str">
        <f t="array" ref="X1273">IFERROR(INDEX('Адреса общежитий (скрытый)'!$B$2:$B$9, MATCH(W1273, 'Адреса общежитий (скрытый)'!$A$2:$A$9, 0)), "")</f>
        <v/>
      </c>
      <c r="Y1273" s="18"/>
      <c r="Z1273" s="18"/>
      <c r="AA1273" s="18"/>
      <c r="AB1273" s="18"/>
      <c r="AC1273" s="18"/>
    </row>
    <row r="1274" spans="1:29" ht="32.25" hidden="1" customHeight="1">
      <c r="A1274" s="8">
        <v>2313111</v>
      </c>
      <c r="B1274" s="9" t="s">
        <v>13284</v>
      </c>
      <c r="C1274" s="9" t="s">
        <v>13284</v>
      </c>
      <c r="D1274" s="9" t="s">
        <v>13284</v>
      </c>
      <c r="E1274" s="9" t="s">
        <v>13284</v>
      </c>
      <c r="F1274" s="9" t="s">
        <v>13284</v>
      </c>
      <c r="G1274" s="9" t="s">
        <v>13284</v>
      </c>
      <c r="H1274" s="9" t="s">
        <v>13284</v>
      </c>
      <c r="I1274" s="9" t="s">
        <v>13284</v>
      </c>
      <c r="J1274" s="9" t="s">
        <v>13284</v>
      </c>
      <c r="K1274" s="9" t="s">
        <v>13284</v>
      </c>
      <c r="L1274" s="9" t="s">
        <v>13284</v>
      </c>
      <c r="M1274" s="9" t="s">
        <v>13284</v>
      </c>
      <c r="N1274" s="9" t="s">
        <v>13284</v>
      </c>
      <c r="O1274" s="9" t="s">
        <v>13284</v>
      </c>
      <c r="P1274" s="9" t="s">
        <v>13284</v>
      </c>
      <c r="Q1274" s="9" t="s">
        <v>13284</v>
      </c>
      <c r="R1274" s="9" t="s">
        <v>13284</v>
      </c>
      <c r="S1274" s="9" t="s">
        <v>13284</v>
      </c>
      <c r="T1274" s="9" t="str">
        <f ca="1">IFERROR(IF(AND(VLOOKUP(A1274, 'Актуальное состояние (из общего'!A:C,3,0) = "", A1274 &lt;&gt; ""), "ПРОВЕРИТЬ", VLOOKUP(A1274, 'Актуальное состояние (из общего'!A:C,3,0)), "")</f>
        <v>Студент</v>
      </c>
      <c r="U1274" s="9" t="s">
        <v>13284</v>
      </c>
      <c r="V1274" s="9" t="s">
        <v>13284</v>
      </c>
      <c r="W1274" s="12"/>
      <c r="X1274" s="9" t="str">
        <f t="array" ref="X1274">IFERROR(INDEX('Адреса общежитий (скрытый)'!$B$2:$B$9, MATCH(W1274, 'Адреса общежитий (скрытый)'!$A$2:$A$9, 0)), "")</f>
        <v/>
      </c>
      <c r="Y1274" s="18"/>
      <c r="Z1274" s="18"/>
      <c r="AA1274" s="18"/>
      <c r="AB1274" s="18"/>
      <c r="AC1274" s="18"/>
    </row>
    <row r="1275" spans="1:29" ht="32.25" hidden="1" customHeight="1">
      <c r="A1275" s="8">
        <v>2315245</v>
      </c>
      <c r="B1275" s="9" t="s">
        <v>13284</v>
      </c>
      <c r="C1275" s="9" t="s">
        <v>13284</v>
      </c>
      <c r="D1275" s="9" t="s">
        <v>13284</v>
      </c>
      <c r="E1275" s="9" t="s">
        <v>13284</v>
      </c>
      <c r="F1275" s="9" t="s">
        <v>13284</v>
      </c>
      <c r="G1275" s="9" t="s">
        <v>13284</v>
      </c>
      <c r="H1275" s="9" t="s">
        <v>13284</v>
      </c>
      <c r="I1275" s="9" t="s">
        <v>13284</v>
      </c>
      <c r="J1275" s="9" t="s">
        <v>13284</v>
      </c>
      <c r="K1275" s="9" t="s">
        <v>13284</v>
      </c>
      <c r="L1275" s="9" t="s">
        <v>13284</v>
      </c>
      <c r="M1275" s="9" t="s">
        <v>13284</v>
      </c>
      <c r="N1275" s="9" t="s">
        <v>13284</v>
      </c>
      <c r="O1275" s="9" t="s">
        <v>13284</v>
      </c>
      <c r="P1275" s="9" t="s">
        <v>13284</v>
      </c>
      <c r="Q1275" s="9" t="s">
        <v>13284</v>
      </c>
      <c r="R1275" s="9" t="s">
        <v>13284</v>
      </c>
      <c r="S1275" s="9" t="s">
        <v>13284</v>
      </c>
      <c r="T1275" s="9" t="str">
        <f ca="1">IFERROR(IF(AND(VLOOKUP(A1275, 'Актуальное состояние (из общего'!A:C,3,0) = "", A1275 &lt;&gt; ""), "ПРОВЕРИТЬ", VLOOKUP(A1275, 'Актуальное состояние (из общего'!A:C,3,0)), "")</f>
        <v>Студент</v>
      </c>
      <c r="U1275" s="9" t="s">
        <v>13284</v>
      </c>
      <c r="V1275" s="9" t="s">
        <v>13284</v>
      </c>
      <c r="W1275" s="12"/>
      <c r="X1275" s="9" t="str">
        <f t="array" ref="X1275">IFERROR(INDEX('Адреса общежитий (скрытый)'!$B$2:$B$9, MATCH(W1275, 'Адреса общежитий (скрытый)'!$A$2:$A$9, 0)), "")</f>
        <v/>
      </c>
      <c r="Y1275" s="18"/>
      <c r="Z1275" s="18"/>
      <c r="AA1275" s="18"/>
      <c r="AB1275" s="18"/>
      <c r="AC1275" s="18"/>
    </row>
    <row r="1276" spans="1:29" ht="32.25" hidden="1" customHeight="1">
      <c r="A1276" s="8">
        <v>2315485</v>
      </c>
      <c r="B1276" s="9" t="s">
        <v>13284</v>
      </c>
      <c r="C1276" s="9" t="s">
        <v>13284</v>
      </c>
      <c r="D1276" s="9" t="s">
        <v>13284</v>
      </c>
      <c r="E1276" s="9" t="s">
        <v>13284</v>
      </c>
      <c r="F1276" s="9" t="s">
        <v>13284</v>
      </c>
      <c r="G1276" s="9" t="s">
        <v>13284</v>
      </c>
      <c r="H1276" s="9" t="s">
        <v>13284</v>
      </c>
      <c r="I1276" s="9" t="s">
        <v>13284</v>
      </c>
      <c r="J1276" s="9" t="s">
        <v>13284</v>
      </c>
      <c r="K1276" s="9" t="s">
        <v>13284</v>
      </c>
      <c r="L1276" s="9" t="s">
        <v>13284</v>
      </c>
      <c r="M1276" s="9" t="s">
        <v>13284</v>
      </c>
      <c r="N1276" s="9" t="s">
        <v>13284</v>
      </c>
      <c r="O1276" s="9" t="s">
        <v>13284</v>
      </c>
      <c r="P1276" s="9" t="s">
        <v>13284</v>
      </c>
      <c r="Q1276" s="9" t="s">
        <v>13284</v>
      </c>
      <c r="R1276" s="9" t="s">
        <v>13284</v>
      </c>
      <c r="S1276" s="9" t="s">
        <v>13284</v>
      </c>
      <c r="T1276" s="9" t="str">
        <f ca="1">IFERROR(IF(AND(VLOOKUP(A1276, 'Актуальное состояние (из общего'!A:C,3,0) = "", A1276 &lt;&gt; ""), "ПРОВЕРИТЬ", VLOOKUP(A1276, 'Актуальное состояние (из общего'!A:C,3,0)), "")</f>
        <v>Студент</v>
      </c>
      <c r="U1276" s="9" t="s">
        <v>13284</v>
      </c>
      <c r="V1276" s="9" t="s">
        <v>13284</v>
      </c>
      <c r="W1276" s="12"/>
      <c r="X1276" s="9" t="str">
        <f t="array" ref="X1276">IFERROR(INDEX('Адреса общежитий (скрытый)'!$B$2:$B$9, MATCH(W1276, 'Адреса общежитий (скрытый)'!$A$2:$A$9, 0)), "")</f>
        <v/>
      </c>
      <c r="Y1276" s="18"/>
      <c r="Z1276" s="18"/>
      <c r="AA1276" s="18"/>
      <c r="AB1276" s="18"/>
      <c r="AC1276" s="18"/>
    </row>
    <row r="1277" spans="1:29" ht="32.25" hidden="1" customHeight="1">
      <c r="A1277" s="8">
        <v>2304635</v>
      </c>
      <c r="B1277" s="9" t="s">
        <v>13284</v>
      </c>
      <c r="C1277" s="9" t="s">
        <v>13284</v>
      </c>
      <c r="D1277" s="9" t="s">
        <v>13284</v>
      </c>
      <c r="E1277" s="9" t="s">
        <v>13284</v>
      </c>
      <c r="F1277" s="9" t="s">
        <v>13284</v>
      </c>
      <c r="G1277" s="9" t="s">
        <v>13284</v>
      </c>
      <c r="H1277" s="9" t="s">
        <v>13284</v>
      </c>
      <c r="I1277" s="9" t="s">
        <v>13284</v>
      </c>
      <c r="J1277" s="9" t="s">
        <v>13284</v>
      </c>
      <c r="K1277" s="9" t="s">
        <v>13284</v>
      </c>
      <c r="L1277" s="9" t="s">
        <v>13284</v>
      </c>
      <c r="M1277" s="9" t="s">
        <v>13284</v>
      </c>
      <c r="N1277" s="9" t="s">
        <v>13284</v>
      </c>
      <c r="O1277" s="9" t="s">
        <v>13284</v>
      </c>
      <c r="P1277" s="9" t="s">
        <v>13284</v>
      </c>
      <c r="Q1277" s="9" t="s">
        <v>13284</v>
      </c>
      <c r="R1277" s="9" t="s">
        <v>13284</v>
      </c>
      <c r="S1277" s="9" t="s">
        <v>13284</v>
      </c>
      <c r="T1277" s="9" t="str">
        <f ca="1">IFERROR(IF(AND(VLOOKUP(A1277, 'Актуальное состояние (из общего'!A:C,3,0) = "", A1277 &lt;&gt; ""), "ПРОВЕРИТЬ", VLOOKUP(A1277, 'Актуальное состояние (из общего'!A:C,3,0)), "")</f>
        <v>Студент</v>
      </c>
      <c r="U1277" s="9" t="s">
        <v>13284</v>
      </c>
      <c r="V1277" s="9" t="s">
        <v>13284</v>
      </c>
      <c r="W1277" s="12"/>
      <c r="X1277" s="9" t="str">
        <f t="array" ref="X1277">IFERROR(INDEX('Адреса общежитий (скрытый)'!$B$2:$B$9, MATCH(W1277, 'Адреса общежитий (скрытый)'!$A$2:$A$9, 0)), "")</f>
        <v/>
      </c>
      <c r="Y1277" s="18"/>
      <c r="Z1277" s="18"/>
      <c r="AA1277" s="18"/>
      <c r="AB1277" s="18"/>
      <c r="AC1277" s="18"/>
    </row>
    <row r="1278" spans="1:29" ht="32.25" customHeight="1">
      <c r="A1278" s="8">
        <v>2301436</v>
      </c>
      <c r="B1278" s="9" t="s">
        <v>13284</v>
      </c>
      <c r="C1278" s="9" t="s">
        <v>13284</v>
      </c>
      <c r="D1278" s="9" t="s">
        <v>13284</v>
      </c>
      <c r="E1278" s="9" t="s">
        <v>13284</v>
      </c>
      <c r="F1278" s="9" t="s">
        <v>13284</v>
      </c>
      <c r="G1278" s="9" t="s">
        <v>13284</v>
      </c>
      <c r="H1278" s="9" t="s">
        <v>13284</v>
      </c>
      <c r="I1278" s="9" t="s">
        <v>13284</v>
      </c>
      <c r="J1278" s="9" t="s">
        <v>13284</v>
      </c>
      <c r="K1278" s="9" t="s">
        <v>13284</v>
      </c>
      <c r="L1278" s="9" t="s">
        <v>13284</v>
      </c>
      <c r="M1278" s="9" t="s">
        <v>13284</v>
      </c>
      <c r="N1278" s="9" t="s">
        <v>13284</v>
      </c>
      <c r="O1278" s="9" t="s">
        <v>13284</v>
      </c>
      <c r="P1278" s="9" t="s">
        <v>13284</v>
      </c>
      <c r="Q1278" s="9" t="s">
        <v>13284</v>
      </c>
      <c r="R1278" s="9" t="s">
        <v>13284</v>
      </c>
      <c r="S1278" s="9" t="s">
        <v>13284</v>
      </c>
      <c r="T1278" s="9" t="str">
        <f ca="1">IFERROR(IF(AND(VLOOKUP(A1278, 'Актуальное состояние (из общего'!A:C,3,0) = "", A1278 &lt;&gt; ""), "ПРОВЕРИТЬ", VLOOKUP(A1278, 'Актуальное состояние (из общего'!A:C,3,0)), "")</f>
        <v>Студент</v>
      </c>
      <c r="U1278" s="9" t="s">
        <v>13284</v>
      </c>
      <c r="V1278" s="9" t="s">
        <v>13284</v>
      </c>
      <c r="W1278" s="12"/>
      <c r="X1278" s="9" t="str">
        <f t="array" ref="X1278">IFERROR(INDEX('Адреса общежитий (скрытый)'!$B$2:$B$9, MATCH(W1278, 'Адреса общежитий (скрытый)'!$A$2:$A$9, 0)), "")</f>
        <v/>
      </c>
      <c r="Y1278" s="18"/>
      <c r="Z1278" s="18"/>
      <c r="AA1278" s="18"/>
      <c r="AB1278" s="18"/>
      <c r="AC1278" s="18"/>
    </row>
    <row r="1279" spans="1:29" ht="32.25" hidden="1" customHeight="1">
      <c r="A1279" s="8">
        <v>2302343</v>
      </c>
      <c r="B1279" s="9" t="s">
        <v>13284</v>
      </c>
      <c r="C1279" s="9" t="s">
        <v>13284</v>
      </c>
      <c r="D1279" s="9" t="s">
        <v>13284</v>
      </c>
      <c r="E1279" s="9" t="s">
        <v>13284</v>
      </c>
      <c r="F1279" s="9" t="s">
        <v>13284</v>
      </c>
      <c r="G1279" s="9" t="s">
        <v>13284</v>
      </c>
      <c r="H1279" s="9" t="s">
        <v>13284</v>
      </c>
      <c r="I1279" s="9" t="s">
        <v>13284</v>
      </c>
      <c r="J1279" s="9" t="s">
        <v>13284</v>
      </c>
      <c r="K1279" s="9" t="s">
        <v>13284</v>
      </c>
      <c r="L1279" s="9" t="s">
        <v>13284</v>
      </c>
      <c r="M1279" s="9" t="s">
        <v>13284</v>
      </c>
      <c r="N1279" s="9" t="s">
        <v>13284</v>
      </c>
      <c r="O1279" s="9" t="s">
        <v>13284</v>
      </c>
      <c r="P1279" s="9" t="s">
        <v>13284</v>
      </c>
      <c r="Q1279" s="9" t="s">
        <v>13284</v>
      </c>
      <c r="R1279" s="9" t="s">
        <v>13284</v>
      </c>
      <c r="S1279" s="9" t="s">
        <v>13284</v>
      </c>
      <c r="T1279" s="9" t="str">
        <f ca="1">IFERROR(IF(AND(VLOOKUP(A1279, 'Актуальное состояние (из общего'!A:C,3,0) = "", A1279 &lt;&gt; ""), "ПРОВЕРИТЬ", VLOOKUP(A1279, 'Актуальное состояние (из общего'!A:C,3,0)), "")</f>
        <v>Студент</v>
      </c>
      <c r="U1279" s="9" t="s">
        <v>13284</v>
      </c>
      <c r="V1279" s="9" t="s">
        <v>13284</v>
      </c>
      <c r="W1279" s="12"/>
      <c r="X1279" s="9" t="str">
        <f t="array" ref="X1279">IFERROR(INDEX('Адреса общежитий (скрытый)'!$B$2:$B$9, MATCH(W1279, 'Адреса общежитий (скрытый)'!$A$2:$A$9, 0)), "")</f>
        <v/>
      </c>
      <c r="Y1279" s="18"/>
      <c r="Z1279" s="18"/>
      <c r="AA1279" s="18"/>
      <c r="AB1279" s="18"/>
      <c r="AC1279" s="18"/>
    </row>
    <row r="1280" spans="1:29" ht="32.25" customHeight="1">
      <c r="A1280" s="8">
        <v>2301779</v>
      </c>
      <c r="B1280" s="9" t="s">
        <v>13284</v>
      </c>
      <c r="C1280" s="9" t="s">
        <v>13284</v>
      </c>
      <c r="D1280" s="9" t="s">
        <v>13284</v>
      </c>
      <c r="E1280" s="9" t="s">
        <v>13284</v>
      </c>
      <c r="F1280" s="9" t="s">
        <v>13284</v>
      </c>
      <c r="G1280" s="9" t="s">
        <v>13284</v>
      </c>
      <c r="H1280" s="9" t="s">
        <v>13284</v>
      </c>
      <c r="I1280" s="9" t="s">
        <v>13284</v>
      </c>
      <c r="J1280" s="9" t="s">
        <v>13284</v>
      </c>
      <c r="K1280" s="9" t="s">
        <v>13284</v>
      </c>
      <c r="L1280" s="9" t="s">
        <v>13284</v>
      </c>
      <c r="M1280" s="9" t="s">
        <v>13284</v>
      </c>
      <c r="N1280" s="9" t="s">
        <v>13284</v>
      </c>
      <c r="O1280" s="9" t="s">
        <v>13284</v>
      </c>
      <c r="P1280" s="9" t="s">
        <v>13284</v>
      </c>
      <c r="Q1280" s="9" t="s">
        <v>13284</v>
      </c>
      <c r="R1280" s="9" t="s">
        <v>13284</v>
      </c>
      <c r="S1280" s="9" t="s">
        <v>13284</v>
      </c>
      <c r="T1280" s="9" t="str">
        <f ca="1">IFERROR(IF(AND(VLOOKUP(A1280, 'Актуальное состояние (из общего'!A:C,3,0) = "", A1280 &lt;&gt; ""), "ПРОВЕРИТЬ", VLOOKUP(A1280, 'Актуальное состояние (из общего'!A:C,3,0)), "")</f>
        <v>Студент</v>
      </c>
      <c r="U1280" s="9" t="s">
        <v>13284</v>
      </c>
      <c r="V1280" s="9" t="s">
        <v>13284</v>
      </c>
      <c r="W1280" s="12"/>
      <c r="X1280" s="9" t="str">
        <f t="array" ref="X1280">IFERROR(INDEX('Адреса общежитий (скрытый)'!$B$2:$B$9, MATCH(W1280, 'Адреса общежитий (скрытый)'!$A$2:$A$9, 0)), "")</f>
        <v/>
      </c>
      <c r="Y1280" s="18"/>
      <c r="Z1280" s="18"/>
      <c r="AA1280" s="18"/>
      <c r="AB1280" s="18"/>
      <c r="AC1280" s="18"/>
    </row>
    <row r="1281" spans="1:29" ht="32.25" customHeight="1">
      <c r="A1281" s="8">
        <v>2308162</v>
      </c>
      <c r="B1281" s="9" t="s">
        <v>13284</v>
      </c>
      <c r="C1281" s="9" t="s">
        <v>13284</v>
      </c>
      <c r="D1281" s="9" t="s">
        <v>13284</v>
      </c>
      <c r="E1281" s="9" t="s">
        <v>13284</v>
      </c>
      <c r="F1281" s="9" t="s">
        <v>13284</v>
      </c>
      <c r="G1281" s="9" t="s">
        <v>13284</v>
      </c>
      <c r="H1281" s="9" t="s">
        <v>13284</v>
      </c>
      <c r="I1281" s="9" t="s">
        <v>13284</v>
      </c>
      <c r="J1281" s="9" t="s">
        <v>13284</v>
      </c>
      <c r="K1281" s="9" t="s">
        <v>13284</v>
      </c>
      <c r="L1281" s="9" t="s">
        <v>13284</v>
      </c>
      <c r="M1281" s="9" t="s">
        <v>13284</v>
      </c>
      <c r="N1281" s="9" t="s">
        <v>13284</v>
      </c>
      <c r="O1281" s="9" t="s">
        <v>13284</v>
      </c>
      <c r="P1281" s="9" t="s">
        <v>13284</v>
      </c>
      <c r="Q1281" s="9" t="s">
        <v>13284</v>
      </c>
      <c r="R1281" s="9" t="s">
        <v>13284</v>
      </c>
      <c r="S1281" s="9" t="s">
        <v>13284</v>
      </c>
      <c r="T1281" s="9" t="str">
        <f ca="1">IFERROR(IF(AND(VLOOKUP(A1281, 'Актуальное состояние (из общего'!A:C,3,0) = "", A1281 &lt;&gt; ""), "ПРОВЕРИТЬ", VLOOKUP(A1281, 'Актуальное состояние (из общего'!A:C,3,0)), "")</f>
        <v>Студент</v>
      </c>
      <c r="U1281" s="9" t="s">
        <v>13284</v>
      </c>
      <c r="V1281" s="9" t="s">
        <v>13284</v>
      </c>
      <c r="W1281" s="12"/>
      <c r="X1281" s="9" t="str">
        <f t="array" ref="X1281">IFERROR(INDEX('Адреса общежитий (скрытый)'!$B$2:$B$9, MATCH(W1281, 'Адреса общежитий (скрытый)'!$A$2:$A$9, 0)), "")</f>
        <v/>
      </c>
      <c r="Y1281" s="18"/>
      <c r="Z1281" s="18"/>
      <c r="AA1281" s="18"/>
      <c r="AB1281" s="18"/>
      <c r="AC1281" s="18"/>
    </row>
    <row r="1282" spans="1:29" ht="32.25" customHeight="1">
      <c r="A1282" s="8">
        <v>2301530</v>
      </c>
      <c r="B1282" s="9" t="s">
        <v>13284</v>
      </c>
      <c r="C1282" s="9" t="s">
        <v>13284</v>
      </c>
      <c r="D1282" s="9" t="s">
        <v>13284</v>
      </c>
      <c r="E1282" s="9" t="s">
        <v>13284</v>
      </c>
      <c r="F1282" s="9" t="s">
        <v>13284</v>
      </c>
      <c r="G1282" s="9" t="s">
        <v>13284</v>
      </c>
      <c r="H1282" s="9" t="s">
        <v>13284</v>
      </c>
      <c r="I1282" s="9" t="s">
        <v>13284</v>
      </c>
      <c r="J1282" s="9" t="s">
        <v>13284</v>
      </c>
      <c r="K1282" s="9" t="s">
        <v>13284</v>
      </c>
      <c r="L1282" s="9" t="s">
        <v>13284</v>
      </c>
      <c r="M1282" s="9" t="s">
        <v>13284</v>
      </c>
      <c r="N1282" s="9" t="s">
        <v>13284</v>
      </c>
      <c r="O1282" s="9" t="s">
        <v>13284</v>
      </c>
      <c r="P1282" s="9" t="s">
        <v>13284</v>
      </c>
      <c r="Q1282" s="9" t="s">
        <v>13284</v>
      </c>
      <c r="R1282" s="9" t="s">
        <v>13284</v>
      </c>
      <c r="S1282" s="9" t="s">
        <v>13284</v>
      </c>
      <c r="T1282" s="9" t="str">
        <f ca="1">IFERROR(IF(AND(VLOOKUP(A1282, 'Актуальное состояние (из общего'!A:C,3,0) = "", A1282 &lt;&gt; ""), "ПРОВЕРИТЬ", VLOOKUP(A1282, 'Актуальное состояние (из общего'!A:C,3,0)), "")</f>
        <v>Студент</v>
      </c>
      <c r="U1282" s="9" t="s">
        <v>13284</v>
      </c>
      <c r="V1282" s="9" t="s">
        <v>13284</v>
      </c>
      <c r="W1282" s="9" t="s">
        <v>319</v>
      </c>
      <c r="X1282" s="9" t="str">
        <f t="array" ref="X1282">IFERROR(INDEX('Адреса общежитий (скрытый)'!$B$2:$B$9, MATCH(W1282, 'Адреса общежитий (скрытый)'!$A$2:$A$9, 0)), "")</f>
        <v>ул. Профсоюзная, д.83, корп. 2</v>
      </c>
      <c r="Y1282" s="18"/>
      <c r="Z1282" s="18"/>
      <c r="AA1282" s="18"/>
      <c r="AB1282" s="18"/>
      <c r="AC1282" s="18"/>
    </row>
    <row r="1283" spans="1:29" ht="32.25" hidden="1" customHeight="1">
      <c r="A1283" s="8">
        <v>2301385</v>
      </c>
      <c r="B1283" s="9" t="s">
        <v>13284</v>
      </c>
      <c r="C1283" s="9" t="s">
        <v>13284</v>
      </c>
      <c r="D1283" s="9" t="s">
        <v>13284</v>
      </c>
      <c r="E1283" s="9" t="s">
        <v>13284</v>
      </c>
      <c r="F1283" s="9" t="s">
        <v>13284</v>
      </c>
      <c r="G1283" s="9" t="s">
        <v>13284</v>
      </c>
      <c r="H1283" s="9" t="s">
        <v>13284</v>
      </c>
      <c r="I1283" s="9" t="s">
        <v>13284</v>
      </c>
      <c r="J1283" s="9" t="s">
        <v>13284</v>
      </c>
      <c r="K1283" s="9" t="s">
        <v>13284</v>
      </c>
      <c r="L1283" s="9" t="s">
        <v>13284</v>
      </c>
      <c r="M1283" s="9" t="s">
        <v>13284</v>
      </c>
      <c r="N1283" s="9" t="s">
        <v>13284</v>
      </c>
      <c r="O1283" s="9" t="s">
        <v>13284</v>
      </c>
      <c r="P1283" s="9" t="s">
        <v>13284</v>
      </c>
      <c r="Q1283" s="9" t="s">
        <v>13284</v>
      </c>
      <c r="R1283" s="9" t="s">
        <v>13284</v>
      </c>
      <c r="S1283" s="9" t="s">
        <v>13284</v>
      </c>
      <c r="T1283" s="9" t="str">
        <f ca="1">IFERROR(IF(AND(VLOOKUP(A1283, 'Актуальное состояние (из общего'!A:C,3,0) = "", A1283 &lt;&gt; ""), "ПРОВЕРИТЬ", VLOOKUP(A1283, 'Актуальное состояние (из общего'!A:C,3,0)), "")</f>
        <v>Студент</v>
      </c>
      <c r="U1283" s="9" t="s">
        <v>13284</v>
      </c>
      <c r="V1283" s="9" t="s">
        <v>13284</v>
      </c>
      <c r="W1283" s="12"/>
      <c r="X1283" s="9" t="str">
        <f t="array" ref="X1283">IFERROR(INDEX('Адреса общежитий (скрытый)'!$B$2:$B$9, MATCH(W1283, 'Адреса общежитий (скрытый)'!$A$2:$A$9, 0)), "")</f>
        <v/>
      </c>
      <c r="Y1283" s="18"/>
      <c r="Z1283" s="18"/>
      <c r="AA1283" s="18"/>
      <c r="AB1283" s="18"/>
      <c r="AC1283" s="18"/>
    </row>
    <row r="1284" spans="1:29" ht="32.25" hidden="1" customHeight="1">
      <c r="A1284" s="8">
        <v>2303355</v>
      </c>
      <c r="B1284" s="9" t="s">
        <v>13284</v>
      </c>
      <c r="C1284" s="9" t="s">
        <v>13284</v>
      </c>
      <c r="D1284" s="9" t="s">
        <v>13284</v>
      </c>
      <c r="E1284" s="9" t="s">
        <v>13284</v>
      </c>
      <c r="F1284" s="9" t="s">
        <v>13284</v>
      </c>
      <c r="G1284" s="9" t="s">
        <v>13284</v>
      </c>
      <c r="H1284" s="9" t="s">
        <v>13284</v>
      </c>
      <c r="I1284" s="9" t="s">
        <v>13284</v>
      </c>
      <c r="J1284" s="9" t="s">
        <v>13284</v>
      </c>
      <c r="K1284" s="9" t="s">
        <v>13284</v>
      </c>
      <c r="L1284" s="9" t="s">
        <v>13284</v>
      </c>
      <c r="M1284" s="9" t="s">
        <v>13284</v>
      </c>
      <c r="N1284" s="9" t="s">
        <v>13284</v>
      </c>
      <c r="O1284" s="9" t="s">
        <v>13284</v>
      </c>
      <c r="P1284" s="9" t="s">
        <v>13284</v>
      </c>
      <c r="Q1284" s="9" t="s">
        <v>13284</v>
      </c>
      <c r="R1284" s="9" t="s">
        <v>13284</v>
      </c>
      <c r="S1284" s="9" t="s">
        <v>13284</v>
      </c>
      <c r="T1284" s="9" t="str">
        <f ca="1">IFERROR(IF(AND(VLOOKUP(A1284, 'Актуальное состояние (из общего'!A:C,3,0) = "", A1284 &lt;&gt; ""), "ПРОВЕРИТЬ", VLOOKUP(A1284, 'Актуальное состояние (из общего'!A:C,3,0)), "")</f>
        <v>Студент</v>
      </c>
      <c r="U1284" s="9" t="s">
        <v>13284</v>
      </c>
      <c r="V1284" s="9" t="s">
        <v>13284</v>
      </c>
      <c r="W1284" s="12"/>
      <c r="X1284" s="9" t="str">
        <f t="array" ref="X1284">IFERROR(INDEX('Адреса общежитий (скрытый)'!$B$2:$B$9, MATCH(W1284, 'Адреса общежитий (скрытый)'!$A$2:$A$9, 0)), "")</f>
        <v/>
      </c>
      <c r="Y1284" s="18"/>
      <c r="Z1284" s="18"/>
      <c r="AA1284" s="18"/>
      <c r="AB1284" s="18"/>
      <c r="AC1284" s="18"/>
    </row>
    <row r="1285" spans="1:29" ht="32.25" hidden="1" customHeight="1">
      <c r="A1285" s="8">
        <v>2315136</v>
      </c>
      <c r="B1285" s="9" t="s">
        <v>13284</v>
      </c>
      <c r="C1285" s="9" t="s">
        <v>13284</v>
      </c>
      <c r="D1285" s="9" t="s">
        <v>13284</v>
      </c>
      <c r="E1285" s="9" t="s">
        <v>13284</v>
      </c>
      <c r="F1285" s="9" t="s">
        <v>13284</v>
      </c>
      <c r="G1285" s="9" t="s">
        <v>13284</v>
      </c>
      <c r="H1285" s="9" t="s">
        <v>13284</v>
      </c>
      <c r="I1285" s="9" t="s">
        <v>13284</v>
      </c>
      <c r="J1285" s="9" t="s">
        <v>13284</v>
      </c>
      <c r="K1285" s="9" t="s">
        <v>13284</v>
      </c>
      <c r="L1285" s="9" t="s">
        <v>13284</v>
      </c>
      <c r="M1285" s="9" t="s">
        <v>13284</v>
      </c>
      <c r="N1285" s="9" t="s">
        <v>13284</v>
      </c>
      <c r="O1285" s="9" t="s">
        <v>13284</v>
      </c>
      <c r="P1285" s="9" t="s">
        <v>13284</v>
      </c>
      <c r="Q1285" s="9" t="s">
        <v>13284</v>
      </c>
      <c r="R1285" s="9" t="s">
        <v>13284</v>
      </c>
      <c r="S1285" s="9" t="s">
        <v>13284</v>
      </c>
      <c r="T1285" s="9" t="str">
        <f ca="1">IFERROR(IF(AND(VLOOKUP(A1285, 'Актуальное состояние (из общего'!A:C,3,0) = "", A1285 &lt;&gt; ""), "ПРОВЕРИТЬ", VLOOKUP(A1285, 'Актуальное состояние (из общего'!A:C,3,0)), "")</f>
        <v>Студент</v>
      </c>
      <c r="U1285" s="9" t="s">
        <v>13284</v>
      </c>
      <c r="V1285" s="9" t="s">
        <v>13284</v>
      </c>
      <c r="W1285" s="12"/>
      <c r="X1285" s="9" t="str">
        <f t="array" ref="X1285">IFERROR(INDEX('Адреса общежитий (скрытый)'!$B$2:$B$9, MATCH(W1285, 'Адреса общежитий (скрытый)'!$A$2:$A$9, 0)), "")</f>
        <v/>
      </c>
      <c r="Y1285" s="18"/>
      <c r="Z1285" s="18"/>
      <c r="AA1285" s="18"/>
      <c r="AB1285" s="18"/>
      <c r="AC1285" s="18"/>
    </row>
    <row r="1286" spans="1:29" ht="32.25" hidden="1" customHeight="1">
      <c r="A1286" s="8">
        <v>2304129</v>
      </c>
      <c r="B1286" s="9" t="s">
        <v>13284</v>
      </c>
      <c r="C1286" s="9" t="s">
        <v>13284</v>
      </c>
      <c r="D1286" s="9" t="s">
        <v>13284</v>
      </c>
      <c r="E1286" s="9" t="s">
        <v>13284</v>
      </c>
      <c r="F1286" s="9" t="s">
        <v>13284</v>
      </c>
      <c r="G1286" s="9" t="s">
        <v>13284</v>
      </c>
      <c r="H1286" s="9" t="s">
        <v>13284</v>
      </c>
      <c r="I1286" s="9" t="s">
        <v>13284</v>
      </c>
      <c r="J1286" s="9" t="s">
        <v>13284</v>
      </c>
      <c r="K1286" s="9" t="s">
        <v>13284</v>
      </c>
      <c r="L1286" s="9" t="s">
        <v>13284</v>
      </c>
      <c r="M1286" s="9" t="s">
        <v>13284</v>
      </c>
      <c r="N1286" s="9" t="s">
        <v>13284</v>
      </c>
      <c r="O1286" s="9" t="s">
        <v>13284</v>
      </c>
      <c r="P1286" s="9" t="s">
        <v>13284</v>
      </c>
      <c r="Q1286" s="9" t="s">
        <v>13284</v>
      </c>
      <c r="R1286" s="9" t="s">
        <v>13284</v>
      </c>
      <c r="S1286" s="9" t="s">
        <v>13284</v>
      </c>
      <c r="T1286" s="9" t="str">
        <f ca="1">IFERROR(IF(AND(VLOOKUP(A1286, 'Актуальное состояние (из общего'!A:C,3,0) = "", A1286 &lt;&gt; ""), "ПРОВЕРИТЬ", VLOOKUP(A1286, 'Актуальное состояние (из общего'!A:C,3,0)), "")</f>
        <v>Студент</v>
      </c>
      <c r="U1286" s="9" t="s">
        <v>13284</v>
      </c>
      <c r="V1286" s="9" t="s">
        <v>13284</v>
      </c>
      <c r="W1286" s="12"/>
      <c r="X1286" s="9" t="str">
        <f t="array" ref="X1286">IFERROR(INDEX('Адреса общежитий (скрытый)'!$B$2:$B$9, MATCH(W1286, 'Адреса общежитий (скрытый)'!$A$2:$A$9, 0)), "")</f>
        <v/>
      </c>
      <c r="Y1286" s="18"/>
      <c r="Z1286" s="18"/>
      <c r="AA1286" s="18"/>
      <c r="AB1286" s="18"/>
      <c r="AC1286" s="18"/>
    </row>
    <row r="1287" spans="1:29" ht="32.25" hidden="1" customHeight="1">
      <c r="A1287" s="8">
        <v>2301792</v>
      </c>
      <c r="B1287" s="9" t="s">
        <v>13284</v>
      </c>
      <c r="C1287" s="9" t="s">
        <v>13284</v>
      </c>
      <c r="D1287" s="9" t="s">
        <v>13284</v>
      </c>
      <c r="E1287" s="9" t="s">
        <v>13284</v>
      </c>
      <c r="F1287" s="9" t="s">
        <v>13284</v>
      </c>
      <c r="G1287" s="9" t="s">
        <v>13284</v>
      </c>
      <c r="H1287" s="9" t="s">
        <v>13284</v>
      </c>
      <c r="I1287" s="9" t="s">
        <v>13284</v>
      </c>
      <c r="J1287" s="9" t="s">
        <v>13284</v>
      </c>
      <c r="K1287" s="9" t="s">
        <v>13284</v>
      </c>
      <c r="L1287" s="9" t="s">
        <v>13284</v>
      </c>
      <c r="M1287" s="9" t="s">
        <v>13284</v>
      </c>
      <c r="N1287" s="9" t="s">
        <v>13284</v>
      </c>
      <c r="O1287" s="9" t="s">
        <v>13284</v>
      </c>
      <c r="P1287" s="9" t="s">
        <v>13284</v>
      </c>
      <c r="Q1287" s="9" t="s">
        <v>13284</v>
      </c>
      <c r="R1287" s="9" t="s">
        <v>13284</v>
      </c>
      <c r="S1287" s="9" t="s">
        <v>13284</v>
      </c>
      <c r="T1287" s="9" t="str">
        <f ca="1">IFERROR(IF(AND(VLOOKUP(A1287, 'Актуальное состояние (из общего'!A:C,3,0) = "", A1287 &lt;&gt; ""), "ПРОВЕРИТЬ", VLOOKUP(A1287, 'Актуальное состояние (из общего'!A:C,3,0)), "")</f>
        <v>Студент</v>
      </c>
      <c r="U1287" s="9" t="s">
        <v>13284</v>
      </c>
      <c r="V1287" s="9" t="s">
        <v>13284</v>
      </c>
      <c r="W1287" s="12"/>
      <c r="X1287" s="9" t="str">
        <f t="array" ref="X1287">IFERROR(INDEX('Адреса общежитий (скрытый)'!$B$2:$B$9, MATCH(W1287, 'Адреса общежитий (скрытый)'!$A$2:$A$9, 0)), "")</f>
        <v/>
      </c>
      <c r="Y1287" s="18"/>
      <c r="Z1287" s="18"/>
      <c r="AA1287" s="18"/>
      <c r="AB1287" s="18"/>
      <c r="AC1287" s="18"/>
    </row>
    <row r="1288" spans="1:29" ht="32.25" hidden="1" customHeight="1">
      <c r="A1288" s="8">
        <v>2308114</v>
      </c>
      <c r="B1288" s="9" t="s">
        <v>13284</v>
      </c>
      <c r="C1288" s="9" t="s">
        <v>13284</v>
      </c>
      <c r="D1288" s="9" t="s">
        <v>13284</v>
      </c>
      <c r="E1288" s="9" t="s">
        <v>13284</v>
      </c>
      <c r="F1288" s="9" t="s">
        <v>13284</v>
      </c>
      <c r="G1288" s="9" t="s">
        <v>13284</v>
      </c>
      <c r="H1288" s="9" t="s">
        <v>13284</v>
      </c>
      <c r="I1288" s="9" t="s">
        <v>13284</v>
      </c>
      <c r="J1288" s="9" t="s">
        <v>13284</v>
      </c>
      <c r="K1288" s="9" t="s">
        <v>13284</v>
      </c>
      <c r="L1288" s="9" t="s">
        <v>13284</v>
      </c>
      <c r="M1288" s="9" t="s">
        <v>13284</v>
      </c>
      <c r="N1288" s="9" t="s">
        <v>13284</v>
      </c>
      <c r="O1288" s="9" t="s">
        <v>13284</v>
      </c>
      <c r="P1288" s="9" t="s">
        <v>13284</v>
      </c>
      <c r="Q1288" s="9" t="s">
        <v>13284</v>
      </c>
      <c r="R1288" s="9" t="s">
        <v>13284</v>
      </c>
      <c r="S1288" s="9" t="s">
        <v>13284</v>
      </c>
      <c r="T1288" s="9" t="str">
        <f ca="1">IFERROR(IF(AND(VLOOKUP(A1288, 'Актуальное состояние (из общего'!A:C,3,0) = "", A1288 &lt;&gt; ""), "ПРОВЕРИТЬ", VLOOKUP(A1288, 'Актуальное состояние (из общего'!A:C,3,0)), "")</f>
        <v>Студент</v>
      </c>
      <c r="U1288" s="9" t="s">
        <v>13284</v>
      </c>
      <c r="V1288" s="9" t="s">
        <v>13284</v>
      </c>
      <c r="W1288" s="12"/>
      <c r="X1288" s="9" t="str">
        <f t="array" ref="X1288">IFERROR(INDEX('Адреса общежитий (скрытый)'!$B$2:$B$9, MATCH(W1288, 'Адреса общежитий (скрытый)'!$A$2:$A$9, 0)), "")</f>
        <v/>
      </c>
      <c r="Y1288" s="18"/>
      <c r="Z1288" s="18"/>
      <c r="AA1288" s="18"/>
      <c r="AB1288" s="18"/>
      <c r="AC1288" s="18"/>
    </row>
    <row r="1289" spans="1:29" ht="32.25" customHeight="1">
      <c r="A1289" s="8">
        <v>2312031</v>
      </c>
      <c r="B1289" s="9" t="s">
        <v>13284</v>
      </c>
      <c r="C1289" s="9" t="s">
        <v>13284</v>
      </c>
      <c r="D1289" s="9" t="s">
        <v>13284</v>
      </c>
      <c r="E1289" s="9" t="s">
        <v>13284</v>
      </c>
      <c r="F1289" s="9" t="s">
        <v>13284</v>
      </c>
      <c r="G1289" s="9" t="s">
        <v>13284</v>
      </c>
      <c r="H1289" s="9" t="s">
        <v>13284</v>
      </c>
      <c r="I1289" s="9" t="s">
        <v>13284</v>
      </c>
      <c r="J1289" s="9" t="s">
        <v>13284</v>
      </c>
      <c r="K1289" s="9" t="s">
        <v>13284</v>
      </c>
      <c r="L1289" s="9" t="s">
        <v>13284</v>
      </c>
      <c r="M1289" s="9" t="s">
        <v>13284</v>
      </c>
      <c r="N1289" s="9" t="s">
        <v>13284</v>
      </c>
      <c r="O1289" s="9" t="s">
        <v>13284</v>
      </c>
      <c r="P1289" s="9" t="s">
        <v>13284</v>
      </c>
      <c r="Q1289" s="9" t="s">
        <v>13284</v>
      </c>
      <c r="R1289" s="9" t="s">
        <v>13284</v>
      </c>
      <c r="S1289" s="9" t="s">
        <v>13284</v>
      </c>
      <c r="T1289" s="9" t="str">
        <f ca="1">IFERROR(IF(AND(VLOOKUP(A1289, 'Актуальное состояние (из общего'!A:C,3,0) = "", A1289 &lt;&gt; ""), "ПРОВЕРИТЬ", VLOOKUP(A1289, 'Актуальное состояние (из общего'!A:C,3,0)), "")</f>
        <v>Студент</v>
      </c>
      <c r="U1289" s="9" t="s">
        <v>13284</v>
      </c>
      <c r="V1289" s="9" t="s">
        <v>13284</v>
      </c>
      <c r="W1289" s="12"/>
      <c r="X1289" s="9" t="str">
        <f t="array" ref="X1289">IFERROR(INDEX('Адреса общежитий (скрытый)'!$B$2:$B$9, MATCH(W1289, 'Адреса общежитий (скрытый)'!$A$2:$A$9, 0)), "")</f>
        <v/>
      </c>
      <c r="Y1289" s="18"/>
      <c r="Z1289" s="18"/>
      <c r="AA1289" s="18"/>
      <c r="AB1289" s="18"/>
      <c r="AC1289" s="18"/>
    </row>
    <row r="1290" spans="1:29" ht="32.25" hidden="1" customHeight="1">
      <c r="A1290" s="8">
        <v>2306444</v>
      </c>
      <c r="B1290" s="9" t="s">
        <v>13284</v>
      </c>
      <c r="C1290" s="9" t="s">
        <v>13284</v>
      </c>
      <c r="D1290" s="9" t="s">
        <v>13284</v>
      </c>
      <c r="E1290" s="9" t="s">
        <v>13284</v>
      </c>
      <c r="F1290" s="9" t="s">
        <v>13284</v>
      </c>
      <c r="G1290" s="9" t="s">
        <v>13284</v>
      </c>
      <c r="H1290" s="9" t="s">
        <v>13284</v>
      </c>
      <c r="I1290" s="9" t="s">
        <v>13284</v>
      </c>
      <c r="J1290" s="9" t="s">
        <v>13284</v>
      </c>
      <c r="K1290" s="9" t="s">
        <v>13284</v>
      </c>
      <c r="L1290" s="9" t="s">
        <v>13284</v>
      </c>
      <c r="M1290" s="9" t="s">
        <v>13284</v>
      </c>
      <c r="N1290" s="9" t="s">
        <v>13284</v>
      </c>
      <c r="O1290" s="9" t="s">
        <v>13284</v>
      </c>
      <c r="P1290" s="9" t="s">
        <v>13284</v>
      </c>
      <c r="Q1290" s="9" t="s">
        <v>13284</v>
      </c>
      <c r="R1290" s="9" t="s">
        <v>13284</v>
      </c>
      <c r="S1290" s="9" t="s">
        <v>13284</v>
      </c>
      <c r="T1290" s="9" t="str">
        <f ca="1">IFERROR(IF(AND(VLOOKUP(A1290, 'Актуальное состояние (из общего'!A:C,3,0) = "", A1290 &lt;&gt; ""), "ПРОВЕРИТЬ", VLOOKUP(A1290, 'Актуальное состояние (из общего'!A:C,3,0)), "")</f>
        <v>Студент</v>
      </c>
      <c r="U1290" s="9" t="s">
        <v>13284</v>
      </c>
      <c r="V1290" s="9" t="s">
        <v>13284</v>
      </c>
      <c r="W1290" s="12"/>
      <c r="X1290" s="9" t="str">
        <f t="array" ref="X1290">IFERROR(INDEX('Адреса общежитий (скрытый)'!$B$2:$B$9, MATCH(W1290, 'Адреса общежитий (скрытый)'!$A$2:$A$9, 0)), "")</f>
        <v/>
      </c>
      <c r="Y1290" s="18"/>
      <c r="Z1290" s="18"/>
      <c r="AA1290" s="18"/>
      <c r="AB1290" s="18"/>
      <c r="AC1290" s="18"/>
    </row>
    <row r="1291" spans="1:29" ht="32.25" hidden="1" customHeight="1">
      <c r="A1291" s="8">
        <v>2304951</v>
      </c>
      <c r="B1291" s="9" t="s">
        <v>13284</v>
      </c>
      <c r="C1291" s="9" t="s">
        <v>13284</v>
      </c>
      <c r="D1291" s="9" t="s">
        <v>13284</v>
      </c>
      <c r="E1291" s="9" t="s">
        <v>13284</v>
      </c>
      <c r="F1291" s="9" t="s">
        <v>13284</v>
      </c>
      <c r="G1291" s="9" t="s">
        <v>13284</v>
      </c>
      <c r="H1291" s="9" t="s">
        <v>13284</v>
      </c>
      <c r="I1291" s="9" t="s">
        <v>13284</v>
      </c>
      <c r="J1291" s="9" t="s">
        <v>13284</v>
      </c>
      <c r="K1291" s="9" t="s">
        <v>13284</v>
      </c>
      <c r="L1291" s="9" t="s">
        <v>13284</v>
      </c>
      <c r="M1291" s="9" t="s">
        <v>13284</v>
      </c>
      <c r="N1291" s="9" t="s">
        <v>13284</v>
      </c>
      <c r="O1291" s="9" t="s">
        <v>13284</v>
      </c>
      <c r="P1291" s="9" t="s">
        <v>13284</v>
      </c>
      <c r="Q1291" s="9" t="s">
        <v>13284</v>
      </c>
      <c r="R1291" s="9" t="s">
        <v>13284</v>
      </c>
      <c r="S1291" s="9" t="s">
        <v>13284</v>
      </c>
      <c r="T1291" s="9" t="str">
        <f ca="1">IFERROR(IF(AND(VLOOKUP(A1291, 'Актуальное состояние (из общего'!A:C,3,0) = "", A1291 &lt;&gt; ""), "ПРОВЕРИТЬ", VLOOKUP(A1291, 'Актуальное состояние (из общего'!A:C,3,0)), "")</f>
        <v>Студент</v>
      </c>
      <c r="U1291" s="9" t="s">
        <v>13284</v>
      </c>
      <c r="V1291" s="9" t="s">
        <v>13284</v>
      </c>
      <c r="W1291" s="12"/>
      <c r="X1291" s="9" t="str">
        <f t="array" ref="X1291">IFERROR(INDEX('Адреса общежитий (скрытый)'!$B$2:$B$9, MATCH(W1291, 'Адреса общежитий (скрытый)'!$A$2:$A$9, 0)), "")</f>
        <v/>
      </c>
      <c r="Y1291" s="18"/>
      <c r="Z1291" s="18"/>
      <c r="AA1291" s="18"/>
      <c r="AB1291" s="18"/>
      <c r="AC1291" s="18"/>
    </row>
    <row r="1292" spans="1:29" ht="32.25" hidden="1" customHeight="1">
      <c r="A1292" s="8">
        <v>2302238</v>
      </c>
      <c r="B1292" s="9" t="s">
        <v>13284</v>
      </c>
      <c r="C1292" s="9" t="s">
        <v>13284</v>
      </c>
      <c r="D1292" s="9" t="s">
        <v>13284</v>
      </c>
      <c r="E1292" s="9" t="s">
        <v>13284</v>
      </c>
      <c r="F1292" s="9" t="s">
        <v>13284</v>
      </c>
      <c r="G1292" s="9" t="s">
        <v>13284</v>
      </c>
      <c r="H1292" s="9" t="s">
        <v>13284</v>
      </c>
      <c r="I1292" s="9" t="s">
        <v>13284</v>
      </c>
      <c r="J1292" s="9" t="s">
        <v>13284</v>
      </c>
      <c r="K1292" s="9" t="s">
        <v>13284</v>
      </c>
      <c r="L1292" s="9" t="s">
        <v>13284</v>
      </c>
      <c r="M1292" s="9" t="s">
        <v>13284</v>
      </c>
      <c r="N1292" s="9" t="s">
        <v>13284</v>
      </c>
      <c r="O1292" s="9" t="s">
        <v>13284</v>
      </c>
      <c r="P1292" s="9" t="s">
        <v>13284</v>
      </c>
      <c r="Q1292" s="9" t="s">
        <v>13284</v>
      </c>
      <c r="R1292" s="9" t="s">
        <v>13284</v>
      </c>
      <c r="S1292" s="9" t="s">
        <v>13284</v>
      </c>
      <c r="T1292" s="9" t="str">
        <f ca="1">IFERROR(IF(AND(VLOOKUP(A1292, 'Актуальное состояние (из общего'!A:C,3,0) = "", A1292 &lt;&gt; ""), "ПРОВЕРИТЬ", VLOOKUP(A1292, 'Актуальное состояние (из общего'!A:C,3,0)), "")</f>
        <v>Студент</v>
      </c>
      <c r="U1292" s="9" t="s">
        <v>13284</v>
      </c>
      <c r="V1292" s="9" t="s">
        <v>13284</v>
      </c>
      <c r="W1292" s="12"/>
      <c r="X1292" s="9" t="str">
        <f t="array" ref="X1292">IFERROR(INDEX('Адреса общежитий (скрытый)'!$B$2:$B$9, MATCH(W1292, 'Адреса общежитий (скрытый)'!$A$2:$A$9, 0)), "")</f>
        <v/>
      </c>
      <c r="Y1292" s="18"/>
      <c r="Z1292" s="18"/>
      <c r="AA1292" s="18"/>
      <c r="AB1292" s="18"/>
      <c r="AC1292" s="18"/>
    </row>
    <row r="1293" spans="1:29" ht="32.25" customHeight="1">
      <c r="A1293" s="8">
        <v>2306661</v>
      </c>
      <c r="B1293" s="9" t="s">
        <v>13284</v>
      </c>
      <c r="C1293" s="9" t="s">
        <v>13284</v>
      </c>
      <c r="D1293" s="9" t="s">
        <v>13284</v>
      </c>
      <c r="E1293" s="9" t="s">
        <v>13284</v>
      </c>
      <c r="F1293" s="9" t="s">
        <v>13284</v>
      </c>
      <c r="G1293" s="9" t="s">
        <v>13284</v>
      </c>
      <c r="H1293" s="9" t="s">
        <v>13284</v>
      </c>
      <c r="I1293" s="9" t="s">
        <v>13284</v>
      </c>
      <c r="J1293" s="9" t="s">
        <v>13284</v>
      </c>
      <c r="K1293" s="9" t="s">
        <v>13284</v>
      </c>
      <c r="L1293" s="9" t="s">
        <v>13284</v>
      </c>
      <c r="M1293" s="9" t="s">
        <v>13284</v>
      </c>
      <c r="N1293" s="9" t="s">
        <v>13284</v>
      </c>
      <c r="O1293" s="9" t="s">
        <v>13284</v>
      </c>
      <c r="P1293" s="9" t="s">
        <v>13284</v>
      </c>
      <c r="Q1293" s="9" t="s">
        <v>13284</v>
      </c>
      <c r="R1293" s="9" t="s">
        <v>13284</v>
      </c>
      <c r="S1293" s="9" t="s">
        <v>13284</v>
      </c>
      <c r="T1293" s="9" t="str">
        <f ca="1">IFERROR(IF(AND(VLOOKUP(A1293, 'Актуальное состояние (из общего'!A:C,3,0) = "", A1293 &lt;&gt; ""), "ПРОВЕРИТЬ", VLOOKUP(A1293, 'Актуальное состояние (из общего'!A:C,3,0)), "")</f>
        <v>Студент</v>
      </c>
      <c r="U1293" s="9" t="s">
        <v>13284</v>
      </c>
      <c r="V1293" s="9" t="s">
        <v>13284</v>
      </c>
      <c r="W1293" s="9" t="s">
        <v>319</v>
      </c>
      <c r="X1293" s="9" t="str">
        <f t="array" ref="X1293">IFERROR(INDEX('Адреса общежитий (скрытый)'!$B$2:$B$9, MATCH(W1293, 'Адреса общежитий (скрытый)'!$A$2:$A$9, 0)), "")</f>
        <v>ул. Профсоюзная, д.83, корп. 2</v>
      </c>
      <c r="Y1293" s="18"/>
      <c r="Z1293" s="18"/>
      <c r="AA1293" s="18"/>
      <c r="AB1293" s="18"/>
      <c r="AC1293" s="18"/>
    </row>
    <row r="1294" spans="1:29" ht="32.25" hidden="1" customHeight="1">
      <c r="A1294" s="8">
        <v>2306033</v>
      </c>
      <c r="B1294" s="9" t="s">
        <v>13284</v>
      </c>
      <c r="C1294" s="9" t="s">
        <v>13284</v>
      </c>
      <c r="D1294" s="9" t="s">
        <v>13284</v>
      </c>
      <c r="E1294" s="9" t="s">
        <v>13284</v>
      </c>
      <c r="F1294" s="9" t="s">
        <v>13284</v>
      </c>
      <c r="G1294" s="9" t="s">
        <v>13284</v>
      </c>
      <c r="H1294" s="9" t="s">
        <v>13284</v>
      </c>
      <c r="I1294" s="9" t="s">
        <v>13284</v>
      </c>
      <c r="J1294" s="9" t="s">
        <v>13284</v>
      </c>
      <c r="K1294" s="9" t="s">
        <v>13284</v>
      </c>
      <c r="L1294" s="9" t="s">
        <v>13284</v>
      </c>
      <c r="M1294" s="9" t="s">
        <v>13284</v>
      </c>
      <c r="N1294" s="9" t="s">
        <v>13284</v>
      </c>
      <c r="O1294" s="9" t="s">
        <v>13284</v>
      </c>
      <c r="P1294" s="9" t="s">
        <v>13284</v>
      </c>
      <c r="Q1294" s="9" t="s">
        <v>13284</v>
      </c>
      <c r="R1294" s="9" t="s">
        <v>13284</v>
      </c>
      <c r="S1294" s="9" t="s">
        <v>13284</v>
      </c>
      <c r="T1294" s="9" t="str">
        <f ca="1">IFERROR(IF(AND(VLOOKUP(A1294, 'Актуальное состояние (из общего'!A:C,3,0) = "", A1294 &lt;&gt; ""), "ПРОВЕРИТЬ", VLOOKUP(A1294, 'Актуальное состояние (из общего'!A:C,3,0)), "")</f>
        <v>Студент</v>
      </c>
      <c r="U1294" s="9" t="s">
        <v>13284</v>
      </c>
      <c r="V1294" s="9" t="s">
        <v>13284</v>
      </c>
      <c r="W1294" s="12"/>
      <c r="X1294" s="9" t="str">
        <f t="array" ref="X1294">IFERROR(INDEX('Адреса общежитий (скрытый)'!$B$2:$B$9, MATCH(W1294, 'Адреса общежитий (скрытый)'!$A$2:$A$9, 0)), "")</f>
        <v/>
      </c>
      <c r="Y1294" s="18"/>
      <c r="Z1294" s="18"/>
      <c r="AA1294" s="18"/>
      <c r="AB1294" s="18"/>
      <c r="AC1294" s="18"/>
    </row>
    <row r="1295" spans="1:29" ht="32.25" hidden="1" customHeight="1">
      <c r="A1295" s="8">
        <v>2302001</v>
      </c>
      <c r="B1295" s="9" t="s">
        <v>13284</v>
      </c>
      <c r="C1295" s="9" t="s">
        <v>13284</v>
      </c>
      <c r="D1295" s="9" t="s">
        <v>13284</v>
      </c>
      <c r="E1295" s="9" t="s">
        <v>13284</v>
      </c>
      <c r="F1295" s="9" t="s">
        <v>13284</v>
      </c>
      <c r="G1295" s="9" t="s">
        <v>13284</v>
      </c>
      <c r="H1295" s="9" t="s">
        <v>13284</v>
      </c>
      <c r="I1295" s="9" t="s">
        <v>13284</v>
      </c>
      <c r="J1295" s="9" t="s">
        <v>13284</v>
      </c>
      <c r="K1295" s="9" t="s">
        <v>13284</v>
      </c>
      <c r="L1295" s="9" t="s">
        <v>13284</v>
      </c>
      <c r="M1295" s="9" t="s">
        <v>13284</v>
      </c>
      <c r="N1295" s="9" t="s">
        <v>13284</v>
      </c>
      <c r="O1295" s="9" t="s">
        <v>13284</v>
      </c>
      <c r="P1295" s="9" t="s">
        <v>13284</v>
      </c>
      <c r="Q1295" s="9" t="s">
        <v>13284</v>
      </c>
      <c r="R1295" s="9" t="s">
        <v>13284</v>
      </c>
      <c r="S1295" s="9" t="s">
        <v>13284</v>
      </c>
      <c r="T1295" s="9" t="str">
        <f ca="1">IFERROR(IF(AND(VLOOKUP(A1295, 'Актуальное состояние (из общего'!A:C,3,0) = "", A1295 &lt;&gt; ""), "ПРОВЕРИТЬ", VLOOKUP(A1295, 'Актуальное состояние (из общего'!A:C,3,0)), "")</f>
        <v>Студент</v>
      </c>
      <c r="U1295" s="9" t="s">
        <v>13284</v>
      </c>
      <c r="V1295" s="9" t="s">
        <v>13284</v>
      </c>
      <c r="W1295" s="12"/>
      <c r="X1295" s="9" t="str">
        <f t="array" ref="X1295">IFERROR(INDEX('Адреса общежитий (скрытый)'!$B$2:$B$9, MATCH(W1295, 'Адреса общежитий (скрытый)'!$A$2:$A$9, 0)), "")</f>
        <v/>
      </c>
      <c r="Y1295" s="18"/>
      <c r="Z1295" s="18"/>
      <c r="AA1295" s="18"/>
      <c r="AB1295" s="18"/>
      <c r="AC1295" s="18"/>
    </row>
    <row r="1296" spans="1:29" ht="32.25" customHeight="1">
      <c r="A1296" s="8">
        <v>2309278</v>
      </c>
      <c r="B1296" s="9" t="s">
        <v>13284</v>
      </c>
      <c r="C1296" s="9" t="s">
        <v>13284</v>
      </c>
      <c r="D1296" s="9" t="s">
        <v>13284</v>
      </c>
      <c r="E1296" s="9" t="s">
        <v>13284</v>
      </c>
      <c r="F1296" s="9" t="s">
        <v>13284</v>
      </c>
      <c r="G1296" s="9" t="s">
        <v>13284</v>
      </c>
      <c r="H1296" s="9" t="s">
        <v>13284</v>
      </c>
      <c r="I1296" s="9" t="s">
        <v>13284</v>
      </c>
      <c r="J1296" s="9" t="s">
        <v>13284</v>
      </c>
      <c r="K1296" s="9" t="s">
        <v>13284</v>
      </c>
      <c r="L1296" s="9" t="s">
        <v>13284</v>
      </c>
      <c r="M1296" s="9" t="s">
        <v>13284</v>
      </c>
      <c r="N1296" s="9" t="s">
        <v>13284</v>
      </c>
      <c r="O1296" s="9" t="s">
        <v>13284</v>
      </c>
      <c r="P1296" s="9" t="s">
        <v>13284</v>
      </c>
      <c r="Q1296" s="9" t="s">
        <v>13284</v>
      </c>
      <c r="R1296" s="9" t="s">
        <v>13284</v>
      </c>
      <c r="S1296" s="9" t="s">
        <v>13284</v>
      </c>
      <c r="T1296" s="9" t="str">
        <f ca="1">IFERROR(IF(AND(VLOOKUP(A1296, 'Актуальное состояние (из общего'!A:C,3,0) = "", A1296 &lt;&gt; ""), "ПРОВЕРИТЬ", VLOOKUP(A1296, 'Актуальное состояние (из общего'!A:C,3,0)), "")</f>
        <v>Студент</v>
      </c>
      <c r="U1296" s="9" t="s">
        <v>13284</v>
      </c>
      <c r="V1296" s="9" t="s">
        <v>13284</v>
      </c>
      <c r="W1296" s="9" t="s">
        <v>319</v>
      </c>
      <c r="X1296" s="9" t="str">
        <f t="array" ref="X1296">IFERROR(INDEX('Адреса общежитий (скрытый)'!$B$2:$B$9, MATCH(W1296, 'Адреса общежитий (скрытый)'!$A$2:$A$9, 0)), "")</f>
        <v>ул. Профсоюзная, д.83, корп. 2</v>
      </c>
      <c r="Y1296" s="18"/>
      <c r="Z1296" s="18"/>
      <c r="AA1296" s="18"/>
      <c r="AB1296" s="18"/>
      <c r="AC1296" s="18"/>
    </row>
    <row r="1297" spans="1:29" ht="32.25" customHeight="1">
      <c r="A1297" s="8">
        <v>2308168</v>
      </c>
      <c r="B1297" s="9" t="s">
        <v>13284</v>
      </c>
      <c r="C1297" s="9" t="s">
        <v>13284</v>
      </c>
      <c r="D1297" s="9" t="s">
        <v>13284</v>
      </c>
      <c r="E1297" s="9" t="s">
        <v>13284</v>
      </c>
      <c r="F1297" s="9" t="s">
        <v>13284</v>
      </c>
      <c r="G1297" s="9" t="s">
        <v>13284</v>
      </c>
      <c r="H1297" s="9" t="s">
        <v>13284</v>
      </c>
      <c r="I1297" s="9" t="s">
        <v>13284</v>
      </c>
      <c r="J1297" s="9" t="s">
        <v>13284</v>
      </c>
      <c r="K1297" s="9" t="s">
        <v>13284</v>
      </c>
      <c r="L1297" s="9" t="s">
        <v>13284</v>
      </c>
      <c r="M1297" s="9" t="s">
        <v>13284</v>
      </c>
      <c r="N1297" s="9" t="s">
        <v>13284</v>
      </c>
      <c r="O1297" s="9" t="s">
        <v>13284</v>
      </c>
      <c r="P1297" s="9" t="s">
        <v>13284</v>
      </c>
      <c r="Q1297" s="9" t="s">
        <v>13284</v>
      </c>
      <c r="R1297" s="9" t="s">
        <v>13284</v>
      </c>
      <c r="S1297" s="9" t="s">
        <v>13284</v>
      </c>
      <c r="T1297" s="9" t="str">
        <f ca="1">IFERROR(IF(AND(VLOOKUP(A1297, 'Актуальное состояние (из общего'!A:C,3,0) = "", A1297 &lt;&gt; ""), "ПРОВЕРИТЬ", VLOOKUP(A1297, 'Актуальное состояние (из общего'!A:C,3,0)), "")</f>
        <v>Студент</v>
      </c>
      <c r="U1297" s="9" t="s">
        <v>13284</v>
      </c>
      <c r="V1297" s="9" t="s">
        <v>13284</v>
      </c>
      <c r="W1297" s="9" t="s">
        <v>319</v>
      </c>
      <c r="X1297" s="9" t="str">
        <f t="array" ref="X1297">IFERROR(INDEX('Адреса общежитий (скрытый)'!$B$2:$B$9, MATCH(W1297, 'Адреса общежитий (скрытый)'!$A$2:$A$9, 0)), "")</f>
        <v>ул. Профсоюзная, д.83, корп. 2</v>
      </c>
      <c r="Y1297" s="18"/>
      <c r="Z1297" s="18"/>
      <c r="AA1297" s="18"/>
      <c r="AB1297" s="18"/>
      <c r="AC1297" s="18"/>
    </row>
    <row r="1298" spans="1:29" ht="32.25" customHeight="1">
      <c r="A1298" s="8">
        <v>2306680</v>
      </c>
      <c r="B1298" s="9" t="s">
        <v>13284</v>
      </c>
      <c r="C1298" s="9" t="s">
        <v>13284</v>
      </c>
      <c r="D1298" s="9" t="s">
        <v>13284</v>
      </c>
      <c r="E1298" s="9" t="s">
        <v>13284</v>
      </c>
      <c r="F1298" s="9" t="s">
        <v>13284</v>
      </c>
      <c r="G1298" s="9" t="s">
        <v>13284</v>
      </c>
      <c r="H1298" s="9" t="s">
        <v>13284</v>
      </c>
      <c r="I1298" s="9" t="s">
        <v>13284</v>
      </c>
      <c r="J1298" s="9" t="s">
        <v>13284</v>
      </c>
      <c r="K1298" s="9" t="s">
        <v>13284</v>
      </c>
      <c r="L1298" s="9" t="s">
        <v>13284</v>
      </c>
      <c r="M1298" s="9" t="s">
        <v>13284</v>
      </c>
      <c r="N1298" s="9" t="s">
        <v>13284</v>
      </c>
      <c r="O1298" s="9" t="s">
        <v>13284</v>
      </c>
      <c r="P1298" s="9" t="s">
        <v>13284</v>
      </c>
      <c r="Q1298" s="9" t="s">
        <v>13284</v>
      </c>
      <c r="R1298" s="9" t="s">
        <v>13284</v>
      </c>
      <c r="S1298" s="9" t="s">
        <v>13284</v>
      </c>
      <c r="T1298" s="9" t="str">
        <f ca="1">IFERROR(IF(AND(VLOOKUP(A1298, 'Актуальное состояние (из общего'!A:C,3,0) = "", A1298 &lt;&gt; ""), "ПРОВЕРИТЬ", VLOOKUP(A1298, 'Актуальное состояние (из общего'!A:C,3,0)), "")</f>
        <v>Студент</v>
      </c>
      <c r="U1298" s="9" t="s">
        <v>13284</v>
      </c>
      <c r="V1298" s="9" t="s">
        <v>13284</v>
      </c>
      <c r="W1298" s="12"/>
      <c r="X1298" s="9" t="str">
        <f t="array" ref="X1298">IFERROR(INDEX('Адреса общежитий (скрытый)'!$B$2:$B$9, MATCH(W1298, 'Адреса общежитий (скрытый)'!$A$2:$A$9, 0)), "")</f>
        <v/>
      </c>
      <c r="Y1298" s="18"/>
      <c r="Z1298" s="18"/>
      <c r="AA1298" s="18"/>
      <c r="AB1298" s="18"/>
      <c r="AC1298" s="18"/>
    </row>
    <row r="1299" spans="1:29" ht="32.25" hidden="1" customHeight="1">
      <c r="A1299" s="8">
        <v>2306858</v>
      </c>
      <c r="B1299" s="9" t="s">
        <v>13284</v>
      </c>
      <c r="C1299" s="9" t="s">
        <v>13284</v>
      </c>
      <c r="D1299" s="9" t="s">
        <v>13284</v>
      </c>
      <c r="E1299" s="9" t="s">
        <v>13284</v>
      </c>
      <c r="F1299" s="9" t="s">
        <v>13284</v>
      </c>
      <c r="G1299" s="9" t="s">
        <v>13284</v>
      </c>
      <c r="H1299" s="9" t="s">
        <v>13284</v>
      </c>
      <c r="I1299" s="9" t="s">
        <v>13284</v>
      </c>
      <c r="J1299" s="9" t="s">
        <v>13284</v>
      </c>
      <c r="K1299" s="9" t="s">
        <v>13284</v>
      </c>
      <c r="L1299" s="9" t="s">
        <v>13284</v>
      </c>
      <c r="M1299" s="9" t="s">
        <v>13284</v>
      </c>
      <c r="N1299" s="9" t="s">
        <v>13284</v>
      </c>
      <c r="O1299" s="9" t="s">
        <v>13284</v>
      </c>
      <c r="P1299" s="9" t="s">
        <v>13284</v>
      </c>
      <c r="Q1299" s="9" t="s">
        <v>13284</v>
      </c>
      <c r="R1299" s="9" t="s">
        <v>13284</v>
      </c>
      <c r="S1299" s="9" t="s">
        <v>13284</v>
      </c>
      <c r="T1299" s="9" t="str">
        <f ca="1">IFERROR(IF(AND(VLOOKUP(A1299, 'Актуальное состояние (из общего'!A:C,3,0) = "", A1299 &lt;&gt; ""), "ПРОВЕРИТЬ", VLOOKUP(A1299, 'Актуальное состояние (из общего'!A:C,3,0)), "")</f>
        <v>Студент</v>
      </c>
      <c r="U1299" s="9" t="s">
        <v>13284</v>
      </c>
      <c r="V1299" s="9" t="s">
        <v>13284</v>
      </c>
      <c r="W1299" s="12"/>
      <c r="X1299" s="9" t="str">
        <f t="array" ref="X1299">IFERROR(INDEX('Адреса общежитий (скрытый)'!$B$2:$B$9, MATCH(W1299, 'Адреса общежитий (скрытый)'!$A$2:$A$9, 0)), "")</f>
        <v/>
      </c>
      <c r="Y1299" s="18"/>
      <c r="Z1299" s="18"/>
      <c r="AA1299" s="18"/>
      <c r="AB1299" s="18"/>
      <c r="AC1299" s="18"/>
    </row>
    <row r="1300" spans="1:29" ht="32.25" hidden="1" customHeight="1">
      <c r="A1300" s="8">
        <v>2303672</v>
      </c>
      <c r="B1300" s="9" t="s">
        <v>13284</v>
      </c>
      <c r="C1300" s="9" t="s">
        <v>13284</v>
      </c>
      <c r="D1300" s="9" t="s">
        <v>13284</v>
      </c>
      <c r="E1300" s="9" t="s">
        <v>13284</v>
      </c>
      <c r="F1300" s="9" t="s">
        <v>13284</v>
      </c>
      <c r="G1300" s="9" t="s">
        <v>13284</v>
      </c>
      <c r="H1300" s="9" t="s">
        <v>13284</v>
      </c>
      <c r="I1300" s="9" t="s">
        <v>13284</v>
      </c>
      <c r="J1300" s="9" t="s">
        <v>13284</v>
      </c>
      <c r="K1300" s="9" t="s">
        <v>13284</v>
      </c>
      <c r="L1300" s="9" t="s">
        <v>13284</v>
      </c>
      <c r="M1300" s="9" t="s">
        <v>13284</v>
      </c>
      <c r="N1300" s="9" t="s">
        <v>13284</v>
      </c>
      <c r="O1300" s="9" t="s">
        <v>13284</v>
      </c>
      <c r="P1300" s="9" t="s">
        <v>13284</v>
      </c>
      <c r="Q1300" s="9" t="s">
        <v>13284</v>
      </c>
      <c r="R1300" s="9" t="s">
        <v>13284</v>
      </c>
      <c r="S1300" s="9" t="s">
        <v>13284</v>
      </c>
      <c r="T1300" s="9" t="str">
        <f ca="1">IFERROR(IF(AND(VLOOKUP(A1300, 'Актуальное состояние (из общего'!A:C,3,0) = "", A1300 &lt;&gt; ""), "ПРОВЕРИТЬ", VLOOKUP(A1300, 'Актуальное состояние (из общего'!A:C,3,0)), "")</f>
        <v>Студент</v>
      </c>
      <c r="U1300" s="9" t="s">
        <v>13284</v>
      </c>
      <c r="V1300" s="9" t="s">
        <v>13284</v>
      </c>
      <c r="W1300" s="12"/>
      <c r="X1300" s="9" t="str">
        <f t="array" ref="X1300">IFERROR(INDEX('Адреса общежитий (скрытый)'!$B$2:$B$9, MATCH(W1300, 'Адреса общежитий (скрытый)'!$A$2:$A$9, 0)), "")</f>
        <v/>
      </c>
      <c r="Y1300" s="18"/>
      <c r="Z1300" s="18"/>
      <c r="AA1300" s="18"/>
      <c r="AB1300" s="18"/>
      <c r="AC1300" s="18"/>
    </row>
    <row r="1301" spans="1:29" ht="32.25" hidden="1" customHeight="1">
      <c r="A1301" s="8">
        <v>2307578</v>
      </c>
      <c r="B1301" s="9" t="s">
        <v>13284</v>
      </c>
      <c r="C1301" s="9" t="s">
        <v>13284</v>
      </c>
      <c r="D1301" s="9" t="s">
        <v>13284</v>
      </c>
      <c r="E1301" s="9" t="s">
        <v>13284</v>
      </c>
      <c r="F1301" s="9" t="s">
        <v>13284</v>
      </c>
      <c r="G1301" s="9" t="s">
        <v>13284</v>
      </c>
      <c r="H1301" s="9" t="s">
        <v>13284</v>
      </c>
      <c r="I1301" s="9" t="s">
        <v>13284</v>
      </c>
      <c r="J1301" s="9" t="s">
        <v>13284</v>
      </c>
      <c r="K1301" s="9" t="s">
        <v>13284</v>
      </c>
      <c r="L1301" s="9" t="s">
        <v>13284</v>
      </c>
      <c r="M1301" s="9" t="s">
        <v>13284</v>
      </c>
      <c r="N1301" s="9" t="s">
        <v>13284</v>
      </c>
      <c r="O1301" s="9" t="s">
        <v>13284</v>
      </c>
      <c r="P1301" s="9" t="s">
        <v>13284</v>
      </c>
      <c r="Q1301" s="9" t="s">
        <v>13284</v>
      </c>
      <c r="R1301" s="9" t="s">
        <v>13284</v>
      </c>
      <c r="S1301" s="9" t="s">
        <v>13284</v>
      </c>
      <c r="T1301" s="9" t="str">
        <f ca="1">IFERROR(IF(AND(VLOOKUP(A1301, 'Актуальное состояние (из общего'!A:C,3,0) = "", A1301 &lt;&gt; ""), "ПРОВЕРИТЬ", VLOOKUP(A1301, 'Актуальное состояние (из общего'!A:C,3,0)), "")</f>
        <v>Студент</v>
      </c>
      <c r="U1301" s="9" t="s">
        <v>13284</v>
      </c>
      <c r="V1301" s="9" t="s">
        <v>13284</v>
      </c>
      <c r="W1301" s="12"/>
      <c r="X1301" s="9" t="str">
        <f t="array" ref="X1301">IFERROR(INDEX('Адреса общежитий (скрытый)'!$B$2:$B$9, MATCH(W1301, 'Адреса общежитий (скрытый)'!$A$2:$A$9, 0)), "")</f>
        <v/>
      </c>
      <c r="Y1301" s="18"/>
      <c r="Z1301" s="18"/>
      <c r="AA1301" s="18"/>
      <c r="AB1301" s="18"/>
      <c r="AC1301" s="18"/>
    </row>
    <row r="1302" spans="1:29" ht="32.25" hidden="1" customHeight="1">
      <c r="A1302" s="8">
        <v>2312402</v>
      </c>
      <c r="B1302" s="9" t="s">
        <v>13284</v>
      </c>
      <c r="C1302" s="9" t="s">
        <v>13284</v>
      </c>
      <c r="D1302" s="9" t="s">
        <v>13284</v>
      </c>
      <c r="E1302" s="9" t="s">
        <v>13284</v>
      </c>
      <c r="F1302" s="9" t="s">
        <v>13284</v>
      </c>
      <c r="G1302" s="9" t="s">
        <v>13284</v>
      </c>
      <c r="H1302" s="9" t="s">
        <v>13284</v>
      </c>
      <c r="I1302" s="9" t="s">
        <v>13284</v>
      </c>
      <c r="J1302" s="9" t="s">
        <v>13284</v>
      </c>
      <c r="K1302" s="9" t="s">
        <v>13284</v>
      </c>
      <c r="L1302" s="9" t="s">
        <v>13284</v>
      </c>
      <c r="M1302" s="9" t="s">
        <v>13284</v>
      </c>
      <c r="N1302" s="9" t="s">
        <v>13284</v>
      </c>
      <c r="O1302" s="9" t="s">
        <v>13284</v>
      </c>
      <c r="P1302" s="9" t="s">
        <v>13284</v>
      </c>
      <c r="Q1302" s="9" t="s">
        <v>13284</v>
      </c>
      <c r="R1302" s="9" t="s">
        <v>13284</v>
      </c>
      <c r="S1302" s="9" t="s">
        <v>13284</v>
      </c>
      <c r="T1302" s="9" t="str">
        <f ca="1">IFERROR(IF(AND(VLOOKUP(A1302, 'Актуальное состояние (из общего'!A:C,3,0) = "", A1302 &lt;&gt; ""), "ПРОВЕРИТЬ", VLOOKUP(A1302, 'Актуальное состояние (из общего'!A:C,3,0)), "")</f>
        <v>Студент</v>
      </c>
      <c r="U1302" s="9" t="s">
        <v>13284</v>
      </c>
      <c r="V1302" s="9" t="s">
        <v>13284</v>
      </c>
      <c r="W1302" s="12"/>
      <c r="X1302" s="9" t="str">
        <f t="array" ref="X1302">IFERROR(INDEX('Адреса общежитий (скрытый)'!$B$2:$B$9, MATCH(W1302, 'Адреса общежитий (скрытый)'!$A$2:$A$9, 0)), "")</f>
        <v/>
      </c>
      <c r="Y1302" s="18"/>
      <c r="Z1302" s="18"/>
      <c r="AA1302" s="18"/>
      <c r="AB1302" s="18"/>
      <c r="AC1302" s="18"/>
    </row>
    <row r="1303" spans="1:29" ht="32.25" hidden="1" customHeight="1">
      <c r="A1303" s="8">
        <v>2305844</v>
      </c>
      <c r="B1303" s="9" t="s">
        <v>13284</v>
      </c>
      <c r="C1303" s="9" t="s">
        <v>13284</v>
      </c>
      <c r="D1303" s="9" t="s">
        <v>13284</v>
      </c>
      <c r="E1303" s="9" t="s">
        <v>13284</v>
      </c>
      <c r="F1303" s="9" t="s">
        <v>13284</v>
      </c>
      <c r="G1303" s="9" t="s">
        <v>13284</v>
      </c>
      <c r="H1303" s="9" t="s">
        <v>13284</v>
      </c>
      <c r="I1303" s="9" t="s">
        <v>13284</v>
      </c>
      <c r="J1303" s="9" t="s">
        <v>13284</v>
      </c>
      <c r="K1303" s="9" t="s">
        <v>13284</v>
      </c>
      <c r="L1303" s="9" t="s">
        <v>13284</v>
      </c>
      <c r="M1303" s="9" t="s">
        <v>13284</v>
      </c>
      <c r="N1303" s="9" t="s">
        <v>13284</v>
      </c>
      <c r="O1303" s="9" t="s">
        <v>13284</v>
      </c>
      <c r="P1303" s="9" t="s">
        <v>13284</v>
      </c>
      <c r="Q1303" s="9" t="s">
        <v>13284</v>
      </c>
      <c r="R1303" s="9" t="s">
        <v>13284</v>
      </c>
      <c r="S1303" s="9" t="s">
        <v>13284</v>
      </c>
      <c r="T1303" s="9" t="str">
        <f ca="1">IFERROR(IF(AND(VLOOKUP(A1303, 'Актуальное состояние (из общего'!A:C,3,0) = "", A1303 &lt;&gt; ""), "ПРОВЕРИТЬ", VLOOKUP(A1303, 'Актуальное состояние (из общего'!A:C,3,0)), "")</f>
        <v>Студент</v>
      </c>
      <c r="U1303" s="9" t="s">
        <v>13284</v>
      </c>
      <c r="V1303" s="9" t="s">
        <v>13284</v>
      </c>
      <c r="W1303" s="12"/>
      <c r="X1303" s="9" t="str">
        <f t="array" ref="X1303">IFERROR(INDEX('Адреса общежитий (скрытый)'!$B$2:$B$9, MATCH(W1303, 'Адреса общежитий (скрытый)'!$A$2:$A$9, 0)), "")</f>
        <v/>
      </c>
      <c r="Y1303" s="18"/>
      <c r="Z1303" s="18"/>
      <c r="AA1303" s="18"/>
      <c r="AB1303" s="18"/>
      <c r="AC1303" s="18"/>
    </row>
    <row r="1304" spans="1:29" ht="32.25" hidden="1" customHeight="1">
      <c r="A1304" s="8">
        <v>2302190</v>
      </c>
      <c r="B1304" s="9" t="s">
        <v>13284</v>
      </c>
      <c r="C1304" s="9" t="s">
        <v>13284</v>
      </c>
      <c r="D1304" s="9" t="s">
        <v>13284</v>
      </c>
      <c r="E1304" s="9" t="s">
        <v>13284</v>
      </c>
      <c r="F1304" s="9" t="s">
        <v>13284</v>
      </c>
      <c r="G1304" s="9" t="s">
        <v>13284</v>
      </c>
      <c r="H1304" s="9" t="s">
        <v>13284</v>
      </c>
      <c r="I1304" s="9" t="s">
        <v>13284</v>
      </c>
      <c r="J1304" s="9" t="s">
        <v>13284</v>
      </c>
      <c r="K1304" s="9" t="s">
        <v>13284</v>
      </c>
      <c r="L1304" s="9" t="s">
        <v>13284</v>
      </c>
      <c r="M1304" s="9" t="s">
        <v>13284</v>
      </c>
      <c r="N1304" s="9" t="s">
        <v>13284</v>
      </c>
      <c r="O1304" s="9" t="s">
        <v>13284</v>
      </c>
      <c r="P1304" s="9" t="s">
        <v>13284</v>
      </c>
      <c r="Q1304" s="9" t="s">
        <v>13284</v>
      </c>
      <c r="R1304" s="9" t="s">
        <v>13284</v>
      </c>
      <c r="S1304" s="9" t="s">
        <v>13284</v>
      </c>
      <c r="T1304" s="9" t="str">
        <f ca="1">IFERROR(IF(AND(VLOOKUP(A1304, 'Актуальное состояние (из общего'!A:C,3,0) = "", A1304 &lt;&gt; ""), "ПРОВЕРИТЬ", VLOOKUP(A1304, 'Актуальное состояние (из общего'!A:C,3,0)), "")</f>
        <v>Студент</v>
      </c>
      <c r="U1304" s="9" t="s">
        <v>13284</v>
      </c>
      <c r="V1304" s="9" t="s">
        <v>13284</v>
      </c>
      <c r="W1304" s="12"/>
      <c r="X1304" s="9" t="str">
        <f t="array" ref="X1304">IFERROR(INDEX('Адреса общежитий (скрытый)'!$B$2:$B$9, MATCH(W1304, 'Адреса общежитий (скрытый)'!$A$2:$A$9, 0)), "")</f>
        <v/>
      </c>
      <c r="Y1304" s="18"/>
      <c r="Z1304" s="18"/>
      <c r="AA1304" s="18"/>
      <c r="AB1304" s="18"/>
      <c r="AC1304" s="18"/>
    </row>
    <row r="1305" spans="1:29" ht="32.25" customHeight="1">
      <c r="A1305" s="8">
        <v>2305979</v>
      </c>
      <c r="B1305" s="9" t="s">
        <v>13284</v>
      </c>
      <c r="C1305" s="9" t="s">
        <v>13284</v>
      </c>
      <c r="D1305" s="9" t="s">
        <v>13284</v>
      </c>
      <c r="E1305" s="9" t="s">
        <v>13284</v>
      </c>
      <c r="F1305" s="9" t="s">
        <v>13284</v>
      </c>
      <c r="G1305" s="9" t="s">
        <v>13284</v>
      </c>
      <c r="H1305" s="9" t="s">
        <v>13284</v>
      </c>
      <c r="I1305" s="9" t="s">
        <v>13284</v>
      </c>
      <c r="J1305" s="9" t="s">
        <v>13284</v>
      </c>
      <c r="K1305" s="9" t="s">
        <v>13284</v>
      </c>
      <c r="L1305" s="9" t="s">
        <v>13284</v>
      </c>
      <c r="M1305" s="9" t="s">
        <v>13284</v>
      </c>
      <c r="N1305" s="9" t="s">
        <v>13284</v>
      </c>
      <c r="O1305" s="9" t="s">
        <v>13284</v>
      </c>
      <c r="P1305" s="9" t="s">
        <v>13284</v>
      </c>
      <c r="Q1305" s="9" t="s">
        <v>13284</v>
      </c>
      <c r="R1305" s="9" t="s">
        <v>13284</v>
      </c>
      <c r="S1305" s="9" t="s">
        <v>13284</v>
      </c>
      <c r="T1305" s="9" t="str">
        <f ca="1">IFERROR(IF(AND(VLOOKUP(A1305, 'Актуальное состояние (из общего'!A:C,3,0) = "", A1305 &lt;&gt; ""), "ПРОВЕРИТЬ", VLOOKUP(A1305, 'Актуальное состояние (из общего'!A:C,3,0)), "")</f>
        <v>Студент</v>
      </c>
      <c r="U1305" s="9" t="s">
        <v>13284</v>
      </c>
      <c r="V1305" s="9" t="s">
        <v>13284</v>
      </c>
      <c r="W1305" s="12"/>
      <c r="X1305" s="9" t="str">
        <f t="array" ref="X1305">IFERROR(INDEX('Адреса общежитий (скрытый)'!$B$2:$B$9, MATCH(W1305, 'Адреса общежитий (скрытый)'!$A$2:$A$9, 0)), "")</f>
        <v/>
      </c>
      <c r="Y1305" s="18"/>
      <c r="Z1305" s="18"/>
      <c r="AA1305" s="18"/>
      <c r="AB1305" s="18"/>
      <c r="AC1305" s="18"/>
    </row>
    <row r="1306" spans="1:29" ht="32.25" customHeight="1">
      <c r="A1306" s="8">
        <v>2307557</v>
      </c>
      <c r="B1306" s="9" t="s">
        <v>13284</v>
      </c>
      <c r="C1306" s="9" t="s">
        <v>13284</v>
      </c>
      <c r="D1306" s="9" t="s">
        <v>13284</v>
      </c>
      <c r="E1306" s="9" t="s">
        <v>13284</v>
      </c>
      <c r="F1306" s="9" t="s">
        <v>13284</v>
      </c>
      <c r="G1306" s="9" t="s">
        <v>13284</v>
      </c>
      <c r="H1306" s="9" t="s">
        <v>13284</v>
      </c>
      <c r="I1306" s="9" t="s">
        <v>13284</v>
      </c>
      <c r="J1306" s="9" t="s">
        <v>13284</v>
      </c>
      <c r="K1306" s="9" t="s">
        <v>13284</v>
      </c>
      <c r="L1306" s="9" t="s">
        <v>13284</v>
      </c>
      <c r="M1306" s="9" t="s">
        <v>13284</v>
      </c>
      <c r="N1306" s="9" t="s">
        <v>13284</v>
      </c>
      <c r="O1306" s="9" t="s">
        <v>13284</v>
      </c>
      <c r="P1306" s="9" t="s">
        <v>13284</v>
      </c>
      <c r="Q1306" s="9" t="s">
        <v>13284</v>
      </c>
      <c r="R1306" s="9" t="s">
        <v>13284</v>
      </c>
      <c r="S1306" s="9" t="s">
        <v>13284</v>
      </c>
      <c r="T1306" s="9" t="str">
        <f ca="1">IFERROR(IF(AND(VLOOKUP(A1306, 'Актуальное состояние (из общего'!A:C,3,0) = "", A1306 &lt;&gt; ""), "ПРОВЕРИТЬ", VLOOKUP(A1306, 'Актуальное состояние (из общего'!A:C,3,0)), "")</f>
        <v>Студент</v>
      </c>
      <c r="U1306" s="9" t="s">
        <v>13284</v>
      </c>
      <c r="V1306" s="9" t="s">
        <v>13284</v>
      </c>
      <c r="W1306" s="9" t="s">
        <v>319</v>
      </c>
      <c r="X1306" s="9" t="str">
        <f t="array" ref="X1306">IFERROR(INDEX('Адреса общежитий (скрытый)'!$B$2:$B$9, MATCH(W1306, 'Адреса общежитий (скрытый)'!$A$2:$A$9, 0)), "")</f>
        <v>ул. Профсоюзная, д.83, корп. 2</v>
      </c>
      <c r="Y1306" s="18"/>
      <c r="Z1306" s="18"/>
      <c r="AA1306" s="18"/>
      <c r="AB1306" s="18"/>
      <c r="AC1306" s="18"/>
    </row>
    <row r="1307" spans="1:29" ht="32.25" hidden="1" customHeight="1">
      <c r="A1307" s="8">
        <v>2304125</v>
      </c>
      <c r="B1307" s="9" t="s">
        <v>13284</v>
      </c>
      <c r="C1307" s="9" t="s">
        <v>13284</v>
      </c>
      <c r="D1307" s="9" t="s">
        <v>13284</v>
      </c>
      <c r="E1307" s="9" t="s">
        <v>13284</v>
      </c>
      <c r="F1307" s="9" t="s">
        <v>13284</v>
      </c>
      <c r="G1307" s="9" t="s">
        <v>13284</v>
      </c>
      <c r="H1307" s="9" t="s">
        <v>13284</v>
      </c>
      <c r="I1307" s="9" t="s">
        <v>13284</v>
      </c>
      <c r="J1307" s="9" t="s">
        <v>13284</v>
      </c>
      <c r="K1307" s="9" t="s">
        <v>13284</v>
      </c>
      <c r="L1307" s="9" t="s">
        <v>13284</v>
      </c>
      <c r="M1307" s="9" t="s">
        <v>13284</v>
      </c>
      <c r="N1307" s="9" t="s">
        <v>13284</v>
      </c>
      <c r="O1307" s="9" t="s">
        <v>13284</v>
      </c>
      <c r="P1307" s="9" t="s">
        <v>13284</v>
      </c>
      <c r="Q1307" s="9" t="s">
        <v>13284</v>
      </c>
      <c r="R1307" s="9" t="s">
        <v>13284</v>
      </c>
      <c r="S1307" s="9" t="s">
        <v>13284</v>
      </c>
      <c r="T1307" s="9" t="str">
        <f ca="1">IFERROR(IF(AND(VLOOKUP(A1307, 'Актуальное состояние (из общего'!A:C,3,0) = "", A1307 &lt;&gt; ""), "ПРОВЕРИТЬ", VLOOKUP(A1307, 'Актуальное состояние (из общего'!A:C,3,0)), "")</f>
        <v>Студент</v>
      </c>
      <c r="U1307" s="9" t="s">
        <v>13284</v>
      </c>
      <c r="V1307" s="9" t="s">
        <v>13284</v>
      </c>
      <c r="W1307" s="12"/>
      <c r="X1307" s="9" t="str">
        <f t="array" ref="X1307">IFERROR(INDEX('Адреса общежитий (скрытый)'!$B$2:$B$9, MATCH(W1307, 'Адреса общежитий (скрытый)'!$A$2:$A$9, 0)), "")</f>
        <v/>
      </c>
      <c r="Y1307" s="18"/>
      <c r="Z1307" s="18"/>
      <c r="AA1307" s="18"/>
      <c r="AB1307" s="18"/>
      <c r="AC1307" s="18"/>
    </row>
    <row r="1308" spans="1:29" ht="32.25" hidden="1" customHeight="1">
      <c r="A1308" s="8">
        <v>2307412</v>
      </c>
      <c r="B1308" s="9" t="s">
        <v>13284</v>
      </c>
      <c r="C1308" s="9" t="s">
        <v>13284</v>
      </c>
      <c r="D1308" s="9" t="s">
        <v>13284</v>
      </c>
      <c r="E1308" s="9" t="s">
        <v>13284</v>
      </c>
      <c r="F1308" s="9" t="s">
        <v>13284</v>
      </c>
      <c r="G1308" s="9" t="s">
        <v>13284</v>
      </c>
      <c r="H1308" s="9" t="s">
        <v>13284</v>
      </c>
      <c r="I1308" s="9" t="s">
        <v>13284</v>
      </c>
      <c r="J1308" s="9" t="s">
        <v>13284</v>
      </c>
      <c r="K1308" s="9" t="s">
        <v>13284</v>
      </c>
      <c r="L1308" s="9" t="s">
        <v>13284</v>
      </c>
      <c r="M1308" s="9" t="s">
        <v>13284</v>
      </c>
      <c r="N1308" s="9" t="s">
        <v>13284</v>
      </c>
      <c r="O1308" s="9" t="s">
        <v>13284</v>
      </c>
      <c r="P1308" s="9" t="s">
        <v>13284</v>
      </c>
      <c r="Q1308" s="9" t="s">
        <v>13284</v>
      </c>
      <c r="R1308" s="9" t="s">
        <v>13284</v>
      </c>
      <c r="S1308" s="9" t="s">
        <v>13284</v>
      </c>
      <c r="T1308" s="9" t="str">
        <f ca="1">IFERROR(IF(AND(VLOOKUP(A1308, 'Актуальное состояние (из общего'!A:C,3,0) = "", A1308 &lt;&gt; ""), "ПРОВЕРИТЬ", VLOOKUP(A1308, 'Актуальное состояние (из общего'!A:C,3,0)), "")</f>
        <v>Студент</v>
      </c>
      <c r="U1308" s="9" t="s">
        <v>13284</v>
      </c>
      <c r="V1308" s="9" t="s">
        <v>13284</v>
      </c>
      <c r="W1308" s="12"/>
      <c r="X1308" s="9" t="str">
        <f t="array" ref="X1308">IFERROR(INDEX('Адреса общежитий (скрытый)'!$B$2:$B$9, MATCH(W1308, 'Адреса общежитий (скрытый)'!$A$2:$A$9, 0)), "")</f>
        <v/>
      </c>
      <c r="Y1308" s="18"/>
      <c r="Z1308" s="18"/>
      <c r="AA1308" s="18"/>
      <c r="AB1308" s="18"/>
      <c r="AC1308" s="18"/>
    </row>
    <row r="1309" spans="1:29" ht="32.25" customHeight="1">
      <c r="A1309" s="8">
        <v>2303929</v>
      </c>
      <c r="B1309" s="9" t="s">
        <v>13284</v>
      </c>
      <c r="C1309" s="9" t="s">
        <v>13284</v>
      </c>
      <c r="D1309" s="9" t="s">
        <v>13284</v>
      </c>
      <c r="E1309" s="9" t="s">
        <v>13284</v>
      </c>
      <c r="F1309" s="9" t="s">
        <v>13284</v>
      </c>
      <c r="G1309" s="9" t="s">
        <v>13284</v>
      </c>
      <c r="H1309" s="9" t="s">
        <v>13284</v>
      </c>
      <c r="I1309" s="9" t="s">
        <v>13284</v>
      </c>
      <c r="J1309" s="9" t="s">
        <v>13284</v>
      </c>
      <c r="K1309" s="9" t="s">
        <v>13284</v>
      </c>
      <c r="L1309" s="9" t="s">
        <v>13284</v>
      </c>
      <c r="M1309" s="9" t="s">
        <v>13284</v>
      </c>
      <c r="N1309" s="9" t="s">
        <v>13284</v>
      </c>
      <c r="O1309" s="9" t="s">
        <v>13284</v>
      </c>
      <c r="P1309" s="9" t="s">
        <v>13284</v>
      </c>
      <c r="Q1309" s="9" t="s">
        <v>13284</v>
      </c>
      <c r="R1309" s="9" t="s">
        <v>13284</v>
      </c>
      <c r="S1309" s="9" t="s">
        <v>13284</v>
      </c>
      <c r="T1309" s="9" t="str">
        <f ca="1">IFERROR(IF(AND(VLOOKUP(A1309, 'Актуальное состояние (из общего'!A:C,3,0) = "", A1309 &lt;&gt; ""), "ПРОВЕРИТЬ", VLOOKUP(A1309, 'Актуальное состояние (из общего'!A:C,3,0)), "")</f>
        <v>Студент</v>
      </c>
      <c r="U1309" s="9" t="s">
        <v>13284</v>
      </c>
      <c r="V1309" s="9" t="s">
        <v>13284</v>
      </c>
      <c r="W1309" s="9" t="s">
        <v>319</v>
      </c>
      <c r="X1309" s="9" t="str">
        <f t="array" ref="X1309">IFERROR(INDEX('Адреса общежитий (скрытый)'!$B$2:$B$9, MATCH(W1309, 'Адреса общежитий (скрытый)'!$A$2:$A$9, 0)), "")</f>
        <v>ул. Профсоюзная, д.83, корп. 2</v>
      </c>
      <c r="Y1309" s="18"/>
      <c r="Z1309" s="18"/>
      <c r="AA1309" s="18"/>
      <c r="AB1309" s="18"/>
      <c r="AC1309" s="18"/>
    </row>
    <row r="1310" spans="1:29" ht="32.25" hidden="1" customHeight="1">
      <c r="A1310" s="8">
        <v>2311664</v>
      </c>
      <c r="B1310" s="9" t="s">
        <v>13284</v>
      </c>
      <c r="C1310" s="9" t="s">
        <v>13284</v>
      </c>
      <c r="D1310" s="9" t="s">
        <v>13284</v>
      </c>
      <c r="E1310" s="9" t="s">
        <v>13284</v>
      </c>
      <c r="F1310" s="9" t="s">
        <v>13284</v>
      </c>
      <c r="G1310" s="9" t="s">
        <v>13284</v>
      </c>
      <c r="H1310" s="9" t="s">
        <v>13284</v>
      </c>
      <c r="I1310" s="9" t="s">
        <v>13284</v>
      </c>
      <c r="J1310" s="9" t="s">
        <v>13284</v>
      </c>
      <c r="K1310" s="9" t="s">
        <v>13284</v>
      </c>
      <c r="L1310" s="9" t="s">
        <v>13284</v>
      </c>
      <c r="M1310" s="9" t="s">
        <v>13284</v>
      </c>
      <c r="N1310" s="9" t="s">
        <v>13284</v>
      </c>
      <c r="O1310" s="9" t="s">
        <v>13284</v>
      </c>
      <c r="P1310" s="9" t="s">
        <v>13284</v>
      </c>
      <c r="Q1310" s="9" t="s">
        <v>13284</v>
      </c>
      <c r="R1310" s="9" t="s">
        <v>13284</v>
      </c>
      <c r="S1310" s="9" t="s">
        <v>13284</v>
      </c>
      <c r="T1310" s="9" t="str">
        <f ca="1">IFERROR(IF(AND(VLOOKUP(A1310, 'Актуальное состояние (из общего'!A:C,3,0) = "", A1310 &lt;&gt; ""), "ПРОВЕРИТЬ", VLOOKUP(A1310, 'Актуальное состояние (из общего'!A:C,3,0)), "")</f>
        <v>Студент</v>
      </c>
      <c r="U1310" s="9" t="s">
        <v>13284</v>
      </c>
      <c r="V1310" s="9" t="s">
        <v>13284</v>
      </c>
      <c r="W1310" s="12"/>
      <c r="X1310" s="9" t="str">
        <f t="array" ref="X1310">IFERROR(INDEX('Адреса общежитий (скрытый)'!$B$2:$B$9, MATCH(W1310, 'Адреса общежитий (скрытый)'!$A$2:$A$9, 0)), "")</f>
        <v/>
      </c>
      <c r="Y1310" s="18"/>
      <c r="Z1310" s="18"/>
      <c r="AA1310" s="18"/>
      <c r="AB1310" s="18"/>
      <c r="AC1310" s="18"/>
    </row>
    <row r="1311" spans="1:29" ht="32.25" hidden="1" customHeight="1">
      <c r="A1311" s="8">
        <v>2315486</v>
      </c>
      <c r="B1311" s="9" t="s">
        <v>13284</v>
      </c>
      <c r="C1311" s="9" t="s">
        <v>13284</v>
      </c>
      <c r="D1311" s="9" t="s">
        <v>13284</v>
      </c>
      <c r="E1311" s="9" t="s">
        <v>13284</v>
      </c>
      <c r="F1311" s="9" t="s">
        <v>13284</v>
      </c>
      <c r="G1311" s="9" t="s">
        <v>13284</v>
      </c>
      <c r="H1311" s="9" t="s">
        <v>13284</v>
      </c>
      <c r="I1311" s="9" t="s">
        <v>13284</v>
      </c>
      <c r="J1311" s="9" t="s">
        <v>13284</v>
      </c>
      <c r="K1311" s="9" t="s">
        <v>13284</v>
      </c>
      <c r="L1311" s="9" t="s">
        <v>13284</v>
      </c>
      <c r="M1311" s="9" t="s">
        <v>13284</v>
      </c>
      <c r="N1311" s="9" t="s">
        <v>13284</v>
      </c>
      <c r="O1311" s="9" t="s">
        <v>13284</v>
      </c>
      <c r="P1311" s="9" t="s">
        <v>13284</v>
      </c>
      <c r="Q1311" s="9" t="s">
        <v>13284</v>
      </c>
      <c r="R1311" s="9" t="s">
        <v>13284</v>
      </c>
      <c r="S1311" s="9" t="s">
        <v>13284</v>
      </c>
      <c r="T1311" s="9" t="str">
        <f ca="1">IFERROR(IF(AND(VLOOKUP(A1311, 'Актуальное состояние (из общего'!A:C,3,0) = "", A1311 &lt;&gt; ""), "ПРОВЕРИТЬ", VLOOKUP(A1311, 'Актуальное состояние (из общего'!A:C,3,0)), "")</f>
        <v>Студент</v>
      </c>
      <c r="U1311" s="9" t="s">
        <v>13284</v>
      </c>
      <c r="V1311" s="9" t="s">
        <v>13284</v>
      </c>
      <c r="W1311" s="12"/>
      <c r="X1311" s="9" t="str">
        <f t="array" ref="X1311">IFERROR(INDEX('Адреса общежитий (скрытый)'!$B$2:$B$9, MATCH(W1311, 'Адреса общежитий (скрытый)'!$A$2:$A$9, 0)), "")</f>
        <v/>
      </c>
      <c r="Y1311" s="18"/>
      <c r="Z1311" s="18"/>
      <c r="AA1311" s="18"/>
      <c r="AB1311" s="18"/>
      <c r="AC1311" s="18"/>
    </row>
    <row r="1312" spans="1:29" ht="32.25" hidden="1" customHeight="1">
      <c r="A1312" s="8">
        <v>2303290</v>
      </c>
      <c r="B1312" s="9" t="s">
        <v>13284</v>
      </c>
      <c r="C1312" s="9" t="s">
        <v>13284</v>
      </c>
      <c r="D1312" s="9" t="s">
        <v>13284</v>
      </c>
      <c r="E1312" s="9" t="s">
        <v>13284</v>
      </c>
      <c r="F1312" s="9" t="s">
        <v>13284</v>
      </c>
      <c r="G1312" s="9" t="s">
        <v>13284</v>
      </c>
      <c r="H1312" s="9" t="s">
        <v>13284</v>
      </c>
      <c r="I1312" s="9" t="s">
        <v>13284</v>
      </c>
      <c r="J1312" s="9" t="s">
        <v>13284</v>
      </c>
      <c r="K1312" s="9" t="s">
        <v>13284</v>
      </c>
      <c r="L1312" s="9" t="s">
        <v>13284</v>
      </c>
      <c r="M1312" s="9" t="s">
        <v>13284</v>
      </c>
      <c r="N1312" s="9" t="s">
        <v>13284</v>
      </c>
      <c r="O1312" s="9" t="s">
        <v>13284</v>
      </c>
      <c r="P1312" s="9" t="s">
        <v>13284</v>
      </c>
      <c r="Q1312" s="9" t="s">
        <v>13284</v>
      </c>
      <c r="R1312" s="9" t="s">
        <v>13284</v>
      </c>
      <c r="S1312" s="9" t="s">
        <v>13284</v>
      </c>
      <c r="T1312" s="9" t="str">
        <f ca="1">IFERROR(IF(AND(VLOOKUP(A1312, 'Актуальное состояние (из общего'!A:C,3,0) = "", A1312 &lt;&gt; ""), "ПРОВЕРИТЬ", VLOOKUP(A1312, 'Актуальное состояние (из общего'!A:C,3,0)), "")</f>
        <v>Студент</v>
      </c>
      <c r="U1312" s="9" t="s">
        <v>13284</v>
      </c>
      <c r="V1312" s="9" t="s">
        <v>13284</v>
      </c>
      <c r="W1312" s="12"/>
      <c r="X1312" s="9" t="str">
        <f t="array" ref="X1312">IFERROR(INDEX('Адреса общежитий (скрытый)'!$B$2:$B$9, MATCH(W1312, 'Адреса общежитий (скрытый)'!$A$2:$A$9, 0)), "")</f>
        <v/>
      </c>
      <c r="Y1312" s="18"/>
      <c r="Z1312" s="18"/>
      <c r="AA1312" s="18"/>
      <c r="AB1312" s="18"/>
      <c r="AC1312" s="18"/>
    </row>
    <row r="1313" spans="1:29" ht="32.25" customHeight="1">
      <c r="A1313" s="8">
        <v>2309967</v>
      </c>
      <c r="B1313" s="9" t="s">
        <v>13284</v>
      </c>
      <c r="C1313" s="9" t="s">
        <v>13284</v>
      </c>
      <c r="D1313" s="9" t="s">
        <v>13284</v>
      </c>
      <c r="E1313" s="9" t="s">
        <v>13284</v>
      </c>
      <c r="F1313" s="9" t="s">
        <v>13284</v>
      </c>
      <c r="G1313" s="9" t="s">
        <v>13284</v>
      </c>
      <c r="H1313" s="9" t="s">
        <v>13284</v>
      </c>
      <c r="I1313" s="9" t="s">
        <v>13284</v>
      </c>
      <c r="J1313" s="9" t="s">
        <v>13284</v>
      </c>
      <c r="K1313" s="9" t="s">
        <v>13284</v>
      </c>
      <c r="L1313" s="9" t="s">
        <v>13284</v>
      </c>
      <c r="M1313" s="9" t="s">
        <v>13284</v>
      </c>
      <c r="N1313" s="9" t="s">
        <v>13284</v>
      </c>
      <c r="O1313" s="9" t="s">
        <v>13284</v>
      </c>
      <c r="P1313" s="9" t="s">
        <v>13284</v>
      </c>
      <c r="Q1313" s="9" t="s">
        <v>13284</v>
      </c>
      <c r="R1313" s="9" t="s">
        <v>13284</v>
      </c>
      <c r="S1313" s="9" t="s">
        <v>13284</v>
      </c>
      <c r="T1313" s="9" t="str">
        <f ca="1">IFERROR(IF(AND(VLOOKUP(A1313, 'Актуальное состояние (из общего'!A:C,3,0) = "", A1313 &lt;&gt; ""), "ПРОВЕРИТЬ", VLOOKUP(A1313, 'Актуальное состояние (из общего'!A:C,3,0)), "")</f>
        <v>Студент</v>
      </c>
      <c r="U1313" s="9" t="s">
        <v>13284</v>
      </c>
      <c r="V1313" s="9" t="s">
        <v>13284</v>
      </c>
      <c r="W1313" s="9" t="s">
        <v>319</v>
      </c>
      <c r="X1313" s="9" t="str">
        <f t="array" ref="X1313">IFERROR(INDEX('Адреса общежитий (скрытый)'!$B$2:$B$9, MATCH(W1313, 'Адреса общежитий (скрытый)'!$A$2:$A$9, 0)), "")</f>
        <v>ул. Профсоюзная, д.83, корп. 2</v>
      </c>
      <c r="Y1313" s="18"/>
      <c r="Z1313" s="18"/>
      <c r="AA1313" s="18"/>
      <c r="AB1313" s="18"/>
      <c r="AC1313" s="18"/>
    </row>
    <row r="1314" spans="1:29" ht="32.25" customHeight="1">
      <c r="A1314" s="8">
        <v>2313669</v>
      </c>
      <c r="B1314" s="9" t="s">
        <v>13284</v>
      </c>
      <c r="C1314" s="9" t="s">
        <v>13284</v>
      </c>
      <c r="D1314" s="9" t="s">
        <v>13284</v>
      </c>
      <c r="E1314" s="9" t="s">
        <v>13284</v>
      </c>
      <c r="F1314" s="9" t="s">
        <v>13284</v>
      </c>
      <c r="G1314" s="9" t="s">
        <v>13284</v>
      </c>
      <c r="H1314" s="9" t="s">
        <v>13284</v>
      </c>
      <c r="I1314" s="9" t="s">
        <v>13284</v>
      </c>
      <c r="J1314" s="9" t="s">
        <v>13284</v>
      </c>
      <c r="K1314" s="9" t="s">
        <v>13284</v>
      </c>
      <c r="L1314" s="9" t="s">
        <v>13284</v>
      </c>
      <c r="M1314" s="9" t="s">
        <v>13284</v>
      </c>
      <c r="N1314" s="9" t="s">
        <v>13284</v>
      </c>
      <c r="O1314" s="9" t="s">
        <v>13284</v>
      </c>
      <c r="P1314" s="9" t="s">
        <v>13284</v>
      </c>
      <c r="Q1314" s="9" t="s">
        <v>13284</v>
      </c>
      <c r="R1314" s="9" t="s">
        <v>13284</v>
      </c>
      <c r="S1314" s="9" t="s">
        <v>13284</v>
      </c>
      <c r="T1314" s="9" t="str">
        <f ca="1">IFERROR(IF(AND(VLOOKUP(A1314, 'Актуальное состояние (из общего'!A:C,3,0) = "", A1314 &lt;&gt; ""), "ПРОВЕРИТЬ", VLOOKUP(A1314, 'Актуальное состояние (из общего'!A:C,3,0)), "")</f>
        <v>Студент</v>
      </c>
      <c r="U1314" s="9" t="s">
        <v>13284</v>
      </c>
      <c r="V1314" s="9" t="s">
        <v>13284</v>
      </c>
      <c r="W1314" s="12"/>
      <c r="X1314" s="9" t="str">
        <f t="array" ref="X1314">IFERROR(INDEX('Адреса общежитий (скрытый)'!$B$2:$B$9, MATCH(W1314, 'Адреса общежитий (скрытый)'!$A$2:$A$9, 0)), "")</f>
        <v/>
      </c>
      <c r="Y1314" s="18"/>
      <c r="Z1314" s="18"/>
      <c r="AA1314" s="18"/>
      <c r="AB1314" s="18"/>
      <c r="AC1314" s="18"/>
    </row>
    <row r="1315" spans="1:29" ht="32.25" customHeight="1">
      <c r="A1315" s="8">
        <v>2305586</v>
      </c>
      <c r="B1315" s="9" t="s">
        <v>13284</v>
      </c>
      <c r="C1315" s="9" t="s">
        <v>13284</v>
      </c>
      <c r="D1315" s="9" t="s">
        <v>13284</v>
      </c>
      <c r="E1315" s="9" t="s">
        <v>13284</v>
      </c>
      <c r="F1315" s="9" t="s">
        <v>13284</v>
      </c>
      <c r="G1315" s="9" t="s">
        <v>13284</v>
      </c>
      <c r="H1315" s="9" t="s">
        <v>13284</v>
      </c>
      <c r="I1315" s="9" t="s">
        <v>13284</v>
      </c>
      <c r="J1315" s="9" t="s">
        <v>13284</v>
      </c>
      <c r="K1315" s="9" t="s">
        <v>13284</v>
      </c>
      <c r="L1315" s="9" t="s">
        <v>13284</v>
      </c>
      <c r="M1315" s="9" t="s">
        <v>13284</v>
      </c>
      <c r="N1315" s="9" t="s">
        <v>13284</v>
      </c>
      <c r="O1315" s="9" t="s">
        <v>13284</v>
      </c>
      <c r="P1315" s="9" t="s">
        <v>13284</v>
      </c>
      <c r="Q1315" s="9" t="s">
        <v>13284</v>
      </c>
      <c r="R1315" s="9" t="s">
        <v>13284</v>
      </c>
      <c r="S1315" s="9" t="s">
        <v>13284</v>
      </c>
      <c r="T1315" s="9" t="str">
        <f ca="1">IFERROR(IF(AND(VLOOKUP(A1315, 'Актуальное состояние (из общего'!A:C,3,0) = "", A1315 &lt;&gt; ""), "ПРОВЕРИТЬ", VLOOKUP(A1315, 'Актуальное состояние (из общего'!A:C,3,0)), "")</f>
        <v>Студент</v>
      </c>
      <c r="U1315" s="9" t="s">
        <v>13284</v>
      </c>
      <c r="V1315" s="9" t="s">
        <v>13284</v>
      </c>
      <c r="W1315" s="12"/>
      <c r="X1315" s="9" t="str">
        <f t="array" ref="X1315">IFERROR(INDEX('Адреса общежитий (скрытый)'!$B$2:$B$9, MATCH(W1315, 'Адреса общежитий (скрытый)'!$A$2:$A$9, 0)), "")</f>
        <v/>
      </c>
      <c r="Y1315" s="18"/>
      <c r="Z1315" s="18"/>
      <c r="AA1315" s="18"/>
      <c r="AB1315" s="18"/>
      <c r="AC1315" s="18"/>
    </row>
    <row r="1316" spans="1:29" ht="32.25" hidden="1" customHeight="1">
      <c r="A1316" s="8">
        <v>2312314</v>
      </c>
      <c r="B1316" s="9" t="s">
        <v>13284</v>
      </c>
      <c r="C1316" s="9" t="s">
        <v>13284</v>
      </c>
      <c r="D1316" s="9" t="s">
        <v>13284</v>
      </c>
      <c r="E1316" s="9" t="s">
        <v>13284</v>
      </c>
      <c r="F1316" s="9" t="s">
        <v>13284</v>
      </c>
      <c r="G1316" s="9" t="s">
        <v>13284</v>
      </c>
      <c r="H1316" s="9" t="s">
        <v>13284</v>
      </c>
      <c r="I1316" s="9" t="s">
        <v>13284</v>
      </c>
      <c r="J1316" s="9" t="s">
        <v>13284</v>
      </c>
      <c r="K1316" s="9" t="s">
        <v>13284</v>
      </c>
      <c r="L1316" s="9" t="s">
        <v>13284</v>
      </c>
      <c r="M1316" s="9" t="s">
        <v>13284</v>
      </c>
      <c r="N1316" s="9" t="s">
        <v>13284</v>
      </c>
      <c r="O1316" s="9" t="s">
        <v>13284</v>
      </c>
      <c r="P1316" s="9" t="s">
        <v>13284</v>
      </c>
      <c r="Q1316" s="9" t="s">
        <v>13284</v>
      </c>
      <c r="R1316" s="9" t="s">
        <v>13284</v>
      </c>
      <c r="S1316" s="9" t="s">
        <v>13284</v>
      </c>
      <c r="T1316" s="9" t="str">
        <f ca="1">IFERROR(IF(AND(VLOOKUP(A1316, 'Актуальное состояние (из общего'!A:C,3,0) = "", A1316 &lt;&gt; ""), "ПРОВЕРИТЬ", VLOOKUP(A1316, 'Актуальное состояние (из общего'!A:C,3,0)), "")</f>
        <v>Студент</v>
      </c>
      <c r="U1316" s="9" t="s">
        <v>13284</v>
      </c>
      <c r="V1316" s="9" t="s">
        <v>13284</v>
      </c>
      <c r="W1316" s="12"/>
      <c r="X1316" s="9" t="str">
        <f t="array" ref="X1316">IFERROR(INDEX('Адреса общежитий (скрытый)'!$B$2:$B$9, MATCH(W1316, 'Адреса общежитий (скрытый)'!$A$2:$A$9, 0)), "")</f>
        <v/>
      </c>
      <c r="Y1316" s="18"/>
      <c r="Z1316" s="18"/>
      <c r="AA1316" s="18"/>
      <c r="AB1316" s="18"/>
      <c r="AC1316" s="18"/>
    </row>
    <row r="1317" spans="1:29" ht="32.25" customHeight="1">
      <c r="A1317" s="8">
        <v>2314746</v>
      </c>
      <c r="B1317" s="9" t="s">
        <v>13284</v>
      </c>
      <c r="C1317" s="9" t="s">
        <v>13284</v>
      </c>
      <c r="D1317" s="9" t="s">
        <v>13284</v>
      </c>
      <c r="E1317" s="9" t="s">
        <v>13284</v>
      </c>
      <c r="F1317" s="9" t="s">
        <v>13284</v>
      </c>
      <c r="G1317" s="9" t="s">
        <v>13284</v>
      </c>
      <c r="H1317" s="9" t="s">
        <v>13284</v>
      </c>
      <c r="I1317" s="9" t="s">
        <v>13284</v>
      </c>
      <c r="J1317" s="9" t="s">
        <v>13284</v>
      </c>
      <c r="K1317" s="9" t="s">
        <v>13284</v>
      </c>
      <c r="L1317" s="9" t="s">
        <v>13284</v>
      </c>
      <c r="M1317" s="9" t="s">
        <v>13284</v>
      </c>
      <c r="N1317" s="9" t="s">
        <v>13284</v>
      </c>
      <c r="O1317" s="9" t="s">
        <v>13284</v>
      </c>
      <c r="P1317" s="9" t="s">
        <v>13284</v>
      </c>
      <c r="Q1317" s="9" t="s">
        <v>13284</v>
      </c>
      <c r="R1317" s="9" t="s">
        <v>13284</v>
      </c>
      <c r="S1317" s="9" t="s">
        <v>13284</v>
      </c>
      <c r="T1317" s="9" t="str">
        <f ca="1">IFERROR(IF(AND(VLOOKUP(A1317, 'Актуальное состояние (из общего'!A:C,3,0) = "", A1317 &lt;&gt; ""), "ПРОВЕРИТЬ", VLOOKUP(A1317, 'Актуальное состояние (из общего'!A:C,3,0)), "")</f>
        <v>Студент</v>
      </c>
      <c r="U1317" s="9" t="s">
        <v>13284</v>
      </c>
      <c r="V1317" s="9" t="s">
        <v>13284</v>
      </c>
      <c r="W1317" s="12"/>
      <c r="X1317" s="9" t="str">
        <f t="array" ref="X1317">IFERROR(INDEX('Адреса общежитий (скрытый)'!$B$2:$B$9, MATCH(W1317, 'Адреса общежитий (скрытый)'!$A$2:$A$9, 0)), "")</f>
        <v/>
      </c>
      <c r="Y1317" s="18"/>
      <c r="Z1317" s="18"/>
      <c r="AA1317" s="18"/>
      <c r="AB1317" s="18"/>
      <c r="AC1317" s="18"/>
    </row>
    <row r="1318" spans="1:29" ht="32.25" hidden="1" customHeight="1">
      <c r="A1318" s="8">
        <v>2305093</v>
      </c>
      <c r="B1318" s="9" t="s">
        <v>13284</v>
      </c>
      <c r="C1318" s="9" t="s">
        <v>13284</v>
      </c>
      <c r="D1318" s="9" t="s">
        <v>13284</v>
      </c>
      <c r="E1318" s="9" t="s">
        <v>13284</v>
      </c>
      <c r="F1318" s="9" t="s">
        <v>13284</v>
      </c>
      <c r="G1318" s="9" t="s">
        <v>13284</v>
      </c>
      <c r="H1318" s="9" t="s">
        <v>13284</v>
      </c>
      <c r="I1318" s="9" t="s">
        <v>13284</v>
      </c>
      <c r="J1318" s="9" t="s">
        <v>13284</v>
      </c>
      <c r="K1318" s="9" t="s">
        <v>13284</v>
      </c>
      <c r="L1318" s="9" t="s">
        <v>13284</v>
      </c>
      <c r="M1318" s="9" t="s">
        <v>13284</v>
      </c>
      <c r="N1318" s="9" t="s">
        <v>13284</v>
      </c>
      <c r="O1318" s="9" t="s">
        <v>13284</v>
      </c>
      <c r="P1318" s="9" t="s">
        <v>13284</v>
      </c>
      <c r="Q1318" s="9" t="s">
        <v>13284</v>
      </c>
      <c r="R1318" s="9" t="s">
        <v>13284</v>
      </c>
      <c r="S1318" s="9" t="s">
        <v>13284</v>
      </c>
      <c r="T1318" s="9" t="str">
        <f ca="1">IFERROR(IF(AND(VLOOKUP(A1318, 'Актуальное состояние (из общего'!A:C,3,0) = "", A1318 &lt;&gt; ""), "ПРОВЕРИТЬ", VLOOKUP(A1318, 'Актуальное состояние (из общего'!A:C,3,0)), "")</f>
        <v>Студент</v>
      </c>
      <c r="U1318" s="9" t="s">
        <v>13284</v>
      </c>
      <c r="V1318" s="9" t="s">
        <v>13284</v>
      </c>
      <c r="W1318" s="12"/>
      <c r="X1318" s="9" t="str">
        <f t="array" ref="X1318">IFERROR(INDEX('Адреса общежитий (скрытый)'!$B$2:$B$9, MATCH(W1318, 'Адреса общежитий (скрытый)'!$A$2:$A$9, 0)), "")</f>
        <v/>
      </c>
      <c r="Y1318" s="18"/>
      <c r="Z1318" s="18"/>
      <c r="AA1318" s="18"/>
      <c r="AB1318" s="18"/>
      <c r="AC1318" s="18"/>
    </row>
    <row r="1319" spans="1:29" ht="32.25" hidden="1" customHeight="1">
      <c r="A1319" s="8">
        <v>2302638</v>
      </c>
      <c r="B1319" s="9" t="s">
        <v>13284</v>
      </c>
      <c r="C1319" s="9" t="s">
        <v>13284</v>
      </c>
      <c r="D1319" s="9" t="s">
        <v>13284</v>
      </c>
      <c r="E1319" s="9" t="s">
        <v>13284</v>
      </c>
      <c r="F1319" s="9" t="s">
        <v>13284</v>
      </c>
      <c r="G1319" s="9" t="s">
        <v>13284</v>
      </c>
      <c r="H1319" s="9" t="s">
        <v>13284</v>
      </c>
      <c r="I1319" s="9" t="s">
        <v>13284</v>
      </c>
      <c r="J1319" s="9" t="s">
        <v>13284</v>
      </c>
      <c r="K1319" s="9" t="s">
        <v>13284</v>
      </c>
      <c r="L1319" s="9" t="s">
        <v>13284</v>
      </c>
      <c r="M1319" s="9" t="s">
        <v>13284</v>
      </c>
      <c r="N1319" s="9" t="s">
        <v>13284</v>
      </c>
      <c r="O1319" s="9" t="s">
        <v>13284</v>
      </c>
      <c r="P1319" s="9" t="s">
        <v>13284</v>
      </c>
      <c r="Q1319" s="9" t="s">
        <v>13284</v>
      </c>
      <c r="R1319" s="9" t="s">
        <v>13284</v>
      </c>
      <c r="S1319" s="9" t="s">
        <v>13284</v>
      </c>
      <c r="T1319" s="9" t="str">
        <f ca="1">IFERROR(IF(AND(VLOOKUP(A1319, 'Актуальное состояние (из общего'!A:C,3,0) = "", A1319 &lt;&gt; ""), "ПРОВЕРИТЬ", VLOOKUP(A1319, 'Актуальное состояние (из общего'!A:C,3,0)), "")</f>
        <v>Студент</v>
      </c>
      <c r="U1319" s="9" t="s">
        <v>13284</v>
      </c>
      <c r="V1319" s="9" t="s">
        <v>13284</v>
      </c>
      <c r="W1319" s="12"/>
      <c r="X1319" s="9" t="str">
        <f t="array" ref="X1319">IFERROR(INDEX('Адреса общежитий (скрытый)'!$B$2:$B$9, MATCH(W1319, 'Адреса общежитий (скрытый)'!$A$2:$A$9, 0)), "")</f>
        <v/>
      </c>
      <c r="Y1319" s="18"/>
      <c r="Z1319" s="18"/>
      <c r="AA1319" s="18"/>
      <c r="AB1319" s="18"/>
      <c r="AC1319" s="18"/>
    </row>
    <row r="1320" spans="1:29" ht="32.25" hidden="1" customHeight="1">
      <c r="A1320" s="8">
        <v>2308451</v>
      </c>
      <c r="B1320" s="9" t="s">
        <v>13284</v>
      </c>
      <c r="C1320" s="9" t="s">
        <v>13284</v>
      </c>
      <c r="D1320" s="9" t="s">
        <v>13284</v>
      </c>
      <c r="E1320" s="9" t="s">
        <v>13284</v>
      </c>
      <c r="F1320" s="9" t="s">
        <v>13284</v>
      </c>
      <c r="G1320" s="9" t="s">
        <v>13284</v>
      </c>
      <c r="H1320" s="9" t="s">
        <v>13284</v>
      </c>
      <c r="I1320" s="9" t="s">
        <v>13284</v>
      </c>
      <c r="J1320" s="9" t="s">
        <v>13284</v>
      </c>
      <c r="K1320" s="9" t="s">
        <v>13284</v>
      </c>
      <c r="L1320" s="9" t="s">
        <v>13284</v>
      </c>
      <c r="M1320" s="9" t="s">
        <v>13284</v>
      </c>
      <c r="N1320" s="9" t="s">
        <v>13284</v>
      </c>
      <c r="O1320" s="9" t="s">
        <v>13284</v>
      </c>
      <c r="P1320" s="9" t="s">
        <v>13284</v>
      </c>
      <c r="Q1320" s="9" t="s">
        <v>13284</v>
      </c>
      <c r="R1320" s="9" t="s">
        <v>13284</v>
      </c>
      <c r="S1320" s="9" t="s">
        <v>13284</v>
      </c>
      <c r="T1320" s="9" t="str">
        <f ca="1">IFERROR(IF(AND(VLOOKUP(A1320, 'Актуальное состояние (из общего'!A:C,3,0) = "", A1320 &lt;&gt; ""), "ПРОВЕРИТЬ", VLOOKUP(A1320, 'Актуальное состояние (из общего'!A:C,3,0)), "")</f>
        <v>Студент</v>
      </c>
      <c r="U1320" s="9" t="s">
        <v>13284</v>
      </c>
      <c r="V1320" s="9" t="s">
        <v>13284</v>
      </c>
      <c r="W1320" s="12"/>
      <c r="X1320" s="9" t="str">
        <f t="array" ref="X1320">IFERROR(INDEX('Адреса общежитий (скрытый)'!$B$2:$B$9, MATCH(W1320, 'Адреса общежитий (скрытый)'!$A$2:$A$9, 0)), "")</f>
        <v/>
      </c>
      <c r="Y1320" s="18"/>
      <c r="Z1320" s="18"/>
      <c r="AA1320" s="18"/>
      <c r="AB1320" s="18"/>
      <c r="AC1320" s="18"/>
    </row>
    <row r="1321" spans="1:29" ht="32.25" customHeight="1">
      <c r="A1321" s="8">
        <v>2307100</v>
      </c>
      <c r="B1321" s="9" t="s">
        <v>13284</v>
      </c>
      <c r="C1321" s="9" t="s">
        <v>13284</v>
      </c>
      <c r="D1321" s="9" t="s">
        <v>13284</v>
      </c>
      <c r="E1321" s="9" t="s">
        <v>13284</v>
      </c>
      <c r="F1321" s="9" t="s">
        <v>13284</v>
      </c>
      <c r="G1321" s="9" t="s">
        <v>13284</v>
      </c>
      <c r="H1321" s="9" t="s">
        <v>13284</v>
      </c>
      <c r="I1321" s="9" t="s">
        <v>13284</v>
      </c>
      <c r="J1321" s="9" t="s">
        <v>13284</v>
      </c>
      <c r="K1321" s="9" t="s">
        <v>13284</v>
      </c>
      <c r="L1321" s="9" t="s">
        <v>13284</v>
      </c>
      <c r="M1321" s="9" t="s">
        <v>13284</v>
      </c>
      <c r="N1321" s="9" t="s">
        <v>13284</v>
      </c>
      <c r="O1321" s="9" t="s">
        <v>13284</v>
      </c>
      <c r="P1321" s="9" t="s">
        <v>13284</v>
      </c>
      <c r="Q1321" s="9" t="s">
        <v>13284</v>
      </c>
      <c r="R1321" s="9" t="s">
        <v>13284</v>
      </c>
      <c r="S1321" s="9" t="s">
        <v>13284</v>
      </c>
      <c r="T1321" s="9" t="str">
        <f ca="1">IFERROR(IF(AND(VLOOKUP(A1321, 'Актуальное состояние (из общего'!A:C,3,0) = "", A1321 &lt;&gt; ""), "ПРОВЕРИТЬ", VLOOKUP(A1321, 'Актуальное состояние (из общего'!A:C,3,0)), "")</f>
        <v>Студент</v>
      </c>
      <c r="U1321" s="9" t="s">
        <v>13284</v>
      </c>
      <c r="V1321" s="9" t="s">
        <v>13284</v>
      </c>
      <c r="W1321" s="12"/>
      <c r="X1321" s="9" t="str">
        <f t="array" ref="X1321">IFERROR(INDEX('Адреса общежитий (скрытый)'!$B$2:$B$9, MATCH(W1321, 'Адреса общежитий (скрытый)'!$A$2:$A$9, 0)), "")</f>
        <v/>
      </c>
      <c r="Y1321" s="18"/>
      <c r="Z1321" s="18"/>
      <c r="AA1321" s="18"/>
      <c r="AB1321" s="18"/>
      <c r="AC1321" s="18"/>
    </row>
    <row r="1322" spans="1:29" ht="32.25" customHeight="1">
      <c r="A1322" s="8">
        <v>2307229</v>
      </c>
      <c r="B1322" s="9" t="s">
        <v>13284</v>
      </c>
      <c r="C1322" s="9" t="s">
        <v>13284</v>
      </c>
      <c r="D1322" s="9" t="s">
        <v>13284</v>
      </c>
      <c r="E1322" s="9" t="s">
        <v>13284</v>
      </c>
      <c r="F1322" s="9" t="s">
        <v>13284</v>
      </c>
      <c r="G1322" s="9" t="s">
        <v>13284</v>
      </c>
      <c r="H1322" s="9" t="s">
        <v>13284</v>
      </c>
      <c r="I1322" s="9" t="s">
        <v>13284</v>
      </c>
      <c r="J1322" s="9" t="s">
        <v>13284</v>
      </c>
      <c r="K1322" s="9" t="s">
        <v>13284</v>
      </c>
      <c r="L1322" s="9" t="s">
        <v>13284</v>
      </c>
      <c r="M1322" s="9" t="s">
        <v>13284</v>
      </c>
      <c r="N1322" s="9" t="s">
        <v>13284</v>
      </c>
      <c r="O1322" s="9" t="s">
        <v>13284</v>
      </c>
      <c r="P1322" s="9" t="s">
        <v>13284</v>
      </c>
      <c r="Q1322" s="9" t="s">
        <v>13284</v>
      </c>
      <c r="R1322" s="9" t="s">
        <v>13284</v>
      </c>
      <c r="S1322" s="9" t="s">
        <v>13284</v>
      </c>
      <c r="T1322" s="9" t="str">
        <f ca="1">IFERROR(IF(AND(VLOOKUP(A1322, 'Актуальное состояние (из общего'!A:C,3,0) = "", A1322 &lt;&gt; ""), "ПРОВЕРИТЬ", VLOOKUP(A1322, 'Актуальное состояние (из общего'!A:C,3,0)), "")</f>
        <v>Студент</v>
      </c>
      <c r="U1322" s="9" t="s">
        <v>13284</v>
      </c>
      <c r="V1322" s="9" t="s">
        <v>13284</v>
      </c>
      <c r="W1322" s="9" t="s">
        <v>319</v>
      </c>
      <c r="X1322" s="9" t="str">
        <f t="array" ref="X1322">IFERROR(INDEX('Адреса общежитий (скрытый)'!$B$2:$B$9, MATCH(W1322, 'Адреса общежитий (скрытый)'!$A$2:$A$9, 0)), "")</f>
        <v>ул. Профсоюзная, д.83, корп. 2</v>
      </c>
      <c r="Y1322" s="18"/>
      <c r="Z1322" s="18"/>
      <c r="AA1322" s="18"/>
      <c r="AB1322" s="18"/>
      <c r="AC1322" s="18"/>
    </row>
    <row r="1323" spans="1:29" ht="32.25" customHeight="1">
      <c r="A1323" s="8">
        <v>2308455</v>
      </c>
      <c r="B1323" s="9" t="s">
        <v>13284</v>
      </c>
      <c r="C1323" s="9" t="s">
        <v>13284</v>
      </c>
      <c r="D1323" s="9" t="s">
        <v>13284</v>
      </c>
      <c r="E1323" s="9" t="s">
        <v>13284</v>
      </c>
      <c r="F1323" s="9" t="s">
        <v>13284</v>
      </c>
      <c r="G1323" s="9" t="s">
        <v>13284</v>
      </c>
      <c r="H1323" s="9" t="s">
        <v>13284</v>
      </c>
      <c r="I1323" s="9" t="s">
        <v>13284</v>
      </c>
      <c r="J1323" s="9" t="s">
        <v>13284</v>
      </c>
      <c r="K1323" s="9" t="s">
        <v>13284</v>
      </c>
      <c r="L1323" s="9" t="s">
        <v>13284</v>
      </c>
      <c r="M1323" s="9" t="s">
        <v>13284</v>
      </c>
      <c r="N1323" s="9" t="s">
        <v>13284</v>
      </c>
      <c r="O1323" s="9" t="s">
        <v>13284</v>
      </c>
      <c r="P1323" s="9" t="s">
        <v>13284</v>
      </c>
      <c r="Q1323" s="9" t="s">
        <v>13284</v>
      </c>
      <c r="R1323" s="9" t="s">
        <v>13284</v>
      </c>
      <c r="S1323" s="9" t="s">
        <v>13284</v>
      </c>
      <c r="T1323" s="9" t="str">
        <f ca="1">IFERROR(IF(AND(VLOOKUP(A1323, 'Актуальное состояние (из общего'!A:C,3,0) = "", A1323 &lt;&gt; ""), "ПРОВЕРИТЬ", VLOOKUP(A1323, 'Актуальное состояние (из общего'!A:C,3,0)), "")</f>
        <v>Студент</v>
      </c>
      <c r="U1323" s="9" t="s">
        <v>13284</v>
      </c>
      <c r="V1323" s="9" t="s">
        <v>13284</v>
      </c>
      <c r="W1323" s="12"/>
      <c r="X1323" s="9" t="str">
        <f t="array" ref="X1323">IFERROR(INDEX('Адреса общежитий (скрытый)'!$B$2:$B$9, MATCH(W1323, 'Адреса общежитий (скрытый)'!$A$2:$A$9, 0)), "")</f>
        <v/>
      </c>
      <c r="Y1323" s="18"/>
      <c r="Z1323" s="18"/>
      <c r="AA1323" s="18"/>
      <c r="AB1323" s="18"/>
      <c r="AC1323" s="18"/>
    </row>
    <row r="1324" spans="1:29" ht="32.25" customHeight="1">
      <c r="A1324" s="8">
        <v>2302408</v>
      </c>
      <c r="B1324" s="9" t="s">
        <v>13284</v>
      </c>
      <c r="C1324" s="9" t="s">
        <v>13284</v>
      </c>
      <c r="D1324" s="9" t="s">
        <v>13284</v>
      </c>
      <c r="E1324" s="9" t="s">
        <v>13284</v>
      </c>
      <c r="F1324" s="9" t="s">
        <v>13284</v>
      </c>
      <c r="G1324" s="9" t="s">
        <v>13284</v>
      </c>
      <c r="H1324" s="9" t="s">
        <v>13284</v>
      </c>
      <c r="I1324" s="9" t="s">
        <v>13284</v>
      </c>
      <c r="J1324" s="9" t="s">
        <v>13284</v>
      </c>
      <c r="K1324" s="9" t="s">
        <v>13284</v>
      </c>
      <c r="L1324" s="9" t="s">
        <v>13284</v>
      </c>
      <c r="M1324" s="9" t="s">
        <v>13284</v>
      </c>
      <c r="N1324" s="9" t="s">
        <v>13284</v>
      </c>
      <c r="O1324" s="9" t="s">
        <v>13284</v>
      </c>
      <c r="P1324" s="9" t="s">
        <v>13284</v>
      </c>
      <c r="Q1324" s="9" t="s">
        <v>13284</v>
      </c>
      <c r="R1324" s="9" t="s">
        <v>13284</v>
      </c>
      <c r="S1324" s="9" t="s">
        <v>13284</v>
      </c>
      <c r="T1324" s="9" t="str">
        <f ca="1">IFERROR(IF(AND(VLOOKUP(A1324, 'Актуальное состояние (из общего'!A:C,3,0) = "", A1324 &lt;&gt; ""), "ПРОВЕРИТЬ", VLOOKUP(A1324, 'Актуальное состояние (из общего'!A:C,3,0)), "")</f>
        <v>Студент</v>
      </c>
      <c r="U1324" s="9" t="s">
        <v>13284</v>
      </c>
      <c r="V1324" s="9" t="s">
        <v>13284</v>
      </c>
      <c r="W1324" s="12"/>
      <c r="X1324" s="9" t="str">
        <f t="array" ref="X1324">IFERROR(INDEX('Адреса общежитий (скрытый)'!$B$2:$B$9, MATCH(W1324, 'Адреса общежитий (скрытый)'!$A$2:$A$9, 0)), "")</f>
        <v/>
      </c>
      <c r="Y1324" s="18"/>
      <c r="Z1324" s="18"/>
      <c r="AA1324" s="18"/>
      <c r="AB1324" s="18"/>
      <c r="AC1324" s="18"/>
    </row>
    <row r="1325" spans="1:29" ht="32.25" customHeight="1">
      <c r="A1325" s="8">
        <v>2311697</v>
      </c>
      <c r="B1325" s="9" t="s">
        <v>13284</v>
      </c>
      <c r="C1325" s="9" t="s">
        <v>13284</v>
      </c>
      <c r="D1325" s="9" t="s">
        <v>13284</v>
      </c>
      <c r="E1325" s="9" t="s">
        <v>13284</v>
      </c>
      <c r="F1325" s="9" t="s">
        <v>13284</v>
      </c>
      <c r="G1325" s="9" t="s">
        <v>13284</v>
      </c>
      <c r="H1325" s="9" t="s">
        <v>13284</v>
      </c>
      <c r="I1325" s="9" t="s">
        <v>13284</v>
      </c>
      <c r="J1325" s="9" t="s">
        <v>13284</v>
      </c>
      <c r="K1325" s="9" t="s">
        <v>13284</v>
      </c>
      <c r="L1325" s="9" t="s">
        <v>13284</v>
      </c>
      <c r="M1325" s="9" t="s">
        <v>13284</v>
      </c>
      <c r="N1325" s="9" t="s">
        <v>13284</v>
      </c>
      <c r="O1325" s="9" t="s">
        <v>13284</v>
      </c>
      <c r="P1325" s="9" t="s">
        <v>13284</v>
      </c>
      <c r="Q1325" s="9" t="s">
        <v>13284</v>
      </c>
      <c r="R1325" s="9" t="s">
        <v>13284</v>
      </c>
      <c r="S1325" s="9" t="s">
        <v>13284</v>
      </c>
      <c r="T1325" s="9" t="str">
        <f ca="1">IFERROR(IF(AND(VLOOKUP(A1325, 'Актуальное состояние (из общего'!A:C,3,0) = "", A1325 &lt;&gt; ""), "ПРОВЕРИТЬ", VLOOKUP(A1325, 'Актуальное состояние (из общего'!A:C,3,0)), "")</f>
        <v>Студент</v>
      </c>
      <c r="U1325" s="9" t="s">
        <v>13284</v>
      </c>
      <c r="V1325" s="9" t="s">
        <v>13284</v>
      </c>
      <c r="W1325" s="12"/>
      <c r="X1325" s="9" t="str">
        <f t="array" ref="X1325">IFERROR(INDEX('Адреса общежитий (скрытый)'!$B$2:$B$9, MATCH(W1325, 'Адреса общежитий (скрытый)'!$A$2:$A$9, 0)), "")</f>
        <v/>
      </c>
      <c r="Y1325" s="18"/>
      <c r="Z1325" s="18"/>
      <c r="AA1325" s="18"/>
      <c r="AB1325" s="18"/>
      <c r="AC1325" s="18"/>
    </row>
    <row r="1326" spans="1:29" ht="32.25" hidden="1" customHeight="1">
      <c r="A1326" s="8">
        <v>2304156</v>
      </c>
      <c r="B1326" s="9" t="s">
        <v>13284</v>
      </c>
      <c r="C1326" s="9" t="s">
        <v>13284</v>
      </c>
      <c r="D1326" s="9" t="s">
        <v>13284</v>
      </c>
      <c r="E1326" s="9" t="s">
        <v>13284</v>
      </c>
      <c r="F1326" s="9" t="s">
        <v>13284</v>
      </c>
      <c r="G1326" s="9" t="s">
        <v>13284</v>
      </c>
      <c r="H1326" s="9" t="s">
        <v>13284</v>
      </c>
      <c r="I1326" s="9" t="s">
        <v>13284</v>
      </c>
      <c r="J1326" s="9" t="s">
        <v>13284</v>
      </c>
      <c r="K1326" s="9" t="s">
        <v>13284</v>
      </c>
      <c r="L1326" s="9" t="s">
        <v>13284</v>
      </c>
      <c r="M1326" s="9" t="s">
        <v>13284</v>
      </c>
      <c r="N1326" s="9" t="s">
        <v>13284</v>
      </c>
      <c r="O1326" s="9" t="s">
        <v>13284</v>
      </c>
      <c r="P1326" s="9" t="s">
        <v>13284</v>
      </c>
      <c r="Q1326" s="9" t="s">
        <v>13284</v>
      </c>
      <c r="R1326" s="9" t="s">
        <v>13284</v>
      </c>
      <c r="S1326" s="9" t="s">
        <v>13284</v>
      </c>
      <c r="T1326" s="9" t="str">
        <f ca="1">IFERROR(IF(AND(VLOOKUP(A1326, 'Актуальное состояние (из общего'!A:C,3,0) = "", A1326 &lt;&gt; ""), "ПРОВЕРИТЬ", VLOOKUP(A1326, 'Актуальное состояние (из общего'!A:C,3,0)), "")</f>
        <v>Студент</v>
      </c>
      <c r="U1326" s="9" t="s">
        <v>13284</v>
      </c>
      <c r="V1326" s="9" t="s">
        <v>13284</v>
      </c>
      <c r="W1326" s="12"/>
      <c r="X1326" s="9" t="str">
        <f t="array" ref="X1326">IFERROR(INDEX('Адреса общежитий (скрытый)'!$B$2:$B$9, MATCH(W1326, 'Адреса общежитий (скрытый)'!$A$2:$A$9, 0)), "")</f>
        <v/>
      </c>
      <c r="Y1326" s="18"/>
      <c r="Z1326" s="18"/>
      <c r="AA1326" s="18"/>
      <c r="AB1326" s="18"/>
      <c r="AC1326" s="18"/>
    </row>
    <row r="1327" spans="1:29" ht="32.25" customHeight="1">
      <c r="A1327" s="8">
        <v>2307308</v>
      </c>
      <c r="B1327" s="9" t="s">
        <v>13284</v>
      </c>
      <c r="C1327" s="9" t="s">
        <v>13284</v>
      </c>
      <c r="D1327" s="9" t="s">
        <v>13284</v>
      </c>
      <c r="E1327" s="9" t="s">
        <v>13284</v>
      </c>
      <c r="F1327" s="9" t="s">
        <v>13284</v>
      </c>
      <c r="G1327" s="9" t="s">
        <v>13284</v>
      </c>
      <c r="H1327" s="9" t="s">
        <v>13284</v>
      </c>
      <c r="I1327" s="9" t="s">
        <v>13284</v>
      </c>
      <c r="J1327" s="9" t="s">
        <v>13284</v>
      </c>
      <c r="K1327" s="9" t="s">
        <v>13284</v>
      </c>
      <c r="L1327" s="9" t="s">
        <v>13284</v>
      </c>
      <c r="M1327" s="9" t="s">
        <v>13284</v>
      </c>
      <c r="N1327" s="9" t="s">
        <v>13284</v>
      </c>
      <c r="O1327" s="9" t="s">
        <v>13284</v>
      </c>
      <c r="P1327" s="9" t="s">
        <v>13284</v>
      </c>
      <c r="Q1327" s="9" t="s">
        <v>13284</v>
      </c>
      <c r="R1327" s="9" t="s">
        <v>13284</v>
      </c>
      <c r="S1327" s="9" t="s">
        <v>13284</v>
      </c>
      <c r="T1327" s="9" t="str">
        <f ca="1">IFERROR(IF(AND(VLOOKUP(A1327, 'Актуальное состояние (из общего'!A:C,3,0) = "", A1327 &lt;&gt; ""), "ПРОВЕРИТЬ", VLOOKUP(A1327, 'Актуальное состояние (из общего'!A:C,3,0)), "")</f>
        <v>Студент</v>
      </c>
      <c r="U1327" s="9" t="s">
        <v>13284</v>
      </c>
      <c r="V1327" s="9" t="s">
        <v>13284</v>
      </c>
      <c r="W1327" s="9" t="s">
        <v>319</v>
      </c>
      <c r="X1327" s="9" t="str">
        <f t="array" ref="X1327">IFERROR(INDEX('Адреса общежитий (скрытый)'!$B$2:$B$9, MATCH(W1327, 'Адреса общежитий (скрытый)'!$A$2:$A$9, 0)), "")</f>
        <v>ул. Профсоюзная, д.83, корп. 2</v>
      </c>
      <c r="Y1327" s="18"/>
      <c r="Z1327" s="18"/>
      <c r="AA1327" s="18"/>
      <c r="AB1327" s="18"/>
      <c r="AC1327" s="18"/>
    </row>
    <row r="1328" spans="1:29" ht="32.25" hidden="1" customHeight="1">
      <c r="A1328" s="8">
        <v>2306108</v>
      </c>
      <c r="B1328" s="9" t="s">
        <v>13284</v>
      </c>
      <c r="C1328" s="9" t="s">
        <v>13284</v>
      </c>
      <c r="D1328" s="9" t="s">
        <v>13284</v>
      </c>
      <c r="E1328" s="9" t="s">
        <v>13284</v>
      </c>
      <c r="F1328" s="9" t="s">
        <v>13284</v>
      </c>
      <c r="G1328" s="9" t="s">
        <v>13284</v>
      </c>
      <c r="H1328" s="9" t="s">
        <v>13284</v>
      </c>
      <c r="I1328" s="9" t="s">
        <v>13284</v>
      </c>
      <c r="J1328" s="9" t="s">
        <v>13284</v>
      </c>
      <c r="K1328" s="9" t="s">
        <v>13284</v>
      </c>
      <c r="L1328" s="9" t="s">
        <v>13284</v>
      </c>
      <c r="M1328" s="9" t="s">
        <v>13284</v>
      </c>
      <c r="N1328" s="9" t="s">
        <v>13284</v>
      </c>
      <c r="O1328" s="9" t="s">
        <v>13284</v>
      </c>
      <c r="P1328" s="9" t="s">
        <v>13284</v>
      </c>
      <c r="Q1328" s="9" t="s">
        <v>13284</v>
      </c>
      <c r="R1328" s="9" t="s">
        <v>13284</v>
      </c>
      <c r="S1328" s="9" t="s">
        <v>13284</v>
      </c>
      <c r="T1328" s="9" t="str">
        <f ca="1">IFERROR(IF(AND(VLOOKUP(A1328, 'Актуальное состояние (из общего'!A:C,3,0) = "", A1328 &lt;&gt; ""), "ПРОВЕРИТЬ", VLOOKUP(A1328, 'Актуальное состояние (из общего'!A:C,3,0)), "")</f>
        <v>Студент</v>
      </c>
      <c r="U1328" s="9" t="s">
        <v>13284</v>
      </c>
      <c r="V1328" s="9" t="s">
        <v>13284</v>
      </c>
      <c r="W1328" s="12"/>
      <c r="X1328" s="9" t="str">
        <f t="array" ref="X1328">IFERROR(INDEX('Адреса общежитий (скрытый)'!$B$2:$B$9, MATCH(W1328, 'Адреса общежитий (скрытый)'!$A$2:$A$9, 0)), "")</f>
        <v/>
      </c>
      <c r="Y1328" s="18"/>
      <c r="Z1328" s="18"/>
      <c r="AA1328" s="18"/>
      <c r="AB1328" s="18"/>
      <c r="AC1328" s="18"/>
    </row>
    <row r="1329" spans="1:29" ht="32.25" customHeight="1">
      <c r="A1329" s="8">
        <v>2308046</v>
      </c>
      <c r="B1329" s="9" t="s">
        <v>13284</v>
      </c>
      <c r="C1329" s="9" t="s">
        <v>13284</v>
      </c>
      <c r="D1329" s="9" t="s">
        <v>13284</v>
      </c>
      <c r="E1329" s="9" t="s">
        <v>13284</v>
      </c>
      <c r="F1329" s="9" t="s">
        <v>13284</v>
      </c>
      <c r="G1329" s="9" t="s">
        <v>13284</v>
      </c>
      <c r="H1329" s="9" t="s">
        <v>13284</v>
      </c>
      <c r="I1329" s="9" t="s">
        <v>13284</v>
      </c>
      <c r="J1329" s="9" t="s">
        <v>13284</v>
      </c>
      <c r="K1329" s="9" t="s">
        <v>13284</v>
      </c>
      <c r="L1329" s="9" t="s">
        <v>13284</v>
      </c>
      <c r="M1329" s="9" t="s">
        <v>13284</v>
      </c>
      <c r="N1329" s="9" t="s">
        <v>13284</v>
      </c>
      <c r="O1329" s="9" t="s">
        <v>13284</v>
      </c>
      <c r="P1329" s="9" t="s">
        <v>13284</v>
      </c>
      <c r="Q1329" s="9" t="s">
        <v>13284</v>
      </c>
      <c r="R1329" s="9" t="s">
        <v>13284</v>
      </c>
      <c r="S1329" s="9" t="s">
        <v>13284</v>
      </c>
      <c r="T1329" s="9" t="str">
        <f ca="1">IFERROR(IF(AND(VLOOKUP(A1329, 'Актуальное состояние (из общего'!A:C,3,0) = "", A1329 &lt;&gt; ""), "ПРОВЕРИТЬ", VLOOKUP(A1329, 'Актуальное состояние (из общего'!A:C,3,0)), "")</f>
        <v>Студент</v>
      </c>
      <c r="U1329" s="9" t="s">
        <v>13284</v>
      </c>
      <c r="V1329" s="9" t="s">
        <v>13284</v>
      </c>
      <c r="W1329" s="12" t="s">
        <v>319</v>
      </c>
      <c r="X1329" s="9" t="str">
        <f t="array" ref="X1329">IFERROR(INDEX('Адреса общежитий (скрытый)'!$B$2:$B$9, MATCH(W1329, 'Адреса общежитий (скрытый)'!$A$2:$A$9, 0)), "")</f>
        <v>ул. Профсоюзная, д.83, корп. 2</v>
      </c>
      <c r="Y1329" s="62" t="s">
        <v>5679</v>
      </c>
      <c r="Z1329" s="18"/>
      <c r="AA1329" s="18"/>
      <c r="AB1329" s="18"/>
      <c r="AC1329" s="18"/>
    </row>
    <row r="1330" spans="1:29" ht="32.25" hidden="1" customHeight="1">
      <c r="A1330" s="8">
        <v>2302867</v>
      </c>
      <c r="B1330" s="9" t="s">
        <v>13284</v>
      </c>
      <c r="C1330" s="9" t="s">
        <v>13284</v>
      </c>
      <c r="D1330" s="9" t="s">
        <v>13284</v>
      </c>
      <c r="E1330" s="9" t="s">
        <v>13284</v>
      </c>
      <c r="F1330" s="9" t="s">
        <v>13284</v>
      </c>
      <c r="G1330" s="9" t="s">
        <v>13284</v>
      </c>
      <c r="H1330" s="9" t="s">
        <v>13284</v>
      </c>
      <c r="I1330" s="9" t="s">
        <v>13284</v>
      </c>
      <c r="J1330" s="9" t="s">
        <v>13284</v>
      </c>
      <c r="K1330" s="9" t="s">
        <v>13284</v>
      </c>
      <c r="L1330" s="9" t="s">
        <v>13284</v>
      </c>
      <c r="M1330" s="9" t="s">
        <v>13284</v>
      </c>
      <c r="N1330" s="9" t="s">
        <v>13284</v>
      </c>
      <c r="O1330" s="9" t="s">
        <v>13284</v>
      </c>
      <c r="P1330" s="9" t="s">
        <v>13284</v>
      </c>
      <c r="Q1330" s="9" t="s">
        <v>13284</v>
      </c>
      <c r="R1330" s="9" t="s">
        <v>13284</v>
      </c>
      <c r="S1330" s="9" t="s">
        <v>13284</v>
      </c>
      <c r="T1330" s="9" t="str">
        <f ca="1">IFERROR(IF(AND(VLOOKUP(A1330, 'Актуальное состояние (из общего'!A:C,3,0) = "", A1330 &lt;&gt; ""), "ПРОВЕРИТЬ", VLOOKUP(A1330, 'Актуальное состояние (из общего'!A:C,3,0)), "")</f>
        <v>Студент</v>
      </c>
      <c r="U1330" s="9" t="s">
        <v>13284</v>
      </c>
      <c r="V1330" s="9" t="s">
        <v>13284</v>
      </c>
      <c r="W1330" s="12"/>
      <c r="X1330" s="9" t="str">
        <f t="array" ref="X1330">IFERROR(INDEX('Адреса общежитий (скрытый)'!$B$2:$B$9, MATCH(W1330, 'Адреса общежитий (скрытый)'!$A$2:$A$9, 0)), "")</f>
        <v/>
      </c>
      <c r="Y1330" s="18"/>
      <c r="Z1330" s="18"/>
      <c r="AA1330" s="18"/>
      <c r="AB1330" s="18"/>
      <c r="AC1330" s="18"/>
    </row>
    <row r="1331" spans="1:29" ht="32.25" hidden="1" customHeight="1">
      <c r="A1331" s="8">
        <v>2303523</v>
      </c>
      <c r="B1331" s="9" t="s">
        <v>13284</v>
      </c>
      <c r="C1331" s="9" t="s">
        <v>13284</v>
      </c>
      <c r="D1331" s="9" t="s">
        <v>13284</v>
      </c>
      <c r="E1331" s="9" t="s">
        <v>13284</v>
      </c>
      <c r="F1331" s="9" t="s">
        <v>13284</v>
      </c>
      <c r="G1331" s="9" t="s">
        <v>13284</v>
      </c>
      <c r="H1331" s="9" t="s">
        <v>13284</v>
      </c>
      <c r="I1331" s="9" t="s">
        <v>13284</v>
      </c>
      <c r="J1331" s="9" t="s">
        <v>13284</v>
      </c>
      <c r="K1331" s="9" t="s">
        <v>13284</v>
      </c>
      <c r="L1331" s="9" t="s">
        <v>13284</v>
      </c>
      <c r="M1331" s="9" t="s">
        <v>13284</v>
      </c>
      <c r="N1331" s="9" t="s">
        <v>13284</v>
      </c>
      <c r="O1331" s="9" t="s">
        <v>13284</v>
      </c>
      <c r="P1331" s="9" t="s">
        <v>13284</v>
      </c>
      <c r="Q1331" s="9" t="s">
        <v>13284</v>
      </c>
      <c r="R1331" s="9" t="s">
        <v>13284</v>
      </c>
      <c r="S1331" s="9" t="s">
        <v>13284</v>
      </c>
      <c r="T1331" s="9" t="str">
        <f ca="1">IFERROR(IF(AND(VLOOKUP(A1331, 'Актуальное состояние (из общего'!A:C,3,0) = "", A1331 &lt;&gt; ""), "ПРОВЕРИТЬ", VLOOKUP(A1331, 'Актуальное состояние (из общего'!A:C,3,0)), "")</f>
        <v>Студент</v>
      </c>
      <c r="U1331" s="9" t="s">
        <v>13284</v>
      </c>
      <c r="V1331" s="9" t="s">
        <v>13284</v>
      </c>
      <c r="W1331" s="12"/>
      <c r="X1331" s="9" t="str">
        <f t="array" ref="X1331">IFERROR(INDEX('Адреса общежитий (скрытый)'!$B$2:$B$9, MATCH(W1331, 'Адреса общежитий (скрытый)'!$A$2:$A$9, 0)), "")</f>
        <v/>
      </c>
      <c r="Y1331" s="18"/>
      <c r="Z1331" s="18"/>
      <c r="AA1331" s="18"/>
      <c r="AB1331" s="18"/>
      <c r="AC1331" s="18"/>
    </row>
    <row r="1332" spans="1:29" ht="32.25" hidden="1" customHeight="1">
      <c r="A1332" s="8">
        <v>2304375</v>
      </c>
      <c r="B1332" s="9" t="s">
        <v>13284</v>
      </c>
      <c r="C1332" s="9" t="s">
        <v>13284</v>
      </c>
      <c r="D1332" s="9" t="s">
        <v>13284</v>
      </c>
      <c r="E1332" s="9" t="s">
        <v>13284</v>
      </c>
      <c r="F1332" s="9" t="s">
        <v>13284</v>
      </c>
      <c r="G1332" s="9" t="s">
        <v>13284</v>
      </c>
      <c r="H1332" s="9" t="s">
        <v>13284</v>
      </c>
      <c r="I1332" s="9" t="s">
        <v>13284</v>
      </c>
      <c r="J1332" s="9" t="s">
        <v>13284</v>
      </c>
      <c r="K1332" s="9" t="s">
        <v>13284</v>
      </c>
      <c r="L1332" s="9" t="s">
        <v>13284</v>
      </c>
      <c r="M1332" s="9" t="s">
        <v>13284</v>
      </c>
      <c r="N1332" s="9" t="s">
        <v>13284</v>
      </c>
      <c r="O1332" s="9" t="s">
        <v>13284</v>
      </c>
      <c r="P1332" s="9" t="s">
        <v>13284</v>
      </c>
      <c r="Q1332" s="9" t="s">
        <v>13284</v>
      </c>
      <c r="R1332" s="9" t="s">
        <v>13284</v>
      </c>
      <c r="S1332" s="9" t="s">
        <v>13284</v>
      </c>
      <c r="T1332" s="9" t="str">
        <f ca="1">IFERROR(IF(AND(VLOOKUP(A1332, 'Актуальное состояние (из общего'!A:C,3,0) = "", A1332 &lt;&gt; ""), "ПРОВЕРИТЬ", VLOOKUP(A1332, 'Актуальное состояние (из общего'!A:C,3,0)), "")</f>
        <v>Студент</v>
      </c>
      <c r="U1332" s="9" t="s">
        <v>13284</v>
      </c>
      <c r="V1332" s="9" t="s">
        <v>13284</v>
      </c>
      <c r="W1332" s="12"/>
      <c r="X1332" s="9" t="str">
        <f t="array" ref="X1332">IFERROR(INDEX('Адреса общежитий (скрытый)'!$B$2:$B$9, MATCH(W1332, 'Адреса общежитий (скрытый)'!$A$2:$A$9, 0)), "")</f>
        <v/>
      </c>
      <c r="Y1332" s="18"/>
      <c r="Z1332" s="18"/>
      <c r="AA1332" s="18"/>
      <c r="AB1332" s="18"/>
      <c r="AC1332" s="18"/>
    </row>
    <row r="1333" spans="1:29" ht="32.25" customHeight="1">
      <c r="A1333" s="8">
        <v>2311954</v>
      </c>
      <c r="B1333" s="9" t="s">
        <v>13284</v>
      </c>
      <c r="C1333" s="9" t="s">
        <v>13284</v>
      </c>
      <c r="D1333" s="9" t="s">
        <v>13284</v>
      </c>
      <c r="E1333" s="9" t="s">
        <v>13284</v>
      </c>
      <c r="F1333" s="9" t="s">
        <v>13284</v>
      </c>
      <c r="G1333" s="9" t="s">
        <v>13284</v>
      </c>
      <c r="H1333" s="9" t="s">
        <v>13284</v>
      </c>
      <c r="I1333" s="9" t="s">
        <v>13284</v>
      </c>
      <c r="J1333" s="9" t="s">
        <v>13284</v>
      </c>
      <c r="K1333" s="9" t="s">
        <v>13284</v>
      </c>
      <c r="L1333" s="9" t="s">
        <v>13284</v>
      </c>
      <c r="M1333" s="9" t="s">
        <v>13284</v>
      </c>
      <c r="N1333" s="9" t="s">
        <v>13284</v>
      </c>
      <c r="O1333" s="9" t="s">
        <v>13284</v>
      </c>
      <c r="P1333" s="9" t="s">
        <v>13284</v>
      </c>
      <c r="Q1333" s="9" t="s">
        <v>13284</v>
      </c>
      <c r="R1333" s="9" t="s">
        <v>13284</v>
      </c>
      <c r="S1333" s="9" t="s">
        <v>13284</v>
      </c>
      <c r="T1333" s="9" t="str">
        <f ca="1">IFERROR(IF(AND(VLOOKUP(A1333, 'Актуальное состояние (из общего'!A:C,3,0) = "", A1333 &lt;&gt; ""), "ПРОВЕРИТЬ", VLOOKUP(A1333, 'Актуальное состояние (из общего'!A:C,3,0)), "")</f>
        <v>Студент</v>
      </c>
      <c r="U1333" s="9" t="s">
        <v>13284</v>
      </c>
      <c r="V1333" s="9" t="s">
        <v>13284</v>
      </c>
      <c r="W1333" s="12"/>
      <c r="X1333" s="9" t="str">
        <f t="array" ref="X1333">IFERROR(INDEX('Адреса общежитий (скрытый)'!$B$2:$B$9, MATCH(W1333, 'Адреса общежитий (скрытый)'!$A$2:$A$9, 0)), "")</f>
        <v/>
      </c>
      <c r="Y1333" s="18"/>
      <c r="Z1333" s="18"/>
      <c r="AA1333" s="18"/>
      <c r="AB1333" s="18"/>
      <c r="AC1333" s="18"/>
    </row>
    <row r="1334" spans="1:29" ht="32.25" customHeight="1">
      <c r="A1334" s="8">
        <v>2307490</v>
      </c>
      <c r="B1334" s="9" t="s">
        <v>13284</v>
      </c>
      <c r="C1334" s="9" t="s">
        <v>13284</v>
      </c>
      <c r="D1334" s="9" t="s">
        <v>13284</v>
      </c>
      <c r="E1334" s="9" t="s">
        <v>13284</v>
      </c>
      <c r="F1334" s="9" t="s">
        <v>13284</v>
      </c>
      <c r="G1334" s="9" t="s">
        <v>13284</v>
      </c>
      <c r="H1334" s="9" t="s">
        <v>13284</v>
      </c>
      <c r="I1334" s="9" t="s">
        <v>13284</v>
      </c>
      <c r="J1334" s="9" t="s">
        <v>13284</v>
      </c>
      <c r="K1334" s="9" t="s">
        <v>13284</v>
      </c>
      <c r="L1334" s="9" t="s">
        <v>13284</v>
      </c>
      <c r="M1334" s="9" t="s">
        <v>13284</v>
      </c>
      <c r="N1334" s="9" t="s">
        <v>13284</v>
      </c>
      <c r="O1334" s="9" t="s">
        <v>13284</v>
      </c>
      <c r="P1334" s="9" t="s">
        <v>13284</v>
      </c>
      <c r="Q1334" s="9" t="s">
        <v>13284</v>
      </c>
      <c r="R1334" s="9" t="s">
        <v>13284</v>
      </c>
      <c r="S1334" s="9" t="s">
        <v>13284</v>
      </c>
      <c r="T1334" s="9" t="str">
        <f ca="1">IFERROR(IF(AND(VLOOKUP(A1334, 'Актуальное состояние (из общего'!A:C,3,0) = "", A1334 &lt;&gt; ""), "ПРОВЕРИТЬ", VLOOKUP(A1334, 'Актуальное состояние (из общего'!A:C,3,0)), "")</f>
        <v>Студент</v>
      </c>
      <c r="U1334" s="9" t="s">
        <v>13284</v>
      </c>
      <c r="V1334" s="9" t="s">
        <v>13284</v>
      </c>
      <c r="W1334" s="12"/>
      <c r="X1334" s="9" t="str">
        <f t="array" ref="X1334">IFERROR(INDEX('Адреса общежитий (скрытый)'!$B$2:$B$9, MATCH(W1334, 'Адреса общежитий (скрытый)'!$A$2:$A$9, 0)), "")</f>
        <v/>
      </c>
      <c r="Y1334" s="18"/>
      <c r="Z1334" s="18"/>
      <c r="AA1334" s="18"/>
      <c r="AB1334" s="18"/>
      <c r="AC1334" s="18"/>
    </row>
    <row r="1335" spans="1:29" ht="32.25" hidden="1" customHeight="1">
      <c r="A1335" s="8">
        <v>2313405</v>
      </c>
      <c r="B1335" s="9" t="s">
        <v>13284</v>
      </c>
      <c r="C1335" s="9" t="s">
        <v>13284</v>
      </c>
      <c r="D1335" s="9" t="s">
        <v>13284</v>
      </c>
      <c r="E1335" s="9" t="s">
        <v>13284</v>
      </c>
      <c r="F1335" s="9" t="s">
        <v>13284</v>
      </c>
      <c r="G1335" s="9" t="s">
        <v>13284</v>
      </c>
      <c r="H1335" s="9" t="s">
        <v>13284</v>
      </c>
      <c r="I1335" s="9" t="s">
        <v>13284</v>
      </c>
      <c r="J1335" s="9" t="s">
        <v>13284</v>
      </c>
      <c r="K1335" s="9" t="s">
        <v>13284</v>
      </c>
      <c r="L1335" s="9" t="s">
        <v>13284</v>
      </c>
      <c r="M1335" s="9" t="s">
        <v>13284</v>
      </c>
      <c r="N1335" s="9" t="s">
        <v>13284</v>
      </c>
      <c r="O1335" s="9" t="s">
        <v>13284</v>
      </c>
      <c r="P1335" s="9" t="s">
        <v>13284</v>
      </c>
      <c r="Q1335" s="9" t="s">
        <v>13284</v>
      </c>
      <c r="R1335" s="9" t="s">
        <v>13284</v>
      </c>
      <c r="S1335" s="9" t="s">
        <v>13284</v>
      </c>
      <c r="T1335" s="9" t="str">
        <f ca="1">IFERROR(IF(AND(VLOOKUP(A1335, 'Актуальное состояние (из общего'!A:C,3,0) = "", A1335 &lt;&gt; ""), "ПРОВЕРИТЬ", VLOOKUP(A1335, 'Актуальное состояние (из общего'!A:C,3,0)), "")</f>
        <v>Студент</v>
      </c>
      <c r="U1335" s="9" t="s">
        <v>13284</v>
      </c>
      <c r="V1335" s="9" t="s">
        <v>13284</v>
      </c>
      <c r="W1335" s="12"/>
      <c r="X1335" s="9" t="str">
        <f t="array" ref="X1335">IFERROR(INDEX('Адреса общежитий (скрытый)'!$B$2:$B$9, MATCH(W1335, 'Адреса общежитий (скрытый)'!$A$2:$A$9, 0)), "")</f>
        <v/>
      </c>
      <c r="Y1335" s="18"/>
      <c r="Z1335" s="18"/>
      <c r="AA1335" s="18"/>
      <c r="AB1335" s="18"/>
      <c r="AC1335" s="18"/>
    </row>
    <row r="1336" spans="1:29" ht="32.25" hidden="1" customHeight="1">
      <c r="A1336" s="8">
        <v>2308606</v>
      </c>
      <c r="B1336" s="9" t="s">
        <v>13284</v>
      </c>
      <c r="C1336" s="9" t="s">
        <v>13284</v>
      </c>
      <c r="D1336" s="9" t="s">
        <v>13284</v>
      </c>
      <c r="E1336" s="9" t="s">
        <v>13284</v>
      </c>
      <c r="F1336" s="9" t="s">
        <v>13284</v>
      </c>
      <c r="G1336" s="9" t="s">
        <v>13284</v>
      </c>
      <c r="H1336" s="9" t="s">
        <v>13284</v>
      </c>
      <c r="I1336" s="9" t="s">
        <v>13284</v>
      </c>
      <c r="J1336" s="9" t="s">
        <v>13284</v>
      </c>
      <c r="K1336" s="9" t="s">
        <v>13284</v>
      </c>
      <c r="L1336" s="9" t="s">
        <v>13284</v>
      </c>
      <c r="M1336" s="9" t="s">
        <v>13284</v>
      </c>
      <c r="N1336" s="9" t="s">
        <v>13284</v>
      </c>
      <c r="O1336" s="9" t="s">
        <v>13284</v>
      </c>
      <c r="P1336" s="9" t="s">
        <v>13284</v>
      </c>
      <c r="Q1336" s="9" t="s">
        <v>13284</v>
      </c>
      <c r="R1336" s="9" t="s">
        <v>13284</v>
      </c>
      <c r="S1336" s="9" t="s">
        <v>13284</v>
      </c>
      <c r="T1336" s="9" t="str">
        <f ca="1">IFERROR(IF(AND(VLOOKUP(A1336, 'Актуальное состояние (из общего'!A:C,3,0) = "", A1336 &lt;&gt; ""), "ПРОВЕРИТЬ", VLOOKUP(A1336, 'Актуальное состояние (из общего'!A:C,3,0)), "")</f>
        <v>Студент</v>
      </c>
      <c r="U1336" s="9" t="s">
        <v>13284</v>
      </c>
      <c r="V1336" s="9" t="s">
        <v>13284</v>
      </c>
      <c r="W1336" s="12"/>
      <c r="X1336" s="9" t="str">
        <f t="array" ref="X1336">IFERROR(INDEX('Адреса общежитий (скрытый)'!$B$2:$B$9, MATCH(W1336, 'Адреса общежитий (скрытый)'!$A$2:$A$9, 0)), "")</f>
        <v/>
      </c>
      <c r="Y1336" s="18"/>
      <c r="Z1336" s="18"/>
      <c r="AA1336" s="18"/>
      <c r="AB1336" s="18"/>
      <c r="AC1336" s="18"/>
    </row>
    <row r="1337" spans="1:29" ht="32.25" customHeight="1">
      <c r="A1337" s="8">
        <v>2315484</v>
      </c>
      <c r="B1337" s="9" t="s">
        <v>13284</v>
      </c>
      <c r="C1337" s="9" t="s">
        <v>13284</v>
      </c>
      <c r="D1337" s="9" t="s">
        <v>13284</v>
      </c>
      <c r="E1337" s="9" t="s">
        <v>13284</v>
      </c>
      <c r="F1337" s="9" t="s">
        <v>13284</v>
      </c>
      <c r="G1337" s="9" t="s">
        <v>13284</v>
      </c>
      <c r="H1337" s="9" t="s">
        <v>13284</v>
      </c>
      <c r="I1337" s="9" t="s">
        <v>13284</v>
      </c>
      <c r="J1337" s="9" t="s">
        <v>13284</v>
      </c>
      <c r="K1337" s="9" t="s">
        <v>13284</v>
      </c>
      <c r="L1337" s="9" t="s">
        <v>13284</v>
      </c>
      <c r="M1337" s="9" t="s">
        <v>13284</v>
      </c>
      <c r="N1337" s="9" t="s">
        <v>13284</v>
      </c>
      <c r="O1337" s="9" t="s">
        <v>13284</v>
      </c>
      <c r="P1337" s="9" t="s">
        <v>13284</v>
      </c>
      <c r="Q1337" s="9" t="s">
        <v>13284</v>
      </c>
      <c r="R1337" s="9" t="s">
        <v>13284</v>
      </c>
      <c r="S1337" s="9" t="s">
        <v>13284</v>
      </c>
      <c r="T1337" s="9" t="str">
        <f ca="1">IFERROR(IF(AND(VLOOKUP(A1337, 'Актуальное состояние (из общего'!A:C,3,0) = "", A1337 &lt;&gt; ""), "ПРОВЕРИТЬ", VLOOKUP(A1337, 'Актуальное состояние (из общего'!A:C,3,0)), "")</f>
        <v>Студент</v>
      </c>
      <c r="U1337" s="9" t="s">
        <v>13284</v>
      </c>
      <c r="V1337" s="9" t="s">
        <v>13284</v>
      </c>
      <c r="W1337" s="12"/>
      <c r="X1337" s="9" t="str">
        <f t="array" ref="X1337">IFERROR(INDEX('Адреса общежитий (скрытый)'!$B$2:$B$9, MATCH(W1337, 'Адреса общежитий (скрытый)'!$A$2:$A$9, 0)), "")</f>
        <v/>
      </c>
      <c r="Y1337" s="18"/>
      <c r="Z1337" s="18"/>
      <c r="AA1337" s="18"/>
      <c r="AB1337" s="18"/>
      <c r="AC1337" s="18"/>
    </row>
    <row r="1338" spans="1:29" ht="32.25" hidden="1" customHeight="1">
      <c r="A1338" s="8">
        <v>2309259</v>
      </c>
      <c r="B1338" s="9" t="s">
        <v>13284</v>
      </c>
      <c r="C1338" s="9" t="s">
        <v>13284</v>
      </c>
      <c r="D1338" s="9" t="s">
        <v>13284</v>
      </c>
      <c r="E1338" s="9" t="s">
        <v>13284</v>
      </c>
      <c r="F1338" s="9" t="s">
        <v>13284</v>
      </c>
      <c r="G1338" s="9" t="s">
        <v>13284</v>
      </c>
      <c r="H1338" s="9" t="s">
        <v>13284</v>
      </c>
      <c r="I1338" s="9" t="s">
        <v>13284</v>
      </c>
      <c r="J1338" s="9" t="s">
        <v>13284</v>
      </c>
      <c r="K1338" s="9" t="s">
        <v>13284</v>
      </c>
      <c r="L1338" s="9" t="s">
        <v>13284</v>
      </c>
      <c r="M1338" s="9" t="s">
        <v>13284</v>
      </c>
      <c r="N1338" s="9" t="s">
        <v>13284</v>
      </c>
      <c r="O1338" s="9" t="s">
        <v>13284</v>
      </c>
      <c r="P1338" s="9" t="s">
        <v>13284</v>
      </c>
      <c r="Q1338" s="9" t="s">
        <v>13284</v>
      </c>
      <c r="R1338" s="9" t="s">
        <v>13284</v>
      </c>
      <c r="S1338" s="9" t="s">
        <v>13284</v>
      </c>
      <c r="T1338" s="9" t="str">
        <f ca="1">IFERROR(IF(AND(VLOOKUP(A1338, 'Актуальное состояние (из общего'!A:C,3,0) = "", A1338 &lt;&gt; ""), "ПРОВЕРИТЬ", VLOOKUP(A1338, 'Актуальное состояние (из общего'!A:C,3,0)), "")</f>
        <v>Студент</v>
      </c>
      <c r="U1338" s="9" t="s">
        <v>13284</v>
      </c>
      <c r="V1338" s="9" t="s">
        <v>13284</v>
      </c>
      <c r="W1338" s="12"/>
      <c r="X1338" s="9" t="str">
        <f t="array" ref="X1338">IFERROR(INDEX('Адреса общежитий (скрытый)'!$B$2:$B$9, MATCH(W1338, 'Адреса общежитий (скрытый)'!$A$2:$A$9, 0)), "")</f>
        <v/>
      </c>
      <c r="Y1338" s="18"/>
      <c r="Z1338" s="18"/>
      <c r="AA1338" s="18"/>
      <c r="AB1338" s="18"/>
      <c r="AC1338" s="18"/>
    </row>
    <row r="1339" spans="1:29" ht="32.25" hidden="1" customHeight="1">
      <c r="A1339" s="8">
        <v>2308588</v>
      </c>
      <c r="B1339" s="9" t="s">
        <v>13284</v>
      </c>
      <c r="C1339" s="9" t="s">
        <v>13284</v>
      </c>
      <c r="D1339" s="9" t="s">
        <v>13284</v>
      </c>
      <c r="E1339" s="9" t="s">
        <v>13284</v>
      </c>
      <c r="F1339" s="9" t="s">
        <v>13284</v>
      </c>
      <c r="G1339" s="9" t="s">
        <v>13284</v>
      </c>
      <c r="H1339" s="9" t="s">
        <v>13284</v>
      </c>
      <c r="I1339" s="9" t="s">
        <v>13284</v>
      </c>
      <c r="J1339" s="9" t="s">
        <v>13284</v>
      </c>
      <c r="K1339" s="9" t="s">
        <v>13284</v>
      </c>
      <c r="L1339" s="9" t="s">
        <v>13284</v>
      </c>
      <c r="M1339" s="9" t="s">
        <v>13284</v>
      </c>
      <c r="N1339" s="9" t="s">
        <v>13284</v>
      </c>
      <c r="O1339" s="9" t="s">
        <v>13284</v>
      </c>
      <c r="P1339" s="9" t="s">
        <v>13284</v>
      </c>
      <c r="Q1339" s="9" t="s">
        <v>13284</v>
      </c>
      <c r="R1339" s="9" t="s">
        <v>13284</v>
      </c>
      <c r="S1339" s="9" t="s">
        <v>13284</v>
      </c>
      <c r="T1339" s="9" t="str">
        <f ca="1">IFERROR(IF(AND(VLOOKUP(A1339, 'Актуальное состояние (из общего'!A:C,3,0) = "", A1339 &lt;&gt; ""), "ПРОВЕРИТЬ", VLOOKUP(A1339, 'Актуальное состояние (из общего'!A:C,3,0)), "")</f>
        <v>Студент</v>
      </c>
      <c r="U1339" s="9" t="s">
        <v>13284</v>
      </c>
      <c r="V1339" s="9" t="s">
        <v>13284</v>
      </c>
      <c r="W1339" s="12"/>
      <c r="X1339" s="9" t="str">
        <f t="array" ref="X1339">IFERROR(INDEX('Адреса общежитий (скрытый)'!$B$2:$B$9, MATCH(W1339, 'Адреса общежитий (скрытый)'!$A$2:$A$9, 0)), "")</f>
        <v/>
      </c>
      <c r="Y1339" s="18"/>
      <c r="Z1339" s="18"/>
      <c r="AA1339" s="18"/>
      <c r="AB1339" s="18"/>
      <c r="AC1339" s="18"/>
    </row>
    <row r="1340" spans="1:29" ht="32.25" customHeight="1">
      <c r="A1340" s="8">
        <v>2302364</v>
      </c>
      <c r="B1340" s="9" t="s">
        <v>13284</v>
      </c>
      <c r="C1340" s="9" t="s">
        <v>13284</v>
      </c>
      <c r="D1340" s="9" t="s">
        <v>13284</v>
      </c>
      <c r="E1340" s="9" t="s">
        <v>13284</v>
      </c>
      <c r="F1340" s="9" t="s">
        <v>13284</v>
      </c>
      <c r="G1340" s="9" t="s">
        <v>13284</v>
      </c>
      <c r="H1340" s="9" t="s">
        <v>13284</v>
      </c>
      <c r="I1340" s="9" t="s">
        <v>13284</v>
      </c>
      <c r="J1340" s="9" t="s">
        <v>13284</v>
      </c>
      <c r="K1340" s="9" t="s">
        <v>13284</v>
      </c>
      <c r="L1340" s="9" t="s">
        <v>13284</v>
      </c>
      <c r="M1340" s="9" t="s">
        <v>13284</v>
      </c>
      <c r="N1340" s="9" t="s">
        <v>13284</v>
      </c>
      <c r="O1340" s="9" t="s">
        <v>13284</v>
      </c>
      <c r="P1340" s="9" t="s">
        <v>13284</v>
      </c>
      <c r="Q1340" s="9" t="s">
        <v>13284</v>
      </c>
      <c r="R1340" s="9" t="s">
        <v>13284</v>
      </c>
      <c r="S1340" s="9" t="s">
        <v>13284</v>
      </c>
      <c r="T1340" s="9" t="str">
        <f ca="1">IFERROR(IF(AND(VLOOKUP(A1340, 'Актуальное состояние (из общего'!A:C,3,0) = "", A1340 &lt;&gt; ""), "ПРОВЕРИТЬ", VLOOKUP(A1340, 'Актуальное состояние (из общего'!A:C,3,0)), "")</f>
        <v>Студент</v>
      </c>
      <c r="U1340" s="9" t="s">
        <v>13284</v>
      </c>
      <c r="V1340" s="9" t="s">
        <v>13284</v>
      </c>
      <c r="W1340" s="9" t="s">
        <v>319</v>
      </c>
      <c r="X1340" s="9" t="str">
        <f t="array" ref="X1340">IFERROR(INDEX('Адреса общежитий (скрытый)'!$B$2:$B$9, MATCH(W1340, 'Адреса общежитий (скрытый)'!$A$2:$A$9, 0)), "")</f>
        <v>ул. Профсоюзная, д.83, корп. 2</v>
      </c>
      <c r="Y1340" s="18"/>
      <c r="Z1340" s="18"/>
      <c r="AA1340" s="18"/>
      <c r="AB1340" s="18"/>
      <c r="AC1340" s="18"/>
    </row>
    <row r="1341" spans="1:29" ht="32.25" hidden="1" customHeight="1">
      <c r="A1341" s="8">
        <v>2300951</v>
      </c>
      <c r="B1341" s="9" t="s">
        <v>13284</v>
      </c>
      <c r="C1341" s="9" t="s">
        <v>13284</v>
      </c>
      <c r="D1341" s="9" t="s">
        <v>13284</v>
      </c>
      <c r="E1341" s="9" t="s">
        <v>13284</v>
      </c>
      <c r="F1341" s="9" t="s">
        <v>13284</v>
      </c>
      <c r="G1341" s="9" t="s">
        <v>13284</v>
      </c>
      <c r="H1341" s="9" t="s">
        <v>13284</v>
      </c>
      <c r="I1341" s="9" t="s">
        <v>13284</v>
      </c>
      <c r="J1341" s="9" t="s">
        <v>13284</v>
      </c>
      <c r="K1341" s="9" t="s">
        <v>13284</v>
      </c>
      <c r="L1341" s="9" t="s">
        <v>13284</v>
      </c>
      <c r="M1341" s="9" t="s">
        <v>13284</v>
      </c>
      <c r="N1341" s="9" t="s">
        <v>13284</v>
      </c>
      <c r="O1341" s="9" t="s">
        <v>13284</v>
      </c>
      <c r="P1341" s="9" t="s">
        <v>13284</v>
      </c>
      <c r="Q1341" s="9" t="s">
        <v>13284</v>
      </c>
      <c r="R1341" s="9" t="s">
        <v>13284</v>
      </c>
      <c r="S1341" s="9" t="s">
        <v>13284</v>
      </c>
      <c r="T1341" s="9" t="str">
        <f ca="1">IFERROR(IF(AND(VLOOKUP(A1341, 'Актуальное состояние (из общего'!A:C,3,0) = "", A1341 &lt;&gt; ""), "ПРОВЕРИТЬ", VLOOKUP(A1341, 'Актуальное состояние (из общего'!A:C,3,0)), "")</f>
        <v>Студент</v>
      </c>
      <c r="U1341" s="9" t="s">
        <v>13284</v>
      </c>
      <c r="V1341" s="9" t="s">
        <v>13284</v>
      </c>
      <c r="W1341" s="12"/>
      <c r="X1341" s="9" t="str">
        <f t="array" ref="X1341">IFERROR(INDEX('Адреса общежитий (скрытый)'!$B$2:$B$9, MATCH(W1341, 'Адреса общежитий (скрытый)'!$A$2:$A$9, 0)), "")</f>
        <v/>
      </c>
      <c r="Y1341" s="18"/>
      <c r="Z1341" s="18"/>
      <c r="AA1341" s="18"/>
      <c r="AB1341" s="18"/>
      <c r="AC1341" s="18"/>
    </row>
    <row r="1342" spans="1:29" ht="32.25" hidden="1" customHeight="1">
      <c r="A1342" s="8">
        <v>2304691</v>
      </c>
      <c r="B1342" s="9" t="s">
        <v>13284</v>
      </c>
      <c r="C1342" s="9" t="s">
        <v>13284</v>
      </c>
      <c r="D1342" s="9" t="s">
        <v>13284</v>
      </c>
      <c r="E1342" s="9" t="s">
        <v>13284</v>
      </c>
      <c r="F1342" s="9" t="s">
        <v>13284</v>
      </c>
      <c r="G1342" s="9" t="s">
        <v>13284</v>
      </c>
      <c r="H1342" s="9" t="s">
        <v>13284</v>
      </c>
      <c r="I1342" s="9" t="s">
        <v>13284</v>
      </c>
      <c r="J1342" s="9" t="s">
        <v>13284</v>
      </c>
      <c r="K1342" s="9" t="s">
        <v>13284</v>
      </c>
      <c r="L1342" s="9" t="s">
        <v>13284</v>
      </c>
      <c r="M1342" s="9" t="s">
        <v>13284</v>
      </c>
      <c r="N1342" s="9" t="s">
        <v>13284</v>
      </c>
      <c r="O1342" s="9" t="s">
        <v>13284</v>
      </c>
      <c r="P1342" s="9" t="s">
        <v>13284</v>
      </c>
      <c r="Q1342" s="9" t="s">
        <v>13284</v>
      </c>
      <c r="R1342" s="9" t="s">
        <v>13284</v>
      </c>
      <c r="S1342" s="9" t="s">
        <v>13284</v>
      </c>
      <c r="T1342" s="9" t="str">
        <f ca="1">IFERROR(IF(AND(VLOOKUP(A1342, 'Актуальное состояние (из общего'!A:C,3,0) = "", A1342 &lt;&gt; ""), "ПРОВЕРИТЬ", VLOOKUP(A1342, 'Актуальное состояние (из общего'!A:C,3,0)), "")</f>
        <v>Студент</v>
      </c>
      <c r="U1342" s="9" t="s">
        <v>13284</v>
      </c>
      <c r="V1342" s="9" t="s">
        <v>13284</v>
      </c>
      <c r="W1342" s="12"/>
      <c r="X1342" s="9" t="str">
        <f t="array" ref="X1342">IFERROR(INDEX('Адреса общежитий (скрытый)'!$B$2:$B$9, MATCH(W1342, 'Адреса общежитий (скрытый)'!$A$2:$A$9, 0)), "")</f>
        <v/>
      </c>
      <c r="Y1342" s="18"/>
      <c r="Z1342" s="18"/>
      <c r="AA1342" s="18"/>
      <c r="AB1342" s="18"/>
      <c r="AC1342" s="18"/>
    </row>
    <row r="1343" spans="1:29" ht="32.25" hidden="1" customHeight="1">
      <c r="A1343" s="8">
        <v>2307544</v>
      </c>
      <c r="B1343" s="9" t="s">
        <v>13284</v>
      </c>
      <c r="C1343" s="9" t="s">
        <v>13284</v>
      </c>
      <c r="D1343" s="9" t="s">
        <v>13284</v>
      </c>
      <c r="E1343" s="9" t="s">
        <v>13284</v>
      </c>
      <c r="F1343" s="9" t="s">
        <v>13284</v>
      </c>
      <c r="G1343" s="9" t="s">
        <v>13284</v>
      </c>
      <c r="H1343" s="9" t="s">
        <v>13284</v>
      </c>
      <c r="I1343" s="9" t="s">
        <v>13284</v>
      </c>
      <c r="J1343" s="9" t="s">
        <v>13284</v>
      </c>
      <c r="K1343" s="9" t="s">
        <v>13284</v>
      </c>
      <c r="L1343" s="9" t="s">
        <v>13284</v>
      </c>
      <c r="M1343" s="9" t="s">
        <v>13284</v>
      </c>
      <c r="N1343" s="9" t="s">
        <v>13284</v>
      </c>
      <c r="O1343" s="9" t="s">
        <v>13284</v>
      </c>
      <c r="P1343" s="9" t="s">
        <v>13284</v>
      </c>
      <c r="Q1343" s="9" t="s">
        <v>13284</v>
      </c>
      <c r="R1343" s="9" t="s">
        <v>13284</v>
      </c>
      <c r="S1343" s="9" t="s">
        <v>13284</v>
      </c>
      <c r="T1343" s="9" t="str">
        <f ca="1">IFERROR(IF(AND(VLOOKUP(A1343, 'Актуальное состояние (из общего'!A:C,3,0) = "", A1343 &lt;&gt; ""), "ПРОВЕРИТЬ", VLOOKUP(A1343, 'Актуальное состояние (из общего'!A:C,3,0)), "")</f>
        <v>Студент</v>
      </c>
      <c r="U1343" s="9" t="s">
        <v>13284</v>
      </c>
      <c r="V1343" s="9" t="s">
        <v>13284</v>
      </c>
      <c r="W1343" s="12"/>
      <c r="X1343" s="9" t="str">
        <f t="array" ref="X1343">IFERROR(INDEX('Адреса общежитий (скрытый)'!$B$2:$B$9, MATCH(W1343, 'Адреса общежитий (скрытый)'!$A$2:$A$9, 0)), "")</f>
        <v/>
      </c>
      <c r="Y1343" s="18"/>
      <c r="Z1343" s="18"/>
      <c r="AA1343" s="18"/>
      <c r="AB1343" s="18"/>
      <c r="AC1343" s="18"/>
    </row>
    <row r="1344" spans="1:29" ht="32.25" hidden="1" customHeight="1">
      <c r="A1344" s="8">
        <v>2311853</v>
      </c>
      <c r="B1344" s="9" t="s">
        <v>13284</v>
      </c>
      <c r="C1344" s="9" t="s">
        <v>13284</v>
      </c>
      <c r="D1344" s="9" t="s">
        <v>13284</v>
      </c>
      <c r="E1344" s="9" t="s">
        <v>13284</v>
      </c>
      <c r="F1344" s="9" t="s">
        <v>13284</v>
      </c>
      <c r="G1344" s="9" t="s">
        <v>13284</v>
      </c>
      <c r="H1344" s="9" t="s">
        <v>13284</v>
      </c>
      <c r="I1344" s="9" t="s">
        <v>13284</v>
      </c>
      <c r="J1344" s="9" t="s">
        <v>13284</v>
      </c>
      <c r="K1344" s="9" t="s">
        <v>13284</v>
      </c>
      <c r="L1344" s="9" t="s">
        <v>13284</v>
      </c>
      <c r="M1344" s="9" t="s">
        <v>13284</v>
      </c>
      <c r="N1344" s="9" t="s">
        <v>13284</v>
      </c>
      <c r="O1344" s="9" t="s">
        <v>13284</v>
      </c>
      <c r="P1344" s="9" t="s">
        <v>13284</v>
      </c>
      <c r="Q1344" s="9" t="s">
        <v>13284</v>
      </c>
      <c r="R1344" s="9" t="s">
        <v>13284</v>
      </c>
      <c r="S1344" s="9" t="s">
        <v>13284</v>
      </c>
      <c r="T1344" s="9" t="str">
        <f ca="1">IFERROR(IF(AND(VLOOKUP(A1344, 'Актуальное состояние (из общего'!A:C,3,0) = "", A1344 &lt;&gt; ""), "ПРОВЕРИТЬ", VLOOKUP(A1344, 'Актуальное состояние (из общего'!A:C,3,0)), "")</f>
        <v>Студент</v>
      </c>
      <c r="U1344" s="9" t="s">
        <v>13284</v>
      </c>
      <c r="V1344" s="9" t="s">
        <v>13284</v>
      </c>
      <c r="W1344" s="12"/>
      <c r="X1344" s="9" t="str">
        <f t="array" ref="X1344">IFERROR(INDEX('Адреса общежитий (скрытый)'!$B$2:$B$9, MATCH(W1344, 'Адреса общежитий (скрытый)'!$A$2:$A$9, 0)), "")</f>
        <v/>
      </c>
      <c r="Y1344" s="18"/>
      <c r="Z1344" s="18"/>
      <c r="AA1344" s="18"/>
      <c r="AB1344" s="18"/>
      <c r="AC1344" s="18"/>
    </row>
    <row r="1345" spans="1:29" ht="32.25" customHeight="1">
      <c r="A1345" s="8">
        <v>2304309</v>
      </c>
      <c r="B1345" s="9" t="s">
        <v>13284</v>
      </c>
      <c r="C1345" s="9" t="s">
        <v>13284</v>
      </c>
      <c r="D1345" s="9" t="s">
        <v>13284</v>
      </c>
      <c r="E1345" s="9" t="s">
        <v>13284</v>
      </c>
      <c r="F1345" s="9" t="s">
        <v>13284</v>
      </c>
      <c r="G1345" s="9" t="s">
        <v>13284</v>
      </c>
      <c r="H1345" s="9" t="s">
        <v>13284</v>
      </c>
      <c r="I1345" s="9" t="s">
        <v>13284</v>
      </c>
      <c r="J1345" s="9" t="s">
        <v>13284</v>
      </c>
      <c r="K1345" s="9" t="s">
        <v>13284</v>
      </c>
      <c r="L1345" s="9" t="s">
        <v>13284</v>
      </c>
      <c r="M1345" s="9" t="s">
        <v>13284</v>
      </c>
      <c r="N1345" s="9" t="s">
        <v>13284</v>
      </c>
      <c r="O1345" s="9" t="s">
        <v>13284</v>
      </c>
      <c r="P1345" s="9" t="s">
        <v>13284</v>
      </c>
      <c r="Q1345" s="9" t="s">
        <v>13284</v>
      </c>
      <c r="R1345" s="9" t="s">
        <v>13284</v>
      </c>
      <c r="S1345" s="9" t="s">
        <v>13284</v>
      </c>
      <c r="T1345" s="9" t="str">
        <f ca="1">IFERROR(IF(AND(VLOOKUP(A1345, 'Актуальное состояние (из общего'!A:C,3,0) = "", A1345 &lt;&gt; ""), "ПРОВЕРИТЬ", VLOOKUP(A1345, 'Актуальное состояние (из общего'!A:C,3,0)), "")</f>
        <v>Студент</v>
      </c>
      <c r="U1345" s="9" t="s">
        <v>13284</v>
      </c>
      <c r="V1345" s="9" t="s">
        <v>13284</v>
      </c>
      <c r="W1345" s="9" t="s">
        <v>319</v>
      </c>
      <c r="X1345" s="9" t="str">
        <f t="array" ref="X1345">IFERROR(INDEX('Адреса общежитий (скрытый)'!$B$2:$B$9, MATCH(W1345, 'Адреса общежитий (скрытый)'!$A$2:$A$9, 0)), "")</f>
        <v>ул. Профсоюзная, д.83, корп. 2</v>
      </c>
      <c r="Y1345" s="18"/>
      <c r="Z1345" s="18"/>
      <c r="AA1345" s="18"/>
      <c r="AB1345" s="18"/>
      <c r="AC1345" s="18"/>
    </row>
    <row r="1346" spans="1:29" ht="32.25" hidden="1" customHeight="1">
      <c r="A1346" s="8">
        <v>2302534</v>
      </c>
      <c r="B1346" s="9" t="s">
        <v>13284</v>
      </c>
      <c r="C1346" s="9" t="s">
        <v>13284</v>
      </c>
      <c r="D1346" s="9" t="s">
        <v>13284</v>
      </c>
      <c r="E1346" s="9" t="s">
        <v>13284</v>
      </c>
      <c r="F1346" s="9" t="s">
        <v>13284</v>
      </c>
      <c r="G1346" s="9" t="s">
        <v>13284</v>
      </c>
      <c r="H1346" s="9" t="s">
        <v>13284</v>
      </c>
      <c r="I1346" s="9" t="s">
        <v>13284</v>
      </c>
      <c r="J1346" s="9" t="s">
        <v>13284</v>
      </c>
      <c r="K1346" s="9" t="s">
        <v>13284</v>
      </c>
      <c r="L1346" s="9" t="s">
        <v>13284</v>
      </c>
      <c r="M1346" s="9" t="s">
        <v>13284</v>
      </c>
      <c r="N1346" s="9" t="s">
        <v>13284</v>
      </c>
      <c r="O1346" s="9" t="s">
        <v>13284</v>
      </c>
      <c r="P1346" s="9" t="s">
        <v>13284</v>
      </c>
      <c r="Q1346" s="9" t="s">
        <v>13284</v>
      </c>
      <c r="R1346" s="9" t="s">
        <v>13284</v>
      </c>
      <c r="S1346" s="9" t="s">
        <v>13284</v>
      </c>
      <c r="T1346" s="9" t="str">
        <f ca="1">IFERROR(IF(AND(VLOOKUP(A1346, 'Актуальное состояние (из общего'!A:C,3,0) = "", A1346 &lt;&gt; ""), "ПРОВЕРИТЬ", VLOOKUP(A1346, 'Актуальное состояние (из общего'!A:C,3,0)), "")</f>
        <v>Студент</v>
      </c>
      <c r="U1346" s="9" t="s">
        <v>13284</v>
      </c>
      <c r="V1346" s="9" t="s">
        <v>13284</v>
      </c>
      <c r="W1346" s="12"/>
      <c r="X1346" s="9" t="str">
        <f t="array" ref="X1346">IFERROR(INDEX('Адреса общежитий (скрытый)'!$B$2:$B$9, MATCH(W1346, 'Адреса общежитий (скрытый)'!$A$2:$A$9, 0)), "")</f>
        <v/>
      </c>
      <c r="Y1346" s="18"/>
      <c r="Z1346" s="18"/>
      <c r="AA1346" s="18"/>
      <c r="AB1346" s="18"/>
      <c r="AC1346" s="18"/>
    </row>
    <row r="1347" spans="1:29" ht="32.25" customHeight="1">
      <c r="A1347" s="8">
        <v>2304122</v>
      </c>
      <c r="B1347" s="9" t="s">
        <v>13284</v>
      </c>
      <c r="C1347" s="9" t="s">
        <v>13284</v>
      </c>
      <c r="D1347" s="9" t="s">
        <v>13284</v>
      </c>
      <c r="E1347" s="9" t="s">
        <v>13284</v>
      </c>
      <c r="F1347" s="9" t="s">
        <v>13284</v>
      </c>
      <c r="G1347" s="9" t="s">
        <v>13284</v>
      </c>
      <c r="H1347" s="9" t="s">
        <v>13284</v>
      </c>
      <c r="I1347" s="9" t="s">
        <v>13284</v>
      </c>
      <c r="J1347" s="9" t="s">
        <v>13284</v>
      </c>
      <c r="K1347" s="9" t="s">
        <v>13284</v>
      </c>
      <c r="L1347" s="9" t="s">
        <v>13284</v>
      </c>
      <c r="M1347" s="9" t="s">
        <v>13284</v>
      </c>
      <c r="N1347" s="9" t="s">
        <v>13284</v>
      </c>
      <c r="O1347" s="9" t="s">
        <v>13284</v>
      </c>
      <c r="P1347" s="9" t="s">
        <v>13284</v>
      </c>
      <c r="Q1347" s="9" t="s">
        <v>13284</v>
      </c>
      <c r="R1347" s="9" t="s">
        <v>13284</v>
      </c>
      <c r="S1347" s="9" t="s">
        <v>13284</v>
      </c>
      <c r="T1347" s="9" t="str">
        <f ca="1">IFERROR(IF(AND(VLOOKUP(A1347, 'Актуальное состояние (из общего'!A:C,3,0) = "", A1347 &lt;&gt; ""), "ПРОВЕРИТЬ", VLOOKUP(A1347, 'Актуальное состояние (из общего'!A:C,3,0)), "")</f>
        <v>Студент</v>
      </c>
      <c r="U1347" s="9" t="s">
        <v>13284</v>
      </c>
      <c r="V1347" s="9" t="s">
        <v>13284</v>
      </c>
      <c r="W1347" s="9" t="s">
        <v>319</v>
      </c>
      <c r="X1347" s="9" t="str">
        <f t="array" ref="X1347">IFERROR(INDEX('Адреса общежитий (скрытый)'!$B$2:$B$9, MATCH(W1347, 'Адреса общежитий (скрытый)'!$A$2:$A$9, 0)), "")</f>
        <v>ул. Профсоюзная, д.83, корп. 2</v>
      </c>
      <c r="Y1347" s="18"/>
      <c r="Z1347" s="18"/>
      <c r="AA1347" s="18"/>
      <c r="AB1347" s="18"/>
      <c r="AC1347" s="18"/>
    </row>
    <row r="1348" spans="1:29" ht="32.25" hidden="1" customHeight="1">
      <c r="A1348" s="8">
        <v>2304563</v>
      </c>
      <c r="B1348" s="9" t="s">
        <v>13284</v>
      </c>
      <c r="C1348" s="9" t="s">
        <v>13284</v>
      </c>
      <c r="D1348" s="9" t="s">
        <v>13284</v>
      </c>
      <c r="E1348" s="9" t="s">
        <v>13284</v>
      </c>
      <c r="F1348" s="9" t="s">
        <v>13284</v>
      </c>
      <c r="G1348" s="9" t="s">
        <v>13284</v>
      </c>
      <c r="H1348" s="9" t="s">
        <v>13284</v>
      </c>
      <c r="I1348" s="9" t="s">
        <v>13284</v>
      </c>
      <c r="J1348" s="9" t="s">
        <v>13284</v>
      </c>
      <c r="K1348" s="9" t="s">
        <v>13284</v>
      </c>
      <c r="L1348" s="9" t="s">
        <v>13284</v>
      </c>
      <c r="M1348" s="9" t="s">
        <v>13284</v>
      </c>
      <c r="N1348" s="9" t="s">
        <v>13284</v>
      </c>
      <c r="O1348" s="9" t="s">
        <v>13284</v>
      </c>
      <c r="P1348" s="9" t="s">
        <v>13284</v>
      </c>
      <c r="Q1348" s="9" t="s">
        <v>13284</v>
      </c>
      <c r="R1348" s="9" t="s">
        <v>13284</v>
      </c>
      <c r="S1348" s="9" t="s">
        <v>13284</v>
      </c>
      <c r="T1348" s="9" t="str">
        <f ca="1">IFERROR(IF(AND(VLOOKUP(A1348, 'Актуальное состояние (из общего'!A:C,3,0) = "", A1348 &lt;&gt; ""), "ПРОВЕРИТЬ", VLOOKUP(A1348, 'Актуальное состояние (из общего'!A:C,3,0)), "")</f>
        <v>Студент</v>
      </c>
      <c r="U1348" s="9" t="s">
        <v>13284</v>
      </c>
      <c r="V1348" s="9" t="s">
        <v>13284</v>
      </c>
      <c r="W1348" s="12"/>
      <c r="X1348" s="9" t="str">
        <f t="array" ref="X1348">IFERROR(INDEX('Адреса общежитий (скрытый)'!$B$2:$B$9, MATCH(W1348, 'Адреса общежитий (скрытый)'!$A$2:$A$9, 0)), "")</f>
        <v/>
      </c>
      <c r="Y1348" s="18"/>
      <c r="Z1348" s="18"/>
      <c r="AA1348" s="18"/>
      <c r="AB1348" s="18"/>
      <c r="AC1348" s="18"/>
    </row>
    <row r="1349" spans="1:29" ht="32.25" hidden="1" customHeight="1">
      <c r="A1349" s="8">
        <v>2308974</v>
      </c>
      <c r="B1349" s="9" t="s">
        <v>13284</v>
      </c>
      <c r="C1349" s="9" t="s">
        <v>13284</v>
      </c>
      <c r="D1349" s="9" t="s">
        <v>13284</v>
      </c>
      <c r="E1349" s="9" t="s">
        <v>13284</v>
      </c>
      <c r="F1349" s="9" t="s">
        <v>13284</v>
      </c>
      <c r="G1349" s="9" t="s">
        <v>13284</v>
      </c>
      <c r="H1349" s="9" t="s">
        <v>13284</v>
      </c>
      <c r="I1349" s="9" t="s">
        <v>13284</v>
      </c>
      <c r="J1349" s="9" t="s">
        <v>13284</v>
      </c>
      <c r="K1349" s="9" t="s">
        <v>13284</v>
      </c>
      <c r="L1349" s="9" t="s">
        <v>13284</v>
      </c>
      <c r="M1349" s="9" t="s">
        <v>13284</v>
      </c>
      <c r="N1349" s="9" t="s">
        <v>13284</v>
      </c>
      <c r="O1349" s="9" t="s">
        <v>13284</v>
      </c>
      <c r="P1349" s="9" t="s">
        <v>13284</v>
      </c>
      <c r="Q1349" s="9" t="s">
        <v>13284</v>
      </c>
      <c r="R1349" s="9" t="s">
        <v>13284</v>
      </c>
      <c r="S1349" s="9" t="s">
        <v>13284</v>
      </c>
      <c r="T1349" s="9" t="str">
        <f ca="1">IFERROR(IF(AND(VLOOKUP(A1349, 'Актуальное состояние (из общего'!A:C,3,0) = "", A1349 &lt;&gt; ""), "ПРОВЕРИТЬ", VLOOKUP(A1349, 'Актуальное состояние (из общего'!A:C,3,0)), "")</f>
        <v>Студент</v>
      </c>
      <c r="U1349" s="9" t="s">
        <v>13284</v>
      </c>
      <c r="V1349" s="9" t="s">
        <v>13284</v>
      </c>
      <c r="W1349" s="12"/>
      <c r="X1349" s="9" t="str">
        <f t="array" ref="X1349">IFERROR(INDEX('Адреса общежитий (скрытый)'!$B$2:$B$9, MATCH(W1349, 'Адреса общежитий (скрытый)'!$A$2:$A$9, 0)), "")</f>
        <v/>
      </c>
      <c r="Y1349" s="18"/>
      <c r="Z1349" s="18"/>
      <c r="AA1349" s="18"/>
      <c r="AB1349" s="18"/>
      <c r="AC1349" s="18"/>
    </row>
    <row r="1350" spans="1:29" ht="32.25" hidden="1" customHeight="1">
      <c r="A1350" s="8">
        <v>2309361</v>
      </c>
      <c r="B1350" s="9" t="s">
        <v>13284</v>
      </c>
      <c r="C1350" s="9" t="s">
        <v>13284</v>
      </c>
      <c r="D1350" s="9" t="s">
        <v>13284</v>
      </c>
      <c r="E1350" s="9" t="s">
        <v>13284</v>
      </c>
      <c r="F1350" s="9" t="s">
        <v>13284</v>
      </c>
      <c r="G1350" s="9" t="s">
        <v>13284</v>
      </c>
      <c r="H1350" s="9" t="s">
        <v>13284</v>
      </c>
      <c r="I1350" s="9" t="s">
        <v>13284</v>
      </c>
      <c r="J1350" s="9" t="s">
        <v>13284</v>
      </c>
      <c r="K1350" s="9" t="s">
        <v>13284</v>
      </c>
      <c r="L1350" s="9" t="s">
        <v>13284</v>
      </c>
      <c r="M1350" s="9" t="s">
        <v>13284</v>
      </c>
      <c r="N1350" s="9" t="s">
        <v>13284</v>
      </c>
      <c r="O1350" s="9" t="s">
        <v>13284</v>
      </c>
      <c r="P1350" s="9" t="s">
        <v>13284</v>
      </c>
      <c r="Q1350" s="9" t="s">
        <v>13284</v>
      </c>
      <c r="R1350" s="9" t="s">
        <v>13284</v>
      </c>
      <c r="S1350" s="9" t="s">
        <v>13284</v>
      </c>
      <c r="T1350" s="9" t="str">
        <f ca="1">IFERROR(IF(AND(VLOOKUP(A1350, 'Актуальное состояние (из общего'!A:C,3,0) = "", A1350 &lt;&gt; ""), "ПРОВЕРИТЬ", VLOOKUP(A1350, 'Актуальное состояние (из общего'!A:C,3,0)), "")</f>
        <v>Студент</v>
      </c>
      <c r="U1350" s="9" t="s">
        <v>13284</v>
      </c>
      <c r="V1350" s="9" t="s">
        <v>13284</v>
      </c>
      <c r="W1350" s="12"/>
      <c r="X1350" s="9" t="str">
        <f t="array" ref="X1350">IFERROR(INDEX('Адреса общежитий (скрытый)'!$B$2:$B$9, MATCH(W1350, 'Адреса общежитий (скрытый)'!$A$2:$A$9, 0)), "")</f>
        <v/>
      </c>
      <c r="Y1350" s="18"/>
      <c r="Z1350" s="18"/>
      <c r="AA1350" s="18"/>
      <c r="AB1350" s="18"/>
      <c r="AC1350" s="18"/>
    </row>
    <row r="1351" spans="1:29" ht="32.25" customHeight="1">
      <c r="A1351" s="8">
        <v>2309506</v>
      </c>
      <c r="B1351" s="9" t="s">
        <v>13284</v>
      </c>
      <c r="C1351" s="9" t="s">
        <v>13284</v>
      </c>
      <c r="D1351" s="9" t="s">
        <v>13284</v>
      </c>
      <c r="E1351" s="9" t="s">
        <v>13284</v>
      </c>
      <c r="F1351" s="9" t="s">
        <v>13284</v>
      </c>
      <c r="G1351" s="9" t="s">
        <v>13284</v>
      </c>
      <c r="H1351" s="9" t="s">
        <v>13284</v>
      </c>
      <c r="I1351" s="9" t="s">
        <v>13284</v>
      </c>
      <c r="J1351" s="9" t="s">
        <v>13284</v>
      </c>
      <c r="K1351" s="9" t="s">
        <v>13284</v>
      </c>
      <c r="L1351" s="9" t="s">
        <v>13284</v>
      </c>
      <c r="M1351" s="9" t="s">
        <v>13284</v>
      </c>
      <c r="N1351" s="9" t="s">
        <v>13284</v>
      </c>
      <c r="O1351" s="9" t="s">
        <v>13284</v>
      </c>
      <c r="P1351" s="9" t="s">
        <v>13284</v>
      </c>
      <c r="Q1351" s="9" t="s">
        <v>13284</v>
      </c>
      <c r="R1351" s="9" t="s">
        <v>13284</v>
      </c>
      <c r="S1351" s="9" t="s">
        <v>13284</v>
      </c>
      <c r="T1351" s="9" t="str">
        <f ca="1">IFERROR(IF(AND(VLOOKUP(A1351, 'Актуальное состояние (из общего'!A:C,3,0) = "", A1351 &lt;&gt; ""), "ПРОВЕРИТЬ", VLOOKUP(A1351, 'Актуальное состояние (из общего'!A:C,3,0)), "")</f>
        <v>Студент</v>
      </c>
      <c r="U1351" s="9" t="s">
        <v>13284</v>
      </c>
      <c r="V1351" s="9" t="s">
        <v>13284</v>
      </c>
      <c r="W1351" s="12"/>
      <c r="X1351" s="9" t="str">
        <f t="array" ref="X1351">IFERROR(INDEX('Адреса общежитий (скрытый)'!$B$2:$B$9, MATCH(W1351, 'Адреса общежитий (скрытый)'!$A$2:$A$9, 0)), "")</f>
        <v/>
      </c>
      <c r="Y1351" s="18"/>
      <c r="Z1351" s="18"/>
      <c r="AA1351" s="18"/>
      <c r="AB1351" s="18"/>
      <c r="AC1351" s="18"/>
    </row>
    <row r="1352" spans="1:29" ht="32.25" hidden="1" customHeight="1">
      <c r="A1352" s="8">
        <v>2306815</v>
      </c>
      <c r="B1352" s="9" t="s">
        <v>13284</v>
      </c>
      <c r="C1352" s="9" t="s">
        <v>13284</v>
      </c>
      <c r="D1352" s="9" t="s">
        <v>13284</v>
      </c>
      <c r="E1352" s="9" t="s">
        <v>13284</v>
      </c>
      <c r="F1352" s="9" t="s">
        <v>13284</v>
      </c>
      <c r="G1352" s="9" t="s">
        <v>13284</v>
      </c>
      <c r="H1352" s="9" t="s">
        <v>13284</v>
      </c>
      <c r="I1352" s="9" t="s">
        <v>13284</v>
      </c>
      <c r="J1352" s="9" t="s">
        <v>13284</v>
      </c>
      <c r="K1352" s="9" t="s">
        <v>13284</v>
      </c>
      <c r="L1352" s="9" t="s">
        <v>13284</v>
      </c>
      <c r="M1352" s="9" t="s">
        <v>13284</v>
      </c>
      <c r="N1352" s="9" t="s">
        <v>13284</v>
      </c>
      <c r="O1352" s="9" t="s">
        <v>13284</v>
      </c>
      <c r="P1352" s="9" t="s">
        <v>13284</v>
      </c>
      <c r="Q1352" s="9" t="s">
        <v>13284</v>
      </c>
      <c r="R1352" s="9" t="s">
        <v>13284</v>
      </c>
      <c r="S1352" s="9" t="s">
        <v>13284</v>
      </c>
      <c r="T1352" s="9" t="str">
        <f ca="1">IFERROR(IF(AND(VLOOKUP(A1352, 'Актуальное состояние (из общего'!A:C,3,0) = "", A1352 &lt;&gt; ""), "ПРОВЕРИТЬ", VLOOKUP(A1352, 'Актуальное состояние (из общего'!A:C,3,0)), "")</f>
        <v>Студент</v>
      </c>
      <c r="U1352" s="9" t="s">
        <v>13284</v>
      </c>
      <c r="V1352" s="9" t="s">
        <v>13284</v>
      </c>
      <c r="W1352" s="12"/>
      <c r="X1352" s="9" t="str">
        <f t="array" ref="X1352">IFERROR(INDEX('Адреса общежитий (скрытый)'!$B$2:$B$9, MATCH(W1352, 'Адреса общежитий (скрытый)'!$A$2:$A$9, 0)), "")</f>
        <v/>
      </c>
      <c r="Y1352" s="18"/>
      <c r="Z1352" s="18"/>
      <c r="AA1352" s="18"/>
      <c r="AB1352" s="18"/>
      <c r="AC1352" s="18"/>
    </row>
    <row r="1353" spans="1:29" ht="32.25" customHeight="1">
      <c r="A1353" s="8">
        <v>2306393</v>
      </c>
      <c r="B1353" s="9" t="s">
        <v>13284</v>
      </c>
      <c r="C1353" s="9" t="s">
        <v>13284</v>
      </c>
      <c r="D1353" s="9" t="s">
        <v>13284</v>
      </c>
      <c r="E1353" s="9" t="s">
        <v>13284</v>
      </c>
      <c r="F1353" s="9" t="s">
        <v>13284</v>
      </c>
      <c r="G1353" s="9" t="s">
        <v>13284</v>
      </c>
      <c r="H1353" s="9" t="s">
        <v>13284</v>
      </c>
      <c r="I1353" s="9" t="s">
        <v>13284</v>
      </c>
      <c r="J1353" s="9" t="s">
        <v>13284</v>
      </c>
      <c r="K1353" s="9" t="s">
        <v>13284</v>
      </c>
      <c r="L1353" s="9" t="s">
        <v>13284</v>
      </c>
      <c r="M1353" s="9" t="s">
        <v>13284</v>
      </c>
      <c r="N1353" s="9" t="s">
        <v>13284</v>
      </c>
      <c r="O1353" s="9" t="s">
        <v>13284</v>
      </c>
      <c r="P1353" s="9" t="s">
        <v>13284</v>
      </c>
      <c r="Q1353" s="9" t="s">
        <v>13284</v>
      </c>
      <c r="R1353" s="9" t="s">
        <v>13284</v>
      </c>
      <c r="S1353" s="9" t="s">
        <v>13284</v>
      </c>
      <c r="T1353" s="9" t="str">
        <f ca="1">IFERROR(IF(AND(VLOOKUP(A1353, 'Актуальное состояние (из общего'!A:C,3,0) = "", A1353 &lt;&gt; ""), "ПРОВЕРИТЬ", VLOOKUP(A1353, 'Актуальное состояние (из общего'!A:C,3,0)), "")</f>
        <v>Студент</v>
      </c>
      <c r="U1353" s="9" t="s">
        <v>13284</v>
      </c>
      <c r="V1353" s="9" t="s">
        <v>13284</v>
      </c>
      <c r="W1353" s="12"/>
      <c r="X1353" s="9" t="str">
        <f t="array" ref="X1353">IFERROR(INDEX('Адреса общежитий (скрытый)'!$B$2:$B$9, MATCH(W1353, 'Адреса общежитий (скрытый)'!$A$2:$A$9, 0)), "")</f>
        <v/>
      </c>
      <c r="Y1353" s="18"/>
      <c r="Z1353" s="18"/>
      <c r="AA1353" s="18"/>
      <c r="AB1353" s="18"/>
      <c r="AC1353" s="18"/>
    </row>
    <row r="1354" spans="1:29" ht="32.25" customHeight="1">
      <c r="A1354" s="8">
        <v>2304655</v>
      </c>
      <c r="B1354" s="9" t="s">
        <v>13284</v>
      </c>
      <c r="C1354" s="9" t="s">
        <v>13284</v>
      </c>
      <c r="D1354" s="9" t="s">
        <v>13284</v>
      </c>
      <c r="E1354" s="9" t="s">
        <v>13284</v>
      </c>
      <c r="F1354" s="9" t="s">
        <v>13284</v>
      </c>
      <c r="G1354" s="9" t="s">
        <v>13284</v>
      </c>
      <c r="H1354" s="9" t="s">
        <v>13284</v>
      </c>
      <c r="I1354" s="9" t="s">
        <v>13284</v>
      </c>
      <c r="J1354" s="9" t="s">
        <v>13284</v>
      </c>
      <c r="K1354" s="9" t="s">
        <v>13284</v>
      </c>
      <c r="L1354" s="9" t="s">
        <v>13284</v>
      </c>
      <c r="M1354" s="9" t="s">
        <v>13284</v>
      </c>
      <c r="N1354" s="9" t="s">
        <v>13284</v>
      </c>
      <c r="O1354" s="9" t="s">
        <v>13284</v>
      </c>
      <c r="P1354" s="9" t="s">
        <v>13284</v>
      </c>
      <c r="Q1354" s="9" t="s">
        <v>13284</v>
      </c>
      <c r="R1354" s="9" t="s">
        <v>13284</v>
      </c>
      <c r="S1354" s="9" t="s">
        <v>13284</v>
      </c>
      <c r="T1354" s="9" t="str">
        <f ca="1">IFERROR(IF(AND(VLOOKUP(A1354, 'Актуальное состояние (из общего'!A:C,3,0) = "", A1354 &lt;&gt; ""), "ПРОВЕРИТЬ", VLOOKUP(A1354, 'Актуальное состояние (из общего'!A:C,3,0)), "")</f>
        <v>Студент</v>
      </c>
      <c r="U1354" s="9" t="s">
        <v>13284</v>
      </c>
      <c r="V1354" s="9" t="s">
        <v>13284</v>
      </c>
      <c r="W1354" s="12"/>
      <c r="X1354" s="9" t="str">
        <f t="array" ref="X1354">IFERROR(INDEX('Адреса общежитий (скрытый)'!$B$2:$B$9, MATCH(W1354, 'Адреса общежитий (скрытый)'!$A$2:$A$9, 0)), "")</f>
        <v/>
      </c>
      <c r="Y1354" s="18"/>
      <c r="Z1354" s="18"/>
      <c r="AA1354" s="18"/>
      <c r="AB1354" s="18"/>
      <c r="AC1354" s="18"/>
    </row>
    <row r="1355" spans="1:29" ht="32.25" hidden="1" customHeight="1">
      <c r="A1355" s="8">
        <v>2310419</v>
      </c>
      <c r="B1355" s="9" t="s">
        <v>13284</v>
      </c>
      <c r="C1355" s="9" t="s">
        <v>13284</v>
      </c>
      <c r="D1355" s="9" t="s">
        <v>13284</v>
      </c>
      <c r="E1355" s="9" t="s">
        <v>13284</v>
      </c>
      <c r="F1355" s="9" t="s">
        <v>13284</v>
      </c>
      <c r="G1355" s="9" t="s">
        <v>13284</v>
      </c>
      <c r="H1355" s="9" t="s">
        <v>13284</v>
      </c>
      <c r="I1355" s="9" t="s">
        <v>13284</v>
      </c>
      <c r="J1355" s="9" t="s">
        <v>13284</v>
      </c>
      <c r="K1355" s="9" t="s">
        <v>13284</v>
      </c>
      <c r="L1355" s="9" t="s">
        <v>13284</v>
      </c>
      <c r="M1355" s="9" t="s">
        <v>13284</v>
      </c>
      <c r="N1355" s="9" t="s">
        <v>13284</v>
      </c>
      <c r="O1355" s="9" t="s">
        <v>13284</v>
      </c>
      <c r="P1355" s="9" t="s">
        <v>13284</v>
      </c>
      <c r="Q1355" s="9" t="s">
        <v>13284</v>
      </c>
      <c r="R1355" s="9" t="s">
        <v>13284</v>
      </c>
      <c r="S1355" s="9" t="s">
        <v>13284</v>
      </c>
      <c r="T1355" s="9" t="str">
        <f ca="1">IFERROR(IF(AND(VLOOKUP(A1355, 'Актуальное состояние (из общего'!A:C,3,0) = "", A1355 &lt;&gt; ""), "ПРОВЕРИТЬ", VLOOKUP(A1355, 'Актуальное состояние (из общего'!A:C,3,0)), "")</f>
        <v>Студент</v>
      </c>
      <c r="U1355" s="9" t="s">
        <v>13284</v>
      </c>
      <c r="V1355" s="9" t="s">
        <v>13284</v>
      </c>
      <c r="W1355" s="12"/>
      <c r="X1355" s="9" t="str">
        <f t="array" ref="X1355">IFERROR(INDEX('Адреса общежитий (скрытый)'!$B$2:$B$9, MATCH(W1355, 'Адреса общежитий (скрытый)'!$A$2:$A$9, 0)), "")</f>
        <v/>
      </c>
      <c r="Y1355" s="18"/>
      <c r="Z1355" s="18"/>
      <c r="AA1355" s="18"/>
      <c r="AB1355" s="18"/>
      <c r="AC1355" s="18"/>
    </row>
    <row r="1356" spans="1:29" ht="32.25" customHeight="1">
      <c r="A1356" s="8">
        <v>2307480</v>
      </c>
      <c r="B1356" s="9" t="s">
        <v>13284</v>
      </c>
      <c r="C1356" s="9" t="s">
        <v>13284</v>
      </c>
      <c r="D1356" s="9" t="s">
        <v>13284</v>
      </c>
      <c r="E1356" s="9" t="s">
        <v>13284</v>
      </c>
      <c r="F1356" s="9" t="s">
        <v>13284</v>
      </c>
      <c r="G1356" s="9" t="s">
        <v>13284</v>
      </c>
      <c r="H1356" s="9" t="s">
        <v>13284</v>
      </c>
      <c r="I1356" s="9" t="s">
        <v>13284</v>
      </c>
      <c r="J1356" s="9" t="s">
        <v>13284</v>
      </c>
      <c r="K1356" s="9" t="s">
        <v>13284</v>
      </c>
      <c r="L1356" s="9" t="s">
        <v>13284</v>
      </c>
      <c r="M1356" s="9" t="s">
        <v>13284</v>
      </c>
      <c r="N1356" s="9" t="s">
        <v>13284</v>
      </c>
      <c r="O1356" s="9" t="s">
        <v>13284</v>
      </c>
      <c r="P1356" s="9" t="s">
        <v>13284</v>
      </c>
      <c r="Q1356" s="9" t="s">
        <v>13284</v>
      </c>
      <c r="R1356" s="9" t="s">
        <v>13284</v>
      </c>
      <c r="S1356" s="9" t="s">
        <v>13284</v>
      </c>
      <c r="T1356" s="9" t="str">
        <f ca="1">IFERROR(IF(AND(VLOOKUP(A1356, 'Актуальное состояние (из общего'!A:C,3,0) = "", A1356 &lt;&gt; ""), "ПРОВЕРИТЬ", VLOOKUP(A1356, 'Актуальное состояние (из общего'!A:C,3,0)), "")</f>
        <v>Студент</v>
      </c>
      <c r="U1356" s="9" t="s">
        <v>13284</v>
      </c>
      <c r="V1356" s="9" t="s">
        <v>13284</v>
      </c>
      <c r="W1356" s="12"/>
      <c r="X1356" s="9" t="str">
        <f t="array" ref="X1356">IFERROR(INDEX('Адреса общежитий (скрытый)'!$B$2:$B$9, MATCH(W1356, 'Адреса общежитий (скрытый)'!$A$2:$A$9, 0)), "")</f>
        <v/>
      </c>
      <c r="Y1356" s="18"/>
      <c r="Z1356" s="18"/>
      <c r="AA1356" s="18"/>
      <c r="AB1356" s="18"/>
      <c r="AC1356" s="18"/>
    </row>
    <row r="1357" spans="1:29" ht="32.25" hidden="1" customHeight="1">
      <c r="A1357" s="8">
        <v>2303850</v>
      </c>
      <c r="B1357" s="9" t="s">
        <v>13284</v>
      </c>
      <c r="C1357" s="9" t="s">
        <v>13284</v>
      </c>
      <c r="D1357" s="9" t="s">
        <v>13284</v>
      </c>
      <c r="E1357" s="9" t="s">
        <v>13284</v>
      </c>
      <c r="F1357" s="9" t="s">
        <v>13284</v>
      </c>
      <c r="G1357" s="9" t="s">
        <v>13284</v>
      </c>
      <c r="H1357" s="9" t="s">
        <v>13284</v>
      </c>
      <c r="I1357" s="9" t="s">
        <v>13284</v>
      </c>
      <c r="J1357" s="9" t="s">
        <v>13284</v>
      </c>
      <c r="K1357" s="9" t="s">
        <v>13284</v>
      </c>
      <c r="L1357" s="9" t="s">
        <v>13284</v>
      </c>
      <c r="M1357" s="9" t="s">
        <v>13284</v>
      </c>
      <c r="N1357" s="9" t="s">
        <v>13284</v>
      </c>
      <c r="O1357" s="9" t="s">
        <v>13284</v>
      </c>
      <c r="P1357" s="9" t="s">
        <v>13284</v>
      </c>
      <c r="Q1357" s="9" t="s">
        <v>13284</v>
      </c>
      <c r="R1357" s="9" t="s">
        <v>13284</v>
      </c>
      <c r="S1357" s="9" t="s">
        <v>13284</v>
      </c>
      <c r="T1357" s="9" t="str">
        <f ca="1">IFERROR(IF(AND(VLOOKUP(A1357, 'Актуальное состояние (из общего'!A:C,3,0) = "", A1357 &lt;&gt; ""), "ПРОВЕРИТЬ", VLOOKUP(A1357, 'Актуальное состояние (из общего'!A:C,3,0)), "")</f>
        <v>Студент</v>
      </c>
      <c r="U1357" s="9" t="s">
        <v>13284</v>
      </c>
      <c r="V1357" s="9" t="s">
        <v>13284</v>
      </c>
      <c r="W1357" s="12"/>
      <c r="X1357" s="9" t="str">
        <f t="array" ref="X1357">IFERROR(INDEX('Адреса общежитий (скрытый)'!$B$2:$B$9, MATCH(W1357, 'Адреса общежитий (скрытый)'!$A$2:$A$9, 0)), "")</f>
        <v/>
      </c>
      <c r="Y1357" s="18"/>
      <c r="Z1357" s="18"/>
      <c r="AA1357" s="18"/>
      <c r="AB1357" s="18"/>
      <c r="AC1357" s="18"/>
    </row>
    <row r="1358" spans="1:29" ht="32.25" hidden="1" customHeight="1">
      <c r="A1358" s="8">
        <v>2302286</v>
      </c>
      <c r="B1358" s="9" t="s">
        <v>13284</v>
      </c>
      <c r="C1358" s="9" t="s">
        <v>13284</v>
      </c>
      <c r="D1358" s="9" t="s">
        <v>13284</v>
      </c>
      <c r="E1358" s="9" t="s">
        <v>13284</v>
      </c>
      <c r="F1358" s="9" t="s">
        <v>13284</v>
      </c>
      <c r="G1358" s="9" t="s">
        <v>13284</v>
      </c>
      <c r="H1358" s="9" t="s">
        <v>13284</v>
      </c>
      <c r="I1358" s="9" t="s">
        <v>13284</v>
      </c>
      <c r="J1358" s="9" t="s">
        <v>13284</v>
      </c>
      <c r="K1358" s="9" t="s">
        <v>13284</v>
      </c>
      <c r="L1358" s="9" t="s">
        <v>13284</v>
      </c>
      <c r="M1358" s="9" t="s">
        <v>13284</v>
      </c>
      <c r="N1358" s="9" t="s">
        <v>13284</v>
      </c>
      <c r="O1358" s="9" t="s">
        <v>13284</v>
      </c>
      <c r="P1358" s="9" t="s">
        <v>13284</v>
      </c>
      <c r="Q1358" s="9" t="s">
        <v>13284</v>
      </c>
      <c r="R1358" s="9" t="s">
        <v>13284</v>
      </c>
      <c r="S1358" s="9" t="s">
        <v>13284</v>
      </c>
      <c r="T1358" s="9" t="str">
        <f ca="1">IFERROR(IF(AND(VLOOKUP(A1358, 'Актуальное состояние (из общего'!A:C,3,0) = "", A1358 &lt;&gt; ""), "ПРОВЕРИТЬ", VLOOKUP(A1358, 'Актуальное состояние (из общего'!A:C,3,0)), "")</f>
        <v>Студент</v>
      </c>
      <c r="U1358" s="9" t="s">
        <v>13284</v>
      </c>
      <c r="V1358" s="9" t="s">
        <v>13284</v>
      </c>
      <c r="W1358" s="12"/>
      <c r="X1358" s="9" t="str">
        <f t="array" ref="X1358">IFERROR(INDEX('Адреса общежитий (скрытый)'!$B$2:$B$9, MATCH(W1358, 'Адреса общежитий (скрытый)'!$A$2:$A$9, 0)), "")</f>
        <v/>
      </c>
      <c r="Y1358" s="18"/>
      <c r="Z1358" s="18"/>
      <c r="AA1358" s="18"/>
      <c r="AB1358" s="18"/>
      <c r="AC1358" s="18"/>
    </row>
    <row r="1359" spans="1:29" ht="32.25" hidden="1" customHeight="1">
      <c r="A1359" s="8">
        <v>2302785</v>
      </c>
      <c r="B1359" s="9" t="s">
        <v>13284</v>
      </c>
      <c r="C1359" s="9" t="s">
        <v>13284</v>
      </c>
      <c r="D1359" s="9" t="s">
        <v>13284</v>
      </c>
      <c r="E1359" s="9" t="s">
        <v>13284</v>
      </c>
      <c r="F1359" s="9" t="s">
        <v>13284</v>
      </c>
      <c r="G1359" s="9" t="s">
        <v>13284</v>
      </c>
      <c r="H1359" s="9" t="s">
        <v>13284</v>
      </c>
      <c r="I1359" s="9" t="s">
        <v>13284</v>
      </c>
      <c r="J1359" s="9" t="s">
        <v>13284</v>
      </c>
      <c r="K1359" s="9" t="s">
        <v>13284</v>
      </c>
      <c r="L1359" s="9" t="s">
        <v>13284</v>
      </c>
      <c r="M1359" s="9" t="s">
        <v>13284</v>
      </c>
      <c r="N1359" s="9" t="s">
        <v>13284</v>
      </c>
      <c r="O1359" s="9" t="s">
        <v>13284</v>
      </c>
      <c r="P1359" s="9" t="s">
        <v>13284</v>
      </c>
      <c r="Q1359" s="9" t="s">
        <v>13284</v>
      </c>
      <c r="R1359" s="9" t="s">
        <v>13284</v>
      </c>
      <c r="S1359" s="9" t="s">
        <v>13284</v>
      </c>
      <c r="T1359" s="9" t="str">
        <f ca="1">IFERROR(IF(AND(VLOOKUP(A1359, 'Актуальное состояние (из общего'!A:C,3,0) = "", A1359 &lt;&gt; ""), "ПРОВЕРИТЬ", VLOOKUP(A1359, 'Актуальное состояние (из общего'!A:C,3,0)), "")</f>
        <v>Студент</v>
      </c>
      <c r="U1359" s="9" t="s">
        <v>13284</v>
      </c>
      <c r="V1359" s="9" t="s">
        <v>13284</v>
      </c>
      <c r="W1359" s="12"/>
      <c r="X1359" s="9" t="str">
        <f t="array" ref="X1359">IFERROR(INDEX('Адреса общежитий (скрытый)'!$B$2:$B$9, MATCH(W1359, 'Адреса общежитий (скрытый)'!$A$2:$A$9, 0)), "")</f>
        <v/>
      </c>
      <c r="Y1359" s="18"/>
      <c r="Z1359" s="18"/>
      <c r="AA1359" s="18"/>
      <c r="AB1359" s="18"/>
      <c r="AC1359" s="18"/>
    </row>
    <row r="1360" spans="1:29" ht="32.25" hidden="1" customHeight="1">
      <c r="A1360" s="8">
        <v>2302265</v>
      </c>
      <c r="B1360" s="9" t="s">
        <v>13284</v>
      </c>
      <c r="C1360" s="9" t="s">
        <v>13284</v>
      </c>
      <c r="D1360" s="9" t="s">
        <v>13284</v>
      </c>
      <c r="E1360" s="9" t="s">
        <v>13284</v>
      </c>
      <c r="F1360" s="9" t="s">
        <v>13284</v>
      </c>
      <c r="G1360" s="9" t="s">
        <v>13284</v>
      </c>
      <c r="H1360" s="9" t="s">
        <v>13284</v>
      </c>
      <c r="I1360" s="9" t="s">
        <v>13284</v>
      </c>
      <c r="J1360" s="9" t="s">
        <v>13284</v>
      </c>
      <c r="K1360" s="9" t="s">
        <v>13284</v>
      </c>
      <c r="L1360" s="9" t="s">
        <v>13284</v>
      </c>
      <c r="M1360" s="9" t="s">
        <v>13284</v>
      </c>
      <c r="N1360" s="9" t="s">
        <v>13284</v>
      </c>
      <c r="O1360" s="9" t="s">
        <v>13284</v>
      </c>
      <c r="P1360" s="9" t="s">
        <v>13284</v>
      </c>
      <c r="Q1360" s="9" t="s">
        <v>13284</v>
      </c>
      <c r="R1360" s="9" t="s">
        <v>13284</v>
      </c>
      <c r="S1360" s="9" t="s">
        <v>13284</v>
      </c>
      <c r="T1360" s="9" t="str">
        <f ca="1">IFERROR(IF(AND(VLOOKUP(A1360, 'Актуальное состояние (из общего'!A:C,3,0) = "", A1360 &lt;&gt; ""), "ПРОВЕРИТЬ", VLOOKUP(A1360, 'Актуальное состояние (из общего'!A:C,3,0)), "")</f>
        <v>Студент</v>
      </c>
      <c r="U1360" s="9" t="s">
        <v>13284</v>
      </c>
      <c r="V1360" s="9" t="s">
        <v>13284</v>
      </c>
      <c r="W1360" s="12"/>
      <c r="X1360" s="9" t="str">
        <f t="array" ref="X1360">IFERROR(INDEX('Адреса общежитий (скрытый)'!$B$2:$B$9, MATCH(W1360, 'Адреса общежитий (скрытый)'!$A$2:$A$9, 0)), "")</f>
        <v/>
      </c>
      <c r="Y1360" s="18"/>
      <c r="Z1360" s="18"/>
      <c r="AA1360" s="18"/>
      <c r="AB1360" s="18"/>
      <c r="AC1360" s="18"/>
    </row>
    <row r="1361" spans="1:29" ht="32.25" customHeight="1">
      <c r="A1361" s="8">
        <v>2308749</v>
      </c>
      <c r="B1361" s="9" t="s">
        <v>13284</v>
      </c>
      <c r="C1361" s="9" t="s">
        <v>13284</v>
      </c>
      <c r="D1361" s="9" t="s">
        <v>13284</v>
      </c>
      <c r="E1361" s="9" t="s">
        <v>13284</v>
      </c>
      <c r="F1361" s="9" t="s">
        <v>13284</v>
      </c>
      <c r="G1361" s="9" t="s">
        <v>13284</v>
      </c>
      <c r="H1361" s="9" t="s">
        <v>13284</v>
      </c>
      <c r="I1361" s="9" t="s">
        <v>13284</v>
      </c>
      <c r="J1361" s="9" t="s">
        <v>13284</v>
      </c>
      <c r="K1361" s="9" t="s">
        <v>13284</v>
      </c>
      <c r="L1361" s="9" t="s">
        <v>13284</v>
      </c>
      <c r="M1361" s="9" t="s">
        <v>13284</v>
      </c>
      <c r="N1361" s="9" t="s">
        <v>13284</v>
      </c>
      <c r="O1361" s="9" t="s">
        <v>13284</v>
      </c>
      <c r="P1361" s="9" t="s">
        <v>13284</v>
      </c>
      <c r="Q1361" s="9" t="s">
        <v>13284</v>
      </c>
      <c r="R1361" s="9" t="s">
        <v>13284</v>
      </c>
      <c r="S1361" s="9" t="s">
        <v>13284</v>
      </c>
      <c r="T1361" s="9" t="str">
        <f ca="1">IFERROR(IF(AND(VLOOKUP(A1361, 'Актуальное состояние (из общего'!A:C,3,0) = "", A1361 &lt;&gt; ""), "ПРОВЕРИТЬ", VLOOKUP(A1361, 'Актуальное состояние (из общего'!A:C,3,0)), "")</f>
        <v>Студент</v>
      </c>
      <c r="U1361" s="9" t="s">
        <v>13284</v>
      </c>
      <c r="V1361" s="9" t="s">
        <v>13284</v>
      </c>
      <c r="W1361" s="12"/>
      <c r="X1361" s="9" t="str">
        <f t="array" ref="X1361">IFERROR(INDEX('Адреса общежитий (скрытый)'!$B$2:$B$9, MATCH(W1361, 'Адреса общежитий (скрытый)'!$A$2:$A$9, 0)), "")</f>
        <v/>
      </c>
      <c r="Y1361" s="18"/>
      <c r="Z1361" s="18"/>
      <c r="AA1361" s="18"/>
      <c r="AB1361" s="18"/>
      <c r="AC1361" s="18"/>
    </row>
    <row r="1362" spans="1:29" ht="32.25" hidden="1" customHeight="1">
      <c r="A1362" s="8">
        <v>2309484</v>
      </c>
      <c r="B1362" s="9" t="s">
        <v>13284</v>
      </c>
      <c r="C1362" s="9" t="s">
        <v>13284</v>
      </c>
      <c r="D1362" s="9" t="s">
        <v>13284</v>
      </c>
      <c r="E1362" s="9" t="s">
        <v>13284</v>
      </c>
      <c r="F1362" s="9" t="s">
        <v>13284</v>
      </c>
      <c r="G1362" s="9" t="s">
        <v>13284</v>
      </c>
      <c r="H1362" s="9" t="s">
        <v>13284</v>
      </c>
      <c r="I1362" s="9" t="s">
        <v>13284</v>
      </c>
      <c r="J1362" s="9" t="s">
        <v>13284</v>
      </c>
      <c r="K1362" s="9" t="s">
        <v>13284</v>
      </c>
      <c r="L1362" s="9" t="s">
        <v>13284</v>
      </c>
      <c r="M1362" s="9" t="s">
        <v>13284</v>
      </c>
      <c r="N1362" s="9" t="s">
        <v>13284</v>
      </c>
      <c r="O1362" s="9" t="s">
        <v>13284</v>
      </c>
      <c r="P1362" s="9" t="s">
        <v>13284</v>
      </c>
      <c r="Q1362" s="9" t="s">
        <v>13284</v>
      </c>
      <c r="R1362" s="9" t="s">
        <v>13284</v>
      </c>
      <c r="S1362" s="9" t="s">
        <v>13284</v>
      </c>
      <c r="T1362" s="9" t="str">
        <f ca="1">IFERROR(IF(AND(VLOOKUP(A1362, 'Актуальное состояние (из общего'!A:C,3,0) = "", A1362 &lt;&gt; ""), "ПРОВЕРИТЬ", VLOOKUP(A1362, 'Актуальное состояние (из общего'!A:C,3,0)), "")</f>
        <v>Студент</v>
      </c>
      <c r="U1362" s="9" t="s">
        <v>13284</v>
      </c>
      <c r="V1362" s="9" t="s">
        <v>13284</v>
      </c>
      <c r="W1362" s="12"/>
      <c r="X1362" s="9" t="str">
        <f t="array" ref="X1362">IFERROR(INDEX('Адреса общежитий (скрытый)'!$B$2:$B$9, MATCH(W1362, 'Адреса общежитий (скрытый)'!$A$2:$A$9, 0)), "")</f>
        <v/>
      </c>
      <c r="Y1362" s="18"/>
      <c r="Z1362" s="18"/>
      <c r="AA1362" s="18"/>
      <c r="AB1362" s="18"/>
      <c r="AC1362" s="18"/>
    </row>
    <row r="1363" spans="1:29" ht="32.25" hidden="1" customHeight="1">
      <c r="A1363" s="8">
        <v>2310943</v>
      </c>
      <c r="B1363" s="9" t="s">
        <v>13284</v>
      </c>
      <c r="C1363" s="9" t="s">
        <v>13284</v>
      </c>
      <c r="D1363" s="9" t="s">
        <v>13284</v>
      </c>
      <c r="E1363" s="9" t="s">
        <v>13284</v>
      </c>
      <c r="F1363" s="9" t="s">
        <v>13284</v>
      </c>
      <c r="G1363" s="9" t="s">
        <v>13284</v>
      </c>
      <c r="H1363" s="9" t="s">
        <v>13284</v>
      </c>
      <c r="I1363" s="9" t="s">
        <v>13284</v>
      </c>
      <c r="J1363" s="9" t="s">
        <v>13284</v>
      </c>
      <c r="K1363" s="9" t="s">
        <v>13284</v>
      </c>
      <c r="L1363" s="9" t="s">
        <v>13284</v>
      </c>
      <c r="M1363" s="9" t="s">
        <v>13284</v>
      </c>
      <c r="N1363" s="9" t="s">
        <v>13284</v>
      </c>
      <c r="O1363" s="9" t="s">
        <v>13284</v>
      </c>
      <c r="P1363" s="9" t="s">
        <v>13284</v>
      </c>
      <c r="Q1363" s="9" t="s">
        <v>13284</v>
      </c>
      <c r="R1363" s="9" t="s">
        <v>13284</v>
      </c>
      <c r="S1363" s="9" t="s">
        <v>13284</v>
      </c>
      <c r="T1363" s="9" t="str">
        <f ca="1">IFERROR(IF(AND(VLOOKUP(A1363, 'Актуальное состояние (из общего'!A:C,3,0) = "", A1363 &lt;&gt; ""), "ПРОВЕРИТЬ", VLOOKUP(A1363, 'Актуальное состояние (из общего'!A:C,3,0)), "")</f>
        <v>Студент</v>
      </c>
      <c r="U1363" s="9" t="s">
        <v>13284</v>
      </c>
      <c r="V1363" s="9" t="s">
        <v>13284</v>
      </c>
      <c r="W1363" s="12"/>
      <c r="X1363" s="9" t="str">
        <f t="array" ref="X1363">IFERROR(INDEX('Адреса общежитий (скрытый)'!$B$2:$B$9, MATCH(W1363, 'Адреса общежитий (скрытый)'!$A$2:$A$9, 0)), "")</f>
        <v/>
      </c>
      <c r="Y1363" s="18"/>
      <c r="Z1363" s="18"/>
      <c r="AA1363" s="18"/>
      <c r="AB1363" s="18"/>
      <c r="AC1363" s="18"/>
    </row>
    <row r="1364" spans="1:29" ht="32.25" hidden="1" customHeight="1">
      <c r="A1364" s="8">
        <v>2302268</v>
      </c>
      <c r="B1364" s="9" t="s">
        <v>13284</v>
      </c>
      <c r="C1364" s="9" t="s">
        <v>13284</v>
      </c>
      <c r="D1364" s="9" t="s">
        <v>13284</v>
      </c>
      <c r="E1364" s="9" t="s">
        <v>13284</v>
      </c>
      <c r="F1364" s="9" t="s">
        <v>13284</v>
      </c>
      <c r="G1364" s="9" t="s">
        <v>13284</v>
      </c>
      <c r="H1364" s="9" t="s">
        <v>13284</v>
      </c>
      <c r="I1364" s="9" t="s">
        <v>13284</v>
      </c>
      <c r="J1364" s="9" t="s">
        <v>13284</v>
      </c>
      <c r="K1364" s="9" t="s">
        <v>13284</v>
      </c>
      <c r="L1364" s="9" t="s">
        <v>13284</v>
      </c>
      <c r="M1364" s="9" t="s">
        <v>13284</v>
      </c>
      <c r="N1364" s="9" t="s">
        <v>13284</v>
      </c>
      <c r="O1364" s="9" t="s">
        <v>13284</v>
      </c>
      <c r="P1364" s="9" t="s">
        <v>13284</v>
      </c>
      <c r="Q1364" s="9" t="s">
        <v>13284</v>
      </c>
      <c r="R1364" s="9" t="s">
        <v>13284</v>
      </c>
      <c r="S1364" s="9" t="s">
        <v>13284</v>
      </c>
      <c r="T1364" s="9" t="str">
        <f ca="1">IFERROR(IF(AND(VLOOKUP(A1364, 'Актуальное состояние (из общего'!A:C,3,0) = "", A1364 &lt;&gt; ""), "ПРОВЕРИТЬ", VLOOKUP(A1364, 'Актуальное состояние (из общего'!A:C,3,0)), "")</f>
        <v>Студент</v>
      </c>
      <c r="U1364" s="9" t="s">
        <v>13284</v>
      </c>
      <c r="V1364" s="9" t="s">
        <v>13284</v>
      </c>
      <c r="W1364" s="12"/>
      <c r="X1364" s="9" t="str">
        <f t="array" ref="X1364">IFERROR(INDEX('Адреса общежитий (скрытый)'!$B$2:$B$9, MATCH(W1364, 'Адреса общежитий (скрытый)'!$A$2:$A$9, 0)), "")</f>
        <v/>
      </c>
      <c r="Y1364" s="18"/>
      <c r="Z1364" s="18"/>
      <c r="AA1364" s="18"/>
      <c r="AB1364" s="18"/>
      <c r="AC1364" s="18"/>
    </row>
    <row r="1365" spans="1:29" ht="32.25" hidden="1" customHeight="1">
      <c r="A1365" s="8">
        <v>2308817</v>
      </c>
      <c r="B1365" s="9" t="s">
        <v>13284</v>
      </c>
      <c r="C1365" s="9" t="s">
        <v>13284</v>
      </c>
      <c r="D1365" s="9" t="s">
        <v>13284</v>
      </c>
      <c r="E1365" s="9" t="s">
        <v>13284</v>
      </c>
      <c r="F1365" s="9" t="s">
        <v>13284</v>
      </c>
      <c r="G1365" s="9" t="s">
        <v>13284</v>
      </c>
      <c r="H1365" s="9" t="s">
        <v>13284</v>
      </c>
      <c r="I1365" s="9" t="s">
        <v>13284</v>
      </c>
      <c r="J1365" s="9" t="s">
        <v>13284</v>
      </c>
      <c r="K1365" s="9" t="s">
        <v>13284</v>
      </c>
      <c r="L1365" s="9" t="s">
        <v>13284</v>
      </c>
      <c r="M1365" s="9" t="s">
        <v>13284</v>
      </c>
      <c r="N1365" s="9" t="s">
        <v>13284</v>
      </c>
      <c r="O1365" s="9" t="s">
        <v>13284</v>
      </c>
      <c r="P1365" s="9" t="s">
        <v>13284</v>
      </c>
      <c r="Q1365" s="9" t="s">
        <v>13284</v>
      </c>
      <c r="R1365" s="9" t="s">
        <v>13284</v>
      </c>
      <c r="S1365" s="9" t="s">
        <v>13284</v>
      </c>
      <c r="T1365" s="9" t="str">
        <f ca="1">IFERROR(IF(AND(VLOOKUP(A1365, 'Актуальное состояние (из общего'!A:C,3,0) = "", A1365 &lt;&gt; ""), "ПРОВЕРИТЬ", VLOOKUP(A1365, 'Актуальное состояние (из общего'!A:C,3,0)), "")</f>
        <v>Студент</v>
      </c>
      <c r="U1365" s="9" t="s">
        <v>13284</v>
      </c>
      <c r="V1365" s="9" t="s">
        <v>13284</v>
      </c>
      <c r="W1365" s="12"/>
      <c r="X1365" s="9" t="str">
        <f t="array" ref="X1365">IFERROR(INDEX('Адреса общежитий (скрытый)'!$B$2:$B$9, MATCH(W1365, 'Адреса общежитий (скрытый)'!$A$2:$A$9, 0)), "")</f>
        <v/>
      </c>
      <c r="Y1365" s="18"/>
      <c r="Z1365" s="18"/>
      <c r="AA1365" s="18"/>
      <c r="AB1365" s="18"/>
      <c r="AC1365" s="18"/>
    </row>
    <row r="1366" spans="1:29" ht="32.25" hidden="1" customHeight="1">
      <c r="A1366" s="8">
        <v>2303238</v>
      </c>
      <c r="B1366" s="9" t="s">
        <v>13284</v>
      </c>
      <c r="C1366" s="9" t="s">
        <v>13284</v>
      </c>
      <c r="D1366" s="9" t="s">
        <v>13284</v>
      </c>
      <c r="E1366" s="9" t="s">
        <v>13284</v>
      </c>
      <c r="F1366" s="9" t="s">
        <v>13284</v>
      </c>
      <c r="G1366" s="9" t="s">
        <v>13284</v>
      </c>
      <c r="H1366" s="9" t="s">
        <v>13284</v>
      </c>
      <c r="I1366" s="9" t="s">
        <v>13284</v>
      </c>
      <c r="J1366" s="9" t="s">
        <v>13284</v>
      </c>
      <c r="K1366" s="9" t="s">
        <v>13284</v>
      </c>
      <c r="L1366" s="9" t="s">
        <v>13284</v>
      </c>
      <c r="M1366" s="9" t="s">
        <v>13284</v>
      </c>
      <c r="N1366" s="9" t="s">
        <v>13284</v>
      </c>
      <c r="O1366" s="9" t="s">
        <v>13284</v>
      </c>
      <c r="P1366" s="9" t="s">
        <v>13284</v>
      </c>
      <c r="Q1366" s="9" t="s">
        <v>13284</v>
      </c>
      <c r="R1366" s="9" t="s">
        <v>13284</v>
      </c>
      <c r="S1366" s="9" t="s">
        <v>13284</v>
      </c>
      <c r="T1366" s="9" t="str">
        <f ca="1">IFERROR(IF(AND(VLOOKUP(A1366, 'Актуальное состояние (из общего'!A:C,3,0) = "", A1366 &lt;&gt; ""), "ПРОВЕРИТЬ", VLOOKUP(A1366, 'Актуальное состояние (из общего'!A:C,3,0)), "")</f>
        <v>Студент</v>
      </c>
      <c r="U1366" s="9" t="s">
        <v>13284</v>
      </c>
      <c r="V1366" s="9" t="s">
        <v>13284</v>
      </c>
      <c r="W1366" s="12"/>
      <c r="X1366" s="9" t="str">
        <f t="array" ref="X1366">IFERROR(INDEX('Адреса общежитий (скрытый)'!$B$2:$B$9, MATCH(W1366, 'Адреса общежитий (скрытый)'!$A$2:$A$9, 0)), "")</f>
        <v/>
      </c>
      <c r="Y1366" s="18"/>
      <c r="Z1366" s="18"/>
      <c r="AA1366" s="18"/>
      <c r="AB1366" s="18"/>
      <c r="AC1366" s="18"/>
    </row>
    <row r="1367" spans="1:29" ht="32.25" hidden="1" customHeight="1">
      <c r="A1367" s="8">
        <v>2301256</v>
      </c>
      <c r="B1367" s="9" t="s">
        <v>13284</v>
      </c>
      <c r="C1367" s="9" t="s">
        <v>13284</v>
      </c>
      <c r="D1367" s="9" t="s">
        <v>13284</v>
      </c>
      <c r="E1367" s="9" t="s">
        <v>13284</v>
      </c>
      <c r="F1367" s="9" t="s">
        <v>13284</v>
      </c>
      <c r="G1367" s="9" t="s">
        <v>13284</v>
      </c>
      <c r="H1367" s="9" t="s">
        <v>13284</v>
      </c>
      <c r="I1367" s="9" t="s">
        <v>13284</v>
      </c>
      <c r="J1367" s="9" t="s">
        <v>13284</v>
      </c>
      <c r="K1367" s="9" t="s">
        <v>13284</v>
      </c>
      <c r="L1367" s="9" t="s">
        <v>13284</v>
      </c>
      <c r="M1367" s="9" t="s">
        <v>13284</v>
      </c>
      <c r="N1367" s="9" t="s">
        <v>13284</v>
      </c>
      <c r="O1367" s="9" t="s">
        <v>13284</v>
      </c>
      <c r="P1367" s="9" t="s">
        <v>13284</v>
      </c>
      <c r="Q1367" s="9" t="s">
        <v>13284</v>
      </c>
      <c r="R1367" s="9" t="s">
        <v>13284</v>
      </c>
      <c r="S1367" s="9" t="s">
        <v>13284</v>
      </c>
      <c r="T1367" s="9" t="str">
        <f ca="1">IFERROR(IF(AND(VLOOKUP(A1367, 'Актуальное состояние (из общего'!A:C,3,0) = "", A1367 &lt;&gt; ""), "ПРОВЕРИТЬ", VLOOKUP(A1367, 'Актуальное состояние (из общего'!A:C,3,0)), "")</f>
        <v>Студент</v>
      </c>
      <c r="U1367" s="9" t="s">
        <v>13284</v>
      </c>
      <c r="V1367" s="9" t="s">
        <v>13284</v>
      </c>
      <c r="W1367" s="12"/>
      <c r="X1367" s="9" t="str">
        <f t="array" ref="X1367">IFERROR(INDEX('Адреса общежитий (скрытый)'!$B$2:$B$9, MATCH(W1367, 'Адреса общежитий (скрытый)'!$A$2:$A$9, 0)), "")</f>
        <v/>
      </c>
      <c r="Y1367" s="18"/>
      <c r="Z1367" s="18"/>
      <c r="AA1367" s="18"/>
      <c r="AB1367" s="18"/>
      <c r="AC1367" s="18"/>
    </row>
    <row r="1368" spans="1:29" ht="32.25" hidden="1" customHeight="1">
      <c r="A1368" s="8">
        <v>2304590</v>
      </c>
      <c r="B1368" s="9" t="s">
        <v>13284</v>
      </c>
      <c r="C1368" s="9" t="s">
        <v>13284</v>
      </c>
      <c r="D1368" s="9" t="s">
        <v>13284</v>
      </c>
      <c r="E1368" s="9" t="s">
        <v>13284</v>
      </c>
      <c r="F1368" s="9" t="s">
        <v>13284</v>
      </c>
      <c r="G1368" s="9" t="s">
        <v>13284</v>
      </c>
      <c r="H1368" s="9" t="s">
        <v>13284</v>
      </c>
      <c r="I1368" s="9" t="s">
        <v>13284</v>
      </c>
      <c r="J1368" s="9" t="s">
        <v>13284</v>
      </c>
      <c r="K1368" s="9" t="s">
        <v>13284</v>
      </c>
      <c r="L1368" s="9" t="s">
        <v>13284</v>
      </c>
      <c r="M1368" s="9" t="s">
        <v>13284</v>
      </c>
      <c r="N1368" s="9" t="s">
        <v>13284</v>
      </c>
      <c r="O1368" s="9" t="s">
        <v>13284</v>
      </c>
      <c r="P1368" s="9" t="s">
        <v>13284</v>
      </c>
      <c r="Q1368" s="9" t="s">
        <v>13284</v>
      </c>
      <c r="R1368" s="9" t="s">
        <v>13284</v>
      </c>
      <c r="S1368" s="9" t="s">
        <v>13284</v>
      </c>
      <c r="T1368" s="9" t="str">
        <f ca="1">IFERROR(IF(AND(VLOOKUP(A1368, 'Актуальное состояние (из общего'!A:C,3,0) = "", A1368 &lt;&gt; ""), "ПРОВЕРИТЬ", VLOOKUP(A1368, 'Актуальное состояние (из общего'!A:C,3,0)), "")</f>
        <v>Студент</v>
      </c>
      <c r="U1368" s="9" t="s">
        <v>13284</v>
      </c>
      <c r="V1368" s="9" t="s">
        <v>13284</v>
      </c>
      <c r="W1368" s="12"/>
      <c r="X1368" s="9" t="str">
        <f t="array" ref="X1368">IFERROR(INDEX('Адреса общежитий (скрытый)'!$B$2:$B$9, MATCH(W1368, 'Адреса общежитий (скрытый)'!$A$2:$A$9, 0)), "")</f>
        <v/>
      </c>
      <c r="Y1368" s="18"/>
      <c r="Z1368" s="18"/>
      <c r="AA1368" s="18"/>
      <c r="AB1368" s="18"/>
      <c r="AC1368" s="18"/>
    </row>
    <row r="1369" spans="1:29" ht="32.25" hidden="1" customHeight="1">
      <c r="A1369" s="8">
        <v>2303372</v>
      </c>
      <c r="B1369" s="9" t="s">
        <v>13284</v>
      </c>
      <c r="C1369" s="9" t="s">
        <v>13284</v>
      </c>
      <c r="D1369" s="9" t="s">
        <v>13284</v>
      </c>
      <c r="E1369" s="9" t="s">
        <v>13284</v>
      </c>
      <c r="F1369" s="9" t="s">
        <v>13284</v>
      </c>
      <c r="G1369" s="9" t="s">
        <v>13284</v>
      </c>
      <c r="H1369" s="9" t="s">
        <v>13284</v>
      </c>
      <c r="I1369" s="9" t="s">
        <v>13284</v>
      </c>
      <c r="J1369" s="9" t="s">
        <v>13284</v>
      </c>
      <c r="K1369" s="9" t="s">
        <v>13284</v>
      </c>
      <c r="L1369" s="9" t="s">
        <v>13284</v>
      </c>
      <c r="M1369" s="9" t="s">
        <v>13284</v>
      </c>
      <c r="N1369" s="9" t="s">
        <v>13284</v>
      </c>
      <c r="O1369" s="9" t="s">
        <v>13284</v>
      </c>
      <c r="P1369" s="9" t="s">
        <v>13284</v>
      </c>
      <c r="Q1369" s="9" t="s">
        <v>13284</v>
      </c>
      <c r="R1369" s="9" t="s">
        <v>13284</v>
      </c>
      <c r="S1369" s="9" t="s">
        <v>13284</v>
      </c>
      <c r="T1369" s="9" t="str">
        <f ca="1">IFERROR(IF(AND(VLOOKUP(A1369, 'Актуальное состояние (из общего'!A:C,3,0) = "", A1369 &lt;&gt; ""), "ПРОВЕРИТЬ", VLOOKUP(A1369, 'Актуальное состояние (из общего'!A:C,3,0)), "")</f>
        <v>Студент</v>
      </c>
      <c r="U1369" s="9" t="s">
        <v>13284</v>
      </c>
      <c r="V1369" s="9" t="s">
        <v>13284</v>
      </c>
      <c r="W1369" s="12"/>
      <c r="X1369" s="9" t="str">
        <f t="array" ref="X1369">IFERROR(INDEX('Адреса общежитий (скрытый)'!$B$2:$B$9, MATCH(W1369, 'Адреса общежитий (скрытый)'!$A$2:$A$9, 0)), "")</f>
        <v/>
      </c>
      <c r="Y1369" s="18"/>
      <c r="Z1369" s="18"/>
      <c r="AA1369" s="18"/>
      <c r="AB1369" s="18"/>
      <c r="AC1369" s="18"/>
    </row>
    <row r="1370" spans="1:29" ht="32.25" hidden="1" customHeight="1">
      <c r="A1370" s="8">
        <v>2306255</v>
      </c>
      <c r="B1370" s="9" t="s">
        <v>13284</v>
      </c>
      <c r="C1370" s="9" t="s">
        <v>13284</v>
      </c>
      <c r="D1370" s="9" t="s">
        <v>13284</v>
      </c>
      <c r="E1370" s="9" t="s">
        <v>13284</v>
      </c>
      <c r="F1370" s="9" t="s">
        <v>13284</v>
      </c>
      <c r="G1370" s="9" t="s">
        <v>13284</v>
      </c>
      <c r="H1370" s="9" t="s">
        <v>13284</v>
      </c>
      <c r="I1370" s="9" t="s">
        <v>13284</v>
      </c>
      <c r="J1370" s="9" t="s">
        <v>13284</v>
      </c>
      <c r="K1370" s="9" t="s">
        <v>13284</v>
      </c>
      <c r="L1370" s="9" t="s">
        <v>13284</v>
      </c>
      <c r="M1370" s="9" t="s">
        <v>13284</v>
      </c>
      <c r="N1370" s="9" t="s">
        <v>13284</v>
      </c>
      <c r="O1370" s="9" t="s">
        <v>13284</v>
      </c>
      <c r="P1370" s="9" t="s">
        <v>13284</v>
      </c>
      <c r="Q1370" s="9" t="s">
        <v>13284</v>
      </c>
      <c r="R1370" s="9" t="s">
        <v>13284</v>
      </c>
      <c r="S1370" s="9" t="s">
        <v>13284</v>
      </c>
      <c r="T1370" s="9" t="str">
        <f ca="1">IFERROR(IF(AND(VLOOKUP(A1370, 'Актуальное состояние (из общего'!A:C,3,0) = "", A1370 &lt;&gt; ""), "ПРОВЕРИТЬ", VLOOKUP(A1370, 'Актуальное состояние (из общего'!A:C,3,0)), "")</f>
        <v>Студент</v>
      </c>
      <c r="U1370" s="9" t="s">
        <v>13284</v>
      </c>
      <c r="V1370" s="9" t="s">
        <v>13284</v>
      </c>
      <c r="W1370" s="12"/>
      <c r="X1370" s="9" t="str">
        <f t="array" ref="X1370">IFERROR(INDEX('Адреса общежитий (скрытый)'!$B$2:$B$9, MATCH(W1370, 'Адреса общежитий (скрытый)'!$A$2:$A$9, 0)), "")</f>
        <v/>
      </c>
      <c r="Y1370" s="18"/>
      <c r="Z1370" s="18"/>
      <c r="AA1370" s="18"/>
      <c r="AB1370" s="18"/>
      <c r="AC1370" s="18"/>
    </row>
    <row r="1371" spans="1:29" ht="32.25" hidden="1" customHeight="1">
      <c r="A1371" s="8">
        <v>2303178</v>
      </c>
      <c r="B1371" s="9" t="s">
        <v>13284</v>
      </c>
      <c r="C1371" s="9" t="s">
        <v>13284</v>
      </c>
      <c r="D1371" s="9" t="s">
        <v>13284</v>
      </c>
      <c r="E1371" s="9" t="s">
        <v>13284</v>
      </c>
      <c r="F1371" s="9" t="s">
        <v>13284</v>
      </c>
      <c r="G1371" s="9" t="s">
        <v>13284</v>
      </c>
      <c r="H1371" s="9" t="s">
        <v>13284</v>
      </c>
      <c r="I1371" s="9" t="s">
        <v>13284</v>
      </c>
      <c r="J1371" s="9" t="s">
        <v>13284</v>
      </c>
      <c r="K1371" s="9" t="s">
        <v>13284</v>
      </c>
      <c r="L1371" s="9" t="s">
        <v>13284</v>
      </c>
      <c r="M1371" s="9" t="s">
        <v>13284</v>
      </c>
      <c r="N1371" s="9" t="s">
        <v>13284</v>
      </c>
      <c r="O1371" s="9" t="s">
        <v>13284</v>
      </c>
      <c r="P1371" s="9" t="s">
        <v>13284</v>
      </c>
      <c r="Q1371" s="9" t="s">
        <v>13284</v>
      </c>
      <c r="R1371" s="9" t="s">
        <v>13284</v>
      </c>
      <c r="S1371" s="9" t="s">
        <v>13284</v>
      </c>
      <c r="T1371" s="9" t="str">
        <f ca="1">IFERROR(IF(AND(VLOOKUP(A1371, 'Актуальное состояние (из общего'!A:C,3,0) = "", A1371 &lt;&gt; ""), "ПРОВЕРИТЬ", VLOOKUP(A1371, 'Актуальное состояние (из общего'!A:C,3,0)), "")</f>
        <v>Студент</v>
      </c>
      <c r="U1371" s="9" t="s">
        <v>13284</v>
      </c>
      <c r="V1371" s="9" t="s">
        <v>13284</v>
      </c>
      <c r="W1371" s="12"/>
      <c r="X1371" s="9" t="str">
        <f t="array" ref="X1371">IFERROR(INDEX('Адреса общежитий (скрытый)'!$B$2:$B$9, MATCH(W1371, 'Адреса общежитий (скрытый)'!$A$2:$A$9, 0)), "")</f>
        <v/>
      </c>
      <c r="Y1371" s="18"/>
      <c r="Z1371" s="18"/>
      <c r="AA1371" s="18"/>
      <c r="AB1371" s="18"/>
      <c r="AC1371" s="18"/>
    </row>
    <row r="1372" spans="1:29" ht="32.25" hidden="1" customHeight="1">
      <c r="A1372" s="8">
        <v>2303320</v>
      </c>
      <c r="B1372" s="9" t="s">
        <v>13284</v>
      </c>
      <c r="C1372" s="9" t="s">
        <v>13284</v>
      </c>
      <c r="D1372" s="9" t="s">
        <v>13284</v>
      </c>
      <c r="E1372" s="9" t="s">
        <v>13284</v>
      </c>
      <c r="F1372" s="9" t="s">
        <v>13284</v>
      </c>
      <c r="G1372" s="9" t="s">
        <v>13284</v>
      </c>
      <c r="H1372" s="9" t="s">
        <v>13284</v>
      </c>
      <c r="I1372" s="9" t="s">
        <v>13284</v>
      </c>
      <c r="J1372" s="9" t="s">
        <v>13284</v>
      </c>
      <c r="K1372" s="9" t="s">
        <v>13284</v>
      </c>
      <c r="L1372" s="9" t="s">
        <v>13284</v>
      </c>
      <c r="M1372" s="9" t="s">
        <v>13284</v>
      </c>
      <c r="N1372" s="9" t="s">
        <v>13284</v>
      </c>
      <c r="O1372" s="9" t="s">
        <v>13284</v>
      </c>
      <c r="P1372" s="9" t="s">
        <v>13284</v>
      </c>
      <c r="Q1372" s="9" t="s">
        <v>13284</v>
      </c>
      <c r="R1372" s="9" t="s">
        <v>13284</v>
      </c>
      <c r="S1372" s="9" t="s">
        <v>13284</v>
      </c>
      <c r="T1372" s="9" t="str">
        <f ca="1">IFERROR(IF(AND(VLOOKUP(A1372, 'Актуальное состояние (из общего'!A:C,3,0) = "", A1372 &lt;&gt; ""), "ПРОВЕРИТЬ", VLOOKUP(A1372, 'Актуальное состояние (из общего'!A:C,3,0)), "")</f>
        <v>Студент</v>
      </c>
      <c r="U1372" s="9" t="s">
        <v>13284</v>
      </c>
      <c r="V1372" s="9" t="s">
        <v>13284</v>
      </c>
      <c r="W1372" s="12"/>
      <c r="X1372" s="9" t="str">
        <f t="array" ref="X1372">IFERROR(INDEX('Адреса общежитий (скрытый)'!$B$2:$B$9, MATCH(W1372, 'Адреса общежитий (скрытый)'!$A$2:$A$9, 0)), "")</f>
        <v/>
      </c>
      <c r="Y1372" s="18"/>
      <c r="Z1372" s="18"/>
      <c r="AA1372" s="18"/>
      <c r="AB1372" s="18"/>
      <c r="AC1372" s="18"/>
    </row>
    <row r="1373" spans="1:29" ht="32.25" hidden="1" customHeight="1">
      <c r="A1373" s="8">
        <v>2304612</v>
      </c>
      <c r="B1373" s="9" t="s">
        <v>13284</v>
      </c>
      <c r="C1373" s="9" t="s">
        <v>13284</v>
      </c>
      <c r="D1373" s="9" t="s">
        <v>13284</v>
      </c>
      <c r="E1373" s="9" t="s">
        <v>13284</v>
      </c>
      <c r="F1373" s="9" t="s">
        <v>13284</v>
      </c>
      <c r="G1373" s="9" t="s">
        <v>13284</v>
      </c>
      <c r="H1373" s="9" t="s">
        <v>13284</v>
      </c>
      <c r="I1373" s="9" t="s">
        <v>13284</v>
      </c>
      <c r="J1373" s="9" t="s">
        <v>13284</v>
      </c>
      <c r="K1373" s="9" t="s">
        <v>13284</v>
      </c>
      <c r="L1373" s="9" t="s">
        <v>13284</v>
      </c>
      <c r="M1373" s="9" t="s">
        <v>13284</v>
      </c>
      <c r="N1373" s="9" t="s">
        <v>13284</v>
      </c>
      <c r="O1373" s="9" t="s">
        <v>13284</v>
      </c>
      <c r="P1373" s="9" t="s">
        <v>13284</v>
      </c>
      <c r="Q1373" s="9" t="s">
        <v>13284</v>
      </c>
      <c r="R1373" s="9" t="s">
        <v>13284</v>
      </c>
      <c r="S1373" s="9" t="s">
        <v>13284</v>
      </c>
      <c r="T1373" s="9" t="str">
        <f ca="1">IFERROR(IF(AND(VLOOKUP(A1373, 'Актуальное состояние (из общего'!A:C,3,0) = "", A1373 &lt;&gt; ""), "ПРОВЕРИТЬ", VLOOKUP(A1373, 'Актуальное состояние (из общего'!A:C,3,0)), "")</f>
        <v>Студент</v>
      </c>
      <c r="U1373" s="9" t="s">
        <v>13284</v>
      </c>
      <c r="V1373" s="9" t="s">
        <v>13284</v>
      </c>
      <c r="W1373" s="12"/>
      <c r="X1373" s="9" t="str">
        <f t="array" ref="X1373">IFERROR(INDEX('Адреса общежитий (скрытый)'!$B$2:$B$9, MATCH(W1373, 'Адреса общежитий (скрытый)'!$A$2:$A$9, 0)), "")</f>
        <v/>
      </c>
      <c r="Y1373" s="18"/>
      <c r="Z1373" s="18"/>
      <c r="AA1373" s="18"/>
      <c r="AB1373" s="18"/>
      <c r="AC1373" s="18"/>
    </row>
    <row r="1374" spans="1:29" ht="32.25" hidden="1" customHeight="1">
      <c r="A1374" s="8">
        <v>2309362</v>
      </c>
      <c r="B1374" s="9" t="s">
        <v>13284</v>
      </c>
      <c r="C1374" s="9" t="s">
        <v>13284</v>
      </c>
      <c r="D1374" s="9" t="s">
        <v>13284</v>
      </c>
      <c r="E1374" s="9" t="s">
        <v>13284</v>
      </c>
      <c r="F1374" s="9" t="s">
        <v>13284</v>
      </c>
      <c r="G1374" s="9" t="s">
        <v>13284</v>
      </c>
      <c r="H1374" s="9" t="s">
        <v>13284</v>
      </c>
      <c r="I1374" s="9" t="s">
        <v>13284</v>
      </c>
      <c r="J1374" s="9" t="s">
        <v>13284</v>
      </c>
      <c r="K1374" s="9" t="s">
        <v>13284</v>
      </c>
      <c r="L1374" s="9" t="s">
        <v>13284</v>
      </c>
      <c r="M1374" s="9" t="s">
        <v>13284</v>
      </c>
      <c r="N1374" s="9" t="s">
        <v>13284</v>
      </c>
      <c r="O1374" s="9" t="s">
        <v>13284</v>
      </c>
      <c r="P1374" s="9" t="s">
        <v>13284</v>
      </c>
      <c r="Q1374" s="9" t="s">
        <v>13284</v>
      </c>
      <c r="R1374" s="9" t="s">
        <v>13284</v>
      </c>
      <c r="S1374" s="9" t="s">
        <v>13284</v>
      </c>
      <c r="T1374" s="9" t="str">
        <f ca="1">IFERROR(IF(AND(VLOOKUP(A1374, 'Актуальное состояние (из общего'!A:C,3,0) = "", A1374 &lt;&gt; ""), "ПРОВЕРИТЬ", VLOOKUP(A1374, 'Актуальное состояние (из общего'!A:C,3,0)), "")</f>
        <v>Студент</v>
      </c>
      <c r="U1374" s="9" t="s">
        <v>13284</v>
      </c>
      <c r="V1374" s="9" t="s">
        <v>13284</v>
      </c>
      <c r="W1374" s="12"/>
      <c r="X1374" s="9" t="str">
        <f t="array" ref="X1374">IFERROR(INDEX('Адреса общежитий (скрытый)'!$B$2:$B$9, MATCH(W1374, 'Адреса общежитий (скрытый)'!$A$2:$A$9, 0)), "")</f>
        <v/>
      </c>
      <c r="Y1374" s="18"/>
      <c r="Z1374" s="18"/>
      <c r="AA1374" s="18"/>
      <c r="AB1374" s="18"/>
      <c r="AC1374" s="18"/>
    </row>
    <row r="1375" spans="1:29" ht="32.25" customHeight="1">
      <c r="A1375" s="8">
        <v>2302025</v>
      </c>
      <c r="B1375" s="9" t="s">
        <v>13284</v>
      </c>
      <c r="C1375" s="9" t="s">
        <v>13284</v>
      </c>
      <c r="D1375" s="9" t="s">
        <v>13284</v>
      </c>
      <c r="E1375" s="9" t="s">
        <v>13284</v>
      </c>
      <c r="F1375" s="9" t="s">
        <v>13284</v>
      </c>
      <c r="G1375" s="9" t="s">
        <v>13284</v>
      </c>
      <c r="H1375" s="9" t="s">
        <v>13284</v>
      </c>
      <c r="I1375" s="9" t="s">
        <v>13284</v>
      </c>
      <c r="J1375" s="9" t="s">
        <v>13284</v>
      </c>
      <c r="K1375" s="9" t="s">
        <v>13284</v>
      </c>
      <c r="L1375" s="9" t="s">
        <v>13284</v>
      </c>
      <c r="M1375" s="9" t="s">
        <v>13284</v>
      </c>
      <c r="N1375" s="9" t="s">
        <v>13284</v>
      </c>
      <c r="O1375" s="9" t="s">
        <v>13284</v>
      </c>
      <c r="P1375" s="9" t="s">
        <v>13284</v>
      </c>
      <c r="Q1375" s="9" t="s">
        <v>13284</v>
      </c>
      <c r="R1375" s="9" t="s">
        <v>13284</v>
      </c>
      <c r="S1375" s="9" t="s">
        <v>13284</v>
      </c>
      <c r="T1375" s="9" t="str">
        <f ca="1">IFERROR(IF(AND(VLOOKUP(A1375, 'Актуальное состояние (из общего'!A:C,3,0) = "", A1375 &lt;&gt; ""), "ПРОВЕРИТЬ", VLOOKUP(A1375, 'Актуальное состояние (из общего'!A:C,3,0)), "")</f>
        <v>Студент</v>
      </c>
      <c r="U1375" s="9" t="s">
        <v>13284</v>
      </c>
      <c r="V1375" s="9" t="s">
        <v>13284</v>
      </c>
      <c r="W1375" s="12"/>
      <c r="X1375" s="9" t="str">
        <f t="array" ref="X1375">IFERROR(INDEX('Адреса общежитий (скрытый)'!$B$2:$B$9, MATCH(W1375, 'Адреса общежитий (скрытый)'!$A$2:$A$9, 0)), "")</f>
        <v/>
      </c>
      <c r="Y1375" s="18"/>
      <c r="Z1375" s="18"/>
      <c r="AA1375" s="18"/>
      <c r="AB1375" s="18"/>
      <c r="AC1375" s="18"/>
    </row>
    <row r="1376" spans="1:29" ht="32.25" hidden="1" customHeight="1">
      <c r="A1376" s="8">
        <v>2303163</v>
      </c>
      <c r="B1376" s="9" t="s">
        <v>13284</v>
      </c>
      <c r="C1376" s="9" t="s">
        <v>13284</v>
      </c>
      <c r="D1376" s="9" t="s">
        <v>13284</v>
      </c>
      <c r="E1376" s="9" t="s">
        <v>13284</v>
      </c>
      <c r="F1376" s="9" t="s">
        <v>13284</v>
      </c>
      <c r="G1376" s="9" t="s">
        <v>13284</v>
      </c>
      <c r="H1376" s="9" t="s">
        <v>13284</v>
      </c>
      <c r="I1376" s="9" t="s">
        <v>13284</v>
      </c>
      <c r="J1376" s="9" t="s">
        <v>13284</v>
      </c>
      <c r="K1376" s="9" t="s">
        <v>13284</v>
      </c>
      <c r="L1376" s="9" t="s">
        <v>13284</v>
      </c>
      <c r="M1376" s="9" t="s">
        <v>13284</v>
      </c>
      <c r="N1376" s="9" t="s">
        <v>13284</v>
      </c>
      <c r="O1376" s="9" t="s">
        <v>13284</v>
      </c>
      <c r="P1376" s="9" t="s">
        <v>13284</v>
      </c>
      <c r="Q1376" s="9" t="s">
        <v>13284</v>
      </c>
      <c r="R1376" s="9" t="s">
        <v>13284</v>
      </c>
      <c r="S1376" s="9" t="s">
        <v>13284</v>
      </c>
      <c r="T1376" s="9" t="str">
        <f ca="1">IFERROR(IF(AND(VLOOKUP(A1376, 'Актуальное состояние (из общего'!A:C,3,0) = "", A1376 &lt;&gt; ""), "ПРОВЕРИТЬ", VLOOKUP(A1376, 'Актуальное состояние (из общего'!A:C,3,0)), "")</f>
        <v>Студент</v>
      </c>
      <c r="U1376" s="9" t="s">
        <v>13284</v>
      </c>
      <c r="V1376" s="9" t="s">
        <v>13284</v>
      </c>
      <c r="W1376" s="12"/>
      <c r="X1376" s="9" t="str">
        <f t="array" ref="X1376">IFERROR(INDEX('Адреса общежитий (скрытый)'!$B$2:$B$9, MATCH(W1376, 'Адреса общежитий (скрытый)'!$A$2:$A$9, 0)), "")</f>
        <v/>
      </c>
      <c r="Y1376" s="18"/>
      <c r="Z1376" s="18"/>
      <c r="AA1376" s="18"/>
      <c r="AB1376" s="18"/>
      <c r="AC1376" s="18"/>
    </row>
    <row r="1377" spans="1:29" ht="32.25" hidden="1" customHeight="1">
      <c r="A1377" s="8">
        <v>2314233</v>
      </c>
      <c r="B1377" s="9" t="s">
        <v>13284</v>
      </c>
      <c r="C1377" s="9" t="s">
        <v>13284</v>
      </c>
      <c r="D1377" s="9" t="s">
        <v>13284</v>
      </c>
      <c r="E1377" s="9" t="s">
        <v>13284</v>
      </c>
      <c r="F1377" s="9" t="s">
        <v>13284</v>
      </c>
      <c r="G1377" s="9" t="s">
        <v>13284</v>
      </c>
      <c r="H1377" s="9" t="s">
        <v>13284</v>
      </c>
      <c r="I1377" s="9" t="s">
        <v>13284</v>
      </c>
      <c r="J1377" s="9" t="s">
        <v>13284</v>
      </c>
      <c r="K1377" s="9" t="s">
        <v>13284</v>
      </c>
      <c r="L1377" s="9" t="s">
        <v>13284</v>
      </c>
      <c r="M1377" s="9" t="s">
        <v>13284</v>
      </c>
      <c r="N1377" s="9" t="s">
        <v>13284</v>
      </c>
      <c r="O1377" s="9" t="s">
        <v>13284</v>
      </c>
      <c r="P1377" s="9" t="s">
        <v>13284</v>
      </c>
      <c r="Q1377" s="9" t="s">
        <v>13284</v>
      </c>
      <c r="R1377" s="9" t="s">
        <v>13284</v>
      </c>
      <c r="S1377" s="9" t="s">
        <v>13284</v>
      </c>
      <c r="T1377" s="9" t="str">
        <f ca="1">IFERROR(IF(AND(VLOOKUP(A1377, 'Актуальное состояние (из общего'!A:C,3,0) = "", A1377 &lt;&gt; ""), "ПРОВЕРИТЬ", VLOOKUP(A1377, 'Актуальное состояние (из общего'!A:C,3,0)), "")</f>
        <v>Студент</v>
      </c>
      <c r="U1377" s="9" t="s">
        <v>13284</v>
      </c>
      <c r="V1377" s="9" t="s">
        <v>13284</v>
      </c>
      <c r="W1377" s="12"/>
      <c r="X1377" s="9" t="str">
        <f t="array" ref="X1377">IFERROR(INDEX('Адреса общежитий (скрытый)'!$B$2:$B$9, MATCH(W1377, 'Адреса общежитий (скрытый)'!$A$2:$A$9, 0)), "")</f>
        <v/>
      </c>
      <c r="Y1377" s="18"/>
      <c r="Z1377" s="18"/>
      <c r="AA1377" s="18"/>
      <c r="AB1377" s="18"/>
      <c r="AC1377" s="18"/>
    </row>
    <row r="1378" spans="1:29" ht="32.25" customHeight="1">
      <c r="A1378" s="8">
        <v>2308878</v>
      </c>
      <c r="B1378" s="9" t="s">
        <v>13284</v>
      </c>
      <c r="C1378" s="9" t="s">
        <v>13284</v>
      </c>
      <c r="D1378" s="9" t="s">
        <v>13284</v>
      </c>
      <c r="E1378" s="9" t="s">
        <v>13284</v>
      </c>
      <c r="F1378" s="9" t="s">
        <v>13284</v>
      </c>
      <c r="G1378" s="9" t="s">
        <v>13284</v>
      </c>
      <c r="H1378" s="9" t="s">
        <v>13284</v>
      </c>
      <c r="I1378" s="9" t="s">
        <v>13284</v>
      </c>
      <c r="J1378" s="9" t="s">
        <v>13284</v>
      </c>
      <c r="K1378" s="9" t="s">
        <v>13284</v>
      </c>
      <c r="L1378" s="9" t="s">
        <v>13284</v>
      </c>
      <c r="M1378" s="9" t="s">
        <v>13284</v>
      </c>
      <c r="N1378" s="9" t="s">
        <v>13284</v>
      </c>
      <c r="O1378" s="9" t="s">
        <v>13284</v>
      </c>
      <c r="P1378" s="9" t="s">
        <v>13284</v>
      </c>
      <c r="Q1378" s="9" t="s">
        <v>13284</v>
      </c>
      <c r="R1378" s="9" t="s">
        <v>13284</v>
      </c>
      <c r="S1378" s="9" t="s">
        <v>13284</v>
      </c>
      <c r="T1378" s="9" t="str">
        <f ca="1">IFERROR(IF(AND(VLOOKUP(A1378, 'Актуальное состояние (из общего'!A:C,3,0) = "", A1378 &lt;&gt; ""), "ПРОВЕРИТЬ", VLOOKUP(A1378, 'Актуальное состояние (из общего'!A:C,3,0)), "")</f>
        <v>Студент</v>
      </c>
      <c r="U1378" s="9" t="s">
        <v>13284</v>
      </c>
      <c r="V1378" s="9" t="s">
        <v>13284</v>
      </c>
      <c r="W1378" s="12"/>
      <c r="X1378" s="9" t="str">
        <f t="array" ref="X1378">IFERROR(INDEX('Адреса общежитий (скрытый)'!$B$2:$B$9, MATCH(W1378, 'Адреса общежитий (скрытый)'!$A$2:$A$9, 0)), "")</f>
        <v/>
      </c>
      <c r="Y1378" s="18"/>
      <c r="Z1378" s="18"/>
      <c r="AA1378" s="18"/>
      <c r="AB1378" s="18"/>
      <c r="AC1378" s="18"/>
    </row>
    <row r="1379" spans="1:29" ht="32.25" hidden="1" customHeight="1">
      <c r="A1379" s="8">
        <v>2302215</v>
      </c>
      <c r="B1379" s="9" t="s">
        <v>13284</v>
      </c>
      <c r="C1379" s="9" t="s">
        <v>13284</v>
      </c>
      <c r="D1379" s="9" t="s">
        <v>13284</v>
      </c>
      <c r="E1379" s="9" t="s">
        <v>13284</v>
      </c>
      <c r="F1379" s="9" t="s">
        <v>13284</v>
      </c>
      <c r="G1379" s="9" t="s">
        <v>13284</v>
      </c>
      <c r="H1379" s="9" t="s">
        <v>13284</v>
      </c>
      <c r="I1379" s="9" t="s">
        <v>13284</v>
      </c>
      <c r="J1379" s="9" t="s">
        <v>13284</v>
      </c>
      <c r="K1379" s="9" t="s">
        <v>13284</v>
      </c>
      <c r="L1379" s="9" t="s">
        <v>13284</v>
      </c>
      <c r="M1379" s="9" t="s">
        <v>13284</v>
      </c>
      <c r="N1379" s="9" t="s">
        <v>13284</v>
      </c>
      <c r="O1379" s="9" t="s">
        <v>13284</v>
      </c>
      <c r="P1379" s="9" t="s">
        <v>13284</v>
      </c>
      <c r="Q1379" s="9" t="s">
        <v>13284</v>
      </c>
      <c r="R1379" s="9" t="s">
        <v>13284</v>
      </c>
      <c r="S1379" s="9" t="s">
        <v>13284</v>
      </c>
      <c r="T1379" s="9" t="str">
        <f ca="1">IFERROR(IF(AND(VLOOKUP(A1379, 'Актуальное состояние (из общего'!A:C,3,0) = "", A1379 &lt;&gt; ""), "ПРОВЕРИТЬ", VLOOKUP(A1379, 'Актуальное состояние (из общего'!A:C,3,0)), "")</f>
        <v>Студент</v>
      </c>
      <c r="U1379" s="9" t="s">
        <v>13284</v>
      </c>
      <c r="V1379" s="9" t="s">
        <v>13284</v>
      </c>
      <c r="W1379" s="12"/>
      <c r="X1379" s="9" t="str">
        <f t="array" ref="X1379">IFERROR(INDEX('Адреса общежитий (скрытый)'!$B$2:$B$9, MATCH(W1379, 'Адреса общежитий (скрытый)'!$A$2:$A$9, 0)), "")</f>
        <v/>
      </c>
      <c r="Y1379" s="18"/>
      <c r="Z1379" s="18"/>
      <c r="AA1379" s="18"/>
      <c r="AB1379" s="18"/>
      <c r="AC1379" s="18"/>
    </row>
    <row r="1380" spans="1:29" ht="32.25" customHeight="1">
      <c r="A1380" s="8">
        <v>2308278</v>
      </c>
      <c r="B1380" s="9" t="s">
        <v>13284</v>
      </c>
      <c r="C1380" s="9" t="s">
        <v>13284</v>
      </c>
      <c r="D1380" s="9" t="s">
        <v>13284</v>
      </c>
      <c r="E1380" s="9" t="s">
        <v>13284</v>
      </c>
      <c r="F1380" s="9" t="s">
        <v>13284</v>
      </c>
      <c r="G1380" s="9" t="s">
        <v>13284</v>
      </c>
      <c r="H1380" s="9" t="s">
        <v>13284</v>
      </c>
      <c r="I1380" s="9" t="s">
        <v>13284</v>
      </c>
      <c r="J1380" s="9" t="s">
        <v>13284</v>
      </c>
      <c r="K1380" s="9" t="s">
        <v>13284</v>
      </c>
      <c r="L1380" s="9" t="s">
        <v>13284</v>
      </c>
      <c r="M1380" s="9" t="s">
        <v>13284</v>
      </c>
      <c r="N1380" s="9" t="s">
        <v>13284</v>
      </c>
      <c r="O1380" s="9" t="s">
        <v>13284</v>
      </c>
      <c r="P1380" s="9" t="s">
        <v>13284</v>
      </c>
      <c r="Q1380" s="9" t="s">
        <v>13284</v>
      </c>
      <c r="R1380" s="9" t="s">
        <v>13284</v>
      </c>
      <c r="S1380" s="9" t="s">
        <v>13284</v>
      </c>
      <c r="T1380" s="9" t="str">
        <f ca="1">IFERROR(IF(AND(VLOOKUP(A1380, 'Актуальное состояние (из общего'!A:C,3,0) = "", A1380 &lt;&gt; ""), "ПРОВЕРИТЬ", VLOOKUP(A1380, 'Актуальное состояние (из общего'!A:C,3,0)), "")</f>
        <v>Студент</v>
      </c>
      <c r="U1380" s="9" t="s">
        <v>13284</v>
      </c>
      <c r="V1380" s="9" t="s">
        <v>13284</v>
      </c>
      <c r="W1380" s="12"/>
      <c r="X1380" s="9" t="str">
        <f t="array" ref="X1380">IFERROR(INDEX('Адреса общежитий (скрытый)'!$B$2:$B$9, MATCH(W1380, 'Адреса общежитий (скрытый)'!$A$2:$A$9, 0)), "")</f>
        <v/>
      </c>
      <c r="Y1380" s="18"/>
      <c r="Z1380" s="18"/>
      <c r="AA1380" s="18"/>
      <c r="AB1380" s="18"/>
      <c r="AC1380" s="18"/>
    </row>
    <row r="1381" spans="1:29" ht="32.25" hidden="1" customHeight="1">
      <c r="A1381" s="8">
        <v>2302093</v>
      </c>
      <c r="B1381" s="9" t="s">
        <v>13284</v>
      </c>
      <c r="C1381" s="9" t="s">
        <v>13284</v>
      </c>
      <c r="D1381" s="9" t="s">
        <v>13284</v>
      </c>
      <c r="E1381" s="9" t="s">
        <v>13284</v>
      </c>
      <c r="F1381" s="9" t="s">
        <v>13284</v>
      </c>
      <c r="G1381" s="9" t="s">
        <v>13284</v>
      </c>
      <c r="H1381" s="9" t="s">
        <v>13284</v>
      </c>
      <c r="I1381" s="9" t="s">
        <v>13284</v>
      </c>
      <c r="J1381" s="9" t="s">
        <v>13284</v>
      </c>
      <c r="K1381" s="9" t="s">
        <v>13284</v>
      </c>
      <c r="L1381" s="9" t="s">
        <v>13284</v>
      </c>
      <c r="M1381" s="9" t="s">
        <v>13284</v>
      </c>
      <c r="N1381" s="9" t="s">
        <v>13284</v>
      </c>
      <c r="O1381" s="9" t="s">
        <v>13284</v>
      </c>
      <c r="P1381" s="9" t="s">
        <v>13284</v>
      </c>
      <c r="Q1381" s="9" t="s">
        <v>13284</v>
      </c>
      <c r="R1381" s="9" t="s">
        <v>13284</v>
      </c>
      <c r="S1381" s="9" t="s">
        <v>13284</v>
      </c>
      <c r="T1381" s="9" t="str">
        <f ca="1">IFERROR(IF(AND(VLOOKUP(A1381, 'Актуальное состояние (из общего'!A:C,3,0) = "", A1381 &lt;&gt; ""), "ПРОВЕРИТЬ", VLOOKUP(A1381, 'Актуальное состояние (из общего'!A:C,3,0)), "")</f>
        <v>Студент</v>
      </c>
      <c r="U1381" s="9" t="s">
        <v>13284</v>
      </c>
      <c r="V1381" s="9" t="s">
        <v>13284</v>
      </c>
      <c r="W1381" s="12"/>
      <c r="X1381" s="9" t="str">
        <f t="array" ref="X1381">IFERROR(INDEX('Адреса общежитий (скрытый)'!$B$2:$B$9, MATCH(W1381, 'Адреса общежитий (скрытый)'!$A$2:$A$9, 0)), "")</f>
        <v/>
      </c>
      <c r="Y1381" s="18"/>
      <c r="Z1381" s="18"/>
      <c r="AA1381" s="18"/>
      <c r="AB1381" s="18"/>
      <c r="AC1381" s="18"/>
    </row>
    <row r="1382" spans="1:29" ht="32.25" hidden="1" customHeight="1">
      <c r="A1382" s="8">
        <v>2308023</v>
      </c>
      <c r="B1382" s="9" t="s">
        <v>13284</v>
      </c>
      <c r="C1382" s="9" t="s">
        <v>13284</v>
      </c>
      <c r="D1382" s="9" t="s">
        <v>13284</v>
      </c>
      <c r="E1382" s="9" t="s">
        <v>13284</v>
      </c>
      <c r="F1382" s="9" t="s">
        <v>13284</v>
      </c>
      <c r="G1382" s="9" t="s">
        <v>13284</v>
      </c>
      <c r="H1382" s="9" t="s">
        <v>13284</v>
      </c>
      <c r="I1382" s="9" t="s">
        <v>13284</v>
      </c>
      <c r="J1382" s="9" t="s">
        <v>13284</v>
      </c>
      <c r="K1382" s="9" t="s">
        <v>13284</v>
      </c>
      <c r="L1382" s="9" t="s">
        <v>13284</v>
      </c>
      <c r="M1382" s="9" t="s">
        <v>13284</v>
      </c>
      <c r="N1382" s="9" t="s">
        <v>13284</v>
      </c>
      <c r="O1382" s="9" t="s">
        <v>13284</v>
      </c>
      <c r="P1382" s="9" t="s">
        <v>13284</v>
      </c>
      <c r="Q1382" s="9" t="s">
        <v>13284</v>
      </c>
      <c r="R1382" s="9" t="s">
        <v>13284</v>
      </c>
      <c r="S1382" s="9" t="s">
        <v>13284</v>
      </c>
      <c r="T1382" s="9" t="str">
        <f ca="1">IFERROR(IF(AND(VLOOKUP(A1382, 'Актуальное состояние (из общего'!A:C,3,0) = "", A1382 &lt;&gt; ""), "ПРОВЕРИТЬ", VLOOKUP(A1382, 'Актуальное состояние (из общего'!A:C,3,0)), "")</f>
        <v>Студент</v>
      </c>
      <c r="U1382" s="9" t="s">
        <v>13284</v>
      </c>
      <c r="V1382" s="9" t="s">
        <v>13284</v>
      </c>
      <c r="W1382" s="12"/>
      <c r="X1382" s="9" t="str">
        <f t="array" ref="X1382">IFERROR(INDEX('Адреса общежитий (скрытый)'!$B$2:$B$9, MATCH(W1382, 'Адреса общежитий (скрытый)'!$A$2:$A$9, 0)), "")</f>
        <v/>
      </c>
      <c r="Y1382" s="18"/>
      <c r="Z1382" s="18"/>
      <c r="AA1382" s="18"/>
      <c r="AB1382" s="18"/>
      <c r="AC1382" s="18"/>
    </row>
    <row r="1383" spans="1:29" ht="32.25" hidden="1" customHeight="1">
      <c r="A1383" s="8">
        <v>2304024</v>
      </c>
      <c r="B1383" s="9" t="s">
        <v>13284</v>
      </c>
      <c r="C1383" s="9" t="s">
        <v>13284</v>
      </c>
      <c r="D1383" s="9" t="s">
        <v>13284</v>
      </c>
      <c r="E1383" s="9" t="s">
        <v>13284</v>
      </c>
      <c r="F1383" s="9" t="s">
        <v>13284</v>
      </c>
      <c r="G1383" s="9" t="s">
        <v>13284</v>
      </c>
      <c r="H1383" s="9" t="s">
        <v>13284</v>
      </c>
      <c r="I1383" s="9" t="s">
        <v>13284</v>
      </c>
      <c r="J1383" s="9" t="s">
        <v>13284</v>
      </c>
      <c r="K1383" s="9" t="s">
        <v>13284</v>
      </c>
      <c r="L1383" s="9" t="s">
        <v>13284</v>
      </c>
      <c r="M1383" s="9" t="s">
        <v>13284</v>
      </c>
      <c r="N1383" s="9" t="s">
        <v>13284</v>
      </c>
      <c r="O1383" s="9" t="s">
        <v>13284</v>
      </c>
      <c r="P1383" s="9" t="s">
        <v>13284</v>
      </c>
      <c r="Q1383" s="9" t="s">
        <v>13284</v>
      </c>
      <c r="R1383" s="9" t="s">
        <v>13284</v>
      </c>
      <c r="S1383" s="9" t="s">
        <v>13284</v>
      </c>
      <c r="T1383" s="9" t="str">
        <f ca="1">IFERROR(IF(AND(VLOOKUP(A1383, 'Актуальное состояние (из общего'!A:C,3,0) = "", A1383 &lt;&gt; ""), "ПРОВЕРИТЬ", VLOOKUP(A1383, 'Актуальное состояние (из общего'!A:C,3,0)), "")</f>
        <v>Студент</v>
      </c>
      <c r="U1383" s="9" t="s">
        <v>13284</v>
      </c>
      <c r="V1383" s="9" t="s">
        <v>13284</v>
      </c>
      <c r="W1383" s="12"/>
      <c r="X1383" s="9" t="str">
        <f t="array" ref="X1383">IFERROR(INDEX('Адреса общежитий (скрытый)'!$B$2:$B$9, MATCH(W1383, 'Адреса общежитий (скрытый)'!$A$2:$A$9, 0)), "")</f>
        <v/>
      </c>
      <c r="Y1383" s="18"/>
      <c r="Z1383" s="18"/>
      <c r="AA1383" s="18"/>
      <c r="AB1383" s="18"/>
      <c r="AC1383" s="18"/>
    </row>
    <row r="1384" spans="1:29" ht="32.25" hidden="1" customHeight="1">
      <c r="A1384" s="8">
        <v>2310476</v>
      </c>
      <c r="B1384" s="9" t="s">
        <v>13284</v>
      </c>
      <c r="C1384" s="9" t="s">
        <v>13284</v>
      </c>
      <c r="D1384" s="9" t="s">
        <v>13284</v>
      </c>
      <c r="E1384" s="9" t="s">
        <v>13284</v>
      </c>
      <c r="F1384" s="9" t="s">
        <v>13284</v>
      </c>
      <c r="G1384" s="9" t="s">
        <v>13284</v>
      </c>
      <c r="H1384" s="9" t="s">
        <v>13284</v>
      </c>
      <c r="I1384" s="9" t="s">
        <v>13284</v>
      </c>
      <c r="J1384" s="9" t="s">
        <v>13284</v>
      </c>
      <c r="K1384" s="9" t="s">
        <v>13284</v>
      </c>
      <c r="L1384" s="9" t="s">
        <v>13284</v>
      </c>
      <c r="M1384" s="9" t="s">
        <v>13284</v>
      </c>
      <c r="N1384" s="9" t="s">
        <v>13284</v>
      </c>
      <c r="O1384" s="9" t="s">
        <v>13284</v>
      </c>
      <c r="P1384" s="9" t="s">
        <v>13284</v>
      </c>
      <c r="Q1384" s="9" t="s">
        <v>13284</v>
      </c>
      <c r="R1384" s="9" t="s">
        <v>13284</v>
      </c>
      <c r="S1384" s="9" t="s">
        <v>13284</v>
      </c>
      <c r="T1384" s="9" t="str">
        <f ca="1">IFERROR(IF(AND(VLOOKUP(A1384, 'Актуальное состояние (из общего'!A:C,3,0) = "", A1384 &lt;&gt; ""), "ПРОВЕРИТЬ", VLOOKUP(A1384, 'Актуальное состояние (из общего'!A:C,3,0)), "")</f>
        <v>Студент</v>
      </c>
      <c r="U1384" s="9" t="s">
        <v>13284</v>
      </c>
      <c r="V1384" s="9" t="s">
        <v>13284</v>
      </c>
      <c r="W1384" s="12"/>
      <c r="X1384" s="9" t="str">
        <f t="array" ref="X1384">IFERROR(INDEX('Адреса общежитий (скрытый)'!$B$2:$B$9, MATCH(W1384, 'Адреса общежитий (скрытый)'!$A$2:$A$9, 0)), "")</f>
        <v/>
      </c>
      <c r="Y1384" s="18"/>
      <c r="Z1384" s="18"/>
      <c r="AA1384" s="18"/>
      <c r="AB1384" s="18"/>
      <c r="AC1384" s="18"/>
    </row>
    <row r="1385" spans="1:29" ht="32.25" customHeight="1">
      <c r="A1385" s="8">
        <v>2301059</v>
      </c>
      <c r="B1385" s="9" t="s">
        <v>13284</v>
      </c>
      <c r="C1385" s="9" t="s">
        <v>13284</v>
      </c>
      <c r="D1385" s="9" t="s">
        <v>13284</v>
      </c>
      <c r="E1385" s="9" t="s">
        <v>13284</v>
      </c>
      <c r="F1385" s="9" t="s">
        <v>13284</v>
      </c>
      <c r="G1385" s="9" t="s">
        <v>13284</v>
      </c>
      <c r="H1385" s="9" t="s">
        <v>13284</v>
      </c>
      <c r="I1385" s="9" t="s">
        <v>13284</v>
      </c>
      <c r="J1385" s="9" t="s">
        <v>13284</v>
      </c>
      <c r="K1385" s="9" t="s">
        <v>13284</v>
      </c>
      <c r="L1385" s="9" t="s">
        <v>13284</v>
      </c>
      <c r="M1385" s="9" t="s">
        <v>13284</v>
      </c>
      <c r="N1385" s="9" t="s">
        <v>13284</v>
      </c>
      <c r="O1385" s="9" t="s">
        <v>13284</v>
      </c>
      <c r="P1385" s="9" t="s">
        <v>13284</v>
      </c>
      <c r="Q1385" s="9" t="s">
        <v>13284</v>
      </c>
      <c r="R1385" s="9" t="s">
        <v>13284</v>
      </c>
      <c r="S1385" s="9" t="s">
        <v>13284</v>
      </c>
      <c r="T1385" s="9" t="str">
        <f ca="1">IFERROR(IF(AND(VLOOKUP(A1385, 'Актуальное состояние (из общего'!A:C,3,0) = "", A1385 &lt;&gt; ""), "ПРОВЕРИТЬ", VLOOKUP(A1385, 'Актуальное состояние (из общего'!A:C,3,0)), "")</f>
        <v>Студент</v>
      </c>
      <c r="U1385" s="9" t="s">
        <v>13284</v>
      </c>
      <c r="V1385" s="9" t="s">
        <v>13284</v>
      </c>
      <c r="W1385" s="12"/>
      <c r="X1385" s="9" t="str">
        <f t="array" ref="X1385">IFERROR(INDEX('Адреса общежитий (скрытый)'!$B$2:$B$9, MATCH(W1385, 'Адреса общежитий (скрытый)'!$A$2:$A$9, 0)), "")</f>
        <v/>
      </c>
      <c r="Y1385" s="18"/>
      <c r="Z1385" s="18"/>
      <c r="AA1385" s="18"/>
      <c r="AB1385" s="18"/>
      <c r="AC1385" s="18"/>
    </row>
    <row r="1386" spans="1:29" ht="32.25" hidden="1" customHeight="1">
      <c r="A1386" s="8">
        <v>2310120</v>
      </c>
      <c r="B1386" s="9" t="s">
        <v>13284</v>
      </c>
      <c r="C1386" s="9" t="s">
        <v>13284</v>
      </c>
      <c r="D1386" s="9" t="s">
        <v>13284</v>
      </c>
      <c r="E1386" s="9" t="s">
        <v>13284</v>
      </c>
      <c r="F1386" s="9" t="s">
        <v>13284</v>
      </c>
      <c r="G1386" s="9" t="s">
        <v>13284</v>
      </c>
      <c r="H1386" s="9" t="s">
        <v>13284</v>
      </c>
      <c r="I1386" s="9" t="s">
        <v>13284</v>
      </c>
      <c r="J1386" s="9" t="s">
        <v>13284</v>
      </c>
      <c r="K1386" s="9" t="s">
        <v>13284</v>
      </c>
      <c r="L1386" s="9" t="s">
        <v>13284</v>
      </c>
      <c r="M1386" s="9" t="s">
        <v>13284</v>
      </c>
      <c r="N1386" s="9" t="s">
        <v>13284</v>
      </c>
      <c r="O1386" s="9" t="s">
        <v>13284</v>
      </c>
      <c r="P1386" s="9" t="s">
        <v>13284</v>
      </c>
      <c r="Q1386" s="9" t="s">
        <v>13284</v>
      </c>
      <c r="R1386" s="9" t="s">
        <v>13284</v>
      </c>
      <c r="S1386" s="9" t="s">
        <v>13284</v>
      </c>
      <c r="T1386" s="9" t="str">
        <f ca="1">IFERROR(IF(AND(VLOOKUP(A1386, 'Актуальное состояние (из общего'!A:C,3,0) = "", A1386 &lt;&gt; ""), "ПРОВЕРИТЬ", VLOOKUP(A1386, 'Актуальное состояние (из общего'!A:C,3,0)), "")</f>
        <v>Студент</v>
      </c>
      <c r="U1386" s="9" t="s">
        <v>13284</v>
      </c>
      <c r="V1386" s="9" t="s">
        <v>13284</v>
      </c>
      <c r="W1386" s="12"/>
      <c r="X1386" s="9" t="str">
        <f t="array" ref="X1386">IFERROR(INDEX('Адреса общежитий (скрытый)'!$B$2:$B$9, MATCH(W1386, 'Адреса общежитий (скрытый)'!$A$2:$A$9, 0)), "")</f>
        <v/>
      </c>
      <c r="Y1386" s="18"/>
      <c r="Z1386" s="18"/>
      <c r="AA1386" s="18"/>
      <c r="AB1386" s="18"/>
      <c r="AC1386" s="18"/>
    </row>
    <row r="1387" spans="1:29" ht="32.25" hidden="1" customHeight="1">
      <c r="A1387" s="8">
        <v>2306146</v>
      </c>
      <c r="B1387" s="9" t="s">
        <v>13284</v>
      </c>
      <c r="C1387" s="9" t="s">
        <v>13284</v>
      </c>
      <c r="D1387" s="9" t="s">
        <v>13284</v>
      </c>
      <c r="E1387" s="9" t="s">
        <v>13284</v>
      </c>
      <c r="F1387" s="9" t="s">
        <v>13284</v>
      </c>
      <c r="G1387" s="9" t="s">
        <v>13284</v>
      </c>
      <c r="H1387" s="9" t="s">
        <v>13284</v>
      </c>
      <c r="I1387" s="9" t="s">
        <v>13284</v>
      </c>
      <c r="J1387" s="9" t="s">
        <v>13284</v>
      </c>
      <c r="K1387" s="9" t="s">
        <v>13284</v>
      </c>
      <c r="L1387" s="9" t="s">
        <v>13284</v>
      </c>
      <c r="M1387" s="9" t="s">
        <v>13284</v>
      </c>
      <c r="N1387" s="9" t="s">
        <v>13284</v>
      </c>
      <c r="O1387" s="9" t="s">
        <v>13284</v>
      </c>
      <c r="P1387" s="9" t="s">
        <v>13284</v>
      </c>
      <c r="Q1387" s="9" t="s">
        <v>13284</v>
      </c>
      <c r="R1387" s="9" t="s">
        <v>13284</v>
      </c>
      <c r="S1387" s="9" t="s">
        <v>13284</v>
      </c>
      <c r="T1387" s="9" t="str">
        <f ca="1">IFERROR(IF(AND(VLOOKUP(A1387, 'Актуальное состояние (из общего'!A:C,3,0) = "", A1387 &lt;&gt; ""), "ПРОВЕРИТЬ", VLOOKUP(A1387, 'Актуальное состояние (из общего'!A:C,3,0)), "")</f>
        <v>Студент</v>
      </c>
      <c r="U1387" s="9" t="s">
        <v>13284</v>
      </c>
      <c r="V1387" s="9" t="s">
        <v>13284</v>
      </c>
      <c r="W1387" s="12"/>
      <c r="X1387" s="9" t="str">
        <f t="array" ref="X1387">IFERROR(INDEX('Адреса общежитий (скрытый)'!$B$2:$B$9, MATCH(W1387, 'Адреса общежитий (скрытый)'!$A$2:$A$9, 0)), "")</f>
        <v/>
      </c>
      <c r="Y1387" s="18"/>
      <c r="Z1387" s="18"/>
      <c r="AA1387" s="18"/>
      <c r="AB1387" s="18"/>
      <c r="AC1387" s="18"/>
    </row>
    <row r="1388" spans="1:29" ht="32.25" hidden="1" customHeight="1">
      <c r="A1388" s="8">
        <v>2308277</v>
      </c>
      <c r="B1388" s="9" t="s">
        <v>13284</v>
      </c>
      <c r="C1388" s="9" t="s">
        <v>13284</v>
      </c>
      <c r="D1388" s="9" t="s">
        <v>13284</v>
      </c>
      <c r="E1388" s="9" t="s">
        <v>13284</v>
      </c>
      <c r="F1388" s="9" t="s">
        <v>13284</v>
      </c>
      <c r="G1388" s="9" t="s">
        <v>13284</v>
      </c>
      <c r="H1388" s="9" t="s">
        <v>13284</v>
      </c>
      <c r="I1388" s="9" t="s">
        <v>13284</v>
      </c>
      <c r="J1388" s="9" t="s">
        <v>13284</v>
      </c>
      <c r="K1388" s="9" t="s">
        <v>13284</v>
      </c>
      <c r="L1388" s="9" t="s">
        <v>13284</v>
      </c>
      <c r="M1388" s="9" t="s">
        <v>13284</v>
      </c>
      <c r="N1388" s="9" t="s">
        <v>13284</v>
      </c>
      <c r="O1388" s="9" t="s">
        <v>13284</v>
      </c>
      <c r="P1388" s="9" t="s">
        <v>13284</v>
      </c>
      <c r="Q1388" s="9" t="s">
        <v>13284</v>
      </c>
      <c r="R1388" s="9" t="s">
        <v>13284</v>
      </c>
      <c r="S1388" s="9" t="s">
        <v>13284</v>
      </c>
      <c r="T1388" s="9" t="str">
        <f ca="1">IFERROR(IF(AND(VLOOKUP(A1388, 'Актуальное состояние (из общего'!A:C,3,0) = "", A1388 &lt;&gt; ""), "ПРОВЕРИТЬ", VLOOKUP(A1388, 'Актуальное состояние (из общего'!A:C,3,0)), "")</f>
        <v>Студент</v>
      </c>
      <c r="U1388" s="9" t="s">
        <v>13284</v>
      </c>
      <c r="V1388" s="9" t="s">
        <v>13284</v>
      </c>
      <c r="W1388" s="12"/>
      <c r="X1388" s="9" t="str">
        <f t="array" ref="X1388">IFERROR(INDEX('Адреса общежитий (скрытый)'!$B$2:$B$9, MATCH(W1388, 'Адреса общежитий (скрытый)'!$A$2:$A$9, 0)), "")</f>
        <v/>
      </c>
      <c r="Y1388" s="18"/>
      <c r="Z1388" s="18"/>
      <c r="AA1388" s="18"/>
      <c r="AB1388" s="18"/>
      <c r="AC1388" s="18"/>
    </row>
    <row r="1389" spans="1:29" ht="32.25" customHeight="1">
      <c r="A1389" s="8">
        <v>2302400</v>
      </c>
      <c r="B1389" s="9" t="s">
        <v>13284</v>
      </c>
      <c r="C1389" s="9" t="s">
        <v>13284</v>
      </c>
      <c r="D1389" s="9" t="s">
        <v>13284</v>
      </c>
      <c r="E1389" s="9" t="s">
        <v>13284</v>
      </c>
      <c r="F1389" s="9" t="s">
        <v>13284</v>
      </c>
      <c r="G1389" s="9" t="s">
        <v>13284</v>
      </c>
      <c r="H1389" s="9" t="s">
        <v>13284</v>
      </c>
      <c r="I1389" s="9" t="s">
        <v>13284</v>
      </c>
      <c r="J1389" s="9" t="s">
        <v>13284</v>
      </c>
      <c r="K1389" s="9" t="s">
        <v>13284</v>
      </c>
      <c r="L1389" s="9" t="s">
        <v>13284</v>
      </c>
      <c r="M1389" s="9" t="s">
        <v>13284</v>
      </c>
      <c r="N1389" s="9" t="s">
        <v>13284</v>
      </c>
      <c r="O1389" s="9" t="s">
        <v>13284</v>
      </c>
      <c r="P1389" s="9" t="s">
        <v>13284</v>
      </c>
      <c r="Q1389" s="9" t="s">
        <v>13284</v>
      </c>
      <c r="R1389" s="9" t="s">
        <v>13284</v>
      </c>
      <c r="S1389" s="9" t="s">
        <v>13284</v>
      </c>
      <c r="T1389" s="9" t="str">
        <f ca="1">IFERROR(IF(AND(VLOOKUP(A1389, 'Актуальное состояние (из общего'!A:C,3,0) = "", A1389 &lt;&gt; ""), "ПРОВЕРИТЬ", VLOOKUP(A1389, 'Актуальное состояние (из общего'!A:C,3,0)), "")</f>
        <v>Студент</v>
      </c>
      <c r="U1389" s="9" t="s">
        <v>13284</v>
      </c>
      <c r="V1389" s="9" t="s">
        <v>13284</v>
      </c>
      <c r="W1389" s="12"/>
      <c r="X1389" s="9" t="str">
        <f t="array" ref="X1389">IFERROR(INDEX('Адреса общежитий (скрытый)'!$B$2:$B$9, MATCH(W1389, 'Адреса общежитий (скрытый)'!$A$2:$A$9, 0)), "")</f>
        <v/>
      </c>
      <c r="Y1389" s="18"/>
      <c r="Z1389" s="18"/>
      <c r="AA1389" s="18"/>
      <c r="AB1389" s="18"/>
      <c r="AC1389" s="18"/>
    </row>
    <row r="1390" spans="1:29" ht="32.25" hidden="1" customHeight="1">
      <c r="A1390" s="8">
        <v>2304163</v>
      </c>
      <c r="B1390" s="9" t="s">
        <v>13284</v>
      </c>
      <c r="C1390" s="9" t="s">
        <v>13284</v>
      </c>
      <c r="D1390" s="9" t="s">
        <v>13284</v>
      </c>
      <c r="E1390" s="9" t="s">
        <v>13284</v>
      </c>
      <c r="F1390" s="9" t="s">
        <v>13284</v>
      </c>
      <c r="G1390" s="9" t="s">
        <v>13284</v>
      </c>
      <c r="H1390" s="9" t="s">
        <v>13284</v>
      </c>
      <c r="I1390" s="9" t="s">
        <v>13284</v>
      </c>
      <c r="J1390" s="9" t="s">
        <v>13284</v>
      </c>
      <c r="K1390" s="9" t="s">
        <v>13284</v>
      </c>
      <c r="L1390" s="9" t="s">
        <v>13284</v>
      </c>
      <c r="M1390" s="9" t="s">
        <v>13284</v>
      </c>
      <c r="N1390" s="9" t="s">
        <v>13284</v>
      </c>
      <c r="O1390" s="9" t="s">
        <v>13284</v>
      </c>
      <c r="P1390" s="9" t="s">
        <v>13284</v>
      </c>
      <c r="Q1390" s="9" t="s">
        <v>13284</v>
      </c>
      <c r="R1390" s="9" t="s">
        <v>13284</v>
      </c>
      <c r="S1390" s="9" t="s">
        <v>13284</v>
      </c>
      <c r="T1390" s="9" t="str">
        <f ca="1">IFERROR(IF(AND(VLOOKUP(A1390, 'Актуальное состояние (из общего'!A:C,3,0) = "", A1390 &lt;&gt; ""), "ПРОВЕРИТЬ", VLOOKUP(A1390, 'Актуальное состояние (из общего'!A:C,3,0)), "")</f>
        <v>Студент</v>
      </c>
      <c r="U1390" s="9" t="s">
        <v>13284</v>
      </c>
      <c r="V1390" s="9" t="s">
        <v>13284</v>
      </c>
      <c r="W1390" s="12"/>
      <c r="X1390" s="9" t="str">
        <f t="array" ref="X1390">IFERROR(INDEX('Адреса общежитий (скрытый)'!$B$2:$B$9, MATCH(W1390, 'Адреса общежитий (скрытый)'!$A$2:$A$9, 0)), "")</f>
        <v/>
      </c>
      <c r="Y1390" s="18"/>
      <c r="Z1390" s="18"/>
      <c r="AA1390" s="18"/>
      <c r="AB1390" s="18"/>
      <c r="AC1390" s="18"/>
    </row>
    <row r="1391" spans="1:29" ht="32.25" hidden="1" customHeight="1">
      <c r="A1391" s="8">
        <v>2310094</v>
      </c>
      <c r="B1391" s="9" t="s">
        <v>13284</v>
      </c>
      <c r="C1391" s="9" t="s">
        <v>13284</v>
      </c>
      <c r="D1391" s="9" t="s">
        <v>13284</v>
      </c>
      <c r="E1391" s="9" t="s">
        <v>13284</v>
      </c>
      <c r="F1391" s="9" t="s">
        <v>13284</v>
      </c>
      <c r="G1391" s="9" t="s">
        <v>13284</v>
      </c>
      <c r="H1391" s="9" t="s">
        <v>13284</v>
      </c>
      <c r="I1391" s="9" t="s">
        <v>13284</v>
      </c>
      <c r="J1391" s="9" t="s">
        <v>13284</v>
      </c>
      <c r="K1391" s="9" t="s">
        <v>13284</v>
      </c>
      <c r="L1391" s="9" t="s">
        <v>13284</v>
      </c>
      <c r="M1391" s="9" t="s">
        <v>13284</v>
      </c>
      <c r="N1391" s="9" t="s">
        <v>13284</v>
      </c>
      <c r="O1391" s="9" t="s">
        <v>13284</v>
      </c>
      <c r="P1391" s="9" t="s">
        <v>13284</v>
      </c>
      <c r="Q1391" s="9" t="s">
        <v>13284</v>
      </c>
      <c r="R1391" s="9" t="s">
        <v>13284</v>
      </c>
      <c r="S1391" s="9" t="s">
        <v>13284</v>
      </c>
      <c r="T1391" s="9" t="str">
        <f ca="1">IFERROR(IF(AND(VLOOKUP(A1391, 'Актуальное состояние (из общего'!A:C,3,0) = "", A1391 &lt;&gt; ""), "ПРОВЕРИТЬ", VLOOKUP(A1391, 'Актуальное состояние (из общего'!A:C,3,0)), "")</f>
        <v>Студент</v>
      </c>
      <c r="U1391" s="9" t="s">
        <v>13284</v>
      </c>
      <c r="V1391" s="9" t="s">
        <v>13284</v>
      </c>
      <c r="W1391" s="12"/>
      <c r="X1391" s="9" t="str">
        <f t="array" ref="X1391">IFERROR(INDEX('Адреса общежитий (скрытый)'!$B$2:$B$9, MATCH(W1391, 'Адреса общежитий (скрытый)'!$A$2:$A$9, 0)), "")</f>
        <v/>
      </c>
      <c r="Y1391" s="18"/>
      <c r="Z1391" s="18"/>
      <c r="AA1391" s="18"/>
      <c r="AB1391" s="18"/>
      <c r="AC1391" s="18"/>
    </row>
    <row r="1392" spans="1:29" ht="32.25" hidden="1" customHeight="1">
      <c r="A1392" s="8">
        <v>2306844</v>
      </c>
      <c r="B1392" s="9" t="s">
        <v>13284</v>
      </c>
      <c r="C1392" s="9" t="s">
        <v>13284</v>
      </c>
      <c r="D1392" s="9" t="s">
        <v>13284</v>
      </c>
      <c r="E1392" s="9" t="s">
        <v>13284</v>
      </c>
      <c r="F1392" s="9" t="s">
        <v>13284</v>
      </c>
      <c r="G1392" s="9" t="s">
        <v>13284</v>
      </c>
      <c r="H1392" s="9" t="s">
        <v>13284</v>
      </c>
      <c r="I1392" s="9" t="s">
        <v>13284</v>
      </c>
      <c r="J1392" s="9" t="s">
        <v>13284</v>
      </c>
      <c r="K1392" s="9" t="s">
        <v>13284</v>
      </c>
      <c r="L1392" s="9" t="s">
        <v>13284</v>
      </c>
      <c r="M1392" s="9" t="s">
        <v>13284</v>
      </c>
      <c r="N1392" s="9" t="s">
        <v>13284</v>
      </c>
      <c r="O1392" s="9" t="s">
        <v>13284</v>
      </c>
      <c r="P1392" s="9" t="s">
        <v>13284</v>
      </c>
      <c r="Q1392" s="9" t="s">
        <v>13284</v>
      </c>
      <c r="R1392" s="9" t="s">
        <v>13284</v>
      </c>
      <c r="S1392" s="9" t="s">
        <v>13284</v>
      </c>
      <c r="T1392" s="9" t="str">
        <f ca="1">IFERROR(IF(AND(VLOOKUP(A1392, 'Актуальное состояние (из общего'!A:C,3,0) = "", A1392 &lt;&gt; ""), "ПРОВЕРИТЬ", VLOOKUP(A1392, 'Актуальное состояние (из общего'!A:C,3,0)), "")</f>
        <v>Студент</v>
      </c>
      <c r="U1392" s="9" t="s">
        <v>13284</v>
      </c>
      <c r="V1392" s="9" t="s">
        <v>13284</v>
      </c>
      <c r="W1392" s="12"/>
      <c r="X1392" s="9" t="str">
        <f t="array" ref="X1392">IFERROR(INDEX('Адреса общежитий (скрытый)'!$B$2:$B$9, MATCH(W1392, 'Адреса общежитий (скрытый)'!$A$2:$A$9, 0)), "")</f>
        <v/>
      </c>
      <c r="Y1392" s="18"/>
      <c r="Z1392" s="18"/>
      <c r="AA1392" s="18"/>
      <c r="AB1392" s="18"/>
      <c r="AC1392" s="18"/>
    </row>
    <row r="1393" spans="1:29" ht="32.25" hidden="1" customHeight="1">
      <c r="A1393" s="8">
        <v>2307028</v>
      </c>
      <c r="B1393" s="9" t="s">
        <v>13284</v>
      </c>
      <c r="C1393" s="9" t="s">
        <v>13284</v>
      </c>
      <c r="D1393" s="9" t="s">
        <v>13284</v>
      </c>
      <c r="E1393" s="9" t="s">
        <v>13284</v>
      </c>
      <c r="F1393" s="9" t="s">
        <v>13284</v>
      </c>
      <c r="G1393" s="9" t="s">
        <v>13284</v>
      </c>
      <c r="H1393" s="9" t="s">
        <v>13284</v>
      </c>
      <c r="I1393" s="9" t="s">
        <v>13284</v>
      </c>
      <c r="J1393" s="9" t="s">
        <v>13284</v>
      </c>
      <c r="K1393" s="9" t="s">
        <v>13284</v>
      </c>
      <c r="L1393" s="9" t="s">
        <v>13284</v>
      </c>
      <c r="M1393" s="9" t="s">
        <v>13284</v>
      </c>
      <c r="N1393" s="9" t="s">
        <v>13284</v>
      </c>
      <c r="O1393" s="9" t="s">
        <v>13284</v>
      </c>
      <c r="P1393" s="9" t="s">
        <v>13284</v>
      </c>
      <c r="Q1393" s="9" t="s">
        <v>13284</v>
      </c>
      <c r="R1393" s="9" t="s">
        <v>13284</v>
      </c>
      <c r="S1393" s="9" t="s">
        <v>13284</v>
      </c>
      <c r="T1393" s="9" t="str">
        <f ca="1">IFERROR(IF(AND(VLOOKUP(A1393, 'Актуальное состояние (из общего'!A:C,3,0) = "", A1393 &lt;&gt; ""), "ПРОВЕРИТЬ", VLOOKUP(A1393, 'Актуальное состояние (из общего'!A:C,3,0)), "")</f>
        <v>Студент</v>
      </c>
      <c r="U1393" s="9" t="s">
        <v>13284</v>
      </c>
      <c r="V1393" s="9" t="s">
        <v>13284</v>
      </c>
      <c r="W1393" s="12"/>
      <c r="X1393" s="9" t="str">
        <f t="array" ref="X1393">IFERROR(INDEX('Адреса общежитий (скрытый)'!$B$2:$B$9, MATCH(W1393, 'Адреса общежитий (скрытый)'!$A$2:$A$9, 0)), "")</f>
        <v/>
      </c>
      <c r="Y1393" s="18"/>
      <c r="Z1393" s="18"/>
      <c r="AA1393" s="18"/>
      <c r="AB1393" s="18"/>
      <c r="AC1393" s="18"/>
    </row>
    <row r="1394" spans="1:29" ht="32.25" hidden="1" customHeight="1">
      <c r="A1394" s="8">
        <v>2302844</v>
      </c>
      <c r="B1394" s="9" t="s">
        <v>13284</v>
      </c>
      <c r="C1394" s="9" t="s">
        <v>13284</v>
      </c>
      <c r="D1394" s="9" t="s">
        <v>13284</v>
      </c>
      <c r="E1394" s="9" t="s">
        <v>13284</v>
      </c>
      <c r="F1394" s="9" t="s">
        <v>13284</v>
      </c>
      <c r="G1394" s="9" t="s">
        <v>13284</v>
      </c>
      <c r="H1394" s="9" t="s">
        <v>13284</v>
      </c>
      <c r="I1394" s="9" t="s">
        <v>13284</v>
      </c>
      <c r="J1394" s="9" t="s">
        <v>13284</v>
      </c>
      <c r="K1394" s="9" t="s">
        <v>13284</v>
      </c>
      <c r="L1394" s="9" t="s">
        <v>13284</v>
      </c>
      <c r="M1394" s="9" t="s">
        <v>13284</v>
      </c>
      <c r="N1394" s="9" t="s">
        <v>13284</v>
      </c>
      <c r="O1394" s="9" t="s">
        <v>13284</v>
      </c>
      <c r="P1394" s="9" t="s">
        <v>13284</v>
      </c>
      <c r="Q1394" s="9" t="s">
        <v>13284</v>
      </c>
      <c r="R1394" s="9" t="s">
        <v>13284</v>
      </c>
      <c r="S1394" s="9" t="s">
        <v>13284</v>
      </c>
      <c r="T1394" s="9" t="str">
        <f ca="1">IFERROR(IF(AND(VLOOKUP(A1394, 'Актуальное состояние (из общего'!A:C,3,0) = "", A1394 &lt;&gt; ""), "ПРОВЕРИТЬ", VLOOKUP(A1394, 'Актуальное состояние (из общего'!A:C,3,0)), "")</f>
        <v>Студент</v>
      </c>
      <c r="U1394" s="9" t="s">
        <v>13284</v>
      </c>
      <c r="V1394" s="9" t="s">
        <v>13284</v>
      </c>
      <c r="W1394" s="12"/>
      <c r="X1394" s="9" t="str">
        <f t="array" ref="X1394">IFERROR(INDEX('Адреса общежитий (скрытый)'!$B$2:$B$9, MATCH(W1394, 'Адреса общежитий (скрытый)'!$A$2:$A$9, 0)), "")</f>
        <v/>
      </c>
      <c r="Y1394" s="18"/>
      <c r="Z1394" s="18"/>
      <c r="AA1394" s="18"/>
      <c r="AB1394" s="18"/>
      <c r="AC1394" s="18"/>
    </row>
    <row r="1395" spans="1:29" ht="32.25" hidden="1" customHeight="1">
      <c r="A1395" s="8">
        <v>2310818</v>
      </c>
      <c r="B1395" s="9" t="s">
        <v>13284</v>
      </c>
      <c r="C1395" s="9" t="s">
        <v>13284</v>
      </c>
      <c r="D1395" s="9" t="s">
        <v>13284</v>
      </c>
      <c r="E1395" s="9" t="s">
        <v>13284</v>
      </c>
      <c r="F1395" s="9" t="s">
        <v>13284</v>
      </c>
      <c r="G1395" s="9" t="s">
        <v>13284</v>
      </c>
      <c r="H1395" s="9" t="s">
        <v>13284</v>
      </c>
      <c r="I1395" s="9" t="s">
        <v>13284</v>
      </c>
      <c r="J1395" s="9" t="s">
        <v>13284</v>
      </c>
      <c r="K1395" s="9" t="s">
        <v>13284</v>
      </c>
      <c r="L1395" s="9" t="s">
        <v>13284</v>
      </c>
      <c r="M1395" s="9" t="s">
        <v>13284</v>
      </c>
      <c r="N1395" s="9" t="s">
        <v>13284</v>
      </c>
      <c r="O1395" s="9" t="s">
        <v>13284</v>
      </c>
      <c r="P1395" s="9" t="s">
        <v>13284</v>
      </c>
      <c r="Q1395" s="9" t="s">
        <v>13284</v>
      </c>
      <c r="R1395" s="9" t="s">
        <v>13284</v>
      </c>
      <c r="S1395" s="9" t="s">
        <v>13284</v>
      </c>
      <c r="T1395" s="9" t="str">
        <f ca="1">IFERROR(IF(AND(VLOOKUP(A1395, 'Актуальное состояние (из общего'!A:C,3,0) = "", A1395 &lt;&gt; ""), "ПРОВЕРИТЬ", VLOOKUP(A1395, 'Актуальное состояние (из общего'!A:C,3,0)), "")</f>
        <v>Студент</v>
      </c>
      <c r="U1395" s="9" t="s">
        <v>13284</v>
      </c>
      <c r="V1395" s="9" t="s">
        <v>13284</v>
      </c>
      <c r="W1395" s="12"/>
      <c r="X1395" s="9" t="str">
        <f t="array" ref="X1395">IFERROR(INDEX('Адреса общежитий (скрытый)'!$B$2:$B$9, MATCH(W1395, 'Адреса общежитий (скрытый)'!$A$2:$A$9, 0)), "")</f>
        <v/>
      </c>
      <c r="Y1395" s="18"/>
      <c r="Z1395" s="18"/>
      <c r="AA1395" s="18"/>
      <c r="AB1395" s="18"/>
      <c r="AC1395" s="18"/>
    </row>
    <row r="1396" spans="1:29" ht="32.25" hidden="1" customHeight="1">
      <c r="A1396" s="8">
        <v>2305961</v>
      </c>
      <c r="B1396" s="9" t="s">
        <v>13284</v>
      </c>
      <c r="C1396" s="9" t="s">
        <v>13284</v>
      </c>
      <c r="D1396" s="9" t="s">
        <v>13284</v>
      </c>
      <c r="E1396" s="9" t="s">
        <v>13284</v>
      </c>
      <c r="F1396" s="9" t="s">
        <v>13284</v>
      </c>
      <c r="G1396" s="9" t="s">
        <v>13284</v>
      </c>
      <c r="H1396" s="9" t="s">
        <v>13284</v>
      </c>
      <c r="I1396" s="9" t="s">
        <v>13284</v>
      </c>
      <c r="J1396" s="9" t="s">
        <v>13284</v>
      </c>
      <c r="K1396" s="9" t="s">
        <v>13284</v>
      </c>
      <c r="L1396" s="9" t="s">
        <v>13284</v>
      </c>
      <c r="M1396" s="9" t="s">
        <v>13284</v>
      </c>
      <c r="N1396" s="9" t="s">
        <v>13284</v>
      </c>
      <c r="O1396" s="9" t="s">
        <v>13284</v>
      </c>
      <c r="P1396" s="9" t="s">
        <v>13284</v>
      </c>
      <c r="Q1396" s="9" t="s">
        <v>13284</v>
      </c>
      <c r="R1396" s="9" t="s">
        <v>13284</v>
      </c>
      <c r="S1396" s="9" t="s">
        <v>13284</v>
      </c>
      <c r="T1396" s="9" t="str">
        <f ca="1">IFERROR(IF(AND(VLOOKUP(A1396, 'Актуальное состояние (из общего'!A:C,3,0) = "", A1396 &lt;&gt; ""), "ПРОВЕРИТЬ", VLOOKUP(A1396, 'Актуальное состояние (из общего'!A:C,3,0)), "")</f>
        <v>Студент</v>
      </c>
      <c r="U1396" s="9" t="s">
        <v>13284</v>
      </c>
      <c r="V1396" s="9" t="s">
        <v>13284</v>
      </c>
      <c r="W1396" s="12"/>
      <c r="X1396" s="9" t="str">
        <f t="array" ref="X1396">IFERROR(INDEX('Адреса общежитий (скрытый)'!$B$2:$B$9, MATCH(W1396, 'Адреса общежитий (скрытый)'!$A$2:$A$9, 0)), "")</f>
        <v/>
      </c>
      <c r="Y1396" s="18"/>
      <c r="Z1396" s="18"/>
      <c r="AA1396" s="18"/>
      <c r="AB1396" s="18"/>
      <c r="AC1396" s="18"/>
    </row>
    <row r="1397" spans="1:29" ht="32.25" customHeight="1">
      <c r="A1397" s="8">
        <v>2308507</v>
      </c>
      <c r="B1397" s="9" t="s">
        <v>13284</v>
      </c>
      <c r="C1397" s="9" t="s">
        <v>13284</v>
      </c>
      <c r="D1397" s="9" t="s">
        <v>13284</v>
      </c>
      <c r="E1397" s="9" t="s">
        <v>13284</v>
      </c>
      <c r="F1397" s="9" t="s">
        <v>13284</v>
      </c>
      <c r="G1397" s="9" t="s">
        <v>13284</v>
      </c>
      <c r="H1397" s="9" t="s">
        <v>13284</v>
      </c>
      <c r="I1397" s="9" t="s">
        <v>13284</v>
      </c>
      <c r="J1397" s="9" t="s">
        <v>13284</v>
      </c>
      <c r="K1397" s="9" t="s">
        <v>13284</v>
      </c>
      <c r="L1397" s="9" t="s">
        <v>13284</v>
      </c>
      <c r="M1397" s="9" t="s">
        <v>13284</v>
      </c>
      <c r="N1397" s="9" t="s">
        <v>13284</v>
      </c>
      <c r="O1397" s="9" t="s">
        <v>13284</v>
      </c>
      <c r="P1397" s="9" t="s">
        <v>13284</v>
      </c>
      <c r="Q1397" s="9" t="s">
        <v>13284</v>
      </c>
      <c r="R1397" s="9" t="s">
        <v>13284</v>
      </c>
      <c r="S1397" s="9" t="s">
        <v>13284</v>
      </c>
      <c r="T1397" s="9" t="str">
        <f ca="1">IFERROR(IF(AND(VLOOKUP(A1397, 'Актуальное состояние (из общего'!A:C,3,0) = "", A1397 &lt;&gt; ""), "ПРОВЕРИТЬ", VLOOKUP(A1397, 'Актуальное состояние (из общего'!A:C,3,0)), "")</f>
        <v>Студент</v>
      </c>
      <c r="U1397" s="9" t="s">
        <v>13284</v>
      </c>
      <c r="V1397" s="9" t="s">
        <v>13284</v>
      </c>
      <c r="W1397" s="12"/>
      <c r="X1397" s="9" t="str">
        <f t="array" ref="X1397">IFERROR(INDEX('Адреса общежитий (скрытый)'!$B$2:$B$9, MATCH(W1397, 'Адреса общежитий (скрытый)'!$A$2:$A$9, 0)), "")</f>
        <v/>
      </c>
      <c r="Y1397" s="18"/>
      <c r="Z1397" s="18"/>
      <c r="AA1397" s="18"/>
      <c r="AB1397" s="18"/>
      <c r="AC1397" s="18"/>
    </row>
    <row r="1398" spans="1:29" ht="32.25" hidden="1" customHeight="1">
      <c r="A1398" s="8">
        <v>2311611</v>
      </c>
      <c r="B1398" s="9" t="s">
        <v>13284</v>
      </c>
      <c r="C1398" s="9" t="s">
        <v>13284</v>
      </c>
      <c r="D1398" s="9" t="s">
        <v>13284</v>
      </c>
      <c r="E1398" s="9" t="s">
        <v>13284</v>
      </c>
      <c r="F1398" s="9" t="s">
        <v>13284</v>
      </c>
      <c r="G1398" s="9" t="s">
        <v>13284</v>
      </c>
      <c r="H1398" s="9" t="s">
        <v>13284</v>
      </c>
      <c r="I1398" s="9" t="s">
        <v>13284</v>
      </c>
      <c r="J1398" s="9" t="s">
        <v>13284</v>
      </c>
      <c r="K1398" s="9" t="s">
        <v>13284</v>
      </c>
      <c r="L1398" s="9" t="s">
        <v>13284</v>
      </c>
      <c r="M1398" s="9" t="s">
        <v>13284</v>
      </c>
      <c r="N1398" s="9" t="s">
        <v>13284</v>
      </c>
      <c r="O1398" s="9" t="s">
        <v>13284</v>
      </c>
      <c r="P1398" s="9" t="s">
        <v>13284</v>
      </c>
      <c r="Q1398" s="9" t="s">
        <v>13284</v>
      </c>
      <c r="R1398" s="9" t="s">
        <v>13284</v>
      </c>
      <c r="S1398" s="9" t="s">
        <v>13284</v>
      </c>
      <c r="T1398" s="9" t="str">
        <f ca="1">IFERROR(IF(AND(VLOOKUP(A1398, 'Актуальное состояние (из общего'!A:C,3,0) = "", A1398 &lt;&gt; ""), "ПРОВЕРИТЬ", VLOOKUP(A1398, 'Актуальное состояние (из общего'!A:C,3,0)), "")</f>
        <v>Студент</v>
      </c>
      <c r="U1398" s="9" t="s">
        <v>13284</v>
      </c>
      <c r="V1398" s="9" t="s">
        <v>13284</v>
      </c>
      <c r="W1398" s="12"/>
      <c r="X1398" s="9" t="str">
        <f t="array" ref="X1398">IFERROR(INDEX('Адреса общежитий (скрытый)'!$B$2:$B$9, MATCH(W1398, 'Адреса общежитий (скрытый)'!$A$2:$A$9, 0)), "")</f>
        <v/>
      </c>
      <c r="Y1398" s="18"/>
      <c r="Z1398" s="18"/>
      <c r="AA1398" s="18"/>
      <c r="AB1398" s="18"/>
      <c r="AC1398" s="18"/>
    </row>
    <row r="1399" spans="1:29" ht="32.25" customHeight="1">
      <c r="A1399" s="8">
        <v>2304684</v>
      </c>
      <c r="B1399" s="9" t="s">
        <v>13284</v>
      </c>
      <c r="C1399" s="9" t="s">
        <v>13284</v>
      </c>
      <c r="D1399" s="9" t="s">
        <v>13284</v>
      </c>
      <c r="E1399" s="9" t="s">
        <v>13284</v>
      </c>
      <c r="F1399" s="9" t="s">
        <v>13284</v>
      </c>
      <c r="G1399" s="9" t="s">
        <v>13284</v>
      </c>
      <c r="H1399" s="9" t="s">
        <v>13284</v>
      </c>
      <c r="I1399" s="9" t="s">
        <v>13284</v>
      </c>
      <c r="J1399" s="9" t="s">
        <v>13284</v>
      </c>
      <c r="K1399" s="9" t="s">
        <v>13284</v>
      </c>
      <c r="L1399" s="9" t="s">
        <v>13284</v>
      </c>
      <c r="M1399" s="9" t="s">
        <v>13284</v>
      </c>
      <c r="N1399" s="9" t="s">
        <v>13284</v>
      </c>
      <c r="O1399" s="9" t="s">
        <v>13284</v>
      </c>
      <c r="P1399" s="9" t="s">
        <v>13284</v>
      </c>
      <c r="Q1399" s="9" t="s">
        <v>13284</v>
      </c>
      <c r="R1399" s="9" t="s">
        <v>13284</v>
      </c>
      <c r="S1399" s="9" t="s">
        <v>13284</v>
      </c>
      <c r="T1399" s="9" t="str">
        <f ca="1">IFERROR(IF(AND(VLOOKUP(A1399, 'Актуальное состояние (из общего'!A:C,3,0) = "", A1399 &lt;&gt; ""), "ПРОВЕРИТЬ", VLOOKUP(A1399, 'Актуальное состояние (из общего'!A:C,3,0)), "")</f>
        <v>Студент</v>
      </c>
      <c r="U1399" s="9" t="s">
        <v>13284</v>
      </c>
      <c r="V1399" s="9" t="s">
        <v>13284</v>
      </c>
      <c r="W1399" s="12"/>
      <c r="X1399" s="9" t="str">
        <f t="array" ref="X1399">IFERROR(INDEX('Адреса общежитий (скрытый)'!$B$2:$B$9, MATCH(W1399, 'Адреса общежитий (скрытый)'!$A$2:$A$9, 0)), "")</f>
        <v/>
      </c>
      <c r="Y1399" s="18"/>
      <c r="Z1399" s="18"/>
      <c r="AA1399" s="18"/>
      <c r="AB1399" s="18"/>
      <c r="AC1399" s="18"/>
    </row>
    <row r="1400" spans="1:29" ht="32.25" hidden="1" customHeight="1">
      <c r="A1400" s="8">
        <v>2307587</v>
      </c>
      <c r="B1400" s="9" t="s">
        <v>13284</v>
      </c>
      <c r="C1400" s="9" t="s">
        <v>13284</v>
      </c>
      <c r="D1400" s="9" t="s">
        <v>13284</v>
      </c>
      <c r="E1400" s="9" t="s">
        <v>13284</v>
      </c>
      <c r="F1400" s="9" t="s">
        <v>13284</v>
      </c>
      <c r="G1400" s="9" t="s">
        <v>13284</v>
      </c>
      <c r="H1400" s="9" t="s">
        <v>13284</v>
      </c>
      <c r="I1400" s="9" t="s">
        <v>13284</v>
      </c>
      <c r="J1400" s="9" t="s">
        <v>13284</v>
      </c>
      <c r="K1400" s="9" t="s">
        <v>13284</v>
      </c>
      <c r="L1400" s="9" t="s">
        <v>13284</v>
      </c>
      <c r="M1400" s="9" t="s">
        <v>13284</v>
      </c>
      <c r="N1400" s="9" t="s">
        <v>13284</v>
      </c>
      <c r="O1400" s="9" t="s">
        <v>13284</v>
      </c>
      <c r="P1400" s="9" t="s">
        <v>13284</v>
      </c>
      <c r="Q1400" s="9" t="s">
        <v>13284</v>
      </c>
      <c r="R1400" s="9" t="s">
        <v>13284</v>
      </c>
      <c r="S1400" s="9" t="s">
        <v>13284</v>
      </c>
      <c r="T1400" s="9" t="str">
        <f ca="1">IFERROR(IF(AND(VLOOKUP(A1400, 'Актуальное состояние (из общего'!A:C,3,0) = "", A1400 &lt;&gt; ""), "ПРОВЕРИТЬ", VLOOKUP(A1400, 'Актуальное состояние (из общего'!A:C,3,0)), "")</f>
        <v>Студент</v>
      </c>
      <c r="U1400" s="9" t="s">
        <v>13284</v>
      </c>
      <c r="V1400" s="9" t="s">
        <v>13284</v>
      </c>
      <c r="W1400" s="12"/>
      <c r="X1400" s="9" t="str">
        <f t="array" ref="X1400">IFERROR(INDEX('Адреса общежитий (скрытый)'!$B$2:$B$9, MATCH(W1400, 'Адреса общежитий (скрытый)'!$A$2:$A$9, 0)), "")</f>
        <v/>
      </c>
      <c r="Y1400" s="18"/>
      <c r="Z1400" s="18"/>
      <c r="AA1400" s="18"/>
      <c r="AB1400" s="18"/>
      <c r="AC1400" s="18"/>
    </row>
    <row r="1401" spans="1:29" ht="32.25" hidden="1" customHeight="1">
      <c r="A1401" s="8">
        <v>2309187</v>
      </c>
      <c r="B1401" s="9" t="s">
        <v>13284</v>
      </c>
      <c r="C1401" s="9" t="s">
        <v>13284</v>
      </c>
      <c r="D1401" s="9" t="s">
        <v>13284</v>
      </c>
      <c r="E1401" s="9" t="s">
        <v>13284</v>
      </c>
      <c r="F1401" s="9" t="s">
        <v>13284</v>
      </c>
      <c r="G1401" s="9" t="s">
        <v>13284</v>
      </c>
      <c r="H1401" s="9" t="s">
        <v>13284</v>
      </c>
      <c r="I1401" s="9" t="s">
        <v>13284</v>
      </c>
      <c r="J1401" s="9" t="s">
        <v>13284</v>
      </c>
      <c r="K1401" s="9" t="s">
        <v>13284</v>
      </c>
      <c r="L1401" s="9" t="s">
        <v>13284</v>
      </c>
      <c r="M1401" s="9" t="s">
        <v>13284</v>
      </c>
      <c r="N1401" s="9" t="s">
        <v>13284</v>
      </c>
      <c r="O1401" s="9" t="s">
        <v>13284</v>
      </c>
      <c r="P1401" s="9" t="s">
        <v>13284</v>
      </c>
      <c r="Q1401" s="9" t="s">
        <v>13284</v>
      </c>
      <c r="R1401" s="9" t="s">
        <v>13284</v>
      </c>
      <c r="S1401" s="9" t="s">
        <v>13284</v>
      </c>
      <c r="T1401" s="9" t="str">
        <f ca="1">IFERROR(IF(AND(VLOOKUP(A1401, 'Актуальное состояние (из общего'!A:C,3,0) = "", A1401 &lt;&gt; ""), "ПРОВЕРИТЬ", VLOOKUP(A1401, 'Актуальное состояние (из общего'!A:C,3,0)), "")</f>
        <v>Студент</v>
      </c>
      <c r="U1401" s="9" t="s">
        <v>13284</v>
      </c>
      <c r="V1401" s="9" t="s">
        <v>13284</v>
      </c>
      <c r="W1401" s="12"/>
      <c r="X1401" s="9" t="str">
        <f t="array" ref="X1401">IFERROR(INDEX('Адреса общежитий (скрытый)'!$B$2:$B$9, MATCH(W1401, 'Адреса общежитий (скрытый)'!$A$2:$A$9, 0)), "")</f>
        <v/>
      </c>
      <c r="Y1401" s="18"/>
      <c r="Z1401" s="18"/>
      <c r="AA1401" s="18"/>
      <c r="AB1401" s="18"/>
      <c r="AC1401" s="18"/>
    </row>
    <row r="1402" spans="1:29" ht="32.25" customHeight="1">
      <c r="A1402" s="8">
        <v>2302985</v>
      </c>
      <c r="B1402" s="9" t="s">
        <v>13284</v>
      </c>
      <c r="C1402" s="9" t="s">
        <v>13284</v>
      </c>
      <c r="D1402" s="9" t="s">
        <v>13284</v>
      </c>
      <c r="E1402" s="9" t="s">
        <v>13284</v>
      </c>
      <c r="F1402" s="9" t="s">
        <v>13284</v>
      </c>
      <c r="G1402" s="9" t="s">
        <v>13284</v>
      </c>
      <c r="H1402" s="9" t="s">
        <v>13284</v>
      </c>
      <c r="I1402" s="9" t="s">
        <v>13284</v>
      </c>
      <c r="J1402" s="9" t="s">
        <v>13284</v>
      </c>
      <c r="K1402" s="9" t="s">
        <v>13284</v>
      </c>
      <c r="L1402" s="9" t="s">
        <v>13284</v>
      </c>
      <c r="M1402" s="9" t="s">
        <v>13284</v>
      </c>
      <c r="N1402" s="9" t="s">
        <v>13284</v>
      </c>
      <c r="O1402" s="9" t="s">
        <v>13284</v>
      </c>
      <c r="P1402" s="9" t="s">
        <v>13284</v>
      </c>
      <c r="Q1402" s="9" t="s">
        <v>13284</v>
      </c>
      <c r="R1402" s="9" t="s">
        <v>13284</v>
      </c>
      <c r="S1402" s="9" t="s">
        <v>13284</v>
      </c>
      <c r="T1402" s="9" t="str">
        <f ca="1">IFERROR(IF(AND(VLOOKUP(A1402, 'Актуальное состояние (из общего'!A:C,3,0) = "", A1402 &lt;&gt; ""), "ПРОВЕРИТЬ", VLOOKUP(A1402, 'Актуальное состояние (из общего'!A:C,3,0)), "")</f>
        <v>Студент</v>
      </c>
      <c r="U1402" s="9" t="s">
        <v>13284</v>
      </c>
      <c r="V1402" s="9" t="s">
        <v>13284</v>
      </c>
      <c r="W1402" s="12"/>
      <c r="X1402" s="9" t="str">
        <f t="array" ref="X1402">IFERROR(INDEX('Адреса общежитий (скрытый)'!$B$2:$B$9, MATCH(W1402, 'Адреса общежитий (скрытый)'!$A$2:$A$9, 0)), "")</f>
        <v/>
      </c>
      <c r="Y1402" s="18"/>
      <c r="Z1402" s="18"/>
      <c r="AA1402" s="18"/>
      <c r="AB1402" s="18"/>
      <c r="AC1402" s="18"/>
    </row>
    <row r="1403" spans="1:29" ht="32.25" hidden="1" customHeight="1">
      <c r="A1403" s="8">
        <v>2301451</v>
      </c>
      <c r="B1403" s="9" t="s">
        <v>13284</v>
      </c>
      <c r="C1403" s="9" t="s">
        <v>13284</v>
      </c>
      <c r="D1403" s="9" t="s">
        <v>13284</v>
      </c>
      <c r="E1403" s="9" t="s">
        <v>13284</v>
      </c>
      <c r="F1403" s="9" t="s">
        <v>13284</v>
      </c>
      <c r="G1403" s="9" t="s">
        <v>13284</v>
      </c>
      <c r="H1403" s="9" t="s">
        <v>13284</v>
      </c>
      <c r="I1403" s="9" t="s">
        <v>13284</v>
      </c>
      <c r="J1403" s="9" t="s">
        <v>13284</v>
      </c>
      <c r="K1403" s="9" t="s">
        <v>13284</v>
      </c>
      <c r="L1403" s="9" t="s">
        <v>13284</v>
      </c>
      <c r="M1403" s="9" t="s">
        <v>13284</v>
      </c>
      <c r="N1403" s="9" t="s">
        <v>13284</v>
      </c>
      <c r="O1403" s="9" t="s">
        <v>13284</v>
      </c>
      <c r="P1403" s="9" t="s">
        <v>13284</v>
      </c>
      <c r="Q1403" s="9" t="s">
        <v>13284</v>
      </c>
      <c r="R1403" s="9" t="s">
        <v>13284</v>
      </c>
      <c r="S1403" s="9" t="s">
        <v>13284</v>
      </c>
      <c r="T1403" s="9" t="str">
        <f ca="1">IFERROR(IF(AND(VLOOKUP(A1403, 'Актуальное состояние (из общего'!A:C,3,0) = "", A1403 &lt;&gt; ""), "ПРОВЕРИТЬ", VLOOKUP(A1403, 'Актуальное состояние (из общего'!A:C,3,0)), "")</f>
        <v>Студент</v>
      </c>
      <c r="U1403" s="9" t="s">
        <v>13284</v>
      </c>
      <c r="V1403" s="9" t="s">
        <v>13284</v>
      </c>
      <c r="W1403" s="12"/>
      <c r="X1403" s="9" t="str">
        <f t="array" ref="X1403">IFERROR(INDEX('Адреса общежитий (скрытый)'!$B$2:$B$9, MATCH(W1403, 'Адреса общежитий (скрытый)'!$A$2:$A$9, 0)), "")</f>
        <v/>
      </c>
      <c r="Y1403" s="18"/>
      <c r="Z1403" s="18"/>
      <c r="AA1403" s="18"/>
      <c r="AB1403" s="18"/>
      <c r="AC1403" s="18"/>
    </row>
    <row r="1404" spans="1:29" ht="32.25" hidden="1" customHeight="1">
      <c r="A1404" s="8">
        <v>2302024</v>
      </c>
      <c r="B1404" s="9" t="s">
        <v>13284</v>
      </c>
      <c r="C1404" s="9" t="s">
        <v>13284</v>
      </c>
      <c r="D1404" s="9" t="s">
        <v>13284</v>
      </c>
      <c r="E1404" s="9" t="s">
        <v>13284</v>
      </c>
      <c r="F1404" s="9" t="s">
        <v>13284</v>
      </c>
      <c r="G1404" s="9" t="s">
        <v>13284</v>
      </c>
      <c r="H1404" s="9" t="s">
        <v>13284</v>
      </c>
      <c r="I1404" s="9" t="s">
        <v>13284</v>
      </c>
      <c r="J1404" s="9" t="s">
        <v>13284</v>
      </c>
      <c r="K1404" s="9" t="s">
        <v>13284</v>
      </c>
      <c r="L1404" s="9" t="s">
        <v>13284</v>
      </c>
      <c r="M1404" s="9" t="s">
        <v>13284</v>
      </c>
      <c r="N1404" s="9" t="s">
        <v>13284</v>
      </c>
      <c r="O1404" s="9" t="s">
        <v>13284</v>
      </c>
      <c r="P1404" s="9" t="s">
        <v>13284</v>
      </c>
      <c r="Q1404" s="9" t="s">
        <v>13284</v>
      </c>
      <c r="R1404" s="9" t="s">
        <v>13284</v>
      </c>
      <c r="S1404" s="9" t="s">
        <v>13284</v>
      </c>
      <c r="T1404" s="9" t="str">
        <f ca="1">IFERROR(IF(AND(VLOOKUP(A1404, 'Актуальное состояние (из общего'!A:C,3,0) = "", A1404 &lt;&gt; ""), "ПРОВЕРИТЬ", VLOOKUP(A1404, 'Актуальное состояние (из общего'!A:C,3,0)), "")</f>
        <v>Студент</v>
      </c>
      <c r="U1404" s="9" t="s">
        <v>13284</v>
      </c>
      <c r="V1404" s="9" t="s">
        <v>13284</v>
      </c>
      <c r="W1404" s="12"/>
      <c r="X1404" s="9" t="str">
        <f t="array" ref="X1404">IFERROR(INDEX('Адреса общежитий (скрытый)'!$B$2:$B$9, MATCH(W1404, 'Адреса общежитий (скрытый)'!$A$2:$A$9, 0)), "")</f>
        <v/>
      </c>
      <c r="Y1404" s="18"/>
      <c r="Z1404" s="18"/>
      <c r="AA1404" s="18"/>
      <c r="AB1404" s="18"/>
      <c r="AC1404" s="18"/>
    </row>
    <row r="1405" spans="1:29" ht="32.25" hidden="1" customHeight="1">
      <c r="A1405" s="8">
        <v>2303893</v>
      </c>
      <c r="B1405" s="9" t="s">
        <v>13284</v>
      </c>
      <c r="C1405" s="9" t="s">
        <v>13284</v>
      </c>
      <c r="D1405" s="9" t="s">
        <v>13284</v>
      </c>
      <c r="E1405" s="9" t="s">
        <v>13284</v>
      </c>
      <c r="F1405" s="9" t="s">
        <v>13284</v>
      </c>
      <c r="G1405" s="9" t="s">
        <v>13284</v>
      </c>
      <c r="H1405" s="9" t="s">
        <v>13284</v>
      </c>
      <c r="I1405" s="9" t="s">
        <v>13284</v>
      </c>
      <c r="J1405" s="9" t="s">
        <v>13284</v>
      </c>
      <c r="K1405" s="9" t="s">
        <v>13284</v>
      </c>
      <c r="L1405" s="9" t="s">
        <v>13284</v>
      </c>
      <c r="M1405" s="9" t="s">
        <v>13284</v>
      </c>
      <c r="N1405" s="9" t="s">
        <v>13284</v>
      </c>
      <c r="O1405" s="9" t="s">
        <v>13284</v>
      </c>
      <c r="P1405" s="9" t="s">
        <v>13284</v>
      </c>
      <c r="Q1405" s="9" t="s">
        <v>13284</v>
      </c>
      <c r="R1405" s="9" t="s">
        <v>13284</v>
      </c>
      <c r="S1405" s="9" t="s">
        <v>13284</v>
      </c>
      <c r="T1405" s="9" t="str">
        <f ca="1">IFERROR(IF(AND(VLOOKUP(A1405, 'Актуальное состояние (из общего'!A:C,3,0) = "", A1405 &lt;&gt; ""), "ПРОВЕРИТЬ", VLOOKUP(A1405, 'Актуальное состояние (из общего'!A:C,3,0)), "")</f>
        <v>Студент</v>
      </c>
      <c r="U1405" s="9" t="s">
        <v>13284</v>
      </c>
      <c r="V1405" s="9" t="s">
        <v>13284</v>
      </c>
      <c r="W1405" s="12"/>
      <c r="X1405" s="9" t="str">
        <f t="array" ref="X1405">IFERROR(INDEX('Адреса общежитий (скрытый)'!$B$2:$B$9, MATCH(W1405, 'Адреса общежитий (скрытый)'!$A$2:$A$9, 0)), "")</f>
        <v/>
      </c>
      <c r="Y1405" s="18"/>
      <c r="Z1405" s="18"/>
      <c r="AA1405" s="18"/>
      <c r="AB1405" s="18"/>
      <c r="AC1405" s="18"/>
    </row>
    <row r="1406" spans="1:29" ht="32.25" hidden="1" customHeight="1">
      <c r="A1406" s="8">
        <v>2300420</v>
      </c>
      <c r="B1406" s="9" t="s">
        <v>13284</v>
      </c>
      <c r="C1406" s="9" t="s">
        <v>13284</v>
      </c>
      <c r="D1406" s="9" t="s">
        <v>13284</v>
      </c>
      <c r="E1406" s="9" t="s">
        <v>13284</v>
      </c>
      <c r="F1406" s="9" t="s">
        <v>13284</v>
      </c>
      <c r="G1406" s="9" t="s">
        <v>13284</v>
      </c>
      <c r="H1406" s="9" t="s">
        <v>13284</v>
      </c>
      <c r="I1406" s="9" t="s">
        <v>13284</v>
      </c>
      <c r="J1406" s="9" t="s">
        <v>13284</v>
      </c>
      <c r="K1406" s="9" t="s">
        <v>13284</v>
      </c>
      <c r="L1406" s="9" t="s">
        <v>13284</v>
      </c>
      <c r="M1406" s="9" t="s">
        <v>13284</v>
      </c>
      <c r="N1406" s="9" t="s">
        <v>13284</v>
      </c>
      <c r="O1406" s="9" t="s">
        <v>13284</v>
      </c>
      <c r="P1406" s="9" t="s">
        <v>13284</v>
      </c>
      <c r="Q1406" s="9" t="s">
        <v>13284</v>
      </c>
      <c r="R1406" s="9" t="s">
        <v>13284</v>
      </c>
      <c r="S1406" s="9" t="s">
        <v>13284</v>
      </c>
      <c r="T1406" s="9" t="str">
        <f ca="1">IFERROR(IF(AND(VLOOKUP(A1406, 'Актуальное состояние (из общего'!A:C,3,0) = "", A1406 &lt;&gt; ""), "ПРОВЕРИТЬ", VLOOKUP(A1406, 'Актуальное состояние (из общего'!A:C,3,0)), "")</f>
        <v>Студент</v>
      </c>
      <c r="U1406" s="9" t="s">
        <v>13284</v>
      </c>
      <c r="V1406" s="9" t="s">
        <v>13284</v>
      </c>
      <c r="W1406" s="12"/>
      <c r="X1406" s="9" t="str">
        <f t="array" ref="X1406">IFERROR(INDEX('Адреса общежитий (скрытый)'!$B$2:$B$9, MATCH(W1406, 'Адреса общежитий (скрытый)'!$A$2:$A$9, 0)), "")</f>
        <v/>
      </c>
      <c r="Y1406" s="18"/>
      <c r="Z1406" s="18"/>
      <c r="AA1406" s="18"/>
      <c r="AB1406" s="18"/>
      <c r="AC1406" s="18"/>
    </row>
    <row r="1407" spans="1:29" ht="32.25" hidden="1" customHeight="1">
      <c r="A1407" s="8">
        <v>2307733</v>
      </c>
      <c r="B1407" s="9" t="s">
        <v>13284</v>
      </c>
      <c r="C1407" s="9" t="s">
        <v>13284</v>
      </c>
      <c r="D1407" s="9" t="s">
        <v>13284</v>
      </c>
      <c r="E1407" s="9" t="s">
        <v>13284</v>
      </c>
      <c r="F1407" s="9" t="s">
        <v>13284</v>
      </c>
      <c r="G1407" s="9" t="s">
        <v>13284</v>
      </c>
      <c r="H1407" s="9" t="s">
        <v>13284</v>
      </c>
      <c r="I1407" s="9" t="s">
        <v>13284</v>
      </c>
      <c r="J1407" s="9" t="s">
        <v>13284</v>
      </c>
      <c r="K1407" s="9" t="s">
        <v>13284</v>
      </c>
      <c r="L1407" s="9" t="s">
        <v>13284</v>
      </c>
      <c r="M1407" s="9" t="s">
        <v>13284</v>
      </c>
      <c r="N1407" s="9" t="s">
        <v>13284</v>
      </c>
      <c r="O1407" s="9" t="s">
        <v>13284</v>
      </c>
      <c r="P1407" s="9" t="s">
        <v>13284</v>
      </c>
      <c r="Q1407" s="9" t="s">
        <v>13284</v>
      </c>
      <c r="R1407" s="9" t="s">
        <v>13284</v>
      </c>
      <c r="S1407" s="9" t="s">
        <v>13284</v>
      </c>
      <c r="T1407" s="9" t="str">
        <f ca="1">IFERROR(IF(AND(VLOOKUP(A1407, 'Актуальное состояние (из общего'!A:C,3,0) = "", A1407 &lt;&gt; ""), "ПРОВЕРИТЬ", VLOOKUP(A1407, 'Актуальное состояние (из общего'!A:C,3,0)), "")</f>
        <v>Студент</v>
      </c>
      <c r="U1407" s="9" t="s">
        <v>13284</v>
      </c>
      <c r="V1407" s="9" t="s">
        <v>13284</v>
      </c>
      <c r="W1407" s="12"/>
      <c r="X1407" s="9" t="str">
        <f t="array" ref="X1407">IFERROR(INDEX('Адреса общежитий (скрытый)'!$B$2:$B$9, MATCH(W1407, 'Адреса общежитий (скрытый)'!$A$2:$A$9, 0)), "")</f>
        <v/>
      </c>
      <c r="Y1407" s="18"/>
      <c r="Z1407" s="18"/>
      <c r="AA1407" s="18"/>
      <c r="AB1407" s="18"/>
      <c r="AC1407" s="18"/>
    </row>
    <row r="1408" spans="1:29" ht="32.25" customHeight="1">
      <c r="A1408" s="8">
        <v>2306722</v>
      </c>
      <c r="B1408" s="9" t="s">
        <v>13284</v>
      </c>
      <c r="C1408" s="9" t="s">
        <v>13284</v>
      </c>
      <c r="D1408" s="9" t="s">
        <v>13284</v>
      </c>
      <c r="E1408" s="9" t="s">
        <v>13284</v>
      </c>
      <c r="F1408" s="9" t="s">
        <v>13284</v>
      </c>
      <c r="G1408" s="9" t="s">
        <v>13284</v>
      </c>
      <c r="H1408" s="9" t="s">
        <v>13284</v>
      </c>
      <c r="I1408" s="9" t="s">
        <v>13284</v>
      </c>
      <c r="J1408" s="9" t="s">
        <v>13284</v>
      </c>
      <c r="K1408" s="9" t="s">
        <v>13284</v>
      </c>
      <c r="L1408" s="9" t="s">
        <v>13284</v>
      </c>
      <c r="M1408" s="9" t="s">
        <v>13284</v>
      </c>
      <c r="N1408" s="9" t="s">
        <v>13284</v>
      </c>
      <c r="O1408" s="9" t="s">
        <v>13284</v>
      </c>
      <c r="P1408" s="9" t="s">
        <v>13284</v>
      </c>
      <c r="Q1408" s="9" t="s">
        <v>13284</v>
      </c>
      <c r="R1408" s="9" t="s">
        <v>13284</v>
      </c>
      <c r="S1408" s="9" t="s">
        <v>13284</v>
      </c>
      <c r="T1408" s="9" t="str">
        <f ca="1">IFERROR(IF(AND(VLOOKUP(A1408, 'Актуальное состояние (из общего'!A:C,3,0) = "", A1408 &lt;&gt; ""), "ПРОВЕРИТЬ", VLOOKUP(A1408, 'Актуальное состояние (из общего'!A:C,3,0)), "")</f>
        <v>Студент</v>
      </c>
      <c r="U1408" s="9" t="s">
        <v>13284</v>
      </c>
      <c r="V1408" s="9" t="s">
        <v>13284</v>
      </c>
      <c r="W1408" s="12"/>
      <c r="X1408" s="9" t="str">
        <f t="array" ref="X1408">IFERROR(INDEX('Адреса общежитий (скрытый)'!$B$2:$B$9, MATCH(W1408, 'Адреса общежитий (скрытый)'!$A$2:$A$9, 0)), "")</f>
        <v/>
      </c>
      <c r="Y1408" s="18"/>
      <c r="Z1408" s="18"/>
      <c r="AA1408" s="18"/>
      <c r="AB1408" s="18"/>
      <c r="AC1408" s="18"/>
    </row>
    <row r="1409" spans="1:29" ht="32.25" hidden="1" customHeight="1">
      <c r="A1409" s="8">
        <v>2308141</v>
      </c>
      <c r="B1409" s="9" t="s">
        <v>13284</v>
      </c>
      <c r="C1409" s="9" t="s">
        <v>13284</v>
      </c>
      <c r="D1409" s="9" t="s">
        <v>13284</v>
      </c>
      <c r="E1409" s="9" t="s">
        <v>13284</v>
      </c>
      <c r="F1409" s="9" t="s">
        <v>13284</v>
      </c>
      <c r="G1409" s="9" t="s">
        <v>13284</v>
      </c>
      <c r="H1409" s="9" t="s">
        <v>13284</v>
      </c>
      <c r="I1409" s="9" t="s">
        <v>13284</v>
      </c>
      <c r="J1409" s="9" t="s">
        <v>13284</v>
      </c>
      <c r="K1409" s="9" t="s">
        <v>13284</v>
      </c>
      <c r="L1409" s="9" t="s">
        <v>13284</v>
      </c>
      <c r="M1409" s="9" t="s">
        <v>13284</v>
      </c>
      <c r="N1409" s="9" t="s">
        <v>13284</v>
      </c>
      <c r="O1409" s="9" t="s">
        <v>13284</v>
      </c>
      <c r="P1409" s="9" t="s">
        <v>13284</v>
      </c>
      <c r="Q1409" s="9" t="s">
        <v>13284</v>
      </c>
      <c r="R1409" s="9" t="s">
        <v>13284</v>
      </c>
      <c r="S1409" s="9" t="s">
        <v>13284</v>
      </c>
      <c r="T1409" s="9" t="str">
        <f ca="1">IFERROR(IF(AND(VLOOKUP(A1409, 'Актуальное состояние (из общего'!A:C,3,0) = "", A1409 &lt;&gt; ""), "ПРОВЕРИТЬ", VLOOKUP(A1409, 'Актуальное состояние (из общего'!A:C,3,0)), "")</f>
        <v>Студент</v>
      </c>
      <c r="U1409" s="9" t="s">
        <v>13284</v>
      </c>
      <c r="V1409" s="9" t="s">
        <v>13284</v>
      </c>
      <c r="W1409" s="12"/>
      <c r="X1409" s="9" t="str">
        <f t="array" ref="X1409">IFERROR(INDEX('Адреса общежитий (скрытый)'!$B$2:$B$9, MATCH(W1409, 'Адреса общежитий (скрытый)'!$A$2:$A$9, 0)), "")</f>
        <v/>
      </c>
      <c r="Y1409" s="18"/>
      <c r="Z1409" s="18"/>
      <c r="AA1409" s="18"/>
      <c r="AB1409" s="18"/>
      <c r="AC1409" s="18"/>
    </row>
    <row r="1410" spans="1:29" ht="32.25" hidden="1" customHeight="1">
      <c r="A1410" s="8">
        <v>2308137</v>
      </c>
      <c r="B1410" s="9" t="s">
        <v>13284</v>
      </c>
      <c r="C1410" s="9" t="s">
        <v>13284</v>
      </c>
      <c r="D1410" s="9" t="s">
        <v>13284</v>
      </c>
      <c r="E1410" s="9" t="s">
        <v>13284</v>
      </c>
      <c r="F1410" s="9" t="s">
        <v>13284</v>
      </c>
      <c r="G1410" s="9" t="s">
        <v>13284</v>
      </c>
      <c r="H1410" s="9" t="s">
        <v>13284</v>
      </c>
      <c r="I1410" s="9" t="s">
        <v>13284</v>
      </c>
      <c r="J1410" s="9" t="s">
        <v>13284</v>
      </c>
      <c r="K1410" s="9" t="s">
        <v>13284</v>
      </c>
      <c r="L1410" s="9" t="s">
        <v>13284</v>
      </c>
      <c r="M1410" s="9" t="s">
        <v>13284</v>
      </c>
      <c r="N1410" s="9" t="s">
        <v>13284</v>
      </c>
      <c r="O1410" s="9" t="s">
        <v>13284</v>
      </c>
      <c r="P1410" s="9" t="s">
        <v>13284</v>
      </c>
      <c r="Q1410" s="9" t="s">
        <v>13284</v>
      </c>
      <c r="R1410" s="9" t="s">
        <v>13284</v>
      </c>
      <c r="S1410" s="9" t="s">
        <v>13284</v>
      </c>
      <c r="T1410" s="9" t="str">
        <f ca="1">IFERROR(IF(AND(VLOOKUP(A1410, 'Актуальное состояние (из общего'!A:C,3,0) = "", A1410 &lt;&gt; ""), "ПРОВЕРИТЬ", VLOOKUP(A1410, 'Актуальное состояние (из общего'!A:C,3,0)), "")</f>
        <v>Студент</v>
      </c>
      <c r="U1410" s="9" t="s">
        <v>13284</v>
      </c>
      <c r="V1410" s="9" t="s">
        <v>13284</v>
      </c>
      <c r="W1410" s="12"/>
      <c r="X1410" s="9" t="str">
        <f t="array" ref="X1410">IFERROR(INDEX('Адреса общежитий (скрытый)'!$B$2:$B$9, MATCH(W1410, 'Адреса общежитий (скрытый)'!$A$2:$A$9, 0)), "")</f>
        <v/>
      </c>
      <c r="Y1410" s="18"/>
      <c r="Z1410" s="18"/>
      <c r="AA1410" s="18"/>
      <c r="AB1410" s="18"/>
      <c r="AC1410" s="18"/>
    </row>
    <row r="1411" spans="1:29" ht="32.25" hidden="1" customHeight="1">
      <c r="A1411" s="8">
        <v>2304265</v>
      </c>
      <c r="B1411" s="9" t="s">
        <v>13284</v>
      </c>
      <c r="C1411" s="9" t="s">
        <v>13284</v>
      </c>
      <c r="D1411" s="9" t="s">
        <v>13284</v>
      </c>
      <c r="E1411" s="9" t="s">
        <v>13284</v>
      </c>
      <c r="F1411" s="9" t="s">
        <v>13284</v>
      </c>
      <c r="G1411" s="9" t="s">
        <v>13284</v>
      </c>
      <c r="H1411" s="9" t="s">
        <v>13284</v>
      </c>
      <c r="I1411" s="9" t="s">
        <v>13284</v>
      </c>
      <c r="J1411" s="9" t="s">
        <v>13284</v>
      </c>
      <c r="K1411" s="9" t="s">
        <v>13284</v>
      </c>
      <c r="L1411" s="9" t="s">
        <v>13284</v>
      </c>
      <c r="M1411" s="9" t="s">
        <v>13284</v>
      </c>
      <c r="N1411" s="9" t="s">
        <v>13284</v>
      </c>
      <c r="O1411" s="9" t="s">
        <v>13284</v>
      </c>
      <c r="P1411" s="9" t="s">
        <v>13284</v>
      </c>
      <c r="Q1411" s="9" t="s">
        <v>13284</v>
      </c>
      <c r="R1411" s="9" t="s">
        <v>13284</v>
      </c>
      <c r="S1411" s="9" t="s">
        <v>13284</v>
      </c>
      <c r="T1411" s="9" t="str">
        <f ca="1">IFERROR(IF(AND(VLOOKUP(A1411, 'Актуальное состояние (из общего'!A:C,3,0) = "", A1411 &lt;&gt; ""), "ПРОВЕРИТЬ", VLOOKUP(A1411, 'Актуальное состояние (из общего'!A:C,3,0)), "")</f>
        <v>Студент</v>
      </c>
      <c r="U1411" s="9" t="s">
        <v>13284</v>
      </c>
      <c r="V1411" s="9" t="s">
        <v>13284</v>
      </c>
      <c r="W1411" s="12"/>
      <c r="X1411" s="9" t="str">
        <f t="array" ref="X1411">IFERROR(INDEX('Адреса общежитий (скрытый)'!$B$2:$B$9, MATCH(W1411, 'Адреса общежитий (скрытый)'!$A$2:$A$9, 0)), "")</f>
        <v/>
      </c>
      <c r="Y1411" s="18"/>
      <c r="Z1411" s="18"/>
      <c r="AA1411" s="18"/>
      <c r="AB1411" s="18"/>
      <c r="AC1411" s="18"/>
    </row>
    <row r="1412" spans="1:29" ht="32.25" hidden="1" customHeight="1">
      <c r="A1412" s="8">
        <v>2303157</v>
      </c>
      <c r="B1412" s="9" t="s">
        <v>13284</v>
      </c>
      <c r="C1412" s="9" t="s">
        <v>13284</v>
      </c>
      <c r="D1412" s="9" t="s">
        <v>13284</v>
      </c>
      <c r="E1412" s="9" t="s">
        <v>13284</v>
      </c>
      <c r="F1412" s="9" t="s">
        <v>13284</v>
      </c>
      <c r="G1412" s="9" t="s">
        <v>13284</v>
      </c>
      <c r="H1412" s="9" t="s">
        <v>13284</v>
      </c>
      <c r="I1412" s="9" t="s">
        <v>13284</v>
      </c>
      <c r="J1412" s="9" t="s">
        <v>13284</v>
      </c>
      <c r="K1412" s="9" t="s">
        <v>13284</v>
      </c>
      <c r="L1412" s="9" t="s">
        <v>13284</v>
      </c>
      <c r="M1412" s="9" t="s">
        <v>13284</v>
      </c>
      <c r="N1412" s="9" t="s">
        <v>13284</v>
      </c>
      <c r="O1412" s="9" t="s">
        <v>13284</v>
      </c>
      <c r="P1412" s="9" t="s">
        <v>13284</v>
      </c>
      <c r="Q1412" s="9" t="s">
        <v>13284</v>
      </c>
      <c r="R1412" s="9" t="s">
        <v>13284</v>
      </c>
      <c r="S1412" s="9" t="s">
        <v>13284</v>
      </c>
      <c r="T1412" s="9" t="str">
        <f ca="1">IFERROR(IF(AND(VLOOKUP(A1412, 'Актуальное состояние (из общего'!A:C,3,0) = "", A1412 &lt;&gt; ""), "ПРОВЕРИТЬ", VLOOKUP(A1412, 'Актуальное состояние (из общего'!A:C,3,0)), "")</f>
        <v>Студент</v>
      </c>
      <c r="U1412" s="9" t="s">
        <v>13284</v>
      </c>
      <c r="V1412" s="9" t="s">
        <v>13284</v>
      </c>
      <c r="W1412" s="12"/>
      <c r="X1412" s="9" t="str">
        <f t="array" ref="X1412">IFERROR(INDEX('Адреса общежитий (скрытый)'!$B$2:$B$9, MATCH(W1412, 'Адреса общежитий (скрытый)'!$A$2:$A$9, 0)), "")</f>
        <v/>
      </c>
      <c r="Y1412" s="18"/>
      <c r="Z1412" s="18"/>
      <c r="AA1412" s="18"/>
      <c r="AB1412" s="18"/>
      <c r="AC1412" s="18"/>
    </row>
    <row r="1413" spans="1:29" ht="32.25" customHeight="1">
      <c r="A1413" s="8">
        <v>2309021</v>
      </c>
      <c r="B1413" s="9" t="s">
        <v>13284</v>
      </c>
      <c r="C1413" s="9" t="s">
        <v>13284</v>
      </c>
      <c r="D1413" s="9" t="s">
        <v>13284</v>
      </c>
      <c r="E1413" s="9" t="s">
        <v>13284</v>
      </c>
      <c r="F1413" s="9" t="s">
        <v>13284</v>
      </c>
      <c r="G1413" s="9" t="s">
        <v>13284</v>
      </c>
      <c r="H1413" s="9" t="s">
        <v>13284</v>
      </c>
      <c r="I1413" s="9" t="s">
        <v>13284</v>
      </c>
      <c r="J1413" s="9" t="s">
        <v>13284</v>
      </c>
      <c r="K1413" s="9" t="s">
        <v>13284</v>
      </c>
      <c r="L1413" s="9" t="s">
        <v>13284</v>
      </c>
      <c r="M1413" s="9" t="s">
        <v>13284</v>
      </c>
      <c r="N1413" s="9" t="s">
        <v>13284</v>
      </c>
      <c r="O1413" s="9" t="s">
        <v>13284</v>
      </c>
      <c r="P1413" s="9" t="s">
        <v>13284</v>
      </c>
      <c r="Q1413" s="9" t="s">
        <v>13284</v>
      </c>
      <c r="R1413" s="9" t="s">
        <v>13284</v>
      </c>
      <c r="S1413" s="9" t="s">
        <v>13284</v>
      </c>
      <c r="T1413" s="9" t="str">
        <f ca="1">IFERROR(IF(AND(VLOOKUP(A1413, 'Актуальное состояние (из общего'!A:C,3,0) = "", A1413 &lt;&gt; ""), "ПРОВЕРИТЬ", VLOOKUP(A1413, 'Актуальное состояние (из общего'!A:C,3,0)), "")</f>
        <v>Студент</v>
      </c>
      <c r="U1413" s="9" t="s">
        <v>13284</v>
      </c>
      <c r="V1413" s="9" t="s">
        <v>13284</v>
      </c>
      <c r="W1413" s="12"/>
      <c r="X1413" s="9" t="str">
        <f t="array" ref="X1413">IFERROR(INDEX('Адреса общежитий (скрытый)'!$B$2:$B$9, MATCH(W1413, 'Адреса общежитий (скрытый)'!$A$2:$A$9, 0)), "")</f>
        <v/>
      </c>
      <c r="Y1413" s="18"/>
      <c r="Z1413" s="18"/>
      <c r="AA1413" s="18"/>
      <c r="AB1413" s="18"/>
      <c r="AC1413" s="18"/>
    </row>
    <row r="1414" spans="1:29" ht="32.25" customHeight="1">
      <c r="A1414" s="8">
        <v>2313259</v>
      </c>
      <c r="B1414" s="9" t="s">
        <v>13284</v>
      </c>
      <c r="C1414" s="9" t="s">
        <v>13284</v>
      </c>
      <c r="D1414" s="9" t="s">
        <v>13284</v>
      </c>
      <c r="E1414" s="9" t="s">
        <v>13284</v>
      </c>
      <c r="F1414" s="9" t="s">
        <v>13284</v>
      </c>
      <c r="G1414" s="9" t="s">
        <v>13284</v>
      </c>
      <c r="H1414" s="9" t="s">
        <v>13284</v>
      </c>
      <c r="I1414" s="9" t="s">
        <v>13284</v>
      </c>
      <c r="J1414" s="9" t="s">
        <v>13284</v>
      </c>
      <c r="K1414" s="9" t="s">
        <v>13284</v>
      </c>
      <c r="L1414" s="9" t="s">
        <v>13284</v>
      </c>
      <c r="M1414" s="9" t="s">
        <v>13284</v>
      </c>
      <c r="N1414" s="9" t="s">
        <v>13284</v>
      </c>
      <c r="O1414" s="9" t="s">
        <v>13284</v>
      </c>
      <c r="P1414" s="9" t="s">
        <v>13284</v>
      </c>
      <c r="Q1414" s="9" t="s">
        <v>13284</v>
      </c>
      <c r="R1414" s="9" t="s">
        <v>13284</v>
      </c>
      <c r="S1414" s="9" t="s">
        <v>13284</v>
      </c>
      <c r="T1414" s="9" t="str">
        <f ca="1">IFERROR(IF(AND(VLOOKUP(A1414, 'Актуальное состояние (из общего'!A:C,3,0) = "", A1414 &lt;&gt; ""), "ПРОВЕРИТЬ", VLOOKUP(A1414, 'Актуальное состояние (из общего'!A:C,3,0)), "")</f>
        <v>Студент</v>
      </c>
      <c r="U1414" s="9" t="s">
        <v>13284</v>
      </c>
      <c r="V1414" s="9" t="s">
        <v>13284</v>
      </c>
      <c r="W1414" s="12"/>
      <c r="X1414" s="9" t="str">
        <f t="array" ref="X1414">IFERROR(INDEX('Адреса общежитий (скрытый)'!$B$2:$B$9, MATCH(W1414, 'Адреса общежитий (скрытый)'!$A$2:$A$9, 0)), "")</f>
        <v/>
      </c>
      <c r="Y1414" s="18"/>
      <c r="Z1414" s="18"/>
      <c r="AA1414" s="18"/>
      <c r="AB1414" s="18"/>
      <c r="AC1414" s="18"/>
    </row>
    <row r="1415" spans="1:29" ht="32.25" customHeight="1">
      <c r="A1415" s="8">
        <v>2308312</v>
      </c>
      <c r="B1415" s="9" t="s">
        <v>13284</v>
      </c>
      <c r="C1415" s="9" t="s">
        <v>13284</v>
      </c>
      <c r="D1415" s="9" t="s">
        <v>13284</v>
      </c>
      <c r="E1415" s="9" t="s">
        <v>13284</v>
      </c>
      <c r="F1415" s="9" t="s">
        <v>13284</v>
      </c>
      <c r="G1415" s="9" t="s">
        <v>13284</v>
      </c>
      <c r="H1415" s="9" t="s">
        <v>13284</v>
      </c>
      <c r="I1415" s="9" t="s">
        <v>13284</v>
      </c>
      <c r="J1415" s="9" t="s">
        <v>13284</v>
      </c>
      <c r="K1415" s="9" t="s">
        <v>13284</v>
      </c>
      <c r="L1415" s="9" t="s">
        <v>13284</v>
      </c>
      <c r="M1415" s="9" t="s">
        <v>13284</v>
      </c>
      <c r="N1415" s="9" t="s">
        <v>13284</v>
      </c>
      <c r="O1415" s="9" t="s">
        <v>13284</v>
      </c>
      <c r="P1415" s="9" t="s">
        <v>13284</v>
      </c>
      <c r="Q1415" s="9" t="s">
        <v>13284</v>
      </c>
      <c r="R1415" s="9" t="s">
        <v>13284</v>
      </c>
      <c r="S1415" s="9" t="s">
        <v>13284</v>
      </c>
      <c r="T1415" s="9" t="str">
        <f ca="1">IFERROR(IF(AND(VLOOKUP(A1415, 'Актуальное состояние (из общего'!A:C,3,0) = "", A1415 &lt;&gt; ""), "ПРОВЕРИТЬ", VLOOKUP(A1415, 'Актуальное состояние (из общего'!A:C,3,0)), "")</f>
        <v>Студент</v>
      </c>
      <c r="U1415" s="9" t="s">
        <v>13284</v>
      </c>
      <c r="V1415" s="9" t="s">
        <v>13284</v>
      </c>
      <c r="W1415" s="12"/>
      <c r="X1415" s="9" t="str">
        <f t="array" ref="X1415">IFERROR(INDEX('Адреса общежитий (скрытый)'!$B$2:$B$9, MATCH(W1415, 'Адреса общежитий (скрытый)'!$A$2:$A$9, 0)), "")</f>
        <v/>
      </c>
      <c r="Y1415" s="18"/>
      <c r="Z1415" s="18"/>
      <c r="AA1415" s="18"/>
      <c r="AB1415" s="18"/>
      <c r="AC1415" s="18"/>
    </row>
    <row r="1416" spans="1:29" ht="32.25" hidden="1" customHeight="1">
      <c r="A1416" s="8">
        <v>2301876</v>
      </c>
      <c r="B1416" s="9" t="s">
        <v>13284</v>
      </c>
      <c r="C1416" s="9" t="s">
        <v>13284</v>
      </c>
      <c r="D1416" s="9" t="s">
        <v>13284</v>
      </c>
      <c r="E1416" s="9" t="s">
        <v>13284</v>
      </c>
      <c r="F1416" s="9" t="s">
        <v>13284</v>
      </c>
      <c r="G1416" s="9" t="s">
        <v>13284</v>
      </c>
      <c r="H1416" s="9" t="s">
        <v>13284</v>
      </c>
      <c r="I1416" s="9" t="s">
        <v>13284</v>
      </c>
      <c r="J1416" s="9" t="s">
        <v>13284</v>
      </c>
      <c r="K1416" s="9" t="s">
        <v>13284</v>
      </c>
      <c r="L1416" s="9" t="s">
        <v>13284</v>
      </c>
      <c r="M1416" s="9" t="s">
        <v>13284</v>
      </c>
      <c r="N1416" s="9" t="s">
        <v>13284</v>
      </c>
      <c r="O1416" s="9" t="s">
        <v>13284</v>
      </c>
      <c r="P1416" s="9" t="s">
        <v>13284</v>
      </c>
      <c r="Q1416" s="9" t="s">
        <v>13284</v>
      </c>
      <c r="R1416" s="9" t="s">
        <v>13284</v>
      </c>
      <c r="S1416" s="9" t="s">
        <v>13284</v>
      </c>
      <c r="T1416" s="9" t="str">
        <f ca="1">IFERROR(IF(AND(VLOOKUP(A1416, 'Актуальное состояние (из общего'!A:C,3,0) = "", A1416 &lt;&gt; ""), "ПРОВЕРИТЬ", VLOOKUP(A1416, 'Актуальное состояние (из общего'!A:C,3,0)), "")</f>
        <v>Студент</v>
      </c>
      <c r="U1416" s="9" t="s">
        <v>13284</v>
      </c>
      <c r="V1416" s="9" t="s">
        <v>13284</v>
      </c>
      <c r="W1416" s="12"/>
      <c r="X1416" s="9" t="str">
        <f t="array" ref="X1416">IFERROR(INDEX('Адреса общежитий (скрытый)'!$B$2:$B$9, MATCH(W1416, 'Адреса общежитий (скрытый)'!$A$2:$A$9, 0)), "")</f>
        <v/>
      </c>
      <c r="Y1416" s="18"/>
      <c r="Z1416" s="18"/>
      <c r="AA1416" s="18"/>
      <c r="AB1416" s="18"/>
      <c r="AC1416" s="18"/>
    </row>
    <row r="1417" spans="1:29" ht="32.25" hidden="1" customHeight="1">
      <c r="A1417" s="8">
        <v>2304890</v>
      </c>
      <c r="B1417" s="9" t="s">
        <v>13284</v>
      </c>
      <c r="C1417" s="9" t="s">
        <v>13284</v>
      </c>
      <c r="D1417" s="9" t="s">
        <v>13284</v>
      </c>
      <c r="E1417" s="9" t="s">
        <v>13284</v>
      </c>
      <c r="F1417" s="9" t="s">
        <v>13284</v>
      </c>
      <c r="G1417" s="9" t="s">
        <v>13284</v>
      </c>
      <c r="H1417" s="9" t="s">
        <v>13284</v>
      </c>
      <c r="I1417" s="9" t="s">
        <v>13284</v>
      </c>
      <c r="J1417" s="9" t="s">
        <v>13284</v>
      </c>
      <c r="K1417" s="9" t="s">
        <v>13284</v>
      </c>
      <c r="L1417" s="9" t="s">
        <v>13284</v>
      </c>
      <c r="M1417" s="9" t="s">
        <v>13284</v>
      </c>
      <c r="N1417" s="9" t="s">
        <v>13284</v>
      </c>
      <c r="O1417" s="9" t="s">
        <v>13284</v>
      </c>
      <c r="P1417" s="9" t="s">
        <v>13284</v>
      </c>
      <c r="Q1417" s="9" t="s">
        <v>13284</v>
      </c>
      <c r="R1417" s="9" t="s">
        <v>13284</v>
      </c>
      <c r="S1417" s="9" t="s">
        <v>13284</v>
      </c>
      <c r="T1417" s="9" t="str">
        <f ca="1">IFERROR(IF(AND(VLOOKUP(A1417, 'Актуальное состояние (из общего'!A:C,3,0) = "", A1417 &lt;&gt; ""), "ПРОВЕРИТЬ", VLOOKUP(A1417, 'Актуальное состояние (из общего'!A:C,3,0)), "")</f>
        <v>Студент</v>
      </c>
      <c r="U1417" s="9" t="s">
        <v>13284</v>
      </c>
      <c r="V1417" s="9" t="s">
        <v>13284</v>
      </c>
      <c r="W1417" s="12"/>
      <c r="X1417" s="9" t="str">
        <f t="array" ref="X1417">IFERROR(INDEX('Адреса общежитий (скрытый)'!$B$2:$B$9, MATCH(W1417, 'Адреса общежитий (скрытый)'!$A$2:$A$9, 0)), "")</f>
        <v/>
      </c>
      <c r="Y1417" s="18"/>
      <c r="Z1417" s="18"/>
      <c r="AA1417" s="18"/>
      <c r="AB1417" s="18"/>
      <c r="AC1417" s="18"/>
    </row>
    <row r="1418" spans="1:29" ht="32.25" hidden="1" customHeight="1">
      <c r="A1418" s="8">
        <v>2300648</v>
      </c>
      <c r="B1418" s="9" t="s">
        <v>13284</v>
      </c>
      <c r="C1418" s="9" t="s">
        <v>13284</v>
      </c>
      <c r="D1418" s="9" t="s">
        <v>13284</v>
      </c>
      <c r="E1418" s="9" t="s">
        <v>13284</v>
      </c>
      <c r="F1418" s="9" t="s">
        <v>13284</v>
      </c>
      <c r="G1418" s="9" t="s">
        <v>13284</v>
      </c>
      <c r="H1418" s="9" t="s">
        <v>13284</v>
      </c>
      <c r="I1418" s="9" t="s">
        <v>13284</v>
      </c>
      <c r="J1418" s="9" t="s">
        <v>13284</v>
      </c>
      <c r="K1418" s="9" t="s">
        <v>13284</v>
      </c>
      <c r="L1418" s="9" t="s">
        <v>13284</v>
      </c>
      <c r="M1418" s="9" t="s">
        <v>13284</v>
      </c>
      <c r="N1418" s="9" t="s">
        <v>13284</v>
      </c>
      <c r="O1418" s="9" t="s">
        <v>13284</v>
      </c>
      <c r="P1418" s="9" t="s">
        <v>13284</v>
      </c>
      <c r="Q1418" s="9" t="s">
        <v>13284</v>
      </c>
      <c r="R1418" s="9" t="s">
        <v>13284</v>
      </c>
      <c r="S1418" s="9" t="s">
        <v>13284</v>
      </c>
      <c r="T1418" s="9" t="str">
        <f ca="1">IFERROR(IF(AND(VLOOKUP(A1418, 'Актуальное состояние (из общего'!A:C,3,0) = "", A1418 &lt;&gt; ""), "ПРОВЕРИТЬ", VLOOKUP(A1418, 'Актуальное состояние (из общего'!A:C,3,0)), "")</f>
        <v>Студент</v>
      </c>
      <c r="U1418" s="9" t="s">
        <v>13284</v>
      </c>
      <c r="V1418" s="9" t="s">
        <v>13284</v>
      </c>
      <c r="W1418" s="12"/>
      <c r="X1418" s="9" t="str">
        <f t="array" ref="X1418">IFERROR(INDEX('Адреса общежитий (скрытый)'!$B$2:$B$9, MATCH(W1418, 'Адреса общежитий (скрытый)'!$A$2:$A$9, 0)), "")</f>
        <v/>
      </c>
      <c r="Y1418" s="18"/>
      <c r="Z1418" s="18"/>
      <c r="AA1418" s="18"/>
      <c r="AB1418" s="18"/>
      <c r="AC1418" s="18"/>
    </row>
    <row r="1419" spans="1:29" ht="32.25" customHeight="1">
      <c r="A1419" s="8">
        <v>2309105</v>
      </c>
      <c r="B1419" s="9" t="s">
        <v>13284</v>
      </c>
      <c r="C1419" s="9" t="s">
        <v>13284</v>
      </c>
      <c r="D1419" s="9" t="s">
        <v>13284</v>
      </c>
      <c r="E1419" s="9" t="s">
        <v>13284</v>
      </c>
      <c r="F1419" s="9" t="s">
        <v>13284</v>
      </c>
      <c r="G1419" s="9" t="s">
        <v>13284</v>
      </c>
      <c r="H1419" s="9" t="s">
        <v>13284</v>
      </c>
      <c r="I1419" s="9" t="s">
        <v>13284</v>
      </c>
      <c r="J1419" s="9" t="s">
        <v>13284</v>
      </c>
      <c r="K1419" s="9" t="s">
        <v>13284</v>
      </c>
      <c r="L1419" s="9" t="s">
        <v>13284</v>
      </c>
      <c r="M1419" s="9" t="s">
        <v>13284</v>
      </c>
      <c r="N1419" s="9" t="s">
        <v>13284</v>
      </c>
      <c r="O1419" s="9" t="s">
        <v>13284</v>
      </c>
      <c r="P1419" s="9" t="s">
        <v>13284</v>
      </c>
      <c r="Q1419" s="9" t="s">
        <v>13284</v>
      </c>
      <c r="R1419" s="9" t="s">
        <v>13284</v>
      </c>
      <c r="S1419" s="9" t="s">
        <v>13284</v>
      </c>
      <c r="T1419" s="9" t="str">
        <f ca="1">IFERROR(IF(AND(VLOOKUP(A1419, 'Актуальное состояние (из общего'!A:C,3,0) = "", A1419 &lt;&gt; ""), "ПРОВЕРИТЬ", VLOOKUP(A1419, 'Актуальное состояние (из общего'!A:C,3,0)), "")</f>
        <v>Студент</v>
      </c>
      <c r="U1419" s="9" t="s">
        <v>13284</v>
      </c>
      <c r="V1419" s="9" t="s">
        <v>13284</v>
      </c>
      <c r="W1419" s="12"/>
      <c r="X1419" s="9" t="str">
        <f t="array" ref="X1419">IFERROR(INDEX('Адреса общежитий (скрытый)'!$B$2:$B$9, MATCH(W1419, 'Адреса общежитий (скрытый)'!$A$2:$A$9, 0)), "")</f>
        <v/>
      </c>
      <c r="Y1419" s="18"/>
      <c r="Z1419" s="18"/>
      <c r="AA1419" s="18"/>
      <c r="AB1419" s="18"/>
      <c r="AC1419" s="18"/>
    </row>
    <row r="1420" spans="1:29" ht="32.25" hidden="1" customHeight="1">
      <c r="A1420" s="8">
        <v>2302174</v>
      </c>
      <c r="B1420" s="9" t="s">
        <v>13284</v>
      </c>
      <c r="C1420" s="9" t="s">
        <v>13284</v>
      </c>
      <c r="D1420" s="9" t="s">
        <v>13284</v>
      </c>
      <c r="E1420" s="9" t="s">
        <v>13284</v>
      </c>
      <c r="F1420" s="9" t="s">
        <v>13284</v>
      </c>
      <c r="G1420" s="9" t="s">
        <v>13284</v>
      </c>
      <c r="H1420" s="9" t="s">
        <v>13284</v>
      </c>
      <c r="I1420" s="9" t="s">
        <v>13284</v>
      </c>
      <c r="J1420" s="9" t="s">
        <v>13284</v>
      </c>
      <c r="K1420" s="9" t="s">
        <v>13284</v>
      </c>
      <c r="L1420" s="9" t="s">
        <v>13284</v>
      </c>
      <c r="M1420" s="9" t="s">
        <v>13284</v>
      </c>
      <c r="N1420" s="9" t="s">
        <v>13284</v>
      </c>
      <c r="O1420" s="9" t="s">
        <v>13284</v>
      </c>
      <c r="P1420" s="9" t="s">
        <v>13284</v>
      </c>
      <c r="Q1420" s="9" t="s">
        <v>13284</v>
      </c>
      <c r="R1420" s="9" t="s">
        <v>13284</v>
      </c>
      <c r="S1420" s="9" t="s">
        <v>13284</v>
      </c>
      <c r="T1420" s="9" t="str">
        <f ca="1">IFERROR(IF(AND(VLOOKUP(A1420, 'Актуальное состояние (из общего'!A:C,3,0) = "", A1420 &lt;&gt; ""), "ПРОВЕРИТЬ", VLOOKUP(A1420, 'Актуальное состояние (из общего'!A:C,3,0)), "")</f>
        <v>Студент</v>
      </c>
      <c r="U1420" s="9" t="s">
        <v>13284</v>
      </c>
      <c r="V1420" s="9" t="s">
        <v>13284</v>
      </c>
      <c r="W1420" s="12"/>
      <c r="X1420" s="9" t="str">
        <f t="array" ref="X1420">IFERROR(INDEX('Адреса общежитий (скрытый)'!$B$2:$B$9, MATCH(W1420, 'Адреса общежитий (скрытый)'!$A$2:$A$9, 0)), "")</f>
        <v/>
      </c>
      <c r="Y1420" s="18"/>
      <c r="Z1420" s="18"/>
      <c r="AA1420" s="18"/>
      <c r="AB1420" s="18"/>
      <c r="AC1420" s="18"/>
    </row>
    <row r="1421" spans="1:29" ht="32.25" hidden="1" customHeight="1">
      <c r="A1421" s="8">
        <v>2302983</v>
      </c>
      <c r="B1421" s="9" t="s">
        <v>13284</v>
      </c>
      <c r="C1421" s="9" t="s">
        <v>13284</v>
      </c>
      <c r="D1421" s="9" t="s">
        <v>13284</v>
      </c>
      <c r="E1421" s="9" t="s">
        <v>13284</v>
      </c>
      <c r="F1421" s="9" t="s">
        <v>13284</v>
      </c>
      <c r="G1421" s="9" t="s">
        <v>13284</v>
      </c>
      <c r="H1421" s="9" t="s">
        <v>13284</v>
      </c>
      <c r="I1421" s="9" t="s">
        <v>13284</v>
      </c>
      <c r="J1421" s="9" t="s">
        <v>13284</v>
      </c>
      <c r="K1421" s="9" t="s">
        <v>13284</v>
      </c>
      <c r="L1421" s="9" t="s">
        <v>13284</v>
      </c>
      <c r="M1421" s="9" t="s">
        <v>13284</v>
      </c>
      <c r="N1421" s="9" t="s">
        <v>13284</v>
      </c>
      <c r="O1421" s="9" t="s">
        <v>13284</v>
      </c>
      <c r="P1421" s="9" t="s">
        <v>13284</v>
      </c>
      <c r="Q1421" s="9" t="s">
        <v>13284</v>
      </c>
      <c r="R1421" s="9" t="s">
        <v>13284</v>
      </c>
      <c r="S1421" s="9" t="s">
        <v>13284</v>
      </c>
      <c r="T1421" s="9" t="str">
        <f ca="1">IFERROR(IF(AND(VLOOKUP(A1421, 'Актуальное состояние (из общего'!A:C,3,0) = "", A1421 &lt;&gt; ""), "ПРОВЕРИТЬ", VLOOKUP(A1421, 'Актуальное состояние (из общего'!A:C,3,0)), "")</f>
        <v>Студент</v>
      </c>
      <c r="U1421" s="9" t="s">
        <v>13284</v>
      </c>
      <c r="V1421" s="9" t="s">
        <v>13284</v>
      </c>
      <c r="W1421" s="12"/>
      <c r="X1421" s="9" t="str">
        <f t="array" ref="X1421">IFERROR(INDEX('Адреса общежитий (скрытый)'!$B$2:$B$9, MATCH(W1421, 'Адреса общежитий (скрытый)'!$A$2:$A$9, 0)), "")</f>
        <v/>
      </c>
      <c r="Y1421" s="18"/>
      <c r="Z1421" s="18"/>
      <c r="AA1421" s="18"/>
      <c r="AB1421" s="18"/>
      <c r="AC1421" s="18"/>
    </row>
    <row r="1422" spans="1:29" ht="32.25" customHeight="1">
      <c r="A1422" s="8">
        <v>2304151</v>
      </c>
      <c r="B1422" s="9" t="s">
        <v>13284</v>
      </c>
      <c r="C1422" s="9" t="s">
        <v>13284</v>
      </c>
      <c r="D1422" s="9" t="s">
        <v>13284</v>
      </c>
      <c r="E1422" s="9" t="s">
        <v>13284</v>
      </c>
      <c r="F1422" s="9" t="s">
        <v>13284</v>
      </c>
      <c r="G1422" s="9" t="s">
        <v>13284</v>
      </c>
      <c r="H1422" s="9" t="s">
        <v>13284</v>
      </c>
      <c r="I1422" s="9" t="s">
        <v>13284</v>
      </c>
      <c r="J1422" s="9" t="s">
        <v>13284</v>
      </c>
      <c r="K1422" s="9" t="s">
        <v>13284</v>
      </c>
      <c r="L1422" s="9" t="s">
        <v>13284</v>
      </c>
      <c r="M1422" s="9" t="s">
        <v>13284</v>
      </c>
      <c r="N1422" s="9" t="s">
        <v>13284</v>
      </c>
      <c r="O1422" s="9" t="s">
        <v>13284</v>
      </c>
      <c r="P1422" s="9" t="s">
        <v>13284</v>
      </c>
      <c r="Q1422" s="9" t="s">
        <v>13284</v>
      </c>
      <c r="R1422" s="9" t="s">
        <v>13284</v>
      </c>
      <c r="S1422" s="9" t="s">
        <v>13284</v>
      </c>
      <c r="T1422" s="9" t="str">
        <f ca="1">IFERROR(IF(AND(VLOOKUP(A1422, 'Актуальное состояние (из общего'!A:C,3,0) = "", A1422 &lt;&gt; ""), "ПРОВЕРИТЬ", VLOOKUP(A1422, 'Актуальное состояние (из общего'!A:C,3,0)), "")</f>
        <v>Студент</v>
      </c>
      <c r="U1422" s="9" t="s">
        <v>13284</v>
      </c>
      <c r="V1422" s="9" t="s">
        <v>13284</v>
      </c>
      <c r="W1422" s="12"/>
      <c r="X1422" s="9" t="str">
        <f t="array" ref="X1422">IFERROR(INDEX('Адреса общежитий (скрытый)'!$B$2:$B$9, MATCH(W1422, 'Адреса общежитий (скрытый)'!$A$2:$A$9, 0)), "")</f>
        <v/>
      </c>
      <c r="Y1422" s="18"/>
      <c r="Z1422" s="18"/>
      <c r="AA1422" s="18"/>
      <c r="AB1422" s="18"/>
      <c r="AC1422" s="18"/>
    </row>
    <row r="1423" spans="1:29" ht="32.25" hidden="1" customHeight="1">
      <c r="A1423" s="8">
        <v>2301005</v>
      </c>
      <c r="B1423" s="9" t="s">
        <v>13284</v>
      </c>
      <c r="C1423" s="9" t="s">
        <v>13284</v>
      </c>
      <c r="D1423" s="9" t="s">
        <v>13284</v>
      </c>
      <c r="E1423" s="9" t="s">
        <v>13284</v>
      </c>
      <c r="F1423" s="9" t="s">
        <v>13284</v>
      </c>
      <c r="G1423" s="9" t="s">
        <v>13284</v>
      </c>
      <c r="H1423" s="9" t="s">
        <v>13284</v>
      </c>
      <c r="I1423" s="9" t="s">
        <v>13284</v>
      </c>
      <c r="J1423" s="9" t="s">
        <v>13284</v>
      </c>
      <c r="K1423" s="9" t="s">
        <v>13284</v>
      </c>
      <c r="L1423" s="9" t="s">
        <v>13284</v>
      </c>
      <c r="M1423" s="9" t="s">
        <v>13284</v>
      </c>
      <c r="N1423" s="9" t="s">
        <v>13284</v>
      </c>
      <c r="O1423" s="9" t="s">
        <v>13284</v>
      </c>
      <c r="P1423" s="9" t="s">
        <v>13284</v>
      </c>
      <c r="Q1423" s="9" t="s">
        <v>13284</v>
      </c>
      <c r="R1423" s="9" t="s">
        <v>13284</v>
      </c>
      <c r="S1423" s="9" t="s">
        <v>13284</v>
      </c>
      <c r="T1423" s="9" t="str">
        <f ca="1">IFERROR(IF(AND(VLOOKUP(A1423, 'Актуальное состояние (из общего'!A:C,3,0) = "", A1423 &lt;&gt; ""), "ПРОВЕРИТЬ", VLOOKUP(A1423, 'Актуальное состояние (из общего'!A:C,3,0)), "")</f>
        <v>Студент</v>
      </c>
      <c r="U1423" s="9" t="s">
        <v>13284</v>
      </c>
      <c r="V1423" s="9" t="s">
        <v>13284</v>
      </c>
      <c r="W1423" s="12"/>
      <c r="X1423" s="9" t="str">
        <f t="array" ref="X1423">IFERROR(INDEX('Адреса общежитий (скрытый)'!$B$2:$B$9, MATCH(W1423, 'Адреса общежитий (скрытый)'!$A$2:$A$9, 0)), "")</f>
        <v/>
      </c>
      <c r="Y1423" s="18"/>
      <c r="Z1423" s="18"/>
      <c r="AA1423" s="18"/>
      <c r="AB1423" s="18"/>
      <c r="AC1423" s="18"/>
    </row>
    <row r="1424" spans="1:29" ht="32.25" hidden="1" customHeight="1">
      <c r="A1424" s="8">
        <v>2303816</v>
      </c>
      <c r="B1424" s="9" t="s">
        <v>13284</v>
      </c>
      <c r="C1424" s="9" t="s">
        <v>13284</v>
      </c>
      <c r="D1424" s="9" t="s">
        <v>13284</v>
      </c>
      <c r="E1424" s="9" t="s">
        <v>13284</v>
      </c>
      <c r="F1424" s="9" t="s">
        <v>13284</v>
      </c>
      <c r="G1424" s="9" t="s">
        <v>13284</v>
      </c>
      <c r="H1424" s="9" t="s">
        <v>13284</v>
      </c>
      <c r="I1424" s="9" t="s">
        <v>13284</v>
      </c>
      <c r="J1424" s="9" t="s">
        <v>13284</v>
      </c>
      <c r="K1424" s="9" t="s">
        <v>13284</v>
      </c>
      <c r="L1424" s="9" t="s">
        <v>13284</v>
      </c>
      <c r="M1424" s="9" t="s">
        <v>13284</v>
      </c>
      <c r="N1424" s="9" t="s">
        <v>13284</v>
      </c>
      <c r="O1424" s="9" t="s">
        <v>13284</v>
      </c>
      <c r="P1424" s="9" t="s">
        <v>13284</v>
      </c>
      <c r="Q1424" s="9" t="s">
        <v>13284</v>
      </c>
      <c r="R1424" s="9" t="s">
        <v>13284</v>
      </c>
      <c r="S1424" s="9" t="s">
        <v>13284</v>
      </c>
      <c r="T1424" s="9" t="str">
        <f ca="1">IFERROR(IF(AND(VLOOKUP(A1424, 'Актуальное состояние (из общего'!A:C,3,0) = "", A1424 &lt;&gt; ""), "ПРОВЕРИТЬ", VLOOKUP(A1424, 'Актуальное состояние (из общего'!A:C,3,0)), "")</f>
        <v>Студент</v>
      </c>
      <c r="U1424" s="9" t="s">
        <v>13284</v>
      </c>
      <c r="V1424" s="9" t="s">
        <v>13284</v>
      </c>
      <c r="W1424" s="12"/>
      <c r="X1424" s="9" t="str">
        <f t="array" ref="X1424">IFERROR(INDEX('Адреса общежитий (скрытый)'!$B$2:$B$9, MATCH(W1424, 'Адреса общежитий (скрытый)'!$A$2:$A$9, 0)), "")</f>
        <v/>
      </c>
      <c r="Y1424" s="18"/>
      <c r="Z1424" s="18"/>
      <c r="AA1424" s="18"/>
      <c r="AB1424" s="18"/>
      <c r="AC1424" s="18"/>
    </row>
    <row r="1425" spans="1:29" ht="32.25" hidden="1" customHeight="1">
      <c r="A1425" s="8">
        <v>2303143</v>
      </c>
      <c r="B1425" s="9" t="s">
        <v>13284</v>
      </c>
      <c r="C1425" s="9" t="s">
        <v>13284</v>
      </c>
      <c r="D1425" s="9" t="s">
        <v>13284</v>
      </c>
      <c r="E1425" s="9" t="s">
        <v>13284</v>
      </c>
      <c r="F1425" s="9" t="s">
        <v>13284</v>
      </c>
      <c r="G1425" s="9" t="s">
        <v>13284</v>
      </c>
      <c r="H1425" s="9" t="s">
        <v>13284</v>
      </c>
      <c r="I1425" s="9" t="s">
        <v>13284</v>
      </c>
      <c r="J1425" s="9" t="s">
        <v>13284</v>
      </c>
      <c r="K1425" s="9" t="s">
        <v>13284</v>
      </c>
      <c r="L1425" s="9" t="s">
        <v>13284</v>
      </c>
      <c r="M1425" s="9" t="s">
        <v>13284</v>
      </c>
      <c r="N1425" s="9" t="s">
        <v>13284</v>
      </c>
      <c r="O1425" s="9" t="s">
        <v>13284</v>
      </c>
      <c r="P1425" s="9" t="s">
        <v>13284</v>
      </c>
      <c r="Q1425" s="9" t="s">
        <v>13284</v>
      </c>
      <c r="R1425" s="9" t="s">
        <v>13284</v>
      </c>
      <c r="S1425" s="9" t="s">
        <v>13284</v>
      </c>
      <c r="T1425" s="9" t="str">
        <f ca="1">IFERROR(IF(AND(VLOOKUP(A1425, 'Актуальное состояние (из общего'!A:C,3,0) = "", A1425 &lt;&gt; ""), "ПРОВЕРИТЬ", VLOOKUP(A1425, 'Актуальное состояние (из общего'!A:C,3,0)), "")</f>
        <v>Студент</v>
      </c>
      <c r="U1425" s="9" t="s">
        <v>13284</v>
      </c>
      <c r="V1425" s="9" t="s">
        <v>13284</v>
      </c>
      <c r="W1425" s="12"/>
      <c r="X1425" s="9" t="str">
        <f t="array" ref="X1425">IFERROR(INDEX('Адреса общежитий (скрытый)'!$B$2:$B$9, MATCH(W1425, 'Адреса общежитий (скрытый)'!$A$2:$A$9, 0)), "")</f>
        <v/>
      </c>
      <c r="Y1425" s="18"/>
      <c r="Z1425" s="18"/>
      <c r="AA1425" s="18"/>
      <c r="AB1425" s="18"/>
      <c r="AC1425" s="18"/>
    </row>
    <row r="1426" spans="1:29" ht="32.25" hidden="1" customHeight="1">
      <c r="A1426" s="8">
        <v>2306929</v>
      </c>
      <c r="B1426" s="9" t="s">
        <v>13284</v>
      </c>
      <c r="C1426" s="9" t="s">
        <v>13284</v>
      </c>
      <c r="D1426" s="9" t="s">
        <v>13284</v>
      </c>
      <c r="E1426" s="9" t="s">
        <v>13284</v>
      </c>
      <c r="F1426" s="9" t="s">
        <v>13284</v>
      </c>
      <c r="G1426" s="9" t="s">
        <v>13284</v>
      </c>
      <c r="H1426" s="9" t="s">
        <v>13284</v>
      </c>
      <c r="I1426" s="9" t="s">
        <v>13284</v>
      </c>
      <c r="J1426" s="9" t="s">
        <v>13284</v>
      </c>
      <c r="K1426" s="9" t="s">
        <v>13284</v>
      </c>
      <c r="L1426" s="9" t="s">
        <v>13284</v>
      </c>
      <c r="M1426" s="9" t="s">
        <v>13284</v>
      </c>
      <c r="N1426" s="9" t="s">
        <v>13284</v>
      </c>
      <c r="O1426" s="9" t="s">
        <v>13284</v>
      </c>
      <c r="P1426" s="9" t="s">
        <v>13284</v>
      </c>
      <c r="Q1426" s="9" t="s">
        <v>13284</v>
      </c>
      <c r="R1426" s="9" t="s">
        <v>13284</v>
      </c>
      <c r="S1426" s="9" t="s">
        <v>13284</v>
      </c>
      <c r="T1426" s="9" t="str">
        <f ca="1">IFERROR(IF(AND(VLOOKUP(A1426, 'Актуальное состояние (из общего'!A:C,3,0) = "", A1426 &lt;&gt; ""), "ПРОВЕРИТЬ", VLOOKUP(A1426, 'Актуальное состояние (из общего'!A:C,3,0)), "")</f>
        <v>Студент</v>
      </c>
      <c r="U1426" s="9" t="s">
        <v>13284</v>
      </c>
      <c r="V1426" s="9" t="s">
        <v>13284</v>
      </c>
      <c r="W1426" s="12"/>
      <c r="X1426" s="9" t="str">
        <f t="array" ref="X1426">IFERROR(INDEX('Адреса общежитий (скрытый)'!$B$2:$B$9, MATCH(W1426, 'Адреса общежитий (скрытый)'!$A$2:$A$9, 0)), "")</f>
        <v/>
      </c>
      <c r="Y1426" s="18"/>
      <c r="Z1426" s="18"/>
      <c r="AA1426" s="18"/>
      <c r="AB1426" s="18"/>
      <c r="AC1426" s="18"/>
    </row>
    <row r="1427" spans="1:29" ht="32.25" customHeight="1">
      <c r="A1427" s="8">
        <v>2306723</v>
      </c>
      <c r="B1427" s="9" t="s">
        <v>13284</v>
      </c>
      <c r="C1427" s="9" t="s">
        <v>13284</v>
      </c>
      <c r="D1427" s="9" t="s">
        <v>13284</v>
      </c>
      <c r="E1427" s="9" t="s">
        <v>13284</v>
      </c>
      <c r="F1427" s="9" t="s">
        <v>13284</v>
      </c>
      <c r="G1427" s="9" t="s">
        <v>13284</v>
      </c>
      <c r="H1427" s="9" t="s">
        <v>13284</v>
      </c>
      <c r="I1427" s="9" t="s">
        <v>13284</v>
      </c>
      <c r="J1427" s="9" t="s">
        <v>13284</v>
      </c>
      <c r="K1427" s="9" t="s">
        <v>13284</v>
      </c>
      <c r="L1427" s="9" t="s">
        <v>13284</v>
      </c>
      <c r="M1427" s="9" t="s">
        <v>13284</v>
      </c>
      <c r="N1427" s="9" t="s">
        <v>13284</v>
      </c>
      <c r="O1427" s="9" t="s">
        <v>13284</v>
      </c>
      <c r="P1427" s="9" t="s">
        <v>13284</v>
      </c>
      <c r="Q1427" s="9" t="s">
        <v>13284</v>
      </c>
      <c r="R1427" s="9" t="s">
        <v>13284</v>
      </c>
      <c r="S1427" s="9" t="s">
        <v>13284</v>
      </c>
      <c r="T1427" s="9" t="str">
        <f ca="1">IFERROR(IF(AND(VLOOKUP(A1427, 'Актуальное состояние (из общего'!A:C,3,0) = "", A1427 &lt;&gt; ""), "ПРОВЕРИТЬ", VLOOKUP(A1427, 'Актуальное состояние (из общего'!A:C,3,0)), "")</f>
        <v>Студент</v>
      </c>
      <c r="U1427" s="9" t="s">
        <v>13284</v>
      </c>
      <c r="V1427" s="9" t="s">
        <v>13284</v>
      </c>
      <c r="W1427" s="9" t="s">
        <v>319</v>
      </c>
      <c r="X1427" s="9" t="str">
        <f t="array" ref="X1427">IFERROR(INDEX('Адреса общежитий (скрытый)'!$B$2:$B$9, MATCH(W1427, 'Адреса общежитий (скрытый)'!$A$2:$A$9, 0)), "")</f>
        <v>ул. Профсоюзная, д.83, корп. 2</v>
      </c>
      <c r="Y1427" s="18"/>
      <c r="Z1427" s="18"/>
      <c r="AA1427" s="18"/>
      <c r="AB1427" s="18"/>
      <c r="AC1427" s="18"/>
    </row>
    <row r="1428" spans="1:29" ht="32.25" hidden="1" customHeight="1">
      <c r="A1428" s="8">
        <v>2307689</v>
      </c>
      <c r="B1428" s="9" t="s">
        <v>13284</v>
      </c>
      <c r="C1428" s="9" t="s">
        <v>13284</v>
      </c>
      <c r="D1428" s="9" t="s">
        <v>13284</v>
      </c>
      <c r="E1428" s="9" t="s">
        <v>13284</v>
      </c>
      <c r="F1428" s="9" t="s">
        <v>13284</v>
      </c>
      <c r="G1428" s="9" t="s">
        <v>13284</v>
      </c>
      <c r="H1428" s="9" t="s">
        <v>13284</v>
      </c>
      <c r="I1428" s="9" t="s">
        <v>13284</v>
      </c>
      <c r="J1428" s="9" t="s">
        <v>13284</v>
      </c>
      <c r="K1428" s="9" t="s">
        <v>13284</v>
      </c>
      <c r="L1428" s="9" t="s">
        <v>13284</v>
      </c>
      <c r="M1428" s="9" t="s">
        <v>13284</v>
      </c>
      <c r="N1428" s="9" t="s">
        <v>13284</v>
      </c>
      <c r="O1428" s="9" t="s">
        <v>13284</v>
      </c>
      <c r="P1428" s="9" t="s">
        <v>13284</v>
      </c>
      <c r="Q1428" s="9" t="s">
        <v>13284</v>
      </c>
      <c r="R1428" s="9" t="s">
        <v>13284</v>
      </c>
      <c r="S1428" s="9" t="s">
        <v>13284</v>
      </c>
      <c r="T1428" s="9" t="str">
        <f ca="1">IFERROR(IF(AND(VLOOKUP(A1428, 'Актуальное состояние (из общего'!A:C,3,0) = "", A1428 &lt;&gt; ""), "ПРОВЕРИТЬ", VLOOKUP(A1428, 'Актуальное состояние (из общего'!A:C,3,0)), "")</f>
        <v>Студент</v>
      </c>
      <c r="U1428" s="9" t="s">
        <v>13284</v>
      </c>
      <c r="V1428" s="9" t="s">
        <v>13284</v>
      </c>
      <c r="W1428" s="12"/>
      <c r="X1428" s="9" t="str">
        <f t="array" ref="X1428">IFERROR(INDEX('Адреса общежитий (скрытый)'!$B$2:$B$9, MATCH(W1428, 'Адреса общежитий (скрытый)'!$A$2:$A$9, 0)), "")</f>
        <v/>
      </c>
      <c r="Y1428" s="18"/>
      <c r="Z1428" s="18"/>
      <c r="AA1428" s="18"/>
      <c r="AB1428" s="18"/>
      <c r="AC1428" s="18"/>
    </row>
    <row r="1429" spans="1:29" ht="32.25" hidden="1" customHeight="1">
      <c r="A1429" s="8">
        <v>2301906</v>
      </c>
      <c r="B1429" s="9" t="s">
        <v>13284</v>
      </c>
      <c r="C1429" s="9" t="s">
        <v>13284</v>
      </c>
      <c r="D1429" s="9" t="s">
        <v>13284</v>
      </c>
      <c r="E1429" s="9" t="s">
        <v>13284</v>
      </c>
      <c r="F1429" s="9" t="s">
        <v>13284</v>
      </c>
      <c r="G1429" s="9" t="s">
        <v>13284</v>
      </c>
      <c r="H1429" s="9" t="s">
        <v>13284</v>
      </c>
      <c r="I1429" s="9" t="s">
        <v>13284</v>
      </c>
      <c r="J1429" s="9" t="s">
        <v>13284</v>
      </c>
      <c r="K1429" s="9" t="s">
        <v>13284</v>
      </c>
      <c r="L1429" s="9" t="s">
        <v>13284</v>
      </c>
      <c r="M1429" s="9" t="s">
        <v>13284</v>
      </c>
      <c r="N1429" s="9" t="s">
        <v>13284</v>
      </c>
      <c r="O1429" s="9" t="s">
        <v>13284</v>
      </c>
      <c r="P1429" s="9" t="s">
        <v>13284</v>
      </c>
      <c r="Q1429" s="9" t="s">
        <v>13284</v>
      </c>
      <c r="R1429" s="9" t="s">
        <v>13284</v>
      </c>
      <c r="S1429" s="9" t="s">
        <v>13284</v>
      </c>
      <c r="T1429" s="9" t="str">
        <f ca="1">IFERROR(IF(AND(VLOOKUP(A1429, 'Актуальное состояние (из общего'!A:C,3,0) = "", A1429 &lt;&gt; ""), "ПРОВЕРИТЬ", VLOOKUP(A1429, 'Актуальное состояние (из общего'!A:C,3,0)), "")</f>
        <v>Студент</v>
      </c>
      <c r="U1429" s="9" t="s">
        <v>13284</v>
      </c>
      <c r="V1429" s="9" t="s">
        <v>13284</v>
      </c>
      <c r="W1429" s="12"/>
      <c r="X1429" s="9" t="str">
        <f t="array" ref="X1429">IFERROR(INDEX('Адреса общежитий (скрытый)'!$B$2:$B$9, MATCH(W1429, 'Адреса общежитий (скрытый)'!$A$2:$A$9, 0)), "")</f>
        <v/>
      </c>
      <c r="Y1429" s="18"/>
      <c r="Z1429" s="18"/>
      <c r="AA1429" s="18"/>
      <c r="AB1429" s="18"/>
      <c r="AC1429" s="18"/>
    </row>
    <row r="1430" spans="1:29" ht="32.25" hidden="1" customHeight="1">
      <c r="A1430" s="8">
        <v>2303906</v>
      </c>
      <c r="B1430" s="9" t="s">
        <v>13284</v>
      </c>
      <c r="C1430" s="9" t="s">
        <v>13284</v>
      </c>
      <c r="D1430" s="9" t="s">
        <v>13284</v>
      </c>
      <c r="E1430" s="9" t="s">
        <v>13284</v>
      </c>
      <c r="F1430" s="9" t="s">
        <v>13284</v>
      </c>
      <c r="G1430" s="9" t="s">
        <v>13284</v>
      </c>
      <c r="H1430" s="9" t="s">
        <v>13284</v>
      </c>
      <c r="I1430" s="9" t="s">
        <v>13284</v>
      </c>
      <c r="J1430" s="9" t="s">
        <v>13284</v>
      </c>
      <c r="K1430" s="9" t="s">
        <v>13284</v>
      </c>
      <c r="L1430" s="9" t="s">
        <v>13284</v>
      </c>
      <c r="M1430" s="9" t="s">
        <v>13284</v>
      </c>
      <c r="N1430" s="9" t="s">
        <v>13284</v>
      </c>
      <c r="O1430" s="9" t="s">
        <v>13284</v>
      </c>
      <c r="P1430" s="9" t="s">
        <v>13284</v>
      </c>
      <c r="Q1430" s="9" t="s">
        <v>13284</v>
      </c>
      <c r="R1430" s="9" t="s">
        <v>13284</v>
      </c>
      <c r="S1430" s="9" t="s">
        <v>13284</v>
      </c>
      <c r="T1430" s="9" t="str">
        <f ca="1">IFERROR(IF(AND(VLOOKUP(A1430, 'Актуальное состояние (из общего'!A:C,3,0) = "", A1430 &lt;&gt; ""), "ПРОВЕРИТЬ", VLOOKUP(A1430, 'Актуальное состояние (из общего'!A:C,3,0)), "")</f>
        <v>Студент</v>
      </c>
      <c r="U1430" s="9" t="s">
        <v>13284</v>
      </c>
      <c r="V1430" s="9" t="s">
        <v>13284</v>
      </c>
      <c r="W1430" s="12"/>
      <c r="X1430" s="9" t="str">
        <f t="array" ref="X1430">IFERROR(INDEX('Адреса общежитий (скрытый)'!$B$2:$B$9, MATCH(W1430, 'Адреса общежитий (скрытый)'!$A$2:$A$9, 0)), "")</f>
        <v/>
      </c>
      <c r="Y1430" s="18"/>
      <c r="Z1430" s="18"/>
      <c r="AA1430" s="18"/>
      <c r="AB1430" s="18"/>
      <c r="AC1430" s="18"/>
    </row>
    <row r="1431" spans="1:29" ht="32.25" hidden="1" customHeight="1">
      <c r="A1431" s="8">
        <v>2308936</v>
      </c>
      <c r="B1431" s="9" t="s">
        <v>13284</v>
      </c>
      <c r="C1431" s="9" t="s">
        <v>13284</v>
      </c>
      <c r="D1431" s="9" t="s">
        <v>13284</v>
      </c>
      <c r="E1431" s="9" t="s">
        <v>13284</v>
      </c>
      <c r="F1431" s="9" t="s">
        <v>13284</v>
      </c>
      <c r="G1431" s="9" t="s">
        <v>13284</v>
      </c>
      <c r="H1431" s="9" t="s">
        <v>13284</v>
      </c>
      <c r="I1431" s="9" t="s">
        <v>13284</v>
      </c>
      <c r="J1431" s="9" t="s">
        <v>13284</v>
      </c>
      <c r="K1431" s="9" t="s">
        <v>13284</v>
      </c>
      <c r="L1431" s="9" t="s">
        <v>13284</v>
      </c>
      <c r="M1431" s="9" t="s">
        <v>13284</v>
      </c>
      <c r="N1431" s="9" t="s">
        <v>13284</v>
      </c>
      <c r="O1431" s="9" t="s">
        <v>13284</v>
      </c>
      <c r="P1431" s="9" t="s">
        <v>13284</v>
      </c>
      <c r="Q1431" s="9" t="s">
        <v>13284</v>
      </c>
      <c r="R1431" s="9" t="s">
        <v>13284</v>
      </c>
      <c r="S1431" s="9" t="s">
        <v>13284</v>
      </c>
      <c r="T1431" s="9" t="str">
        <f ca="1">IFERROR(IF(AND(VLOOKUP(A1431, 'Актуальное состояние (из общего'!A:C,3,0) = "", A1431 &lt;&gt; ""), "ПРОВЕРИТЬ", VLOOKUP(A1431, 'Актуальное состояние (из общего'!A:C,3,0)), "")</f>
        <v>Студент</v>
      </c>
      <c r="U1431" s="9" t="s">
        <v>13284</v>
      </c>
      <c r="V1431" s="9" t="s">
        <v>13284</v>
      </c>
      <c r="W1431" s="12"/>
      <c r="X1431" s="9" t="str">
        <f t="array" ref="X1431">IFERROR(INDEX('Адреса общежитий (скрытый)'!$B$2:$B$9, MATCH(W1431, 'Адреса общежитий (скрытый)'!$A$2:$A$9, 0)), "")</f>
        <v/>
      </c>
      <c r="Y1431" s="18"/>
      <c r="Z1431" s="18"/>
      <c r="AA1431" s="18"/>
      <c r="AB1431" s="18"/>
      <c r="AC1431" s="18"/>
    </row>
    <row r="1432" spans="1:29" ht="32.25" hidden="1" customHeight="1">
      <c r="A1432" s="8">
        <v>2301026</v>
      </c>
      <c r="B1432" s="9" t="s">
        <v>13284</v>
      </c>
      <c r="C1432" s="9" t="s">
        <v>13284</v>
      </c>
      <c r="D1432" s="9" t="s">
        <v>13284</v>
      </c>
      <c r="E1432" s="9" t="s">
        <v>13284</v>
      </c>
      <c r="F1432" s="9" t="s">
        <v>13284</v>
      </c>
      <c r="G1432" s="9" t="s">
        <v>13284</v>
      </c>
      <c r="H1432" s="9" t="s">
        <v>13284</v>
      </c>
      <c r="I1432" s="9" t="s">
        <v>13284</v>
      </c>
      <c r="J1432" s="9" t="s">
        <v>13284</v>
      </c>
      <c r="K1432" s="9" t="s">
        <v>13284</v>
      </c>
      <c r="L1432" s="9" t="s">
        <v>13284</v>
      </c>
      <c r="M1432" s="9" t="s">
        <v>13284</v>
      </c>
      <c r="N1432" s="9" t="s">
        <v>13284</v>
      </c>
      <c r="O1432" s="9" t="s">
        <v>13284</v>
      </c>
      <c r="P1432" s="9" t="s">
        <v>13284</v>
      </c>
      <c r="Q1432" s="9" t="s">
        <v>13284</v>
      </c>
      <c r="R1432" s="9" t="s">
        <v>13284</v>
      </c>
      <c r="S1432" s="9" t="s">
        <v>13284</v>
      </c>
      <c r="T1432" s="9" t="str">
        <f ca="1">IFERROR(IF(AND(VLOOKUP(A1432, 'Актуальное состояние (из общего'!A:C,3,0) = "", A1432 &lt;&gt; ""), "ПРОВЕРИТЬ", VLOOKUP(A1432, 'Актуальное состояние (из общего'!A:C,3,0)), "")</f>
        <v>Студент</v>
      </c>
      <c r="U1432" s="9" t="s">
        <v>13284</v>
      </c>
      <c r="V1432" s="9" t="s">
        <v>13284</v>
      </c>
      <c r="W1432" s="12"/>
      <c r="X1432" s="9" t="str">
        <f t="array" ref="X1432">IFERROR(INDEX('Адреса общежитий (скрытый)'!$B$2:$B$9, MATCH(W1432, 'Адреса общежитий (скрытый)'!$A$2:$A$9, 0)), "")</f>
        <v/>
      </c>
      <c r="Y1432" s="18"/>
      <c r="Z1432" s="18"/>
      <c r="AA1432" s="18"/>
      <c r="AB1432" s="18"/>
      <c r="AC1432" s="18"/>
    </row>
    <row r="1433" spans="1:29" ht="32.25" hidden="1" customHeight="1">
      <c r="A1433" s="8">
        <v>2306351</v>
      </c>
      <c r="B1433" s="9" t="s">
        <v>13284</v>
      </c>
      <c r="C1433" s="9" t="s">
        <v>13284</v>
      </c>
      <c r="D1433" s="9" t="s">
        <v>13284</v>
      </c>
      <c r="E1433" s="9" t="s">
        <v>13284</v>
      </c>
      <c r="F1433" s="9" t="s">
        <v>13284</v>
      </c>
      <c r="G1433" s="9" t="s">
        <v>13284</v>
      </c>
      <c r="H1433" s="9" t="s">
        <v>13284</v>
      </c>
      <c r="I1433" s="9" t="s">
        <v>13284</v>
      </c>
      <c r="J1433" s="9" t="s">
        <v>13284</v>
      </c>
      <c r="K1433" s="9" t="s">
        <v>13284</v>
      </c>
      <c r="L1433" s="9" t="s">
        <v>13284</v>
      </c>
      <c r="M1433" s="9" t="s">
        <v>13284</v>
      </c>
      <c r="N1433" s="9" t="s">
        <v>13284</v>
      </c>
      <c r="O1433" s="9" t="s">
        <v>13284</v>
      </c>
      <c r="P1433" s="9" t="s">
        <v>13284</v>
      </c>
      <c r="Q1433" s="9" t="s">
        <v>13284</v>
      </c>
      <c r="R1433" s="9" t="s">
        <v>13284</v>
      </c>
      <c r="S1433" s="9" t="s">
        <v>13284</v>
      </c>
      <c r="T1433" s="9" t="str">
        <f ca="1">IFERROR(IF(AND(VLOOKUP(A1433, 'Актуальное состояние (из общего'!A:C,3,0) = "", A1433 &lt;&gt; ""), "ПРОВЕРИТЬ", VLOOKUP(A1433, 'Актуальное состояние (из общего'!A:C,3,0)), "")</f>
        <v>Студент</v>
      </c>
      <c r="U1433" s="9" t="s">
        <v>13284</v>
      </c>
      <c r="V1433" s="9" t="s">
        <v>13284</v>
      </c>
      <c r="W1433" s="12"/>
      <c r="X1433" s="9" t="str">
        <f t="array" ref="X1433">IFERROR(INDEX('Адреса общежитий (скрытый)'!$B$2:$B$9, MATCH(W1433, 'Адреса общежитий (скрытый)'!$A$2:$A$9, 0)), "")</f>
        <v/>
      </c>
      <c r="Y1433" s="18"/>
      <c r="Z1433" s="18"/>
      <c r="AA1433" s="18"/>
      <c r="AB1433" s="18"/>
      <c r="AC1433" s="18"/>
    </row>
    <row r="1434" spans="1:29" ht="32.25" hidden="1" customHeight="1">
      <c r="A1434" s="8">
        <v>2301839</v>
      </c>
      <c r="B1434" s="9" t="s">
        <v>13284</v>
      </c>
      <c r="C1434" s="9" t="s">
        <v>13284</v>
      </c>
      <c r="D1434" s="9" t="s">
        <v>13284</v>
      </c>
      <c r="E1434" s="9" t="s">
        <v>13284</v>
      </c>
      <c r="F1434" s="9" t="s">
        <v>13284</v>
      </c>
      <c r="G1434" s="9" t="s">
        <v>13284</v>
      </c>
      <c r="H1434" s="9" t="s">
        <v>13284</v>
      </c>
      <c r="I1434" s="9" t="s">
        <v>13284</v>
      </c>
      <c r="J1434" s="9" t="s">
        <v>13284</v>
      </c>
      <c r="K1434" s="9" t="s">
        <v>13284</v>
      </c>
      <c r="L1434" s="9" t="s">
        <v>13284</v>
      </c>
      <c r="M1434" s="9" t="s">
        <v>13284</v>
      </c>
      <c r="N1434" s="9" t="s">
        <v>13284</v>
      </c>
      <c r="O1434" s="9" t="s">
        <v>13284</v>
      </c>
      <c r="P1434" s="9" t="s">
        <v>13284</v>
      </c>
      <c r="Q1434" s="9" t="s">
        <v>13284</v>
      </c>
      <c r="R1434" s="9" t="s">
        <v>13284</v>
      </c>
      <c r="S1434" s="9" t="s">
        <v>13284</v>
      </c>
      <c r="T1434" s="9" t="str">
        <f ca="1">IFERROR(IF(AND(VLOOKUP(A1434, 'Актуальное состояние (из общего'!A:C,3,0) = "", A1434 &lt;&gt; ""), "ПРОВЕРИТЬ", VLOOKUP(A1434, 'Актуальное состояние (из общего'!A:C,3,0)), "")</f>
        <v>Студент</v>
      </c>
      <c r="U1434" s="9" t="s">
        <v>13284</v>
      </c>
      <c r="V1434" s="9" t="s">
        <v>13284</v>
      </c>
      <c r="W1434" s="12"/>
      <c r="X1434" s="9" t="str">
        <f t="array" ref="X1434">IFERROR(INDEX('Адреса общежитий (скрытый)'!$B$2:$B$9, MATCH(W1434, 'Адреса общежитий (скрытый)'!$A$2:$A$9, 0)), "")</f>
        <v/>
      </c>
      <c r="Y1434" s="18"/>
      <c r="Z1434" s="18"/>
      <c r="AA1434" s="18"/>
      <c r="AB1434" s="18"/>
      <c r="AC1434" s="18"/>
    </row>
    <row r="1435" spans="1:29" ht="32.25" customHeight="1">
      <c r="A1435" s="8">
        <v>2307938</v>
      </c>
      <c r="B1435" s="9" t="s">
        <v>13284</v>
      </c>
      <c r="C1435" s="9" t="s">
        <v>13284</v>
      </c>
      <c r="D1435" s="9" t="s">
        <v>13284</v>
      </c>
      <c r="E1435" s="9" t="s">
        <v>13284</v>
      </c>
      <c r="F1435" s="9" t="s">
        <v>13284</v>
      </c>
      <c r="G1435" s="9" t="s">
        <v>13284</v>
      </c>
      <c r="H1435" s="9" t="s">
        <v>13284</v>
      </c>
      <c r="I1435" s="9" t="s">
        <v>13284</v>
      </c>
      <c r="J1435" s="9" t="s">
        <v>13284</v>
      </c>
      <c r="K1435" s="9" t="s">
        <v>13284</v>
      </c>
      <c r="L1435" s="9" t="s">
        <v>13284</v>
      </c>
      <c r="M1435" s="9" t="s">
        <v>13284</v>
      </c>
      <c r="N1435" s="9" t="s">
        <v>13284</v>
      </c>
      <c r="O1435" s="9" t="s">
        <v>13284</v>
      </c>
      <c r="P1435" s="9" t="s">
        <v>13284</v>
      </c>
      <c r="Q1435" s="9" t="s">
        <v>13284</v>
      </c>
      <c r="R1435" s="9" t="s">
        <v>13284</v>
      </c>
      <c r="S1435" s="9" t="s">
        <v>13284</v>
      </c>
      <c r="T1435" s="9" t="str">
        <f ca="1">IFERROR(IF(AND(VLOOKUP(A1435, 'Актуальное состояние (из общего'!A:C,3,0) = "", A1435 &lt;&gt; ""), "ПРОВЕРИТЬ", VLOOKUP(A1435, 'Актуальное состояние (из общего'!A:C,3,0)), "")</f>
        <v>Студент</v>
      </c>
      <c r="U1435" s="9" t="s">
        <v>13284</v>
      </c>
      <c r="V1435" s="9" t="s">
        <v>13284</v>
      </c>
      <c r="W1435" s="12"/>
      <c r="X1435" s="9" t="str">
        <f t="array" ref="X1435">IFERROR(INDEX('Адреса общежитий (скрытый)'!$B$2:$B$9, MATCH(W1435, 'Адреса общежитий (скрытый)'!$A$2:$A$9, 0)), "")</f>
        <v/>
      </c>
      <c r="Y1435" s="18"/>
      <c r="Z1435" s="18"/>
      <c r="AA1435" s="18"/>
      <c r="AB1435" s="18"/>
      <c r="AC1435" s="18"/>
    </row>
    <row r="1436" spans="1:29" ht="32.25" hidden="1" customHeight="1">
      <c r="A1436" s="8">
        <v>2305188</v>
      </c>
      <c r="B1436" s="9" t="s">
        <v>13284</v>
      </c>
      <c r="C1436" s="9" t="s">
        <v>13284</v>
      </c>
      <c r="D1436" s="9" t="s">
        <v>13284</v>
      </c>
      <c r="E1436" s="9" t="s">
        <v>13284</v>
      </c>
      <c r="F1436" s="9" t="s">
        <v>13284</v>
      </c>
      <c r="G1436" s="9" t="s">
        <v>13284</v>
      </c>
      <c r="H1436" s="9" t="s">
        <v>13284</v>
      </c>
      <c r="I1436" s="9" t="s">
        <v>13284</v>
      </c>
      <c r="J1436" s="9" t="s">
        <v>13284</v>
      </c>
      <c r="K1436" s="9" t="s">
        <v>13284</v>
      </c>
      <c r="L1436" s="9" t="s">
        <v>13284</v>
      </c>
      <c r="M1436" s="9" t="s">
        <v>13284</v>
      </c>
      <c r="N1436" s="9" t="s">
        <v>13284</v>
      </c>
      <c r="O1436" s="9" t="s">
        <v>13284</v>
      </c>
      <c r="P1436" s="9" t="s">
        <v>13284</v>
      </c>
      <c r="Q1436" s="9" t="s">
        <v>13284</v>
      </c>
      <c r="R1436" s="9" t="s">
        <v>13284</v>
      </c>
      <c r="S1436" s="9" t="s">
        <v>13284</v>
      </c>
      <c r="T1436" s="9" t="str">
        <f ca="1">IFERROR(IF(AND(VLOOKUP(A1436, 'Актуальное состояние (из общего'!A:C,3,0) = "", A1436 &lt;&gt; ""), "ПРОВЕРИТЬ", VLOOKUP(A1436, 'Актуальное состояние (из общего'!A:C,3,0)), "")</f>
        <v>Студент</v>
      </c>
      <c r="U1436" s="9" t="s">
        <v>13284</v>
      </c>
      <c r="V1436" s="9" t="s">
        <v>13284</v>
      </c>
      <c r="W1436" s="12"/>
      <c r="X1436" s="9" t="str">
        <f t="array" ref="X1436">IFERROR(INDEX('Адреса общежитий (скрытый)'!$B$2:$B$9, MATCH(W1436, 'Адреса общежитий (скрытый)'!$A$2:$A$9, 0)), "")</f>
        <v/>
      </c>
      <c r="Y1436" s="18"/>
      <c r="Z1436" s="18"/>
      <c r="AA1436" s="18"/>
      <c r="AB1436" s="18"/>
      <c r="AC1436" s="18"/>
    </row>
    <row r="1437" spans="1:29" ht="32.25" customHeight="1">
      <c r="A1437" s="8">
        <v>2306824</v>
      </c>
      <c r="B1437" s="9" t="s">
        <v>13284</v>
      </c>
      <c r="C1437" s="9" t="s">
        <v>13284</v>
      </c>
      <c r="D1437" s="9" t="s">
        <v>13284</v>
      </c>
      <c r="E1437" s="9" t="s">
        <v>13284</v>
      </c>
      <c r="F1437" s="9" t="s">
        <v>13284</v>
      </c>
      <c r="G1437" s="9" t="s">
        <v>13284</v>
      </c>
      <c r="H1437" s="9" t="s">
        <v>13284</v>
      </c>
      <c r="I1437" s="9" t="s">
        <v>13284</v>
      </c>
      <c r="J1437" s="9" t="s">
        <v>13284</v>
      </c>
      <c r="K1437" s="9" t="s">
        <v>13284</v>
      </c>
      <c r="L1437" s="9" t="s">
        <v>13284</v>
      </c>
      <c r="M1437" s="9" t="s">
        <v>13284</v>
      </c>
      <c r="N1437" s="9" t="s">
        <v>13284</v>
      </c>
      <c r="O1437" s="9" t="s">
        <v>13284</v>
      </c>
      <c r="P1437" s="9" t="s">
        <v>13284</v>
      </c>
      <c r="Q1437" s="9" t="s">
        <v>13284</v>
      </c>
      <c r="R1437" s="9" t="s">
        <v>13284</v>
      </c>
      <c r="S1437" s="9" t="s">
        <v>13284</v>
      </c>
      <c r="T1437" s="9" t="str">
        <f ca="1">IFERROR(IF(AND(VLOOKUP(A1437, 'Актуальное состояние (из общего'!A:C,3,0) = "", A1437 &lt;&gt; ""), "ПРОВЕРИТЬ", VLOOKUP(A1437, 'Актуальное состояние (из общего'!A:C,3,0)), "")</f>
        <v>Студент</v>
      </c>
      <c r="U1437" s="9" t="s">
        <v>13284</v>
      </c>
      <c r="V1437" s="9" t="s">
        <v>13284</v>
      </c>
      <c r="W1437" s="9" t="s">
        <v>319</v>
      </c>
      <c r="X1437" s="9" t="str">
        <f t="array" ref="X1437">IFERROR(INDEX('Адреса общежитий (скрытый)'!$B$2:$B$9, MATCH(W1437, 'Адреса общежитий (скрытый)'!$A$2:$A$9, 0)), "")</f>
        <v>ул. Профсоюзная, д.83, корп. 2</v>
      </c>
      <c r="Y1437" s="18"/>
      <c r="Z1437" s="18"/>
      <c r="AA1437" s="18"/>
      <c r="AB1437" s="18"/>
      <c r="AC1437" s="18"/>
    </row>
    <row r="1438" spans="1:29" ht="32.25" hidden="1" customHeight="1">
      <c r="A1438" s="8">
        <v>2309191</v>
      </c>
      <c r="B1438" s="9" t="s">
        <v>13284</v>
      </c>
      <c r="C1438" s="9" t="s">
        <v>13284</v>
      </c>
      <c r="D1438" s="9" t="s">
        <v>13284</v>
      </c>
      <c r="E1438" s="9" t="s">
        <v>13284</v>
      </c>
      <c r="F1438" s="9" t="s">
        <v>13284</v>
      </c>
      <c r="G1438" s="9" t="s">
        <v>13284</v>
      </c>
      <c r="H1438" s="9" t="s">
        <v>13284</v>
      </c>
      <c r="I1438" s="9" t="s">
        <v>13284</v>
      </c>
      <c r="J1438" s="9" t="s">
        <v>13284</v>
      </c>
      <c r="K1438" s="9" t="s">
        <v>13284</v>
      </c>
      <c r="L1438" s="9" t="s">
        <v>13284</v>
      </c>
      <c r="M1438" s="9" t="s">
        <v>13284</v>
      </c>
      <c r="N1438" s="9" t="s">
        <v>13284</v>
      </c>
      <c r="O1438" s="9" t="s">
        <v>13284</v>
      </c>
      <c r="P1438" s="9" t="s">
        <v>13284</v>
      </c>
      <c r="Q1438" s="9" t="s">
        <v>13284</v>
      </c>
      <c r="R1438" s="9" t="s">
        <v>13284</v>
      </c>
      <c r="S1438" s="9" t="s">
        <v>13284</v>
      </c>
      <c r="T1438" s="9" t="str">
        <f ca="1">IFERROR(IF(AND(VLOOKUP(A1438, 'Актуальное состояние (из общего'!A:C,3,0) = "", A1438 &lt;&gt; ""), "ПРОВЕРИТЬ", VLOOKUP(A1438, 'Актуальное состояние (из общего'!A:C,3,0)), "")</f>
        <v>Студент</v>
      </c>
      <c r="U1438" s="9" t="s">
        <v>13284</v>
      </c>
      <c r="V1438" s="9" t="s">
        <v>13284</v>
      </c>
      <c r="W1438" s="12"/>
      <c r="X1438" s="9" t="str">
        <f t="array" ref="X1438">IFERROR(INDEX('Адреса общежитий (скрытый)'!$B$2:$B$9, MATCH(W1438, 'Адреса общежитий (скрытый)'!$A$2:$A$9, 0)), "")</f>
        <v/>
      </c>
      <c r="Y1438" s="18"/>
      <c r="Z1438" s="18"/>
      <c r="AA1438" s="18"/>
      <c r="AB1438" s="18"/>
      <c r="AC1438" s="18"/>
    </row>
    <row r="1439" spans="1:29" ht="32.25" customHeight="1">
      <c r="A1439" s="8">
        <v>2301677</v>
      </c>
      <c r="B1439" s="9" t="s">
        <v>13284</v>
      </c>
      <c r="C1439" s="9" t="s">
        <v>13284</v>
      </c>
      <c r="D1439" s="9" t="s">
        <v>13284</v>
      </c>
      <c r="E1439" s="9" t="s">
        <v>13284</v>
      </c>
      <c r="F1439" s="9" t="s">
        <v>13284</v>
      </c>
      <c r="G1439" s="9" t="s">
        <v>13284</v>
      </c>
      <c r="H1439" s="9" t="s">
        <v>13284</v>
      </c>
      <c r="I1439" s="9" t="s">
        <v>13284</v>
      </c>
      <c r="J1439" s="9" t="s">
        <v>13284</v>
      </c>
      <c r="K1439" s="9" t="s">
        <v>13284</v>
      </c>
      <c r="L1439" s="9" t="s">
        <v>13284</v>
      </c>
      <c r="M1439" s="9" t="s">
        <v>13284</v>
      </c>
      <c r="N1439" s="9" t="s">
        <v>13284</v>
      </c>
      <c r="O1439" s="9" t="s">
        <v>13284</v>
      </c>
      <c r="P1439" s="9" t="s">
        <v>13284</v>
      </c>
      <c r="Q1439" s="9" t="s">
        <v>13284</v>
      </c>
      <c r="R1439" s="9" t="s">
        <v>13284</v>
      </c>
      <c r="S1439" s="9" t="s">
        <v>13284</v>
      </c>
      <c r="T1439" s="9" t="str">
        <f ca="1">IFERROR(IF(AND(VLOOKUP(A1439, 'Актуальное состояние (из общего'!A:C,3,0) = "", A1439 &lt;&gt; ""), "ПРОВЕРИТЬ", VLOOKUP(A1439, 'Актуальное состояние (из общего'!A:C,3,0)), "")</f>
        <v>Студент</v>
      </c>
      <c r="U1439" s="9" t="s">
        <v>13284</v>
      </c>
      <c r="V1439" s="9" t="s">
        <v>13284</v>
      </c>
      <c r="W1439" s="9" t="s">
        <v>319</v>
      </c>
      <c r="X1439" s="9" t="str">
        <f t="array" ref="X1439">IFERROR(INDEX('Адреса общежитий (скрытый)'!$B$2:$B$9, MATCH(W1439, 'Адреса общежитий (скрытый)'!$A$2:$A$9, 0)), "")</f>
        <v>ул. Профсоюзная, д.83, корп. 2</v>
      </c>
      <c r="Y1439" s="18"/>
      <c r="Z1439" s="18"/>
      <c r="AA1439" s="18"/>
      <c r="AB1439" s="18"/>
      <c r="AC1439" s="18"/>
    </row>
    <row r="1440" spans="1:29" ht="32.25" hidden="1" customHeight="1">
      <c r="A1440" s="8">
        <v>2301144</v>
      </c>
      <c r="B1440" s="9" t="s">
        <v>13284</v>
      </c>
      <c r="C1440" s="9" t="s">
        <v>13284</v>
      </c>
      <c r="D1440" s="9" t="s">
        <v>13284</v>
      </c>
      <c r="E1440" s="9" t="s">
        <v>13284</v>
      </c>
      <c r="F1440" s="9" t="s">
        <v>13284</v>
      </c>
      <c r="G1440" s="9" t="s">
        <v>13284</v>
      </c>
      <c r="H1440" s="9" t="s">
        <v>13284</v>
      </c>
      <c r="I1440" s="9" t="s">
        <v>13284</v>
      </c>
      <c r="J1440" s="9" t="s">
        <v>13284</v>
      </c>
      <c r="K1440" s="9" t="s">
        <v>13284</v>
      </c>
      <c r="L1440" s="9" t="s">
        <v>13284</v>
      </c>
      <c r="M1440" s="9" t="s">
        <v>13284</v>
      </c>
      <c r="N1440" s="9" t="s">
        <v>13284</v>
      </c>
      <c r="O1440" s="9" t="s">
        <v>13284</v>
      </c>
      <c r="P1440" s="9" t="s">
        <v>13284</v>
      </c>
      <c r="Q1440" s="9" t="s">
        <v>13284</v>
      </c>
      <c r="R1440" s="9" t="s">
        <v>13284</v>
      </c>
      <c r="S1440" s="9" t="s">
        <v>13284</v>
      </c>
      <c r="T1440" s="9" t="str">
        <f ca="1">IFERROR(IF(AND(VLOOKUP(A1440, 'Актуальное состояние (из общего'!A:C,3,0) = "", A1440 &lt;&gt; ""), "ПРОВЕРИТЬ", VLOOKUP(A1440, 'Актуальное состояние (из общего'!A:C,3,0)), "")</f>
        <v>Студент</v>
      </c>
      <c r="U1440" s="9" t="s">
        <v>13284</v>
      </c>
      <c r="V1440" s="9" t="s">
        <v>13284</v>
      </c>
      <c r="W1440" s="12"/>
      <c r="X1440" s="9" t="str">
        <f t="array" ref="X1440">IFERROR(INDEX('Адреса общежитий (скрытый)'!$B$2:$B$9, MATCH(W1440, 'Адреса общежитий (скрытый)'!$A$2:$A$9, 0)), "")</f>
        <v/>
      </c>
      <c r="Y1440" s="18"/>
      <c r="Z1440" s="18"/>
      <c r="AA1440" s="18"/>
      <c r="AB1440" s="18"/>
      <c r="AC1440" s="18"/>
    </row>
    <row r="1441" spans="1:29" ht="32.25" hidden="1" customHeight="1">
      <c r="A1441" s="8">
        <v>2304259</v>
      </c>
      <c r="B1441" s="9" t="s">
        <v>13284</v>
      </c>
      <c r="C1441" s="9" t="s">
        <v>13284</v>
      </c>
      <c r="D1441" s="9" t="s">
        <v>13284</v>
      </c>
      <c r="E1441" s="9" t="s">
        <v>13284</v>
      </c>
      <c r="F1441" s="9" t="s">
        <v>13284</v>
      </c>
      <c r="G1441" s="9" t="s">
        <v>13284</v>
      </c>
      <c r="H1441" s="9" t="s">
        <v>13284</v>
      </c>
      <c r="I1441" s="9" t="s">
        <v>13284</v>
      </c>
      <c r="J1441" s="9" t="s">
        <v>13284</v>
      </c>
      <c r="K1441" s="9" t="s">
        <v>13284</v>
      </c>
      <c r="L1441" s="9" t="s">
        <v>13284</v>
      </c>
      <c r="M1441" s="9" t="s">
        <v>13284</v>
      </c>
      <c r="N1441" s="9" t="s">
        <v>13284</v>
      </c>
      <c r="O1441" s="9" t="s">
        <v>13284</v>
      </c>
      <c r="P1441" s="9" t="s">
        <v>13284</v>
      </c>
      <c r="Q1441" s="9" t="s">
        <v>13284</v>
      </c>
      <c r="R1441" s="9" t="s">
        <v>13284</v>
      </c>
      <c r="S1441" s="9" t="s">
        <v>13284</v>
      </c>
      <c r="T1441" s="9" t="str">
        <f ca="1">IFERROR(IF(AND(VLOOKUP(A1441, 'Актуальное состояние (из общего'!A:C,3,0) = "", A1441 &lt;&gt; ""), "ПРОВЕРИТЬ", VLOOKUP(A1441, 'Актуальное состояние (из общего'!A:C,3,0)), "")</f>
        <v>Студент</v>
      </c>
      <c r="U1441" s="9" t="s">
        <v>13284</v>
      </c>
      <c r="V1441" s="9" t="s">
        <v>13284</v>
      </c>
      <c r="W1441" s="12"/>
      <c r="X1441" s="9" t="str">
        <f t="array" ref="X1441">IFERROR(INDEX('Адреса общежитий (скрытый)'!$B$2:$B$9, MATCH(W1441, 'Адреса общежитий (скрытый)'!$A$2:$A$9, 0)), "")</f>
        <v/>
      </c>
      <c r="Y1441" s="18"/>
      <c r="Z1441" s="18"/>
      <c r="AA1441" s="18"/>
      <c r="AB1441" s="18"/>
      <c r="AC1441" s="18"/>
    </row>
    <row r="1442" spans="1:29" ht="32.25" customHeight="1">
      <c r="A1442" s="8">
        <v>2310188</v>
      </c>
      <c r="B1442" s="9" t="s">
        <v>13284</v>
      </c>
      <c r="C1442" s="9" t="s">
        <v>13284</v>
      </c>
      <c r="D1442" s="9" t="s">
        <v>13284</v>
      </c>
      <c r="E1442" s="9" t="s">
        <v>13284</v>
      </c>
      <c r="F1442" s="9" t="s">
        <v>13284</v>
      </c>
      <c r="G1442" s="9" t="s">
        <v>13284</v>
      </c>
      <c r="H1442" s="9" t="s">
        <v>13284</v>
      </c>
      <c r="I1442" s="9" t="s">
        <v>13284</v>
      </c>
      <c r="J1442" s="9" t="s">
        <v>13284</v>
      </c>
      <c r="K1442" s="9" t="s">
        <v>13284</v>
      </c>
      <c r="L1442" s="9" t="s">
        <v>13284</v>
      </c>
      <c r="M1442" s="9" t="s">
        <v>13284</v>
      </c>
      <c r="N1442" s="9" t="s">
        <v>13284</v>
      </c>
      <c r="O1442" s="9" t="s">
        <v>13284</v>
      </c>
      <c r="P1442" s="9" t="s">
        <v>13284</v>
      </c>
      <c r="Q1442" s="9" t="s">
        <v>13284</v>
      </c>
      <c r="R1442" s="9" t="s">
        <v>13284</v>
      </c>
      <c r="S1442" s="9" t="s">
        <v>13284</v>
      </c>
      <c r="T1442" s="9" t="str">
        <f ca="1">IFERROR(IF(AND(VLOOKUP(A1442, 'Актуальное состояние (из общего'!A:C,3,0) = "", A1442 &lt;&gt; ""), "ПРОВЕРИТЬ", VLOOKUP(A1442, 'Актуальное состояние (из общего'!A:C,3,0)), "")</f>
        <v>Студент</v>
      </c>
      <c r="U1442" s="9" t="s">
        <v>13284</v>
      </c>
      <c r="V1442" s="9" t="s">
        <v>13284</v>
      </c>
      <c r="W1442" s="12"/>
      <c r="X1442" s="9" t="str">
        <f t="array" ref="X1442">IFERROR(INDEX('Адреса общежитий (скрытый)'!$B$2:$B$9, MATCH(W1442, 'Адреса общежитий (скрытый)'!$A$2:$A$9, 0)), "")</f>
        <v/>
      </c>
      <c r="Y1442" s="18"/>
      <c r="Z1442" s="18"/>
      <c r="AA1442" s="18"/>
      <c r="AB1442" s="18"/>
      <c r="AC1442" s="18"/>
    </row>
    <row r="1443" spans="1:29" ht="32.25" customHeight="1">
      <c r="A1443" s="8">
        <v>2309924</v>
      </c>
      <c r="B1443" s="9" t="s">
        <v>13284</v>
      </c>
      <c r="C1443" s="9" t="s">
        <v>13284</v>
      </c>
      <c r="D1443" s="9" t="s">
        <v>13284</v>
      </c>
      <c r="E1443" s="9" t="s">
        <v>13284</v>
      </c>
      <c r="F1443" s="9" t="s">
        <v>13284</v>
      </c>
      <c r="G1443" s="9" t="s">
        <v>13284</v>
      </c>
      <c r="H1443" s="9" t="s">
        <v>13284</v>
      </c>
      <c r="I1443" s="9" t="s">
        <v>13284</v>
      </c>
      <c r="J1443" s="9" t="s">
        <v>13284</v>
      </c>
      <c r="K1443" s="9" t="s">
        <v>13284</v>
      </c>
      <c r="L1443" s="9" t="s">
        <v>13284</v>
      </c>
      <c r="M1443" s="9" t="s">
        <v>13284</v>
      </c>
      <c r="N1443" s="9" t="s">
        <v>13284</v>
      </c>
      <c r="O1443" s="9" t="s">
        <v>13284</v>
      </c>
      <c r="P1443" s="9" t="s">
        <v>13284</v>
      </c>
      <c r="Q1443" s="9" t="s">
        <v>13284</v>
      </c>
      <c r="R1443" s="9" t="s">
        <v>13284</v>
      </c>
      <c r="S1443" s="9" t="s">
        <v>13284</v>
      </c>
      <c r="T1443" s="9" t="str">
        <f ca="1">IFERROR(IF(AND(VLOOKUP(A1443, 'Актуальное состояние (из общего'!A:C,3,0) = "", A1443 &lt;&gt; ""), "ПРОВЕРИТЬ", VLOOKUP(A1443, 'Актуальное состояние (из общего'!A:C,3,0)), "")</f>
        <v>Студент</v>
      </c>
      <c r="U1443" s="9" t="s">
        <v>13284</v>
      </c>
      <c r="V1443" s="9" t="s">
        <v>13284</v>
      </c>
      <c r="W1443" s="9" t="s">
        <v>319</v>
      </c>
      <c r="X1443" s="9" t="str">
        <f t="array" ref="X1443">IFERROR(INDEX('Адреса общежитий (скрытый)'!$B$2:$B$9, MATCH(W1443, 'Адреса общежитий (скрытый)'!$A$2:$A$9, 0)), "")</f>
        <v>ул. Профсоюзная, д.83, корп. 2</v>
      </c>
      <c r="Y1443" s="18"/>
      <c r="Z1443" s="18"/>
      <c r="AA1443" s="18"/>
      <c r="AB1443" s="18"/>
      <c r="AC1443" s="18"/>
    </row>
    <row r="1444" spans="1:29" ht="32.25" customHeight="1">
      <c r="A1444" s="8">
        <v>2307489</v>
      </c>
      <c r="B1444" s="9" t="s">
        <v>13284</v>
      </c>
      <c r="C1444" s="9" t="s">
        <v>13284</v>
      </c>
      <c r="D1444" s="9" t="s">
        <v>13284</v>
      </c>
      <c r="E1444" s="9" t="s">
        <v>13284</v>
      </c>
      <c r="F1444" s="9" t="s">
        <v>13284</v>
      </c>
      <c r="G1444" s="9" t="s">
        <v>13284</v>
      </c>
      <c r="H1444" s="9" t="s">
        <v>13284</v>
      </c>
      <c r="I1444" s="9" t="s">
        <v>13284</v>
      </c>
      <c r="J1444" s="9" t="s">
        <v>13284</v>
      </c>
      <c r="K1444" s="9" t="s">
        <v>13284</v>
      </c>
      <c r="L1444" s="9" t="s">
        <v>13284</v>
      </c>
      <c r="M1444" s="9" t="s">
        <v>13284</v>
      </c>
      <c r="N1444" s="9" t="s">
        <v>13284</v>
      </c>
      <c r="O1444" s="9" t="s">
        <v>13284</v>
      </c>
      <c r="P1444" s="9" t="s">
        <v>13284</v>
      </c>
      <c r="Q1444" s="9" t="s">
        <v>13284</v>
      </c>
      <c r="R1444" s="9" t="s">
        <v>13284</v>
      </c>
      <c r="S1444" s="9" t="s">
        <v>13284</v>
      </c>
      <c r="T1444" s="9" t="str">
        <f ca="1">IFERROR(IF(AND(VLOOKUP(A1444, 'Актуальное состояние (из общего'!A:C,3,0) = "", A1444 &lt;&gt; ""), "ПРОВЕРИТЬ", VLOOKUP(A1444, 'Актуальное состояние (из общего'!A:C,3,0)), "")</f>
        <v>Студент</v>
      </c>
      <c r="U1444" s="9" t="s">
        <v>13284</v>
      </c>
      <c r="V1444" s="9" t="s">
        <v>13284</v>
      </c>
      <c r="W1444" s="9" t="s">
        <v>319</v>
      </c>
      <c r="X1444" s="9" t="str">
        <f t="array" ref="X1444">IFERROR(INDEX('Адреса общежитий (скрытый)'!$B$2:$B$9, MATCH(W1444, 'Адреса общежитий (скрытый)'!$A$2:$A$9, 0)), "")</f>
        <v>ул. Профсоюзная, д.83, корп. 2</v>
      </c>
      <c r="Y1444" s="18"/>
      <c r="Z1444" s="18"/>
      <c r="AA1444" s="18"/>
      <c r="AB1444" s="18"/>
      <c r="AC1444" s="18"/>
    </row>
    <row r="1445" spans="1:29" ht="32.25" hidden="1" customHeight="1">
      <c r="A1445" s="8">
        <v>2308724</v>
      </c>
      <c r="B1445" s="9" t="s">
        <v>13284</v>
      </c>
      <c r="C1445" s="9" t="s">
        <v>13284</v>
      </c>
      <c r="D1445" s="9" t="s">
        <v>13284</v>
      </c>
      <c r="E1445" s="9" t="s">
        <v>13284</v>
      </c>
      <c r="F1445" s="9" t="s">
        <v>13284</v>
      </c>
      <c r="G1445" s="9" t="s">
        <v>13284</v>
      </c>
      <c r="H1445" s="9" t="s">
        <v>13284</v>
      </c>
      <c r="I1445" s="9" t="s">
        <v>13284</v>
      </c>
      <c r="J1445" s="9" t="s">
        <v>13284</v>
      </c>
      <c r="K1445" s="9" t="s">
        <v>13284</v>
      </c>
      <c r="L1445" s="9" t="s">
        <v>13284</v>
      </c>
      <c r="M1445" s="9" t="s">
        <v>13284</v>
      </c>
      <c r="N1445" s="9" t="s">
        <v>13284</v>
      </c>
      <c r="O1445" s="9" t="s">
        <v>13284</v>
      </c>
      <c r="P1445" s="9" t="s">
        <v>13284</v>
      </c>
      <c r="Q1445" s="9" t="s">
        <v>13284</v>
      </c>
      <c r="R1445" s="9" t="s">
        <v>13284</v>
      </c>
      <c r="S1445" s="9" t="s">
        <v>13284</v>
      </c>
      <c r="T1445" s="9" t="str">
        <f ca="1">IFERROR(IF(AND(VLOOKUP(A1445, 'Актуальное состояние (из общего'!A:C,3,0) = "", A1445 &lt;&gt; ""), "ПРОВЕРИТЬ", VLOOKUP(A1445, 'Актуальное состояние (из общего'!A:C,3,0)), "")</f>
        <v>Студент</v>
      </c>
      <c r="U1445" s="9" t="s">
        <v>13284</v>
      </c>
      <c r="V1445" s="9" t="s">
        <v>13284</v>
      </c>
      <c r="W1445" s="12"/>
      <c r="X1445" s="9" t="str">
        <f t="array" ref="X1445">IFERROR(INDEX('Адреса общежитий (скрытый)'!$B$2:$B$9, MATCH(W1445, 'Адреса общежитий (скрытый)'!$A$2:$A$9, 0)), "")</f>
        <v/>
      </c>
      <c r="Y1445" s="18"/>
      <c r="Z1445" s="18"/>
      <c r="AA1445" s="18"/>
      <c r="AB1445" s="18"/>
      <c r="AC1445" s="18"/>
    </row>
    <row r="1446" spans="1:29" ht="32.25" hidden="1" customHeight="1">
      <c r="A1446" s="8">
        <v>2304121</v>
      </c>
      <c r="B1446" s="9" t="s">
        <v>13284</v>
      </c>
      <c r="C1446" s="9" t="s">
        <v>13284</v>
      </c>
      <c r="D1446" s="9" t="s">
        <v>13284</v>
      </c>
      <c r="E1446" s="9" t="s">
        <v>13284</v>
      </c>
      <c r="F1446" s="9" t="s">
        <v>13284</v>
      </c>
      <c r="G1446" s="9" t="s">
        <v>13284</v>
      </c>
      <c r="H1446" s="9" t="s">
        <v>13284</v>
      </c>
      <c r="I1446" s="9" t="s">
        <v>13284</v>
      </c>
      <c r="J1446" s="9" t="s">
        <v>13284</v>
      </c>
      <c r="K1446" s="9" t="s">
        <v>13284</v>
      </c>
      <c r="L1446" s="9" t="s">
        <v>13284</v>
      </c>
      <c r="M1446" s="9" t="s">
        <v>13284</v>
      </c>
      <c r="N1446" s="9" t="s">
        <v>13284</v>
      </c>
      <c r="O1446" s="9" t="s">
        <v>13284</v>
      </c>
      <c r="P1446" s="9" t="s">
        <v>13284</v>
      </c>
      <c r="Q1446" s="9" t="s">
        <v>13284</v>
      </c>
      <c r="R1446" s="9" t="s">
        <v>13284</v>
      </c>
      <c r="S1446" s="9" t="s">
        <v>13284</v>
      </c>
      <c r="T1446" s="9" t="str">
        <f ca="1">IFERROR(IF(AND(VLOOKUP(A1446, 'Актуальное состояние (из общего'!A:C,3,0) = "", A1446 &lt;&gt; ""), "ПРОВЕРИТЬ", VLOOKUP(A1446, 'Актуальное состояние (из общего'!A:C,3,0)), "")</f>
        <v>Студент</v>
      </c>
      <c r="U1446" s="9" t="s">
        <v>13284</v>
      </c>
      <c r="V1446" s="9" t="s">
        <v>13284</v>
      </c>
      <c r="W1446" s="12"/>
      <c r="X1446" s="9" t="str">
        <f t="array" ref="X1446">IFERROR(INDEX('Адреса общежитий (скрытый)'!$B$2:$B$9, MATCH(W1446, 'Адреса общежитий (скрытый)'!$A$2:$A$9, 0)), "")</f>
        <v/>
      </c>
      <c r="Y1446" s="18"/>
      <c r="Z1446" s="18"/>
      <c r="AA1446" s="18"/>
      <c r="AB1446" s="18"/>
      <c r="AC1446" s="18"/>
    </row>
    <row r="1447" spans="1:29" ht="32.25" hidden="1" customHeight="1">
      <c r="A1447" s="8">
        <v>2312183</v>
      </c>
      <c r="B1447" s="9" t="s">
        <v>13284</v>
      </c>
      <c r="C1447" s="9" t="s">
        <v>13284</v>
      </c>
      <c r="D1447" s="9" t="s">
        <v>13284</v>
      </c>
      <c r="E1447" s="9" t="s">
        <v>13284</v>
      </c>
      <c r="F1447" s="9" t="s">
        <v>13284</v>
      </c>
      <c r="G1447" s="9" t="s">
        <v>13284</v>
      </c>
      <c r="H1447" s="9" t="s">
        <v>13284</v>
      </c>
      <c r="I1447" s="9" t="s">
        <v>13284</v>
      </c>
      <c r="J1447" s="9" t="s">
        <v>13284</v>
      </c>
      <c r="K1447" s="9" t="s">
        <v>13284</v>
      </c>
      <c r="L1447" s="9" t="s">
        <v>13284</v>
      </c>
      <c r="M1447" s="9" t="s">
        <v>13284</v>
      </c>
      <c r="N1447" s="9" t="s">
        <v>13284</v>
      </c>
      <c r="O1447" s="9" t="s">
        <v>13284</v>
      </c>
      <c r="P1447" s="9" t="s">
        <v>13284</v>
      </c>
      <c r="Q1447" s="9" t="s">
        <v>13284</v>
      </c>
      <c r="R1447" s="9" t="s">
        <v>13284</v>
      </c>
      <c r="S1447" s="9" t="s">
        <v>13284</v>
      </c>
      <c r="T1447" s="9" t="str">
        <f ca="1">IFERROR(IF(AND(VLOOKUP(A1447, 'Актуальное состояние (из общего'!A:C,3,0) = "", A1447 &lt;&gt; ""), "ПРОВЕРИТЬ", VLOOKUP(A1447, 'Актуальное состояние (из общего'!A:C,3,0)), "")</f>
        <v>Студент</v>
      </c>
      <c r="U1447" s="9" t="s">
        <v>13284</v>
      </c>
      <c r="V1447" s="9" t="s">
        <v>13284</v>
      </c>
      <c r="W1447" s="12"/>
      <c r="X1447" s="9" t="str">
        <f t="array" ref="X1447">IFERROR(INDEX('Адреса общежитий (скрытый)'!$B$2:$B$9, MATCH(W1447, 'Адреса общежитий (скрытый)'!$A$2:$A$9, 0)), "")</f>
        <v/>
      </c>
      <c r="Y1447" s="18"/>
      <c r="Z1447" s="18"/>
      <c r="AA1447" s="18"/>
      <c r="AB1447" s="18"/>
      <c r="AC1447" s="18"/>
    </row>
    <row r="1448" spans="1:29" ht="32.25" hidden="1" customHeight="1">
      <c r="A1448" s="8">
        <v>2305834</v>
      </c>
      <c r="B1448" s="9" t="s">
        <v>13284</v>
      </c>
      <c r="C1448" s="9" t="s">
        <v>13284</v>
      </c>
      <c r="D1448" s="9" t="s">
        <v>13284</v>
      </c>
      <c r="E1448" s="9" t="s">
        <v>13284</v>
      </c>
      <c r="F1448" s="9" t="s">
        <v>13284</v>
      </c>
      <c r="G1448" s="9" t="s">
        <v>13284</v>
      </c>
      <c r="H1448" s="9" t="s">
        <v>13284</v>
      </c>
      <c r="I1448" s="9" t="s">
        <v>13284</v>
      </c>
      <c r="J1448" s="9" t="s">
        <v>13284</v>
      </c>
      <c r="K1448" s="9" t="s">
        <v>13284</v>
      </c>
      <c r="L1448" s="9" t="s">
        <v>13284</v>
      </c>
      <c r="M1448" s="9" t="s">
        <v>13284</v>
      </c>
      <c r="N1448" s="9" t="s">
        <v>13284</v>
      </c>
      <c r="O1448" s="9" t="s">
        <v>13284</v>
      </c>
      <c r="P1448" s="9" t="s">
        <v>13284</v>
      </c>
      <c r="Q1448" s="9" t="s">
        <v>13284</v>
      </c>
      <c r="R1448" s="9" t="s">
        <v>13284</v>
      </c>
      <c r="S1448" s="9" t="s">
        <v>13284</v>
      </c>
      <c r="T1448" s="9" t="str">
        <f ca="1">IFERROR(IF(AND(VLOOKUP(A1448, 'Актуальное состояние (из общего'!A:C,3,0) = "", A1448 &lt;&gt; ""), "ПРОВЕРИТЬ", VLOOKUP(A1448, 'Актуальное состояние (из общего'!A:C,3,0)), "")</f>
        <v>Студент</v>
      </c>
      <c r="U1448" s="9" t="s">
        <v>13284</v>
      </c>
      <c r="V1448" s="9" t="s">
        <v>13284</v>
      </c>
      <c r="W1448" s="12"/>
      <c r="X1448" s="9" t="str">
        <f t="array" ref="X1448">IFERROR(INDEX('Адреса общежитий (скрытый)'!$B$2:$B$9, MATCH(W1448, 'Адреса общежитий (скрытый)'!$A$2:$A$9, 0)), "")</f>
        <v/>
      </c>
      <c r="Y1448" s="18"/>
      <c r="Z1448" s="18"/>
      <c r="AA1448" s="18"/>
      <c r="AB1448" s="18"/>
      <c r="AC1448" s="18"/>
    </row>
    <row r="1449" spans="1:29" ht="32.25" hidden="1" customHeight="1">
      <c r="A1449" s="8">
        <v>2309775</v>
      </c>
      <c r="B1449" s="9" t="s">
        <v>13284</v>
      </c>
      <c r="C1449" s="9" t="s">
        <v>13284</v>
      </c>
      <c r="D1449" s="9" t="s">
        <v>13284</v>
      </c>
      <c r="E1449" s="9" t="s">
        <v>13284</v>
      </c>
      <c r="F1449" s="9" t="s">
        <v>13284</v>
      </c>
      <c r="G1449" s="9" t="s">
        <v>13284</v>
      </c>
      <c r="H1449" s="9" t="s">
        <v>13284</v>
      </c>
      <c r="I1449" s="9" t="s">
        <v>13284</v>
      </c>
      <c r="J1449" s="9" t="s">
        <v>13284</v>
      </c>
      <c r="K1449" s="9" t="s">
        <v>13284</v>
      </c>
      <c r="L1449" s="9" t="s">
        <v>13284</v>
      </c>
      <c r="M1449" s="9" t="s">
        <v>13284</v>
      </c>
      <c r="N1449" s="9" t="s">
        <v>13284</v>
      </c>
      <c r="O1449" s="9" t="s">
        <v>13284</v>
      </c>
      <c r="P1449" s="9" t="s">
        <v>13284</v>
      </c>
      <c r="Q1449" s="9" t="s">
        <v>13284</v>
      </c>
      <c r="R1449" s="9" t="s">
        <v>13284</v>
      </c>
      <c r="S1449" s="9" t="s">
        <v>13284</v>
      </c>
      <c r="T1449" s="9" t="str">
        <f ca="1">IFERROR(IF(AND(VLOOKUP(A1449, 'Актуальное состояние (из общего'!A:C,3,0) = "", A1449 &lt;&gt; ""), "ПРОВЕРИТЬ", VLOOKUP(A1449, 'Актуальное состояние (из общего'!A:C,3,0)), "")</f>
        <v>Студент</v>
      </c>
      <c r="U1449" s="9" t="s">
        <v>13284</v>
      </c>
      <c r="V1449" s="9" t="s">
        <v>13284</v>
      </c>
      <c r="W1449" s="12"/>
      <c r="X1449" s="9" t="str">
        <f t="array" ref="X1449">IFERROR(INDEX('Адреса общежитий (скрытый)'!$B$2:$B$9, MATCH(W1449, 'Адреса общежитий (скрытый)'!$A$2:$A$9, 0)), "")</f>
        <v/>
      </c>
      <c r="Y1449" s="18"/>
      <c r="Z1449" s="18"/>
      <c r="AA1449" s="18"/>
      <c r="AB1449" s="18"/>
      <c r="AC1449" s="18"/>
    </row>
    <row r="1450" spans="1:29" ht="32.25" hidden="1" customHeight="1">
      <c r="A1450" s="8">
        <v>2311537</v>
      </c>
      <c r="B1450" s="9" t="s">
        <v>13284</v>
      </c>
      <c r="C1450" s="9" t="s">
        <v>13284</v>
      </c>
      <c r="D1450" s="9" t="s">
        <v>13284</v>
      </c>
      <c r="E1450" s="9" t="s">
        <v>13284</v>
      </c>
      <c r="F1450" s="9" t="s">
        <v>13284</v>
      </c>
      <c r="G1450" s="9" t="s">
        <v>13284</v>
      </c>
      <c r="H1450" s="9" t="s">
        <v>13284</v>
      </c>
      <c r="I1450" s="9" t="s">
        <v>13284</v>
      </c>
      <c r="J1450" s="9" t="s">
        <v>13284</v>
      </c>
      <c r="K1450" s="9" t="s">
        <v>13284</v>
      </c>
      <c r="L1450" s="9" t="s">
        <v>13284</v>
      </c>
      <c r="M1450" s="9" t="s">
        <v>13284</v>
      </c>
      <c r="N1450" s="9" t="s">
        <v>13284</v>
      </c>
      <c r="O1450" s="9" t="s">
        <v>13284</v>
      </c>
      <c r="P1450" s="9" t="s">
        <v>13284</v>
      </c>
      <c r="Q1450" s="9" t="s">
        <v>13284</v>
      </c>
      <c r="R1450" s="9" t="s">
        <v>13284</v>
      </c>
      <c r="S1450" s="9" t="s">
        <v>13284</v>
      </c>
      <c r="T1450" s="9" t="str">
        <f ca="1">IFERROR(IF(AND(VLOOKUP(A1450, 'Актуальное состояние (из общего'!A:C,3,0) = "", A1450 &lt;&gt; ""), "ПРОВЕРИТЬ", VLOOKUP(A1450, 'Актуальное состояние (из общего'!A:C,3,0)), "")</f>
        <v>Студент</v>
      </c>
      <c r="U1450" s="9" t="s">
        <v>13284</v>
      </c>
      <c r="V1450" s="9" t="s">
        <v>13284</v>
      </c>
      <c r="W1450" s="12"/>
      <c r="X1450" s="9" t="str">
        <f t="array" ref="X1450">IFERROR(INDEX('Адреса общежитий (скрытый)'!$B$2:$B$9, MATCH(W1450, 'Адреса общежитий (скрытый)'!$A$2:$A$9, 0)), "")</f>
        <v/>
      </c>
      <c r="Y1450" s="18"/>
      <c r="Z1450" s="18"/>
      <c r="AA1450" s="18"/>
      <c r="AB1450" s="18"/>
      <c r="AC1450" s="18"/>
    </row>
    <row r="1451" spans="1:29" ht="32.25" customHeight="1">
      <c r="A1451" s="8">
        <v>2305538</v>
      </c>
      <c r="B1451" s="9" t="s">
        <v>13284</v>
      </c>
      <c r="C1451" s="9" t="s">
        <v>13284</v>
      </c>
      <c r="D1451" s="9" t="s">
        <v>13284</v>
      </c>
      <c r="E1451" s="9" t="s">
        <v>13284</v>
      </c>
      <c r="F1451" s="9" t="s">
        <v>13284</v>
      </c>
      <c r="G1451" s="9" t="s">
        <v>13284</v>
      </c>
      <c r="H1451" s="9" t="s">
        <v>13284</v>
      </c>
      <c r="I1451" s="9" t="s">
        <v>13284</v>
      </c>
      <c r="J1451" s="9" t="s">
        <v>13284</v>
      </c>
      <c r="K1451" s="9" t="s">
        <v>13284</v>
      </c>
      <c r="L1451" s="9" t="s">
        <v>13284</v>
      </c>
      <c r="M1451" s="9" t="s">
        <v>13284</v>
      </c>
      <c r="N1451" s="9" t="s">
        <v>13284</v>
      </c>
      <c r="O1451" s="9" t="s">
        <v>13284</v>
      </c>
      <c r="P1451" s="9" t="s">
        <v>13284</v>
      </c>
      <c r="Q1451" s="9" t="s">
        <v>13284</v>
      </c>
      <c r="R1451" s="9" t="s">
        <v>13284</v>
      </c>
      <c r="S1451" s="9" t="s">
        <v>13284</v>
      </c>
      <c r="T1451" s="9" t="str">
        <f ca="1">IFERROR(IF(AND(VLOOKUP(A1451, 'Актуальное состояние (из общего'!A:C,3,0) = "", A1451 &lt;&gt; ""), "ПРОВЕРИТЬ", VLOOKUP(A1451, 'Актуальное состояние (из общего'!A:C,3,0)), "")</f>
        <v>Студент</v>
      </c>
      <c r="U1451" s="9" t="s">
        <v>13284</v>
      </c>
      <c r="V1451" s="9" t="s">
        <v>13284</v>
      </c>
      <c r="W1451" s="12"/>
      <c r="X1451" s="9" t="str">
        <f t="array" ref="X1451">IFERROR(INDEX('Адреса общежитий (скрытый)'!$B$2:$B$9, MATCH(W1451, 'Адреса общежитий (скрытый)'!$A$2:$A$9, 0)), "")</f>
        <v/>
      </c>
      <c r="Y1451" s="18"/>
      <c r="Z1451" s="18"/>
      <c r="AA1451" s="18"/>
      <c r="AB1451" s="18"/>
      <c r="AC1451" s="18"/>
    </row>
    <row r="1452" spans="1:29" ht="32.25" hidden="1" customHeight="1">
      <c r="A1452" s="8">
        <v>2305247</v>
      </c>
      <c r="B1452" s="9" t="s">
        <v>13284</v>
      </c>
      <c r="C1452" s="9" t="s">
        <v>13284</v>
      </c>
      <c r="D1452" s="9" t="s">
        <v>13284</v>
      </c>
      <c r="E1452" s="9" t="s">
        <v>13284</v>
      </c>
      <c r="F1452" s="9" t="s">
        <v>13284</v>
      </c>
      <c r="G1452" s="9" t="s">
        <v>13284</v>
      </c>
      <c r="H1452" s="9" t="s">
        <v>13284</v>
      </c>
      <c r="I1452" s="9" t="s">
        <v>13284</v>
      </c>
      <c r="J1452" s="9" t="s">
        <v>13284</v>
      </c>
      <c r="K1452" s="9" t="s">
        <v>13284</v>
      </c>
      <c r="L1452" s="9" t="s">
        <v>13284</v>
      </c>
      <c r="M1452" s="9" t="s">
        <v>13284</v>
      </c>
      <c r="N1452" s="9" t="s">
        <v>13284</v>
      </c>
      <c r="O1452" s="9" t="s">
        <v>13284</v>
      </c>
      <c r="P1452" s="9" t="s">
        <v>13284</v>
      </c>
      <c r="Q1452" s="9" t="s">
        <v>13284</v>
      </c>
      <c r="R1452" s="9" t="s">
        <v>13284</v>
      </c>
      <c r="S1452" s="9" t="s">
        <v>13284</v>
      </c>
      <c r="T1452" s="9" t="str">
        <f ca="1">IFERROR(IF(AND(VLOOKUP(A1452, 'Актуальное состояние (из общего'!A:C,3,0) = "", A1452 &lt;&gt; ""), "ПРОВЕРИТЬ", VLOOKUP(A1452, 'Актуальное состояние (из общего'!A:C,3,0)), "")</f>
        <v>Студент</v>
      </c>
      <c r="U1452" s="9" t="s">
        <v>13284</v>
      </c>
      <c r="V1452" s="9" t="s">
        <v>13284</v>
      </c>
      <c r="W1452" s="12"/>
      <c r="X1452" s="9" t="str">
        <f t="array" ref="X1452">IFERROR(INDEX('Адреса общежитий (скрытый)'!$B$2:$B$9, MATCH(W1452, 'Адреса общежитий (скрытый)'!$A$2:$A$9, 0)), "")</f>
        <v/>
      </c>
      <c r="Y1452" s="18"/>
      <c r="Z1452" s="18"/>
      <c r="AA1452" s="18"/>
      <c r="AB1452" s="18"/>
      <c r="AC1452" s="18"/>
    </row>
    <row r="1453" spans="1:29" ht="32.25" hidden="1" customHeight="1">
      <c r="A1453" s="8">
        <v>2302100</v>
      </c>
      <c r="B1453" s="9" t="s">
        <v>13284</v>
      </c>
      <c r="C1453" s="9" t="s">
        <v>13284</v>
      </c>
      <c r="D1453" s="9" t="s">
        <v>13284</v>
      </c>
      <c r="E1453" s="9" t="s">
        <v>13284</v>
      </c>
      <c r="F1453" s="9" t="s">
        <v>13284</v>
      </c>
      <c r="G1453" s="9" t="s">
        <v>13284</v>
      </c>
      <c r="H1453" s="9" t="s">
        <v>13284</v>
      </c>
      <c r="I1453" s="9" t="s">
        <v>13284</v>
      </c>
      <c r="J1453" s="9" t="s">
        <v>13284</v>
      </c>
      <c r="K1453" s="9" t="s">
        <v>13284</v>
      </c>
      <c r="L1453" s="9" t="s">
        <v>13284</v>
      </c>
      <c r="M1453" s="9" t="s">
        <v>13284</v>
      </c>
      <c r="N1453" s="9" t="s">
        <v>13284</v>
      </c>
      <c r="O1453" s="9" t="s">
        <v>13284</v>
      </c>
      <c r="P1453" s="9" t="s">
        <v>13284</v>
      </c>
      <c r="Q1453" s="9" t="s">
        <v>13284</v>
      </c>
      <c r="R1453" s="9" t="s">
        <v>13284</v>
      </c>
      <c r="S1453" s="9" t="s">
        <v>13284</v>
      </c>
      <c r="T1453" s="9" t="str">
        <f ca="1">IFERROR(IF(AND(VLOOKUP(A1453, 'Актуальное состояние (из общего'!A:C,3,0) = "", A1453 &lt;&gt; ""), "ПРОВЕРИТЬ", VLOOKUP(A1453, 'Актуальное состояние (из общего'!A:C,3,0)), "")</f>
        <v>Студент</v>
      </c>
      <c r="U1453" s="9" t="s">
        <v>13284</v>
      </c>
      <c r="V1453" s="9" t="s">
        <v>13284</v>
      </c>
      <c r="W1453" s="12"/>
      <c r="X1453" s="9" t="str">
        <f t="array" ref="X1453">IFERROR(INDEX('Адреса общежитий (скрытый)'!$B$2:$B$9, MATCH(W1453, 'Адреса общежитий (скрытый)'!$A$2:$A$9, 0)), "")</f>
        <v/>
      </c>
      <c r="Y1453" s="18"/>
      <c r="Z1453" s="18"/>
      <c r="AA1453" s="18"/>
      <c r="AB1453" s="18"/>
      <c r="AC1453" s="18"/>
    </row>
    <row r="1454" spans="1:29" ht="32.25" hidden="1" customHeight="1">
      <c r="A1454" s="8">
        <v>2303780</v>
      </c>
      <c r="B1454" s="9" t="s">
        <v>13284</v>
      </c>
      <c r="C1454" s="9" t="s">
        <v>13284</v>
      </c>
      <c r="D1454" s="9" t="s">
        <v>13284</v>
      </c>
      <c r="E1454" s="9" t="s">
        <v>13284</v>
      </c>
      <c r="F1454" s="9" t="s">
        <v>13284</v>
      </c>
      <c r="G1454" s="9" t="s">
        <v>13284</v>
      </c>
      <c r="H1454" s="9" t="s">
        <v>13284</v>
      </c>
      <c r="I1454" s="9" t="s">
        <v>13284</v>
      </c>
      <c r="J1454" s="9" t="s">
        <v>13284</v>
      </c>
      <c r="K1454" s="9" t="s">
        <v>13284</v>
      </c>
      <c r="L1454" s="9" t="s">
        <v>13284</v>
      </c>
      <c r="M1454" s="9" t="s">
        <v>13284</v>
      </c>
      <c r="N1454" s="9" t="s">
        <v>13284</v>
      </c>
      <c r="O1454" s="9" t="s">
        <v>13284</v>
      </c>
      <c r="P1454" s="9" t="s">
        <v>13284</v>
      </c>
      <c r="Q1454" s="9" t="s">
        <v>13284</v>
      </c>
      <c r="R1454" s="9" t="s">
        <v>13284</v>
      </c>
      <c r="S1454" s="9" t="s">
        <v>13284</v>
      </c>
      <c r="T1454" s="9" t="str">
        <f ca="1">IFERROR(IF(AND(VLOOKUP(A1454, 'Актуальное состояние (из общего'!A:C,3,0) = "", A1454 &lt;&gt; ""), "ПРОВЕРИТЬ", VLOOKUP(A1454, 'Актуальное состояние (из общего'!A:C,3,0)), "")</f>
        <v>Студент</v>
      </c>
      <c r="U1454" s="9" t="s">
        <v>13284</v>
      </c>
      <c r="V1454" s="9" t="s">
        <v>13284</v>
      </c>
      <c r="W1454" s="12"/>
      <c r="X1454" s="9" t="str">
        <f t="array" ref="X1454">IFERROR(INDEX('Адреса общежитий (скрытый)'!$B$2:$B$9, MATCH(W1454, 'Адреса общежитий (скрытый)'!$A$2:$A$9, 0)), "")</f>
        <v/>
      </c>
      <c r="Y1454" s="18"/>
      <c r="Z1454" s="18"/>
      <c r="AA1454" s="18"/>
      <c r="AB1454" s="18"/>
      <c r="AC1454" s="18"/>
    </row>
    <row r="1455" spans="1:29" ht="32.25" hidden="1" customHeight="1">
      <c r="A1455" s="8">
        <v>2313224</v>
      </c>
      <c r="B1455" s="9" t="s">
        <v>13284</v>
      </c>
      <c r="C1455" s="9" t="s">
        <v>13284</v>
      </c>
      <c r="D1455" s="9" t="s">
        <v>13284</v>
      </c>
      <c r="E1455" s="9" t="s">
        <v>13284</v>
      </c>
      <c r="F1455" s="9" t="s">
        <v>13284</v>
      </c>
      <c r="G1455" s="9" t="s">
        <v>13284</v>
      </c>
      <c r="H1455" s="9" t="s">
        <v>13284</v>
      </c>
      <c r="I1455" s="9" t="s">
        <v>13284</v>
      </c>
      <c r="J1455" s="9" t="s">
        <v>13284</v>
      </c>
      <c r="K1455" s="9" t="s">
        <v>13284</v>
      </c>
      <c r="L1455" s="9" t="s">
        <v>13284</v>
      </c>
      <c r="M1455" s="9" t="s">
        <v>13284</v>
      </c>
      <c r="N1455" s="9" t="s">
        <v>13284</v>
      </c>
      <c r="O1455" s="9" t="s">
        <v>13284</v>
      </c>
      <c r="P1455" s="9" t="s">
        <v>13284</v>
      </c>
      <c r="Q1455" s="9" t="s">
        <v>13284</v>
      </c>
      <c r="R1455" s="9" t="s">
        <v>13284</v>
      </c>
      <c r="S1455" s="9" t="s">
        <v>13284</v>
      </c>
      <c r="T1455" s="9" t="str">
        <f ca="1">IFERROR(IF(AND(VLOOKUP(A1455, 'Актуальное состояние (из общего'!A:C,3,0) = "", A1455 &lt;&gt; ""), "ПРОВЕРИТЬ", VLOOKUP(A1455, 'Актуальное состояние (из общего'!A:C,3,0)), "")</f>
        <v>Студент</v>
      </c>
      <c r="U1455" s="9" t="s">
        <v>13284</v>
      </c>
      <c r="V1455" s="9" t="s">
        <v>13284</v>
      </c>
      <c r="W1455" s="12"/>
      <c r="X1455" s="9" t="str">
        <f t="array" ref="X1455">IFERROR(INDEX('Адреса общежитий (скрытый)'!$B$2:$B$9, MATCH(W1455, 'Адреса общежитий (скрытый)'!$A$2:$A$9, 0)), "")</f>
        <v/>
      </c>
      <c r="Y1455" s="18"/>
      <c r="Z1455" s="18"/>
      <c r="AA1455" s="18"/>
      <c r="AB1455" s="18"/>
      <c r="AC1455" s="18"/>
    </row>
    <row r="1456" spans="1:29" ht="32.25" hidden="1" customHeight="1">
      <c r="A1456" s="8">
        <v>2301094</v>
      </c>
      <c r="B1456" s="9" t="s">
        <v>13284</v>
      </c>
      <c r="C1456" s="9" t="s">
        <v>13284</v>
      </c>
      <c r="D1456" s="9" t="s">
        <v>13284</v>
      </c>
      <c r="E1456" s="9" t="s">
        <v>13284</v>
      </c>
      <c r="F1456" s="9" t="s">
        <v>13284</v>
      </c>
      <c r="G1456" s="9" t="s">
        <v>13284</v>
      </c>
      <c r="H1456" s="9" t="s">
        <v>13284</v>
      </c>
      <c r="I1456" s="9" t="s">
        <v>13284</v>
      </c>
      <c r="J1456" s="9" t="s">
        <v>13284</v>
      </c>
      <c r="K1456" s="9" t="s">
        <v>13284</v>
      </c>
      <c r="L1456" s="9" t="s">
        <v>13284</v>
      </c>
      <c r="M1456" s="9" t="s">
        <v>13284</v>
      </c>
      <c r="N1456" s="9" t="s">
        <v>13284</v>
      </c>
      <c r="O1456" s="9" t="s">
        <v>13284</v>
      </c>
      <c r="P1456" s="9" t="s">
        <v>13284</v>
      </c>
      <c r="Q1456" s="9" t="s">
        <v>13284</v>
      </c>
      <c r="R1456" s="9" t="s">
        <v>13284</v>
      </c>
      <c r="S1456" s="9" t="s">
        <v>13284</v>
      </c>
      <c r="T1456" s="9" t="str">
        <f ca="1">IFERROR(IF(AND(VLOOKUP(A1456, 'Актуальное состояние (из общего'!A:C,3,0) = "", A1456 &lt;&gt; ""), "ПРОВЕРИТЬ", VLOOKUP(A1456, 'Актуальное состояние (из общего'!A:C,3,0)), "")</f>
        <v>Студент</v>
      </c>
      <c r="U1456" s="9" t="s">
        <v>13284</v>
      </c>
      <c r="V1456" s="9" t="s">
        <v>13284</v>
      </c>
      <c r="W1456" s="12"/>
      <c r="X1456" s="9" t="str">
        <f t="array" ref="X1456">IFERROR(INDEX('Адреса общежитий (скрытый)'!$B$2:$B$9, MATCH(W1456, 'Адреса общежитий (скрытый)'!$A$2:$A$9, 0)), "")</f>
        <v/>
      </c>
      <c r="Y1456" s="18"/>
      <c r="Z1456" s="18"/>
      <c r="AA1456" s="18"/>
      <c r="AB1456" s="18"/>
      <c r="AC1456" s="18"/>
    </row>
    <row r="1457" spans="1:29" ht="32.25" customHeight="1">
      <c r="A1457" s="8">
        <v>2306622</v>
      </c>
      <c r="B1457" s="9" t="s">
        <v>13284</v>
      </c>
      <c r="C1457" s="9" t="s">
        <v>13284</v>
      </c>
      <c r="D1457" s="9" t="s">
        <v>13284</v>
      </c>
      <c r="E1457" s="9" t="s">
        <v>13284</v>
      </c>
      <c r="F1457" s="9" t="s">
        <v>13284</v>
      </c>
      <c r="G1457" s="9" t="s">
        <v>13284</v>
      </c>
      <c r="H1457" s="9" t="s">
        <v>13284</v>
      </c>
      <c r="I1457" s="9" t="s">
        <v>13284</v>
      </c>
      <c r="J1457" s="9" t="s">
        <v>13284</v>
      </c>
      <c r="K1457" s="9" t="s">
        <v>13284</v>
      </c>
      <c r="L1457" s="9" t="s">
        <v>13284</v>
      </c>
      <c r="M1457" s="9" t="s">
        <v>13284</v>
      </c>
      <c r="N1457" s="9" t="s">
        <v>13284</v>
      </c>
      <c r="O1457" s="9" t="s">
        <v>13284</v>
      </c>
      <c r="P1457" s="9" t="s">
        <v>13284</v>
      </c>
      <c r="Q1457" s="9" t="s">
        <v>13284</v>
      </c>
      <c r="R1457" s="9" t="s">
        <v>13284</v>
      </c>
      <c r="S1457" s="9" t="s">
        <v>13284</v>
      </c>
      <c r="T1457" s="9" t="str">
        <f ca="1">IFERROR(IF(AND(VLOOKUP(A1457, 'Актуальное состояние (из общего'!A:C,3,0) = "", A1457 &lt;&gt; ""), "ПРОВЕРИТЬ", VLOOKUP(A1457, 'Актуальное состояние (из общего'!A:C,3,0)), "")</f>
        <v>Студент</v>
      </c>
      <c r="U1457" s="9" t="s">
        <v>13284</v>
      </c>
      <c r="V1457" s="9" t="s">
        <v>13284</v>
      </c>
      <c r="W1457" s="9" t="s">
        <v>319</v>
      </c>
      <c r="X1457" s="9" t="str">
        <f t="array" ref="X1457">IFERROR(INDEX('Адреса общежитий (скрытый)'!$B$2:$B$9, MATCH(W1457, 'Адреса общежитий (скрытый)'!$A$2:$A$9, 0)), "")</f>
        <v>ул. Профсоюзная, д.83, корп. 2</v>
      </c>
      <c r="Y1457" s="18"/>
      <c r="Z1457" s="18"/>
      <c r="AA1457" s="18"/>
      <c r="AB1457" s="18"/>
      <c r="AC1457" s="18"/>
    </row>
    <row r="1458" spans="1:29" ht="32.25" hidden="1" customHeight="1">
      <c r="A1458" s="8">
        <v>2302959</v>
      </c>
      <c r="B1458" s="9" t="s">
        <v>13284</v>
      </c>
      <c r="C1458" s="9" t="s">
        <v>13284</v>
      </c>
      <c r="D1458" s="9" t="s">
        <v>13284</v>
      </c>
      <c r="E1458" s="9" t="s">
        <v>13284</v>
      </c>
      <c r="F1458" s="9" t="s">
        <v>13284</v>
      </c>
      <c r="G1458" s="9" t="s">
        <v>13284</v>
      </c>
      <c r="H1458" s="9" t="s">
        <v>13284</v>
      </c>
      <c r="I1458" s="9" t="s">
        <v>13284</v>
      </c>
      <c r="J1458" s="9" t="s">
        <v>13284</v>
      </c>
      <c r="K1458" s="9" t="s">
        <v>13284</v>
      </c>
      <c r="L1458" s="9" t="s">
        <v>13284</v>
      </c>
      <c r="M1458" s="9" t="s">
        <v>13284</v>
      </c>
      <c r="N1458" s="9" t="s">
        <v>13284</v>
      </c>
      <c r="O1458" s="9" t="s">
        <v>13284</v>
      </c>
      <c r="P1458" s="9" t="s">
        <v>13284</v>
      </c>
      <c r="Q1458" s="9" t="s">
        <v>13284</v>
      </c>
      <c r="R1458" s="9" t="s">
        <v>13284</v>
      </c>
      <c r="S1458" s="9" t="s">
        <v>13284</v>
      </c>
      <c r="T1458" s="9" t="str">
        <f ca="1">IFERROR(IF(AND(VLOOKUP(A1458, 'Актуальное состояние (из общего'!A:C,3,0) = "", A1458 &lt;&gt; ""), "ПРОВЕРИТЬ", VLOOKUP(A1458, 'Актуальное состояние (из общего'!A:C,3,0)), "")</f>
        <v>Студент</v>
      </c>
      <c r="U1458" s="9" t="s">
        <v>13284</v>
      </c>
      <c r="V1458" s="9" t="s">
        <v>13284</v>
      </c>
      <c r="W1458" s="12"/>
      <c r="X1458" s="9" t="str">
        <f t="array" ref="X1458">IFERROR(INDEX('Адреса общежитий (скрытый)'!$B$2:$B$9, MATCH(W1458, 'Адреса общежитий (скрытый)'!$A$2:$A$9, 0)), "")</f>
        <v/>
      </c>
      <c r="Y1458" s="18"/>
      <c r="Z1458" s="18"/>
      <c r="AA1458" s="18"/>
      <c r="AB1458" s="18"/>
      <c r="AC1458" s="18"/>
    </row>
    <row r="1459" spans="1:29" ht="32.25" hidden="1" customHeight="1">
      <c r="A1459" s="8">
        <v>2306029</v>
      </c>
      <c r="B1459" s="9" t="s">
        <v>13284</v>
      </c>
      <c r="C1459" s="9" t="s">
        <v>13284</v>
      </c>
      <c r="D1459" s="9" t="s">
        <v>13284</v>
      </c>
      <c r="E1459" s="9" t="s">
        <v>13284</v>
      </c>
      <c r="F1459" s="9" t="s">
        <v>13284</v>
      </c>
      <c r="G1459" s="9" t="s">
        <v>13284</v>
      </c>
      <c r="H1459" s="9" t="s">
        <v>13284</v>
      </c>
      <c r="I1459" s="9" t="s">
        <v>13284</v>
      </c>
      <c r="J1459" s="9" t="s">
        <v>13284</v>
      </c>
      <c r="K1459" s="9" t="s">
        <v>13284</v>
      </c>
      <c r="L1459" s="9" t="s">
        <v>13284</v>
      </c>
      <c r="M1459" s="9" t="s">
        <v>13284</v>
      </c>
      <c r="N1459" s="9" t="s">
        <v>13284</v>
      </c>
      <c r="O1459" s="9" t="s">
        <v>13284</v>
      </c>
      <c r="P1459" s="9" t="s">
        <v>13284</v>
      </c>
      <c r="Q1459" s="9" t="s">
        <v>13284</v>
      </c>
      <c r="R1459" s="9" t="s">
        <v>13284</v>
      </c>
      <c r="S1459" s="9" t="s">
        <v>13284</v>
      </c>
      <c r="T1459" s="9" t="str">
        <f ca="1">IFERROR(IF(AND(VLOOKUP(A1459, 'Актуальное состояние (из общего'!A:C,3,0) = "", A1459 &lt;&gt; ""), "ПРОВЕРИТЬ", VLOOKUP(A1459, 'Актуальное состояние (из общего'!A:C,3,0)), "")</f>
        <v>Студент</v>
      </c>
      <c r="U1459" s="9" t="s">
        <v>13284</v>
      </c>
      <c r="V1459" s="9" t="s">
        <v>13284</v>
      </c>
      <c r="W1459" s="12"/>
      <c r="X1459" s="9" t="str">
        <f t="array" ref="X1459">IFERROR(INDEX('Адреса общежитий (скрытый)'!$B$2:$B$9, MATCH(W1459, 'Адреса общежитий (скрытый)'!$A$2:$A$9, 0)), "")</f>
        <v/>
      </c>
      <c r="Y1459" s="18"/>
      <c r="Z1459" s="18"/>
      <c r="AA1459" s="18"/>
      <c r="AB1459" s="18"/>
      <c r="AC1459" s="18"/>
    </row>
    <row r="1460" spans="1:29" ht="32.25" hidden="1" customHeight="1">
      <c r="A1460" s="8">
        <v>2303858</v>
      </c>
      <c r="B1460" s="9" t="s">
        <v>13284</v>
      </c>
      <c r="C1460" s="9" t="s">
        <v>13284</v>
      </c>
      <c r="D1460" s="9" t="s">
        <v>13284</v>
      </c>
      <c r="E1460" s="9" t="s">
        <v>13284</v>
      </c>
      <c r="F1460" s="9" t="s">
        <v>13284</v>
      </c>
      <c r="G1460" s="9" t="s">
        <v>13284</v>
      </c>
      <c r="H1460" s="9" t="s">
        <v>13284</v>
      </c>
      <c r="I1460" s="9" t="s">
        <v>13284</v>
      </c>
      <c r="J1460" s="9" t="s">
        <v>13284</v>
      </c>
      <c r="K1460" s="9" t="s">
        <v>13284</v>
      </c>
      <c r="L1460" s="9" t="s">
        <v>13284</v>
      </c>
      <c r="M1460" s="9" t="s">
        <v>13284</v>
      </c>
      <c r="N1460" s="9" t="s">
        <v>13284</v>
      </c>
      <c r="O1460" s="9" t="s">
        <v>13284</v>
      </c>
      <c r="P1460" s="9" t="s">
        <v>13284</v>
      </c>
      <c r="Q1460" s="9" t="s">
        <v>13284</v>
      </c>
      <c r="R1460" s="9" t="s">
        <v>13284</v>
      </c>
      <c r="S1460" s="9" t="s">
        <v>13284</v>
      </c>
      <c r="T1460" s="9" t="str">
        <f ca="1">IFERROR(IF(AND(VLOOKUP(A1460, 'Актуальное состояние (из общего'!A:C,3,0) = "", A1460 &lt;&gt; ""), "ПРОВЕРИТЬ", VLOOKUP(A1460, 'Актуальное состояние (из общего'!A:C,3,0)), "")</f>
        <v>Студент</v>
      </c>
      <c r="U1460" s="9" t="s">
        <v>13284</v>
      </c>
      <c r="V1460" s="9" t="s">
        <v>13284</v>
      </c>
      <c r="W1460" s="12"/>
      <c r="X1460" s="9" t="str">
        <f t="array" ref="X1460">IFERROR(INDEX('Адреса общежитий (скрытый)'!$B$2:$B$9, MATCH(W1460, 'Адреса общежитий (скрытый)'!$A$2:$A$9, 0)), "")</f>
        <v/>
      </c>
      <c r="Y1460" s="18"/>
      <c r="Z1460" s="18"/>
      <c r="AA1460" s="18"/>
      <c r="AB1460" s="18"/>
      <c r="AC1460" s="18"/>
    </row>
    <row r="1461" spans="1:29" ht="32.25" customHeight="1">
      <c r="A1461" s="8">
        <v>2308068</v>
      </c>
      <c r="B1461" s="9" t="s">
        <v>13284</v>
      </c>
      <c r="C1461" s="9" t="s">
        <v>13284</v>
      </c>
      <c r="D1461" s="9" t="s">
        <v>13284</v>
      </c>
      <c r="E1461" s="9" t="s">
        <v>13284</v>
      </c>
      <c r="F1461" s="9" t="s">
        <v>13284</v>
      </c>
      <c r="G1461" s="9" t="s">
        <v>13284</v>
      </c>
      <c r="H1461" s="9" t="s">
        <v>13284</v>
      </c>
      <c r="I1461" s="9" t="s">
        <v>13284</v>
      </c>
      <c r="J1461" s="9" t="s">
        <v>13284</v>
      </c>
      <c r="K1461" s="9" t="s">
        <v>13284</v>
      </c>
      <c r="L1461" s="9" t="s">
        <v>13284</v>
      </c>
      <c r="M1461" s="9" t="s">
        <v>13284</v>
      </c>
      <c r="N1461" s="9" t="s">
        <v>13284</v>
      </c>
      <c r="O1461" s="9" t="s">
        <v>13284</v>
      </c>
      <c r="P1461" s="9" t="s">
        <v>13284</v>
      </c>
      <c r="Q1461" s="9" t="s">
        <v>13284</v>
      </c>
      <c r="R1461" s="9" t="s">
        <v>13284</v>
      </c>
      <c r="S1461" s="9" t="s">
        <v>13284</v>
      </c>
      <c r="T1461" s="9" t="str">
        <f ca="1">IFERROR(IF(AND(VLOOKUP(A1461, 'Актуальное состояние (из общего'!A:C,3,0) = "", A1461 &lt;&gt; ""), "ПРОВЕРИТЬ", VLOOKUP(A1461, 'Актуальное состояние (из общего'!A:C,3,0)), "")</f>
        <v>Студент</v>
      </c>
      <c r="U1461" s="9" t="s">
        <v>13284</v>
      </c>
      <c r="V1461" s="9" t="s">
        <v>13284</v>
      </c>
      <c r="W1461" s="12"/>
      <c r="X1461" s="9" t="str">
        <f t="array" ref="X1461">IFERROR(INDEX('Адреса общежитий (скрытый)'!$B$2:$B$9, MATCH(W1461, 'Адреса общежитий (скрытый)'!$A$2:$A$9, 0)), "")</f>
        <v/>
      </c>
      <c r="Y1461" s="18"/>
      <c r="Z1461" s="18"/>
      <c r="AA1461" s="18"/>
      <c r="AB1461" s="18"/>
      <c r="AC1461" s="18"/>
    </row>
    <row r="1462" spans="1:29" ht="32.25" hidden="1" customHeight="1">
      <c r="A1462" s="8">
        <v>2309892</v>
      </c>
      <c r="B1462" s="9" t="s">
        <v>13284</v>
      </c>
      <c r="C1462" s="9" t="s">
        <v>13284</v>
      </c>
      <c r="D1462" s="9" t="s">
        <v>13284</v>
      </c>
      <c r="E1462" s="9" t="s">
        <v>13284</v>
      </c>
      <c r="F1462" s="9" t="s">
        <v>13284</v>
      </c>
      <c r="G1462" s="9" t="s">
        <v>13284</v>
      </c>
      <c r="H1462" s="9" t="s">
        <v>13284</v>
      </c>
      <c r="I1462" s="9" t="s">
        <v>13284</v>
      </c>
      <c r="J1462" s="9" t="s">
        <v>13284</v>
      </c>
      <c r="K1462" s="9" t="s">
        <v>13284</v>
      </c>
      <c r="L1462" s="9" t="s">
        <v>13284</v>
      </c>
      <c r="M1462" s="9" t="s">
        <v>13284</v>
      </c>
      <c r="N1462" s="9" t="s">
        <v>13284</v>
      </c>
      <c r="O1462" s="9" t="s">
        <v>13284</v>
      </c>
      <c r="P1462" s="9" t="s">
        <v>13284</v>
      </c>
      <c r="Q1462" s="9" t="s">
        <v>13284</v>
      </c>
      <c r="R1462" s="9" t="s">
        <v>13284</v>
      </c>
      <c r="S1462" s="9" t="s">
        <v>13284</v>
      </c>
      <c r="T1462" s="9" t="str">
        <f ca="1">IFERROR(IF(AND(VLOOKUP(A1462, 'Актуальное состояние (из общего'!A:C,3,0) = "", A1462 &lt;&gt; ""), "ПРОВЕРИТЬ", VLOOKUP(A1462, 'Актуальное состояние (из общего'!A:C,3,0)), "")</f>
        <v>Студент</v>
      </c>
      <c r="U1462" s="9" t="s">
        <v>13284</v>
      </c>
      <c r="V1462" s="9" t="s">
        <v>13284</v>
      </c>
      <c r="W1462" s="12"/>
      <c r="X1462" s="9" t="str">
        <f t="array" ref="X1462">IFERROR(INDEX('Адреса общежитий (скрытый)'!$B$2:$B$9, MATCH(W1462, 'Адреса общежитий (скрытый)'!$A$2:$A$9, 0)), "")</f>
        <v/>
      </c>
      <c r="Y1462" s="18"/>
      <c r="Z1462" s="18"/>
      <c r="AA1462" s="18"/>
      <c r="AB1462" s="18"/>
      <c r="AC1462" s="18"/>
    </row>
    <row r="1463" spans="1:29" ht="32.25" hidden="1" customHeight="1">
      <c r="A1463" s="8">
        <v>2308336</v>
      </c>
      <c r="B1463" s="9" t="s">
        <v>13284</v>
      </c>
      <c r="C1463" s="9" t="s">
        <v>13284</v>
      </c>
      <c r="D1463" s="9" t="s">
        <v>13284</v>
      </c>
      <c r="E1463" s="9" t="s">
        <v>13284</v>
      </c>
      <c r="F1463" s="9" t="s">
        <v>13284</v>
      </c>
      <c r="G1463" s="9" t="s">
        <v>13284</v>
      </c>
      <c r="H1463" s="9" t="s">
        <v>13284</v>
      </c>
      <c r="I1463" s="9" t="s">
        <v>13284</v>
      </c>
      <c r="J1463" s="9" t="s">
        <v>13284</v>
      </c>
      <c r="K1463" s="9" t="s">
        <v>13284</v>
      </c>
      <c r="L1463" s="9" t="s">
        <v>13284</v>
      </c>
      <c r="M1463" s="9" t="s">
        <v>13284</v>
      </c>
      <c r="N1463" s="9" t="s">
        <v>13284</v>
      </c>
      <c r="O1463" s="9" t="s">
        <v>13284</v>
      </c>
      <c r="P1463" s="9" t="s">
        <v>13284</v>
      </c>
      <c r="Q1463" s="9" t="s">
        <v>13284</v>
      </c>
      <c r="R1463" s="9" t="s">
        <v>13284</v>
      </c>
      <c r="S1463" s="9" t="s">
        <v>13284</v>
      </c>
      <c r="T1463" s="9" t="str">
        <f ca="1">IFERROR(IF(AND(VLOOKUP(A1463, 'Актуальное состояние (из общего'!A:C,3,0) = "", A1463 &lt;&gt; ""), "ПРОВЕРИТЬ", VLOOKUP(A1463, 'Актуальное состояние (из общего'!A:C,3,0)), "")</f>
        <v>Студент</v>
      </c>
      <c r="U1463" s="9" t="s">
        <v>13284</v>
      </c>
      <c r="V1463" s="9" t="s">
        <v>13284</v>
      </c>
      <c r="W1463" s="12"/>
      <c r="X1463" s="9" t="str">
        <f t="array" ref="X1463">IFERROR(INDEX('Адреса общежитий (скрытый)'!$B$2:$B$9, MATCH(W1463, 'Адреса общежитий (скрытый)'!$A$2:$A$9, 0)), "")</f>
        <v/>
      </c>
      <c r="Y1463" s="18"/>
      <c r="Z1463" s="18"/>
      <c r="AA1463" s="18"/>
      <c r="AB1463" s="18"/>
      <c r="AC1463" s="18"/>
    </row>
    <row r="1464" spans="1:29" ht="32.25" hidden="1" customHeight="1">
      <c r="A1464" s="8">
        <v>2305298</v>
      </c>
      <c r="B1464" s="9" t="s">
        <v>13284</v>
      </c>
      <c r="C1464" s="9" t="s">
        <v>13284</v>
      </c>
      <c r="D1464" s="9" t="s">
        <v>13284</v>
      </c>
      <c r="E1464" s="9" t="s">
        <v>13284</v>
      </c>
      <c r="F1464" s="9" t="s">
        <v>13284</v>
      </c>
      <c r="G1464" s="9" t="s">
        <v>13284</v>
      </c>
      <c r="H1464" s="9" t="s">
        <v>13284</v>
      </c>
      <c r="I1464" s="9" t="s">
        <v>13284</v>
      </c>
      <c r="J1464" s="9" t="s">
        <v>13284</v>
      </c>
      <c r="K1464" s="9" t="s">
        <v>13284</v>
      </c>
      <c r="L1464" s="9" t="s">
        <v>13284</v>
      </c>
      <c r="M1464" s="9" t="s">
        <v>13284</v>
      </c>
      <c r="N1464" s="9" t="s">
        <v>13284</v>
      </c>
      <c r="O1464" s="9" t="s">
        <v>13284</v>
      </c>
      <c r="P1464" s="9" t="s">
        <v>13284</v>
      </c>
      <c r="Q1464" s="9" t="s">
        <v>13284</v>
      </c>
      <c r="R1464" s="9" t="s">
        <v>13284</v>
      </c>
      <c r="S1464" s="9" t="s">
        <v>13284</v>
      </c>
      <c r="T1464" s="9" t="str">
        <f ca="1">IFERROR(IF(AND(VLOOKUP(A1464, 'Актуальное состояние (из общего'!A:C,3,0) = "", A1464 &lt;&gt; ""), "ПРОВЕРИТЬ", VLOOKUP(A1464, 'Актуальное состояние (из общего'!A:C,3,0)), "")</f>
        <v>Студент</v>
      </c>
      <c r="U1464" s="9" t="s">
        <v>13284</v>
      </c>
      <c r="V1464" s="9" t="s">
        <v>13284</v>
      </c>
      <c r="W1464" s="12"/>
      <c r="X1464" s="9" t="str">
        <f t="array" ref="X1464">IFERROR(INDEX('Адреса общежитий (скрытый)'!$B$2:$B$9, MATCH(W1464, 'Адреса общежитий (скрытый)'!$A$2:$A$9, 0)), "")</f>
        <v/>
      </c>
      <c r="Y1464" s="18"/>
      <c r="Z1464" s="18"/>
      <c r="AA1464" s="18"/>
      <c r="AB1464" s="18"/>
      <c r="AC1464" s="18"/>
    </row>
    <row r="1465" spans="1:29" ht="32.25" hidden="1" customHeight="1">
      <c r="A1465" s="8">
        <v>2303467</v>
      </c>
      <c r="B1465" s="9" t="s">
        <v>13284</v>
      </c>
      <c r="C1465" s="9" t="s">
        <v>13284</v>
      </c>
      <c r="D1465" s="9" t="s">
        <v>13284</v>
      </c>
      <c r="E1465" s="9" t="s">
        <v>13284</v>
      </c>
      <c r="F1465" s="9" t="s">
        <v>13284</v>
      </c>
      <c r="G1465" s="9" t="s">
        <v>13284</v>
      </c>
      <c r="H1465" s="9" t="s">
        <v>13284</v>
      </c>
      <c r="I1465" s="9" t="s">
        <v>13284</v>
      </c>
      <c r="J1465" s="9" t="s">
        <v>13284</v>
      </c>
      <c r="K1465" s="9" t="s">
        <v>13284</v>
      </c>
      <c r="L1465" s="9" t="s">
        <v>13284</v>
      </c>
      <c r="M1465" s="9" t="s">
        <v>13284</v>
      </c>
      <c r="N1465" s="9" t="s">
        <v>13284</v>
      </c>
      <c r="O1465" s="9" t="s">
        <v>13284</v>
      </c>
      <c r="P1465" s="9" t="s">
        <v>13284</v>
      </c>
      <c r="Q1465" s="9" t="s">
        <v>13284</v>
      </c>
      <c r="R1465" s="9" t="s">
        <v>13284</v>
      </c>
      <c r="S1465" s="9" t="s">
        <v>13284</v>
      </c>
      <c r="T1465" s="9" t="str">
        <f ca="1">IFERROR(IF(AND(VLOOKUP(A1465, 'Актуальное состояние (из общего'!A:C,3,0) = "", A1465 &lt;&gt; ""), "ПРОВЕРИТЬ", VLOOKUP(A1465, 'Актуальное состояние (из общего'!A:C,3,0)), "")</f>
        <v>Студент</v>
      </c>
      <c r="U1465" s="9" t="s">
        <v>13284</v>
      </c>
      <c r="V1465" s="9" t="s">
        <v>13284</v>
      </c>
      <c r="W1465" s="12"/>
      <c r="X1465" s="9" t="str">
        <f t="array" ref="X1465">IFERROR(INDEX('Адреса общежитий (скрытый)'!$B$2:$B$9, MATCH(W1465, 'Адреса общежитий (скрытый)'!$A$2:$A$9, 0)), "")</f>
        <v/>
      </c>
      <c r="Y1465" s="18"/>
      <c r="Z1465" s="18"/>
      <c r="AA1465" s="18"/>
      <c r="AB1465" s="18"/>
      <c r="AC1465" s="18"/>
    </row>
    <row r="1466" spans="1:29" ht="32.25" hidden="1" customHeight="1">
      <c r="A1466" s="8">
        <v>2304445</v>
      </c>
      <c r="B1466" s="9" t="s">
        <v>13284</v>
      </c>
      <c r="C1466" s="9" t="s">
        <v>13284</v>
      </c>
      <c r="D1466" s="9" t="s">
        <v>13284</v>
      </c>
      <c r="E1466" s="9" t="s">
        <v>13284</v>
      </c>
      <c r="F1466" s="9" t="s">
        <v>13284</v>
      </c>
      <c r="G1466" s="9" t="s">
        <v>13284</v>
      </c>
      <c r="H1466" s="9" t="s">
        <v>13284</v>
      </c>
      <c r="I1466" s="9" t="s">
        <v>13284</v>
      </c>
      <c r="J1466" s="9" t="s">
        <v>13284</v>
      </c>
      <c r="K1466" s="9" t="s">
        <v>13284</v>
      </c>
      <c r="L1466" s="9" t="s">
        <v>13284</v>
      </c>
      <c r="M1466" s="9" t="s">
        <v>13284</v>
      </c>
      <c r="N1466" s="9" t="s">
        <v>13284</v>
      </c>
      <c r="O1466" s="9" t="s">
        <v>13284</v>
      </c>
      <c r="P1466" s="9" t="s">
        <v>13284</v>
      </c>
      <c r="Q1466" s="9" t="s">
        <v>13284</v>
      </c>
      <c r="R1466" s="9" t="s">
        <v>13284</v>
      </c>
      <c r="S1466" s="9" t="s">
        <v>13284</v>
      </c>
      <c r="T1466" s="9" t="str">
        <f ca="1">IFERROR(IF(AND(VLOOKUP(A1466, 'Актуальное состояние (из общего'!A:C,3,0) = "", A1466 &lt;&gt; ""), "ПРОВЕРИТЬ", VLOOKUP(A1466, 'Актуальное состояние (из общего'!A:C,3,0)), "")</f>
        <v>Студент</v>
      </c>
      <c r="U1466" s="9" t="s">
        <v>13284</v>
      </c>
      <c r="V1466" s="9" t="s">
        <v>13284</v>
      </c>
      <c r="W1466" s="12"/>
      <c r="X1466" s="9" t="str">
        <f t="array" ref="X1466">IFERROR(INDEX('Адреса общежитий (скрытый)'!$B$2:$B$9, MATCH(W1466, 'Адреса общежитий (скрытый)'!$A$2:$A$9, 0)), "")</f>
        <v/>
      </c>
      <c r="Y1466" s="18"/>
      <c r="Z1466" s="18"/>
      <c r="AA1466" s="18"/>
      <c r="AB1466" s="18"/>
      <c r="AC1466" s="18"/>
    </row>
    <row r="1467" spans="1:29" ht="32.25" customHeight="1">
      <c r="A1467" s="8">
        <v>2305089</v>
      </c>
      <c r="B1467" s="9" t="s">
        <v>13284</v>
      </c>
      <c r="C1467" s="9" t="s">
        <v>13284</v>
      </c>
      <c r="D1467" s="9" t="s">
        <v>13284</v>
      </c>
      <c r="E1467" s="9" t="s">
        <v>13284</v>
      </c>
      <c r="F1467" s="9" t="s">
        <v>13284</v>
      </c>
      <c r="G1467" s="9" t="s">
        <v>13284</v>
      </c>
      <c r="H1467" s="9" t="s">
        <v>13284</v>
      </c>
      <c r="I1467" s="9" t="s">
        <v>13284</v>
      </c>
      <c r="J1467" s="9" t="s">
        <v>13284</v>
      </c>
      <c r="K1467" s="9" t="s">
        <v>13284</v>
      </c>
      <c r="L1467" s="9" t="s">
        <v>13284</v>
      </c>
      <c r="M1467" s="9" t="s">
        <v>13284</v>
      </c>
      <c r="N1467" s="9" t="s">
        <v>13284</v>
      </c>
      <c r="O1467" s="9" t="s">
        <v>13284</v>
      </c>
      <c r="P1467" s="9" t="s">
        <v>13284</v>
      </c>
      <c r="Q1467" s="9" t="s">
        <v>13284</v>
      </c>
      <c r="R1467" s="9" t="s">
        <v>13284</v>
      </c>
      <c r="S1467" s="9" t="s">
        <v>13284</v>
      </c>
      <c r="T1467" s="9" t="str">
        <f ca="1">IFERROR(IF(AND(VLOOKUP(A1467, 'Актуальное состояние (из общего'!A:C,3,0) = "", A1467 &lt;&gt; ""), "ПРОВЕРИТЬ", VLOOKUP(A1467, 'Актуальное состояние (из общего'!A:C,3,0)), "")</f>
        <v>Студент</v>
      </c>
      <c r="U1467" s="9" t="s">
        <v>13284</v>
      </c>
      <c r="V1467" s="9" t="s">
        <v>13284</v>
      </c>
      <c r="W1467" s="12"/>
      <c r="X1467" s="9" t="str">
        <f t="array" ref="X1467">IFERROR(INDEX('Адреса общежитий (скрытый)'!$B$2:$B$9, MATCH(W1467, 'Адреса общежитий (скрытый)'!$A$2:$A$9, 0)), "")</f>
        <v/>
      </c>
      <c r="Y1467" s="18"/>
      <c r="Z1467" s="18"/>
      <c r="AA1467" s="18"/>
      <c r="AB1467" s="18"/>
      <c r="AC1467" s="18"/>
    </row>
    <row r="1468" spans="1:29" ht="32.25" customHeight="1">
      <c r="A1468" s="8">
        <v>2301316</v>
      </c>
      <c r="B1468" s="9" t="s">
        <v>13284</v>
      </c>
      <c r="C1468" s="9" t="s">
        <v>13284</v>
      </c>
      <c r="D1468" s="9" t="s">
        <v>13284</v>
      </c>
      <c r="E1468" s="9" t="s">
        <v>13284</v>
      </c>
      <c r="F1468" s="9" t="s">
        <v>13284</v>
      </c>
      <c r="G1468" s="9" t="s">
        <v>13284</v>
      </c>
      <c r="H1468" s="9" t="s">
        <v>13284</v>
      </c>
      <c r="I1468" s="9" t="s">
        <v>13284</v>
      </c>
      <c r="J1468" s="9" t="s">
        <v>13284</v>
      </c>
      <c r="K1468" s="9" t="s">
        <v>13284</v>
      </c>
      <c r="L1468" s="9" t="s">
        <v>13284</v>
      </c>
      <c r="M1468" s="9" t="s">
        <v>13284</v>
      </c>
      <c r="N1468" s="9" t="s">
        <v>13284</v>
      </c>
      <c r="O1468" s="9" t="s">
        <v>13284</v>
      </c>
      <c r="P1468" s="9" t="s">
        <v>13284</v>
      </c>
      <c r="Q1468" s="9" t="s">
        <v>13284</v>
      </c>
      <c r="R1468" s="9" t="s">
        <v>13284</v>
      </c>
      <c r="S1468" s="9" t="s">
        <v>13284</v>
      </c>
      <c r="T1468" s="9" t="str">
        <f ca="1">IFERROR(IF(AND(VLOOKUP(A1468, 'Актуальное состояние (из общего'!A:C,3,0) = "", A1468 &lt;&gt; ""), "ПРОВЕРИТЬ", VLOOKUP(A1468, 'Актуальное состояние (из общего'!A:C,3,0)), "")</f>
        <v>Студент</v>
      </c>
      <c r="U1468" s="9" t="s">
        <v>13284</v>
      </c>
      <c r="V1468" s="9" t="s">
        <v>13284</v>
      </c>
      <c r="W1468" s="9" t="s">
        <v>319</v>
      </c>
      <c r="X1468" s="9" t="str">
        <f t="array" ref="X1468">IFERROR(INDEX('Адреса общежитий (скрытый)'!$B$2:$B$9, MATCH(W1468, 'Адреса общежитий (скрытый)'!$A$2:$A$9, 0)), "")</f>
        <v>ул. Профсоюзная, д.83, корп. 2</v>
      </c>
      <c r="Y1468" s="18"/>
      <c r="Z1468" s="18"/>
      <c r="AA1468" s="18"/>
      <c r="AB1468" s="18"/>
      <c r="AC1468" s="18"/>
    </row>
    <row r="1469" spans="1:29" ht="32.25" hidden="1" customHeight="1">
      <c r="A1469" s="8">
        <v>2310785</v>
      </c>
      <c r="B1469" s="9" t="s">
        <v>13284</v>
      </c>
      <c r="C1469" s="9" t="s">
        <v>13284</v>
      </c>
      <c r="D1469" s="9" t="s">
        <v>13284</v>
      </c>
      <c r="E1469" s="9" t="s">
        <v>13284</v>
      </c>
      <c r="F1469" s="9" t="s">
        <v>13284</v>
      </c>
      <c r="G1469" s="9" t="s">
        <v>13284</v>
      </c>
      <c r="H1469" s="9" t="s">
        <v>13284</v>
      </c>
      <c r="I1469" s="9" t="s">
        <v>13284</v>
      </c>
      <c r="J1469" s="9" t="s">
        <v>13284</v>
      </c>
      <c r="K1469" s="9" t="s">
        <v>13284</v>
      </c>
      <c r="L1469" s="9" t="s">
        <v>13284</v>
      </c>
      <c r="M1469" s="9" t="s">
        <v>13284</v>
      </c>
      <c r="N1469" s="9" t="s">
        <v>13284</v>
      </c>
      <c r="O1469" s="9" t="s">
        <v>13284</v>
      </c>
      <c r="P1469" s="9" t="s">
        <v>13284</v>
      </c>
      <c r="Q1469" s="9" t="s">
        <v>13284</v>
      </c>
      <c r="R1469" s="9" t="s">
        <v>13284</v>
      </c>
      <c r="S1469" s="9" t="s">
        <v>13284</v>
      </c>
      <c r="T1469" s="9" t="str">
        <f ca="1">IFERROR(IF(AND(VLOOKUP(A1469, 'Актуальное состояние (из общего'!A:C,3,0) = "", A1469 &lt;&gt; ""), "ПРОВЕРИТЬ", VLOOKUP(A1469, 'Актуальное состояние (из общего'!A:C,3,0)), "")</f>
        <v>Студент</v>
      </c>
      <c r="U1469" s="9" t="s">
        <v>13284</v>
      </c>
      <c r="V1469" s="9" t="s">
        <v>13284</v>
      </c>
      <c r="W1469" s="12"/>
      <c r="X1469" s="9" t="str">
        <f t="array" ref="X1469">IFERROR(INDEX('Адреса общежитий (скрытый)'!$B$2:$B$9, MATCH(W1469, 'Адреса общежитий (скрытый)'!$A$2:$A$9, 0)), "")</f>
        <v/>
      </c>
      <c r="Y1469" s="18"/>
      <c r="Z1469" s="18"/>
      <c r="AA1469" s="18"/>
      <c r="AB1469" s="18"/>
      <c r="AC1469" s="18"/>
    </row>
    <row r="1470" spans="1:29" ht="32.25" customHeight="1">
      <c r="A1470" s="8">
        <v>2312843</v>
      </c>
      <c r="B1470" s="9" t="s">
        <v>13284</v>
      </c>
      <c r="C1470" s="9" t="s">
        <v>13284</v>
      </c>
      <c r="D1470" s="9" t="s">
        <v>13284</v>
      </c>
      <c r="E1470" s="9" t="s">
        <v>13284</v>
      </c>
      <c r="F1470" s="9" t="s">
        <v>13284</v>
      </c>
      <c r="G1470" s="9" t="s">
        <v>13284</v>
      </c>
      <c r="H1470" s="9" t="s">
        <v>13284</v>
      </c>
      <c r="I1470" s="9" t="s">
        <v>13284</v>
      </c>
      <c r="J1470" s="9" t="s">
        <v>13284</v>
      </c>
      <c r="K1470" s="9" t="s">
        <v>13284</v>
      </c>
      <c r="L1470" s="9" t="s">
        <v>13284</v>
      </c>
      <c r="M1470" s="9" t="s">
        <v>13284</v>
      </c>
      <c r="N1470" s="9" t="s">
        <v>13284</v>
      </c>
      <c r="O1470" s="9" t="s">
        <v>13284</v>
      </c>
      <c r="P1470" s="9" t="s">
        <v>13284</v>
      </c>
      <c r="Q1470" s="9" t="s">
        <v>13284</v>
      </c>
      <c r="R1470" s="9" t="s">
        <v>13284</v>
      </c>
      <c r="S1470" s="9" t="s">
        <v>13284</v>
      </c>
      <c r="T1470" s="9" t="str">
        <f ca="1">IFERROR(IF(AND(VLOOKUP(A1470, 'Актуальное состояние (из общего'!A:C,3,0) = "", A1470 &lt;&gt; ""), "ПРОВЕРИТЬ", VLOOKUP(A1470, 'Актуальное состояние (из общего'!A:C,3,0)), "")</f>
        <v>Студент</v>
      </c>
      <c r="U1470" s="9" t="s">
        <v>13284</v>
      </c>
      <c r="V1470" s="9" t="s">
        <v>13284</v>
      </c>
      <c r="W1470" s="12"/>
      <c r="X1470" s="9" t="str">
        <f t="array" ref="X1470">IFERROR(INDEX('Адреса общежитий (скрытый)'!$B$2:$B$9, MATCH(W1470, 'Адреса общежитий (скрытый)'!$A$2:$A$9, 0)), "")</f>
        <v/>
      </c>
      <c r="Y1470" s="18"/>
      <c r="Z1470" s="18"/>
      <c r="AA1470" s="18"/>
      <c r="AB1470" s="18"/>
      <c r="AC1470" s="18"/>
    </row>
    <row r="1471" spans="1:29" ht="32.25" hidden="1" customHeight="1">
      <c r="A1471" s="8">
        <v>2309194</v>
      </c>
      <c r="B1471" s="9" t="s">
        <v>13284</v>
      </c>
      <c r="C1471" s="9" t="s">
        <v>13284</v>
      </c>
      <c r="D1471" s="9" t="s">
        <v>13284</v>
      </c>
      <c r="E1471" s="9" t="s">
        <v>13284</v>
      </c>
      <c r="F1471" s="9" t="s">
        <v>13284</v>
      </c>
      <c r="G1471" s="9" t="s">
        <v>13284</v>
      </c>
      <c r="H1471" s="9" t="s">
        <v>13284</v>
      </c>
      <c r="I1471" s="9" t="s">
        <v>13284</v>
      </c>
      <c r="J1471" s="9" t="s">
        <v>13284</v>
      </c>
      <c r="K1471" s="9" t="s">
        <v>13284</v>
      </c>
      <c r="L1471" s="9" t="s">
        <v>13284</v>
      </c>
      <c r="M1471" s="9" t="s">
        <v>13284</v>
      </c>
      <c r="N1471" s="9" t="s">
        <v>13284</v>
      </c>
      <c r="O1471" s="9" t="s">
        <v>13284</v>
      </c>
      <c r="P1471" s="9" t="s">
        <v>13284</v>
      </c>
      <c r="Q1471" s="9" t="s">
        <v>13284</v>
      </c>
      <c r="R1471" s="9" t="s">
        <v>13284</v>
      </c>
      <c r="S1471" s="9" t="s">
        <v>13284</v>
      </c>
      <c r="T1471" s="9" t="str">
        <f ca="1">IFERROR(IF(AND(VLOOKUP(A1471, 'Актуальное состояние (из общего'!A:C,3,0) = "", A1471 &lt;&gt; ""), "ПРОВЕРИТЬ", VLOOKUP(A1471, 'Актуальное состояние (из общего'!A:C,3,0)), "")</f>
        <v>Студент</v>
      </c>
      <c r="U1471" s="9" t="s">
        <v>13284</v>
      </c>
      <c r="V1471" s="9" t="s">
        <v>13284</v>
      </c>
      <c r="W1471" s="12"/>
      <c r="X1471" s="9" t="str">
        <f t="array" ref="X1471">IFERROR(INDEX('Адреса общежитий (скрытый)'!$B$2:$B$9, MATCH(W1471, 'Адреса общежитий (скрытый)'!$A$2:$A$9, 0)), "")</f>
        <v/>
      </c>
      <c r="Y1471" s="18"/>
      <c r="Z1471" s="18"/>
      <c r="AA1471" s="18"/>
      <c r="AB1471" s="18"/>
      <c r="AC1471" s="18"/>
    </row>
    <row r="1472" spans="1:29" ht="32.25" customHeight="1">
      <c r="A1472" s="8">
        <v>2309369</v>
      </c>
      <c r="B1472" s="9" t="s">
        <v>13284</v>
      </c>
      <c r="C1472" s="9" t="s">
        <v>13284</v>
      </c>
      <c r="D1472" s="9" t="s">
        <v>13284</v>
      </c>
      <c r="E1472" s="9" t="s">
        <v>13284</v>
      </c>
      <c r="F1472" s="9" t="s">
        <v>13284</v>
      </c>
      <c r="G1472" s="9" t="s">
        <v>13284</v>
      </c>
      <c r="H1472" s="9" t="s">
        <v>13284</v>
      </c>
      <c r="I1472" s="9" t="s">
        <v>13284</v>
      </c>
      <c r="J1472" s="9" t="s">
        <v>13284</v>
      </c>
      <c r="K1472" s="9" t="s">
        <v>13284</v>
      </c>
      <c r="L1472" s="9" t="s">
        <v>13284</v>
      </c>
      <c r="M1472" s="9" t="s">
        <v>13284</v>
      </c>
      <c r="N1472" s="9" t="s">
        <v>13284</v>
      </c>
      <c r="O1472" s="9" t="s">
        <v>13284</v>
      </c>
      <c r="P1472" s="9" t="s">
        <v>13284</v>
      </c>
      <c r="Q1472" s="9" t="s">
        <v>13284</v>
      </c>
      <c r="R1472" s="9" t="s">
        <v>13284</v>
      </c>
      <c r="S1472" s="9" t="s">
        <v>13284</v>
      </c>
      <c r="T1472" s="9" t="str">
        <f ca="1">IFERROR(IF(AND(VLOOKUP(A1472, 'Актуальное состояние (из общего'!A:C,3,0) = "", A1472 &lt;&gt; ""), "ПРОВЕРИТЬ", VLOOKUP(A1472, 'Актуальное состояние (из общего'!A:C,3,0)), "")</f>
        <v>Студент</v>
      </c>
      <c r="U1472" s="9" t="s">
        <v>13284</v>
      </c>
      <c r="V1472" s="9" t="s">
        <v>13284</v>
      </c>
      <c r="W1472" s="12"/>
      <c r="X1472" s="9" t="str">
        <f t="array" ref="X1472">IFERROR(INDEX('Адреса общежитий (скрытый)'!$B$2:$B$9, MATCH(W1472, 'Адреса общежитий (скрытый)'!$A$2:$A$9, 0)), "")</f>
        <v/>
      </c>
      <c r="Y1472" s="18"/>
      <c r="Z1472" s="18"/>
      <c r="AA1472" s="18"/>
      <c r="AB1472" s="18"/>
      <c r="AC1472" s="18"/>
    </row>
    <row r="1473" spans="1:29" ht="32.25" hidden="1" customHeight="1">
      <c r="A1473" s="8">
        <v>2303726</v>
      </c>
      <c r="B1473" s="9" t="s">
        <v>13284</v>
      </c>
      <c r="C1473" s="9" t="s">
        <v>13284</v>
      </c>
      <c r="D1473" s="9" t="s">
        <v>13284</v>
      </c>
      <c r="E1473" s="9" t="s">
        <v>13284</v>
      </c>
      <c r="F1473" s="9" t="s">
        <v>13284</v>
      </c>
      <c r="G1473" s="9" t="s">
        <v>13284</v>
      </c>
      <c r="H1473" s="9" t="s">
        <v>13284</v>
      </c>
      <c r="I1473" s="9" t="s">
        <v>13284</v>
      </c>
      <c r="J1473" s="9" t="s">
        <v>13284</v>
      </c>
      <c r="K1473" s="9" t="s">
        <v>13284</v>
      </c>
      <c r="L1473" s="9" t="s">
        <v>13284</v>
      </c>
      <c r="M1473" s="9" t="s">
        <v>13284</v>
      </c>
      <c r="N1473" s="9" t="s">
        <v>13284</v>
      </c>
      <c r="O1473" s="9" t="s">
        <v>13284</v>
      </c>
      <c r="P1473" s="9" t="s">
        <v>13284</v>
      </c>
      <c r="Q1473" s="9" t="s">
        <v>13284</v>
      </c>
      <c r="R1473" s="9" t="s">
        <v>13284</v>
      </c>
      <c r="S1473" s="9" t="s">
        <v>13284</v>
      </c>
      <c r="T1473" s="9" t="str">
        <f ca="1">IFERROR(IF(AND(VLOOKUP(A1473, 'Актуальное состояние (из общего'!A:C,3,0) = "", A1473 &lt;&gt; ""), "ПРОВЕРИТЬ", VLOOKUP(A1473, 'Актуальное состояние (из общего'!A:C,3,0)), "")</f>
        <v>Студент</v>
      </c>
      <c r="U1473" s="9" t="s">
        <v>13284</v>
      </c>
      <c r="V1473" s="9" t="s">
        <v>13284</v>
      </c>
      <c r="W1473" s="12"/>
      <c r="X1473" s="9" t="str">
        <f t="array" ref="X1473">IFERROR(INDEX('Адреса общежитий (скрытый)'!$B$2:$B$9, MATCH(W1473, 'Адреса общежитий (скрытый)'!$A$2:$A$9, 0)), "")</f>
        <v/>
      </c>
      <c r="Y1473" s="18"/>
      <c r="Z1473" s="18"/>
      <c r="AA1473" s="18"/>
      <c r="AB1473" s="18"/>
      <c r="AC1473" s="18"/>
    </row>
    <row r="1474" spans="1:29" ht="32.25" hidden="1" customHeight="1">
      <c r="A1474" s="8">
        <v>2308298</v>
      </c>
      <c r="B1474" s="9" t="s">
        <v>13284</v>
      </c>
      <c r="C1474" s="9" t="s">
        <v>13284</v>
      </c>
      <c r="D1474" s="9" t="s">
        <v>13284</v>
      </c>
      <c r="E1474" s="9" t="s">
        <v>13284</v>
      </c>
      <c r="F1474" s="9" t="s">
        <v>13284</v>
      </c>
      <c r="G1474" s="9" t="s">
        <v>13284</v>
      </c>
      <c r="H1474" s="9" t="s">
        <v>13284</v>
      </c>
      <c r="I1474" s="9" t="s">
        <v>13284</v>
      </c>
      <c r="J1474" s="9" t="s">
        <v>13284</v>
      </c>
      <c r="K1474" s="9" t="s">
        <v>13284</v>
      </c>
      <c r="L1474" s="9" t="s">
        <v>13284</v>
      </c>
      <c r="M1474" s="9" t="s">
        <v>13284</v>
      </c>
      <c r="N1474" s="9" t="s">
        <v>13284</v>
      </c>
      <c r="O1474" s="9" t="s">
        <v>13284</v>
      </c>
      <c r="P1474" s="9" t="s">
        <v>13284</v>
      </c>
      <c r="Q1474" s="9" t="s">
        <v>13284</v>
      </c>
      <c r="R1474" s="9" t="s">
        <v>13284</v>
      </c>
      <c r="S1474" s="9" t="s">
        <v>13284</v>
      </c>
      <c r="T1474" s="9" t="str">
        <f ca="1">IFERROR(IF(AND(VLOOKUP(A1474, 'Актуальное состояние (из общего'!A:C,3,0) = "", A1474 &lt;&gt; ""), "ПРОВЕРИТЬ", VLOOKUP(A1474, 'Актуальное состояние (из общего'!A:C,3,0)), "")</f>
        <v>Студент</v>
      </c>
      <c r="U1474" s="9" t="s">
        <v>13284</v>
      </c>
      <c r="V1474" s="9" t="s">
        <v>13284</v>
      </c>
      <c r="W1474" s="12"/>
      <c r="X1474" s="9" t="str">
        <f t="array" ref="X1474">IFERROR(INDEX('Адреса общежитий (скрытый)'!$B$2:$B$9, MATCH(W1474, 'Адреса общежитий (скрытый)'!$A$2:$A$9, 0)), "")</f>
        <v/>
      </c>
      <c r="Y1474" s="18"/>
      <c r="Z1474" s="18"/>
      <c r="AA1474" s="18"/>
      <c r="AB1474" s="18"/>
      <c r="AC1474" s="18"/>
    </row>
    <row r="1475" spans="1:29" ht="32.25" hidden="1" customHeight="1">
      <c r="A1475" s="8">
        <v>2300558</v>
      </c>
      <c r="B1475" s="9" t="s">
        <v>13284</v>
      </c>
      <c r="C1475" s="9" t="s">
        <v>13284</v>
      </c>
      <c r="D1475" s="9" t="s">
        <v>13284</v>
      </c>
      <c r="E1475" s="9" t="s">
        <v>13284</v>
      </c>
      <c r="F1475" s="9" t="s">
        <v>13284</v>
      </c>
      <c r="G1475" s="9" t="s">
        <v>13284</v>
      </c>
      <c r="H1475" s="9" t="s">
        <v>13284</v>
      </c>
      <c r="I1475" s="9" t="s">
        <v>13284</v>
      </c>
      <c r="J1475" s="9" t="s">
        <v>13284</v>
      </c>
      <c r="K1475" s="9" t="s">
        <v>13284</v>
      </c>
      <c r="L1475" s="9" t="s">
        <v>13284</v>
      </c>
      <c r="M1475" s="9" t="s">
        <v>13284</v>
      </c>
      <c r="N1475" s="9" t="s">
        <v>13284</v>
      </c>
      <c r="O1475" s="9" t="s">
        <v>13284</v>
      </c>
      <c r="P1475" s="9" t="s">
        <v>13284</v>
      </c>
      <c r="Q1475" s="9" t="s">
        <v>13284</v>
      </c>
      <c r="R1475" s="9" t="s">
        <v>13284</v>
      </c>
      <c r="S1475" s="9" t="s">
        <v>13284</v>
      </c>
      <c r="T1475" s="9" t="str">
        <f ca="1">IFERROR(IF(AND(VLOOKUP(A1475, 'Актуальное состояние (из общего'!A:C,3,0) = "", A1475 &lt;&gt; ""), "ПРОВЕРИТЬ", VLOOKUP(A1475, 'Актуальное состояние (из общего'!A:C,3,0)), "")</f>
        <v>Студент</v>
      </c>
      <c r="U1475" s="9" t="s">
        <v>13284</v>
      </c>
      <c r="V1475" s="9" t="s">
        <v>13284</v>
      </c>
      <c r="W1475" s="12"/>
      <c r="X1475" s="9" t="str">
        <f t="array" ref="X1475">IFERROR(INDEX('Адреса общежитий (скрытый)'!$B$2:$B$9, MATCH(W1475, 'Адреса общежитий (скрытый)'!$A$2:$A$9, 0)), "")</f>
        <v/>
      </c>
      <c r="Y1475" s="18"/>
      <c r="Z1475" s="18"/>
      <c r="AA1475" s="18"/>
      <c r="AB1475" s="18"/>
      <c r="AC1475" s="18"/>
    </row>
    <row r="1476" spans="1:29" ht="32.25" customHeight="1">
      <c r="A1476" s="8">
        <v>2302947</v>
      </c>
      <c r="B1476" s="9" t="s">
        <v>13284</v>
      </c>
      <c r="C1476" s="9" t="s">
        <v>13284</v>
      </c>
      <c r="D1476" s="9" t="s">
        <v>13284</v>
      </c>
      <c r="E1476" s="9" t="s">
        <v>13284</v>
      </c>
      <c r="F1476" s="9" t="s">
        <v>13284</v>
      </c>
      <c r="G1476" s="9" t="s">
        <v>13284</v>
      </c>
      <c r="H1476" s="9" t="s">
        <v>13284</v>
      </c>
      <c r="I1476" s="9" t="s">
        <v>13284</v>
      </c>
      <c r="J1476" s="9" t="s">
        <v>13284</v>
      </c>
      <c r="K1476" s="9" t="s">
        <v>13284</v>
      </c>
      <c r="L1476" s="9" t="s">
        <v>13284</v>
      </c>
      <c r="M1476" s="9" t="s">
        <v>13284</v>
      </c>
      <c r="N1476" s="9" t="s">
        <v>13284</v>
      </c>
      <c r="O1476" s="9" t="s">
        <v>13284</v>
      </c>
      <c r="P1476" s="9" t="s">
        <v>13284</v>
      </c>
      <c r="Q1476" s="9" t="s">
        <v>13284</v>
      </c>
      <c r="R1476" s="9" t="s">
        <v>13284</v>
      </c>
      <c r="S1476" s="9" t="s">
        <v>13284</v>
      </c>
      <c r="T1476" s="9" t="str">
        <f ca="1">IFERROR(IF(AND(VLOOKUP(A1476, 'Актуальное состояние (из общего'!A:C,3,0) = "", A1476 &lt;&gt; ""), "ПРОВЕРИТЬ", VLOOKUP(A1476, 'Актуальное состояние (из общего'!A:C,3,0)), "")</f>
        <v>Студент</v>
      </c>
      <c r="U1476" s="9" t="s">
        <v>13284</v>
      </c>
      <c r="V1476" s="9" t="s">
        <v>13284</v>
      </c>
      <c r="W1476" s="9" t="s">
        <v>319</v>
      </c>
      <c r="X1476" s="9" t="str">
        <f t="array" ref="X1476">IFERROR(INDEX('Адреса общежитий (скрытый)'!$B$2:$B$9, MATCH(W1476, 'Адреса общежитий (скрытый)'!$A$2:$A$9, 0)), "")</f>
        <v>ул. Профсоюзная, д.83, корп. 2</v>
      </c>
      <c r="Y1476" s="18"/>
      <c r="Z1476" s="18"/>
      <c r="AA1476" s="18"/>
      <c r="AB1476" s="18"/>
      <c r="AC1476" s="18"/>
    </row>
    <row r="1477" spans="1:29" ht="32.25" customHeight="1">
      <c r="A1477" s="8">
        <v>2300853</v>
      </c>
      <c r="B1477" s="9" t="s">
        <v>13284</v>
      </c>
      <c r="C1477" s="9" t="s">
        <v>13284</v>
      </c>
      <c r="D1477" s="9" t="s">
        <v>13284</v>
      </c>
      <c r="E1477" s="9" t="s">
        <v>13284</v>
      </c>
      <c r="F1477" s="9" t="s">
        <v>13284</v>
      </c>
      <c r="G1477" s="9" t="s">
        <v>13284</v>
      </c>
      <c r="H1477" s="9" t="s">
        <v>13284</v>
      </c>
      <c r="I1477" s="9" t="s">
        <v>13284</v>
      </c>
      <c r="J1477" s="9" t="s">
        <v>13284</v>
      </c>
      <c r="K1477" s="9" t="s">
        <v>13284</v>
      </c>
      <c r="L1477" s="9" t="s">
        <v>13284</v>
      </c>
      <c r="M1477" s="9" t="s">
        <v>13284</v>
      </c>
      <c r="N1477" s="9" t="s">
        <v>13284</v>
      </c>
      <c r="O1477" s="9" t="s">
        <v>13284</v>
      </c>
      <c r="P1477" s="9" t="s">
        <v>13284</v>
      </c>
      <c r="Q1477" s="9" t="s">
        <v>13284</v>
      </c>
      <c r="R1477" s="9" t="s">
        <v>13284</v>
      </c>
      <c r="S1477" s="9" t="s">
        <v>13284</v>
      </c>
      <c r="T1477" s="9" t="str">
        <f ca="1">IFERROR(IF(AND(VLOOKUP(A1477, 'Актуальное состояние (из общего'!A:C,3,0) = "", A1477 &lt;&gt; ""), "ПРОВЕРИТЬ", VLOOKUP(A1477, 'Актуальное состояние (из общего'!A:C,3,0)), "")</f>
        <v>Студент</v>
      </c>
      <c r="U1477" s="9" t="s">
        <v>13284</v>
      </c>
      <c r="V1477" s="9" t="s">
        <v>13284</v>
      </c>
      <c r="W1477" s="9" t="s">
        <v>319</v>
      </c>
      <c r="X1477" s="9" t="str">
        <f t="array" ref="X1477">IFERROR(INDEX('Адреса общежитий (скрытый)'!$B$2:$B$9, MATCH(W1477, 'Адреса общежитий (скрытый)'!$A$2:$A$9, 0)), "")</f>
        <v>ул. Профсоюзная, д.83, корп. 2</v>
      </c>
      <c r="Y1477" s="18"/>
      <c r="Z1477" s="18"/>
      <c r="AA1477" s="18"/>
      <c r="AB1477" s="18"/>
      <c r="AC1477" s="18"/>
    </row>
    <row r="1478" spans="1:29" ht="32.25" hidden="1" customHeight="1">
      <c r="A1478" s="8">
        <v>2311397</v>
      </c>
      <c r="B1478" s="9" t="s">
        <v>13284</v>
      </c>
      <c r="C1478" s="9" t="s">
        <v>13284</v>
      </c>
      <c r="D1478" s="9" t="s">
        <v>13284</v>
      </c>
      <c r="E1478" s="9" t="s">
        <v>13284</v>
      </c>
      <c r="F1478" s="9" t="s">
        <v>13284</v>
      </c>
      <c r="G1478" s="9" t="s">
        <v>13284</v>
      </c>
      <c r="H1478" s="9" t="s">
        <v>13284</v>
      </c>
      <c r="I1478" s="9" t="s">
        <v>13284</v>
      </c>
      <c r="J1478" s="9" t="s">
        <v>13284</v>
      </c>
      <c r="K1478" s="9" t="s">
        <v>13284</v>
      </c>
      <c r="L1478" s="9" t="s">
        <v>13284</v>
      </c>
      <c r="M1478" s="9" t="s">
        <v>13284</v>
      </c>
      <c r="N1478" s="9" t="s">
        <v>13284</v>
      </c>
      <c r="O1478" s="9" t="s">
        <v>13284</v>
      </c>
      <c r="P1478" s="9" t="s">
        <v>13284</v>
      </c>
      <c r="Q1478" s="9" t="s">
        <v>13284</v>
      </c>
      <c r="R1478" s="9" t="s">
        <v>13284</v>
      </c>
      <c r="S1478" s="9" t="s">
        <v>13284</v>
      </c>
      <c r="T1478" s="9" t="str">
        <f ca="1">IFERROR(IF(AND(VLOOKUP(A1478, 'Актуальное состояние (из общего'!A:C,3,0) = "", A1478 &lt;&gt; ""), "ПРОВЕРИТЬ", VLOOKUP(A1478, 'Актуальное состояние (из общего'!A:C,3,0)), "")</f>
        <v>Студент</v>
      </c>
      <c r="U1478" s="9" t="s">
        <v>13284</v>
      </c>
      <c r="V1478" s="9" t="s">
        <v>13284</v>
      </c>
      <c r="W1478" s="12"/>
      <c r="X1478" s="9" t="str">
        <f t="array" ref="X1478">IFERROR(INDEX('Адреса общежитий (скрытый)'!$B$2:$B$9, MATCH(W1478, 'Адреса общежитий (скрытый)'!$A$2:$A$9, 0)), "")</f>
        <v/>
      </c>
      <c r="Y1478" s="18"/>
      <c r="Z1478" s="18"/>
      <c r="AA1478" s="18"/>
      <c r="AB1478" s="18"/>
      <c r="AC1478" s="18"/>
    </row>
    <row r="1479" spans="1:29" ht="32.25" hidden="1" customHeight="1">
      <c r="A1479" s="8">
        <v>2304594</v>
      </c>
      <c r="B1479" s="9" t="s">
        <v>13284</v>
      </c>
      <c r="C1479" s="9" t="s">
        <v>13284</v>
      </c>
      <c r="D1479" s="9" t="s">
        <v>13284</v>
      </c>
      <c r="E1479" s="9" t="s">
        <v>13284</v>
      </c>
      <c r="F1479" s="9" t="s">
        <v>13284</v>
      </c>
      <c r="G1479" s="9" t="s">
        <v>13284</v>
      </c>
      <c r="H1479" s="9" t="s">
        <v>13284</v>
      </c>
      <c r="I1479" s="9" t="s">
        <v>13284</v>
      </c>
      <c r="J1479" s="9" t="s">
        <v>13284</v>
      </c>
      <c r="K1479" s="9" t="s">
        <v>13284</v>
      </c>
      <c r="L1479" s="9" t="s">
        <v>13284</v>
      </c>
      <c r="M1479" s="9" t="s">
        <v>13284</v>
      </c>
      <c r="N1479" s="9" t="s">
        <v>13284</v>
      </c>
      <c r="O1479" s="9" t="s">
        <v>13284</v>
      </c>
      <c r="P1479" s="9" t="s">
        <v>13284</v>
      </c>
      <c r="Q1479" s="9" t="s">
        <v>13284</v>
      </c>
      <c r="R1479" s="9" t="s">
        <v>13284</v>
      </c>
      <c r="S1479" s="9" t="s">
        <v>13284</v>
      </c>
      <c r="T1479" s="9" t="str">
        <f ca="1">IFERROR(IF(AND(VLOOKUP(A1479, 'Актуальное состояние (из общего'!A:C,3,0) = "", A1479 &lt;&gt; ""), "ПРОВЕРИТЬ", VLOOKUP(A1479, 'Актуальное состояние (из общего'!A:C,3,0)), "")</f>
        <v>Студент</v>
      </c>
      <c r="U1479" s="9" t="s">
        <v>13284</v>
      </c>
      <c r="V1479" s="9" t="s">
        <v>13284</v>
      </c>
      <c r="W1479" s="12"/>
      <c r="X1479" s="9" t="str">
        <f t="array" ref="X1479">IFERROR(INDEX('Адреса общежитий (скрытый)'!$B$2:$B$9, MATCH(W1479, 'Адреса общежитий (скрытый)'!$A$2:$A$9, 0)), "")</f>
        <v/>
      </c>
      <c r="Y1479" s="18"/>
      <c r="Z1479" s="18"/>
      <c r="AA1479" s="18"/>
      <c r="AB1479" s="18"/>
      <c r="AC1479" s="18"/>
    </row>
    <row r="1480" spans="1:29" ht="32.25" customHeight="1">
      <c r="A1480" s="8">
        <v>2309537</v>
      </c>
      <c r="B1480" s="9" t="s">
        <v>13284</v>
      </c>
      <c r="C1480" s="9" t="s">
        <v>13284</v>
      </c>
      <c r="D1480" s="9" t="s">
        <v>13284</v>
      </c>
      <c r="E1480" s="9" t="s">
        <v>13284</v>
      </c>
      <c r="F1480" s="9" t="s">
        <v>13284</v>
      </c>
      <c r="G1480" s="9" t="s">
        <v>13284</v>
      </c>
      <c r="H1480" s="9" t="s">
        <v>13284</v>
      </c>
      <c r="I1480" s="9" t="s">
        <v>13284</v>
      </c>
      <c r="J1480" s="9" t="s">
        <v>13284</v>
      </c>
      <c r="K1480" s="9" t="s">
        <v>13284</v>
      </c>
      <c r="L1480" s="9" t="s">
        <v>13284</v>
      </c>
      <c r="M1480" s="9" t="s">
        <v>13284</v>
      </c>
      <c r="N1480" s="9" t="s">
        <v>13284</v>
      </c>
      <c r="O1480" s="9" t="s">
        <v>13284</v>
      </c>
      <c r="P1480" s="9" t="s">
        <v>13284</v>
      </c>
      <c r="Q1480" s="9" t="s">
        <v>13284</v>
      </c>
      <c r="R1480" s="9" t="s">
        <v>13284</v>
      </c>
      <c r="S1480" s="9" t="s">
        <v>13284</v>
      </c>
      <c r="T1480" s="9" t="str">
        <f ca="1">IFERROR(IF(AND(VLOOKUP(A1480, 'Актуальное состояние (из общего'!A:C,3,0) = "", A1480 &lt;&gt; ""), "ПРОВЕРИТЬ", VLOOKUP(A1480, 'Актуальное состояние (из общего'!A:C,3,0)), "")</f>
        <v>Студент</v>
      </c>
      <c r="U1480" s="9" t="s">
        <v>13284</v>
      </c>
      <c r="V1480" s="9" t="s">
        <v>13284</v>
      </c>
      <c r="W1480" s="12"/>
      <c r="X1480" s="9" t="str">
        <f t="array" ref="X1480">IFERROR(INDEX('Адреса общежитий (скрытый)'!$B$2:$B$9, MATCH(W1480, 'Адреса общежитий (скрытый)'!$A$2:$A$9, 0)), "")</f>
        <v/>
      </c>
      <c r="Y1480" s="18"/>
      <c r="Z1480" s="18"/>
      <c r="AA1480" s="18"/>
      <c r="AB1480" s="18"/>
      <c r="AC1480" s="18"/>
    </row>
    <row r="1481" spans="1:29" ht="32.25" customHeight="1">
      <c r="A1481" s="8">
        <v>2307342</v>
      </c>
      <c r="B1481" s="9" t="s">
        <v>13284</v>
      </c>
      <c r="C1481" s="9" t="s">
        <v>13284</v>
      </c>
      <c r="D1481" s="9" t="s">
        <v>13284</v>
      </c>
      <c r="E1481" s="9" t="s">
        <v>13284</v>
      </c>
      <c r="F1481" s="9" t="s">
        <v>13284</v>
      </c>
      <c r="G1481" s="9" t="s">
        <v>13284</v>
      </c>
      <c r="H1481" s="9" t="s">
        <v>13284</v>
      </c>
      <c r="I1481" s="9" t="s">
        <v>13284</v>
      </c>
      <c r="J1481" s="9" t="s">
        <v>13284</v>
      </c>
      <c r="K1481" s="9" t="s">
        <v>13284</v>
      </c>
      <c r="L1481" s="9" t="s">
        <v>13284</v>
      </c>
      <c r="M1481" s="9" t="s">
        <v>13284</v>
      </c>
      <c r="N1481" s="9" t="s">
        <v>13284</v>
      </c>
      <c r="O1481" s="9" t="s">
        <v>13284</v>
      </c>
      <c r="P1481" s="9" t="s">
        <v>13284</v>
      </c>
      <c r="Q1481" s="9" t="s">
        <v>13284</v>
      </c>
      <c r="R1481" s="9" t="s">
        <v>13284</v>
      </c>
      <c r="S1481" s="9" t="s">
        <v>13284</v>
      </c>
      <c r="T1481" s="9" t="str">
        <f ca="1">IFERROR(IF(AND(VLOOKUP(A1481, 'Актуальное состояние (из общего'!A:C,3,0) = "", A1481 &lt;&gt; ""), "ПРОВЕРИТЬ", VLOOKUP(A1481, 'Актуальное состояние (из общего'!A:C,3,0)), "")</f>
        <v>Студент</v>
      </c>
      <c r="U1481" s="9" t="s">
        <v>13284</v>
      </c>
      <c r="V1481" s="9" t="s">
        <v>13284</v>
      </c>
      <c r="W1481" s="12"/>
      <c r="X1481" s="9" t="str">
        <f t="array" ref="X1481">IFERROR(INDEX('Адреса общежитий (скрытый)'!$B$2:$B$9, MATCH(W1481, 'Адреса общежитий (скрытый)'!$A$2:$A$9, 0)), "")</f>
        <v/>
      </c>
      <c r="Y1481" s="18"/>
      <c r="Z1481" s="18"/>
      <c r="AA1481" s="18"/>
      <c r="AB1481" s="18"/>
      <c r="AC1481" s="18"/>
    </row>
    <row r="1482" spans="1:29" ht="32.25" hidden="1" customHeight="1">
      <c r="A1482" s="8">
        <v>2309450</v>
      </c>
      <c r="B1482" s="9" t="s">
        <v>13284</v>
      </c>
      <c r="C1482" s="9" t="s">
        <v>13284</v>
      </c>
      <c r="D1482" s="9" t="s">
        <v>13284</v>
      </c>
      <c r="E1482" s="9" t="s">
        <v>13284</v>
      </c>
      <c r="F1482" s="9" t="s">
        <v>13284</v>
      </c>
      <c r="G1482" s="9" t="s">
        <v>13284</v>
      </c>
      <c r="H1482" s="9" t="s">
        <v>13284</v>
      </c>
      <c r="I1482" s="9" t="s">
        <v>13284</v>
      </c>
      <c r="J1482" s="9" t="s">
        <v>13284</v>
      </c>
      <c r="K1482" s="9" t="s">
        <v>13284</v>
      </c>
      <c r="L1482" s="9" t="s">
        <v>13284</v>
      </c>
      <c r="M1482" s="9" t="s">
        <v>13284</v>
      </c>
      <c r="N1482" s="9" t="s">
        <v>13284</v>
      </c>
      <c r="O1482" s="9" t="s">
        <v>13284</v>
      </c>
      <c r="P1482" s="9" t="s">
        <v>13284</v>
      </c>
      <c r="Q1482" s="9" t="s">
        <v>13284</v>
      </c>
      <c r="R1482" s="9" t="s">
        <v>13284</v>
      </c>
      <c r="S1482" s="9" t="s">
        <v>13284</v>
      </c>
      <c r="T1482" s="9" t="str">
        <f ca="1">IFERROR(IF(AND(VLOOKUP(A1482, 'Актуальное состояние (из общего'!A:C,3,0) = "", A1482 &lt;&gt; ""), "ПРОВЕРИТЬ", VLOOKUP(A1482, 'Актуальное состояние (из общего'!A:C,3,0)), "")</f>
        <v>Студент</v>
      </c>
      <c r="U1482" s="9" t="s">
        <v>13284</v>
      </c>
      <c r="V1482" s="9" t="s">
        <v>13284</v>
      </c>
      <c r="W1482" s="12"/>
      <c r="X1482" s="9" t="str">
        <f t="array" ref="X1482">IFERROR(INDEX('Адреса общежитий (скрытый)'!$B$2:$B$9, MATCH(W1482, 'Адреса общежитий (скрытый)'!$A$2:$A$9, 0)), "")</f>
        <v/>
      </c>
      <c r="Y1482" s="18"/>
      <c r="Z1482" s="18"/>
      <c r="AA1482" s="18"/>
      <c r="AB1482" s="18"/>
      <c r="AC1482" s="18"/>
    </row>
    <row r="1483" spans="1:29" ht="32.25" hidden="1" customHeight="1">
      <c r="A1483" s="8">
        <v>2314042</v>
      </c>
      <c r="B1483" s="9" t="s">
        <v>13284</v>
      </c>
      <c r="C1483" s="9" t="s">
        <v>13284</v>
      </c>
      <c r="D1483" s="9" t="s">
        <v>13284</v>
      </c>
      <c r="E1483" s="9" t="s">
        <v>13284</v>
      </c>
      <c r="F1483" s="9" t="s">
        <v>13284</v>
      </c>
      <c r="G1483" s="9" t="s">
        <v>13284</v>
      </c>
      <c r="H1483" s="9" t="s">
        <v>13284</v>
      </c>
      <c r="I1483" s="9" t="s">
        <v>13284</v>
      </c>
      <c r="J1483" s="9" t="s">
        <v>13284</v>
      </c>
      <c r="K1483" s="9" t="s">
        <v>13284</v>
      </c>
      <c r="L1483" s="9" t="s">
        <v>13284</v>
      </c>
      <c r="M1483" s="9" t="s">
        <v>13284</v>
      </c>
      <c r="N1483" s="9" t="s">
        <v>13284</v>
      </c>
      <c r="O1483" s="9" t="s">
        <v>13284</v>
      </c>
      <c r="P1483" s="9" t="s">
        <v>13284</v>
      </c>
      <c r="Q1483" s="9" t="s">
        <v>13284</v>
      </c>
      <c r="R1483" s="9" t="s">
        <v>13284</v>
      </c>
      <c r="S1483" s="9" t="s">
        <v>13284</v>
      </c>
      <c r="T1483" s="9" t="str">
        <f ca="1">IFERROR(IF(AND(VLOOKUP(A1483, 'Актуальное состояние (из общего'!A:C,3,0) = "", A1483 &lt;&gt; ""), "ПРОВЕРИТЬ", VLOOKUP(A1483, 'Актуальное состояние (из общего'!A:C,3,0)), "")</f>
        <v>Студент</v>
      </c>
      <c r="U1483" s="9" t="s">
        <v>13284</v>
      </c>
      <c r="V1483" s="9" t="s">
        <v>13284</v>
      </c>
      <c r="W1483" s="12"/>
      <c r="X1483" s="9" t="str">
        <f t="array" ref="X1483">IFERROR(INDEX('Адреса общежитий (скрытый)'!$B$2:$B$9, MATCH(W1483, 'Адреса общежитий (скрытый)'!$A$2:$A$9, 0)), "")</f>
        <v/>
      </c>
      <c r="Y1483" s="18"/>
      <c r="Z1483" s="18"/>
      <c r="AA1483" s="18"/>
      <c r="AB1483" s="18"/>
      <c r="AC1483" s="18"/>
    </row>
    <row r="1484" spans="1:29" ht="32.25" hidden="1" customHeight="1">
      <c r="A1484" s="8">
        <v>2305085</v>
      </c>
      <c r="B1484" s="9" t="s">
        <v>13284</v>
      </c>
      <c r="C1484" s="9" t="s">
        <v>13284</v>
      </c>
      <c r="D1484" s="9" t="s">
        <v>13284</v>
      </c>
      <c r="E1484" s="9" t="s">
        <v>13284</v>
      </c>
      <c r="F1484" s="9" t="s">
        <v>13284</v>
      </c>
      <c r="G1484" s="9" t="s">
        <v>13284</v>
      </c>
      <c r="H1484" s="9" t="s">
        <v>13284</v>
      </c>
      <c r="I1484" s="9" t="s">
        <v>13284</v>
      </c>
      <c r="J1484" s="9" t="s">
        <v>13284</v>
      </c>
      <c r="K1484" s="9" t="s">
        <v>13284</v>
      </c>
      <c r="L1484" s="9" t="s">
        <v>13284</v>
      </c>
      <c r="M1484" s="9" t="s">
        <v>13284</v>
      </c>
      <c r="N1484" s="9" t="s">
        <v>13284</v>
      </c>
      <c r="O1484" s="9" t="s">
        <v>13284</v>
      </c>
      <c r="P1484" s="9" t="s">
        <v>13284</v>
      </c>
      <c r="Q1484" s="9" t="s">
        <v>13284</v>
      </c>
      <c r="R1484" s="9" t="s">
        <v>13284</v>
      </c>
      <c r="S1484" s="9" t="s">
        <v>13284</v>
      </c>
      <c r="T1484" s="9" t="str">
        <f ca="1">IFERROR(IF(AND(VLOOKUP(A1484, 'Актуальное состояние (из общего'!A:C,3,0) = "", A1484 &lt;&gt; ""), "ПРОВЕРИТЬ", VLOOKUP(A1484, 'Актуальное состояние (из общего'!A:C,3,0)), "")</f>
        <v>Студент</v>
      </c>
      <c r="U1484" s="9" t="s">
        <v>13284</v>
      </c>
      <c r="V1484" s="9" t="s">
        <v>13284</v>
      </c>
      <c r="W1484" s="12"/>
      <c r="X1484" s="9" t="str">
        <f t="array" ref="X1484">IFERROR(INDEX('Адреса общежитий (скрытый)'!$B$2:$B$9, MATCH(W1484, 'Адреса общежитий (скрытый)'!$A$2:$A$9, 0)), "")</f>
        <v/>
      </c>
      <c r="Y1484" s="18"/>
      <c r="Z1484" s="18"/>
      <c r="AA1484" s="18"/>
      <c r="AB1484" s="18"/>
      <c r="AC1484" s="18"/>
    </row>
    <row r="1485" spans="1:29" ht="32.25" hidden="1" customHeight="1">
      <c r="A1485" s="8">
        <v>2301618</v>
      </c>
      <c r="B1485" s="9" t="s">
        <v>13284</v>
      </c>
      <c r="C1485" s="9" t="s">
        <v>13284</v>
      </c>
      <c r="D1485" s="9" t="s">
        <v>13284</v>
      </c>
      <c r="E1485" s="9" t="s">
        <v>13284</v>
      </c>
      <c r="F1485" s="9" t="s">
        <v>13284</v>
      </c>
      <c r="G1485" s="9" t="s">
        <v>13284</v>
      </c>
      <c r="H1485" s="9" t="s">
        <v>13284</v>
      </c>
      <c r="I1485" s="9" t="s">
        <v>13284</v>
      </c>
      <c r="J1485" s="9" t="s">
        <v>13284</v>
      </c>
      <c r="K1485" s="9" t="s">
        <v>13284</v>
      </c>
      <c r="L1485" s="9" t="s">
        <v>13284</v>
      </c>
      <c r="M1485" s="9" t="s">
        <v>13284</v>
      </c>
      <c r="N1485" s="9" t="s">
        <v>13284</v>
      </c>
      <c r="O1485" s="9" t="s">
        <v>13284</v>
      </c>
      <c r="P1485" s="9" t="s">
        <v>13284</v>
      </c>
      <c r="Q1485" s="9" t="s">
        <v>13284</v>
      </c>
      <c r="R1485" s="9" t="s">
        <v>13284</v>
      </c>
      <c r="S1485" s="9" t="s">
        <v>13284</v>
      </c>
      <c r="T1485" s="9" t="str">
        <f ca="1">IFERROR(IF(AND(VLOOKUP(A1485, 'Актуальное состояние (из общего'!A:C,3,0) = "", A1485 &lt;&gt; ""), "ПРОВЕРИТЬ", VLOOKUP(A1485, 'Актуальное состояние (из общего'!A:C,3,0)), "")</f>
        <v>Студент</v>
      </c>
      <c r="U1485" s="9" t="s">
        <v>13284</v>
      </c>
      <c r="V1485" s="9" t="s">
        <v>13284</v>
      </c>
      <c r="W1485" s="12"/>
      <c r="X1485" s="9" t="str">
        <f t="array" ref="X1485">IFERROR(INDEX('Адреса общежитий (скрытый)'!$B$2:$B$9, MATCH(W1485, 'Адреса общежитий (скрытый)'!$A$2:$A$9, 0)), "")</f>
        <v/>
      </c>
      <c r="Y1485" s="18"/>
      <c r="Z1485" s="18"/>
      <c r="AA1485" s="18"/>
      <c r="AB1485" s="18"/>
      <c r="AC1485" s="18"/>
    </row>
    <row r="1486" spans="1:29" ht="32.25" hidden="1" customHeight="1">
      <c r="A1486" s="8">
        <v>2313158</v>
      </c>
      <c r="B1486" s="9" t="s">
        <v>13284</v>
      </c>
      <c r="C1486" s="9" t="s">
        <v>13284</v>
      </c>
      <c r="D1486" s="9" t="s">
        <v>13284</v>
      </c>
      <c r="E1486" s="9" t="s">
        <v>13284</v>
      </c>
      <c r="F1486" s="9" t="s">
        <v>13284</v>
      </c>
      <c r="G1486" s="9" t="s">
        <v>13284</v>
      </c>
      <c r="H1486" s="9" t="s">
        <v>13284</v>
      </c>
      <c r="I1486" s="9" t="s">
        <v>13284</v>
      </c>
      <c r="J1486" s="9" t="s">
        <v>13284</v>
      </c>
      <c r="K1486" s="9" t="s">
        <v>13284</v>
      </c>
      <c r="L1486" s="9" t="s">
        <v>13284</v>
      </c>
      <c r="M1486" s="9" t="s">
        <v>13284</v>
      </c>
      <c r="N1486" s="9" t="s">
        <v>13284</v>
      </c>
      <c r="O1486" s="9" t="s">
        <v>13284</v>
      </c>
      <c r="P1486" s="9" t="s">
        <v>13284</v>
      </c>
      <c r="Q1486" s="9" t="s">
        <v>13284</v>
      </c>
      <c r="R1486" s="9" t="s">
        <v>13284</v>
      </c>
      <c r="S1486" s="9" t="s">
        <v>13284</v>
      </c>
      <c r="T1486" s="9" t="str">
        <f ca="1">IFERROR(IF(AND(VLOOKUP(A1486, 'Актуальное состояние (из общего'!A:C,3,0) = "", A1486 &lt;&gt; ""), "ПРОВЕРИТЬ", VLOOKUP(A1486, 'Актуальное состояние (из общего'!A:C,3,0)), "")</f>
        <v>Студент</v>
      </c>
      <c r="U1486" s="9" t="s">
        <v>13284</v>
      </c>
      <c r="V1486" s="9" t="s">
        <v>13284</v>
      </c>
      <c r="W1486" s="12"/>
      <c r="X1486" s="9" t="str">
        <f t="array" ref="X1486">IFERROR(INDEX('Адреса общежитий (скрытый)'!$B$2:$B$9, MATCH(W1486, 'Адреса общежитий (скрытый)'!$A$2:$A$9, 0)), "")</f>
        <v/>
      </c>
      <c r="Y1486" s="18"/>
      <c r="Z1486" s="18"/>
      <c r="AA1486" s="18"/>
      <c r="AB1486" s="18"/>
      <c r="AC1486" s="18"/>
    </row>
    <row r="1487" spans="1:29" ht="32.25" customHeight="1">
      <c r="A1487" s="8">
        <v>2311807</v>
      </c>
      <c r="B1487" s="9" t="s">
        <v>13284</v>
      </c>
      <c r="C1487" s="9" t="s">
        <v>13284</v>
      </c>
      <c r="D1487" s="9" t="s">
        <v>13284</v>
      </c>
      <c r="E1487" s="9" t="s">
        <v>13284</v>
      </c>
      <c r="F1487" s="9" t="s">
        <v>13284</v>
      </c>
      <c r="G1487" s="9" t="s">
        <v>13284</v>
      </c>
      <c r="H1487" s="9" t="s">
        <v>13284</v>
      </c>
      <c r="I1487" s="9" t="s">
        <v>13284</v>
      </c>
      <c r="J1487" s="9" t="s">
        <v>13284</v>
      </c>
      <c r="K1487" s="9" t="s">
        <v>13284</v>
      </c>
      <c r="L1487" s="9" t="s">
        <v>13284</v>
      </c>
      <c r="M1487" s="9" t="s">
        <v>13284</v>
      </c>
      <c r="N1487" s="9" t="s">
        <v>13284</v>
      </c>
      <c r="O1487" s="9" t="s">
        <v>13284</v>
      </c>
      <c r="P1487" s="9" t="s">
        <v>13284</v>
      </c>
      <c r="Q1487" s="9" t="s">
        <v>13284</v>
      </c>
      <c r="R1487" s="9" t="s">
        <v>13284</v>
      </c>
      <c r="S1487" s="9" t="s">
        <v>13284</v>
      </c>
      <c r="T1487" s="9" t="str">
        <f ca="1">IFERROR(IF(AND(VLOOKUP(A1487, 'Актуальное состояние (из общего'!A:C,3,0) = "", A1487 &lt;&gt; ""), "ПРОВЕРИТЬ", VLOOKUP(A1487, 'Актуальное состояние (из общего'!A:C,3,0)), "")</f>
        <v>Студент</v>
      </c>
      <c r="U1487" s="9" t="s">
        <v>13284</v>
      </c>
      <c r="V1487" s="9" t="s">
        <v>13284</v>
      </c>
      <c r="W1487" s="9" t="s">
        <v>319</v>
      </c>
      <c r="X1487" s="9" t="str">
        <f t="array" ref="X1487">IFERROR(INDEX('Адреса общежитий (скрытый)'!$B$2:$B$9, MATCH(W1487, 'Адреса общежитий (скрытый)'!$A$2:$A$9, 0)), "")</f>
        <v>ул. Профсоюзная, д.83, корп. 2</v>
      </c>
      <c r="Y1487" s="18"/>
      <c r="Z1487" s="18"/>
      <c r="AA1487" s="18"/>
      <c r="AB1487" s="18"/>
      <c r="AC1487" s="18"/>
    </row>
    <row r="1488" spans="1:29" ht="32.25" hidden="1" customHeight="1">
      <c r="A1488" s="8">
        <v>2302254</v>
      </c>
      <c r="B1488" s="9" t="s">
        <v>13284</v>
      </c>
      <c r="C1488" s="9" t="s">
        <v>13284</v>
      </c>
      <c r="D1488" s="9" t="s">
        <v>13284</v>
      </c>
      <c r="E1488" s="9" t="s">
        <v>13284</v>
      </c>
      <c r="F1488" s="9" t="s">
        <v>13284</v>
      </c>
      <c r="G1488" s="9" t="s">
        <v>13284</v>
      </c>
      <c r="H1488" s="9" t="s">
        <v>13284</v>
      </c>
      <c r="I1488" s="9" t="s">
        <v>13284</v>
      </c>
      <c r="J1488" s="9" t="s">
        <v>13284</v>
      </c>
      <c r="K1488" s="9" t="s">
        <v>13284</v>
      </c>
      <c r="L1488" s="9" t="s">
        <v>13284</v>
      </c>
      <c r="M1488" s="9" t="s">
        <v>13284</v>
      </c>
      <c r="N1488" s="9" t="s">
        <v>13284</v>
      </c>
      <c r="O1488" s="9" t="s">
        <v>13284</v>
      </c>
      <c r="P1488" s="9" t="s">
        <v>13284</v>
      </c>
      <c r="Q1488" s="9" t="s">
        <v>13284</v>
      </c>
      <c r="R1488" s="9" t="s">
        <v>13284</v>
      </c>
      <c r="S1488" s="9" t="s">
        <v>13284</v>
      </c>
      <c r="T1488" s="9" t="str">
        <f ca="1">IFERROR(IF(AND(VLOOKUP(A1488, 'Актуальное состояние (из общего'!A:C,3,0) = "", A1488 &lt;&gt; ""), "ПРОВЕРИТЬ", VLOOKUP(A1488, 'Актуальное состояние (из общего'!A:C,3,0)), "")</f>
        <v>Студент</v>
      </c>
      <c r="U1488" s="9" t="s">
        <v>13284</v>
      </c>
      <c r="V1488" s="9" t="s">
        <v>13284</v>
      </c>
      <c r="W1488" s="12"/>
      <c r="X1488" s="9" t="str">
        <f t="array" ref="X1488">IFERROR(INDEX('Адреса общежитий (скрытый)'!$B$2:$B$9, MATCH(W1488, 'Адреса общежитий (скрытый)'!$A$2:$A$9, 0)), "")</f>
        <v/>
      </c>
      <c r="Y1488" s="18"/>
      <c r="Z1488" s="18"/>
      <c r="AA1488" s="18"/>
      <c r="AB1488" s="18"/>
      <c r="AC1488" s="18"/>
    </row>
    <row r="1489" spans="1:29" ht="32.25" customHeight="1">
      <c r="A1489" s="8">
        <v>2309563</v>
      </c>
      <c r="B1489" s="9" t="s">
        <v>13284</v>
      </c>
      <c r="C1489" s="9" t="s">
        <v>13284</v>
      </c>
      <c r="D1489" s="9" t="s">
        <v>13284</v>
      </c>
      <c r="E1489" s="9" t="s">
        <v>13284</v>
      </c>
      <c r="F1489" s="9" t="s">
        <v>13284</v>
      </c>
      <c r="G1489" s="9" t="s">
        <v>13284</v>
      </c>
      <c r="H1489" s="9" t="s">
        <v>13284</v>
      </c>
      <c r="I1489" s="9" t="s">
        <v>13284</v>
      </c>
      <c r="J1489" s="9" t="s">
        <v>13284</v>
      </c>
      <c r="K1489" s="9" t="s">
        <v>13284</v>
      </c>
      <c r="L1489" s="9" t="s">
        <v>13284</v>
      </c>
      <c r="M1489" s="9" t="s">
        <v>13284</v>
      </c>
      <c r="N1489" s="9" t="s">
        <v>13284</v>
      </c>
      <c r="O1489" s="9" t="s">
        <v>13284</v>
      </c>
      <c r="P1489" s="9" t="s">
        <v>13284</v>
      </c>
      <c r="Q1489" s="9" t="s">
        <v>13284</v>
      </c>
      <c r="R1489" s="9" t="s">
        <v>13284</v>
      </c>
      <c r="S1489" s="9" t="s">
        <v>13284</v>
      </c>
      <c r="T1489" s="9" t="str">
        <f ca="1">IFERROR(IF(AND(VLOOKUP(A1489, 'Актуальное состояние (из общего'!A:C,3,0) = "", A1489 &lt;&gt; ""), "ПРОВЕРИТЬ", VLOOKUP(A1489, 'Актуальное состояние (из общего'!A:C,3,0)), "")</f>
        <v>Студент</v>
      </c>
      <c r="U1489" s="9" t="s">
        <v>13284</v>
      </c>
      <c r="V1489" s="9" t="s">
        <v>13284</v>
      </c>
      <c r="W1489" s="12"/>
      <c r="X1489" s="9" t="str">
        <f t="array" ref="X1489">IFERROR(INDEX('Адреса общежитий (скрытый)'!$B$2:$B$9, MATCH(W1489, 'Адреса общежитий (скрытый)'!$A$2:$A$9, 0)), "")</f>
        <v/>
      </c>
      <c r="Y1489" s="18"/>
      <c r="Z1489" s="18"/>
      <c r="AA1489" s="18"/>
      <c r="AB1489" s="18"/>
      <c r="AC1489" s="18"/>
    </row>
    <row r="1490" spans="1:29" ht="32.25" customHeight="1">
      <c r="A1490" s="8">
        <v>2300567</v>
      </c>
      <c r="B1490" s="9" t="s">
        <v>13284</v>
      </c>
      <c r="C1490" s="9" t="s">
        <v>13284</v>
      </c>
      <c r="D1490" s="9" t="s">
        <v>13284</v>
      </c>
      <c r="E1490" s="9" t="s">
        <v>13284</v>
      </c>
      <c r="F1490" s="9" t="s">
        <v>13284</v>
      </c>
      <c r="G1490" s="9" t="s">
        <v>13284</v>
      </c>
      <c r="H1490" s="9" t="s">
        <v>13284</v>
      </c>
      <c r="I1490" s="9" t="s">
        <v>13284</v>
      </c>
      <c r="J1490" s="9" t="s">
        <v>13284</v>
      </c>
      <c r="K1490" s="9" t="s">
        <v>13284</v>
      </c>
      <c r="L1490" s="9" t="s">
        <v>13284</v>
      </c>
      <c r="M1490" s="9" t="s">
        <v>13284</v>
      </c>
      <c r="N1490" s="9" t="s">
        <v>13284</v>
      </c>
      <c r="O1490" s="9" t="s">
        <v>13284</v>
      </c>
      <c r="P1490" s="9" t="s">
        <v>13284</v>
      </c>
      <c r="Q1490" s="9" t="s">
        <v>13284</v>
      </c>
      <c r="R1490" s="9" t="s">
        <v>13284</v>
      </c>
      <c r="S1490" s="9" t="s">
        <v>13284</v>
      </c>
      <c r="T1490" s="9" t="str">
        <f ca="1">IFERROR(IF(AND(VLOOKUP(A1490, 'Актуальное состояние (из общего'!A:C,3,0) = "", A1490 &lt;&gt; ""), "ПРОВЕРИТЬ", VLOOKUP(A1490, 'Актуальное состояние (из общего'!A:C,3,0)), "")</f>
        <v>Студент</v>
      </c>
      <c r="U1490" s="9" t="s">
        <v>13284</v>
      </c>
      <c r="V1490" s="9" t="s">
        <v>13284</v>
      </c>
      <c r="W1490" s="12"/>
      <c r="X1490" s="9" t="str">
        <f t="array" ref="X1490">IFERROR(INDEX('Адреса общежитий (скрытый)'!$B$2:$B$9, MATCH(W1490, 'Адреса общежитий (скрытый)'!$A$2:$A$9, 0)), "")</f>
        <v/>
      </c>
      <c r="Y1490" s="18"/>
      <c r="Z1490" s="18"/>
      <c r="AA1490" s="18"/>
      <c r="AB1490" s="18"/>
      <c r="AC1490" s="18"/>
    </row>
    <row r="1491" spans="1:29" ht="32.25" hidden="1" customHeight="1">
      <c r="A1491" s="8">
        <v>2302721</v>
      </c>
      <c r="B1491" s="9" t="s">
        <v>13284</v>
      </c>
      <c r="C1491" s="9" t="s">
        <v>13284</v>
      </c>
      <c r="D1491" s="9" t="s">
        <v>13284</v>
      </c>
      <c r="E1491" s="9" t="s">
        <v>13284</v>
      </c>
      <c r="F1491" s="9" t="s">
        <v>13284</v>
      </c>
      <c r="G1491" s="9" t="s">
        <v>13284</v>
      </c>
      <c r="H1491" s="9" t="s">
        <v>13284</v>
      </c>
      <c r="I1491" s="9" t="s">
        <v>13284</v>
      </c>
      <c r="J1491" s="9" t="s">
        <v>13284</v>
      </c>
      <c r="K1491" s="9" t="s">
        <v>13284</v>
      </c>
      <c r="L1491" s="9" t="s">
        <v>13284</v>
      </c>
      <c r="M1491" s="9" t="s">
        <v>13284</v>
      </c>
      <c r="N1491" s="9" t="s">
        <v>13284</v>
      </c>
      <c r="O1491" s="9" t="s">
        <v>13284</v>
      </c>
      <c r="P1491" s="9" t="s">
        <v>13284</v>
      </c>
      <c r="Q1491" s="9" t="s">
        <v>13284</v>
      </c>
      <c r="R1491" s="9" t="s">
        <v>13284</v>
      </c>
      <c r="S1491" s="9" t="s">
        <v>13284</v>
      </c>
      <c r="T1491" s="9" t="str">
        <f ca="1">IFERROR(IF(AND(VLOOKUP(A1491, 'Актуальное состояние (из общего'!A:C,3,0) = "", A1491 &lt;&gt; ""), "ПРОВЕРИТЬ", VLOOKUP(A1491, 'Актуальное состояние (из общего'!A:C,3,0)), "")</f>
        <v>Студент</v>
      </c>
      <c r="U1491" s="9" t="s">
        <v>13284</v>
      </c>
      <c r="V1491" s="9" t="s">
        <v>13284</v>
      </c>
      <c r="W1491" s="12"/>
      <c r="X1491" s="9" t="str">
        <f t="array" ref="X1491">IFERROR(INDEX('Адреса общежитий (скрытый)'!$B$2:$B$9, MATCH(W1491, 'Адреса общежитий (скрытый)'!$A$2:$A$9, 0)), "")</f>
        <v/>
      </c>
      <c r="Y1491" s="18"/>
      <c r="Z1491" s="18"/>
      <c r="AA1491" s="18"/>
      <c r="AB1491" s="18"/>
      <c r="AC1491" s="18"/>
    </row>
    <row r="1492" spans="1:29" ht="32.25" customHeight="1">
      <c r="A1492" s="8">
        <v>2311473</v>
      </c>
      <c r="B1492" s="9" t="s">
        <v>13284</v>
      </c>
      <c r="C1492" s="9" t="s">
        <v>13284</v>
      </c>
      <c r="D1492" s="9" t="s">
        <v>13284</v>
      </c>
      <c r="E1492" s="9" t="s">
        <v>13284</v>
      </c>
      <c r="F1492" s="9" t="s">
        <v>13284</v>
      </c>
      <c r="G1492" s="9" t="s">
        <v>13284</v>
      </c>
      <c r="H1492" s="9" t="s">
        <v>13284</v>
      </c>
      <c r="I1492" s="9" t="s">
        <v>13284</v>
      </c>
      <c r="J1492" s="9" t="s">
        <v>13284</v>
      </c>
      <c r="K1492" s="9" t="s">
        <v>13284</v>
      </c>
      <c r="L1492" s="9" t="s">
        <v>13284</v>
      </c>
      <c r="M1492" s="9" t="s">
        <v>13284</v>
      </c>
      <c r="N1492" s="9" t="s">
        <v>13284</v>
      </c>
      <c r="O1492" s="9" t="s">
        <v>13284</v>
      </c>
      <c r="P1492" s="9" t="s">
        <v>13284</v>
      </c>
      <c r="Q1492" s="9" t="s">
        <v>13284</v>
      </c>
      <c r="R1492" s="9" t="s">
        <v>13284</v>
      </c>
      <c r="S1492" s="9" t="s">
        <v>13284</v>
      </c>
      <c r="T1492" s="9" t="str">
        <f ca="1">IFERROR(IF(AND(VLOOKUP(A1492, 'Актуальное состояние (из общего'!A:C,3,0) = "", A1492 &lt;&gt; ""), "ПРОВЕРИТЬ", VLOOKUP(A1492, 'Актуальное состояние (из общего'!A:C,3,0)), "")</f>
        <v>Студент</v>
      </c>
      <c r="U1492" s="9" t="s">
        <v>13284</v>
      </c>
      <c r="V1492" s="9" t="s">
        <v>13284</v>
      </c>
      <c r="W1492" s="12"/>
      <c r="X1492" s="9" t="str">
        <f t="array" ref="X1492">IFERROR(INDEX('Адреса общежитий (скрытый)'!$B$2:$B$9, MATCH(W1492, 'Адреса общежитий (скрытый)'!$A$2:$A$9, 0)), "")</f>
        <v/>
      </c>
      <c r="Y1492" s="18"/>
      <c r="Z1492" s="18"/>
      <c r="AA1492" s="18"/>
      <c r="AB1492" s="18"/>
      <c r="AC1492" s="18"/>
    </row>
    <row r="1493" spans="1:29" ht="32.25" hidden="1" customHeight="1">
      <c r="A1493" s="8">
        <v>2301965</v>
      </c>
      <c r="B1493" s="9" t="s">
        <v>13284</v>
      </c>
      <c r="C1493" s="9" t="s">
        <v>13284</v>
      </c>
      <c r="D1493" s="9" t="s">
        <v>13284</v>
      </c>
      <c r="E1493" s="9" t="s">
        <v>13284</v>
      </c>
      <c r="F1493" s="9" t="s">
        <v>13284</v>
      </c>
      <c r="G1493" s="9" t="s">
        <v>13284</v>
      </c>
      <c r="H1493" s="9" t="s">
        <v>13284</v>
      </c>
      <c r="I1493" s="9" t="s">
        <v>13284</v>
      </c>
      <c r="J1493" s="9" t="s">
        <v>13284</v>
      </c>
      <c r="K1493" s="9" t="s">
        <v>13284</v>
      </c>
      <c r="L1493" s="9" t="s">
        <v>13284</v>
      </c>
      <c r="M1493" s="9" t="s">
        <v>13284</v>
      </c>
      <c r="N1493" s="9" t="s">
        <v>13284</v>
      </c>
      <c r="O1493" s="9" t="s">
        <v>13284</v>
      </c>
      <c r="P1493" s="9" t="s">
        <v>13284</v>
      </c>
      <c r="Q1493" s="9" t="s">
        <v>13284</v>
      </c>
      <c r="R1493" s="9" t="s">
        <v>13284</v>
      </c>
      <c r="S1493" s="9" t="s">
        <v>13284</v>
      </c>
      <c r="T1493" s="9" t="str">
        <f ca="1">IFERROR(IF(AND(VLOOKUP(A1493, 'Актуальное состояние (из общего'!A:C,3,0) = "", A1493 &lt;&gt; ""), "ПРОВЕРИТЬ", VLOOKUP(A1493, 'Актуальное состояние (из общего'!A:C,3,0)), "")</f>
        <v>Студент</v>
      </c>
      <c r="U1493" s="9" t="s">
        <v>13284</v>
      </c>
      <c r="V1493" s="9" t="s">
        <v>13284</v>
      </c>
      <c r="W1493" s="12"/>
      <c r="X1493" s="9" t="str">
        <f t="array" ref="X1493">IFERROR(INDEX('Адреса общежитий (скрытый)'!$B$2:$B$9, MATCH(W1493, 'Адреса общежитий (скрытый)'!$A$2:$A$9, 0)), "")</f>
        <v/>
      </c>
      <c r="Y1493" s="18"/>
      <c r="Z1493" s="18"/>
      <c r="AA1493" s="18"/>
      <c r="AB1493" s="18"/>
      <c r="AC1493" s="18"/>
    </row>
    <row r="1494" spans="1:29" ht="32.25" hidden="1" customHeight="1">
      <c r="A1494" s="8">
        <v>2302471</v>
      </c>
      <c r="B1494" s="9" t="s">
        <v>13284</v>
      </c>
      <c r="C1494" s="9" t="s">
        <v>13284</v>
      </c>
      <c r="D1494" s="9" t="s">
        <v>13284</v>
      </c>
      <c r="E1494" s="9" t="s">
        <v>13284</v>
      </c>
      <c r="F1494" s="9" t="s">
        <v>13284</v>
      </c>
      <c r="G1494" s="9" t="s">
        <v>13284</v>
      </c>
      <c r="H1494" s="9" t="s">
        <v>13284</v>
      </c>
      <c r="I1494" s="9" t="s">
        <v>13284</v>
      </c>
      <c r="J1494" s="9" t="s">
        <v>13284</v>
      </c>
      <c r="K1494" s="9" t="s">
        <v>13284</v>
      </c>
      <c r="L1494" s="9" t="s">
        <v>13284</v>
      </c>
      <c r="M1494" s="9" t="s">
        <v>13284</v>
      </c>
      <c r="N1494" s="9" t="s">
        <v>13284</v>
      </c>
      <c r="O1494" s="9" t="s">
        <v>13284</v>
      </c>
      <c r="P1494" s="9" t="s">
        <v>13284</v>
      </c>
      <c r="Q1494" s="9" t="s">
        <v>13284</v>
      </c>
      <c r="R1494" s="9" t="s">
        <v>13284</v>
      </c>
      <c r="S1494" s="9" t="s">
        <v>13284</v>
      </c>
      <c r="T1494" s="9" t="str">
        <f ca="1">IFERROR(IF(AND(VLOOKUP(A1494, 'Актуальное состояние (из общего'!A:C,3,0) = "", A1494 &lt;&gt; ""), "ПРОВЕРИТЬ", VLOOKUP(A1494, 'Актуальное состояние (из общего'!A:C,3,0)), "")</f>
        <v>Студент</v>
      </c>
      <c r="U1494" s="9" t="s">
        <v>13284</v>
      </c>
      <c r="V1494" s="9" t="s">
        <v>13284</v>
      </c>
      <c r="W1494" s="12"/>
      <c r="X1494" s="9" t="str">
        <f t="array" ref="X1494">IFERROR(INDEX('Адреса общежитий (скрытый)'!$B$2:$B$9, MATCH(W1494, 'Адреса общежитий (скрытый)'!$A$2:$A$9, 0)), "")</f>
        <v/>
      </c>
      <c r="Y1494" s="18"/>
      <c r="Z1494" s="18"/>
      <c r="AA1494" s="18"/>
      <c r="AB1494" s="18"/>
      <c r="AC1494" s="18"/>
    </row>
    <row r="1495" spans="1:29" ht="32.25" customHeight="1">
      <c r="A1495" s="8">
        <v>2302417</v>
      </c>
      <c r="B1495" s="9" t="s">
        <v>13284</v>
      </c>
      <c r="C1495" s="9" t="s">
        <v>13284</v>
      </c>
      <c r="D1495" s="9" t="s">
        <v>13284</v>
      </c>
      <c r="E1495" s="9" t="s">
        <v>13284</v>
      </c>
      <c r="F1495" s="9" t="s">
        <v>13284</v>
      </c>
      <c r="G1495" s="9" t="s">
        <v>13284</v>
      </c>
      <c r="H1495" s="9" t="s">
        <v>13284</v>
      </c>
      <c r="I1495" s="9" t="s">
        <v>13284</v>
      </c>
      <c r="J1495" s="9" t="s">
        <v>13284</v>
      </c>
      <c r="K1495" s="9" t="s">
        <v>13284</v>
      </c>
      <c r="L1495" s="9" t="s">
        <v>13284</v>
      </c>
      <c r="M1495" s="9" t="s">
        <v>13284</v>
      </c>
      <c r="N1495" s="9" t="s">
        <v>13284</v>
      </c>
      <c r="O1495" s="9" t="s">
        <v>13284</v>
      </c>
      <c r="P1495" s="9" t="s">
        <v>13284</v>
      </c>
      <c r="Q1495" s="9" t="s">
        <v>13284</v>
      </c>
      <c r="R1495" s="9" t="s">
        <v>13284</v>
      </c>
      <c r="S1495" s="9" t="s">
        <v>13284</v>
      </c>
      <c r="T1495" s="9" t="str">
        <f ca="1">IFERROR(IF(AND(VLOOKUP(A1495, 'Актуальное состояние (из общего'!A:C,3,0) = "", A1495 &lt;&gt; ""), "ПРОВЕРИТЬ", VLOOKUP(A1495, 'Актуальное состояние (из общего'!A:C,3,0)), "")</f>
        <v>Студент</v>
      </c>
      <c r="U1495" s="9" t="s">
        <v>13284</v>
      </c>
      <c r="V1495" s="9" t="s">
        <v>13284</v>
      </c>
      <c r="W1495" s="12"/>
      <c r="X1495" s="9" t="str">
        <f t="array" ref="X1495">IFERROR(INDEX('Адреса общежитий (скрытый)'!$B$2:$B$9, MATCH(W1495, 'Адреса общежитий (скрытый)'!$A$2:$A$9, 0)), "")</f>
        <v/>
      </c>
      <c r="Y1495" s="18"/>
      <c r="Z1495" s="18"/>
      <c r="AA1495" s="18"/>
      <c r="AB1495" s="18"/>
      <c r="AC1495" s="18"/>
    </row>
    <row r="1496" spans="1:29" ht="32.25" hidden="1" customHeight="1">
      <c r="A1496" s="8">
        <v>2300687</v>
      </c>
      <c r="B1496" s="9" t="s">
        <v>13284</v>
      </c>
      <c r="C1496" s="9" t="s">
        <v>13284</v>
      </c>
      <c r="D1496" s="9" t="s">
        <v>13284</v>
      </c>
      <c r="E1496" s="9" t="s">
        <v>13284</v>
      </c>
      <c r="F1496" s="9" t="s">
        <v>13284</v>
      </c>
      <c r="G1496" s="9" t="s">
        <v>13284</v>
      </c>
      <c r="H1496" s="9" t="s">
        <v>13284</v>
      </c>
      <c r="I1496" s="9" t="s">
        <v>13284</v>
      </c>
      <c r="J1496" s="9" t="s">
        <v>13284</v>
      </c>
      <c r="K1496" s="9" t="s">
        <v>13284</v>
      </c>
      <c r="L1496" s="9" t="s">
        <v>13284</v>
      </c>
      <c r="M1496" s="9" t="s">
        <v>13284</v>
      </c>
      <c r="N1496" s="9" t="s">
        <v>13284</v>
      </c>
      <c r="O1496" s="9" t="s">
        <v>13284</v>
      </c>
      <c r="P1496" s="9" t="s">
        <v>13284</v>
      </c>
      <c r="Q1496" s="9" t="s">
        <v>13284</v>
      </c>
      <c r="R1496" s="9" t="s">
        <v>13284</v>
      </c>
      <c r="S1496" s="9" t="s">
        <v>13284</v>
      </c>
      <c r="T1496" s="9" t="str">
        <f ca="1">IFERROR(IF(AND(VLOOKUP(A1496, 'Актуальное состояние (из общего'!A:C,3,0) = "", A1496 &lt;&gt; ""), "ПРОВЕРИТЬ", VLOOKUP(A1496, 'Актуальное состояние (из общего'!A:C,3,0)), "")</f>
        <v>Студент</v>
      </c>
      <c r="U1496" s="9" t="s">
        <v>13284</v>
      </c>
      <c r="V1496" s="9" t="s">
        <v>13284</v>
      </c>
      <c r="W1496" s="12"/>
      <c r="X1496" s="9" t="str">
        <f t="array" ref="X1496">IFERROR(INDEX('Адреса общежитий (скрытый)'!$B$2:$B$9, MATCH(W1496, 'Адреса общежитий (скрытый)'!$A$2:$A$9, 0)), "")</f>
        <v/>
      </c>
      <c r="Y1496" s="18"/>
      <c r="Z1496" s="18"/>
      <c r="AA1496" s="18"/>
      <c r="AB1496" s="18"/>
      <c r="AC1496" s="18"/>
    </row>
    <row r="1497" spans="1:29" ht="32.25" hidden="1" customHeight="1">
      <c r="A1497" s="8">
        <v>2301517</v>
      </c>
      <c r="B1497" s="9" t="s">
        <v>13284</v>
      </c>
      <c r="C1497" s="9" t="s">
        <v>13284</v>
      </c>
      <c r="D1497" s="9" t="s">
        <v>13284</v>
      </c>
      <c r="E1497" s="9" t="s">
        <v>13284</v>
      </c>
      <c r="F1497" s="9" t="s">
        <v>13284</v>
      </c>
      <c r="G1497" s="9" t="s">
        <v>13284</v>
      </c>
      <c r="H1497" s="9" t="s">
        <v>13284</v>
      </c>
      <c r="I1497" s="9" t="s">
        <v>13284</v>
      </c>
      <c r="J1497" s="9" t="s">
        <v>13284</v>
      </c>
      <c r="K1497" s="9" t="s">
        <v>13284</v>
      </c>
      <c r="L1497" s="9" t="s">
        <v>13284</v>
      </c>
      <c r="M1497" s="9" t="s">
        <v>13284</v>
      </c>
      <c r="N1497" s="9" t="s">
        <v>13284</v>
      </c>
      <c r="O1497" s="9" t="s">
        <v>13284</v>
      </c>
      <c r="P1497" s="9" t="s">
        <v>13284</v>
      </c>
      <c r="Q1497" s="9" t="s">
        <v>13284</v>
      </c>
      <c r="R1497" s="9" t="s">
        <v>13284</v>
      </c>
      <c r="S1497" s="9" t="s">
        <v>13284</v>
      </c>
      <c r="T1497" s="9" t="str">
        <f ca="1">IFERROR(IF(AND(VLOOKUP(A1497, 'Актуальное состояние (из общего'!A:C,3,0) = "", A1497 &lt;&gt; ""), "ПРОВЕРИТЬ", VLOOKUP(A1497, 'Актуальное состояние (из общего'!A:C,3,0)), "")</f>
        <v>Студент</v>
      </c>
      <c r="U1497" s="9" t="s">
        <v>13284</v>
      </c>
      <c r="V1497" s="9" t="s">
        <v>13284</v>
      </c>
      <c r="W1497" s="12"/>
      <c r="X1497" s="9" t="str">
        <f t="array" ref="X1497">IFERROR(INDEX('Адреса общежитий (скрытый)'!$B$2:$B$9, MATCH(W1497, 'Адреса общежитий (скрытый)'!$A$2:$A$9, 0)), "")</f>
        <v/>
      </c>
      <c r="Y1497" s="18"/>
      <c r="Z1497" s="18"/>
      <c r="AA1497" s="18"/>
      <c r="AB1497" s="18"/>
      <c r="AC1497" s="18"/>
    </row>
    <row r="1498" spans="1:29" ht="32.25" hidden="1" customHeight="1">
      <c r="A1498" s="8">
        <v>2308156</v>
      </c>
      <c r="B1498" s="9" t="s">
        <v>13284</v>
      </c>
      <c r="C1498" s="9" t="s">
        <v>13284</v>
      </c>
      <c r="D1498" s="9" t="s">
        <v>13284</v>
      </c>
      <c r="E1498" s="9" t="s">
        <v>13284</v>
      </c>
      <c r="F1498" s="9" t="s">
        <v>13284</v>
      </c>
      <c r="G1498" s="9" t="s">
        <v>13284</v>
      </c>
      <c r="H1498" s="9" t="s">
        <v>13284</v>
      </c>
      <c r="I1498" s="9" t="s">
        <v>13284</v>
      </c>
      <c r="J1498" s="9" t="s">
        <v>13284</v>
      </c>
      <c r="K1498" s="9" t="s">
        <v>13284</v>
      </c>
      <c r="L1498" s="9" t="s">
        <v>13284</v>
      </c>
      <c r="M1498" s="9" t="s">
        <v>13284</v>
      </c>
      <c r="N1498" s="9" t="s">
        <v>13284</v>
      </c>
      <c r="O1498" s="9" t="s">
        <v>13284</v>
      </c>
      <c r="P1498" s="9" t="s">
        <v>13284</v>
      </c>
      <c r="Q1498" s="9" t="s">
        <v>13284</v>
      </c>
      <c r="R1498" s="9" t="s">
        <v>13284</v>
      </c>
      <c r="S1498" s="9" t="s">
        <v>13284</v>
      </c>
      <c r="T1498" s="9" t="str">
        <f ca="1">IFERROR(IF(AND(VLOOKUP(A1498, 'Актуальное состояние (из общего'!A:C,3,0) = "", A1498 &lt;&gt; ""), "ПРОВЕРИТЬ", VLOOKUP(A1498, 'Актуальное состояние (из общего'!A:C,3,0)), "")</f>
        <v>Студент</v>
      </c>
      <c r="U1498" s="9" t="s">
        <v>13284</v>
      </c>
      <c r="V1498" s="9" t="s">
        <v>13284</v>
      </c>
      <c r="W1498" s="12"/>
      <c r="X1498" s="9" t="str">
        <f t="array" ref="X1498">IFERROR(INDEX('Адреса общежитий (скрытый)'!$B$2:$B$9, MATCH(W1498, 'Адреса общежитий (скрытый)'!$A$2:$A$9, 0)), "")</f>
        <v/>
      </c>
      <c r="Y1498" s="18"/>
      <c r="Z1498" s="18"/>
      <c r="AA1498" s="18"/>
      <c r="AB1498" s="18"/>
      <c r="AC1498" s="18"/>
    </row>
    <row r="1499" spans="1:29" ht="32.25" hidden="1" customHeight="1">
      <c r="A1499" s="8">
        <v>2306818</v>
      </c>
      <c r="B1499" s="9" t="s">
        <v>13284</v>
      </c>
      <c r="C1499" s="9" t="s">
        <v>13284</v>
      </c>
      <c r="D1499" s="9" t="s">
        <v>13284</v>
      </c>
      <c r="E1499" s="9" t="s">
        <v>13284</v>
      </c>
      <c r="F1499" s="9" t="s">
        <v>13284</v>
      </c>
      <c r="G1499" s="9" t="s">
        <v>13284</v>
      </c>
      <c r="H1499" s="9" t="s">
        <v>13284</v>
      </c>
      <c r="I1499" s="9" t="s">
        <v>13284</v>
      </c>
      <c r="J1499" s="9" t="s">
        <v>13284</v>
      </c>
      <c r="K1499" s="9" t="s">
        <v>13284</v>
      </c>
      <c r="L1499" s="9" t="s">
        <v>13284</v>
      </c>
      <c r="M1499" s="9" t="s">
        <v>13284</v>
      </c>
      <c r="N1499" s="9" t="s">
        <v>13284</v>
      </c>
      <c r="O1499" s="9" t="s">
        <v>13284</v>
      </c>
      <c r="P1499" s="9" t="s">
        <v>13284</v>
      </c>
      <c r="Q1499" s="9" t="s">
        <v>13284</v>
      </c>
      <c r="R1499" s="9" t="s">
        <v>13284</v>
      </c>
      <c r="S1499" s="9" t="s">
        <v>13284</v>
      </c>
      <c r="T1499" s="9" t="str">
        <f ca="1">IFERROR(IF(AND(VLOOKUP(A1499, 'Актуальное состояние (из общего'!A:C,3,0) = "", A1499 &lt;&gt; ""), "ПРОВЕРИТЬ", VLOOKUP(A1499, 'Актуальное состояние (из общего'!A:C,3,0)), "")</f>
        <v>Студент</v>
      </c>
      <c r="U1499" s="9" t="s">
        <v>13284</v>
      </c>
      <c r="V1499" s="9" t="s">
        <v>13284</v>
      </c>
      <c r="W1499" s="12"/>
      <c r="X1499" s="9" t="str">
        <f t="array" ref="X1499">IFERROR(INDEX('Адреса общежитий (скрытый)'!$B$2:$B$9, MATCH(W1499, 'Адреса общежитий (скрытый)'!$A$2:$A$9, 0)), "")</f>
        <v/>
      </c>
      <c r="Y1499" s="18"/>
      <c r="Z1499" s="18"/>
      <c r="AA1499" s="18"/>
      <c r="AB1499" s="18"/>
      <c r="AC1499" s="18"/>
    </row>
    <row r="1500" spans="1:29" ht="32.25" hidden="1" customHeight="1">
      <c r="A1500" s="8">
        <v>2306537</v>
      </c>
      <c r="B1500" s="9" t="s">
        <v>13284</v>
      </c>
      <c r="C1500" s="9" t="s">
        <v>13284</v>
      </c>
      <c r="D1500" s="9" t="s">
        <v>13284</v>
      </c>
      <c r="E1500" s="9" t="s">
        <v>13284</v>
      </c>
      <c r="F1500" s="9" t="s">
        <v>13284</v>
      </c>
      <c r="G1500" s="9" t="s">
        <v>13284</v>
      </c>
      <c r="H1500" s="9" t="s">
        <v>13284</v>
      </c>
      <c r="I1500" s="9" t="s">
        <v>13284</v>
      </c>
      <c r="J1500" s="9" t="s">
        <v>13284</v>
      </c>
      <c r="K1500" s="9" t="s">
        <v>13284</v>
      </c>
      <c r="L1500" s="9" t="s">
        <v>13284</v>
      </c>
      <c r="M1500" s="9" t="s">
        <v>13284</v>
      </c>
      <c r="N1500" s="9" t="s">
        <v>13284</v>
      </c>
      <c r="O1500" s="9" t="s">
        <v>13284</v>
      </c>
      <c r="P1500" s="9" t="s">
        <v>13284</v>
      </c>
      <c r="Q1500" s="9" t="s">
        <v>13284</v>
      </c>
      <c r="R1500" s="9" t="s">
        <v>13284</v>
      </c>
      <c r="S1500" s="9" t="s">
        <v>13284</v>
      </c>
      <c r="T1500" s="9" t="str">
        <f ca="1">IFERROR(IF(AND(VLOOKUP(A1500, 'Актуальное состояние (из общего'!A:C,3,0) = "", A1500 &lt;&gt; ""), "ПРОВЕРИТЬ", VLOOKUP(A1500, 'Актуальное состояние (из общего'!A:C,3,0)), "")</f>
        <v>Студент</v>
      </c>
      <c r="U1500" s="9" t="s">
        <v>13284</v>
      </c>
      <c r="V1500" s="9" t="s">
        <v>13284</v>
      </c>
      <c r="W1500" s="12"/>
      <c r="X1500" s="9" t="str">
        <f t="array" ref="X1500">IFERROR(INDEX('Адреса общежитий (скрытый)'!$B$2:$B$9, MATCH(W1500, 'Адреса общежитий (скрытый)'!$A$2:$A$9, 0)), "")</f>
        <v/>
      </c>
      <c r="Y1500" s="18"/>
      <c r="Z1500" s="18"/>
      <c r="AA1500" s="18"/>
      <c r="AB1500" s="18"/>
      <c r="AC1500" s="18"/>
    </row>
    <row r="1501" spans="1:29" ht="32.25" customHeight="1">
      <c r="A1501" s="8">
        <v>2315275</v>
      </c>
      <c r="B1501" s="9" t="s">
        <v>13284</v>
      </c>
      <c r="C1501" s="9" t="s">
        <v>13284</v>
      </c>
      <c r="D1501" s="9" t="s">
        <v>13284</v>
      </c>
      <c r="E1501" s="9" t="s">
        <v>13284</v>
      </c>
      <c r="F1501" s="9" t="s">
        <v>13284</v>
      </c>
      <c r="G1501" s="9" t="s">
        <v>13284</v>
      </c>
      <c r="H1501" s="9" t="s">
        <v>13284</v>
      </c>
      <c r="I1501" s="9" t="s">
        <v>13284</v>
      </c>
      <c r="J1501" s="9" t="s">
        <v>13284</v>
      </c>
      <c r="K1501" s="9" t="s">
        <v>13284</v>
      </c>
      <c r="L1501" s="9" t="s">
        <v>13284</v>
      </c>
      <c r="M1501" s="9" t="s">
        <v>13284</v>
      </c>
      <c r="N1501" s="9" t="s">
        <v>13284</v>
      </c>
      <c r="O1501" s="9" t="s">
        <v>13284</v>
      </c>
      <c r="P1501" s="9" t="s">
        <v>13284</v>
      </c>
      <c r="Q1501" s="9" t="s">
        <v>13284</v>
      </c>
      <c r="R1501" s="9" t="s">
        <v>13284</v>
      </c>
      <c r="S1501" s="9" t="s">
        <v>13284</v>
      </c>
      <c r="T1501" s="9" t="str">
        <f ca="1">IFERROR(IF(AND(VLOOKUP(A1501, 'Актуальное состояние (из общего'!A:C,3,0) = "", A1501 &lt;&gt; ""), "ПРОВЕРИТЬ", VLOOKUP(A1501, 'Актуальное состояние (из общего'!A:C,3,0)), "")</f>
        <v>Студент</v>
      </c>
      <c r="U1501" s="9" t="s">
        <v>13284</v>
      </c>
      <c r="V1501" s="9" t="s">
        <v>13284</v>
      </c>
      <c r="W1501" s="12"/>
      <c r="X1501" s="9" t="str">
        <f t="array" ref="X1501">IFERROR(INDEX('Адреса общежитий (скрытый)'!$B$2:$B$9, MATCH(W1501, 'Адреса общежитий (скрытый)'!$A$2:$A$9, 0)), "")</f>
        <v/>
      </c>
      <c r="Y1501" s="18"/>
      <c r="Z1501" s="18"/>
      <c r="AA1501" s="18"/>
      <c r="AB1501" s="18"/>
      <c r="AC1501" s="18"/>
    </row>
    <row r="1502" spans="1:29" ht="32.25" hidden="1" customHeight="1">
      <c r="A1502" s="8">
        <v>2302588</v>
      </c>
      <c r="B1502" s="9" t="s">
        <v>13284</v>
      </c>
      <c r="C1502" s="9" t="s">
        <v>13284</v>
      </c>
      <c r="D1502" s="9" t="s">
        <v>13284</v>
      </c>
      <c r="E1502" s="9" t="s">
        <v>13284</v>
      </c>
      <c r="F1502" s="9" t="s">
        <v>13284</v>
      </c>
      <c r="G1502" s="9" t="s">
        <v>13284</v>
      </c>
      <c r="H1502" s="9" t="s">
        <v>13284</v>
      </c>
      <c r="I1502" s="9" t="s">
        <v>13284</v>
      </c>
      <c r="J1502" s="9" t="s">
        <v>13284</v>
      </c>
      <c r="K1502" s="9" t="s">
        <v>13284</v>
      </c>
      <c r="L1502" s="9" t="s">
        <v>13284</v>
      </c>
      <c r="M1502" s="9" t="s">
        <v>13284</v>
      </c>
      <c r="N1502" s="9" t="s">
        <v>13284</v>
      </c>
      <c r="O1502" s="9" t="s">
        <v>13284</v>
      </c>
      <c r="P1502" s="9" t="s">
        <v>13284</v>
      </c>
      <c r="Q1502" s="9" t="s">
        <v>13284</v>
      </c>
      <c r="R1502" s="9" t="s">
        <v>13284</v>
      </c>
      <c r="S1502" s="9" t="s">
        <v>13284</v>
      </c>
      <c r="T1502" s="9" t="str">
        <f ca="1">IFERROR(IF(AND(VLOOKUP(A1502, 'Актуальное состояние (из общего'!A:C,3,0) = "", A1502 &lt;&gt; ""), "ПРОВЕРИТЬ", VLOOKUP(A1502, 'Актуальное состояние (из общего'!A:C,3,0)), "")</f>
        <v>Студент</v>
      </c>
      <c r="U1502" s="9" t="s">
        <v>13284</v>
      </c>
      <c r="V1502" s="9" t="s">
        <v>13284</v>
      </c>
      <c r="W1502" s="12"/>
      <c r="X1502" s="9" t="str">
        <f t="array" ref="X1502">IFERROR(INDEX('Адреса общежитий (скрытый)'!$B$2:$B$9, MATCH(W1502, 'Адреса общежитий (скрытый)'!$A$2:$A$9, 0)), "")</f>
        <v/>
      </c>
      <c r="Y1502" s="18"/>
      <c r="Z1502" s="18"/>
      <c r="AA1502" s="18"/>
      <c r="AB1502" s="18"/>
      <c r="AC1502" s="18"/>
    </row>
    <row r="1503" spans="1:29" ht="32.25" hidden="1" customHeight="1">
      <c r="A1503" s="8">
        <v>2305024</v>
      </c>
      <c r="B1503" s="9" t="s">
        <v>13284</v>
      </c>
      <c r="C1503" s="9" t="s">
        <v>13284</v>
      </c>
      <c r="D1503" s="9" t="s">
        <v>13284</v>
      </c>
      <c r="E1503" s="9" t="s">
        <v>13284</v>
      </c>
      <c r="F1503" s="9" t="s">
        <v>13284</v>
      </c>
      <c r="G1503" s="9" t="s">
        <v>13284</v>
      </c>
      <c r="H1503" s="9" t="s">
        <v>13284</v>
      </c>
      <c r="I1503" s="9" t="s">
        <v>13284</v>
      </c>
      <c r="J1503" s="9" t="s">
        <v>13284</v>
      </c>
      <c r="K1503" s="9" t="s">
        <v>13284</v>
      </c>
      <c r="L1503" s="9" t="s">
        <v>13284</v>
      </c>
      <c r="M1503" s="9" t="s">
        <v>13284</v>
      </c>
      <c r="N1503" s="9" t="s">
        <v>13284</v>
      </c>
      <c r="O1503" s="9" t="s">
        <v>13284</v>
      </c>
      <c r="P1503" s="9" t="s">
        <v>13284</v>
      </c>
      <c r="Q1503" s="9" t="s">
        <v>13284</v>
      </c>
      <c r="R1503" s="9" t="s">
        <v>13284</v>
      </c>
      <c r="S1503" s="9" t="s">
        <v>13284</v>
      </c>
      <c r="T1503" s="9" t="str">
        <f ca="1">IFERROR(IF(AND(VLOOKUP(A1503, 'Актуальное состояние (из общего'!A:C,3,0) = "", A1503 &lt;&gt; ""), "ПРОВЕРИТЬ", VLOOKUP(A1503, 'Актуальное состояние (из общего'!A:C,3,0)), "")</f>
        <v>Студент</v>
      </c>
      <c r="U1503" s="9" t="s">
        <v>13284</v>
      </c>
      <c r="V1503" s="9" t="s">
        <v>13284</v>
      </c>
      <c r="W1503" s="12"/>
      <c r="X1503" s="9" t="str">
        <f t="array" ref="X1503">IFERROR(INDEX('Адреса общежитий (скрытый)'!$B$2:$B$9, MATCH(W1503, 'Адреса общежитий (скрытый)'!$A$2:$A$9, 0)), "")</f>
        <v/>
      </c>
      <c r="Y1503" s="18"/>
      <c r="Z1503" s="18"/>
      <c r="AA1503" s="18"/>
      <c r="AB1503" s="18"/>
      <c r="AC1503" s="18"/>
    </row>
    <row r="1504" spans="1:29" ht="32.25" customHeight="1">
      <c r="A1504" s="8">
        <v>2309827</v>
      </c>
      <c r="B1504" s="9" t="s">
        <v>13284</v>
      </c>
      <c r="C1504" s="9" t="s">
        <v>13284</v>
      </c>
      <c r="D1504" s="9" t="s">
        <v>13284</v>
      </c>
      <c r="E1504" s="9" t="s">
        <v>13284</v>
      </c>
      <c r="F1504" s="9" t="s">
        <v>13284</v>
      </c>
      <c r="G1504" s="9" t="s">
        <v>13284</v>
      </c>
      <c r="H1504" s="9" t="s">
        <v>13284</v>
      </c>
      <c r="I1504" s="9" t="s">
        <v>13284</v>
      </c>
      <c r="J1504" s="9" t="s">
        <v>13284</v>
      </c>
      <c r="K1504" s="9" t="s">
        <v>13284</v>
      </c>
      <c r="L1504" s="9" t="s">
        <v>13284</v>
      </c>
      <c r="M1504" s="9" t="s">
        <v>13284</v>
      </c>
      <c r="N1504" s="9" t="s">
        <v>13284</v>
      </c>
      <c r="O1504" s="9" t="s">
        <v>13284</v>
      </c>
      <c r="P1504" s="9" t="s">
        <v>13284</v>
      </c>
      <c r="Q1504" s="9" t="s">
        <v>13284</v>
      </c>
      <c r="R1504" s="9" t="s">
        <v>13284</v>
      </c>
      <c r="S1504" s="9" t="s">
        <v>13284</v>
      </c>
      <c r="T1504" s="9" t="str">
        <f ca="1">IFERROR(IF(AND(VLOOKUP(A1504, 'Актуальное состояние (из общего'!A:C,3,0) = "", A1504 &lt;&gt; ""), "ПРОВЕРИТЬ", VLOOKUP(A1504, 'Актуальное состояние (из общего'!A:C,3,0)), "")</f>
        <v>Студент</v>
      </c>
      <c r="U1504" s="9" t="s">
        <v>13284</v>
      </c>
      <c r="V1504" s="9" t="s">
        <v>13284</v>
      </c>
      <c r="W1504" s="12"/>
      <c r="X1504" s="9" t="str">
        <f t="array" ref="X1504">IFERROR(INDEX('Адреса общежитий (скрытый)'!$B$2:$B$9, MATCH(W1504, 'Адреса общежитий (скрытый)'!$A$2:$A$9, 0)), "")</f>
        <v/>
      </c>
      <c r="Y1504" s="18"/>
      <c r="Z1504" s="18"/>
      <c r="AA1504" s="18"/>
      <c r="AB1504" s="18"/>
      <c r="AC1504" s="18"/>
    </row>
    <row r="1505" spans="1:29" ht="32.25" customHeight="1">
      <c r="A1505" s="8">
        <v>2302132</v>
      </c>
      <c r="B1505" s="9" t="s">
        <v>13284</v>
      </c>
      <c r="C1505" s="9" t="s">
        <v>13284</v>
      </c>
      <c r="D1505" s="9" t="s">
        <v>13284</v>
      </c>
      <c r="E1505" s="9" t="s">
        <v>13284</v>
      </c>
      <c r="F1505" s="9" t="s">
        <v>13284</v>
      </c>
      <c r="G1505" s="9" t="s">
        <v>13284</v>
      </c>
      <c r="H1505" s="9" t="s">
        <v>13284</v>
      </c>
      <c r="I1505" s="9" t="s">
        <v>13284</v>
      </c>
      <c r="J1505" s="9" t="s">
        <v>13284</v>
      </c>
      <c r="K1505" s="9" t="s">
        <v>13284</v>
      </c>
      <c r="L1505" s="9" t="s">
        <v>13284</v>
      </c>
      <c r="M1505" s="9" t="s">
        <v>13284</v>
      </c>
      <c r="N1505" s="9" t="s">
        <v>13284</v>
      </c>
      <c r="O1505" s="9" t="s">
        <v>13284</v>
      </c>
      <c r="P1505" s="9" t="s">
        <v>13284</v>
      </c>
      <c r="Q1505" s="9" t="s">
        <v>13284</v>
      </c>
      <c r="R1505" s="9" t="s">
        <v>13284</v>
      </c>
      <c r="S1505" s="9" t="s">
        <v>13284</v>
      </c>
      <c r="T1505" s="9" t="str">
        <f ca="1">IFERROR(IF(AND(VLOOKUP(A1505, 'Актуальное состояние (из общего'!A:C,3,0) = "", A1505 &lt;&gt; ""), "ПРОВЕРИТЬ", VLOOKUP(A1505, 'Актуальное состояние (из общего'!A:C,3,0)), "")</f>
        <v>Студент</v>
      </c>
      <c r="U1505" s="9" t="s">
        <v>13284</v>
      </c>
      <c r="V1505" s="9" t="s">
        <v>13284</v>
      </c>
      <c r="W1505" s="12"/>
      <c r="X1505" s="9" t="str">
        <f t="array" ref="X1505">IFERROR(INDEX('Адреса общежитий (скрытый)'!$B$2:$B$9, MATCH(W1505, 'Адреса общежитий (скрытый)'!$A$2:$A$9, 0)), "")</f>
        <v/>
      </c>
      <c r="Y1505" s="18"/>
      <c r="Z1505" s="18"/>
      <c r="AA1505" s="18"/>
      <c r="AB1505" s="18"/>
      <c r="AC1505" s="18"/>
    </row>
    <row r="1506" spans="1:29" ht="32.25" hidden="1" customHeight="1">
      <c r="A1506" s="8">
        <v>2300802</v>
      </c>
      <c r="B1506" s="9" t="s">
        <v>13284</v>
      </c>
      <c r="C1506" s="9" t="s">
        <v>13284</v>
      </c>
      <c r="D1506" s="9" t="s">
        <v>13284</v>
      </c>
      <c r="E1506" s="9" t="s">
        <v>13284</v>
      </c>
      <c r="F1506" s="9" t="s">
        <v>13284</v>
      </c>
      <c r="G1506" s="9" t="s">
        <v>13284</v>
      </c>
      <c r="H1506" s="9" t="s">
        <v>13284</v>
      </c>
      <c r="I1506" s="9" t="s">
        <v>13284</v>
      </c>
      <c r="J1506" s="9" t="s">
        <v>13284</v>
      </c>
      <c r="K1506" s="9" t="s">
        <v>13284</v>
      </c>
      <c r="L1506" s="9" t="s">
        <v>13284</v>
      </c>
      <c r="M1506" s="9" t="s">
        <v>13284</v>
      </c>
      <c r="N1506" s="9" t="s">
        <v>13284</v>
      </c>
      <c r="O1506" s="9" t="s">
        <v>13284</v>
      </c>
      <c r="P1506" s="9" t="s">
        <v>13284</v>
      </c>
      <c r="Q1506" s="9" t="s">
        <v>13284</v>
      </c>
      <c r="R1506" s="9" t="s">
        <v>13284</v>
      </c>
      <c r="S1506" s="9" t="s">
        <v>13284</v>
      </c>
      <c r="T1506" s="9" t="str">
        <f ca="1">IFERROR(IF(AND(VLOOKUP(A1506, 'Актуальное состояние (из общего'!A:C,3,0) = "", A1506 &lt;&gt; ""), "ПРОВЕРИТЬ", VLOOKUP(A1506, 'Актуальное состояние (из общего'!A:C,3,0)), "")</f>
        <v>Студент</v>
      </c>
      <c r="U1506" s="9" t="s">
        <v>13284</v>
      </c>
      <c r="V1506" s="9" t="s">
        <v>13284</v>
      </c>
      <c r="W1506" s="12"/>
      <c r="X1506" s="9" t="str">
        <f t="array" ref="X1506">IFERROR(INDEX('Адреса общежитий (скрытый)'!$B$2:$B$9, MATCH(W1506, 'Адреса общежитий (скрытый)'!$A$2:$A$9, 0)), "")</f>
        <v/>
      </c>
      <c r="Y1506" s="18"/>
      <c r="Z1506" s="18"/>
      <c r="AA1506" s="18"/>
      <c r="AB1506" s="18"/>
      <c r="AC1506" s="18"/>
    </row>
    <row r="1507" spans="1:29" ht="32.25" hidden="1" customHeight="1">
      <c r="A1507" s="8">
        <v>2301752</v>
      </c>
      <c r="B1507" s="9" t="s">
        <v>13284</v>
      </c>
      <c r="C1507" s="9" t="s">
        <v>13284</v>
      </c>
      <c r="D1507" s="9" t="s">
        <v>13284</v>
      </c>
      <c r="E1507" s="9" t="s">
        <v>13284</v>
      </c>
      <c r="F1507" s="9" t="s">
        <v>13284</v>
      </c>
      <c r="G1507" s="9" t="s">
        <v>13284</v>
      </c>
      <c r="H1507" s="9" t="s">
        <v>13284</v>
      </c>
      <c r="I1507" s="9" t="s">
        <v>13284</v>
      </c>
      <c r="J1507" s="9" t="s">
        <v>13284</v>
      </c>
      <c r="K1507" s="9" t="s">
        <v>13284</v>
      </c>
      <c r="L1507" s="9" t="s">
        <v>13284</v>
      </c>
      <c r="M1507" s="9" t="s">
        <v>13284</v>
      </c>
      <c r="N1507" s="9" t="s">
        <v>13284</v>
      </c>
      <c r="O1507" s="9" t="s">
        <v>13284</v>
      </c>
      <c r="P1507" s="9" t="s">
        <v>13284</v>
      </c>
      <c r="Q1507" s="9" t="s">
        <v>13284</v>
      </c>
      <c r="R1507" s="9" t="s">
        <v>13284</v>
      </c>
      <c r="S1507" s="9" t="s">
        <v>13284</v>
      </c>
      <c r="T1507" s="9" t="str">
        <f ca="1">IFERROR(IF(AND(VLOOKUP(A1507, 'Актуальное состояние (из общего'!A:C,3,0) = "", A1507 &lt;&gt; ""), "ПРОВЕРИТЬ", VLOOKUP(A1507, 'Актуальное состояние (из общего'!A:C,3,0)), "")</f>
        <v>Студент</v>
      </c>
      <c r="U1507" s="9" t="s">
        <v>13284</v>
      </c>
      <c r="V1507" s="9" t="s">
        <v>13284</v>
      </c>
      <c r="W1507" s="12"/>
      <c r="X1507" s="9" t="str">
        <f t="array" ref="X1507">IFERROR(INDEX('Адреса общежитий (скрытый)'!$B$2:$B$9, MATCH(W1507, 'Адреса общежитий (скрытый)'!$A$2:$A$9, 0)), "")</f>
        <v/>
      </c>
      <c r="Y1507" s="18"/>
      <c r="Z1507" s="18"/>
      <c r="AA1507" s="18"/>
      <c r="AB1507" s="18"/>
      <c r="AC1507" s="18"/>
    </row>
    <row r="1508" spans="1:29" ht="32.25" hidden="1" customHeight="1">
      <c r="A1508" s="8">
        <v>2307806</v>
      </c>
      <c r="B1508" s="9" t="s">
        <v>13284</v>
      </c>
      <c r="C1508" s="9" t="s">
        <v>13284</v>
      </c>
      <c r="D1508" s="9" t="s">
        <v>13284</v>
      </c>
      <c r="E1508" s="9" t="s">
        <v>13284</v>
      </c>
      <c r="F1508" s="9" t="s">
        <v>13284</v>
      </c>
      <c r="G1508" s="9" t="s">
        <v>13284</v>
      </c>
      <c r="H1508" s="9" t="s">
        <v>13284</v>
      </c>
      <c r="I1508" s="9" t="s">
        <v>13284</v>
      </c>
      <c r="J1508" s="9" t="s">
        <v>13284</v>
      </c>
      <c r="K1508" s="9" t="s">
        <v>13284</v>
      </c>
      <c r="L1508" s="9" t="s">
        <v>13284</v>
      </c>
      <c r="M1508" s="9" t="s">
        <v>13284</v>
      </c>
      <c r="N1508" s="9" t="s">
        <v>13284</v>
      </c>
      <c r="O1508" s="9" t="s">
        <v>13284</v>
      </c>
      <c r="P1508" s="9" t="s">
        <v>13284</v>
      </c>
      <c r="Q1508" s="9" t="s">
        <v>13284</v>
      </c>
      <c r="R1508" s="9" t="s">
        <v>13284</v>
      </c>
      <c r="S1508" s="9" t="s">
        <v>13284</v>
      </c>
      <c r="T1508" s="9" t="str">
        <f ca="1">IFERROR(IF(AND(VLOOKUP(A1508, 'Актуальное состояние (из общего'!A:C,3,0) = "", A1508 &lt;&gt; ""), "ПРОВЕРИТЬ", VLOOKUP(A1508, 'Актуальное состояние (из общего'!A:C,3,0)), "")</f>
        <v>Студент</v>
      </c>
      <c r="U1508" s="9" t="s">
        <v>13284</v>
      </c>
      <c r="V1508" s="9" t="s">
        <v>13284</v>
      </c>
      <c r="W1508" s="12"/>
      <c r="X1508" s="9" t="str">
        <f t="array" ref="X1508">IFERROR(INDEX('Адреса общежитий (скрытый)'!$B$2:$B$9, MATCH(W1508, 'Адреса общежитий (скрытый)'!$A$2:$A$9, 0)), "")</f>
        <v/>
      </c>
      <c r="Y1508" s="18"/>
      <c r="Z1508" s="18"/>
      <c r="AA1508" s="18"/>
      <c r="AB1508" s="18"/>
      <c r="AC1508" s="18"/>
    </row>
    <row r="1509" spans="1:29" ht="32.25" hidden="1" customHeight="1">
      <c r="A1509" s="8">
        <v>2302953</v>
      </c>
      <c r="B1509" s="9" t="s">
        <v>13284</v>
      </c>
      <c r="C1509" s="9" t="s">
        <v>13284</v>
      </c>
      <c r="D1509" s="9" t="s">
        <v>13284</v>
      </c>
      <c r="E1509" s="9" t="s">
        <v>13284</v>
      </c>
      <c r="F1509" s="9" t="s">
        <v>13284</v>
      </c>
      <c r="G1509" s="9" t="s">
        <v>13284</v>
      </c>
      <c r="H1509" s="9" t="s">
        <v>13284</v>
      </c>
      <c r="I1509" s="9" t="s">
        <v>13284</v>
      </c>
      <c r="J1509" s="9" t="s">
        <v>13284</v>
      </c>
      <c r="K1509" s="9" t="s">
        <v>13284</v>
      </c>
      <c r="L1509" s="9" t="s">
        <v>13284</v>
      </c>
      <c r="M1509" s="9" t="s">
        <v>13284</v>
      </c>
      <c r="N1509" s="9" t="s">
        <v>13284</v>
      </c>
      <c r="O1509" s="9" t="s">
        <v>13284</v>
      </c>
      <c r="P1509" s="9" t="s">
        <v>13284</v>
      </c>
      <c r="Q1509" s="9" t="s">
        <v>13284</v>
      </c>
      <c r="R1509" s="9" t="s">
        <v>13284</v>
      </c>
      <c r="S1509" s="9" t="s">
        <v>13284</v>
      </c>
      <c r="T1509" s="9" t="str">
        <f ca="1">IFERROR(IF(AND(VLOOKUP(A1509, 'Актуальное состояние (из общего'!A:C,3,0) = "", A1509 &lt;&gt; ""), "ПРОВЕРИТЬ", VLOOKUP(A1509, 'Актуальное состояние (из общего'!A:C,3,0)), "")</f>
        <v>Студент</v>
      </c>
      <c r="U1509" s="9" t="s">
        <v>13284</v>
      </c>
      <c r="V1509" s="9" t="s">
        <v>13284</v>
      </c>
      <c r="W1509" s="12"/>
      <c r="X1509" s="9" t="str">
        <f t="array" ref="X1509">IFERROR(INDEX('Адреса общежитий (скрытый)'!$B$2:$B$9, MATCH(W1509, 'Адреса общежитий (скрытый)'!$A$2:$A$9, 0)), "")</f>
        <v/>
      </c>
      <c r="Y1509" s="18"/>
      <c r="Z1509" s="18"/>
      <c r="AA1509" s="18"/>
      <c r="AB1509" s="18"/>
      <c r="AC1509" s="18"/>
    </row>
    <row r="1510" spans="1:29" ht="32.25" hidden="1" customHeight="1">
      <c r="A1510" s="8">
        <v>2314493</v>
      </c>
      <c r="B1510" s="9" t="s">
        <v>13284</v>
      </c>
      <c r="C1510" s="9" t="s">
        <v>13284</v>
      </c>
      <c r="D1510" s="9" t="s">
        <v>13284</v>
      </c>
      <c r="E1510" s="9" t="s">
        <v>13284</v>
      </c>
      <c r="F1510" s="9" t="s">
        <v>13284</v>
      </c>
      <c r="G1510" s="9" t="s">
        <v>13284</v>
      </c>
      <c r="H1510" s="9" t="s">
        <v>13284</v>
      </c>
      <c r="I1510" s="9" t="s">
        <v>13284</v>
      </c>
      <c r="J1510" s="9" t="s">
        <v>13284</v>
      </c>
      <c r="K1510" s="9" t="s">
        <v>13284</v>
      </c>
      <c r="L1510" s="9" t="s">
        <v>13284</v>
      </c>
      <c r="M1510" s="9" t="s">
        <v>13284</v>
      </c>
      <c r="N1510" s="9" t="s">
        <v>13284</v>
      </c>
      <c r="O1510" s="9" t="s">
        <v>13284</v>
      </c>
      <c r="P1510" s="9" t="s">
        <v>13284</v>
      </c>
      <c r="Q1510" s="9" t="s">
        <v>13284</v>
      </c>
      <c r="R1510" s="9" t="s">
        <v>13284</v>
      </c>
      <c r="S1510" s="9" t="s">
        <v>13284</v>
      </c>
      <c r="T1510" s="9" t="str">
        <f ca="1">IFERROR(IF(AND(VLOOKUP(A1510, 'Актуальное состояние (из общего'!A:C,3,0) = "", A1510 &lt;&gt; ""), "ПРОВЕРИТЬ", VLOOKUP(A1510, 'Актуальное состояние (из общего'!A:C,3,0)), "")</f>
        <v>Студент</v>
      </c>
      <c r="U1510" s="9" t="s">
        <v>13284</v>
      </c>
      <c r="V1510" s="9" t="s">
        <v>13284</v>
      </c>
      <c r="W1510" s="12"/>
      <c r="X1510" s="9" t="str">
        <f t="array" ref="X1510">IFERROR(INDEX('Адреса общежитий (скрытый)'!$B$2:$B$9, MATCH(W1510, 'Адреса общежитий (скрытый)'!$A$2:$A$9, 0)), "")</f>
        <v/>
      </c>
      <c r="Y1510" s="18"/>
      <c r="Z1510" s="18"/>
      <c r="AA1510" s="18"/>
      <c r="AB1510" s="18"/>
      <c r="AC1510" s="18"/>
    </row>
    <row r="1511" spans="1:29" ht="32.25" hidden="1" customHeight="1">
      <c r="A1511" s="8">
        <v>2309877</v>
      </c>
      <c r="B1511" s="9" t="s">
        <v>13284</v>
      </c>
      <c r="C1511" s="9" t="s">
        <v>13284</v>
      </c>
      <c r="D1511" s="9" t="s">
        <v>13284</v>
      </c>
      <c r="E1511" s="9" t="s">
        <v>13284</v>
      </c>
      <c r="F1511" s="9" t="s">
        <v>13284</v>
      </c>
      <c r="G1511" s="9" t="s">
        <v>13284</v>
      </c>
      <c r="H1511" s="9" t="s">
        <v>13284</v>
      </c>
      <c r="I1511" s="9" t="s">
        <v>13284</v>
      </c>
      <c r="J1511" s="9" t="s">
        <v>13284</v>
      </c>
      <c r="K1511" s="9" t="s">
        <v>13284</v>
      </c>
      <c r="L1511" s="9" t="s">
        <v>13284</v>
      </c>
      <c r="M1511" s="9" t="s">
        <v>13284</v>
      </c>
      <c r="N1511" s="9" t="s">
        <v>13284</v>
      </c>
      <c r="O1511" s="9" t="s">
        <v>13284</v>
      </c>
      <c r="P1511" s="9" t="s">
        <v>13284</v>
      </c>
      <c r="Q1511" s="9" t="s">
        <v>13284</v>
      </c>
      <c r="R1511" s="9" t="s">
        <v>13284</v>
      </c>
      <c r="S1511" s="9" t="s">
        <v>13284</v>
      </c>
      <c r="T1511" s="9" t="str">
        <f ca="1">IFERROR(IF(AND(VLOOKUP(A1511, 'Актуальное состояние (из общего'!A:C,3,0) = "", A1511 &lt;&gt; ""), "ПРОВЕРИТЬ", VLOOKUP(A1511, 'Актуальное состояние (из общего'!A:C,3,0)), "")</f>
        <v>Студент</v>
      </c>
      <c r="U1511" s="9" t="s">
        <v>13284</v>
      </c>
      <c r="V1511" s="9" t="s">
        <v>13284</v>
      </c>
      <c r="W1511" s="12"/>
      <c r="X1511" s="9" t="str">
        <f t="array" ref="X1511">IFERROR(INDEX('Адреса общежитий (скрытый)'!$B$2:$B$9, MATCH(W1511, 'Адреса общежитий (скрытый)'!$A$2:$A$9, 0)), "")</f>
        <v/>
      </c>
      <c r="Y1511" s="18"/>
      <c r="Z1511" s="18"/>
      <c r="AA1511" s="18"/>
      <c r="AB1511" s="18"/>
      <c r="AC1511" s="18"/>
    </row>
    <row r="1512" spans="1:29" ht="32.25" customHeight="1">
      <c r="A1512" s="8">
        <v>2300912</v>
      </c>
      <c r="B1512" s="9" t="s">
        <v>13284</v>
      </c>
      <c r="C1512" s="9" t="s">
        <v>13284</v>
      </c>
      <c r="D1512" s="9" t="s">
        <v>13284</v>
      </c>
      <c r="E1512" s="9" t="s">
        <v>13284</v>
      </c>
      <c r="F1512" s="9" t="s">
        <v>13284</v>
      </c>
      <c r="G1512" s="9" t="s">
        <v>13284</v>
      </c>
      <c r="H1512" s="9" t="s">
        <v>13284</v>
      </c>
      <c r="I1512" s="9" t="s">
        <v>13284</v>
      </c>
      <c r="J1512" s="9" t="s">
        <v>13284</v>
      </c>
      <c r="K1512" s="9" t="s">
        <v>13284</v>
      </c>
      <c r="L1512" s="9" t="s">
        <v>13284</v>
      </c>
      <c r="M1512" s="9" t="s">
        <v>13284</v>
      </c>
      <c r="N1512" s="9" t="s">
        <v>13284</v>
      </c>
      <c r="O1512" s="9" t="s">
        <v>13284</v>
      </c>
      <c r="P1512" s="9" t="s">
        <v>13284</v>
      </c>
      <c r="Q1512" s="9" t="s">
        <v>13284</v>
      </c>
      <c r="R1512" s="9" t="s">
        <v>13284</v>
      </c>
      <c r="S1512" s="9" t="s">
        <v>13284</v>
      </c>
      <c r="T1512" s="9" t="str">
        <f ca="1">IFERROR(IF(AND(VLOOKUP(A1512, 'Актуальное состояние (из общего'!A:C,3,0) = "", A1512 &lt;&gt; ""), "ПРОВЕРИТЬ", VLOOKUP(A1512, 'Актуальное состояние (из общего'!A:C,3,0)), "")</f>
        <v>Студент</v>
      </c>
      <c r="U1512" s="9" t="s">
        <v>13284</v>
      </c>
      <c r="V1512" s="9" t="s">
        <v>13284</v>
      </c>
      <c r="W1512" s="9" t="s">
        <v>319</v>
      </c>
      <c r="X1512" s="9" t="str">
        <f t="array" ref="X1512">IFERROR(INDEX('Адреса общежитий (скрытый)'!$B$2:$B$9, MATCH(W1512, 'Адреса общежитий (скрытый)'!$A$2:$A$9, 0)), "")</f>
        <v>ул. Профсоюзная, д.83, корп. 2</v>
      </c>
      <c r="Y1512" s="18"/>
      <c r="Z1512" s="18"/>
      <c r="AA1512" s="18"/>
      <c r="AB1512" s="18"/>
      <c r="AC1512" s="18"/>
    </row>
    <row r="1513" spans="1:29" ht="32.25" hidden="1" customHeight="1">
      <c r="A1513" s="8">
        <v>2304916</v>
      </c>
      <c r="B1513" s="9" t="s">
        <v>13284</v>
      </c>
      <c r="C1513" s="9" t="s">
        <v>13284</v>
      </c>
      <c r="D1513" s="9" t="s">
        <v>13284</v>
      </c>
      <c r="E1513" s="9" t="s">
        <v>13284</v>
      </c>
      <c r="F1513" s="9" t="s">
        <v>13284</v>
      </c>
      <c r="G1513" s="9" t="s">
        <v>13284</v>
      </c>
      <c r="H1513" s="9" t="s">
        <v>13284</v>
      </c>
      <c r="I1513" s="9" t="s">
        <v>13284</v>
      </c>
      <c r="J1513" s="9" t="s">
        <v>13284</v>
      </c>
      <c r="K1513" s="9" t="s">
        <v>13284</v>
      </c>
      <c r="L1513" s="9" t="s">
        <v>13284</v>
      </c>
      <c r="M1513" s="9" t="s">
        <v>13284</v>
      </c>
      <c r="N1513" s="9" t="s">
        <v>13284</v>
      </c>
      <c r="O1513" s="9" t="s">
        <v>13284</v>
      </c>
      <c r="P1513" s="9" t="s">
        <v>13284</v>
      </c>
      <c r="Q1513" s="9" t="s">
        <v>13284</v>
      </c>
      <c r="R1513" s="9" t="s">
        <v>13284</v>
      </c>
      <c r="S1513" s="9" t="s">
        <v>13284</v>
      </c>
      <c r="T1513" s="9" t="str">
        <f ca="1">IFERROR(IF(AND(VLOOKUP(A1513, 'Актуальное состояние (из общего'!A:C,3,0) = "", A1513 &lt;&gt; ""), "ПРОВЕРИТЬ", VLOOKUP(A1513, 'Актуальное состояние (из общего'!A:C,3,0)), "")</f>
        <v>Студент</v>
      </c>
      <c r="U1513" s="9" t="s">
        <v>13284</v>
      </c>
      <c r="V1513" s="9" t="s">
        <v>13284</v>
      </c>
      <c r="W1513" s="12"/>
      <c r="X1513" s="9" t="str">
        <f t="array" ref="X1513">IFERROR(INDEX('Адреса общежитий (скрытый)'!$B$2:$B$9, MATCH(W1513, 'Адреса общежитий (скрытый)'!$A$2:$A$9, 0)), "")</f>
        <v/>
      </c>
      <c r="Y1513" s="18"/>
      <c r="Z1513" s="18"/>
      <c r="AA1513" s="18"/>
      <c r="AB1513" s="18"/>
      <c r="AC1513" s="18"/>
    </row>
    <row r="1514" spans="1:29" ht="32.25" hidden="1" customHeight="1">
      <c r="A1514" s="8">
        <v>2302552</v>
      </c>
      <c r="B1514" s="9" t="s">
        <v>13284</v>
      </c>
      <c r="C1514" s="9" t="s">
        <v>13284</v>
      </c>
      <c r="D1514" s="9" t="s">
        <v>13284</v>
      </c>
      <c r="E1514" s="9" t="s">
        <v>13284</v>
      </c>
      <c r="F1514" s="9" t="s">
        <v>13284</v>
      </c>
      <c r="G1514" s="9" t="s">
        <v>13284</v>
      </c>
      <c r="H1514" s="9" t="s">
        <v>13284</v>
      </c>
      <c r="I1514" s="9" t="s">
        <v>13284</v>
      </c>
      <c r="J1514" s="9" t="s">
        <v>13284</v>
      </c>
      <c r="K1514" s="9" t="s">
        <v>13284</v>
      </c>
      <c r="L1514" s="9" t="s">
        <v>13284</v>
      </c>
      <c r="M1514" s="9" t="s">
        <v>13284</v>
      </c>
      <c r="N1514" s="9" t="s">
        <v>13284</v>
      </c>
      <c r="O1514" s="9" t="s">
        <v>13284</v>
      </c>
      <c r="P1514" s="9" t="s">
        <v>13284</v>
      </c>
      <c r="Q1514" s="9" t="s">
        <v>13284</v>
      </c>
      <c r="R1514" s="9" t="s">
        <v>13284</v>
      </c>
      <c r="S1514" s="9" t="s">
        <v>13284</v>
      </c>
      <c r="T1514" s="9" t="str">
        <f ca="1">IFERROR(IF(AND(VLOOKUP(A1514, 'Актуальное состояние (из общего'!A:C,3,0) = "", A1514 &lt;&gt; ""), "ПРОВЕРИТЬ", VLOOKUP(A1514, 'Актуальное состояние (из общего'!A:C,3,0)), "")</f>
        <v>Студент</v>
      </c>
      <c r="U1514" s="9" t="s">
        <v>13284</v>
      </c>
      <c r="V1514" s="9" t="s">
        <v>13284</v>
      </c>
      <c r="W1514" s="12"/>
      <c r="X1514" s="9" t="str">
        <f t="array" ref="X1514">IFERROR(INDEX('Адреса общежитий (скрытый)'!$B$2:$B$9, MATCH(W1514, 'Адреса общежитий (скрытый)'!$A$2:$A$9, 0)), "")</f>
        <v/>
      </c>
      <c r="Y1514" s="18"/>
      <c r="Z1514" s="18"/>
      <c r="AA1514" s="18"/>
      <c r="AB1514" s="18"/>
      <c r="AC1514" s="18"/>
    </row>
    <row r="1515" spans="1:29" ht="32.25" hidden="1" customHeight="1">
      <c r="A1515" s="8">
        <v>2302158</v>
      </c>
      <c r="B1515" s="9" t="s">
        <v>13284</v>
      </c>
      <c r="C1515" s="9" t="s">
        <v>13284</v>
      </c>
      <c r="D1515" s="9" t="s">
        <v>13284</v>
      </c>
      <c r="E1515" s="9" t="s">
        <v>13284</v>
      </c>
      <c r="F1515" s="9" t="s">
        <v>13284</v>
      </c>
      <c r="G1515" s="9" t="s">
        <v>13284</v>
      </c>
      <c r="H1515" s="9" t="s">
        <v>13284</v>
      </c>
      <c r="I1515" s="9" t="s">
        <v>13284</v>
      </c>
      <c r="J1515" s="9" t="s">
        <v>13284</v>
      </c>
      <c r="K1515" s="9" t="s">
        <v>13284</v>
      </c>
      <c r="L1515" s="9" t="s">
        <v>13284</v>
      </c>
      <c r="M1515" s="9" t="s">
        <v>13284</v>
      </c>
      <c r="N1515" s="9" t="s">
        <v>13284</v>
      </c>
      <c r="O1515" s="9" t="s">
        <v>13284</v>
      </c>
      <c r="P1515" s="9" t="s">
        <v>13284</v>
      </c>
      <c r="Q1515" s="9" t="s">
        <v>13284</v>
      </c>
      <c r="R1515" s="9" t="s">
        <v>13284</v>
      </c>
      <c r="S1515" s="9" t="s">
        <v>13284</v>
      </c>
      <c r="T1515" s="9" t="str">
        <f ca="1">IFERROR(IF(AND(VLOOKUP(A1515, 'Актуальное состояние (из общего'!A:C,3,0) = "", A1515 &lt;&gt; ""), "ПРОВЕРИТЬ", VLOOKUP(A1515, 'Актуальное состояние (из общего'!A:C,3,0)), "")</f>
        <v>Студент</v>
      </c>
      <c r="U1515" s="9" t="s">
        <v>13284</v>
      </c>
      <c r="V1515" s="9" t="s">
        <v>13284</v>
      </c>
      <c r="W1515" s="12"/>
      <c r="X1515" s="9" t="str">
        <f t="array" ref="X1515">IFERROR(INDEX('Адреса общежитий (скрытый)'!$B$2:$B$9, MATCH(W1515, 'Адреса общежитий (скрытый)'!$A$2:$A$9, 0)), "")</f>
        <v/>
      </c>
      <c r="Y1515" s="18"/>
      <c r="Z1515" s="18"/>
      <c r="AA1515" s="18"/>
      <c r="AB1515" s="18"/>
      <c r="AC1515" s="18"/>
    </row>
    <row r="1516" spans="1:29" ht="32.25" customHeight="1">
      <c r="A1516" s="8">
        <v>2311021</v>
      </c>
      <c r="B1516" s="9" t="s">
        <v>13284</v>
      </c>
      <c r="C1516" s="9" t="s">
        <v>13284</v>
      </c>
      <c r="D1516" s="9" t="s">
        <v>13284</v>
      </c>
      <c r="E1516" s="9" t="s">
        <v>13284</v>
      </c>
      <c r="F1516" s="9" t="s">
        <v>13284</v>
      </c>
      <c r="G1516" s="9" t="s">
        <v>13284</v>
      </c>
      <c r="H1516" s="9" t="s">
        <v>13284</v>
      </c>
      <c r="I1516" s="9" t="s">
        <v>13284</v>
      </c>
      <c r="J1516" s="9" t="s">
        <v>13284</v>
      </c>
      <c r="K1516" s="9" t="s">
        <v>13284</v>
      </c>
      <c r="L1516" s="9" t="s">
        <v>13284</v>
      </c>
      <c r="M1516" s="9" t="s">
        <v>13284</v>
      </c>
      <c r="N1516" s="9" t="s">
        <v>13284</v>
      </c>
      <c r="O1516" s="9" t="s">
        <v>13284</v>
      </c>
      <c r="P1516" s="9" t="s">
        <v>13284</v>
      </c>
      <c r="Q1516" s="9" t="s">
        <v>13284</v>
      </c>
      <c r="R1516" s="9" t="s">
        <v>13284</v>
      </c>
      <c r="S1516" s="9" t="s">
        <v>13284</v>
      </c>
      <c r="T1516" s="9" t="str">
        <f ca="1">IFERROR(IF(AND(VLOOKUP(A1516, 'Актуальное состояние (из общего'!A:C,3,0) = "", A1516 &lt;&gt; ""), "ПРОВЕРИТЬ", VLOOKUP(A1516, 'Актуальное состояние (из общего'!A:C,3,0)), "")</f>
        <v>Студент</v>
      </c>
      <c r="U1516" s="9" t="s">
        <v>13284</v>
      </c>
      <c r="V1516" s="9" t="s">
        <v>13284</v>
      </c>
      <c r="W1516" s="12"/>
      <c r="X1516" s="9" t="str">
        <f t="array" ref="X1516">IFERROR(INDEX('Адреса общежитий (скрытый)'!$B$2:$B$9, MATCH(W1516, 'Адреса общежитий (скрытый)'!$A$2:$A$9, 0)), "")</f>
        <v/>
      </c>
      <c r="Y1516" s="18"/>
      <c r="Z1516" s="18"/>
      <c r="AA1516" s="18"/>
      <c r="AB1516" s="18"/>
      <c r="AC1516" s="18"/>
    </row>
    <row r="1517" spans="1:29" ht="32.25" hidden="1" customHeight="1">
      <c r="A1517" s="8">
        <v>2305780</v>
      </c>
      <c r="B1517" s="9" t="s">
        <v>13284</v>
      </c>
      <c r="C1517" s="9" t="s">
        <v>13284</v>
      </c>
      <c r="D1517" s="9" t="s">
        <v>13284</v>
      </c>
      <c r="E1517" s="9" t="s">
        <v>13284</v>
      </c>
      <c r="F1517" s="9" t="s">
        <v>13284</v>
      </c>
      <c r="G1517" s="9" t="s">
        <v>13284</v>
      </c>
      <c r="H1517" s="9" t="s">
        <v>13284</v>
      </c>
      <c r="I1517" s="9" t="s">
        <v>13284</v>
      </c>
      <c r="J1517" s="9" t="s">
        <v>13284</v>
      </c>
      <c r="K1517" s="9" t="s">
        <v>13284</v>
      </c>
      <c r="L1517" s="9" t="s">
        <v>13284</v>
      </c>
      <c r="M1517" s="9" t="s">
        <v>13284</v>
      </c>
      <c r="N1517" s="9" t="s">
        <v>13284</v>
      </c>
      <c r="O1517" s="9" t="s">
        <v>13284</v>
      </c>
      <c r="P1517" s="9" t="s">
        <v>13284</v>
      </c>
      <c r="Q1517" s="9" t="s">
        <v>13284</v>
      </c>
      <c r="R1517" s="9" t="s">
        <v>13284</v>
      </c>
      <c r="S1517" s="9" t="s">
        <v>13284</v>
      </c>
      <c r="T1517" s="9" t="str">
        <f ca="1">IFERROR(IF(AND(VLOOKUP(A1517, 'Актуальное состояние (из общего'!A:C,3,0) = "", A1517 &lt;&gt; ""), "ПРОВЕРИТЬ", VLOOKUP(A1517, 'Актуальное состояние (из общего'!A:C,3,0)), "")</f>
        <v>Студент</v>
      </c>
      <c r="U1517" s="9" t="s">
        <v>13284</v>
      </c>
      <c r="V1517" s="9" t="s">
        <v>13284</v>
      </c>
      <c r="W1517" s="12"/>
      <c r="X1517" s="9" t="str">
        <f t="array" ref="X1517">IFERROR(INDEX('Адреса общежитий (скрытый)'!$B$2:$B$9, MATCH(W1517, 'Адреса общежитий (скрытый)'!$A$2:$A$9, 0)), "")</f>
        <v/>
      </c>
      <c r="Y1517" s="18"/>
      <c r="Z1517" s="18"/>
      <c r="AA1517" s="18"/>
      <c r="AB1517" s="18"/>
      <c r="AC1517" s="18"/>
    </row>
    <row r="1518" spans="1:29" ht="32.25" hidden="1" customHeight="1">
      <c r="A1518" s="8">
        <v>2305576</v>
      </c>
      <c r="B1518" s="9" t="s">
        <v>13284</v>
      </c>
      <c r="C1518" s="9" t="s">
        <v>13284</v>
      </c>
      <c r="D1518" s="9" t="s">
        <v>13284</v>
      </c>
      <c r="E1518" s="9" t="s">
        <v>13284</v>
      </c>
      <c r="F1518" s="9" t="s">
        <v>13284</v>
      </c>
      <c r="G1518" s="9" t="s">
        <v>13284</v>
      </c>
      <c r="H1518" s="9" t="s">
        <v>13284</v>
      </c>
      <c r="I1518" s="9" t="s">
        <v>13284</v>
      </c>
      <c r="J1518" s="9" t="s">
        <v>13284</v>
      </c>
      <c r="K1518" s="9" t="s">
        <v>13284</v>
      </c>
      <c r="L1518" s="9" t="s">
        <v>13284</v>
      </c>
      <c r="M1518" s="9" t="s">
        <v>13284</v>
      </c>
      <c r="N1518" s="9" t="s">
        <v>13284</v>
      </c>
      <c r="O1518" s="9" t="s">
        <v>13284</v>
      </c>
      <c r="P1518" s="9" t="s">
        <v>13284</v>
      </c>
      <c r="Q1518" s="9" t="s">
        <v>13284</v>
      </c>
      <c r="R1518" s="9" t="s">
        <v>13284</v>
      </c>
      <c r="S1518" s="9" t="s">
        <v>13284</v>
      </c>
      <c r="T1518" s="9" t="str">
        <f ca="1">IFERROR(IF(AND(VLOOKUP(A1518, 'Актуальное состояние (из общего'!A:C,3,0) = "", A1518 &lt;&gt; ""), "ПРОВЕРИТЬ", VLOOKUP(A1518, 'Актуальное состояние (из общего'!A:C,3,0)), "")</f>
        <v>Студент</v>
      </c>
      <c r="U1518" s="9" t="s">
        <v>13284</v>
      </c>
      <c r="V1518" s="9" t="s">
        <v>13284</v>
      </c>
      <c r="W1518" s="12"/>
      <c r="X1518" s="9" t="str">
        <f t="array" ref="X1518">IFERROR(INDEX('Адреса общежитий (скрытый)'!$B$2:$B$9, MATCH(W1518, 'Адреса общежитий (скрытый)'!$A$2:$A$9, 0)), "")</f>
        <v/>
      </c>
      <c r="Y1518" s="18"/>
      <c r="Z1518" s="18"/>
      <c r="AA1518" s="18"/>
      <c r="AB1518" s="18"/>
      <c r="AC1518" s="18"/>
    </row>
    <row r="1519" spans="1:29" ht="32.25" customHeight="1">
      <c r="A1519" s="8">
        <v>2313480</v>
      </c>
      <c r="B1519" s="9" t="s">
        <v>13284</v>
      </c>
      <c r="C1519" s="9" t="s">
        <v>13284</v>
      </c>
      <c r="D1519" s="9" t="s">
        <v>13284</v>
      </c>
      <c r="E1519" s="9" t="s">
        <v>13284</v>
      </c>
      <c r="F1519" s="9" t="s">
        <v>13284</v>
      </c>
      <c r="G1519" s="9" t="s">
        <v>13284</v>
      </c>
      <c r="H1519" s="9" t="s">
        <v>13284</v>
      </c>
      <c r="I1519" s="9" t="s">
        <v>13284</v>
      </c>
      <c r="J1519" s="9" t="s">
        <v>13284</v>
      </c>
      <c r="K1519" s="9" t="s">
        <v>13284</v>
      </c>
      <c r="L1519" s="9" t="s">
        <v>13284</v>
      </c>
      <c r="M1519" s="9" t="s">
        <v>13284</v>
      </c>
      <c r="N1519" s="9" t="s">
        <v>13284</v>
      </c>
      <c r="O1519" s="9" t="s">
        <v>13284</v>
      </c>
      <c r="P1519" s="9" t="s">
        <v>13284</v>
      </c>
      <c r="Q1519" s="9" t="s">
        <v>13284</v>
      </c>
      <c r="R1519" s="9" t="s">
        <v>13284</v>
      </c>
      <c r="S1519" s="9" t="s">
        <v>13284</v>
      </c>
      <c r="T1519" s="9" t="str">
        <f ca="1">IFERROR(IF(AND(VLOOKUP(A1519, 'Актуальное состояние (из общего'!A:C,3,0) = "", A1519 &lt;&gt; ""), "ПРОВЕРИТЬ", VLOOKUP(A1519, 'Актуальное состояние (из общего'!A:C,3,0)), "")</f>
        <v>Студент</v>
      </c>
      <c r="U1519" s="9" t="s">
        <v>13284</v>
      </c>
      <c r="V1519" s="9" t="s">
        <v>13284</v>
      </c>
      <c r="W1519" s="12"/>
      <c r="X1519" s="9" t="str">
        <f t="array" ref="X1519">IFERROR(INDEX('Адреса общежитий (скрытый)'!$B$2:$B$9, MATCH(W1519, 'Адреса общежитий (скрытый)'!$A$2:$A$9, 0)), "")</f>
        <v/>
      </c>
      <c r="Y1519" s="18"/>
      <c r="Z1519" s="18"/>
      <c r="AA1519" s="18"/>
      <c r="AB1519" s="18"/>
      <c r="AC1519" s="18"/>
    </row>
    <row r="1520" spans="1:29" ht="32.25" hidden="1" customHeight="1">
      <c r="A1520" s="8">
        <v>2301371</v>
      </c>
      <c r="B1520" s="9" t="s">
        <v>13284</v>
      </c>
      <c r="C1520" s="9" t="s">
        <v>13284</v>
      </c>
      <c r="D1520" s="9" t="s">
        <v>13284</v>
      </c>
      <c r="E1520" s="9" t="s">
        <v>13284</v>
      </c>
      <c r="F1520" s="9" t="s">
        <v>13284</v>
      </c>
      <c r="G1520" s="9" t="s">
        <v>13284</v>
      </c>
      <c r="H1520" s="9" t="s">
        <v>13284</v>
      </c>
      <c r="I1520" s="9" t="s">
        <v>13284</v>
      </c>
      <c r="J1520" s="9" t="s">
        <v>13284</v>
      </c>
      <c r="K1520" s="9" t="s">
        <v>13284</v>
      </c>
      <c r="L1520" s="9" t="s">
        <v>13284</v>
      </c>
      <c r="M1520" s="9" t="s">
        <v>13284</v>
      </c>
      <c r="N1520" s="9" t="s">
        <v>13284</v>
      </c>
      <c r="O1520" s="9" t="s">
        <v>13284</v>
      </c>
      <c r="P1520" s="9" t="s">
        <v>13284</v>
      </c>
      <c r="Q1520" s="9" t="s">
        <v>13284</v>
      </c>
      <c r="R1520" s="9" t="s">
        <v>13284</v>
      </c>
      <c r="S1520" s="9" t="s">
        <v>13284</v>
      </c>
      <c r="T1520" s="9" t="str">
        <f ca="1">IFERROR(IF(AND(VLOOKUP(A1520, 'Актуальное состояние (из общего'!A:C,3,0) = "", A1520 &lt;&gt; ""), "ПРОВЕРИТЬ", VLOOKUP(A1520, 'Актуальное состояние (из общего'!A:C,3,0)), "")</f>
        <v>Студент</v>
      </c>
      <c r="U1520" s="9" t="s">
        <v>13284</v>
      </c>
      <c r="V1520" s="9" t="s">
        <v>13284</v>
      </c>
      <c r="W1520" s="12"/>
      <c r="X1520" s="9" t="str">
        <f t="array" ref="X1520">IFERROR(INDEX('Адреса общежитий (скрытый)'!$B$2:$B$9, MATCH(W1520, 'Адреса общежитий (скрытый)'!$A$2:$A$9, 0)), "")</f>
        <v/>
      </c>
      <c r="Y1520" s="18"/>
      <c r="Z1520" s="18"/>
      <c r="AA1520" s="18"/>
      <c r="AB1520" s="18"/>
      <c r="AC1520" s="18"/>
    </row>
    <row r="1521" spans="1:29" ht="32.25" hidden="1" customHeight="1">
      <c r="A1521" s="8">
        <v>2302126</v>
      </c>
      <c r="B1521" s="9" t="s">
        <v>13284</v>
      </c>
      <c r="C1521" s="9" t="s">
        <v>13284</v>
      </c>
      <c r="D1521" s="9" t="s">
        <v>13284</v>
      </c>
      <c r="E1521" s="9" t="s">
        <v>13284</v>
      </c>
      <c r="F1521" s="9" t="s">
        <v>13284</v>
      </c>
      <c r="G1521" s="9" t="s">
        <v>13284</v>
      </c>
      <c r="H1521" s="9" t="s">
        <v>13284</v>
      </c>
      <c r="I1521" s="9" t="s">
        <v>13284</v>
      </c>
      <c r="J1521" s="9" t="s">
        <v>13284</v>
      </c>
      <c r="K1521" s="9" t="s">
        <v>13284</v>
      </c>
      <c r="L1521" s="9" t="s">
        <v>13284</v>
      </c>
      <c r="M1521" s="9" t="s">
        <v>13284</v>
      </c>
      <c r="N1521" s="9" t="s">
        <v>13284</v>
      </c>
      <c r="O1521" s="9" t="s">
        <v>13284</v>
      </c>
      <c r="P1521" s="9" t="s">
        <v>13284</v>
      </c>
      <c r="Q1521" s="9" t="s">
        <v>13284</v>
      </c>
      <c r="R1521" s="9" t="s">
        <v>13284</v>
      </c>
      <c r="S1521" s="9" t="s">
        <v>13284</v>
      </c>
      <c r="T1521" s="9" t="str">
        <f ca="1">IFERROR(IF(AND(VLOOKUP(A1521, 'Актуальное состояние (из общего'!A:C,3,0) = "", A1521 &lt;&gt; ""), "ПРОВЕРИТЬ", VLOOKUP(A1521, 'Актуальное состояние (из общего'!A:C,3,0)), "")</f>
        <v>Студент</v>
      </c>
      <c r="U1521" s="9" t="s">
        <v>13284</v>
      </c>
      <c r="V1521" s="9" t="s">
        <v>13284</v>
      </c>
      <c r="W1521" s="12"/>
      <c r="X1521" s="9" t="str">
        <f t="array" ref="X1521">IFERROR(INDEX('Адреса общежитий (скрытый)'!$B$2:$B$9, MATCH(W1521, 'Адреса общежитий (скрытый)'!$A$2:$A$9, 0)), "")</f>
        <v/>
      </c>
      <c r="Y1521" s="18"/>
      <c r="Z1521" s="18"/>
      <c r="AA1521" s="18"/>
      <c r="AB1521" s="18"/>
      <c r="AC1521" s="18"/>
    </row>
    <row r="1522" spans="1:29" ht="32.25" customHeight="1">
      <c r="A1522" s="8">
        <v>2311224</v>
      </c>
      <c r="B1522" s="9" t="s">
        <v>13284</v>
      </c>
      <c r="C1522" s="9" t="s">
        <v>13284</v>
      </c>
      <c r="D1522" s="9" t="s">
        <v>13284</v>
      </c>
      <c r="E1522" s="9" t="s">
        <v>13284</v>
      </c>
      <c r="F1522" s="9" t="s">
        <v>13284</v>
      </c>
      <c r="G1522" s="9" t="s">
        <v>13284</v>
      </c>
      <c r="H1522" s="9" t="s">
        <v>13284</v>
      </c>
      <c r="I1522" s="9" t="s">
        <v>13284</v>
      </c>
      <c r="J1522" s="9" t="s">
        <v>13284</v>
      </c>
      <c r="K1522" s="9" t="s">
        <v>13284</v>
      </c>
      <c r="L1522" s="9" t="s">
        <v>13284</v>
      </c>
      <c r="M1522" s="9" t="s">
        <v>13284</v>
      </c>
      <c r="N1522" s="9" t="s">
        <v>13284</v>
      </c>
      <c r="O1522" s="9" t="s">
        <v>13284</v>
      </c>
      <c r="P1522" s="9" t="s">
        <v>13284</v>
      </c>
      <c r="Q1522" s="9" t="s">
        <v>13284</v>
      </c>
      <c r="R1522" s="9" t="s">
        <v>13284</v>
      </c>
      <c r="S1522" s="9" t="s">
        <v>13284</v>
      </c>
      <c r="T1522" s="9" t="str">
        <f ca="1">IFERROR(IF(AND(VLOOKUP(A1522, 'Актуальное состояние (из общего'!A:C,3,0) = "", A1522 &lt;&gt; ""), "ПРОВЕРИТЬ", VLOOKUP(A1522, 'Актуальное состояние (из общего'!A:C,3,0)), "")</f>
        <v>Студент</v>
      </c>
      <c r="U1522" s="9" t="s">
        <v>13284</v>
      </c>
      <c r="V1522" s="9" t="s">
        <v>13284</v>
      </c>
      <c r="W1522" s="12"/>
      <c r="X1522" s="9" t="str">
        <f t="array" ref="X1522">IFERROR(INDEX('Адреса общежитий (скрытый)'!$B$2:$B$9, MATCH(W1522, 'Адреса общежитий (скрытый)'!$A$2:$A$9, 0)), "")</f>
        <v/>
      </c>
      <c r="Y1522" s="18"/>
      <c r="Z1522" s="18"/>
      <c r="AA1522" s="18"/>
      <c r="AB1522" s="18"/>
      <c r="AC1522" s="18"/>
    </row>
    <row r="1523" spans="1:29" ht="32.25" hidden="1" customHeight="1">
      <c r="A1523" s="8">
        <v>2313442</v>
      </c>
      <c r="B1523" s="9" t="s">
        <v>13284</v>
      </c>
      <c r="C1523" s="9" t="s">
        <v>13284</v>
      </c>
      <c r="D1523" s="9" t="s">
        <v>13284</v>
      </c>
      <c r="E1523" s="9" t="s">
        <v>13284</v>
      </c>
      <c r="F1523" s="9" t="s">
        <v>13284</v>
      </c>
      <c r="G1523" s="9" t="s">
        <v>13284</v>
      </c>
      <c r="H1523" s="9" t="s">
        <v>13284</v>
      </c>
      <c r="I1523" s="9" t="s">
        <v>13284</v>
      </c>
      <c r="J1523" s="9" t="s">
        <v>13284</v>
      </c>
      <c r="K1523" s="9" t="s">
        <v>13284</v>
      </c>
      <c r="L1523" s="9" t="s">
        <v>13284</v>
      </c>
      <c r="M1523" s="9" t="s">
        <v>13284</v>
      </c>
      <c r="N1523" s="9" t="s">
        <v>13284</v>
      </c>
      <c r="O1523" s="9" t="s">
        <v>13284</v>
      </c>
      <c r="P1523" s="9" t="s">
        <v>13284</v>
      </c>
      <c r="Q1523" s="9" t="s">
        <v>13284</v>
      </c>
      <c r="R1523" s="9" t="s">
        <v>13284</v>
      </c>
      <c r="S1523" s="9" t="s">
        <v>13284</v>
      </c>
      <c r="T1523" s="9" t="str">
        <f ca="1">IFERROR(IF(AND(VLOOKUP(A1523, 'Актуальное состояние (из общего'!A:C,3,0) = "", A1523 &lt;&gt; ""), "ПРОВЕРИТЬ", VLOOKUP(A1523, 'Актуальное состояние (из общего'!A:C,3,0)), "")</f>
        <v>Студент</v>
      </c>
      <c r="U1523" s="9" t="s">
        <v>13284</v>
      </c>
      <c r="V1523" s="9" t="s">
        <v>13284</v>
      </c>
      <c r="W1523" s="12"/>
      <c r="X1523" s="9" t="str">
        <f t="array" ref="X1523">IFERROR(INDEX('Адреса общежитий (скрытый)'!$B$2:$B$9, MATCH(W1523, 'Адреса общежитий (скрытый)'!$A$2:$A$9, 0)), "")</f>
        <v/>
      </c>
      <c r="Y1523" s="18"/>
      <c r="Z1523" s="18"/>
      <c r="AA1523" s="18"/>
      <c r="AB1523" s="18"/>
      <c r="AC1523" s="18"/>
    </row>
    <row r="1524" spans="1:29" ht="32.25" hidden="1" customHeight="1">
      <c r="A1524" s="8">
        <v>2301773</v>
      </c>
      <c r="B1524" s="9" t="s">
        <v>13284</v>
      </c>
      <c r="C1524" s="9" t="s">
        <v>13284</v>
      </c>
      <c r="D1524" s="9" t="s">
        <v>13284</v>
      </c>
      <c r="E1524" s="9" t="s">
        <v>13284</v>
      </c>
      <c r="F1524" s="9" t="s">
        <v>13284</v>
      </c>
      <c r="G1524" s="9" t="s">
        <v>13284</v>
      </c>
      <c r="H1524" s="9" t="s">
        <v>13284</v>
      </c>
      <c r="I1524" s="9" t="s">
        <v>13284</v>
      </c>
      <c r="J1524" s="9" t="s">
        <v>13284</v>
      </c>
      <c r="K1524" s="9" t="s">
        <v>13284</v>
      </c>
      <c r="L1524" s="9" t="s">
        <v>13284</v>
      </c>
      <c r="M1524" s="9" t="s">
        <v>13284</v>
      </c>
      <c r="N1524" s="9" t="s">
        <v>13284</v>
      </c>
      <c r="O1524" s="9" t="s">
        <v>13284</v>
      </c>
      <c r="P1524" s="9" t="s">
        <v>13284</v>
      </c>
      <c r="Q1524" s="9" t="s">
        <v>13284</v>
      </c>
      <c r="R1524" s="9" t="s">
        <v>13284</v>
      </c>
      <c r="S1524" s="9" t="s">
        <v>13284</v>
      </c>
      <c r="T1524" s="9" t="str">
        <f ca="1">IFERROR(IF(AND(VLOOKUP(A1524, 'Актуальное состояние (из общего'!A:C,3,0) = "", A1524 &lt;&gt; ""), "ПРОВЕРИТЬ", VLOOKUP(A1524, 'Актуальное состояние (из общего'!A:C,3,0)), "")</f>
        <v>Студент</v>
      </c>
      <c r="U1524" s="9" t="s">
        <v>13284</v>
      </c>
      <c r="V1524" s="9" t="s">
        <v>13284</v>
      </c>
      <c r="W1524" s="12"/>
      <c r="X1524" s="9" t="str">
        <f t="array" ref="X1524">IFERROR(INDEX('Адреса общежитий (скрытый)'!$B$2:$B$9, MATCH(W1524, 'Адреса общежитий (скрытый)'!$A$2:$A$9, 0)), "")</f>
        <v/>
      </c>
      <c r="Y1524" s="18"/>
      <c r="Z1524" s="18"/>
      <c r="AA1524" s="18"/>
      <c r="AB1524" s="18"/>
      <c r="AC1524" s="18"/>
    </row>
    <row r="1525" spans="1:29" ht="32.25" customHeight="1">
      <c r="A1525" s="8">
        <v>2307827</v>
      </c>
      <c r="B1525" s="9" t="s">
        <v>13284</v>
      </c>
      <c r="C1525" s="9" t="s">
        <v>13284</v>
      </c>
      <c r="D1525" s="9" t="s">
        <v>13284</v>
      </c>
      <c r="E1525" s="9" t="s">
        <v>13284</v>
      </c>
      <c r="F1525" s="9" t="s">
        <v>13284</v>
      </c>
      <c r="G1525" s="9" t="s">
        <v>13284</v>
      </c>
      <c r="H1525" s="9" t="s">
        <v>13284</v>
      </c>
      <c r="I1525" s="9" t="s">
        <v>13284</v>
      </c>
      <c r="J1525" s="9" t="s">
        <v>13284</v>
      </c>
      <c r="K1525" s="9" t="s">
        <v>13284</v>
      </c>
      <c r="L1525" s="9" t="s">
        <v>13284</v>
      </c>
      <c r="M1525" s="9" t="s">
        <v>13284</v>
      </c>
      <c r="N1525" s="9" t="s">
        <v>13284</v>
      </c>
      <c r="O1525" s="9" t="s">
        <v>13284</v>
      </c>
      <c r="P1525" s="9" t="s">
        <v>13284</v>
      </c>
      <c r="Q1525" s="9" t="s">
        <v>13284</v>
      </c>
      <c r="R1525" s="9" t="s">
        <v>13284</v>
      </c>
      <c r="S1525" s="9" t="s">
        <v>13284</v>
      </c>
      <c r="T1525" s="9" t="str">
        <f ca="1">IFERROR(IF(AND(VLOOKUP(A1525, 'Актуальное состояние (из общего'!A:C,3,0) = "", A1525 &lt;&gt; ""), "ПРОВЕРИТЬ", VLOOKUP(A1525, 'Актуальное состояние (из общего'!A:C,3,0)), "")</f>
        <v>Студент</v>
      </c>
      <c r="U1525" s="9" t="s">
        <v>13284</v>
      </c>
      <c r="V1525" s="9" t="s">
        <v>13284</v>
      </c>
      <c r="W1525" s="12"/>
      <c r="X1525" s="9" t="str">
        <f t="array" ref="X1525">IFERROR(INDEX('Адреса общежитий (скрытый)'!$B$2:$B$9, MATCH(W1525, 'Адреса общежитий (скрытый)'!$A$2:$A$9, 0)), "")</f>
        <v/>
      </c>
      <c r="Y1525" s="18"/>
      <c r="Z1525" s="18"/>
      <c r="AA1525" s="18"/>
      <c r="AB1525" s="18"/>
      <c r="AC1525" s="18"/>
    </row>
    <row r="1526" spans="1:29" ht="32.25" hidden="1" customHeight="1">
      <c r="A1526" s="8">
        <v>2308388</v>
      </c>
      <c r="B1526" s="9" t="s">
        <v>13284</v>
      </c>
      <c r="C1526" s="9" t="s">
        <v>13284</v>
      </c>
      <c r="D1526" s="9" t="s">
        <v>13284</v>
      </c>
      <c r="E1526" s="9" t="s">
        <v>13284</v>
      </c>
      <c r="F1526" s="9" t="s">
        <v>13284</v>
      </c>
      <c r="G1526" s="9" t="s">
        <v>13284</v>
      </c>
      <c r="H1526" s="9" t="s">
        <v>13284</v>
      </c>
      <c r="I1526" s="9" t="s">
        <v>13284</v>
      </c>
      <c r="J1526" s="9" t="s">
        <v>13284</v>
      </c>
      <c r="K1526" s="9" t="s">
        <v>13284</v>
      </c>
      <c r="L1526" s="9" t="s">
        <v>13284</v>
      </c>
      <c r="M1526" s="9" t="s">
        <v>13284</v>
      </c>
      <c r="N1526" s="9" t="s">
        <v>13284</v>
      </c>
      <c r="O1526" s="9" t="s">
        <v>13284</v>
      </c>
      <c r="P1526" s="9" t="s">
        <v>13284</v>
      </c>
      <c r="Q1526" s="9" t="s">
        <v>13284</v>
      </c>
      <c r="R1526" s="9" t="s">
        <v>13284</v>
      </c>
      <c r="S1526" s="9" t="s">
        <v>13284</v>
      </c>
      <c r="T1526" s="9" t="str">
        <f ca="1">IFERROR(IF(AND(VLOOKUP(A1526, 'Актуальное состояние (из общего'!A:C,3,0) = "", A1526 &lt;&gt; ""), "ПРОВЕРИТЬ", VLOOKUP(A1526, 'Актуальное состояние (из общего'!A:C,3,0)), "")</f>
        <v>Студент</v>
      </c>
      <c r="U1526" s="9" t="s">
        <v>13284</v>
      </c>
      <c r="V1526" s="9" t="s">
        <v>13284</v>
      </c>
      <c r="W1526" s="12"/>
      <c r="X1526" s="9" t="str">
        <f t="array" ref="X1526">IFERROR(INDEX('Адреса общежитий (скрытый)'!$B$2:$B$9, MATCH(W1526, 'Адреса общежитий (скрытый)'!$A$2:$A$9, 0)), "")</f>
        <v/>
      </c>
      <c r="Y1526" s="18"/>
      <c r="Z1526" s="18"/>
      <c r="AA1526" s="18"/>
      <c r="AB1526" s="18"/>
      <c r="AC1526" s="18"/>
    </row>
    <row r="1527" spans="1:29" ht="32.25" customHeight="1">
      <c r="A1527" s="8">
        <v>2315152</v>
      </c>
      <c r="B1527" s="9" t="s">
        <v>13284</v>
      </c>
      <c r="C1527" s="9" t="s">
        <v>13284</v>
      </c>
      <c r="D1527" s="9" t="s">
        <v>13284</v>
      </c>
      <c r="E1527" s="9" t="s">
        <v>13284</v>
      </c>
      <c r="F1527" s="9" t="s">
        <v>13284</v>
      </c>
      <c r="G1527" s="9" t="s">
        <v>13284</v>
      </c>
      <c r="H1527" s="9" t="s">
        <v>13284</v>
      </c>
      <c r="I1527" s="9" t="s">
        <v>13284</v>
      </c>
      <c r="J1527" s="9" t="s">
        <v>13284</v>
      </c>
      <c r="K1527" s="9" t="s">
        <v>13284</v>
      </c>
      <c r="L1527" s="9" t="s">
        <v>13284</v>
      </c>
      <c r="M1527" s="9" t="s">
        <v>13284</v>
      </c>
      <c r="N1527" s="9" t="s">
        <v>13284</v>
      </c>
      <c r="O1527" s="9" t="s">
        <v>13284</v>
      </c>
      <c r="P1527" s="9" t="s">
        <v>13284</v>
      </c>
      <c r="Q1527" s="9" t="s">
        <v>13284</v>
      </c>
      <c r="R1527" s="9" t="s">
        <v>13284</v>
      </c>
      <c r="S1527" s="9" t="s">
        <v>13284</v>
      </c>
      <c r="T1527" s="9" t="str">
        <f ca="1">IFERROR(IF(AND(VLOOKUP(A1527, 'Актуальное состояние (из общего'!A:C,3,0) = "", A1527 &lt;&gt; ""), "ПРОВЕРИТЬ", VLOOKUP(A1527, 'Актуальное состояние (из общего'!A:C,3,0)), "")</f>
        <v>Студент</v>
      </c>
      <c r="U1527" s="9" t="s">
        <v>13284</v>
      </c>
      <c r="V1527" s="9" t="s">
        <v>13284</v>
      </c>
      <c r="W1527" s="9" t="s">
        <v>319</v>
      </c>
      <c r="X1527" s="9" t="str">
        <f t="array" ref="X1527">IFERROR(INDEX('Адреса общежитий (скрытый)'!$B$2:$B$9, MATCH(W1527, 'Адреса общежитий (скрытый)'!$A$2:$A$9, 0)), "")</f>
        <v>ул. Профсоюзная, д.83, корп. 2</v>
      </c>
      <c r="Y1527" s="18"/>
      <c r="Z1527" s="18"/>
      <c r="AA1527" s="18"/>
      <c r="AB1527" s="18"/>
      <c r="AC1527" s="18"/>
    </row>
    <row r="1528" spans="1:29" ht="32.25" hidden="1" customHeight="1">
      <c r="A1528" s="8">
        <v>2303576</v>
      </c>
      <c r="B1528" s="9" t="s">
        <v>13284</v>
      </c>
      <c r="C1528" s="9" t="s">
        <v>13284</v>
      </c>
      <c r="D1528" s="9" t="s">
        <v>13284</v>
      </c>
      <c r="E1528" s="9" t="s">
        <v>13284</v>
      </c>
      <c r="F1528" s="9" t="s">
        <v>13284</v>
      </c>
      <c r="G1528" s="9" t="s">
        <v>13284</v>
      </c>
      <c r="H1528" s="9" t="s">
        <v>13284</v>
      </c>
      <c r="I1528" s="9" t="s">
        <v>13284</v>
      </c>
      <c r="J1528" s="9" t="s">
        <v>13284</v>
      </c>
      <c r="K1528" s="9" t="s">
        <v>13284</v>
      </c>
      <c r="L1528" s="9" t="s">
        <v>13284</v>
      </c>
      <c r="M1528" s="9" t="s">
        <v>13284</v>
      </c>
      <c r="N1528" s="9" t="s">
        <v>13284</v>
      </c>
      <c r="O1528" s="9" t="s">
        <v>13284</v>
      </c>
      <c r="P1528" s="9" t="s">
        <v>13284</v>
      </c>
      <c r="Q1528" s="9" t="s">
        <v>13284</v>
      </c>
      <c r="R1528" s="9" t="s">
        <v>13284</v>
      </c>
      <c r="S1528" s="9" t="s">
        <v>13284</v>
      </c>
      <c r="T1528" s="9" t="str">
        <f ca="1">IFERROR(IF(AND(VLOOKUP(A1528, 'Актуальное состояние (из общего'!A:C,3,0) = "", A1528 &lt;&gt; ""), "ПРОВЕРИТЬ", VLOOKUP(A1528, 'Актуальное состояние (из общего'!A:C,3,0)), "")</f>
        <v>Студент</v>
      </c>
      <c r="U1528" s="9" t="s">
        <v>13284</v>
      </c>
      <c r="V1528" s="9" t="s">
        <v>13284</v>
      </c>
      <c r="W1528" s="12"/>
      <c r="X1528" s="9" t="str">
        <f t="array" ref="X1528">IFERROR(INDEX('Адреса общежитий (скрытый)'!$B$2:$B$9, MATCH(W1528, 'Адреса общежитий (скрытый)'!$A$2:$A$9, 0)), "")</f>
        <v/>
      </c>
      <c r="Y1528" s="18"/>
      <c r="Z1528" s="18"/>
      <c r="AA1528" s="18"/>
      <c r="AB1528" s="18"/>
      <c r="AC1528" s="18"/>
    </row>
    <row r="1529" spans="1:29" ht="32.25" customHeight="1">
      <c r="A1529" s="8">
        <v>2302741</v>
      </c>
      <c r="B1529" s="9" t="s">
        <v>13284</v>
      </c>
      <c r="C1529" s="9" t="s">
        <v>13284</v>
      </c>
      <c r="D1529" s="9" t="s">
        <v>13284</v>
      </c>
      <c r="E1529" s="9" t="s">
        <v>13284</v>
      </c>
      <c r="F1529" s="9" t="s">
        <v>13284</v>
      </c>
      <c r="G1529" s="9" t="s">
        <v>13284</v>
      </c>
      <c r="H1529" s="9" t="s">
        <v>13284</v>
      </c>
      <c r="I1529" s="9" t="s">
        <v>13284</v>
      </c>
      <c r="J1529" s="9" t="s">
        <v>13284</v>
      </c>
      <c r="K1529" s="9" t="s">
        <v>13284</v>
      </c>
      <c r="L1529" s="9" t="s">
        <v>13284</v>
      </c>
      <c r="M1529" s="9" t="s">
        <v>13284</v>
      </c>
      <c r="N1529" s="9" t="s">
        <v>13284</v>
      </c>
      <c r="O1529" s="9" t="s">
        <v>13284</v>
      </c>
      <c r="P1529" s="9" t="s">
        <v>13284</v>
      </c>
      <c r="Q1529" s="9" t="s">
        <v>13284</v>
      </c>
      <c r="R1529" s="9" t="s">
        <v>13284</v>
      </c>
      <c r="S1529" s="9" t="s">
        <v>13284</v>
      </c>
      <c r="T1529" s="9" t="str">
        <f ca="1">IFERROR(IF(AND(VLOOKUP(A1529, 'Актуальное состояние (из общего'!A:C,3,0) = "", A1529 &lt;&gt; ""), "ПРОВЕРИТЬ", VLOOKUP(A1529, 'Актуальное состояние (из общего'!A:C,3,0)), "")</f>
        <v>Студент</v>
      </c>
      <c r="U1529" s="9" t="s">
        <v>13284</v>
      </c>
      <c r="V1529" s="9" t="s">
        <v>13284</v>
      </c>
      <c r="W1529" s="12"/>
      <c r="X1529" s="9" t="str">
        <f t="array" ref="X1529">IFERROR(INDEX('Адреса общежитий (скрытый)'!$B$2:$B$9, MATCH(W1529, 'Адреса общежитий (скрытый)'!$A$2:$A$9, 0)), "")</f>
        <v/>
      </c>
      <c r="Y1529" s="18"/>
      <c r="Z1529" s="18"/>
      <c r="AA1529" s="18"/>
      <c r="AB1529" s="18"/>
      <c r="AC1529" s="18"/>
    </row>
    <row r="1530" spans="1:29" ht="32.25" customHeight="1">
      <c r="A1530" s="8">
        <v>2306908</v>
      </c>
      <c r="B1530" s="9" t="s">
        <v>13284</v>
      </c>
      <c r="C1530" s="9" t="s">
        <v>13284</v>
      </c>
      <c r="D1530" s="9" t="s">
        <v>13284</v>
      </c>
      <c r="E1530" s="9" t="s">
        <v>13284</v>
      </c>
      <c r="F1530" s="9" t="s">
        <v>13284</v>
      </c>
      <c r="G1530" s="9" t="s">
        <v>13284</v>
      </c>
      <c r="H1530" s="9" t="s">
        <v>13284</v>
      </c>
      <c r="I1530" s="9" t="s">
        <v>13284</v>
      </c>
      <c r="J1530" s="9" t="s">
        <v>13284</v>
      </c>
      <c r="K1530" s="9" t="s">
        <v>13284</v>
      </c>
      <c r="L1530" s="9" t="s">
        <v>13284</v>
      </c>
      <c r="M1530" s="9" t="s">
        <v>13284</v>
      </c>
      <c r="N1530" s="9" t="s">
        <v>13284</v>
      </c>
      <c r="O1530" s="9" t="s">
        <v>13284</v>
      </c>
      <c r="P1530" s="9" t="s">
        <v>13284</v>
      </c>
      <c r="Q1530" s="9" t="s">
        <v>13284</v>
      </c>
      <c r="R1530" s="9" t="s">
        <v>13284</v>
      </c>
      <c r="S1530" s="9" t="s">
        <v>13284</v>
      </c>
      <c r="T1530" s="9" t="str">
        <f ca="1">IFERROR(IF(AND(VLOOKUP(A1530, 'Актуальное состояние (из общего'!A:C,3,0) = "", A1530 &lt;&gt; ""), "ПРОВЕРИТЬ", VLOOKUP(A1530, 'Актуальное состояние (из общего'!A:C,3,0)), "")</f>
        <v>Студент</v>
      </c>
      <c r="U1530" s="9" t="s">
        <v>13284</v>
      </c>
      <c r="V1530" s="9" t="s">
        <v>13284</v>
      </c>
      <c r="W1530" s="12"/>
      <c r="X1530" s="9" t="str">
        <f t="array" ref="X1530">IFERROR(INDEX('Адреса общежитий (скрытый)'!$B$2:$B$9, MATCH(W1530, 'Адреса общежитий (скрытый)'!$A$2:$A$9, 0)), "")</f>
        <v/>
      </c>
      <c r="Y1530" s="18"/>
      <c r="Z1530" s="18"/>
      <c r="AA1530" s="18"/>
      <c r="AB1530" s="18"/>
      <c r="AC1530" s="18"/>
    </row>
    <row r="1531" spans="1:29" ht="32.25" hidden="1" customHeight="1">
      <c r="A1531" s="8">
        <v>2304511</v>
      </c>
      <c r="B1531" s="9" t="s">
        <v>13284</v>
      </c>
      <c r="C1531" s="9" t="s">
        <v>13284</v>
      </c>
      <c r="D1531" s="9" t="s">
        <v>13284</v>
      </c>
      <c r="E1531" s="9" t="s">
        <v>13284</v>
      </c>
      <c r="F1531" s="9" t="s">
        <v>13284</v>
      </c>
      <c r="G1531" s="9" t="s">
        <v>13284</v>
      </c>
      <c r="H1531" s="9" t="s">
        <v>13284</v>
      </c>
      <c r="I1531" s="9" t="s">
        <v>13284</v>
      </c>
      <c r="J1531" s="9" t="s">
        <v>13284</v>
      </c>
      <c r="K1531" s="9" t="s">
        <v>13284</v>
      </c>
      <c r="L1531" s="9" t="s">
        <v>13284</v>
      </c>
      <c r="M1531" s="9" t="s">
        <v>13284</v>
      </c>
      <c r="N1531" s="9" t="s">
        <v>13284</v>
      </c>
      <c r="O1531" s="9" t="s">
        <v>13284</v>
      </c>
      <c r="P1531" s="9" t="s">
        <v>13284</v>
      </c>
      <c r="Q1531" s="9" t="s">
        <v>13284</v>
      </c>
      <c r="R1531" s="9" t="s">
        <v>13284</v>
      </c>
      <c r="S1531" s="9" t="s">
        <v>13284</v>
      </c>
      <c r="T1531" s="9" t="str">
        <f ca="1">IFERROR(IF(AND(VLOOKUP(A1531, 'Актуальное состояние (из общего'!A:C,3,0) = "", A1531 &lt;&gt; ""), "ПРОВЕРИТЬ", VLOOKUP(A1531, 'Актуальное состояние (из общего'!A:C,3,0)), "")</f>
        <v>Студент</v>
      </c>
      <c r="U1531" s="9" t="s">
        <v>13284</v>
      </c>
      <c r="V1531" s="9" t="s">
        <v>13284</v>
      </c>
      <c r="W1531" s="12"/>
      <c r="X1531" s="9" t="str">
        <f t="array" ref="X1531">IFERROR(INDEX('Адреса общежитий (скрытый)'!$B$2:$B$9, MATCH(W1531, 'Адреса общежитий (скрытый)'!$A$2:$A$9, 0)), "")</f>
        <v/>
      </c>
      <c r="Y1531" s="18"/>
      <c r="Z1531" s="18"/>
      <c r="AA1531" s="18"/>
      <c r="AB1531" s="18"/>
      <c r="AC1531" s="18"/>
    </row>
    <row r="1532" spans="1:29" ht="32.25" customHeight="1">
      <c r="A1532" s="8">
        <v>2313316</v>
      </c>
      <c r="B1532" s="9" t="s">
        <v>13284</v>
      </c>
      <c r="C1532" s="9" t="s">
        <v>13284</v>
      </c>
      <c r="D1532" s="9" t="s">
        <v>13284</v>
      </c>
      <c r="E1532" s="9" t="s">
        <v>13284</v>
      </c>
      <c r="F1532" s="9" t="s">
        <v>13284</v>
      </c>
      <c r="G1532" s="9" t="s">
        <v>13284</v>
      </c>
      <c r="H1532" s="9" t="s">
        <v>13284</v>
      </c>
      <c r="I1532" s="9" t="s">
        <v>13284</v>
      </c>
      <c r="J1532" s="9" t="s">
        <v>13284</v>
      </c>
      <c r="K1532" s="9" t="s">
        <v>13284</v>
      </c>
      <c r="L1532" s="9" t="s">
        <v>13284</v>
      </c>
      <c r="M1532" s="9" t="s">
        <v>13284</v>
      </c>
      <c r="N1532" s="9" t="s">
        <v>13284</v>
      </c>
      <c r="O1532" s="9" t="s">
        <v>13284</v>
      </c>
      <c r="P1532" s="9" t="s">
        <v>13284</v>
      </c>
      <c r="Q1532" s="9" t="s">
        <v>13284</v>
      </c>
      <c r="R1532" s="9" t="s">
        <v>13284</v>
      </c>
      <c r="S1532" s="9" t="s">
        <v>13284</v>
      </c>
      <c r="T1532" s="9" t="str">
        <f ca="1">IFERROR(IF(AND(VLOOKUP(A1532, 'Актуальное состояние (из общего'!A:C,3,0) = "", A1532 &lt;&gt; ""), "ПРОВЕРИТЬ", VLOOKUP(A1532, 'Актуальное состояние (из общего'!A:C,3,0)), "")</f>
        <v>Студент</v>
      </c>
      <c r="U1532" s="9" t="s">
        <v>13284</v>
      </c>
      <c r="V1532" s="9" t="s">
        <v>13284</v>
      </c>
      <c r="W1532" s="12"/>
      <c r="X1532" s="9" t="str">
        <f t="array" ref="X1532">IFERROR(INDEX('Адреса общежитий (скрытый)'!$B$2:$B$9, MATCH(W1532, 'Адреса общежитий (скрытый)'!$A$2:$A$9, 0)), "")</f>
        <v/>
      </c>
      <c r="Y1532" s="18"/>
      <c r="Z1532" s="18"/>
      <c r="AA1532" s="18"/>
      <c r="AB1532" s="18"/>
      <c r="AC1532" s="18"/>
    </row>
    <row r="1533" spans="1:29" ht="32.25" hidden="1" customHeight="1">
      <c r="A1533" s="8">
        <v>2303796</v>
      </c>
      <c r="B1533" s="9" t="s">
        <v>13284</v>
      </c>
      <c r="C1533" s="9" t="s">
        <v>13284</v>
      </c>
      <c r="D1533" s="9" t="s">
        <v>13284</v>
      </c>
      <c r="E1533" s="9" t="s">
        <v>13284</v>
      </c>
      <c r="F1533" s="9" t="s">
        <v>13284</v>
      </c>
      <c r="G1533" s="9" t="s">
        <v>13284</v>
      </c>
      <c r="H1533" s="9" t="s">
        <v>13284</v>
      </c>
      <c r="I1533" s="9" t="s">
        <v>13284</v>
      </c>
      <c r="J1533" s="9" t="s">
        <v>13284</v>
      </c>
      <c r="K1533" s="9" t="s">
        <v>13284</v>
      </c>
      <c r="L1533" s="9" t="s">
        <v>13284</v>
      </c>
      <c r="M1533" s="9" t="s">
        <v>13284</v>
      </c>
      <c r="N1533" s="9" t="s">
        <v>13284</v>
      </c>
      <c r="O1533" s="9" t="s">
        <v>13284</v>
      </c>
      <c r="P1533" s="9" t="s">
        <v>13284</v>
      </c>
      <c r="Q1533" s="9" t="s">
        <v>13284</v>
      </c>
      <c r="R1533" s="9" t="s">
        <v>13284</v>
      </c>
      <c r="S1533" s="9" t="s">
        <v>13284</v>
      </c>
      <c r="T1533" s="9" t="str">
        <f ca="1">IFERROR(IF(AND(VLOOKUP(A1533, 'Актуальное состояние (из общего'!A:C,3,0) = "", A1533 &lt;&gt; ""), "ПРОВЕРИТЬ", VLOOKUP(A1533, 'Актуальное состояние (из общего'!A:C,3,0)), "")</f>
        <v>Студент</v>
      </c>
      <c r="U1533" s="9" t="s">
        <v>13284</v>
      </c>
      <c r="V1533" s="9" t="s">
        <v>13284</v>
      </c>
      <c r="W1533" s="12"/>
      <c r="X1533" s="9" t="str">
        <f t="array" ref="X1533">IFERROR(INDEX('Адреса общежитий (скрытый)'!$B$2:$B$9, MATCH(W1533, 'Адреса общежитий (скрытый)'!$A$2:$A$9, 0)), "")</f>
        <v/>
      </c>
      <c r="Y1533" s="18"/>
      <c r="Z1533" s="18"/>
      <c r="AA1533" s="18"/>
      <c r="AB1533" s="18"/>
      <c r="AC1533" s="18"/>
    </row>
    <row r="1534" spans="1:29" ht="32.25" hidden="1" customHeight="1">
      <c r="A1534" s="8">
        <v>2302401</v>
      </c>
      <c r="B1534" s="9" t="s">
        <v>13284</v>
      </c>
      <c r="C1534" s="9" t="s">
        <v>13284</v>
      </c>
      <c r="D1534" s="9" t="s">
        <v>13284</v>
      </c>
      <c r="E1534" s="9" t="s">
        <v>13284</v>
      </c>
      <c r="F1534" s="9" t="s">
        <v>13284</v>
      </c>
      <c r="G1534" s="9" t="s">
        <v>13284</v>
      </c>
      <c r="H1534" s="9" t="s">
        <v>13284</v>
      </c>
      <c r="I1534" s="9" t="s">
        <v>13284</v>
      </c>
      <c r="J1534" s="9" t="s">
        <v>13284</v>
      </c>
      <c r="K1534" s="9" t="s">
        <v>13284</v>
      </c>
      <c r="L1534" s="9" t="s">
        <v>13284</v>
      </c>
      <c r="M1534" s="9" t="s">
        <v>13284</v>
      </c>
      <c r="N1534" s="9" t="s">
        <v>13284</v>
      </c>
      <c r="O1534" s="9" t="s">
        <v>13284</v>
      </c>
      <c r="P1534" s="9" t="s">
        <v>13284</v>
      </c>
      <c r="Q1534" s="9" t="s">
        <v>13284</v>
      </c>
      <c r="R1534" s="9" t="s">
        <v>13284</v>
      </c>
      <c r="S1534" s="9" t="s">
        <v>13284</v>
      </c>
      <c r="T1534" s="9" t="str">
        <f ca="1">IFERROR(IF(AND(VLOOKUP(A1534, 'Актуальное состояние (из общего'!A:C,3,0) = "", A1534 &lt;&gt; ""), "ПРОВЕРИТЬ", VLOOKUP(A1534, 'Актуальное состояние (из общего'!A:C,3,0)), "")</f>
        <v>Студент</v>
      </c>
      <c r="U1534" s="9" t="s">
        <v>13284</v>
      </c>
      <c r="V1534" s="9" t="s">
        <v>13284</v>
      </c>
      <c r="W1534" s="12"/>
      <c r="X1534" s="9" t="str">
        <f t="array" ref="X1534">IFERROR(INDEX('Адреса общежитий (скрытый)'!$B$2:$B$9, MATCH(W1534, 'Адреса общежитий (скрытый)'!$A$2:$A$9, 0)), "")</f>
        <v/>
      </c>
      <c r="Y1534" s="18"/>
      <c r="Z1534" s="18"/>
      <c r="AA1534" s="18"/>
      <c r="AB1534" s="18"/>
      <c r="AC1534" s="18"/>
    </row>
    <row r="1535" spans="1:29" ht="32.25" customHeight="1">
      <c r="A1535" s="8">
        <v>2302213</v>
      </c>
      <c r="B1535" s="9" t="s">
        <v>13284</v>
      </c>
      <c r="C1535" s="9" t="s">
        <v>13284</v>
      </c>
      <c r="D1535" s="9" t="s">
        <v>13284</v>
      </c>
      <c r="E1535" s="9" t="s">
        <v>13284</v>
      </c>
      <c r="F1535" s="9" t="s">
        <v>13284</v>
      </c>
      <c r="G1535" s="9" t="s">
        <v>13284</v>
      </c>
      <c r="H1535" s="9" t="s">
        <v>13284</v>
      </c>
      <c r="I1535" s="9" t="s">
        <v>13284</v>
      </c>
      <c r="J1535" s="9" t="s">
        <v>13284</v>
      </c>
      <c r="K1535" s="9" t="s">
        <v>13284</v>
      </c>
      <c r="L1535" s="9" t="s">
        <v>13284</v>
      </c>
      <c r="M1535" s="9" t="s">
        <v>13284</v>
      </c>
      <c r="N1535" s="9" t="s">
        <v>13284</v>
      </c>
      <c r="O1535" s="9" t="s">
        <v>13284</v>
      </c>
      <c r="P1535" s="9" t="s">
        <v>13284</v>
      </c>
      <c r="Q1535" s="9" t="s">
        <v>13284</v>
      </c>
      <c r="R1535" s="9" t="s">
        <v>13284</v>
      </c>
      <c r="S1535" s="9" t="s">
        <v>13284</v>
      </c>
      <c r="T1535" s="9" t="str">
        <f ca="1">IFERROR(IF(AND(VLOOKUP(A1535, 'Актуальное состояние (из общего'!A:C,3,0) = "", A1535 &lt;&gt; ""), "ПРОВЕРИТЬ", VLOOKUP(A1535, 'Актуальное состояние (из общего'!A:C,3,0)), "")</f>
        <v>Студент</v>
      </c>
      <c r="U1535" s="9" t="s">
        <v>13284</v>
      </c>
      <c r="V1535" s="9" t="s">
        <v>13284</v>
      </c>
      <c r="W1535" s="9" t="s">
        <v>319</v>
      </c>
      <c r="X1535" s="9" t="str">
        <f t="array" ref="X1535">IFERROR(INDEX('Адреса общежитий (скрытый)'!$B$2:$B$9, MATCH(W1535, 'Адреса общежитий (скрытый)'!$A$2:$A$9, 0)), "")</f>
        <v>ул. Профсоюзная, д.83, корп. 2</v>
      </c>
      <c r="Y1535" s="18"/>
      <c r="Z1535" s="18"/>
      <c r="AA1535" s="18"/>
      <c r="AB1535" s="18"/>
      <c r="AC1535" s="18"/>
    </row>
    <row r="1536" spans="1:29" ht="32.25" hidden="1" customHeight="1">
      <c r="A1536" s="8">
        <v>2301710</v>
      </c>
      <c r="B1536" s="9" t="s">
        <v>13284</v>
      </c>
      <c r="C1536" s="9" t="s">
        <v>13284</v>
      </c>
      <c r="D1536" s="9" t="s">
        <v>13284</v>
      </c>
      <c r="E1536" s="9" t="s">
        <v>13284</v>
      </c>
      <c r="F1536" s="9" t="s">
        <v>13284</v>
      </c>
      <c r="G1536" s="9" t="s">
        <v>13284</v>
      </c>
      <c r="H1536" s="9" t="s">
        <v>13284</v>
      </c>
      <c r="I1536" s="9" t="s">
        <v>13284</v>
      </c>
      <c r="J1536" s="9" t="s">
        <v>13284</v>
      </c>
      <c r="K1536" s="9" t="s">
        <v>13284</v>
      </c>
      <c r="L1536" s="9" t="s">
        <v>13284</v>
      </c>
      <c r="M1536" s="9" t="s">
        <v>13284</v>
      </c>
      <c r="N1536" s="9" t="s">
        <v>13284</v>
      </c>
      <c r="O1536" s="9" t="s">
        <v>13284</v>
      </c>
      <c r="P1536" s="9" t="s">
        <v>13284</v>
      </c>
      <c r="Q1536" s="9" t="s">
        <v>13284</v>
      </c>
      <c r="R1536" s="9" t="s">
        <v>13284</v>
      </c>
      <c r="S1536" s="9" t="s">
        <v>13284</v>
      </c>
      <c r="T1536" s="9" t="str">
        <f ca="1">IFERROR(IF(AND(VLOOKUP(A1536, 'Актуальное состояние (из общего'!A:C,3,0) = "", A1536 &lt;&gt; ""), "ПРОВЕРИТЬ", VLOOKUP(A1536, 'Актуальное состояние (из общего'!A:C,3,0)), "")</f>
        <v>Студент</v>
      </c>
      <c r="U1536" s="9" t="s">
        <v>13284</v>
      </c>
      <c r="V1536" s="9" t="s">
        <v>13284</v>
      </c>
      <c r="W1536" s="12"/>
      <c r="X1536" s="9" t="str">
        <f t="array" ref="X1536">IFERROR(INDEX('Адреса общежитий (скрытый)'!$B$2:$B$9, MATCH(W1536, 'Адреса общежитий (скрытый)'!$A$2:$A$9, 0)), "")</f>
        <v/>
      </c>
      <c r="Y1536" s="18"/>
      <c r="Z1536" s="18"/>
      <c r="AA1536" s="18"/>
      <c r="AB1536" s="18"/>
      <c r="AC1536" s="18"/>
    </row>
    <row r="1537" spans="1:29" ht="32.25" customHeight="1">
      <c r="A1537" s="8">
        <v>2302883</v>
      </c>
      <c r="B1537" s="9" t="s">
        <v>13284</v>
      </c>
      <c r="C1537" s="9" t="s">
        <v>13284</v>
      </c>
      <c r="D1537" s="9" t="s">
        <v>13284</v>
      </c>
      <c r="E1537" s="9" t="s">
        <v>13284</v>
      </c>
      <c r="F1537" s="9" t="s">
        <v>13284</v>
      </c>
      <c r="G1537" s="9" t="s">
        <v>13284</v>
      </c>
      <c r="H1537" s="9" t="s">
        <v>13284</v>
      </c>
      <c r="I1537" s="9" t="s">
        <v>13284</v>
      </c>
      <c r="J1537" s="9" t="s">
        <v>13284</v>
      </c>
      <c r="K1537" s="9" t="s">
        <v>13284</v>
      </c>
      <c r="L1537" s="9" t="s">
        <v>13284</v>
      </c>
      <c r="M1537" s="9" t="s">
        <v>13284</v>
      </c>
      <c r="N1537" s="9" t="s">
        <v>13284</v>
      </c>
      <c r="O1537" s="9" t="s">
        <v>13284</v>
      </c>
      <c r="P1537" s="9" t="s">
        <v>13284</v>
      </c>
      <c r="Q1537" s="9" t="s">
        <v>13284</v>
      </c>
      <c r="R1537" s="9" t="s">
        <v>13284</v>
      </c>
      <c r="S1537" s="9" t="s">
        <v>13284</v>
      </c>
      <c r="T1537" s="9" t="str">
        <f ca="1">IFERROR(IF(AND(VLOOKUP(A1537, 'Актуальное состояние (из общего'!A:C,3,0) = "", A1537 &lt;&gt; ""), "ПРОВЕРИТЬ", VLOOKUP(A1537, 'Актуальное состояние (из общего'!A:C,3,0)), "")</f>
        <v>Студент</v>
      </c>
      <c r="U1537" s="9" t="s">
        <v>13284</v>
      </c>
      <c r="V1537" s="9" t="s">
        <v>13284</v>
      </c>
      <c r="W1537" s="9" t="s">
        <v>319</v>
      </c>
      <c r="X1537" s="9" t="str">
        <f t="array" ref="X1537">IFERROR(INDEX('Адреса общежитий (скрытый)'!$B$2:$B$9, MATCH(W1537, 'Адреса общежитий (скрытый)'!$A$2:$A$9, 0)), "")</f>
        <v>ул. Профсоюзная, д.83, корп. 2</v>
      </c>
      <c r="Y1537" s="18"/>
      <c r="Z1537" s="18"/>
      <c r="AA1537" s="18"/>
      <c r="AB1537" s="18"/>
      <c r="AC1537" s="18"/>
    </row>
    <row r="1538" spans="1:29" ht="32.25" hidden="1" customHeight="1">
      <c r="A1538" s="8">
        <v>2302318</v>
      </c>
      <c r="B1538" s="9" t="s">
        <v>13284</v>
      </c>
      <c r="C1538" s="9" t="s">
        <v>13284</v>
      </c>
      <c r="D1538" s="9" t="s">
        <v>13284</v>
      </c>
      <c r="E1538" s="9" t="s">
        <v>13284</v>
      </c>
      <c r="F1538" s="9" t="s">
        <v>13284</v>
      </c>
      <c r="G1538" s="9" t="s">
        <v>13284</v>
      </c>
      <c r="H1538" s="9" t="s">
        <v>13284</v>
      </c>
      <c r="I1538" s="9" t="s">
        <v>13284</v>
      </c>
      <c r="J1538" s="9" t="s">
        <v>13284</v>
      </c>
      <c r="K1538" s="9" t="s">
        <v>13284</v>
      </c>
      <c r="L1538" s="9" t="s">
        <v>13284</v>
      </c>
      <c r="M1538" s="9" t="s">
        <v>13284</v>
      </c>
      <c r="N1538" s="9" t="s">
        <v>13284</v>
      </c>
      <c r="O1538" s="9" t="s">
        <v>13284</v>
      </c>
      <c r="P1538" s="9" t="s">
        <v>13284</v>
      </c>
      <c r="Q1538" s="9" t="s">
        <v>13284</v>
      </c>
      <c r="R1538" s="9" t="s">
        <v>13284</v>
      </c>
      <c r="S1538" s="9" t="s">
        <v>13284</v>
      </c>
      <c r="T1538" s="9" t="str">
        <f ca="1">IFERROR(IF(AND(VLOOKUP(A1538, 'Актуальное состояние (из общего'!A:C,3,0) = "", A1538 &lt;&gt; ""), "ПРОВЕРИТЬ", VLOOKUP(A1538, 'Актуальное состояние (из общего'!A:C,3,0)), "")</f>
        <v>Студент</v>
      </c>
      <c r="U1538" s="9" t="s">
        <v>13284</v>
      </c>
      <c r="V1538" s="9" t="s">
        <v>13284</v>
      </c>
      <c r="W1538" s="12"/>
      <c r="X1538" s="9" t="str">
        <f t="array" ref="X1538">IFERROR(INDEX('Адреса общежитий (скрытый)'!$B$2:$B$9, MATCH(W1538, 'Адреса общежитий (скрытый)'!$A$2:$A$9, 0)), "")</f>
        <v/>
      </c>
      <c r="Y1538" s="18"/>
      <c r="Z1538" s="18"/>
      <c r="AA1538" s="18"/>
      <c r="AB1538" s="18"/>
      <c r="AC1538" s="18"/>
    </row>
    <row r="1539" spans="1:29" ht="32.25" customHeight="1">
      <c r="A1539" s="8">
        <v>2311158</v>
      </c>
      <c r="B1539" s="9" t="s">
        <v>13284</v>
      </c>
      <c r="C1539" s="9" t="s">
        <v>13284</v>
      </c>
      <c r="D1539" s="9" t="s">
        <v>13284</v>
      </c>
      <c r="E1539" s="9" t="s">
        <v>13284</v>
      </c>
      <c r="F1539" s="9" t="s">
        <v>13284</v>
      </c>
      <c r="G1539" s="9" t="s">
        <v>13284</v>
      </c>
      <c r="H1539" s="9" t="s">
        <v>13284</v>
      </c>
      <c r="I1539" s="9" t="s">
        <v>13284</v>
      </c>
      <c r="J1539" s="9" t="s">
        <v>13284</v>
      </c>
      <c r="K1539" s="9" t="s">
        <v>13284</v>
      </c>
      <c r="L1539" s="9" t="s">
        <v>13284</v>
      </c>
      <c r="M1539" s="9" t="s">
        <v>13284</v>
      </c>
      <c r="N1539" s="9" t="s">
        <v>13284</v>
      </c>
      <c r="O1539" s="9" t="s">
        <v>13284</v>
      </c>
      <c r="P1539" s="9" t="s">
        <v>13284</v>
      </c>
      <c r="Q1539" s="9" t="s">
        <v>13284</v>
      </c>
      <c r="R1539" s="9" t="s">
        <v>13284</v>
      </c>
      <c r="S1539" s="9" t="s">
        <v>13284</v>
      </c>
      <c r="T1539" s="9" t="str">
        <f ca="1">IFERROR(IF(AND(VLOOKUP(A1539, 'Актуальное состояние (из общего'!A:C,3,0) = "", A1539 &lt;&gt; ""), "ПРОВЕРИТЬ", VLOOKUP(A1539, 'Актуальное состояние (из общего'!A:C,3,0)), "")</f>
        <v>Студент</v>
      </c>
      <c r="U1539" s="9" t="s">
        <v>13284</v>
      </c>
      <c r="V1539" s="9" t="s">
        <v>13284</v>
      </c>
      <c r="W1539" s="12"/>
      <c r="X1539" s="9" t="str">
        <f t="array" ref="X1539">IFERROR(INDEX('Адреса общежитий (скрытый)'!$B$2:$B$9, MATCH(W1539, 'Адреса общежитий (скрытый)'!$A$2:$A$9, 0)), "")</f>
        <v/>
      </c>
      <c r="Y1539" s="18"/>
      <c r="Z1539" s="18"/>
      <c r="AA1539" s="18"/>
      <c r="AB1539" s="18"/>
      <c r="AC1539" s="18"/>
    </row>
    <row r="1540" spans="1:29" ht="32.25" customHeight="1">
      <c r="A1540" s="8">
        <v>2314004</v>
      </c>
      <c r="B1540" s="9" t="s">
        <v>13284</v>
      </c>
      <c r="C1540" s="9" t="s">
        <v>13284</v>
      </c>
      <c r="D1540" s="9" t="s">
        <v>13284</v>
      </c>
      <c r="E1540" s="9" t="s">
        <v>13284</v>
      </c>
      <c r="F1540" s="9" t="s">
        <v>13284</v>
      </c>
      <c r="G1540" s="9" t="s">
        <v>13284</v>
      </c>
      <c r="H1540" s="9" t="s">
        <v>13284</v>
      </c>
      <c r="I1540" s="9" t="s">
        <v>13284</v>
      </c>
      <c r="J1540" s="9" t="s">
        <v>13284</v>
      </c>
      <c r="K1540" s="9" t="s">
        <v>13284</v>
      </c>
      <c r="L1540" s="9" t="s">
        <v>13284</v>
      </c>
      <c r="M1540" s="9" t="s">
        <v>13284</v>
      </c>
      <c r="N1540" s="9" t="s">
        <v>13284</v>
      </c>
      <c r="O1540" s="9" t="s">
        <v>13284</v>
      </c>
      <c r="P1540" s="9" t="s">
        <v>13284</v>
      </c>
      <c r="Q1540" s="9" t="s">
        <v>13284</v>
      </c>
      <c r="R1540" s="9" t="s">
        <v>13284</v>
      </c>
      <c r="S1540" s="9" t="s">
        <v>13284</v>
      </c>
      <c r="T1540" s="9" t="str">
        <f ca="1">IFERROR(IF(AND(VLOOKUP(A1540, 'Актуальное состояние (из общего'!A:C,3,0) = "", A1540 &lt;&gt; ""), "ПРОВЕРИТЬ", VLOOKUP(A1540, 'Актуальное состояние (из общего'!A:C,3,0)), "")</f>
        <v>Студент</v>
      </c>
      <c r="U1540" s="9" t="s">
        <v>13284</v>
      </c>
      <c r="V1540" s="9" t="s">
        <v>13284</v>
      </c>
      <c r="W1540" s="12"/>
      <c r="X1540" s="9" t="str">
        <f t="array" ref="X1540">IFERROR(INDEX('Адреса общежитий (скрытый)'!$B$2:$B$9, MATCH(W1540, 'Адреса общежитий (скрытый)'!$A$2:$A$9, 0)), "")</f>
        <v/>
      </c>
      <c r="Y1540" s="18"/>
      <c r="Z1540" s="18"/>
      <c r="AA1540" s="18"/>
      <c r="AB1540" s="18"/>
      <c r="AC1540" s="18"/>
    </row>
    <row r="1541" spans="1:29" ht="32.25" hidden="1" customHeight="1">
      <c r="A1541" s="8">
        <v>2310084</v>
      </c>
      <c r="B1541" s="9" t="s">
        <v>13284</v>
      </c>
      <c r="C1541" s="9" t="s">
        <v>13284</v>
      </c>
      <c r="D1541" s="9" t="s">
        <v>13284</v>
      </c>
      <c r="E1541" s="9" t="s">
        <v>13284</v>
      </c>
      <c r="F1541" s="9" t="s">
        <v>13284</v>
      </c>
      <c r="G1541" s="9" t="s">
        <v>13284</v>
      </c>
      <c r="H1541" s="9" t="s">
        <v>13284</v>
      </c>
      <c r="I1541" s="9" t="s">
        <v>13284</v>
      </c>
      <c r="J1541" s="9" t="s">
        <v>13284</v>
      </c>
      <c r="K1541" s="9" t="s">
        <v>13284</v>
      </c>
      <c r="L1541" s="9" t="s">
        <v>13284</v>
      </c>
      <c r="M1541" s="9" t="s">
        <v>13284</v>
      </c>
      <c r="N1541" s="9" t="s">
        <v>13284</v>
      </c>
      <c r="O1541" s="9" t="s">
        <v>13284</v>
      </c>
      <c r="P1541" s="9" t="s">
        <v>13284</v>
      </c>
      <c r="Q1541" s="9" t="s">
        <v>13284</v>
      </c>
      <c r="R1541" s="9" t="s">
        <v>13284</v>
      </c>
      <c r="S1541" s="9" t="s">
        <v>13284</v>
      </c>
      <c r="T1541" s="9" t="str">
        <f ca="1">IFERROR(IF(AND(VLOOKUP(A1541, 'Актуальное состояние (из общего'!A:C,3,0) = "", A1541 &lt;&gt; ""), "ПРОВЕРИТЬ", VLOOKUP(A1541, 'Актуальное состояние (из общего'!A:C,3,0)), "")</f>
        <v>Студент</v>
      </c>
      <c r="U1541" s="9" t="s">
        <v>13284</v>
      </c>
      <c r="V1541" s="9" t="s">
        <v>13284</v>
      </c>
      <c r="W1541" s="12"/>
      <c r="X1541" s="9" t="str">
        <f t="array" ref="X1541">IFERROR(INDEX('Адреса общежитий (скрытый)'!$B$2:$B$9, MATCH(W1541, 'Адреса общежитий (скрытый)'!$A$2:$A$9, 0)), "")</f>
        <v/>
      </c>
      <c r="Y1541" s="18"/>
      <c r="Z1541" s="18"/>
      <c r="AA1541" s="18"/>
      <c r="AB1541" s="18"/>
      <c r="AC1541" s="18"/>
    </row>
    <row r="1542" spans="1:29" ht="32.25" customHeight="1">
      <c r="A1542" s="8">
        <v>2302774</v>
      </c>
      <c r="B1542" s="9" t="s">
        <v>13284</v>
      </c>
      <c r="C1542" s="9" t="s">
        <v>13284</v>
      </c>
      <c r="D1542" s="9" t="s">
        <v>13284</v>
      </c>
      <c r="E1542" s="9" t="s">
        <v>13284</v>
      </c>
      <c r="F1542" s="9" t="s">
        <v>13284</v>
      </c>
      <c r="G1542" s="9" t="s">
        <v>13284</v>
      </c>
      <c r="H1542" s="9" t="s">
        <v>13284</v>
      </c>
      <c r="I1542" s="9" t="s">
        <v>13284</v>
      </c>
      <c r="J1542" s="9" t="s">
        <v>13284</v>
      </c>
      <c r="K1542" s="9" t="s">
        <v>13284</v>
      </c>
      <c r="L1542" s="9" t="s">
        <v>13284</v>
      </c>
      <c r="M1542" s="9" t="s">
        <v>13284</v>
      </c>
      <c r="N1542" s="9" t="s">
        <v>13284</v>
      </c>
      <c r="O1542" s="9" t="s">
        <v>13284</v>
      </c>
      <c r="P1542" s="9" t="s">
        <v>13284</v>
      </c>
      <c r="Q1542" s="9" t="s">
        <v>13284</v>
      </c>
      <c r="R1542" s="9" t="s">
        <v>13284</v>
      </c>
      <c r="S1542" s="9" t="s">
        <v>13284</v>
      </c>
      <c r="T1542" s="9" t="str">
        <f ca="1">IFERROR(IF(AND(VLOOKUP(A1542, 'Актуальное состояние (из общего'!A:C,3,0) = "", A1542 &lt;&gt; ""), "ПРОВЕРИТЬ", VLOOKUP(A1542, 'Актуальное состояние (из общего'!A:C,3,0)), "")</f>
        <v>Студент</v>
      </c>
      <c r="U1542" s="9" t="s">
        <v>13284</v>
      </c>
      <c r="V1542" s="9" t="s">
        <v>13284</v>
      </c>
      <c r="W1542" s="12"/>
      <c r="X1542" s="9" t="str">
        <f t="array" ref="X1542">IFERROR(INDEX('Адреса общежитий (скрытый)'!$B$2:$B$9, MATCH(W1542, 'Адреса общежитий (скрытый)'!$A$2:$A$9, 0)), "")</f>
        <v/>
      </c>
      <c r="Y1542" s="18"/>
      <c r="Z1542" s="18"/>
      <c r="AA1542" s="18"/>
      <c r="AB1542" s="18"/>
      <c r="AC1542" s="18"/>
    </row>
    <row r="1543" spans="1:29" ht="32.25" hidden="1" customHeight="1">
      <c r="A1543" s="8">
        <v>2306679</v>
      </c>
      <c r="B1543" s="9" t="s">
        <v>13284</v>
      </c>
      <c r="C1543" s="9" t="s">
        <v>13284</v>
      </c>
      <c r="D1543" s="9" t="s">
        <v>13284</v>
      </c>
      <c r="E1543" s="9" t="s">
        <v>13284</v>
      </c>
      <c r="F1543" s="9" t="s">
        <v>13284</v>
      </c>
      <c r="G1543" s="9" t="s">
        <v>13284</v>
      </c>
      <c r="H1543" s="9" t="s">
        <v>13284</v>
      </c>
      <c r="I1543" s="9" t="s">
        <v>13284</v>
      </c>
      <c r="J1543" s="9" t="s">
        <v>13284</v>
      </c>
      <c r="K1543" s="9" t="s">
        <v>13284</v>
      </c>
      <c r="L1543" s="9" t="s">
        <v>13284</v>
      </c>
      <c r="M1543" s="9" t="s">
        <v>13284</v>
      </c>
      <c r="N1543" s="9" t="s">
        <v>13284</v>
      </c>
      <c r="O1543" s="9" t="s">
        <v>13284</v>
      </c>
      <c r="P1543" s="9" t="s">
        <v>13284</v>
      </c>
      <c r="Q1543" s="9" t="s">
        <v>13284</v>
      </c>
      <c r="R1543" s="9" t="s">
        <v>13284</v>
      </c>
      <c r="S1543" s="9" t="s">
        <v>13284</v>
      </c>
      <c r="T1543" s="9" t="str">
        <f ca="1">IFERROR(IF(AND(VLOOKUP(A1543, 'Актуальное состояние (из общего'!A:C,3,0) = "", A1543 &lt;&gt; ""), "ПРОВЕРИТЬ", VLOOKUP(A1543, 'Актуальное состояние (из общего'!A:C,3,0)), "")</f>
        <v>Студент</v>
      </c>
      <c r="U1543" s="9" t="s">
        <v>13284</v>
      </c>
      <c r="V1543" s="9" t="s">
        <v>13284</v>
      </c>
      <c r="W1543" s="12"/>
      <c r="X1543" s="9" t="str">
        <f t="array" ref="X1543">IFERROR(INDEX('Адреса общежитий (скрытый)'!$B$2:$B$9, MATCH(W1543, 'Адреса общежитий (скрытый)'!$A$2:$A$9, 0)), "")</f>
        <v/>
      </c>
      <c r="Y1543" s="18"/>
      <c r="Z1543" s="18"/>
      <c r="AA1543" s="18"/>
      <c r="AB1543" s="18"/>
      <c r="AC1543" s="18"/>
    </row>
    <row r="1544" spans="1:29" ht="32.25" hidden="1" customHeight="1">
      <c r="A1544" s="8">
        <v>2306721</v>
      </c>
      <c r="B1544" s="9" t="s">
        <v>13284</v>
      </c>
      <c r="C1544" s="9" t="s">
        <v>13284</v>
      </c>
      <c r="D1544" s="9" t="s">
        <v>13284</v>
      </c>
      <c r="E1544" s="9" t="s">
        <v>13284</v>
      </c>
      <c r="F1544" s="9" t="s">
        <v>13284</v>
      </c>
      <c r="G1544" s="9" t="s">
        <v>13284</v>
      </c>
      <c r="H1544" s="9" t="s">
        <v>13284</v>
      </c>
      <c r="I1544" s="9" t="s">
        <v>13284</v>
      </c>
      <c r="J1544" s="9" t="s">
        <v>13284</v>
      </c>
      <c r="K1544" s="9" t="s">
        <v>13284</v>
      </c>
      <c r="L1544" s="9" t="s">
        <v>13284</v>
      </c>
      <c r="M1544" s="9" t="s">
        <v>13284</v>
      </c>
      <c r="N1544" s="9" t="s">
        <v>13284</v>
      </c>
      <c r="O1544" s="9" t="s">
        <v>13284</v>
      </c>
      <c r="P1544" s="9" t="s">
        <v>13284</v>
      </c>
      <c r="Q1544" s="9" t="s">
        <v>13284</v>
      </c>
      <c r="R1544" s="9" t="s">
        <v>13284</v>
      </c>
      <c r="S1544" s="9" t="s">
        <v>13284</v>
      </c>
      <c r="T1544" s="9" t="str">
        <f ca="1">IFERROR(IF(AND(VLOOKUP(A1544, 'Актуальное состояние (из общего'!A:C,3,0) = "", A1544 &lt;&gt; ""), "ПРОВЕРИТЬ", VLOOKUP(A1544, 'Актуальное состояние (из общего'!A:C,3,0)), "")</f>
        <v>Студент</v>
      </c>
      <c r="U1544" s="9" t="s">
        <v>13284</v>
      </c>
      <c r="V1544" s="9" t="s">
        <v>13284</v>
      </c>
      <c r="W1544" s="12"/>
      <c r="X1544" s="9" t="str">
        <f t="array" ref="X1544">IFERROR(INDEX('Адреса общежитий (скрытый)'!$B$2:$B$9, MATCH(W1544, 'Адреса общежитий (скрытый)'!$A$2:$A$9, 0)), "")</f>
        <v/>
      </c>
      <c r="Y1544" s="18" t="s">
        <v>3970</v>
      </c>
      <c r="Z1544" s="18"/>
      <c r="AA1544" s="18"/>
      <c r="AB1544" s="18"/>
      <c r="AC1544" s="18"/>
    </row>
    <row r="1545" spans="1:29" ht="32.25" customHeight="1">
      <c r="A1545" s="8">
        <v>2304963</v>
      </c>
      <c r="B1545" s="9" t="s">
        <v>13284</v>
      </c>
      <c r="C1545" s="9" t="s">
        <v>13284</v>
      </c>
      <c r="D1545" s="9" t="s">
        <v>13284</v>
      </c>
      <c r="E1545" s="9" t="s">
        <v>13284</v>
      </c>
      <c r="F1545" s="9" t="s">
        <v>13284</v>
      </c>
      <c r="G1545" s="9" t="s">
        <v>13284</v>
      </c>
      <c r="H1545" s="9" t="s">
        <v>13284</v>
      </c>
      <c r="I1545" s="9" t="s">
        <v>13284</v>
      </c>
      <c r="J1545" s="9" t="s">
        <v>13284</v>
      </c>
      <c r="K1545" s="9" t="s">
        <v>13284</v>
      </c>
      <c r="L1545" s="9" t="s">
        <v>13284</v>
      </c>
      <c r="M1545" s="9" t="s">
        <v>13284</v>
      </c>
      <c r="N1545" s="9" t="s">
        <v>13284</v>
      </c>
      <c r="O1545" s="9" t="s">
        <v>13284</v>
      </c>
      <c r="P1545" s="9" t="s">
        <v>13284</v>
      </c>
      <c r="Q1545" s="9" t="s">
        <v>13284</v>
      </c>
      <c r="R1545" s="9" t="s">
        <v>13284</v>
      </c>
      <c r="S1545" s="9" t="s">
        <v>13284</v>
      </c>
      <c r="T1545" s="9" t="str">
        <f ca="1">IFERROR(IF(AND(VLOOKUP(A1545, 'Актуальное состояние (из общего'!A:C,3,0) = "", A1545 &lt;&gt; ""), "ПРОВЕРИТЬ", VLOOKUP(A1545, 'Актуальное состояние (из общего'!A:C,3,0)), "")</f>
        <v>Студент</v>
      </c>
      <c r="U1545" s="9" t="s">
        <v>13284</v>
      </c>
      <c r="V1545" s="9" t="s">
        <v>13284</v>
      </c>
      <c r="W1545" s="9" t="s">
        <v>319</v>
      </c>
      <c r="X1545" s="9" t="str">
        <f t="array" ref="X1545">IFERROR(INDEX('Адреса общежитий (скрытый)'!$B$2:$B$9, MATCH(W1545, 'Адреса общежитий (скрытый)'!$A$2:$A$9, 0)), "")</f>
        <v>ул. Профсоюзная, д.83, корп. 2</v>
      </c>
      <c r="Y1545" s="18"/>
      <c r="Z1545" s="18"/>
      <c r="AA1545" s="18"/>
      <c r="AB1545" s="18"/>
      <c r="AC1545" s="18"/>
    </row>
    <row r="1546" spans="1:29" ht="32.25" hidden="1" customHeight="1">
      <c r="A1546" s="8">
        <v>2310921</v>
      </c>
      <c r="B1546" s="9" t="s">
        <v>13284</v>
      </c>
      <c r="C1546" s="9" t="s">
        <v>13284</v>
      </c>
      <c r="D1546" s="9" t="s">
        <v>13284</v>
      </c>
      <c r="E1546" s="9" t="s">
        <v>13284</v>
      </c>
      <c r="F1546" s="9" t="s">
        <v>13284</v>
      </c>
      <c r="G1546" s="9" t="s">
        <v>13284</v>
      </c>
      <c r="H1546" s="9" t="s">
        <v>13284</v>
      </c>
      <c r="I1546" s="9" t="s">
        <v>13284</v>
      </c>
      <c r="J1546" s="9" t="s">
        <v>13284</v>
      </c>
      <c r="K1546" s="9" t="s">
        <v>13284</v>
      </c>
      <c r="L1546" s="9" t="s">
        <v>13284</v>
      </c>
      <c r="M1546" s="9" t="s">
        <v>13284</v>
      </c>
      <c r="N1546" s="9" t="s">
        <v>13284</v>
      </c>
      <c r="O1546" s="9" t="s">
        <v>13284</v>
      </c>
      <c r="P1546" s="9" t="s">
        <v>13284</v>
      </c>
      <c r="Q1546" s="9" t="s">
        <v>13284</v>
      </c>
      <c r="R1546" s="9" t="s">
        <v>13284</v>
      </c>
      <c r="S1546" s="9" t="s">
        <v>13284</v>
      </c>
      <c r="T1546" s="9" t="str">
        <f ca="1">IFERROR(IF(AND(VLOOKUP(A1546, 'Актуальное состояние (из общего'!A:C,3,0) = "", A1546 &lt;&gt; ""), "ПРОВЕРИТЬ", VLOOKUP(A1546, 'Актуальное состояние (из общего'!A:C,3,0)), "")</f>
        <v>Студент</v>
      </c>
      <c r="U1546" s="9" t="s">
        <v>13284</v>
      </c>
      <c r="V1546" s="9" t="s">
        <v>13284</v>
      </c>
      <c r="W1546" s="12"/>
      <c r="X1546" s="9" t="str">
        <f t="array" ref="X1546">IFERROR(INDEX('Адреса общежитий (скрытый)'!$B$2:$B$9, MATCH(W1546, 'Адреса общежитий (скрытый)'!$A$2:$A$9, 0)), "")</f>
        <v/>
      </c>
      <c r="Y1546" s="18"/>
      <c r="Z1546" s="18"/>
      <c r="AA1546" s="18"/>
      <c r="AB1546" s="18"/>
      <c r="AC1546" s="18"/>
    </row>
    <row r="1547" spans="1:29" ht="32.25" hidden="1" customHeight="1">
      <c r="A1547" s="8">
        <v>2301509</v>
      </c>
      <c r="B1547" s="9" t="s">
        <v>13284</v>
      </c>
      <c r="C1547" s="9" t="s">
        <v>13284</v>
      </c>
      <c r="D1547" s="9" t="s">
        <v>13284</v>
      </c>
      <c r="E1547" s="9" t="s">
        <v>13284</v>
      </c>
      <c r="F1547" s="9" t="s">
        <v>13284</v>
      </c>
      <c r="G1547" s="9" t="s">
        <v>13284</v>
      </c>
      <c r="H1547" s="9" t="s">
        <v>13284</v>
      </c>
      <c r="I1547" s="9" t="s">
        <v>13284</v>
      </c>
      <c r="J1547" s="9" t="s">
        <v>13284</v>
      </c>
      <c r="K1547" s="9" t="s">
        <v>13284</v>
      </c>
      <c r="L1547" s="9" t="s">
        <v>13284</v>
      </c>
      <c r="M1547" s="9" t="s">
        <v>13284</v>
      </c>
      <c r="N1547" s="9" t="s">
        <v>13284</v>
      </c>
      <c r="O1547" s="9" t="s">
        <v>13284</v>
      </c>
      <c r="P1547" s="9" t="s">
        <v>13284</v>
      </c>
      <c r="Q1547" s="9" t="s">
        <v>13284</v>
      </c>
      <c r="R1547" s="9" t="s">
        <v>13284</v>
      </c>
      <c r="S1547" s="9" t="s">
        <v>13284</v>
      </c>
      <c r="T1547" s="9" t="str">
        <f ca="1">IFERROR(IF(AND(VLOOKUP(A1547, 'Актуальное состояние (из общего'!A:C,3,0) = "", A1547 &lt;&gt; ""), "ПРОВЕРИТЬ", VLOOKUP(A1547, 'Актуальное состояние (из общего'!A:C,3,0)), "")</f>
        <v>Студент</v>
      </c>
      <c r="U1547" s="9" t="s">
        <v>13284</v>
      </c>
      <c r="V1547" s="9" t="s">
        <v>13284</v>
      </c>
      <c r="W1547" s="12"/>
      <c r="X1547" s="9" t="str">
        <f t="array" ref="X1547">IFERROR(INDEX('Адреса общежитий (скрытый)'!$B$2:$B$9, MATCH(W1547, 'Адреса общежитий (скрытый)'!$A$2:$A$9, 0)), "")</f>
        <v/>
      </c>
      <c r="Y1547" s="18"/>
      <c r="Z1547" s="18"/>
      <c r="AA1547" s="18"/>
      <c r="AB1547" s="18"/>
      <c r="AC1547" s="18"/>
    </row>
    <row r="1548" spans="1:29" ht="32.25" customHeight="1">
      <c r="A1548" s="8">
        <v>2304377</v>
      </c>
      <c r="B1548" s="9" t="s">
        <v>13284</v>
      </c>
      <c r="C1548" s="9" t="s">
        <v>13284</v>
      </c>
      <c r="D1548" s="9" t="s">
        <v>13284</v>
      </c>
      <c r="E1548" s="9" t="s">
        <v>13284</v>
      </c>
      <c r="F1548" s="9" t="s">
        <v>13284</v>
      </c>
      <c r="G1548" s="9" t="s">
        <v>13284</v>
      </c>
      <c r="H1548" s="9" t="s">
        <v>13284</v>
      </c>
      <c r="I1548" s="9" t="s">
        <v>13284</v>
      </c>
      <c r="J1548" s="9" t="s">
        <v>13284</v>
      </c>
      <c r="K1548" s="9" t="s">
        <v>13284</v>
      </c>
      <c r="L1548" s="9" t="s">
        <v>13284</v>
      </c>
      <c r="M1548" s="9" t="s">
        <v>13284</v>
      </c>
      <c r="N1548" s="9" t="s">
        <v>13284</v>
      </c>
      <c r="O1548" s="9" t="s">
        <v>13284</v>
      </c>
      <c r="P1548" s="9" t="s">
        <v>13284</v>
      </c>
      <c r="Q1548" s="9" t="s">
        <v>13284</v>
      </c>
      <c r="R1548" s="9" t="s">
        <v>13284</v>
      </c>
      <c r="S1548" s="9" t="s">
        <v>13284</v>
      </c>
      <c r="T1548" s="9" t="str">
        <f ca="1">IFERROR(IF(AND(VLOOKUP(A1548, 'Актуальное состояние (из общего'!A:C,3,0) = "", A1548 &lt;&gt; ""), "ПРОВЕРИТЬ", VLOOKUP(A1548, 'Актуальное состояние (из общего'!A:C,3,0)), "")</f>
        <v>Студент</v>
      </c>
      <c r="U1548" s="9" t="s">
        <v>13284</v>
      </c>
      <c r="V1548" s="9" t="s">
        <v>13284</v>
      </c>
      <c r="W1548" s="9" t="s">
        <v>319</v>
      </c>
      <c r="X1548" s="9" t="str">
        <f t="array" ref="X1548">IFERROR(INDEX('Адреса общежитий (скрытый)'!$B$2:$B$9, MATCH(W1548, 'Адреса общежитий (скрытый)'!$A$2:$A$9, 0)), "")</f>
        <v>ул. Профсоюзная, д.83, корп. 2</v>
      </c>
      <c r="Y1548" s="18"/>
      <c r="Z1548" s="18"/>
      <c r="AA1548" s="18"/>
      <c r="AB1548" s="18"/>
      <c r="AC1548" s="18"/>
    </row>
    <row r="1549" spans="1:29" ht="32.25" hidden="1" customHeight="1">
      <c r="A1549" s="8">
        <v>2303797</v>
      </c>
      <c r="B1549" s="9" t="s">
        <v>13284</v>
      </c>
      <c r="C1549" s="9" t="s">
        <v>13284</v>
      </c>
      <c r="D1549" s="9" t="s">
        <v>13284</v>
      </c>
      <c r="E1549" s="9" t="s">
        <v>13284</v>
      </c>
      <c r="F1549" s="9" t="s">
        <v>13284</v>
      </c>
      <c r="G1549" s="9" t="s">
        <v>13284</v>
      </c>
      <c r="H1549" s="9" t="s">
        <v>13284</v>
      </c>
      <c r="I1549" s="9" t="s">
        <v>13284</v>
      </c>
      <c r="J1549" s="9" t="s">
        <v>13284</v>
      </c>
      <c r="K1549" s="9" t="s">
        <v>13284</v>
      </c>
      <c r="L1549" s="9" t="s">
        <v>13284</v>
      </c>
      <c r="M1549" s="9" t="s">
        <v>13284</v>
      </c>
      <c r="N1549" s="9" t="s">
        <v>13284</v>
      </c>
      <c r="O1549" s="9" t="s">
        <v>13284</v>
      </c>
      <c r="P1549" s="9" t="s">
        <v>13284</v>
      </c>
      <c r="Q1549" s="9" t="s">
        <v>13284</v>
      </c>
      <c r="R1549" s="9" t="s">
        <v>13284</v>
      </c>
      <c r="S1549" s="9" t="s">
        <v>13284</v>
      </c>
      <c r="T1549" s="9" t="str">
        <f ca="1">IFERROR(IF(AND(VLOOKUP(A1549, 'Актуальное состояние (из общего'!A:C,3,0) = "", A1549 &lt;&gt; ""), "ПРОВЕРИТЬ", VLOOKUP(A1549, 'Актуальное состояние (из общего'!A:C,3,0)), "")</f>
        <v>Студент</v>
      </c>
      <c r="U1549" s="9" t="s">
        <v>13284</v>
      </c>
      <c r="V1549" s="9" t="s">
        <v>13284</v>
      </c>
      <c r="W1549" s="12"/>
      <c r="X1549" s="9" t="str">
        <f t="array" ref="X1549">IFERROR(INDEX('Адреса общежитий (скрытый)'!$B$2:$B$9, MATCH(W1549, 'Адреса общежитий (скрытый)'!$A$2:$A$9, 0)), "")</f>
        <v/>
      </c>
      <c r="Y1549" s="18"/>
      <c r="Z1549" s="18"/>
      <c r="AA1549" s="18"/>
      <c r="AB1549" s="18"/>
      <c r="AC1549" s="18"/>
    </row>
    <row r="1550" spans="1:29" ht="32.25" hidden="1" customHeight="1">
      <c r="A1550" s="8">
        <v>2302573</v>
      </c>
      <c r="B1550" s="9" t="s">
        <v>13284</v>
      </c>
      <c r="C1550" s="9" t="s">
        <v>13284</v>
      </c>
      <c r="D1550" s="9" t="s">
        <v>13284</v>
      </c>
      <c r="E1550" s="9" t="s">
        <v>13284</v>
      </c>
      <c r="F1550" s="9" t="s">
        <v>13284</v>
      </c>
      <c r="G1550" s="9" t="s">
        <v>13284</v>
      </c>
      <c r="H1550" s="9" t="s">
        <v>13284</v>
      </c>
      <c r="I1550" s="9" t="s">
        <v>13284</v>
      </c>
      <c r="J1550" s="9" t="s">
        <v>13284</v>
      </c>
      <c r="K1550" s="9" t="s">
        <v>13284</v>
      </c>
      <c r="L1550" s="9" t="s">
        <v>13284</v>
      </c>
      <c r="M1550" s="9" t="s">
        <v>13284</v>
      </c>
      <c r="N1550" s="9" t="s">
        <v>13284</v>
      </c>
      <c r="O1550" s="9" t="s">
        <v>13284</v>
      </c>
      <c r="P1550" s="9" t="s">
        <v>13284</v>
      </c>
      <c r="Q1550" s="9" t="s">
        <v>13284</v>
      </c>
      <c r="R1550" s="9" t="s">
        <v>13284</v>
      </c>
      <c r="S1550" s="9" t="s">
        <v>13284</v>
      </c>
      <c r="T1550" s="9" t="str">
        <f ca="1">IFERROR(IF(AND(VLOOKUP(A1550, 'Актуальное состояние (из общего'!A:C,3,0) = "", A1550 &lt;&gt; ""), "ПРОВЕРИТЬ", VLOOKUP(A1550, 'Актуальное состояние (из общего'!A:C,3,0)), "")</f>
        <v>Студент</v>
      </c>
      <c r="U1550" s="9" t="s">
        <v>13284</v>
      </c>
      <c r="V1550" s="9" t="s">
        <v>13284</v>
      </c>
      <c r="W1550" s="12"/>
      <c r="X1550" s="9" t="str">
        <f t="array" ref="X1550">IFERROR(INDEX('Адреса общежитий (скрытый)'!$B$2:$B$9, MATCH(W1550, 'Адреса общежитий (скрытый)'!$A$2:$A$9, 0)), "")</f>
        <v/>
      </c>
      <c r="Y1550" s="18"/>
      <c r="Z1550" s="18"/>
      <c r="AA1550" s="18"/>
      <c r="AB1550" s="18"/>
      <c r="AC1550" s="18"/>
    </row>
    <row r="1551" spans="1:29" ht="32.25" hidden="1" customHeight="1">
      <c r="A1551" s="8">
        <v>2314606</v>
      </c>
      <c r="B1551" s="9" t="s">
        <v>13284</v>
      </c>
      <c r="C1551" s="9" t="s">
        <v>13284</v>
      </c>
      <c r="D1551" s="9" t="s">
        <v>13284</v>
      </c>
      <c r="E1551" s="9" t="s">
        <v>13284</v>
      </c>
      <c r="F1551" s="9" t="s">
        <v>13284</v>
      </c>
      <c r="G1551" s="9" t="s">
        <v>13284</v>
      </c>
      <c r="H1551" s="9" t="s">
        <v>13284</v>
      </c>
      <c r="I1551" s="9" t="s">
        <v>13284</v>
      </c>
      <c r="J1551" s="9" t="s">
        <v>13284</v>
      </c>
      <c r="K1551" s="9" t="s">
        <v>13284</v>
      </c>
      <c r="L1551" s="9" t="s">
        <v>13284</v>
      </c>
      <c r="M1551" s="9" t="s">
        <v>13284</v>
      </c>
      <c r="N1551" s="9" t="s">
        <v>13284</v>
      </c>
      <c r="O1551" s="9" t="s">
        <v>13284</v>
      </c>
      <c r="P1551" s="9" t="s">
        <v>13284</v>
      </c>
      <c r="Q1551" s="9" t="s">
        <v>13284</v>
      </c>
      <c r="R1551" s="9" t="s">
        <v>13284</v>
      </c>
      <c r="S1551" s="9" t="s">
        <v>13284</v>
      </c>
      <c r="T1551" s="9" t="str">
        <f ca="1">IFERROR(IF(AND(VLOOKUP(A1551, 'Актуальное состояние (из общего'!A:C,3,0) = "", A1551 &lt;&gt; ""), "ПРОВЕРИТЬ", VLOOKUP(A1551, 'Актуальное состояние (из общего'!A:C,3,0)), "")</f>
        <v>Студент</v>
      </c>
      <c r="U1551" s="9" t="s">
        <v>13284</v>
      </c>
      <c r="V1551" s="9" t="s">
        <v>13284</v>
      </c>
      <c r="W1551" s="12"/>
      <c r="X1551" s="9" t="str">
        <f t="array" ref="X1551">IFERROR(INDEX('Адреса общежитий (скрытый)'!$B$2:$B$9, MATCH(W1551, 'Адреса общежитий (скрытый)'!$A$2:$A$9, 0)), "")</f>
        <v/>
      </c>
      <c r="Y1551" s="18"/>
      <c r="Z1551" s="18"/>
      <c r="AA1551" s="18"/>
      <c r="AB1551" s="18"/>
      <c r="AC1551" s="18"/>
    </row>
    <row r="1552" spans="1:29" ht="32.25" customHeight="1">
      <c r="A1552" s="8">
        <v>2305837</v>
      </c>
      <c r="B1552" s="9" t="s">
        <v>13284</v>
      </c>
      <c r="C1552" s="9" t="s">
        <v>13284</v>
      </c>
      <c r="D1552" s="9" t="s">
        <v>13284</v>
      </c>
      <c r="E1552" s="9" t="s">
        <v>13284</v>
      </c>
      <c r="F1552" s="9" t="s">
        <v>13284</v>
      </c>
      <c r="G1552" s="9" t="s">
        <v>13284</v>
      </c>
      <c r="H1552" s="9" t="s">
        <v>13284</v>
      </c>
      <c r="I1552" s="9" t="s">
        <v>13284</v>
      </c>
      <c r="J1552" s="9" t="s">
        <v>13284</v>
      </c>
      <c r="K1552" s="9" t="s">
        <v>13284</v>
      </c>
      <c r="L1552" s="9" t="s">
        <v>13284</v>
      </c>
      <c r="M1552" s="9" t="s">
        <v>13284</v>
      </c>
      <c r="N1552" s="9" t="s">
        <v>13284</v>
      </c>
      <c r="O1552" s="9" t="s">
        <v>13284</v>
      </c>
      <c r="P1552" s="9" t="s">
        <v>13284</v>
      </c>
      <c r="Q1552" s="9" t="s">
        <v>13284</v>
      </c>
      <c r="R1552" s="9" t="s">
        <v>13284</v>
      </c>
      <c r="S1552" s="9" t="s">
        <v>13284</v>
      </c>
      <c r="T1552" s="9" t="str">
        <f ca="1">IFERROR(IF(AND(VLOOKUP(A1552, 'Актуальное состояние (из общего'!A:C,3,0) = "", A1552 &lt;&gt; ""), "ПРОВЕРИТЬ", VLOOKUP(A1552, 'Актуальное состояние (из общего'!A:C,3,0)), "")</f>
        <v>Студент</v>
      </c>
      <c r="U1552" s="9" t="s">
        <v>13284</v>
      </c>
      <c r="V1552" s="9" t="s">
        <v>13284</v>
      </c>
      <c r="W1552" s="12"/>
      <c r="X1552" s="9" t="str">
        <f t="array" ref="X1552">IFERROR(INDEX('Адреса общежитий (скрытый)'!$B$2:$B$9, MATCH(W1552, 'Адреса общежитий (скрытый)'!$A$2:$A$9, 0)), "")</f>
        <v/>
      </c>
      <c r="Y1552" s="18"/>
      <c r="Z1552" s="18"/>
      <c r="AA1552" s="18"/>
      <c r="AB1552" s="18"/>
      <c r="AC1552" s="18"/>
    </row>
    <row r="1553" spans="1:29" ht="32.25" hidden="1" customHeight="1">
      <c r="A1553" s="8">
        <v>2302250</v>
      </c>
      <c r="B1553" s="9" t="s">
        <v>13284</v>
      </c>
      <c r="C1553" s="9" t="s">
        <v>13284</v>
      </c>
      <c r="D1553" s="9" t="s">
        <v>13284</v>
      </c>
      <c r="E1553" s="9" t="s">
        <v>13284</v>
      </c>
      <c r="F1553" s="9" t="s">
        <v>13284</v>
      </c>
      <c r="G1553" s="9" t="s">
        <v>13284</v>
      </c>
      <c r="H1553" s="9" t="s">
        <v>13284</v>
      </c>
      <c r="I1553" s="9" t="s">
        <v>13284</v>
      </c>
      <c r="J1553" s="9" t="s">
        <v>13284</v>
      </c>
      <c r="K1553" s="9" t="s">
        <v>13284</v>
      </c>
      <c r="L1553" s="9" t="s">
        <v>13284</v>
      </c>
      <c r="M1553" s="9" t="s">
        <v>13284</v>
      </c>
      <c r="N1553" s="9" t="s">
        <v>13284</v>
      </c>
      <c r="O1553" s="9" t="s">
        <v>13284</v>
      </c>
      <c r="P1553" s="9" t="s">
        <v>13284</v>
      </c>
      <c r="Q1553" s="9" t="s">
        <v>13284</v>
      </c>
      <c r="R1553" s="9" t="s">
        <v>13284</v>
      </c>
      <c r="S1553" s="9" t="s">
        <v>13284</v>
      </c>
      <c r="T1553" s="9" t="str">
        <f ca="1">IFERROR(IF(AND(VLOOKUP(A1553, 'Актуальное состояние (из общего'!A:C,3,0) = "", A1553 &lt;&gt; ""), "ПРОВЕРИТЬ", VLOOKUP(A1553, 'Актуальное состояние (из общего'!A:C,3,0)), "")</f>
        <v>Студент</v>
      </c>
      <c r="U1553" s="9" t="s">
        <v>13284</v>
      </c>
      <c r="V1553" s="9" t="s">
        <v>13284</v>
      </c>
      <c r="W1553" s="12"/>
      <c r="X1553" s="9" t="str">
        <f t="array" ref="X1553">IFERROR(INDEX('Адреса общежитий (скрытый)'!$B$2:$B$9, MATCH(W1553, 'Адреса общежитий (скрытый)'!$A$2:$A$9, 0)), "")</f>
        <v/>
      </c>
      <c r="Y1553" s="18"/>
      <c r="Z1553" s="18"/>
      <c r="AA1553" s="18"/>
      <c r="AB1553" s="18"/>
      <c r="AC1553" s="18"/>
    </row>
    <row r="1554" spans="1:29" ht="32.25" customHeight="1">
      <c r="A1554" s="8">
        <v>2303137</v>
      </c>
      <c r="B1554" s="9" t="s">
        <v>13284</v>
      </c>
      <c r="C1554" s="9" t="s">
        <v>13284</v>
      </c>
      <c r="D1554" s="9" t="s">
        <v>13284</v>
      </c>
      <c r="E1554" s="9" t="s">
        <v>13284</v>
      </c>
      <c r="F1554" s="9" t="s">
        <v>13284</v>
      </c>
      <c r="G1554" s="9" t="s">
        <v>13284</v>
      </c>
      <c r="H1554" s="9" t="s">
        <v>13284</v>
      </c>
      <c r="I1554" s="9" t="s">
        <v>13284</v>
      </c>
      <c r="J1554" s="9" t="s">
        <v>13284</v>
      </c>
      <c r="K1554" s="9" t="s">
        <v>13284</v>
      </c>
      <c r="L1554" s="9" t="s">
        <v>13284</v>
      </c>
      <c r="M1554" s="9" t="s">
        <v>13284</v>
      </c>
      <c r="N1554" s="9" t="s">
        <v>13284</v>
      </c>
      <c r="O1554" s="9" t="s">
        <v>13284</v>
      </c>
      <c r="P1554" s="9" t="s">
        <v>13284</v>
      </c>
      <c r="Q1554" s="9" t="s">
        <v>13284</v>
      </c>
      <c r="R1554" s="9" t="s">
        <v>13284</v>
      </c>
      <c r="S1554" s="9" t="s">
        <v>13284</v>
      </c>
      <c r="T1554" s="9" t="str">
        <f ca="1">IFERROR(IF(AND(VLOOKUP(A1554, 'Актуальное состояние (из общего'!A:C,3,0) = "", A1554 &lt;&gt; ""), "ПРОВЕРИТЬ", VLOOKUP(A1554, 'Актуальное состояние (из общего'!A:C,3,0)), "")</f>
        <v>Студент</v>
      </c>
      <c r="U1554" s="9" t="s">
        <v>13284</v>
      </c>
      <c r="V1554" s="9" t="s">
        <v>13284</v>
      </c>
      <c r="W1554" s="9" t="s">
        <v>319</v>
      </c>
      <c r="X1554" s="9" t="str">
        <f t="array" ref="X1554">IFERROR(INDEX('Адреса общежитий (скрытый)'!$B$2:$B$9, MATCH(W1554, 'Адреса общежитий (скрытый)'!$A$2:$A$9, 0)), "")</f>
        <v>ул. Профсоюзная, д.83, корп. 2</v>
      </c>
      <c r="Y1554" s="18"/>
      <c r="Z1554" s="18"/>
      <c r="AA1554" s="18"/>
      <c r="AB1554" s="18"/>
      <c r="AC1554" s="18"/>
    </row>
    <row r="1555" spans="1:29" ht="32.25" hidden="1" customHeight="1">
      <c r="A1555" s="8">
        <v>2302402</v>
      </c>
      <c r="B1555" s="9" t="s">
        <v>13284</v>
      </c>
      <c r="C1555" s="9" t="s">
        <v>13284</v>
      </c>
      <c r="D1555" s="9" t="s">
        <v>13284</v>
      </c>
      <c r="E1555" s="9" t="s">
        <v>13284</v>
      </c>
      <c r="F1555" s="9" t="s">
        <v>13284</v>
      </c>
      <c r="G1555" s="9" t="s">
        <v>13284</v>
      </c>
      <c r="H1555" s="9" t="s">
        <v>13284</v>
      </c>
      <c r="I1555" s="9" t="s">
        <v>13284</v>
      </c>
      <c r="J1555" s="9" t="s">
        <v>13284</v>
      </c>
      <c r="K1555" s="9" t="s">
        <v>13284</v>
      </c>
      <c r="L1555" s="9" t="s">
        <v>13284</v>
      </c>
      <c r="M1555" s="9" t="s">
        <v>13284</v>
      </c>
      <c r="N1555" s="9" t="s">
        <v>13284</v>
      </c>
      <c r="O1555" s="9" t="s">
        <v>13284</v>
      </c>
      <c r="P1555" s="9" t="s">
        <v>13284</v>
      </c>
      <c r="Q1555" s="9" t="s">
        <v>13284</v>
      </c>
      <c r="R1555" s="9" t="s">
        <v>13284</v>
      </c>
      <c r="S1555" s="9" t="s">
        <v>13284</v>
      </c>
      <c r="T1555" s="9" t="str">
        <f ca="1">IFERROR(IF(AND(VLOOKUP(A1555, 'Актуальное состояние (из общего'!A:C,3,0) = "", A1555 &lt;&gt; ""), "ПРОВЕРИТЬ", VLOOKUP(A1555, 'Актуальное состояние (из общего'!A:C,3,0)), "")</f>
        <v>Студент</v>
      </c>
      <c r="U1555" s="9" t="s">
        <v>13284</v>
      </c>
      <c r="V1555" s="9" t="s">
        <v>13284</v>
      </c>
      <c r="W1555" s="12"/>
      <c r="X1555" s="9" t="str">
        <f t="array" ref="X1555">IFERROR(INDEX('Адреса общежитий (скрытый)'!$B$2:$B$9, MATCH(W1555, 'Адреса общежитий (скрытый)'!$A$2:$A$9, 0)), "")</f>
        <v/>
      </c>
      <c r="Y1555" s="18"/>
      <c r="Z1555" s="18"/>
      <c r="AA1555" s="18"/>
      <c r="AB1555" s="18"/>
      <c r="AC1555" s="18"/>
    </row>
    <row r="1556" spans="1:29" ht="32.25" customHeight="1">
      <c r="A1556" s="8">
        <v>2308280</v>
      </c>
      <c r="B1556" s="9" t="s">
        <v>13284</v>
      </c>
      <c r="C1556" s="9" t="s">
        <v>13284</v>
      </c>
      <c r="D1556" s="9" t="s">
        <v>13284</v>
      </c>
      <c r="E1556" s="9" t="s">
        <v>13284</v>
      </c>
      <c r="F1556" s="9" t="s">
        <v>13284</v>
      </c>
      <c r="G1556" s="9" t="s">
        <v>13284</v>
      </c>
      <c r="H1556" s="9" t="s">
        <v>13284</v>
      </c>
      <c r="I1556" s="9" t="s">
        <v>13284</v>
      </c>
      <c r="J1556" s="9" t="s">
        <v>13284</v>
      </c>
      <c r="K1556" s="9" t="s">
        <v>13284</v>
      </c>
      <c r="L1556" s="9" t="s">
        <v>13284</v>
      </c>
      <c r="M1556" s="9" t="s">
        <v>13284</v>
      </c>
      <c r="N1556" s="9" t="s">
        <v>13284</v>
      </c>
      <c r="O1556" s="9" t="s">
        <v>13284</v>
      </c>
      <c r="P1556" s="9" t="s">
        <v>13284</v>
      </c>
      <c r="Q1556" s="9" t="s">
        <v>13284</v>
      </c>
      <c r="R1556" s="9" t="s">
        <v>13284</v>
      </c>
      <c r="S1556" s="9" t="s">
        <v>13284</v>
      </c>
      <c r="T1556" s="9" t="str">
        <f ca="1">IFERROR(IF(AND(VLOOKUP(A1556, 'Актуальное состояние (из общего'!A:C,3,0) = "", A1556 &lt;&gt; ""), "ПРОВЕРИТЬ", VLOOKUP(A1556, 'Актуальное состояние (из общего'!A:C,3,0)), "")</f>
        <v>Студент</v>
      </c>
      <c r="U1556" s="9" t="s">
        <v>13284</v>
      </c>
      <c r="V1556" s="9" t="s">
        <v>13284</v>
      </c>
      <c r="W1556" s="9" t="s">
        <v>319</v>
      </c>
      <c r="X1556" s="9" t="str">
        <f t="array" ref="X1556">IFERROR(INDEX('Адреса общежитий (скрытый)'!$B$2:$B$9, MATCH(W1556, 'Адреса общежитий (скрытый)'!$A$2:$A$9, 0)), "")</f>
        <v>ул. Профсоюзная, д.83, корп. 2</v>
      </c>
      <c r="Y1556" s="18"/>
      <c r="Z1556" s="18"/>
      <c r="AA1556" s="18"/>
      <c r="AB1556" s="18"/>
      <c r="AC1556" s="18"/>
    </row>
    <row r="1557" spans="1:29" ht="32.25" hidden="1" customHeight="1">
      <c r="A1557" s="8">
        <v>2306771</v>
      </c>
      <c r="B1557" s="9" t="s">
        <v>13284</v>
      </c>
      <c r="C1557" s="9" t="s">
        <v>13284</v>
      </c>
      <c r="D1557" s="9" t="s">
        <v>13284</v>
      </c>
      <c r="E1557" s="9" t="s">
        <v>13284</v>
      </c>
      <c r="F1557" s="9" t="s">
        <v>13284</v>
      </c>
      <c r="G1557" s="9" t="s">
        <v>13284</v>
      </c>
      <c r="H1557" s="9" t="s">
        <v>13284</v>
      </c>
      <c r="I1557" s="9" t="s">
        <v>13284</v>
      </c>
      <c r="J1557" s="9" t="s">
        <v>13284</v>
      </c>
      <c r="K1557" s="9" t="s">
        <v>13284</v>
      </c>
      <c r="L1557" s="9" t="s">
        <v>13284</v>
      </c>
      <c r="M1557" s="9" t="s">
        <v>13284</v>
      </c>
      <c r="N1557" s="9" t="s">
        <v>13284</v>
      </c>
      <c r="O1557" s="9" t="s">
        <v>13284</v>
      </c>
      <c r="P1557" s="9" t="s">
        <v>13284</v>
      </c>
      <c r="Q1557" s="9" t="s">
        <v>13284</v>
      </c>
      <c r="R1557" s="9" t="s">
        <v>13284</v>
      </c>
      <c r="S1557" s="9" t="s">
        <v>13284</v>
      </c>
      <c r="T1557" s="9" t="str">
        <f ca="1">IFERROR(IF(AND(VLOOKUP(A1557, 'Актуальное состояние (из общего'!A:C,3,0) = "", A1557 &lt;&gt; ""), "ПРОВЕРИТЬ", VLOOKUP(A1557, 'Актуальное состояние (из общего'!A:C,3,0)), "")</f>
        <v>Студент</v>
      </c>
      <c r="U1557" s="9" t="s">
        <v>13284</v>
      </c>
      <c r="V1557" s="9" t="s">
        <v>13284</v>
      </c>
      <c r="W1557" s="12"/>
      <c r="X1557" s="9" t="str">
        <f t="array" ref="X1557">IFERROR(INDEX('Адреса общежитий (скрытый)'!$B$2:$B$9, MATCH(W1557, 'Адреса общежитий (скрытый)'!$A$2:$A$9, 0)), "")</f>
        <v/>
      </c>
      <c r="Y1557" s="18"/>
      <c r="Z1557" s="18"/>
      <c r="AA1557" s="18"/>
      <c r="AB1557" s="18"/>
      <c r="AC1557" s="18"/>
    </row>
    <row r="1558" spans="1:29" ht="32.25" hidden="1" customHeight="1">
      <c r="A1558" s="8">
        <v>2307102</v>
      </c>
      <c r="B1558" s="9" t="s">
        <v>13284</v>
      </c>
      <c r="C1558" s="9" t="s">
        <v>13284</v>
      </c>
      <c r="D1558" s="9" t="s">
        <v>13284</v>
      </c>
      <c r="E1558" s="9" t="s">
        <v>13284</v>
      </c>
      <c r="F1558" s="9" t="s">
        <v>13284</v>
      </c>
      <c r="G1558" s="9" t="s">
        <v>13284</v>
      </c>
      <c r="H1558" s="9" t="s">
        <v>13284</v>
      </c>
      <c r="I1558" s="9" t="s">
        <v>13284</v>
      </c>
      <c r="J1558" s="9" t="s">
        <v>13284</v>
      </c>
      <c r="K1558" s="9" t="s">
        <v>13284</v>
      </c>
      <c r="L1558" s="9" t="s">
        <v>13284</v>
      </c>
      <c r="M1558" s="9" t="s">
        <v>13284</v>
      </c>
      <c r="N1558" s="9" t="s">
        <v>13284</v>
      </c>
      <c r="O1558" s="9" t="s">
        <v>13284</v>
      </c>
      <c r="P1558" s="9" t="s">
        <v>13284</v>
      </c>
      <c r="Q1558" s="9" t="s">
        <v>13284</v>
      </c>
      <c r="R1558" s="9" t="s">
        <v>13284</v>
      </c>
      <c r="S1558" s="9" t="s">
        <v>13284</v>
      </c>
      <c r="T1558" s="9" t="str">
        <f ca="1">IFERROR(IF(AND(VLOOKUP(A1558, 'Актуальное состояние (из общего'!A:C,3,0) = "", A1558 &lt;&gt; ""), "ПРОВЕРИТЬ", VLOOKUP(A1558, 'Актуальное состояние (из общего'!A:C,3,0)), "")</f>
        <v>Студент</v>
      </c>
      <c r="U1558" s="9" t="s">
        <v>13284</v>
      </c>
      <c r="V1558" s="9" t="s">
        <v>13284</v>
      </c>
      <c r="W1558" s="12"/>
      <c r="X1558" s="9" t="str">
        <f t="array" ref="X1558">IFERROR(INDEX('Адреса общежитий (скрытый)'!$B$2:$B$9, MATCH(W1558, 'Адреса общежитий (скрытый)'!$A$2:$A$9, 0)), "")</f>
        <v/>
      </c>
      <c r="Y1558" s="18"/>
      <c r="Z1558" s="18"/>
      <c r="AA1558" s="18"/>
      <c r="AB1558" s="18"/>
      <c r="AC1558" s="18"/>
    </row>
    <row r="1559" spans="1:29" ht="32.25" customHeight="1">
      <c r="A1559" s="8">
        <v>2302427</v>
      </c>
      <c r="B1559" s="9" t="s">
        <v>13284</v>
      </c>
      <c r="C1559" s="9" t="s">
        <v>13284</v>
      </c>
      <c r="D1559" s="9" t="s">
        <v>13284</v>
      </c>
      <c r="E1559" s="9" t="s">
        <v>13284</v>
      </c>
      <c r="F1559" s="9" t="s">
        <v>13284</v>
      </c>
      <c r="G1559" s="9" t="s">
        <v>13284</v>
      </c>
      <c r="H1559" s="9" t="s">
        <v>13284</v>
      </c>
      <c r="I1559" s="9" t="s">
        <v>13284</v>
      </c>
      <c r="J1559" s="9" t="s">
        <v>13284</v>
      </c>
      <c r="K1559" s="9" t="s">
        <v>13284</v>
      </c>
      <c r="L1559" s="9" t="s">
        <v>13284</v>
      </c>
      <c r="M1559" s="9" t="s">
        <v>13284</v>
      </c>
      <c r="N1559" s="9" t="s">
        <v>13284</v>
      </c>
      <c r="O1559" s="9" t="s">
        <v>13284</v>
      </c>
      <c r="P1559" s="9" t="s">
        <v>13284</v>
      </c>
      <c r="Q1559" s="9" t="s">
        <v>13284</v>
      </c>
      <c r="R1559" s="9" t="s">
        <v>13284</v>
      </c>
      <c r="S1559" s="9" t="s">
        <v>13284</v>
      </c>
      <c r="T1559" s="9" t="str">
        <f ca="1">IFERROR(IF(AND(VLOOKUP(A1559, 'Актуальное состояние (из общего'!A:C,3,0) = "", A1559 &lt;&gt; ""), "ПРОВЕРИТЬ", VLOOKUP(A1559, 'Актуальное состояние (из общего'!A:C,3,0)), "")</f>
        <v>Студент</v>
      </c>
      <c r="U1559" s="9" t="s">
        <v>13284</v>
      </c>
      <c r="V1559" s="9" t="s">
        <v>13284</v>
      </c>
      <c r="W1559" s="12"/>
      <c r="X1559" s="9" t="str">
        <f t="array" ref="X1559">IFERROR(INDEX('Адреса общежитий (скрытый)'!$B$2:$B$9, MATCH(W1559, 'Адреса общежитий (скрытый)'!$A$2:$A$9, 0)), "")</f>
        <v/>
      </c>
      <c r="Y1559" s="18"/>
      <c r="Z1559" s="18"/>
      <c r="AA1559" s="18"/>
      <c r="AB1559" s="18"/>
      <c r="AC1559" s="18"/>
    </row>
    <row r="1560" spans="1:29" ht="32.25" customHeight="1">
      <c r="A1560" s="8">
        <v>2309692</v>
      </c>
      <c r="B1560" s="9" t="s">
        <v>13284</v>
      </c>
      <c r="C1560" s="9" t="s">
        <v>13284</v>
      </c>
      <c r="D1560" s="9" t="s">
        <v>13284</v>
      </c>
      <c r="E1560" s="9" t="s">
        <v>13284</v>
      </c>
      <c r="F1560" s="9" t="s">
        <v>13284</v>
      </c>
      <c r="G1560" s="9" t="s">
        <v>13284</v>
      </c>
      <c r="H1560" s="9" t="s">
        <v>13284</v>
      </c>
      <c r="I1560" s="9" t="s">
        <v>13284</v>
      </c>
      <c r="J1560" s="9" t="s">
        <v>13284</v>
      </c>
      <c r="K1560" s="9" t="s">
        <v>13284</v>
      </c>
      <c r="L1560" s="9" t="s">
        <v>13284</v>
      </c>
      <c r="M1560" s="9" t="s">
        <v>13284</v>
      </c>
      <c r="N1560" s="9" t="s">
        <v>13284</v>
      </c>
      <c r="O1560" s="9" t="s">
        <v>13284</v>
      </c>
      <c r="P1560" s="9" t="s">
        <v>13284</v>
      </c>
      <c r="Q1560" s="9" t="s">
        <v>13284</v>
      </c>
      <c r="R1560" s="9" t="s">
        <v>13284</v>
      </c>
      <c r="S1560" s="9" t="s">
        <v>13284</v>
      </c>
      <c r="T1560" s="9" t="str">
        <f ca="1">IFERROR(IF(AND(VLOOKUP(A1560, 'Актуальное состояние (из общего'!A:C,3,0) = "", A1560 &lt;&gt; ""), "ПРОВЕРИТЬ", VLOOKUP(A1560, 'Актуальное состояние (из общего'!A:C,3,0)), "")</f>
        <v>Студент</v>
      </c>
      <c r="U1560" s="9" t="s">
        <v>13284</v>
      </c>
      <c r="V1560" s="9" t="s">
        <v>13284</v>
      </c>
      <c r="W1560" s="9" t="s">
        <v>319</v>
      </c>
      <c r="X1560" s="9" t="str">
        <f t="array" ref="X1560">IFERROR(INDEX('Адреса общежитий (скрытый)'!$B$2:$B$9, MATCH(W1560, 'Адреса общежитий (скрытый)'!$A$2:$A$9, 0)), "")</f>
        <v>ул. Профсоюзная, д.83, корп. 2</v>
      </c>
      <c r="Y1560" s="18"/>
      <c r="Z1560" s="18"/>
      <c r="AA1560" s="18"/>
      <c r="AB1560" s="18"/>
      <c r="AC1560" s="18"/>
    </row>
    <row r="1561" spans="1:29" ht="32.25" hidden="1" customHeight="1">
      <c r="A1561" s="8">
        <v>2304704</v>
      </c>
      <c r="B1561" s="9" t="s">
        <v>13284</v>
      </c>
      <c r="C1561" s="9" t="s">
        <v>13284</v>
      </c>
      <c r="D1561" s="9" t="s">
        <v>13284</v>
      </c>
      <c r="E1561" s="9" t="s">
        <v>13284</v>
      </c>
      <c r="F1561" s="9" t="s">
        <v>13284</v>
      </c>
      <c r="G1561" s="9" t="s">
        <v>13284</v>
      </c>
      <c r="H1561" s="9" t="s">
        <v>13284</v>
      </c>
      <c r="I1561" s="9" t="s">
        <v>13284</v>
      </c>
      <c r="J1561" s="9" t="s">
        <v>13284</v>
      </c>
      <c r="K1561" s="9" t="s">
        <v>13284</v>
      </c>
      <c r="L1561" s="9" t="s">
        <v>13284</v>
      </c>
      <c r="M1561" s="9" t="s">
        <v>13284</v>
      </c>
      <c r="N1561" s="9" t="s">
        <v>13284</v>
      </c>
      <c r="O1561" s="9" t="s">
        <v>13284</v>
      </c>
      <c r="P1561" s="9" t="s">
        <v>13284</v>
      </c>
      <c r="Q1561" s="9" t="s">
        <v>13284</v>
      </c>
      <c r="R1561" s="9" t="s">
        <v>13284</v>
      </c>
      <c r="S1561" s="9" t="s">
        <v>13284</v>
      </c>
      <c r="T1561" s="9" t="str">
        <f ca="1">IFERROR(IF(AND(VLOOKUP(A1561, 'Актуальное состояние (из общего'!A:C,3,0) = "", A1561 &lt;&gt; ""), "ПРОВЕРИТЬ", VLOOKUP(A1561, 'Актуальное состояние (из общего'!A:C,3,0)), "")</f>
        <v>Студент</v>
      </c>
      <c r="U1561" s="9" t="s">
        <v>13284</v>
      </c>
      <c r="V1561" s="9" t="s">
        <v>13284</v>
      </c>
      <c r="W1561" s="12"/>
      <c r="X1561" s="9" t="str">
        <f t="array" ref="X1561">IFERROR(INDEX('Адреса общежитий (скрытый)'!$B$2:$B$9, MATCH(W1561, 'Адреса общежитий (скрытый)'!$A$2:$A$9, 0)), "")</f>
        <v/>
      </c>
      <c r="Y1561" s="18"/>
      <c r="Z1561" s="18"/>
      <c r="AA1561" s="18"/>
      <c r="AB1561" s="18"/>
      <c r="AC1561" s="18"/>
    </row>
    <row r="1562" spans="1:29" ht="32.25" hidden="1" customHeight="1">
      <c r="A1562" s="8">
        <v>2302689</v>
      </c>
      <c r="B1562" s="9" t="s">
        <v>13284</v>
      </c>
      <c r="C1562" s="9" t="s">
        <v>13284</v>
      </c>
      <c r="D1562" s="9" t="s">
        <v>13284</v>
      </c>
      <c r="E1562" s="9" t="s">
        <v>13284</v>
      </c>
      <c r="F1562" s="9" t="s">
        <v>13284</v>
      </c>
      <c r="G1562" s="9" t="s">
        <v>13284</v>
      </c>
      <c r="H1562" s="9" t="s">
        <v>13284</v>
      </c>
      <c r="I1562" s="9" t="s">
        <v>13284</v>
      </c>
      <c r="J1562" s="9" t="s">
        <v>13284</v>
      </c>
      <c r="K1562" s="9" t="s">
        <v>13284</v>
      </c>
      <c r="L1562" s="9" t="s">
        <v>13284</v>
      </c>
      <c r="M1562" s="9" t="s">
        <v>13284</v>
      </c>
      <c r="N1562" s="9" t="s">
        <v>13284</v>
      </c>
      <c r="O1562" s="9" t="s">
        <v>13284</v>
      </c>
      <c r="P1562" s="9" t="s">
        <v>13284</v>
      </c>
      <c r="Q1562" s="9" t="s">
        <v>13284</v>
      </c>
      <c r="R1562" s="9" t="s">
        <v>13284</v>
      </c>
      <c r="S1562" s="9" t="s">
        <v>13284</v>
      </c>
      <c r="T1562" s="9" t="str">
        <f ca="1">IFERROR(IF(AND(VLOOKUP(A1562, 'Актуальное состояние (из общего'!A:C,3,0) = "", A1562 &lt;&gt; ""), "ПРОВЕРИТЬ", VLOOKUP(A1562, 'Актуальное состояние (из общего'!A:C,3,0)), "")</f>
        <v>Студент</v>
      </c>
      <c r="U1562" s="9" t="s">
        <v>13284</v>
      </c>
      <c r="V1562" s="9" t="s">
        <v>13284</v>
      </c>
      <c r="W1562" s="12"/>
      <c r="X1562" s="9" t="str">
        <f t="array" ref="X1562">IFERROR(INDEX('Адреса общежитий (скрытый)'!$B$2:$B$9, MATCH(W1562, 'Адреса общежитий (скрытый)'!$A$2:$A$9, 0)), "")</f>
        <v/>
      </c>
      <c r="Y1562" s="18"/>
      <c r="Z1562" s="18"/>
      <c r="AA1562" s="18"/>
      <c r="AB1562" s="18"/>
      <c r="AC1562" s="18"/>
    </row>
    <row r="1563" spans="1:29" ht="32.25" hidden="1" customHeight="1">
      <c r="A1563" s="8">
        <v>2307922</v>
      </c>
      <c r="B1563" s="9" t="s">
        <v>13284</v>
      </c>
      <c r="C1563" s="9" t="s">
        <v>13284</v>
      </c>
      <c r="D1563" s="9" t="s">
        <v>13284</v>
      </c>
      <c r="E1563" s="9" t="s">
        <v>13284</v>
      </c>
      <c r="F1563" s="9" t="s">
        <v>13284</v>
      </c>
      <c r="G1563" s="9" t="s">
        <v>13284</v>
      </c>
      <c r="H1563" s="9" t="s">
        <v>13284</v>
      </c>
      <c r="I1563" s="9" t="s">
        <v>13284</v>
      </c>
      <c r="J1563" s="9" t="s">
        <v>13284</v>
      </c>
      <c r="K1563" s="9" t="s">
        <v>13284</v>
      </c>
      <c r="L1563" s="9" t="s">
        <v>13284</v>
      </c>
      <c r="M1563" s="9" t="s">
        <v>13284</v>
      </c>
      <c r="N1563" s="9" t="s">
        <v>13284</v>
      </c>
      <c r="O1563" s="9" t="s">
        <v>13284</v>
      </c>
      <c r="P1563" s="9" t="s">
        <v>13284</v>
      </c>
      <c r="Q1563" s="9" t="s">
        <v>13284</v>
      </c>
      <c r="R1563" s="9" t="s">
        <v>13284</v>
      </c>
      <c r="S1563" s="9" t="s">
        <v>13284</v>
      </c>
      <c r="T1563" s="9" t="str">
        <f ca="1">IFERROR(IF(AND(VLOOKUP(A1563, 'Актуальное состояние (из общего'!A:C,3,0) = "", A1563 &lt;&gt; ""), "ПРОВЕРИТЬ", VLOOKUP(A1563, 'Актуальное состояние (из общего'!A:C,3,0)), "")</f>
        <v>Студент</v>
      </c>
      <c r="U1563" s="9" t="s">
        <v>13284</v>
      </c>
      <c r="V1563" s="9" t="s">
        <v>13284</v>
      </c>
      <c r="W1563" s="12"/>
      <c r="X1563" s="9" t="str">
        <f t="array" ref="X1563">IFERROR(INDEX('Адреса общежитий (скрытый)'!$B$2:$B$9, MATCH(W1563, 'Адреса общежитий (скрытый)'!$A$2:$A$9, 0)), "")</f>
        <v/>
      </c>
      <c r="Y1563" s="18"/>
      <c r="Z1563" s="18"/>
      <c r="AA1563" s="18"/>
      <c r="AB1563" s="18"/>
      <c r="AC1563" s="18"/>
    </row>
    <row r="1564" spans="1:29" ht="32.25" customHeight="1">
      <c r="A1564" s="8">
        <v>2305255</v>
      </c>
      <c r="B1564" s="9" t="s">
        <v>13284</v>
      </c>
      <c r="C1564" s="9" t="s">
        <v>13284</v>
      </c>
      <c r="D1564" s="9" t="s">
        <v>13284</v>
      </c>
      <c r="E1564" s="9" t="s">
        <v>13284</v>
      </c>
      <c r="F1564" s="9" t="s">
        <v>13284</v>
      </c>
      <c r="G1564" s="9" t="s">
        <v>13284</v>
      </c>
      <c r="H1564" s="9" t="s">
        <v>13284</v>
      </c>
      <c r="I1564" s="9" t="s">
        <v>13284</v>
      </c>
      <c r="J1564" s="9" t="s">
        <v>13284</v>
      </c>
      <c r="K1564" s="9" t="s">
        <v>13284</v>
      </c>
      <c r="L1564" s="9" t="s">
        <v>13284</v>
      </c>
      <c r="M1564" s="9" t="s">
        <v>13284</v>
      </c>
      <c r="N1564" s="9" t="s">
        <v>13284</v>
      </c>
      <c r="O1564" s="9" t="s">
        <v>13284</v>
      </c>
      <c r="P1564" s="9" t="s">
        <v>13284</v>
      </c>
      <c r="Q1564" s="9" t="s">
        <v>13284</v>
      </c>
      <c r="R1564" s="9" t="s">
        <v>13284</v>
      </c>
      <c r="S1564" s="9" t="s">
        <v>13284</v>
      </c>
      <c r="T1564" s="9" t="str">
        <f ca="1">IFERROR(IF(AND(VLOOKUP(A1564, 'Актуальное состояние (из общего'!A:C,3,0) = "", A1564 &lt;&gt; ""), "ПРОВЕРИТЬ", VLOOKUP(A1564, 'Актуальное состояние (из общего'!A:C,3,0)), "")</f>
        <v>Студент</v>
      </c>
      <c r="U1564" s="9" t="s">
        <v>13284</v>
      </c>
      <c r="V1564" s="9" t="s">
        <v>13284</v>
      </c>
      <c r="W1564" s="9" t="s">
        <v>319</v>
      </c>
      <c r="X1564" s="9" t="str">
        <f t="array" ref="X1564">IFERROR(INDEX('Адреса общежитий (скрытый)'!$B$2:$B$9, MATCH(W1564, 'Адреса общежитий (скрытый)'!$A$2:$A$9, 0)), "")</f>
        <v>ул. Профсоюзная, д.83, корп. 2</v>
      </c>
      <c r="Y1564" s="18"/>
      <c r="Z1564" s="18"/>
      <c r="AA1564" s="18"/>
      <c r="AB1564" s="18"/>
      <c r="AC1564" s="18"/>
    </row>
    <row r="1565" spans="1:29" ht="32.25" hidden="1" customHeight="1">
      <c r="A1565" s="8">
        <v>2302334</v>
      </c>
      <c r="B1565" s="9" t="s">
        <v>13284</v>
      </c>
      <c r="C1565" s="9" t="s">
        <v>13284</v>
      </c>
      <c r="D1565" s="9" t="s">
        <v>13284</v>
      </c>
      <c r="E1565" s="9" t="s">
        <v>13284</v>
      </c>
      <c r="F1565" s="9" t="s">
        <v>13284</v>
      </c>
      <c r="G1565" s="9" t="s">
        <v>13284</v>
      </c>
      <c r="H1565" s="9" t="s">
        <v>13284</v>
      </c>
      <c r="I1565" s="9" t="s">
        <v>13284</v>
      </c>
      <c r="J1565" s="9" t="s">
        <v>13284</v>
      </c>
      <c r="K1565" s="9" t="s">
        <v>13284</v>
      </c>
      <c r="L1565" s="9" t="s">
        <v>13284</v>
      </c>
      <c r="M1565" s="9" t="s">
        <v>13284</v>
      </c>
      <c r="N1565" s="9" t="s">
        <v>13284</v>
      </c>
      <c r="O1565" s="9" t="s">
        <v>13284</v>
      </c>
      <c r="P1565" s="9" t="s">
        <v>13284</v>
      </c>
      <c r="Q1565" s="9" t="s">
        <v>13284</v>
      </c>
      <c r="R1565" s="9" t="s">
        <v>13284</v>
      </c>
      <c r="S1565" s="9" t="s">
        <v>13284</v>
      </c>
      <c r="T1565" s="9" t="str">
        <f ca="1">IFERROR(IF(AND(VLOOKUP(A1565, 'Актуальное состояние (из общего'!A:C,3,0) = "", A1565 &lt;&gt; ""), "ПРОВЕРИТЬ", VLOOKUP(A1565, 'Актуальное состояние (из общего'!A:C,3,0)), "")</f>
        <v>Студент</v>
      </c>
      <c r="U1565" s="9" t="s">
        <v>13284</v>
      </c>
      <c r="V1565" s="9" t="s">
        <v>13284</v>
      </c>
      <c r="W1565" s="12"/>
      <c r="X1565" s="9" t="str">
        <f t="array" ref="X1565">IFERROR(INDEX('Адреса общежитий (скрытый)'!$B$2:$B$9, MATCH(W1565, 'Адреса общежитий (скрытый)'!$A$2:$A$9, 0)), "")</f>
        <v/>
      </c>
      <c r="Y1565" s="18"/>
      <c r="Z1565" s="18"/>
      <c r="AA1565" s="18"/>
      <c r="AB1565" s="18"/>
      <c r="AC1565" s="18"/>
    </row>
    <row r="1566" spans="1:29" ht="32.25" hidden="1" customHeight="1">
      <c r="A1566" s="8">
        <v>2307782</v>
      </c>
      <c r="B1566" s="9" t="s">
        <v>13284</v>
      </c>
      <c r="C1566" s="9" t="s">
        <v>13284</v>
      </c>
      <c r="D1566" s="9" t="s">
        <v>13284</v>
      </c>
      <c r="E1566" s="9" t="s">
        <v>13284</v>
      </c>
      <c r="F1566" s="9" t="s">
        <v>13284</v>
      </c>
      <c r="G1566" s="9" t="s">
        <v>13284</v>
      </c>
      <c r="H1566" s="9" t="s">
        <v>13284</v>
      </c>
      <c r="I1566" s="9" t="s">
        <v>13284</v>
      </c>
      <c r="J1566" s="9" t="s">
        <v>13284</v>
      </c>
      <c r="K1566" s="9" t="s">
        <v>13284</v>
      </c>
      <c r="L1566" s="9" t="s">
        <v>13284</v>
      </c>
      <c r="M1566" s="9" t="s">
        <v>13284</v>
      </c>
      <c r="N1566" s="9" t="s">
        <v>13284</v>
      </c>
      <c r="O1566" s="9" t="s">
        <v>13284</v>
      </c>
      <c r="P1566" s="9" t="s">
        <v>13284</v>
      </c>
      <c r="Q1566" s="9" t="s">
        <v>13284</v>
      </c>
      <c r="R1566" s="9" t="s">
        <v>13284</v>
      </c>
      <c r="S1566" s="9" t="s">
        <v>13284</v>
      </c>
      <c r="T1566" s="9" t="str">
        <f ca="1">IFERROR(IF(AND(VLOOKUP(A1566, 'Актуальное состояние (из общего'!A:C,3,0) = "", A1566 &lt;&gt; ""), "ПРОВЕРИТЬ", VLOOKUP(A1566, 'Актуальное состояние (из общего'!A:C,3,0)), "")</f>
        <v>Студент</v>
      </c>
      <c r="U1566" s="9" t="s">
        <v>13284</v>
      </c>
      <c r="V1566" s="9" t="s">
        <v>13284</v>
      </c>
      <c r="W1566" s="12"/>
      <c r="X1566" s="9" t="str">
        <f t="array" ref="X1566">IFERROR(INDEX('Адреса общежитий (скрытый)'!$B$2:$B$9, MATCH(W1566, 'Адреса общежитий (скрытый)'!$A$2:$A$9, 0)), "")</f>
        <v/>
      </c>
      <c r="Y1566" s="18"/>
      <c r="Z1566" s="18"/>
      <c r="AA1566" s="18"/>
      <c r="AB1566" s="18"/>
      <c r="AC1566" s="18"/>
    </row>
    <row r="1567" spans="1:29" ht="32.25" customHeight="1">
      <c r="A1567" s="8">
        <v>2310673</v>
      </c>
      <c r="B1567" s="9" t="s">
        <v>13284</v>
      </c>
      <c r="C1567" s="9" t="s">
        <v>13284</v>
      </c>
      <c r="D1567" s="9" t="s">
        <v>13284</v>
      </c>
      <c r="E1567" s="9" t="s">
        <v>13284</v>
      </c>
      <c r="F1567" s="9" t="s">
        <v>13284</v>
      </c>
      <c r="G1567" s="9" t="s">
        <v>13284</v>
      </c>
      <c r="H1567" s="9" t="s">
        <v>13284</v>
      </c>
      <c r="I1567" s="9" t="s">
        <v>13284</v>
      </c>
      <c r="J1567" s="9" t="s">
        <v>13284</v>
      </c>
      <c r="K1567" s="9" t="s">
        <v>13284</v>
      </c>
      <c r="L1567" s="9" t="s">
        <v>13284</v>
      </c>
      <c r="M1567" s="9" t="s">
        <v>13284</v>
      </c>
      <c r="N1567" s="9" t="s">
        <v>13284</v>
      </c>
      <c r="O1567" s="9" t="s">
        <v>13284</v>
      </c>
      <c r="P1567" s="9" t="s">
        <v>13284</v>
      </c>
      <c r="Q1567" s="9" t="s">
        <v>13284</v>
      </c>
      <c r="R1567" s="9" t="s">
        <v>13284</v>
      </c>
      <c r="S1567" s="9" t="s">
        <v>13284</v>
      </c>
      <c r="T1567" s="9" t="str">
        <f ca="1">IFERROR(IF(AND(VLOOKUP(A1567, 'Актуальное состояние (из общего'!A:C,3,0) = "", A1567 &lt;&gt; ""), "ПРОВЕРИТЬ", VLOOKUP(A1567, 'Актуальное состояние (из общего'!A:C,3,0)), "")</f>
        <v>Студент</v>
      </c>
      <c r="U1567" s="9" t="s">
        <v>13284</v>
      </c>
      <c r="V1567" s="9" t="s">
        <v>13284</v>
      </c>
      <c r="W1567" s="12"/>
      <c r="X1567" s="9" t="str">
        <f t="array" ref="X1567">IFERROR(INDEX('Адреса общежитий (скрытый)'!$B$2:$B$9, MATCH(W1567, 'Адреса общежитий (скрытый)'!$A$2:$A$9, 0)), "")</f>
        <v/>
      </c>
      <c r="Y1567" s="18"/>
      <c r="Z1567" s="18"/>
      <c r="AA1567" s="18"/>
      <c r="AB1567" s="18"/>
      <c r="AC1567" s="18"/>
    </row>
    <row r="1568" spans="1:29" ht="32.25" customHeight="1">
      <c r="A1568" s="8">
        <v>2304371</v>
      </c>
      <c r="B1568" s="9" t="s">
        <v>13284</v>
      </c>
      <c r="C1568" s="9" t="s">
        <v>13284</v>
      </c>
      <c r="D1568" s="9" t="s">
        <v>13284</v>
      </c>
      <c r="E1568" s="9" t="s">
        <v>13284</v>
      </c>
      <c r="F1568" s="9" t="s">
        <v>13284</v>
      </c>
      <c r="G1568" s="9" t="s">
        <v>13284</v>
      </c>
      <c r="H1568" s="9" t="s">
        <v>13284</v>
      </c>
      <c r="I1568" s="9" t="s">
        <v>13284</v>
      </c>
      <c r="J1568" s="9" t="s">
        <v>13284</v>
      </c>
      <c r="K1568" s="9" t="s">
        <v>13284</v>
      </c>
      <c r="L1568" s="9" t="s">
        <v>13284</v>
      </c>
      <c r="M1568" s="9" t="s">
        <v>13284</v>
      </c>
      <c r="N1568" s="9" t="s">
        <v>13284</v>
      </c>
      <c r="O1568" s="9" t="s">
        <v>13284</v>
      </c>
      <c r="P1568" s="9" t="s">
        <v>13284</v>
      </c>
      <c r="Q1568" s="9" t="s">
        <v>13284</v>
      </c>
      <c r="R1568" s="9" t="s">
        <v>13284</v>
      </c>
      <c r="S1568" s="9" t="s">
        <v>13284</v>
      </c>
      <c r="T1568" s="9" t="str">
        <f ca="1">IFERROR(IF(AND(VLOOKUP(A1568, 'Актуальное состояние (из общего'!A:C,3,0) = "", A1568 &lt;&gt; ""), "ПРОВЕРИТЬ", VLOOKUP(A1568, 'Актуальное состояние (из общего'!A:C,3,0)), "")</f>
        <v>Студент</v>
      </c>
      <c r="U1568" s="9" t="s">
        <v>13284</v>
      </c>
      <c r="V1568" s="9" t="s">
        <v>13284</v>
      </c>
      <c r="W1568" s="9" t="s">
        <v>319</v>
      </c>
      <c r="X1568" s="9" t="str">
        <f t="array" ref="X1568">IFERROR(INDEX('Адреса общежитий (скрытый)'!$B$2:$B$9, MATCH(W1568, 'Адреса общежитий (скрытый)'!$A$2:$A$9, 0)), "")</f>
        <v>ул. Профсоюзная, д.83, корп. 2</v>
      </c>
      <c r="Y1568" s="18"/>
      <c r="Z1568" s="18"/>
      <c r="AA1568" s="18"/>
      <c r="AB1568" s="18"/>
      <c r="AC1568" s="18"/>
    </row>
    <row r="1569" spans="1:29" ht="32.25" hidden="1" customHeight="1">
      <c r="A1569" s="8">
        <v>2306421</v>
      </c>
      <c r="B1569" s="9" t="s">
        <v>13284</v>
      </c>
      <c r="C1569" s="9" t="s">
        <v>13284</v>
      </c>
      <c r="D1569" s="9" t="s">
        <v>13284</v>
      </c>
      <c r="E1569" s="9" t="s">
        <v>13284</v>
      </c>
      <c r="F1569" s="9" t="s">
        <v>13284</v>
      </c>
      <c r="G1569" s="9" t="s">
        <v>13284</v>
      </c>
      <c r="H1569" s="9" t="s">
        <v>13284</v>
      </c>
      <c r="I1569" s="9" t="s">
        <v>13284</v>
      </c>
      <c r="J1569" s="9" t="s">
        <v>13284</v>
      </c>
      <c r="K1569" s="9" t="s">
        <v>13284</v>
      </c>
      <c r="L1569" s="9" t="s">
        <v>13284</v>
      </c>
      <c r="M1569" s="9" t="s">
        <v>13284</v>
      </c>
      <c r="N1569" s="9" t="s">
        <v>13284</v>
      </c>
      <c r="O1569" s="9" t="s">
        <v>13284</v>
      </c>
      <c r="P1569" s="9" t="s">
        <v>13284</v>
      </c>
      <c r="Q1569" s="9" t="s">
        <v>13284</v>
      </c>
      <c r="R1569" s="9" t="s">
        <v>13284</v>
      </c>
      <c r="S1569" s="9" t="s">
        <v>13284</v>
      </c>
      <c r="T1569" s="9" t="str">
        <f ca="1">IFERROR(IF(AND(VLOOKUP(A1569, 'Актуальное состояние (из общего'!A:C,3,0) = "", A1569 &lt;&gt; ""), "ПРОВЕРИТЬ", VLOOKUP(A1569, 'Актуальное состояние (из общего'!A:C,3,0)), "")</f>
        <v>Студент</v>
      </c>
      <c r="U1569" s="9" t="s">
        <v>13284</v>
      </c>
      <c r="V1569" s="9" t="s">
        <v>13284</v>
      </c>
      <c r="W1569" s="12"/>
      <c r="X1569" s="9" t="str">
        <f t="array" ref="X1569">IFERROR(INDEX('Адреса общежитий (скрытый)'!$B$2:$B$9, MATCH(W1569, 'Адреса общежитий (скрытый)'!$A$2:$A$9, 0)), "")</f>
        <v/>
      </c>
      <c r="Y1569" s="18"/>
      <c r="Z1569" s="18"/>
      <c r="AA1569" s="18"/>
      <c r="AB1569" s="18"/>
      <c r="AC1569" s="18"/>
    </row>
    <row r="1570" spans="1:29" ht="32.25" hidden="1" customHeight="1">
      <c r="A1570" s="8">
        <v>2301650</v>
      </c>
      <c r="B1570" s="9" t="s">
        <v>13284</v>
      </c>
      <c r="C1570" s="9" t="s">
        <v>13284</v>
      </c>
      <c r="D1570" s="9" t="s">
        <v>13284</v>
      </c>
      <c r="E1570" s="9" t="s">
        <v>13284</v>
      </c>
      <c r="F1570" s="9" t="s">
        <v>13284</v>
      </c>
      <c r="G1570" s="9" t="s">
        <v>13284</v>
      </c>
      <c r="H1570" s="9" t="s">
        <v>13284</v>
      </c>
      <c r="I1570" s="9" t="s">
        <v>13284</v>
      </c>
      <c r="J1570" s="9" t="s">
        <v>13284</v>
      </c>
      <c r="K1570" s="9" t="s">
        <v>13284</v>
      </c>
      <c r="L1570" s="9" t="s">
        <v>13284</v>
      </c>
      <c r="M1570" s="9" t="s">
        <v>13284</v>
      </c>
      <c r="N1570" s="9" t="s">
        <v>13284</v>
      </c>
      <c r="O1570" s="9" t="s">
        <v>13284</v>
      </c>
      <c r="P1570" s="9" t="s">
        <v>13284</v>
      </c>
      <c r="Q1570" s="9" t="s">
        <v>13284</v>
      </c>
      <c r="R1570" s="9" t="s">
        <v>13284</v>
      </c>
      <c r="S1570" s="9" t="s">
        <v>13284</v>
      </c>
      <c r="T1570" s="9" t="str">
        <f ca="1">IFERROR(IF(AND(VLOOKUP(A1570, 'Актуальное состояние (из общего'!A:C,3,0) = "", A1570 &lt;&gt; ""), "ПРОВЕРИТЬ", VLOOKUP(A1570, 'Актуальное состояние (из общего'!A:C,3,0)), "")</f>
        <v>Студент</v>
      </c>
      <c r="U1570" s="9" t="s">
        <v>13284</v>
      </c>
      <c r="V1570" s="9" t="s">
        <v>13284</v>
      </c>
      <c r="W1570" s="12"/>
      <c r="X1570" s="9" t="str">
        <f t="array" ref="X1570">IFERROR(INDEX('Адреса общежитий (скрытый)'!$B$2:$B$9, MATCH(W1570, 'Адреса общежитий (скрытый)'!$A$2:$A$9, 0)), "")</f>
        <v/>
      </c>
      <c r="Y1570" s="18"/>
      <c r="Z1570" s="18"/>
      <c r="AA1570" s="18"/>
      <c r="AB1570" s="18"/>
      <c r="AC1570" s="18"/>
    </row>
    <row r="1571" spans="1:29" ht="32.25" hidden="1" customHeight="1">
      <c r="A1571" s="8">
        <v>2309135</v>
      </c>
      <c r="B1571" s="9" t="s">
        <v>13284</v>
      </c>
      <c r="C1571" s="9" t="s">
        <v>13284</v>
      </c>
      <c r="D1571" s="9" t="s">
        <v>13284</v>
      </c>
      <c r="E1571" s="9" t="s">
        <v>13284</v>
      </c>
      <c r="F1571" s="9" t="s">
        <v>13284</v>
      </c>
      <c r="G1571" s="9" t="s">
        <v>13284</v>
      </c>
      <c r="H1571" s="9" t="s">
        <v>13284</v>
      </c>
      <c r="I1571" s="9" t="s">
        <v>13284</v>
      </c>
      <c r="J1571" s="9" t="s">
        <v>13284</v>
      </c>
      <c r="K1571" s="9" t="s">
        <v>13284</v>
      </c>
      <c r="L1571" s="9" t="s">
        <v>13284</v>
      </c>
      <c r="M1571" s="9" t="s">
        <v>13284</v>
      </c>
      <c r="N1571" s="9" t="s">
        <v>13284</v>
      </c>
      <c r="O1571" s="9" t="s">
        <v>13284</v>
      </c>
      <c r="P1571" s="9" t="s">
        <v>13284</v>
      </c>
      <c r="Q1571" s="9" t="s">
        <v>13284</v>
      </c>
      <c r="R1571" s="9" t="s">
        <v>13284</v>
      </c>
      <c r="S1571" s="9" t="s">
        <v>13284</v>
      </c>
      <c r="T1571" s="9" t="str">
        <f ca="1">IFERROR(IF(AND(VLOOKUP(A1571, 'Актуальное состояние (из общего'!A:C,3,0) = "", A1571 &lt;&gt; ""), "ПРОВЕРИТЬ", VLOOKUP(A1571, 'Актуальное состояние (из общего'!A:C,3,0)), "")</f>
        <v>Студент</v>
      </c>
      <c r="U1571" s="9" t="s">
        <v>13284</v>
      </c>
      <c r="V1571" s="9" t="s">
        <v>13284</v>
      </c>
      <c r="W1571" s="12"/>
      <c r="X1571" s="9" t="str">
        <f t="array" ref="X1571">IFERROR(INDEX('Адреса общежитий (скрытый)'!$B$2:$B$9, MATCH(W1571, 'Адреса общежитий (скрытый)'!$A$2:$A$9, 0)), "")</f>
        <v/>
      </c>
      <c r="Y1571" s="18"/>
      <c r="Z1571" s="18"/>
      <c r="AA1571" s="18"/>
      <c r="AB1571" s="18"/>
      <c r="AC1571" s="18"/>
    </row>
    <row r="1572" spans="1:29" ht="32.25" hidden="1" customHeight="1">
      <c r="A1572" s="8">
        <v>2303268</v>
      </c>
      <c r="B1572" s="9" t="s">
        <v>13284</v>
      </c>
      <c r="C1572" s="9" t="s">
        <v>13284</v>
      </c>
      <c r="D1572" s="9" t="s">
        <v>13284</v>
      </c>
      <c r="E1572" s="9" t="s">
        <v>13284</v>
      </c>
      <c r="F1572" s="9" t="s">
        <v>13284</v>
      </c>
      <c r="G1572" s="9" t="s">
        <v>13284</v>
      </c>
      <c r="H1572" s="9" t="s">
        <v>13284</v>
      </c>
      <c r="I1572" s="9" t="s">
        <v>13284</v>
      </c>
      <c r="J1572" s="9" t="s">
        <v>13284</v>
      </c>
      <c r="K1572" s="9" t="s">
        <v>13284</v>
      </c>
      <c r="L1572" s="9" t="s">
        <v>13284</v>
      </c>
      <c r="M1572" s="9" t="s">
        <v>13284</v>
      </c>
      <c r="N1572" s="9" t="s">
        <v>13284</v>
      </c>
      <c r="O1572" s="9" t="s">
        <v>13284</v>
      </c>
      <c r="P1572" s="9" t="s">
        <v>13284</v>
      </c>
      <c r="Q1572" s="9" t="s">
        <v>13284</v>
      </c>
      <c r="R1572" s="9" t="s">
        <v>13284</v>
      </c>
      <c r="S1572" s="9" t="s">
        <v>13284</v>
      </c>
      <c r="T1572" s="9" t="str">
        <f ca="1">IFERROR(IF(AND(VLOOKUP(A1572, 'Актуальное состояние (из общего'!A:C,3,0) = "", A1572 &lt;&gt; ""), "ПРОВЕРИТЬ", VLOOKUP(A1572, 'Актуальное состояние (из общего'!A:C,3,0)), "")</f>
        <v>Студент</v>
      </c>
      <c r="U1572" s="9" t="s">
        <v>13284</v>
      </c>
      <c r="V1572" s="9" t="s">
        <v>13284</v>
      </c>
      <c r="W1572" s="12"/>
      <c r="X1572" s="9" t="str">
        <f t="array" ref="X1572">IFERROR(INDEX('Адреса общежитий (скрытый)'!$B$2:$B$9, MATCH(W1572, 'Адреса общежитий (скрытый)'!$A$2:$A$9, 0)), "")</f>
        <v/>
      </c>
      <c r="Y1572" s="18"/>
      <c r="Z1572" s="18"/>
      <c r="AA1572" s="18"/>
      <c r="AB1572" s="18"/>
      <c r="AC1572" s="18"/>
    </row>
    <row r="1573" spans="1:29" ht="32.25" hidden="1" customHeight="1">
      <c r="A1573" s="8">
        <v>2314159</v>
      </c>
      <c r="B1573" s="9" t="s">
        <v>13284</v>
      </c>
      <c r="C1573" s="9" t="s">
        <v>13284</v>
      </c>
      <c r="D1573" s="9" t="s">
        <v>13284</v>
      </c>
      <c r="E1573" s="9" t="s">
        <v>13284</v>
      </c>
      <c r="F1573" s="9" t="s">
        <v>13284</v>
      </c>
      <c r="G1573" s="9" t="s">
        <v>13284</v>
      </c>
      <c r="H1573" s="9" t="s">
        <v>13284</v>
      </c>
      <c r="I1573" s="9" t="s">
        <v>13284</v>
      </c>
      <c r="J1573" s="9" t="s">
        <v>13284</v>
      </c>
      <c r="K1573" s="9" t="s">
        <v>13284</v>
      </c>
      <c r="L1573" s="9" t="s">
        <v>13284</v>
      </c>
      <c r="M1573" s="9" t="s">
        <v>13284</v>
      </c>
      <c r="N1573" s="9" t="s">
        <v>13284</v>
      </c>
      <c r="O1573" s="9" t="s">
        <v>13284</v>
      </c>
      <c r="P1573" s="9" t="s">
        <v>13284</v>
      </c>
      <c r="Q1573" s="9" t="s">
        <v>13284</v>
      </c>
      <c r="R1573" s="9" t="s">
        <v>13284</v>
      </c>
      <c r="S1573" s="9" t="s">
        <v>13284</v>
      </c>
      <c r="T1573" s="9" t="str">
        <f ca="1">IFERROR(IF(AND(VLOOKUP(A1573, 'Актуальное состояние (из общего'!A:C,3,0) = "", A1573 &lt;&gt; ""), "ПРОВЕРИТЬ", VLOOKUP(A1573, 'Актуальное состояние (из общего'!A:C,3,0)), "")</f>
        <v>Студент</v>
      </c>
      <c r="U1573" s="9" t="s">
        <v>13284</v>
      </c>
      <c r="V1573" s="9" t="s">
        <v>13284</v>
      </c>
      <c r="W1573" s="12"/>
      <c r="X1573" s="9" t="str">
        <f t="array" ref="X1573">IFERROR(INDEX('Адреса общежитий (скрытый)'!$B$2:$B$9, MATCH(W1573, 'Адреса общежитий (скрытый)'!$A$2:$A$9, 0)), "")</f>
        <v/>
      </c>
      <c r="Y1573" s="18"/>
      <c r="Z1573" s="18"/>
      <c r="AA1573" s="18"/>
      <c r="AB1573" s="18"/>
      <c r="AC1573" s="18"/>
    </row>
    <row r="1574" spans="1:29" ht="32.25" hidden="1" customHeight="1">
      <c r="A1574" s="8">
        <v>2304091</v>
      </c>
      <c r="B1574" s="9" t="s">
        <v>13284</v>
      </c>
      <c r="C1574" s="9" t="s">
        <v>13284</v>
      </c>
      <c r="D1574" s="9" t="s">
        <v>13284</v>
      </c>
      <c r="E1574" s="9" t="s">
        <v>13284</v>
      </c>
      <c r="F1574" s="9" t="s">
        <v>13284</v>
      </c>
      <c r="G1574" s="9" t="s">
        <v>13284</v>
      </c>
      <c r="H1574" s="9" t="s">
        <v>13284</v>
      </c>
      <c r="I1574" s="9" t="s">
        <v>13284</v>
      </c>
      <c r="J1574" s="9" t="s">
        <v>13284</v>
      </c>
      <c r="K1574" s="9" t="s">
        <v>13284</v>
      </c>
      <c r="L1574" s="9" t="s">
        <v>13284</v>
      </c>
      <c r="M1574" s="9" t="s">
        <v>13284</v>
      </c>
      <c r="N1574" s="9" t="s">
        <v>13284</v>
      </c>
      <c r="O1574" s="9" t="s">
        <v>13284</v>
      </c>
      <c r="P1574" s="9" t="s">
        <v>13284</v>
      </c>
      <c r="Q1574" s="9" t="s">
        <v>13284</v>
      </c>
      <c r="R1574" s="9" t="s">
        <v>13284</v>
      </c>
      <c r="S1574" s="9" t="s">
        <v>13284</v>
      </c>
      <c r="T1574" s="9" t="str">
        <f ca="1">IFERROR(IF(AND(VLOOKUP(A1574, 'Актуальное состояние (из общего'!A:C,3,0) = "", A1574 &lt;&gt; ""), "ПРОВЕРИТЬ", VLOOKUP(A1574, 'Актуальное состояние (из общего'!A:C,3,0)), "")</f>
        <v>Студент</v>
      </c>
      <c r="U1574" s="9" t="s">
        <v>13284</v>
      </c>
      <c r="V1574" s="9" t="s">
        <v>13284</v>
      </c>
      <c r="W1574" s="12"/>
      <c r="X1574" s="9" t="str">
        <f t="array" ref="X1574">IFERROR(INDEX('Адреса общежитий (скрытый)'!$B$2:$B$9, MATCH(W1574, 'Адреса общежитий (скрытый)'!$A$2:$A$9, 0)), "")</f>
        <v/>
      </c>
      <c r="Y1574" s="18"/>
      <c r="Z1574" s="18"/>
      <c r="AA1574" s="18"/>
      <c r="AB1574" s="18"/>
      <c r="AC1574" s="18"/>
    </row>
    <row r="1575" spans="1:29" ht="32.25" customHeight="1">
      <c r="A1575" s="8">
        <v>2306862</v>
      </c>
      <c r="B1575" s="9" t="s">
        <v>13284</v>
      </c>
      <c r="C1575" s="9" t="s">
        <v>13284</v>
      </c>
      <c r="D1575" s="9" t="s">
        <v>13284</v>
      </c>
      <c r="E1575" s="9" t="s">
        <v>13284</v>
      </c>
      <c r="F1575" s="9" t="s">
        <v>13284</v>
      </c>
      <c r="G1575" s="9" t="s">
        <v>13284</v>
      </c>
      <c r="H1575" s="9" t="s">
        <v>13284</v>
      </c>
      <c r="I1575" s="9" t="s">
        <v>13284</v>
      </c>
      <c r="J1575" s="9" t="s">
        <v>13284</v>
      </c>
      <c r="K1575" s="9" t="s">
        <v>13284</v>
      </c>
      <c r="L1575" s="9" t="s">
        <v>13284</v>
      </c>
      <c r="M1575" s="9" t="s">
        <v>13284</v>
      </c>
      <c r="N1575" s="9" t="s">
        <v>13284</v>
      </c>
      <c r="O1575" s="9" t="s">
        <v>13284</v>
      </c>
      <c r="P1575" s="9" t="s">
        <v>13284</v>
      </c>
      <c r="Q1575" s="9" t="s">
        <v>13284</v>
      </c>
      <c r="R1575" s="9" t="s">
        <v>13284</v>
      </c>
      <c r="S1575" s="9" t="s">
        <v>13284</v>
      </c>
      <c r="T1575" s="9" t="str">
        <f ca="1">IFERROR(IF(AND(VLOOKUP(A1575, 'Актуальное состояние (из общего'!A:C,3,0) = "", A1575 &lt;&gt; ""), "ПРОВЕРИТЬ", VLOOKUP(A1575, 'Актуальное состояние (из общего'!A:C,3,0)), "")</f>
        <v>Студент</v>
      </c>
      <c r="U1575" s="9" t="s">
        <v>13284</v>
      </c>
      <c r="V1575" s="9" t="s">
        <v>13284</v>
      </c>
      <c r="W1575" s="12"/>
      <c r="X1575" s="9" t="str">
        <f t="array" ref="X1575">IFERROR(INDEX('Адреса общежитий (скрытый)'!$B$2:$B$9, MATCH(W1575, 'Адреса общежитий (скрытый)'!$A$2:$A$9, 0)), "")</f>
        <v/>
      </c>
      <c r="Y1575" s="18"/>
      <c r="Z1575" s="18"/>
      <c r="AA1575" s="18"/>
      <c r="AB1575" s="18"/>
      <c r="AC1575" s="18"/>
    </row>
    <row r="1576" spans="1:29" ht="32.25" hidden="1" customHeight="1">
      <c r="A1576" s="8">
        <v>2303215</v>
      </c>
      <c r="B1576" s="9" t="s">
        <v>13284</v>
      </c>
      <c r="C1576" s="9" t="s">
        <v>13284</v>
      </c>
      <c r="D1576" s="9" t="s">
        <v>13284</v>
      </c>
      <c r="E1576" s="9" t="s">
        <v>13284</v>
      </c>
      <c r="F1576" s="9" t="s">
        <v>13284</v>
      </c>
      <c r="G1576" s="9" t="s">
        <v>13284</v>
      </c>
      <c r="H1576" s="9" t="s">
        <v>13284</v>
      </c>
      <c r="I1576" s="9" t="s">
        <v>13284</v>
      </c>
      <c r="J1576" s="9" t="s">
        <v>13284</v>
      </c>
      <c r="K1576" s="9" t="s">
        <v>13284</v>
      </c>
      <c r="L1576" s="9" t="s">
        <v>13284</v>
      </c>
      <c r="M1576" s="9" t="s">
        <v>13284</v>
      </c>
      <c r="N1576" s="9" t="s">
        <v>13284</v>
      </c>
      <c r="O1576" s="9" t="s">
        <v>13284</v>
      </c>
      <c r="P1576" s="9" t="s">
        <v>13284</v>
      </c>
      <c r="Q1576" s="9" t="s">
        <v>13284</v>
      </c>
      <c r="R1576" s="9" t="s">
        <v>13284</v>
      </c>
      <c r="S1576" s="9" t="s">
        <v>13284</v>
      </c>
      <c r="T1576" s="9" t="str">
        <f ca="1">IFERROR(IF(AND(VLOOKUP(A1576, 'Актуальное состояние (из общего'!A:C,3,0) = "", A1576 &lt;&gt; ""), "ПРОВЕРИТЬ", VLOOKUP(A1576, 'Актуальное состояние (из общего'!A:C,3,0)), "")</f>
        <v>Студент</v>
      </c>
      <c r="U1576" s="9" t="s">
        <v>13284</v>
      </c>
      <c r="V1576" s="9" t="s">
        <v>13284</v>
      </c>
      <c r="W1576" s="12"/>
      <c r="X1576" s="9" t="str">
        <f t="array" ref="X1576">IFERROR(INDEX('Адреса общежитий (скрытый)'!$B$2:$B$9, MATCH(W1576, 'Адреса общежитий (скрытый)'!$A$2:$A$9, 0)), "")</f>
        <v/>
      </c>
      <c r="Y1576" s="18"/>
      <c r="Z1576" s="18"/>
      <c r="AA1576" s="18"/>
      <c r="AB1576" s="18"/>
      <c r="AC1576" s="18"/>
    </row>
    <row r="1577" spans="1:29" ht="32.25" hidden="1" customHeight="1">
      <c r="A1577" s="8">
        <v>2302431</v>
      </c>
      <c r="B1577" s="9" t="s">
        <v>13284</v>
      </c>
      <c r="C1577" s="9" t="s">
        <v>13284</v>
      </c>
      <c r="D1577" s="9" t="s">
        <v>13284</v>
      </c>
      <c r="E1577" s="9" t="s">
        <v>13284</v>
      </c>
      <c r="F1577" s="9" t="s">
        <v>13284</v>
      </c>
      <c r="G1577" s="9" t="s">
        <v>13284</v>
      </c>
      <c r="H1577" s="9" t="s">
        <v>13284</v>
      </c>
      <c r="I1577" s="9" t="s">
        <v>13284</v>
      </c>
      <c r="J1577" s="9" t="s">
        <v>13284</v>
      </c>
      <c r="K1577" s="9" t="s">
        <v>13284</v>
      </c>
      <c r="L1577" s="9" t="s">
        <v>13284</v>
      </c>
      <c r="M1577" s="9" t="s">
        <v>13284</v>
      </c>
      <c r="N1577" s="9" t="s">
        <v>13284</v>
      </c>
      <c r="O1577" s="9" t="s">
        <v>13284</v>
      </c>
      <c r="P1577" s="9" t="s">
        <v>13284</v>
      </c>
      <c r="Q1577" s="9" t="s">
        <v>13284</v>
      </c>
      <c r="R1577" s="9" t="s">
        <v>13284</v>
      </c>
      <c r="S1577" s="9" t="s">
        <v>13284</v>
      </c>
      <c r="T1577" s="9" t="str">
        <f ca="1">IFERROR(IF(AND(VLOOKUP(A1577, 'Актуальное состояние (из общего'!A:C,3,0) = "", A1577 &lt;&gt; ""), "ПРОВЕРИТЬ", VLOOKUP(A1577, 'Актуальное состояние (из общего'!A:C,3,0)), "")</f>
        <v>Студент</v>
      </c>
      <c r="U1577" s="9" t="s">
        <v>13284</v>
      </c>
      <c r="V1577" s="9" t="s">
        <v>13284</v>
      </c>
      <c r="W1577" s="12"/>
      <c r="X1577" s="9" t="str">
        <f t="array" ref="X1577">IFERROR(INDEX('Адреса общежитий (скрытый)'!$B$2:$B$9, MATCH(W1577, 'Адреса общежитий (скрытый)'!$A$2:$A$9, 0)), "")</f>
        <v/>
      </c>
      <c r="Y1577" s="18"/>
      <c r="Z1577" s="18"/>
      <c r="AA1577" s="18"/>
      <c r="AB1577" s="18"/>
      <c r="AC1577" s="18"/>
    </row>
    <row r="1578" spans="1:29" ht="32.25" hidden="1" customHeight="1">
      <c r="A1578" s="8">
        <v>2311452</v>
      </c>
      <c r="B1578" s="9" t="s">
        <v>13284</v>
      </c>
      <c r="C1578" s="9" t="s">
        <v>13284</v>
      </c>
      <c r="D1578" s="9" t="s">
        <v>13284</v>
      </c>
      <c r="E1578" s="9" t="s">
        <v>13284</v>
      </c>
      <c r="F1578" s="9" t="s">
        <v>13284</v>
      </c>
      <c r="G1578" s="9" t="s">
        <v>13284</v>
      </c>
      <c r="H1578" s="9" t="s">
        <v>13284</v>
      </c>
      <c r="I1578" s="9" t="s">
        <v>13284</v>
      </c>
      <c r="J1578" s="9" t="s">
        <v>13284</v>
      </c>
      <c r="K1578" s="9" t="s">
        <v>13284</v>
      </c>
      <c r="L1578" s="9" t="s">
        <v>13284</v>
      </c>
      <c r="M1578" s="9" t="s">
        <v>13284</v>
      </c>
      <c r="N1578" s="9" t="s">
        <v>13284</v>
      </c>
      <c r="O1578" s="9" t="s">
        <v>13284</v>
      </c>
      <c r="P1578" s="9" t="s">
        <v>13284</v>
      </c>
      <c r="Q1578" s="9" t="s">
        <v>13284</v>
      </c>
      <c r="R1578" s="9" t="s">
        <v>13284</v>
      </c>
      <c r="S1578" s="9" t="s">
        <v>13284</v>
      </c>
      <c r="T1578" s="9" t="str">
        <f ca="1">IFERROR(IF(AND(VLOOKUP(A1578, 'Актуальное состояние (из общего'!A:C,3,0) = "", A1578 &lt;&gt; ""), "ПРОВЕРИТЬ", VLOOKUP(A1578, 'Актуальное состояние (из общего'!A:C,3,0)), "")</f>
        <v>Студент</v>
      </c>
      <c r="U1578" s="9" t="s">
        <v>13284</v>
      </c>
      <c r="V1578" s="9" t="s">
        <v>13284</v>
      </c>
      <c r="W1578" s="12"/>
      <c r="X1578" s="9" t="str">
        <f t="array" ref="X1578">IFERROR(INDEX('Адреса общежитий (скрытый)'!$B$2:$B$9, MATCH(W1578, 'Адреса общежитий (скрытый)'!$A$2:$A$9, 0)), "")</f>
        <v/>
      </c>
      <c r="Y1578" s="18"/>
      <c r="Z1578" s="18"/>
      <c r="AA1578" s="18"/>
      <c r="AB1578" s="18"/>
      <c r="AC1578" s="18"/>
    </row>
    <row r="1579" spans="1:29" ht="32.25" customHeight="1">
      <c r="A1579" s="8">
        <v>2303799</v>
      </c>
      <c r="B1579" s="9" t="s">
        <v>13284</v>
      </c>
      <c r="C1579" s="9" t="s">
        <v>13284</v>
      </c>
      <c r="D1579" s="9" t="s">
        <v>13284</v>
      </c>
      <c r="E1579" s="9" t="s">
        <v>13284</v>
      </c>
      <c r="F1579" s="9" t="s">
        <v>13284</v>
      </c>
      <c r="G1579" s="9" t="s">
        <v>13284</v>
      </c>
      <c r="H1579" s="9" t="s">
        <v>13284</v>
      </c>
      <c r="I1579" s="9" t="s">
        <v>13284</v>
      </c>
      <c r="J1579" s="9" t="s">
        <v>13284</v>
      </c>
      <c r="K1579" s="9" t="s">
        <v>13284</v>
      </c>
      <c r="L1579" s="9" t="s">
        <v>13284</v>
      </c>
      <c r="M1579" s="9" t="s">
        <v>13284</v>
      </c>
      <c r="N1579" s="9" t="s">
        <v>13284</v>
      </c>
      <c r="O1579" s="9" t="s">
        <v>13284</v>
      </c>
      <c r="P1579" s="9" t="s">
        <v>13284</v>
      </c>
      <c r="Q1579" s="9" t="s">
        <v>13284</v>
      </c>
      <c r="R1579" s="9" t="s">
        <v>13284</v>
      </c>
      <c r="S1579" s="9" t="s">
        <v>13284</v>
      </c>
      <c r="T1579" s="9" t="str">
        <f ca="1">IFERROR(IF(AND(VLOOKUP(A1579, 'Актуальное состояние (из общего'!A:C,3,0) = "", A1579 &lt;&gt; ""), "ПРОВЕРИТЬ", VLOOKUP(A1579, 'Актуальное состояние (из общего'!A:C,3,0)), "")</f>
        <v>Студент</v>
      </c>
      <c r="U1579" s="9" t="s">
        <v>13284</v>
      </c>
      <c r="V1579" s="9" t="s">
        <v>13284</v>
      </c>
      <c r="W1579" s="12"/>
      <c r="X1579" s="9" t="str">
        <f t="array" ref="X1579">IFERROR(INDEX('Адреса общежитий (скрытый)'!$B$2:$B$9, MATCH(W1579, 'Адреса общежитий (скрытый)'!$A$2:$A$9, 0)), "")</f>
        <v/>
      </c>
      <c r="Y1579" s="18"/>
      <c r="Z1579" s="18"/>
      <c r="AA1579" s="18"/>
      <c r="AB1579" s="18"/>
      <c r="AC1579" s="18"/>
    </row>
    <row r="1580" spans="1:29" ht="32.25" hidden="1" customHeight="1">
      <c r="A1580" s="8">
        <v>2302951</v>
      </c>
      <c r="B1580" s="9" t="s">
        <v>13284</v>
      </c>
      <c r="C1580" s="9" t="s">
        <v>13284</v>
      </c>
      <c r="D1580" s="9" t="s">
        <v>13284</v>
      </c>
      <c r="E1580" s="9" t="s">
        <v>13284</v>
      </c>
      <c r="F1580" s="9" t="s">
        <v>13284</v>
      </c>
      <c r="G1580" s="9" t="s">
        <v>13284</v>
      </c>
      <c r="H1580" s="9" t="s">
        <v>13284</v>
      </c>
      <c r="I1580" s="9" t="s">
        <v>13284</v>
      </c>
      <c r="J1580" s="9" t="s">
        <v>13284</v>
      </c>
      <c r="K1580" s="9" t="s">
        <v>13284</v>
      </c>
      <c r="L1580" s="9" t="s">
        <v>13284</v>
      </c>
      <c r="M1580" s="9" t="s">
        <v>13284</v>
      </c>
      <c r="N1580" s="9" t="s">
        <v>13284</v>
      </c>
      <c r="O1580" s="9" t="s">
        <v>13284</v>
      </c>
      <c r="P1580" s="9" t="s">
        <v>13284</v>
      </c>
      <c r="Q1580" s="9" t="s">
        <v>13284</v>
      </c>
      <c r="R1580" s="9" t="s">
        <v>13284</v>
      </c>
      <c r="S1580" s="9" t="s">
        <v>13284</v>
      </c>
      <c r="T1580" s="9" t="str">
        <f ca="1">IFERROR(IF(AND(VLOOKUP(A1580, 'Актуальное состояние (из общего'!A:C,3,0) = "", A1580 &lt;&gt; ""), "ПРОВЕРИТЬ", VLOOKUP(A1580, 'Актуальное состояние (из общего'!A:C,3,0)), "")</f>
        <v>Студент</v>
      </c>
      <c r="U1580" s="9" t="s">
        <v>13284</v>
      </c>
      <c r="V1580" s="9" t="s">
        <v>13284</v>
      </c>
      <c r="W1580" s="12"/>
      <c r="X1580" s="9" t="str">
        <f t="array" ref="X1580">IFERROR(INDEX('Адреса общежитий (скрытый)'!$B$2:$B$9, MATCH(W1580, 'Адреса общежитий (скрытый)'!$A$2:$A$9, 0)), "")</f>
        <v/>
      </c>
      <c r="Y1580" s="18"/>
      <c r="Z1580" s="18"/>
      <c r="AA1580" s="18"/>
      <c r="AB1580" s="18"/>
      <c r="AC1580" s="18"/>
    </row>
    <row r="1581" spans="1:29" ht="32.25" hidden="1" customHeight="1">
      <c r="A1581" s="8">
        <v>2310090</v>
      </c>
      <c r="B1581" s="9" t="s">
        <v>13284</v>
      </c>
      <c r="C1581" s="9" t="s">
        <v>13284</v>
      </c>
      <c r="D1581" s="9" t="s">
        <v>13284</v>
      </c>
      <c r="E1581" s="9" t="s">
        <v>13284</v>
      </c>
      <c r="F1581" s="9" t="s">
        <v>13284</v>
      </c>
      <c r="G1581" s="9" t="s">
        <v>13284</v>
      </c>
      <c r="H1581" s="9" t="s">
        <v>13284</v>
      </c>
      <c r="I1581" s="9" t="s">
        <v>13284</v>
      </c>
      <c r="J1581" s="9" t="s">
        <v>13284</v>
      </c>
      <c r="K1581" s="9" t="s">
        <v>13284</v>
      </c>
      <c r="L1581" s="9" t="s">
        <v>13284</v>
      </c>
      <c r="M1581" s="9" t="s">
        <v>13284</v>
      </c>
      <c r="N1581" s="9" t="s">
        <v>13284</v>
      </c>
      <c r="O1581" s="9" t="s">
        <v>13284</v>
      </c>
      <c r="P1581" s="9" t="s">
        <v>13284</v>
      </c>
      <c r="Q1581" s="9" t="s">
        <v>13284</v>
      </c>
      <c r="R1581" s="9" t="s">
        <v>13284</v>
      </c>
      <c r="S1581" s="9" t="s">
        <v>13284</v>
      </c>
      <c r="T1581" s="9" t="str">
        <f ca="1">IFERROR(IF(AND(VLOOKUP(A1581, 'Актуальное состояние (из общего'!A:C,3,0) = "", A1581 &lt;&gt; ""), "ПРОВЕРИТЬ", VLOOKUP(A1581, 'Актуальное состояние (из общего'!A:C,3,0)), "")</f>
        <v>Студент</v>
      </c>
      <c r="U1581" s="9" t="s">
        <v>13284</v>
      </c>
      <c r="V1581" s="9" t="s">
        <v>13284</v>
      </c>
      <c r="W1581" s="12"/>
      <c r="X1581" s="9" t="str">
        <f t="array" ref="X1581">IFERROR(INDEX('Адреса общежитий (скрытый)'!$B$2:$B$9, MATCH(W1581, 'Адреса общежитий (скрытый)'!$A$2:$A$9, 0)), "")</f>
        <v/>
      </c>
      <c r="Y1581" s="18"/>
      <c r="Z1581" s="18"/>
      <c r="AA1581" s="18"/>
      <c r="AB1581" s="18"/>
      <c r="AC1581" s="18"/>
    </row>
    <row r="1582" spans="1:29" ht="32.25" hidden="1" customHeight="1">
      <c r="A1582" s="8">
        <v>2304579</v>
      </c>
      <c r="B1582" s="9" t="s">
        <v>13284</v>
      </c>
      <c r="C1582" s="9" t="s">
        <v>13284</v>
      </c>
      <c r="D1582" s="9" t="s">
        <v>13284</v>
      </c>
      <c r="E1582" s="9" t="s">
        <v>13284</v>
      </c>
      <c r="F1582" s="9" t="s">
        <v>13284</v>
      </c>
      <c r="G1582" s="9" t="s">
        <v>13284</v>
      </c>
      <c r="H1582" s="9" t="s">
        <v>13284</v>
      </c>
      <c r="I1582" s="9" t="s">
        <v>13284</v>
      </c>
      <c r="J1582" s="9" t="s">
        <v>13284</v>
      </c>
      <c r="K1582" s="9" t="s">
        <v>13284</v>
      </c>
      <c r="L1582" s="9" t="s">
        <v>13284</v>
      </c>
      <c r="M1582" s="9" t="s">
        <v>13284</v>
      </c>
      <c r="N1582" s="9" t="s">
        <v>13284</v>
      </c>
      <c r="O1582" s="9" t="s">
        <v>13284</v>
      </c>
      <c r="P1582" s="9" t="s">
        <v>13284</v>
      </c>
      <c r="Q1582" s="9" t="s">
        <v>13284</v>
      </c>
      <c r="R1582" s="9" t="s">
        <v>13284</v>
      </c>
      <c r="S1582" s="9" t="s">
        <v>13284</v>
      </c>
      <c r="T1582" s="9" t="str">
        <f ca="1">IFERROR(IF(AND(VLOOKUP(A1582, 'Актуальное состояние (из общего'!A:C,3,0) = "", A1582 &lt;&gt; ""), "ПРОВЕРИТЬ", VLOOKUP(A1582, 'Актуальное состояние (из общего'!A:C,3,0)), "")</f>
        <v>Студент</v>
      </c>
      <c r="U1582" s="9" t="s">
        <v>13284</v>
      </c>
      <c r="V1582" s="9" t="s">
        <v>13284</v>
      </c>
      <c r="W1582" s="12"/>
      <c r="X1582" s="9" t="str">
        <f t="array" ref="X1582">IFERROR(INDEX('Адреса общежитий (скрытый)'!$B$2:$B$9, MATCH(W1582, 'Адреса общежитий (скрытый)'!$A$2:$A$9, 0)), "")</f>
        <v/>
      </c>
      <c r="Y1582" s="18"/>
      <c r="Z1582" s="18"/>
      <c r="AA1582" s="18"/>
      <c r="AB1582" s="18"/>
      <c r="AC1582" s="18"/>
    </row>
    <row r="1583" spans="1:29" ht="32.25" customHeight="1">
      <c r="A1583" s="8">
        <v>2303931</v>
      </c>
      <c r="B1583" s="9" t="s">
        <v>13284</v>
      </c>
      <c r="C1583" s="9" t="s">
        <v>13284</v>
      </c>
      <c r="D1583" s="9" t="s">
        <v>13284</v>
      </c>
      <c r="E1583" s="9" t="s">
        <v>13284</v>
      </c>
      <c r="F1583" s="9" t="s">
        <v>13284</v>
      </c>
      <c r="G1583" s="9" t="s">
        <v>13284</v>
      </c>
      <c r="H1583" s="9" t="s">
        <v>13284</v>
      </c>
      <c r="I1583" s="9" t="s">
        <v>13284</v>
      </c>
      <c r="J1583" s="9" t="s">
        <v>13284</v>
      </c>
      <c r="K1583" s="9" t="s">
        <v>13284</v>
      </c>
      <c r="L1583" s="9" t="s">
        <v>13284</v>
      </c>
      <c r="M1583" s="9" t="s">
        <v>13284</v>
      </c>
      <c r="N1583" s="9" t="s">
        <v>13284</v>
      </c>
      <c r="O1583" s="9" t="s">
        <v>13284</v>
      </c>
      <c r="P1583" s="9" t="s">
        <v>13284</v>
      </c>
      <c r="Q1583" s="9" t="s">
        <v>13284</v>
      </c>
      <c r="R1583" s="9" t="s">
        <v>13284</v>
      </c>
      <c r="S1583" s="9" t="s">
        <v>13284</v>
      </c>
      <c r="T1583" s="9" t="str">
        <f ca="1">IFERROR(IF(AND(VLOOKUP(A1583, 'Актуальное состояние (из общего'!A:C,3,0) = "", A1583 &lt;&gt; ""), "ПРОВЕРИТЬ", VLOOKUP(A1583, 'Актуальное состояние (из общего'!A:C,3,0)), "")</f>
        <v>Студент</v>
      </c>
      <c r="U1583" s="9" t="s">
        <v>13284</v>
      </c>
      <c r="V1583" s="9" t="s">
        <v>13284</v>
      </c>
      <c r="W1583" s="12"/>
      <c r="X1583" s="9" t="str">
        <f t="array" ref="X1583">IFERROR(INDEX('Адреса общежитий (скрытый)'!$B$2:$B$9, MATCH(W1583, 'Адреса общежитий (скрытый)'!$A$2:$A$9, 0)), "")</f>
        <v/>
      </c>
      <c r="Y1583" s="18"/>
      <c r="Z1583" s="18"/>
      <c r="AA1583" s="18"/>
      <c r="AB1583" s="18"/>
      <c r="AC1583" s="18"/>
    </row>
    <row r="1584" spans="1:29" ht="32.25" hidden="1" customHeight="1">
      <c r="A1584" s="8">
        <v>2306897</v>
      </c>
      <c r="B1584" s="9" t="s">
        <v>13284</v>
      </c>
      <c r="C1584" s="9" t="s">
        <v>13284</v>
      </c>
      <c r="D1584" s="9" t="s">
        <v>13284</v>
      </c>
      <c r="E1584" s="9" t="s">
        <v>13284</v>
      </c>
      <c r="F1584" s="9" t="s">
        <v>13284</v>
      </c>
      <c r="G1584" s="9" t="s">
        <v>13284</v>
      </c>
      <c r="H1584" s="9" t="s">
        <v>13284</v>
      </c>
      <c r="I1584" s="9" t="s">
        <v>13284</v>
      </c>
      <c r="J1584" s="9" t="s">
        <v>13284</v>
      </c>
      <c r="K1584" s="9" t="s">
        <v>13284</v>
      </c>
      <c r="L1584" s="9" t="s">
        <v>13284</v>
      </c>
      <c r="M1584" s="9" t="s">
        <v>13284</v>
      </c>
      <c r="N1584" s="9" t="s">
        <v>13284</v>
      </c>
      <c r="O1584" s="9" t="s">
        <v>13284</v>
      </c>
      <c r="P1584" s="9" t="s">
        <v>13284</v>
      </c>
      <c r="Q1584" s="9" t="s">
        <v>13284</v>
      </c>
      <c r="R1584" s="9" t="s">
        <v>13284</v>
      </c>
      <c r="S1584" s="9" t="s">
        <v>13284</v>
      </c>
      <c r="T1584" s="9" t="str">
        <f ca="1">IFERROR(IF(AND(VLOOKUP(A1584, 'Актуальное состояние (из общего'!A:C,3,0) = "", A1584 &lt;&gt; ""), "ПРОВЕРИТЬ", VLOOKUP(A1584, 'Актуальное состояние (из общего'!A:C,3,0)), "")</f>
        <v>Студент</v>
      </c>
      <c r="U1584" s="9" t="s">
        <v>13284</v>
      </c>
      <c r="V1584" s="9" t="s">
        <v>13284</v>
      </c>
      <c r="W1584" s="12"/>
      <c r="X1584" s="9" t="str">
        <f t="array" ref="X1584">IFERROR(INDEX('Адреса общежитий (скрытый)'!$B$2:$B$9, MATCH(W1584, 'Адреса общежитий (скрытый)'!$A$2:$A$9, 0)), "")</f>
        <v/>
      </c>
      <c r="Y1584" s="18"/>
      <c r="Z1584" s="18"/>
      <c r="AA1584" s="18"/>
      <c r="AB1584" s="18"/>
      <c r="AC1584" s="18"/>
    </row>
    <row r="1585" spans="1:29" ht="32.25" hidden="1" customHeight="1">
      <c r="A1585" s="8">
        <v>2304319</v>
      </c>
      <c r="B1585" s="9" t="s">
        <v>13284</v>
      </c>
      <c r="C1585" s="9" t="s">
        <v>13284</v>
      </c>
      <c r="D1585" s="9" t="s">
        <v>13284</v>
      </c>
      <c r="E1585" s="9" t="s">
        <v>13284</v>
      </c>
      <c r="F1585" s="9" t="s">
        <v>13284</v>
      </c>
      <c r="G1585" s="9" t="s">
        <v>13284</v>
      </c>
      <c r="H1585" s="9" t="s">
        <v>13284</v>
      </c>
      <c r="I1585" s="9" t="s">
        <v>13284</v>
      </c>
      <c r="J1585" s="9" t="s">
        <v>13284</v>
      </c>
      <c r="K1585" s="9" t="s">
        <v>13284</v>
      </c>
      <c r="L1585" s="9" t="s">
        <v>13284</v>
      </c>
      <c r="M1585" s="9" t="s">
        <v>13284</v>
      </c>
      <c r="N1585" s="9" t="s">
        <v>13284</v>
      </c>
      <c r="O1585" s="9" t="s">
        <v>13284</v>
      </c>
      <c r="P1585" s="9" t="s">
        <v>13284</v>
      </c>
      <c r="Q1585" s="9" t="s">
        <v>13284</v>
      </c>
      <c r="R1585" s="9" t="s">
        <v>13284</v>
      </c>
      <c r="S1585" s="9" t="s">
        <v>13284</v>
      </c>
      <c r="T1585" s="9" t="str">
        <f ca="1">IFERROR(IF(AND(VLOOKUP(A1585, 'Актуальное состояние (из общего'!A:C,3,0) = "", A1585 &lt;&gt; ""), "ПРОВЕРИТЬ", VLOOKUP(A1585, 'Актуальное состояние (из общего'!A:C,3,0)), "")</f>
        <v>Студент</v>
      </c>
      <c r="U1585" s="9" t="s">
        <v>13284</v>
      </c>
      <c r="V1585" s="9" t="s">
        <v>13284</v>
      </c>
      <c r="W1585" s="12"/>
      <c r="X1585" s="9" t="str">
        <f t="array" ref="X1585">IFERROR(INDEX('Адреса общежитий (скрытый)'!$B$2:$B$9, MATCH(W1585, 'Адреса общежитий (скрытый)'!$A$2:$A$9, 0)), "")</f>
        <v/>
      </c>
      <c r="Y1585" s="18"/>
      <c r="Z1585" s="18"/>
      <c r="AA1585" s="18"/>
      <c r="AB1585" s="18"/>
      <c r="AC1585" s="18"/>
    </row>
    <row r="1586" spans="1:29" ht="32.25" hidden="1" customHeight="1">
      <c r="A1586" s="8">
        <v>2307731</v>
      </c>
      <c r="B1586" s="9" t="s">
        <v>13284</v>
      </c>
      <c r="C1586" s="9" t="s">
        <v>13284</v>
      </c>
      <c r="D1586" s="9" t="s">
        <v>13284</v>
      </c>
      <c r="E1586" s="9" t="s">
        <v>13284</v>
      </c>
      <c r="F1586" s="9" t="s">
        <v>13284</v>
      </c>
      <c r="G1586" s="9" t="s">
        <v>13284</v>
      </c>
      <c r="H1586" s="9" t="s">
        <v>13284</v>
      </c>
      <c r="I1586" s="9" t="s">
        <v>13284</v>
      </c>
      <c r="J1586" s="9" t="s">
        <v>13284</v>
      </c>
      <c r="K1586" s="9" t="s">
        <v>13284</v>
      </c>
      <c r="L1586" s="9" t="s">
        <v>13284</v>
      </c>
      <c r="M1586" s="9" t="s">
        <v>13284</v>
      </c>
      <c r="N1586" s="9" t="s">
        <v>13284</v>
      </c>
      <c r="O1586" s="9" t="s">
        <v>13284</v>
      </c>
      <c r="P1586" s="9" t="s">
        <v>13284</v>
      </c>
      <c r="Q1586" s="9" t="s">
        <v>13284</v>
      </c>
      <c r="R1586" s="9" t="s">
        <v>13284</v>
      </c>
      <c r="S1586" s="9" t="s">
        <v>13284</v>
      </c>
      <c r="T1586" s="9" t="str">
        <f ca="1">IFERROR(IF(AND(VLOOKUP(A1586, 'Актуальное состояние (из общего'!A:C,3,0) = "", A1586 &lt;&gt; ""), "ПРОВЕРИТЬ", VLOOKUP(A1586, 'Актуальное состояние (из общего'!A:C,3,0)), "")</f>
        <v>Студент</v>
      </c>
      <c r="U1586" s="9" t="s">
        <v>13284</v>
      </c>
      <c r="V1586" s="9" t="s">
        <v>13284</v>
      </c>
      <c r="W1586" s="12"/>
      <c r="X1586" s="9" t="str">
        <f t="array" ref="X1586">IFERROR(INDEX('Адреса общежитий (скрытый)'!$B$2:$B$9, MATCH(W1586, 'Адреса общежитий (скрытый)'!$A$2:$A$9, 0)), "")</f>
        <v/>
      </c>
      <c r="Y1586" s="18"/>
      <c r="Z1586" s="18"/>
      <c r="AA1586" s="18"/>
      <c r="AB1586" s="18"/>
      <c r="AC1586" s="18"/>
    </row>
    <row r="1587" spans="1:29" ht="32.25" hidden="1" customHeight="1">
      <c r="A1587" s="8">
        <v>2302499</v>
      </c>
      <c r="B1587" s="9" t="s">
        <v>13284</v>
      </c>
      <c r="C1587" s="9" t="s">
        <v>13284</v>
      </c>
      <c r="D1587" s="9" t="s">
        <v>13284</v>
      </c>
      <c r="E1587" s="9" t="s">
        <v>13284</v>
      </c>
      <c r="F1587" s="9" t="s">
        <v>13284</v>
      </c>
      <c r="G1587" s="9" t="s">
        <v>13284</v>
      </c>
      <c r="H1587" s="9" t="s">
        <v>13284</v>
      </c>
      <c r="I1587" s="9" t="s">
        <v>13284</v>
      </c>
      <c r="J1587" s="9" t="s">
        <v>13284</v>
      </c>
      <c r="K1587" s="9" t="s">
        <v>13284</v>
      </c>
      <c r="L1587" s="9" t="s">
        <v>13284</v>
      </c>
      <c r="M1587" s="9" t="s">
        <v>13284</v>
      </c>
      <c r="N1587" s="9" t="s">
        <v>13284</v>
      </c>
      <c r="O1587" s="9" t="s">
        <v>13284</v>
      </c>
      <c r="P1587" s="9" t="s">
        <v>13284</v>
      </c>
      <c r="Q1587" s="9" t="s">
        <v>13284</v>
      </c>
      <c r="R1587" s="9" t="s">
        <v>13284</v>
      </c>
      <c r="S1587" s="9" t="s">
        <v>13284</v>
      </c>
      <c r="T1587" s="9" t="str">
        <f ca="1">IFERROR(IF(AND(VLOOKUP(A1587, 'Актуальное состояние (из общего'!A:C,3,0) = "", A1587 &lt;&gt; ""), "ПРОВЕРИТЬ", VLOOKUP(A1587, 'Актуальное состояние (из общего'!A:C,3,0)), "")</f>
        <v>Студент</v>
      </c>
      <c r="U1587" s="9" t="s">
        <v>13284</v>
      </c>
      <c r="V1587" s="9" t="s">
        <v>13284</v>
      </c>
      <c r="W1587" s="12"/>
      <c r="X1587" s="9" t="str">
        <f t="array" ref="X1587">IFERROR(INDEX('Адреса общежитий (скрытый)'!$B$2:$B$9, MATCH(W1587, 'Адреса общежитий (скрытый)'!$A$2:$A$9, 0)), "")</f>
        <v/>
      </c>
      <c r="Y1587" s="18"/>
      <c r="Z1587" s="18"/>
      <c r="AA1587" s="18"/>
      <c r="AB1587" s="18"/>
      <c r="AC1587" s="18"/>
    </row>
    <row r="1588" spans="1:29" ht="32.25" customHeight="1">
      <c r="A1588" s="8">
        <v>2306191</v>
      </c>
      <c r="B1588" s="9" t="s">
        <v>13284</v>
      </c>
      <c r="C1588" s="9" t="s">
        <v>13284</v>
      </c>
      <c r="D1588" s="9" t="s">
        <v>13284</v>
      </c>
      <c r="E1588" s="9" t="s">
        <v>13284</v>
      </c>
      <c r="F1588" s="9" t="s">
        <v>13284</v>
      </c>
      <c r="G1588" s="9" t="s">
        <v>13284</v>
      </c>
      <c r="H1588" s="9" t="s">
        <v>13284</v>
      </c>
      <c r="I1588" s="9" t="s">
        <v>13284</v>
      </c>
      <c r="J1588" s="9" t="s">
        <v>13284</v>
      </c>
      <c r="K1588" s="9" t="s">
        <v>13284</v>
      </c>
      <c r="L1588" s="9" t="s">
        <v>13284</v>
      </c>
      <c r="M1588" s="9" t="s">
        <v>13284</v>
      </c>
      <c r="N1588" s="9" t="s">
        <v>13284</v>
      </c>
      <c r="O1588" s="9" t="s">
        <v>13284</v>
      </c>
      <c r="P1588" s="9" t="s">
        <v>13284</v>
      </c>
      <c r="Q1588" s="9" t="s">
        <v>13284</v>
      </c>
      <c r="R1588" s="9" t="s">
        <v>13284</v>
      </c>
      <c r="S1588" s="9" t="s">
        <v>13284</v>
      </c>
      <c r="T1588" s="9" t="str">
        <f ca="1">IFERROR(IF(AND(VLOOKUP(A1588, 'Актуальное состояние (из общего'!A:C,3,0) = "", A1588 &lt;&gt; ""), "ПРОВЕРИТЬ", VLOOKUP(A1588, 'Актуальное состояние (из общего'!A:C,3,0)), "")</f>
        <v>Студент</v>
      </c>
      <c r="U1588" s="9" t="s">
        <v>13284</v>
      </c>
      <c r="V1588" s="9" t="s">
        <v>13284</v>
      </c>
      <c r="W1588" s="12"/>
      <c r="X1588" s="9" t="str">
        <f t="array" ref="X1588">IFERROR(INDEX('Адреса общежитий (скрытый)'!$B$2:$B$9, MATCH(W1588, 'Адреса общежитий (скрытый)'!$A$2:$A$9, 0)), "")</f>
        <v/>
      </c>
      <c r="Y1588" s="18"/>
      <c r="Z1588" s="18"/>
      <c r="AA1588" s="18"/>
      <c r="AB1588" s="18"/>
      <c r="AC1588" s="18"/>
    </row>
    <row r="1589" spans="1:29" ht="32.25" hidden="1" customHeight="1">
      <c r="A1589" s="8">
        <v>2309152</v>
      </c>
      <c r="B1589" s="9" t="s">
        <v>13284</v>
      </c>
      <c r="C1589" s="9" t="s">
        <v>13284</v>
      </c>
      <c r="D1589" s="9" t="s">
        <v>13284</v>
      </c>
      <c r="E1589" s="9" t="s">
        <v>13284</v>
      </c>
      <c r="F1589" s="9" t="s">
        <v>13284</v>
      </c>
      <c r="G1589" s="9" t="s">
        <v>13284</v>
      </c>
      <c r="H1589" s="9" t="s">
        <v>13284</v>
      </c>
      <c r="I1589" s="9" t="s">
        <v>13284</v>
      </c>
      <c r="J1589" s="9" t="s">
        <v>13284</v>
      </c>
      <c r="K1589" s="9" t="s">
        <v>13284</v>
      </c>
      <c r="L1589" s="9" t="s">
        <v>13284</v>
      </c>
      <c r="M1589" s="9" t="s">
        <v>13284</v>
      </c>
      <c r="N1589" s="9" t="s">
        <v>13284</v>
      </c>
      <c r="O1589" s="9" t="s">
        <v>13284</v>
      </c>
      <c r="P1589" s="9" t="s">
        <v>13284</v>
      </c>
      <c r="Q1589" s="9" t="s">
        <v>13284</v>
      </c>
      <c r="R1589" s="9" t="s">
        <v>13284</v>
      </c>
      <c r="S1589" s="9" t="s">
        <v>13284</v>
      </c>
      <c r="T1589" s="9" t="str">
        <f ca="1">IFERROR(IF(AND(VLOOKUP(A1589, 'Актуальное состояние (из общего'!A:C,3,0) = "", A1589 &lt;&gt; ""), "ПРОВЕРИТЬ", VLOOKUP(A1589, 'Актуальное состояние (из общего'!A:C,3,0)), "")</f>
        <v>Студент</v>
      </c>
      <c r="U1589" s="9" t="s">
        <v>13284</v>
      </c>
      <c r="V1589" s="9" t="s">
        <v>13284</v>
      </c>
      <c r="W1589" s="12"/>
      <c r="X1589" s="9" t="str">
        <f t="array" ref="X1589">IFERROR(INDEX('Адреса общежитий (скрытый)'!$B$2:$B$9, MATCH(W1589, 'Адреса общежитий (скрытый)'!$A$2:$A$9, 0)), "")</f>
        <v/>
      </c>
      <c r="Y1589" s="18"/>
      <c r="Z1589" s="18"/>
      <c r="AA1589" s="18"/>
      <c r="AB1589" s="18"/>
      <c r="AC1589" s="18"/>
    </row>
    <row r="1590" spans="1:29" ht="32.25" hidden="1" customHeight="1">
      <c r="A1590" s="8">
        <v>2313977</v>
      </c>
      <c r="B1590" s="9" t="s">
        <v>13284</v>
      </c>
      <c r="C1590" s="9" t="s">
        <v>13284</v>
      </c>
      <c r="D1590" s="9" t="s">
        <v>13284</v>
      </c>
      <c r="E1590" s="9" t="s">
        <v>13284</v>
      </c>
      <c r="F1590" s="9" t="s">
        <v>13284</v>
      </c>
      <c r="G1590" s="9" t="s">
        <v>13284</v>
      </c>
      <c r="H1590" s="9" t="s">
        <v>13284</v>
      </c>
      <c r="I1590" s="9" t="s">
        <v>13284</v>
      </c>
      <c r="J1590" s="9" t="s">
        <v>13284</v>
      </c>
      <c r="K1590" s="9" t="s">
        <v>13284</v>
      </c>
      <c r="L1590" s="9" t="s">
        <v>13284</v>
      </c>
      <c r="M1590" s="9" t="s">
        <v>13284</v>
      </c>
      <c r="N1590" s="9" t="s">
        <v>13284</v>
      </c>
      <c r="O1590" s="9" t="s">
        <v>13284</v>
      </c>
      <c r="P1590" s="9" t="s">
        <v>13284</v>
      </c>
      <c r="Q1590" s="9" t="s">
        <v>13284</v>
      </c>
      <c r="R1590" s="9" t="s">
        <v>13284</v>
      </c>
      <c r="S1590" s="9" t="s">
        <v>13284</v>
      </c>
      <c r="T1590" s="9" t="str">
        <f ca="1">IFERROR(IF(AND(VLOOKUP(A1590, 'Актуальное состояние (из общего'!A:C,3,0) = "", A1590 &lt;&gt; ""), "ПРОВЕРИТЬ", VLOOKUP(A1590, 'Актуальное состояние (из общего'!A:C,3,0)), "")</f>
        <v>Студент</v>
      </c>
      <c r="U1590" s="9" t="s">
        <v>13284</v>
      </c>
      <c r="V1590" s="9" t="s">
        <v>13284</v>
      </c>
      <c r="W1590" s="12"/>
      <c r="X1590" s="9" t="str">
        <f t="array" ref="X1590">IFERROR(INDEX('Адреса общежитий (скрытый)'!$B$2:$B$9, MATCH(W1590, 'Адреса общежитий (скрытый)'!$A$2:$A$9, 0)), "")</f>
        <v/>
      </c>
      <c r="Y1590" s="18"/>
      <c r="Z1590" s="18"/>
      <c r="AA1590" s="18"/>
      <c r="AB1590" s="18"/>
      <c r="AC1590" s="18"/>
    </row>
    <row r="1591" spans="1:29" ht="32.25" hidden="1" customHeight="1">
      <c r="A1591" s="8">
        <v>2302706</v>
      </c>
      <c r="B1591" s="9" t="s">
        <v>13284</v>
      </c>
      <c r="C1591" s="9" t="s">
        <v>13284</v>
      </c>
      <c r="D1591" s="9" t="s">
        <v>13284</v>
      </c>
      <c r="E1591" s="9" t="s">
        <v>13284</v>
      </c>
      <c r="F1591" s="9" t="s">
        <v>13284</v>
      </c>
      <c r="G1591" s="9" t="s">
        <v>13284</v>
      </c>
      <c r="H1591" s="9" t="s">
        <v>13284</v>
      </c>
      <c r="I1591" s="9" t="s">
        <v>13284</v>
      </c>
      <c r="J1591" s="9" t="s">
        <v>13284</v>
      </c>
      <c r="K1591" s="9" t="s">
        <v>13284</v>
      </c>
      <c r="L1591" s="9" t="s">
        <v>13284</v>
      </c>
      <c r="M1591" s="9" t="s">
        <v>13284</v>
      </c>
      <c r="N1591" s="9" t="s">
        <v>13284</v>
      </c>
      <c r="O1591" s="9" t="s">
        <v>13284</v>
      </c>
      <c r="P1591" s="9" t="s">
        <v>13284</v>
      </c>
      <c r="Q1591" s="9" t="s">
        <v>13284</v>
      </c>
      <c r="R1591" s="9" t="s">
        <v>13284</v>
      </c>
      <c r="S1591" s="9" t="s">
        <v>13284</v>
      </c>
      <c r="T1591" s="9" t="str">
        <f ca="1">IFERROR(IF(AND(VLOOKUP(A1591, 'Актуальное состояние (из общего'!A:C,3,0) = "", A1591 &lt;&gt; ""), "ПРОВЕРИТЬ", VLOOKUP(A1591, 'Актуальное состояние (из общего'!A:C,3,0)), "")</f>
        <v>Студент</v>
      </c>
      <c r="U1591" s="9" t="s">
        <v>13284</v>
      </c>
      <c r="V1591" s="9" t="s">
        <v>13284</v>
      </c>
      <c r="W1591" s="12"/>
      <c r="X1591" s="9" t="str">
        <f t="array" ref="X1591">IFERROR(INDEX('Адреса общежитий (скрытый)'!$B$2:$B$9, MATCH(W1591, 'Адреса общежитий (скрытый)'!$A$2:$A$9, 0)), "")</f>
        <v/>
      </c>
      <c r="Y1591" s="18"/>
      <c r="Z1591" s="18"/>
      <c r="AA1591" s="18"/>
      <c r="AB1591" s="18"/>
      <c r="AC1591" s="18"/>
    </row>
    <row r="1592" spans="1:29" ht="32.25" hidden="1" customHeight="1">
      <c r="A1592" s="8">
        <v>2304896</v>
      </c>
      <c r="B1592" s="9" t="s">
        <v>13284</v>
      </c>
      <c r="C1592" s="9" t="s">
        <v>13284</v>
      </c>
      <c r="D1592" s="9" t="s">
        <v>13284</v>
      </c>
      <c r="E1592" s="9" t="s">
        <v>13284</v>
      </c>
      <c r="F1592" s="9" t="s">
        <v>13284</v>
      </c>
      <c r="G1592" s="9" t="s">
        <v>13284</v>
      </c>
      <c r="H1592" s="9" t="s">
        <v>13284</v>
      </c>
      <c r="I1592" s="9" t="s">
        <v>13284</v>
      </c>
      <c r="J1592" s="9" t="s">
        <v>13284</v>
      </c>
      <c r="K1592" s="9" t="s">
        <v>13284</v>
      </c>
      <c r="L1592" s="9" t="s">
        <v>13284</v>
      </c>
      <c r="M1592" s="9" t="s">
        <v>13284</v>
      </c>
      <c r="N1592" s="9" t="s">
        <v>13284</v>
      </c>
      <c r="O1592" s="9" t="s">
        <v>13284</v>
      </c>
      <c r="P1592" s="9" t="s">
        <v>13284</v>
      </c>
      <c r="Q1592" s="9" t="s">
        <v>13284</v>
      </c>
      <c r="R1592" s="9" t="s">
        <v>13284</v>
      </c>
      <c r="S1592" s="9" t="s">
        <v>13284</v>
      </c>
      <c r="T1592" s="9" t="str">
        <f ca="1">IFERROR(IF(AND(VLOOKUP(A1592, 'Актуальное состояние (из общего'!A:C,3,0) = "", A1592 &lt;&gt; ""), "ПРОВЕРИТЬ", VLOOKUP(A1592, 'Актуальное состояние (из общего'!A:C,3,0)), "")</f>
        <v>Студент</v>
      </c>
      <c r="U1592" s="9" t="s">
        <v>13284</v>
      </c>
      <c r="V1592" s="9" t="s">
        <v>13284</v>
      </c>
      <c r="W1592" s="12"/>
      <c r="X1592" s="9" t="str">
        <f t="array" ref="X1592">IFERROR(INDEX('Адреса общежитий (скрытый)'!$B$2:$B$9, MATCH(W1592, 'Адреса общежитий (скрытый)'!$A$2:$A$9, 0)), "")</f>
        <v/>
      </c>
      <c r="Y1592" s="18"/>
      <c r="Z1592" s="18"/>
      <c r="AA1592" s="18"/>
      <c r="AB1592" s="18"/>
      <c r="AC1592" s="18"/>
    </row>
    <row r="1593" spans="1:29" ht="32.25" hidden="1" customHeight="1">
      <c r="A1593" s="8">
        <v>2305429</v>
      </c>
      <c r="B1593" s="9" t="s">
        <v>13284</v>
      </c>
      <c r="C1593" s="9" t="s">
        <v>13284</v>
      </c>
      <c r="D1593" s="9" t="s">
        <v>13284</v>
      </c>
      <c r="E1593" s="9" t="s">
        <v>13284</v>
      </c>
      <c r="F1593" s="9" t="s">
        <v>13284</v>
      </c>
      <c r="G1593" s="9" t="s">
        <v>13284</v>
      </c>
      <c r="H1593" s="9" t="s">
        <v>13284</v>
      </c>
      <c r="I1593" s="9" t="s">
        <v>13284</v>
      </c>
      <c r="J1593" s="9" t="s">
        <v>13284</v>
      </c>
      <c r="K1593" s="9" t="s">
        <v>13284</v>
      </c>
      <c r="L1593" s="9" t="s">
        <v>13284</v>
      </c>
      <c r="M1593" s="9" t="s">
        <v>13284</v>
      </c>
      <c r="N1593" s="9" t="s">
        <v>13284</v>
      </c>
      <c r="O1593" s="9" t="s">
        <v>13284</v>
      </c>
      <c r="P1593" s="9" t="s">
        <v>13284</v>
      </c>
      <c r="Q1593" s="9" t="s">
        <v>13284</v>
      </c>
      <c r="R1593" s="9" t="s">
        <v>13284</v>
      </c>
      <c r="S1593" s="9" t="s">
        <v>13284</v>
      </c>
      <c r="T1593" s="9" t="str">
        <f ca="1">IFERROR(IF(AND(VLOOKUP(A1593, 'Актуальное состояние (из общего'!A:C,3,0) = "", A1593 &lt;&gt; ""), "ПРОВЕРИТЬ", VLOOKUP(A1593, 'Актуальное состояние (из общего'!A:C,3,0)), "")</f>
        <v>Студент</v>
      </c>
      <c r="U1593" s="9" t="s">
        <v>13284</v>
      </c>
      <c r="V1593" s="9" t="s">
        <v>13284</v>
      </c>
      <c r="W1593" s="12"/>
      <c r="X1593" s="9" t="str">
        <f t="array" ref="X1593">IFERROR(INDEX('Адреса общежитий (скрытый)'!$B$2:$B$9, MATCH(W1593, 'Адреса общежитий (скрытый)'!$A$2:$A$9, 0)), "")</f>
        <v/>
      </c>
      <c r="Y1593" s="18"/>
      <c r="Z1593" s="18"/>
      <c r="AA1593" s="18"/>
      <c r="AB1593" s="18"/>
      <c r="AC1593" s="18"/>
    </row>
    <row r="1594" spans="1:29" ht="32.25" customHeight="1">
      <c r="A1594" s="8">
        <v>2302459</v>
      </c>
      <c r="B1594" s="9" t="s">
        <v>13284</v>
      </c>
      <c r="C1594" s="9" t="s">
        <v>13284</v>
      </c>
      <c r="D1594" s="9" t="s">
        <v>13284</v>
      </c>
      <c r="E1594" s="9" t="s">
        <v>13284</v>
      </c>
      <c r="F1594" s="9" t="s">
        <v>13284</v>
      </c>
      <c r="G1594" s="9" t="s">
        <v>13284</v>
      </c>
      <c r="H1594" s="9" t="s">
        <v>13284</v>
      </c>
      <c r="I1594" s="9" t="s">
        <v>13284</v>
      </c>
      <c r="J1594" s="9" t="s">
        <v>13284</v>
      </c>
      <c r="K1594" s="9" t="s">
        <v>13284</v>
      </c>
      <c r="L1594" s="9" t="s">
        <v>13284</v>
      </c>
      <c r="M1594" s="9" t="s">
        <v>13284</v>
      </c>
      <c r="N1594" s="9" t="s">
        <v>13284</v>
      </c>
      <c r="O1594" s="9" t="s">
        <v>13284</v>
      </c>
      <c r="P1594" s="9" t="s">
        <v>13284</v>
      </c>
      <c r="Q1594" s="9" t="s">
        <v>13284</v>
      </c>
      <c r="R1594" s="9" t="s">
        <v>13284</v>
      </c>
      <c r="S1594" s="9" t="s">
        <v>13284</v>
      </c>
      <c r="T1594" s="9" t="str">
        <f ca="1">IFERROR(IF(AND(VLOOKUP(A1594, 'Актуальное состояние (из общего'!A:C,3,0) = "", A1594 &lt;&gt; ""), "ПРОВЕРИТЬ", VLOOKUP(A1594, 'Актуальное состояние (из общего'!A:C,3,0)), "")</f>
        <v>Студент</v>
      </c>
      <c r="U1594" s="9" t="s">
        <v>13284</v>
      </c>
      <c r="V1594" s="9" t="s">
        <v>13284</v>
      </c>
      <c r="W1594" s="12"/>
      <c r="X1594" s="9" t="str">
        <f t="array" ref="X1594">IFERROR(INDEX('Адреса общежитий (скрытый)'!$B$2:$B$9, MATCH(W1594, 'Адреса общежитий (скрытый)'!$A$2:$A$9, 0)), "")</f>
        <v/>
      </c>
      <c r="Y1594" s="18"/>
      <c r="Z1594" s="18"/>
      <c r="AA1594" s="18"/>
      <c r="AB1594" s="18"/>
      <c r="AC1594" s="18"/>
    </row>
    <row r="1595" spans="1:29" ht="32.25" hidden="1" customHeight="1">
      <c r="A1595" s="8">
        <v>2305417</v>
      </c>
      <c r="B1595" s="9" t="s">
        <v>13284</v>
      </c>
      <c r="C1595" s="9" t="s">
        <v>13284</v>
      </c>
      <c r="D1595" s="9" t="s">
        <v>13284</v>
      </c>
      <c r="E1595" s="9" t="s">
        <v>13284</v>
      </c>
      <c r="F1595" s="9" t="s">
        <v>13284</v>
      </c>
      <c r="G1595" s="9" t="s">
        <v>13284</v>
      </c>
      <c r="H1595" s="9" t="s">
        <v>13284</v>
      </c>
      <c r="I1595" s="9" t="s">
        <v>13284</v>
      </c>
      <c r="J1595" s="9" t="s">
        <v>13284</v>
      </c>
      <c r="K1595" s="9" t="s">
        <v>13284</v>
      </c>
      <c r="L1595" s="9" t="s">
        <v>13284</v>
      </c>
      <c r="M1595" s="9" t="s">
        <v>13284</v>
      </c>
      <c r="N1595" s="9" t="s">
        <v>13284</v>
      </c>
      <c r="O1595" s="9" t="s">
        <v>13284</v>
      </c>
      <c r="P1595" s="9" t="s">
        <v>13284</v>
      </c>
      <c r="Q1595" s="9" t="s">
        <v>13284</v>
      </c>
      <c r="R1595" s="9" t="s">
        <v>13284</v>
      </c>
      <c r="S1595" s="9" t="s">
        <v>13284</v>
      </c>
      <c r="T1595" s="9" t="str">
        <f ca="1">IFERROR(IF(AND(VLOOKUP(A1595, 'Актуальное состояние (из общего'!A:C,3,0) = "", A1595 &lt;&gt; ""), "ПРОВЕРИТЬ", VLOOKUP(A1595, 'Актуальное состояние (из общего'!A:C,3,0)), "")</f>
        <v>Студент</v>
      </c>
      <c r="U1595" s="9" t="s">
        <v>13284</v>
      </c>
      <c r="V1595" s="9" t="s">
        <v>13284</v>
      </c>
      <c r="W1595" s="12"/>
      <c r="X1595" s="9" t="str">
        <f t="array" ref="X1595">IFERROR(INDEX('Адреса общежитий (скрытый)'!$B$2:$B$9, MATCH(W1595, 'Адреса общежитий (скрытый)'!$A$2:$A$9, 0)), "")</f>
        <v/>
      </c>
      <c r="Y1595" s="18"/>
      <c r="Z1595" s="18"/>
      <c r="AA1595" s="18"/>
      <c r="AB1595" s="18"/>
      <c r="AC1595" s="18"/>
    </row>
    <row r="1596" spans="1:29" ht="32.25" hidden="1" customHeight="1">
      <c r="A1596" s="8">
        <v>2305353</v>
      </c>
      <c r="B1596" s="9" t="s">
        <v>13284</v>
      </c>
      <c r="C1596" s="9" t="s">
        <v>13284</v>
      </c>
      <c r="D1596" s="9" t="s">
        <v>13284</v>
      </c>
      <c r="E1596" s="9" t="s">
        <v>13284</v>
      </c>
      <c r="F1596" s="9" t="s">
        <v>13284</v>
      </c>
      <c r="G1596" s="9" t="s">
        <v>13284</v>
      </c>
      <c r="H1596" s="9" t="s">
        <v>13284</v>
      </c>
      <c r="I1596" s="9" t="s">
        <v>13284</v>
      </c>
      <c r="J1596" s="9" t="s">
        <v>13284</v>
      </c>
      <c r="K1596" s="9" t="s">
        <v>13284</v>
      </c>
      <c r="L1596" s="9" t="s">
        <v>13284</v>
      </c>
      <c r="M1596" s="9" t="s">
        <v>13284</v>
      </c>
      <c r="N1596" s="9" t="s">
        <v>13284</v>
      </c>
      <c r="O1596" s="9" t="s">
        <v>13284</v>
      </c>
      <c r="P1596" s="9" t="s">
        <v>13284</v>
      </c>
      <c r="Q1596" s="9" t="s">
        <v>13284</v>
      </c>
      <c r="R1596" s="9" t="s">
        <v>13284</v>
      </c>
      <c r="S1596" s="9" t="s">
        <v>13284</v>
      </c>
      <c r="T1596" s="9" t="str">
        <f ca="1">IFERROR(IF(AND(VLOOKUP(A1596, 'Актуальное состояние (из общего'!A:C,3,0) = "", A1596 &lt;&gt; ""), "ПРОВЕРИТЬ", VLOOKUP(A1596, 'Актуальное состояние (из общего'!A:C,3,0)), "")</f>
        <v>Студент</v>
      </c>
      <c r="U1596" s="9" t="s">
        <v>13284</v>
      </c>
      <c r="V1596" s="9" t="s">
        <v>13284</v>
      </c>
      <c r="W1596" s="12"/>
      <c r="X1596" s="9" t="str">
        <f t="array" ref="X1596">IFERROR(INDEX('Адреса общежитий (скрытый)'!$B$2:$B$9, MATCH(W1596, 'Адреса общежитий (скрытый)'!$A$2:$A$9, 0)), "")</f>
        <v/>
      </c>
      <c r="Y1596" s="18"/>
      <c r="Z1596" s="18"/>
      <c r="AA1596" s="18"/>
      <c r="AB1596" s="18"/>
      <c r="AC1596" s="18"/>
    </row>
    <row r="1597" spans="1:29" ht="32.25" hidden="1" customHeight="1">
      <c r="A1597" s="8">
        <v>2304881</v>
      </c>
      <c r="B1597" s="9" t="s">
        <v>13284</v>
      </c>
      <c r="C1597" s="9" t="s">
        <v>13284</v>
      </c>
      <c r="D1597" s="9" t="s">
        <v>13284</v>
      </c>
      <c r="E1597" s="9" t="s">
        <v>13284</v>
      </c>
      <c r="F1597" s="9" t="s">
        <v>13284</v>
      </c>
      <c r="G1597" s="9" t="s">
        <v>13284</v>
      </c>
      <c r="H1597" s="9" t="s">
        <v>13284</v>
      </c>
      <c r="I1597" s="9" t="s">
        <v>13284</v>
      </c>
      <c r="J1597" s="9" t="s">
        <v>13284</v>
      </c>
      <c r="K1597" s="9" t="s">
        <v>13284</v>
      </c>
      <c r="L1597" s="9" t="s">
        <v>13284</v>
      </c>
      <c r="M1597" s="9" t="s">
        <v>13284</v>
      </c>
      <c r="N1597" s="9" t="s">
        <v>13284</v>
      </c>
      <c r="O1597" s="9" t="s">
        <v>13284</v>
      </c>
      <c r="P1597" s="9" t="s">
        <v>13284</v>
      </c>
      <c r="Q1597" s="9" t="s">
        <v>13284</v>
      </c>
      <c r="R1597" s="9" t="s">
        <v>13284</v>
      </c>
      <c r="S1597" s="9" t="s">
        <v>13284</v>
      </c>
      <c r="T1597" s="9" t="str">
        <f ca="1">IFERROR(IF(AND(VLOOKUP(A1597, 'Актуальное состояние (из общего'!A:C,3,0) = "", A1597 &lt;&gt; ""), "ПРОВЕРИТЬ", VLOOKUP(A1597, 'Актуальное состояние (из общего'!A:C,3,0)), "")</f>
        <v>Студент</v>
      </c>
      <c r="U1597" s="9" t="s">
        <v>13284</v>
      </c>
      <c r="V1597" s="9" t="s">
        <v>13284</v>
      </c>
      <c r="W1597" s="12"/>
      <c r="X1597" s="9" t="str">
        <f t="array" ref="X1597">IFERROR(INDEX('Адреса общежитий (скрытый)'!$B$2:$B$9, MATCH(W1597, 'Адреса общежитий (скрытый)'!$A$2:$A$9, 0)), "")</f>
        <v/>
      </c>
      <c r="Y1597" s="18"/>
      <c r="Z1597" s="18"/>
      <c r="AA1597" s="18"/>
      <c r="AB1597" s="18"/>
      <c r="AC1597" s="18"/>
    </row>
    <row r="1598" spans="1:29" ht="32.25" hidden="1" customHeight="1">
      <c r="A1598" s="8">
        <v>2307259</v>
      </c>
      <c r="B1598" s="9" t="s">
        <v>13284</v>
      </c>
      <c r="C1598" s="9" t="s">
        <v>13284</v>
      </c>
      <c r="D1598" s="9" t="s">
        <v>13284</v>
      </c>
      <c r="E1598" s="9" t="s">
        <v>13284</v>
      </c>
      <c r="F1598" s="9" t="s">
        <v>13284</v>
      </c>
      <c r="G1598" s="9" t="s">
        <v>13284</v>
      </c>
      <c r="H1598" s="9" t="s">
        <v>13284</v>
      </c>
      <c r="I1598" s="9" t="s">
        <v>13284</v>
      </c>
      <c r="J1598" s="9" t="s">
        <v>13284</v>
      </c>
      <c r="K1598" s="9" t="s">
        <v>13284</v>
      </c>
      <c r="L1598" s="9" t="s">
        <v>13284</v>
      </c>
      <c r="M1598" s="9" t="s">
        <v>13284</v>
      </c>
      <c r="N1598" s="9" t="s">
        <v>13284</v>
      </c>
      <c r="O1598" s="9" t="s">
        <v>13284</v>
      </c>
      <c r="P1598" s="9" t="s">
        <v>13284</v>
      </c>
      <c r="Q1598" s="9" t="s">
        <v>13284</v>
      </c>
      <c r="R1598" s="9" t="s">
        <v>13284</v>
      </c>
      <c r="S1598" s="9" t="s">
        <v>13284</v>
      </c>
      <c r="T1598" s="9" t="str">
        <f ca="1">IFERROR(IF(AND(VLOOKUP(A1598, 'Актуальное состояние (из общего'!A:C,3,0) = "", A1598 &lt;&gt; ""), "ПРОВЕРИТЬ", VLOOKUP(A1598, 'Актуальное состояние (из общего'!A:C,3,0)), "")</f>
        <v>Студент</v>
      </c>
      <c r="U1598" s="9" t="s">
        <v>13284</v>
      </c>
      <c r="V1598" s="9" t="s">
        <v>13284</v>
      </c>
      <c r="W1598" s="12"/>
      <c r="X1598" s="9" t="str">
        <f t="array" ref="X1598">IFERROR(INDEX('Адреса общежитий (скрытый)'!$B$2:$B$9, MATCH(W1598, 'Адреса общежитий (скрытый)'!$A$2:$A$9, 0)), "")</f>
        <v/>
      </c>
      <c r="Y1598" s="18"/>
      <c r="Z1598" s="18"/>
      <c r="AA1598" s="18"/>
      <c r="AB1598" s="18"/>
      <c r="AC1598" s="18"/>
    </row>
    <row r="1599" spans="1:29" ht="32.25" customHeight="1">
      <c r="A1599" s="8">
        <v>2305760</v>
      </c>
      <c r="B1599" s="9" t="s">
        <v>13284</v>
      </c>
      <c r="C1599" s="9" t="s">
        <v>13284</v>
      </c>
      <c r="D1599" s="9" t="s">
        <v>13284</v>
      </c>
      <c r="E1599" s="9" t="s">
        <v>13284</v>
      </c>
      <c r="F1599" s="9" t="s">
        <v>13284</v>
      </c>
      <c r="G1599" s="9" t="s">
        <v>13284</v>
      </c>
      <c r="H1599" s="9" t="s">
        <v>13284</v>
      </c>
      <c r="I1599" s="9" t="s">
        <v>13284</v>
      </c>
      <c r="J1599" s="9" t="s">
        <v>13284</v>
      </c>
      <c r="K1599" s="9" t="s">
        <v>13284</v>
      </c>
      <c r="L1599" s="9" t="s">
        <v>13284</v>
      </c>
      <c r="M1599" s="9" t="s">
        <v>13284</v>
      </c>
      <c r="N1599" s="9" t="s">
        <v>13284</v>
      </c>
      <c r="O1599" s="9" t="s">
        <v>13284</v>
      </c>
      <c r="P1599" s="9" t="s">
        <v>13284</v>
      </c>
      <c r="Q1599" s="9" t="s">
        <v>13284</v>
      </c>
      <c r="R1599" s="9" t="s">
        <v>13284</v>
      </c>
      <c r="S1599" s="9" t="s">
        <v>13284</v>
      </c>
      <c r="T1599" s="9" t="str">
        <f ca="1">IFERROR(IF(AND(VLOOKUP(A1599, 'Актуальное состояние (из общего'!A:C,3,0) = "", A1599 &lt;&gt; ""), "ПРОВЕРИТЬ", VLOOKUP(A1599, 'Актуальное состояние (из общего'!A:C,3,0)), "")</f>
        <v>Студент</v>
      </c>
      <c r="U1599" s="9" t="s">
        <v>13284</v>
      </c>
      <c r="V1599" s="9" t="s">
        <v>13284</v>
      </c>
      <c r="W1599" s="12"/>
      <c r="X1599" s="9" t="str">
        <f t="array" ref="X1599">IFERROR(INDEX('Адреса общежитий (скрытый)'!$B$2:$B$9, MATCH(W1599, 'Адреса общежитий (скрытый)'!$A$2:$A$9, 0)), "")</f>
        <v/>
      </c>
      <c r="Y1599" s="18"/>
      <c r="Z1599" s="18"/>
      <c r="AA1599" s="18"/>
      <c r="AB1599" s="18"/>
      <c r="AC1599" s="18"/>
    </row>
    <row r="1600" spans="1:29" ht="32.25" hidden="1" customHeight="1">
      <c r="A1600" s="8">
        <v>2301516</v>
      </c>
      <c r="B1600" s="9" t="s">
        <v>13284</v>
      </c>
      <c r="C1600" s="9" t="s">
        <v>13284</v>
      </c>
      <c r="D1600" s="9" t="s">
        <v>13284</v>
      </c>
      <c r="E1600" s="9" t="s">
        <v>13284</v>
      </c>
      <c r="F1600" s="9" t="s">
        <v>13284</v>
      </c>
      <c r="G1600" s="9" t="s">
        <v>13284</v>
      </c>
      <c r="H1600" s="9" t="s">
        <v>13284</v>
      </c>
      <c r="I1600" s="9" t="s">
        <v>13284</v>
      </c>
      <c r="J1600" s="9" t="s">
        <v>13284</v>
      </c>
      <c r="K1600" s="9" t="s">
        <v>13284</v>
      </c>
      <c r="L1600" s="9" t="s">
        <v>13284</v>
      </c>
      <c r="M1600" s="9" t="s">
        <v>13284</v>
      </c>
      <c r="N1600" s="9" t="s">
        <v>13284</v>
      </c>
      <c r="O1600" s="9" t="s">
        <v>13284</v>
      </c>
      <c r="P1600" s="9" t="s">
        <v>13284</v>
      </c>
      <c r="Q1600" s="9" t="s">
        <v>13284</v>
      </c>
      <c r="R1600" s="9" t="s">
        <v>13284</v>
      </c>
      <c r="S1600" s="9" t="s">
        <v>13284</v>
      </c>
      <c r="T1600" s="9" t="str">
        <f ca="1">IFERROR(IF(AND(VLOOKUP(A1600, 'Актуальное состояние (из общего'!A:C,3,0) = "", A1600 &lt;&gt; ""), "ПРОВЕРИТЬ", VLOOKUP(A1600, 'Актуальное состояние (из общего'!A:C,3,0)), "")</f>
        <v>Студент</v>
      </c>
      <c r="U1600" s="9" t="s">
        <v>13284</v>
      </c>
      <c r="V1600" s="9" t="s">
        <v>13284</v>
      </c>
      <c r="W1600" s="12"/>
      <c r="X1600" s="9" t="str">
        <f t="array" ref="X1600">IFERROR(INDEX('Адреса общежитий (скрытый)'!$B$2:$B$9, MATCH(W1600, 'Адреса общежитий (скрытый)'!$A$2:$A$9, 0)), "")</f>
        <v/>
      </c>
      <c r="Y1600" s="18"/>
      <c r="Z1600" s="18"/>
      <c r="AA1600" s="18"/>
      <c r="AB1600" s="18"/>
      <c r="AC1600" s="18"/>
    </row>
    <row r="1601" spans="1:29" ht="32.25" hidden="1" customHeight="1">
      <c r="A1601" s="8">
        <v>2313922</v>
      </c>
      <c r="B1601" s="9" t="s">
        <v>13284</v>
      </c>
      <c r="C1601" s="9" t="s">
        <v>13284</v>
      </c>
      <c r="D1601" s="9" t="s">
        <v>13284</v>
      </c>
      <c r="E1601" s="9" t="s">
        <v>13284</v>
      </c>
      <c r="F1601" s="9" t="s">
        <v>13284</v>
      </c>
      <c r="G1601" s="9" t="s">
        <v>13284</v>
      </c>
      <c r="H1601" s="9" t="s">
        <v>13284</v>
      </c>
      <c r="I1601" s="9" t="s">
        <v>13284</v>
      </c>
      <c r="J1601" s="9" t="s">
        <v>13284</v>
      </c>
      <c r="K1601" s="9" t="s">
        <v>13284</v>
      </c>
      <c r="L1601" s="9" t="s">
        <v>13284</v>
      </c>
      <c r="M1601" s="9" t="s">
        <v>13284</v>
      </c>
      <c r="N1601" s="9" t="s">
        <v>13284</v>
      </c>
      <c r="O1601" s="9" t="s">
        <v>13284</v>
      </c>
      <c r="P1601" s="9" t="s">
        <v>13284</v>
      </c>
      <c r="Q1601" s="9" t="s">
        <v>13284</v>
      </c>
      <c r="R1601" s="9" t="s">
        <v>13284</v>
      </c>
      <c r="S1601" s="9" t="s">
        <v>13284</v>
      </c>
      <c r="T1601" s="9" t="str">
        <f ca="1">IFERROR(IF(AND(VLOOKUP(A1601, 'Актуальное состояние (из общего'!A:C,3,0) = "", A1601 &lt;&gt; ""), "ПРОВЕРИТЬ", VLOOKUP(A1601, 'Актуальное состояние (из общего'!A:C,3,0)), "")</f>
        <v>Студент</v>
      </c>
      <c r="U1601" s="9" t="s">
        <v>13284</v>
      </c>
      <c r="V1601" s="9" t="s">
        <v>13284</v>
      </c>
      <c r="W1601" s="12"/>
      <c r="X1601" s="9" t="str">
        <f t="array" ref="X1601">IFERROR(INDEX('Адреса общежитий (скрытый)'!$B$2:$B$9, MATCH(W1601, 'Адреса общежитий (скрытый)'!$A$2:$A$9, 0)), "")</f>
        <v/>
      </c>
      <c r="Y1601" s="18"/>
      <c r="Z1601" s="18"/>
      <c r="AA1601" s="18"/>
      <c r="AB1601" s="18"/>
      <c r="AC1601" s="18"/>
    </row>
    <row r="1602" spans="1:29" ht="32.25" hidden="1" customHeight="1">
      <c r="A1602" s="8">
        <v>2305212</v>
      </c>
      <c r="B1602" s="9" t="s">
        <v>13284</v>
      </c>
      <c r="C1602" s="9" t="s">
        <v>13284</v>
      </c>
      <c r="D1602" s="9" t="s">
        <v>13284</v>
      </c>
      <c r="E1602" s="9" t="s">
        <v>13284</v>
      </c>
      <c r="F1602" s="9" t="s">
        <v>13284</v>
      </c>
      <c r="G1602" s="9" t="s">
        <v>13284</v>
      </c>
      <c r="H1602" s="9" t="s">
        <v>13284</v>
      </c>
      <c r="I1602" s="9" t="s">
        <v>13284</v>
      </c>
      <c r="J1602" s="9" t="s">
        <v>13284</v>
      </c>
      <c r="K1602" s="9" t="s">
        <v>13284</v>
      </c>
      <c r="L1602" s="9" t="s">
        <v>13284</v>
      </c>
      <c r="M1602" s="9" t="s">
        <v>13284</v>
      </c>
      <c r="N1602" s="9" t="s">
        <v>13284</v>
      </c>
      <c r="O1602" s="9" t="s">
        <v>13284</v>
      </c>
      <c r="P1602" s="9" t="s">
        <v>13284</v>
      </c>
      <c r="Q1602" s="9" t="s">
        <v>13284</v>
      </c>
      <c r="R1602" s="9" t="s">
        <v>13284</v>
      </c>
      <c r="S1602" s="9" t="s">
        <v>13284</v>
      </c>
      <c r="T1602" s="9" t="str">
        <f ca="1">IFERROR(IF(AND(VLOOKUP(A1602, 'Актуальное состояние (из общего'!A:C,3,0) = "", A1602 &lt;&gt; ""), "ПРОВЕРИТЬ", VLOOKUP(A1602, 'Актуальное состояние (из общего'!A:C,3,0)), "")</f>
        <v>Студент</v>
      </c>
      <c r="U1602" s="9" t="s">
        <v>13284</v>
      </c>
      <c r="V1602" s="9" t="s">
        <v>13284</v>
      </c>
      <c r="W1602" s="12"/>
      <c r="X1602" s="9" t="str">
        <f t="array" ref="X1602">IFERROR(INDEX('Адреса общежитий (скрытый)'!$B$2:$B$9, MATCH(W1602, 'Адреса общежитий (скрытый)'!$A$2:$A$9, 0)), "")</f>
        <v/>
      </c>
      <c r="Y1602" s="18"/>
      <c r="Z1602" s="18"/>
      <c r="AA1602" s="18"/>
      <c r="AB1602" s="18"/>
      <c r="AC1602" s="18"/>
    </row>
    <row r="1603" spans="1:29" ht="32.25" customHeight="1">
      <c r="A1603" s="8">
        <v>2311506</v>
      </c>
      <c r="B1603" s="9" t="s">
        <v>13284</v>
      </c>
      <c r="C1603" s="9" t="s">
        <v>13284</v>
      </c>
      <c r="D1603" s="9" t="s">
        <v>13284</v>
      </c>
      <c r="E1603" s="9" t="s">
        <v>13284</v>
      </c>
      <c r="F1603" s="9" t="s">
        <v>13284</v>
      </c>
      <c r="G1603" s="9" t="s">
        <v>13284</v>
      </c>
      <c r="H1603" s="9" t="s">
        <v>13284</v>
      </c>
      <c r="I1603" s="9" t="s">
        <v>13284</v>
      </c>
      <c r="J1603" s="9" t="s">
        <v>13284</v>
      </c>
      <c r="K1603" s="9" t="s">
        <v>13284</v>
      </c>
      <c r="L1603" s="9" t="s">
        <v>13284</v>
      </c>
      <c r="M1603" s="9" t="s">
        <v>13284</v>
      </c>
      <c r="N1603" s="9" t="s">
        <v>13284</v>
      </c>
      <c r="O1603" s="9" t="s">
        <v>13284</v>
      </c>
      <c r="P1603" s="9" t="s">
        <v>13284</v>
      </c>
      <c r="Q1603" s="9" t="s">
        <v>13284</v>
      </c>
      <c r="R1603" s="9" t="s">
        <v>13284</v>
      </c>
      <c r="S1603" s="9" t="s">
        <v>13284</v>
      </c>
      <c r="T1603" s="9" t="str">
        <f ca="1">IFERROR(IF(AND(VLOOKUP(A1603, 'Актуальное состояние (из общего'!A:C,3,0) = "", A1603 &lt;&gt; ""), "ПРОВЕРИТЬ", VLOOKUP(A1603, 'Актуальное состояние (из общего'!A:C,3,0)), "")</f>
        <v>Студент</v>
      </c>
      <c r="U1603" s="9" t="s">
        <v>13284</v>
      </c>
      <c r="V1603" s="9" t="s">
        <v>13284</v>
      </c>
      <c r="W1603" s="12"/>
      <c r="X1603" s="9" t="str">
        <f t="array" ref="X1603">IFERROR(INDEX('Адреса общежитий (скрытый)'!$B$2:$B$9, MATCH(W1603, 'Адреса общежитий (скрытый)'!$A$2:$A$9, 0)), "")</f>
        <v/>
      </c>
      <c r="Y1603" s="18"/>
      <c r="Z1603" s="18"/>
      <c r="AA1603" s="18"/>
      <c r="AB1603" s="18"/>
      <c r="AC1603" s="18"/>
    </row>
    <row r="1604" spans="1:29" ht="32.25" hidden="1" customHeight="1">
      <c r="A1604" s="8">
        <v>2303181</v>
      </c>
      <c r="B1604" s="9" t="s">
        <v>13284</v>
      </c>
      <c r="C1604" s="9" t="s">
        <v>13284</v>
      </c>
      <c r="D1604" s="9" t="s">
        <v>13284</v>
      </c>
      <c r="E1604" s="9" t="s">
        <v>13284</v>
      </c>
      <c r="F1604" s="9" t="s">
        <v>13284</v>
      </c>
      <c r="G1604" s="9" t="s">
        <v>13284</v>
      </c>
      <c r="H1604" s="9" t="s">
        <v>13284</v>
      </c>
      <c r="I1604" s="9" t="s">
        <v>13284</v>
      </c>
      <c r="J1604" s="9" t="s">
        <v>13284</v>
      </c>
      <c r="K1604" s="9" t="s">
        <v>13284</v>
      </c>
      <c r="L1604" s="9" t="s">
        <v>13284</v>
      </c>
      <c r="M1604" s="9" t="s">
        <v>13284</v>
      </c>
      <c r="N1604" s="9" t="s">
        <v>13284</v>
      </c>
      <c r="O1604" s="9" t="s">
        <v>13284</v>
      </c>
      <c r="P1604" s="9" t="s">
        <v>13284</v>
      </c>
      <c r="Q1604" s="9" t="s">
        <v>13284</v>
      </c>
      <c r="R1604" s="9" t="s">
        <v>13284</v>
      </c>
      <c r="S1604" s="9" t="s">
        <v>13284</v>
      </c>
      <c r="T1604" s="9" t="str">
        <f ca="1">IFERROR(IF(AND(VLOOKUP(A1604, 'Актуальное состояние (из общего'!A:C,3,0) = "", A1604 &lt;&gt; ""), "ПРОВЕРИТЬ", VLOOKUP(A1604, 'Актуальное состояние (из общего'!A:C,3,0)), "")</f>
        <v>Студент</v>
      </c>
      <c r="U1604" s="9" t="s">
        <v>13284</v>
      </c>
      <c r="V1604" s="9" t="s">
        <v>13284</v>
      </c>
      <c r="W1604" s="12"/>
      <c r="X1604" s="9" t="str">
        <f t="array" ref="X1604">IFERROR(INDEX('Адреса общежитий (скрытый)'!$B$2:$B$9, MATCH(W1604, 'Адреса общежитий (скрытый)'!$A$2:$A$9, 0)), "")</f>
        <v/>
      </c>
      <c r="Y1604" s="18"/>
      <c r="Z1604" s="18"/>
      <c r="AA1604" s="18"/>
      <c r="AB1604" s="18"/>
      <c r="AC1604" s="18"/>
    </row>
    <row r="1605" spans="1:29" ht="32.25" hidden="1" customHeight="1">
      <c r="A1605" s="8">
        <v>2309655</v>
      </c>
      <c r="B1605" s="9" t="s">
        <v>13284</v>
      </c>
      <c r="C1605" s="9" t="s">
        <v>13284</v>
      </c>
      <c r="D1605" s="9" t="s">
        <v>13284</v>
      </c>
      <c r="E1605" s="9" t="s">
        <v>13284</v>
      </c>
      <c r="F1605" s="9" t="s">
        <v>13284</v>
      </c>
      <c r="G1605" s="9" t="s">
        <v>13284</v>
      </c>
      <c r="H1605" s="9" t="s">
        <v>13284</v>
      </c>
      <c r="I1605" s="9" t="s">
        <v>13284</v>
      </c>
      <c r="J1605" s="9" t="s">
        <v>13284</v>
      </c>
      <c r="K1605" s="9" t="s">
        <v>13284</v>
      </c>
      <c r="L1605" s="9" t="s">
        <v>13284</v>
      </c>
      <c r="M1605" s="9" t="s">
        <v>13284</v>
      </c>
      <c r="N1605" s="9" t="s">
        <v>13284</v>
      </c>
      <c r="O1605" s="9" t="s">
        <v>13284</v>
      </c>
      <c r="P1605" s="9" t="s">
        <v>13284</v>
      </c>
      <c r="Q1605" s="9" t="s">
        <v>13284</v>
      </c>
      <c r="R1605" s="9" t="s">
        <v>13284</v>
      </c>
      <c r="S1605" s="9" t="s">
        <v>13284</v>
      </c>
      <c r="T1605" s="9" t="str">
        <f ca="1">IFERROR(IF(AND(VLOOKUP(A1605, 'Актуальное состояние (из общего'!A:C,3,0) = "", A1605 &lt;&gt; ""), "ПРОВЕРИТЬ", VLOOKUP(A1605, 'Актуальное состояние (из общего'!A:C,3,0)), "")</f>
        <v>Студент</v>
      </c>
      <c r="U1605" s="9" t="s">
        <v>13284</v>
      </c>
      <c r="V1605" s="9" t="s">
        <v>13284</v>
      </c>
      <c r="W1605" s="12"/>
      <c r="X1605" s="9" t="str">
        <f t="array" ref="X1605">IFERROR(INDEX('Адреса общежитий (скрытый)'!$B$2:$B$9, MATCH(W1605, 'Адреса общежитий (скрытый)'!$A$2:$A$9, 0)), "")</f>
        <v/>
      </c>
      <c r="Y1605" s="18"/>
      <c r="Z1605" s="18"/>
      <c r="AA1605" s="18"/>
      <c r="AB1605" s="18"/>
      <c r="AC1605" s="18"/>
    </row>
    <row r="1606" spans="1:29" ht="32.25" customHeight="1">
      <c r="A1606" s="8">
        <v>2301502</v>
      </c>
      <c r="B1606" s="9" t="s">
        <v>13284</v>
      </c>
      <c r="C1606" s="9" t="s">
        <v>13284</v>
      </c>
      <c r="D1606" s="9" t="s">
        <v>13284</v>
      </c>
      <c r="E1606" s="9" t="s">
        <v>13284</v>
      </c>
      <c r="F1606" s="9" t="s">
        <v>13284</v>
      </c>
      <c r="G1606" s="9" t="s">
        <v>13284</v>
      </c>
      <c r="H1606" s="9" t="s">
        <v>13284</v>
      </c>
      <c r="I1606" s="9" t="s">
        <v>13284</v>
      </c>
      <c r="J1606" s="9" t="s">
        <v>13284</v>
      </c>
      <c r="K1606" s="9" t="s">
        <v>13284</v>
      </c>
      <c r="L1606" s="9" t="s">
        <v>13284</v>
      </c>
      <c r="M1606" s="9" t="s">
        <v>13284</v>
      </c>
      <c r="N1606" s="9" t="s">
        <v>13284</v>
      </c>
      <c r="O1606" s="9" t="s">
        <v>13284</v>
      </c>
      <c r="P1606" s="9" t="s">
        <v>13284</v>
      </c>
      <c r="Q1606" s="9" t="s">
        <v>13284</v>
      </c>
      <c r="R1606" s="9" t="s">
        <v>13284</v>
      </c>
      <c r="S1606" s="9" t="s">
        <v>13284</v>
      </c>
      <c r="T1606" s="9" t="str">
        <f ca="1">IFERROR(IF(AND(VLOOKUP(A1606, 'Актуальное состояние (из общего'!A:C,3,0) = "", A1606 &lt;&gt; ""), "ПРОВЕРИТЬ", VLOOKUP(A1606, 'Актуальное состояние (из общего'!A:C,3,0)), "")</f>
        <v>Студент</v>
      </c>
      <c r="U1606" s="9" t="s">
        <v>13284</v>
      </c>
      <c r="V1606" s="9" t="s">
        <v>13284</v>
      </c>
      <c r="W1606" s="9" t="s">
        <v>319</v>
      </c>
      <c r="X1606" s="9" t="str">
        <f t="array" ref="X1606">IFERROR(INDEX('Адреса общежитий (скрытый)'!$B$2:$B$9, MATCH(W1606, 'Адреса общежитий (скрытый)'!$A$2:$A$9, 0)), "")</f>
        <v>ул. Профсоюзная, д.83, корп. 2</v>
      </c>
      <c r="Y1606" s="18"/>
      <c r="Z1606" s="18"/>
      <c r="AA1606" s="18"/>
      <c r="AB1606" s="18"/>
      <c r="AC1606" s="18"/>
    </row>
    <row r="1607" spans="1:29" ht="32.25" hidden="1" customHeight="1">
      <c r="A1607" s="8">
        <v>2301698</v>
      </c>
      <c r="B1607" s="9" t="s">
        <v>13284</v>
      </c>
      <c r="C1607" s="9" t="s">
        <v>13284</v>
      </c>
      <c r="D1607" s="9" t="s">
        <v>13284</v>
      </c>
      <c r="E1607" s="9" t="s">
        <v>13284</v>
      </c>
      <c r="F1607" s="9" t="s">
        <v>13284</v>
      </c>
      <c r="G1607" s="9" t="s">
        <v>13284</v>
      </c>
      <c r="H1607" s="9" t="s">
        <v>13284</v>
      </c>
      <c r="I1607" s="9" t="s">
        <v>13284</v>
      </c>
      <c r="J1607" s="9" t="s">
        <v>13284</v>
      </c>
      <c r="K1607" s="9" t="s">
        <v>13284</v>
      </c>
      <c r="L1607" s="9" t="s">
        <v>13284</v>
      </c>
      <c r="M1607" s="9" t="s">
        <v>13284</v>
      </c>
      <c r="N1607" s="9" t="s">
        <v>13284</v>
      </c>
      <c r="O1607" s="9" t="s">
        <v>13284</v>
      </c>
      <c r="P1607" s="9" t="s">
        <v>13284</v>
      </c>
      <c r="Q1607" s="9" t="s">
        <v>13284</v>
      </c>
      <c r="R1607" s="9" t="s">
        <v>13284</v>
      </c>
      <c r="S1607" s="9" t="s">
        <v>13284</v>
      </c>
      <c r="T1607" s="9" t="str">
        <f ca="1">IFERROR(IF(AND(VLOOKUP(A1607, 'Актуальное состояние (из общего'!A:C,3,0) = "", A1607 &lt;&gt; ""), "ПРОВЕРИТЬ", VLOOKUP(A1607, 'Актуальное состояние (из общего'!A:C,3,0)), "")</f>
        <v>Студент</v>
      </c>
      <c r="U1607" s="9" t="s">
        <v>13284</v>
      </c>
      <c r="V1607" s="9" t="s">
        <v>13284</v>
      </c>
      <c r="W1607" s="12"/>
      <c r="X1607" s="9" t="str">
        <f t="array" ref="X1607">IFERROR(INDEX('Адреса общежитий (скрытый)'!$B$2:$B$9, MATCH(W1607, 'Адреса общежитий (скрытый)'!$A$2:$A$9, 0)), "")</f>
        <v/>
      </c>
      <c r="Y1607" s="18"/>
      <c r="Z1607" s="18"/>
      <c r="AA1607" s="18"/>
      <c r="AB1607" s="18"/>
      <c r="AC1607" s="18"/>
    </row>
    <row r="1608" spans="1:29" ht="32.25" hidden="1" customHeight="1">
      <c r="A1608" s="8">
        <v>2302728</v>
      </c>
      <c r="B1608" s="9" t="s">
        <v>13284</v>
      </c>
      <c r="C1608" s="9" t="s">
        <v>13284</v>
      </c>
      <c r="D1608" s="9" t="s">
        <v>13284</v>
      </c>
      <c r="E1608" s="9" t="s">
        <v>13284</v>
      </c>
      <c r="F1608" s="9" t="s">
        <v>13284</v>
      </c>
      <c r="G1608" s="9" t="s">
        <v>13284</v>
      </c>
      <c r="H1608" s="9" t="s">
        <v>13284</v>
      </c>
      <c r="I1608" s="9" t="s">
        <v>13284</v>
      </c>
      <c r="J1608" s="9" t="s">
        <v>13284</v>
      </c>
      <c r="K1608" s="9" t="s">
        <v>13284</v>
      </c>
      <c r="L1608" s="9" t="s">
        <v>13284</v>
      </c>
      <c r="M1608" s="9" t="s">
        <v>13284</v>
      </c>
      <c r="N1608" s="9" t="s">
        <v>13284</v>
      </c>
      <c r="O1608" s="9" t="s">
        <v>13284</v>
      </c>
      <c r="P1608" s="9" t="s">
        <v>13284</v>
      </c>
      <c r="Q1608" s="9" t="s">
        <v>13284</v>
      </c>
      <c r="R1608" s="9" t="s">
        <v>13284</v>
      </c>
      <c r="S1608" s="9" t="s">
        <v>13284</v>
      </c>
      <c r="T1608" s="9" t="str">
        <f ca="1">IFERROR(IF(AND(VLOOKUP(A1608, 'Актуальное состояние (из общего'!A:C,3,0) = "", A1608 &lt;&gt; ""), "ПРОВЕРИТЬ", VLOOKUP(A1608, 'Актуальное состояние (из общего'!A:C,3,0)), "")</f>
        <v>Студент</v>
      </c>
      <c r="U1608" s="9" t="s">
        <v>13284</v>
      </c>
      <c r="V1608" s="9" t="s">
        <v>13284</v>
      </c>
      <c r="W1608" s="12"/>
      <c r="X1608" s="9" t="str">
        <f t="array" ref="X1608">IFERROR(INDEX('Адреса общежитий (скрытый)'!$B$2:$B$9, MATCH(W1608, 'Адреса общежитий (скрытый)'!$A$2:$A$9, 0)), "")</f>
        <v/>
      </c>
      <c r="Y1608" s="18"/>
      <c r="Z1608" s="18"/>
      <c r="AA1608" s="18"/>
      <c r="AB1608" s="18"/>
      <c r="AC1608" s="18"/>
    </row>
    <row r="1609" spans="1:29" ht="32.25" hidden="1" customHeight="1">
      <c r="A1609" s="8">
        <v>2303638</v>
      </c>
      <c r="B1609" s="9" t="s">
        <v>13284</v>
      </c>
      <c r="C1609" s="9" t="s">
        <v>13284</v>
      </c>
      <c r="D1609" s="9" t="s">
        <v>13284</v>
      </c>
      <c r="E1609" s="9" t="s">
        <v>13284</v>
      </c>
      <c r="F1609" s="9" t="s">
        <v>13284</v>
      </c>
      <c r="G1609" s="9" t="s">
        <v>13284</v>
      </c>
      <c r="H1609" s="9" t="s">
        <v>13284</v>
      </c>
      <c r="I1609" s="9" t="s">
        <v>13284</v>
      </c>
      <c r="J1609" s="9" t="s">
        <v>13284</v>
      </c>
      <c r="K1609" s="9" t="s">
        <v>13284</v>
      </c>
      <c r="L1609" s="9" t="s">
        <v>13284</v>
      </c>
      <c r="M1609" s="9" t="s">
        <v>13284</v>
      </c>
      <c r="N1609" s="9" t="s">
        <v>13284</v>
      </c>
      <c r="O1609" s="9" t="s">
        <v>13284</v>
      </c>
      <c r="P1609" s="9" t="s">
        <v>13284</v>
      </c>
      <c r="Q1609" s="9" t="s">
        <v>13284</v>
      </c>
      <c r="R1609" s="9" t="s">
        <v>13284</v>
      </c>
      <c r="S1609" s="9" t="s">
        <v>13284</v>
      </c>
      <c r="T1609" s="9" t="str">
        <f ca="1">IFERROR(IF(AND(VLOOKUP(A1609, 'Актуальное состояние (из общего'!A:C,3,0) = "", A1609 &lt;&gt; ""), "ПРОВЕРИТЬ", VLOOKUP(A1609, 'Актуальное состояние (из общего'!A:C,3,0)), "")</f>
        <v>Студент</v>
      </c>
      <c r="U1609" s="9" t="s">
        <v>13284</v>
      </c>
      <c r="V1609" s="9" t="s">
        <v>13284</v>
      </c>
      <c r="W1609" s="12"/>
      <c r="X1609" s="9" t="str">
        <f t="array" ref="X1609">IFERROR(INDEX('Адреса общежитий (скрытый)'!$B$2:$B$9, MATCH(W1609, 'Адреса общежитий (скрытый)'!$A$2:$A$9, 0)), "")</f>
        <v/>
      </c>
      <c r="Y1609" s="18"/>
      <c r="Z1609" s="18"/>
      <c r="AA1609" s="18"/>
      <c r="AB1609" s="18"/>
      <c r="AC1609" s="18"/>
    </row>
    <row r="1610" spans="1:29" ht="32.25" customHeight="1">
      <c r="A1610" s="8">
        <v>2304554</v>
      </c>
      <c r="B1610" s="9" t="s">
        <v>13284</v>
      </c>
      <c r="C1610" s="9" t="s">
        <v>13284</v>
      </c>
      <c r="D1610" s="9" t="s">
        <v>13284</v>
      </c>
      <c r="E1610" s="9" t="s">
        <v>13284</v>
      </c>
      <c r="F1610" s="9" t="s">
        <v>13284</v>
      </c>
      <c r="G1610" s="9" t="s">
        <v>13284</v>
      </c>
      <c r="H1610" s="9" t="s">
        <v>13284</v>
      </c>
      <c r="I1610" s="9" t="s">
        <v>13284</v>
      </c>
      <c r="J1610" s="9" t="s">
        <v>13284</v>
      </c>
      <c r="K1610" s="9" t="s">
        <v>13284</v>
      </c>
      <c r="L1610" s="9" t="s">
        <v>13284</v>
      </c>
      <c r="M1610" s="9" t="s">
        <v>13284</v>
      </c>
      <c r="N1610" s="9" t="s">
        <v>13284</v>
      </c>
      <c r="O1610" s="9" t="s">
        <v>13284</v>
      </c>
      <c r="P1610" s="9" t="s">
        <v>13284</v>
      </c>
      <c r="Q1610" s="9" t="s">
        <v>13284</v>
      </c>
      <c r="R1610" s="9" t="s">
        <v>13284</v>
      </c>
      <c r="S1610" s="9" t="s">
        <v>13284</v>
      </c>
      <c r="T1610" s="9" t="str">
        <f ca="1">IFERROR(IF(AND(VLOOKUP(A1610, 'Актуальное состояние (из общего'!A:C,3,0) = "", A1610 &lt;&gt; ""), "ПРОВЕРИТЬ", VLOOKUP(A1610, 'Актуальное состояние (из общего'!A:C,3,0)), "")</f>
        <v>Студент</v>
      </c>
      <c r="U1610" s="9" t="s">
        <v>13284</v>
      </c>
      <c r="V1610" s="9" t="s">
        <v>13284</v>
      </c>
      <c r="W1610" s="12"/>
      <c r="X1610" s="9" t="str">
        <f t="array" ref="X1610">IFERROR(INDEX('Адреса общежитий (скрытый)'!$B$2:$B$9, MATCH(W1610, 'Адреса общежитий (скрытый)'!$A$2:$A$9, 0)), "")</f>
        <v/>
      </c>
      <c r="Y1610" s="18"/>
      <c r="Z1610" s="18"/>
      <c r="AA1610" s="18"/>
      <c r="AB1610" s="18"/>
      <c r="AC1610" s="18"/>
    </row>
    <row r="1611" spans="1:29" ht="32.25" hidden="1" customHeight="1">
      <c r="A1611" s="8">
        <v>2303972</v>
      </c>
      <c r="B1611" s="9" t="s">
        <v>13284</v>
      </c>
      <c r="C1611" s="9" t="s">
        <v>13284</v>
      </c>
      <c r="D1611" s="9" t="s">
        <v>13284</v>
      </c>
      <c r="E1611" s="9" t="s">
        <v>13284</v>
      </c>
      <c r="F1611" s="9" t="s">
        <v>13284</v>
      </c>
      <c r="G1611" s="9" t="s">
        <v>13284</v>
      </c>
      <c r="H1611" s="9" t="s">
        <v>13284</v>
      </c>
      <c r="I1611" s="9" t="s">
        <v>13284</v>
      </c>
      <c r="J1611" s="9" t="s">
        <v>13284</v>
      </c>
      <c r="K1611" s="9" t="s">
        <v>13284</v>
      </c>
      <c r="L1611" s="9" t="s">
        <v>13284</v>
      </c>
      <c r="M1611" s="9" t="s">
        <v>13284</v>
      </c>
      <c r="N1611" s="9" t="s">
        <v>13284</v>
      </c>
      <c r="O1611" s="9" t="s">
        <v>13284</v>
      </c>
      <c r="P1611" s="9" t="s">
        <v>13284</v>
      </c>
      <c r="Q1611" s="9" t="s">
        <v>13284</v>
      </c>
      <c r="R1611" s="9" t="s">
        <v>13284</v>
      </c>
      <c r="S1611" s="9" t="s">
        <v>13284</v>
      </c>
      <c r="T1611" s="9" t="str">
        <f ca="1">IFERROR(IF(AND(VLOOKUP(A1611, 'Актуальное состояние (из общего'!A:C,3,0) = "", A1611 &lt;&gt; ""), "ПРОВЕРИТЬ", VLOOKUP(A1611, 'Актуальное состояние (из общего'!A:C,3,0)), "")</f>
        <v>Студент</v>
      </c>
      <c r="U1611" s="9" t="s">
        <v>13284</v>
      </c>
      <c r="V1611" s="9" t="s">
        <v>13284</v>
      </c>
      <c r="W1611" s="12"/>
      <c r="X1611" s="9" t="str">
        <f t="array" ref="X1611">IFERROR(INDEX('Адреса общежитий (скрытый)'!$B$2:$B$9, MATCH(W1611, 'Адреса общежитий (скрытый)'!$A$2:$A$9, 0)), "")</f>
        <v/>
      </c>
      <c r="Y1611" s="18"/>
      <c r="Z1611" s="18"/>
      <c r="AA1611" s="18"/>
      <c r="AB1611" s="18"/>
      <c r="AC1611" s="18"/>
    </row>
    <row r="1612" spans="1:29" ht="32.25" hidden="1" customHeight="1">
      <c r="A1612" s="8">
        <v>2309963</v>
      </c>
      <c r="B1612" s="9" t="s">
        <v>13284</v>
      </c>
      <c r="C1612" s="9" t="s">
        <v>13284</v>
      </c>
      <c r="D1612" s="9" t="s">
        <v>13284</v>
      </c>
      <c r="E1612" s="9" t="s">
        <v>13284</v>
      </c>
      <c r="F1612" s="9" t="s">
        <v>13284</v>
      </c>
      <c r="G1612" s="9" t="s">
        <v>13284</v>
      </c>
      <c r="H1612" s="9" t="s">
        <v>13284</v>
      </c>
      <c r="I1612" s="9" t="s">
        <v>13284</v>
      </c>
      <c r="J1612" s="9" t="s">
        <v>13284</v>
      </c>
      <c r="K1612" s="9" t="s">
        <v>13284</v>
      </c>
      <c r="L1612" s="9" t="s">
        <v>13284</v>
      </c>
      <c r="M1612" s="9" t="s">
        <v>13284</v>
      </c>
      <c r="N1612" s="9" t="s">
        <v>13284</v>
      </c>
      <c r="O1612" s="9" t="s">
        <v>13284</v>
      </c>
      <c r="P1612" s="9" t="s">
        <v>13284</v>
      </c>
      <c r="Q1612" s="9" t="s">
        <v>13284</v>
      </c>
      <c r="R1612" s="9" t="s">
        <v>13284</v>
      </c>
      <c r="S1612" s="9" t="s">
        <v>13284</v>
      </c>
      <c r="T1612" s="9" t="str">
        <f ca="1">IFERROR(IF(AND(VLOOKUP(A1612, 'Актуальное состояние (из общего'!A:C,3,0) = "", A1612 &lt;&gt; ""), "ПРОВЕРИТЬ", VLOOKUP(A1612, 'Актуальное состояние (из общего'!A:C,3,0)), "")</f>
        <v>Студент</v>
      </c>
      <c r="U1612" s="9" t="s">
        <v>13284</v>
      </c>
      <c r="V1612" s="9" t="s">
        <v>13284</v>
      </c>
      <c r="W1612" s="12"/>
      <c r="X1612" s="9" t="str">
        <f t="array" ref="X1612">IFERROR(INDEX('Адреса общежитий (скрытый)'!$B$2:$B$9, MATCH(W1612, 'Адреса общежитий (скрытый)'!$A$2:$A$9, 0)), "")</f>
        <v/>
      </c>
      <c r="Y1612" s="18"/>
      <c r="Z1612" s="18"/>
      <c r="AA1612" s="18"/>
      <c r="AB1612" s="18"/>
      <c r="AC1612" s="18"/>
    </row>
    <row r="1613" spans="1:29" ht="32.25" customHeight="1">
      <c r="A1613" s="8">
        <v>2311567</v>
      </c>
      <c r="B1613" s="9" t="s">
        <v>13284</v>
      </c>
      <c r="C1613" s="9" t="s">
        <v>13284</v>
      </c>
      <c r="D1613" s="9" t="s">
        <v>13284</v>
      </c>
      <c r="E1613" s="9" t="s">
        <v>13284</v>
      </c>
      <c r="F1613" s="9" t="s">
        <v>13284</v>
      </c>
      <c r="G1613" s="9" t="s">
        <v>13284</v>
      </c>
      <c r="H1613" s="9" t="s">
        <v>13284</v>
      </c>
      <c r="I1613" s="9" t="s">
        <v>13284</v>
      </c>
      <c r="J1613" s="9" t="s">
        <v>13284</v>
      </c>
      <c r="K1613" s="9" t="s">
        <v>13284</v>
      </c>
      <c r="L1613" s="9" t="s">
        <v>13284</v>
      </c>
      <c r="M1613" s="9" t="s">
        <v>13284</v>
      </c>
      <c r="N1613" s="9" t="s">
        <v>13284</v>
      </c>
      <c r="O1613" s="9" t="s">
        <v>13284</v>
      </c>
      <c r="P1613" s="9" t="s">
        <v>13284</v>
      </c>
      <c r="Q1613" s="9" t="s">
        <v>13284</v>
      </c>
      <c r="R1613" s="9" t="s">
        <v>13284</v>
      </c>
      <c r="S1613" s="9" t="s">
        <v>13284</v>
      </c>
      <c r="T1613" s="9" t="str">
        <f ca="1">IFERROR(IF(AND(VLOOKUP(A1613, 'Актуальное состояние (из общего'!A:C,3,0) = "", A1613 &lt;&gt; ""), "ПРОВЕРИТЬ", VLOOKUP(A1613, 'Актуальное состояние (из общего'!A:C,3,0)), "")</f>
        <v>Студент</v>
      </c>
      <c r="U1613" s="9" t="s">
        <v>13284</v>
      </c>
      <c r="V1613" s="9" t="s">
        <v>13284</v>
      </c>
      <c r="W1613" s="12"/>
      <c r="X1613" s="9" t="str">
        <f t="array" ref="X1613">IFERROR(INDEX('Адреса общежитий (скрытый)'!$B$2:$B$9, MATCH(W1613, 'Адреса общежитий (скрытый)'!$A$2:$A$9, 0)), "")</f>
        <v/>
      </c>
      <c r="Y1613" s="18"/>
      <c r="Z1613" s="18"/>
      <c r="AA1613" s="18"/>
      <c r="AB1613" s="18"/>
      <c r="AC1613" s="18"/>
    </row>
    <row r="1614" spans="1:29" ht="32.25" hidden="1" customHeight="1">
      <c r="A1614" s="8">
        <v>2306634</v>
      </c>
      <c r="B1614" s="9" t="s">
        <v>13284</v>
      </c>
      <c r="C1614" s="9" t="s">
        <v>13284</v>
      </c>
      <c r="D1614" s="9" t="s">
        <v>13284</v>
      </c>
      <c r="E1614" s="9" t="s">
        <v>13284</v>
      </c>
      <c r="F1614" s="9" t="s">
        <v>13284</v>
      </c>
      <c r="G1614" s="9" t="s">
        <v>13284</v>
      </c>
      <c r="H1614" s="9" t="s">
        <v>13284</v>
      </c>
      <c r="I1614" s="9" t="s">
        <v>13284</v>
      </c>
      <c r="J1614" s="9" t="s">
        <v>13284</v>
      </c>
      <c r="K1614" s="9" t="s">
        <v>13284</v>
      </c>
      <c r="L1614" s="9" t="s">
        <v>13284</v>
      </c>
      <c r="M1614" s="9" t="s">
        <v>13284</v>
      </c>
      <c r="N1614" s="9" t="s">
        <v>13284</v>
      </c>
      <c r="O1614" s="9" t="s">
        <v>13284</v>
      </c>
      <c r="P1614" s="9" t="s">
        <v>13284</v>
      </c>
      <c r="Q1614" s="9" t="s">
        <v>13284</v>
      </c>
      <c r="R1614" s="9" t="s">
        <v>13284</v>
      </c>
      <c r="S1614" s="9" t="s">
        <v>13284</v>
      </c>
      <c r="T1614" s="9" t="str">
        <f ca="1">IFERROR(IF(AND(VLOOKUP(A1614, 'Актуальное состояние (из общего'!A:C,3,0) = "", A1614 &lt;&gt; ""), "ПРОВЕРИТЬ", VLOOKUP(A1614, 'Актуальное состояние (из общего'!A:C,3,0)), "")</f>
        <v>Студент</v>
      </c>
      <c r="U1614" s="9" t="s">
        <v>13284</v>
      </c>
      <c r="V1614" s="9" t="s">
        <v>13284</v>
      </c>
      <c r="W1614" s="12"/>
      <c r="X1614" s="9" t="str">
        <f t="array" ref="X1614">IFERROR(INDEX('Адреса общежитий (скрытый)'!$B$2:$B$9, MATCH(W1614, 'Адреса общежитий (скрытый)'!$A$2:$A$9, 0)), "")</f>
        <v/>
      </c>
      <c r="Y1614" s="18"/>
      <c r="Z1614" s="18"/>
      <c r="AA1614" s="18"/>
      <c r="AB1614" s="18"/>
      <c r="AC1614" s="18"/>
    </row>
    <row r="1615" spans="1:29" ht="32.25" hidden="1" customHeight="1">
      <c r="A1615" s="8">
        <v>2301241</v>
      </c>
      <c r="B1615" s="9" t="s">
        <v>13284</v>
      </c>
      <c r="C1615" s="9" t="s">
        <v>13284</v>
      </c>
      <c r="D1615" s="9" t="s">
        <v>13284</v>
      </c>
      <c r="E1615" s="9" t="s">
        <v>13284</v>
      </c>
      <c r="F1615" s="9" t="s">
        <v>13284</v>
      </c>
      <c r="G1615" s="9" t="s">
        <v>13284</v>
      </c>
      <c r="H1615" s="9" t="s">
        <v>13284</v>
      </c>
      <c r="I1615" s="9" t="s">
        <v>13284</v>
      </c>
      <c r="J1615" s="9" t="s">
        <v>13284</v>
      </c>
      <c r="K1615" s="9" t="s">
        <v>13284</v>
      </c>
      <c r="L1615" s="9" t="s">
        <v>13284</v>
      </c>
      <c r="M1615" s="9" t="s">
        <v>13284</v>
      </c>
      <c r="N1615" s="9" t="s">
        <v>13284</v>
      </c>
      <c r="O1615" s="9" t="s">
        <v>13284</v>
      </c>
      <c r="P1615" s="9" t="s">
        <v>13284</v>
      </c>
      <c r="Q1615" s="9" t="s">
        <v>13284</v>
      </c>
      <c r="R1615" s="9" t="s">
        <v>13284</v>
      </c>
      <c r="S1615" s="9" t="s">
        <v>13284</v>
      </c>
      <c r="T1615" s="9" t="str">
        <f ca="1">IFERROR(IF(AND(VLOOKUP(A1615, 'Актуальное состояние (из общего'!A:C,3,0) = "", A1615 &lt;&gt; ""), "ПРОВЕРИТЬ", VLOOKUP(A1615, 'Актуальное состояние (из общего'!A:C,3,0)), "")</f>
        <v>Студент</v>
      </c>
      <c r="U1615" s="9" t="s">
        <v>13284</v>
      </c>
      <c r="V1615" s="9" t="s">
        <v>13284</v>
      </c>
      <c r="W1615" s="12"/>
      <c r="X1615" s="9" t="str">
        <f t="array" ref="X1615">IFERROR(INDEX('Адреса общежитий (скрытый)'!$B$2:$B$9, MATCH(W1615, 'Адреса общежитий (скрытый)'!$A$2:$A$9, 0)), "")</f>
        <v/>
      </c>
      <c r="Y1615" s="18"/>
      <c r="Z1615" s="18"/>
      <c r="AA1615" s="18"/>
      <c r="AB1615" s="18"/>
      <c r="AC1615" s="18"/>
    </row>
    <row r="1616" spans="1:29" ht="32.25" hidden="1" customHeight="1">
      <c r="A1616" s="8">
        <v>2306477</v>
      </c>
      <c r="B1616" s="9" t="s">
        <v>13284</v>
      </c>
      <c r="C1616" s="9" t="s">
        <v>13284</v>
      </c>
      <c r="D1616" s="9" t="s">
        <v>13284</v>
      </c>
      <c r="E1616" s="9" t="s">
        <v>13284</v>
      </c>
      <c r="F1616" s="9" t="s">
        <v>13284</v>
      </c>
      <c r="G1616" s="9" t="s">
        <v>13284</v>
      </c>
      <c r="H1616" s="9" t="s">
        <v>13284</v>
      </c>
      <c r="I1616" s="9" t="s">
        <v>13284</v>
      </c>
      <c r="J1616" s="9" t="s">
        <v>13284</v>
      </c>
      <c r="K1616" s="9" t="s">
        <v>13284</v>
      </c>
      <c r="L1616" s="9" t="s">
        <v>13284</v>
      </c>
      <c r="M1616" s="9" t="s">
        <v>13284</v>
      </c>
      <c r="N1616" s="9" t="s">
        <v>13284</v>
      </c>
      <c r="O1616" s="9" t="s">
        <v>13284</v>
      </c>
      <c r="P1616" s="9" t="s">
        <v>13284</v>
      </c>
      <c r="Q1616" s="9" t="s">
        <v>13284</v>
      </c>
      <c r="R1616" s="9" t="s">
        <v>13284</v>
      </c>
      <c r="S1616" s="9" t="s">
        <v>13284</v>
      </c>
      <c r="T1616" s="9" t="str">
        <f ca="1">IFERROR(IF(AND(VLOOKUP(A1616, 'Актуальное состояние (из общего'!A:C,3,0) = "", A1616 &lt;&gt; ""), "ПРОВЕРИТЬ", VLOOKUP(A1616, 'Актуальное состояние (из общего'!A:C,3,0)), "")</f>
        <v>Студент</v>
      </c>
      <c r="U1616" s="9" t="s">
        <v>13284</v>
      </c>
      <c r="V1616" s="9" t="s">
        <v>13284</v>
      </c>
      <c r="W1616" s="12"/>
      <c r="X1616" s="9" t="str">
        <f t="array" ref="X1616">IFERROR(INDEX('Адреса общежитий (скрытый)'!$B$2:$B$9, MATCH(W1616, 'Адреса общежитий (скрытый)'!$A$2:$A$9, 0)), "")</f>
        <v/>
      </c>
      <c r="Y1616" s="18"/>
      <c r="Z1616" s="18"/>
      <c r="AA1616" s="18"/>
      <c r="AB1616" s="18"/>
      <c r="AC1616" s="18"/>
    </row>
    <row r="1617" spans="1:29" ht="32.25" customHeight="1">
      <c r="A1617" s="8">
        <v>2301255</v>
      </c>
      <c r="B1617" s="9" t="s">
        <v>13284</v>
      </c>
      <c r="C1617" s="9" t="s">
        <v>13284</v>
      </c>
      <c r="D1617" s="9" t="s">
        <v>13284</v>
      </c>
      <c r="E1617" s="9" t="s">
        <v>13284</v>
      </c>
      <c r="F1617" s="9" t="s">
        <v>13284</v>
      </c>
      <c r="G1617" s="9" t="s">
        <v>13284</v>
      </c>
      <c r="H1617" s="9" t="s">
        <v>13284</v>
      </c>
      <c r="I1617" s="9" t="s">
        <v>13284</v>
      </c>
      <c r="J1617" s="9" t="s">
        <v>13284</v>
      </c>
      <c r="K1617" s="9" t="s">
        <v>13284</v>
      </c>
      <c r="L1617" s="9" t="s">
        <v>13284</v>
      </c>
      <c r="M1617" s="9" t="s">
        <v>13284</v>
      </c>
      <c r="N1617" s="9" t="s">
        <v>13284</v>
      </c>
      <c r="O1617" s="9" t="s">
        <v>13284</v>
      </c>
      <c r="P1617" s="9" t="s">
        <v>13284</v>
      </c>
      <c r="Q1617" s="9" t="s">
        <v>13284</v>
      </c>
      <c r="R1617" s="9" t="s">
        <v>13284</v>
      </c>
      <c r="S1617" s="9" t="s">
        <v>13284</v>
      </c>
      <c r="T1617" s="9" t="str">
        <f ca="1">IFERROR(IF(AND(VLOOKUP(A1617, 'Актуальное состояние (из общего'!A:C,3,0) = "", A1617 &lt;&gt; ""), "ПРОВЕРИТЬ", VLOOKUP(A1617, 'Актуальное состояние (из общего'!A:C,3,0)), "")</f>
        <v>Студент</v>
      </c>
      <c r="U1617" s="9" t="s">
        <v>13284</v>
      </c>
      <c r="V1617" s="9" t="s">
        <v>13284</v>
      </c>
      <c r="W1617" s="9" t="s">
        <v>319</v>
      </c>
      <c r="X1617" s="9" t="str">
        <f t="array" ref="X1617">IFERROR(INDEX('Адреса общежитий (скрытый)'!$B$2:$B$9, MATCH(W1617, 'Адреса общежитий (скрытый)'!$A$2:$A$9, 0)), "")</f>
        <v>ул. Профсоюзная, д.83, корп. 2</v>
      </c>
      <c r="Y1617" s="18"/>
      <c r="Z1617" s="18"/>
      <c r="AA1617" s="18"/>
      <c r="AB1617" s="18"/>
      <c r="AC1617" s="18"/>
    </row>
    <row r="1618" spans="1:29" ht="32.25" hidden="1" customHeight="1">
      <c r="A1618" s="8">
        <v>2302715</v>
      </c>
      <c r="B1618" s="9" t="s">
        <v>13284</v>
      </c>
      <c r="C1618" s="9" t="s">
        <v>13284</v>
      </c>
      <c r="D1618" s="9" t="s">
        <v>13284</v>
      </c>
      <c r="E1618" s="9" t="s">
        <v>13284</v>
      </c>
      <c r="F1618" s="9" t="s">
        <v>13284</v>
      </c>
      <c r="G1618" s="9" t="s">
        <v>13284</v>
      </c>
      <c r="H1618" s="9" t="s">
        <v>13284</v>
      </c>
      <c r="I1618" s="9" t="s">
        <v>13284</v>
      </c>
      <c r="J1618" s="9" t="s">
        <v>13284</v>
      </c>
      <c r="K1618" s="9" t="s">
        <v>13284</v>
      </c>
      <c r="L1618" s="9" t="s">
        <v>13284</v>
      </c>
      <c r="M1618" s="9" t="s">
        <v>13284</v>
      </c>
      <c r="N1618" s="9" t="s">
        <v>13284</v>
      </c>
      <c r="O1618" s="9" t="s">
        <v>13284</v>
      </c>
      <c r="P1618" s="9" t="s">
        <v>13284</v>
      </c>
      <c r="Q1618" s="9" t="s">
        <v>13284</v>
      </c>
      <c r="R1618" s="9" t="s">
        <v>13284</v>
      </c>
      <c r="S1618" s="9" t="s">
        <v>13284</v>
      </c>
      <c r="T1618" s="9" t="str">
        <f ca="1">IFERROR(IF(AND(VLOOKUP(A1618, 'Актуальное состояние (из общего'!A:C,3,0) = "", A1618 &lt;&gt; ""), "ПРОВЕРИТЬ", VLOOKUP(A1618, 'Актуальное состояние (из общего'!A:C,3,0)), "")</f>
        <v>Студент</v>
      </c>
      <c r="U1618" s="9" t="s">
        <v>13284</v>
      </c>
      <c r="V1618" s="9" t="s">
        <v>13284</v>
      </c>
      <c r="W1618" s="12"/>
      <c r="X1618" s="9" t="str">
        <f t="array" ref="X1618">IFERROR(INDEX('Адреса общежитий (скрытый)'!$B$2:$B$9, MATCH(W1618, 'Адреса общежитий (скрытый)'!$A$2:$A$9, 0)), "")</f>
        <v/>
      </c>
      <c r="Y1618" s="18"/>
      <c r="Z1618" s="18"/>
      <c r="AA1618" s="18"/>
      <c r="AB1618" s="18"/>
      <c r="AC1618" s="18"/>
    </row>
    <row r="1619" spans="1:29" ht="32.25" customHeight="1">
      <c r="A1619" s="8">
        <v>2305419</v>
      </c>
      <c r="B1619" s="9" t="s">
        <v>13284</v>
      </c>
      <c r="C1619" s="9" t="s">
        <v>13284</v>
      </c>
      <c r="D1619" s="9" t="s">
        <v>13284</v>
      </c>
      <c r="E1619" s="9" t="s">
        <v>13284</v>
      </c>
      <c r="F1619" s="9" t="s">
        <v>13284</v>
      </c>
      <c r="G1619" s="9" t="s">
        <v>13284</v>
      </c>
      <c r="H1619" s="9" t="s">
        <v>13284</v>
      </c>
      <c r="I1619" s="9" t="s">
        <v>13284</v>
      </c>
      <c r="J1619" s="9" t="s">
        <v>13284</v>
      </c>
      <c r="K1619" s="9" t="s">
        <v>13284</v>
      </c>
      <c r="L1619" s="9" t="s">
        <v>13284</v>
      </c>
      <c r="M1619" s="9" t="s">
        <v>13284</v>
      </c>
      <c r="N1619" s="9" t="s">
        <v>13284</v>
      </c>
      <c r="O1619" s="9" t="s">
        <v>13284</v>
      </c>
      <c r="P1619" s="9" t="s">
        <v>13284</v>
      </c>
      <c r="Q1619" s="9" t="s">
        <v>13284</v>
      </c>
      <c r="R1619" s="9" t="s">
        <v>13284</v>
      </c>
      <c r="S1619" s="9" t="s">
        <v>13284</v>
      </c>
      <c r="T1619" s="9" t="str">
        <f ca="1">IFERROR(IF(AND(VLOOKUP(A1619, 'Актуальное состояние (из общего'!A:C,3,0) = "", A1619 &lt;&gt; ""), "ПРОВЕРИТЬ", VLOOKUP(A1619, 'Актуальное состояние (из общего'!A:C,3,0)), "")</f>
        <v>Студент</v>
      </c>
      <c r="U1619" s="9" t="s">
        <v>13284</v>
      </c>
      <c r="V1619" s="9" t="s">
        <v>13284</v>
      </c>
      <c r="W1619" s="9" t="s">
        <v>319</v>
      </c>
      <c r="X1619" s="9" t="str">
        <f t="array" ref="X1619">IFERROR(INDEX('Адреса общежитий (скрытый)'!$B$2:$B$9, MATCH(W1619, 'Адреса общежитий (скрытый)'!$A$2:$A$9, 0)), "")</f>
        <v>ул. Профсоюзная, д.83, корп. 2</v>
      </c>
      <c r="Y1619" s="18"/>
      <c r="Z1619" s="18"/>
      <c r="AA1619" s="18"/>
      <c r="AB1619" s="18"/>
      <c r="AC1619" s="18"/>
    </row>
    <row r="1620" spans="1:29" ht="32.25" hidden="1" customHeight="1">
      <c r="A1620" s="8">
        <v>2300864</v>
      </c>
      <c r="B1620" s="9" t="s">
        <v>13284</v>
      </c>
      <c r="C1620" s="9" t="s">
        <v>13284</v>
      </c>
      <c r="D1620" s="9" t="s">
        <v>13284</v>
      </c>
      <c r="E1620" s="9" t="s">
        <v>13284</v>
      </c>
      <c r="F1620" s="9" t="s">
        <v>13284</v>
      </c>
      <c r="G1620" s="9" t="s">
        <v>13284</v>
      </c>
      <c r="H1620" s="9" t="s">
        <v>13284</v>
      </c>
      <c r="I1620" s="9" t="s">
        <v>13284</v>
      </c>
      <c r="J1620" s="9" t="s">
        <v>13284</v>
      </c>
      <c r="K1620" s="9" t="s">
        <v>13284</v>
      </c>
      <c r="L1620" s="9" t="s">
        <v>13284</v>
      </c>
      <c r="M1620" s="9" t="s">
        <v>13284</v>
      </c>
      <c r="N1620" s="9" t="s">
        <v>13284</v>
      </c>
      <c r="O1620" s="9" t="s">
        <v>13284</v>
      </c>
      <c r="P1620" s="9" t="s">
        <v>13284</v>
      </c>
      <c r="Q1620" s="9" t="s">
        <v>13284</v>
      </c>
      <c r="R1620" s="9" t="s">
        <v>13284</v>
      </c>
      <c r="S1620" s="9" t="s">
        <v>13284</v>
      </c>
      <c r="T1620" s="9" t="str">
        <f ca="1">IFERROR(IF(AND(VLOOKUP(A1620, 'Актуальное состояние (из общего'!A:C,3,0) = "", A1620 &lt;&gt; ""), "ПРОВЕРИТЬ", VLOOKUP(A1620, 'Актуальное состояние (из общего'!A:C,3,0)), "")</f>
        <v>Студент</v>
      </c>
      <c r="U1620" s="9" t="s">
        <v>13284</v>
      </c>
      <c r="V1620" s="9" t="s">
        <v>13284</v>
      </c>
      <c r="W1620" s="12"/>
      <c r="X1620" s="9" t="str">
        <f t="array" ref="X1620">IFERROR(INDEX('Адреса общежитий (скрытый)'!$B$2:$B$9, MATCH(W1620, 'Адреса общежитий (скрытый)'!$A$2:$A$9, 0)), "")</f>
        <v/>
      </c>
      <c r="Y1620" s="18"/>
      <c r="Z1620" s="18"/>
      <c r="AA1620" s="18"/>
      <c r="AB1620" s="18"/>
      <c r="AC1620" s="18"/>
    </row>
    <row r="1621" spans="1:29" ht="32.25" hidden="1" customHeight="1">
      <c r="A1621" s="8">
        <v>2302933</v>
      </c>
      <c r="B1621" s="9" t="s">
        <v>13284</v>
      </c>
      <c r="C1621" s="9" t="s">
        <v>13284</v>
      </c>
      <c r="D1621" s="9" t="s">
        <v>13284</v>
      </c>
      <c r="E1621" s="9" t="s">
        <v>13284</v>
      </c>
      <c r="F1621" s="9" t="s">
        <v>13284</v>
      </c>
      <c r="G1621" s="9" t="s">
        <v>13284</v>
      </c>
      <c r="H1621" s="9" t="s">
        <v>13284</v>
      </c>
      <c r="I1621" s="9" t="s">
        <v>13284</v>
      </c>
      <c r="J1621" s="9" t="s">
        <v>13284</v>
      </c>
      <c r="K1621" s="9" t="s">
        <v>13284</v>
      </c>
      <c r="L1621" s="9" t="s">
        <v>13284</v>
      </c>
      <c r="M1621" s="9" t="s">
        <v>13284</v>
      </c>
      <c r="N1621" s="9" t="s">
        <v>13284</v>
      </c>
      <c r="O1621" s="9" t="s">
        <v>13284</v>
      </c>
      <c r="P1621" s="9" t="s">
        <v>13284</v>
      </c>
      <c r="Q1621" s="9" t="s">
        <v>13284</v>
      </c>
      <c r="R1621" s="9" t="s">
        <v>13284</v>
      </c>
      <c r="S1621" s="9" t="s">
        <v>13284</v>
      </c>
      <c r="T1621" s="9" t="str">
        <f ca="1">IFERROR(IF(AND(VLOOKUP(A1621, 'Актуальное состояние (из общего'!A:C,3,0) = "", A1621 &lt;&gt; ""), "ПРОВЕРИТЬ", VLOOKUP(A1621, 'Актуальное состояние (из общего'!A:C,3,0)), "")</f>
        <v>Студент</v>
      </c>
      <c r="U1621" s="9" t="s">
        <v>13284</v>
      </c>
      <c r="V1621" s="9" t="s">
        <v>13284</v>
      </c>
      <c r="W1621" s="12"/>
      <c r="X1621" s="9" t="str">
        <f t="array" ref="X1621">IFERROR(INDEX('Адреса общежитий (скрытый)'!$B$2:$B$9, MATCH(W1621, 'Адреса общежитий (скрытый)'!$A$2:$A$9, 0)), "")</f>
        <v/>
      </c>
      <c r="Y1621" s="18"/>
      <c r="Z1621" s="18"/>
      <c r="AA1621" s="18"/>
      <c r="AB1621" s="18"/>
      <c r="AC1621" s="18"/>
    </row>
    <row r="1622" spans="1:29" ht="32.25" customHeight="1">
      <c r="A1622" s="8">
        <v>2303396</v>
      </c>
      <c r="B1622" s="9" t="s">
        <v>13284</v>
      </c>
      <c r="C1622" s="9" t="s">
        <v>13284</v>
      </c>
      <c r="D1622" s="9" t="s">
        <v>13284</v>
      </c>
      <c r="E1622" s="9" t="s">
        <v>13284</v>
      </c>
      <c r="F1622" s="9" t="s">
        <v>13284</v>
      </c>
      <c r="G1622" s="9" t="s">
        <v>13284</v>
      </c>
      <c r="H1622" s="9" t="s">
        <v>13284</v>
      </c>
      <c r="I1622" s="9" t="s">
        <v>13284</v>
      </c>
      <c r="J1622" s="9" t="s">
        <v>13284</v>
      </c>
      <c r="K1622" s="9" t="s">
        <v>13284</v>
      </c>
      <c r="L1622" s="9" t="s">
        <v>13284</v>
      </c>
      <c r="M1622" s="9" t="s">
        <v>13284</v>
      </c>
      <c r="N1622" s="9" t="s">
        <v>13284</v>
      </c>
      <c r="O1622" s="9" t="s">
        <v>13284</v>
      </c>
      <c r="P1622" s="9" t="s">
        <v>13284</v>
      </c>
      <c r="Q1622" s="9" t="s">
        <v>13284</v>
      </c>
      <c r="R1622" s="9" t="s">
        <v>13284</v>
      </c>
      <c r="S1622" s="9" t="s">
        <v>13284</v>
      </c>
      <c r="T1622" s="9" t="str">
        <f ca="1">IFERROR(IF(AND(VLOOKUP(A1622, 'Актуальное состояние (из общего'!A:C,3,0) = "", A1622 &lt;&gt; ""), "ПРОВЕРИТЬ", VLOOKUP(A1622, 'Актуальное состояние (из общего'!A:C,3,0)), "")</f>
        <v>Студент</v>
      </c>
      <c r="U1622" s="9" t="s">
        <v>13284</v>
      </c>
      <c r="V1622" s="9" t="s">
        <v>13284</v>
      </c>
      <c r="W1622" s="12"/>
      <c r="X1622" s="9" t="str">
        <f t="array" ref="X1622">IFERROR(INDEX('Адреса общежитий (скрытый)'!$B$2:$B$9, MATCH(W1622, 'Адреса общежитий (скрытый)'!$A$2:$A$9, 0)), "")</f>
        <v/>
      </c>
      <c r="Y1622" s="18"/>
      <c r="Z1622" s="18"/>
      <c r="AA1622" s="18"/>
      <c r="AB1622" s="18"/>
      <c r="AC1622" s="18"/>
    </row>
    <row r="1623" spans="1:29" ht="32.25" hidden="1" customHeight="1">
      <c r="A1623" s="8">
        <v>2309674</v>
      </c>
      <c r="B1623" s="9" t="s">
        <v>13284</v>
      </c>
      <c r="C1623" s="9" t="s">
        <v>13284</v>
      </c>
      <c r="D1623" s="9" t="s">
        <v>13284</v>
      </c>
      <c r="E1623" s="9" t="s">
        <v>13284</v>
      </c>
      <c r="F1623" s="9" t="s">
        <v>13284</v>
      </c>
      <c r="G1623" s="9" t="s">
        <v>13284</v>
      </c>
      <c r="H1623" s="9" t="s">
        <v>13284</v>
      </c>
      <c r="I1623" s="9" t="s">
        <v>13284</v>
      </c>
      <c r="J1623" s="9" t="s">
        <v>13284</v>
      </c>
      <c r="K1623" s="9" t="s">
        <v>13284</v>
      </c>
      <c r="L1623" s="9" t="s">
        <v>13284</v>
      </c>
      <c r="M1623" s="9" t="s">
        <v>13284</v>
      </c>
      <c r="N1623" s="9" t="s">
        <v>13284</v>
      </c>
      <c r="O1623" s="9" t="s">
        <v>13284</v>
      </c>
      <c r="P1623" s="9" t="s">
        <v>13284</v>
      </c>
      <c r="Q1623" s="9" t="s">
        <v>13284</v>
      </c>
      <c r="R1623" s="9" t="s">
        <v>13284</v>
      </c>
      <c r="S1623" s="9" t="s">
        <v>13284</v>
      </c>
      <c r="T1623" s="9" t="str">
        <f ca="1">IFERROR(IF(AND(VLOOKUP(A1623, 'Актуальное состояние (из общего'!A:C,3,0) = "", A1623 &lt;&gt; ""), "ПРОВЕРИТЬ", VLOOKUP(A1623, 'Актуальное состояние (из общего'!A:C,3,0)), "")</f>
        <v>Студент</v>
      </c>
      <c r="U1623" s="9" t="s">
        <v>13284</v>
      </c>
      <c r="V1623" s="9" t="s">
        <v>13284</v>
      </c>
      <c r="W1623" s="12"/>
      <c r="X1623" s="9" t="str">
        <f t="array" ref="X1623">IFERROR(INDEX('Адреса общежитий (скрытый)'!$B$2:$B$9, MATCH(W1623, 'Адреса общежитий (скрытый)'!$A$2:$A$9, 0)), "")</f>
        <v/>
      </c>
      <c r="Y1623" s="18"/>
      <c r="Z1623" s="18"/>
      <c r="AA1623" s="18"/>
      <c r="AB1623" s="18"/>
      <c r="AC1623" s="18"/>
    </row>
    <row r="1624" spans="1:29" ht="32.25" customHeight="1">
      <c r="A1624" s="8">
        <v>2308309</v>
      </c>
      <c r="B1624" s="9" t="s">
        <v>13284</v>
      </c>
      <c r="C1624" s="9" t="s">
        <v>13284</v>
      </c>
      <c r="D1624" s="9" t="s">
        <v>13284</v>
      </c>
      <c r="E1624" s="9" t="s">
        <v>13284</v>
      </c>
      <c r="F1624" s="9" t="s">
        <v>13284</v>
      </c>
      <c r="G1624" s="9" t="s">
        <v>13284</v>
      </c>
      <c r="H1624" s="9" t="s">
        <v>13284</v>
      </c>
      <c r="I1624" s="9" t="s">
        <v>13284</v>
      </c>
      <c r="J1624" s="9" t="s">
        <v>13284</v>
      </c>
      <c r="K1624" s="9" t="s">
        <v>13284</v>
      </c>
      <c r="L1624" s="9" t="s">
        <v>13284</v>
      </c>
      <c r="M1624" s="9" t="s">
        <v>13284</v>
      </c>
      <c r="N1624" s="9" t="s">
        <v>13284</v>
      </c>
      <c r="O1624" s="9" t="s">
        <v>13284</v>
      </c>
      <c r="P1624" s="9" t="s">
        <v>13284</v>
      </c>
      <c r="Q1624" s="9" t="s">
        <v>13284</v>
      </c>
      <c r="R1624" s="9" t="s">
        <v>13284</v>
      </c>
      <c r="S1624" s="9" t="s">
        <v>13284</v>
      </c>
      <c r="T1624" s="9" t="str">
        <f ca="1">IFERROR(IF(AND(VLOOKUP(A1624, 'Актуальное состояние (из общего'!A:C,3,0) = "", A1624 &lt;&gt; ""), "ПРОВЕРИТЬ", VLOOKUP(A1624, 'Актуальное состояние (из общего'!A:C,3,0)), "")</f>
        <v>Студент</v>
      </c>
      <c r="U1624" s="9" t="s">
        <v>13284</v>
      </c>
      <c r="V1624" s="9" t="s">
        <v>13284</v>
      </c>
      <c r="W1624" s="9" t="s">
        <v>319</v>
      </c>
      <c r="X1624" s="9" t="str">
        <f t="array" ref="X1624">IFERROR(INDEX('Адреса общежитий (скрытый)'!$B$2:$B$9, MATCH(W1624, 'Адреса общежитий (скрытый)'!$A$2:$A$9, 0)), "")</f>
        <v>ул. Профсоюзная, д.83, корп. 2</v>
      </c>
      <c r="Y1624" s="18"/>
      <c r="Z1624" s="18"/>
      <c r="AA1624" s="18"/>
      <c r="AB1624" s="18"/>
      <c r="AC1624" s="18"/>
    </row>
    <row r="1625" spans="1:29" ht="32.25" hidden="1" customHeight="1">
      <c r="A1625" s="8">
        <v>2302255</v>
      </c>
      <c r="B1625" s="9" t="s">
        <v>13284</v>
      </c>
      <c r="C1625" s="9" t="s">
        <v>13284</v>
      </c>
      <c r="D1625" s="9" t="s">
        <v>13284</v>
      </c>
      <c r="E1625" s="9" t="s">
        <v>13284</v>
      </c>
      <c r="F1625" s="9" t="s">
        <v>13284</v>
      </c>
      <c r="G1625" s="9" t="s">
        <v>13284</v>
      </c>
      <c r="H1625" s="9" t="s">
        <v>13284</v>
      </c>
      <c r="I1625" s="9" t="s">
        <v>13284</v>
      </c>
      <c r="J1625" s="9" t="s">
        <v>13284</v>
      </c>
      <c r="K1625" s="9" t="s">
        <v>13284</v>
      </c>
      <c r="L1625" s="9" t="s">
        <v>13284</v>
      </c>
      <c r="M1625" s="9" t="s">
        <v>13284</v>
      </c>
      <c r="N1625" s="9" t="s">
        <v>13284</v>
      </c>
      <c r="O1625" s="9" t="s">
        <v>13284</v>
      </c>
      <c r="P1625" s="9" t="s">
        <v>13284</v>
      </c>
      <c r="Q1625" s="9" t="s">
        <v>13284</v>
      </c>
      <c r="R1625" s="9" t="s">
        <v>13284</v>
      </c>
      <c r="S1625" s="9" t="s">
        <v>13284</v>
      </c>
      <c r="T1625" s="9" t="str">
        <f ca="1">IFERROR(IF(AND(VLOOKUP(A1625, 'Актуальное состояние (из общего'!A:C,3,0) = "", A1625 &lt;&gt; ""), "ПРОВЕРИТЬ", VLOOKUP(A1625, 'Актуальное состояние (из общего'!A:C,3,0)), "")</f>
        <v>Студент</v>
      </c>
      <c r="U1625" s="9" t="s">
        <v>13284</v>
      </c>
      <c r="V1625" s="9" t="s">
        <v>13284</v>
      </c>
      <c r="W1625" s="12"/>
      <c r="X1625" s="9" t="str">
        <f t="array" ref="X1625">IFERROR(INDEX('Адреса общежитий (скрытый)'!$B$2:$B$9, MATCH(W1625, 'Адреса общежитий (скрытый)'!$A$2:$A$9, 0)), "")</f>
        <v/>
      </c>
      <c r="Y1625" s="18"/>
      <c r="Z1625" s="18"/>
      <c r="AA1625" s="18"/>
      <c r="AB1625" s="18"/>
      <c r="AC1625" s="18"/>
    </row>
    <row r="1626" spans="1:29" ht="32.25" customHeight="1">
      <c r="A1626" s="8">
        <v>2301766</v>
      </c>
      <c r="B1626" s="9" t="s">
        <v>13284</v>
      </c>
      <c r="C1626" s="9" t="s">
        <v>13284</v>
      </c>
      <c r="D1626" s="9" t="s">
        <v>13284</v>
      </c>
      <c r="E1626" s="9" t="s">
        <v>13284</v>
      </c>
      <c r="F1626" s="9" t="s">
        <v>13284</v>
      </c>
      <c r="G1626" s="9" t="s">
        <v>13284</v>
      </c>
      <c r="H1626" s="9" t="s">
        <v>13284</v>
      </c>
      <c r="I1626" s="9" t="s">
        <v>13284</v>
      </c>
      <c r="J1626" s="9" t="s">
        <v>13284</v>
      </c>
      <c r="K1626" s="9" t="s">
        <v>13284</v>
      </c>
      <c r="L1626" s="9" t="s">
        <v>13284</v>
      </c>
      <c r="M1626" s="9" t="s">
        <v>13284</v>
      </c>
      <c r="N1626" s="9" t="s">
        <v>13284</v>
      </c>
      <c r="O1626" s="9" t="s">
        <v>13284</v>
      </c>
      <c r="P1626" s="9" t="s">
        <v>13284</v>
      </c>
      <c r="Q1626" s="9" t="s">
        <v>13284</v>
      </c>
      <c r="R1626" s="9" t="s">
        <v>13284</v>
      </c>
      <c r="S1626" s="9" t="s">
        <v>13284</v>
      </c>
      <c r="T1626" s="9" t="str">
        <f ca="1">IFERROR(IF(AND(VLOOKUP(A1626, 'Актуальное состояние (из общего'!A:C,3,0) = "", A1626 &lt;&gt; ""), "ПРОВЕРИТЬ", VLOOKUP(A1626, 'Актуальное состояние (из общего'!A:C,3,0)), "")</f>
        <v>Студент</v>
      </c>
      <c r="U1626" s="9" t="s">
        <v>13284</v>
      </c>
      <c r="V1626" s="9" t="s">
        <v>13284</v>
      </c>
      <c r="W1626" s="12"/>
      <c r="X1626" s="9" t="str">
        <f t="array" ref="X1626">IFERROR(INDEX('Адреса общежитий (скрытый)'!$B$2:$B$9, MATCH(W1626, 'Адреса общежитий (скрытый)'!$A$2:$A$9, 0)), "")</f>
        <v/>
      </c>
      <c r="Y1626" s="18"/>
      <c r="Z1626" s="18"/>
      <c r="AA1626" s="18"/>
      <c r="AB1626" s="18"/>
      <c r="AC1626" s="18"/>
    </row>
    <row r="1627" spans="1:29" ht="32.25" customHeight="1">
      <c r="A1627" s="8">
        <v>2311616</v>
      </c>
      <c r="B1627" s="9" t="s">
        <v>13284</v>
      </c>
      <c r="C1627" s="9" t="s">
        <v>13284</v>
      </c>
      <c r="D1627" s="9" t="s">
        <v>13284</v>
      </c>
      <c r="E1627" s="9" t="s">
        <v>13284</v>
      </c>
      <c r="F1627" s="9" t="s">
        <v>13284</v>
      </c>
      <c r="G1627" s="9" t="s">
        <v>13284</v>
      </c>
      <c r="H1627" s="9" t="s">
        <v>13284</v>
      </c>
      <c r="I1627" s="9" t="s">
        <v>13284</v>
      </c>
      <c r="J1627" s="9" t="s">
        <v>13284</v>
      </c>
      <c r="K1627" s="9" t="s">
        <v>13284</v>
      </c>
      <c r="L1627" s="9" t="s">
        <v>13284</v>
      </c>
      <c r="M1627" s="9" t="s">
        <v>13284</v>
      </c>
      <c r="N1627" s="9" t="s">
        <v>13284</v>
      </c>
      <c r="O1627" s="9" t="s">
        <v>13284</v>
      </c>
      <c r="P1627" s="9" t="s">
        <v>13284</v>
      </c>
      <c r="Q1627" s="9" t="s">
        <v>13284</v>
      </c>
      <c r="R1627" s="9" t="s">
        <v>13284</v>
      </c>
      <c r="S1627" s="9" t="s">
        <v>13284</v>
      </c>
      <c r="T1627" s="9" t="str">
        <f ca="1">IFERROR(IF(AND(VLOOKUP(A1627, 'Актуальное состояние (из общего'!A:C,3,0) = "", A1627 &lt;&gt; ""), "ПРОВЕРИТЬ", VLOOKUP(A1627, 'Актуальное состояние (из общего'!A:C,3,0)), "")</f>
        <v>Студент</v>
      </c>
      <c r="U1627" s="9" t="s">
        <v>13284</v>
      </c>
      <c r="V1627" s="9" t="s">
        <v>13284</v>
      </c>
      <c r="W1627" s="12"/>
      <c r="X1627" s="9" t="str">
        <f t="array" ref="X1627">IFERROR(INDEX('Адреса общежитий (скрытый)'!$B$2:$B$9, MATCH(W1627, 'Адреса общежитий (скрытый)'!$A$2:$A$9, 0)), "")</f>
        <v/>
      </c>
      <c r="Y1627" s="18"/>
      <c r="Z1627" s="18"/>
      <c r="AA1627" s="18"/>
      <c r="AB1627" s="18"/>
      <c r="AC1627" s="18"/>
    </row>
    <row r="1628" spans="1:29" ht="32.25" hidden="1" customHeight="1">
      <c r="A1628" s="8">
        <v>2303817</v>
      </c>
      <c r="B1628" s="9" t="s">
        <v>13284</v>
      </c>
      <c r="C1628" s="9" t="s">
        <v>13284</v>
      </c>
      <c r="D1628" s="9" t="s">
        <v>13284</v>
      </c>
      <c r="E1628" s="9" t="s">
        <v>13284</v>
      </c>
      <c r="F1628" s="9" t="s">
        <v>13284</v>
      </c>
      <c r="G1628" s="9" t="s">
        <v>13284</v>
      </c>
      <c r="H1628" s="9" t="s">
        <v>13284</v>
      </c>
      <c r="I1628" s="9" t="s">
        <v>13284</v>
      </c>
      <c r="J1628" s="9" t="s">
        <v>13284</v>
      </c>
      <c r="K1628" s="9" t="s">
        <v>13284</v>
      </c>
      <c r="L1628" s="9" t="s">
        <v>13284</v>
      </c>
      <c r="M1628" s="9" t="s">
        <v>13284</v>
      </c>
      <c r="N1628" s="9" t="s">
        <v>13284</v>
      </c>
      <c r="O1628" s="9" t="s">
        <v>13284</v>
      </c>
      <c r="P1628" s="9" t="s">
        <v>13284</v>
      </c>
      <c r="Q1628" s="9" t="s">
        <v>13284</v>
      </c>
      <c r="R1628" s="9" t="s">
        <v>13284</v>
      </c>
      <c r="S1628" s="9" t="s">
        <v>13284</v>
      </c>
      <c r="T1628" s="9" t="str">
        <f ca="1">IFERROR(IF(AND(VLOOKUP(A1628, 'Актуальное состояние (из общего'!A:C,3,0) = "", A1628 &lt;&gt; ""), "ПРОВЕРИТЬ", VLOOKUP(A1628, 'Актуальное состояние (из общего'!A:C,3,0)), "")</f>
        <v>Студент</v>
      </c>
      <c r="U1628" s="9" t="s">
        <v>13284</v>
      </c>
      <c r="V1628" s="9" t="s">
        <v>13284</v>
      </c>
      <c r="W1628" s="12"/>
      <c r="X1628" s="9" t="str">
        <f t="array" ref="X1628">IFERROR(INDEX('Адреса общежитий (скрытый)'!$B$2:$B$9, MATCH(W1628, 'Адреса общежитий (скрытый)'!$A$2:$A$9, 0)), "")</f>
        <v/>
      </c>
      <c r="Y1628" s="18"/>
      <c r="Z1628" s="18"/>
      <c r="AA1628" s="18"/>
      <c r="AB1628" s="18"/>
      <c r="AC1628" s="18"/>
    </row>
    <row r="1629" spans="1:29" ht="32.25" hidden="1" customHeight="1">
      <c r="A1629" s="8">
        <v>2307477</v>
      </c>
      <c r="B1629" s="9" t="s">
        <v>13284</v>
      </c>
      <c r="C1629" s="9" t="s">
        <v>13284</v>
      </c>
      <c r="D1629" s="9" t="s">
        <v>13284</v>
      </c>
      <c r="E1629" s="9" t="s">
        <v>13284</v>
      </c>
      <c r="F1629" s="9" t="s">
        <v>13284</v>
      </c>
      <c r="G1629" s="9" t="s">
        <v>13284</v>
      </c>
      <c r="H1629" s="9" t="s">
        <v>13284</v>
      </c>
      <c r="I1629" s="9" t="s">
        <v>13284</v>
      </c>
      <c r="J1629" s="9" t="s">
        <v>13284</v>
      </c>
      <c r="K1629" s="9" t="s">
        <v>13284</v>
      </c>
      <c r="L1629" s="9" t="s">
        <v>13284</v>
      </c>
      <c r="M1629" s="9" t="s">
        <v>13284</v>
      </c>
      <c r="N1629" s="9" t="s">
        <v>13284</v>
      </c>
      <c r="O1629" s="9" t="s">
        <v>13284</v>
      </c>
      <c r="P1629" s="9" t="s">
        <v>13284</v>
      </c>
      <c r="Q1629" s="9" t="s">
        <v>13284</v>
      </c>
      <c r="R1629" s="9" t="s">
        <v>13284</v>
      </c>
      <c r="S1629" s="9" t="s">
        <v>13284</v>
      </c>
      <c r="T1629" s="9" t="str">
        <f ca="1">IFERROR(IF(AND(VLOOKUP(A1629, 'Актуальное состояние (из общего'!A:C,3,0) = "", A1629 &lt;&gt; ""), "ПРОВЕРИТЬ", VLOOKUP(A1629, 'Актуальное состояние (из общего'!A:C,3,0)), "")</f>
        <v>Студент</v>
      </c>
      <c r="U1629" s="9" t="s">
        <v>13284</v>
      </c>
      <c r="V1629" s="9" t="s">
        <v>13284</v>
      </c>
      <c r="W1629" s="12"/>
      <c r="X1629" s="9" t="str">
        <f t="array" ref="X1629">IFERROR(INDEX('Адреса общежитий (скрытый)'!$B$2:$B$9, MATCH(W1629, 'Адреса общежитий (скрытый)'!$A$2:$A$9, 0)), "")</f>
        <v/>
      </c>
      <c r="Y1629" s="18"/>
      <c r="Z1629" s="18"/>
      <c r="AA1629" s="18"/>
      <c r="AB1629" s="18"/>
      <c r="AC1629" s="18"/>
    </row>
    <row r="1630" spans="1:29" ht="32.25" hidden="1" customHeight="1">
      <c r="A1630" s="8">
        <v>2302839</v>
      </c>
      <c r="B1630" s="9" t="s">
        <v>13284</v>
      </c>
      <c r="C1630" s="9" t="s">
        <v>13284</v>
      </c>
      <c r="D1630" s="9" t="s">
        <v>13284</v>
      </c>
      <c r="E1630" s="9" t="s">
        <v>13284</v>
      </c>
      <c r="F1630" s="9" t="s">
        <v>13284</v>
      </c>
      <c r="G1630" s="9" t="s">
        <v>13284</v>
      </c>
      <c r="H1630" s="9" t="s">
        <v>13284</v>
      </c>
      <c r="I1630" s="9" t="s">
        <v>13284</v>
      </c>
      <c r="J1630" s="9" t="s">
        <v>13284</v>
      </c>
      <c r="K1630" s="9" t="s">
        <v>13284</v>
      </c>
      <c r="L1630" s="9" t="s">
        <v>13284</v>
      </c>
      <c r="M1630" s="9" t="s">
        <v>13284</v>
      </c>
      <c r="N1630" s="9" t="s">
        <v>13284</v>
      </c>
      <c r="O1630" s="9" t="s">
        <v>13284</v>
      </c>
      <c r="P1630" s="9" t="s">
        <v>13284</v>
      </c>
      <c r="Q1630" s="9" t="s">
        <v>13284</v>
      </c>
      <c r="R1630" s="9" t="s">
        <v>13284</v>
      </c>
      <c r="S1630" s="9" t="s">
        <v>13284</v>
      </c>
      <c r="T1630" s="9" t="str">
        <f ca="1">IFERROR(IF(AND(VLOOKUP(A1630, 'Актуальное состояние (из общего'!A:C,3,0) = "", A1630 &lt;&gt; ""), "ПРОВЕРИТЬ", VLOOKUP(A1630, 'Актуальное состояние (из общего'!A:C,3,0)), "")</f>
        <v>Студент</v>
      </c>
      <c r="U1630" s="9" t="s">
        <v>13284</v>
      </c>
      <c r="V1630" s="9" t="s">
        <v>13284</v>
      </c>
      <c r="W1630" s="12"/>
      <c r="X1630" s="9" t="str">
        <f t="array" ref="X1630">IFERROR(INDEX('Адреса общежитий (скрытый)'!$B$2:$B$9, MATCH(W1630, 'Адреса общежитий (скрытый)'!$A$2:$A$9, 0)), "")</f>
        <v/>
      </c>
      <c r="Y1630" s="18"/>
      <c r="Z1630" s="18"/>
      <c r="AA1630" s="18"/>
      <c r="AB1630" s="18"/>
      <c r="AC1630" s="18"/>
    </row>
    <row r="1631" spans="1:29" ht="32.25" hidden="1" customHeight="1">
      <c r="A1631" s="8">
        <v>2304170</v>
      </c>
      <c r="B1631" s="9" t="s">
        <v>13284</v>
      </c>
      <c r="C1631" s="9" t="s">
        <v>13284</v>
      </c>
      <c r="D1631" s="9" t="s">
        <v>13284</v>
      </c>
      <c r="E1631" s="9" t="s">
        <v>13284</v>
      </c>
      <c r="F1631" s="9" t="s">
        <v>13284</v>
      </c>
      <c r="G1631" s="9" t="s">
        <v>13284</v>
      </c>
      <c r="H1631" s="9" t="s">
        <v>13284</v>
      </c>
      <c r="I1631" s="9" t="s">
        <v>13284</v>
      </c>
      <c r="J1631" s="9" t="s">
        <v>13284</v>
      </c>
      <c r="K1631" s="9" t="s">
        <v>13284</v>
      </c>
      <c r="L1631" s="9" t="s">
        <v>13284</v>
      </c>
      <c r="M1631" s="9" t="s">
        <v>13284</v>
      </c>
      <c r="N1631" s="9" t="s">
        <v>13284</v>
      </c>
      <c r="O1631" s="9" t="s">
        <v>13284</v>
      </c>
      <c r="P1631" s="9" t="s">
        <v>13284</v>
      </c>
      <c r="Q1631" s="9" t="s">
        <v>13284</v>
      </c>
      <c r="R1631" s="9" t="s">
        <v>13284</v>
      </c>
      <c r="S1631" s="9" t="s">
        <v>13284</v>
      </c>
      <c r="T1631" s="9" t="str">
        <f ca="1">IFERROR(IF(AND(VLOOKUP(A1631, 'Актуальное состояние (из общего'!A:C,3,0) = "", A1631 &lt;&gt; ""), "ПРОВЕРИТЬ", VLOOKUP(A1631, 'Актуальное состояние (из общего'!A:C,3,0)), "")</f>
        <v>Студент</v>
      </c>
      <c r="U1631" s="9" t="s">
        <v>13284</v>
      </c>
      <c r="V1631" s="9" t="s">
        <v>13284</v>
      </c>
      <c r="W1631" s="12"/>
      <c r="X1631" s="9" t="str">
        <f t="array" ref="X1631">IFERROR(INDEX('Адреса общежитий (скрытый)'!$B$2:$B$9, MATCH(W1631, 'Адреса общежитий (скрытый)'!$A$2:$A$9, 0)), "")</f>
        <v/>
      </c>
      <c r="Y1631" s="18"/>
      <c r="Z1631" s="18"/>
      <c r="AA1631" s="18"/>
      <c r="AB1631" s="18"/>
      <c r="AC1631" s="18"/>
    </row>
    <row r="1632" spans="1:29" ht="32.25" customHeight="1">
      <c r="A1632" s="8">
        <v>2307382</v>
      </c>
      <c r="B1632" s="9" t="s">
        <v>13284</v>
      </c>
      <c r="C1632" s="9" t="s">
        <v>13284</v>
      </c>
      <c r="D1632" s="9" t="s">
        <v>13284</v>
      </c>
      <c r="E1632" s="9" t="s">
        <v>13284</v>
      </c>
      <c r="F1632" s="9" t="s">
        <v>13284</v>
      </c>
      <c r="G1632" s="9" t="s">
        <v>13284</v>
      </c>
      <c r="H1632" s="9" t="s">
        <v>13284</v>
      </c>
      <c r="I1632" s="9" t="s">
        <v>13284</v>
      </c>
      <c r="J1632" s="9" t="s">
        <v>13284</v>
      </c>
      <c r="K1632" s="9" t="s">
        <v>13284</v>
      </c>
      <c r="L1632" s="9" t="s">
        <v>13284</v>
      </c>
      <c r="M1632" s="9" t="s">
        <v>13284</v>
      </c>
      <c r="N1632" s="9" t="s">
        <v>13284</v>
      </c>
      <c r="O1632" s="9" t="s">
        <v>13284</v>
      </c>
      <c r="P1632" s="9" t="s">
        <v>13284</v>
      </c>
      <c r="Q1632" s="9" t="s">
        <v>13284</v>
      </c>
      <c r="R1632" s="9" t="s">
        <v>13284</v>
      </c>
      <c r="S1632" s="9" t="s">
        <v>13284</v>
      </c>
      <c r="T1632" s="9" t="str">
        <f ca="1">IFERROR(IF(AND(VLOOKUP(A1632, 'Актуальное состояние (из общего'!A:C,3,0) = "", A1632 &lt;&gt; ""), "ПРОВЕРИТЬ", VLOOKUP(A1632, 'Актуальное состояние (из общего'!A:C,3,0)), "")</f>
        <v>Студент</v>
      </c>
      <c r="U1632" s="9" t="s">
        <v>13284</v>
      </c>
      <c r="V1632" s="9" t="s">
        <v>13284</v>
      </c>
      <c r="W1632" s="12"/>
      <c r="X1632" s="9" t="str">
        <f t="array" ref="X1632">IFERROR(INDEX('Адреса общежитий (скрытый)'!$B$2:$B$9, MATCH(W1632, 'Адреса общежитий (скрытый)'!$A$2:$A$9, 0)), "")</f>
        <v/>
      </c>
      <c r="Y1632" s="18"/>
      <c r="Z1632" s="18"/>
      <c r="AA1632" s="18"/>
      <c r="AB1632" s="18"/>
      <c r="AC1632" s="18"/>
    </row>
    <row r="1633" spans="1:29" ht="32.25" hidden="1" customHeight="1">
      <c r="A1633" s="8">
        <v>2309359</v>
      </c>
      <c r="B1633" s="9" t="s">
        <v>13284</v>
      </c>
      <c r="C1633" s="9" t="s">
        <v>13284</v>
      </c>
      <c r="D1633" s="9" t="s">
        <v>13284</v>
      </c>
      <c r="E1633" s="9" t="s">
        <v>13284</v>
      </c>
      <c r="F1633" s="9" t="s">
        <v>13284</v>
      </c>
      <c r="G1633" s="9" t="s">
        <v>13284</v>
      </c>
      <c r="H1633" s="9" t="s">
        <v>13284</v>
      </c>
      <c r="I1633" s="9" t="s">
        <v>13284</v>
      </c>
      <c r="J1633" s="9" t="s">
        <v>13284</v>
      </c>
      <c r="K1633" s="9" t="s">
        <v>13284</v>
      </c>
      <c r="L1633" s="9" t="s">
        <v>13284</v>
      </c>
      <c r="M1633" s="9" t="s">
        <v>13284</v>
      </c>
      <c r="N1633" s="9" t="s">
        <v>13284</v>
      </c>
      <c r="O1633" s="9" t="s">
        <v>13284</v>
      </c>
      <c r="P1633" s="9" t="s">
        <v>13284</v>
      </c>
      <c r="Q1633" s="9" t="s">
        <v>13284</v>
      </c>
      <c r="R1633" s="9" t="s">
        <v>13284</v>
      </c>
      <c r="S1633" s="9" t="s">
        <v>13284</v>
      </c>
      <c r="T1633" s="9" t="str">
        <f ca="1">IFERROR(IF(AND(VLOOKUP(A1633, 'Актуальное состояние (из общего'!A:C,3,0) = "", A1633 &lt;&gt; ""), "ПРОВЕРИТЬ", VLOOKUP(A1633, 'Актуальное состояние (из общего'!A:C,3,0)), "")</f>
        <v>Студент</v>
      </c>
      <c r="U1633" s="9" t="s">
        <v>13284</v>
      </c>
      <c r="V1633" s="9" t="s">
        <v>13284</v>
      </c>
      <c r="W1633" s="12"/>
      <c r="X1633" s="9" t="str">
        <f t="array" ref="X1633">IFERROR(INDEX('Адреса общежитий (скрытый)'!$B$2:$B$9, MATCH(W1633, 'Адреса общежитий (скрытый)'!$A$2:$A$9, 0)), "")</f>
        <v/>
      </c>
      <c r="Y1633" s="18"/>
      <c r="Z1633" s="18"/>
      <c r="AA1633" s="18"/>
      <c r="AB1633" s="18"/>
      <c r="AC1633" s="18"/>
    </row>
    <row r="1634" spans="1:29" ht="32.25" customHeight="1">
      <c r="A1634" s="8">
        <v>2303162</v>
      </c>
      <c r="B1634" s="9" t="s">
        <v>13284</v>
      </c>
      <c r="C1634" s="9" t="s">
        <v>13284</v>
      </c>
      <c r="D1634" s="9" t="s">
        <v>13284</v>
      </c>
      <c r="E1634" s="9" t="s">
        <v>13284</v>
      </c>
      <c r="F1634" s="9" t="s">
        <v>13284</v>
      </c>
      <c r="G1634" s="9" t="s">
        <v>13284</v>
      </c>
      <c r="H1634" s="9" t="s">
        <v>13284</v>
      </c>
      <c r="I1634" s="9" t="s">
        <v>13284</v>
      </c>
      <c r="J1634" s="9" t="s">
        <v>13284</v>
      </c>
      <c r="K1634" s="9" t="s">
        <v>13284</v>
      </c>
      <c r="L1634" s="9" t="s">
        <v>13284</v>
      </c>
      <c r="M1634" s="9" t="s">
        <v>13284</v>
      </c>
      <c r="N1634" s="9" t="s">
        <v>13284</v>
      </c>
      <c r="O1634" s="9" t="s">
        <v>13284</v>
      </c>
      <c r="P1634" s="9" t="s">
        <v>13284</v>
      </c>
      <c r="Q1634" s="9" t="s">
        <v>13284</v>
      </c>
      <c r="R1634" s="9" t="s">
        <v>13284</v>
      </c>
      <c r="S1634" s="9" t="s">
        <v>13284</v>
      </c>
      <c r="T1634" s="9" t="str">
        <f ca="1">IFERROR(IF(AND(VLOOKUP(A1634, 'Актуальное состояние (из общего'!A:C,3,0) = "", A1634 &lt;&gt; ""), "ПРОВЕРИТЬ", VLOOKUP(A1634, 'Актуальное состояние (из общего'!A:C,3,0)), "")</f>
        <v>Студент</v>
      </c>
      <c r="U1634" s="9" t="s">
        <v>13284</v>
      </c>
      <c r="V1634" s="9" t="s">
        <v>13284</v>
      </c>
      <c r="W1634" s="12"/>
      <c r="X1634" s="9" t="str">
        <f t="array" ref="X1634">IFERROR(INDEX('Адреса общежитий (скрытый)'!$B$2:$B$9, MATCH(W1634, 'Адреса общежитий (скрытый)'!$A$2:$A$9, 0)), "")</f>
        <v/>
      </c>
      <c r="Y1634" s="18"/>
      <c r="Z1634" s="18"/>
      <c r="AA1634" s="18"/>
      <c r="AB1634" s="18"/>
      <c r="AC1634" s="18"/>
    </row>
    <row r="1635" spans="1:29" ht="32.25" hidden="1" customHeight="1">
      <c r="A1635" s="8">
        <v>2302351</v>
      </c>
      <c r="B1635" s="9" t="s">
        <v>13284</v>
      </c>
      <c r="C1635" s="9" t="s">
        <v>13284</v>
      </c>
      <c r="D1635" s="9" t="s">
        <v>13284</v>
      </c>
      <c r="E1635" s="9" t="s">
        <v>13284</v>
      </c>
      <c r="F1635" s="9" t="s">
        <v>13284</v>
      </c>
      <c r="G1635" s="9" t="s">
        <v>13284</v>
      </c>
      <c r="H1635" s="9" t="s">
        <v>13284</v>
      </c>
      <c r="I1635" s="9" t="s">
        <v>13284</v>
      </c>
      <c r="J1635" s="9" t="s">
        <v>13284</v>
      </c>
      <c r="K1635" s="9" t="s">
        <v>13284</v>
      </c>
      <c r="L1635" s="9" t="s">
        <v>13284</v>
      </c>
      <c r="M1635" s="9" t="s">
        <v>13284</v>
      </c>
      <c r="N1635" s="9" t="s">
        <v>13284</v>
      </c>
      <c r="O1635" s="9" t="s">
        <v>13284</v>
      </c>
      <c r="P1635" s="9" t="s">
        <v>13284</v>
      </c>
      <c r="Q1635" s="9" t="s">
        <v>13284</v>
      </c>
      <c r="R1635" s="9" t="s">
        <v>13284</v>
      </c>
      <c r="S1635" s="9" t="s">
        <v>13284</v>
      </c>
      <c r="T1635" s="9" t="str">
        <f ca="1">IFERROR(IF(AND(VLOOKUP(A1635, 'Актуальное состояние (из общего'!A:C,3,0) = "", A1635 &lt;&gt; ""), "ПРОВЕРИТЬ", VLOOKUP(A1635, 'Актуальное состояние (из общего'!A:C,3,0)), "")</f>
        <v>Студент</v>
      </c>
      <c r="U1635" s="9" t="s">
        <v>13284</v>
      </c>
      <c r="V1635" s="9" t="s">
        <v>13284</v>
      </c>
      <c r="W1635" s="12"/>
      <c r="X1635" s="9" t="str">
        <f t="array" ref="X1635">IFERROR(INDEX('Адреса общежитий (скрытый)'!$B$2:$B$9, MATCH(W1635, 'Адреса общежитий (скрытый)'!$A$2:$A$9, 0)), "")</f>
        <v/>
      </c>
      <c r="Y1635" s="18"/>
      <c r="Z1635" s="18"/>
      <c r="AA1635" s="18"/>
      <c r="AB1635" s="18"/>
      <c r="AC1635" s="18"/>
    </row>
    <row r="1636" spans="1:29" ht="32.25" hidden="1" customHeight="1">
      <c r="A1636" s="8">
        <v>2304358</v>
      </c>
      <c r="B1636" s="9" t="s">
        <v>13284</v>
      </c>
      <c r="C1636" s="9" t="s">
        <v>13284</v>
      </c>
      <c r="D1636" s="9" t="s">
        <v>13284</v>
      </c>
      <c r="E1636" s="9" t="s">
        <v>13284</v>
      </c>
      <c r="F1636" s="9" t="s">
        <v>13284</v>
      </c>
      <c r="G1636" s="9" t="s">
        <v>13284</v>
      </c>
      <c r="H1636" s="9" t="s">
        <v>13284</v>
      </c>
      <c r="I1636" s="9" t="s">
        <v>13284</v>
      </c>
      <c r="J1636" s="9" t="s">
        <v>13284</v>
      </c>
      <c r="K1636" s="9" t="s">
        <v>13284</v>
      </c>
      <c r="L1636" s="9" t="s">
        <v>13284</v>
      </c>
      <c r="M1636" s="9" t="s">
        <v>13284</v>
      </c>
      <c r="N1636" s="9" t="s">
        <v>13284</v>
      </c>
      <c r="O1636" s="9" t="s">
        <v>13284</v>
      </c>
      <c r="P1636" s="9" t="s">
        <v>13284</v>
      </c>
      <c r="Q1636" s="9" t="s">
        <v>13284</v>
      </c>
      <c r="R1636" s="9" t="s">
        <v>13284</v>
      </c>
      <c r="S1636" s="9" t="s">
        <v>13284</v>
      </c>
      <c r="T1636" s="9" t="str">
        <f ca="1">IFERROR(IF(AND(VLOOKUP(A1636, 'Актуальное состояние (из общего'!A:C,3,0) = "", A1636 &lt;&gt; ""), "ПРОВЕРИТЬ", VLOOKUP(A1636, 'Актуальное состояние (из общего'!A:C,3,0)), "")</f>
        <v>Студент</v>
      </c>
      <c r="U1636" s="9" t="s">
        <v>13284</v>
      </c>
      <c r="V1636" s="9" t="s">
        <v>13284</v>
      </c>
      <c r="W1636" s="12"/>
      <c r="X1636" s="9" t="str">
        <f t="array" ref="X1636">IFERROR(INDEX('Адреса общежитий (скрытый)'!$B$2:$B$9, MATCH(W1636, 'Адреса общежитий (скрытый)'!$A$2:$A$9, 0)), "")</f>
        <v/>
      </c>
      <c r="Y1636" s="18"/>
      <c r="Z1636" s="18"/>
      <c r="AA1636" s="18"/>
      <c r="AB1636" s="18"/>
      <c r="AC1636" s="18"/>
    </row>
    <row r="1637" spans="1:29" ht="32.25" customHeight="1">
      <c r="A1637" s="8">
        <v>2313571</v>
      </c>
      <c r="B1637" s="9" t="s">
        <v>13284</v>
      </c>
      <c r="C1637" s="9" t="s">
        <v>13284</v>
      </c>
      <c r="D1637" s="9" t="s">
        <v>13284</v>
      </c>
      <c r="E1637" s="9" t="s">
        <v>13284</v>
      </c>
      <c r="F1637" s="9" t="s">
        <v>13284</v>
      </c>
      <c r="G1637" s="9" t="s">
        <v>13284</v>
      </c>
      <c r="H1637" s="9" t="s">
        <v>13284</v>
      </c>
      <c r="I1637" s="9" t="s">
        <v>13284</v>
      </c>
      <c r="J1637" s="9" t="s">
        <v>13284</v>
      </c>
      <c r="K1637" s="9" t="s">
        <v>13284</v>
      </c>
      <c r="L1637" s="9" t="s">
        <v>13284</v>
      </c>
      <c r="M1637" s="9" t="s">
        <v>13284</v>
      </c>
      <c r="N1637" s="9" t="s">
        <v>13284</v>
      </c>
      <c r="O1637" s="9" t="s">
        <v>13284</v>
      </c>
      <c r="P1637" s="9" t="s">
        <v>13284</v>
      </c>
      <c r="Q1637" s="9" t="s">
        <v>13284</v>
      </c>
      <c r="R1637" s="9" t="s">
        <v>13284</v>
      </c>
      <c r="S1637" s="9" t="s">
        <v>13284</v>
      </c>
      <c r="T1637" s="9" t="str">
        <f ca="1">IFERROR(IF(AND(VLOOKUP(A1637, 'Актуальное состояние (из общего'!A:C,3,0) = "", A1637 &lt;&gt; ""), "ПРОВЕРИТЬ", VLOOKUP(A1637, 'Актуальное состояние (из общего'!A:C,3,0)), "")</f>
        <v>Студент</v>
      </c>
      <c r="U1637" s="9" t="s">
        <v>13284</v>
      </c>
      <c r="V1637" s="9" t="s">
        <v>13284</v>
      </c>
      <c r="W1637" s="9" t="s">
        <v>319</v>
      </c>
      <c r="X1637" s="9" t="str">
        <f t="array" ref="X1637">IFERROR(INDEX('Адреса общежитий (скрытый)'!$B$2:$B$9, MATCH(W1637, 'Адреса общежитий (скрытый)'!$A$2:$A$9, 0)), "")</f>
        <v>ул. Профсоюзная, д.83, корп. 2</v>
      </c>
      <c r="Y1637" s="18"/>
      <c r="Z1637" s="18"/>
      <c r="AA1637" s="18"/>
      <c r="AB1637" s="18"/>
      <c r="AC1637" s="18"/>
    </row>
    <row r="1638" spans="1:29" ht="32.25" hidden="1" customHeight="1">
      <c r="A1638" s="8">
        <v>2315262</v>
      </c>
      <c r="B1638" s="9" t="s">
        <v>13284</v>
      </c>
      <c r="C1638" s="9" t="s">
        <v>13284</v>
      </c>
      <c r="D1638" s="9" t="s">
        <v>13284</v>
      </c>
      <c r="E1638" s="9" t="s">
        <v>13284</v>
      </c>
      <c r="F1638" s="9" t="s">
        <v>13284</v>
      </c>
      <c r="G1638" s="9" t="s">
        <v>13284</v>
      </c>
      <c r="H1638" s="9" t="s">
        <v>13284</v>
      </c>
      <c r="I1638" s="9" t="s">
        <v>13284</v>
      </c>
      <c r="J1638" s="9" t="s">
        <v>13284</v>
      </c>
      <c r="K1638" s="9" t="s">
        <v>13284</v>
      </c>
      <c r="L1638" s="9" t="s">
        <v>13284</v>
      </c>
      <c r="M1638" s="9" t="s">
        <v>13284</v>
      </c>
      <c r="N1638" s="9" t="s">
        <v>13284</v>
      </c>
      <c r="O1638" s="9" t="s">
        <v>13284</v>
      </c>
      <c r="P1638" s="9" t="s">
        <v>13284</v>
      </c>
      <c r="Q1638" s="9" t="s">
        <v>13284</v>
      </c>
      <c r="R1638" s="9" t="s">
        <v>13284</v>
      </c>
      <c r="S1638" s="9" t="s">
        <v>13284</v>
      </c>
      <c r="T1638" s="9" t="str">
        <f ca="1">IFERROR(IF(AND(VLOOKUP(A1638, 'Актуальное состояние (из общего'!A:C,3,0) = "", A1638 &lt;&gt; ""), "ПРОВЕРИТЬ", VLOOKUP(A1638, 'Актуальное состояние (из общего'!A:C,3,0)), "")</f>
        <v>Студент</v>
      </c>
      <c r="U1638" s="9" t="s">
        <v>13284</v>
      </c>
      <c r="V1638" s="9" t="s">
        <v>13284</v>
      </c>
      <c r="W1638" s="12"/>
      <c r="X1638" s="9" t="str">
        <f t="array" ref="X1638">IFERROR(INDEX('Адреса общежитий (скрытый)'!$B$2:$B$9, MATCH(W1638, 'Адреса общежитий (скрытый)'!$A$2:$A$9, 0)), "")</f>
        <v/>
      </c>
      <c r="Y1638" s="18"/>
      <c r="Z1638" s="18"/>
      <c r="AA1638" s="18"/>
      <c r="AB1638" s="18"/>
      <c r="AC1638" s="18"/>
    </row>
    <row r="1639" spans="1:29" ht="32.25" hidden="1" customHeight="1">
      <c r="A1639" s="8">
        <v>2308473</v>
      </c>
      <c r="B1639" s="9" t="s">
        <v>13284</v>
      </c>
      <c r="C1639" s="9" t="s">
        <v>13284</v>
      </c>
      <c r="D1639" s="9" t="s">
        <v>13284</v>
      </c>
      <c r="E1639" s="9" t="s">
        <v>13284</v>
      </c>
      <c r="F1639" s="9" t="s">
        <v>13284</v>
      </c>
      <c r="G1639" s="9" t="s">
        <v>13284</v>
      </c>
      <c r="H1639" s="9" t="s">
        <v>13284</v>
      </c>
      <c r="I1639" s="9" t="s">
        <v>13284</v>
      </c>
      <c r="J1639" s="9" t="s">
        <v>13284</v>
      </c>
      <c r="K1639" s="9" t="s">
        <v>13284</v>
      </c>
      <c r="L1639" s="9" t="s">
        <v>13284</v>
      </c>
      <c r="M1639" s="9" t="s">
        <v>13284</v>
      </c>
      <c r="N1639" s="9" t="s">
        <v>13284</v>
      </c>
      <c r="O1639" s="9" t="s">
        <v>13284</v>
      </c>
      <c r="P1639" s="9" t="s">
        <v>13284</v>
      </c>
      <c r="Q1639" s="9" t="s">
        <v>13284</v>
      </c>
      <c r="R1639" s="9" t="s">
        <v>13284</v>
      </c>
      <c r="S1639" s="9" t="s">
        <v>13284</v>
      </c>
      <c r="T1639" s="9" t="str">
        <f ca="1">IFERROR(IF(AND(VLOOKUP(A1639, 'Актуальное состояние (из общего'!A:C,3,0) = "", A1639 &lt;&gt; ""), "ПРОВЕРИТЬ", VLOOKUP(A1639, 'Актуальное состояние (из общего'!A:C,3,0)), "")</f>
        <v>Студент</v>
      </c>
      <c r="U1639" s="9" t="s">
        <v>13284</v>
      </c>
      <c r="V1639" s="9" t="s">
        <v>13284</v>
      </c>
      <c r="W1639" s="12"/>
      <c r="X1639" s="9" t="str">
        <f t="array" ref="X1639">IFERROR(INDEX('Адреса общежитий (скрытый)'!$B$2:$B$9, MATCH(W1639, 'Адреса общежитий (скрытый)'!$A$2:$A$9, 0)), "")</f>
        <v/>
      </c>
      <c r="Y1639" s="18"/>
      <c r="Z1639" s="18"/>
      <c r="AA1639" s="18"/>
      <c r="AB1639" s="18"/>
      <c r="AC1639" s="18"/>
    </row>
    <row r="1640" spans="1:29" ht="32.25" customHeight="1">
      <c r="A1640" s="8">
        <v>2308946</v>
      </c>
      <c r="B1640" s="9" t="s">
        <v>13284</v>
      </c>
      <c r="C1640" s="9" t="s">
        <v>13284</v>
      </c>
      <c r="D1640" s="9" t="s">
        <v>13284</v>
      </c>
      <c r="E1640" s="9" t="s">
        <v>13284</v>
      </c>
      <c r="F1640" s="9" t="s">
        <v>13284</v>
      </c>
      <c r="G1640" s="9" t="s">
        <v>13284</v>
      </c>
      <c r="H1640" s="9" t="s">
        <v>13284</v>
      </c>
      <c r="I1640" s="9" t="s">
        <v>13284</v>
      </c>
      <c r="J1640" s="9" t="s">
        <v>13284</v>
      </c>
      <c r="K1640" s="9" t="s">
        <v>13284</v>
      </c>
      <c r="L1640" s="9" t="s">
        <v>13284</v>
      </c>
      <c r="M1640" s="9" t="s">
        <v>13284</v>
      </c>
      <c r="N1640" s="9" t="s">
        <v>13284</v>
      </c>
      <c r="O1640" s="9" t="s">
        <v>13284</v>
      </c>
      <c r="P1640" s="9" t="s">
        <v>13284</v>
      </c>
      <c r="Q1640" s="9" t="s">
        <v>13284</v>
      </c>
      <c r="R1640" s="9" t="s">
        <v>13284</v>
      </c>
      <c r="S1640" s="9" t="s">
        <v>13284</v>
      </c>
      <c r="T1640" s="9" t="str">
        <f ca="1">IFERROR(IF(AND(VLOOKUP(A1640, 'Актуальное состояние (из общего'!A:C,3,0) = "", A1640 &lt;&gt; ""), "ПРОВЕРИТЬ", VLOOKUP(A1640, 'Актуальное состояние (из общего'!A:C,3,0)), "")</f>
        <v>Студент</v>
      </c>
      <c r="U1640" s="9" t="s">
        <v>13284</v>
      </c>
      <c r="V1640" s="9" t="s">
        <v>13284</v>
      </c>
      <c r="W1640" s="12"/>
      <c r="X1640" s="9" t="str">
        <f t="array" ref="X1640">IFERROR(INDEX('Адреса общежитий (скрытый)'!$B$2:$B$9, MATCH(W1640, 'Адреса общежитий (скрытый)'!$A$2:$A$9, 0)), "")</f>
        <v/>
      </c>
      <c r="Y1640" s="18"/>
      <c r="Z1640" s="18"/>
      <c r="AA1640" s="18"/>
      <c r="AB1640" s="18"/>
      <c r="AC1640" s="18"/>
    </row>
    <row r="1641" spans="1:29" ht="32.25" hidden="1" customHeight="1">
      <c r="A1641" s="8">
        <v>2304694</v>
      </c>
      <c r="B1641" s="9" t="s">
        <v>13284</v>
      </c>
      <c r="C1641" s="9" t="s">
        <v>13284</v>
      </c>
      <c r="D1641" s="9" t="s">
        <v>13284</v>
      </c>
      <c r="E1641" s="9" t="s">
        <v>13284</v>
      </c>
      <c r="F1641" s="9" t="s">
        <v>13284</v>
      </c>
      <c r="G1641" s="9" t="s">
        <v>13284</v>
      </c>
      <c r="H1641" s="9" t="s">
        <v>13284</v>
      </c>
      <c r="I1641" s="9" t="s">
        <v>13284</v>
      </c>
      <c r="J1641" s="9" t="s">
        <v>13284</v>
      </c>
      <c r="K1641" s="9" t="s">
        <v>13284</v>
      </c>
      <c r="L1641" s="9" t="s">
        <v>13284</v>
      </c>
      <c r="M1641" s="9" t="s">
        <v>13284</v>
      </c>
      <c r="N1641" s="9" t="s">
        <v>13284</v>
      </c>
      <c r="O1641" s="9" t="s">
        <v>13284</v>
      </c>
      <c r="P1641" s="9" t="s">
        <v>13284</v>
      </c>
      <c r="Q1641" s="9" t="s">
        <v>13284</v>
      </c>
      <c r="R1641" s="9" t="s">
        <v>13284</v>
      </c>
      <c r="S1641" s="9" t="s">
        <v>13284</v>
      </c>
      <c r="T1641" s="9" t="str">
        <f ca="1">IFERROR(IF(AND(VLOOKUP(A1641, 'Актуальное состояние (из общего'!A:C,3,0) = "", A1641 &lt;&gt; ""), "ПРОВЕРИТЬ", VLOOKUP(A1641, 'Актуальное состояние (из общего'!A:C,3,0)), "")</f>
        <v>Студент</v>
      </c>
      <c r="U1641" s="9" t="s">
        <v>13284</v>
      </c>
      <c r="V1641" s="9" t="s">
        <v>13284</v>
      </c>
      <c r="W1641" s="12"/>
      <c r="X1641" s="9" t="str">
        <f t="array" ref="X1641">IFERROR(INDEX('Адреса общежитий (скрытый)'!$B$2:$B$9, MATCH(W1641, 'Адреса общежитий (скрытый)'!$A$2:$A$9, 0)), "")</f>
        <v/>
      </c>
      <c r="Y1641" s="18"/>
      <c r="Z1641" s="18"/>
      <c r="AA1641" s="18"/>
      <c r="AB1641" s="18"/>
      <c r="AC1641" s="18"/>
    </row>
    <row r="1642" spans="1:29" ht="32.25" hidden="1" customHeight="1">
      <c r="A1642" s="8">
        <v>2306631</v>
      </c>
      <c r="B1642" s="9" t="s">
        <v>13284</v>
      </c>
      <c r="C1642" s="9" t="s">
        <v>13284</v>
      </c>
      <c r="D1642" s="9" t="s">
        <v>13284</v>
      </c>
      <c r="E1642" s="9" t="s">
        <v>13284</v>
      </c>
      <c r="F1642" s="9" t="s">
        <v>13284</v>
      </c>
      <c r="G1642" s="9" t="s">
        <v>13284</v>
      </c>
      <c r="H1642" s="9" t="s">
        <v>13284</v>
      </c>
      <c r="I1642" s="9" t="s">
        <v>13284</v>
      </c>
      <c r="J1642" s="9" t="s">
        <v>13284</v>
      </c>
      <c r="K1642" s="9" t="s">
        <v>13284</v>
      </c>
      <c r="L1642" s="9" t="s">
        <v>13284</v>
      </c>
      <c r="M1642" s="9" t="s">
        <v>13284</v>
      </c>
      <c r="N1642" s="9" t="s">
        <v>13284</v>
      </c>
      <c r="O1642" s="9" t="s">
        <v>13284</v>
      </c>
      <c r="P1642" s="9" t="s">
        <v>13284</v>
      </c>
      <c r="Q1642" s="9" t="s">
        <v>13284</v>
      </c>
      <c r="R1642" s="9" t="s">
        <v>13284</v>
      </c>
      <c r="S1642" s="9" t="s">
        <v>13284</v>
      </c>
      <c r="T1642" s="9" t="str">
        <f ca="1">IFERROR(IF(AND(VLOOKUP(A1642, 'Актуальное состояние (из общего'!A:C,3,0) = "", A1642 &lt;&gt; ""), "ПРОВЕРИТЬ", VLOOKUP(A1642, 'Актуальное состояние (из общего'!A:C,3,0)), "")</f>
        <v>Студент</v>
      </c>
      <c r="U1642" s="9" t="s">
        <v>13284</v>
      </c>
      <c r="V1642" s="9" t="s">
        <v>13284</v>
      </c>
      <c r="W1642" s="12"/>
      <c r="X1642" s="9" t="str">
        <f t="array" ref="X1642">IFERROR(INDEX('Адреса общежитий (скрытый)'!$B$2:$B$9, MATCH(W1642, 'Адреса общежитий (скрытый)'!$A$2:$A$9, 0)), "")</f>
        <v/>
      </c>
      <c r="Y1642" s="18"/>
      <c r="Z1642" s="18"/>
      <c r="AA1642" s="18"/>
      <c r="AB1642" s="18"/>
      <c r="AC1642" s="18"/>
    </row>
    <row r="1643" spans="1:29" ht="32.25" hidden="1" customHeight="1">
      <c r="A1643" s="8">
        <v>2303387</v>
      </c>
      <c r="B1643" s="9" t="s">
        <v>13284</v>
      </c>
      <c r="C1643" s="9" t="s">
        <v>13284</v>
      </c>
      <c r="D1643" s="9" t="s">
        <v>13284</v>
      </c>
      <c r="E1643" s="9" t="s">
        <v>13284</v>
      </c>
      <c r="F1643" s="9" t="s">
        <v>13284</v>
      </c>
      <c r="G1643" s="9" t="s">
        <v>13284</v>
      </c>
      <c r="H1643" s="9" t="s">
        <v>13284</v>
      </c>
      <c r="I1643" s="9" t="s">
        <v>13284</v>
      </c>
      <c r="J1643" s="9" t="s">
        <v>13284</v>
      </c>
      <c r="K1643" s="9" t="s">
        <v>13284</v>
      </c>
      <c r="L1643" s="9" t="s">
        <v>13284</v>
      </c>
      <c r="M1643" s="9" t="s">
        <v>13284</v>
      </c>
      <c r="N1643" s="9" t="s">
        <v>13284</v>
      </c>
      <c r="O1643" s="9" t="s">
        <v>13284</v>
      </c>
      <c r="P1643" s="9" t="s">
        <v>13284</v>
      </c>
      <c r="Q1643" s="9" t="s">
        <v>13284</v>
      </c>
      <c r="R1643" s="9" t="s">
        <v>13284</v>
      </c>
      <c r="S1643" s="9" t="s">
        <v>13284</v>
      </c>
      <c r="T1643" s="9" t="str">
        <f ca="1">IFERROR(IF(AND(VLOOKUP(A1643, 'Актуальное состояние (из общего'!A:C,3,0) = "", A1643 &lt;&gt; ""), "ПРОВЕРИТЬ", VLOOKUP(A1643, 'Актуальное состояние (из общего'!A:C,3,0)), "")</f>
        <v>Студент</v>
      </c>
      <c r="U1643" s="9" t="s">
        <v>13284</v>
      </c>
      <c r="V1643" s="9" t="s">
        <v>13284</v>
      </c>
      <c r="W1643" s="12"/>
      <c r="X1643" s="9" t="str">
        <f t="array" ref="X1643">IFERROR(INDEX('Адреса общежитий (скрытый)'!$B$2:$B$9, MATCH(W1643, 'Адреса общежитий (скрытый)'!$A$2:$A$9, 0)), "")</f>
        <v/>
      </c>
      <c r="Y1643" s="18"/>
      <c r="Z1643" s="18"/>
      <c r="AA1643" s="18"/>
      <c r="AB1643" s="18"/>
      <c r="AC1643" s="18"/>
    </row>
    <row r="1644" spans="1:29" ht="32.25" hidden="1" customHeight="1">
      <c r="A1644" s="8">
        <v>2308914</v>
      </c>
      <c r="B1644" s="9" t="s">
        <v>13284</v>
      </c>
      <c r="C1644" s="9" t="s">
        <v>13284</v>
      </c>
      <c r="D1644" s="9" t="s">
        <v>13284</v>
      </c>
      <c r="E1644" s="9" t="s">
        <v>13284</v>
      </c>
      <c r="F1644" s="9" t="s">
        <v>13284</v>
      </c>
      <c r="G1644" s="9" t="s">
        <v>13284</v>
      </c>
      <c r="H1644" s="9" t="s">
        <v>13284</v>
      </c>
      <c r="I1644" s="9" t="s">
        <v>13284</v>
      </c>
      <c r="J1644" s="9" t="s">
        <v>13284</v>
      </c>
      <c r="K1644" s="9" t="s">
        <v>13284</v>
      </c>
      <c r="L1644" s="9" t="s">
        <v>13284</v>
      </c>
      <c r="M1644" s="9" t="s">
        <v>13284</v>
      </c>
      <c r="N1644" s="9" t="s">
        <v>13284</v>
      </c>
      <c r="O1644" s="9" t="s">
        <v>13284</v>
      </c>
      <c r="P1644" s="9" t="s">
        <v>13284</v>
      </c>
      <c r="Q1644" s="9" t="s">
        <v>13284</v>
      </c>
      <c r="R1644" s="9" t="s">
        <v>13284</v>
      </c>
      <c r="S1644" s="9" t="s">
        <v>13284</v>
      </c>
      <c r="T1644" s="9" t="str">
        <f ca="1">IFERROR(IF(AND(VLOOKUP(A1644, 'Актуальное состояние (из общего'!A:C,3,0) = "", A1644 &lt;&gt; ""), "ПРОВЕРИТЬ", VLOOKUP(A1644, 'Актуальное состояние (из общего'!A:C,3,0)), "")</f>
        <v>Студент</v>
      </c>
      <c r="U1644" s="9" t="s">
        <v>13284</v>
      </c>
      <c r="V1644" s="9" t="s">
        <v>13284</v>
      </c>
      <c r="W1644" s="12"/>
      <c r="X1644" s="9" t="str">
        <f t="array" ref="X1644">IFERROR(INDEX('Адреса общежитий (скрытый)'!$B$2:$B$9, MATCH(W1644, 'Адреса общежитий (скрытый)'!$A$2:$A$9, 0)), "")</f>
        <v/>
      </c>
      <c r="Y1644" s="18"/>
      <c r="Z1644" s="18"/>
      <c r="AA1644" s="18"/>
      <c r="AB1644" s="18"/>
      <c r="AC1644" s="18"/>
    </row>
    <row r="1645" spans="1:29" ht="32.25" customHeight="1">
      <c r="A1645" s="8">
        <v>2304781</v>
      </c>
      <c r="B1645" s="9" t="s">
        <v>13284</v>
      </c>
      <c r="C1645" s="9" t="s">
        <v>13284</v>
      </c>
      <c r="D1645" s="9" t="s">
        <v>13284</v>
      </c>
      <c r="E1645" s="9" t="s">
        <v>13284</v>
      </c>
      <c r="F1645" s="9" t="s">
        <v>13284</v>
      </c>
      <c r="G1645" s="9" t="s">
        <v>13284</v>
      </c>
      <c r="H1645" s="9" t="s">
        <v>13284</v>
      </c>
      <c r="I1645" s="9" t="s">
        <v>13284</v>
      </c>
      <c r="J1645" s="9" t="s">
        <v>13284</v>
      </c>
      <c r="K1645" s="9" t="s">
        <v>13284</v>
      </c>
      <c r="L1645" s="9" t="s">
        <v>13284</v>
      </c>
      <c r="M1645" s="9" t="s">
        <v>13284</v>
      </c>
      <c r="N1645" s="9" t="s">
        <v>13284</v>
      </c>
      <c r="O1645" s="9" t="s">
        <v>13284</v>
      </c>
      <c r="P1645" s="9" t="s">
        <v>13284</v>
      </c>
      <c r="Q1645" s="9" t="s">
        <v>13284</v>
      </c>
      <c r="R1645" s="9" t="s">
        <v>13284</v>
      </c>
      <c r="S1645" s="9" t="s">
        <v>13284</v>
      </c>
      <c r="T1645" s="9" t="str">
        <f ca="1">IFERROR(IF(AND(VLOOKUP(A1645, 'Актуальное состояние (из общего'!A:C,3,0) = "", A1645 &lt;&gt; ""), "ПРОВЕРИТЬ", VLOOKUP(A1645, 'Актуальное состояние (из общего'!A:C,3,0)), "")</f>
        <v>Студент</v>
      </c>
      <c r="U1645" s="9" t="s">
        <v>13284</v>
      </c>
      <c r="V1645" s="9" t="s">
        <v>13284</v>
      </c>
      <c r="W1645" s="12"/>
      <c r="X1645" s="9" t="str">
        <f t="array" ref="X1645">IFERROR(INDEX('Адреса общежитий (скрытый)'!$B$2:$B$9, MATCH(W1645, 'Адреса общежитий (скрытый)'!$A$2:$A$9, 0)), "")</f>
        <v/>
      </c>
      <c r="Y1645" s="18"/>
      <c r="Z1645" s="18"/>
      <c r="AA1645" s="18"/>
      <c r="AB1645" s="18"/>
      <c r="AC1645" s="18"/>
    </row>
    <row r="1646" spans="1:29" ht="32.25" hidden="1" customHeight="1">
      <c r="A1646" s="8">
        <v>2303876</v>
      </c>
      <c r="B1646" s="9" t="s">
        <v>13284</v>
      </c>
      <c r="C1646" s="9" t="s">
        <v>13284</v>
      </c>
      <c r="D1646" s="9" t="s">
        <v>13284</v>
      </c>
      <c r="E1646" s="9" t="s">
        <v>13284</v>
      </c>
      <c r="F1646" s="9" t="s">
        <v>13284</v>
      </c>
      <c r="G1646" s="9" t="s">
        <v>13284</v>
      </c>
      <c r="H1646" s="9" t="s">
        <v>13284</v>
      </c>
      <c r="I1646" s="9" t="s">
        <v>13284</v>
      </c>
      <c r="J1646" s="9" t="s">
        <v>13284</v>
      </c>
      <c r="K1646" s="9" t="s">
        <v>13284</v>
      </c>
      <c r="L1646" s="9" t="s">
        <v>13284</v>
      </c>
      <c r="M1646" s="9" t="s">
        <v>13284</v>
      </c>
      <c r="N1646" s="9" t="s">
        <v>13284</v>
      </c>
      <c r="O1646" s="9" t="s">
        <v>13284</v>
      </c>
      <c r="P1646" s="9" t="s">
        <v>13284</v>
      </c>
      <c r="Q1646" s="9" t="s">
        <v>13284</v>
      </c>
      <c r="R1646" s="9" t="s">
        <v>13284</v>
      </c>
      <c r="S1646" s="9" t="s">
        <v>13284</v>
      </c>
      <c r="T1646" s="9" t="str">
        <f ca="1">IFERROR(IF(AND(VLOOKUP(A1646, 'Актуальное состояние (из общего'!A:C,3,0) = "", A1646 &lt;&gt; ""), "ПРОВЕРИТЬ", VLOOKUP(A1646, 'Актуальное состояние (из общего'!A:C,3,0)), "")</f>
        <v>Студент</v>
      </c>
      <c r="U1646" s="9" t="s">
        <v>13284</v>
      </c>
      <c r="V1646" s="9" t="s">
        <v>13284</v>
      </c>
      <c r="W1646" s="12"/>
      <c r="X1646" s="9" t="str">
        <f t="array" ref="X1646">IFERROR(INDEX('Адреса общежитий (скрытый)'!$B$2:$B$9, MATCH(W1646, 'Адреса общежитий (скрытый)'!$A$2:$A$9, 0)), "")</f>
        <v/>
      </c>
      <c r="Y1646" s="18"/>
      <c r="Z1646" s="18"/>
      <c r="AA1646" s="18"/>
      <c r="AB1646" s="18"/>
      <c r="AC1646" s="18"/>
    </row>
    <row r="1647" spans="1:29" ht="32.25" hidden="1" customHeight="1">
      <c r="A1647" s="8">
        <v>2303361</v>
      </c>
      <c r="B1647" s="9" t="s">
        <v>13284</v>
      </c>
      <c r="C1647" s="9" t="s">
        <v>13284</v>
      </c>
      <c r="D1647" s="9" t="s">
        <v>13284</v>
      </c>
      <c r="E1647" s="9" t="s">
        <v>13284</v>
      </c>
      <c r="F1647" s="9" t="s">
        <v>13284</v>
      </c>
      <c r="G1647" s="9" t="s">
        <v>13284</v>
      </c>
      <c r="H1647" s="9" t="s">
        <v>13284</v>
      </c>
      <c r="I1647" s="9" t="s">
        <v>13284</v>
      </c>
      <c r="J1647" s="9" t="s">
        <v>13284</v>
      </c>
      <c r="K1647" s="9" t="s">
        <v>13284</v>
      </c>
      <c r="L1647" s="9" t="s">
        <v>13284</v>
      </c>
      <c r="M1647" s="9" t="s">
        <v>13284</v>
      </c>
      <c r="N1647" s="9" t="s">
        <v>13284</v>
      </c>
      <c r="O1647" s="9" t="s">
        <v>13284</v>
      </c>
      <c r="P1647" s="9" t="s">
        <v>13284</v>
      </c>
      <c r="Q1647" s="9" t="s">
        <v>13284</v>
      </c>
      <c r="R1647" s="9" t="s">
        <v>13284</v>
      </c>
      <c r="S1647" s="9" t="s">
        <v>13284</v>
      </c>
      <c r="T1647" s="9" t="str">
        <f ca="1">IFERROR(IF(AND(VLOOKUP(A1647, 'Актуальное состояние (из общего'!A:C,3,0) = "", A1647 &lt;&gt; ""), "ПРОВЕРИТЬ", VLOOKUP(A1647, 'Актуальное состояние (из общего'!A:C,3,0)), "")</f>
        <v>Студент</v>
      </c>
      <c r="U1647" s="9" t="s">
        <v>13284</v>
      </c>
      <c r="V1647" s="9" t="s">
        <v>13284</v>
      </c>
      <c r="W1647" s="12"/>
      <c r="X1647" s="9" t="str">
        <f t="array" ref="X1647">IFERROR(INDEX('Адреса общежитий (скрытый)'!$B$2:$B$9, MATCH(W1647, 'Адреса общежитий (скрытый)'!$A$2:$A$9, 0)), "")</f>
        <v/>
      </c>
      <c r="Y1647" s="18"/>
      <c r="Z1647" s="18"/>
      <c r="AA1647" s="18"/>
      <c r="AB1647" s="18"/>
      <c r="AC1647" s="18"/>
    </row>
    <row r="1648" spans="1:29" ht="32.25" customHeight="1">
      <c r="A1648" s="8">
        <v>2306196</v>
      </c>
      <c r="B1648" s="9" t="s">
        <v>13284</v>
      </c>
      <c r="C1648" s="9" t="s">
        <v>13284</v>
      </c>
      <c r="D1648" s="9" t="s">
        <v>13284</v>
      </c>
      <c r="E1648" s="9" t="s">
        <v>13284</v>
      </c>
      <c r="F1648" s="9" t="s">
        <v>13284</v>
      </c>
      <c r="G1648" s="9" t="s">
        <v>13284</v>
      </c>
      <c r="H1648" s="9" t="s">
        <v>13284</v>
      </c>
      <c r="I1648" s="9" t="s">
        <v>13284</v>
      </c>
      <c r="J1648" s="9" t="s">
        <v>13284</v>
      </c>
      <c r="K1648" s="9" t="s">
        <v>13284</v>
      </c>
      <c r="L1648" s="9" t="s">
        <v>13284</v>
      </c>
      <c r="M1648" s="9" t="s">
        <v>13284</v>
      </c>
      <c r="N1648" s="9" t="s">
        <v>13284</v>
      </c>
      <c r="O1648" s="9" t="s">
        <v>13284</v>
      </c>
      <c r="P1648" s="9" t="s">
        <v>13284</v>
      </c>
      <c r="Q1648" s="9" t="s">
        <v>13284</v>
      </c>
      <c r="R1648" s="9" t="s">
        <v>13284</v>
      </c>
      <c r="S1648" s="9" t="s">
        <v>13284</v>
      </c>
      <c r="T1648" s="9" t="str">
        <f ca="1">IFERROR(IF(AND(VLOOKUP(A1648, 'Актуальное состояние (из общего'!A:C,3,0) = "", A1648 &lt;&gt; ""), "ПРОВЕРИТЬ", VLOOKUP(A1648, 'Актуальное состояние (из общего'!A:C,3,0)), "")</f>
        <v>Студент</v>
      </c>
      <c r="U1648" s="9" t="s">
        <v>13284</v>
      </c>
      <c r="V1648" s="9" t="s">
        <v>13284</v>
      </c>
      <c r="W1648" s="9" t="s">
        <v>319</v>
      </c>
      <c r="X1648" s="9" t="str">
        <f t="array" ref="X1648">IFERROR(INDEX('Адреса общежитий (скрытый)'!$B$2:$B$9, MATCH(W1648, 'Адреса общежитий (скрытый)'!$A$2:$A$9, 0)), "")</f>
        <v>ул. Профсоюзная, д.83, корп. 2</v>
      </c>
      <c r="Y1648" s="18"/>
      <c r="Z1648" s="18"/>
      <c r="AA1648" s="18"/>
      <c r="AB1648" s="18"/>
      <c r="AC1648" s="18"/>
    </row>
    <row r="1649" spans="1:29" ht="32.25" customHeight="1">
      <c r="A1649" s="8">
        <v>2315155</v>
      </c>
      <c r="B1649" s="9" t="s">
        <v>13284</v>
      </c>
      <c r="C1649" s="9" t="s">
        <v>13284</v>
      </c>
      <c r="D1649" s="9" t="s">
        <v>13284</v>
      </c>
      <c r="E1649" s="9" t="s">
        <v>13284</v>
      </c>
      <c r="F1649" s="9" t="s">
        <v>13284</v>
      </c>
      <c r="G1649" s="9" t="s">
        <v>13284</v>
      </c>
      <c r="H1649" s="9" t="s">
        <v>13284</v>
      </c>
      <c r="I1649" s="9" t="s">
        <v>13284</v>
      </c>
      <c r="J1649" s="9" t="s">
        <v>13284</v>
      </c>
      <c r="K1649" s="9" t="s">
        <v>13284</v>
      </c>
      <c r="L1649" s="9" t="s">
        <v>13284</v>
      </c>
      <c r="M1649" s="9" t="s">
        <v>13284</v>
      </c>
      <c r="N1649" s="9" t="s">
        <v>13284</v>
      </c>
      <c r="O1649" s="9" t="s">
        <v>13284</v>
      </c>
      <c r="P1649" s="9" t="s">
        <v>13284</v>
      </c>
      <c r="Q1649" s="9" t="s">
        <v>13284</v>
      </c>
      <c r="R1649" s="9" t="s">
        <v>13284</v>
      </c>
      <c r="S1649" s="9" t="s">
        <v>13284</v>
      </c>
      <c r="T1649" s="9" t="str">
        <f ca="1">IFERROR(IF(AND(VLOOKUP(A1649, 'Актуальное состояние (из общего'!A:C,3,0) = "", A1649 &lt;&gt; ""), "ПРОВЕРИТЬ", VLOOKUP(A1649, 'Актуальное состояние (из общего'!A:C,3,0)), "")</f>
        <v>Студент</v>
      </c>
      <c r="U1649" s="9" t="s">
        <v>13284</v>
      </c>
      <c r="V1649" s="9" t="s">
        <v>13284</v>
      </c>
      <c r="W1649" s="12"/>
      <c r="X1649" s="9" t="str">
        <f t="array" ref="X1649">IFERROR(INDEX('Адреса общежитий (скрытый)'!$B$2:$B$9, MATCH(W1649, 'Адреса общежитий (скрытый)'!$A$2:$A$9, 0)), "")</f>
        <v/>
      </c>
      <c r="Y1649" s="18"/>
      <c r="Z1649" s="18"/>
      <c r="AA1649" s="18"/>
      <c r="AB1649" s="18"/>
      <c r="AC1649" s="18"/>
    </row>
    <row r="1650" spans="1:29" ht="32.25" customHeight="1">
      <c r="A1650" s="8">
        <v>2315494</v>
      </c>
      <c r="B1650" s="9" t="s">
        <v>13284</v>
      </c>
      <c r="C1650" s="9" t="s">
        <v>13284</v>
      </c>
      <c r="D1650" s="9" t="s">
        <v>13284</v>
      </c>
      <c r="E1650" s="9" t="s">
        <v>13284</v>
      </c>
      <c r="F1650" s="9" t="s">
        <v>13284</v>
      </c>
      <c r="G1650" s="9" t="s">
        <v>13284</v>
      </c>
      <c r="H1650" s="9" t="s">
        <v>13284</v>
      </c>
      <c r="I1650" s="9" t="s">
        <v>13284</v>
      </c>
      <c r="J1650" s="9" t="s">
        <v>13284</v>
      </c>
      <c r="K1650" s="9" t="s">
        <v>13284</v>
      </c>
      <c r="L1650" s="9" t="s">
        <v>13284</v>
      </c>
      <c r="M1650" s="9" t="s">
        <v>13284</v>
      </c>
      <c r="N1650" s="9" t="s">
        <v>13284</v>
      </c>
      <c r="O1650" s="9" t="s">
        <v>13284</v>
      </c>
      <c r="P1650" s="9" t="s">
        <v>13284</v>
      </c>
      <c r="Q1650" s="9" t="s">
        <v>13284</v>
      </c>
      <c r="R1650" s="9" t="s">
        <v>13284</v>
      </c>
      <c r="S1650" s="9" t="s">
        <v>13284</v>
      </c>
      <c r="T1650" s="9" t="str">
        <f ca="1">IFERROR(IF(AND(VLOOKUP(A1650, 'Актуальное состояние (из общего'!A:C,3,0) = "", A1650 &lt;&gt; ""), "ПРОВЕРИТЬ", VLOOKUP(A1650, 'Актуальное состояние (из общего'!A:C,3,0)), "")</f>
        <v>Студент</v>
      </c>
      <c r="U1650" s="9" t="s">
        <v>13284</v>
      </c>
      <c r="V1650" s="9" t="s">
        <v>13284</v>
      </c>
      <c r="W1650" s="12"/>
      <c r="X1650" s="9" t="str">
        <f t="array" ref="X1650">IFERROR(INDEX('Адреса общежитий (скрытый)'!$B$2:$B$9, MATCH(W1650, 'Адреса общежитий (скрытый)'!$A$2:$A$9, 0)), "")</f>
        <v/>
      </c>
      <c r="Y1650" s="18"/>
      <c r="Z1650" s="18"/>
      <c r="AA1650" s="18"/>
      <c r="AB1650" s="18"/>
      <c r="AC1650" s="18"/>
    </row>
    <row r="1651" spans="1:29" ht="32.25" hidden="1" customHeight="1">
      <c r="A1651" s="8">
        <v>2303292</v>
      </c>
      <c r="B1651" s="9" t="s">
        <v>13284</v>
      </c>
      <c r="C1651" s="9" t="s">
        <v>13284</v>
      </c>
      <c r="D1651" s="9" t="s">
        <v>13284</v>
      </c>
      <c r="E1651" s="9" t="s">
        <v>13284</v>
      </c>
      <c r="F1651" s="9" t="s">
        <v>13284</v>
      </c>
      <c r="G1651" s="9" t="s">
        <v>13284</v>
      </c>
      <c r="H1651" s="9" t="s">
        <v>13284</v>
      </c>
      <c r="I1651" s="9" t="s">
        <v>13284</v>
      </c>
      <c r="J1651" s="9" t="s">
        <v>13284</v>
      </c>
      <c r="K1651" s="9" t="s">
        <v>13284</v>
      </c>
      <c r="L1651" s="9" t="s">
        <v>13284</v>
      </c>
      <c r="M1651" s="9" t="s">
        <v>13284</v>
      </c>
      <c r="N1651" s="9" t="s">
        <v>13284</v>
      </c>
      <c r="O1651" s="9" t="s">
        <v>13284</v>
      </c>
      <c r="P1651" s="9" t="s">
        <v>13284</v>
      </c>
      <c r="Q1651" s="9" t="s">
        <v>13284</v>
      </c>
      <c r="R1651" s="9" t="s">
        <v>13284</v>
      </c>
      <c r="S1651" s="9" t="s">
        <v>13284</v>
      </c>
      <c r="T1651" s="9" t="str">
        <f ca="1">IFERROR(IF(AND(VLOOKUP(A1651, 'Актуальное состояние (из общего'!A:C,3,0) = "", A1651 &lt;&gt; ""), "ПРОВЕРИТЬ", VLOOKUP(A1651, 'Актуальное состояние (из общего'!A:C,3,0)), "")</f>
        <v>Студент</v>
      </c>
      <c r="U1651" s="9" t="s">
        <v>13284</v>
      </c>
      <c r="V1651" s="9" t="s">
        <v>13284</v>
      </c>
      <c r="W1651" s="12"/>
      <c r="X1651" s="9" t="str">
        <f t="array" ref="X1651">IFERROR(INDEX('Адреса общежитий (скрытый)'!$B$2:$B$9, MATCH(W1651, 'Адреса общежитий (скрытый)'!$A$2:$A$9, 0)), "")</f>
        <v/>
      </c>
      <c r="Y1651" s="18"/>
      <c r="Z1651" s="18"/>
      <c r="AA1651" s="18"/>
      <c r="AB1651" s="18"/>
      <c r="AC1651" s="18"/>
    </row>
    <row r="1652" spans="1:29" ht="32.25" hidden="1" customHeight="1">
      <c r="A1652" s="8">
        <v>2312139</v>
      </c>
      <c r="B1652" s="9" t="s">
        <v>13284</v>
      </c>
      <c r="C1652" s="9" t="s">
        <v>13284</v>
      </c>
      <c r="D1652" s="9" t="s">
        <v>13284</v>
      </c>
      <c r="E1652" s="9" t="s">
        <v>13284</v>
      </c>
      <c r="F1652" s="9" t="s">
        <v>13284</v>
      </c>
      <c r="G1652" s="9" t="s">
        <v>13284</v>
      </c>
      <c r="H1652" s="9" t="s">
        <v>13284</v>
      </c>
      <c r="I1652" s="9" t="s">
        <v>13284</v>
      </c>
      <c r="J1652" s="9" t="s">
        <v>13284</v>
      </c>
      <c r="K1652" s="9" t="s">
        <v>13284</v>
      </c>
      <c r="L1652" s="9" t="s">
        <v>13284</v>
      </c>
      <c r="M1652" s="9" t="s">
        <v>13284</v>
      </c>
      <c r="N1652" s="9" t="s">
        <v>13284</v>
      </c>
      <c r="O1652" s="9" t="s">
        <v>13284</v>
      </c>
      <c r="P1652" s="9" t="s">
        <v>13284</v>
      </c>
      <c r="Q1652" s="9" t="s">
        <v>13284</v>
      </c>
      <c r="R1652" s="9" t="s">
        <v>13284</v>
      </c>
      <c r="S1652" s="9" t="s">
        <v>13284</v>
      </c>
      <c r="T1652" s="9" t="str">
        <f ca="1">IFERROR(IF(AND(VLOOKUP(A1652, 'Актуальное состояние (из общего'!A:C,3,0) = "", A1652 &lt;&gt; ""), "ПРОВЕРИТЬ", VLOOKUP(A1652, 'Актуальное состояние (из общего'!A:C,3,0)), "")</f>
        <v>Студент</v>
      </c>
      <c r="U1652" s="9" t="s">
        <v>13284</v>
      </c>
      <c r="V1652" s="9" t="s">
        <v>13284</v>
      </c>
      <c r="W1652" s="12"/>
      <c r="X1652" s="9" t="str">
        <f t="array" ref="X1652">IFERROR(INDEX('Адреса общежитий (скрытый)'!$B$2:$B$9, MATCH(W1652, 'Адреса общежитий (скрытый)'!$A$2:$A$9, 0)), "")</f>
        <v/>
      </c>
      <c r="Y1652" s="18"/>
      <c r="Z1652" s="18"/>
      <c r="AA1652" s="18"/>
      <c r="AB1652" s="18"/>
      <c r="AC1652" s="18"/>
    </row>
    <row r="1653" spans="1:29" ht="32.25" customHeight="1">
      <c r="A1653" s="8">
        <v>2306574</v>
      </c>
      <c r="B1653" s="9" t="s">
        <v>13284</v>
      </c>
      <c r="C1653" s="9" t="s">
        <v>13284</v>
      </c>
      <c r="D1653" s="9" t="s">
        <v>13284</v>
      </c>
      <c r="E1653" s="9" t="s">
        <v>13284</v>
      </c>
      <c r="F1653" s="9" t="s">
        <v>13284</v>
      </c>
      <c r="G1653" s="9" t="s">
        <v>13284</v>
      </c>
      <c r="H1653" s="9" t="s">
        <v>13284</v>
      </c>
      <c r="I1653" s="9" t="s">
        <v>13284</v>
      </c>
      <c r="J1653" s="9" t="s">
        <v>13284</v>
      </c>
      <c r="K1653" s="9" t="s">
        <v>13284</v>
      </c>
      <c r="L1653" s="9" t="s">
        <v>13284</v>
      </c>
      <c r="M1653" s="9" t="s">
        <v>13284</v>
      </c>
      <c r="N1653" s="9" t="s">
        <v>13284</v>
      </c>
      <c r="O1653" s="9" t="s">
        <v>13284</v>
      </c>
      <c r="P1653" s="9" t="s">
        <v>13284</v>
      </c>
      <c r="Q1653" s="9" t="s">
        <v>13284</v>
      </c>
      <c r="R1653" s="9" t="s">
        <v>13284</v>
      </c>
      <c r="S1653" s="9" t="s">
        <v>13284</v>
      </c>
      <c r="T1653" s="9" t="str">
        <f ca="1">IFERROR(IF(AND(VLOOKUP(A1653, 'Актуальное состояние (из общего'!A:C,3,0) = "", A1653 &lt;&gt; ""), "ПРОВЕРИТЬ", VLOOKUP(A1653, 'Актуальное состояние (из общего'!A:C,3,0)), "")</f>
        <v>Студент</v>
      </c>
      <c r="U1653" s="9" t="s">
        <v>13284</v>
      </c>
      <c r="V1653" s="9" t="s">
        <v>13284</v>
      </c>
      <c r="W1653" s="9" t="s">
        <v>319</v>
      </c>
      <c r="X1653" s="9" t="str">
        <f t="array" ref="X1653">IFERROR(INDEX('Адреса общежитий (скрытый)'!$B$2:$B$9, MATCH(W1653, 'Адреса общежитий (скрытый)'!$A$2:$A$9, 0)), "")</f>
        <v>ул. Профсоюзная, д.83, корп. 2</v>
      </c>
      <c r="Y1653" s="18"/>
      <c r="Z1653" s="18"/>
      <c r="AA1653" s="18"/>
      <c r="AB1653" s="18"/>
      <c r="AC1653" s="18"/>
    </row>
    <row r="1654" spans="1:29" ht="32.25" customHeight="1">
      <c r="A1654" s="8">
        <v>2314645</v>
      </c>
      <c r="B1654" s="9" t="s">
        <v>13284</v>
      </c>
      <c r="C1654" s="9" t="s">
        <v>13284</v>
      </c>
      <c r="D1654" s="9" t="s">
        <v>13284</v>
      </c>
      <c r="E1654" s="9" t="s">
        <v>13284</v>
      </c>
      <c r="F1654" s="9" t="s">
        <v>13284</v>
      </c>
      <c r="G1654" s="9" t="s">
        <v>13284</v>
      </c>
      <c r="H1654" s="9" t="s">
        <v>13284</v>
      </c>
      <c r="I1654" s="9" t="s">
        <v>13284</v>
      </c>
      <c r="J1654" s="9" t="s">
        <v>13284</v>
      </c>
      <c r="K1654" s="9" t="s">
        <v>13284</v>
      </c>
      <c r="L1654" s="9" t="s">
        <v>13284</v>
      </c>
      <c r="M1654" s="9" t="s">
        <v>13284</v>
      </c>
      <c r="N1654" s="9" t="s">
        <v>13284</v>
      </c>
      <c r="O1654" s="9" t="s">
        <v>13284</v>
      </c>
      <c r="P1654" s="9" t="s">
        <v>13284</v>
      </c>
      <c r="Q1654" s="9" t="s">
        <v>13284</v>
      </c>
      <c r="R1654" s="9" t="s">
        <v>13284</v>
      </c>
      <c r="S1654" s="9" t="s">
        <v>13284</v>
      </c>
      <c r="T1654" s="9" t="str">
        <f ca="1">IFERROR(IF(AND(VLOOKUP(A1654, 'Актуальное состояние (из общего'!A:C,3,0) = "", A1654 &lt;&gt; ""), "ПРОВЕРИТЬ", VLOOKUP(A1654, 'Актуальное состояние (из общего'!A:C,3,0)), "")</f>
        <v>Студент</v>
      </c>
      <c r="U1654" s="9" t="s">
        <v>13284</v>
      </c>
      <c r="V1654" s="9" t="s">
        <v>13284</v>
      </c>
      <c r="W1654" s="12"/>
      <c r="X1654" s="9" t="str">
        <f t="array" ref="X1654">IFERROR(INDEX('Адреса общежитий (скрытый)'!$B$2:$B$9, MATCH(W1654, 'Адреса общежитий (скрытый)'!$A$2:$A$9, 0)), "")</f>
        <v/>
      </c>
      <c r="Y1654" s="18"/>
      <c r="Z1654" s="18"/>
      <c r="AA1654" s="18"/>
      <c r="AB1654" s="18"/>
      <c r="AC1654" s="18"/>
    </row>
    <row r="1655" spans="1:29" ht="32.25" hidden="1" customHeight="1">
      <c r="A1655" s="8">
        <v>2311826</v>
      </c>
      <c r="B1655" s="9" t="s">
        <v>13284</v>
      </c>
      <c r="C1655" s="9" t="s">
        <v>13284</v>
      </c>
      <c r="D1655" s="9" t="s">
        <v>13284</v>
      </c>
      <c r="E1655" s="9" t="s">
        <v>13284</v>
      </c>
      <c r="F1655" s="9" t="s">
        <v>13284</v>
      </c>
      <c r="G1655" s="9" t="s">
        <v>13284</v>
      </c>
      <c r="H1655" s="9" t="s">
        <v>13284</v>
      </c>
      <c r="I1655" s="9" t="s">
        <v>13284</v>
      </c>
      <c r="J1655" s="9" t="s">
        <v>13284</v>
      </c>
      <c r="K1655" s="9" t="s">
        <v>13284</v>
      </c>
      <c r="L1655" s="9" t="s">
        <v>13284</v>
      </c>
      <c r="M1655" s="9" t="s">
        <v>13284</v>
      </c>
      <c r="N1655" s="9" t="s">
        <v>13284</v>
      </c>
      <c r="O1655" s="9" t="s">
        <v>13284</v>
      </c>
      <c r="P1655" s="9" t="s">
        <v>13284</v>
      </c>
      <c r="Q1655" s="9" t="s">
        <v>13284</v>
      </c>
      <c r="R1655" s="9" t="s">
        <v>13284</v>
      </c>
      <c r="S1655" s="9" t="s">
        <v>13284</v>
      </c>
      <c r="T1655" s="9" t="str">
        <f ca="1">IFERROR(IF(AND(VLOOKUP(A1655, 'Актуальное состояние (из общего'!A:C,3,0) = "", A1655 &lt;&gt; ""), "ПРОВЕРИТЬ", VLOOKUP(A1655, 'Актуальное состояние (из общего'!A:C,3,0)), "")</f>
        <v>Студент</v>
      </c>
      <c r="U1655" s="9" t="s">
        <v>13284</v>
      </c>
      <c r="V1655" s="9" t="s">
        <v>13284</v>
      </c>
      <c r="W1655" s="12"/>
      <c r="X1655" s="9" t="str">
        <f t="array" ref="X1655">IFERROR(INDEX('Адреса общежитий (скрытый)'!$B$2:$B$9, MATCH(W1655, 'Адреса общежитий (скрытый)'!$A$2:$A$9, 0)), "")</f>
        <v/>
      </c>
      <c r="Y1655" s="18"/>
      <c r="Z1655" s="18"/>
      <c r="AA1655" s="18"/>
      <c r="AB1655" s="18"/>
      <c r="AC1655" s="18"/>
    </row>
    <row r="1656" spans="1:29" ht="32.25" hidden="1" customHeight="1">
      <c r="A1656" s="8">
        <v>2309882</v>
      </c>
      <c r="B1656" s="9" t="s">
        <v>13284</v>
      </c>
      <c r="C1656" s="9" t="s">
        <v>13284</v>
      </c>
      <c r="D1656" s="9" t="s">
        <v>13284</v>
      </c>
      <c r="E1656" s="9" t="s">
        <v>13284</v>
      </c>
      <c r="F1656" s="9" t="s">
        <v>13284</v>
      </c>
      <c r="G1656" s="9" t="s">
        <v>13284</v>
      </c>
      <c r="H1656" s="9" t="s">
        <v>13284</v>
      </c>
      <c r="I1656" s="9" t="s">
        <v>13284</v>
      </c>
      <c r="J1656" s="9" t="s">
        <v>13284</v>
      </c>
      <c r="K1656" s="9" t="s">
        <v>13284</v>
      </c>
      <c r="L1656" s="9" t="s">
        <v>13284</v>
      </c>
      <c r="M1656" s="9" t="s">
        <v>13284</v>
      </c>
      <c r="N1656" s="9" t="s">
        <v>13284</v>
      </c>
      <c r="O1656" s="9" t="s">
        <v>13284</v>
      </c>
      <c r="P1656" s="9" t="s">
        <v>13284</v>
      </c>
      <c r="Q1656" s="9" t="s">
        <v>13284</v>
      </c>
      <c r="R1656" s="9" t="s">
        <v>13284</v>
      </c>
      <c r="S1656" s="9" t="s">
        <v>13284</v>
      </c>
      <c r="T1656" s="9" t="str">
        <f ca="1">IFERROR(IF(AND(VLOOKUP(A1656, 'Актуальное состояние (из общего'!A:C,3,0) = "", A1656 &lt;&gt; ""), "ПРОВЕРИТЬ", VLOOKUP(A1656, 'Актуальное состояние (из общего'!A:C,3,0)), "")</f>
        <v>Студент</v>
      </c>
      <c r="U1656" s="9" t="s">
        <v>13284</v>
      </c>
      <c r="V1656" s="9" t="s">
        <v>13284</v>
      </c>
      <c r="W1656" s="12"/>
      <c r="X1656" s="9" t="str">
        <f t="array" ref="X1656">IFERROR(INDEX('Адреса общежитий (скрытый)'!$B$2:$B$9, MATCH(W1656, 'Адреса общежитий (скрытый)'!$A$2:$A$9, 0)), "")</f>
        <v/>
      </c>
      <c r="Y1656" s="18"/>
      <c r="Z1656" s="18"/>
      <c r="AA1656" s="18"/>
      <c r="AB1656" s="18"/>
      <c r="AC1656" s="18"/>
    </row>
    <row r="1657" spans="1:29" ht="32.25" customHeight="1">
      <c r="A1657" s="8">
        <v>2307813</v>
      </c>
      <c r="B1657" s="9" t="s">
        <v>13284</v>
      </c>
      <c r="C1657" s="9" t="s">
        <v>13284</v>
      </c>
      <c r="D1657" s="9" t="s">
        <v>13284</v>
      </c>
      <c r="E1657" s="9" t="s">
        <v>13284</v>
      </c>
      <c r="F1657" s="9" t="s">
        <v>13284</v>
      </c>
      <c r="G1657" s="9" t="s">
        <v>13284</v>
      </c>
      <c r="H1657" s="9" t="s">
        <v>13284</v>
      </c>
      <c r="I1657" s="9" t="s">
        <v>13284</v>
      </c>
      <c r="J1657" s="9" t="s">
        <v>13284</v>
      </c>
      <c r="K1657" s="9" t="s">
        <v>13284</v>
      </c>
      <c r="L1657" s="9" t="s">
        <v>13284</v>
      </c>
      <c r="M1657" s="9" t="s">
        <v>13284</v>
      </c>
      <c r="N1657" s="9" t="s">
        <v>13284</v>
      </c>
      <c r="O1657" s="9" t="s">
        <v>13284</v>
      </c>
      <c r="P1657" s="9" t="s">
        <v>13284</v>
      </c>
      <c r="Q1657" s="9" t="s">
        <v>13284</v>
      </c>
      <c r="R1657" s="9" t="s">
        <v>13284</v>
      </c>
      <c r="S1657" s="9" t="s">
        <v>13284</v>
      </c>
      <c r="T1657" s="9" t="str">
        <f ca="1">IFERROR(IF(AND(VLOOKUP(A1657, 'Актуальное состояние (из общего'!A:C,3,0) = "", A1657 &lt;&gt; ""), "ПРОВЕРИТЬ", VLOOKUP(A1657, 'Актуальное состояние (из общего'!A:C,3,0)), "")</f>
        <v>Студент</v>
      </c>
      <c r="U1657" s="9" t="s">
        <v>13284</v>
      </c>
      <c r="V1657" s="9" t="s">
        <v>13284</v>
      </c>
      <c r="W1657" s="9" t="s">
        <v>319</v>
      </c>
      <c r="X1657" s="9" t="str">
        <f t="array" ref="X1657">IFERROR(INDEX('Адреса общежитий (скрытый)'!$B$2:$B$9, MATCH(W1657, 'Адреса общежитий (скрытый)'!$A$2:$A$9, 0)), "")</f>
        <v>ул. Профсоюзная, д.83, корп. 2</v>
      </c>
      <c r="Y1657" s="18"/>
      <c r="Z1657" s="18"/>
      <c r="AA1657" s="18"/>
      <c r="AB1657" s="18"/>
      <c r="AC1657" s="18"/>
    </row>
    <row r="1658" spans="1:29" ht="32.25" customHeight="1">
      <c r="A1658" s="8">
        <v>2301751</v>
      </c>
      <c r="B1658" s="9" t="s">
        <v>13284</v>
      </c>
      <c r="C1658" s="9" t="s">
        <v>13284</v>
      </c>
      <c r="D1658" s="9" t="s">
        <v>13284</v>
      </c>
      <c r="E1658" s="9" t="s">
        <v>13284</v>
      </c>
      <c r="F1658" s="9" t="s">
        <v>13284</v>
      </c>
      <c r="G1658" s="9" t="s">
        <v>13284</v>
      </c>
      <c r="H1658" s="9" t="s">
        <v>13284</v>
      </c>
      <c r="I1658" s="9" t="s">
        <v>13284</v>
      </c>
      <c r="J1658" s="9" t="s">
        <v>13284</v>
      </c>
      <c r="K1658" s="9" t="s">
        <v>13284</v>
      </c>
      <c r="L1658" s="9" t="s">
        <v>13284</v>
      </c>
      <c r="M1658" s="9" t="s">
        <v>13284</v>
      </c>
      <c r="N1658" s="9" t="s">
        <v>13284</v>
      </c>
      <c r="O1658" s="9" t="s">
        <v>13284</v>
      </c>
      <c r="P1658" s="9" t="s">
        <v>13284</v>
      </c>
      <c r="Q1658" s="9" t="s">
        <v>13284</v>
      </c>
      <c r="R1658" s="9" t="s">
        <v>13284</v>
      </c>
      <c r="S1658" s="9" t="s">
        <v>13284</v>
      </c>
      <c r="T1658" s="9" t="str">
        <f ca="1">IFERROR(IF(AND(VLOOKUP(A1658, 'Актуальное состояние (из общего'!A:C,3,0) = "", A1658 &lt;&gt; ""), "ПРОВЕРИТЬ", VLOOKUP(A1658, 'Актуальное состояние (из общего'!A:C,3,0)), "")</f>
        <v>Студент</v>
      </c>
      <c r="U1658" s="9" t="s">
        <v>13284</v>
      </c>
      <c r="V1658" s="9" t="s">
        <v>13284</v>
      </c>
      <c r="W1658" s="12"/>
      <c r="X1658" s="9" t="str">
        <f t="array" ref="X1658">IFERROR(INDEX('Адреса общежитий (скрытый)'!$B$2:$B$9, MATCH(W1658, 'Адреса общежитий (скрытый)'!$A$2:$A$9, 0)), "")</f>
        <v/>
      </c>
      <c r="Y1658" s="18"/>
      <c r="Z1658" s="18"/>
      <c r="AA1658" s="18"/>
      <c r="AB1658" s="18"/>
      <c r="AC1658" s="18"/>
    </row>
    <row r="1659" spans="1:29" ht="32.25" customHeight="1">
      <c r="A1659" s="8">
        <v>2302313</v>
      </c>
      <c r="B1659" s="9" t="s">
        <v>13284</v>
      </c>
      <c r="C1659" s="9" t="s">
        <v>13284</v>
      </c>
      <c r="D1659" s="9" t="s">
        <v>13284</v>
      </c>
      <c r="E1659" s="9" t="s">
        <v>13284</v>
      </c>
      <c r="F1659" s="9" t="s">
        <v>13284</v>
      </c>
      <c r="G1659" s="9" t="s">
        <v>13284</v>
      </c>
      <c r="H1659" s="9" t="s">
        <v>13284</v>
      </c>
      <c r="I1659" s="9" t="s">
        <v>13284</v>
      </c>
      <c r="J1659" s="9" t="s">
        <v>13284</v>
      </c>
      <c r="K1659" s="9" t="s">
        <v>13284</v>
      </c>
      <c r="L1659" s="9" t="s">
        <v>13284</v>
      </c>
      <c r="M1659" s="9" t="s">
        <v>13284</v>
      </c>
      <c r="N1659" s="9" t="s">
        <v>13284</v>
      </c>
      <c r="O1659" s="9" t="s">
        <v>13284</v>
      </c>
      <c r="P1659" s="9" t="s">
        <v>13284</v>
      </c>
      <c r="Q1659" s="9" t="s">
        <v>13284</v>
      </c>
      <c r="R1659" s="9" t="s">
        <v>13284</v>
      </c>
      <c r="S1659" s="9" t="s">
        <v>13284</v>
      </c>
      <c r="T1659" s="9" t="str">
        <f ca="1">IFERROR(IF(AND(VLOOKUP(A1659, 'Актуальное состояние (из общего'!A:C,3,0) = "", A1659 &lt;&gt; ""), "ПРОВЕРИТЬ", VLOOKUP(A1659, 'Актуальное состояние (из общего'!A:C,3,0)), "")</f>
        <v>Студент</v>
      </c>
      <c r="U1659" s="9" t="s">
        <v>13284</v>
      </c>
      <c r="V1659" s="9" t="s">
        <v>13284</v>
      </c>
      <c r="W1659" s="12"/>
      <c r="X1659" s="9" t="str">
        <f t="array" ref="X1659">IFERROR(INDEX('Адреса общежитий (скрытый)'!$B$2:$B$9, MATCH(W1659, 'Адреса общежитий (скрытый)'!$A$2:$A$9, 0)), "")</f>
        <v/>
      </c>
      <c r="Y1659" s="18"/>
      <c r="Z1659" s="18"/>
      <c r="AA1659" s="18"/>
      <c r="AB1659" s="18"/>
      <c r="AC1659" s="18"/>
    </row>
    <row r="1660" spans="1:29" ht="32.25" customHeight="1">
      <c r="A1660" s="8">
        <v>2301512</v>
      </c>
      <c r="B1660" s="9" t="s">
        <v>13284</v>
      </c>
      <c r="C1660" s="9" t="s">
        <v>13284</v>
      </c>
      <c r="D1660" s="9" t="s">
        <v>13284</v>
      </c>
      <c r="E1660" s="9" t="s">
        <v>13284</v>
      </c>
      <c r="F1660" s="9" t="s">
        <v>13284</v>
      </c>
      <c r="G1660" s="9" t="s">
        <v>13284</v>
      </c>
      <c r="H1660" s="9" t="s">
        <v>13284</v>
      </c>
      <c r="I1660" s="9" t="s">
        <v>13284</v>
      </c>
      <c r="J1660" s="9" t="s">
        <v>13284</v>
      </c>
      <c r="K1660" s="9" t="s">
        <v>13284</v>
      </c>
      <c r="L1660" s="9" t="s">
        <v>13284</v>
      </c>
      <c r="M1660" s="9" t="s">
        <v>13284</v>
      </c>
      <c r="N1660" s="9" t="s">
        <v>13284</v>
      </c>
      <c r="O1660" s="9" t="s">
        <v>13284</v>
      </c>
      <c r="P1660" s="9" t="s">
        <v>13284</v>
      </c>
      <c r="Q1660" s="9" t="s">
        <v>13284</v>
      </c>
      <c r="R1660" s="9" t="s">
        <v>13284</v>
      </c>
      <c r="S1660" s="9" t="s">
        <v>13284</v>
      </c>
      <c r="T1660" s="9" t="str">
        <f ca="1">IFERROR(IF(AND(VLOOKUP(A1660, 'Актуальное состояние (из общего'!A:C,3,0) = "", A1660 &lt;&gt; ""), "ПРОВЕРИТЬ", VLOOKUP(A1660, 'Актуальное состояние (из общего'!A:C,3,0)), "")</f>
        <v>Студент</v>
      </c>
      <c r="U1660" s="9" t="s">
        <v>13284</v>
      </c>
      <c r="V1660" s="9" t="s">
        <v>13284</v>
      </c>
      <c r="W1660" s="12"/>
      <c r="X1660" s="9" t="str">
        <f t="array" ref="X1660">IFERROR(INDEX('Адреса общежитий (скрытый)'!$B$2:$B$9, MATCH(W1660, 'Адреса общежитий (скрытый)'!$A$2:$A$9, 0)), "")</f>
        <v/>
      </c>
      <c r="Y1660" s="18"/>
      <c r="Z1660" s="18"/>
      <c r="AA1660" s="18"/>
      <c r="AB1660" s="18"/>
      <c r="AC1660" s="18"/>
    </row>
    <row r="1661" spans="1:29" ht="32.25" hidden="1" customHeight="1">
      <c r="A1661" s="8">
        <v>2301429</v>
      </c>
      <c r="B1661" s="9" t="s">
        <v>13284</v>
      </c>
      <c r="C1661" s="9" t="s">
        <v>13284</v>
      </c>
      <c r="D1661" s="9" t="s">
        <v>13284</v>
      </c>
      <c r="E1661" s="9" t="s">
        <v>13284</v>
      </c>
      <c r="F1661" s="9" t="s">
        <v>13284</v>
      </c>
      <c r="G1661" s="9" t="s">
        <v>13284</v>
      </c>
      <c r="H1661" s="9" t="s">
        <v>13284</v>
      </c>
      <c r="I1661" s="9" t="s">
        <v>13284</v>
      </c>
      <c r="J1661" s="9" t="s">
        <v>13284</v>
      </c>
      <c r="K1661" s="9" t="s">
        <v>13284</v>
      </c>
      <c r="L1661" s="9" t="s">
        <v>13284</v>
      </c>
      <c r="M1661" s="9" t="s">
        <v>13284</v>
      </c>
      <c r="N1661" s="9" t="s">
        <v>13284</v>
      </c>
      <c r="O1661" s="9" t="s">
        <v>13284</v>
      </c>
      <c r="P1661" s="9" t="s">
        <v>13284</v>
      </c>
      <c r="Q1661" s="9" t="s">
        <v>13284</v>
      </c>
      <c r="R1661" s="9" t="s">
        <v>13284</v>
      </c>
      <c r="S1661" s="9" t="s">
        <v>13284</v>
      </c>
      <c r="T1661" s="9" t="str">
        <f ca="1">IFERROR(IF(AND(VLOOKUP(A1661, 'Актуальное состояние (из общего'!A:C,3,0) = "", A1661 &lt;&gt; ""), "ПРОВЕРИТЬ", VLOOKUP(A1661, 'Актуальное состояние (из общего'!A:C,3,0)), "")</f>
        <v>Студент</v>
      </c>
      <c r="U1661" s="9" t="s">
        <v>13284</v>
      </c>
      <c r="V1661" s="9" t="s">
        <v>13284</v>
      </c>
      <c r="W1661" s="12"/>
      <c r="X1661" s="9" t="str">
        <f t="array" ref="X1661">IFERROR(INDEX('Адреса общежитий (скрытый)'!$B$2:$B$9, MATCH(W1661, 'Адреса общежитий (скрытый)'!$A$2:$A$9, 0)), "")</f>
        <v/>
      </c>
      <c r="Y1661" s="18"/>
      <c r="Z1661" s="18"/>
      <c r="AA1661" s="18"/>
      <c r="AB1661" s="18"/>
      <c r="AC1661" s="18"/>
    </row>
    <row r="1662" spans="1:29" ht="32.25" hidden="1" customHeight="1">
      <c r="A1662" s="8">
        <v>2308248</v>
      </c>
      <c r="B1662" s="9" t="s">
        <v>13284</v>
      </c>
      <c r="C1662" s="9" t="s">
        <v>13284</v>
      </c>
      <c r="D1662" s="9" t="s">
        <v>13284</v>
      </c>
      <c r="E1662" s="9" t="s">
        <v>13284</v>
      </c>
      <c r="F1662" s="9" t="s">
        <v>13284</v>
      </c>
      <c r="G1662" s="9" t="s">
        <v>13284</v>
      </c>
      <c r="H1662" s="9" t="s">
        <v>13284</v>
      </c>
      <c r="I1662" s="9" t="s">
        <v>13284</v>
      </c>
      <c r="J1662" s="9" t="s">
        <v>13284</v>
      </c>
      <c r="K1662" s="9" t="s">
        <v>13284</v>
      </c>
      <c r="L1662" s="9" t="s">
        <v>13284</v>
      </c>
      <c r="M1662" s="9" t="s">
        <v>13284</v>
      </c>
      <c r="N1662" s="9" t="s">
        <v>13284</v>
      </c>
      <c r="O1662" s="9" t="s">
        <v>13284</v>
      </c>
      <c r="P1662" s="9" t="s">
        <v>13284</v>
      </c>
      <c r="Q1662" s="9" t="s">
        <v>13284</v>
      </c>
      <c r="R1662" s="9" t="s">
        <v>13284</v>
      </c>
      <c r="S1662" s="9" t="s">
        <v>13284</v>
      </c>
      <c r="T1662" s="9" t="str">
        <f ca="1">IFERROR(IF(AND(VLOOKUP(A1662, 'Актуальное состояние (из общего'!A:C,3,0) = "", A1662 &lt;&gt; ""), "ПРОВЕРИТЬ", VLOOKUP(A1662, 'Актуальное состояние (из общего'!A:C,3,0)), "")</f>
        <v>Студент</v>
      </c>
      <c r="U1662" s="9" t="s">
        <v>13284</v>
      </c>
      <c r="V1662" s="9" t="s">
        <v>13284</v>
      </c>
      <c r="W1662" s="12"/>
      <c r="X1662" s="9" t="str">
        <f t="array" ref="X1662">IFERROR(INDEX('Адреса общежитий (скрытый)'!$B$2:$B$9, MATCH(W1662, 'Адреса общежитий (скрытый)'!$A$2:$A$9, 0)), "")</f>
        <v/>
      </c>
      <c r="Y1662" s="18"/>
      <c r="Z1662" s="18"/>
      <c r="AA1662" s="18"/>
      <c r="AB1662" s="18"/>
      <c r="AC1662" s="18"/>
    </row>
    <row r="1663" spans="1:29" ht="32.25" hidden="1" customHeight="1">
      <c r="A1663" s="8">
        <v>2311070</v>
      </c>
      <c r="B1663" s="9" t="s">
        <v>13284</v>
      </c>
      <c r="C1663" s="9" t="s">
        <v>13284</v>
      </c>
      <c r="D1663" s="9" t="s">
        <v>13284</v>
      </c>
      <c r="E1663" s="9" t="s">
        <v>13284</v>
      </c>
      <c r="F1663" s="9" t="s">
        <v>13284</v>
      </c>
      <c r="G1663" s="9" t="s">
        <v>13284</v>
      </c>
      <c r="H1663" s="9" t="s">
        <v>13284</v>
      </c>
      <c r="I1663" s="9" t="s">
        <v>13284</v>
      </c>
      <c r="J1663" s="9" t="s">
        <v>13284</v>
      </c>
      <c r="K1663" s="9" t="s">
        <v>13284</v>
      </c>
      <c r="L1663" s="9" t="s">
        <v>13284</v>
      </c>
      <c r="M1663" s="9" t="s">
        <v>13284</v>
      </c>
      <c r="N1663" s="9" t="s">
        <v>13284</v>
      </c>
      <c r="O1663" s="9" t="s">
        <v>13284</v>
      </c>
      <c r="P1663" s="9" t="s">
        <v>13284</v>
      </c>
      <c r="Q1663" s="9" t="s">
        <v>13284</v>
      </c>
      <c r="R1663" s="9" t="s">
        <v>13284</v>
      </c>
      <c r="S1663" s="9" t="s">
        <v>13284</v>
      </c>
      <c r="T1663" s="9" t="str">
        <f ca="1">IFERROR(IF(AND(VLOOKUP(A1663, 'Актуальное состояние (из общего'!A:C,3,0) = "", A1663 &lt;&gt; ""), "ПРОВЕРИТЬ", VLOOKUP(A1663, 'Актуальное состояние (из общего'!A:C,3,0)), "")</f>
        <v>Студент</v>
      </c>
      <c r="U1663" s="9" t="s">
        <v>13284</v>
      </c>
      <c r="V1663" s="9" t="s">
        <v>13284</v>
      </c>
      <c r="W1663" s="12"/>
      <c r="X1663" s="9" t="str">
        <f t="array" ref="X1663">IFERROR(INDEX('Адреса общежитий (скрытый)'!$B$2:$B$9, MATCH(W1663, 'Адреса общежитий (скрытый)'!$A$2:$A$9, 0)), "")</f>
        <v/>
      </c>
      <c r="Y1663" s="18"/>
      <c r="Z1663" s="18"/>
      <c r="AA1663" s="18"/>
      <c r="AB1663" s="18"/>
      <c r="AC1663" s="18"/>
    </row>
    <row r="1664" spans="1:29" ht="32.25" hidden="1" customHeight="1">
      <c r="A1664" s="8">
        <v>2302466</v>
      </c>
      <c r="B1664" s="9" t="s">
        <v>13284</v>
      </c>
      <c r="C1664" s="9" t="s">
        <v>13284</v>
      </c>
      <c r="D1664" s="9" t="s">
        <v>13284</v>
      </c>
      <c r="E1664" s="9" t="s">
        <v>13284</v>
      </c>
      <c r="F1664" s="9" t="s">
        <v>13284</v>
      </c>
      <c r="G1664" s="9" t="s">
        <v>13284</v>
      </c>
      <c r="H1664" s="9" t="s">
        <v>13284</v>
      </c>
      <c r="I1664" s="9" t="s">
        <v>13284</v>
      </c>
      <c r="J1664" s="9" t="s">
        <v>13284</v>
      </c>
      <c r="K1664" s="9" t="s">
        <v>13284</v>
      </c>
      <c r="L1664" s="9" t="s">
        <v>13284</v>
      </c>
      <c r="M1664" s="9" t="s">
        <v>13284</v>
      </c>
      <c r="N1664" s="9" t="s">
        <v>13284</v>
      </c>
      <c r="O1664" s="9" t="s">
        <v>13284</v>
      </c>
      <c r="P1664" s="9" t="s">
        <v>13284</v>
      </c>
      <c r="Q1664" s="9" t="s">
        <v>13284</v>
      </c>
      <c r="R1664" s="9" t="s">
        <v>13284</v>
      </c>
      <c r="S1664" s="9" t="s">
        <v>13284</v>
      </c>
      <c r="T1664" s="9" t="str">
        <f ca="1">IFERROR(IF(AND(VLOOKUP(A1664, 'Актуальное состояние (из общего'!A:C,3,0) = "", A1664 &lt;&gt; ""), "ПРОВЕРИТЬ", VLOOKUP(A1664, 'Актуальное состояние (из общего'!A:C,3,0)), "")</f>
        <v>Студент</v>
      </c>
      <c r="U1664" s="9" t="s">
        <v>13284</v>
      </c>
      <c r="V1664" s="9" t="s">
        <v>13284</v>
      </c>
      <c r="W1664" s="12"/>
      <c r="X1664" s="9" t="str">
        <f t="array" ref="X1664">IFERROR(INDEX('Адреса общежитий (скрытый)'!$B$2:$B$9, MATCH(W1664, 'Адреса общежитий (скрытый)'!$A$2:$A$9, 0)), "")</f>
        <v/>
      </c>
      <c r="Y1664" s="18"/>
      <c r="Z1664" s="18"/>
      <c r="AA1664" s="18"/>
      <c r="AB1664" s="18"/>
      <c r="AC1664" s="18"/>
    </row>
    <row r="1665" spans="1:29" ht="32.25" hidden="1" customHeight="1">
      <c r="A1665" s="8">
        <v>2303348</v>
      </c>
      <c r="B1665" s="9" t="s">
        <v>13284</v>
      </c>
      <c r="C1665" s="9" t="s">
        <v>13284</v>
      </c>
      <c r="D1665" s="9" t="s">
        <v>13284</v>
      </c>
      <c r="E1665" s="9" t="s">
        <v>13284</v>
      </c>
      <c r="F1665" s="9" t="s">
        <v>13284</v>
      </c>
      <c r="G1665" s="9" t="s">
        <v>13284</v>
      </c>
      <c r="H1665" s="9" t="s">
        <v>13284</v>
      </c>
      <c r="I1665" s="9" t="s">
        <v>13284</v>
      </c>
      <c r="J1665" s="9" t="s">
        <v>13284</v>
      </c>
      <c r="K1665" s="9" t="s">
        <v>13284</v>
      </c>
      <c r="L1665" s="9" t="s">
        <v>13284</v>
      </c>
      <c r="M1665" s="9" t="s">
        <v>13284</v>
      </c>
      <c r="N1665" s="9" t="s">
        <v>13284</v>
      </c>
      <c r="O1665" s="9" t="s">
        <v>13284</v>
      </c>
      <c r="P1665" s="9" t="s">
        <v>13284</v>
      </c>
      <c r="Q1665" s="9" t="s">
        <v>13284</v>
      </c>
      <c r="R1665" s="9" t="s">
        <v>13284</v>
      </c>
      <c r="S1665" s="9" t="s">
        <v>13284</v>
      </c>
      <c r="T1665" s="9" t="str">
        <f ca="1">IFERROR(IF(AND(VLOOKUP(A1665, 'Актуальное состояние (из общего'!A:C,3,0) = "", A1665 &lt;&gt; ""), "ПРОВЕРИТЬ", VLOOKUP(A1665, 'Актуальное состояние (из общего'!A:C,3,0)), "")</f>
        <v>Студент</v>
      </c>
      <c r="U1665" s="9" t="s">
        <v>13284</v>
      </c>
      <c r="V1665" s="9" t="s">
        <v>13284</v>
      </c>
      <c r="W1665" s="12"/>
      <c r="X1665" s="9" t="str">
        <f t="array" ref="X1665">IFERROR(INDEX('Адреса общежитий (скрытый)'!$B$2:$B$9, MATCH(W1665, 'Адреса общежитий (скрытый)'!$A$2:$A$9, 0)), "")</f>
        <v/>
      </c>
      <c r="Y1665" s="18"/>
      <c r="Z1665" s="18"/>
      <c r="AA1665" s="18"/>
      <c r="AB1665" s="18"/>
      <c r="AC1665" s="18"/>
    </row>
    <row r="1666" spans="1:29" ht="32.25" hidden="1" customHeight="1">
      <c r="A1666" s="8">
        <v>2303620</v>
      </c>
      <c r="B1666" s="9" t="s">
        <v>13284</v>
      </c>
      <c r="C1666" s="9" t="s">
        <v>13284</v>
      </c>
      <c r="D1666" s="9" t="s">
        <v>13284</v>
      </c>
      <c r="E1666" s="9" t="s">
        <v>13284</v>
      </c>
      <c r="F1666" s="9" t="s">
        <v>13284</v>
      </c>
      <c r="G1666" s="9" t="s">
        <v>13284</v>
      </c>
      <c r="H1666" s="9" t="s">
        <v>13284</v>
      </c>
      <c r="I1666" s="9" t="s">
        <v>13284</v>
      </c>
      <c r="J1666" s="9" t="s">
        <v>13284</v>
      </c>
      <c r="K1666" s="9" t="s">
        <v>13284</v>
      </c>
      <c r="L1666" s="9" t="s">
        <v>13284</v>
      </c>
      <c r="M1666" s="9" t="s">
        <v>13284</v>
      </c>
      <c r="N1666" s="9" t="s">
        <v>13284</v>
      </c>
      <c r="O1666" s="9" t="s">
        <v>13284</v>
      </c>
      <c r="P1666" s="9" t="s">
        <v>13284</v>
      </c>
      <c r="Q1666" s="9" t="s">
        <v>13284</v>
      </c>
      <c r="R1666" s="9" t="s">
        <v>13284</v>
      </c>
      <c r="S1666" s="9" t="s">
        <v>13284</v>
      </c>
      <c r="T1666" s="9" t="str">
        <f ca="1">IFERROR(IF(AND(VLOOKUP(A1666, 'Актуальное состояние (из общего'!A:C,3,0) = "", A1666 &lt;&gt; ""), "ПРОВЕРИТЬ", VLOOKUP(A1666, 'Актуальное состояние (из общего'!A:C,3,0)), "")</f>
        <v>Студент</v>
      </c>
      <c r="U1666" s="9" t="s">
        <v>13284</v>
      </c>
      <c r="V1666" s="9" t="s">
        <v>13284</v>
      </c>
      <c r="W1666" s="12"/>
      <c r="X1666" s="9" t="str">
        <f t="array" ref="X1666">IFERROR(INDEX('Адреса общежитий (скрытый)'!$B$2:$B$9, MATCH(W1666, 'Адреса общежитий (скрытый)'!$A$2:$A$9, 0)), "")</f>
        <v/>
      </c>
      <c r="Y1666" s="18"/>
      <c r="Z1666" s="18"/>
      <c r="AA1666" s="18"/>
      <c r="AB1666" s="18"/>
      <c r="AC1666" s="18"/>
    </row>
    <row r="1667" spans="1:29" ht="32.25" hidden="1" customHeight="1">
      <c r="A1667" s="8">
        <v>2308969</v>
      </c>
      <c r="B1667" s="9" t="s">
        <v>13284</v>
      </c>
      <c r="C1667" s="9" t="s">
        <v>13284</v>
      </c>
      <c r="D1667" s="9" t="s">
        <v>13284</v>
      </c>
      <c r="E1667" s="9" t="s">
        <v>13284</v>
      </c>
      <c r="F1667" s="9" t="s">
        <v>13284</v>
      </c>
      <c r="G1667" s="9" t="s">
        <v>13284</v>
      </c>
      <c r="H1667" s="9" t="s">
        <v>13284</v>
      </c>
      <c r="I1667" s="9" t="s">
        <v>13284</v>
      </c>
      <c r="J1667" s="9" t="s">
        <v>13284</v>
      </c>
      <c r="K1667" s="9" t="s">
        <v>13284</v>
      </c>
      <c r="L1667" s="9" t="s">
        <v>13284</v>
      </c>
      <c r="M1667" s="9" t="s">
        <v>13284</v>
      </c>
      <c r="N1667" s="9" t="s">
        <v>13284</v>
      </c>
      <c r="O1667" s="9" t="s">
        <v>13284</v>
      </c>
      <c r="P1667" s="9" t="s">
        <v>13284</v>
      </c>
      <c r="Q1667" s="9" t="s">
        <v>13284</v>
      </c>
      <c r="R1667" s="9" t="s">
        <v>13284</v>
      </c>
      <c r="S1667" s="9" t="s">
        <v>13284</v>
      </c>
      <c r="T1667" s="9" t="str">
        <f ca="1">IFERROR(IF(AND(VLOOKUP(A1667, 'Актуальное состояние (из общего'!A:C,3,0) = "", A1667 &lt;&gt; ""), "ПРОВЕРИТЬ", VLOOKUP(A1667, 'Актуальное состояние (из общего'!A:C,3,0)), "")</f>
        <v>Студент</v>
      </c>
      <c r="U1667" s="9" t="s">
        <v>13284</v>
      </c>
      <c r="V1667" s="9" t="s">
        <v>13284</v>
      </c>
      <c r="W1667" s="12"/>
      <c r="X1667" s="9" t="str">
        <f t="array" ref="X1667">IFERROR(INDEX('Адреса общежитий (скрытый)'!$B$2:$B$9, MATCH(W1667, 'Адреса общежитий (скрытый)'!$A$2:$A$9, 0)), "")</f>
        <v/>
      </c>
      <c r="Y1667" s="18"/>
      <c r="Z1667" s="18"/>
      <c r="AA1667" s="18"/>
      <c r="AB1667" s="18"/>
      <c r="AC1667" s="18"/>
    </row>
    <row r="1668" spans="1:29" ht="32.25" customHeight="1">
      <c r="A1668" s="8">
        <v>2304036</v>
      </c>
      <c r="B1668" s="9" t="s">
        <v>13284</v>
      </c>
      <c r="C1668" s="9" t="s">
        <v>13284</v>
      </c>
      <c r="D1668" s="9" t="s">
        <v>13284</v>
      </c>
      <c r="E1668" s="9" t="s">
        <v>13284</v>
      </c>
      <c r="F1668" s="9" t="s">
        <v>13284</v>
      </c>
      <c r="G1668" s="9" t="s">
        <v>13284</v>
      </c>
      <c r="H1668" s="9" t="s">
        <v>13284</v>
      </c>
      <c r="I1668" s="9" t="s">
        <v>13284</v>
      </c>
      <c r="J1668" s="9" t="s">
        <v>13284</v>
      </c>
      <c r="K1668" s="9" t="s">
        <v>13284</v>
      </c>
      <c r="L1668" s="9" t="s">
        <v>13284</v>
      </c>
      <c r="M1668" s="9" t="s">
        <v>13284</v>
      </c>
      <c r="N1668" s="9" t="s">
        <v>13284</v>
      </c>
      <c r="O1668" s="9" t="s">
        <v>13284</v>
      </c>
      <c r="P1668" s="9" t="s">
        <v>13284</v>
      </c>
      <c r="Q1668" s="9" t="s">
        <v>13284</v>
      </c>
      <c r="R1668" s="9" t="s">
        <v>13284</v>
      </c>
      <c r="S1668" s="9" t="s">
        <v>13284</v>
      </c>
      <c r="T1668" s="9" t="str">
        <f ca="1">IFERROR(IF(AND(VLOOKUP(A1668, 'Актуальное состояние (из общего'!A:C,3,0) = "", A1668 &lt;&gt; ""), "ПРОВЕРИТЬ", VLOOKUP(A1668, 'Актуальное состояние (из общего'!A:C,3,0)), "")</f>
        <v>Студент</v>
      </c>
      <c r="U1668" s="9" t="s">
        <v>13284</v>
      </c>
      <c r="V1668" s="9" t="s">
        <v>13284</v>
      </c>
      <c r="W1668" s="12"/>
      <c r="X1668" s="9" t="str">
        <f t="array" ref="X1668">IFERROR(INDEX('Адреса общежитий (скрытый)'!$B$2:$B$9, MATCH(W1668, 'Адреса общежитий (скрытый)'!$A$2:$A$9, 0)), "")</f>
        <v/>
      </c>
      <c r="Y1668" s="18"/>
      <c r="Z1668" s="18"/>
      <c r="AA1668" s="18"/>
      <c r="AB1668" s="18"/>
      <c r="AC1668" s="18"/>
    </row>
    <row r="1669" spans="1:29" ht="32.25" customHeight="1">
      <c r="A1669" s="8">
        <v>2304194</v>
      </c>
      <c r="B1669" s="9" t="s">
        <v>13284</v>
      </c>
      <c r="C1669" s="9" t="s">
        <v>13284</v>
      </c>
      <c r="D1669" s="9" t="s">
        <v>13284</v>
      </c>
      <c r="E1669" s="9" t="s">
        <v>13284</v>
      </c>
      <c r="F1669" s="9" t="s">
        <v>13284</v>
      </c>
      <c r="G1669" s="9" t="s">
        <v>13284</v>
      </c>
      <c r="H1669" s="9" t="s">
        <v>13284</v>
      </c>
      <c r="I1669" s="9" t="s">
        <v>13284</v>
      </c>
      <c r="J1669" s="9" t="s">
        <v>13284</v>
      </c>
      <c r="K1669" s="9" t="s">
        <v>13284</v>
      </c>
      <c r="L1669" s="9" t="s">
        <v>13284</v>
      </c>
      <c r="M1669" s="9" t="s">
        <v>13284</v>
      </c>
      <c r="N1669" s="9" t="s">
        <v>13284</v>
      </c>
      <c r="O1669" s="9" t="s">
        <v>13284</v>
      </c>
      <c r="P1669" s="9" t="s">
        <v>13284</v>
      </c>
      <c r="Q1669" s="9" t="s">
        <v>13284</v>
      </c>
      <c r="R1669" s="9" t="s">
        <v>13284</v>
      </c>
      <c r="S1669" s="9" t="s">
        <v>13284</v>
      </c>
      <c r="T1669" s="9" t="str">
        <f ca="1">IFERROR(IF(AND(VLOOKUP(A1669, 'Актуальное состояние (из общего'!A:C,3,0) = "", A1669 &lt;&gt; ""), "ПРОВЕРИТЬ", VLOOKUP(A1669, 'Актуальное состояние (из общего'!A:C,3,0)), "")</f>
        <v>Студент</v>
      </c>
      <c r="U1669" s="9" t="s">
        <v>13284</v>
      </c>
      <c r="V1669" s="9" t="s">
        <v>13284</v>
      </c>
      <c r="W1669" s="9" t="s">
        <v>319</v>
      </c>
      <c r="X1669" s="9" t="str">
        <f t="array" ref="X1669">IFERROR(INDEX('Адреса общежитий (скрытый)'!$B$2:$B$9, MATCH(W1669, 'Адреса общежитий (скрытый)'!$A$2:$A$9, 0)), "")</f>
        <v>ул. Профсоюзная, д.83, корп. 2</v>
      </c>
      <c r="Y1669" s="18"/>
      <c r="Z1669" s="18"/>
      <c r="AA1669" s="18"/>
      <c r="AB1669" s="18"/>
      <c r="AC1669" s="18"/>
    </row>
    <row r="1670" spans="1:29" ht="32.25" hidden="1" customHeight="1">
      <c r="A1670" s="8">
        <v>2309195</v>
      </c>
      <c r="B1670" s="9" t="s">
        <v>13284</v>
      </c>
      <c r="C1670" s="9" t="s">
        <v>13284</v>
      </c>
      <c r="D1670" s="9" t="s">
        <v>13284</v>
      </c>
      <c r="E1670" s="9" t="s">
        <v>13284</v>
      </c>
      <c r="F1670" s="9" t="s">
        <v>13284</v>
      </c>
      <c r="G1670" s="9" t="s">
        <v>13284</v>
      </c>
      <c r="H1670" s="9" t="s">
        <v>13284</v>
      </c>
      <c r="I1670" s="9" t="s">
        <v>13284</v>
      </c>
      <c r="J1670" s="9" t="s">
        <v>13284</v>
      </c>
      <c r="K1670" s="9" t="s">
        <v>13284</v>
      </c>
      <c r="L1670" s="9" t="s">
        <v>13284</v>
      </c>
      <c r="M1670" s="9" t="s">
        <v>13284</v>
      </c>
      <c r="N1670" s="9" t="s">
        <v>13284</v>
      </c>
      <c r="O1670" s="9" t="s">
        <v>13284</v>
      </c>
      <c r="P1670" s="9" t="s">
        <v>13284</v>
      </c>
      <c r="Q1670" s="9" t="s">
        <v>13284</v>
      </c>
      <c r="R1670" s="9" t="s">
        <v>13284</v>
      </c>
      <c r="S1670" s="9" t="s">
        <v>13284</v>
      </c>
      <c r="T1670" s="9" t="str">
        <f ca="1">IFERROR(IF(AND(VLOOKUP(A1670, 'Актуальное состояние (из общего'!A:C,3,0) = "", A1670 &lt;&gt; ""), "ПРОВЕРИТЬ", VLOOKUP(A1670, 'Актуальное состояние (из общего'!A:C,3,0)), "")</f>
        <v>Студент</v>
      </c>
      <c r="U1670" s="9" t="s">
        <v>13284</v>
      </c>
      <c r="V1670" s="9" t="s">
        <v>13284</v>
      </c>
      <c r="W1670" s="12"/>
      <c r="X1670" s="9" t="str">
        <f t="array" ref="X1670">IFERROR(INDEX('Адреса общежитий (скрытый)'!$B$2:$B$9, MATCH(W1670, 'Адреса общежитий (скрытый)'!$A$2:$A$9, 0)), "")</f>
        <v/>
      </c>
      <c r="Y1670" s="18"/>
      <c r="Z1670" s="18"/>
      <c r="AA1670" s="18"/>
      <c r="AB1670" s="18"/>
      <c r="AC1670" s="18"/>
    </row>
    <row r="1671" spans="1:29" ht="32.25" hidden="1" customHeight="1">
      <c r="A1671" s="8">
        <v>2312225</v>
      </c>
      <c r="B1671" s="9" t="s">
        <v>13284</v>
      </c>
      <c r="C1671" s="9" t="s">
        <v>13284</v>
      </c>
      <c r="D1671" s="9" t="s">
        <v>13284</v>
      </c>
      <c r="E1671" s="9" t="s">
        <v>13284</v>
      </c>
      <c r="F1671" s="9" t="s">
        <v>13284</v>
      </c>
      <c r="G1671" s="9" t="s">
        <v>13284</v>
      </c>
      <c r="H1671" s="9" t="s">
        <v>13284</v>
      </c>
      <c r="I1671" s="9" t="s">
        <v>13284</v>
      </c>
      <c r="J1671" s="9" t="s">
        <v>13284</v>
      </c>
      <c r="K1671" s="9" t="s">
        <v>13284</v>
      </c>
      <c r="L1671" s="9" t="s">
        <v>13284</v>
      </c>
      <c r="M1671" s="9" t="s">
        <v>13284</v>
      </c>
      <c r="N1671" s="9" t="s">
        <v>13284</v>
      </c>
      <c r="O1671" s="9" t="s">
        <v>13284</v>
      </c>
      <c r="P1671" s="9" t="s">
        <v>13284</v>
      </c>
      <c r="Q1671" s="9" t="s">
        <v>13284</v>
      </c>
      <c r="R1671" s="9" t="s">
        <v>13284</v>
      </c>
      <c r="S1671" s="9" t="s">
        <v>13284</v>
      </c>
      <c r="T1671" s="9" t="str">
        <f ca="1">IFERROR(IF(AND(VLOOKUP(A1671, 'Актуальное состояние (из общего'!A:C,3,0) = "", A1671 &lt;&gt; ""), "ПРОВЕРИТЬ", VLOOKUP(A1671, 'Актуальное состояние (из общего'!A:C,3,0)), "")</f>
        <v>Студент</v>
      </c>
      <c r="U1671" s="9" t="s">
        <v>13284</v>
      </c>
      <c r="V1671" s="9" t="s">
        <v>13284</v>
      </c>
      <c r="W1671" s="12"/>
      <c r="X1671" s="9" t="str">
        <f t="array" ref="X1671">IFERROR(INDEX('Адреса общежитий (скрытый)'!$B$2:$B$9, MATCH(W1671, 'Адреса общежитий (скрытый)'!$A$2:$A$9, 0)), "")</f>
        <v/>
      </c>
      <c r="Y1671" s="18"/>
      <c r="Z1671" s="18"/>
      <c r="AA1671" s="18"/>
      <c r="AB1671" s="18"/>
      <c r="AC1671" s="18"/>
    </row>
    <row r="1672" spans="1:29" ht="32.25" customHeight="1">
      <c r="A1672" s="8">
        <v>2303179</v>
      </c>
      <c r="B1672" s="9" t="s">
        <v>13284</v>
      </c>
      <c r="C1672" s="9" t="s">
        <v>13284</v>
      </c>
      <c r="D1672" s="9" t="s">
        <v>13284</v>
      </c>
      <c r="E1672" s="9" t="s">
        <v>13284</v>
      </c>
      <c r="F1672" s="9" t="s">
        <v>13284</v>
      </c>
      <c r="G1672" s="9" t="s">
        <v>13284</v>
      </c>
      <c r="H1672" s="9" t="s">
        <v>13284</v>
      </c>
      <c r="I1672" s="9" t="s">
        <v>13284</v>
      </c>
      <c r="J1672" s="9" t="s">
        <v>13284</v>
      </c>
      <c r="K1672" s="9" t="s">
        <v>13284</v>
      </c>
      <c r="L1672" s="9" t="s">
        <v>13284</v>
      </c>
      <c r="M1672" s="9" t="s">
        <v>13284</v>
      </c>
      <c r="N1672" s="9" t="s">
        <v>13284</v>
      </c>
      <c r="O1672" s="9" t="s">
        <v>13284</v>
      </c>
      <c r="P1672" s="9" t="s">
        <v>13284</v>
      </c>
      <c r="Q1672" s="9" t="s">
        <v>13284</v>
      </c>
      <c r="R1672" s="9" t="s">
        <v>13284</v>
      </c>
      <c r="S1672" s="9" t="s">
        <v>13284</v>
      </c>
      <c r="T1672" s="9" t="str">
        <f ca="1">IFERROR(IF(AND(VLOOKUP(A1672, 'Актуальное состояние (из общего'!A:C,3,0) = "", A1672 &lt;&gt; ""), "ПРОВЕРИТЬ", VLOOKUP(A1672, 'Актуальное состояние (из общего'!A:C,3,0)), "")</f>
        <v>Студент</v>
      </c>
      <c r="U1672" s="9" t="s">
        <v>13284</v>
      </c>
      <c r="V1672" s="9" t="s">
        <v>13284</v>
      </c>
      <c r="W1672" s="9" t="s">
        <v>319</v>
      </c>
      <c r="X1672" s="9" t="str">
        <f t="array" ref="X1672">IFERROR(INDEX('Адреса общежитий (скрытый)'!$B$2:$B$9, MATCH(W1672, 'Адреса общежитий (скрытый)'!$A$2:$A$9, 0)), "")</f>
        <v>ул. Профсоюзная, д.83, корп. 2</v>
      </c>
      <c r="Y1672" s="18"/>
      <c r="Z1672" s="18"/>
      <c r="AA1672" s="18"/>
      <c r="AB1672" s="18"/>
      <c r="AC1672" s="18"/>
    </row>
    <row r="1673" spans="1:29" ht="32.25" hidden="1" customHeight="1">
      <c r="A1673" s="8">
        <v>2313074</v>
      </c>
      <c r="B1673" s="9" t="s">
        <v>13284</v>
      </c>
      <c r="C1673" s="9" t="s">
        <v>13284</v>
      </c>
      <c r="D1673" s="9" t="s">
        <v>13284</v>
      </c>
      <c r="E1673" s="9" t="s">
        <v>13284</v>
      </c>
      <c r="F1673" s="9" t="s">
        <v>13284</v>
      </c>
      <c r="G1673" s="9" t="s">
        <v>13284</v>
      </c>
      <c r="H1673" s="9" t="s">
        <v>13284</v>
      </c>
      <c r="I1673" s="9" t="s">
        <v>13284</v>
      </c>
      <c r="J1673" s="9" t="s">
        <v>13284</v>
      </c>
      <c r="K1673" s="9" t="s">
        <v>13284</v>
      </c>
      <c r="L1673" s="9" t="s">
        <v>13284</v>
      </c>
      <c r="M1673" s="9" t="s">
        <v>13284</v>
      </c>
      <c r="N1673" s="9" t="s">
        <v>13284</v>
      </c>
      <c r="O1673" s="9" t="s">
        <v>13284</v>
      </c>
      <c r="P1673" s="9" t="s">
        <v>13284</v>
      </c>
      <c r="Q1673" s="9" t="s">
        <v>13284</v>
      </c>
      <c r="R1673" s="9" t="s">
        <v>13284</v>
      </c>
      <c r="S1673" s="9" t="s">
        <v>13284</v>
      </c>
      <c r="T1673" s="9" t="str">
        <f ca="1">IFERROR(IF(AND(VLOOKUP(A1673, 'Актуальное состояние (из общего'!A:C,3,0) = "", A1673 &lt;&gt; ""), "ПРОВЕРИТЬ", VLOOKUP(A1673, 'Актуальное состояние (из общего'!A:C,3,0)), "")</f>
        <v>Студент</v>
      </c>
      <c r="U1673" s="9" t="s">
        <v>13284</v>
      </c>
      <c r="V1673" s="9" t="s">
        <v>13284</v>
      </c>
      <c r="W1673" s="12"/>
      <c r="X1673" s="9" t="str">
        <f t="array" ref="X1673">IFERROR(INDEX('Адреса общежитий (скрытый)'!$B$2:$B$9, MATCH(W1673, 'Адреса общежитий (скрытый)'!$A$2:$A$9, 0)), "")</f>
        <v/>
      </c>
      <c r="Y1673" s="18"/>
      <c r="Z1673" s="18"/>
      <c r="AA1673" s="18"/>
      <c r="AB1673" s="18"/>
      <c r="AC1673" s="18"/>
    </row>
    <row r="1674" spans="1:29" ht="32.25" customHeight="1">
      <c r="A1674" s="8">
        <v>2302725</v>
      </c>
      <c r="B1674" s="9" t="s">
        <v>13284</v>
      </c>
      <c r="C1674" s="9" t="s">
        <v>13284</v>
      </c>
      <c r="D1674" s="9" t="s">
        <v>13284</v>
      </c>
      <c r="E1674" s="9" t="s">
        <v>13284</v>
      </c>
      <c r="F1674" s="9" t="s">
        <v>13284</v>
      </c>
      <c r="G1674" s="9" t="s">
        <v>13284</v>
      </c>
      <c r="H1674" s="9" t="s">
        <v>13284</v>
      </c>
      <c r="I1674" s="9" t="s">
        <v>13284</v>
      </c>
      <c r="J1674" s="9" t="s">
        <v>13284</v>
      </c>
      <c r="K1674" s="9" t="s">
        <v>13284</v>
      </c>
      <c r="L1674" s="9" t="s">
        <v>13284</v>
      </c>
      <c r="M1674" s="9" t="s">
        <v>13284</v>
      </c>
      <c r="N1674" s="9" t="s">
        <v>13284</v>
      </c>
      <c r="O1674" s="9" t="s">
        <v>13284</v>
      </c>
      <c r="P1674" s="9" t="s">
        <v>13284</v>
      </c>
      <c r="Q1674" s="9" t="s">
        <v>13284</v>
      </c>
      <c r="R1674" s="9" t="s">
        <v>13284</v>
      </c>
      <c r="S1674" s="9" t="s">
        <v>13284</v>
      </c>
      <c r="T1674" s="9" t="str">
        <f ca="1">IFERROR(IF(AND(VLOOKUP(A1674, 'Актуальное состояние (из общего'!A:C,3,0) = "", A1674 &lt;&gt; ""), "ПРОВЕРИТЬ", VLOOKUP(A1674, 'Актуальное состояние (из общего'!A:C,3,0)), "")</f>
        <v>Студент</v>
      </c>
      <c r="U1674" s="9" t="s">
        <v>13284</v>
      </c>
      <c r="V1674" s="9" t="s">
        <v>13284</v>
      </c>
      <c r="W1674" s="12"/>
      <c r="X1674" s="9" t="str">
        <f t="array" ref="X1674">IFERROR(INDEX('Адреса общежитий (скрытый)'!$B$2:$B$9, MATCH(W1674, 'Адреса общежитий (скрытый)'!$A$2:$A$9, 0)), "")</f>
        <v/>
      </c>
      <c r="Y1674" s="18"/>
      <c r="Z1674" s="18"/>
      <c r="AA1674" s="18"/>
      <c r="AB1674" s="18"/>
      <c r="AC1674" s="18"/>
    </row>
    <row r="1675" spans="1:29" ht="32.25" hidden="1" customHeight="1">
      <c r="A1675" s="8">
        <v>2310052</v>
      </c>
      <c r="B1675" s="9" t="s">
        <v>13284</v>
      </c>
      <c r="C1675" s="9" t="s">
        <v>13284</v>
      </c>
      <c r="D1675" s="9" t="s">
        <v>13284</v>
      </c>
      <c r="E1675" s="9" t="s">
        <v>13284</v>
      </c>
      <c r="F1675" s="9" t="s">
        <v>13284</v>
      </c>
      <c r="G1675" s="9" t="s">
        <v>13284</v>
      </c>
      <c r="H1675" s="9" t="s">
        <v>13284</v>
      </c>
      <c r="I1675" s="9" t="s">
        <v>13284</v>
      </c>
      <c r="J1675" s="9" t="s">
        <v>13284</v>
      </c>
      <c r="K1675" s="9" t="s">
        <v>13284</v>
      </c>
      <c r="L1675" s="9" t="s">
        <v>13284</v>
      </c>
      <c r="M1675" s="9" t="s">
        <v>13284</v>
      </c>
      <c r="N1675" s="9" t="s">
        <v>13284</v>
      </c>
      <c r="O1675" s="9" t="s">
        <v>13284</v>
      </c>
      <c r="P1675" s="9" t="s">
        <v>13284</v>
      </c>
      <c r="Q1675" s="9" t="s">
        <v>13284</v>
      </c>
      <c r="R1675" s="9" t="s">
        <v>13284</v>
      </c>
      <c r="S1675" s="9" t="s">
        <v>13284</v>
      </c>
      <c r="T1675" s="9" t="str">
        <f ca="1">IFERROR(IF(AND(VLOOKUP(A1675, 'Актуальное состояние (из общего'!A:C,3,0) = "", A1675 &lt;&gt; ""), "ПРОВЕРИТЬ", VLOOKUP(A1675, 'Актуальное состояние (из общего'!A:C,3,0)), "")</f>
        <v>Студент</v>
      </c>
      <c r="U1675" s="9" t="s">
        <v>13284</v>
      </c>
      <c r="V1675" s="9" t="s">
        <v>13284</v>
      </c>
      <c r="W1675" s="12"/>
      <c r="X1675" s="9" t="str">
        <f t="array" ref="X1675">IFERROR(INDEX('Адреса общежитий (скрытый)'!$B$2:$B$9, MATCH(W1675, 'Адреса общежитий (скрытый)'!$A$2:$A$9, 0)), "")</f>
        <v/>
      </c>
      <c r="Y1675" s="18"/>
      <c r="Z1675" s="18"/>
      <c r="AA1675" s="18"/>
      <c r="AB1675" s="18"/>
      <c r="AC1675" s="18"/>
    </row>
    <row r="1676" spans="1:29" ht="32.25" hidden="1" customHeight="1">
      <c r="A1676" s="8">
        <v>2309491</v>
      </c>
      <c r="B1676" s="9" t="s">
        <v>13284</v>
      </c>
      <c r="C1676" s="9" t="s">
        <v>13284</v>
      </c>
      <c r="D1676" s="9" t="s">
        <v>13284</v>
      </c>
      <c r="E1676" s="9" t="s">
        <v>13284</v>
      </c>
      <c r="F1676" s="9" t="s">
        <v>13284</v>
      </c>
      <c r="G1676" s="9" t="s">
        <v>13284</v>
      </c>
      <c r="H1676" s="9" t="s">
        <v>13284</v>
      </c>
      <c r="I1676" s="9" t="s">
        <v>13284</v>
      </c>
      <c r="J1676" s="9" t="s">
        <v>13284</v>
      </c>
      <c r="K1676" s="9" t="s">
        <v>13284</v>
      </c>
      <c r="L1676" s="9" t="s">
        <v>13284</v>
      </c>
      <c r="M1676" s="9" t="s">
        <v>13284</v>
      </c>
      <c r="N1676" s="9" t="s">
        <v>13284</v>
      </c>
      <c r="O1676" s="9" t="s">
        <v>13284</v>
      </c>
      <c r="P1676" s="9" t="s">
        <v>13284</v>
      </c>
      <c r="Q1676" s="9" t="s">
        <v>13284</v>
      </c>
      <c r="R1676" s="9" t="s">
        <v>13284</v>
      </c>
      <c r="S1676" s="9" t="s">
        <v>13284</v>
      </c>
      <c r="T1676" s="9" t="str">
        <f ca="1">IFERROR(IF(AND(VLOOKUP(A1676, 'Актуальное состояние (из общего'!A:C,3,0) = "", A1676 &lt;&gt; ""), "ПРОВЕРИТЬ", VLOOKUP(A1676, 'Актуальное состояние (из общего'!A:C,3,0)), "")</f>
        <v>Студент</v>
      </c>
      <c r="U1676" s="9" t="s">
        <v>13284</v>
      </c>
      <c r="V1676" s="9" t="s">
        <v>13284</v>
      </c>
      <c r="W1676" s="12"/>
      <c r="X1676" s="9" t="str">
        <f t="array" ref="X1676">IFERROR(INDEX('Адреса общежитий (скрытый)'!$B$2:$B$9, MATCH(W1676, 'Адреса общежитий (скрытый)'!$A$2:$A$9, 0)), "")</f>
        <v/>
      </c>
      <c r="Y1676" s="18"/>
      <c r="Z1676" s="18"/>
      <c r="AA1676" s="18"/>
      <c r="AB1676" s="18"/>
      <c r="AC1676" s="18"/>
    </row>
    <row r="1677" spans="1:29" ht="32.25" hidden="1" customHeight="1">
      <c r="A1677" s="8">
        <v>2304933</v>
      </c>
      <c r="B1677" s="9" t="s">
        <v>13284</v>
      </c>
      <c r="C1677" s="9" t="s">
        <v>13284</v>
      </c>
      <c r="D1677" s="9" t="s">
        <v>13284</v>
      </c>
      <c r="E1677" s="9" t="s">
        <v>13284</v>
      </c>
      <c r="F1677" s="9" t="s">
        <v>13284</v>
      </c>
      <c r="G1677" s="9" t="s">
        <v>13284</v>
      </c>
      <c r="H1677" s="9" t="s">
        <v>13284</v>
      </c>
      <c r="I1677" s="9" t="s">
        <v>13284</v>
      </c>
      <c r="J1677" s="9" t="s">
        <v>13284</v>
      </c>
      <c r="K1677" s="9" t="s">
        <v>13284</v>
      </c>
      <c r="L1677" s="9" t="s">
        <v>13284</v>
      </c>
      <c r="M1677" s="9" t="s">
        <v>13284</v>
      </c>
      <c r="N1677" s="9" t="s">
        <v>13284</v>
      </c>
      <c r="O1677" s="9" t="s">
        <v>13284</v>
      </c>
      <c r="P1677" s="9" t="s">
        <v>13284</v>
      </c>
      <c r="Q1677" s="9" t="s">
        <v>13284</v>
      </c>
      <c r="R1677" s="9" t="s">
        <v>13284</v>
      </c>
      <c r="S1677" s="9" t="s">
        <v>13284</v>
      </c>
      <c r="T1677" s="9" t="str">
        <f ca="1">IFERROR(IF(AND(VLOOKUP(A1677, 'Актуальное состояние (из общего'!A:C,3,0) = "", A1677 &lt;&gt; ""), "ПРОВЕРИТЬ", VLOOKUP(A1677, 'Актуальное состояние (из общего'!A:C,3,0)), "")</f>
        <v>Студент</v>
      </c>
      <c r="U1677" s="9" t="s">
        <v>13284</v>
      </c>
      <c r="V1677" s="9" t="s">
        <v>13284</v>
      </c>
      <c r="W1677" s="12"/>
      <c r="X1677" s="9" t="str">
        <f t="array" ref="X1677">IFERROR(INDEX('Адреса общежитий (скрытый)'!$B$2:$B$9, MATCH(W1677, 'Адреса общежитий (скрытый)'!$A$2:$A$9, 0)), "")</f>
        <v/>
      </c>
      <c r="Y1677" s="18"/>
      <c r="Z1677" s="18"/>
      <c r="AA1677" s="18"/>
      <c r="AB1677" s="18"/>
      <c r="AC1677" s="18"/>
    </row>
    <row r="1678" spans="1:29" ht="32.25" hidden="1" customHeight="1">
      <c r="A1678" s="8">
        <v>2306155</v>
      </c>
      <c r="B1678" s="9" t="s">
        <v>13284</v>
      </c>
      <c r="C1678" s="9" t="s">
        <v>13284</v>
      </c>
      <c r="D1678" s="9" t="s">
        <v>13284</v>
      </c>
      <c r="E1678" s="9" t="s">
        <v>13284</v>
      </c>
      <c r="F1678" s="9" t="s">
        <v>13284</v>
      </c>
      <c r="G1678" s="9" t="s">
        <v>13284</v>
      </c>
      <c r="H1678" s="9" t="s">
        <v>13284</v>
      </c>
      <c r="I1678" s="9" t="s">
        <v>13284</v>
      </c>
      <c r="J1678" s="9" t="s">
        <v>13284</v>
      </c>
      <c r="K1678" s="9" t="s">
        <v>13284</v>
      </c>
      <c r="L1678" s="9" t="s">
        <v>13284</v>
      </c>
      <c r="M1678" s="9" t="s">
        <v>13284</v>
      </c>
      <c r="N1678" s="9" t="s">
        <v>13284</v>
      </c>
      <c r="O1678" s="9" t="s">
        <v>13284</v>
      </c>
      <c r="P1678" s="9" t="s">
        <v>13284</v>
      </c>
      <c r="Q1678" s="9" t="s">
        <v>13284</v>
      </c>
      <c r="R1678" s="9" t="s">
        <v>13284</v>
      </c>
      <c r="S1678" s="9" t="s">
        <v>13284</v>
      </c>
      <c r="T1678" s="9" t="str">
        <f ca="1">IFERROR(IF(AND(VLOOKUP(A1678, 'Актуальное состояние (из общего'!A:C,3,0) = "", A1678 &lt;&gt; ""), "ПРОВЕРИТЬ", VLOOKUP(A1678, 'Актуальное состояние (из общего'!A:C,3,0)), "")</f>
        <v>Студент</v>
      </c>
      <c r="U1678" s="9" t="s">
        <v>13284</v>
      </c>
      <c r="V1678" s="9" t="s">
        <v>13284</v>
      </c>
      <c r="W1678" s="12"/>
      <c r="X1678" s="9" t="str">
        <f t="array" ref="X1678">IFERROR(INDEX('Адреса общежитий (скрытый)'!$B$2:$B$9, MATCH(W1678, 'Адреса общежитий (скрытый)'!$A$2:$A$9, 0)), "")</f>
        <v/>
      </c>
      <c r="Y1678" s="18"/>
      <c r="Z1678" s="18"/>
      <c r="AA1678" s="18"/>
      <c r="AB1678" s="18"/>
      <c r="AC1678" s="18"/>
    </row>
    <row r="1679" spans="1:29" ht="32.25" customHeight="1">
      <c r="A1679" s="8">
        <v>2302486</v>
      </c>
      <c r="B1679" s="9" t="s">
        <v>13284</v>
      </c>
      <c r="C1679" s="9" t="s">
        <v>13284</v>
      </c>
      <c r="D1679" s="9" t="s">
        <v>13284</v>
      </c>
      <c r="E1679" s="9" t="s">
        <v>13284</v>
      </c>
      <c r="F1679" s="9" t="s">
        <v>13284</v>
      </c>
      <c r="G1679" s="9" t="s">
        <v>13284</v>
      </c>
      <c r="H1679" s="9" t="s">
        <v>13284</v>
      </c>
      <c r="I1679" s="9" t="s">
        <v>13284</v>
      </c>
      <c r="J1679" s="9" t="s">
        <v>13284</v>
      </c>
      <c r="K1679" s="9" t="s">
        <v>13284</v>
      </c>
      <c r="L1679" s="9" t="s">
        <v>13284</v>
      </c>
      <c r="M1679" s="9" t="s">
        <v>13284</v>
      </c>
      <c r="N1679" s="9" t="s">
        <v>13284</v>
      </c>
      <c r="O1679" s="9" t="s">
        <v>13284</v>
      </c>
      <c r="P1679" s="9" t="s">
        <v>13284</v>
      </c>
      <c r="Q1679" s="9" t="s">
        <v>13284</v>
      </c>
      <c r="R1679" s="9" t="s">
        <v>13284</v>
      </c>
      <c r="S1679" s="9" t="s">
        <v>13284</v>
      </c>
      <c r="T1679" s="9" t="str">
        <f ca="1">IFERROR(IF(AND(VLOOKUP(A1679, 'Актуальное состояние (из общего'!A:C,3,0) = "", A1679 &lt;&gt; ""), "ПРОВЕРИТЬ", VLOOKUP(A1679, 'Актуальное состояние (из общего'!A:C,3,0)), "")</f>
        <v>Студент</v>
      </c>
      <c r="U1679" s="9" t="s">
        <v>13284</v>
      </c>
      <c r="V1679" s="9" t="s">
        <v>13284</v>
      </c>
      <c r="W1679" s="12"/>
      <c r="X1679" s="9" t="str">
        <f t="array" ref="X1679">IFERROR(INDEX('Адреса общежитий (скрытый)'!$B$2:$B$9, MATCH(W1679, 'Адреса общежитий (скрытый)'!$A$2:$A$9, 0)), "")</f>
        <v/>
      </c>
      <c r="Y1679" s="18"/>
      <c r="Z1679" s="18"/>
      <c r="AA1679" s="18"/>
      <c r="AB1679" s="18"/>
      <c r="AC1679" s="18"/>
    </row>
    <row r="1680" spans="1:29" ht="32.25" hidden="1" customHeight="1">
      <c r="A1680" s="8">
        <v>2315256</v>
      </c>
      <c r="B1680" s="9" t="s">
        <v>13284</v>
      </c>
      <c r="C1680" s="9" t="s">
        <v>13284</v>
      </c>
      <c r="D1680" s="9" t="s">
        <v>13284</v>
      </c>
      <c r="E1680" s="9" t="s">
        <v>13284</v>
      </c>
      <c r="F1680" s="9" t="s">
        <v>13284</v>
      </c>
      <c r="G1680" s="9" t="s">
        <v>13284</v>
      </c>
      <c r="H1680" s="9" t="s">
        <v>13284</v>
      </c>
      <c r="I1680" s="9" t="s">
        <v>13284</v>
      </c>
      <c r="J1680" s="9" t="s">
        <v>13284</v>
      </c>
      <c r="K1680" s="9" t="s">
        <v>13284</v>
      </c>
      <c r="L1680" s="9" t="s">
        <v>13284</v>
      </c>
      <c r="M1680" s="9" t="s">
        <v>13284</v>
      </c>
      <c r="N1680" s="9" t="s">
        <v>13284</v>
      </c>
      <c r="O1680" s="9" t="s">
        <v>13284</v>
      </c>
      <c r="P1680" s="9" t="s">
        <v>13284</v>
      </c>
      <c r="Q1680" s="9" t="s">
        <v>13284</v>
      </c>
      <c r="R1680" s="9" t="s">
        <v>13284</v>
      </c>
      <c r="S1680" s="9" t="s">
        <v>13284</v>
      </c>
      <c r="T1680" s="9" t="str">
        <f ca="1">IFERROR(IF(AND(VLOOKUP(A1680, 'Актуальное состояние (из общего'!A:C,3,0) = "", A1680 &lt;&gt; ""), "ПРОВЕРИТЬ", VLOOKUP(A1680, 'Актуальное состояние (из общего'!A:C,3,0)), "")</f>
        <v>Студент</v>
      </c>
      <c r="U1680" s="9" t="s">
        <v>13284</v>
      </c>
      <c r="V1680" s="9" t="s">
        <v>13284</v>
      </c>
      <c r="W1680" s="12"/>
      <c r="X1680" s="9" t="str">
        <f t="array" ref="X1680">IFERROR(INDEX('Адреса общежитий (скрытый)'!$B$2:$B$9, MATCH(W1680, 'Адреса общежитий (скрытый)'!$A$2:$A$9, 0)), "")</f>
        <v/>
      </c>
      <c r="Y1680" s="18"/>
      <c r="Z1680" s="18"/>
      <c r="AA1680" s="18"/>
      <c r="AB1680" s="18"/>
      <c r="AC1680" s="18"/>
    </row>
    <row r="1681" spans="1:29" ht="32.25" hidden="1" customHeight="1">
      <c r="A1681" s="8">
        <v>2315487</v>
      </c>
      <c r="B1681" s="9" t="s">
        <v>13284</v>
      </c>
      <c r="C1681" s="9" t="s">
        <v>13284</v>
      </c>
      <c r="D1681" s="9" t="s">
        <v>13284</v>
      </c>
      <c r="E1681" s="9" t="s">
        <v>13284</v>
      </c>
      <c r="F1681" s="9" t="s">
        <v>13284</v>
      </c>
      <c r="G1681" s="9" t="s">
        <v>13284</v>
      </c>
      <c r="H1681" s="9" t="s">
        <v>13284</v>
      </c>
      <c r="I1681" s="9" t="s">
        <v>13284</v>
      </c>
      <c r="J1681" s="9" t="s">
        <v>13284</v>
      </c>
      <c r="K1681" s="9" t="s">
        <v>13284</v>
      </c>
      <c r="L1681" s="9" t="s">
        <v>13284</v>
      </c>
      <c r="M1681" s="9" t="s">
        <v>13284</v>
      </c>
      <c r="N1681" s="9" t="s">
        <v>13284</v>
      </c>
      <c r="O1681" s="9" t="s">
        <v>13284</v>
      </c>
      <c r="P1681" s="9" t="s">
        <v>13284</v>
      </c>
      <c r="Q1681" s="9" t="s">
        <v>13284</v>
      </c>
      <c r="R1681" s="9" t="s">
        <v>13284</v>
      </c>
      <c r="S1681" s="9" t="s">
        <v>13284</v>
      </c>
      <c r="T1681" s="9" t="str">
        <f ca="1">IFERROR(IF(AND(VLOOKUP(A1681, 'Актуальное состояние (из общего'!A:C,3,0) = "", A1681 &lt;&gt; ""), "ПРОВЕРИТЬ", VLOOKUP(A1681, 'Актуальное состояние (из общего'!A:C,3,0)), "")</f>
        <v>Студент</v>
      </c>
      <c r="U1681" s="9" t="s">
        <v>13284</v>
      </c>
      <c r="V1681" s="9" t="s">
        <v>13284</v>
      </c>
      <c r="W1681" s="12"/>
      <c r="X1681" s="9" t="str">
        <f t="array" ref="X1681">IFERROR(INDEX('Адреса общежитий (скрытый)'!$B$2:$B$9, MATCH(W1681, 'Адреса общежитий (скрытый)'!$A$2:$A$9, 0)), "")</f>
        <v/>
      </c>
      <c r="Y1681" s="18"/>
      <c r="Z1681" s="18"/>
      <c r="AA1681" s="18"/>
      <c r="AB1681" s="18"/>
      <c r="AC1681" s="18"/>
    </row>
    <row r="1682" spans="1:29" ht="32.25" customHeight="1">
      <c r="A1682" s="8">
        <v>2309413</v>
      </c>
      <c r="B1682" s="9" t="s">
        <v>13284</v>
      </c>
      <c r="C1682" s="9" t="s">
        <v>13284</v>
      </c>
      <c r="D1682" s="9" t="s">
        <v>13284</v>
      </c>
      <c r="E1682" s="9" t="s">
        <v>13284</v>
      </c>
      <c r="F1682" s="9" t="s">
        <v>13284</v>
      </c>
      <c r="G1682" s="9" t="s">
        <v>13284</v>
      </c>
      <c r="H1682" s="9" t="s">
        <v>13284</v>
      </c>
      <c r="I1682" s="9" t="s">
        <v>13284</v>
      </c>
      <c r="J1682" s="9" t="s">
        <v>13284</v>
      </c>
      <c r="K1682" s="9" t="s">
        <v>13284</v>
      </c>
      <c r="L1682" s="9" t="s">
        <v>13284</v>
      </c>
      <c r="M1682" s="9" t="s">
        <v>13284</v>
      </c>
      <c r="N1682" s="9" t="s">
        <v>13284</v>
      </c>
      <c r="O1682" s="9" t="s">
        <v>13284</v>
      </c>
      <c r="P1682" s="9" t="s">
        <v>13284</v>
      </c>
      <c r="Q1682" s="9" t="s">
        <v>13284</v>
      </c>
      <c r="R1682" s="9" t="s">
        <v>13284</v>
      </c>
      <c r="S1682" s="9" t="s">
        <v>13284</v>
      </c>
      <c r="T1682" s="9" t="str">
        <f ca="1">IFERROR(IF(AND(VLOOKUP(A1682, 'Актуальное состояние (из общего'!A:C,3,0) = "", A1682 &lt;&gt; ""), "ПРОВЕРИТЬ", VLOOKUP(A1682, 'Актуальное состояние (из общего'!A:C,3,0)), "")</f>
        <v>Студент</v>
      </c>
      <c r="U1682" s="9" t="s">
        <v>13284</v>
      </c>
      <c r="V1682" s="9" t="s">
        <v>13284</v>
      </c>
      <c r="W1682" s="12"/>
      <c r="X1682" s="9" t="str">
        <f t="array" ref="X1682">IFERROR(INDEX('Адреса общежитий (скрытый)'!$B$2:$B$9, MATCH(W1682, 'Адреса общежитий (скрытый)'!$A$2:$A$9, 0)), "")</f>
        <v/>
      </c>
      <c r="Y1682" s="18"/>
      <c r="Z1682" s="18"/>
      <c r="AA1682" s="18"/>
      <c r="AB1682" s="18"/>
      <c r="AC1682" s="18"/>
    </row>
    <row r="1683" spans="1:29" ht="32.25" hidden="1" customHeight="1">
      <c r="A1683" s="8">
        <v>2302747</v>
      </c>
      <c r="B1683" s="9" t="s">
        <v>13284</v>
      </c>
      <c r="C1683" s="9" t="s">
        <v>13284</v>
      </c>
      <c r="D1683" s="9" t="s">
        <v>13284</v>
      </c>
      <c r="E1683" s="9" t="s">
        <v>13284</v>
      </c>
      <c r="F1683" s="9" t="s">
        <v>13284</v>
      </c>
      <c r="G1683" s="9" t="s">
        <v>13284</v>
      </c>
      <c r="H1683" s="9" t="s">
        <v>13284</v>
      </c>
      <c r="I1683" s="9" t="s">
        <v>13284</v>
      </c>
      <c r="J1683" s="9" t="s">
        <v>13284</v>
      </c>
      <c r="K1683" s="9" t="s">
        <v>13284</v>
      </c>
      <c r="L1683" s="9" t="s">
        <v>13284</v>
      </c>
      <c r="M1683" s="9" t="s">
        <v>13284</v>
      </c>
      <c r="N1683" s="9" t="s">
        <v>13284</v>
      </c>
      <c r="O1683" s="9" t="s">
        <v>13284</v>
      </c>
      <c r="P1683" s="9" t="s">
        <v>13284</v>
      </c>
      <c r="Q1683" s="9" t="s">
        <v>13284</v>
      </c>
      <c r="R1683" s="9" t="s">
        <v>13284</v>
      </c>
      <c r="S1683" s="9" t="s">
        <v>13284</v>
      </c>
      <c r="T1683" s="9" t="str">
        <f ca="1">IFERROR(IF(AND(VLOOKUP(A1683, 'Актуальное состояние (из общего'!A:C,3,0) = "", A1683 &lt;&gt; ""), "ПРОВЕРИТЬ", VLOOKUP(A1683, 'Актуальное состояние (из общего'!A:C,3,0)), "")</f>
        <v>Студент</v>
      </c>
      <c r="U1683" s="9" t="s">
        <v>13284</v>
      </c>
      <c r="V1683" s="9" t="s">
        <v>13284</v>
      </c>
      <c r="W1683" s="12"/>
      <c r="X1683" s="9" t="str">
        <f t="array" ref="X1683">IFERROR(INDEX('Адреса общежитий (скрытый)'!$B$2:$B$9, MATCH(W1683, 'Адреса общежитий (скрытый)'!$A$2:$A$9, 0)), "")</f>
        <v/>
      </c>
      <c r="Y1683" s="18"/>
      <c r="Z1683" s="18"/>
      <c r="AA1683" s="18"/>
      <c r="AB1683" s="18"/>
      <c r="AC1683" s="18"/>
    </row>
    <row r="1684" spans="1:29" ht="32.25" hidden="1" customHeight="1">
      <c r="A1684" s="17"/>
      <c r="B1684" s="9" t="s">
        <v>13284</v>
      </c>
      <c r="C1684" s="9" t="s">
        <v>13284</v>
      </c>
      <c r="D1684" s="9" t="s">
        <v>13284</v>
      </c>
      <c r="E1684" s="9" t="s">
        <v>13284</v>
      </c>
      <c r="F1684" s="9" t="s">
        <v>13284</v>
      </c>
      <c r="G1684" s="9" t="s">
        <v>13284</v>
      </c>
      <c r="H1684" s="9" t="s">
        <v>13284</v>
      </c>
      <c r="I1684" s="9" t="s">
        <v>13284</v>
      </c>
      <c r="J1684" s="9" t="s">
        <v>13284</v>
      </c>
      <c r="K1684" s="9" t="s">
        <v>13284</v>
      </c>
      <c r="L1684" s="9" t="s">
        <v>13284</v>
      </c>
      <c r="M1684" s="9" t="s">
        <v>13284</v>
      </c>
      <c r="N1684" s="9" t="s">
        <v>13284</v>
      </c>
      <c r="O1684" s="9" t="s">
        <v>13284</v>
      </c>
      <c r="P1684" s="9" t="s">
        <v>13284</v>
      </c>
      <c r="Q1684" s="9" t="s">
        <v>13284</v>
      </c>
      <c r="R1684" s="9" t="s">
        <v>13284</v>
      </c>
      <c r="S1684" s="9" t="s">
        <v>13284</v>
      </c>
      <c r="T1684" s="9" t="str">
        <f ca="1">IFERROR(IF(AND(VLOOKUP(A1684, 'Актуальное состояние (из общего'!A:C,3,0) = "", A1684 &lt;&gt; ""), "ПРОВЕРИТЬ", VLOOKUP(A1684, 'Актуальное состояние (из общего'!A:C,3,0)), "")</f>
        <v/>
      </c>
      <c r="U1684" s="9" t="s">
        <v>13284</v>
      </c>
      <c r="V1684" s="9" t="s">
        <v>13284</v>
      </c>
      <c r="W1684" s="12"/>
      <c r="X1684" s="9" t="str">
        <f t="array" ref="X1684">IFERROR(INDEX('Адреса общежитий (скрытый)'!$B$2:$B$9, MATCH(W1684, 'Адреса общежитий (скрытый)'!$A$2:$A$9, 0)), "")</f>
        <v/>
      </c>
      <c r="Y1684" s="18"/>
      <c r="Z1684" s="18"/>
      <c r="AA1684" s="18"/>
      <c r="AB1684" s="18"/>
      <c r="AC1684" s="18"/>
    </row>
    <row r="1685" spans="1:29" ht="32.25" hidden="1" customHeight="1">
      <c r="A1685" s="17"/>
      <c r="B1685" s="9" t="s">
        <v>13284</v>
      </c>
      <c r="C1685" s="9" t="s">
        <v>13284</v>
      </c>
      <c r="D1685" s="9" t="s">
        <v>13284</v>
      </c>
      <c r="E1685" s="9" t="s">
        <v>13284</v>
      </c>
      <c r="F1685" s="9" t="s">
        <v>13284</v>
      </c>
      <c r="G1685" s="9" t="s">
        <v>13284</v>
      </c>
      <c r="H1685" s="9" t="s">
        <v>13284</v>
      </c>
      <c r="I1685" s="9" t="s">
        <v>13284</v>
      </c>
      <c r="J1685" s="9" t="s">
        <v>13284</v>
      </c>
      <c r="K1685" s="9" t="s">
        <v>13284</v>
      </c>
      <c r="L1685" s="9" t="s">
        <v>13284</v>
      </c>
      <c r="M1685" s="9" t="s">
        <v>13284</v>
      </c>
      <c r="N1685" s="9" t="s">
        <v>13284</v>
      </c>
      <c r="O1685" s="9" t="s">
        <v>13284</v>
      </c>
      <c r="P1685" s="9" t="s">
        <v>13284</v>
      </c>
      <c r="Q1685" s="9" t="s">
        <v>13284</v>
      </c>
      <c r="R1685" s="9" t="s">
        <v>13284</v>
      </c>
      <c r="S1685" s="9" t="s">
        <v>13284</v>
      </c>
      <c r="T1685" s="9" t="str">
        <f ca="1">IFERROR(IF(AND(VLOOKUP(A1685, 'Актуальное состояние (из общего'!A:C,3,0) = "", A1685 &lt;&gt; ""), "ПРОВЕРИТЬ", VLOOKUP(A1685, 'Актуальное состояние (из общего'!A:C,3,0)), "")</f>
        <v/>
      </c>
      <c r="U1685" s="9" t="s">
        <v>13284</v>
      </c>
      <c r="V1685" s="9" t="s">
        <v>13284</v>
      </c>
      <c r="W1685" s="12"/>
      <c r="X1685" s="9" t="str">
        <f t="array" ref="X1685">IFERROR(INDEX('Адреса общежитий (скрытый)'!$B$2:$B$9, MATCH(W1685, 'Адреса общежитий (скрытый)'!$A$2:$A$9, 0)), "")</f>
        <v/>
      </c>
      <c r="Y1685" s="18"/>
      <c r="Z1685" s="18"/>
      <c r="AA1685" s="18"/>
      <c r="AB1685" s="18"/>
      <c r="AC1685" s="18"/>
    </row>
    <row r="1686" spans="1:29" ht="32.25" hidden="1" customHeight="1">
      <c r="A1686" s="17"/>
      <c r="B1686" s="9" t="s">
        <v>13284</v>
      </c>
      <c r="C1686" s="9" t="s">
        <v>13284</v>
      </c>
      <c r="D1686" s="9" t="s">
        <v>13284</v>
      </c>
      <c r="E1686" s="9" t="s">
        <v>13284</v>
      </c>
      <c r="F1686" s="9" t="s">
        <v>13284</v>
      </c>
      <c r="G1686" s="9" t="s">
        <v>13284</v>
      </c>
      <c r="H1686" s="9" t="s">
        <v>13284</v>
      </c>
      <c r="I1686" s="9" t="s">
        <v>13284</v>
      </c>
      <c r="J1686" s="9" t="s">
        <v>13284</v>
      </c>
      <c r="K1686" s="9" t="s">
        <v>13284</v>
      </c>
      <c r="L1686" s="9" t="s">
        <v>13284</v>
      </c>
      <c r="M1686" s="9" t="s">
        <v>13284</v>
      </c>
      <c r="N1686" s="9" t="s">
        <v>13284</v>
      </c>
      <c r="O1686" s="9" t="s">
        <v>13284</v>
      </c>
      <c r="P1686" s="9" t="s">
        <v>13284</v>
      </c>
      <c r="Q1686" s="9" t="s">
        <v>13284</v>
      </c>
      <c r="R1686" s="9" t="s">
        <v>13284</v>
      </c>
      <c r="S1686" s="9" t="s">
        <v>13284</v>
      </c>
      <c r="T1686" s="9" t="str">
        <f ca="1">IFERROR(IF(AND(VLOOKUP(A1686, 'Актуальное состояние (из общего'!A:C,3,0) = "", A1686 &lt;&gt; ""), "ПРОВЕРИТЬ", VLOOKUP(A1686, 'Актуальное состояние (из общего'!A:C,3,0)), "")</f>
        <v/>
      </c>
      <c r="U1686" s="9" t="s">
        <v>13284</v>
      </c>
      <c r="V1686" s="9" t="s">
        <v>13284</v>
      </c>
      <c r="W1686" s="12"/>
      <c r="X1686" s="9" t="str">
        <f t="array" ref="X1686">IFERROR(INDEX('Адреса общежитий (скрытый)'!$B$2:$B$9, MATCH(W1686, 'Адреса общежитий (скрытый)'!$A$2:$A$9, 0)), "")</f>
        <v/>
      </c>
      <c r="Y1686" s="18"/>
      <c r="Z1686" s="18"/>
      <c r="AA1686" s="18"/>
      <c r="AB1686" s="18"/>
      <c r="AC1686" s="18"/>
    </row>
    <row r="1687" spans="1:29" ht="32.25" hidden="1" customHeight="1">
      <c r="A1687" s="17"/>
      <c r="B1687" s="9" t="s">
        <v>13284</v>
      </c>
      <c r="C1687" s="9" t="s">
        <v>13284</v>
      </c>
      <c r="D1687" s="9" t="s">
        <v>13284</v>
      </c>
      <c r="E1687" s="9" t="s">
        <v>13284</v>
      </c>
      <c r="F1687" s="9" t="s">
        <v>13284</v>
      </c>
      <c r="G1687" s="9" t="s">
        <v>13284</v>
      </c>
      <c r="H1687" s="9" t="s">
        <v>13284</v>
      </c>
      <c r="I1687" s="9" t="s">
        <v>13284</v>
      </c>
      <c r="J1687" s="9" t="s">
        <v>13284</v>
      </c>
      <c r="K1687" s="9" t="s">
        <v>13284</v>
      </c>
      <c r="L1687" s="9" t="s">
        <v>13284</v>
      </c>
      <c r="M1687" s="9" t="s">
        <v>13284</v>
      </c>
      <c r="N1687" s="9" t="s">
        <v>13284</v>
      </c>
      <c r="O1687" s="9" t="s">
        <v>13284</v>
      </c>
      <c r="P1687" s="9" t="s">
        <v>13284</v>
      </c>
      <c r="Q1687" s="9" t="s">
        <v>13284</v>
      </c>
      <c r="R1687" s="9" t="s">
        <v>13284</v>
      </c>
      <c r="S1687" s="9" t="s">
        <v>13284</v>
      </c>
      <c r="T1687" s="9" t="str">
        <f ca="1">IFERROR(IF(AND(VLOOKUP(A1687, 'Актуальное состояние (из общего'!A:C,3,0) = "", A1687 &lt;&gt; ""), "ПРОВЕРИТЬ", VLOOKUP(A1687, 'Актуальное состояние (из общего'!A:C,3,0)), "")</f>
        <v/>
      </c>
      <c r="U1687" s="9" t="s">
        <v>13284</v>
      </c>
      <c r="V1687" s="9" t="s">
        <v>13284</v>
      </c>
      <c r="W1687" s="12"/>
      <c r="X1687" s="9" t="str">
        <f t="array" ref="X1687">IFERROR(INDEX('Адреса общежитий (скрытый)'!$B$2:$B$9, MATCH(W1687, 'Адреса общежитий (скрытый)'!$A$2:$A$9, 0)), "")</f>
        <v/>
      </c>
      <c r="Y1687" s="18"/>
      <c r="Z1687" s="18"/>
      <c r="AA1687" s="18"/>
      <c r="AB1687" s="18"/>
      <c r="AC1687" s="18"/>
    </row>
    <row r="1688" spans="1:29" ht="32.25" hidden="1" customHeight="1">
      <c r="A1688" s="17"/>
      <c r="B1688" s="9" t="s">
        <v>13284</v>
      </c>
      <c r="C1688" s="9" t="s">
        <v>13284</v>
      </c>
      <c r="D1688" s="9" t="s">
        <v>13284</v>
      </c>
      <c r="E1688" s="9" t="s">
        <v>13284</v>
      </c>
      <c r="F1688" s="9" t="s">
        <v>13284</v>
      </c>
      <c r="G1688" s="9" t="s">
        <v>13284</v>
      </c>
      <c r="H1688" s="9" t="s">
        <v>13284</v>
      </c>
      <c r="I1688" s="9" t="s">
        <v>13284</v>
      </c>
      <c r="J1688" s="9" t="s">
        <v>13284</v>
      </c>
      <c r="K1688" s="9" t="s">
        <v>13284</v>
      </c>
      <c r="L1688" s="9" t="s">
        <v>13284</v>
      </c>
      <c r="M1688" s="9" t="s">
        <v>13284</v>
      </c>
      <c r="N1688" s="9" t="s">
        <v>13284</v>
      </c>
      <c r="O1688" s="9" t="s">
        <v>13284</v>
      </c>
      <c r="P1688" s="9" t="s">
        <v>13284</v>
      </c>
      <c r="Q1688" s="9" t="s">
        <v>13284</v>
      </c>
      <c r="R1688" s="9" t="s">
        <v>13284</v>
      </c>
      <c r="S1688" s="9" t="s">
        <v>13284</v>
      </c>
      <c r="T1688" s="9" t="str">
        <f ca="1">IFERROR(IF(AND(VLOOKUP(A1688, 'Актуальное состояние (из общего'!A:C,3,0) = "", A1688 &lt;&gt; ""), "ПРОВЕРИТЬ", VLOOKUP(A1688, 'Актуальное состояние (из общего'!A:C,3,0)), "")</f>
        <v/>
      </c>
      <c r="U1688" s="9" t="s">
        <v>13284</v>
      </c>
      <c r="V1688" s="9" t="s">
        <v>13284</v>
      </c>
      <c r="W1688" s="12"/>
      <c r="X1688" s="9" t="str">
        <f t="array" ref="X1688">IFERROR(INDEX('Адреса общежитий (скрытый)'!$B$2:$B$9, MATCH(W1688, 'Адреса общежитий (скрытый)'!$A$2:$A$9, 0)), "")</f>
        <v/>
      </c>
      <c r="Y1688" s="18"/>
      <c r="Z1688" s="18"/>
      <c r="AA1688" s="18"/>
      <c r="AB1688" s="18"/>
      <c r="AC1688" s="18"/>
    </row>
    <row r="1689" spans="1:29" ht="32.25" hidden="1" customHeight="1">
      <c r="A1689" s="17"/>
      <c r="B1689" s="9" t="s">
        <v>13284</v>
      </c>
      <c r="C1689" s="9" t="s">
        <v>13284</v>
      </c>
      <c r="D1689" s="9" t="s">
        <v>13284</v>
      </c>
      <c r="E1689" s="9" t="s">
        <v>13284</v>
      </c>
      <c r="F1689" s="9" t="s">
        <v>13284</v>
      </c>
      <c r="G1689" s="9" t="s">
        <v>13284</v>
      </c>
      <c r="H1689" s="9" t="s">
        <v>13284</v>
      </c>
      <c r="I1689" s="9" t="s">
        <v>13284</v>
      </c>
      <c r="J1689" s="9" t="s">
        <v>13284</v>
      </c>
      <c r="K1689" s="9" t="s">
        <v>13284</v>
      </c>
      <c r="L1689" s="9" t="s">
        <v>13284</v>
      </c>
      <c r="M1689" s="9" t="s">
        <v>13284</v>
      </c>
      <c r="N1689" s="9" t="s">
        <v>13284</v>
      </c>
      <c r="O1689" s="9" t="s">
        <v>13284</v>
      </c>
      <c r="P1689" s="9" t="s">
        <v>13284</v>
      </c>
      <c r="Q1689" s="9" t="s">
        <v>13284</v>
      </c>
      <c r="R1689" s="9" t="s">
        <v>13284</v>
      </c>
      <c r="S1689" s="9" t="s">
        <v>13284</v>
      </c>
      <c r="T1689" s="9" t="str">
        <f ca="1">IFERROR(IF(AND(VLOOKUP(A1689, 'Актуальное состояние (из общего'!A:C,3,0) = "", A1689 &lt;&gt; ""), "ПРОВЕРИТЬ", VLOOKUP(A1689, 'Актуальное состояние (из общего'!A:C,3,0)), "")</f>
        <v/>
      </c>
      <c r="U1689" s="9" t="s">
        <v>13284</v>
      </c>
      <c r="V1689" s="9" t="s">
        <v>13284</v>
      </c>
      <c r="W1689" s="12"/>
      <c r="X1689" s="9" t="str">
        <f t="array" ref="X1689">IFERROR(INDEX('Адреса общежитий (скрытый)'!$B$2:$B$9, MATCH(W1689, 'Адреса общежитий (скрытый)'!$A$2:$A$9, 0)), "")</f>
        <v/>
      </c>
      <c r="Y1689" s="18"/>
      <c r="Z1689" s="18"/>
      <c r="AA1689" s="18"/>
      <c r="AB1689" s="18"/>
      <c r="AC1689" s="18"/>
    </row>
    <row r="1690" spans="1:29" ht="32.25" hidden="1" customHeight="1">
      <c r="A1690" s="17"/>
      <c r="B1690" s="9" t="s">
        <v>13284</v>
      </c>
      <c r="C1690" s="9" t="s">
        <v>13284</v>
      </c>
      <c r="D1690" s="9" t="s">
        <v>13284</v>
      </c>
      <c r="E1690" s="9" t="s">
        <v>13284</v>
      </c>
      <c r="F1690" s="9" t="s">
        <v>13284</v>
      </c>
      <c r="G1690" s="9" t="s">
        <v>13284</v>
      </c>
      <c r="H1690" s="9" t="s">
        <v>13284</v>
      </c>
      <c r="I1690" s="9" t="s">
        <v>13284</v>
      </c>
      <c r="J1690" s="9" t="s">
        <v>13284</v>
      </c>
      <c r="K1690" s="9" t="s">
        <v>13284</v>
      </c>
      <c r="L1690" s="9" t="s">
        <v>13284</v>
      </c>
      <c r="M1690" s="9" t="s">
        <v>13284</v>
      </c>
      <c r="N1690" s="9" t="s">
        <v>13284</v>
      </c>
      <c r="O1690" s="9" t="s">
        <v>13284</v>
      </c>
      <c r="P1690" s="9" t="s">
        <v>13284</v>
      </c>
      <c r="Q1690" s="9" t="s">
        <v>13284</v>
      </c>
      <c r="R1690" s="9" t="s">
        <v>13284</v>
      </c>
      <c r="S1690" s="9" t="s">
        <v>13284</v>
      </c>
      <c r="T1690" s="9" t="str">
        <f ca="1">IFERROR(IF(AND(VLOOKUP(A1690, 'Актуальное состояние (из общего'!A:C,3,0) = "", A1690 &lt;&gt; ""), "ПРОВЕРИТЬ", VLOOKUP(A1690, 'Актуальное состояние (из общего'!A:C,3,0)), "")</f>
        <v/>
      </c>
      <c r="U1690" s="9" t="s">
        <v>13284</v>
      </c>
      <c r="V1690" s="9" t="s">
        <v>13284</v>
      </c>
      <c r="W1690" s="12"/>
      <c r="X1690" s="9" t="str">
        <f t="array" ref="X1690">IFERROR(INDEX('Адреса общежитий (скрытый)'!$B$2:$B$9, MATCH(W1690, 'Адреса общежитий (скрытый)'!$A$2:$A$9, 0)), "")</f>
        <v/>
      </c>
      <c r="Y1690" s="18"/>
      <c r="Z1690" s="18"/>
      <c r="AA1690" s="18"/>
      <c r="AB1690" s="18"/>
      <c r="AC1690" s="18"/>
    </row>
    <row r="1691" spans="1:29" ht="32.25" hidden="1" customHeight="1">
      <c r="A1691" s="17"/>
      <c r="B1691" s="9" t="s">
        <v>13284</v>
      </c>
      <c r="C1691" s="9" t="s">
        <v>13284</v>
      </c>
      <c r="D1691" s="9" t="s">
        <v>13284</v>
      </c>
      <c r="E1691" s="9" t="s">
        <v>13284</v>
      </c>
      <c r="F1691" s="9" t="s">
        <v>13284</v>
      </c>
      <c r="G1691" s="9" t="s">
        <v>13284</v>
      </c>
      <c r="H1691" s="9" t="s">
        <v>13284</v>
      </c>
      <c r="I1691" s="9" t="s">
        <v>13284</v>
      </c>
      <c r="J1691" s="9" t="s">
        <v>13284</v>
      </c>
      <c r="K1691" s="9" t="s">
        <v>13284</v>
      </c>
      <c r="L1691" s="9" t="s">
        <v>13284</v>
      </c>
      <c r="M1691" s="9" t="s">
        <v>13284</v>
      </c>
      <c r="N1691" s="9" t="s">
        <v>13284</v>
      </c>
      <c r="O1691" s="9" t="s">
        <v>13284</v>
      </c>
      <c r="P1691" s="9" t="s">
        <v>13284</v>
      </c>
      <c r="Q1691" s="9" t="s">
        <v>13284</v>
      </c>
      <c r="R1691" s="9" t="s">
        <v>13284</v>
      </c>
      <c r="S1691" s="9" t="s">
        <v>13284</v>
      </c>
      <c r="T1691" s="9" t="str">
        <f ca="1">IFERROR(IF(AND(VLOOKUP(A1691, 'Актуальное состояние (из общего'!A:C,3,0) = "", A1691 &lt;&gt; ""), "ПРОВЕРИТЬ", VLOOKUP(A1691, 'Актуальное состояние (из общего'!A:C,3,0)), "")</f>
        <v/>
      </c>
      <c r="U1691" s="9" t="s">
        <v>13284</v>
      </c>
      <c r="V1691" s="9" t="s">
        <v>13284</v>
      </c>
      <c r="W1691" s="12"/>
      <c r="X1691" s="9" t="str">
        <f t="array" ref="X1691">IFERROR(INDEX('Адреса общежитий (скрытый)'!$B$2:$B$9, MATCH(W1691, 'Адреса общежитий (скрытый)'!$A$2:$A$9, 0)), "")</f>
        <v/>
      </c>
      <c r="Y1691" s="18"/>
      <c r="Z1691" s="18"/>
      <c r="AA1691" s="18"/>
      <c r="AB1691" s="18"/>
      <c r="AC1691" s="18"/>
    </row>
    <row r="1692" spans="1:29" ht="32.25" hidden="1" customHeight="1">
      <c r="A1692" s="17"/>
      <c r="B1692" s="9" t="s">
        <v>13284</v>
      </c>
      <c r="C1692" s="9" t="s">
        <v>13284</v>
      </c>
      <c r="D1692" s="9" t="s">
        <v>13284</v>
      </c>
      <c r="E1692" s="9" t="s">
        <v>13284</v>
      </c>
      <c r="F1692" s="9" t="s">
        <v>13284</v>
      </c>
      <c r="G1692" s="9" t="s">
        <v>13284</v>
      </c>
      <c r="H1692" s="9" t="s">
        <v>13284</v>
      </c>
      <c r="I1692" s="9" t="s">
        <v>13284</v>
      </c>
      <c r="J1692" s="9" t="s">
        <v>13284</v>
      </c>
      <c r="K1692" s="9" t="s">
        <v>13284</v>
      </c>
      <c r="L1692" s="9" t="s">
        <v>13284</v>
      </c>
      <c r="M1692" s="9" t="s">
        <v>13284</v>
      </c>
      <c r="N1692" s="9" t="s">
        <v>13284</v>
      </c>
      <c r="O1692" s="9" t="s">
        <v>13284</v>
      </c>
      <c r="P1692" s="9" t="s">
        <v>13284</v>
      </c>
      <c r="Q1692" s="9" t="s">
        <v>13284</v>
      </c>
      <c r="R1692" s="9" t="s">
        <v>13284</v>
      </c>
      <c r="S1692" s="9" t="s">
        <v>13284</v>
      </c>
      <c r="T1692" s="9" t="str">
        <f ca="1">IFERROR(IF(AND(VLOOKUP(A1692, 'Актуальное состояние (из общего'!A:C,3,0) = "", A1692 &lt;&gt; ""), "ПРОВЕРИТЬ", VLOOKUP(A1692, 'Актуальное состояние (из общего'!A:C,3,0)), "")</f>
        <v/>
      </c>
      <c r="U1692" s="9" t="s">
        <v>13284</v>
      </c>
      <c r="V1692" s="9" t="s">
        <v>13284</v>
      </c>
      <c r="W1692" s="12"/>
      <c r="X1692" s="9" t="str">
        <f t="array" ref="X1692">IFERROR(INDEX('Адреса общежитий (скрытый)'!$B$2:$B$9, MATCH(W1692, 'Адреса общежитий (скрытый)'!$A$2:$A$9, 0)), "")</f>
        <v/>
      </c>
      <c r="Y1692" s="18"/>
      <c r="Z1692" s="18"/>
      <c r="AA1692" s="18"/>
      <c r="AB1692" s="18"/>
      <c r="AC1692" s="18"/>
    </row>
    <row r="1693" spans="1:29" ht="32.25" hidden="1" customHeight="1">
      <c r="A1693" s="17"/>
      <c r="B1693" s="9" t="s">
        <v>13284</v>
      </c>
      <c r="C1693" s="9" t="s">
        <v>13284</v>
      </c>
      <c r="D1693" s="9" t="s">
        <v>13284</v>
      </c>
      <c r="E1693" s="9" t="s">
        <v>13284</v>
      </c>
      <c r="F1693" s="9" t="s">
        <v>13284</v>
      </c>
      <c r="G1693" s="9" t="s">
        <v>13284</v>
      </c>
      <c r="H1693" s="9" t="s">
        <v>13284</v>
      </c>
      <c r="I1693" s="9" t="s">
        <v>13284</v>
      </c>
      <c r="J1693" s="9" t="s">
        <v>13284</v>
      </c>
      <c r="K1693" s="9" t="s">
        <v>13284</v>
      </c>
      <c r="L1693" s="9" t="s">
        <v>13284</v>
      </c>
      <c r="M1693" s="9" t="s">
        <v>13284</v>
      </c>
      <c r="N1693" s="9" t="s">
        <v>13284</v>
      </c>
      <c r="O1693" s="9" t="s">
        <v>13284</v>
      </c>
      <c r="P1693" s="9" t="s">
        <v>13284</v>
      </c>
      <c r="Q1693" s="9" t="s">
        <v>13284</v>
      </c>
      <c r="R1693" s="9" t="s">
        <v>13284</v>
      </c>
      <c r="S1693" s="9" t="s">
        <v>13284</v>
      </c>
      <c r="T1693" s="9" t="str">
        <f ca="1">IFERROR(IF(AND(VLOOKUP(A1693, 'Актуальное состояние (из общего'!A:C,3,0) = "", A1693 &lt;&gt; ""), "ПРОВЕРИТЬ", VLOOKUP(A1693, 'Актуальное состояние (из общего'!A:C,3,0)), "")</f>
        <v/>
      </c>
      <c r="U1693" s="9" t="s">
        <v>13284</v>
      </c>
      <c r="V1693" s="9" t="s">
        <v>13284</v>
      </c>
      <c r="W1693" s="12"/>
      <c r="X1693" s="9" t="str">
        <f t="array" ref="X1693">IFERROR(INDEX('Адреса общежитий (скрытый)'!$B$2:$B$9, MATCH(W1693, 'Адреса общежитий (скрытый)'!$A$2:$A$9, 0)), "")</f>
        <v/>
      </c>
      <c r="Y1693" s="18"/>
      <c r="Z1693" s="18"/>
      <c r="AA1693" s="18"/>
      <c r="AB1693" s="18"/>
      <c r="AC1693" s="18"/>
    </row>
    <row r="1694" spans="1:29" ht="32.25" hidden="1" customHeight="1">
      <c r="A1694" s="17"/>
      <c r="B1694" s="9" t="s">
        <v>13284</v>
      </c>
      <c r="C1694" s="9" t="s">
        <v>13284</v>
      </c>
      <c r="D1694" s="9" t="s">
        <v>13284</v>
      </c>
      <c r="E1694" s="9" t="s">
        <v>13284</v>
      </c>
      <c r="F1694" s="9" t="s">
        <v>13284</v>
      </c>
      <c r="G1694" s="9" t="s">
        <v>13284</v>
      </c>
      <c r="H1694" s="9" t="s">
        <v>13284</v>
      </c>
      <c r="I1694" s="9" t="s">
        <v>13284</v>
      </c>
      <c r="J1694" s="9" t="s">
        <v>13284</v>
      </c>
      <c r="K1694" s="9" t="s">
        <v>13284</v>
      </c>
      <c r="L1694" s="9" t="s">
        <v>13284</v>
      </c>
      <c r="M1694" s="9" t="s">
        <v>13284</v>
      </c>
      <c r="N1694" s="9" t="s">
        <v>13284</v>
      </c>
      <c r="O1694" s="9" t="s">
        <v>13284</v>
      </c>
      <c r="P1694" s="9" t="s">
        <v>13284</v>
      </c>
      <c r="Q1694" s="9" t="s">
        <v>13284</v>
      </c>
      <c r="R1694" s="9" t="s">
        <v>13284</v>
      </c>
      <c r="S1694" s="9" t="s">
        <v>13284</v>
      </c>
      <c r="T1694" s="9" t="str">
        <f ca="1">IFERROR(IF(AND(VLOOKUP(A1694, 'Актуальное состояние (из общего'!A:C,3,0) = "", A1694 &lt;&gt; ""), "ПРОВЕРИТЬ", VLOOKUP(A1694, 'Актуальное состояние (из общего'!A:C,3,0)), "")</f>
        <v/>
      </c>
      <c r="U1694" s="9" t="s">
        <v>13284</v>
      </c>
      <c r="V1694" s="9" t="s">
        <v>13284</v>
      </c>
      <c r="W1694" s="12"/>
      <c r="X1694" s="9" t="str">
        <f t="array" ref="X1694">IFERROR(INDEX('Адреса общежитий (скрытый)'!$B$2:$B$9, MATCH(W1694, 'Адреса общежитий (скрытый)'!$A$2:$A$9, 0)), "")</f>
        <v/>
      </c>
      <c r="Y1694" s="18"/>
      <c r="Z1694" s="18"/>
      <c r="AA1694" s="18"/>
      <c r="AB1694" s="18"/>
      <c r="AC1694" s="18"/>
    </row>
    <row r="1695" spans="1:29" ht="32.25" hidden="1" customHeight="1">
      <c r="A1695" s="17"/>
      <c r="B1695" s="9" t="s">
        <v>13284</v>
      </c>
      <c r="C1695" s="9" t="s">
        <v>13284</v>
      </c>
      <c r="D1695" s="9" t="s">
        <v>13284</v>
      </c>
      <c r="E1695" s="9" t="s">
        <v>13284</v>
      </c>
      <c r="F1695" s="9" t="s">
        <v>13284</v>
      </c>
      <c r="G1695" s="9" t="s">
        <v>13284</v>
      </c>
      <c r="H1695" s="9" t="s">
        <v>13284</v>
      </c>
      <c r="I1695" s="9" t="s">
        <v>13284</v>
      </c>
      <c r="J1695" s="9" t="s">
        <v>13284</v>
      </c>
      <c r="K1695" s="9" t="s">
        <v>13284</v>
      </c>
      <c r="L1695" s="9" t="s">
        <v>13284</v>
      </c>
      <c r="M1695" s="9" t="s">
        <v>13284</v>
      </c>
      <c r="N1695" s="9" t="s">
        <v>13284</v>
      </c>
      <c r="O1695" s="9" t="s">
        <v>13284</v>
      </c>
      <c r="P1695" s="9" t="s">
        <v>13284</v>
      </c>
      <c r="Q1695" s="9" t="s">
        <v>13284</v>
      </c>
      <c r="R1695" s="9" t="s">
        <v>13284</v>
      </c>
      <c r="S1695" s="9" t="s">
        <v>13284</v>
      </c>
      <c r="T1695" s="9" t="str">
        <f ca="1">IFERROR(IF(AND(VLOOKUP(A1695, 'Актуальное состояние (из общего'!A:C,3,0) = "", A1695 &lt;&gt; ""), "ПРОВЕРИТЬ", VLOOKUP(A1695, 'Актуальное состояние (из общего'!A:C,3,0)), "")</f>
        <v/>
      </c>
      <c r="U1695" s="9" t="s">
        <v>13284</v>
      </c>
      <c r="V1695" s="9" t="s">
        <v>13284</v>
      </c>
      <c r="W1695" s="12"/>
      <c r="X1695" s="9" t="str">
        <f t="array" ref="X1695">IFERROR(INDEX('Адреса общежитий (скрытый)'!$B$2:$B$9, MATCH(W1695, 'Адреса общежитий (скрытый)'!$A$2:$A$9, 0)), "")</f>
        <v/>
      </c>
      <c r="Y1695" s="18"/>
      <c r="Z1695" s="18"/>
      <c r="AA1695" s="18"/>
      <c r="AB1695" s="18"/>
      <c r="AC1695" s="18"/>
    </row>
    <row r="1696" spans="1:29" ht="32.25" hidden="1" customHeight="1">
      <c r="A1696" s="17"/>
      <c r="B1696" s="9" t="s">
        <v>13284</v>
      </c>
      <c r="C1696" s="9" t="s">
        <v>13284</v>
      </c>
      <c r="D1696" s="9" t="s">
        <v>13284</v>
      </c>
      <c r="E1696" s="9" t="s">
        <v>13284</v>
      </c>
      <c r="F1696" s="9" t="s">
        <v>13284</v>
      </c>
      <c r="G1696" s="9" t="s">
        <v>13284</v>
      </c>
      <c r="H1696" s="9" t="s">
        <v>13284</v>
      </c>
      <c r="I1696" s="9" t="s">
        <v>13284</v>
      </c>
      <c r="J1696" s="9" t="s">
        <v>13284</v>
      </c>
      <c r="K1696" s="9" t="s">
        <v>13284</v>
      </c>
      <c r="L1696" s="9" t="s">
        <v>13284</v>
      </c>
      <c r="M1696" s="9" t="s">
        <v>13284</v>
      </c>
      <c r="N1696" s="9" t="s">
        <v>13284</v>
      </c>
      <c r="O1696" s="9" t="s">
        <v>13284</v>
      </c>
      <c r="P1696" s="9" t="s">
        <v>13284</v>
      </c>
      <c r="Q1696" s="9" t="s">
        <v>13284</v>
      </c>
      <c r="R1696" s="9" t="s">
        <v>13284</v>
      </c>
      <c r="S1696" s="9" t="s">
        <v>13284</v>
      </c>
      <c r="T1696" s="9" t="str">
        <f ca="1">IFERROR(IF(AND(VLOOKUP(A1696, 'Актуальное состояние (из общего'!A:C,3,0) = "", A1696 &lt;&gt; ""), "ПРОВЕРИТЬ", VLOOKUP(A1696, 'Актуальное состояние (из общего'!A:C,3,0)), "")</f>
        <v/>
      </c>
      <c r="U1696" s="9" t="s">
        <v>13284</v>
      </c>
      <c r="V1696" s="9" t="s">
        <v>13284</v>
      </c>
      <c r="W1696" s="12"/>
      <c r="X1696" s="9" t="str">
        <f t="array" ref="X1696">IFERROR(INDEX('Адреса общежитий (скрытый)'!$B$2:$B$9, MATCH(W1696, 'Адреса общежитий (скрытый)'!$A$2:$A$9, 0)), "")</f>
        <v/>
      </c>
      <c r="Y1696" s="18"/>
      <c r="Z1696" s="18"/>
      <c r="AA1696" s="18"/>
      <c r="AB1696" s="18"/>
      <c r="AC1696" s="18"/>
    </row>
    <row r="1697" spans="1:29" ht="32.25" hidden="1" customHeight="1">
      <c r="A1697" s="17"/>
      <c r="B1697" s="9" t="s">
        <v>13284</v>
      </c>
      <c r="C1697" s="9" t="s">
        <v>13284</v>
      </c>
      <c r="D1697" s="9" t="s">
        <v>13284</v>
      </c>
      <c r="E1697" s="9" t="s">
        <v>13284</v>
      </c>
      <c r="F1697" s="9" t="s">
        <v>13284</v>
      </c>
      <c r="G1697" s="9" t="s">
        <v>13284</v>
      </c>
      <c r="H1697" s="9" t="s">
        <v>13284</v>
      </c>
      <c r="I1697" s="9" t="s">
        <v>13284</v>
      </c>
      <c r="J1697" s="9" t="s">
        <v>13284</v>
      </c>
      <c r="K1697" s="9" t="s">
        <v>13284</v>
      </c>
      <c r="L1697" s="9" t="s">
        <v>13284</v>
      </c>
      <c r="M1697" s="9" t="s">
        <v>13284</v>
      </c>
      <c r="N1697" s="9" t="s">
        <v>13284</v>
      </c>
      <c r="O1697" s="9" t="s">
        <v>13284</v>
      </c>
      <c r="P1697" s="9" t="s">
        <v>13284</v>
      </c>
      <c r="Q1697" s="9" t="s">
        <v>13284</v>
      </c>
      <c r="R1697" s="9" t="s">
        <v>13284</v>
      </c>
      <c r="S1697" s="9" t="s">
        <v>13284</v>
      </c>
      <c r="T1697" s="9" t="str">
        <f ca="1">IFERROR(IF(AND(VLOOKUP(A1697, 'Актуальное состояние (из общего'!A:C,3,0) = "", A1697 &lt;&gt; ""), "ПРОВЕРИТЬ", VLOOKUP(A1697, 'Актуальное состояние (из общего'!A:C,3,0)), "")</f>
        <v/>
      </c>
      <c r="U1697" s="9" t="s">
        <v>13284</v>
      </c>
      <c r="V1697" s="9" t="s">
        <v>13284</v>
      </c>
      <c r="W1697" s="12"/>
      <c r="X1697" s="9" t="str">
        <f t="array" ref="X1697">IFERROR(INDEX('Адреса общежитий (скрытый)'!$B$2:$B$9, MATCH(W1697, 'Адреса общежитий (скрытый)'!$A$2:$A$9, 0)), "")</f>
        <v/>
      </c>
      <c r="Y1697" s="18"/>
      <c r="Z1697" s="18"/>
      <c r="AA1697" s="18"/>
      <c r="AB1697" s="18"/>
      <c r="AC1697" s="18"/>
    </row>
    <row r="1698" spans="1:29" ht="32.25" hidden="1" customHeight="1">
      <c r="A1698" s="17"/>
      <c r="B1698" s="9" t="s">
        <v>13284</v>
      </c>
      <c r="C1698" s="9" t="s">
        <v>13284</v>
      </c>
      <c r="D1698" s="9" t="s">
        <v>13284</v>
      </c>
      <c r="E1698" s="9" t="s">
        <v>13284</v>
      </c>
      <c r="F1698" s="9" t="s">
        <v>13284</v>
      </c>
      <c r="G1698" s="9" t="s">
        <v>13284</v>
      </c>
      <c r="H1698" s="9" t="s">
        <v>13284</v>
      </c>
      <c r="I1698" s="9" t="s">
        <v>13284</v>
      </c>
      <c r="J1698" s="9" t="s">
        <v>13284</v>
      </c>
      <c r="K1698" s="9" t="s">
        <v>13284</v>
      </c>
      <c r="L1698" s="9" t="s">
        <v>13284</v>
      </c>
      <c r="M1698" s="9" t="s">
        <v>13284</v>
      </c>
      <c r="N1698" s="9" t="s">
        <v>13284</v>
      </c>
      <c r="O1698" s="9" t="s">
        <v>13284</v>
      </c>
      <c r="P1698" s="9" t="s">
        <v>13284</v>
      </c>
      <c r="Q1698" s="9" t="s">
        <v>13284</v>
      </c>
      <c r="R1698" s="9" t="s">
        <v>13284</v>
      </c>
      <c r="S1698" s="9" t="s">
        <v>13284</v>
      </c>
      <c r="T1698" s="9" t="str">
        <f ca="1">IFERROR(IF(AND(VLOOKUP(A1698, 'Актуальное состояние (из общего'!A:C,3,0) = "", A1698 &lt;&gt; ""), "ПРОВЕРИТЬ", VLOOKUP(A1698, 'Актуальное состояние (из общего'!A:C,3,0)), "")</f>
        <v/>
      </c>
      <c r="U1698" s="9" t="s">
        <v>13284</v>
      </c>
      <c r="V1698" s="9" t="s">
        <v>13284</v>
      </c>
      <c r="W1698" s="12"/>
      <c r="X1698" s="9" t="str">
        <f t="array" ref="X1698">IFERROR(INDEX('Адреса общежитий (скрытый)'!$B$2:$B$9, MATCH(W1698, 'Адреса общежитий (скрытый)'!$A$2:$A$9, 0)), "")</f>
        <v/>
      </c>
      <c r="Y1698" s="18"/>
      <c r="Z1698" s="18"/>
      <c r="AA1698" s="18"/>
      <c r="AB1698" s="18"/>
      <c r="AC1698" s="18"/>
    </row>
    <row r="1699" spans="1:29" ht="32.25" hidden="1" customHeight="1">
      <c r="A1699" s="17"/>
      <c r="B1699" s="9" t="s">
        <v>13284</v>
      </c>
      <c r="C1699" s="9" t="s">
        <v>13284</v>
      </c>
      <c r="D1699" s="9" t="s">
        <v>13284</v>
      </c>
      <c r="E1699" s="9" t="s">
        <v>13284</v>
      </c>
      <c r="F1699" s="9" t="s">
        <v>13284</v>
      </c>
      <c r="G1699" s="9" t="s">
        <v>13284</v>
      </c>
      <c r="H1699" s="9" t="s">
        <v>13284</v>
      </c>
      <c r="I1699" s="9" t="s">
        <v>13284</v>
      </c>
      <c r="J1699" s="9" t="s">
        <v>13284</v>
      </c>
      <c r="K1699" s="9" t="s">
        <v>13284</v>
      </c>
      <c r="L1699" s="9" t="s">
        <v>13284</v>
      </c>
      <c r="M1699" s="9" t="s">
        <v>13284</v>
      </c>
      <c r="N1699" s="9" t="s">
        <v>13284</v>
      </c>
      <c r="O1699" s="9" t="s">
        <v>13284</v>
      </c>
      <c r="P1699" s="9" t="s">
        <v>13284</v>
      </c>
      <c r="Q1699" s="9" t="s">
        <v>13284</v>
      </c>
      <c r="R1699" s="9" t="s">
        <v>13284</v>
      </c>
      <c r="S1699" s="9" t="s">
        <v>13284</v>
      </c>
      <c r="T1699" s="9" t="str">
        <f ca="1">IFERROR(IF(AND(VLOOKUP(A1699, 'Актуальное состояние (из общего'!A:C,3,0) = "", A1699 &lt;&gt; ""), "ПРОВЕРИТЬ", VLOOKUP(A1699, 'Актуальное состояние (из общего'!A:C,3,0)), "")</f>
        <v/>
      </c>
      <c r="U1699" s="9" t="s">
        <v>13284</v>
      </c>
      <c r="V1699" s="9" t="s">
        <v>13284</v>
      </c>
      <c r="W1699" s="12"/>
      <c r="X1699" s="9" t="str">
        <f t="array" ref="X1699">IFERROR(INDEX('Адреса общежитий (скрытый)'!$B$2:$B$9, MATCH(W1699, 'Адреса общежитий (скрытый)'!$A$2:$A$9, 0)), "")</f>
        <v/>
      </c>
      <c r="Y1699" s="18"/>
      <c r="Z1699" s="18"/>
      <c r="AA1699" s="18"/>
      <c r="AB1699" s="18"/>
      <c r="AC1699" s="18"/>
    </row>
    <row r="1700" spans="1:29" ht="32.25" hidden="1" customHeight="1">
      <c r="A1700" s="17"/>
      <c r="B1700" s="9" t="s">
        <v>13284</v>
      </c>
      <c r="C1700" s="9" t="s">
        <v>13284</v>
      </c>
      <c r="D1700" s="9" t="s">
        <v>13284</v>
      </c>
      <c r="E1700" s="9" t="s">
        <v>13284</v>
      </c>
      <c r="F1700" s="9" t="s">
        <v>13284</v>
      </c>
      <c r="G1700" s="9" t="s">
        <v>13284</v>
      </c>
      <c r="H1700" s="9" t="s">
        <v>13284</v>
      </c>
      <c r="I1700" s="9" t="s">
        <v>13284</v>
      </c>
      <c r="J1700" s="9" t="s">
        <v>13284</v>
      </c>
      <c r="K1700" s="9" t="s">
        <v>13284</v>
      </c>
      <c r="L1700" s="9" t="s">
        <v>13284</v>
      </c>
      <c r="M1700" s="9" t="s">
        <v>13284</v>
      </c>
      <c r="N1700" s="9" t="s">
        <v>13284</v>
      </c>
      <c r="O1700" s="9" t="s">
        <v>13284</v>
      </c>
      <c r="P1700" s="9" t="s">
        <v>13284</v>
      </c>
      <c r="Q1700" s="9" t="s">
        <v>13284</v>
      </c>
      <c r="R1700" s="9" t="s">
        <v>13284</v>
      </c>
      <c r="S1700" s="9" t="s">
        <v>13284</v>
      </c>
      <c r="T1700" s="9" t="str">
        <f ca="1">IFERROR(IF(AND(VLOOKUP(A1700, 'Актуальное состояние (из общего'!A:C,3,0) = "", A1700 &lt;&gt; ""), "ПРОВЕРИТЬ", VLOOKUP(A1700, 'Актуальное состояние (из общего'!A:C,3,0)), "")</f>
        <v/>
      </c>
      <c r="U1700" s="9" t="s">
        <v>13284</v>
      </c>
      <c r="V1700" s="9" t="s">
        <v>13284</v>
      </c>
      <c r="W1700" s="12"/>
      <c r="X1700" s="9" t="str">
        <f t="array" ref="X1700">IFERROR(INDEX('Адреса общежитий (скрытый)'!$B$2:$B$9, MATCH(W1700, 'Адреса общежитий (скрытый)'!$A$2:$A$9, 0)), "")</f>
        <v/>
      </c>
      <c r="Y1700" s="18"/>
      <c r="Z1700" s="18"/>
      <c r="AA1700" s="18"/>
      <c r="AB1700" s="18"/>
      <c r="AC1700" s="18"/>
    </row>
    <row r="1701" spans="1:29" ht="32.25" hidden="1" customHeight="1">
      <c r="A1701" s="17"/>
      <c r="B1701" s="9" t="s">
        <v>13284</v>
      </c>
      <c r="C1701" s="9" t="s">
        <v>13284</v>
      </c>
      <c r="D1701" s="9" t="s">
        <v>13284</v>
      </c>
      <c r="E1701" s="9" t="s">
        <v>13284</v>
      </c>
      <c r="F1701" s="9" t="s">
        <v>13284</v>
      </c>
      <c r="G1701" s="9" t="s">
        <v>13284</v>
      </c>
      <c r="H1701" s="9" t="s">
        <v>13284</v>
      </c>
      <c r="I1701" s="9" t="s">
        <v>13284</v>
      </c>
      <c r="J1701" s="9" t="s">
        <v>13284</v>
      </c>
      <c r="K1701" s="9" t="s">
        <v>13284</v>
      </c>
      <c r="L1701" s="9" t="s">
        <v>13284</v>
      </c>
      <c r="M1701" s="9" t="s">
        <v>13284</v>
      </c>
      <c r="N1701" s="9" t="s">
        <v>13284</v>
      </c>
      <c r="O1701" s="9" t="s">
        <v>13284</v>
      </c>
      <c r="P1701" s="9" t="s">
        <v>13284</v>
      </c>
      <c r="Q1701" s="9" t="s">
        <v>13284</v>
      </c>
      <c r="R1701" s="9" t="s">
        <v>13284</v>
      </c>
      <c r="S1701" s="9" t="s">
        <v>13284</v>
      </c>
      <c r="T1701" s="9" t="str">
        <f ca="1">IFERROR(IF(AND(VLOOKUP(A1701, 'Актуальное состояние (из общего'!A:C,3,0) = "", A1701 &lt;&gt; ""), "ПРОВЕРИТЬ", VLOOKUP(A1701, 'Актуальное состояние (из общего'!A:C,3,0)), "")</f>
        <v/>
      </c>
      <c r="U1701" s="9" t="s">
        <v>13284</v>
      </c>
      <c r="V1701" s="9" t="s">
        <v>13284</v>
      </c>
      <c r="W1701" s="12"/>
      <c r="X1701" s="9" t="str">
        <f t="array" ref="X1701">IFERROR(INDEX('Адреса общежитий (скрытый)'!$B$2:$B$9, MATCH(W1701, 'Адреса общежитий (скрытый)'!$A$2:$A$9, 0)), "")</f>
        <v/>
      </c>
      <c r="Y1701" s="18"/>
      <c r="Z1701" s="18"/>
      <c r="AA1701" s="18"/>
      <c r="AB1701" s="18"/>
      <c r="AC1701" s="18"/>
    </row>
    <row r="1702" spans="1:29" ht="32.25" hidden="1" customHeight="1">
      <c r="A1702" s="17"/>
      <c r="B1702" s="9" t="s">
        <v>13284</v>
      </c>
      <c r="C1702" s="9" t="s">
        <v>13284</v>
      </c>
      <c r="D1702" s="9" t="s">
        <v>13284</v>
      </c>
      <c r="E1702" s="9" t="s">
        <v>13284</v>
      </c>
      <c r="F1702" s="9" t="s">
        <v>13284</v>
      </c>
      <c r="G1702" s="9" t="s">
        <v>13284</v>
      </c>
      <c r="H1702" s="9" t="s">
        <v>13284</v>
      </c>
      <c r="I1702" s="9" t="s">
        <v>13284</v>
      </c>
      <c r="J1702" s="9" t="s">
        <v>13284</v>
      </c>
      <c r="K1702" s="9" t="s">
        <v>13284</v>
      </c>
      <c r="L1702" s="9" t="s">
        <v>13284</v>
      </c>
      <c r="M1702" s="9" t="s">
        <v>13284</v>
      </c>
      <c r="N1702" s="9" t="s">
        <v>13284</v>
      </c>
      <c r="O1702" s="9" t="s">
        <v>13284</v>
      </c>
      <c r="P1702" s="9" t="s">
        <v>13284</v>
      </c>
      <c r="Q1702" s="9" t="s">
        <v>13284</v>
      </c>
      <c r="R1702" s="9" t="s">
        <v>13284</v>
      </c>
      <c r="S1702" s="9" t="s">
        <v>13284</v>
      </c>
      <c r="T1702" s="9" t="str">
        <f ca="1">IFERROR(IF(AND(VLOOKUP(A1702, 'Актуальное состояние (из общего'!A:C,3,0) = "", A1702 &lt;&gt; ""), "ПРОВЕРИТЬ", VLOOKUP(A1702, 'Актуальное состояние (из общего'!A:C,3,0)), "")</f>
        <v/>
      </c>
      <c r="U1702" s="9" t="s">
        <v>13284</v>
      </c>
      <c r="V1702" s="9" t="s">
        <v>13284</v>
      </c>
      <c r="W1702" s="12"/>
      <c r="X1702" s="9" t="str">
        <f t="array" ref="X1702">IFERROR(INDEX('Адреса общежитий (скрытый)'!$B$2:$B$9, MATCH(W1702, 'Адреса общежитий (скрытый)'!$A$2:$A$9, 0)), "")</f>
        <v/>
      </c>
      <c r="Y1702" s="18"/>
      <c r="Z1702" s="18"/>
      <c r="AA1702" s="18"/>
      <c r="AB1702" s="18"/>
      <c r="AC1702" s="18"/>
    </row>
    <row r="1703" spans="1:29" ht="32.25" hidden="1" customHeight="1">
      <c r="A1703" s="17"/>
      <c r="B1703" s="9" t="s">
        <v>13284</v>
      </c>
      <c r="C1703" s="9" t="s">
        <v>13284</v>
      </c>
      <c r="D1703" s="9" t="s">
        <v>13284</v>
      </c>
      <c r="E1703" s="9" t="s">
        <v>13284</v>
      </c>
      <c r="F1703" s="9" t="s">
        <v>13284</v>
      </c>
      <c r="G1703" s="9" t="s">
        <v>13284</v>
      </c>
      <c r="H1703" s="9" t="s">
        <v>13284</v>
      </c>
      <c r="I1703" s="9" t="s">
        <v>13284</v>
      </c>
      <c r="J1703" s="9" t="s">
        <v>13284</v>
      </c>
      <c r="K1703" s="9" t="s">
        <v>13284</v>
      </c>
      <c r="L1703" s="9" t="s">
        <v>13284</v>
      </c>
      <c r="M1703" s="9" t="s">
        <v>13284</v>
      </c>
      <c r="N1703" s="9" t="s">
        <v>13284</v>
      </c>
      <c r="O1703" s="9" t="s">
        <v>13284</v>
      </c>
      <c r="P1703" s="9" t="s">
        <v>13284</v>
      </c>
      <c r="Q1703" s="9" t="s">
        <v>13284</v>
      </c>
      <c r="R1703" s="9" t="s">
        <v>13284</v>
      </c>
      <c r="S1703" s="9" t="s">
        <v>13284</v>
      </c>
      <c r="T1703" s="9" t="str">
        <f ca="1">IFERROR(IF(AND(VLOOKUP(A1703, 'Актуальное состояние (из общего'!A:C,3,0) = "", A1703 &lt;&gt; ""), "ПРОВЕРИТЬ", VLOOKUP(A1703, 'Актуальное состояние (из общего'!A:C,3,0)), "")</f>
        <v/>
      </c>
      <c r="U1703" s="9" t="s">
        <v>13284</v>
      </c>
      <c r="V1703" s="9" t="s">
        <v>13284</v>
      </c>
      <c r="W1703" s="12"/>
      <c r="X1703" s="9" t="str">
        <f t="array" ref="X1703">IFERROR(INDEX('Адреса общежитий (скрытый)'!$B$2:$B$9, MATCH(W1703, 'Адреса общежитий (скрытый)'!$A$2:$A$9, 0)), "")</f>
        <v/>
      </c>
      <c r="Y1703" s="18"/>
      <c r="Z1703" s="18"/>
      <c r="AA1703" s="18"/>
      <c r="AB1703" s="18"/>
      <c r="AC1703" s="18"/>
    </row>
    <row r="1704" spans="1:29" ht="32.25" hidden="1" customHeight="1">
      <c r="A1704" s="17"/>
      <c r="B1704" s="9" t="s">
        <v>13284</v>
      </c>
      <c r="C1704" s="9" t="s">
        <v>13284</v>
      </c>
      <c r="D1704" s="9" t="s">
        <v>13284</v>
      </c>
      <c r="E1704" s="9" t="s">
        <v>13284</v>
      </c>
      <c r="F1704" s="9" t="s">
        <v>13284</v>
      </c>
      <c r="G1704" s="9" t="s">
        <v>13284</v>
      </c>
      <c r="H1704" s="9" t="s">
        <v>13284</v>
      </c>
      <c r="I1704" s="9" t="s">
        <v>13284</v>
      </c>
      <c r="J1704" s="9" t="s">
        <v>13284</v>
      </c>
      <c r="K1704" s="9" t="s">
        <v>13284</v>
      </c>
      <c r="L1704" s="9" t="s">
        <v>13284</v>
      </c>
      <c r="M1704" s="9" t="s">
        <v>13284</v>
      </c>
      <c r="N1704" s="9" t="s">
        <v>13284</v>
      </c>
      <c r="O1704" s="9" t="s">
        <v>13284</v>
      </c>
      <c r="P1704" s="9" t="s">
        <v>13284</v>
      </c>
      <c r="Q1704" s="9" t="s">
        <v>13284</v>
      </c>
      <c r="R1704" s="9" t="s">
        <v>13284</v>
      </c>
      <c r="S1704" s="9" t="s">
        <v>13284</v>
      </c>
      <c r="T1704" s="9" t="str">
        <f ca="1">IFERROR(IF(AND(VLOOKUP(A1704, 'Актуальное состояние (из общего'!A:C,3,0) = "", A1704 &lt;&gt; ""), "ПРОВЕРИТЬ", VLOOKUP(A1704, 'Актуальное состояние (из общего'!A:C,3,0)), "")</f>
        <v/>
      </c>
      <c r="U1704" s="9" t="s">
        <v>13284</v>
      </c>
      <c r="V1704" s="9" t="s">
        <v>13284</v>
      </c>
      <c r="W1704" s="12"/>
      <c r="X1704" s="9" t="str">
        <f t="array" ref="X1704">IFERROR(INDEX('Адреса общежитий (скрытый)'!$B$2:$B$9, MATCH(W1704, 'Адреса общежитий (скрытый)'!$A$2:$A$9, 0)), "")</f>
        <v/>
      </c>
      <c r="Y1704" s="18"/>
      <c r="Z1704" s="18"/>
      <c r="AA1704" s="18"/>
      <c r="AB1704" s="18"/>
      <c r="AC1704" s="18"/>
    </row>
    <row r="1705" spans="1:29" ht="32.25" hidden="1" customHeight="1">
      <c r="A1705" s="17"/>
      <c r="B1705" s="9" t="s">
        <v>13284</v>
      </c>
      <c r="C1705" s="9" t="s">
        <v>13284</v>
      </c>
      <c r="D1705" s="9" t="s">
        <v>13284</v>
      </c>
      <c r="E1705" s="9" t="s">
        <v>13284</v>
      </c>
      <c r="F1705" s="9" t="s">
        <v>13284</v>
      </c>
      <c r="G1705" s="9" t="s">
        <v>13284</v>
      </c>
      <c r="H1705" s="9" t="s">
        <v>13284</v>
      </c>
      <c r="I1705" s="9" t="s">
        <v>13284</v>
      </c>
      <c r="J1705" s="9" t="s">
        <v>13284</v>
      </c>
      <c r="K1705" s="9" t="s">
        <v>13284</v>
      </c>
      <c r="L1705" s="9" t="s">
        <v>13284</v>
      </c>
      <c r="M1705" s="9" t="s">
        <v>13284</v>
      </c>
      <c r="N1705" s="9" t="s">
        <v>13284</v>
      </c>
      <c r="O1705" s="9" t="s">
        <v>13284</v>
      </c>
      <c r="P1705" s="9" t="s">
        <v>13284</v>
      </c>
      <c r="Q1705" s="9" t="s">
        <v>13284</v>
      </c>
      <c r="R1705" s="9" t="s">
        <v>13284</v>
      </c>
      <c r="S1705" s="9" t="s">
        <v>13284</v>
      </c>
      <c r="T1705" s="9" t="str">
        <f ca="1">IFERROR(IF(AND(VLOOKUP(A1705, 'Актуальное состояние (из общего'!A:C,3,0) = "", A1705 &lt;&gt; ""), "ПРОВЕРИТЬ", VLOOKUP(A1705, 'Актуальное состояние (из общего'!A:C,3,0)), "")</f>
        <v/>
      </c>
      <c r="U1705" s="9" t="s">
        <v>13284</v>
      </c>
      <c r="V1705" s="9" t="s">
        <v>13284</v>
      </c>
      <c r="W1705" s="12"/>
      <c r="X1705" s="9" t="str">
        <f t="array" ref="X1705">IFERROR(INDEX('Адреса общежитий (скрытый)'!$B$2:$B$9, MATCH(W1705, 'Адреса общежитий (скрытый)'!$A$2:$A$9, 0)), "")</f>
        <v/>
      </c>
      <c r="Y1705" s="18"/>
      <c r="Z1705" s="18"/>
      <c r="AA1705" s="18"/>
      <c r="AB1705" s="18"/>
      <c r="AC1705" s="18"/>
    </row>
    <row r="1706" spans="1:29" ht="32.25" hidden="1" customHeight="1">
      <c r="A1706" s="17"/>
      <c r="B1706" s="9" t="s">
        <v>13284</v>
      </c>
      <c r="C1706" s="9" t="s">
        <v>13284</v>
      </c>
      <c r="D1706" s="9" t="s">
        <v>13284</v>
      </c>
      <c r="E1706" s="9" t="s">
        <v>13284</v>
      </c>
      <c r="F1706" s="9" t="s">
        <v>13284</v>
      </c>
      <c r="G1706" s="9" t="s">
        <v>13284</v>
      </c>
      <c r="H1706" s="9" t="s">
        <v>13284</v>
      </c>
      <c r="I1706" s="9" t="s">
        <v>13284</v>
      </c>
      <c r="J1706" s="9" t="s">
        <v>13284</v>
      </c>
      <c r="K1706" s="9" t="s">
        <v>13284</v>
      </c>
      <c r="L1706" s="9" t="s">
        <v>13284</v>
      </c>
      <c r="M1706" s="9" t="s">
        <v>13284</v>
      </c>
      <c r="N1706" s="9" t="s">
        <v>13284</v>
      </c>
      <c r="O1706" s="9" t="s">
        <v>13284</v>
      </c>
      <c r="P1706" s="9" t="s">
        <v>13284</v>
      </c>
      <c r="Q1706" s="9" t="s">
        <v>13284</v>
      </c>
      <c r="R1706" s="9" t="s">
        <v>13284</v>
      </c>
      <c r="S1706" s="9" t="s">
        <v>13284</v>
      </c>
      <c r="T1706" s="9" t="str">
        <f ca="1">IFERROR(IF(AND(VLOOKUP(A1706, 'Актуальное состояние (из общего'!A:C,3,0) = "", A1706 &lt;&gt; ""), "ПРОВЕРИТЬ", VLOOKUP(A1706, 'Актуальное состояние (из общего'!A:C,3,0)), "")</f>
        <v/>
      </c>
      <c r="U1706" s="9" t="s">
        <v>13284</v>
      </c>
      <c r="V1706" s="9" t="s">
        <v>13284</v>
      </c>
      <c r="W1706" s="12"/>
      <c r="X1706" s="9" t="str">
        <f t="array" ref="X1706">IFERROR(INDEX('Адреса общежитий (скрытый)'!$B$2:$B$9, MATCH(W1706, 'Адреса общежитий (скрытый)'!$A$2:$A$9, 0)), "")</f>
        <v/>
      </c>
      <c r="Y1706" s="18"/>
      <c r="Z1706" s="18"/>
      <c r="AA1706" s="18"/>
      <c r="AB1706" s="18"/>
      <c r="AC1706" s="18"/>
    </row>
    <row r="1707" spans="1:29" ht="32.25" hidden="1" customHeight="1">
      <c r="A1707" s="17"/>
      <c r="B1707" s="9" t="s">
        <v>13284</v>
      </c>
      <c r="C1707" s="9" t="s">
        <v>13284</v>
      </c>
      <c r="D1707" s="9" t="s">
        <v>13284</v>
      </c>
      <c r="E1707" s="9" t="s">
        <v>13284</v>
      </c>
      <c r="F1707" s="9" t="s">
        <v>13284</v>
      </c>
      <c r="G1707" s="9" t="s">
        <v>13284</v>
      </c>
      <c r="H1707" s="9" t="s">
        <v>13284</v>
      </c>
      <c r="I1707" s="9" t="s">
        <v>13284</v>
      </c>
      <c r="J1707" s="9" t="s">
        <v>13284</v>
      </c>
      <c r="K1707" s="9" t="s">
        <v>13284</v>
      </c>
      <c r="L1707" s="9" t="s">
        <v>13284</v>
      </c>
      <c r="M1707" s="9" t="s">
        <v>13284</v>
      </c>
      <c r="N1707" s="9" t="s">
        <v>13284</v>
      </c>
      <c r="O1707" s="9" t="s">
        <v>13284</v>
      </c>
      <c r="P1707" s="9" t="s">
        <v>13284</v>
      </c>
      <c r="Q1707" s="9" t="s">
        <v>13284</v>
      </c>
      <c r="R1707" s="9" t="s">
        <v>13284</v>
      </c>
      <c r="S1707" s="9" t="s">
        <v>13284</v>
      </c>
      <c r="T1707" s="9" t="str">
        <f ca="1">IFERROR(IF(AND(VLOOKUP(A1707, 'Актуальное состояние (из общего'!A:C,3,0) = "", A1707 &lt;&gt; ""), "ПРОВЕРИТЬ", VLOOKUP(A1707, 'Актуальное состояние (из общего'!A:C,3,0)), "")</f>
        <v/>
      </c>
      <c r="U1707" s="9" t="s">
        <v>13284</v>
      </c>
      <c r="V1707" s="9" t="s">
        <v>13284</v>
      </c>
      <c r="W1707" s="12"/>
      <c r="X1707" s="9" t="str">
        <f t="array" ref="X1707">IFERROR(INDEX('Адреса общежитий (скрытый)'!$B$2:$B$9, MATCH(W1707, 'Адреса общежитий (скрытый)'!$A$2:$A$9, 0)), "")</f>
        <v/>
      </c>
      <c r="Y1707" s="18"/>
      <c r="Z1707" s="18"/>
      <c r="AA1707" s="18"/>
      <c r="AB1707" s="18"/>
      <c r="AC1707" s="18"/>
    </row>
    <row r="1708" spans="1:29" ht="32.25" hidden="1" customHeight="1">
      <c r="A1708" s="17"/>
      <c r="B1708" s="9" t="s">
        <v>13284</v>
      </c>
      <c r="C1708" s="9" t="s">
        <v>13284</v>
      </c>
      <c r="D1708" s="9" t="s">
        <v>13284</v>
      </c>
      <c r="E1708" s="9" t="s">
        <v>13284</v>
      </c>
      <c r="F1708" s="9" t="s">
        <v>13284</v>
      </c>
      <c r="G1708" s="9" t="s">
        <v>13284</v>
      </c>
      <c r="H1708" s="9" t="s">
        <v>13284</v>
      </c>
      <c r="I1708" s="9" t="s">
        <v>13284</v>
      </c>
      <c r="J1708" s="9" t="s">
        <v>13284</v>
      </c>
      <c r="K1708" s="9" t="s">
        <v>13284</v>
      </c>
      <c r="L1708" s="9" t="s">
        <v>13284</v>
      </c>
      <c r="M1708" s="9" t="s">
        <v>13284</v>
      </c>
      <c r="N1708" s="9" t="s">
        <v>13284</v>
      </c>
      <c r="O1708" s="9" t="s">
        <v>13284</v>
      </c>
      <c r="P1708" s="9" t="s">
        <v>13284</v>
      </c>
      <c r="Q1708" s="9" t="s">
        <v>13284</v>
      </c>
      <c r="R1708" s="9" t="s">
        <v>13284</v>
      </c>
      <c r="S1708" s="9" t="s">
        <v>13284</v>
      </c>
      <c r="T1708" s="9" t="str">
        <f ca="1">IFERROR(IF(AND(VLOOKUP(A1708, 'Актуальное состояние (из общего'!A:C,3,0) = "", A1708 &lt;&gt; ""), "ПРОВЕРИТЬ", VLOOKUP(A1708, 'Актуальное состояние (из общего'!A:C,3,0)), "")</f>
        <v/>
      </c>
      <c r="U1708" s="9" t="s">
        <v>13284</v>
      </c>
      <c r="V1708" s="9" t="s">
        <v>13284</v>
      </c>
      <c r="W1708" s="12"/>
      <c r="X1708" s="9" t="str">
        <f t="array" ref="X1708">IFERROR(INDEX('Адреса общежитий (скрытый)'!$B$2:$B$9, MATCH(W1708, 'Адреса общежитий (скрытый)'!$A$2:$A$9, 0)), "")</f>
        <v/>
      </c>
      <c r="Y1708" s="18"/>
      <c r="Z1708" s="18"/>
      <c r="AA1708" s="18"/>
      <c r="AB1708" s="18"/>
      <c r="AC1708" s="18"/>
    </row>
    <row r="1709" spans="1:29" ht="32.25" hidden="1" customHeight="1">
      <c r="A1709" s="17"/>
      <c r="B1709" s="9" t="s">
        <v>13284</v>
      </c>
      <c r="C1709" s="9" t="s">
        <v>13284</v>
      </c>
      <c r="D1709" s="9" t="s">
        <v>13284</v>
      </c>
      <c r="E1709" s="9" t="s">
        <v>13284</v>
      </c>
      <c r="F1709" s="9" t="s">
        <v>13284</v>
      </c>
      <c r="G1709" s="9" t="s">
        <v>13284</v>
      </c>
      <c r="H1709" s="9" t="s">
        <v>13284</v>
      </c>
      <c r="I1709" s="9" t="s">
        <v>13284</v>
      </c>
      <c r="J1709" s="9" t="s">
        <v>13284</v>
      </c>
      <c r="K1709" s="9" t="s">
        <v>13284</v>
      </c>
      <c r="L1709" s="9" t="s">
        <v>13284</v>
      </c>
      <c r="M1709" s="9" t="s">
        <v>13284</v>
      </c>
      <c r="N1709" s="9" t="s">
        <v>13284</v>
      </c>
      <c r="O1709" s="9" t="s">
        <v>13284</v>
      </c>
      <c r="P1709" s="9" t="s">
        <v>13284</v>
      </c>
      <c r="Q1709" s="9" t="s">
        <v>13284</v>
      </c>
      <c r="R1709" s="9" t="s">
        <v>13284</v>
      </c>
      <c r="S1709" s="9" t="s">
        <v>13284</v>
      </c>
      <c r="T1709" s="9" t="str">
        <f ca="1">IFERROR(IF(AND(VLOOKUP(A1709, 'Актуальное состояние (из общего'!A:C,3,0) = "", A1709 &lt;&gt; ""), "ПРОВЕРИТЬ", VLOOKUP(A1709, 'Актуальное состояние (из общего'!A:C,3,0)), "")</f>
        <v/>
      </c>
      <c r="U1709" s="9" t="s">
        <v>13284</v>
      </c>
      <c r="V1709" s="9" t="s">
        <v>13284</v>
      </c>
      <c r="W1709" s="12"/>
      <c r="X1709" s="9" t="str">
        <f t="array" ref="X1709">IFERROR(INDEX('Адреса общежитий (скрытый)'!$B$2:$B$9, MATCH(W1709, 'Адреса общежитий (скрытый)'!$A$2:$A$9, 0)), "")</f>
        <v/>
      </c>
      <c r="Y1709" s="18"/>
      <c r="Z1709" s="18"/>
      <c r="AA1709" s="18"/>
      <c r="AB1709" s="18"/>
      <c r="AC1709" s="18"/>
    </row>
    <row r="1710" spans="1:29" ht="32.25" hidden="1" customHeight="1">
      <c r="A1710" s="17"/>
      <c r="B1710" s="9" t="s">
        <v>13284</v>
      </c>
      <c r="C1710" s="9" t="s">
        <v>13284</v>
      </c>
      <c r="D1710" s="9" t="s">
        <v>13284</v>
      </c>
      <c r="E1710" s="9" t="s">
        <v>13284</v>
      </c>
      <c r="F1710" s="9" t="s">
        <v>13284</v>
      </c>
      <c r="G1710" s="9" t="s">
        <v>13284</v>
      </c>
      <c r="H1710" s="9" t="s">
        <v>13284</v>
      </c>
      <c r="I1710" s="9" t="s">
        <v>13284</v>
      </c>
      <c r="J1710" s="9" t="s">
        <v>13284</v>
      </c>
      <c r="K1710" s="9" t="s">
        <v>13284</v>
      </c>
      <c r="L1710" s="9" t="s">
        <v>13284</v>
      </c>
      <c r="M1710" s="9" t="s">
        <v>13284</v>
      </c>
      <c r="N1710" s="9" t="s">
        <v>13284</v>
      </c>
      <c r="O1710" s="9" t="s">
        <v>13284</v>
      </c>
      <c r="P1710" s="9" t="s">
        <v>13284</v>
      </c>
      <c r="Q1710" s="9" t="s">
        <v>13284</v>
      </c>
      <c r="R1710" s="9" t="s">
        <v>13284</v>
      </c>
      <c r="S1710" s="9" t="s">
        <v>13284</v>
      </c>
      <c r="T1710" s="9" t="str">
        <f ca="1">IFERROR(IF(AND(VLOOKUP(A1710, 'Актуальное состояние (из общего'!A:C,3,0) = "", A1710 &lt;&gt; ""), "ПРОВЕРИТЬ", VLOOKUP(A1710, 'Актуальное состояние (из общего'!A:C,3,0)), "")</f>
        <v/>
      </c>
      <c r="U1710" s="9" t="s">
        <v>13284</v>
      </c>
      <c r="V1710" s="9" t="s">
        <v>13284</v>
      </c>
      <c r="W1710" s="12"/>
      <c r="X1710" s="9" t="str">
        <f t="array" ref="X1710">IFERROR(INDEX('Адреса общежитий (скрытый)'!$B$2:$B$9, MATCH(W1710, 'Адреса общежитий (скрытый)'!$A$2:$A$9, 0)), "")</f>
        <v/>
      </c>
      <c r="Y1710" s="18"/>
      <c r="Z1710" s="18"/>
      <c r="AA1710" s="18"/>
      <c r="AB1710" s="18"/>
      <c r="AC1710" s="18"/>
    </row>
    <row r="1711" spans="1:29" ht="32.25" hidden="1" customHeight="1">
      <c r="A1711" s="17"/>
      <c r="B1711" s="9" t="s">
        <v>13284</v>
      </c>
      <c r="C1711" s="9" t="s">
        <v>13284</v>
      </c>
      <c r="D1711" s="9" t="s">
        <v>13284</v>
      </c>
      <c r="E1711" s="9" t="s">
        <v>13284</v>
      </c>
      <c r="F1711" s="9" t="s">
        <v>13284</v>
      </c>
      <c r="G1711" s="9" t="s">
        <v>13284</v>
      </c>
      <c r="H1711" s="9" t="s">
        <v>13284</v>
      </c>
      <c r="I1711" s="9" t="s">
        <v>13284</v>
      </c>
      <c r="J1711" s="9" t="s">
        <v>13284</v>
      </c>
      <c r="K1711" s="9" t="s">
        <v>13284</v>
      </c>
      <c r="L1711" s="9" t="s">
        <v>13284</v>
      </c>
      <c r="M1711" s="9" t="s">
        <v>13284</v>
      </c>
      <c r="N1711" s="9" t="s">
        <v>13284</v>
      </c>
      <c r="O1711" s="9" t="s">
        <v>13284</v>
      </c>
      <c r="P1711" s="9" t="s">
        <v>13284</v>
      </c>
      <c r="Q1711" s="9" t="s">
        <v>13284</v>
      </c>
      <c r="R1711" s="9" t="s">
        <v>13284</v>
      </c>
      <c r="S1711" s="9" t="s">
        <v>13284</v>
      </c>
      <c r="T1711" s="9" t="str">
        <f ca="1">IFERROR(IF(AND(VLOOKUP(A1711, 'Актуальное состояние (из общего'!A:C,3,0) = "", A1711 &lt;&gt; ""), "ПРОВЕРИТЬ", VLOOKUP(A1711, 'Актуальное состояние (из общего'!A:C,3,0)), "")</f>
        <v/>
      </c>
      <c r="U1711" s="9" t="s">
        <v>13284</v>
      </c>
      <c r="V1711" s="9" t="s">
        <v>13284</v>
      </c>
      <c r="W1711" s="12"/>
      <c r="X1711" s="9" t="str">
        <f t="array" ref="X1711">IFERROR(INDEX('Адреса общежитий (скрытый)'!$B$2:$B$9, MATCH(W1711, 'Адреса общежитий (скрытый)'!$A$2:$A$9, 0)), "")</f>
        <v/>
      </c>
      <c r="Y1711" s="18"/>
      <c r="Z1711" s="18"/>
      <c r="AA1711" s="18"/>
      <c r="AB1711" s="18"/>
      <c r="AC1711" s="18"/>
    </row>
    <row r="1712" spans="1:29" ht="32.25" hidden="1" customHeight="1">
      <c r="A1712" s="17"/>
      <c r="B1712" s="9" t="s">
        <v>13284</v>
      </c>
      <c r="C1712" s="9" t="s">
        <v>13284</v>
      </c>
      <c r="D1712" s="9" t="s">
        <v>13284</v>
      </c>
      <c r="E1712" s="9" t="s">
        <v>13284</v>
      </c>
      <c r="F1712" s="9" t="s">
        <v>13284</v>
      </c>
      <c r="G1712" s="9" t="s">
        <v>13284</v>
      </c>
      <c r="H1712" s="9" t="s">
        <v>13284</v>
      </c>
      <c r="I1712" s="9" t="s">
        <v>13284</v>
      </c>
      <c r="J1712" s="9" t="s">
        <v>13284</v>
      </c>
      <c r="K1712" s="9" t="s">
        <v>13284</v>
      </c>
      <c r="L1712" s="9" t="s">
        <v>13284</v>
      </c>
      <c r="M1712" s="9" t="s">
        <v>13284</v>
      </c>
      <c r="N1712" s="9" t="s">
        <v>13284</v>
      </c>
      <c r="O1712" s="9" t="s">
        <v>13284</v>
      </c>
      <c r="P1712" s="9" t="s">
        <v>13284</v>
      </c>
      <c r="Q1712" s="9" t="s">
        <v>13284</v>
      </c>
      <c r="R1712" s="9" t="s">
        <v>13284</v>
      </c>
      <c r="S1712" s="9" t="s">
        <v>13284</v>
      </c>
      <c r="T1712" s="9" t="str">
        <f ca="1">IFERROR(IF(AND(VLOOKUP(A1712, 'Актуальное состояние (из общего'!A:C,3,0) = "", A1712 &lt;&gt; ""), "ПРОВЕРИТЬ", VLOOKUP(A1712, 'Актуальное состояние (из общего'!A:C,3,0)), "")</f>
        <v/>
      </c>
      <c r="U1712" s="9" t="s">
        <v>13284</v>
      </c>
      <c r="V1712" s="9" t="s">
        <v>13284</v>
      </c>
      <c r="W1712" s="12"/>
      <c r="X1712" s="9" t="str">
        <f t="array" ref="X1712">IFERROR(INDEX('Адреса общежитий (скрытый)'!$B$2:$B$9, MATCH(W1712, 'Адреса общежитий (скрытый)'!$A$2:$A$9, 0)), "")</f>
        <v/>
      </c>
      <c r="Y1712" s="18"/>
      <c r="Z1712" s="18"/>
      <c r="AA1712" s="18"/>
      <c r="AB1712" s="18"/>
      <c r="AC1712" s="18"/>
    </row>
    <row r="1713" spans="1:29" ht="32.25" hidden="1" customHeight="1">
      <c r="A1713" s="17"/>
      <c r="B1713" s="9" t="s">
        <v>13284</v>
      </c>
      <c r="C1713" s="9" t="s">
        <v>13284</v>
      </c>
      <c r="D1713" s="9" t="s">
        <v>13284</v>
      </c>
      <c r="E1713" s="9" t="s">
        <v>13284</v>
      </c>
      <c r="F1713" s="9" t="s">
        <v>13284</v>
      </c>
      <c r="G1713" s="9" t="s">
        <v>13284</v>
      </c>
      <c r="H1713" s="9" t="s">
        <v>13284</v>
      </c>
      <c r="I1713" s="9" t="s">
        <v>13284</v>
      </c>
      <c r="J1713" s="9" t="s">
        <v>13284</v>
      </c>
      <c r="K1713" s="9" t="s">
        <v>13284</v>
      </c>
      <c r="L1713" s="9" t="s">
        <v>13284</v>
      </c>
      <c r="M1713" s="9" t="s">
        <v>13284</v>
      </c>
      <c r="N1713" s="9" t="s">
        <v>13284</v>
      </c>
      <c r="O1713" s="9" t="s">
        <v>13284</v>
      </c>
      <c r="P1713" s="9" t="s">
        <v>13284</v>
      </c>
      <c r="Q1713" s="9" t="s">
        <v>13284</v>
      </c>
      <c r="R1713" s="9" t="s">
        <v>13284</v>
      </c>
      <c r="S1713" s="9" t="s">
        <v>13284</v>
      </c>
      <c r="T1713" s="9" t="str">
        <f ca="1">IFERROR(IF(AND(VLOOKUP(A1713, 'Актуальное состояние (из общего'!A:C,3,0) = "", A1713 &lt;&gt; ""), "ПРОВЕРИТЬ", VLOOKUP(A1713, 'Актуальное состояние (из общего'!A:C,3,0)), "")</f>
        <v/>
      </c>
      <c r="U1713" s="9" t="s">
        <v>13284</v>
      </c>
      <c r="V1713" s="9" t="s">
        <v>13284</v>
      </c>
      <c r="W1713" s="12"/>
      <c r="X1713" s="9" t="str">
        <f t="array" ref="X1713">IFERROR(INDEX('Адреса общежитий (скрытый)'!$B$2:$B$9, MATCH(W1713, 'Адреса общежитий (скрытый)'!$A$2:$A$9, 0)), "")</f>
        <v/>
      </c>
      <c r="Y1713" s="18"/>
      <c r="Z1713" s="18"/>
      <c r="AA1713" s="18"/>
      <c r="AB1713" s="18"/>
      <c r="AC1713" s="18"/>
    </row>
    <row r="1714" spans="1:29" ht="32.25" hidden="1" customHeight="1">
      <c r="A1714" s="17"/>
      <c r="B1714" s="9" t="s">
        <v>13284</v>
      </c>
      <c r="C1714" s="9" t="s">
        <v>13284</v>
      </c>
      <c r="D1714" s="9" t="s">
        <v>13284</v>
      </c>
      <c r="E1714" s="9" t="s">
        <v>13284</v>
      </c>
      <c r="F1714" s="9" t="s">
        <v>13284</v>
      </c>
      <c r="G1714" s="9" t="s">
        <v>13284</v>
      </c>
      <c r="H1714" s="9" t="s">
        <v>13284</v>
      </c>
      <c r="I1714" s="9" t="s">
        <v>13284</v>
      </c>
      <c r="J1714" s="9" t="s">
        <v>13284</v>
      </c>
      <c r="K1714" s="9" t="s">
        <v>13284</v>
      </c>
      <c r="L1714" s="9" t="s">
        <v>13284</v>
      </c>
      <c r="M1714" s="9" t="s">
        <v>13284</v>
      </c>
      <c r="N1714" s="9" t="s">
        <v>13284</v>
      </c>
      <c r="O1714" s="9" t="s">
        <v>13284</v>
      </c>
      <c r="P1714" s="9" t="s">
        <v>13284</v>
      </c>
      <c r="Q1714" s="9" t="s">
        <v>13284</v>
      </c>
      <c r="R1714" s="9" t="s">
        <v>13284</v>
      </c>
      <c r="S1714" s="9" t="s">
        <v>13284</v>
      </c>
      <c r="T1714" s="9" t="str">
        <f ca="1">IFERROR(IF(AND(VLOOKUP(A1714, 'Актуальное состояние (из общего'!A:C,3,0) = "", A1714 &lt;&gt; ""), "ПРОВЕРИТЬ", VLOOKUP(A1714, 'Актуальное состояние (из общего'!A:C,3,0)), "")</f>
        <v/>
      </c>
      <c r="U1714" s="9" t="s">
        <v>13284</v>
      </c>
      <c r="V1714" s="9" t="s">
        <v>13284</v>
      </c>
      <c r="W1714" s="12"/>
      <c r="X1714" s="9" t="str">
        <f t="array" ref="X1714">IFERROR(INDEX('Адреса общежитий (скрытый)'!$B$2:$B$9, MATCH(W1714, 'Адреса общежитий (скрытый)'!$A$2:$A$9, 0)), "")</f>
        <v/>
      </c>
      <c r="Y1714" s="18"/>
      <c r="Z1714" s="18"/>
      <c r="AA1714" s="18"/>
      <c r="AB1714" s="18"/>
      <c r="AC1714" s="18"/>
    </row>
    <row r="1715" spans="1:29" ht="32.25" hidden="1" customHeight="1">
      <c r="A1715" s="17"/>
      <c r="B1715" s="9" t="s">
        <v>13284</v>
      </c>
      <c r="C1715" s="9" t="s">
        <v>13284</v>
      </c>
      <c r="D1715" s="9" t="s">
        <v>13284</v>
      </c>
      <c r="E1715" s="9" t="s">
        <v>13284</v>
      </c>
      <c r="F1715" s="9" t="s">
        <v>13284</v>
      </c>
      <c r="G1715" s="9" t="s">
        <v>13284</v>
      </c>
      <c r="H1715" s="9" t="s">
        <v>13284</v>
      </c>
      <c r="I1715" s="9" t="s">
        <v>13284</v>
      </c>
      <c r="J1715" s="9" t="s">
        <v>13284</v>
      </c>
      <c r="K1715" s="9" t="s">
        <v>13284</v>
      </c>
      <c r="L1715" s="9" t="s">
        <v>13284</v>
      </c>
      <c r="M1715" s="9" t="s">
        <v>13284</v>
      </c>
      <c r="N1715" s="9" t="s">
        <v>13284</v>
      </c>
      <c r="O1715" s="9" t="s">
        <v>13284</v>
      </c>
      <c r="P1715" s="9" t="s">
        <v>13284</v>
      </c>
      <c r="Q1715" s="9" t="s">
        <v>13284</v>
      </c>
      <c r="R1715" s="9" t="s">
        <v>13284</v>
      </c>
      <c r="S1715" s="9" t="s">
        <v>13284</v>
      </c>
      <c r="T1715" s="9" t="str">
        <f ca="1">IFERROR(IF(AND(VLOOKUP(A1715, 'Актуальное состояние (из общего'!A:C,3,0) = "", A1715 &lt;&gt; ""), "ПРОВЕРИТЬ", VLOOKUP(A1715, 'Актуальное состояние (из общего'!A:C,3,0)), "")</f>
        <v/>
      </c>
      <c r="U1715" s="9" t="s">
        <v>13284</v>
      </c>
      <c r="V1715" s="9" t="s">
        <v>13284</v>
      </c>
      <c r="W1715" s="12"/>
      <c r="X1715" s="9" t="str">
        <f t="array" ref="X1715">IFERROR(INDEX('Адреса общежитий (скрытый)'!$B$2:$B$9, MATCH(W1715, 'Адреса общежитий (скрытый)'!$A$2:$A$9, 0)), "")</f>
        <v/>
      </c>
      <c r="Y1715" s="18"/>
      <c r="Z1715" s="18"/>
      <c r="AA1715" s="18"/>
      <c r="AB1715" s="18"/>
      <c r="AC1715" s="18"/>
    </row>
    <row r="1716" spans="1:29" ht="32.25" hidden="1" customHeight="1">
      <c r="A1716" s="17"/>
      <c r="B1716" s="9" t="s">
        <v>13284</v>
      </c>
      <c r="C1716" s="9" t="s">
        <v>13284</v>
      </c>
      <c r="D1716" s="9" t="s">
        <v>13284</v>
      </c>
      <c r="E1716" s="9" t="s">
        <v>13284</v>
      </c>
      <c r="F1716" s="9" t="s">
        <v>13284</v>
      </c>
      <c r="G1716" s="9" t="s">
        <v>13284</v>
      </c>
      <c r="H1716" s="9" t="s">
        <v>13284</v>
      </c>
      <c r="I1716" s="9" t="s">
        <v>13284</v>
      </c>
      <c r="J1716" s="9" t="s">
        <v>13284</v>
      </c>
      <c r="K1716" s="9" t="s">
        <v>13284</v>
      </c>
      <c r="L1716" s="9" t="s">
        <v>13284</v>
      </c>
      <c r="M1716" s="9" t="s">
        <v>13284</v>
      </c>
      <c r="N1716" s="9" t="s">
        <v>13284</v>
      </c>
      <c r="O1716" s="9" t="s">
        <v>13284</v>
      </c>
      <c r="P1716" s="9" t="s">
        <v>13284</v>
      </c>
      <c r="Q1716" s="9" t="s">
        <v>13284</v>
      </c>
      <c r="R1716" s="9" t="s">
        <v>13284</v>
      </c>
      <c r="S1716" s="9" t="s">
        <v>13284</v>
      </c>
      <c r="T1716" s="9" t="str">
        <f ca="1">IFERROR(IF(AND(VLOOKUP(A1716, 'Актуальное состояние (из общего'!A:C,3,0) = "", A1716 &lt;&gt; ""), "ПРОВЕРИТЬ", VLOOKUP(A1716, 'Актуальное состояние (из общего'!A:C,3,0)), "")</f>
        <v/>
      </c>
      <c r="U1716" s="9" t="s">
        <v>13284</v>
      </c>
      <c r="V1716" s="9" t="s">
        <v>13284</v>
      </c>
      <c r="W1716" s="12"/>
      <c r="X1716" s="9" t="str">
        <f t="array" ref="X1716">IFERROR(INDEX('Адреса общежитий (скрытый)'!$B$2:$B$9, MATCH(W1716, 'Адреса общежитий (скрытый)'!$A$2:$A$9, 0)), "")</f>
        <v/>
      </c>
      <c r="Y1716" s="18"/>
      <c r="Z1716" s="18"/>
      <c r="AA1716" s="18"/>
      <c r="AB1716" s="18"/>
      <c r="AC1716" s="18"/>
    </row>
    <row r="1717" spans="1:29" ht="32.25" hidden="1" customHeight="1">
      <c r="A1717" s="17"/>
      <c r="B1717" s="9" t="s">
        <v>13284</v>
      </c>
      <c r="C1717" s="9" t="s">
        <v>13284</v>
      </c>
      <c r="D1717" s="9" t="s">
        <v>13284</v>
      </c>
      <c r="E1717" s="9" t="s">
        <v>13284</v>
      </c>
      <c r="F1717" s="9" t="s">
        <v>13284</v>
      </c>
      <c r="G1717" s="9" t="s">
        <v>13284</v>
      </c>
      <c r="H1717" s="9" t="s">
        <v>13284</v>
      </c>
      <c r="I1717" s="9" t="s">
        <v>13284</v>
      </c>
      <c r="J1717" s="9" t="s">
        <v>13284</v>
      </c>
      <c r="K1717" s="9" t="s">
        <v>13284</v>
      </c>
      <c r="L1717" s="9" t="s">
        <v>13284</v>
      </c>
      <c r="M1717" s="9" t="s">
        <v>13284</v>
      </c>
      <c r="N1717" s="9" t="s">
        <v>13284</v>
      </c>
      <c r="O1717" s="9" t="s">
        <v>13284</v>
      </c>
      <c r="P1717" s="9" t="s">
        <v>13284</v>
      </c>
      <c r="Q1717" s="9" t="s">
        <v>13284</v>
      </c>
      <c r="R1717" s="9" t="s">
        <v>13284</v>
      </c>
      <c r="S1717" s="9" t="s">
        <v>13284</v>
      </c>
      <c r="T1717" s="9" t="str">
        <f ca="1">IFERROR(IF(AND(VLOOKUP(A1717, 'Актуальное состояние (из общего'!A:C,3,0) = "", A1717 &lt;&gt; ""), "ПРОВЕРИТЬ", VLOOKUP(A1717, 'Актуальное состояние (из общего'!A:C,3,0)), "")</f>
        <v/>
      </c>
      <c r="U1717" s="9" t="s">
        <v>13284</v>
      </c>
      <c r="V1717" s="9" t="s">
        <v>13284</v>
      </c>
      <c r="W1717" s="12"/>
      <c r="X1717" s="9" t="str">
        <f t="array" ref="X1717">IFERROR(INDEX('Адреса общежитий (скрытый)'!$B$2:$B$9, MATCH(W1717, 'Адреса общежитий (скрытый)'!$A$2:$A$9, 0)), "")</f>
        <v/>
      </c>
      <c r="Y1717" s="18"/>
      <c r="Z1717" s="18"/>
      <c r="AA1717" s="18"/>
      <c r="AB1717" s="18"/>
      <c r="AC1717" s="18"/>
    </row>
    <row r="1718" spans="1:29" ht="32.25" hidden="1" customHeight="1">
      <c r="A1718" s="17"/>
      <c r="B1718" s="9" t="s">
        <v>13284</v>
      </c>
      <c r="C1718" s="9" t="s">
        <v>13284</v>
      </c>
      <c r="D1718" s="9" t="s">
        <v>13284</v>
      </c>
      <c r="E1718" s="9" t="s">
        <v>13284</v>
      </c>
      <c r="F1718" s="9" t="s">
        <v>13284</v>
      </c>
      <c r="G1718" s="9" t="s">
        <v>13284</v>
      </c>
      <c r="H1718" s="9" t="s">
        <v>13284</v>
      </c>
      <c r="I1718" s="9" t="s">
        <v>13284</v>
      </c>
      <c r="J1718" s="9" t="s">
        <v>13284</v>
      </c>
      <c r="K1718" s="9" t="s">
        <v>13284</v>
      </c>
      <c r="L1718" s="9" t="s">
        <v>13284</v>
      </c>
      <c r="M1718" s="9" t="s">
        <v>13284</v>
      </c>
      <c r="N1718" s="9" t="s">
        <v>13284</v>
      </c>
      <c r="O1718" s="9" t="s">
        <v>13284</v>
      </c>
      <c r="P1718" s="9" t="s">
        <v>13284</v>
      </c>
      <c r="Q1718" s="9" t="s">
        <v>13284</v>
      </c>
      <c r="R1718" s="9" t="s">
        <v>13284</v>
      </c>
      <c r="S1718" s="9" t="s">
        <v>13284</v>
      </c>
      <c r="T1718" s="9" t="str">
        <f ca="1">IFERROR(IF(AND(VLOOKUP(A1718, 'Актуальное состояние (из общего'!A:C,3,0) = "", A1718 &lt;&gt; ""), "ПРОВЕРИТЬ", VLOOKUP(A1718, 'Актуальное состояние (из общего'!A:C,3,0)), "")</f>
        <v/>
      </c>
      <c r="U1718" s="9" t="s">
        <v>13284</v>
      </c>
      <c r="V1718" s="9" t="s">
        <v>13284</v>
      </c>
      <c r="W1718" s="12"/>
      <c r="X1718" s="9" t="str">
        <f t="array" ref="X1718">IFERROR(INDEX('Адреса общежитий (скрытый)'!$B$2:$B$9, MATCH(W1718, 'Адреса общежитий (скрытый)'!$A$2:$A$9, 0)), "")</f>
        <v/>
      </c>
      <c r="Y1718" s="18"/>
      <c r="Z1718" s="18"/>
      <c r="AA1718" s="18"/>
      <c r="AB1718" s="18"/>
      <c r="AC1718" s="18"/>
    </row>
    <row r="1719" spans="1:29" ht="32.25" hidden="1" customHeight="1">
      <c r="A1719" s="17"/>
      <c r="B1719" s="9" t="s">
        <v>13284</v>
      </c>
      <c r="C1719" s="9" t="s">
        <v>13284</v>
      </c>
      <c r="D1719" s="9" t="s">
        <v>13284</v>
      </c>
      <c r="E1719" s="9" t="s">
        <v>13284</v>
      </c>
      <c r="F1719" s="9" t="s">
        <v>13284</v>
      </c>
      <c r="G1719" s="9" t="s">
        <v>13284</v>
      </c>
      <c r="H1719" s="9" t="s">
        <v>13284</v>
      </c>
      <c r="I1719" s="9" t="s">
        <v>13284</v>
      </c>
      <c r="J1719" s="9" t="s">
        <v>13284</v>
      </c>
      <c r="K1719" s="9" t="s">
        <v>13284</v>
      </c>
      <c r="L1719" s="9" t="s">
        <v>13284</v>
      </c>
      <c r="M1719" s="9" t="s">
        <v>13284</v>
      </c>
      <c r="N1719" s="9" t="s">
        <v>13284</v>
      </c>
      <c r="O1719" s="9" t="s">
        <v>13284</v>
      </c>
      <c r="P1719" s="9" t="s">
        <v>13284</v>
      </c>
      <c r="Q1719" s="9" t="s">
        <v>13284</v>
      </c>
      <c r="R1719" s="9" t="s">
        <v>13284</v>
      </c>
      <c r="S1719" s="9" t="s">
        <v>13284</v>
      </c>
      <c r="T1719" s="9" t="str">
        <f ca="1">IFERROR(IF(AND(VLOOKUP(A1719, 'Актуальное состояние (из общего'!A:C,3,0) = "", A1719 &lt;&gt; ""), "ПРОВЕРИТЬ", VLOOKUP(A1719, 'Актуальное состояние (из общего'!A:C,3,0)), "")</f>
        <v/>
      </c>
      <c r="U1719" s="9" t="s">
        <v>13284</v>
      </c>
      <c r="V1719" s="9" t="s">
        <v>13284</v>
      </c>
      <c r="W1719" s="12"/>
      <c r="X1719" s="9" t="str">
        <f t="array" ref="X1719">IFERROR(INDEX('Адреса общежитий (скрытый)'!$B$2:$B$9, MATCH(W1719, 'Адреса общежитий (скрытый)'!$A$2:$A$9, 0)), "")</f>
        <v/>
      </c>
      <c r="Y1719" s="18"/>
      <c r="Z1719" s="18"/>
      <c r="AA1719" s="18"/>
      <c r="AB1719" s="18"/>
      <c r="AC1719" s="18"/>
    </row>
    <row r="1720" spans="1:29" ht="32.25" hidden="1" customHeight="1">
      <c r="A1720" s="17"/>
      <c r="B1720" s="9" t="s">
        <v>13284</v>
      </c>
      <c r="C1720" s="9" t="s">
        <v>13284</v>
      </c>
      <c r="D1720" s="9" t="s">
        <v>13284</v>
      </c>
      <c r="E1720" s="9" t="s">
        <v>13284</v>
      </c>
      <c r="F1720" s="9" t="s">
        <v>13284</v>
      </c>
      <c r="G1720" s="9" t="s">
        <v>13284</v>
      </c>
      <c r="H1720" s="9" t="s">
        <v>13284</v>
      </c>
      <c r="I1720" s="9" t="s">
        <v>13284</v>
      </c>
      <c r="J1720" s="9" t="s">
        <v>13284</v>
      </c>
      <c r="K1720" s="9" t="s">
        <v>13284</v>
      </c>
      <c r="L1720" s="9" t="s">
        <v>13284</v>
      </c>
      <c r="M1720" s="9" t="s">
        <v>13284</v>
      </c>
      <c r="N1720" s="9" t="s">
        <v>13284</v>
      </c>
      <c r="O1720" s="9" t="s">
        <v>13284</v>
      </c>
      <c r="P1720" s="9" t="s">
        <v>13284</v>
      </c>
      <c r="Q1720" s="9" t="s">
        <v>13284</v>
      </c>
      <c r="R1720" s="9" t="s">
        <v>13284</v>
      </c>
      <c r="S1720" s="9" t="s">
        <v>13284</v>
      </c>
      <c r="T1720" s="9" t="str">
        <f ca="1">IFERROR(IF(AND(VLOOKUP(A1720, 'Актуальное состояние (из общего'!A:C,3,0) = "", A1720 &lt;&gt; ""), "ПРОВЕРИТЬ", VLOOKUP(A1720, 'Актуальное состояние (из общего'!A:C,3,0)), "")</f>
        <v/>
      </c>
      <c r="U1720" s="9" t="s">
        <v>13284</v>
      </c>
      <c r="V1720" s="9" t="s">
        <v>13284</v>
      </c>
      <c r="W1720" s="12"/>
      <c r="X1720" s="9" t="str">
        <f t="array" ref="X1720">IFERROR(INDEX('Адреса общежитий (скрытый)'!$B$2:$B$9, MATCH(W1720, 'Адреса общежитий (скрытый)'!$A$2:$A$9, 0)), "")</f>
        <v/>
      </c>
      <c r="Y1720" s="18"/>
      <c r="Z1720" s="18"/>
      <c r="AA1720" s="18"/>
      <c r="AB1720" s="18"/>
      <c r="AC1720" s="18"/>
    </row>
    <row r="1721" spans="1:29" ht="32.25" hidden="1" customHeight="1">
      <c r="A1721" s="17"/>
      <c r="B1721" s="9" t="s">
        <v>13284</v>
      </c>
      <c r="C1721" s="9" t="s">
        <v>13284</v>
      </c>
      <c r="D1721" s="9" t="s">
        <v>13284</v>
      </c>
      <c r="E1721" s="9" t="s">
        <v>13284</v>
      </c>
      <c r="F1721" s="9" t="s">
        <v>13284</v>
      </c>
      <c r="G1721" s="9" t="s">
        <v>13284</v>
      </c>
      <c r="H1721" s="9" t="s">
        <v>13284</v>
      </c>
      <c r="I1721" s="9" t="s">
        <v>13284</v>
      </c>
      <c r="J1721" s="9" t="s">
        <v>13284</v>
      </c>
      <c r="K1721" s="9" t="s">
        <v>13284</v>
      </c>
      <c r="L1721" s="9" t="s">
        <v>13284</v>
      </c>
      <c r="M1721" s="9" t="s">
        <v>13284</v>
      </c>
      <c r="N1721" s="9" t="s">
        <v>13284</v>
      </c>
      <c r="O1721" s="9" t="s">
        <v>13284</v>
      </c>
      <c r="P1721" s="9" t="s">
        <v>13284</v>
      </c>
      <c r="Q1721" s="9" t="s">
        <v>13284</v>
      </c>
      <c r="R1721" s="9" t="s">
        <v>13284</v>
      </c>
      <c r="S1721" s="9" t="s">
        <v>13284</v>
      </c>
      <c r="T1721" s="9" t="str">
        <f ca="1">IFERROR(IF(AND(VLOOKUP(A1721, 'Актуальное состояние (из общего'!A:C,3,0) = "", A1721 &lt;&gt; ""), "ПРОВЕРИТЬ", VLOOKUP(A1721, 'Актуальное состояние (из общего'!A:C,3,0)), "")</f>
        <v/>
      </c>
      <c r="U1721" s="9" t="s">
        <v>13284</v>
      </c>
      <c r="V1721" s="9" t="s">
        <v>13284</v>
      </c>
      <c r="W1721" s="12"/>
      <c r="X1721" s="9" t="str">
        <f t="array" ref="X1721">IFERROR(INDEX('Адреса общежитий (скрытый)'!$B$2:$B$9, MATCH(W1721, 'Адреса общежитий (скрытый)'!$A$2:$A$9, 0)), "")</f>
        <v/>
      </c>
      <c r="Y1721" s="18"/>
      <c r="Z1721" s="18"/>
      <c r="AA1721" s="18"/>
      <c r="AB1721" s="18"/>
      <c r="AC1721" s="18"/>
    </row>
    <row r="1722" spans="1:29" ht="32.25" hidden="1" customHeight="1">
      <c r="A1722" s="17"/>
      <c r="B1722" s="9" t="s">
        <v>13284</v>
      </c>
      <c r="C1722" s="9" t="s">
        <v>13284</v>
      </c>
      <c r="D1722" s="9" t="s">
        <v>13284</v>
      </c>
      <c r="E1722" s="9" t="s">
        <v>13284</v>
      </c>
      <c r="F1722" s="9" t="s">
        <v>13284</v>
      </c>
      <c r="G1722" s="9" t="s">
        <v>13284</v>
      </c>
      <c r="H1722" s="9" t="s">
        <v>13284</v>
      </c>
      <c r="I1722" s="9" t="s">
        <v>13284</v>
      </c>
      <c r="J1722" s="9" t="s">
        <v>13284</v>
      </c>
      <c r="K1722" s="9" t="s">
        <v>13284</v>
      </c>
      <c r="L1722" s="9" t="s">
        <v>13284</v>
      </c>
      <c r="M1722" s="9" t="s">
        <v>13284</v>
      </c>
      <c r="N1722" s="9" t="s">
        <v>13284</v>
      </c>
      <c r="O1722" s="9" t="s">
        <v>13284</v>
      </c>
      <c r="P1722" s="9" t="s">
        <v>13284</v>
      </c>
      <c r="Q1722" s="9" t="s">
        <v>13284</v>
      </c>
      <c r="R1722" s="9" t="s">
        <v>13284</v>
      </c>
      <c r="S1722" s="9" t="s">
        <v>13284</v>
      </c>
      <c r="T1722" s="9" t="str">
        <f ca="1">IFERROR(IF(AND(VLOOKUP(A1722, 'Актуальное состояние (из общего'!A:C,3,0) = "", A1722 &lt;&gt; ""), "ПРОВЕРИТЬ", VLOOKUP(A1722, 'Актуальное состояние (из общего'!A:C,3,0)), "")</f>
        <v/>
      </c>
      <c r="U1722" s="9" t="s">
        <v>13284</v>
      </c>
      <c r="V1722" s="9" t="s">
        <v>13284</v>
      </c>
      <c r="W1722" s="12"/>
      <c r="X1722" s="9" t="str">
        <f t="array" ref="X1722">IFERROR(INDEX('Адреса общежитий (скрытый)'!$B$2:$B$9, MATCH(W1722, 'Адреса общежитий (скрытый)'!$A$2:$A$9, 0)), "")</f>
        <v/>
      </c>
      <c r="Y1722" s="18"/>
      <c r="Z1722" s="18"/>
      <c r="AA1722" s="18"/>
      <c r="AB1722" s="18"/>
      <c r="AC1722" s="18"/>
    </row>
    <row r="1723" spans="1:29" ht="32.25" hidden="1" customHeight="1">
      <c r="A1723" s="17"/>
      <c r="B1723" s="9" t="s">
        <v>13284</v>
      </c>
      <c r="C1723" s="9" t="s">
        <v>13284</v>
      </c>
      <c r="D1723" s="9" t="s">
        <v>13284</v>
      </c>
      <c r="E1723" s="9" t="s">
        <v>13284</v>
      </c>
      <c r="F1723" s="9" t="s">
        <v>13284</v>
      </c>
      <c r="G1723" s="9" t="s">
        <v>13284</v>
      </c>
      <c r="H1723" s="9" t="s">
        <v>13284</v>
      </c>
      <c r="I1723" s="9" t="s">
        <v>13284</v>
      </c>
      <c r="J1723" s="9" t="s">
        <v>13284</v>
      </c>
      <c r="K1723" s="9" t="s">
        <v>13284</v>
      </c>
      <c r="L1723" s="9" t="s">
        <v>13284</v>
      </c>
      <c r="M1723" s="9" t="s">
        <v>13284</v>
      </c>
      <c r="N1723" s="9" t="s">
        <v>13284</v>
      </c>
      <c r="O1723" s="9" t="s">
        <v>13284</v>
      </c>
      <c r="P1723" s="9" t="s">
        <v>13284</v>
      </c>
      <c r="Q1723" s="9" t="s">
        <v>13284</v>
      </c>
      <c r="R1723" s="9" t="s">
        <v>13284</v>
      </c>
      <c r="S1723" s="9" t="s">
        <v>13284</v>
      </c>
      <c r="T1723" s="9" t="str">
        <f ca="1">IFERROR(IF(AND(VLOOKUP(A1723, 'Актуальное состояние (из общего'!A:C,3,0) = "", A1723 &lt;&gt; ""), "ПРОВЕРИТЬ", VLOOKUP(A1723, 'Актуальное состояние (из общего'!A:C,3,0)), "")</f>
        <v/>
      </c>
      <c r="U1723" s="9" t="s">
        <v>13284</v>
      </c>
      <c r="V1723" s="9" t="s">
        <v>13284</v>
      </c>
      <c r="W1723" s="12"/>
      <c r="X1723" s="9" t="str">
        <f t="array" ref="X1723">IFERROR(INDEX('Адреса общежитий (скрытый)'!$B$2:$B$9, MATCH(W1723, 'Адреса общежитий (скрытый)'!$A$2:$A$9, 0)), "")</f>
        <v/>
      </c>
      <c r="Y1723" s="18"/>
      <c r="Z1723" s="18"/>
      <c r="AA1723" s="18"/>
      <c r="AB1723" s="18"/>
      <c r="AC1723" s="18"/>
    </row>
    <row r="1724" spans="1:29" ht="32.25" hidden="1" customHeight="1">
      <c r="A1724" s="17"/>
      <c r="B1724" s="9" t="s">
        <v>13284</v>
      </c>
      <c r="C1724" s="9" t="s">
        <v>13284</v>
      </c>
      <c r="D1724" s="9" t="s">
        <v>13284</v>
      </c>
      <c r="E1724" s="9" t="s">
        <v>13284</v>
      </c>
      <c r="F1724" s="9" t="s">
        <v>13284</v>
      </c>
      <c r="G1724" s="9" t="s">
        <v>13284</v>
      </c>
      <c r="H1724" s="9" t="s">
        <v>13284</v>
      </c>
      <c r="I1724" s="9" t="s">
        <v>13284</v>
      </c>
      <c r="J1724" s="9" t="s">
        <v>13284</v>
      </c>
      <c r="K1724" s="9" t="s">
        <v>13284</v>
      </c>
      <c r="L1724" s="9" t="s">
        <v>13284</v>
      </c>
      <c r="M1724" s="9" t="s">
        <v>13284</v>
      </c>
      <c r="N1724" s="9" t="s">
        <v>13284</v>
      </c>
      <c r="O1724" s="9" t="s">
        <v>13284</v>
      </c>
      <c r="P1724" s="9" t="s">
        <v>13284</v>
      </c>
      <c r="Q1724" s="9" t="s">
        <v>13284</v>
      </c>
      <c r="R1724" s="9" t="s">
        <v>13284</v>
      </c>
      <c r="S1724" s="9" t="s">
        <v>13284</v>
      </c>
      <c r="T1724" s="9" t="str">
        <f ca="1">IFERROR(IF(AND(VLOOKUP(A1724, 'Актуальное состояние (из общего'!A:C,3,0) = "", A1724 &lt;&gt; ""), "ПРОВЕРИТЬ", VLOOKUP(A1724, 'Актуальное состояние (из общего'!A:C,3,0)), "")</f>
        <v/>
      </c>
      <c r="U1724" s="9" t="s">
        <v>13284</v>
      </c>
      <c r="V1724" s="9" t="s">
        <v>13284</v>
      </c>
      <c r="W1724" s="12"/>
      <c r="X1724" s="9" t="str">
        <f t="array" ref="X1724">IFERROR(INDEX('Адреса общежитий (скрытый)'!$B$2:$B$9, MATCH(W1724, 'Адреса общежитий (скрытый)'!$A$2:$A$9, 0)), "")</f>
        <v/>
      </c>
      <c r="Y1724" s="18"/>
      <c r="Z1724" s="18"/>
      <c r="AA1724" s="18"/>
      <c r="AB1724" s="18"/>
      <c r="AC1724" s="18"/>
    </row>
    <row r="1725" spans="1:29" ht="32.25" hidden="1" customHeight="1">
      <c r="A1725" s="17"/>
      <c r="B1725" s="9" t="s">
        <v>13284</v>
      </c>
      <c r="C1725" s="9" t="s">
        <v>13284</v>
      </c>
      <c r="D1725" s="9" t="s">
        <v>13284</v>
      </c>
      <c r="E1725" s="9" t="s">
        <v>13284</v>
      </c>
      <c r="F1725" s="9" t="s">
        <v>13284</v>
      </c>
      <c r="G1725" s="9" t="s">
        <v>13284</v>
      </c>
      <c r="H1725" s="9" t="s">
        <v>13284</v>
      </c>
      <c r="I1725" s="9" t="s">
        <v>13284</v>
      </c>
      <c r="J1725" s="9" t="s">
        <v>13284</v>
      </c>
      <c r="K1725" s="9" t="s">
        <v>13284</v>
      </c>
      <c r="L1725" s="9" t="s">
        <v>13284</v>
      </c>
      <c r="M1725" s="9" t="s">
        <v>13284</v>
      </c>
      <c r="N1725" s="9" t="s">
        <v>13284</v>
      </c>
      <c r="O1725" s="9" t="s">
        <v>13284</v>
      </c>
      <c r="P1725" s="9" t="s">
        <v>13284</v>
      </c>
      <c r="Q1725" s="9" t="s">
        <v>13284</v>
      </c>
      <c r="R1725" s="9" t="s">
        <v>13284</v>
      </c>
      <c r="S1725" s="9" t="s">
        <v>13284</v>
      </c>
      <c r="T1725" s="9" t="str">
        <f ca="1">IFERROR(IF(AND(VLOOKUP(A1725, 'Актуальное состояние (из общего'!A:C,3,0) = "", A1725 &lt;&gt; ""), "ПРОВЕРИТЬ", VLOOKUP(A1725, 'Актуальное состояние (из общего'!A:C,3,0)), "")</f>
        <v/>
      </c>
      <c r="U1725" s="9" t="s">
        <v>13284</v>
      </c>
      <c r="V1725" s="9" t="s">
        <v>13284</v>
      </c>
      <c r="W1725" s="12"/>
      <c r="X1725" s="9" t="str">
        <f t="array" ref="X1725">IFERROR(INDEX('Адреса общежитий (скрытый)'!$B$2:$B$9, MATCH(W1725, 'Адреса общежитий (скрытый)'!$A$2:$A$9, 0)), "")</f>
        <v/>
      </c>
      <c r="Y1725" s="18"/>
      <c r="Z1725" s="18"/>
      <c r="AA1725" s="18"/>
      <c r="AB1725" s="18"/>
      <c r="AC1725" s="18"/>
    </row>
    <row r="1726" spans="1:29" ht="32.25" hidden="1" customHeight="1">
      <c r="A1726" s="17"/>
      <c r="B1726" s="9" t="s">
        <v>13284</v>
      </c>
      <c r="C1726" s="9" t="s">
        <v>13284</v>
      </c>
      <c r="D1726" s="9" t="s">
        <v>13284</v>
      </c>
      <c r="E1726" s="9" t="s">
        <v>13284</v>
      </c>
      <c r="F1726" s="9" t="s">
        <v>13284</v>
      </c>
      <c r="G1726" s="9" t="s">
        <v>13284</v>
      </c>
      <c r="H1726" s="9" t="s">
        <v>13284</v>
      </c>
      <c r="I1726" s="9" t="s">
        <v>13284</v>
      </c>
      <c r="J1726" s="9" t="s">
        <v>13284</v>
      </c>
      <c r="K1726" s="9" t="s">
        <v>13284</v>
      </c>
      <c r="L1726" s="9" t="s">
        <v>13284</v>
      </c>
      <c r="M1726" s="9" t="s">
        <v>13284</v>
      </c>
      <c r="N1726" s="9" t="s">
        <v>13284</v>
      </c>
      <c r="O1726" s="9" t="s">
        <v>13284</v>
      </c>
      <c r="P1726" s="9" t="s">
        <v>13284</v>
      </c>
      <c r="Q1726" s="9" t="s">
        <v>13284</v>
      </c>
      <c r="R1726" s="9" t="s">
        <v>13284</v>
      </c>
      <c r="S1726" s="9" t="s">
        <v>13284</v>
      </c>
      <c r="T1726" s="9" t="str">
        <f ca="1">IFERROR(IF(AND(VLOOKUP(A1726, 'Актуальное состояние (из общего'!A:C,3,0) = "", A1726 &lt;&gt; ""), "ПРОВЕРИТЬ", VLOOKUP(A1726, 'Актуальное состояние (из общего'!A:C,3,0)), "")</f>
        <v/>
      </c>
      <c r="U1726" s="9" t="s">
        <v>13284</v>
      </c>
      <c r="V1726" s="9" t="s">
        <v>13284</v>
      </c>
      <c r="W1726" s="12"/>
      <c r="X1726" s="9" t="str">
        <f t="array" ref="X1726">IFERROR(INDEX('Адреса общежитий (скрытый)'!$B$2:$B$9, MATCH(W1726, 'Адреса общежитий (скрытый)'!$A$2:$A$9, 0)), "")</f>
        <v/>
      </c>
      <c r="Y1726" s="18"/>
      <c r="Z1726" s="18"/>
      <c r="AA1726" s="18"/>
      <c r="AB1726" s="18"/>
      <c r="AC1726" s="18"/>
    </row>
    <row r="1727" spans="1:29" ht="32.25" hidden="1" customHeight="1">
      <c r="A1727" s="17"/>
      <c r="B1727" s="9" t="s">
        <v>13284</v>
      </c>
      <c r="C1727" s="9" t="s">
        <v>13284</v>
      </c>
      <c r="D1727" s="9" t="s">
        <v>13284</v>
      </c>
      <c r="E1727" s="9" t="s">
        <v>13284</v>
      </c>
      <c r="F1727" s="9" t="s">
        <v>13284</v>
      </c>
      <c r="G1727" s="9" t="s">
        <v>13284</v>
      </c>
      <c r="H1727" s="9" t="s">
        <v>13284</v>
      </c>
      <c r="I1727" s="9" t="s">
        <v>13284</v>
      </c>
      <c r="J1727" s="9" t="s">
        <v>13284</v>
      </c>
      <c r="K1727" s="9" t="s">
        <v>13284</v>
      </c>
      <c r="L1727" s="9" t="s">
        <v>13284</v>
      </c>
      <c r="M1727" s="9" t="s">
        <v>13284</v>
      </c>
      <c r="N1727" s="9" t="s">
        <v>13284</v>
      </c>
      <c r="O1727" s="9" t="s">
        <v>13284</v>
      </c>
      <c r="P1727" s="9" t="s">
        <v>13284</v>
      </c>
      <c r="Q1727" s="9" t="s">
        <v>13284</v>
      </c>
      <c r="R1727" s="9" t="s">
        <v>13284</v>
      </c>
      <c r="S1727" s="9" t="s">
        <v>13284</v>
      </c>
      <c r="T1727" s="9" t="str">
        <f ca="1">IFERROR(IF(AND(VLOOKUP(A1727, 'Актуальное состояние (из общего'!A:C,3,0) = "", A1727 &lt;&gt; ""), "ПРОВЕРИТЬ", VLOOKUP(A1727, 'Актуальное состояние (из общего'!A:C,3,0)), "")</f>
        <v/>
      </c>
      <c r="U1727" s="9" t="s">
        <v>13284</v>
      </c>
      <c r="V1727" s="9" t="s">
        <v>13284</v>
      </c>
      <c r="W1727" s="12"/>
      <c r="X1727" s="9" t="str">
        <f t="array" ref="X1727">IFERROR(INDEX('Адреса общежитий (скрытый)'!$B$2:$B$9, MATCH(W1727, 'Адреса общежитий (скрытый)'!$A$2:$A$9, 0)), "")</f>
        <v/>
      </c>
      <c r="Y1727" s="18"/>
      <c r="Z1727" s="18"/>
      <c r="AA1727" s="18"/>
      <c r="AB1727" s="18"/>
      <c r="AC1727" s="18"/>
    </row>
    <row r="1728" spans="1:29" ht="32.25" hidden="1" customHeight="1">
      <c r="A1728" s="17"/>
      <c r="B1728" s="9" t="s">
        <v>13284</v>
      </c>
      <c r="C1728" s="9" t="s">
        <v>13284</v>
      </c>
      <c r="D1728" s="9" t="s">
        <v>13284</v>
      </c>
      <c r="E1728" s="9" t="s">
        <v>13284</v>
      </c>
      <c r="F1728" s="9" t="s">
        <v>13284</v>
      </c>
      <c r="G1728" s="9" t="s">
        <v>13284</v>
      </c>
      <c r="H1728" s="9" t="s">
        <v>13284</v>
      </c>
      <c r="I1728" s="9" t="s">
        <v>13284</v>
      </c>
      <c r="J1728" s="9" t="s">
        <v>13284</v>
      </c>
      <c r="K1728" s="9" t="s">
        <v>13284</v>
      </c>
      <c r="L1728" s="9" t="s">
        <v>13284</v>
      </c>
      <c r="M1728" s="9" t="s">
        <v>13284</v>
      </c>
      <c r="N1728" s="9" t="s">
        <v>13284</v>
      </c>
      <c r="O1728" s="9" t="s">
        <v>13284</v>
      </c>
      <c r="P1728" s="9" t="s">
        <v>13284</v>
      </c>
      <c r="Q1728" s="9" t="s">
        <v>13284</v>
      </c>
      <c r="R1728" s="9" t="s">
        <v>13284</v>
      </c>
      <c r="S1728" s="9" t="s">
        <v>13284</v>
      </c>
      <c r="T1728" s="9" t="str">
        <f ca="1">IFERROR(IF(AND(VLOOKUP(A1728, 'Актуальное состояние (из общего'!A:C,3,0) = "", A1728 &lt;&gt; ""), "ПРОВЕРИТЬ", VLOOKUP(A1728, 'Актуальное состояние (из общего'!A:C,3,0)), "")</f>
        <v/>
      </c>
      <c r="U1728" s="9" t="s">
        <v>13284</v>
      </c>
      <c r="V1728" s="9" t="s">
        <v>13284</v>
      </c>
      <c r="W1728" s="12"/>
      <c r="X1728" s="9" t="str">
        <f t="array" ref="X1728">IFERROR(INDEX('Адреса общежитий (скрытый)'!$B$2:$B$9, MATCH(W1728, 'Адреса общежитий (скрытый)'!$A$2:$A$9, 0)), "")</f>
        <v/>
      </c>
      <c r="Y1728" s="18"/>
      <c r="Z1728" s="18"/>
      <c r="AA1728" s="18"/>
      <c r="AB1728" s="18"/>
      <c r="AC1728" s="18"/>
    </row>
    <row r="1729" spans="1:29" ht="32.25" hidden="1" customHeight="1">
      <c r="A1729" s="17"/>
      <c r="B1729" s="9" t="s">
        <v>13284</v>
      </c>
      <c r="C1729" s="9" t="s">
        <v>13284</v>
      </c>
      <c r="D1729" s="9" t="s">
        <v>13284</v>
      </c>
      <c r="E1729" s="9" t="s">
        <v>13284</v>
      </c>
      <c r="F1729" s="9" t="s">
        <v>13284</v>
      </c>
      <c r="G1729" s="9" t="s">
        <v>13284</v>
      </c>
      <c r="H1729" s="9" t="s">
        <v>13284</v>
      </c>
      <c r="I1729" s="9" t="s">
        <v>13284</v>
      </c>
      <c r="J1729" s="9" t="s">
        <v>13284</v>
      </c>
      <c r="K1729" s="9" t="s">
        <v>13284</v>
      </c>
      <c r="L1729" s="9" t="s">
        <v>13284</v>
      </c>
      <c r="M1729" s="9" t="s">
        <v>13284</v>
      </c>
      <c r="N1729" s="9" t="s">
        <v>13284</v>
      </c>
      <c r="O1729" s="9" t="s">
        <v>13284</v>
      </c>
      <c r="P1729" s="9" t="s">
        <v>13284</v>
      </c>
      <c r="Q1729" s="9" t="s">
        <v>13284</v>
      </c>
      <c r="R1729" s="9" t="s">
        <v>13284</v>
      </c>
      <c r="S1729" s="9" t="s">
        <v>13284</v>
      </c>
      <c r="T1729" s="9" t="str">
        <f ca="1">IFERROR(IF(AND(VLOOKUP(A1729, 'Актуальное состояние (из общего'!A:C,3,0) = "", A1729 &lt;&gt; ""), "ПРОВЕРИТЬ", VLOOKUP(A1729, 'Актуальное состояние (из общего'!A:C,3,0)), "")</f>
        <v/>
      </c>
      <c r="U1729" s="9" t="s">
        <v>13284</v>
      </c>
      <c r="V1729" s="9" t="s">
        <v>13284</v>
      </c>
      <c r="W1729" s="12"/>
      <c r="X1729" s="9" t="str">
        <f t="array" ref="X1729">IFERROR(INDEX('Адреса общежитий (скрытый)'!$B$2:$B$9, MATCH(W1729, 'Адреса общежитий (скрытый)'!$A$2:$A$9, 0)), "")</f>
        <v/>
      </c>
      <c r="Y1729" s="18"/>
      <c r="Z1729" s="18"/>
      <c r="AA1729" s="18"/>
      <c r="AB1729" s="18"/>
      <c r="AC1729" s="18"/>
    </row>
    <row r="1730" spans="1:29" ht="32.25" hidden="1" customHeight="1">
      <c r="A1730" s="17"/>
      <c r="B1730" s="9" t="s">
        <v>13284</v>
      </c>
      <c r="C1730" s="9" t="s">
        <v>13284</v>
      </c>
      <c r="D1730" s="9" t="s">
        <v>13284</v>
      </c>
      <c r="E1730" s="9" t="s">
        <v>13284</v>
      </c>
      <c r="F1730" s="9" t="s">
        <v>13284</v>
      </c>
      <c r="G1730" s="9" t="s">
        <v>13284</v>
      </c>
      <c r="H1730" s="9" t="s">
        <v>13284</v>
      </c>
      <c r="I1730" s="9" t="s">
        <v>13284</v>
      </c>
      <c r="J1730" s="9" t="s">
        <v>13284</v>
      </c>
      <c r="K1730" s="9" t="s">
        <v>13284</v>
      </c>
      <c r="L1730" s="9" t="s">
        <v>13284</v>
      </c>
      <c r="M1730" s="9" t="s">
        <v>13284</v>
      </c>
      <c r="N1730" s="9" t="s">
        <v>13284</v>
      </c>
      <c r="O1730" s="9" t="s">
        <v>13284</v>
      </c>
      <c r="P1730" s="9" t="s">
        <v>13284</v>
      </c>
      <c r="Q1730" s="9" t="s">
        <v>13284</v>
      </c>
      <c r="R1730" s="9" t="s">
        <v>13284</v>
      </c>
      <c r="S1730" s="9" t="s">
        <v>13284</v>
      </c>
      <c r="T1730" s="9" t="str">
        <f ca="1">IFERROR(IF(AND(VLOOKUP(A1730, 'Актуальное состояние (из общего'!A:C,3,0) = "", A1730 &lt;&gt; ""), "ПРОВЕРИТЬ", VLOOKUP(A1730, 'Актуальное состояние (из общего'!A:C,3,0)), "")</f>
        <v/>
      </c>
      <c r="U1730" s="9" t="s">
        <v>13284</v>
      </c>
      <c r="V1730" s="9" t="s">
        <v>13284</v>
      </c>
      <c r="W1730" s="12"/>
      <c r="X1730" s="9" t="str">
        <f t="array" ref="X1730">IFERROR(INDEX('Адреса общежитий (скрытый)'!$B$2:$B$9, MATCH(W1730, 'Адреса общежитий (скрытый)'!$A$2:$A$9, 0)), "")</f>
        <v/>
      </c>
      <c r="Y1730" s="18"/>
      <c r="Z1730" s="18"/>
      <c r="AA1730" s="18"/>
      <c r="AB1730" s="18"/>
      <c r="AC1730" s="18"/>
    </row>
    <row r="1731" spans="1:29" ht="32.25" hidden="1" customHeight="1">
      <c r="A1731" s="17"/>
      <c r="B1731" s="9" t="s">
        <v>13284</v>
      </c>
      <c r="C1731" s="9" t="s">
        <v>13284</v>
      </c>
      <c r="D1731" s="9" t="s">
        <v>13284</v>
      </c>
      <c r="E1731" s="9" t="s">
        <v>13284</v>
      </c>
      <c r="F1731" s="9" t="s">
        <v>13284</v>
      </c>
      <c r="G1731" s="9" t="s">
        <v>13284</v>
      </c>
      <c r="H1731" s="9" t="s">
        <v>13284</v>
      </c>
      <c r="I1731" s="9" t="s">
        <v>13284</v>
      </c>
      <c r="J1731" s="9" t="s">
        <v>13284</v>
      </c>
      <c r="K1731" s="9" t="s">
        <v>13284</v>
      </c>
      <c r="L1731" s="9" t="s">
        <v>13284</v>
      </c>
      <c r="M1731" s="9" t="s">
        <v>13284</v>
      </c>
      <c r="N1731" s="9" t="s">
        <v>13284</v>
      </c>
      <c r="O1731" s="9" t="s">
        <v>13284</v>
      </c>
      <c r="P1731" s="9" t="s">
        <v>13284</v>
      </c>
      <c r="Q1731" s="9" t="s">
        <v>13284</v>
      </c>
      <c r="R1731" s="9" t="s">
        <v>13284</v>
      </c>
      <c r="S1731" s="9" t="s">
        <v>13284</v>
      </c>
      <c r="T1731" s="9" t="str">
        <f ca="1">IFERROR(IF(AND(VLOOKUP(A1731, 'Актуальное состояние (из общего'!A:C,3,0) = "", A1731 &lt;&gt; ""), "ПРОВЕРИТЬ", VLOOKUP(A1731, 'Актуальное состояние (из общего'!A:C,3,0)), "")</f>
        <v/>
      </c>
      <c r="U1731" s="9" t="s">
        <v>13284</v>
      </c>
      <c r="V1731" s="9" t="s">
        <v>13284</v>
      </c>
      <c r="W1731" s="12"/>
      <c r="X1731" s="9" t="str">
        <f t="array" ref="X1731">IFERROR(INDEX('Адреса общежитий (скрытый)'!$B$2:$B$9, MATCH(W1731, 'Адреса общежитий (скрытый)'!$A$2:$A$9, 0)), "")</f>
        <v/>
      </c>
      <c r="Y1731" s="18"/>
      <c r="Z1731" s="18"/>
      <c r="AA1731" s="18"/>
      <c r="AB1731" s="18"/>
      <c r="AC1731" s="18"/>
    </row>
    <row r="1732" spans="1:29" ht="32.25" hidden="1" customHeight="1">
      <c r="A1732" s="17"/>
      <c r="B1732" s="9" t="s">
        <v>13284</v>
      </c>
      <c r="C1732" s="9" t="s">
        <v>13284</v>
      </c>
      <c r="D1732" s="9" t="s">
        <v>13284</v>
      </c>
      <c r="E1732" s="9" t="s">
        <v>13284</v>
      </c>
      <c r="F1732" s="9" t="s">
        <v>13284</v>
      </c>
      <c r="G1732" s="9" t="s">
        <v>13284</v>
      </c>
      <c r="H1732" s="9" t="s">
        <v>13284</v>
      </c>
      <c r="I1732" s="9" t="s">
        <v>13284</v>
      </c>
      <c r="J1732" s="9" t="s">
        <v>13284</v>
      </c>
      <c r="K1732" s="9" t="s">
        <v>13284</v>
      </c>
      <c r="L1732" s="9" t="s">
        <v>13284</v>
      </c>
      <c r="M1732" s="9" t="s">
        <v>13284</v>
      </c>
      <c r="N1732" s="9" t="s">
        <v>13284</v>
      </c>
      <c r="O1732" s="9" t="s">
        <v>13284</v>
      </c>
      <c r="P1732" s="9" t="s">
        <v>13284</v>
      </c>
      <c r="Q1732" s="9" t="s">
        <v>13284</v>
      </c>
      <c r="R1732" s="9" t="s">
        <v>13284</v>
      </c>
      <c r="S1732" s="9" t="s">
        <v>13284</v>
      </c>
      <c r="T1732" s="9" t="str">
        <f ca="1">IFERROR(IF(AND(VLOOKUP(A1732, 'Актуальное состояние (из общего'!A:C,3,0) = "", A1732 &lt;&gt; ""), "ПРОВЕРИТЬ", VLOOKUP(A1732, 'Актуальное состояние (из общего'!A:C,3,0)), "")</f>
        <v/>
      </c>
      <c r="U1732" s="9" t="s">
        <v>13284</v>
      </c>
      <c r="V1732" s="9" t="s">
        <v>13284</v>
      </c>
      <c r="W1732" s="12"/>
      <c r="X1732" s="9" t="str">
        <f t="array" ref="X1732">IFERROR(INDEX('Адреса общежитий (скрытый)'!$B$2:$B$9, MATCH(W1732, 'Адреса общежитий (скрытый)'!$A$2:$A$9, 0)), "")</f>
        <v/>
      </c>
      <c r="Y1732" s="18"/>
      <c r="Z1732" s="18"/>
      <c r="AA1732" s="18"/>
      <c r="AB1732" s="18"/>
      <c r="AC1732" s="18"/>
    </row>
    <row r="1733" spans="1:29" ht="32.25" hidden="1" customHeight="1">
      <c r="A1733" s="17"/>
      <c r="B1733" s="9" t="s">
        <v>13284</v>
      </c>
      <c r="C1733" s="9" t="s">
        <v>13284</v>
      </c>
      <c r="D1733" s="9" t="s">
        <v>13284</v>
      </c>
      <c r="E1733" s="9" t="s">
        <v>13284</v>
      </c>
      <c r="F1733" s="9" t="s">
        <v>13284</v>
      </c>
      <c r="G1733" s="9" t="s">
        <v>13284</v>
      </c>
      <c r="H1733" s="9" t="s">
        <v>13284</v>
      </c>
      <c r="I1733" s="9" t="s">
        <v>13284</v>
      </c>
      <c r="J1733" s="9" t="s">
        <v>13284</v>
      </c>
      <c r="K1733" s="9" t="s">
        <v>13284</v>
      </c>
      <c r="L1733" s="9" t="s">
        <v>13284</v>
      </c>
      <c r="M1733" s="9" t="s">
        <v>13284</v>
      </c>
      <c r="N1733" s="9" t="s">
        <v>13284</v>
      </c>
      <c r="O1733" s="9" t="s">
        <v>13284</v>
      </c>
      <c r="P1733" s="9" t="s">
        <v>13284</v>
      </c>
      <c r="Q1733" s="9" t="s">
        <v>13284</v>
      </c>
      <c r="R1733" s="9" t="s">
        <v>13284</v>
      </c>
      <c r="S1733" s="9" t="s">
        <v>13284</v>
      </c>
      <c r="T1733" s="9" t="str">
        <f ca="1">IFERROR(IF(AND(VLOOKUP(A1733, 'Актуальное состояние (из общего'!A:C,3,0) = "", A1733 &lt;&gt; ""), "ПРОВЕРИТЬ", VLOOKUP(A1733, 'Актуальное состояние (из общего'!A:C,3,0)), "")</f>
        <v/>
      </c>
      <c r="U1733" s="9" t="s">
        <v>13284</v>
      </c>
      <c r="V1733" s="9" t="s">
        <v>13284</v>
      </c>
      <c r="W1733" s="12"/>
      <c r="X1733" s="9" t="str">
        <f t="array" ref="X1733">IFERROR(INDEX('Адреса общежитий (скрытый)'!$B$2:$B$9, MATCH(W1733, 'Адреса общежитий (скрытый)'!$A$2:$A$9, 0)), "")</f>
        <v/>
      </c>
      <c r="Y1733" s="18"/>
      <c r="Z1733" s="18"/>
      <c r="AA1733" s="18"/>
      <c r="AB1733" s="18"/>
      <c r="AC1733" s="18"/>
    </row>
    <row r="1734" spans="1:29" ht="32.25" hidden="1" customHeight="1">
      <c r="A1734" s="17"/>
      <c r="B1734" s="9" t="s">
        <v>13284</v>
      </c>
      <c r="C1734" s="9" t="s">
        <v>13284</v>
      </c>
      <c r="D1734" s="9" t="s">
        <v>13284</v>
      </c>
      <c r="E1734" s="9" t="s">
        <v>13284</v>
      </c>
      <c r="F1734" s="9" t="s">
        <v>13284</v>
      </c>
      <c r="G1734" s="9" t="s">
        <v>13284</v>
      </c>
      <c r="H1734" s="9" t="s">
        <v>13284</v>
      </c>
      <c r="I1734" s="9" t="s">
        <v>13284</v>
      </c>
      <c r="J1734" s="9" t="s">
        <v>13284</v>
      </c>
      <c r="K1734" s="9" t="s">
        <v>13284</v>
      </c>
      <c r="L1734" s="9" t="s">
        <v>13284</v>
      </c>
      <c r="M1734" s="9" t="s">
        <v>13284</v>
      </c>
      <c r="N1734" s="9" t="s">
        <v>13284</v>
      </c>
      <c r="O1734" s="9" t="s">
        <v>13284</v>
      </c>
      <c r="P1734" s="9" t="s">
        <v>13284</v>
      </c>
      <c r="Q1734" s="9" t="s">
        <v>13284</v>
      </c>
      <c r="R1734" s="9" t="s">
        <v>13284</v>
      </c>
      <c r="S1734" s="9" t="s">
        <v>13284</v>
      </c>
      <c r="T1734" s="9" t="str">
        <f ca="1">IFERROR(IF(AND(VLOOKUP(A1734, 'Актуальное состояние (из общего'!A:C,3,0) = "", A1734 &lt;&gt; ""), "ПРОВЕРИТЬ", VLOOKUP(A1734, 'Актуальное состояние (из общего'!A:C,3,0)), "")</f>
        <v/>
      </c>
      <c r="U1734" s="9" t="s">
        <v>13284</v>
      </c>
      <c r="V1734" s="9" t="s">
        <v>13284</v>
      </c>
      <c r="W1734" s="12"/>
      <c r="X1734" s="9" t="str">
        <f t="array" ref="X1734">IFERROR(INDEX('Адреса общежитий (скрытый)'!$B$2:$B$9, MATCH(W1734, 'Адреса общежитий (скрытый)'!$A$2:$A$9, 0)), "")</f>
        <v/>
      </c>
      <c r="Y1734" s="18"/>
      <c r="Z1734" s="18"/>
      <c r="AA1734" s="18"/>
      <c r="AB1734" s="18"/>
      <c r="AC1734" s="18"/>
    </row>
    <row r="1735" spans="1:29" ht="32.25" hidden="1" customHeight="1">
      <c r="A1735" s="17"/>
      <c r="B1735" s="9" t="s">
        <v>13284</v>
      </c>
      <c r="C1735" s="9" t="s">
        <v>13284</v>
      </c>
      <c r="D1735" s="9" t="s">
        <v>13284</v>
      </c>
      <c r="E1735" s="9" t="s">
        <v>13284</v>
      </c>
      <c r="F1735" s="9" t="s">
        <v>13284</v>
      </c>
      <c r="G1735" s="9" t="s">
        <v>13284</v>
      </c>
      <c r="H1735" s="9" t="s">
        <v>13284</v>
      </c>
      <c r="I1735" s="9" t="s">
        <v>13284</v>
      </c>
      <c r="J1735" s="9" t="s">
        <v>13284</v>
      </c>
      <c r="K1735" s="9" t="s">
        <v>13284</v>
      </c>
      <c r="L1735" s="9" t="s">
        <v>13284</v>
      </c>
      <c r="M1735" s="9" t="s">
        <v>13284</v>
      </c>
      <c r="N1735" s="9" t="s">
        <v>13284</v>
      </c>
      <c r="O1735" s="9" t="s">
        <v>13284</v>
      </c>
      <c r="P1735" s="9" t="s">
        <v>13284</v>
      </c>
      <c r="Q1735" s="9" t="s">
        <v>13284</v>
      </c>
      <c r="R1735" s="9" t="s">
        <v>13284</v>
      </c>
      <c r="S1735" s="9" t="s">
        <v>13284</v>
      </c>
      <c r="T1735" s="9" t="str">
        <f ca="1">IFERROR(IF(AND(VLOOKUP(A1735, 'Актуальное состояние (из общего'!A:C,3,0) = "", A1735 &lt;&gt; ""), "ПРОВЕРИТЬ", VLOOKUP(A1735, 'Актуальное состояние (из общего'!A:C,3,0)), "")</f>
        <v/>
      </c>
      <c r="U1735" s="9" t="s">
        <v>13284</v>
      </c>
      <c r="V1735" s="9" t="s">
        <v>13284</v>
      </c>
      <c r="W1735" s="12"/>
      <c r="X1735" s="9" t="str">
        <f t="array" ref="X1735">IFERROR(INDEX('Адреса общежитий (скрытый)'!$B$2:$B$9, MATCH(W1735, 'Адреса общежитий (скрытый)'!$A$2:$A$9, 0)), "")</f>
        <v/>
      </c>
      <c r="Y1735" s="18"/>
      <c r="Z1735" s="18"/>
      <c r="AA1735" s="18"/>
      <c r="AB1735" s="18"/>
      <c r="AC1735" s="18"/>
    </row>
    <row r="1736" spans="1:29" ht="32.25" hidden="1" customHeight="1">
      <c r="A1736" s="17"/>
      <c r="B1736" s="9" t="s">
        <v>13284</v>
      </c>
      <c r="C1736" s="9" t="s">
        <v>13284</v>
      </c>
      <c r="D1736" s="9" t="s">
        <v>13284</v>
      </c>
      <c r="E1736" s="9" t="s">
        <v>13284</v>
      </c>
      <c r="F1736" s="9" t="s">
        <v>13284</v>
      </c>
      <c r="G1736" s="9" t="s">
        <v>13284</v>
      </c>
      <c r="H1736" s="9" t="s">
        <v>13284</v>
      </c>
      <c r="I1736" s="9" t="s">
        <v>13284</v>
      </c>
      <c r="J1736" s="9" t="s">
        <v>13284</v>
      </c>
      <c r="K1736" s="9" t="s">
        <v>13284</v>
      </c>
      <c r="L1736" s="9" t="s">
        <v>13284</v>
      </c>
      <c r="M1736" s="9" t="s">
        <v>13284</v>
      </c>
      <c r="N1736" s="9" t="s">
        <v>13284</v>
      </c>
      <c r="O1736" s="9" t="s">
        <v>13284</v>
      </c>
      <c r="P1736" s="9" t="s">
        <v>13284</v>
      </c>
      <c r="Q1736" s="9" t="s">
        <v>13284</v>
      </c>
      <c r="R1736" s="9" t="s">
        <v>13284</v>
      </c>
      <c r="S1736" s="9" t="s">
        <v>13284</v>
      </c>
      <c r="T1736" s="9" t="str">
        <f ca="1">IFERROR(IF(AND(VLOOKUP(A1736, 'Актуальное состояние (из общего'!A:C,3,0) = "", A1736 &lt;&gt; ""), "ПРОВЕРИТЬ", VLOOKUP(A1736, 'Актуальное состояние (из общего'!A:C,3,0)), "")</f>
        <v/>
      </c>
      <c r="U1736" s="9" t="s">
        <v>13284</v>
      </c>
      <c r="V1736" s="9" t="s">
        <v>13284</v>
      </c>
      <c r="W1736" s="12"/>
      <c r="X1736" s="9" t="str">
        <f t="array" ref="X1736">IFERROR(INDEX('Адреса общежитий (скрытый)'!$B$2:$B$9, MATCH(W1736, 'Адреса общежитий (скрытый)'!$A$2:$A$9, 0)), "")</f>
        <v/>
      </c>
      <c r="Y1736" s="18"/>
      <c r="Z1736" s="18"/>
      <c r="AA1736" s="18"/>
      <c r="AB1736" s="18"/>
      <c r="AC1736" s="18"/>
    </row>
    <row r="1737" spans="1:29" ht="32.25" hidden="1" customHeight="1">
      <c r="A1737" s="17"/>
      <c r="B1737" s="9" t="s">
        <v>13284</v>
      </c>
      <c r="C1737" s="9" t="s">
        <v>13284</v>
      </c>
      <c r="D1737" s="9" t="s">
        <v>13284</v>
      </c>
      <c r="E1737" s="9" t="s">
        <v>13284</v>
      </c>
      <c r="F1737" s="9" t="s">
        <v>13284</v>
      </c>
      <c r="G1737" s="9" t="s">
        <v>13284</v>
      </c>
      <c r="H1737" s="9" t="s">
        <v>13284</v>
      </c>
      <c r="I1737" s="9" t="s">
        <v>13284</v>
      </c>
      <c r="J1737" s="9" t="s">
        <v>13284</v>
      </c>
      <c r="K1737" s="9" t="s">
        <v>13284</v>
      </c>
      <c r="L1737" s="9" t="s">
        <v>13284</v>
      </c>
      <c r="M1737" s="9" t="s">
        <v>13284</v>
      </c>
      <c r="N1737" s="9" t="s">
        <v>13284</v>
      </c>
      <c r="O1737" s="9" t="s">
        <v>13284</v>
      </c>
      <c r="P1737" s="9" t="s">
        <v>13284</v>
      </c>
      <c r="Q1737" s="9" t="s">
        <v>13284</v>
      </c>
      <c r="R1737" s="9" t="s">
        <v>13284</v>
      </c>
      <c r="S1737" s="9" t="s">
        <v>13284</v>
      </c>
      <c r="T1737" s="9" t="str">
        <f ca="1">IFERROR(IF(AND(VLOOKUP(A1737, 'Актуальное состояние (из общего'!A:C,3,0) = "", A1737 &lt;&gt; ""), "ПРОВЕРИТЬ", VLOOKUP(A1737, 'Актуальное состояние (из общего'!A:C,3,0)), "")</f>
        <v/>
      </c>
      <c r="U1737" s="9" t="s">
        <v>13284</v>
      </c>
      <c r="V1737" s="9" t="s">
        <v>13284</v>
      </c>
      <c r="W1737" s="12"/>
      <c r="X1737" s="9" t="str">
        <f t="array" ref="X1737">IFERROR(INDEX('Адреса общежитий (скрытый)'!$B$2:$B$9, MATCH(W1737, 'Адреса общежитий (скрытый)'!$A$2:$A$9, 0)), "")</f>
        <v/>
      </c>
      <c r="Y1737" s="18"/>
      <c r="Z1737" s="18"/>
      <c r="AA1737" s="18"/>
      <c r="AB1737" s="18"/>
      <c r="AC1737" s="18"/>
    </row>
    <row r="1738" spans="1:29" ht="32.25" hidden="1" customHeight="1">
      <c r="A1738" s="17"/>
      <c r="B1738" s="9" t="s">
        <v>13284</v>
      </c>
      <c r="C1738" s="9" t="s">
        <v>13284</v>
      </c>
      <c r="D1738" s="9" t="s">
        <v>13284</v>
      </c>
      <c r="E1738" s="9" t="s">
        <v>13284</v>
      </c>
      <c r="F1738" s="9" t="s">
        <v>13284</v>
      </c>
      <c r="G1738" s="9" t="s">
        <v>13284</v>
      </c>
      <c r="H1738" s="9" t="s">
        <v>13284</v>
      </c>
      <c r="I1738" s="9" t="s">
        <v>13284</v>
      </c>
      <c r="J1738" s="9" t="s">
        <v>13284</v>
      </c>
      <c r="K1738" s="9" t="s">
        <v>13284</v>
      </c>
      <c r="L1738" s="9" t="s">
        <v>13284</v>
      </c>
      <c r="M1738" s="9" t="s">
        <v>13284</v>
      </c>
      <c r="N1738" s="9" t="s">
        <v>13284</v>
      </c>
      <c r="O1738" s="9" t="s">
        <v>13284</v>
      </c>
      <c r="P1738" s="9" t="s">
        <v>13284</v>
      </c>
      <c r="Q1738" s="9" t="s">
        <v>13284</v>
      </c>
      <c r="R1738" s="9" t="s">
        <v>13284</v>
      </c>
      <c r="S1738" s="9" t="s">
        <v>13284</v>
      </c>
      <c r="T1738" s="9" t="str">
        <f ca="1">IFERROR(IF(AND(VLOOKUP(A1738, 'Актуальное состояние (из общего'!A:C,3,0) = "", A1738 &lt;&gt; ""), "ПРОВЕРИТЬ", VLOOKUP(A1738, 'Актуальное состояние (из общего'!A:C,3,0)), "")</f>
        <v/>
      </c>
      <c r="U1738" s="9" t="s">
        <v>13284</v>
      </c>
      <c r="V1738" s="9" t="s">
        <v>13284</v>
      </c>
      <c r="W1738" s="12"/>
      <c r="X1738" s="9" t="str">
        <f t="array" ref="X1738">IFERROR(INDEX('Адреса общежитий (скрытый)'!$B$2:$B$9, MATCH(W1738, 'Адреса общежитий (скрытый)'!$A$2:$A$9, 0)), "")</f>
        <v/>
      </c>
      <c r="Y1738" s="18"/>
      <c r="Z1738" s="18"/>
      <c r="AA1738" s="18"/>
      <c r="AB1738" s="18"/>
      <c r="AC1738" s="18"/>
    </row>
    <row r="1739" spans="1:29" ht="32.25" hidden="1" customHeight="1">
      <c r="A1739" s="17"/>
      <c r="B1739" s="9" t="s">
        <v>13284</v>
      </c>
      <c r="C1739" s="9" t="s">
        <v>13284</v>
      </c>
      <c r="D1739" s="9" t="s">
        <v>13284</v>
      </c>
      <c r="E1739" s="9" t="s">
        <v>13284</v>
      </c>
      <c r="F1739" s="9" t="s">
        <v>13284</v>
      </c>
      <c r="G1739" s="9" t="s">
        <v>13284</v>
      </c>
      <c r="H1739" s="9" t="s">
        <v>13284</v>
      </c>
      <c r="I1739" s="9" t="s">
        <v>13284</v>
      </c>
      <c r="J1739" s="9" t="s">
        <v>13284</v>
      </c>
      <c r="K1739" s="9" t="s">
        <v>13284</v>
      </c>
      <c r="L1739" s="9" t="s">
        <v>13284</v>
      </c>
      <c r="M1739" s="9" t="s">
        <v>13284</v>
      </c>
      <c r="N1739" s="9" t="s">
        <v>13284</v>
      </c>
      <c r="O1739" s="9" t="s">
        <v>13284</v>
      </c>
      <c r="P1739" s="9" t="s">
        <v>13284</v>
      </c>
      <c r="Q1739" s="9" t="s">
        <v>13284</v>
      </c>
      <c r="R1739" s="9" t="s">
        <v>13284</v>
      </c>
      <c r="S1739" s="9" t="s">
        <v>13284</v>
      </c>
      <c r="T1739" s="9" t="str">
        <f ca="1">IFERROR(IF(AND(VLOOKUP(A1739, 'Актуальное состояние (из общего'!A:C,3,0) = "", A1739 &lt;&gt; ""), "ПРОВЕРИТЬ", VLOOKUP(A1739, 'Актуальное состояние (из общего'!A:C,3,0)), "")</f>
        <v/>
      </c>
      <c r="U1739" s="9" t="s">
        <v>13284</v>
      </c>
      <c r="V1739" s="9" t="s">
        <v>13284</v>
      </c>
      <c r="W1739" s="12"/>
      <c r="X1739" s="9" t="str">
        <f t="array" ref="X1739">IFERROR(INDEX('Адреса общежитий (скрытый)'!$B$2:$B$9, MATCH(W1739, 'Адреса общежитий (скрытый)'!$A$2:$A$9, 0)), "")</f>
        <v/>
      </c>
      <c r="Y1739" s="18"/>
      <c r="Z1739" s="18"/>
      <c r="AA1739" s="18"/>
      <c r="AB1739" s="18"/>
      <c r="AC1739" s="18"/>
    </row>
    <row r="1740" spans="1:29" ht="32.25" hidden="1" customHeight="1">
      <c r="A1740" s="17"/>
      <c r="B1740" s="9" t="s">
        <v>13284</v>
      </c>
      <c r="C1740" s="9" t="s">
        <v>13284</v>
      </c>
      <c r="D1740" s="9" t="s">
        <v>13284</v>
      </c>
      <c r="E1740" s="9" t="s">
        <v>13284</v>
      </c>
      <c r="F1740" s="9" t="s">
        <v>13284</v>
      </c>
      <c r="G1740" s="9" t="s">
        <v>13284</v>
      </c>
      <c r="H1740" s="9" t="s">
        <v>13284</v>
      </c>
      <c r="I1740" s="9" t="s">
        <v>13284</v>
      </c>
      <c r="J1740" s="9" t="s">
        <v>13284</v>
      </c>
      <c r="K1740" s="9" t="s">
        <v>13284</v>
      </c>
      <c r="L1740" s="9" t="s">
        <v>13284</v>
      </c>
      <c r="M1740" s="9" t="s">
        <v>13284</v>
      </c>
      <c r="N1740" s="9" t="s">
        <v>13284</v>
      </c>
      <c r="O1740" s="9" t="s">
        <v>13284</v>
      </c>
      <c r="P1740" s="9" t="s">
        <v>13284</v>
      </c>
      <c r="Q1740" s="9" t="s">
        <v>13284</v>
      </c>
      <c r="R1740" s="9" t="s">
        <v>13284</v>
      </c>
      <c r="S1740" s="9" t="s">
        <v>13284</v>
      </c>
      <c r="T1740" s="9" t="str">
        <f ca="1">IFERROR(IF(AND(VLOOKUP(A1740, 'Актуальное состояние (из общего'!A:C,3,0) = "", A1740 &lt;&gt; ""), "ПРОВЕРИТЬ", VLOOKUP(A1740, 'Актуальное состояние (из общего'!A:C,3,0)), "")</f>
        <v/>
      </c>
      <c r="U1740" s="9" t="s">
        <v>13284</v>
      </c>
      <c r="V1740" s="9" t="s">
        <v>13284</v>
      </c>
      <c r="W1740" s="12"/>
      <c r="X1740" s="9" t="str">
        <f t="array" ref="X1740">IFERROR(INDEX('Адреса общежитий (скрытый)'!$B$2:$B$9, MATCH(W1740, 'Адреса общежитий (скрытый)'!$A$2:$A$9, 0)), "")</f>
        <v/>
      </c>
      <c r="Y1740" s="18"/>
      <c r="Z1740" s="18"/>
      <c r="AA1740" s="18"/>
      <c r="AB1740" s="18"/>
      <c r="AC1740" s="18"/>
    </row>
    <row r="1741" spans="1:29" ht="32.25" hidden="1" customHeight="1">
      <c r="A1741" s="17"/>
      <c r="B1741" s="9" t="s">
        <v>13284</v>
      </c>
      <c r="C1741" s="9" t="s">
        <v>13284</v>
      </c>
      <c r="D1741" s="9" t="s">
        <v>13284</v>
      </c>
      <c r="E1741" s="9" t="s">
        <v>13284</v>
      </c>
      <c r="F1741" s="9" t="s">
        <v>13284</v>
      </c>
      <c r="G1741" s="9" t="s">
        <v>13284</v>
      </c>
      <c r="H1741" s="9" t="s">
        <v>13284</v>
      </c>
      <c r="I1741" s="9" t="s">
        <v>13284</v>
      </c>
      <c r="J1741" s="9" t="s">
        <v>13284</v>
      </c>
      <c r="K1741" s="9" t="s">
        <v>13284</v>
      </c>
      <c r="L1741" s="9" t="s">
        <v>13284</v>
      </c>
      <c r="M1741" s="9" t="s">
        <v>13284</v>
      </c>
      <c r="N1741" s="9" t="s">
        <v>13284</v>
      </c>
      <c r="O1741" s="9" t="s">
        <v>13284</v>
      </c>
      <c r="P1741" s="9" t="s">
        <v>13284</v>
      </c>
      <c r="Q1741" s="9" t="s">
        <v>13284</v>
      </c>
      <c r="R1741" s="9" t="s">
        <v>13284</v>
      </c>
      <c r="S1741" s="9" t="s">
        <v>13284</v>
      </c>
      <c r="T1741" s="9" t="str">
        <f ca="1">IFERROR(IF(AND(VLOOKUP(A1741, 'Актуальное состояние (из общего'!A:C,3,0) = "", A1741 &lt;&gt; ""), "ПРОВЕРИТЬ", VLOOKUP(A1741, 'Актуальное состояние (из общего'!A:C,3,0)), "")</f>
        <v/>
      </c>
      <c r="U1741" s="9" t="s">
        <v>13284</v>
      </c>
      <c r="V1741" s="9" t="s">
        <v>13284</v>
      </c>
      <c r="W1741" s="12"/>
      <c r="X1741" s="9" t="str">
        <f t="array" ref="X1741">IFERROR(INDEX('Адреса общежитий (скрытый)'!$B$2:$B$9, MATCH(W1741, 'Адреса общежитий (скрытый)'!$A$2:$A$9, 0)), "")</f>
        <v/>
      </c>
      <c r="Y1741" s="18"/>
      <c r="Z1741" s="18"/>
      <c r="AA1741" s="18"/>
      <c r="AB1741" s="18"/>
      <c r="AC1741" s="18"/>
    </row>
    <row r="1742" spans="1:29" ht="32.25" hidden="1" customHeight="1">
      <c r="A1742" s="17"/>
      <c r="B1742" s="9" t="s">
        <v>13284</v>
      </c>
      <c r="C1742" s="9" t="s">
        <v>13284</v>
      </c>
      <c r="D1742" s="9" t="s">
        <v>13284</v>
      </c>
      <c r="E1742" s="9" t="s">
        <v>13284</v>
      </c>
      <c r="F1742" s="9" t="s">
        <v>13284</v>
      </c>
      <c r="G1742" s="9" t="s">
        <v>13284</v>
      </c>
      <c r="H1742" s="9" t="s">
        <v>13284</v>
      </c>
      <c r="I1742" s="9" t="s">
        <v>13284</v>
      </c>
      <c r="J1742" s="9" t="s">
        <v>13284</v>
      </c>
      <c r="K1742" s="9" t="s">
        <v>13284</v>
      </c>
      <c r="L1742" s="9" t="s">
        <v>13284</v>
      </c>
      <c r="M1742" s="9" t="s">
        <v>13284</v>
      </c>
      <c r="N1742" s="9" t="s">
        <v>13284</v>
      </c>
      <c r="O1742" s="9" t="s">
        <v>13284</v>
      </c>
      <c r="P1742" s="9" t="s">
        <v>13284</v>
      </c>
      <c r="Q1742" s="9" t="s">
        <v>13284</v>
      </c>
      <c r="R1742" s="9" t="s">
        <v>13284</v>
      </c>
      <c r="S1742" s="9" t="s">
        <v>13284</v>
      </c>
      <c r="T1742" s="9" t="str">
        <f ca="1">IFERROR(IF(AND(VLOOKUP(A1742, 'Актуальное состояние (из общего'!A:C,3,0) = "", A1742 &lt;&gt; ""), "ПРОВЕРИТЬ", VLOOKUP(A1742, 'Актуальное состояние (из общего'!A:C,3,0)), "")</f>
        <v/>
      </c>
      <c r="U1742" s="9" t="s">
        <v>13284</v>
      </c>
      <c r="V1742" s="9" t="s">
        <v>13284</v>
      </c>
      <c r="W1742" s="12"/>
      <c r="X1742" s="9" t="str">
        <f t="array" ref="X1742">IFERROR(INDEX('Адреса общежитий (скрытый)'!$B$2:$B$9, MATCH(W1742, 'Адреса общежитий (скрытый)'!$A$2:$A$9, 0)), "")</f>
        <v/>
      </c>
      <c r="Y1742" s="18"/>
      <c r="Z1742" s="18"/>
      <c r="AA1742" s="18"/>
      <c r="AB1742" s="18"/>
      <c r="AC1742" s="18"/>
    </row>
    <row r="1743" spans="1:29" ht="32.25" hidden="1" customHeight="1">
      <c r="A1743" s="17"/>
      <c r="B1743" s="9" t="s">
        <v>13284</v>
      </c>
      <c r="C1743" s="9" t="s">
        <v>13284</v>
      </c>
      <c r="D1743" s="9" t="s">
        <v>13284</v>
      </c>
      <c r="E1743" s="9" t="s">
        <v>13284</v>
      </c>
      <c r="F1743" s="9" t="s">
        <v>13284</v>
      </c>
      <c r="G1743" s="9" t="s">
        <v>13284</v>
      </c>
      <c r="H1743" s="9" t="s">
        <v>13284</v>
      </c>
      <c r="I1743" s="9" t="s">
        <v>13284</v>
      </c>
      <c r="J1743" s="9" t="s">
        <v>13284</v>
      </c>
      <c r="K1743" s="9" t="s">
        <v>13284</v>
      </c>
      <c r="L1743" s="9" t="s">
        <v>13284</v>
      </c>
      <c r="M1743" s="9" t="s">
        <v>13284</v>
      </c>
      <c r="N1743" s="9" t="s">
        <v>13284</v>
      </c>
      <c r="O1743" s="9" t="s">
        <v>13284</v>
      </c>
      <c r="P1743" s="9" t="s">
        <v>13284</v>
      </c>
      <c r="Q1743" s="9" t="s">
        <v>13284</v>
      </c>
      <c r="R1743" s="9" t="s">
        <v>13284</v>
      </c>
      <c r="S1743" s="9" t="s">
        <v>13284</v>
      </c>
      <c r="T1743" s="9" t="str">
        <f ca="1">IFERROR(IF(AND(VLOOKUP(A1743, 'Актуальное состояние (из общего'!A:C,3,0) = "", A1743 &lt;&gt; ""), "ПРОВЕРИТЬ", VLOOKUP(A1743, 'Актуальное состояние (из общего'!A:C,3,0)), "")</f>
        <v/>
      </c>
      <c r="U1743" s="9" t="s">
        <v>13284</v>
      </c>
      <c r="V1743" s="9" t="s">
        <v>13284</v>
      </c>
      <c r="W1743" s="12"/>
      <c r="X1743" s="9" t="str">
        <f t="array" ref="X1743">IFERROR(INDEX('Адреса общежитий (скрытый)'!$B$2:$B$9, MATCH(W1743, 'Адреса общежитий (скрытый)'!$A$2:$A$9, 0)), "")</f>
        <v/>
      </c>
      <c r="Y1743" s="18"/>
      <c r="Z1743" s="18"/>
      <c r="AA1743" s="18"/>
      <c r="AB1743" s="18"/>
      <c r="AC1743" s="18"/>
    </row>
    <row r="1744" spans="1:29" ht="32.25" hidden="1" customHeight="1">
      <c r="A1744" s="17"/>
      <c r="B1744" s="9" t="s">
        <v>13284</v>
      </c>
      <c r="C1744" s="9" t="s">
        <v>13284</v>
      </c>
      <c r="D1744" s="9" t="s">
        <v>13284</v>
      </c>
      <c r="E1744" s="9" t="s">
        <v>13284</v>
      </c>
      <c r="F1744" s="9" t="s">
        <v>13284</v>
      </c>
      <c r="G1744" s="9" t="s">
        <v>13284</v>
      </c>
      <c r="H1744" s="9" t="s">
        <v>13284</v>
      </c>
      <c r="I1744" s="9" t="s">
        <v>13284</v>
      </c>
      <c r="J1744" s="9" t="s">
        <v>13284</v>
      </c>
      <c r="K1744" s="9" t="s">
        <v>13284</v>
      </c>
      <c r="L1744" s="9" t="s">
        <v>13284</v>
      </c>
      <c r="M1744" s="9" t="s">
        <v>13284</v>
      </c>
      <c r="N1744" s="9" t="s">
        <v>13284</v>
      </c>
      <c r="O1744" s="9" t="s">
        <v>13284</v>
      </c>
      <c r="P1744" s="9" t="s">
        <v>13284</v>
      </c>
      <c r="Q1744" s="9" t="s">
        <v>13284</v>
      </c>
      <c r="R1744" s="9" t="s">
        <v>13284</v>
      </c>
      <c r="S1744" s="9" t="s">
        <v>13284</v>
      </c>
      <c r="T1744" s="9" t="str">
        <f ca="1">IFERROR(IF(AND(VLOOKUP(A1744, 'Актуальное состояние (из общего'!A:C,3,0) = "", A1744 &lt;&gt; ""), "ПРОВЕРИТЬ", VLOOKUP(A1744, 'Актуальное состояние (из общего'!A:C,3,0)), "")</f>
        <v/>
      </c>
      <c r="U1744" s="9" t="s">
        <v>13284</v>
      </c>
      <c r="V1744" s="9" t="s">
        <v>13284</v>
      </c>
      <c r="W1744" s="12"/>
      <c r="X1744" s="9" t="str">
        <f t="array" ref="X1744">IFERROR(INDEX('Адреса общежитий (скрытый)'!$B$2:$B$9, MATCH(W1744, 'Адреса общежитий (скрытый)'!$A$2:$A$9, 0)), "")</f>
        <v/>
      </c>
      <c r="Y1744" s="18"/>
      <c r="Z1744" s="18"/>
      <c r="AA1744" s="18"/>
      <c r="AB1744" s="18"/>
      <c r="AC1744" s="18"/>
    </row>
    <row r="1745" spans="1:29" ht="32.25" hidden="1" customHeight="1">
      <c r="A1745" s="17"/>
      <c r="B1745" s="9" t="s">
        <v>13284</v>
      </c>
      <c r="C1745" s="9" t="s">
        <v>13284</v>
      </c>
      <c r="D1745" s="9" t="s">
        <v>13284</v>
      </c>
      <c r="E1745" s="9" t="s">
        <v>13284</v>
      </c>
      <c r="F1745" s="9" t="s">
        <v>13284</v>
      </c>
      <c r="G1745" s="9" t="s">
        <v>13284</v>
      </c>
      <c r="H1745" s="9" t="s">
        <v>13284</v>
      </c>
      <c r="I1745" s="9" t="s">
        <v>13284</v>
      </c>
      <c r="J1745" s="9" t="s">
        <v>13284</v>
      </c>
      <c r="K1745" s="9" t="s">
        <v>13284</v>
      </c>
      <c r="L1745" s="9" t="s">
        <v>13284</v>
      </c>
      <c r="M1745" s="9" t="s">
        <v>13284</v>
      </c>
      <c r="N1745" s="9" t="s">
        <v>13284</v>
      </c>
      <c r="O1745" s="9" t="s">
        <v>13284</v>
      </c>
      <c r="P1745" s="9" t="s">
        <v>13284</v>
      </c>
      <c r="Q1745" s="9" t="s">
        <v>13284</v>
      </c>
      <c r="R1745" s="9" t="s">
        <v>13284</v>
      </c>
      <c r="S1745" s="9" t="s">
        <v>13284</v>
      </c>
      <c r="T1745" s="9" t="str">
        <f ca="1">IFERROR(IF(AND(VLOOKUP(A1745, 'Актуальное состояние (из общего'!A:C,3,0) = "", A1745 &lt;&gt; ""), "ПРОВЕРИТЬ", VLOOKUP(A1745, 'Актуальное состояние (из общего'!A:C,3,0)), "")</f>
        <v/>
      </c>
      <c r="U1745" s="9" t="s">
        <v>13284</v>
      </c>
      <c r="V1745" s="9" t="s">
        <v>13284</v>
      </c>
      <c r="W1745" s="12"/>
      <c r="X1745" s="9" t="str">
        <f t="array" ref="X1745">IFERROR(INDEX('Адреса общежитий (скрытый)'!$B$2:$B$9, MATCH(W1745, 'Адреса общежитий (скрытый)'!$A$2:$A$9, 0)), "")</f>
        <v/>
      </c>
      <c r="Y1745" s="18"/>
      <c r="Z1745" s="18"/>
      <c r="AA1745" s="18"/>
      <c r="AB1745" s="18"/>
      <c r="AC1745" s="18"/>
    </row>
    <row r="1746" spans="1:29" ht="32.25" hidden="1" customHeight="1">
      <c r="A1746" s="17"/>
      <c r="B1746" s="9" t="s">
        <v>13284</v>
      </c>
      <c r="C1746" s="9" t="s">
        <v>13284</v>
      </c>
      <c r="D1746" s="9" t="s">
        <v>13284</v>
      </c>
      <c r="E1746" s="9" t="s">
        <v>13284</v>
      </c>
      <c r="F1746" s="9" t="s">
        <v>13284</v>
      </c>
      <c r="G1746" s="9" t="s">
        <v>13284</v>
      </c>
      <c r="H1746" s="9" t="s">
        <v>13284</v>
      </c>
      <c r="I1746" s="9" t="s">
        <v>13284</v>
      </c>
      <c r="J1746" s="9" t="s">
        <v>13284</v>
      </c>
      <c r="K1746" s="9" t="s">
        <v>13284</v>
      </c>
      <c r="L1746" s="9" t="s">
        <v>13284</v>
      </c>
      <c r="M1746" s="9" t="s">
        <v>13284</v>
      </c>
      <c r="N1746" s="9" t="s">
        <v>13284</v>
      </c>
      <c r="O1746" s="9" t="s">
        <v>13284</v>
      </c>
      <c r="P1746" s="9" t="s">
        <v>13284</v>
      </c>
      <c r="Q1746" s="9" t="s">
        <v>13284</v>
      </c>
      <c r="R1746" s="9" t="s">
        <v>13284</v>
      </c>
      <c r="S1746" s="9" t="s">
        <v>13284</v>
      </c>
      <c r="T1746" s="9" t="str">
        <f ca="1">IFERROR(IF(AND(VLOOKUP(A1746, 'Актуальное состояние (из общего'!A:C,3,0) = "", A1746 &lt;&gt; ""), "ПРОВЕРИТЬ", VLOOKUP(A1746, 'Актуальное состояние (из общего'!A:C,3,0)), "")</f>
        <v/>
      </c>
      <c r="U1746" s="9" t="s">
        <v>13284</v>
      </c>
      <c r="V1746" s="9" t="s">
        <v>13284</v>
      </c>
      <c r="W1746" s="12"/>
      <c r="X1746" s="9" t="str">
        <f t="array" ref="X1746">IFERROR(INDEX('Адреса общежитий (скрытый)'!$B$2:$B$9, MATCH(W1746, 'Адреса общежитий (скрытый)'!$A$2:$A$9, 0)), "")</f>
        <v/>
      </c>
      <c r="Y1746" s="18"/>
      <c r="Z1746" s="18"/>
      <c r="AA1746" s="18"/>
      <c r="AB1746" s="18"/>
      <c r="AC1746" s="18"/>
    </row>
    <row r="1747" spans="1:29" ht="32.25" hidden="1" customHeight="1">
      <c r="A1747" s="17"/>
      <c r="B1747" s="9" t="s">
        <v>13284</v>
      </c>
      <c r="C1747" s="9" t="s">
        <v>13284</v>
      </c>
      <c r="D1747" s="9" t="s">
        <v>13284</v>
      </c>
      <c r="E1747" s="9" t="s">
        <v>13284</v>
      </c>
      <c r="F1747" s="9" t="s">
        <v>13284</v>
      </c>
      <c r="G1747" s="9" t="s">
        <v>13284</v>
      </c>
      <c r="H1747" s="9" t="s">
        <v>13284</v>
      </c>
      <c r="I1747" s="9" t="s">
        <v>13284</v>
      </c>
      <c r="J1747" s="9" t="s">
        <v>13284</v>
      </c>
      <c r="K1747" s="9" t="s">
        <v>13284</v>
      </c>
      <c r="L1747" s="9" t="s">
        <v>13284</v>
      </c>
      <c r="M1747" s="9" t="s">
        <v>13284</v>
      </c>
      <c r="N1747" s="9" t="s">
        <v>13284</v>
      </c>
      <c r="O1747" s="9" t="s">
        <v>13284</v>
      </c>
      <c r="P1747" s="9" t="s">
        <v>13284</v>
      </c>
      <c r="Q1747" s="9" t="s">
        <v>13284</v>
      </c>
      <c r="R1747" s="9" t="s">
        <v>13284</v>
      </c>
      <c r="S1747" s="9" t="s">
        <v>13284</v>
      </c>
      <c r="T1747" s="9" t="str">
        <f ca="1">IFERROR(IF(AND(VLOOKUP(A1747, 'Актуальное состояние (из общего'!A:C,3,0) = "", A1747 &lt;&gt; ""), "ПРОВЕРИТЬ", VLOOKUP(A1747, 'Актуальное состояние (из общего'!A:C,3,0)), "")</f>
        <v/>
      </c>
      <c r="U1747" s="9" t="s">
        <v>13284</v>
      </c>
      <c r="V1747" s="9" t="s">
        <v>13284</v>
      </c>
      <c r="W1747" s="12"/>
      <c r="X1747" s="9" t="str">
        <f t="array" ref="X1747">IFERROR(INDEX('Адреса общежитий (скрытый)'!$B$2:$B$9, MATCH(W1747, 'Адреса общежитий (скрытый)'!$A$2:$A$9, 0)), "")</f>
        <v/>
      </c>
      <c r="Y1747" s="18"/>
      <c r="Z1747" s="18"/>
      <c r="AA1747" s="18"/>
      <c r="AB1747" s="18"/>
      <c r="AC1747" s="18"/>
    </row>
    <row r="1748" spans="1:29" ht="32.25" hidden="1" customHeight="1">
      <c r="A1748" s="17"/>
      <c r="B1748" s="9" t="s">
        <v>13284</v>
      </c>
      <c r="C1748" s="9" t="s">
        <v>13284</v>
      </c>
      <c r="D1748" s="9" t="s">
        <v>13284</v>
      </c>
      <c r="E1748" s="9" t="s">
        <v>13284</v>
      </c>
      <c r="F1748" s="9" t="s">
        <v>13284</v>
      </c>
      <c r="G1748" s="9" t="s">
        <v>13284</v>
      </c>
      <c r="H1748" s="9" t="s">
        <v>13284</v>
      </c>
      <c r="I1748" s="9" t="s">
        <v>13284</v>
      </c>
      <c r="J1748" s="9" t="s">
        <v>13284</v>
      </c>
      <c r="K1748" s="9" t="s">
        <v>13284</v>
      </c>
      <c r="L1748" s="9" t="s">
        <v>13284</v>
      </c>
      <c r="M1748" s="9" t="s">
        <v>13284</v>
      </c>
      <c r="N1748" s="9" t="s">
        <v>13284</v>
      </c>
      <c r="O1748" s="9" t="s">
        <v>13284</v>
      </c>
      <c r="P1748" s="9" t="s">
        <v>13284</v>
      </c>
      <c r="Q1748" s="9" t="s">
        <v>13284</v>
      </c>
      <c r="R1748" s="9" t="s">
        <v>13284</v>
      </c>
      <c r="S1748" s="9" t="s">
        <v>13284</v>
      </c>
      <c r="T1748" s="9" t="str">
        <f ca="1">IFERROR(IF(AND(VLOOKUP(A1748, 'Актуальное состояние (из общего'!A:C,3,0) = "", A1748 &lt;&gt; ""), "ПРОВЕРИТЬ", VLOOKUP(A1748, 'Актуальное состояние (из общего'!A:C,3,0)), "")</f>
        <v/>
      </c>
      <c r="U1748" s="9" t="s">
        <v>13284</v>
      </c>
      <c r="V1748" s="9" t="s">
        <v>13284</v>
      </c>
      <c r="W1748" s="12"/>
      <c r="X1748" s="9" t="str">
        <f t="array" ref="X1748">IFERROR(INDEX('Адреса общежитий (скрытый)'!$B$2:$B$9, MATCH(W1748, 'Адреса общежитий (скрытый)'!$A$2:$A$9, 0)), "")</f>
        <v/>
      </c>
      <c r="Y1748" s="18"/>
      <c r="Z1748" s="18"/>
      <c r="AA1748" s="18"/>
      <c r="AB1748" s="18"/>
      <c r="AC1748" s="18"/>
    </row>
    <row r="1749" spans="1:29" ht="32.25" hidden="1" customHeight="1">
      <c r="A1749" s="17"/>
      <c r="B1749" s="9" t="s">
        <v>13284</v>
      </c>
      <c r="C1749" s="9" t="s">
        <v>13284</v>
      </c>
      <c r="D1749" s="9" t="s">
        <v>13284</v>
      </c>
      <c r="E1749" s="9" t="s">
        <v>13284</v>
      </c>
      <c r="F1749" s="9" t="s">
        <v>13284</v>
      </c>
      <c r="G1749" s="9" t="s">
        <v>13284</v>
      </c>
      <c r="H1749" s="9" t="s">
        <v>13284</v>
      </c>
      <c r="I1749" s="9" t="s">
        <v>13284</v>
      </c>
      <c r="J1749" s="9" t="s">
        <v>13284</v>
      </c>
      <c r="K1749" s="9" t="s">
        <v>13284</v>
      </c>
      <c r="L1749" s="9" t="s">
        <v>13284</v>
      </c>
      <c r="M1749" s="9" t="s">
        <v>13284</v>
      </c>
      <c r="N1749" s="9" t="s">
        <v>13284</v>
      </c>
      <c r="O1749" s="9" t="s">
        <v>13284</v>
      </c>
      <c r="P1749" s="9" t="s">
        <v>13284</v>
      </c>
      <c r="Q1749" s="9" t="s">
        <v>13284</v>
      </c>
      <c r="R1749" s="9" t="s">
        <v>13284</v>
      </c>
      <c r="S1749" s="9" t="s">
        <v>13284</v>
      </c>
      <c r="T1749" s="9" t="str">
        <f ca="1">IFERROR(IF(AND(VLOOKUP(A1749, 'Актуальное состояние (из общего'!A:C,3,0) = "", A1749 &lt;&gt; ""), "ПРОВЕРИТЬ", VLOOKUP(A1749, 'Актуальное состояние (из общего'!A:C,3,0)), "")</f>
        <v/>
      </c>
      <c r="U1749" s="9" t="s">
        <v>13284</v>
      </c>
      <c r="V1749" s="9" t="s">
        <v>13284</v>
      </c>
      <c r="W1749" s="12"/>
      <c r="X1749" s="9" t="str">
        <f t="array" ref="X1749">IFERROR(INDEX('Адреса общежитий (скрытый)'!$B$2:$B$9, MATCH(W1749, 'Адреса общежитий (скрытый)'!$A$2:$A$9, 0)), "")</f>
        <v/>
      </c>
      <c r="Y1749" s="18"/>
      <c r="Z1749" s="18"/>
      <c r="AA1749" s="18"/>
      <c r="AB1749" s="18"/>
      <c r="AC1749" s="18"/>
    </row>
    <row r="1750" spans="1:29" ht="32.25" hidden="1" customHeight="1">
      <c r="A1750" s="17"/>
      <c r="B1750" s="9" t="s">
        <v>13284</v>
      </c>
      <c r="C1750" s="9" t="s">
        <v>13284</v>
      </c>
      <c r="D1750" s="9" t="s">
        <v>13284</v>
      </c>
      <c r="E1750" s="9" t="s">
        <v>13284</v>
      </c>
      <c r="F1750" s="9" t="s">
        <v>13284</v>
      </c>
      <c r="G1750" s="9" t="s">
        <v>13284</v>
      </c>
      <c r="H1750" s="9" t="s">
        <v>13284</v>
      </c>
      <c r="I1750" s="9" t="s">
        <v>13284</v>
      </c>
      <c r="J1750" s="9" t="s">
        <v>13284</v>
      </c>
      <c r="K1750" s="9" t="s">
        <v>13284</v>
      </c>
      <c r="L1750" s="9" t="s">
        <v>13284</v>
      </c>
      <c r="M1750" s="9" t="s">
        <v>13284</v>
      </c>
      <c r="N1750" s="9" t="s">
        <v>13284</v>
      </c>
      <c r="O1750" s="9" t="s">
        <v>13284</v>
      </c>
      <c r="P1750" s="9" t="s">
        <v>13284</v>
      </c>
      <c r="Q1750" s="9" t="s">
        <v>13284</v>
      </c>
      <c r="R1750" s="9" t="s">
        <v>13284</v>
      </c>
      <c r="S1750" s="9" t="s">
        <v>13284</v>
      </c>
      <c r="T1750" s="9" t="str">
        <f ca="1">IFERROR(IF(AND(VLOOKUP(A1750, 'Актуальное состояние (из общего'!A:C,3,0) = "", A1750 &lt;&gt; ""), "ПРОВЕРИТЬ", VLOOKUP(A1750, 'Актуальное состояние (из общего'!A:C,3,0)), "")</f>
        <v/>
      </c>
      <c r="U1750" s="9" t="s">
        <v>13284</v>
      </c>
      <c r="V1750" s="9" t="s">
        <v>13284</v>
      </c>
      <c r="W1750" s="12"/>
      <c r="X1750" s="9" t="str">
        <f t="array" ref="X1750">IFERROR(INDEX('Адреса общежитий (скрытый)'!$B$2:$B$9, MATCH(W1750, 'Адреса общежитий (скрытый)'!$A$2:$A$9, 0)), "")</f>
        <v/>
      </c>
      <c r="Y1750" s="18"/>
      <c r="Z1750" s="18"/>
      <c r="AA1750" s="18"/>
      <c r="AB1750" s="18"/>
      <c r="AC1750" s="18"/>
    </row>
    <row r="1751" spans="1:29" ht="32.25" hidden="1" customHeight="1">
      <c r="A1751" s="17"/>
      <c r="B1751" s="9" t="s">
        <v>13284</v>
      </c>
      <c r="C1751" s="9" t="s">
        <v>13284</v>
      </c>
      <c r="D1751" s="9" t="s">
        <v>13284</v>
      </c>
      <c r="E1751" s="9" t="s">
        <v>13284</v>
      </c>
      <c r="F1751" s="9" t="s">
        <v>13284</v>
      </c>
      <c r="G1751" s="9" t="s">
        <v>13284</v>
      </c>
      <c r="H1751" s="9" t="s">
        <v>13284</v>
      </c>
      <c r="I1751" s="9" t="s">
        <v>13284</v>
      </c>
      <c r="J1751" s="9" t="s">
        <v>13284</v>
      </c>
      <c r="K1751" s="9" t="s">
        <v>13284</v>
      </c>
      <c r="L1751" s="9" t="s">
        <v>13284</v>
      </c>
      <c r="M1751" s="9" t="s">
        <v>13284</v>
      </c>
      <c r="N1751" s="9" t="s">
        <v>13284</v>
      </c>
      <c r="O1751" s="9" t="s">
        <v>13284</v>
      </c>
      <c r="P1751" s="9" t="s">
        <v>13284</v>
      </c>
      <c r="Q1751" s="9" t="s">
        <v>13284</v>
      </c>
      <c r="R1751" s="9" t="s">
        <v>13284</v>
      </c>
      <c r="S1751" s="9" t="s">
        <v>13284</v>
      </c>
      <c r="T1751" s="9" t="str">
        <f ca="1">IFERROR(IF(AND(VLOOKUP(A1751, 'Актуальное состояние (из общего'!A:C,3,0) = "", A1751 &lt;&gt; ""), "ПРОВЕРИТЬ", VLOOKUP(A1751, 'Актуальное состояние (из общего'!A:C,3,0)), "")</f>
        <v/>
      </c>
      <c r="U1751" s="9" t="s">
        <v>13284</v>
      </c>
      <c r="V1751" s="9" t="s">
        <v>13284</v>
      </c>
      <c r="W1751" s="12"/>
      <c r="X1751" s="9" t="str">
        <f t="array" ref="X1751">IFERROR(INDEX('Адреса общежитий (скрытый)'!$B$2:$B$9, MATCH(W1751, 'Адреса общежитий (скрытый)'!$A$2:$A$9, 0)), "")</f>
        <v/>
      </c>
      <c r="Y1751" s="18"/>
      <c r="Z1751" s="18"/>
      <c r="AA1751" s="18"/>
      <c r="AB1751" s="18"/>
      <c r="AC1751" s="18"/>
    </row>
    <row r="1752" spans="1:29" ht="32.25" hidden="1" customHeight="1">
      <c r="A1752" s="17"/>
      <c r="B1752" s="9" t="s">
        <v>13284</v>
      </c>
      <c r="C1752" s="9" t="s">
        <v>13284</v>
      </c>
      <c r="D1752" s="9" t="s">
        <v>13284</v>
      </c>
      <c r="E1752" s="9" t="s">
        <v>13284</v>
      </c>
      <c r="F1752" s="9" t="s">
        <v>13284</v>
      </c>
      <c r="G1752" s="9" t="s">
        <v>13284</v>
      </c>
      <c r="H1752" s="9" t="s">
        <v>13284</v>
      </c>
      <c r="I1752" s="9" t="s">
        <v>13284</v>
      </c>
      <c r="J1752" s="9" t="s">
        <v>13284</v>
      </c>
      <c r="K1752" s="9" t="s">
        <v>13284</v>
      </c>
      <c r="L1752" s="9" t="s">
        <v>13284</v>
      </c>
      <c r="M1752" s="9" t="s">
        <v>13284</v>
      </c>
      <c r="N1752" s="9" t="s">
        <v>13284</v>
      </c>
      <c r="O1752" s="9" t="s">
        <v>13284</v>
      </c>
      <c r="P1752" s="9" t="s">
        <v>13284</v>
      </c>
      <c r="Q1752" s="9" t="s">
        <v>13284</v>
      </c>
      <c r="R1752" s="9" t="s">
        <v>13284</v>
      </c>
      <c r="S1752" s="9" t="s">
        <v>13284</v>
      </c>
      <c r="T1752" s="9" t="str">
        <f ca="1">IFERROR(IF(AND(VLOOKUP(A1752, 'Актуальное состояние (из общего'!A:C,3,0) = "", A1752 &lt;&gt; ""), "ПРОВЕРИТЬ", VLOOKUP(A1752, 'Актуальное состояние (из общего'!A:C,3,0)), "")</f>
        <v/>
      </c>
      <c r="U1752" s="9" t="s">
        <v>13284</v>
      </c>
      <c r="V1752" s="9" t="s">
        <v>13284</v>
      </c>
      <c r="W1752" s="12"/>
      <c r="X1752" s="9" t="str">
        <f t="array" ref="X1752">IFERROR(INDEX('Адреса общежитий (скрытый)'!$B$2:$B$9, MATCH(W1752, 'Адреса общежитий (скрытый)'!$A$2:$A$9, 0)), "")</f>
        <v/>
      </c>
      <c r="Y1752" s="18"/>
      <c r="Z1752" s="18"/>
      <c r="AA1752" s="18"/>
      <c r="AB1752" s="18"/>
      <c r="AC1752" s="18"/>
    </row>
    <row r="1753" spans="1:29" ht="32.25" hidden="1" customHeight="1">
      <c r="A1753" s="17"/>
      <c r="B1753" s="9" t="s">
        <v>13284</v>
      </c>
      <c r="C1753" s="9" t="s">
        <v>13284</v>
      </c>
      <c r="D1753" s="9" t="s">
        <v>13284</v>
      </c>
      <c r="E1753" s="9" t="s">
        <v>13284</v>
      </c>
      <c r="F1753" s="9" t="s">
        <v>13284</v>
      </c>
      <c r="G1753" s="9" t="s">
        <v>13284</v>
      </c>
      <c r="H1753" s="9" t="s">
        <v>13284</v>
      </c>
      <c r="I1753" s="9" t="s">
        <v>13284</v>
      </c>
      <c r="J1753" s="9" t="s">
        <v>13284</v>
      </c>
      <c r="K1753" s="9" t="s">
        <v>13284</v>
      </c>
      <c r="L1753" s="9" t="s">
        <v>13284</v>
      </c>
      <c r="M1753" s="9" t="s">
        <v>13284</v>
      </c>
      <c r="N1753" s="9" t="s">
        <v>13284</v>
      </c>
      <c r="O1753" s="9" t="s">
        <v>13284</v>
      </c>
      <c r="P1753" s="9" t="s">
        <v>13284</v>
      </c>
      <c r="Q1753" s="9" t="s">
        <v>13284</v>
      </c>
      <c r="R1753" s="9" t="s">
        <v>13284</v>
      </c>
      <c r="S1753" s="9" t="s">
        <v>13284</v>
      </c>
      <c r="T1753" s="9" t="str">
        <f ca="1">IFERROR(IF(AND(VLOOKUP(A1753, 'Актуальное состояние (из общего'!A:C,3,0) = "", A1753 &lt;&gt; ""), "ПРОВЕРИТЬ", VLOOKUP(A1753, 'Актуальное состояние (из общего'!A:C,3,0)), "")</f>
        <v/>
      </c>
      <c r="U1753" s="9" t="s">
        <v>13284</v>
      </c>
      <c r="V1753" s="9" t="s">
        <v>13284</v>
      </c>
      <c r="W1753" s="12"/>
      <c r="X1753" s="9" t="str">
        <f t="array" ref="X1753">IFERROR(INDEX('Адреса общежитий (скрытый)'!$B$2:$B$9, MATCH(W1753, 'Адреса общежитий (скрытый)'!$A$2:$A$9, 0)), "")</f>
        <v/>
      </c>
      <c r="Y1753" s="18"/>
      <c r="Z1753" s="18"/>
      <c r="AA1753" s="18"/>
      <c r="AB1753" s="18"/>
      <c r="AC1753" s="18"/>
    </row>
    <row r="1754" spans="1:29" ht="32.25" hidden="1" customHeight="1">
      <c r="A1754" s="17"/>
      <c r="B1754" s="9" t="s">
        <v>13284</v>
      </c>
      <c r="C1754" s="9" t="s">
        <v>13284</v>
      </c>
      <c r="D1754" s="9" t="s">
        <v>13284</v>
      </c>
      <c r="E1754" s="9" t="s">
        <v>13284</v>
      </c>
      <c r="F1754" s="9" t="s">
        <v>13284</v>
      </c>
      <c r="G1754" s="9" t="s">
        <v>13284</v>
      </c>
      <c r="H1754" s="9" t="s">
        <v>13284</v>
      </c>
      <c r="I1754" s="9" t="s">
        <v>13284</v>
      </c>
      <c r="J1754" s="9" t="s">
        <v>13284</v>
      </c>
      <c r="K1754" s="9" t="s">
        <v>13284</v>
      </c>
      <c r="L1754" s="9" t="s">
        <v>13284</v>
      </c>
      <c r="M1754" s="9" t="s">
        <v>13284</v>
      </c>
      <c r="N1754" s="9" t="s">
        <v>13284</v>
      </c>
      <c r="O1754" s="9" t="s">
        <v>13284</v>
      </c>
      <c r="P1754" s="9" t="s">
        <v>13284</v>
      </c>
      <c r="Q1754" s="9" t="s">
        <v>13284</v>
      </c>
      <c r="R1754" s="9" t="s">
        <v>13284</v>
      </c>
      <c r="S1754" s="9" t="s">
        <v>13284</v>
      </c>
      <c r="T1754" s="9" t="str">
        <f ca="1">IFERROR(IF(AND(VLOOKUP(A1754, 'Актуальное состояние (из общего'!A:C,3,0) = "", A1754 &lt;&gt; ""), "ПРОВЕРИТЬ", VLOOKUP(A1754, 'Актуальное состояние (из общего'!A:C,3,0)), "")</f>
        <v/>
      </c>
      <c r="U1754" s="9" t="s">
        <v>13284</v>
      </c>
      <c r="V1754" s="9" t="s">
        <v>13284</v>
      </c>
      <c r="W1754" s="12"/>
      <c r="X1754" s="9" t="str">
        <f t="array" ref="X1754">IFERROR(INDEX('Адреса общежитий (скрытый)'!$B$2:$B$9, MATCH(W1754, 'Адреса общежитий (скрытый)'!$A$2:$A$9, 0)), "")</f>
        <v/>
      </c>
      <c r="Y1754" s="18"/>
      <c r="Z1754" s="18"/>
      <c r="AA1754" s="18"/>
      <c r="AB1754" s="18"/>
      <c r="AC1754" s="18"/>
    </row>
    <row r="1755" spans="1:29" ht="32.25" hidden="1" customHeight="1">
      <c r="A1755" s="17"/>
      <c r="B1755" s="9" t="s">
        <v>13284</v>
      </c>
      <c r="C1755" s="9" t="s">
        <v>13284</v>
      </c>
      <c r="D1755" s="9" t="s">
        <v>13284</v>
      </c>
      <c r="E1755" s="9" t="s">
        <v>13284</v>
      </c>
      <c r="F1755" s="9" t="s">
        <v>13284</v>
      </c>
      <c r="G1755" s="9" t="s">
        <v>13284</v>
      </c>
      <c r="H1755" s="9" t="s">
        <v>13284</v>
      </c>
      <c r="I1755" s="9" t="s">
        <v>13284</v>
      </c>
      <c r="J1755" s="9" t="s">
        <v>13284</v>
      </c>
      <c r="K1755" s="9" t="s">
        <v>13284</v>
      </c>
      <c r="L1755" s="9" t="s">
        <v>13284</v>
      </c>
      <c r="M1755" s="9" t="s">
        <v>13284</v>
      </c>
      <c r="N1755" s="9" t="s">
        <v>13284</v>
      </c>
      <c r="O1755" s="9" t="s">
        <v>13284</v>
      </c>
      <c r="P1755" s="9" t="s">
        <v>13284</v>
      </c>
      <c r="Q1755" s="9" t="s">
        <v>13284</v>
      </c>
      <c r="R1755" s="9" t="s">
        <v>13284</v>
      </c>
      <c r="S1755" s="9" t="s">
        <v>13284</v>
      </c>
      <c r="T1755" s="9" t="str">
        <f ca="1">IFERROR(IF(AND(VLOOKUP(A1755, 'Актуальное состояние (из общего'!A:C,3,0) = "", A1755 &lt;&gt; ""), "ПРОВЕРИТЬ", VLOOKUP(A1755, 'Актуальное состояние (из общего'!A:C,3,0)), "")</f>
        <v/>
      </c>
      <c r="U1755" s="9" t="s">
        <v>13284</v>
      </c>
      <c r="V1755" s="9" t="s">
        <v>13284</v>
      </c>
      <c r="W1755" s="12"/>
      <c r="X1755" s="9" t="str">
        <f t="array" ref="X1755">IFERROR(INDEX('Адреса общежитий (скрытый)'!$B$2:$B$9, MATCH(W1755, 'Адреса общежитий (скрытый)'!$A$2:$A$9, 0)), "")</f>
        <v/>
      </c>
      <c r="Y1755" s="18"/>
      <c r="Z1755" s="18"/>
      <c r="AA1755" s="18"/>
      <c r="AB1755" s="18"/>
      <c r="AC1755" s="18"/>
    </row>
    <row r="1756" spans="1:29" ht="32.25" hidden="1" customHeight="1">
      <c r="A1756" s="17"/>
      <c r="B1756" s="9" t="s">
        <v>13284</v>
      </c>
      <c r="C1756" s="9" t="s">
        <v>13284</v>
      </c>
      <c r="D1756" s="9" t="s">
        <v>13284</v>
      </c>
      <c r="E1756" s="9" t="s">
        <v>13284</v>
      </c>
      <c r="F1756" s="9" t="s">
        <v>13284</v>
      </c>
      <c r="G1756" s="9" t="s">
        <v>13284</v>
      </c>
      <c r="H1756" s="9" t="s">
        <v>13284</v>
      </c>
      <c r="I1756" s="9" t="s">
        <v>13284</v>
      </c>
      <c r="J1756" s="9" t="s">
        <v>13284</v>
      </c>
      <c r="K1756" s="9" t="s">
        <v>13284</v>
      </c>
      <c r="L1756" s="9" t="s">
        <v>13284</v>
      </c>
      <c r="M1756" s="9" t="s">
        <v>13284</v>
      </c>
      <c r="N1756" s="9" t="s">
        <v>13284</v>
      </c>
      <c r="O1756" s="9" t="s">
        <v>13284</v>
      </c>
      <c r="P1756" s="9" t="s">
        <v>13284</v>
      </c>
      <c r="Q1756" s="9" t="s">
        <v>13284</v>
      </c>
      <c r="R1756" s="9" t="s">
        <v>13284</v>
      </c>
      <c r="S1756" s="9" t="s">
        <v>13284</v>
      </c>
      <c r="T1756" s="9" t="str">
        <f ca="1">IFERROR(IF(AND(VLOOKUP(A1756, 'Актуальное состояние (из общего'!A:C,3,0) = "", A1756 &lt;&gt; ""), "ПРОВЕРИТЬ", VLOOKUP(A1756, 'Актуальное состояние (из общего'!A:C,3,0)), "")</f>
        <v/>
      </c>
      <c r="U1756" s="9" t="s">
        <v>13284</v>
      </c>
      <c r="V1756" s="9" t="s">
        <v>13284</v>
      </c>
      <c r="W1756" s="12"/>
      <c r="X1756" s="9" t="str">
        <f t="array" ref="X1756">IFERROR(INDEX('Адреса общежитий (скрытый)'!$B$2:$B$9, MATCH(W1756, 'Адреса общежитий (скрытый)'!$A$2:$A$9, 0)), "")</f>
        <v/>
      </c>
      <c r="Y1756" s="18"/>
      <c r="Z1756" s="18"/>
      <c r="AA1756" s="18"/>
      <c r="AB1756" s="18"/>
      <c r="AC1756" s="18"/>
    </row>
    <row r="1757" spans="1:29" ht="32.25" hidden="1" customHeight="1">
      <c r="A1757" s="17"/>
      <c r="B1757" s="9" t="s">
        <v>13284</v>
      </c>
      <c r="C1757" s="9" t="s">
        <v>13284</v>
      </c>
      <c r="D1757" s="9" t="s">
        <v>13284</v>
      </c>
      <c r="E1757" s="9" t="s">
        <v>13284</v>
      </c>
      <c r="F1757" s="9" t="s">
        <v>13284</v>
      </c>
      <c r="G1757" s="9" t="s">
        <v>13284</v>
      </c>
      <c r="H1757" s="9" t="s">
        <v>13284</v>
      </c>
      <c r="I1757" s="9" t="s">
        <v>13284</v>
      </c>
      <c r="J1757" s="9" t="s">
        <v>13284</v>
      </c>
      <c r="K1757" s="9" t="s">
        <v>13284</v>
      </c>
      <c r="L1757" s="9" t="s">
        <v>13284</v>
      </c>
      <c r="M1757" s="9" t="s">
        <v>13284</v>
      </c>
      <c r="N1757" s="9" t="s">
        <v>13284</v>
      </c>
      <c r="O1757" s="9" t="s">
        <v>13284</v>
      </c>
      <c r="P1757" s="9" t="s">
        <v>13284</v>
      </c>
      <c r="Q1757" s="9" t="s">
        <v>13284</v>
      </c>
      <c r="R1757" s="9" t="s">
        <v>13284</v>
      </c>
      <c r="S1757" s="9" t="s">
        <v>13284</v>
      </c>
      <c r="T1757" s="9" t="str">
        <f ca="1">IFERROR(IF(AND(VLOOKUP(A1757, 'Актуальное состояние (из общего'!A:C,3,0) = "", A1757 &lt;&gt; ""), "ПРОВЕРИТЬ", VLOOKUP(A1757, 'Актуальное состояние (из общего'!A:C,3,0)), "")</f>
        <v/>
      </c>
      <c r="U1757" s="9" t="s">
        <v>13284</v>
      </c>
      <c r="V1757" s="9" t="s">
        <v>13284</v>
      </c>
      <c r="W1757" s="12"/>
      <c r="X1757" s="9" t="str">
        <f t="array" ref="X1757">IFERROR(INDEX('Адреса общежитий (скрытый)'!$B$2:$B$9, MATCH(W1757, 'Адреса общежитий (скрытый)'!$A$2:$A$9, 0)), "")</f>
        <v/>
      </c>
      <c r="Y1757" s="18"/>
      <c r="Z1757" s="18"/>
      <c r="AA1757" s="18"/>
      <c r="AB1757" s="18"/>
      <c r="AC1757" s="18"/>
    </row>
    <row r="1758" spans="1:29" ht="32.25" hidden="1" customHeight="1">
      <c r="A1758" s="17"/>
      <c r="B1758" s="9" t="s">
        <v>13284</v>
      </c>
      <c r="C1758" s="9" t="s">
        <v>13284</v>
      </c>
      <c r="D1758" s="9" t="s">
        <v>13284</v>
      </c>
      <c r="E1758" s="9" t="s">
        <v>13284</v>
      </c>
      <c r="F1758" s="9" t="s">
        <v>13284</v>
      </c>
      <c r="G1758" s="9" t="s">
        <v>13284</v>
      </c>
      <c r="H1758" s="9" t="s">
        <v>13284</v>
      </c>
      <c r="I1758" s="9" t="s">
        <v>13284</v>
      </c>
      <c r="J1758" s="9" t="s">
        <v>13284</v>
      </c>
      <c r="K1758" s="9" t="s">
        <v>13284</v>
      </c>
      <c r="L1758" s="9" t="s">
        <v>13284</v>
      </c>
      <c r="M1758" s="9" t="s">
        <v>13284</v>
      </c>
      <c r="N1758" s="9" t="s">
        <v>13284</v>
      </c>
      <c r="O1758" s="9" t="s">
        <v>13284</v>
      </c>
      <c r="P1758" s="9" t="s">
        <v>13284</v>
      </c>
      <c r="Q1758" s="9" t="s">
        <v>13284</v>
      </c>
      <c r="R1758" s="9" t="s">
        <v>13284</v>
      </c>
      <c r="S1758" s="9" t="s">
        <v>13284</v>
      </c>
      <c r="T1758" s="9" t="str">
        <f ca="1">IFERROR(IF(AND(VLOOKUP(A1758, 'Актуальное состояние (из общего'!A:C,3,0) = "", A1758 &lt;&gt; ""), "ПРОВЕРИТЬ", VLOOKUP(A1758, 'Актуальное состояние (из общего'!A:C,3,0)), "")</f>
        <v/>
      </c>
      <c r="U1758" s="9" t="s">
        <v>13284</v>
      </c>
      <c r="V1758" s="9" t="s">
        <v>13284</v>
      </c>
      <c r="W1758" s="12"/>
      <c r="X1758" s="9" t="str">
        <f t="array" ref="X1758">IFERROR(INDEX('Адреса общежитий (скрытый)'!$B$2:$B$9, MATCH(W1758, 'Адреса общежитий (скрытый)'!$A$2:$A$9, 0)), "")</f>
        <v/>
      </c>
      <c r="Y1758" s="18"/>
      <c r="Z1758" s="18"/>
      <c r="AA1758" s="18"/>
      <c r="AB1758" s="18"/>
      <c r="AC1758" s="18"/>
    </row>
    <row r="1759" spans="1:29" ht="32.25" hidden="1" customHeight="1">
      <c r="A1759" s="17"/>
      <c r="B1759" s="9" t="s">
        <v>13284</v>
      </c>
      <c r="C1759" s="9" t="s">
        <v>13284</v>
      </c>
      <c r="D1759" s="9" t="s">
        <v>13284</v>
      </c>
      <c r="E1759" s="9" t="s">
        <v>13284</v>
      </c>
      <c r="F1759" s="9" t="s">
        <v>13284</v>
      </c>
      <c r="G1759" s="9" t="s">
        <v>13284</v>
      </c>
      <c r="H1759" s="9" t="s">
        <v>13284</v>
      </c>
      <c r="I1759" s="9" t="s">
        <v>13284</v>
      </c>
      <c r="J1759" s="9" t="s">
        <v>13284</v>
      </c>
      <c r="K1759" s="9" t="s">
        <v>13284</v>
      </c>
      <c r="L1759" s="9" t="s">
        <v>13284</v>
      </c>
      <c r="M1759" s="9" t="s">
        <v>13284</v>
      </c>
      <c r="N1759" s="9" t="s">
        <v>13284</v>
      </c>
      <c r="O1759" s="9" t="s">
        <v>13284</v>
      </c>
      <c r="P1759" s="9" t="s">
        <v>13284</v>
      </c>
      <c r="Q1759" s="9" t="s">
        <v>13284</v>
      </c>
      <c r="R1759" s="9" t="s">
        <v>13284</v>
      </c>
      <c r="S1759" s="9" t="s">
        <v>13284</v>
      </c>
      <c r="T1759" s="9" t="str">
        <f ca="1">IFERROR(IF(AND(VLOOKUP(A1759, 'Актуальное состояние (из общего'!A:C,3,0) = "", A1759 &lt;&gt; ""), "ПРОВЕРИТЬ", VLOOKUP(A1759, 'Актуальное состояние (из общего'!A:C,3,0)), "")</f>
        <v/>
      </c>
      <c r="U1759" s="9" t="s">
        <v>13284</v>
      </c>
      <c r="V1759" s="9" t="s">
        <v>13284</v>
      </c>
      <c r="W1759" s="12"/>
      <c r="X1759" s="9" t="str">
        <f t="array" ref="X1759">IFERROR(INDEX('Адреса общежитий (скрытый)'!$B$2:$B$9, MATCH(W1759, 'Адреса общежитий (скрытый)'!$A$2:$A$9, 0)), "")</f>
        <v/>
      </c>
      <c r="Y1759" s="18"/>
      <c r="Z1759" s="18"/>
      <c r="AA1759" s="18"/>
      <c r="AB1759" s="18"/>
      <c r="AC1759" s="18"/>
    </row>
    <row r="1760" spans="1:29" ht="32.25" hidden="1" customHeight="1">
      <c r="A1760" s="17"/>
      <c r="B1760" s="9" t="s">
        <v>13284</v>
      </c>
      <c r="C1760" s="9" t="s">
        <v>13284</v>
      </c>
      <c r="D1760" s="9" t="s">
        <v>13284</v>
      </c>
      <c r="E1760" s="9" t="s">
        <v>13284</v>
      </c>
      <c r="F1760" s="9" t="s">
        <v>13284</v>
      </c>
      <c r="G1760" s="9" t="s">
        <v>13284</v>
      </c>
      <c r="H1760" s="9" t="s">
        <v>13284</v>
      </c>
      <c r="I1760" s="9" t="s">
        <v>13284</v>
      </c>
      <c r="J1760" s="9" t="s">
        <v>13284</v>
      </c>
      <c r="K1760" s="9" t="s">
        <v>13284</v>
      </c>
      <c r="L1760" s="9" t="s">
        <v>13284</v>
      </c>
      <c r="M1760" s="9" t="s">
        <v>13284</v>
      </c>
      <c r="N1760" s="9" t="s">
        <v>13284</v>
      </c>
      <c r="O1760" s="9" t="s">
        <v>13284</v>
      </c>
      <c r="P1760" s="9" t="s">
        <v>13284</v>
      </c>
      <c r="Q1760" s="9" t="s">
        <v>13284</v>
      </c>
      <c r="R1760" s="9" t="s">
        <v>13284</v>
      </c>
      <c r="S1760" s="9" t="s">
        <v>13284</v>
      </c>
      <c r="T1760" s="9" t="str">
        <f ca="1">IFERROR(IF(AND(VLOOKUP(A1760, 'Актуальное состояние (из общего'!A:C,3,0) = "", A1760 &lt;&gt; ""), "ПРОВЕРИТЬ", VLOOKUP(A1760, 'Актуальное состояние (из общего'!A:C,3,0)), "")</f>
        <v/>
      </c>
      <c r="U1760" s="9" t="s">
        <v>13284</v>
      </c>
      <c r="V1760" s="9" t="s">
        <v>13284</v>
      </c>
      <c r="W1760" s="12"/>
      <c r="X1760" s="9" t="str">
        <f t="array" ref="X1760">IFERROR(INDEX('Адреса общежитий (скрытый)'!$B$2:$B$9, MATCH(W1760, 'Адреса общежитий (скрытый)'!$A$2:$A$9, 0)), "")</f>
        <v/>
      </c>
      <c r="Y1760" s="18"/>
      <c r="Z1760" s="18"/>
      <c r="AA1760" s="18"/>
      <c r="AB1760" s="18"/>
      <c r="AC1760" s="18"/>
    </row>
    <row r="1761" spans="1:29" ht="32.25" hidden="1" customHeight="1">
      <c r="A1761" s="17"/>
      <c r="B1761" s="9" t="s">
        <v>13284</v>
      </c>
      <c r="C1761" s="9" t="s">
        <v>13284</v>
      </c>
      <c r="D1761" s="9" t="s">
        <v>13284</v>
      </c>
      <c r="E1761" s="9" t="s">
        <v>13284</v>
      </c>
      <c r="F1761" s="9" t="s">
        <v>13284</v>
      </c>
      <c r="G1761" s="9" t="s">
        <v>13284</v>
      </c>
      <c r="H1761" s="9" t="s">
        <v>13284</v>
      </c>
      <c r="I1761" s="9" t="s">
        <v>13284</v>
      </c>
      <c r="J1761" s="9" t="s">
        <v>13284</v>
      </c>
      <c r="K1761" s="9" t="s">
        <v>13284</v>
      </c>
      <c r="L1761" s="9" t="s">
        <v>13284</v>
      </c>
      <c r="M1761" s="9" t="s">
        <v>13284</v>
      </c>
      <c r="N1761" s="9" t="s">
        <v>13284</v>
      </c>
      <c r="O1761" s="9" t="s">
        <v>13284</v>
      </c>
      <c r="P1761" s="9" t="s">
        <v>13284</v>
      </c>
      <c r="Q1761" s="9" t="s">
        <v>13284</v>
      </c>
      <c r="R1761" s="9" t="s">
        <v>13284</v>
      </c>
      <c r="S1761" s="9" t="s">
        <v>13284</v>
      </c>
      <c r="T1761" s="9" t="str">
        <f ca="1">IFERROR(IF(AND(VLOOKUP(A1761, 'Актуальное состояние (из общего'!A:C,3,0) = "", A1761 &lt;&gt; ""), "ПРОВЕРИТЬ", VLOOKUP(A1761, 'Актуальное состояние (из общего'!A:C,3,0)), "")</f>
        <v/>
      </c>
      <c r="U1761" s="9" t="s">
        <v>13284</v>
      </c>
      <c r="V1761" s="9" t="s">
        <v>13284</v>
      </c>
      <c r="W1761" s="12"/>
      <c r="X1761" s="9" t="str">
        <f t="array" ref="X1761">IFERROR(INDEX('Адреса общежитий (скрытый)'!$B$2:$B$9, MATCH(W1761, 'Адреса общежитий (скрытый)'!$A$2:$A$9, 0)), "")</f>
        <v/>
      </c>
      <c r="Y1761" s="18"/>
      <c r="Z1761" s="18"/>
      <c r="AA1761" s="18"/>
      <c r="AB1761" s="18"/>
      <c r="AC1761" s="18"/>
    </row>
    <row r="1762" spans="1:29" ht="32.25" hidden="1" customHeight="1">
      <c r="A1762" s="17"/>
      <c r="B1762" s="9" t="s">
        <v>13284</v>
      </c>
      <c r="C1762" s="9" t="s">
        <v>13284</v>
      </c>
      <c r="D1762" s="9" t="s">
        <v>13284</v>
      </c>
      <c r="E1762" s="9" t="s">
        <v>13284</v>
      </c>
      <c r="F1762" s="9" t="s">
        <v>13284</v>
      </c>
      <c r="G1762" s="9" t="s">
        <v>13284</v>
      </c>
      <c r="H1762" s="9" t="s">
        <v>13284</v>
      </c>
      <c r="I1762" s="9" t="s">
        <v>13284</v>
      </c>
      <c r="J1762" s="9" t="s">
        <v>13284</v>
      </c>
      <c r="K1762" s="9" t="s">
        <v>13284</v>
      </c>
      <c r="L1762" s="9" t="s">
        <v>13284</v>
      </c>
      <c r="M1762" s="9" t="s">
        <v>13284</v>
      </c>
      <c r="N1762" s="9" t="s">
        <v>13284</v>
      </c>
      <c r="O1762" s="9" t="s">
        <v>13284</v>
      </c>
      <c r="P1762" s="9" t="s">
        <v>13284</v>
      </c>
      <c r="Q1762" s="9" t="s">
        <v>13284</v>
      </c>
      <c r="R1762" s="9" t="s">
        <v>13284</v>
      </c>
      <c r="S1762" s="9" t="s">
        <v>13284</v>
      </c>
      <c r="T1762" s="9" t="str">
        <f ca="1">IFERROR(IF(AND(VLOOKUP(A1762, 'Актуальное состояние (из общего'!A:C,3,0) = "", A1762 &lt;&gt; ""), "ПРОВЕРИТЬ", VLOOKUP(A1762, 'Актуальное состояние (из общего'!A:C,3,0)), "")</f>
        <v/>
      </c>
      <c r="U1762" s="9" t="s">
        <v>13284</v>
      </c>
      <c r="V1762" s="9" t="s">
        <v>13284</v>
      </c>
      <c r="W1762" s="12"/>
      <c r="X1762" s="9" t="str">
        <f t="array" ref="X1762">IFERROR(INDEX('Адреса общежитий (скрытый)'!$B$2:$B$9, MATCH(W1762, 'Адреса общежитий (скрытый)'!$A$2:$A$9, 0)), "")</f>
        <v/>
      </c>
      <c r="Y1762" s="18"/>
      <c r="Z1762" s="18"/>
      <c r="AA1762" s="18"/>
      <c r="AB1762" s="18"/>
      <c r="AC1762" s="18"/>
    </row>
    <row r="1763" spans="1:29" ht="32.25" hidden="1" customHeight="1">
      <c r="A1763" s="17"/>
      <c r="B1763" s="9" t="s">
        <v>13284</v>
      </c>
      <c r="C1763" s="9" t="s">
        <v>13284</v>
      </c>
      <c r="D1763" s="9" t="s">
        <v>13284</v>
      </c>
      <c r="E1763" s="9" t="s">
        <v>13284</v>
      </c>
      <c r="F1763" s="9" t="s">
        <v>13284</v>
      </c>
      <c r="G1763" s="9" t="s">
        <v>13284</v>
      </c>
      <c r="H1763" s="9" t="s">
        <v>13284</v>
      </c>
      <c r="I1763" s="9" t="s">
        <v>13284</v>
      </c>
      <c r="J1763" s="9" t="s">
        <v>13284</v>
      </c>
      <c r="K1763" s="9" t="s">
        <v>13284</v>
      </c>
      <c r="L1763" s="9" t="s">
        <v>13284</v>
      </c>
      <c r="M1763" s="9" t="s">
        <v>13284</v>
      </c>
      <c r="N1763" s="9" t="s">
        <v>13284</v>
      </c>
      <c r="O1763" s="9" t="s">
        <v>13284</v>
      </c>
      <c r="P1763" s="9" t="s">
        <v>13284</v>
      </c>
      <c r="Q1763" s="9" t="s">
        <v>13284</v>
      </c>
      <c r="R1763" s="9" t="s">
        <v>13284</v>
      </c>
      <c r="S1763" s="9" t="s">
        <v>13284</v>
      </c>
      <c r="T1763" s="9" t="str">
        <f ca="1">IFERROR(IF(AND(VLOOKUP(A1763, 'Актуальное состояние (из общего'!A:C,3,0) = "", A1763 &lt;&gt; ""), "ПРОВЕРИТЬ", VLOOKUP(A1763, 'Актуальное состояние (из общего'!A:C,3,0)), "")</f>
        <v/>
      </c>
      <c r="U1763" s="9" t="s">
        <v>13284</v>
      </c>
      <c r="V1763" s="9" t="s">
        <v>13284</v>
      </c>
      <c r="W1763" s="12"/>
      <c r="X1763" s="9" t="str">
        <f t="array" ref="X1763">IFERROR(INDEX('Адреса общежитий (скрытый)'!$B$2:$B$9, MATCH(W1763, 'Адреса общежитий (скрытый)'!$A$2:$A$9, 0)), "")</f>
        <v/>
      </c>
      <c r="Y1763" s="18"/>
      <c r="Z1763" s="18"/>
      <c r="AA1763" s="18"/>
      <c r="AB1763" s="18"/>
      <c r="AC1763" s="18"/>
    </row>
    <row r="1764" spans="1:29" ht="32.25" hidden="1" customHeight="1">
      <c r="A1764" s="17"/>
      <c r="B1764" s="9" t="s">
        <v>13284</v>
      </c>
      <c r="C1764" s="9" t="s">
        <v>13284</v>
      </c>
      <c r="D1764" s="9" t="s">
        <v>13284</v>
      </c>
      <c r="E1764" s="9" t="s">
        <v>13284</v>
      </c>
      <c r="F1764" s="9" t="s">
        <v>13284</v>
      </c>
      <c r="G1764" s="9" t="s">
        <v>13284</v>
      </c>
      <c r="H1764" s="9" t="s">
        <v>13284</v>
      </c>
      <c r="I1764" s="9" t="s">
        <v>13284</v>
      </c>
      <c r="J1764" s="9" t="s">
        <v>13284</v>
      </c>
      <c r="K1764" s="9" t="s">
        <v>13284</v>
      </c>
      <c r="L1764" s="9" t="s">
        <v>13284</v>
      </c>
      <c r="M1764" s="9" t="s">
        <v>13284</v>
      </c>
      <c r="N1764" s="9" t="s">
        <v>13284</v>
      </c>
      <c r="O1764" s="9" t="s">
        <v>13284</v>
      </c>
      <c r="P1764" s="9" t="s">
        <v>13284</v>
      </c>
      <c r="Q1764" s="9" t="s">
        <v>13284</v>
      </c>
      <c r="R1764" s="9" t="s">
        <v>13284</v>
      </c>
      <c r="S1764" s="9" t="s">
        <v>13284</v>
      </c>
      <c r="T1764" s="9" t="str">
        <f ca="1">IFERROR(IF(AND(VLOOKUP(A1764, 'Актуальное состояние (из общего'!A:C,3,0) = "", A1764 &lt;&gt; ""), "ПРОВЕРИТЬ", VLOOKUP(A1764, 'Актуальное состояние (из общего'!A:C,3,0)), "")</f>
        <v/>
      </c>
      <c r="U1764" s="9" t="s">
        <v>13284</v>
      </c>
      <c r="V1764" s="9" t="s">
        <v>13284</v>
      </c>
      <c r="W1764" s="12"/>
      <c r="X1764" s="9" t="str">
        <f t="array" ref="X1764">IFERROR(INDEX('Адреса общежитий (скрытый)'!$B$2:$B$9, MATCH(W1764, 'Адреса общежитий (скрытый)'!$A$2:$A$9, 0)), "")</f>
        <v/>
      </c>
      <c r="Y1764" s="18"/>
      <c r="Z1764" s="18"/>
      <c r="AA1764" s="18"/>
      <c r="AB1764" s="18"/>
      <c r="AC1764" s="18"/>
    </row>
    <row r="1765" spans="1:29" ht="32.25" hidden="1" customHeight="1">
      <c r="A1765" s="17"/>
      <c r="B1765" s="9" t="s">
        <v>13284</v>
      </c>
      <c r="C1765" s="9" t="s">
        <v>13284</v>
      </c>
      <c r="D1765" s="9" t="s">
        <v>13284</v>
      </c>
      <c r="E1765" s="9" t="s">
        <v>13284</v>
      </c>
      <c r="F1765" s="9" t="s">
        <v>13284</v>
      </c>
      <c r="G1765" s="9" t="s">
        <v>13284</v>
      </c>
      <c r="H1765" s="9" t="s">
        <v>13284</v>
      </c>
      <c r="I1765" s="9" t="s">
        <v>13284</v>
      </c>
      <c r="J1765" s="9" t="s">
        <v>13284</v>
      </c>
      <c r="K1765" s="9" t="s">
        <v>13284</v>
      </c>
      <c r="L1765" s="9" t="s">
        <v>13284</v>
      </c>
      <c r="M1765" s="9" t="s">
        <v>13284</v>
      </c>
      <c r="N1765" s="9" t="s">
        <v>13284</v>
      </c>
      <c r="O1765" s="9" t="s">
        <v>13284</v>
      </c>
      <c r="P1765" s="9" t="s">
        <v>13284</v>
      </c>
      <c r="Q1765" s="9" t="s">
        <v>13284</v>
      </c>
      <c r="R1765" s="9" t="s">
        <v>13284</v>
      </c>
      <c r="S1765" s="9" t="s">
        <v>13284</v>
      </c>
      <c r="T1765" s="9" t="str">
        <f ca="1">IFERROR(IF(AND(VLOOKUP(A1765, 'Актуальное состояние (из общего'!A:C,3,0) = "", A1765 &lt;&gt; ""), "ПРОВЕРИТЬ", VLOOKUP(A1765, 'Актуальное состояние (из общего'!A:C,3,0)), "")</f>
        <v/>
      </c>
      <c r="U1765" s="9" t="s">
        <v>13284</v>
      </c>
      <c r="V1765" s="9" t="s">
        <v>13284</v>
      </c>
      <c r="W1765" s="12"/>
      <c r="X1765" s="9" t="str">
        <f t="array" ref="X1765">IFERROR(INDEX('Адреса общежитий (скрытый)'!$B$2:$B$9, MATCH(W1765, 'Адреса общежитий (скрытый)'!$A$2:$A$9, 0)), "")</f>
        <v/>
      </c>
      <c r="Y1765" s="18"/>
      <c r="Z1765" s="18"/>
      <c r="AA1765" s="18"/>
      <c r="AB1765" s="18"/>
      <c r="AC1765" s="18"/>
    </row>
    <row r="1766" spans="1:29" ht="32.25" hidden="1" customHeight="1">
      <c r="A1766" s="17"/>
      <c r="B1766" s="9" t="s">
        <v>13284</v>
      </c>
      <c r="C1766" s="9" t="s">
        <v>13284</v>
      </c>
      <c r="D1766" s="9" t="s">
        <v>13284</v>
      </c>
      <c r="E1766" s="9" t="s">
        <v>13284</v>
      </c>
      <c r="F1766" s="9" t="s">
        <v>13284</v>
      </c>
      <c r="G1766" s="9" t="s">
        <v>13284</v>
      </c>
      <c r="H1766" s="9" t="s">
        <v>13284</v>
      </c>
      <c r="I1766" s="9" t="s">
        <v>13284</v>
      </c>
      <c r="J1766" s="9" t="s">
        <v>13284</v>
      </c>
      <c r="K1766" s="9" t="s">
        <v>13284</v>
      </c>
      <c r="L1766" s="9" t="s">
        <v>13284</v>
      </c>
      <c r="M1766" s="9" t="s">
        <v>13284</v>
      </c>
      <c r="N1766" s="9" t="s">
        <v>13284</v>
      </c>
      <c r="O1766" s="9" t="s">
        <v>13284</v>
      </c>
      <c r="P1766" s="9" t="s">
        <v>13284</v>
      </c>
      <c r="Q1766" s="9" t="s">
        <v>13284</v>
      </c>
      <c r="R1766" s="9" t="s">
        <v>13284</v>
      </c>
      <c r="S1766" s="9" t="s">
        <v>13284</v>
      </c>
      <c r="T1766" s="9" t="str">
        <f ca="1">IFERROR(IF(AND(VLOOKUP(A1766, 'Актуальное состояние (из общего'!A:C,3,0) = "", A1766 &lt;&gt; ""), "ПРОВЕРИТЬ", VLOOKUP(A1766, 'Актуальное состояние (из общего'!A:C,3,0)), "")</f>
        <v/>
      </c>
      <c r="U1766" s="9" t="s">
        <v>13284</v>
      </c>
      <c r="V1766" s="9" t="s">
        <v>13284</v>
      </c>
      <c r="W1766" s="12"/>
      <c r="X1766" s="9" t="str">
        <f t="array" ref="X1766">IFERROR(INDEX('Адреса общежитий (скрытый)'!$B$2:$B$9, MATCH(W1766, 'Адреса общежитий (скрытый)'!$A$2:$A$9, 0)), "")</f>
        <v/>
      </c>
      <c r="Y1766" s="18"/>
      <c r="Z1766" s="18"/>
      <c r="AA1766" s="18"/>
      <c r="AB1766" s="18"/>
      <c r="AC1766" s="18"/>
    </row>
    <row r="1767" spans="1:29" ht="32.25" hidden="1" customHeight="1">
      <c r="A1767" s="17"/>
      <c r="B1767" s="9" t="s">
        <v>13284</v>
      </c>
      <c r="C1767" s="9" t="s">
        <v>13284</v>
      </c>
      <c r="D1767" s="9" t="s">
        <v>13284</v>
      </c>
      <c r="E1767" s="9" t="s">
        <v>13284</v>
      </c>
      <c r="F1767" s="9" t="s">
        <v>13284</v>
      </c>
      <c r="G1767" s="9" t="s">
        <v>13284</v>
      </c>
      <c r="H1767" s="9" t="s">
        <v>13284</v>
      </c>
      <c r="I1767" s="9" t="s">
        <v>13284</v>
      </c>
      <c r="J1767" s="9" t="s">
        <v>13284</v>
      </c>
      <c r="K1767" s="9" t="s">
        <v>13284</v>
      </c>
      <c r="L1767" s="9" t="s">
        <v>13284</v>
      </c>
      <c r="M1767" s="9" t="s">
        <v>13284</v>
      </c>
      <c r="N1767" s="9" t="s">
        <v>13284</v>
      </c>
      <c r="O1767" s="9" t="s">
        <v>13284</v>
      </c>
      <c r="P1767" s="9" t="s">
        <v>13284</v>
      </c>
      <c r="Q1767" s="9" t="s">
        <v>13284</v>
      </c>
      <c r="R1767" s="9" t="s">
        <v>13284</v>
      </c>
      <c r="S1767" s="9" t="s">
        <v>13284</v>
      </c>
      <c r="T1767" s="9" t="str">
        <f ca="1">IFERROR(IF(AND(VLOOKUP(A1767, 'Актуальное состояние (из общего'!A:C,3,0) = "", A1767 &lt;&gt; ""), "ПРОВЕРИТЬ", VLOOKUP(A1767, 'Актуальное состояние (из общего'!A:C,3,0)), "")</f>
        <v/>
      </c>
      <c r="U1767" s="9" t="s">
        <v>13284</v>
      </c>
      <c r="V1767" s="9" t="s">
        <v>13284</v>
      </c>
      <c r="W1767" s="12"/>
      <c r="X1767" s="9" t="str">
        <f t="array" ref="X1767">IFERROR(INDEX('Адреса общежитий (скрытый)'!$B$2:$B$9, MATCH(W1767, 'Адреса общежитий (скрытый)'!$A$2:$A$9, 0)), "")</f>
        <v/>
      </c>
      <c r="Y1767" s="18"/>
      <c r="Z1767" s="18"/>
      <c r="AA1767" s="18"/>
      <c r="AB1767" s="18"/>
      <c r="AC1767" s="18"/>
    </row>
    <row r="1768" spans="1:29" ht="32.25" hidden="1" customHeight="1">
      <c r="A1768" s="17"/>
      <c r="B1768" s="9" t="s">
        <v>13284</v>
      </c>
      <c r="C1768" s="9" t="s">
        <v>13284</v>
      </c>
      <c r="D1768" s="9" t="s">
        <v>13284</v>
      </c>
      <c r="E1768" s="9" t="s">
        <v>13284</v>
      </c>
      <c r="F1768" s="9" t="s">
        <v>13284</v>
      </c>
      <c r="G1768" s="9" t="s">
        <v>13284</v>
      </c>
      <c r="H1768" s="9" t="s">
        <v>13284</v>
      </c>
      <c r="I1768" s="9" t="s">
        <v>13284</v>
      </c>
      <c r="J1768" s="9" t="s">
        <v>13284</v>
      </c>
      <c r="K1768" s="9" t="s">
        <v>13284</v>
      </c>
      <c r="L1768" s="9" t="s">
        <v>13284</v>
      </c>
      <c r="M1768" s="9" t="s">
        <v>13284</v>
      </c>
      <c r="N1768" s="9" t="s">
        <v>13284</v>
      </c>
      <c r="O1768" s="9" t="s">
        <v>13284</v>
      </c>
      <c r="P1768" s="9" t="s">
        <v>13284</v>
      </c>
      <c r="Q1768" s="9" t="s">
        <v>13284</v>
      </c>
      <c r="R1768" s="9" t="s">
        <v>13284</v>
      </c>
      <c r="S1768" s="9" t="s">
        <v>13284</v>
      </c>
      <c r="T1768" s="9" t="str">
        <f ca="1">IFERROR(IF(AND(VLOOKUP(A1768, 'Актуальное состояние (из общего'!A:C,3,0) = "", A1768 &lt;&gt; ""), "ПРОВЕРИТЬ", VLOOKUP(A1768, 'Актуальное состояние (из общего'!A:C,3,0)), "")</f>
        <v/>
      </c>
      <c r="U1768" s="9" t="s">
        <v>13284</v>
      </c>
      <c r="V1768" s="9" t="s">
        <v>13284</v>
      </c>
      <c r="W1768" s="12"/>
      <c r="X1768" s="9" t="str">
        <f t="array" ref="X1768">IFERROR(INDEX('Адреса общежитий (скрытый)'!$B$2:$B$9, MATCH(W1768, 'Адреса общежитий (скрытый)'!$A$2:$A$9, 0)), "")</f>
        <v/>
      </c>
      <c r="Y1768" s="18"/>
      <c r="Z1768" s="18"/>
      <c r="AA1768" s="18"/>
      <c r="AB1768" s="18"/>
      <c r="AC1768" s="18"/>
    </row>
    <row r="1769" spans="1:29" ht="32.25" hidden="1" customHeight="1">
      <c r="A1769" s="17"/>
      <c r="B1769" s="9" t="s">
        <v>13284</v>
      </c>
      <c r="C1769" s="9" t="s">
        <v>13284</v>
      </c>
      <c r="D1769" s="9" t="s">
        <v>13284</v>
      </c>
      <c r="E1769" s="9" t="s">
        <v>13284</v>
      </c>
      <c r="F1769" s="9" t="s">
        <v>13284</v>
      </c>
      <c r="G1769" s="9" t="s">
        <v>13284</v>
      </c>
      <c r="H1769" s="9" t="s">
        <v>13284</v>
      </c>
      <c r="I1769" s="9" t="s">
        <v>13284</v>
      </c>
      <c r="J1769" s="9" t="s">
        <v>13284</v>
      </c>
      <c r="K1769" s="9" t="s">
        <v>13284</v>
      </c>
      <c r="L1769" s="9" t="s">
        <v>13284</v>
      </c>
      <c r="M1769" s="9" t="s">
        <v>13284</v>
      </c>
      <c r="N1769" s="9" t="s">
        <v>13284</v>
      </c>
      <c r="O1769" s="9" t="s">
        <v>13284</v>
      </c>
      <c r="P1769" s="9" t="s">
        <v>13284</v>
      </c>
      <c r="Q1769" s="9" t="s">
        <v>13284</v>
      </c>
      <c r="R1769" s="9" t="s">
        <v>13284</v>
      </c>
      <c r="S1769" s="9" t="s">
        <v>13284</v>
      </c>
      <c r="T1769" s="9" t="str">
        <f ca="1">IFERROR(IF(AND(VLOOKUP(A1769, 'Актуальное состояние (из общего'!A:C,3,0) = "", A1769 &lt;&gt; ""), "ПРОВЕРИТЬ", VLOOKUP(A1769, 'Актуальное состояние (из общего'!A:C,3,0)), "")</f>
        <v/>
      </c>
      <c r="U1769" s="9" t="s">
        <v>13284</v>
      </c>
      <c r="V1769" s="9" t="s">
        <v>13284</v>
      </c>
      <c r="W1769" s="12"/>
      <c r="X1769" s="9" t="str">
        <f t="array" ref="X1769">IFERROR(INDEX('Адреса общежитий (скрытый)'!$B$2:$B$9, MATCH(W1769, 'Адреса общежитий (скрытый)'!$A$2:$A$9, 0)), "")</f>
        <v/>
      </c>
      <c r="Y1769" s="18"/>
      <c r="Z1769" s="18"/>
      <c r="AA1769" s="18"/>
      <c r="AB1769" s="18"/>
      <c r="AC1769" s="18"/>
    </row>
    <row r="1770" spans="1:29" ht="32.25" hidden="1" customHeight="1">
      <c r="A1770" s="17"/>
      <c r="B1770" s="9" t="s">
        <v>13284</v>
      </c>
      <c r="C1770" s="9" t="s">
        <v>13284</v>
      </c>
      <c r="D1770" s="9" t="s">
        <v>13284</v>
      </c>
      <c r="E1770" s="9" t="s">
        <v>13284</v>
      </c>
      <c r="F1770" s="9" t="s">
        <v>13284</v>
      </c>
      <c r="G1770" s="9" t="s">
        <v>13284</v>
      </c>
      <c r="H1770" s="9" t="s">
        <v>13284</v>
      </c>
      <c r="I1770" s="9" t="s">
        <v>13284</v>
      </c>
      <c r="J1770" s="9" t="s">
        <v>13284</v>
      </c>
      <c r="K1770" s="9" t="s">
        <v>13284</v>
      </c>
      <c r="L1770" s="9" t="s">
        <v>13284</v>
      </c>
      <c r="M1770" s="9" t="s">
        <v>13284</v>
      </c>
      <c r="N1770" s="9" t="s">
        <v>13284</v>
      </c>
      <c r="O1770" s="9" t="s">
        <v>13284</v>
      </c>
      <c r="P1770" s="9" t="s">
        <v>13284</v>
      </c>
      <c r="Q1770" s="9" t="s">
        <v>13284</v>
      </c>
      <c r="R1770" s="9" t="s">
        <v>13284</v>
      </c>
      <c r="S1770" s="9" t="s">
        <v>13284</v>
      </c>
      <c r="T1770" s="9" t="str">
        <f ca="1">IFERROR(IF(AND(VLOOKUP(A1770, 'Актуальное состояние (из общего'!A:C,3,0) = "", A1770 &lt;&gt; ""), "ПРОВЕРИТЬ", VLOOKUP(A1770, 'Актуальное состояние (из общего'!A:C,3,0)), "")</f>
        <v/>
      </c>
      <c r="U1770" s="9" t="s">
        <v>13284</v>
      </c>
      <c r="V1770" s="9" t="s">
        <v>13284</v>
      </c>
      <c r="W1770" s="12"/>
      <c r="X1770" s="9" t="str">
        <f t="array" ref="X1770">IFERROR(INDEX('Адреса общежитий (скрытый)'!$B$2:$B$9, MATCH(W1770, 'Адреса общежитий (скрытый)'!$A$2:$A$9, 0)), "")</f>
        <v/>
      </c>
      <c r="Y1770" s="18"/>
      <c r="Z1770" s="18"/>
      <c r="AA1770" s="18"/>
      <c r="AB1770" s="18"/>
      <c r="AC1770" s="18"/>
    </row>
    <row r="1771" spans="1:29" ht="32.25" hidden="1" customHeight="1">
      <c r="A1771" s="17"/>
      <c r="B1771" s="9" t="s">
        <v>13284</v>
      </c>
      <c r="C1771" s="9" t="s">
        <v>13284</v>
      </c>
      <c r="D1771" s="9" t="s">
        <v>13284</v>
      </c>
      <c r="E1771" s="9" t="s">
        <v>13284</v>
      </c>
      <c r="F1771" s="9" t="s">
        <v>13284</v>
      </c>
      <c r="G1771" s="9" t="s">
        <v>13284</v>
      </c>
      <c r="H1771" s="9" t="s">
        <v>13284</v>
      </c>
      <c r="I1771" s="9" t="s">
        <v>13284</v>
      </c>
      <c r="J1771" s="9" t="s">
        <v>13284</v>
      </c>
      <c r="K1771" s="9" t="s">
        <v>13284</v>
      </c>
      <c r="L1771" s="9" t="s">
        <v>13284</v>
      </c>
      <c r="M1771" s="9" t="s">
        <v>13284</v>
      </c>
      <c r="N1771" s="9" t="s">
        <v>13284</v>
      </c>
      <c r="O1771" s="9" t="s">
        <v>13284</v>
      </c>
      <c r="P1771" s="9" t="s">
        <v>13284</v>
      </c>
      <c r="Q1771" s="9" t="s">
        <v>13284</v>
      </c>
      <c r="R1771" s="9" t="s">
        <v>13284</v>
      </c>
      <c r="S1771" s="9" t="s">
        <v>13284</v>
      </c>
      <c r="T1771" s="9" t="str">
        <f ca="1">IFERROR(IF(AND(VLOOKUP(A1771, 'Актуальное состояние (из общего'!A:C,3,0) = "", A1771 &lt;&gt; ""), "ПРОВЕРИТЬ", VLOOKUP(A1771, 'Актуальное состояние (из общего'!A:C,3,0)), "")</f>
        <v/>
      </c>
      <c r="U1771" s="9" t="s">
        <v>13284</v>
      </c>
      <c r="V1771" s="9" t="s">
        <v>13284</v>
      </c>
      <c r="W1771" s="12"/>
      <c r="X1771" s="9" t="str">
        <f t="array" ref="X1771">IFERROR(INDEX('Адреса общежитий (скрытый)'!$B$2:$B$9, MATCH(W1771, 'Адреса общежитий (скрытый)'!$A$2:$A$9, 0)), "")</f>
        <v/>
      </c>
      <c r="Y1771" s="18"/>
      <c r="Z1771" s="18"/>
      <c r="AA1771" s="18"/>
      <c r="AB1771" s="18"/>
      <c r="AC1771" s="18"/>
    </row>
    <row r="1772" spans="1:29" ht="32.25" hidden="1" customHeight="1">
      <c r="A1772" s="17"/>
      <c r="B1772" s="9" t="s">
        <v>13284</v>
      </c>
      <c r="C1772" s="9" t="s">
        <v>13284</v>
      </c>
      <c r="D1772" s="9" t="s">
        <v>13284</v>
      </c>
      <c r="E1772" s="9" t="s">
        <v>13284</v>
      </c>
      <c r="F1772" s="9" t="s">
        <v>13284</v>
      </c>
      <c r="G1772" s="9" t="s">
        <v>13284</v>
      </c>
      <c r="H1772" s="9" t="s">
        <v>13284</v>
      </c>
      <c r="I1772" s="9" t="s">
        <v>13284</v>
      </c>
      <c r="J1772" s="9" t="s">
        <v>13284</v>
      </c>
      <c r="K1772" s="9" t="s">
        <v>13284</v>
      </c>
      <c r="L1772" s="9" t="s">
        <v>13284</v>
      </c>
      <c r="M1772" s="9" t="s">
        <v>13284</v>
      </c>
      <c r="N1772" s="9" t="s">
        <v>13284</v>
      </c>
      <c r="O1772" s="9" t="s">
        <v>13284</v>
      </c>
      <c r="P1772" s="9" t="s">
        <v>13284</v>
      </c>
      <c r="Q1772" s="9" t="s">
        <v>13284</v>
      </c>
      <c r="R1772" s="9" t="s">
        <v>13284</v>
      </c>
      <c r="S1772" s="9" t="s">
        <v>13284</v>
      </c>
      <c r="T1772" s="9" t="str">
        <f ca="1">IFERROR(IF(AND(VLOOKUP(A1772, 'Актуальное состояние (из общего'!A:C,3,0) = "", A1772 &lt;&gt; ""), "ПРОВЕРИТЬ", VLOOKUP(A1772, 'Актуальное состояние (из общего'!A:C,3,0)), "")</f>
        <v/>
      </c>
      <c r="U1772" s="9" t="s">
        <v>13284</v>
      </c>
      <c r="V1772" s="9" t="s">
        <v>13284</v>
      </c>
      <c r="W1772" s="12"/>
      <c r="X1772" s="9" t="str">
        <f t="array" ref="X1772">IFERROR(INDEX('Адреса общежитий (скрытый)'!$B$2:$B$9, MATCH(W1772, 'Адреса общежитий (скрытый)'!$A$2:$A$9, 0)), "")</f>
        <v/>
      </c>
      <c r="Y1772" s="18"/>
      <c r="Z1772" s="18"/>
      <c r="AA1772" s="18"/>
      <c r="AB1772" s="18"/>
      <c r="AC1772" s="18"/>
    </row>
    <row r="1773" spans="1:29" ht="32.25" hidden="1" customHeight="1">
      <c r="A1773" s="17"/>
      <c r="B1773" s="9" t="s">
        <v>13284</v>
      </c>
      <c r="C1773" s="9" t="s">
        <v>13284</v>
      </c>
      <c r="D1773" s="9" t="s">
        <v>13284</v>
      </c>
      <c r="E1773" s="9" t="s">
        <v>13284</v>
      </c>
      <c r="F1773" s="9" t="s">
        <v>13284</v>
      </c>
      <c r="G1773" s="9" t="s">
        <v>13284</v>
      </c>
      <c r="H1773" s="9" t="s">
        <v>13284</v>
      </c>
      <c r="I1773" s="9" t="s">
        <v>13284</v>
      </c>
      <c r="J1773" s="9" t="s">
        <v>13284</v>
      </c>
      <c r="K1773" s="9" t="s">
        <v>13284</v>
      </c>
      <c r="L1773" s="9" t="s">
        <v>13284</v>
      </c>
      <c r="M1773" s="9" t="s">
        <v>13284</v>
      </c>
      <c r="N1773" s="9" t="s">
        <v>13284</v>
      </c>
      <c r="O1773" s="9" t="s">
        <v>13284</v>
      </c>
      <c r="P1773" s="9" t="s">
        <v>13284</v>
      </c>
      <c r="Q1773" s="9" t="s">
        <v>13284</v>
      </c>
      <c r="R1773" s="9" t="s">
        <v>13284</v>
      </c>
      <c r="S1773" s="9" t="s">
        <v>13284</v>
      </c>
      <c r="T1773" s="9" t="str">
        <f ca="1">IFERROR(IF(AND(VLOOKUP(A1773, 'Актуальное состояние (из общего'!A:C,3,0) = "", A1773 &lt;&gt; ""), "ПРОВЕРИТЬ", VLOOKUP(A1773, 'Актуальное состояние (из общего'!A:C,3,0)), "")</f>
        <v/>
      </c>
      <c r="U1773" s="9" t="s">
        <v>13284</v>
      </c>
      <c r="V1773" s="9" t="s">
        <v>13284</v>
      </c>
      <c r="W1773" s="12"/>
      <c r="X1773" s="9" t="str">
        <f t="array" ref="X1773">IFERROR(INDEX('Адреса общежитий (скрытый)'!$B$2:$B$9, MATCH(W1773, 'Адреса общежитий (скрытый)'!$A$2:$A$9, 0)), "")</f>
        <v/>
      </c>
      <c r="Y1773" s="18"/>
      <c r="Z1773" s="18"/>
      <c r="AA1773" s="18"/>
      <c r="AB1773" s="18"/>
      <c r="AC1773" s="18"/>
    </row>
    <row r="1774" spans="1:29" ht="32.25" hidden="1" customHeight="1">
      <c r="A1774" s="17"/>
      <c r="B1774" s="9" t="s">
        <v>13284</v>
      </c>
      <c r="C1774" s="9" t="s">
        <v>13284</v>
      </c>
      <c r="D1774" s="9" t="s">
        <v>13284</v>
      </c>
      <c r="E1774" s="9" t="s">
        <v>13284</v>
      </c>
      <c r="F1774" s="9" t="s">
        <v>13284</v>
      </c>
      <c r="G1774" s="9" t="s">
        <v>13284</v>
      </c>
      <c r="H1774" s="9" t="s">
        <v>13284</v>
      </c>
      <c r="I1774" s="9" t="s">
        <v>13284</v>
      </c>
      <c r="J1774" s="9" t="s">
        <v>13284</v>
      </c>
      <c r="K1774" s="9" t="s">
        <v>13284</v>
      </c>
      <c r="L1774" s="9" t="s">
        <v>13284</v>
      </c>
      <c r="M1774" s="9" t="s">
        <v>13284</v>
      </c>
      <c r="N1774" s="9" t="s">
        <v>13284</v>
      </c>
      <c r="O1774" s="9" t="s">
        <v>13284</v>
      </c>
      <c r="P1774" s="9" t="s">
        <v>13284</v>
      </c>
      <c r="Q1774" s="9" t="s">
        <v>13284</v>
      </c>
      <c r="R1774" s="9" t="s">
        <v>13284</v>
      </c>
      <c r="S1774" s="9" t="s">
        <v>13284</v>
      </c>
      <c r="T1774" s="9" t="str">
        <f ca="1">IFERROR(IF(AND(VLOOKUP(A1774, 'Актуальное состояние (из общего'!A:C,3,0) = "", A1774 &lt;&gt; ""), "ПРОВЕРИТЬ", VLOOKUP(A1774, 'Актуальное состояние (из общего'!A:C,3,0)), "")</f>
        <v/>
      </c>
      <c r="U1774" s="9" t="s">
        <v>13284</v>
      </c>
      <c r="V1774" s="9" t="s">
        <v>13284</v>
      </c>
      <c r="W1774" s="12"/>
      <c r="X1774" s="9" t="str">
        <f t="array" ref="X1774">IFERROR(INDEX('Адреса общежитий (скрытый)'!$B$2:$B$9, MATCH(W1774, 'Адреса общежитий (скрытый)'!$A$2:$A$9, 0)), "")</f>
        <v/>
      </c>
      <c r="Y1774" s="18"/>
      <c r="Z1774" s="18"/>
      <c r="AA1774" s="18"/>
      <c r="AB1774" s="18"/>
      <c r="AC1774" s="18"/>
    </row>
    <row r="1775" spans="1:29" ht="32.25" hidden="1" customHeight="1">
      <c r="A1775" s="17"/>
      <c r="B1775" s="9" t="s">
        <v>13284</v>
      </c>
      <c r="C1775" s="9" t="s">
        <v>13284</v>
      </c>
      <c r="D1775" s="9" t="s">
        <v>13284</v>
      </c>
      <c r="E1775" s="9" t="s">
        <v>13284</v>
      </c>
      <c r="F1775" s="9" t="s">
        <v>13284</v>
      </c>
      <c r="G1775" s="9" t="s">
        <v>13284</v>
      </c>
      <c r="H1775" s="9" t="s">
        <v>13284</v>
      </c>
      <c r="I1775" s="9" t="s">
        <v>13284</v>
      </c>
      <c r="J1775" s="9" t="s">
        <v>13284</v>
      </c>
      <c r="K1775" s="9" t="s">
        <v>13284</v>
      </c>
      <c r="L1775" s="9" t="s">
        <v>13284</v>
      </c>
      <c r="M1775" s="9" t="s">
        <v>13284</v>
      </c>
      <c r="N1775" s="9" t="s">
        <v>13284</v>
      </c>
      <c r="O1775" s="9" t="s">
        <v>13284</v>
      </c>
      <c r="P1775" s="9" t="s">
        <v>13284</v>
      </c>
      <c r="Q1775" s="9" t="s">
        <v>13284</v>
      </c>
      <c r="R1775" s="9" t="s">
        <v>13284</v>
      </c>
      <c r="S1775" s="9" t="s">
        <v>13284</v>
      </c>
      <c r="T1775" s="9" t="str">
        <f ca="1">IFERROR(IF(AND(VLOOKUP(A1775, 'Актуальное состояние (из общего'!A:C,3,0) = "", A1775 &lt;&gt; ""), "ПРОВЕРИТЬ", VLOOKUP(A1775, 'Актуальное состояние (из общего'!A:C,3,0)), "")</f>
        <v/>
      </c>
      <c r="U1775" s="9" t="s">
        <v>13284</v>
      </c>
      <c r="V1775" s="9" t="s">
        <v>13284</v>
      </c>
      <c r="W1775" s="12"/>
      <c r="X1775" s="9" t="str">
        <f t="array" ref="X1775">IFERROR(INDEX('Адреса общежитий (скрытый)'!$B$2:$B$9, MATCH(W1775, 'Адреса общежитий (скрытый)'!$A$2:$A$9, 0)), "")</f>
        <v/>
      </c>
      <c r="Y1775" s="18"/>
      <c r="Z1775" s="18"/>
      <c r="AA1775" s="18"/>
      <c r="AB1775" s="18"/>
      <c r="AC1775" s="18"/>
    </row>
    <row r="1776" spans="1:29" ht="32.25" hidden="1" customHeight="1">
      <c r="A1776" s="17"/>
      <c r="B1776" s="9" t="s">
        <v>13284</v>
      </c>
      <c r="C1776" s="9" t="s">
        <v>13284</v>
      </c>
      <c r="D1776" s="9" t="s">
        <v>13284</v>
      </c>
      <c r="E1776" s="9" t="s">
        <v>13284</v>
      </c>
      <c r="F1776" s="9" t="s">
        <v>13284</v>
      </c>
      <c r="G1776" s="9" t="s">
        <v>13284</v>
      </c>
      <c r="H1776" s="9" t="s">
        <v>13284</v>
      </c>
      <c r="I1776" s="9" t="s">
        <v>13284</v>
      </c>
      <c r="J1776" s="9" t="s">
        <v>13284</v>
      </c>
      <c r="K1776" s="9" t="s">
        <v>13284</v>
      </c>
      <c r="L1776" s="9" t="s">
        <v>13284</v>
      </c>
      <c r="M1776" s="9" t="s">
        <v>13284</v>
      </c>
      <c r="N1776" s="9" t="s">
        <v>13284</v>
      </c>
      <c r="O1776" s="9" t="s">
        <v>13284</v>
      </c>
      <c r="P1776" s="9" t="s">
        <v>13284</v>
      </c>
      <c r="Q1776" s="9" t="s">
        <v>13284</v>
      </c>
      <c r="R1776" s="9" t="s">
        <v>13284</v>
      </c>
      <c r="S1776" s="9" t="s">
        <v>13284</v>
      </c>
      <c r="T1776" s="9" t="str">
        <f ca="1">IFERROR(IF(AND(VLOOKUP(A1776, 'Актуальное состояние (из общего'!A:C,3,0) = "", A1776 &lt;&gt; ""), "ПРОВЕРИТЬ", VLOOKUP(A1776, 'Актуальное состояние (из общего'!A:C,3,0)), "")</f>
        <v/>
      </c>
      <c r="U1776" s="9" t="s">
        <v>13284</v>
      </c>
      <c r="V1776" s="9" t="s">
        <v>13284</v>
      </c>
      <c r="W1776" s="12"/>
      <c r="X1776" s="9" t="str">
        <f t="array" ref="X1776">IFERROR(INDEX('Адреса общежитий (скрытый)'!$B$2:$B$9, MATCH(W1776, 'Адреса общежитий (скрытый)'!$A$2:$A$9, 0)), "")</f>
        <v/>
      </c>
      <c r="Y1776" s="18"/>
      <c r="Z1776" s="18"/>
      <c r="AA1776" s="18"/>
      <c r="AB1776" s="18"/>
      <c r="AC1776" s="18"/>
    </row>
    <row r="1777" spans="1:29" ht="32.25" hidden="1" customHeight="1">
      <c r="A1777" s="17"/>
      <c r="B1777" s="9" t="s">
        <v>13284</v>
      </c>
      <c r="C1777" s="9" t="s">
        <v>13284</v>
      </c>
      <c r="D1777" s="9" t="s">
        <v>13284</v>
      </c>
      <c r="E1777" s="9" t="s">
        <v>13284</v>
      </c>
      <c r="F1777" s="9" t="s">
        <v>13284</v>
      </c>
      <c r="G1777" s="9" t="s">
        <v>13284</v>
      </c>
      <c r="H1777" s="9" t="s">
        <v>13284</v>
      </c>
      <c r="I1777" s="9" t="s">
        <v>13284</v>
      </c>
      <c r="J1777" s="9" t="s">
        <v>13284</v>
      </c>
      <c r="K1777" s="9" t="s">
        <v>13284</v>
      </c>
      <c r="L1777" s="9" t="s">
        <v>13284</v>
      </c>
      <c r="M1777" s="9" t="s">
        <v>13284</v>
      </c>
      <c r="N1777" s="9" t="s">
        <v>13284</v>
      </c>
      <c r="O1777" s="9" t="s">
        <v>13284</v>
      </c>
      <c r="P1777" s="9" t="s">
        <v>13284</v>
      </c>
      <c r="Q1777" s="9" t="s">
        <v>13284</v>
      </c>
      <c r="R1777" s="9" t="s">
        <v>13284</v>
      </c>
      <c r="S1777" s="9" t="s">
        <v>13284</v>
      </c>
      <c r="T1777" s="9" t="str">
        <f ca="1">IFERROR(IF(AND(VLOOKUP(A1777, 'Актуальное состояние (из общего'!A:C,3,0) = "", A1777 &lt;&gt; ""), "ПРОВЕРИТЬ", VLOOKUP(A1777, 'Актуальное состояние (из общего'!A:C,3,0)), "")</f>
        <v/>
      </c>
      <c r="U1777" s="9" t="s">
        <v>13284</v>
      </c>
      <c r="V1777" s="9" t="s">
        <v>13284</v>
      </c>
      <c r="W1777" s="12"/>
      <c r="X1777" s="9" t="str">
        <f t="array" ref="X1777">IFERROR(INDEX('Адреса общежитий (скрытый)'!$B$2:$B$9, MATCH(W1777, 'Адреса общежитий (скрытый)'!$A$2:$A$9, 0)), "")</f>
        <v/>
      </c>
      <c r="Y1777" s="18"/>
      <c r="Z1777" s="18"/>
      <c r="AA1777" s="18"/>
      <c r="AB1777" s="18"/>
      <c r="AC1777" s="18"/>
    </row>
    <row r="1778" spans="1:29" ht="32.25" hidden="1" customHeight="1">
      <c r="A1778" s="17"/>
      <c r="B1778" s="9" t="s">
        <v>13284</v>
      </c>
      <c r="C1778" s="9" t="s">
        <v>13284</v>
      </c>
      <c r="D1778" s="9" t="s">
        <v>13284</v>
      </c>
      <c r="E1778" s="9" t="s">
        <v>13284</v>
      </c>
      <c r="F1778" s="9" t="s">
        <v>13284</v>
      </c>
      <c r="G1778" s="9" t="s">
        <v>13284</v>
      </c>
      <c r="H1778" s="9" t="s">
        <v>13284</v>
      </c>
      <c r="I1778" s="9" t="s">
        <v>13284</v>
      </c>
      <c r="J1778" s="9" t="s">
        <v>13284</v>
      </c>
      <c r="K1778" s="9" t="s">
        <v>13284</v>
      </c>
      <c r="L1778" s="9" t="s">
        <v>13284</v>
      </c>
      <c r="M1778" s="9" t="s">
        <v>13284</v>
      </c>
      <c r="N1778" s="9" t="s">
        <v>13284</v>
      </c>
      <c r="O1778" s="9" t="s">
        <v>13284</v>
      </c>
      <c r="P1778" s="9" t="s">
        <v>13284</v>
      </c>
      <c r="Q1778" s="9" t="s">
        <v>13284</v>
      </c>
      <c r="R1778" s="9" t="s">
        <v>13284</v>
      </c>
      <c r="S1778" s="9" t="s">
        <v>13284</v>
      </c>
      <c r="T1778" s="9" t="str">
        <f ca="1">IFERROR(IF(AND(VLOOKUP(A1778, 'Актуальное состояние (из общего'!A:C,3,0) = "", A1778 &lt;&gt; ""), "ПРОВЕРИТЬ", VLOOKUP(A1778, 'Актуальное состояние (из общего'!A:C,3,0)), "")</f>
        <v/>
      </c>
      <c r="U1778" s="9" t="s">
        <v>13284</v>
      </c>
      <c r="V1778" s="9" t="s">
        <v>13284</v>
      </c>
      <c r="W1778" s="12"/>
      <c r="X1778" s="9" t="str">
        <f t="array" ref="X1778">IFERROR(INDEX('Адреса общежитий (скрытый)'!$B$2:$B$9, MATCH(W1778, 'Адреса общежитий (скрытый)'!$A$2:$A$9, 0)), "")</f>
        <v/>
      </c>
      <c r="Y1778" s="18"/>
      <c r="Z1778" s="18"/>
      <c r="AA1778" s="18"/>
      <c r="AB1778" s="18"/>
      <c r="AC1778" s="18"/>
    </row>
    <row r="1779" spans="1:29" ht="32.25" hidden="1" customHeight="1">
      <c r="A1779" s="17"/>
      <c r="B1779" s="9" t="s">
        <v>13284</v>
      </c>
      <c r="C1779" s="9" t="s">
        <v>13284</v>
      </c>
      <c r="D1779" s="9" t="s">
        <v>13284</v>
      </c>
      <c r="E1779" s="9" t="s">
        <v>13284</v>
      </c>
      <c r="F1779" s="9" t="s">
        <v>13284</v>
      </c>
      <c r="G1779" s="9" t="s">
        <v>13284</v>
      </c>
      <c r="H1779" s="9" t="s">
        <v>13284</v>
      </c>
      <c r="I1779" s="9" t="s">
        <v>13284</v>
      </c>
      <c r="J1779" s="9" t="s">
        <v>13284</v>
      </c>
      <c r="K1779" s="9" t="s">
        <v>13284</v>
      </c>
      <c r="L1779" s="9" t="s">
        <v>13284</v>
      </c>
      <c r="M1779" s="9" t="s">
        <v>13284</v>
      </c>
      <c r="N1779" s="9" t="s">
        <v>13284</v>
      </c>
      <c r="O1779" s="9" t="s">
        <v>13284</v>
      </c>
      <c r="P1779" s="9" t="s">
        <v>13284</v>
      </c>
      <c r="Q1779" s="9" t="s">
        <v>13284</v>
      </c>
      <c r="R1779" s="9" t="s">
        <v>13284</v>
      </c>
      <c r="S1779" s="9" t="s">
        <v>13284</v>
      </c>
      <c r="T1779" s="9" t="str">
        <f ca="1">IFERROR(IF(AND(VLOOKUP(A1779, 'Актуальное состояние (из общего'!A:C,3,0) = "", A1779 &lt;&gt; ""), "ПРОВЕРИТЬ", VLOOKUP(A1779, 'Актуальное состояние (из общего'!A:C,3,0)), "")</f>
        <v/>
      </c>
      <c r="U1779" s="9" t="s">
        <v>13284</v>
      </c>
      <c r="V1779" s="9" t="s">
        <v>13284</v>
      </c>
      <c r="W1779" s="12"/>
      <c r="X1779" s="9" t="str">
        <f t="array" ref="X1779">IFERROR(INDEX('Адреса общежитий (скрытый)'!$B$2:$B$9, MATCH(W1779, 'Адреса общежитий (скрытый)'!$A$2:$A$9, 0)), "")</f>
        <v/>
      </c>
      <c r="Y1779" s="18"/>
      <c r="Z1779" s="18"/>
      <c r="AA1779" s="18"/>
      <c r="AB1779" s="18"/>
      <c r="AC1779" s="18"/>
    </row>
    <row r="1780" spans="1:29" ht="32.25" hidden="1" customHeight="1">
      <c r="A1780" s="17"/>
      <c r="B1780" s="9" t="s">
        <v>13284</v>
      </c>
      <c r="C1780" s="9" t="s">
        <v>13284</v>
      </c>
      <c r="D1780" s="9" t="s">
        <v>13284</v>
      </c>
      <c r="E1780" s="9" t="s">
        <v>13284</v>
      </c>
      <c r="F1780" s="9" t="s">
        <v>13284</v>
      </c>
      <c r="G1780" s="9" t="s">
        <v>13284</v>
      </c>
      <c r="H1780" s="9" t="s">
        <v>13284</v>
      </c>
      <c r="I1780" s="9" t="s">
        <v>13284</v>
      </c>
      <c r="J1780" s="9" t="s">
        <v>13284</v>
      </c>
      <c r="K1780" s="9" t="s">
        <v>13284</v>
      </c>
      <c r="L1780" s="9" t="s">
        <v>13284</v>
      </c>
      <c r="M1780" s="9" t="s">
        <v>13284</v>
      </c>
      <c r="N1780" s="9" t="s">
        <v>13284</v>
      </c>
      <c r="O1780" s="9" t="s">
        <v>13284</v>
      </c>
      <c r="P1780" s="9" t="s">
        <v>13284</v>
      </c>
      <c r="Q1780" s="9" t="s">
        <v>13284</v>
      </c>
      <c r="R1780" s="9" t="s">
        <v>13284</v>
      </c>
      <c r="S1780" s="9" t="s">
        <v>13284</v>
      </c>
      <c r="T1780" s="9" t="str">
        <f ca="1">IFERROR(IF(AND(VLOOKUP(A1780, 'Актуальное состояние (из общего'!A:C,3,0) = "", A1780 &lt;&gt; ""), "ПРОВЕРИТЬ", VLOOKUP(A1780, 'Актуальное состояние (из общего'!A:C,3,0)), "")</f>
        <v/>
      </c>
      <c r="U1780" s="9" t="s">
        <v>13284</v>
      </c>
      <c r="V1780" s="9" t="s">
        <v>13284</v>
      </c>
      <c r="W1780" s="12"/>
      <c r="X1780" s="9" t="str">
        <f t="array" ref="X1780">IFERROR(INDEX('Адреса общежитий (скрытый)'!$B$2:$B$9, MATCH(W1780, 'Адреса общежитий (скрытый)'!$A$2:$A$9, 0)), "")</f>
        <v/>
      </c>
      <c r="Y1780" s="18"/>
      <c r="Z1780" s="18"/>
      <c r="AA1780" s="18"/>
      <c r="AB1780" s="18"/>
      <c r="AC1780" s="18"/>
    </row>
    <row r="1781" spans="1:29" ht="32.25" hidden="1" customHeight="1">
      <c r="A1781" s="17"/>
      <c r="B1781" s="9" t="s">
        <v>13284</v>
      </c>
      <c r="C1781" s="9" t="s">
        <v>13284</v>
      </c>
      <c r="D1781" s="9" t="s">
        <v>13284</v>
      </c>
      <c r="E1781" s="9" t="s">
        <v>13284</v>
      </c>
      <c r="F1781" s="9" t="s">
        <v>13284</v>
      </c>
      <c r="G1781" s="9" t="s">
        <v>13284</v>
      </c>
      <c r="H1781" s="9" t="s">
        <v>13284</v>
      </c>
      <c r="I1781" s="9" t="s">
        <v>13284</v>
      </c>
      <c r="J1781" s="9" t="s">
        <v>13284</v>
      </c>
      <c r="K1781" s="9" t="s">
        <v>13284</v>
      </c>
      <c r="L1781" s="9" t="s">
        <v>13284</v>
      </c>
      <c r="M1781" s="9" t="s">
        <v>13284</v>
      </c>
      <c r="N1781" s="9" t="s">
        <v>13284</v>
      </c>
      <c r="O1781" s="9" t="s">
        <v>13284</v>
      </c>
      <c r="P1781" s="9" t="s">
        <v>13284</v>
      </c>
      <c r="Q1781" s="9" t="s">
        <v>13284</v>
      </c>
      <c r="R1781" s="9" t="s">
        <v>13284</v>
      </c>
      <c r="S1781" s="9" t="s">
        <v>13284</v>
      </c>
      <c r="T1781" s="9" t="str">
        <f ca="1">IFERROR(IF(AND(VLOOKUP(A1781, 'Актуальное состояние (из общего'!A:C,3,0) = "", A1781 &lt;&gt; ""), "ПРОВЕРИТЬ", VLOOKUP(A1781, 'Актуальное состояние (из общего'!A:C,3,0)), "")</f>
        <v/>
      </c>
      <c r="U1781" s="9" t="s">
        <v>13284</v>
      </c>
      <c r="V1781" s="9" t="s">
        <v>13284</v>
      </c>
      <c r="W1781" s="12"/>
      <c r="X1781" s="9" t="str">
        <f t="array" ref="X1781">IFERROR(INDEX('Адреса общежитий (скрытый)'!$B$2:$B$9, MATCH(W1781, 'Адреса общежитий (скрытый)'!$A$2:$A$9, 0)), "")</f>
        <v/>
      </c>
      <c r="Y1781" s="18"/>
      <c r="Z1781" s="18"/>
      <c r="AA1781" s="18"/>
      <c r="AB1781" s="18"/>
      <c r="AC1781" s="18"/>
    </row>
    <row r="1782" spans="1:29" ht="32.25" hidden="1" customHeight="1">
      <c r="A1782" s="17"/>
      <c r="B1782" s="9" t="s">
        <v>13284</v>
      </c>
      <c r="C1782" s="9" t="s">
        <v>13284</v>
      </c>
      <c r="D1782" s="9" t="s">
        <v>13284</v>
      </c>
      <c r="E1782" s="9" t="s">
        <v>13284</v>
      </c>
      <c r="F1782" s="9" t="s">
        <v>13284</v>
      </c>
      <c r="G1782" s="9" t="s">
        <v>13284</v>
      </c>
      <c r="H1782" s="9" t="s">
        <v>13284</v>
      </c>
      <c r="I1782" s="9" t="s">
        <v>13284</v>
      </c>
      <c r="J1782" s="9" t="s">
        <v>13284</v>
      </c>
      <c r="K1782" s="9" t="s">
        <v>13284</v>
      </c>
      <c r="L1782" s="9" t="s">
        <v>13284</v>
      </c>
      <c r="M1782" s="9" t="s">
        <v>13284</v>
      </c>
      <c r="N1782" s="9" t="s">
        <v>13284</v>
      </c>
      <c r="O1782" s="9" t="s">
        <v>13284</v>
      </c>
      <c r="P1782" s="9" t="s">
        <v>13284</v>
      </c>
      <c r="Q1782" s="9" t="s">
        <v>13284</v>
      </c>
      <c r="R1782" s="9" t="s">
        <v>13284</v>
      </c>
      <c r="S1782" s="9" t="s">
        <v>13284</v>
      </c>
      <c r="T1782" s="9" t="str">
        <f ca="1">IFERROR(IF(AND(VLOOKUP(A1782, 'Актуальное состояние (из общего'!A:C,3,0) = "", A1782 &lt;&gt; ""), "ПРОВЕРИТЬ", VLOOKUP(A1782, 'Актуальное состояние (из общего'!A:C,3,0)), "")</f>
        <v/>
      </c>
      <c r="U1782" s="9" t="s">
        <v>13284</v>
      </c>
      <c r="V1782" s="9" t="s">
        <v>13284</v>
      </c>
      <c r="W1782" s="12"/>
      <c r="X1782" s="9" t="str">
        <f t="array" ref="X1782">IFERROR(INDEX('Адреса общежитий (скрытый)'!$B$2:$B$9, MATCH(W1782, 'Адреса общежитий (скрытый)'!$A$2:$A$9, 0)), "")</f>
        <v/>
      </c>
      <c r="Y1782" s="18"/>
      <c r="Z1782" s="18"/>
      <c r="AA1782" s="18"/>
      <c r="AB1782" s="18"/>
      <c r="AC1782" s="18"/>
    </row>
    <row r="1783" spans="1:29" ht="32.25" hidden="1" customHeight="1">
      <c r="A1783" s="17"/>
      <c r="B1783" s="9" t="s">
        <v>13284</v>
      </c>
      <c r="C1783" s="9" t="s">
        <v>13284</v>
      </c>
      <c r="D1783" s="9" t="s">
        <v>13284</v>
      </c>
      <c r="E1783" s="9" t="s">
        <v>13284</v>
      </c>
      <c r="F1783" s="9" t="s">
        <v>13284</v>
      </c>
      <c r="G1783" s="9" t="s">
        <v>13284</v>
      </c>
      <c r="H1783" s="9" t="s">
        <v>13284</v>
      </c>
      <c r="I1783" s="9" t="s">
        <v>13284</v>
      </c>
      <c r="J1783" s="9" t="s">
        <v>13284</v>
      </c>
      <c r="K1783" s="9" t="s">
        <v>13284</v>
      </c>
      <c r="L1783" s="9" t="s">
        <v>13284</v>
      </c>
      <c r="M1783" s="9" t="s">
        <v>13284</v>
      </c>
      <c r="N1783" s="9" t="s">
        <v>13284</v>
      </c>
      <c r="O1783" s="9" t="s">
        <v>13284</v>
      </c>
      <c r="P1783" s="9" t="s">
        <v>13284</v>
      </c>
      <c r="Q1783" s="9" t="s">
        <v>13284</v>
      </c>
      <c r="R1783" s="9" t="s">
        <v>13284</v>
      </c>
      <c r="S1783" s="9" t="s">
        <v>13284</v>
      </c>
      <c r="T1783" s="9" t="str">
        <f ca="1">IFERROR(IF(AND(VLOOKUP(A1783, 'Актуальное состояние (из общего'!A:C,3,0) = "", A1783 &lt;&gt; ""), "ПРОВЕРИТЬ", VLOOKUP(A1783, 'Актуальное состояние (из общего'!A:C,3,0)), "")</f>
        <v/>
      </c>
      <c r="U1783" s="9" t="s">
        <v>13284</v>
      </c>
      <c r="V1783" s="9" t="s">
        <v>13284</v>
      </c>
      <c r="W1783" s="12"/>
      <c r="X1783" s="9" t="str">
        <f t="array" ref="X1783">IFERROR(INDEX('Адреса общежитий (скрытый)'!$B$2:$B$9, MATCH(W1783, 'Адреса общежитий (скрытый)'!$A$2:$A$9, 0)), "")</f>
        <v/>
      </c>
      <c r="Y1783" s="18"/>
      <c r="Z1783" s="18"/>
      <c r="AA1783" s="18"/>
      <c r="AB1783" s="18"/>
      <c r="AC1783" s="18"/>
    </row>
    <row r="1784" spans="1:29" ht="32.25" hidden="1" customHeight="1">
      <c r="A1784" s="17"/>
      <c r="B1784" s="9" t="s">
        <v>13284</v>
      </c>
      <c r="C1784" s="9" t="s">
        <v>13284</v>
      </c>
      <c r="D1784" s="9" t="s">
        <v>13284</v>
      </c>
      <c r="E1784" s="9" t="s">
        <v>13284</v>
      </c>
      <c r="F1784" s="9" t="s">
        <v>13284</v>
      </c>
      <c r="G1784" s="9" t="s">
        <v>13284</v>
      </c>
      <c r="H1784" s="9" t="s">
        <v>13284</v>
      </c>
      <c r="I1784" s="9" t="s">
        <v>13284</v>
      </c>
      <c r="J1784" s="9" t="s">
        <v>13284</v>
      </c>
      <c r="K1784" s="9" t="s">
        <v>13284</v>
      </c>
      <c r="L1784" s="9" t="s">
        <v>13284</v>
      </c>
      <c r="M1784" s="9" t="s">
        <v>13284</v>
      </c>
      <c r="N1784" s="9" t="s">
        <v>13284</v>
      </c>
      <c r="O1784" s="9" t="s">
        <v>13284</v>
      </c>
      <c r="P1784" s="9" t="s">
        <v>13284</v>
      </c>
      <c r="Q1784" s="9" t="s">
        <v>13284</v>
      </c>
      <c r="R1784" s="9" t="s">
        <v>13284</v>
      </c>
      <c r="S1784" s="9" t="s">
        <v>13284</v>
      </c>
      <c r="T1784" s="9" t="str">
        <f ca="1">IFERROR(IF(AND(VLOOKUP(A1784, 'Актуальное состояние (из общего'!A:C,3,0) = "", A1784 &lt;&gt; ""), "ПРОВЕРИТЬ", VLOOKUP(A1784, 'Актуальное состояние (из общего'!A:C,3,0)), "")</f>
        <v/>
      </c>
      <c r="U1784" s="9" t="s">
        <v>13284</v>
      </c>
      <c r="V1784" s="9" t="s">
        <v>13284</v>
      </c>
      <c r="W1784" s="12"/>
      <c r="X1784" s="9" t="str">
        <f t="array" ref="X1784">IFERROR(INDEX('Адреса общежитий (скрытый)'!$B$2:$B$9, MATCH(W1784, 'Адреса общежитий (скрытый)'!$A$2:$A$9, 0)), "")</f>
        <v/>
      </c>
      <c r="Y1784" s="18"/>
      <c r="Z1784" s="18"/>
      <c r="AA1784" s="18"/>
      <c r="AB1784" s="18"/>
      <c r="AC1784" s="18"/>
    </row>
    <row r="1785" spans="1:29" ht="32.25" hidden="1" customHeight="1">
      <c r="A1785" s="17"/>
      <c r="B1785" s="9" t="s">
        <v>13284</v>
      </c>
      <c r="C1785" s="9" t="s">
        <v>13284</v>
      </c>
      <c r="D1785" s="9" t="s">
        <v>13284</v>
      </c>
      <c r="E1785" s="9" t="s">
        <v>13284</v>
      </c>
      <c r="F1785" s="9" t="s">
        <v>13284</v>
      </c>
      <c r="G1785" s="9" t="s">
        <v>13284</v>
      </c>
      <c r="H1785" s="9" t="s">
        <v>13284</v>
      </c>
      <c r="I1785" s="9" t="s">
        <v>13284</v>
      </c>
      <c r="J1785" s="9" t="s">
        <v>13284</v>
      </c>
      <c r="K1785" s="9" t="s">
        <v>13284</v>
      </c>
      <c r="L1785" s="9" t="s">
        <v>13284</v>
      </c>
      <c r="M1785" s="9" t="s">
        <v>13284</v>
      </c>
      <c r="N1785" s="9" t="s">
        <v>13284</v>
      </c>
      <c r="O1785" s="9" t="s">
        <v>13284</v>
      </c>
      <c r="P1785" s="9" t="s">
        <v>13284</v>
      </c>
      <c r="Q1785" s="9" t="s">
        <v>13284</v>
      </c>
      <c r="R1785" s="9" t="s">
        <v>13284</v>
      </c>
      <c r="S1785" s="9" t="s">
        <v>13284</v>
      </c>
      <c r="T1785" s="9" t="str">
        <f ca="1">IFERROR(IF(AND(VLOOKUP(A1785, 'Актуальное состояние (из общего'!A:C,3,0) = "", A1785 &lt;&gt; ""), "ПРОВЕРИТЬ", VLOOKUP(A1785, 'Актуальное состояние (из общего'!A:C,3,0)), "")</f>
        <v/>
      </c>
      <c r="U1785" s="9" t="s">
        <v>13284</v>
      </c>
      <c r="V1785" s="9" t="s">
        <v>13284</v>
      </c>
      <c r="W1785" s="12"/>
      <c r="X1785" s="9" t="str">
        <f t="array" ref="X1785">IFERROR(INDEX('Адреса общежитий (скрытый)'!$B$2:$B$9, MATCH(W1785, 'Адреса общежитий (скрытый)'!$A$2:$A$9, 0)), "")</f>
        <v/>
      </c>
      <c r="Y1785" s="18"/>
      <c r="Z1785" s="18"/>
      <c r="AA1785" s="18"/>
      <c r="AB1785" s="18"/>
      <c r="AC1785" s="18"/>
    </row>
    <row r="1786" spans="1:29" ht="32.25" hidden="1" customHeight="1">
      <c r="A1786" s="17"/>
      <c r="B1786" s="9" t="s">
        <v>13284</v>
      </c>
      <c r="C1786" s="9" t="s">
        <v>13284</v>
      </c>
      <c r="D1786" s="9" t="s">
        <v>13284</v>
      </c>
      <c r="E1786" s="9" t="s">
        <v>13284</v>
      </c>
      <c r="F1786" s="9" t="s">
        <v>13284</v>
      </c>
      <c r="G1786" s="9" t="s">
        <v>13284</v>
      </c>
      <c r="H1786" s="9" t="s">
        <v>13284</v>
      </c>
      <c r="I1786" s="9" t="s">
        <v>13284</v>
      </c>
      <c r="J1786" s="9" t="s">
        <v>13284</v>
      </c>
      <c r="K1786" s="9" t="s">
        <v>13284</v>
      </c>
      <c r="L1786" s="9" t="s">
        <v>13284</v>
      </c>
      <c r="M1786" s="9" t="s">
        <v>13284</v>
      </c>
      <c r="N1786" s="9" t="s">
        <v>13284</v>
      </c>
      <c r="O1786" s="9" t="s">
        <v>13284</v>
      </c>
      <c r="P1786" s="9" t="s">
        <v>13284</v>
      </c>
      <c r="Q1786" s="9" t="s">
        <v>13284</v>
      </c>
      <c r="R1786" s="9" t="s">
        <v>13284</v>
      </c>
      <c r="S1786" s="9" t="s">
        <v>13284</v>
      </c>
      <c r="T1786" s="9" t="str">
        <f ca="1">IFERROR(IF(AND(VLOOKUP(A1786, 'Актуальное состояние (из общего'!A:C,3,0) = "", A1786 &lt;&gt; ""), "ПРОВЕРИТЬ", VLOOKUP(A1786, 'Актуальное состояние (из общего'!A:C,3,0)), "")</f>
        <v/>
      </c>
      <c r="U1786" s="9" t="s">
        <v>13284</v>
      </c>
      <c r="V1786" s="9" t="s">
        <v>13284</v>
      </c>
      <c r="W1786" s="12"/>
      <c r="X1786" s="9" t="str">
        <f t="array" ref="X1786">IFERROR(INDEX('Адреса общежитий (скрытый)'!$B$2:$B$9, MATCH(W1786, 'Адреса общежитий (скрытый)'!$A$2:$A$9, 0)), "")</f>
        <v/>
      </c>
      <c r="Y1786" s="18"/>
      <c r="Z1786" s="18"/>
      <c r="AA1786" s="18"/>
      <c r="AB1786" s="18"/>
      <c r="AC1786" s="18"/>
    </row>
    <row r="1787" spans="1:29" ht="32.25" hidden="1" customHeight="1">
      <c r="A1787" s="17"/>
      <c r="B1787" s="9" t="s">
        <v>13284</v>
      </c>
      <c r="C1787" s="9" t="s">
        <v>13284</v>
      </c>
      <c r="D1787" s="9" t="s">
        <v>13284</v>
      </c>
      <c r="E1787" s="9" t="s">
        <v>13284</v>
      </c>
      <c r="F1787" s="9" t="s">
        <v>13284</v>
      </c>
      <c r="G1787" s="9" t="s">
        <v>13284</v>
      </c>
      <c r="H1787" s="9" t="s">
        <v>13284</v>
      </c>
      <c r="I1787" s="9" t="s">
        <v>13284</v>
      </c>
      <c r="J1787" s="9" t="s">
        <v>13284</v>
      </c>
      <c r="K1787" s="9" t="s">
        <v>13284</v>
      </c>
      <c r="L1787" s="9" t="s">
        <v>13284</v>
      </c>
      <c r="M1787" s="9" t="s">
        <v>13284</v>
      </c>
      <c r="N1787" s="9" t="s">
        <v>13284</v>
      </c>
      <c r="O1787" s="9" t="s">
        <v>13284</v>
      </c>
      <c r="P1787" s="9" t="s">
        <v>13284</v>
      </c>
      <c r="Q1787" s="9" t="s">
        <v>13284</v>
      </c>
      <c r="R1787" s="9" t="s">
        <v>13284</v>
      </c>
      <c r="S1787" s="9" t="s">
        <v>13284</v>
      </c>
      <c r="T1787" s="9" t="str">
        <f ca="1">IFERROR(IF(AND(VLOOKUP(A1787, 'Актуальное состояние (из общего'!A:C,3,0) = "", A1787 &lt;&gt; ""), "ПРОВЕРИТЬ", VLOOKUP(A1787, 'Актуальное состояние (из общего'!A:C,3,0)), "")</f>
        <v/>
      </c>
      <c r="U1787" s="9" t="s">
        <v>13284</v>
      </c>
      <c r="V1787" s="9" t="s">
        <v>13284</v>
      </c>
      <c r="W1787" s="12"/>
      <c r="X1787" s="9" t="str">
        <f t="array" ref="X1787">IFERROR(INDEX('Адреса общежитий (скрытый)'!$B$2:$B$9, MATCH(W1787, 'Адреса общежитий (скрытый)'!$A$2:$A$9, 0)), "")</f>
        <v/>
      </c>
      <c r="Y1787" s="18"/>
      <c r="Z1787" s="18"/>
      <c r="AA1787" s="18"/>
      <c r="AB1787" s="18"/>
      <c r="AC1787" s="18"/>
    </row>
    <row r="1788" spans="1:29" ht="32.25" hidden="1" customHeight="1">
      <c r="A1788" s="17"/>
      <c r="B1788" s="9" t="s">
        <v>13284</v>
      </c>
      <c r="C1788" s="9" t="s">
        <v>13284</v>
      </c>
      <c r="D1788" s="9" t="s">
        <v>13284</v>
      </c>
      <c r="E1788" s="9" t="s">
        <v>13284</v>
      </c>
      <c r="F1788" s="9" t="s">
        <v>13284</v>
      </c>
      <c r="G1788" s="9" t="s">
        <v>13284</v>
      </c>
      <c r="H1788" s="9" t="s">
        <v>13284</v>
      </c>
      <c r="I1788" s="9" t="s">
        <v>13284</v>
      </c>
      <c r="J1788" s="9" t="s">
        <v>13284</v>
      </c>
      <c r="K1788" s="9" t="s">
        <v>13284</v>
      </c>
      <c r="L1788" s="9" t="s">
        <v>13284</v>
      </c>
      <c r="M1788" s="9" t="s">
        <v>13284</v>
      </c>
      <c r="N1788" s="9" t="s">
        <v>13284</v>
      </c>
      <c r="O1788" s="9" t="s">
        <v>13284</v>
      </c>
      <c r="P1788" s="9" t="s">
        <v>13284</v>
      </c>
      <c r="Q1788" s="9" t="s">
        <v>13284</v>
      </c>
      <c r="R1788" s="9" t="s">
        <v>13284</v>
      </c>
      <c r="S1788" s="9" t="s">
        <v>13284</v>
      </c>
      <c r="T1788" s="9" t="str">
        <f ca="1">IFERROR(IF(AND(VLOOKUP(A1788, 'Актуальное состояние (из общего'!A:C,3,0) = "", A1788 &lt;&gt; ""), "ПРОВЕРИТЬ", VLOOKUP(A1788, 'Актуальное состояние (из общего'!A:C,3,0)), "")</f>
        <v/>
      </c>
      <c r="U1788" s="9" t="s">
        <v>13284</v>
      </c>
      <c r="V1788" s="9" t="s">
        <v>13284</v>
      </c>
      <c r="W1788" s="12"/>
      <c r="X1788" s="9" t="str">
        <f t="array" ref="X1788">IFERROR(INDEX('Адреса общежитий (скрытый)'!$B$2:$B$9, MATCH(W1788, 'Адреса общежитий (скрытый)'!$A$2:$A$9, 0)), "")</f>
        <v/>
      </c>
      <c r="Y1788" s="18"/>
      <c r="Z1788" s="18"/>
      <c r="AA1788" s="18"/>
      <c r="AB1788" s="18"/>
      <c r="AC1788" s="18"/>
    </row>
    <row r="1789" spans="1:29" ht="32.25" hidden="1" customHeight="1">
      <c r="A1789" s="17"/>
      <c r="B1789" s="9" t="s">
        <v>13284</v>
      </c>
      <c r="C1789" s="9" t="s">
        <v>13284</v>
      </c>
      <c r="D1789" s="9" t="s">
        <v>13284</v>
      </c>
      <c r="E1789" s="9" t="s">
        <v>13284</v>
      </c>
      <c r="F1789" s="9" t="s">
        <v>13284</v>
      </c>
      <c r="G1789" s="9" t="s">
        <v>13284</v>
      </c>
      <c r="H1789" s="9" t="s">
        <v>13284</v>
      </c>
      <c r="I1789" s="9" t="s">
        <v>13284</v>
      </c>
      <c r="J1789" s="9" t="s">
        <v>13284</v>
      </c>
      <c r="K1789" s="9" t="s">
        <v>13284</v>
      </c>
      <c r="L1789" s="9" t="s">
        <v>13284</v>
      </c>
      <c r="M1789" s="9" t="s">
        <v>13284</v>
      </c>
      <c r="N1789" s="9" t="s">
        <v>13284</v>
      </c>
      <c r="O1789" s="9" t="s">
        <v>13284</v>
      </c>
      <c r="P1789" s="9" t="s">
        <v>13284</v>
      </c>
      <c r="Q1789" s="9" t="s">
        <v>13284</v>
      </c>
      <c r="R1789" s="9" t="s">
        <v>13284</v>
      </c>
      <c r="S1789" s="9" t="s">
        <v>13284</v>
      </c>
      <c r="T1789" s="9" t="str">
        <f ca="1">IFERROR(IF(AND(VLOOKUP(A1789, 'Актуальное состояние (из общего'!A:C,3,0) = "", A1789 &lt;&gt; ""), "ПРОВЕРИТЬ", VLOOKUP(A1789, 'Актуальное состояние (из общего'!A:C,3,0)), "")</f>
        <v/>
      </c>
      <c r="U1789" s="9" t="s">
        <v>13284</v>
      </c>
      <c r="V1789" s="9" t="s">
        <v>13284</v>
      </c>
      <c r="W1789" s="12"/>
      <c r="X1789" s="9" t="str">
        <f t="array" ref="X1789">IFERROR(INDEX('Адреса общежитий (скрытый)'!$B$2:$B$9, MATCH(W1789, 'Адреса общежитий (скрытый)'!$A$2:$A$9, 0)), "")</f>
        <v/>
      </c>
      <c r="Y1789" s="18"/>
      <c r="Z1789" s="18"/>
      <c r="AA1789" s="18"/>
      <c r="AB1789" s="18"/>
      <c r="AC1789" s="18"/>
    </row>
    <row r="1790" spans="1:29" ht="32.25" hidden="1" customHeight="1">
      <c r="A1790" s="17"/>
      <c r="B1790" s="9" t="s">
        <v>13284</v>
      </c>
      <c r="C1790" s="9" t="s">
        <v>13284</v>
      </c>
      <c r="D1790" s="9" t="s">
        <v>13284</v>
      </c>
      <c r="E1790" s="9" t="s">
        <v>13284</v>
      </c>
      <c r="F1790" s="9" t="s">
        <v>13284</v>
      </c>
      <c r="G1790" s="9" t="s">
        <v>13284</v>
      </c>
      <c r="H1790" s="9" t="s">
        <v>13284</v>
      </c>
      <c r="I1790" s="9" t="s">
        <v>13284</v>
      </c>
      <c r="J1790" s="9" t="s">
        <v>13284</v>
      </c>
      <c r="K1790" s="9" t="s">
        <v>13284</v>
      </c>
      <c r="L1790" s="9" t="s">
        <v>13284</v>
      </c>
      <c r="M1790" s="9" t="s">
        <v>13284</v>
      </c>
      <c r="N1790" s="9" t="s">
        <v>13284</v>
      </c>
      <c r="O1790" s="9" t="s">
        <v>13284</v>
      </c>
      <c r="P1790" s="9" t="s">
        <v>13284</v>
      </c>
      <c r="Q1790" s="9" t="s">
        <v>13284</v>
      </c>
      <c r="R1790" s="9" t="s">
        <v>13284</v>
      </c>
      <c r="S1790" s="9" t="s">
        <v>13284</v>
      </c>
      <c r="T1790" s="9" t="str">
        <f ca="1">IFERROR(IF(AND(VLOOKUP(A1790, 'Актуальное состояние (из общего'!A:C,3,0) = "", A1790 &lt;&gt; ""), "ПРОВЕРИТЬ", VLOOKUP(A1790, 'Актуальное состояние (из общего'!A:C,3,0)), "")</f>
        <v/>
      </c>
      <c r="U1790" s="9" t="s">
        <v>13284</v>
      </c>
      <c r="V1790" s="9" t="s">
        <v>13284</v>
      </c>
      <c r="W1790" s="12"/>
      <c r="X1790" s="9" t="str">
        <f t="array" ref="X1790">IFERROR(INDEX('Адреса общежитий (скрытый)'!$B$2:$B$9, MATCH(W1790, 'Адреса общежитий (скрытый)'!$A$2:$A$9, 0)), "")</f>
        <v/>
      </c>
      <c r="Y1790" s="18"/>
      <c r="Z1790" s="18"/>
      <c r="AA1790" s="18"/>
      <c r="AB1790" s="18"/>
      <c r="AC1790" s="18"/>
    </row>
    <row r="1791" spans="1:29" ht="32.25" hidden="1" customHeight="1">
      <c r="A1791" s="17"/>
      <c r="B1791" s="9" t="s">
        <v>13284</v>
      </c>
      <c r="C1791" s="9" t="s">
        <v>13284</v>
      </c>
      <c r="D1791" s="9" t="s">
        <v>13284</v>
      </c>
      <c r="E1791" s="9" t="s">
        <v>13284</v>
      </c>
      <c r="F1791" s="9" t="s">
        <v>13284</v>
      </c>
      <c r="G1791" s="9" t="s">
        <v>13284</v>
      </c>
      <c r="H1791" s="9" t="s">
        <v>13284</v>
      </c>
      <c r="I1791" s="9" t="s">
        <v>13284</v>
      </c>
      <c r="J1791" s="9" t="s">
        <v>13284</v>
      </c>
      <c r="K1791" s="9" t="s">
        <v>13284</v>
      </c>
      <c r="L1791" s="9" t="s">
        <v>13284</v>
      </c>
      <c r="M1791" s="9" t="s">
        <v>13284</v>
      </c>
      <c r="N1791" s="9" t="s">
        <v>13284</v>
      </c>
      <c r="O1791" s="9" t="s">
        <v>13284</v>
      </c>
      <c r="P1791" s="9" t="s">
        <v>13284</v>
      </c>
      <c r="Q1791" s="9" t="s">
        <v>13284</v>
      </c>
      <c r="R1791" s="9" t="s">
        <v>13284</v>
      </c>
      <c r="S1791" s="9" t="s">
        <v>13284</v>
      </c>
      <c r="T1791" s="9" t="str">
        <f ca="1">IFERROR(IF(AND(VLOOKUP(A1791, 'Актуальное состояние (из общего'!A:C,3,0) = "", A1791 &lt;&gt; ""), "ПРОВЕРИТЬ", VLOOKUP(A1791, 'Актуальное состояние (из общего'!A:C,3,0)), "")</f>
        <v/>
      </c>
      <c r="U1791" s="9" t="s">
        <v>13284</v>
      </c>
      <c r="V1791" s="9" t="s">
        <v>13284</v>
      </c>
      <c r="W1791" s="12"/>
      <c r="X1791" s="9" t="str">
        <f t="array" ref="X1791">IFERROR(INDEX('Адреса общежитий (скрытый)'!$B$2:$B$9, MATCH(W1791, 'Адреса общежитий (скрытый)'!$A$2:$A$9, 0)), "")</f>
        <v/>
      </c>
      <c r="Y1791" s="18"/>
      <c r="Z1791" s="18"/>
      <c r="AA1791" s="18"/>
      <c r="AB1791" s="18"/>
      <c r="AC1791" s="18"/>
    </row>
    <row r="1792" spans="1:29" ht="32.25" hidden="1" customHeight="1">
      <c r="A1792" s="17"/>
      <c r="B1792" s="9" t="s">
        <v>13284</v>
      </c>
      <c r="C1792" s="9" t="s">
        <v>13284</v>
      </c>
      <c r="D1792" s="9" t="s">
        <v>13284</v>
      </c>
      <c r="E1792" s="9" t="s">
        <v>13284</v>
      </c>
      <c r="F1792" s="9" t="s">
        <v>13284</v>
      </c>
      <c r="G1792" s="9" t="s">
        <v>13284</v>
      </c>
      <c r="H1792" s="9" t="s">
        <v>13284</v>
      </c>
      <c r="I1792" s="9" t="s">
        <v>13284</v>
      </c>
      <c r="J1792" s="9" t="s">
        <v>13284</v>
      </c>
      <c r="K1792" s="9" t="s">
        <v>13284</v>
      </c>
      <c r="L1792" s="9" t="s">
        <v>13284</v>
      </c>
      <c r="M1792" s="9" t="s">
        <v>13284</v>
      </c>
      <c r="N1792" s="9" t="s">
        <v>13284</v>
      </c>
      <c r="O1792" s="9" t="s">
        <v>13284</v>
      </c>
      <c r="P1792" s="9" t="s">
        <v>13284</v>
      </c>
      <c r="Q1792" s="9" t="s">
        <v>13284</v>
      </c>
      <c r="R1792" s="9" t="s">
        <v>13284</v>
      </c>
      <c r="S1792" s="9" t="s">
        <v>13284</v>
      </c>
      <c r="T1792" s="9" t="str">
        <f ca="1">IFERROR(IF(AND(VLOOKUP(A1792, 'Актуальное состояние (из общего'!A:C,3,0) = "", A1792 &lt;&gt; ""), "ПРОВЕРИТЬ", VLOOKUP(A1792, 'Актуальное состояние (из общего'!A:C,3,0)), "")</f>
        <v/>
      </c>
      <c r="U1792" s="9" t="s">
        <v>13284</v>
      </c>
      <c r="V1792" s="9" t="s">
        <v>13284</v>
      </c>
      <c r="W1792" s="12"/>
      <c r="X1792" s="9" t="str">
        <f t="array" ref="X1792">IFERROR(INDEX('Адреса общежитий (скрытый)'!$B$2:$B$9, MATCH(W1792, 'Адреса общежитий (скрытый)'!$A$2:$A$9, 0)), "")</f>
        <v/>
      </c>
      <c r="Y1792" s="18"/>
      <c r="Z1792" s="18"/>
      <c r="AA1792" s="18"/>
      <c r="AB1792" s="18"/>
      <c r="AC1792" s="18"/>
    </row>
    <row r="1793" spans="1:29" ht="32.25" hidden="1" customHeight="1">
      <c r="A1793" s="17"/>
      <c r="B1793" s="9" t="s">
        <v>13284</v>
      </c>
      <c r="C1793" s="9" t="s">
        <v>13284</v>
      </c>
      <c r="D1793" s="9" t="s">
        <v>13284</v>
      </c>
      <c r="E1793" s="9" t="s">
        <v>13284</v>
      </c>
      <c r="F1793" s="9" t="s">
        <v>13284</v>
      </c>
      <c r="G1793" s="9" t="s">
        <v>13284</v>
      </c>
      <c r="H1793" s="9" t="s">
        <v>13284</v>
      </c>
      <c r="I1793" s="9" t="s">
        <v>13284</v>
      </c>
      <c r="J1793" s="9" t="s">
        <v>13284</v>
      </c>
      <c r="K1793" s="9" t="s">
        <v>13284</v>
      </c>
      <c r="L1793" s="9" t="s">
        <v>13284</v>
      </c>
      <c r="M1793" s="9" t="s">
        <v>13284</v>
      </c>
      <c r="N1793" s="9" t="s">
        <v>13284</v>
      </c>
      <c r="O1793" s="9" t="s">
        <v>13284</v>
      </c>
      <c r="P1793" s="9" t="s">
        <v>13284</v>
      </c>
      <c r="Q1793" s="9" t="s">
        <v>13284</v>
      </c>
      <c r="R1793" s="9" t="s">
        <v>13284</v>
      </c>
      <c r="S1793" s="9" t="s">
        <v>13284</v>
      </c>
      <c r="T1793" s="9" t="str">
        <f ca="1">IFERROR(IF(AND(VLOOKUP(A1793, 'Актуальное состояние (из общего'!A:C,3,0) = "", A1793 &lt;&gt; ""), "ПРОВЕРИТЬ", VLOOKUP(A1793, 'Актуальное состояние (из общего'!A:C,3,0)), "")</f>
        <v/>
      </c>
      <c r="U1793" s="9" t="s">
        <v>13284</v>
      </c>
      <c r="V1793" s="9" t="s">
        <v>13284</v>
      </c>
      <c r="W1793" s="12"/>
      <c r="X1793" s="9" t="str">
        <f t="array" ref="X1793">IFERROR(INDEX('Адреса общежитий (скрытый)'!$B$2:$B$9, MATCH(W1793, 'Адреса общежитий (скрытый)'!$A$2:$A$9, 0)), "")</f>
        <v/>
      </c>
      <c r="Y1793" s="18"/>
      <c r="Z1793" s="18"/>
      <c r="AA1793" s="18"/>
      <c r="AB1793" s="18"/>
      <c r="AC1793" s="18"/>
    </row>
    <row r="1794" spans="1:29" ht="32.25" hidden="1" customHeight="1">
      <c r="A1794" s="17"/>
      <c r="B1794" s="9" t="s">
        <v>13284</v>
      </c>
      <c r="C1794" s="9" t="s">
        <v>13284</v>
      </c>
      <c r="D1794" s="9" t="s">
        <v>13284</v>
      </c>
      <c r="E1794" s="9" t="s">
        <v>13284</v>
      </c>
      <c r="F1794" s="9" t="s">
        <v>13284</v>
      </c>
      <c r="G1794" s="9" t="s">
        <v>13284</v>
      </c>
      <c r="H1794" s="9" t="s">
        <v>13284</v>
      </c>
      <c r="I1794" s="9" t="s">
        <v>13284</v>
      </c>
      <c r="J1794" s="9" t="s">
        <v>13284</v>
      </c>
      <c r="K1794" s="9" t="s">
        <v>13284</v>
      </c>
      <c r="L1794" s="9" t="s">
        <v>13284</v>
      </c>
      <c r="M1794" s="9" t="s">
        <v>13284</v>
      </c>
      <c r="N1794" s="9" t="s">
        <v>13284</v>
      </c>
      <c r="O1794" s="9" t="s">
        <v>13284</v>
      </c>
      <c r="P1794" s="9" t="s">
        <v>13284</v>
      </c>
      <c r="Q1794" s="9" t="s">
        <v>13284</v>
      </c>
      <c r="R1794" s="9" t="s">
        <v>13284</v>
      </c>
      <c r="S1794" s="9" t="s">
        <v>13284</v>
      </c>
      <c r="T1794" s="9" t="str">
        <f ca="1">IFERROR(IF(AND(VLOOKUP(A1794, 'Актуальное состояние (из общего'!A:C,3,0) = "", A1794 &lt;&gt; ""), "ПРОВЕРИТЬ", VLOOKUP(A1794, 'Актуальное состояние (из общего'!A:C,3,0)), "")</f>
        <v/>
      </c>
      <c r="U1794" s="9" t="s">
        <v>13284</v>
      </c>
      <c r="V1794" s="9" t="s">
        <v>13284</v>
      </c>
      <c r="W1794" s="12"/>
      <c r="X1794" s="9" t="str">
        <f t="array" ref="X1794">IFERROR(INDEX('Адреса общежитий (скрытый)'!$B$2:$B$9, MATCH(W1794, 'Адреса общежитий (скрытый)'!$A$2:$A$9, 0)), "")</f>
        <v/>
      </c>
      <c r="Y1794" s="18"/>
      <c r="Z1794" s="18"/>
      <c r="AA1794" s="18"/>
      <c r="AB1794" s="18"/>
      <c r="AC1794" s="18"/>
    </row>
    <row r="1795" spans="1:29" ht="32.25" hidden="1" customHeight="1">
      <c r="A1795" s="17"/>
      <c r="B1795" s="9" t="s">
        <v>13284</v>
      </c>
      <c r="C1795" s="9" t="s">
        <v>13284</v>
      </c>
      <c r="D1795" s="9" t="s">
        <v>13284</v>
      </c>
      <c r="E1795" s="9" t="s">
        <v>13284</v>
      </c>
      <c r="F1795" s="9" t="s">
        <v>13284</v>
      </c>
      <c r="G1795" s="9" t="s">
        <v>13284</v>
      </c>
      <c r="H1795" s="9" t="s">
        <v>13284</v>
      </c>
      <c r="I1795" s="9" t="s">
        <v>13284</v>
      </c>
      <c r="J1795" s="9" t="s">
        <v>13284</v>
      </c>
      <c r="K1795" s="9" t="s">
        <v>13284</v>
      </c>
      <c r="L1795" s="9" t="s">
        <v>13284</v>
      </c>
      <c r="M1795" s="9" t="s">
        <v>13284</v>
      </c>
      <c r="N1795" s="9" t="s">
        <v>13284</v>
      </c>
      <c r="O1795" s="9" t="s">
        <v>13284</v>
      </c>
      <c r="P1795" s="9" t="s">
        <v>13284</v>
      </c>
      <c r="Q1795" s="9" t="s">
        <v>13284</v>
      </c>
      <c r="R1795" s="9" t="s">
        <v>13284</v>
      </c>
      <c r="S1795" s="9" t="s">
        <v>13284</v>
      </c>
      <c r="T1795" s="9" t="str">
        <f ca="1">IFERROR(IF(AND(VLOOKUP(A1795, 'Актуальное состояние (из общего'!A:C,3,0) = "", A1795 &lt;&gt; ""), "ПРОВЕРИТЬ", VLOOKUP(A1795, 'Актуальное состояние (из общего'!A:C,3,0)), "")</f>
        <v/>
      </c>
      <c r="U1795" s="9" t="s">
        <v>13284</v>
      </c>
      <c r="V1795" s="9" t="s">
        <v>13284</v>
      </c>
      <c r="W1795" s="12"/>
      <c r="X1795" s="9" t="str">
        <f t="array" ref="X1795">IFERROR(INDEX('Адреса общежитий (скрытый)'!$B$2:$B$9, MATCH(W1795, 'Адреса общежитий (скрытый)'!$A$2:$A$9, 0)), "")</f>
        <v/>
      </c>
      <c r="Y1795" s="18"/>
      <c r="Z1795" s="18"/>
      <c r="AA1795" s="18"/>
      <c r="AB1795" s="18"/>
      <c r="AC1795" s="18"/>
    </row>
    <row r="1796" spans="1:29" ht="32.25" hidden="1" customHeight="1">
      <c r="A1796" s="17"/>
      <c r="B1796" s="9" t="s">
        <v>13284</v>
      </c>
      <c r="C1796" s="9" t="s">
        <v>13284</v>
      </c>
      <c r="D1796" s="9" t="s">
        <v>13284</v>
      </c>
      <c r="E1796" s="9" t="s">
        <v>13284</v>
      </c>
      <c r="F1796" s="9" t="s">
        <v>13284</v>
      </c>
      <c r="G1796" s="9" t="s">
        <v>13284</v>
      </c>
      <c r="H1796" s="9" t="s">
        <v>13284</v>
      </c>
      <c r="I1796" s="9" t="s">
        <v>13284</v>
      </c>
      <c r="J1796" s="9" t="s">
        <v>13284</v>
      </c>
      <c r="K1796" s="9" t="s">
        <v>13284</v>
      </c>
      <c r="L1796" s="9" t="s">
        <v>13284</v>
      </c>
      <c r="M1796" s="9" t="s">
        <v>13284</v>
      </c>
      <c r="N1796" s="9" t="s">
        <v>13284</v>
      </c>
      <c r="O1796" s="9" t="s">
        <v>13284</v>
      </c>
      <c r="P1796" s="9" t="s">
        <v>13284</v>
      </c>
      <c r="Q1796" s="9" t="s">
        <v>13284</v>
      </c>
      <c r="R1796" s="9" t="s">
        <v>13284</v>
      </c>
      <c r="S1796" s="9" t="s">
        <v>13284</v>
      </c>
      <c r="T1796" s="9" t="str">
        <f ca="1">IFERROR(IF(AND(VLOOKUP(A1796, 'Актуальное состояние (из общего'!A:C,3,0) = "", A1796 &lt;&gt; ""), "ПРОВЕРИТЬ", VLOOKUP(A1796, 'Актуальное состояние (из общего'!A:C,3,0)), "")</f>
        <v/>
      </c>
      <c r="U1796" s="9" t="s">
        <v>13284</v>
      </c>
      <c r="V1796" s="9" t="s">
        <v>13284</v>
      </c>
      <c r="W1796" s="12"/>
      <c r="X1796" s="9" t="str">
        <f t="array" ref="X1796">IFERROR(INDEX('Адреса общежитий (скрытый)'!$B$2:$B$9, MATCH(W1796, 'Адреса общежитий (скрытый)'!$A$2:$A$9, 0)), "")</f>
        <v/>
      </c>
      <c r="Y1796" s="18"/>
      <c r="Z1796" s="18"/>
      <c r="AA1796" s="18"/>
      <c r="AB1796" s="18"/>
      <c r="AC1796" s="18"/>
    </row>
    <row r="1797" spans="1:29" ht="32.25" hidden="1" customHeight="1">
      <c r="A1797" s="17"/>
      <c r="B1797" s="9" t="s">
        <v>13284</v>
      </c>
      <c r="C1797" s="9" t="s">
        <v>13284</v>
      </c>
      <c r="D1797" s="9" t="s">
        <v>13284</v>
      </c>
      <c r="E1797" s="9" t="s">
        <v>13284</v>
      </c>
      <c r="F1797" s="9" t="s">
        <v>13284</v>
      </c>
      <c r="G1797" s="9" t="s">
        <v>13284</v>
      </c>
      <c r="H1797" s="9" t="s">
        <v>13284</v>
      </c>
      <c r="I1797" s="9" t="s">
        <v>13284</v>
      </c>
      <c r="J1797" s="9" t="s">
        <v>13284</v>
      </c>
      <c r="K1797" s="9" t="s">
        <v>13284</v>
      </c>
      <c r="L1797" s="9" t="s">
        <v>13284</v>
      </c>
      <c r="M1797" s="9" t="s">
        <v>13284</v>
      </c>
      <c r="N1797" s="9" t="s">
        <v>13284</v>
      </c>
      <c r="O1797" s="9" t="s">
        <v>13284</v>
      </c>
      <c r="P1797" s="9" t="s">
        <v>13284</v>
      </c>
      <c r="Q1797" s="9" t="s">
        <v>13284</v>
      </c>
      <c r="R1797" s="9" t="s">
        <v>13284</v>
      </c>
      <c r="S1797" s="9" t="s">
        <v>13284</v>
      </c>
      <c r="T1797" s="9" t="str">
        <f ca="1">IFERROR(IF(AND(VLOOKUP(A1797, 'Актуальное состояние (из общего'!A:C,3,0) = "", A1797 &lt;&gt; ""), "ПРОВЕРИТЬ", VLOOKUP(A1797, 'Актуальное состояние (из общего'!A:C,3,0)), "")</f>
        <v/>
      </c>
      <c r="U1797" s="9" t="s">
        <v>13284</v>
      </c>
      <c r="V1797" s="9" t="s">
        <v>13284</v>
      </c>
      <c r="W1797" s="12"/>
      <c r="X1797" s="9" t="str">
        <f t="array" ref="X1797">IFERROR(INDEX('Адреса общежитий (скрытый)'!$B$2:$B$9, MATCH(W1797, 'Адреса общежитий (скрытый)'!$A$2:$A$9, 0)), "")</f>
        <v/>
      </c>
      <c r="Y1797" s="18"/>
      <c r="Z1797" s="18"/>
      <c r="AA1797" s="18"/>
      <c r="AB1797" s="18"/>
      <c r="AC1797" s="18"/>
    </row>
    <row r="1798" spans="1:29" ht="32.25" hidden="1" customHeight="1">
      <c r="A1798" s="17"/>
      <c r="B1798" s="9" t="s">
        <v>13284</v>
      </c>
      <c r="C1798" s="9" t="s">
        <v>13284</v>
      </c>
      <c r="D1798" s="9" t="s">
        <v>13284</v>
      </c>
      <c r="E1798" s="9" t="s">
        <v>13284</v>
      </c>
      <c r="F1798" s="9" t="s">
        <v>13284</v>
      </c>
      <c r="G1798" s="9" t="s">
        <v>13284</v>
      </c>
      <c r="H1798" s="9" t="s">
        <v>13284</v>
      </c>
      <c r="I1798" s="9" t="s">
        <v>13284</v>
      </c>
      <c r="J1798" s="9" t="s">
        <v>13284</v>
      </c>
      <c r="K1798" s="9" t="s">
        <v>13284</v>
      </c>
      <c r="L1798" s="9" t="s">
        <v>13284</v>
      </c>
      <c r="M1798" s="9" t="s">
        <v>13284</v>
      </c>
      <c r="N1798" s="9" t="s">
        <v>13284</v>
      </c>
      <c r="O1798" s="9" t="s">
        <v>13284</v>
      </c>
      <c r="P1798" s="9" t="s">
        <v>13284</v>
      </c>
      <c r="Q1798" s="9" t="s">
        <v>13284</v>
      </c>
      <c r="R1798" s="9" t="s">
        <v>13284</v>
      </c>
      <c r="S1798" s="9" t="s">
        <v>13284</v>
      </c>
      <c r="T1798" s="9" t="str">
        <f ca="1">IFERROR(IF(AND(VLOOKUP(A1798, 'Актуальное состояние (из общего'!A:C,3,0) = "", A1798 &lt;&gt; ""), "ПРОВЕРИТЬ", VLOOKUP(A1798, 'Актуальное состояние (из общего'!A:C,3,0)), "")</f>
        <v/>
      </c>
      <c r="U1798" s="9" t="s">
        <v>13284</v>
      </c>
      <c r="V1798" s="9" t="s">
        <v>13284</v>
      </c>
      <c r="W1798" s="12"/>
      <c r="X1798" s="9" t="str">
        <f t="array" ref="X1798">IFERROR(INDEX('Адреса общежитий (скрытый)'!$B$2:$B$9, MATCH(W1798, 'Адреса общежитий (скрытый)'!$A$2:$A$9, 0)), "")</f>
        <v/>
      </c>
      <c r="Y1798" s="18"/>
      <c r="Z1798" s="18"/>
      <c r="AA1798" s="18"/>
      <c r="AB1798" s="18"/>
      <c r="AC1798" s="18"/>
    </row>
    <row r="1799" spans="1:29" ht="32.25" hidden="1" customHeight="1">
      <c r="A1799" s="17"/>
      <c r="B1799" s="9" t="s">
        <v>13284</v>
      </c>
      <c r="C1799" s="9" t="s">
        <v>13284</v>
      </c>
      <c r="D1799" s="9" t="s">
        <v>13284</v>
      </c>
      <c r="E1799" s="9" t="s">
        <v>13284</v>
      </c>
      <c r="F1799" s="9" t="s">
        <v>13284</v>
      </c>
      <c r="G1799" s="9" t="s">
        <v>13284</v>
      </c>
      <c r="H1799" s="9" t="s">
        <v>13284</v>
      </c>
      <c r="I1799" s="9" t="s">
        <v>13284</v>
      </c>
      <c r="J1799" s="9" t="s">
        <v>13284</v>
      </c>
      <c r="K1799" s="9" t="s">
        <v>13284</v>
      </c>
      <c r="L1799" s="9" t="s">
        <v>13284</v>
      </c>
      <c r="M1799" s="9" t="s">
        <v>13284</v>
      </c>
      <c r="N1799" s="9" t="s">
        <v>13284</v>
      </c>
      <c r="O1799" s="9" t="s">
        <v>13284</v>
      </c>
      <c r="P1799" s="9" t="s">
        <v>13284</v>
      </c>
      <c r="Q1799" s="9" t="s">
        <v>13284</v>
      </c>
      <c r="R1799" s="9" t="s">
        <v>13284</v>
      </c>
      <c r="S1799" s="9" t="s">
        <v>13284</v>
      </c>
      <c r="T1799" s="9" t="str">
        <f ca="1">IFERROR(IF(AND(VLOOKUP(A1799, 'Актуальное состояние (из общего'!A:C,3,0) = "", A1799 &lt;&gt; ""), "ПРОВЕРИТЬ", VLOOKUP(A1799, 'Актуальное состояние (из общего'!A:C,3,0)), "")</f>
        <v/>
      </c>
      <c r="U1799" s="9" t="s">
        <v>13284</v>
      </c>
      <c r="V1799" s="9" t="s">
        <v>13284</v>
      </c>
      <c r="W1799" s="12"/>
      <c r="X1799" s="9" t="str">
        <f t="array" ref="X1799">IFERROR(INDEX('Адреса общежитий (скрытый)'!$B$2:$B$9, MATCH(W1799, 'Адреса общежитий (скрытый)'!$A$2:$A$9, 0)), "")</f>
        <v/>
      </c>
      <c r="Y1799" s="18"/>
      <c r="Z1799" s="18"/>
      <c r="AA1799" s="18"/>
      <c r="AB1799" s="18"/>
      <c r="AC1799" s="18"/>
    </row>
    <row r="1800" spans="1:29" ht="32.25" hidden="1" customHeight="1">
      <c r="A1800" s="17"/>
      <c r="B1800" s="9" t="s">
        <v>13284</v>
      </c>
      <c r="C1800" s="9" t="s">
        <v>13284</v>
      </c>
      <c r="D1800" s="9" t="s">
        <v>13284</v>
      </c>
      <c r="E1800" s="9" t="s">
        <v>13284</v>
      </c>
      <c r="F1800" s="9" t="s">
        <v>13284</v>
      </c>
      <c r="G1800" s="9" t="s">
        <v>13284</v>
      </c>
      <c r="H1800" s="9" t="s">
        <v>13284</v>
      </c>
      <c r="I1800" s="9" t="s">
        <v>13284</v>
      </c>
      <c r="J1800" s="9" t="s">
        <v>13284</v>
      </c>
      <c r="K1800" s="9" t="s">
        <v>13284</v>
      </c>
      <c r="L1800" s="9" t="s">
        <v>13284</v>
      </c>
      <c r="M1800" s="9" t="s">
        <v>13284</v>
      </c>
      <c r="N1800" s="9" t="s">
        <v>13284</v>
      </c>
      <c r="O1800" s="9" t="s">
        <v>13284</v>
      </c>
      <c r="P1800" s="9" t="s">
        <v>13284</v>
      </c>
      <c r="Q1800" s="9" t="s">
        <v>13284</v>
      </c>
      <c r="R1800" s="9" t="s">
        <v>13284</v>
      </c>
      <c r="S1800" s="9" t="s">
        <v>13284</v>
      </c>
      <c r="T1800" s="9" t="str">
        <f ca="1">IFERROR(IF(AND(VLOOKUP(A1800, 'Актуальное состояние (из общего'!A:C,3,0) = "", A1800 &lt;&gt; ""), "ПРОВЕРИТЬ", VLOOKUP(A1800, 'Актуальное состояние (из общего'!A:C,3,0)), "")</f>
        <v/>
      </c>
      <c r="U1800" s="9" t="s">
        <v>13284</v>
      </c>
      <c r="V1800" s="9" t="s">
        <v>13284</v>
      </c>
      <c r="W1800" s="12"/>
      <c r="X1800" s="9" t="str">
        <f t="array" ref="X1800">IFERROR(INDEX('Адреса общежитий (скрытый)'!$B$2:$B$9, MATCH(W1800, 'Адреса общежитий (скрытый)'!$A$2:$A$9, 0)), "")</f>
        <v/>
      </c>
      <c r="Y1800" s="18"/>
      <c r="Z1800" s="18"/>
      <c r="AA1800" s="18"/>
      <c r="AB1800" s="18"/>
      <c r="AC1800" s="18"/>
    </row>
    <row r="1801" spans="1:29" ht="32.25" hidden="1" customHeight="1">
      <c r="A1801" s="17"/>
      <c r="B1801" s="9" t="s">
        <v>13284</v>
      </c>
      <c r="C1801" s="9" t="s">
        <v>13284</v>
      </c>
      <c r="D1801" s="9" t="s">
        <v>13284</v>
      </c>
      <c r="E1801" s="9" t="s">
        <v>13284</v>
      </c>
      <c r="F1801" s="9" t="s">
        <v>13284</v>
      </c>
      <c r="G1801" s="9" t="s">
        <v>13284</v>
      </c>
      <c r="H1801" s="9" t="s">
        <v>13284</v>
      </c>
      <c r="I1801" s="9" t="s">
        <v>13284</v>
      </c>
      <c r="J1801" s="9" t="s">
        <v>13284</v>
      </c>
      <c r="K1801" s="9" t="s">
        <v>13284</v>
      </c>
      <c r="L1801" s="9" t="s">
        <v>13284</v>
      </c>
      <c r="M1801" s="9" t="s">
        <v>13284</v>
      </c>
      <c r="N1801" s="9" t="s">
        <v>13284</v>
      </c>
      <c r="O1801" s="9" t="s">
        <v>13284</v>
      </c>
      <c r="P1801" s="9" t="s">
        <v>13284</v>
      </c>
      <c r="Q1801" s="9" t="s">
        <v>13284</v>
      </c>
      <c r="R1801" s="9" t="s">
        <v>13284</v>
      </c>
      <c r="S1801" s="9" t="s">
        <v>13284</v>
      </c>
      <c r="T1801" s="9" t="str">
        <f ca="1">IFERROR(IF(AND(VLOOKUP(A1801, 'Актуальное состояние (из общего'!A:C,3,0) = "", A1801 &lt;&gt; ""), "ПРОВЕРИТЬ", VLOOKUP(A1801, 'Актуальное состояние (из общего'!A:C,3,0)), "")</f>
        <v/>
      </c>
      <c r="U1801" s="9" t="s">
        <v>13284</v>
      </c>
      <c r="V1801" s="9" t="s">
        <v>13284</v>
      </c>
      <c r="W1801" s="12"/>
      <c r="X1801" s="9" t="str">
        <f t="array" ref="X1801">IFERROR(INDEX('Адреса общежитий (скрытый)'!$B$2:$B$9, MATCH(W1801, 'Адреса общежитий (скрытый)'!$A$2:$A$9, 0)), "")</f>
        <v/>
      </c>
      <c r="Y1801" s="18"/>
      <c r="Z1801" s="18"/>
      <c r="AA1801" s="18"/>
      <c r="AB1801" s="18"/>
      <c r="AC1801" s="18"/>
    </row>
    <row r="1802" spans="1:29" ht="32.25" hidden="1" customHeight="1">
      <c r="A1802" s="17"/>
      <c r="B1802" s="9" t="s">
        <v>13284</v>
      </c>
      <c r="C1802" s="9" t="s">
        <v>13284</v>
      </c>
      <c r="D1802" s="9" t="s">
        <v>13284</v>
      </c>
      <c r="E1802" s="9" t="s">
        <v>13284</v>
      </c>
      <c r="F1802" s="9" t="s">
        <v>13284</v>
      </c>
      <c r="G1802" s="9" t="s">
        <v>13284</v>
      </c>
      <c r="H1802" s="9" t="s">
        <v>13284</v>
      </c>
      <c r="I1802" s="9" t="s">
        <v>13284</v>
      </c>
      <c r="J1802" s="9" t="s">
        <v>13284</v>
      </c>
      <c r="K1802" s="9" t="s">
        <v>13284</v>
      </c>
      <c r="L1802" s="9" t="s">
        <v>13284</v>
      </c>
      <c r="M1802" s="9" t="s">
        <v>13284</v>
      </c>
      <c r="N1802" s="9" t="s">
        <v>13284</v>
      </c>
      <c r="O1802" s="9" t="s">
        <v>13284</v>
      </c>
      <c r="P1802" s="9" t="s">
        <v>13284</v>
      </c>
      <c r="Q1802" s="9" t="s">
        <v>13284</v>
      </c>
      <c r="R1802" s="9" t="s">
        <v>13284</v>
      </c>
      <c r="S1802" s="9" t="s">
        <v>13284</v>
      </c>
      <c r="T1802" s="9" t="str">
        <f ca="1">IFERROR(IF(AND(VLOOKUP(A1802, 'Актуальное состояние (из общего'!A:C,3,0) = "", A1802 &lt;&gt; ""), "ПРОВЕРИТЬ", VLOOKUP(A1802, 'Актуальное состояние (из общего'!A:C,3,0)), "")</f>
        <v/>
      </c>
      <c r="U1802" s="9" t="s">
        <v>13284</v>
      </c>
      <c r="V1802" s="9" t="s">
        <v>13284</v>
      </c>
      <c r="W1802" s="12"/>
      <c r="X1802" s="9" t="str">
        <f t="array" ref="X1802">IFERROR(INDEX('Адреса общежитий (скрытый)'!$B$2:$B$9, MATCH(W1802, 'Адреса общежитий (скрытый)'!$A$2:$A$9, 0)), "")</f>
        <v/>
      </c>
      <c r="Y1802" s="18"/>
      <c r="Z1802" s="18"/>
      <c r="AA1802" s="18"/>
      <c r="AB1802" s="18"/>
      <c r="AC1802" s="18"/>
    </row>
    <row r="1803" spans="1:29" ht="32.25" hidden="1" customHeight="1">
      <c r="A1803" s="17"/>
      <c r="B1803" s="9" t="s">
        <v>13284</v>
      </c>
      <c r="C1803" s="9" t="s">
        <v>13284</v>
      </c>
      <c r="D1803" s="9" t="s">
        <v>13284</v>
      </c>
      <c r="E1803" s="9" t="s">
        <v>13284</v>
      </c>
      <c r="F1803" s="9" t="s">
        <v>13284</v>
      </c>
      <c r="G1803" s="9" t="s">
        <v>13284</v>
      </c>
      <c r="H1803" s="9" t="s">
        <v>13284</v>
      </c>
      <c r="I1803" s="9" t="s">
        <v>13284</v>
      </c>
      <c r="J1803" s="9" t="s">
        <v>13284</v>
      </c>
      <c r="K1803" s="9" t="s">
        <v>13284</v>
      </c>
      <c r="L1803" s="9" t="s">
        <v>13284</v>
      </c>
      <c r="M1803" s="9" t="s">
        <v>13284</v>
      </c>
      <c r="N1803" s="9" t="s">
        <v>13284</v>
      </c>
      <c r="O1803" s="9" t="s">
        <v>13284</v>
      </c>
      <c r="P1803" s="9" t="s">
        <v>13284</v>
      </c>
      <c r="Q1803" s="9" t="s">
        <v>13284</v>
      </c>
      <c r="R1803" s="9" t="s">
        <v>13284</v>
      </c>
      <c r="S1803" s="9" t="s">
        <v>13284</v>
      </c>
      <c r="T1803" s="9" t="str">
        <f ca="1">IFERROR(IF(AND(VLOOKUP(A1803, 'Актуальное состояние (из общего'!A:C,3,0) = "", A1803 &lt;&gt; ""), "ПРОВЕРИТЬ", VLOOKUP(A1803, 'Актуальное состояние (из общего'!A:C,3,0)), "")</f>
        <v/>
      </c>
      <c r="U1803" s="9" t="s">
        <v>13284</v>
      </c>
      <c r="V1803" s="9" t="s">
        <v>13284</v>
      </c>
      <c r="W1803" s="12"/>
      <c r="X1803" s="9" t="str">
        <f t="array" ref="X1803">IFERROR(INDEX('Адреса общежитий (скрытый)'!$B$2:$B$9, MATCH(W1803, 'Адреса общежитий (скрытый)'!$A$2:$A$9, 0)), "")</f>
        <v/>
      </c>
      <c r="Y1803" s="18"/>
      <c r="Z1803" s="18"/>
      <c r="AA1803" s="18"/>
      <c r="AB1803" s="18"/>
      <c r="AC1803" s="18"/>
    </row>
    <row r="1804" spans="1:29" ht="32.25" hidden="1" customHeight="1">
      <c r="A1804" s="17"/>
      <c r="B1804" s="9" t="s">
        <v>13284</v>
      </c>
      <c r="C1804" s="9" t="s">
        <v>13284</v>
      </c>
      <c r="D1804" s="9" t="s">
        <v>13284</v>
      </c>
      <c r="E1804" s="9" t="s">
        <v>13284</v>
      </c>
      <c r="F1804" s="9" t="s">
        <v>13284</v>
      </c>
      <c r="G1804" s="9" t="s">
        <v>13284</v>
      </c>
      <c r="H1804" s="9" t="s">
        <v>13284</v>
      </c>
      <c r="I1804" s="9" t="s">
        <v>13284</v>
      </c>
      <c r="J1804" s="9" t="s">
        <v>13284</v>
      </c>
      <c r="K1804" s="9" t="s">
        <v>13284</v>
      </c>
      <c r="L1804" s="9" t="s">
        <v>13284</v>
      </c>
      <c r="M1804" s="9" t="s">
        <v>13284</v>
      </c>
      <c r="N1804" s="9" t="s">
        <v>13284</v>
      </c>
      <c r="O1804" s="9" t="s">
        <v>13284</v>
      </c>
      <c r="P1804" s="9" t="s">
        <v>13284</v>
      </c>
      <c r="Q1804" s="9" t="s">
        <v>13284</v>
      </c>
      <c r="R1804" s="9" t="s">
        <v>13284</v>
      </c>
      <c r="S1804" s="9" t="s">
        <v>13284</v>
      </c>
      <c r="T1804" s="9" t="str">
        <f ca="1">IFERROR(IF(AND(VLOOKUP(A1804, 'Актуальное состояние (из общего'!A:C,3,0) = "", A1804 &lt;&gt; ""), "ПРОВЕРИТЬ", VLOOKUP(A1804, 'Актуальное состояние (из общего'!A:C,3,0)), "")</f>
        <v/>
      </c>
      <c r="U1804" s="9" t="s">
        <v>13284</v>
      </c>
      <c r="V1804" s="9" t="s">
        <v>13284</v>
      </c>
      <c r="W1804" s="12"/>
      <c r="X1804" s="9" t="str">
        <f t="array" ref="X1804">IFERROR(INDEX('Адреса общежитий (скрытый)'!$B$2:$B$9, MATCH(W1804, 'Адреса общежитий (скрытый)'!$A$2:$A$9, 0)), "")</f>
        <v/>
      </c>
      <c r="Y1804" s="18"/>
      <c r="Z1804" s="18"/>
      <c r="AA1804" s="18"/>
      <c r="AB1804" s="18"/>
      <c r="AC1804" s="18"/>
    </row>
    <row r="1805" spans="1:29" ht="32.25" hidden="1" customHeight="1">
      <c r="A1805" s="17"/>
      <c r="B1805" s="9" t="s">
        <v>13284</v>
      </c>
      <c r="C1805" s="9" t="s">
        <v>13284</v>
      </c>
      <c r="D1805" s="9" t="s">
        <v>13284</v>
      </c>
      <c r="E1805" s="9" t="s">
        <v>13284</v>
      </c>
      <c r="F1805" s="9" t="s">
        <v>13284</v>
      </c>
      <c r="G1805" s="9" t="s">
        <v>13284</v>
      </c>
      <c r="H1805" s="9" t="s">
        <v>13284</v>
      </c>
      <c r="I1805" s="9" t="s">
        <v>13284</v>
      </c>
      <c r="J1805" s="9" t="s">
        <v>13284</v>
      </c>
      <c r="K1805" s="9" t="s">
        <v>13284</v>
      </c>
      <c r="L1805" s="9" t="s">
        <v>13284</v>
      </c>
      <c r="M1805" s="9" t="s">
        <v>13284</v>
      </c>
      <c r="N1805" s="9" t="s">
        <v>13284</v>
      </c>
      <c r="O1805" s="9" t="s">
        <v>13284</v>
      </c>
      <c r="P1805" s="9" t="s">
        <v>13284</v>
      </c>
      <c r="Q1805" s="9" t="s">
        <v>13284</v>
      </c>
      <c r="R1805" s="9" t="s">
        <v>13284</v>
      </c>
      <c r="S1805" s="9" t="s">
        <v>13284</v>
      </c>
      <c r="T1805" s="9" t="str">
        <f ca="1">IFERROR(IF(AND(VLOOKUP(A1805, 'Актуальное состояние (из общего'!A:C,3,0) = "", A1805 &lt;&gt; ""), "ПРОВЕРИТЬ", VLOOKUP(A1805, 'Актуальное состояние (из общего'!A:C,3,0)), "")</f>
        <v/>
      </c>
      <c r="U1805" s="9" t="s">
        <v>13284</v>
      </c>
      <c r="V1805" s="9" t="s">
        <v>13284</v>
      </c>
      <c r="W1805" s="12"/>
      <c r="X1805" s="9" t="str">
        <f t="array" ref="X1805">IFERROR(INDEX('Адреса общежитий (скрытый)'!$B$2:$B$9, MATCH(W1805, 'Адреса общежитий (скрытый)'!$A$2:$A$9, 0)), "")</f>
        <v/>
      </c>
      <c r="Y1805" s="18"/>
      <c r="Z1805" s="18"/>
      <c r="AA1805" s="18"/>
      <c r="AB1805" s="18"/>
      <c r="AC1805" s="18"/>
    </row>
    <row r="1806" spans="1:29" ht="32.25" hidden="1" customHeight="1">
      <c r="A1806" s="17"/>
      <c r="B1806" s="9" t="s">
        <v>13284</v>
      </c>
      <c r="C1806" s="9" t="s">
        <v>13284</v>
      </c>
      <c r="D1806" s="9" t="s">
        <v>13284</v>
      </c>
      <c r="E1806" s="9" t="s">
        <v>13284</v>
      </c>
      <c r="F1806" s="9" t="s">
        <v>13284</v>
      </c>
      <c r="G1806" s="9" t="s">
        <v>13284</v>
      </c>
      <c r="H1806" s="9" t="s">
        <v>13284</v>
      </c>
      <c r="I1806" s="9" t="s">
        <v>13284</v>
      </c>
      <c r="J1806" s="9" t="s">
        <v>13284</v>
      </c>
      <c r="K1806" s="9" t="s">
        <v>13284</v>
      </c>
      <c r="L1806" s="9" t="s">
        <v>13284</v>
      </c>
      <c r="M1806" s="9" t="s">
        <v>13284</v>
      </c>
      <c r="N1806" s="9" t="s">
        <v>13284</v>
      </c>
      <c r="O1806" s="9" t="s">
        <v>13284</v>
      </c>
      <c r="P1806" s="9" t="s">
        <v>13284</v>
      </c>
      <c r="Q1806" s="9" t="s">
        <v>13284</v>
      </c>
      <c r="R1806" s="9" t="s">
        <v>13284</v>
      </c>
      <c r="S1806" s="9" t="s">
        <v>13284</v>
      </c>
      <c r="T1806" s="9" t="str">
        <f ca="1">IFERROR(IF(AND(VLOOKUP(A1806, 'Актуальное состояние (из общего'!A:C,3,0) = "", A1806 &lt;&gt; ""), "ПРОВЕРИТЬ", VLOOKUP(A1806, 'Актуальное состояние (из общего'!A:C,3,0)), "")</f>
        <v/>
      </c>
      <c r="U1806" s="9" t="s">
        <v>13284</v>
      </c>
      <c r="V1806" s="9" t="s">
        <v>13284</v>
      </c>
      <c r="W1806" s="12"/>
      <c r="X1806" s="9" t="str">
        <f t="array" ref="X1806">IFERROR(INDEX('Адреса общежитий (скрытый)'!$B$2:$B$9, MATCH(W1806, 'Адреса общежитий (скрытый)'!$A$2:$A$9, 0)), "")</f>
        <v/>
      </c>
      <c r="Y1806" s="18"/>
      <c r="Z1806" s="18"/>
      <c r="AA1806" s="18"/>
      <c r="AB1806" s="18"/>
      <c r="AC1806" s="18"/>
    </row>
    <row r="1807" spans="1:29" ht="32.25" hidden="1" customHeight="1">
      <c r="A1807" s="17"/>
      <c r="B1807" s="9" t="s">
        <v>13284</v>
      </c>
      <c r="C1807" s="9" t="s">
        <v>13284</v>
      </c>
      <c r="D1807" s="9" t="s">
        <v>13284</v>
      </c>
      <c r="E1807" s="9" t="s">
        <v>13284</v>
      </c>
      <c r="F1807" s="9" t="s">
        <v>13284</v>
      </c>
      <c r="G1807" s="9" t="s">
        <v>13284</v>
      </c>
      <c r="H1807" s="9" t="s">
        <v>13284</v>
      </c>
      <c r="I1807" s="9" t="s">
        <v>13284</v>
      </c>
      <c r="J1807" s="9" t="s">
        <v>13284</v>
      </c>
      <c r="K1807" s="9" t="s">
        <v>13284</v>
      </c>
      <c r="L1807" s="9" t="s">
        <v>13284</v>
      </c>
      <c r="M1807" s="9" t="s">
        <v>13284</v>
      </c>
      <c r="N1807" s="9" t="s">
        <v>13284</v>
      </c>
      <c r="O1807" s="9" t="s">
        <v>13284</v>
      </c>
      <c r="P1807" s="9" t="s">
        <v>13284</v>
      </c>
      <c r="Q1807" s="9" t="s">
        <v>13284</v>
      </c>
      <c r="R1807" s="9" t="s">
        <v>13284</v>
      </c>
      <c r="S1807" s="9" t="s">
        <v>13284</v>
      </c>
      <c r="T1807" s="9" t="str">
        <f ca="1">IFERROR(IF(AND(VLOOKUP(A1807, 'Актуальное состояние (из общего'!A:C,3,0) = "", A1807 &lt;&gt; ""), "ПРОВЕРИТЬ", VLOOKUP(A1807, 'Актуальное состояние (из общего'!A:C,3,0)), "")</f>
        <v/>
      </c>
      <c r="U1807" s="9" t="s">
        <v>13284</v>
      </c>
      <c r="V1807" s="9" t="s">
        <v>13284</v>
      </c>
      <c r="W1807" s="12"/>
      <c r="X1807" s="9" t="str">
        <f t="array" ref="X1807">IFERROR(INDEX('Адреса общежитий (скрытый)'!$B$2:$B$9, MATCH(W1807, 'Адреса общежитий (скрытый)'!$A$2:$A$9, 0)), "")</f>
        <v/>
      </c>
      <c r="Y1807" s="18"/>
      <c r="Z1807" s="18"/>
      <c r="AA1807" s="18"/>
      <c r="AB1807" s="18"/>
      <c r="AC1807" s="18"/>
    </row>
    <row r="1808" spans="1:29" ht="32.25" hidden="1" customHeight="1">
      <c r="A1808" s="17"/>
      <c r="B1808" s="9" t="s">
        <v>13284</v>
      </c>
      <c r="C1808" s="9" t="s">
        <v>13284</v>
      </c>
      <c r="D1808" s="9" t="s">
        <v>13284</v>
      </c>
      <c r="E1808" s="9" t="s">
        <v>13284</v>
      </c>
      <c r="F1808" s="9" t="s">
        <v>13284</v>
      </c>
      <c r="G1808" s="9" t="s">
        <v>13284</v>
      </c>
      <c r="H1808" s="9" t="s">
        <v>13284</v>
      </c>
      <c r="I1808" s="9" t="s">
        <v>13284</v>
      </c>
      <c r="J1808" s="9" t="s">
        <v>13284</v>
      </c>
      <c r="K1808" s="9" t="s">
        <v>13284</v>
      </c>
      <c r="L1808" s="9" t="s">
        <v>13284</v>
      </c>
      <c r="M1808" s="9" t="s">
        <v>13284</v>
      </c>
      <c r="N1808" s="9" t="s">
        <v>13284</v>
      </c>
      <c r="O1808" s="9" t="s">
        <v>13284</v>
      </c>
      <c r="P1808" s="9" t="s">
        <v>13284</v>
      </c>
      <c r="Q1808" s="9" t="s">
        <v>13284</v>
      </c>
      <c r="R1808" s="9" t="s">
        <v>13284</v>
      </c>
      <c r="S1808" s="9" t="s">
        <v>13284</v>
      </c>
      <c r="T1808" s="9" t="str">
        <f ca="1">IFERROR(IF(AND(VLOOKUP(A1808, 'Актуальное состояние (из общего'!A:C,3,0) = "", A1808 &lt;&gt; ""), "ПРОВЕРИТЬ", VLOOKUP(A1808, 'Актуальное состояние (из общего'!A:C,3,0)), "")</f>
        <v/>
      </c>
      <c r="U1808" s="9" t="s">
        <v>13284</v>
      </c>
      <c r="V1808" s="9" t="s">
        <v>13284</v>
      </c>
      <c r="W1808" s="12"/>
      <c r="X1808" s="9" t="str">
        <f t="array" ref="X1808">IFERROR(INDEX('Адреса общежитий (скрытый)'!$B$2:$B$9, MATCH(W1808, 'Адреса общежитий (скрытый)'!$A$2:$A$9, 0)), "")</f>
        <v/>
      </c>
      <c r="Y1808" s="18"/>
      <c r="Z1808" s="18"/>
      <c r="AA1808" s="18"/>
      <c r="AB1808" s="18"/>
      <c r="AC1808" s="18"/>
    </row>
    <row r="1809" spans="1:29" ht="32.25" hidden="1" customHeight="1">
      <c r="A1809" s="17"/>
      <c r="B1809" s="9" t="s">
        <v>13284</v>
      </c>
      <c r="C1809" s="9" t="s">
        <v>13284</v>
      </c>
      <c r="D1809" s="9" t="s">
        <v>13284</v>
      </c>
      <c r="E1809" s="9" t="s">
        <v>13284</v>
      </c>
      <c r="F1809" s="9" t="s">
        <v>13284</v>
      </c>
      <c r="G1809" s="9" t="s">
        <v>13284</v>
      </c>
      <c r="H1809" s="9" t="s">
        <v>13284</v>
      </c>
      <c r="I1809" s="9" t="s">
        <v>13284</v>
      </c>
      <c r="J1809" s="9" t="s">
        <v>13284</v>
      </c>
      <c r="K1809" s="9" t="s">
        <v>13284</v>
      </c>
      <c r="L1809" s="9" t="s">
        <v>13284</v>
      </c>
      <c r="M1809" s="9" t="s">
        <v>13284</v>
      </c>
      <c r="N1809" s="9" t="s">
        <v>13284</v>
      </c>
      <c r="O1809" s="9" t="s">
        <v>13284</v>
      </c>
      <c r="P1809" s="9" t="s">
        <v>13284</v>
      </c>
      <c r="Q1809" s="9" t="s">
        <v>13284</v>
      </c>
      <c r="R1809" s="9" t="s">
        <v>13284</v>
      </c>
      <c r="S1809" s="9" t="s">
        <v>13284</v>
      </c>
      <c r="T1809" s="9" t="str">
        <f ca="1">IFERROR(IF(AND(VLOOKUP(A1809, 'Актуальное состояние (из общего'!A:C,3,0) = "", A1809 &lt;&gt; ""), "ПРОВЕРИТЬ", VLOOKUP(A1809, 'Актуальное состояние (из общего'!A:C,3,0)), "")</f>
        <v/>
      </c>
      <c r="U1809" s="9" t="s">
        <v>13284</v>
      </c>
      <c r="V1809" s="9" t="s">
        <v>13284</v>
      </c>
      <c r="W1809" s="12"/>
      <c r="X1809" s="9" t="str">
        <f t="array" ref="X1809">IFERROR(INDEX('Адреса общежитий (скрытый)'!$B$2:$B$9, MATCH(W1809, 'Адреса общежитий (скрытый)'!$A$2:$A$9, 0)), "")</f>
        <v/>
      </c>
      <c r="Y1809" s="18"/>
      <c r="Z1809" s="18"/>
      <c r="AA1809" s="18"/>
      <c r="AB1809" s="18"/>
      <c r="AC1809" s="18"/>
    </row>
    <row r="1810" spans="1:29" ht="32.25" hidden="1" customHeight="1">
      <c r="A1810" s="17"/>
      <c r="B1810" s="9" t="s">
        <v>13284</v>
      </c>
      <c r="C1810" s="9" t="s">
        <v>13284</v>
      </c>
      <c r="D1810" s="9" t="s">
        <v>13284</v>
      </c>
      <c r="E1810" s="9" t="s">
        <v>13284</v>
      </c>
      <c r="F1810" s="9" t="s">
        <v>13284</v>
      </c>
      <c r="G1810" s="9" t="s">
        <v>13284</v>
      </c>
      <c r="H1810" s="9" t="s">
        <v>13284</v>
      </c>
      <c r="I1810" s="9" t="s">
        <v>13284</v>
      </c>
      <c r="J1810" s="9" t="s">
        <v>13284</v>
      </c>
      <c r="K1810" s="9" t="s">
        <v>13284</v>
      </c>
      <c r="L1810" s="9" t="s">
        <v>13284</v>
      </c>
      <c r="M1810" s="9" t="s">
        <v>13284</v>
      </c>
      <c r="N1810" s="9" t="s">
        <v>13284</v>
      </c>
      <c r="O1810" s="9" t="s">
        <v>13284</v>
      </c>
      <c r="P1810" s="9" t="s">
        <v>13284</v>
      </c>
      <c r="Q1810" s="9" t="s">
        <v>13284</v>
      </c>
      <c r="R1810" s="9" t="s">
        <v>13284</v>
      </c>
      <c r="S1810" s="9" t="s">
        <v>13284</v>
      </c>
      <c r="T1810" s="9" t="str">
        <f ca="1">IFERROR(IF(AND(VLOOKUP(A1810, 'Актуальное состояние (из общего'!A:C,3,0) = "", A1810 &lt;&gt; ""), "ПРОВЕРИТЬ", VLOOKUP(A1810, 'Актуальное состояние (из общего'!A:C,3,0)), "")</f>
        <v/>
      </c>
      <c r="U1810" s="9" t="s">
        <v>13284</v>
      </c>
      <c r="V1810" s="9" t="s">
        <v>13284</v>
      </c>
      <c r="W1810" s="12"/>
      <c r="X1810" s="9" t="str">
        <f t="array" ref="X1810">IFERROR(INDEX('Адреса общежитий (скрытый)'!$B$2:$B$9, MATCH(W1810, 'Адреса общежитий (скрытый)'!$A$2:$A$9, 0)), "")</f>
        <v/>
      </c>
      <c r="Y1810" s="18"/>
      <c r="Z1810" s="18"/>
      <c r="AA1810" s="18"/>
      <c r="AB1810" s="18"/>
      <c r="AC1810" s="18"/>
    </row>
    <row r="1811" spans="1:29" ht="32.25" hidden="1" customHeight="1">
      <c r="A1811" s="17"/>
      <c r="B1811" s="9" t="s">
        <v>13284</v>
      </c>
      <c r="C1811" s="9" t="s">
        <v>13284</v>
      </c>
      <c r="D1811" s="9" t="s">
        <v>13284</v>
      </c>
      <c r="E1811" s="9" t="s">
        <v>13284</v>
      </c>
      <c r="F1811" s="9" t="s">
        <v>13284</v>
      </c>
      <c r="G1811" s="9" t="s">
        <v>13284</v>
      </c>
      <c r="H1811" s="9" t="s">
        <v>13284</v>
      </c>
      <c r="I1811" s="9" t="s">
        <v>13284</v>
      </c>
      <c r="J1811" s="9" t="s">
        <v>13284</v>
      </c>
      <c r="K1811" s="9" t="s">
        <v>13284</v>
      </c>
      <c r="L1811" s="9" t="s">
        <v>13284</v>
      </c>
      <c r="M1811" s="9" t="s">
        <v>13284</v>
      </c>
      <c r="N1811" s="9" t="s">
        <v>13284</v>
      </c>
      <c r="O1811" s="9" t="s">
        <v>13284</v>
      </c>
      <c r="P1811" s="9" t="s">
        <v>13284</v>
      </c>
      <c r="Q1811" s="9" t="s">
        <v>13284</v>
      </c>
      <c r="R1811" s="9" t="s">
        <v>13284</v>
      </c>
      <c r="S1811" s="9" t="s">
        <v>13284</v>
      </c>
      <c r="T1811" s="9" t="str">
        <f ca="1">IFERROR(IF(AND(VLOOKUP(A1811, 'Актуальное состояние (из общего'!A:C,3,0) = "", A1811 &lt;&gt; ""), "ПРОВЕРИТЬ", VLOOKUP(A1811, 'Актуальное состояние (из общего'!A:C,3,0)), "")</f>
        <v/>
      </c>
      <c r="U1811" s="9" t="s">
        <v>13284</v>
      </c>
      <c r="V1811" s="9" t="s">
        <v>13284</v>
      </c>
      <c r="W1811" s="12"/>
      <c r="X1811" s="9" t="str">
        <f t="array" ref="X1811">IFERROR(INDEX('Адреса общежитий (скрытый)'!$B$2:$B$9, MATCH(W1811, 'Адреса общежитий (скрытый)'!$A$2:$A$9, 0)), "")</f>
        <v/>
      </c>
      <c r="Y1811" s="18"/>
      <c r="Z1811" s="18"/>
      <c r="AA1811" s="18"/>
      <c r="AB1811" s="18"/>
      <c r="AC1811" s="18"/>
    </row>
    <row r="1812" spans="1:29" ht="32.25" hidden="1" customHeight="1">
      <c r="A1812" s="17"/>
      <c r="B1812" s="9" t="s">
        <v>13284</v>
      </c>
      <c r="C1812" s="9" t="s">
        <v>13284</v>
      </c>
      <c r="D1812" s="9" t="s">
        <v>13284</v>
      </c>
      <c r="E1812" s="9" t="s">
        <v>13284</v>
      </c>
      <c r="F1812" s="9" t="s">
        <v>13284</v>
      </c>
      <c r="G1812" s="9" t="s">
        <v>13284</v>
      </c>
      <c r="H1812" s="9" t="s">
        <v>13284</v>
      </c>
      <c r="I1812" s="9" t="s">
        <v>13284</v>
      </c>
      <c r="J1812" s="9" t="s">
        <v>13284</v>
      </c>
      <c r="K1812" s="9" t="s">
        <v>13284</v>
      </c>
      <c r="L1812" s="9" t="s">
        <v>13284</v>
      </c>
      <c r="M1812" s="9" t="s">
        <v>13284</v>
      </c>
      <c r="N1812" s="9" t="s">
        <v>13284</v>
      </c>
      <c r="O1812" s="9" t="s">
        <v>13284</v>
      </c>
      <c r="P1812" s="9" t="s">
        <v>13284</v>
      </c>
      <c r="Q1812" s="9" t="s">
        <v>13284</v>
      </c>
      <c r="R1812" s="9" t="s">
        <v>13284</v>
      </c>
      <c r="S1812" s="9" t="s">
        <v>13284</v>
      </c>
      <c r="T1812" s="9" t="str">
        <f ca="1">IFERROR(IF(AND(VLOOKUP(A1812, 'Актуальное состояние (из общего'!A:C,3,0) = "", A1812 &lt;&gt; ""), "ПРОВЕРИТЬ", VLOOKUP(A1812, 'Актуальное состояние (из общего'!A:C,3,0)), "")</f>
        <v/>
      </c>
      <c r="U1812" s="9" t="s">
        <v>13284</v>
      </c>
      <c r="V1812" s="9" t="s">
        <v>13284</v>
      </c>
      <c r="W1812" s="12"/>
      <c r="X1812" s="9" t="str">
        <f t="array" ref="X1812">IFERROR(INDEX('Адреса общежитий (скрытый)'!$B$2:$B$9, MATCH(W1812, 'Адреса общежитий (скрытый)'!$A$2:$A$9, 0)), "")</f>
        <v/>
      </c>
      <c r="Y1812" s="18"/>
      <c r="Z1812" s="18"/>
      <c r="AA1812" s="18"/>
      <c r="AB1812" s="18"/>
      <c r="AC1812" s="18"/>
    </row>
    <row r="1813" spans="1:29" ht="32.25" hidden="1" customHeight="1">
      <c r="A1813" s="17"/>
      <c r="B1813" s="9" t="s">
        <v>13284</v>
      </c>
      <c r="C1813" s="9" t="s">
        <v>13284</v>
      </c>
      <c r="D1813" s="9" t="s">
        <v>13284</v>
      </c>
      <c r="E1813" s="9" t="s">
        <v>13284</v>
      </c>
      <c r="F1813" s="9" t="s">
        <v>13284</v>
      </c>
      <c r="G1813" s="9" t="s">
        <v>13284</v>
      </c>
      <c r="H1813" s="9" t="s">
        <v>13284</v>
      </c>
      <c r="I1813" s="9" t="s">
        <v>13284</v>
      </c>
      <c r="J1813" s="9" t="s">
        <v>13284</v>
      </c>
      <c r="K1813" s="9" t="s">
        <v>13284</v>
      </c>
      <c r="L1813" s="9" t="s">
        <v>13284</v>
      </c>
      <c r="M1813" s="9" t="s">
        <v>13284</v>
      </c>
      <c r="N1813" s="9" t="s">
        <v>13284</v>
      </c>
      <c r="O1813" s="9" t="s">
        <v>13284</v>
      </c>
      <c r="P1813" s="9" t="s">
        <v>13284</v>
      </c>
      <c r="Q1813" s="9" t="s">
        <v>13284</v>
      </c>
      <c r="R1813" s="9" t="s">
        <v>13284</v>
      </c>
      <c r="S1813" s="9" t="s">
        <v>13284</v>
      </c>
      <c r="T1813" s="9" t="str">
        <f ca="1">IFERROR(IF(AND(VLOOKUP(A1813, 'Актуальное состояние (из общего'!A:C,3,0) = "", A1813 &lt;&gt; ""), "ПРОВЕРИТЬ", VLOOKUP(A1813, 'Актуальное состояние (из общего'!A:C,3,0)), "")</f>
        <v/>
      </c>
      <c r="U1813" s="9" t="s">
        <v>13284</v>
      </c>
      <c r="V1813" s="9" t="s">
        <v>13284</v>
      </c>
      <c r="W1813" s="12"/>
      <c r="X1813" s="9" t="str">
        <f t="array" ref="X1813">IFERROR(INDEX('Адреса общежитий (скрытый)'!$B$2:$B$9, MATCH(W1813, 'Адреса общежитий (скрытый)'!$A$2:$A$9, 0)), "")</f>
        <v/>
      </c>
      <c r="Y1813" s="18"/>
      <c r="Z1813" s="18"/>
      <c r="AA1813" s="18"/>
      <c r="AB1813" s="18"/>
      <c r="AC1813" s="18"/>
    </row>
    <row r="1814" spans="1:29" ht="32.25" hidden="1" customHeight="1">
      <c r="A1814" s="17"/>
      <c r="B1814" s="9" t="s">
        <v>13284</v>
      </c>
      <c r="C1814" s="9" t="s">
        <v>13284</v>
      </c>
      <c r="D1814" s="9" t="s">
        <v>13284</v>
      </c>
      <c r="E1814" s="9" t="s">
        <v>13284</v>
      </c>
      <c r="F1814" s="9" t="s">
        <v>13284</v>
      </c>
      <c r="G1814" s="9" t="s">
        <v>13284</v>
      </c>
      <c r="H1814" s="9" t="s">
        <v>13284</v>
      </c>
      <c r="I1814" s="9" t="s">
        <v>13284</v>
      </c>
      <c r="J1814" s="9" t="s">
        <v>13284</v>
      </c>
      <c r="K1814" s="9" t="s">
        <v>13284</v>
      </c>
      <c r="L1814" s="9" t="s">
        <v>13284</v>
      </c>
      <c r="M1814" s="9" t="s">
        <v>13284</v>
      </c>
      <c r="N1814" s="9" t="s">
        <v>13284</v>
      </c>
      <c r="O1814" s="9" t="s">
        <v>13284</v>
      </c>
      <c r="P1814" s="9" t="s">
        <v>13284</v>
      </c>
      <c r="Q1814" s="9" t="s">
        <v>13284</v>
      </c>
      <c r="R1814" s="9" t="s">
        <v>13284</v>
      </c>
      <c r="S1814" s="9" t="s">
        <v>13284</v>
      </c>
      <c r="T1814" s="9" t="str">
        <f ca="1">IFERROR(IF(AND(VLOOKUP(A1814, 'Актуальное состояние (из общего'!A:C,3,0) = "", A1814 &lt;&gt; ""), "ПРОВЕРИТЬ", VLOOKUP(A1814, 'Актуальное состояние (из общего'!A:C,3,0)), "")</f>
        <v/>
      </c>
      <c r="U1814" s="9" t="s">
        <v>13284</v>
      </c>
      <c r="V1814" s="9" t="s">
        <v>13284</v>
      </c>
      <c r="W1814" s="12"/>
      <c r="X1814" s="9" t="str">
        <f t="array" ref="X1814">IFERROR(INDEX('Адреса общежитий (скрытый)'!$B$2:$B$9, MATCH(W1814, 'Адреса общежитий (скрытый)'!$A$2:$A$9, 0)), "")</f>
        <v/>
      </c>
      <c r="Y1814" s="18"/>
      <c r="Z1814" s="18"/>
      <c r="AA1814" s="18"/>
      <c r="AB1814" s="18"/>
      <c r="AC1814" s="18"/>
    </row>
    <row r="1815" spans="1:29" ht="32.25" hidden="1" customHeight="1">
      <c r="A1815" s="17"/>
      <c r="B1815" s="9" t="s">
        <v>13284</v>
      </c>
      <c r="C1815" s="9" t="s">
        <v>13284</v>
      </c>
      <c r="D1815" s="9" t="s">
        <v>13284</v>
      </c>
      <c r="E1815" s="9" t="s">
        <v>13284</v>
      </c>
      <c r="F1815" s="9" t="s">
        <v>13284</v>
      </c>
      <c r="G1815" s="9" t="s">
        <v>13284</v>
      </c>
      <c r="H1815" s="9" t="s">
        <v>13284</v>
      </c>
      <c r="I1815" s="9" t="s">
        <v>13284</v>
      </c>
      <c r="J1815" s="9" t="s">
        <v>13284</v>
      </c>
      <c r="K1815" s="9" t="s">
        <v>13284</v>
      </c>
      <c r="L1815" s="9" t="s">
        <v>13284</v>
      </c>
      <c r="M1815" s="9" t="s">
        <v>13284</v>
      </c>
      <c r="N1815" s="9" t="s">
        <v>13284</v>
      </c>
      <c r="O1815" s="9" t="s">
        <v>13284</v>
      </c>
      <c r="P1815" s="9" t="s">
        <v>13284</v>
      </c>
      <c r="Q1815" s="9" t="s">
        <v>13284</v>
      </c>
      <c r="R1815" s="9" t="s">
        <v>13284</v>
      </c>
      <c r="S1815" s="9" t="s">
        <v>13284</v>
      </c>
      <c r="T1815" s="9" t="str">
        <f ca="1">IFERROR(IF(AND(VLOOKUP(A1815, 'Актуальное состояние (из общего'!A:C,3,0) = "", A1815 &lt;&gt; ""), "ПРОВЕРИТЬ", VLOOKUP(A1815, 'Актуальное состояние (из общего'!A:C,3,0)), "")</f>
        <v/>
      </c>
      <c r="U1815" s="9" t="s">
        <v>13284</v>
      </c>
      <c r="V1815" s="9" t="s">
        <v>13284</v>
      </c>
      <c r="W1815" s="12"/>
      <c r="X1815" s="9" t="str">
        <f t="array" ref="X1815">IFERROR(INDEX('Адреса общежитий (скрытый)'!$B$2:$B$9, MATCH(W1815, 'Адреса общежитий (скрытый)'!$A$2:$A$9, 0)), "")</f>
        <v/>
      </c>
      <c r="Y1815" s="18"/>
      <c r="Z1815" s="18"/>
      <c r="AA1815" s="18"/>
      <c r="AB1815" s="18"/>
      <c r="AC1815" s="18"/>
    </row>
    <row r="1816" spans="1:29" ht="32.25" hidden="1" customHeight="1">
      <c r="A1816" s="17"/>
      <c r="B1816" s="9" t="s">
        <v>13284</v>
      </c>
      <c r="C1816" s="9" t="s">
        <v>13284</v>
      </c>
      <c r="D1816" s="9" t="s">
        <v>13284</v>
      </c>
      <c r="E1816" s="9" t="s">
        <v>13284</v>
      </c>
      <c r="F1816" s="9" t="s">
        <v>13284</v>
      </c>
      <c r="G1816" s="9" t="s">
        <v>13284</v>
      </c>
      <c r="H1816" s="9" t="s">
        <v>13284</v>
      </c>
      <c r="I1816" s="9" t="s">
        <v>13284</v>
      </c>
      <c r="J1816" s="9" t="s">
        <v>13284</v>
      </c>
      <c r="K1816" s="9" t="s">
        <v>13284</v>
      </c>
      <c r="L1816" s="9" t="s">
        <v>13284</v>
      </c>
      <c r="M1816" s="9" t="s">
        <v>13284</v>
      </c>
      <c r="N1816" s="9" t="s">
        <v>13284</v>
      </c>
      <c r="O1816" s="9" t="s">
        <v>13284</v>
      </c>
      <c r="P1816" s="9" t="s">
        <v>13284</v>
      </c>
      <c r="Q1816" s="9" t="s">
        <v>13284</v>
      </c>
      <c r="R1816" s="9" t="s">
        <v>13284</v>
      </c>
      <c r="S1816" s="9" t="s">
        <v>13284</v>
      </c>
      <c r="T1816" s="9" t="str">
        <f ca="1">IFERROR(IF(AND(VLOOKUP(A1816, 'Актуальное состояние (из общего'!A:C,3,0) = "", A1816 &lt;&gt; ""), "ПРОВЕРИТЬ", VLOOKUP(A1816, 'Актуальное состояние (из общего'!A:C,3,0)), "")</f>
        <v/>
      </c>
      <c r="U1816" s="9" t="s">
        <v>13284</v>
      </c>
      <c r="V1816" s="9" t="s">
        <v>13284</v>
      </c>
      <c r="W1816" s="12"/>
      <c r="X1816" s="9" t="str">
        <f t="array" ref="X1816">IFERROR(INDEX('Адреса общежитий (скрытый)'!$B$2:$B$9, MATCH(W1816, 'Адреса общежитий (скрытый)'!$A$2:$A$9, 0)), "")</f>
        <v/>
      </c>
      <c r="Y1816" s="18"/>
      <c r="Z1816" s="18"/>
      <c r="AA1816" s="18"/>
      <c r="AB1816" s="18"/>
      <c r="AC1816" s="18"/>
    </row>
    <row r="1817" spans="1:29" ht="32.25" hidden="1" customHeight="1">
      <c r="A1817" s="17"/>
      <c r="B1817" s="9" t="s">
        <v>13284</v>
      </c>
      <c r="C1817" s="9" t="s">
        <v>13284</v>
      </c>
      <c r="D1817" s="9" t="s">
        <v>13284</v>
      </c>
      <c r="E1817" s="9" t="s">
        <v>13284</v>
      </c>
      <c r="F1817" s="9" t="s">
        <v>13284</v>
      </c>
      <c r="G1817" s="9" t="s">
        <v>13284</v>
      </c>
      <c r="H1817" s="9" t="s">
        <v>13284</v>
      </c>
      <c r="I1817" s="9" t="s">
        <v>13284</v>
      </c>
      <c r="J1817" s="9" t="s">
        <v>13284</v>
      </c>
      <c r="K1817" s="9" t="s">
        <v>13284</v>
      </c>
      <c r="L1817" s="9" t="s">
        <v>13284</v>
      </c>
      <c r="M1817" s="9" t="s">
        <v>13284</v>
      </c>
      <c r="N1817" s="9" t="s">
        <v>13284</v>
      </c>
      <c r="O1817" s="9" t="s">
        <v>13284</v>
      </c>
      <c r="P1817" s="9" t="s">
        <v>13284</v>
      </c>
      <c r="Q1817" s="9" t="s">
        <v>13284</v>
      </c>
      <c r="R1817" s="9" t="s">
        <v>13284</v>
      </c>
      <c r="S1817" s="9" t="s">
        <v>13284</v>
      </c>
      <c r="T1817" s="9" t="str">
        <f ca="1">IFERROR(IF(AND(VLOOKUP(A1817, 'Актуальное состояние (из общего'!A:C,3,0) = "", A1817 &lt;&gt; ""), "ПРОВЕРИТЬ", VLOOKUP(A1817, 'Актуальное состояние (из общего'!A:C,3,0)), "")</f>
        <v/>
      </c>
      <c r="U1817" s="9" t="s">
        <v>13284</v>
      </c>
      <c r="V1817" s="9" t="s">
        <v>13284</v>
      </c>
      <c r="W1817" s="12"/>
      <c r="X1817" s="9" t="str">
        <f t="array" ref="X1817">IFERROR(INDEX('Адреса общежитий (скрытый)'!$B$2:$B$9, MATCH(W1817, 'Адреса общежитий (скрытый)'!$A$2:$A$9, 0)), "")</f>
        <v/>
      </c>
      <c r="Y1817" s="18"/>
      <c r="Z1817" s="18"/>
      <c r="AA1817" s="18"/>
      <c r="AB1817" s="18"/>
      <c r="AC1817" s="18"/>
    </row>
    <row r="1818" spans="1:29" ht="32.25" hidden="1" customHeight="1">
      <c r="A1818" s="17"/>
      <c r="B1818" s="9" t="s">
        <v>13284</v>
      </c>
      <c r="C1818" s="9" t="s">
        <v>13284</v>
      </c>
      <c r="D1818" s="9" t="s">
        <v>13284</v>
      </c>
      <c r="E1818" s="9" t="s">
        <v>13284</v>
      </c>
      <c r="F1818" s="9" t="s">
        <v>13284</v>
      </c>
      <c r="G1818" s="9" t="s">
        <v>13284</v>
      </c>
      <c r="H1818" s="9" t="s">
        <v>13284</v>
      </c>
      <c r="I1818" s="9" t="s">
        <v>13284</v>
      </c>
      <c r="J1818" s="9" t="s">
        <v>13284</v>
      </c>
      <c r="K1818" s="9" t="s">
        <v>13284</v>
      </c>
      <c r="L1818" s="9" t="s">
        <v>13284</v>
      </c>
      <c r="M1818" s="9" t="s">
        <v>13284</v>
      </c>
      <c r="N1818" s="9" t="s">
        <v>13284</v>
      </c>
      <c r="O1818" s="9" t="s">
        <v>13284</v>
      </c>
      <c r="P1818" s="9" t="s">
        <v>13284</v>
      </c>
      <c r="Q1818" s="9" t="s">
        <v>13284</v>
      </c>
      <c r="R1818" s="9" t="s">
        <v>13284</v>
      </c>
      <c r="S1818" s="9" t="s">
        <v>13284</v>
      </c>
      <c r="T1818" s="9" t="str">
        <f ca="1">IFERROR(IF(AND(VLOOKUP(A1818, 'Актуальное состояние (из общего'!A:C,3,0) = "", A1818 &lt;&gt; ""), "ПРОВЕРИТЬ", VLOOKUP(A1818, 'Актуальное состояние (из общего'!A:C,3,0)), "")</f>
        <v/>
      </c>
      <c r="U1818" s="9" t="s">
        <v>13284</v>
      </c>
      <c r="V1818" s="9" t="s">
        <v>13284</v>
      </c>
      <c r="W1818" s="12"/>
      <c r="X1818" s="9" t="str">
        <f t="array" ref="X1818">IFERROR(INDEX('Адреса общежитий (скрытый)'!$B$2:$B$9, MATCH(W1818, 'Адреса общежитий (скрытый)'!$A$2:$A$9, 0)), "")</f>
        <v/>
      </c>
      <c r="Y1818" s="18"/>
      <c r="Z1818" s="18"/>
      <c r="AA1818" s="18"/>
      <c r="AB1818" s="18"/>
      <c r="AC1818" s="18"/>
    </row>
    <row r="1819" spans="1:29" ht="32.25" hidden="1" customHeight="1">
      <c r="A1819" s="17"/>
      <c r="B1819" s="9" t="s">
        <v>13284</v>
      </c>
      <c r="C1819" s="9" t="s">
        <v>13284</v>
      </c>
      <c r="D1819" s="9" t="s">
        <v>13284</v>
      </c>
      <c r="E1819" s="9" t="s">
        <v>13284</v>
      </c>
      <c r="F1819" s="9" t="s">
        <v>13284</v>
      </c>
      <c r="G1819" s="9" t="s">
        <v>13284</v>
      </c>
      <c r="H1819" s="9" t="s">
        <v>13284</v>
      </c>
      <c r="I1819" s="9" t="s">
        <v>13284</v>
      </c>
      <c r="J1819" s="9" t="s">
        <v>13284</v>
      </c>
      <c r="K1819" s="9" t="s">
        <v>13284</v>
      </c>
      <c r="L1819" s="9" t="s">
        <v>13284</v>
      </c>
      <c r="M1819" s="9" t="s">
        <v>13284</v>
      </c>
      <c r="N1819" s="9" t="s">
        <v>13284</v>
      </c>
      <c r="O1819" s="9" t="s">
        <v>13284</v>
      </c>
      <c r="P1819" s="9" t="s">
        <v>13284</v>
      </c>
      <c r="Q1819" s="9" t="s">
        <v>13284</v>
      </c>
      <c r="R1819" s="9" t="s">
        <v>13284</v>
      </c>
      <c r="S1819" s="9" t="s">
        <v>13284</v>
      </c>
      <c r="T1819" s="9" t="str">
        <f ca="1">IFERROR(IF(AND(VLOOKUP(A1819, 'Актуальное состояние (из общего'!A:C,3,0) = "", A1819 &lt;&gt; ""), "ПРОВЕРИТЬ", VLOOKUP(A1819, 'Актуальное состояние (из общего'!A:C,3,0)), "")</f>
        <v/>
      </c>
      <c r="U1819" s="9" t="s">
        <v>13284</v>
      </c>
      <c r="V1819" s="9" t="s">
        <v>13284</v>
      </c>
      <c r="W1819" s="12"/>
      <c r="X1819" s="9" t="str">
        <f t="array" ref="X1819">IFERROR(INDEX('Адреса общежитий (скрытый)'!$B$2:$B$9, MATCH(W1819, 'Адреса общежитий (скрытый)'!$A$2:$A$9, 0)), "")</f>
        <v/>
      </c>
      <c r="Y1819" s="18"/>
      <c r="Z1819" s="18"/>
      <c r="AA1819" s="18"/>
      <c r="AB1819" s="18"/>
      <c r="AC1819" s="18"/>
    </row>
    <row r="1820" spans="1:29" ht="32.25" hidden="1" customHeight="1">
      <c r="A1820" s="17"/>
      <c r="B1820" s="9" t="s">
        <v>13284</v>
      </c>
      <c r="C1820" s="9" t="s">
        <v>13284</v>
      </c>
      <c r="D1820" s="9" t="s">
        <v>13284</v>
      </c>
      <c r="E1820" s="9" t="s">
        <v>13284</v>
      </c>
      <c r="F1820" s="9" t="s">
        <v>13284</v>
      </c>
      <c r="G1820" s="9" t="s">
        <v>13284</v>
      </c>
      <c r="H1820" s="9" t="s">
        <v>13284</v>
      </c>
      <c r="I1820" s="9" t="s">
        <v>13284</v>
      </c>
      <c r="J1820" s="9" t="s">
        <v>13284</v>
      </c>
      <c r="K1820" s="9" t="s">
        <v>13284</v>
      </c>
      <c r="L1820" s="9" t="s">
        <v>13284</v>
      </c>
      <c r="M1820" s="9" t="s">
        <v>13284</v>
      </c>
      <c r="N1820" s="9" t="s">
        <v>13284</v>
      </c>
      <c r="O1820" s="9" t="s">
        <v>13284</v>
      </c>
      <c r="P1820" s="9" t="s">
        <v>13284</v>
      </c>
      <c r="Q1820" s="9" t="s">
        <v>13284</v>
      </c>
      <c r="R1820" s="9" t="s">
        <v>13284</v>
      </c>
      <c r="S1820" s="9" t="s">
        <v>13284</v>
      </c>
      <c r="T1820" s="9" t="str">
        <f ca="1">IFERROR(IF(AND(VLOOKUP(A1820, 'Актуальное состояние (из общего'!A:C,3,0) = "", A1820 &lt;&gt; ""), "ПРОВЕРИТЬ", VLOOKUP(A1820, 'Актуальное состояние (из общего'!A:C,3,0)), "")</f>
        <v/>
      </c>
      <c r="U1820" s="9" t="s">
        <v>13284</v>
      </c>
      <c r="V1820" s="9" t="s">
        <v>13284</v>
      </c>
      <c r="W1820" s="12"/>
      <c r="X1820" s="9" t="str">
        <f t="array" ref="X1820">IFERROR(INDEX('Адреса общежитий (скрытый)'!$B$2:$B$9, MATCH(W1820, 'Адреса общежитий (скрытый)'!$A$2:$A$9, 0)), "")</f>
        <v/>
      </c>
      <c r="Y1820" s="18"/>
      <c r="Z1820" s="18"/>
      <c r="AA1820" s="18"/>
      <c r="AB1820" s="18"/>
      <c r="AC1820" s="18"/>
    </row>
    <row r="1821" spans="1:29" ht="32.25" hidden="1" customHeight="1">
      <c r="A1821" s="17"/>
      <c r="B1821" s="9" t="s">
        <v>13284</v>
      </c>
      <c r="C1821" s="9" t="s">
        <v>13284</v>
      </c>
      <c r="D1821" s="9" t="s">
        <v>13284</v>
      </c>
      <c r="E1821" s="9" t="s">
        <v>13284</v>
      </c>
      <c r="F1821" s="9" t="s">
        <v>13284</v>
      </c>
      <c r="G1821" s="9" t="s">
        <v>13284</v>
      </c>
      <c r="H1821" s="9" t="s">
        <v>13284</v>
      </c>
      <c r="I1821" s="9" t="s">
        <v>13284</v>
      </c>
      <c r="J1821" s="9" t="s">
        <v>13284</v>
      </c>
      <c r="K1821" s="9" t="s">
        <v>13284</v>
      </c>
      <c r="L1821" s="9" t="s">
        <v>13284</v>
      </c>
      <c r="M1821" s="9" t="s">
        <v>13284</v>
      </c>
      <c r="N1821" s="9" t="s">
        <v>13284</v>
      </c>
      <c r="O1821" s="9" t="s">
        <v>13284</v>
      </c>
      <c r="P1821" s="9" t="s">
        <v>13284</v>
      </c>
      <c r="Q1821" s="9" t="s">
        <v>13284</v>
      </c>
      <c r="R1821" s="9" t="s">
        <v>13284</v>
      </c>
      <c r="S1821" s="9" t="s">
        <v>13284</v>
      </c>
      <c r="T1821" s="9" t="str">
        <f ca="1">IFERROR(IF(AND(VLOOKUP(A1821, 'Актуальное состояние (из общего'!A:C,3,0) = "", A1821 &lt;&gt; ""), "ПРОВЕРИТЬ", VLOOKUP(A1821, 'Актуальное состояние (из общего'!A:C,3,0)), "")</f>
        <v/>
      </c>
      <c r="U1821" s="9" t="s">
        <v>13284</v>
      </c>
      <c r="V1821" s="9" t="s">
        <v>13284</v>
      </c>
      <c r="W1821" s="12"/>
      <c r="X1821" s="9" t="str">
        <f t="array" ref="X1821">IFERROR(INDEX('Адреса общежитий (скрытый)'!$B$2:$B$9, MATCH(W1821, 'Адреса общежитий (скрытый)'!$A$2:$A$9, 0)), "")</f>
        <v/>
      </c>
      <c r="Y1821" s="18"/>
      <c r="Z1821" s="18"/>
      <c r="AA1821" s="18"/>
      <c r="AB1821" s="18"/>
      <c r="AC1821" s="18"/>
    </row>
    <row r="1822" spans="1:29" ht="32.25" hidden="1" customHeight="1">
      <c r="A1822" s="17"/>
      <c r="B1822" s="9" t="s">
        <v>13284</v>
      </c>
      <c r="C1822" s="9" t="s">
        <v>13284</v>
      </c>
      <c r="D1822" s="9" t="s">
        <v>13284</v>
      </c>
      <c r="E1822" s="9" t="s">
        <v>13284</v>
      </c>
      <c r="F1822" s="9" t="s">
        <v>13284</v>
      </c>
      <c r="G1822" s="9" t="s">
        <v>13284</v>
      </c>
      <c r="H1822" s="9" t="s">
        <v>13284</v>
      </c>
      <c r="I1822" s="9" t="s">
        <v>13284</v>
      </c>
      <c r="J1822" s="9" t="s">
        <v>13284</v>
      </c>
      <c r="K1822" s="9" t="s">
        <v>13284</v>
      </c>
      <c r="L1822" s="9" t="s">
        <v>13284</v>
      </c>
      <c r="M1822" s="9" t="s">
        <v>13284</v>
      </c>
      <c r="N1822" s="9" t="s">
        <v>13284</v>
      </c>
      <c r="O1822" s="9" t="s">
        <v>13284</v>
      </c>
      <c r="P1822" s="9" t="s">
        <v>13284</v>
      </c>
      <c r="Q1822" s="9" t="s">
        <v>13284</v>
      </c>
      <c r="R1822" s="9" t="s">
        <v>13284</v>
      </c>
      <c r="S1822" s="9" t="s">
        <v>13284</v>
      </c>
      <c r="T1822" s="9" t="str">
        <f ca="1">IFERROR(IF(AND(VLOOKUP(A1822, 'Актуальное состояние (из общего'!A:C,3,0) = "", A1822 &lt;&gt; ""), "ПРОВЕРИТЬ", VLOOKUP(A1822, 'Актуальное состояние (из общего'!A:C,3,0)), "")</f>
        <v/>
      </c>
      <c r="U1822" s="9" t="s">
        <v>13284</v>
      </c>
      <c r="V1822" s="9" t="s">
        <v>13284</v>
      </c>
      <c r="W1822" s="12"/>
      <c r="X1822" s="9" t="str">
        <f t="array" ref="X1822">IFERROR(INDEX('Адреса общежитий (скрытый)'!$B$2:$B$9, MATCH(W1822, 'Адреса общежитий (скрытый)'!$A$2:$A$9, 0)), "")</f>
        <v/>
      </c>
      <c r="Y1822" s="18"/>
      <c r="Z1822" s="18"/>
      <c r="AA1822" s="18"/>
      <c r="AB1822" s="18"/>
      <c r="AC1822" s="18"/>
    </row>
    <row r="1823" spans="1:29" ht="32.25" hidden="1" customHeight="1">
      <c r="A1823" s="17"/>
      <c r="B1823" s="9" t="s">
        <v>13284</v>
      </c>
      <c r="C1823" s="9" t="s">
        <v>13284</v>
      </c>
      <c r="D1823" s="9" t="s">
        <v>13284</v>
      </c>
      <c r="E1823" s="9" t="s">
        <v>13284</v>
      </c>
      <c r="F1823" s="9" t="s">
        <v>13284</v>
      </c>
      <c r="G1823" s="9" t="s">
        <v>13284</v>
      </c>
      <c r="H1823" s="9" t="s">
        <v>13284</v>
      </c>
      <c r="I1823" s="9" t="s">
        <v>13284</v>
      </c>
      <c r="J1823" s="9" t="s">
        <v>13284</v>
      </c>
      <c r="K1823" s="9" t="s">
        <v>13284</v>
      </c>
      <c r="L1823" s="9" t="s">
        <v>13284</v>
      </c>
      <c r="M1823" s="9" t="s">
        <v>13284</v>
      </c>
      <c r="N1823" s="9" t="s">
        <v>13284</v>
      </c>
      <c r="O1823" s="9" t="s">
        <v>13284</v>
      </c>
      <c r="P1823" s="9" t="s">
        <v>13284</v>
      </c>
      <c r="Q1823" s="9" t="s">
        <v>13284</v>
      </c>
      <c r="R1823" s="9" t="s">
        <v>13284</v>
      </c>
      <c r="S1823" s="9" t="s">
        <v>13284</v>
      </c>
      <c r="T1823" s="9" t="str">
        <f ca="1">IFERROR(IF(AND(VLOOKUP(A1823, 'Актуальное состояние (из общего'!A:C,3,0) = "", A1823 &lt;&gt; ""), "ПРОВЕРИТЬ", VLOOKUP(A1823, 'Актуальное состояние (из общего'!A:C,3,0)), "")</f>
        <v/>
      </c>
      <c r="U1823" s="9" t="s">
        <v>13284</v>
      </c>
      <c r="V1823" s="9" t="s">
        <v>13284</v>
      </c>
      <c r="W1823" s="12"/>
      <c r="X1823" s="9" t="str">
        <f t="array" ref="X1823">IFERROR(INDEX('Адреса общежитий (скрытый)'!$B$2:$B$9, MATCH(W1823, 'Адреса общежитий (скрытый)'!$A$2:$A$9, 0)), "")</f>
        <v/>
      </c>
      <c r="Y1823" s="18"/>
      <c r="Z1823" s="18"/>
      <c r="AA1823" s="18"/>
      <c r="AB1823" s="18"/>
      <c r="AC1823" s="18"/>
    </row>
    <row r="1824" spans="1:29" ht="32.25" hidden="1" customHeight="1">
      <c r="A1824" s="17"/>
      <c r="B1824" s="9" t="s">
        <v>13284</v>
      </c>
      <c r="C1824" s="9" t="s">
        <v>13284</v>
      </c>
      <c r="D1824" s="9" t="s">
        <v>13284</v>
      </c>
      <c r="E1824" s="9" t="s">
        <v>13284</v>
      </c>
      <c r="F1824" s="9" t="s">
        <v>13284</v>
      </c>
      <c r="G1824" s="9" t="s">
        <v>13284</v>
      </c>
      <c r="H1824" s="9" t="s">
        <v>13284</v>
      </c>
      <c r="I1824" s="9" t="s">
        <v>13284</v>
      </c>
      <c r="J1824" s="9" t="s">
        <v>13284</v>
      </c>
      <c r="K1824" s="9" t="s">
        <v>13284</v>
      </c>
      <c r="L1824" s="9" t="s">
        <v>13284</v>
      </c>
      <c r="M1824" s="9" t="s">
        <v>13284</v>
      </c>
      <c r="N1824" s="9" t="s">
        <v>13284</v>
      </c>
      <c r="O1824" s="9" t="s">
        <v>13284</v>
      </c>
      <c r="P1824" s="9" t="s">
        <v>13284</v>
      </c>
      <c r="Q1824" s="9" t="s">
        <v>13284</v>
      </c>
      <c r="R1824" s="9" t="s">
        <v>13284</v>
      </c>
      <c r="S1824" s="9" t="s">
        <v>13284</v>
      </c>
      <c r="T1824" s="9" t="str">
        <f ca="1">IFERROR(IF(AND(VLOOKUP(A1824, 'Актуальное состояние (из общего'!A:C,3,0) = "", A1824 &lt;&gt; ""), "ПРОВЕРИТЬ", VLOOKUP(A1824, 'Актуальное состояние (из общего'!A:C,3,0)), "")</f>
        <v/>
      </c>
      <c r="U1824" s="9" t="s">
        <v>13284</v>
      </c>
      <c r="V1824" s="9" t="s">
        <v>13284</v>
      </c>
      <c r="W1824" s="12"/>
      <c r="X1824" s="9" t="str">
        <f t="array" ref="X1824">IFERROR(INDEX('Адреса общежитий (скрытый)'!$B$2:$B$9, MATCH(W1824, 'Адреса общежитий (скрытый)'!$A$2:$A$9, 0)), "")</f>
        <v/>
      </c>
      <c r="Y1824" s="18"/>
      <c r="Z1824" s="18"/>
      <c r="AA1824" s="18"/>
      <c r="AB1824" s="18"/>
      <c r="AC1824" s="18"/>
    </row>
    <row r="1825" spans="1:29" ht="32.25" hidden="1" customHeight="1">
      <c r="A1825" s="17"/>
      <c r="B1825" s="9" t="s">
        <v>13284</v>
      </c>
      <c r="C1825" s="9" t="s">
        <v>13284</v>
      </c>
      <c r="D1825" s="9" t="s">
        <v>13284</v>
      </c>
      <c r="E1825" s="9" t="s">
        <v>13284</v>
      </c>
      <c r="F1825" s="9" t="s">
        <v>13284</v>
      </c>
      <c r="G1825" s="9" t="s">
        <v>13284</v>
      </c>
      <c r="H1825" s="9" t="s">
        <v>13284</v>
      </c>
      <c r="I1825" s="9" t="s">
        <v>13284</v>
      </c>
      <c r="J1825" s="9" t="s">
        <v>13284</v>
      </c>
      <c r="K1825" s="9" t="s">
        <v>13284</v>
      </c>
      <c r="L1825" s="9" t="s">
        <v>13284</v>
      </c>
      <c r="M1825" s="9" t="s">
        <v>13284</v>
      </c>
      <c r="N1825" s="9" t="s">
        <v>13284</v>
      </c>
      <c r="O1825" s="9" t="s">
        <v>13284</v>
      </c>
      <c r="P1825" s="9" t="s">
        <v>13284</v>
      </c>
      <c r="Q1825" s="9" t="s">
        <v>13284</v>
      </c>
      <c r="R1825" s="9" t="s">
        <v>13284</v>
      </c>
      <c r="S1825" s="9" t="s">
        <v>13284</v>
      </c>
      <c r="T1825" s="9" t="str">
        <f ca="1">IFERROR(IF(AND(VLOOKUP(A1825, 'Актуальное состояние (из общего'!A:C,3,0) = "", A1825 &lt;&gt; ""), "ПРОВЕРИТЬ", VLOOKUP(A1825, 'Актуальное состояние (из общего'!A:C,3,0)), "")</f>
        <v/>
      </c>
      <c r="U1825" s="9" t="s">
        <v>13284</v>
      </c>
      <c r="V1825" s="9" t="s">
        <v>13284</v>
      </c>
      <c r="W1825" s="12"/>
      <c r="X1825" s="9" t="str">
        <f t="array" ref="X1825">IFERROR(INDEX('Адреса общежитий (скрытый)'!$B$2:$B$9, MATCH(W1825, 'Адреса общежитий (скрытый)'!$A$2:$A$9, 0)), "")</f>
        <v/>
      </c>
      <c r="Y1825" s="18"/>
      <c r="Z1825" s="18"/>
      <c r="AA1825" s="18"/>
      <c r="AB1825" s="18"/>
      <c r="AC1825" s="18"/>
    </row>
    <row r="1826" spans="1:29" ht="32.25" hidden="1" customHeight="1">
      <c r="A1826" s="17"/>
      <c r="B1826" s="9" t="s">
        <v>13284</v>
      </c>
      <c r="C1826" s="9" t="s">
        <v>13284</v>
      </c>
      <c r="D1826" s="9" t="s">
        <v>13284</v>
      </c>
      <c r="E1826" s="9" t="s">
        <v>13284</v>
      </c>
      <c r="F1826" s="9" t="s">
        <v>13284</v>
      </c>
      <c r="G1826" s="9" t="s">
        <v>13284</v>
      </c>
      <c r="H1826" s="9" t="s">
        <v>13284</v>
      </c>
      <c r="I1826" s="9" t="s">
        <v>13284</v>
      </c>
      <c r="J1826" s="9" t="s">
        <v>13284</v>
      </c>
      <c r="K1826" s="9" t="s">
        <v>13284</v>
      </c>
      <c r="L1826" s="9" t="s">
        <v>13284</v>
      </c>
      <c r="M1826" s="9" t="s">
        <v>13284</v>
      </c>
      <c r="N1826" s="9" t="s">
        <v>13284</v>
      </c>
      <c r="O1826" s="9" t="s">
        <v>13284</v>
      </c>
      <c r="P1826" s="9" t="s">
        <v>13284</v>
      </c>
      <c r="Q1826" s="9" t="s">
        <v>13284</v>
      </c>
      <c r="R1826" s="9" t="s">
        <v>13284</v>
      </c>
      <c r="S1826" s="9" t="s">
        <v>13284</v>
      </c>
      <c r="T1826" s="9" t="str">
        <f ca="1">IFERROR(IF(AND(VLOOKUP(A1826, 'Актуальное состояние (из общего'!A:C,3,0) = "", A1826 &lt;&gt; ""), "ПРОВЕРИТЬ", VLOOKUP(A1826, 'Актуальное состояние (из общего'!A:C,3,0)), "")</f>
        <v/>
      </c>
      <c r="U1826" s="9" t="s">
        <v>13284</v>
      </c>
      <c r="V1826" s="9" t="s">
        <v>13284</v>
      </c>
      <c r="W1826" s="12"/>
      <c r="X1826" s="9" t="str">
        <f t="array" ref="X1826">IFERROR(INDEX('Адреса общежитий (скрытый)'!$B$2:$B$9, MATCH(W1826, 'Адреса общежитий (скрытый)'!$A$2:$A$9, 0)), "")</f>
        <v/>
      </c>
      <c r="Y1826" s="18"/>
      <c r="Z1826" s="18"/>
      <c r="AA1826" s="18"/>
      <c r="AB1826" s="18"/>
      <c r="AC1826" s="18"/>
    </row>
    <row r="1827" spans="1:29" ht="32.25" hidden="1" customHeight="1">
      <c r="A1827" s="17"/>
      <c r="B1827" s="9" t="s">
        <v>13284</v>
      </c>
      <c r="C1827" s="9" t="s">
        <v>13284</v>
      </c>
      <c r="D1827" s="9" t="s">
        <v>13284</v>
      </c>
      <c r="E1827" s="9" t="s">
        <v>13284</v>
      </c>
      <c r="F1827" s="9" t="s">
        <v>13284</v>
      </c>
      <c r="G1827" s="9" t="s">
        <v>13284</v>
      </c>
      <c r="H1827" s="9" t="s">
        <v>13284</v>
      </c>
      <c r="I1827" s="9" t="s">
        <v>13284</v>
      </c>
      <c r="J1827" s="9" t="s">
        <v>13284</v>
      </c>
      <c r="K1827" s="9" t="s">
        <v>13284</v>
      </c>
      <c r="L1827" s="9" t="s">
        <v>13284</v>
      </c>
      <c r="M1827" s="9" t="s">
        <v>13284</v>
      </c>
      <c r="N1827" s="9" t="s">
        <v>13284</v>
      </c>
      <c r="O1827" s="9" t="s">
        <v>13284</v>
      </c>
      <c r="P1827" s="9" t="s">
        <v>13284</v>
      </c>
      <c r="Q1827" s="9" t="s">
        <v>13284</v>
      </c>
      <c r="R1827" s="9" t="s">
        <v>13284</v>
      </c>
      <c r="S1827" s="9" t="s">
        <v>13284</v>
      </c>
      <c r="T1827" s="9" t="str">
        <f ca="1">IFERROR(IF(AND(VLOOKUP(A1827, 'Актуальное состояние (из общего'!A:C,3,0) = "", A1827 &lt;&gt; ""), "ПРОВЕРИТЬ", VLOOKUP(A1827, 'Актуальное состояние (из общего'!A:C,3,0)), "")</f>
        <v/>
      </c>
      <c r="U1827" s="9" t="s">
        <v>13284</v>
      </c>
      <c r="V1827" s="9" t="s">
        <v>13284</v>
      </c>
      <c r="W1827" s="12"/>
      <c r="X1827" s="9" t="str">
        <f t="array" ref="X1827">IFERROR(INDEX('Адреса общежитий (скрытый)'!$B$2:$B$9, MATCH(W1827, 'Адреса общежитий (скрытый)'!$A$2:$A$9, 0)), "")</f>
        <v/>
      </c>
      <c r="Y1827" s="18"/>
      <c r="Z1827" s="18"/>
      <c r="AA1827" s="18"/>
      <c r="AB1827" s="18"/>
      <c r="AC1827" s="18"/>
    </row>
    <row r="1828" spans="1:29" ht="32.25" hidden="1" customHeight="1">
      <c r="A1828" s="17"/>
      <c r="B1828" s="9" t="s">
        <v>13284</v>
      </c>
      <c r="C1828" s="9" t="s">
        <v>13284</v>
      </c>
      <c r="D1828" s="9" t="s">
        <v>13284</v>
      </c>
      <c r="E1828" s="9" t="s">
        <v>13284</v>
      </c>
      <c r="F1828" s="9" t="s">
        <v>13284</v>
      </c>
      <c r="G1828" s="9" t="s">
        <v>13284</v>
      </c>
      <c r="H1828" s="9" t="s">
        <v>13284</v>
      </c>
      <c r="I1828" s="9" t="s">
        <v>13284</v>
      </c>
      <c r="J1828" s="9" t="s">
        <v>13284</v>
      </c>
      <c r="K1828" s="9" t="s">
        <v>13284</v>
      </c>
      <c r="L1828" s="9" t="s">
        <v>13284</v>
      </c>
      <c r="M1828" s="9" t="s">
        <v>13284</v>
      </c>
      <c r="N1828" s="9" t="s">
        <v>13284</v>
      </c>
      <c r="O1828" s="9" t="s">
        <v>13284</v>
      </c>
      <c r="P1828" s="9" t="s">
        <v>13284</v>
      </c>
      <c r="Q1828" s="9" t="s">
        <v>13284</v>
      </c>
      <c r="R1828" s="9" t="s">
        <v>13284</v>
      </c>
      <c r="S1828" s="9" t="s">
        <v>13284</v>
      </c>
      <c r="T1828" s="9" t="str">
        <f ca="1">IFERROR(IF(AND(VLOOKUP(A1828, 'Актуальное состояние (из общего'!A:C,3,0) = "", A1828 &lt;&gt; ""), "ПРОВЕРИТЬ", VLOOKUP(A1828, 'Актуальное состояние (из общего'!A:C,3,0)), "")</f>
        <v/>
      </c>
      <c r="U1828" s="9" t="s">
        <v>13284</v>
      </c>
      <c r="V1828" s="9" t="s">
        <v>13284</v>
      </c>
      <c r="W1828" s="12"/>
      <c r="X1828" s="9" t="str">
        <f t="array" ref="X1828">IFERROR(INDEX('Адреса общежитий (скрытый)'!$B$2:$B$9, MATCH(W1828, 'Адреса общежитий (скрытый)'!$A$2:$A$9, 0)), "")</f>
        <v/>
      </c>
      <c r="Y1828" s="18"/>
      <c r="Z1828" s="18"/>
      <c r="AA1828" s="18"/>
      <c r="AB1828" s="18"/>
      <c r="AC1828" s="18"/>
    </row>
    <row r="1829" spans="1:29" ht="32.25" hidden="1" customHeight="1">
      <c r="A1829" s="17"/>
      <c r="B1829" s="9" t="s">
        <v>13284</v>
      </c>
      <c r="C1829" s="9" t="s">
        <v>13284</v>
      </c>
      <c r="D1829" s="9" t="s">
        <v>13284</v>
      </c>
      <c r="E1829" s="9" t="s">
        <v>13284</v>
      </c>
      <c r="F1829" s="9" t="s">
        <v>13284</v>
      </c>
      <c r="G1829" s="9" t="s">
        <v>13284</v>
      </c>
      <c r="H1829" s="9" t="s">
        <v>13284</v>
      </c>
      <c r="I1829" s="9" t="s">
        <v>13284</v>
      </c>
      <c r="J1829" s="9" t="s">
        <v>13284</v>
      </c>
      <c r="K1829" s="9" t="s">
        <v>13284</v>
      </c>
      <c r="L1829" s="9" t="s">
        <v>13284</v>
      </c>
      <c r="M1829" s="9" t="s">
        <v>13284</v>
      </c>
      <c r="N1829" s="9" t="s">
        <v>13284</v>
      </c>
      <c r="O1829" s="9" t="s">
        <v>13284</v>
      </c>
      <c r="P1829" s="9" t="s">
        <v>13284</v>
      </c>
      <c r="Q1829" s="9" t="s">
        <v>13284</v>
      </c>
      <c r="R1829" s="9" t="s">
        <v>13284</v>
      </c>
      <c r="S1829" s="9" t="s">
        <v>13284</v>
      </c>
      <c r="T1829" s="9" t="str">
        <f ca="1">IFERROR(IF(AND(VLOOKUP(A1829, 'Актуальное состояние (из общего'!A:C,3,0) = "", A1829 &lt;&gt; ""), "ПРОВЕРИТЬ", VLOOKUP(A1829, 'Актуальное состояние (из общего'!A:C,3,0)), "")</f>
        <v/>
      </c>
      <c r="U1829" s="9" t="s">
        <v>13284</v>
      </c>
      <c r="V1829" s="9" t="s">
        <v>13284</v>
      </c>
      <c r="W1829" s="12"/>
      <c r="X1829" s="9" t="str">
        <f t="array" ref="X1829">IFERROR(INDEX('Адреса общежитий (скрытый)'!$B$2:$B$9, MATCH(W1829, 'Адреса общежитий (скрытый)'!$A$2:$A$9, 0)), "")</f>
        <v/>
      </c>
      <c r="Y1829" s="18"/>
      <c r="Z1829" s="18"/>
      <c r="AA1829" s="18"/>
      <c r="AB1829" s="18"/>
      <c r="AC1829" s="18"/>
    </row>
    <row r="1830" spans="1:29" ht="32.25" hidden="1" customHeight="1">
      <c r="A1830" s="17"/>
      <c r="B1830" s="9" t="s">
        <v>13284</v>
      </c>
      <c r="C1830" s="9" t="s">
        <v>13284</v>
      </c>
      <c r="D1830" s="9" t="s">
        <v>13284</v>
      </c>
      <c r="E1830" s="9" t="s">
        <v>13284</v>
      </c>
      <c r="F1830" s="9" t="s">
        <v>13284</v>
      </c>
      <c r="G1830" s="9" t="s">
        <v>13284</v>
      </c>
      <c r="H1830" s="9" t="s">
        <v>13284</v>
      </c>
      <c r="I1830" s="9" t="s">
        <v>13284</v>
      </c>
      <c r="J1830" s="9" t="s">
        <v>13284</v>
      </c>
      <c r="K1830" s="9" t="s">
        <v>13284</v>
      </c>
      <c r="L1830" s="9" t="s">
        <v>13284</v>
      </c>
      <c r="M1830" s="9" t="s">
        <v>13284</v>
      </c>
      <c r="N1830" s="9" t="s">
        <v>13284</v>
      </c>
      <c r="O1830" s="9" t="s">
        <v>13284</v>
      </c>
      <c r="P1830" s="9" t="s">
        <v>13284</v>
      </c>
      <c r="Q1830" s="9" t="s">
        <v>13284</v>
      </c>
      <c r="R1830" s="9" t="s">
        <v>13284</v>
      </c>
      <c r="S1830" s="9" t="s">
        <v>13284</v>
      </c>
      <c r="T1830" s="9" t="str">
        <f ca="1">IFERROR(IF(AND(VLOOKUP(A1830, 'Актуальное состояние (из общего'!A:C,3,0) = "", A1830 &lt;&gt; ""), "ПРОВЕРИТЬ", VLOOKUP(A1830, 'Актуальное состояние (из общего'!A:C,3,0)), "")</f>
        <v/>
      </c>
      <c r="U1830" s="9" t="s">
        <v>13284</v>
      </c>
      <c r="V1830" s="9" t="s">
        <v>13284</v>
      </c>
      <c r="W1830" s="12"/>
      <c r="X1830" s="9" t="str">
        <f t="array" ref="X1830">IFERROR(INDEX('Адреса общежитий (скрытый)'!$B$2:$B$9, MATCH(W1830, 'Адреса общежитий (скрытый)'!$A$2:$A$9, 0)), "")</f>
        <v/>
      </c>
      <c r="Y1830" s="18"/>
      <c r="Z1830" s="18"/>
      <c r="AA1830" s="18"/>
      <c r="AB1830" s="18"/>
      <c r="AC1830" s="18"/>
    </row>
    <row r="1831" spans="1:29" ht="32.25" hidden="1" customHeight="1">
      <c r="A1831" s="17"/>
      <c r="B1831" s="9" t="s">
        <v>13284</v>
      </c>
      <c r="C1831" s="9" t="s">
        <v>13284</v>
      </c>
      <c r="D1831" s="9" t="s">
        <v>13284</v>
      </c>
      <c r="E1831" s="9" t="s">
        <v>13284</v>
      </c>
      <c r="F1831" s="9" t="s">
        <v>13284</v>
      </c>
      <c r="G1831" s="9" t="s">
        <v>13284</v>
      </c>
      <c r="H1831" s="9" t="s">
        <v>13284</v>
      </c>
      <c r="I1831" s="9" t="s">
        <v>13284</v>
      </c>
      <c r="J1831" s="9" t="s">
        <v>13284</v>
      </c>
      <c r="K1831" s="9" t="s">
        <v>13284</v>
      </c>
      <c r="L1831" s="9" t="s">
        <v>13284</v>
      </c>
      <c r="M1831" s="9" t="s">
        <v>13284</v>
      </c>
      <c r="N1831" s="9" t="s">
        <v>13284</v>
      </c>
      <c r="O1831" s="9" t="s">
        <v>13284</v>
      </c>
      <c r="P1831" s="9" t="s">
        <v>13284</v>
      </c>
      <c r="Q1831" s="9" t="s">
        <v>13284</v>
      </c>
      <c r="R1831" s="9" t="s">
        <v>13284</v>
      </c>
      <c r="S1831" s="9" t="s">
        <v>13284</v>
      </c>
      <c r="T1831" s="9" t="str">
        <f ca="1">IFERROR(IF(AND(VLOOKUP(A1831, 'Актуальное состояние (из общего'!A:C,3,0) = "", A1831 &lt;&gt; ""), "ПРОВЕРИТЬ", VLOOKUP(A1831, 'Актуальное состояние (из общего'!A:C,3,0)), "")</f>
        <v/>
      </c>
      <c r="U1831" s="9" t="s">
        <v>13284</v>
      </c>
      <c r="V1831" s="9" t="s">
        <v>13284</v>
      </c>
      <c r="W1831" s="12"/>
      <c r="X1831" s="9" t="str">
        <f t="array" ref="X1831">IFERROR(INDEX('Адреса общежитий (скрытый)'!$B$2:$B$9, MATCH(W1831, 'Адреса общежитий (скрытый)'!$A$2:$A$9, 0)), "")</f>
        <v/>
      </c>
      <c r="Y1831" s="18"/>
      <c r="Z1831" s="18"/>
      <c r="AA1831" s="18"/>
      <c r="AB1831" s="18"/>
      <c r="AC1831" s="18"/>
    </row>
    <row r="1832" spans="1:29" ht="32.25" hidden="1" customHeight="1">
      <c r="A1832" s="17"/>
      <c r="B1832" s="9" t="s">
        <v>13284</v>
      </c>
      <c r="C1832" s="9" t="s">
        <v>13284</v>
      </c>
      <c r="D1832" s="9" t="s">
        <v>13284</v>
      </c>
      <c r="E1832" s="9" t="s">
        <v>13284</v>
      </c>
      <c r="F1832" s="9" t="s">
        <v>13284</v>
      </c>
      <c r="G1832" s="9" t="s">
        <v>13284</v>
      </c>
      <c r="H1832" s="9" t="s">
        <v>13284</v>
      </c>
      <c r="I1832" s="9" t="s">
        <v>13284</v>
      </c>
      <c r="J1832" s="9" t="s">
        <v>13284</v>
      </c>
      <c r="K1832" s="9" t="s">
        <v>13284</v>
      </c>
      <c r="L1832" s="9" t="s">
        <v>13284</v>
      </c>
      <c r="M1832" s="9" t="s">
        <v>13284</v>
      </c>
      <c r="N1832" s="9" t="s">
        <v>13284</v>
      </c>
      <c r="O1832" s="9" t="s">
        <v>13284</v>
      </c>
      <c r="P1832" s="9" t="s">
        <v>13284</v>
      </c>
      <c r="Q1832" s="9" t="s">
        <v>13284</v>
      </c>
      <c r="R1832" s="9" t="s">
        <v>13284</v>
      </c>
      <c r="S1832" s="9" t="s">
        <v>13284</v>
      </c>
      <c r="T1832" s="9" t="str">
        <f ca="1">IFERROR(IF(AND(VLOOKUP(A1832, 'Актуальное состояние (из общего'!A:C,3,0) = "", A1832 &lt;&gt; ""), "ПРОВЕРИТЬ", VLOOKUP(A1832, 'Актуальное состояние (из общего'!A:C,3,0)), "")</f>
        <v/>
      </c>
      <c r="U1832" s="9" t="s">
        <v>13284</v>
      </c>
      <c r="V1832" s="9" t="s">
        <v>13284</v>
      </c>
      <c r="W1832" s="12"/>
      <c r="X1832" s="9" t="str">
        <f t="array" ref="X1832">IFERROR(INDEX('Адреса общежитий (скрытый)'!$B$2:$B$9, MATCH(W1832, 'Адреса общежитий (скрытый)'!$A$2:$A$9, 0)), "")</f>
        <v/>
      </c>
      <c r="Y1832" s="18"/>
      <c r="Z1832" s="18"/>
      <c r="AA1832" s="18"/>
      <c r="AB1832" s="18"/>
      <c r="AC1832" s="18"/>
    </row>
    <row r="1833" spans="1:29" ht="32.25" hidden="1" customHeight="1">
      <c r="A1833" s="17"/>
      <c r="B1833" s="9" t="s">
        <v>13284</v>
      </c>
      <c r="C1833" s="9" t="s">
        <v>13284</v>
      </c>
      <c r="D1833" s="9" t="s">
        <v>13284</v>
      </c>
      <c r="E1833" s="9" t="s">
        <v>13284</v>
      </c>
      <c r="F1833" s="9" t="s">
        <v>13284</v>
      </c>
      <c r="G1833" s="9" t="s">
        <v>13284</v>
      </c>
      <c r="H1833" s="9" t="s">
        <v>13284</v>
      </c>
      <c r="I1833" s="9" t="s">
        <v>13284</v>
      </c>
      <c r="J1833" s="9" t="s">
        <v>13284</v>
      </c>
      <c r="K1833" s="9" t="s">
        <v>13284</v>
      </c>
      <c r="L1833" s="9" t="s">
        <v>13284</v>
      </c>
      <c r="M1833" s="9" t="s">
        <v>13284</v>
      </c>
      <c r="N1833" s="9" t="s">
        <v>13284</v>
      </c>
      <c r="O1833" s="9" t="s">
        <v>13284</v>
      </c>
      <c r="P1833" s="9" t="s">
        <v>13284</v>
      </c>
      <c r="Q1833" s="9" t="s">
        <v>13284</v>
      </c>
      <c r="R1833" s="9" t="s">
        <v>13284</v>
      </c>
      <c r="S1833" s="9" t="s">
        <v>13284</v>
      </c>
      <c r="T1833" s="9" t="str">
        <f ca="1">IFERROR(IF(AND(VLOOKUP(A1833, 'Актуальное состояние (из общего'!A:C,3,0) = "", A1833 &lt;&gt; ""), "ПРОВЕРИТЬ", VLOOKUP(A1833, 'Актуальное состояние (из общего'!A:C,3,0)), "")</f>
        <v/>
      </c>
      <c r="U1833" s="9" t="s">
        <v>13284</v>
      </c>
      <c r="V1833" s="9" t="s">
        <v>13284</v>
      </c>
      <c r="W1833" s="12"/>
      <c r="X1833" s="9" t="str">
        <f t="array" ref="X1833">IFERROR(INDEX('Адреса общежитий (скрытый)'!$B$2:$B$9, MATCH(W1833, 'Адреса общежитий (скрытый)'!$A$2:$A$9, 0)), "")</f>
        <v/>
      </c>
      <c r="Y1833" s="18"/>
      <c r="Z1833" s="18"/>
      <c r="AA1833" s="18"/>
      <c r="AB1833" s="18"/>
      <c r="AC1833" s="18"/>
    </row>
    <row r="1834" spans="1:29" ht="32.25" hidden="1" customHeight="1">
      <c r="A1834" s="17"/>
      <c r="B1834" s="9" t="s">
        <v>13284</v>
      </c>
      <c r="C1834" s="9" t="s">
        <v>13284</v>
      </c>
      <c r="D1834" s="9" t="s">
        <v>13284</v>
      </c>
      <c r="E1834" s="9" t="s">
        <v>13284</v>
      </c>
      <c r="F1834" s="9" t="s">
        <v>13284</v>
      </c>
      <c r="G1834" s="9" t="s">
        <v>13284</v>
      </c>
      <c r="H1834" s="9" t="s">
        <v>13284</v>
      </c>
      <c r="I1834" s="9" t="s">
        <v>13284</v>
      </c>
      <c r="J1834" s="9" t="s">
        <v>13284</v>
      </c>
      <c r="K1834" s="9" t="s">
        <v>13284</v>
      </c>
      <c r="L1834" s="9" t="s">
        <v>13284</v>
      </c>
      <c r="M1834" s="9" t="s">
        <v>13284</v>
      </c>
      <c r="N1834" s="9" t="s">
        <v>13284</v>
      </c>
      <c r="O1834" s="9" t="s">
        <v>13284</v>
      </c>
      <c r="P1834" s="9" t="s">
        <v>13284</v>
      </c>
      <c r="Q1834" s="9" t="s">
        <v>13284</v>
      </c>
      <c r="R1834" s="9" t="s">
        <v>13284</v>
      </c>
      <c r="S1834" s="9" t="s">
        <v>13284</v>
      </c>
      <c r="T1834" s="9" t="str">
        <f ca="1">IFERROR(IF(AND(VLOOKUP(A1834, 'Актуальное состояние (из общего'!A:C,3,0) = "", A1834 &lt;&gt; ""), "ПРОВЕРИТЬ", VLOOKUP(A1834, 'Актуальное состояние (из общего'!A:C,3,0)), "")</f>
        <v/>
      </c>
      <c r="U1834" s="9" t="s">
        <v>13284</v>
      </c>
      <c r="V1834" s="9" t="s">
        <v>13284</v>
      </c>
      <c r="W1834" s="12"/>
      <c r="X1834" s="9" t="str">
        <f t="array" ref="X1834">IFERROR(INDEX('Адреса общежитий (скрытый)'!$B$2:$B$9, MATCH(W1834, 'Адреса общежитий (скрытый)'!$A$2:$A$9, 0)), "")</f>
        <v/>
      </c>
      <c r="Y1834" s="18"/>
      <c r="Z1834" s="18"/>
      <c r="AA1834" s="18"/>
      <c r="AB1834" s="18"/>
      <c r="AC1834" s="18"/>
    </row>
    <row r="1835" spans="1:29" ht="32.25" hidden="1" customHeight="1">
      <c r="A1835" s="17"/>
      <c r="B1835" s="9" t="s">
        <v>13284</v>
      </c>
      <c r="C1835" s="9" t="s">
        <v>13284</v>
      </c>
      <c r="D1835" s="9" t="s">
        <v>13284</v>
      </c>
      <c r="E1835" s="9" t="s">
        <v>13284</v>
      </c>
      <c r="F1835" s="9" t="s">
        <v>13284</v>
      </c>
      <c r="G1835" s="9" t="s">
        <v>13284</v>
      </c>
      <c r="H1835" s="9" t="s">
        <v>13284</v>
      </c>
      <c r="I1835" s="9" t="s">
        <v>13284</v>
      </c>
      <c r="J1835" s="9" t="s">
        <v>13284</v>
      </c>
      <c r="K1835" s="9" t="s">
        <v>13284</v>
      </c>
      <c r="L1835" s="9" t="s">
        <v>13284</v>
      </c>
      <c r="M1835" s="9" t="s">
        <v>13284</v>
      </c>
      <c r="N1835" s="9" t="s">
        <v>13284</v>
      </c>
      <c r="O1835" s="9" t="s">
        <v>13284</v>
      </c>
      <c r="P1835" s="9" t="s">
        <v>13284</v>
      </c>
      <c r="Q1835" s="9" t="s">
        <v>13284</v>
      </c>
      <c r="R1835" s="9" t="s">
        <v>13284</v>
      </c>
      <c r="S1835" s="9" t="s">
        <v>13284</v>
      </c>
      <c r="T1835" s="9" t="str">
        <f ca="1">IFERROR(IF(AND(VLOOKUP(A1835, 'Актуальное состояние (из общего'!A:C,3,0) = "", A1835 &lt;&gt; ""), "ПРОВЕРИТЬ", VLOOKUP(A1835, 'Актуальное состояние (из общего'!A:C,3,0)), "")</f>
        <v/>
      </c>
      <c r="U1835" s="9" t="s">
        <v>13284</v>
      </c>
      <c r="V1835" s="9" t="s">
        <v>13284</v>
      </c>
      <c r="W1835" s="12"/>
      <c r="X1835" s="9" t="str">
        <f t="array" ref="X1835">IFERROR(INDEX('Адреса общежитий (скрытый)'!$B$2:$B$9, MATCH(W1835, 'Адреса общежитий (скрытый)'!$A$2:$A$9, 0)), "")</f>
        <v/>
      </c>
      <c r="Y1835" s="18"/>
      <c r="Z1835" s="18"/>
      <c r="AA1835" s="18"/>
      <c r="AB1835" s="18"/>
      <c r="AC1835" s="18"/>
    </row>
    <row r="1836" spans="1:29" ht="32.25" hidden="1" customHeight="1">
      <c r="A1836" s="17"/>
      <c r="B1836" s="9" t="s">
        <v>13284</v>
      </c>
      <c r="C1836" s="9" t="s">
        <v>13284</v>
      </c>
      <c r="D1836" s="9" t="s">
        <v>13284</v>
      </c>
      <c r="E1836" s="9" t="s">
        <v>13284</v>
      </c>
      <c r="F1836" s="9" t="s">
        <v>13284</v>
      </c>
      <c r="G1836" s="9" t="s">
        <v>13284</v>
      </c>
      <c r="H1836" s="9" t="s">
        <v>13284</v>
      </c>
      <c r="I1836" s="9" t="s">
        <v>13284</v>
      </c>
      <c r="J1836" s="9" t="s">
        <v>13284</v>
      </c>
      <c r="K1836" s="9" t="s">
        <v>13284</v>
      </c>
      <c r="L1836" s="9" t="s">
        <v>13284</v>
      </c>
      <c r="M1836" s="9" t="s">
        <v>13284</v>
      </c>
      <c r="N1836" s="9" t="s">
        <v>13284</v>
      </c>
      <c r="O1836" s="9" t="s">
        <v>13284</v>
      </c>
      <c r="P1836" s="9" t="s">
        <v>13284</v>
      </c>
      <c r="Q1836" s="9" t="s">
        <v>13284</v>
      </c>
      <c r="R1836" s="9" t="s">
        <v>13284</v>
      </c>
      <c r="S1836" s="9" t="s">
        <v>13284</v>
      </c>
      <c r="T1836" s="9" t="str">
        <f ca="1">IFERROR(IF(AND(VLOOKUP(A1836, 'Актуальное состояние (из общего'!A:C,3,0) = "", A1836 &lt;&gt; ""), "ПРОВЕРИТЬ", VLOOKUP(A1836, 'Актуальное состояние (из общего'!A:C,3,0)), "")</f>
        <v/>
      </c>
      <c r="U1836" s="9" t="s">
        <v>13284</v>
      </c>
      <c r="V1836" s="9" t="s">
        <v>13284</v>
      </c>
      <c r="W1836" s="12"/>
      <c r="X1836" s="9" t="str">
        <f t="array" ref="X1836">IFERROR(INDEX('Адреса общежитий (скрытый)'!$B$2:$B$9, MATCH(W1836, 'Адреса общежитий (скрытый)'!$A$2:$A$9, 0)), "")</f>
        <v/>
      </c>
      <c r="Y1836" s="18"/>
      <c r="Z1836" s="18"/>
      <c r="AA1836" s="18"/>
      <c r="AB1836" s="18"/>
      <c r="AC1836" s="18"/>
    </row>
    <row r="1837" spans="1:29" ht="32.25" hidden="1" customHeight="1">
      <c r="A1837" s="17"/>
      <c r="B1837" s="9" t="s">
        <v>13284</v>
      </c>
      <c r="C1837" s="9" t="s">
        <v>13284</v>
      </c>
      <c r="D1837" s="9" t="s">
        <v>13284</v>
      </c>
      <c r="E1837" s="9" t="s">
        <v>13284</v>
      </c>
      <c r="F1837" s="9" t="s">
        <v>13284</v>
      </c>
      <c r="G1837" s="9" t="s">
        <v>13284</v>
      </c>
      <c r="H1837" s="9" t="s">
        <v>13284</v>
      </c>
      <c r="I1837" s="9" t="s">
        <v>13284</v>
      </c>
      <c r="J1837" s="9" t="s">
        <v>13284</v>
      </c>
      <c r="K1837" s="9" t="s">
        <v>13284</v>
      </c>
      <c r="L1837" s="9" t="s">
        <v>13284</v>
      </c>
      <c r="M1837" s="9" t="s">
        <v>13284</v>
      </c>
      <c r="N1837" s="9" t="s">
        <v>13284</v>
      </c>
      <c r="O1837" s="9" t="s">
        <v>13284</v>
      </c>
      <c r="P1837" s="9" t="s">
        <v>13284</v>
      </c>
      <c r="Q1837" s="9" t="s">
        <v>13284</v>
      </c>
      <c r="R1837" s="9" t="s">
        <v>13284</v>
      </c>
      <c r="S1837" s="9" t="s">
        <v>13284</v>
      </c>
      <c r="T1837" s="9" t="str">
        <f ca="1">IFERROR(IF(AND(VLOOKUP(A1837, 'Актуальное состояние (из общего'!A:C,3,0) = "", A1837 &lt;&gt; ""), "ПРОВЕРИТЬ", VLOOKUP(A1837, 'Актуальное состояние (из общего'!A:C,3,0)), "")</f>
        <v/>
      </c>
      <c r="U1837" s="9" t="s">
        <v>13284</v>
      </c>
      <c r="V1837" s="9" t="s">
        <v>13284</v>
      </c>
      <c r="W1837" s="12"/>
      <c r="X1837" s="9" t="str">
        <f t="array" ref="X1837">IFERROR(INDEX('Адреса общежитий (скрытый)'!$B$2:$B$9, MATCH(W1837, 'Адреса общежитий (скрытый)'!$A$2:$A$9, 0)), "")</f>
        <v/>
      </c>
      <c r="Y1837" s="18"/>
      <c r="Z1837" s="18"/>
      <c r="AA1837" s="18"/>
      <c r="AB1837" s="18"/>
      <c r="AC1837" s="18"/>
    </row>
    <row r="1838" spans="1:29" ht="32.25" hidden="1" customHeight="1">
      <c r="A1838" s="17"/>
      <c r="B1838" s="9" t="s">
        <v>13284</v>
      </c>
      <c r="C1838" s="9" t="s">
        <v>13284</v>
      </c>
      <c r="D1838" s="9" t="s">
        <v>13284</v>
      </c>
      <c r="E1838" s="9" t="s">
        <v>13284</v>
      </c>
      <c r="F1838" s="9" t="s">
        <v>13284</v>
      </c>
      <c r="G1838" s="9" t="s">
        <v>13284</v>
      </c>
      <c r="H1838" s="9" t="s">
        <v>13284</v>
      </c>
      <c r="I1838" s="9" t="s">
        <v>13284</v>
      </c>
      <c r="J1838" s="9" t="s">
        <v>13284</v>
      </c>
      <c r="K1838" s="9" t="s">
        <v>13284</v>
      </c>
      <c r="L1838" s="9" t="s">
        <v>13284</v>
      </c>
      <c r="M1838" s="9" t="s">
        <v>13284</v>
      </c>
      <c r="N1838" s="9" t="s">
        <v>13284</v>
      </c>
      <c r="O1838" s="9" t="s">
        <v>13284</v>
      </c>
      <c r="P1838" s="9" t="s">
        <v>13284</v>
      </c>
      <c r="Q1838" s="9" t="s">
        <v>13284</v>
      </c>
      <c r="R1838" s="9" t="s">
        <v>13284</v>
      </c>
      <c r="S1838" s="9" t="s">
        <v>13284</v>
      </c>
      <c r="T1838" s="9" t="str">
        <f ca="1">IFERROR(IF(AND(VLOOKUP(A1838, 'Актуальное состояние (из общего'!A:C,3,0) = "", A1838 &lt;&gt; ""), "ПРОВЕРИТЬ", VLOOKUP(A1838, 'Актуальное состояние (из общего'!A:C,3,0)), "")</f>
        <v/>
      </c>
      <c r="U1838" s="9" t="s">
        <v>13284</v>
      </c>
      <c r="V1838" s="9" t="s">
        <v>13284</v>
      </c>
      <c r="W1838" s="12"/>
      <c r="X1838" s="9" t="str">
        <f t="array" ref="X1838">IFERROR(INDEX('Адреса общежитий (скрытый)'!$B$2:$B$9, MATCH(W1838, 'Адреса общежитий (скрытый)'!$A$2:$A$9, 0)), "")</f>
        <v/>
      </c>
      <c r="Y1838" s="18"/>
      <c r="Z1838" s="18"/>
      <c r="AA1838" s="18"/>
      <c r="AB1838" s="18"/>
      <c r="AC1838" s="18"/>
    </row>
    <row r="1839" spans="1:29" ht="32.25" hidden="1" customHeight="1">
      <c r="A1839" s="17"/>
      <c r="B1839" s="9" t="s">
        <v>13284</v>
      </c>
      <c r="C1839" s="9" t="s">
        <v>13284</v>
      </c>
      <c r="D1839" s="9" t="s">
        <v>13284</v>
      </c>
      <c r="E1839" s="9" t="s">
        <v>13284</v>
      </c>
      <c r="F1839" s="9" t="s">
        <v>13284</v>
      </c>
      <c r="G1839" s="9" t="s">
        <v>13284</v>
      </c>
      <c r="H1839" s="9" t="s">
        <v>13284</v>
      </c>
      <c r="I1839" s="9" t="s">
        <v>13284</v>
      </c>
      <c r="J1839" s="9" t="s">
        <v>13284</v>
      </c>
      <c r="K1839" s="9" t="s">
        <v>13284</v>
      </c>
      <c r="L1839" s="9" t="s">
        <v>13284</v>
      </c>
      <c r="M1839" s="9" t="s">
        <v>13284</v>
      </c>
      <c r="N1839" s="9" t="s">
        <v>13284</v>
      </c>
      <c r="O1839" s="9" t="s">
        <v>13284</v>
      </c>
      <c r="P1839" s="9" t="s">
        <v>13284</v>
      </c>
      <c r="Q1839" s="9" t="s">
        <v>13284</v>
      </c>
      <c r="R1839" s="9" t="s">
        <v>13284</v>
      </c>
      <c r="S1839" s="9" t="s">
        <v>13284</v>
      </c>
      <c r="T1839" s="9" t="str">
        <f ca="1">IFERROR(IF(AND(VLOOKUP(A1839, 'Актуальное состояние (из общего'!A:C,3,0) = "", A1839 &lt;&gt; ""), "ПРОВЕРИТЬ", VLOOKUP(A1839, 'Актуальное состояние (из общего'!A:C,3,0)), "")</f>
        <v/>
      </c>
      <c r="U1839" s="9" t="s">
        <v>13284</v>
      </c>
      <c r="V1839" s="9" t="s">
        <v>13284</v>
      </c>
      <c r="W1839" s="12"/>
      <c r="X1839" s="9" t="str">
        <f t="array" ref="X1839">IFERROR(INDEX('Адреса общежитий (скрытый)'!$B$2:$B$9, MATCH(W1839, 'Адреса общежитий (скрытый)'!$A$2:$A$9, 0)), "")</f>
        <v/>
      </c>
      <c r="Y1839" s="18"/>
      <c r="Z1839" s="18"/>
      <c r="AA1839" s="18"/>
      <c r="AB1839" s="18"/>
      <c r="AC1839" s="18"/>
    </row>
    <row r="1840" spans="1:29" ht="32.25" hidden="1" customHeight="1">
      <c r="A1840" s="17"/>
      <c r="B1840" s="9" t="s">
        <v>13284</v>
      </c>
      <c r="C1840" s="9" t="s">
        <v>13284</v>
      </c>
      <c r="D1840" s="9" t="s">
        <v>13284</v>
      </c>
      <c r="E1840" s="9" t="s">
        <v>13284</v>
      </c>
      <c r="F1840" s="9" t="s">
        <v>13284</v>
      </c>
      <c r="G1840" s="9" t="s">
        <v>13284</v>
      </c>
      <c r="H1840" s="9" t="s">
        <v>13284</v>
      </c>
      <c r="I1840" s="9" t="s">
        <v>13284</v>
      </c>
      <c r="J1840" s="9" t="s">
        <v>13284</v>
      </c>
      <c r="K1840" s="9" t="s">
        <v>13284</v>
      </c>
      <c r="L1840" s="9" t="s">
        <v>13284</v>
      </c>
      <c r="M1840" s="9" t="s">
        <v>13284</v>
      </c>
      <c r="N1840" s="9" t="s">
        <v>13284</v>
      </c>
      <c r="O1840" s="9" t="s">
        <v>13284</v>
      </c>
      <c r="P1840" s="9" t="s">
        <v>13284</v>
      </c>
      <c r="Q1840" s="9" t="s">
        <v>13284</v>
      </c>
      <c r="R1840" s="9" t="s">
        <v>13284</v>
      </c>
      <c r="S1840" s="9" t="s">
        <v>13284</v>
      </c>
      <c r="T1840" s="9" t="str">
        <f ca="1">IFERROR(IF(AND(VLOOKUP(A1840, 'Актуальное состояние (из общего'!A:C,3,0) = "", A1840 &lt;&gt; ""), "ПРОВЕРИТЬ", VLOOKUP(A1840, 'Актуальное состояние (из общего'!A:C,3,0)), "")</f>
        <v/>
      </c>
      <c r="U1840" s="9" t="s">
        <v>13284</v>
      </c>
      <c r="V1840" s="9" t="s">
        <v>13284</v>
      </c>
      <c r="W1840" s="12"/>
      <c r="X1840" s="9" t="str">
        <f t="array" ref="X1840">IFERROR(INDEX('Адреса общежитий (скрытый)'!$B$2:$B$9, MATCH(W1840, 'Адреса общежитий (скрытый)'!$A$2:$A$9, 0)), "")</f>
        <v/>
      </c>
      <c r="Y1840" s="18"/>
      <c r="Z1840" s="18"/>
      <c r="AA1840" s="18"/>
      <c r="AB1840" s="18"/>
      <c r="AC1840" s="18"/>
    </row>
    <row r="1841" spans="1:29" ht="32.25" hidden="1" customHeight="1">
      <c r="A1841" s="17"/>
      <c r="B1841" s="9" t="s">
        <v>13284</v>
      </c>
      <c r="C1841" s="9" t="s">
        <v>13284</v>
      </c>
      <c r="D1841" s="9" t="s">
        <v>13284</v>
      </c>
      <c r="E1841" s="9" t="s">
        <v>13284</v>
      </c>
      <c r="F1841" s="9" t="s">
        <v>13284</v>
      </c>
      <c r="G1841" s="9" t="s">
        <v>13284</v>
      </c>
      <c r="H1841" s="9" t="s">
        <v>13284</v>
      </c>
      <c r="I1841" s="9" t="s">
        <v>13284</v>
      </c>
      <c r="J1841" s="9" t="s">
        <v>13284</v>
      </c>
      <c r="K1841" s="9" t="s">
        <v>13284</v>
      </c>
      <c r="L1841" s="9" t="s">
        <v>13284</v>
      </c>
      <c r="M1841" s="9" t="s">
        <v>13284</v>
      </c>
      <c r="N1841" s="9" t="s">
        <v>13284</v>
      </c>
      <c r="O1841" s="9" t="s">
        <v>13284</v>
      </c>
      <c r="P1841" s="9" t="s">
        <v>13284</v>
      </c>
      <c r="Q1841" s="9" t="s">
        <v>13284</v>
      </c>
      <c r="R1841" s="9" t="s">
        <v>13284</v>
      </c>
      <c r="S1841" s="9" t="s">
        <v>13284</v>
      </c>
      <c r="T1841" s="9" t="str">
        <f ca="1">IFERROR(IF(AND(VLOOKUP(A1841, 'Актуальное состояние (из общего'!A:C,3,0) = "", A1841 &lt;&gt; ""), "ПРОВЕРИТЬ", VLOOKUP(A1841, 'Актуальное состояние (из общего'!A:C,3,0)), "")</f>
        <v/>
      </c>
      <c r="U1841" s="9" t="s">
        <v>13284</v>
      </c>
      <c r="V1841" s="9" t="s">
        <v>13284</v>
      </c>
      <c r="W1841" s="12"/>
      <c r="X1841" s="9" t="str">
        <f t="array" ref="X1841">IFERROR(INDEX('Адреса общежитий (скрытый)'!$B$2:$B$9, MATCH(W1841, 'Адреса общежитий (скрытый)'!$A$2:$A$9, 0)), "")</f>
        <v/>
      </c>
      <c r="Y1841" s="18"/>
      <c r="Z1841" s="18"/>
      <c r="AA1841" s="18"/>
      <c r="AB1841" s="18"/>
      <c r="AC1841" s="18"/>
    </row>
    <row r="1842" spans="1:29" ht="32.25" hidden="1" customHeight="1">
      <c r="A1842" s="17"/>
      <c r="B1842" s="9" t="s">
        <v>13284</v>
      </c>
      <c r="C1842" s="9" t="s">
        <v>13284</v>
      </c>
      <c r="D1842" s="9" t="s">
        <v>13284</v>
      </c>
      <c r="E1842" s="9" t="s">
        <v>13284</v>
      </c>
      <c r="F1842" s="9" t="s">
        <v>13284</v>
      </c>
      <c r="G1842" s="9" t="s">
        <v>13284</v>
      </c>
      <c r="H1842" s="9" t="s">
        <v>13284</v>
      </c>
      <c r="I1842" s="9" t="s">
        <v>13284</v>
      </c>
      <c r="J1842" s="9" t="s">
        <v>13284</v>
      </c>
      <c r="K1842" s="9" t="s">
        <v>13284</v>
      </c>
      <c r="L1842" s="9" t="s">
        <v>13284</v>
      </c>
      <c r="M1842" s="9" t="s">
        <v>13284</v>
      </c>
      <c r="N1842" s="9" t="s">
        <v>13284</v>
      </c>
      <c r="O1842" s="9" t="s">
        <v>13284</v>
      </c>
      <c r="P1842" s="9" t="s">
        <v>13284</v>
      </c>
      <c r="Q1842" s="9" t="s">
        <v>13284</v>
      </c>
      <c r="R1842" s="9" t="s">
        <v>13284</v>
      </c>
      <c r="S1842" s="9" t="s">
        <v>13284</v>
      </c>
      <c r="T1842" s="9" t="str">
        <f ca="1">IFERROR(IF(AND(VLOOKUP(A1842, 'Актуальное состояние (из общего'!A:C,3,0) = "", A1842 &lt;&gt; ""), "ПРОВЕРИТЬ", VLOOKUP(A1842, 'Актуальное состояние (из общего'!A:C,3,0)), "")</f>
        <v/>
      </c>
      <c r="U1842" s="9" t="s">
        <v>13284</v>
      </c>
      <c r="V1842" s="9" t="s">
        <v>13284</v>
      </c>
      <c r="W1842" s="12"/>
      <c r="X1842" s="9" t="str">
        <f t="array" ref="X1842">IFERROR(INDEX('Адреса общежитий (скрытый)'!$B$2:$B$9, MATCH(W1842, 'Адреса общежитий (скрытый)'!$A$2:$A$9, 0)), "")</f>
        <v/>
      </c>
      <c r="Y1842" s="18"/>
      <c r="Z1842" s="18"/>
      <c r="AA1842" s="18"/>
      <c r="AB1842" s="18"/>
      <c r="AC1842" s="18"/>
    </row>
    <row r="1843" spans="1:29" ht="32.25" hidden="1" customHeight="1">
      <c r="A1843" s="17"/>
      <c r="B1843" s="9" t="s">
        <v>13284</v>
      </c>
      <c r="C1843" s="9" t="s">
        <v>13284</v>
      </c>
      <c r="D1843" s="9" t="s">
        <v>13284</v>
      </c>
      <c r="E1843" s="9" t="s">
        <v>13284</v>
      </c>
      <c r="F1843" s="9" t="s">
        <v>13284</v>
      </c>
      <c r="G1843" s="9" t="s">
        <v>13284</v>
      </c>
      <c r="H1843" s="9" t="s">
        <v>13284</v>
      </c>
      <c r="I1843" s="9" t="s">
        <v>13284</v>
      </c>
      <c r="J1843" s="9" t="s">
        <v>13284</v>
      </c>
      <c r="K1843" s="9" t="s">
        <v>13284</v>
      </c>
      <c r="L1843" s="9" t="s">
        <v>13284</v>
      </c>
      <c r="M1843" s="9" t="s">
        <v>13284</v>
      </c>
      <c r="N1843" s="9" t="s">
        <v>13284</v>
      </c>
      <c r="O1843" s="9" t="s">
        <v>13284</v>
      </c>
      <c r="P1843" s="9" t="s">
        <v>13284</v>
      </c>
      <c r="Q1843" s="9" t="s">
        <v>13284</v>
      </c>
      <c r="R1843" s="9" t="s">
        <v>13284</v>
      </c>
      <c r="S1843" s="9" t="s">
        <v>13284</v>
      </c>
      <c r="T1843" s="9" t="str">
        <f ca="1">IFERROR(IF(AND(VLOOKUP(A1843, 'Актуальное состояние (из общего'!A:C,3,0) = "", A1843 &lt;&gt; ""), "ПРОВЕРИТЬ", VLOOKUP(A1843, 'Актуальное состояние (из общего'!A:C,3,0)), "")</f>
        <v/>
      </c>
      <c r="U1843" s="9" t="s">
        <v>13284</v>
      </c>
      <c r="V1843" s="9" t="s">
        <v>13284</v>
      </c>
      <c r="W1843" s="12"/>
      <c r="X1843" s="9" t="str">
        <f t="array" ref="X1843">IFERROR(INDEX('Адреса общежитий (скрытый)'!$B$2:$B$9, MATCH(W1843, 'Адреса общежитий (скрытый)'!$A$2:$A$9, 0)), "")</f>
        <v/>
      </c>
      <c r="Y1843" s="18"/>
      <c r="Z1843" s="18"/>
      <c r="AA1843" s="18"/>
      <c r="AB1843" s="18"/>
      <c r="AC1843" s="18"/>
    </row>
    <row r="1844" spans="1:29" ht="32.25" hidden="1" customHeight="1">
      <c r="A1844" s="17"/>
      <c r="B1844" s="9" t="s">
        <v>13284</v>
      </c>
      <c r="C1844" s="9" t="s">
        <v>13284</v>
      </c>
      <c r="D1844" s="9" t="s">
        <v>13284</v>
      </c>
      <c r="E1844" s="9" t="s">
        <v>13284</v>
      </c>
      <c r="F1844" s="9" t="s">
        <v>13284</v>
      </c>
      <c r="G1844" s="9" t="s">
        <v>13284</v>
      </c>
      <c r="H1844" s="9" t="s">
        <v>13284</v>
      </c>
      <c r="I1844" s="9" t="s">
        <v>13284</v>
      </c>
      <c r="J1844" s="9" t="s">
        <v>13284</v>
      </c>
      <c r="K1844" s="9" t="s">
        <v>13284</v>
      </c>
      <c r="L1844" s="9" t="s">
        <v>13284</v>
      </c>
      <c r="M1844" s="9" t="s">
        <v>13284</v>
      </c>
      <c r="N1844" s="9" t="s">
        <v>13284</v>
      </c>
      <c r="O1844" s="9" t="s">
        <v>13284</v>
      </c>
      <c r="P1844" s="9" t="s">
        <v>13284</v>
      </c>
      <c r="Q1844" s="9" t="s">
        <v>13284</v>
      </c>
      <c r="R1844" s="9" t="s">
        <v>13284</v>
      </c>
      <c r="S1844" s="9" t="s">
        <v>13284</v>
      </c>
      <c r="T1844" s="9" t="str">
        <f ca="1">IFERROR(IF(AND(VLOOKUP(A1844, 'Актуальное состояние (из общего'!A:C,3,0) = "", A1844 &lt;&gt; ""), "ПРОВЕРИТЬ", VLOOKUP(A1844, 'Актуальное состояние (из общего'!A:C,3,0)), "")</f>
        <v/>
      </c>
      <c r="U1844" s="9" t="s">
        <v>13284</v>
      </c>
      <c r="V1844" s="9" t="s">
        <v>13284</v>
      </c>
      <c r="W1844" s="12"/>
      <c r="X1844" s="9" t="str">
        <f t="array" ref="X1844">IFERROR(INDEX('Адреса общежитий (скрытый)'!$B$2:$B$9, MATCH(W1844, 'Адреса общежитий (скрытый)'!$A$2:$A$9, 0)), "")</f>
        <v/>
      </c>
      <c r="Y1844" s="18"/>
      <c r="Z1844" s="18"/>
      <c r="AA1844" s="18"/>
      <c r="AB1844" s="18"/>
      <c r="AC1844" s="18"/>
    </row>
    <row r="1845" spans="1:29" ht="32.25" hidden="1" customHeight="1">
      <c r="A1845" s="17"/>
      <c r="B1845" s="9" t="s">
        <v>13284</v>
      </c>
      <c r="C1845" s="9" t="s">
        <v>13284</v>
      </c>
      <c r="D1845" s="9" t="s">
        <v>13284</v>
      </c>
      <c r="E1845" s="9" t="s">
        <v>13284</v>
      </c>
      <c r="F1845" s="9" t="s">
        <v>13284</v>
      </c>
      <c r="G1845" s="9" t="s">
        <v>13284</v>
      </c>
      <c r="H1845" s="9" t="s">
        <v>13284</v>
      </c>
      <c r="I1845" s="9" t="s">
        <v>13284</v>
      </c>
      <c r="J1845" s="9" t="s">
        <v>13284</v>
      </c>
      <c r="K1845" s="9" t="s">
        <v>13284</v>
      </c>
      <c r="L1845" s="9" t="s">
        <v>13284</v>
      </c>
      <c r="M1845" s="9" t="s">
        <v>13284</v>
      </c>
      <c r="N1845" s="9" t="s">
        <v>13284</v>
      </c>
      <c r="O1845" s="9" t="s">
        <v>13284</v>
      </c>
      <c r="P1845" s="9" t="s">
        <v>13284</v>
      </c>
      <c r="Q1845" s="9" t="s">
        <v>13284</v>
      </c>
      <c r="R1845" s="9" t="s">
        <v>13284</v>
      </c>
      <c r="S1845" s="9" t="s">
        <v>13284</v>
      </c>
      <c r="T1845" s="9" t="str">
        <f ca="1">IFERROR(IF(AND(VLOOKUP(A1845, 'Актуальное состояние (из общего'!A:C,3,0) = "", A1845 &lt;&gt; ""), "ПРОВЕРИТЬ", VLOOKUP(A1845, 'Актуальное состояние (из общего'!A:C,3,0)), "")</f>
        <v/>
      </c>
      <c r="U1845" s="9" t="s">
        <v>13284</v>
      </c>
      <c r="V1845" s="9" t="s">
        <v>13284</v>
      </c>
      <c r="W1845" s="12"/>
      <c r="X1845" s="9" t="str">
        <f t="array" ref="X1845">IFERROR(INDEX('Адреса общежитий (скрытый)'!$B$2:$B$9, MATCH(W1845, 'Адреса общежитий (скрытый)'!$A$2:$A$9, 0)), "")</f>
        <v/>
      </c>
      <c r="Y1845" s="18"/>
      <c r="Z1845" s="18"/>
      <c r="AA1845" s="18"/>
      <c r="AB1845" s="18"/>
      <c r="AC1845" s="18"/>
    </row>
    <row r="1846" spans="1:29" ht="32.25" hidden="1" customHeight="1">
      <c r="A1846" s="17"/>
      <c r="B1846" s="9" t="s">
        <v>13284</v>
      </c>
      <c r="C1846" s="9" t="s">
        <v>13284</v>
      </c>
      <c r="D1846" s="9" t="s">
        <v>13284</v>
      </c>
      <c r="E1846" s="9" t="s">
        <v>13284</v>
      </c>
      <c r="F1846" s="9" t="s">
        <v>13284</v>
      </c>
      <c r="G1846" s="9" t="s">
        <v>13284</v>
      </c>
      <c r="H1846" s="9" t="s">
        <v>13284</v>
      </c>
      <c r="I1846" s="9" t="s">
        <v>13284</v>
      </c>
      <c r="J1846" s="9" t="s">
        <v>13284</v>
      </c>
      <c r="K1846" s="9" t="s">
        <v>13284</v>
      </c>
      <c r="L1846" s="9" t="s">
        <v>13284</v>
      </c>
      <c r="M1846" s="9" t="s">
        <v>13284</v>
      </c>
      <c r="N1846" s="9" t="s">
        <v>13284</v>
      </c>
      <c r="O1846" s="9" t="s">
        <v>13284</v>
      </c>
      <c r="P1846" s="9" t="s">
        <v>13284</v>
      </c>
      <c r="Q1846" s="9" t="s">
        <v>13284</v>
      </c>
      <c r="R1846" s="9" t="s">
        <v>13284</v>
      </c>
      <c r="S1846" s="9" t="s">
        <v>13284</v>
      </c>
      <c r="T1846" s="9" t="str">
        <f ca="1">IFERROR(IF(AND(VLOOKUP(A1846, 'Актуальное состояние (из общего'!A:C,3,0) = "", A1846 &lt;&gt; ""), "ПРОВЕРИТЬ", VLOOKUP(A1846, 'Актуальное состояние (из общего'!A:C,3,0)), "")</f>
        <v/>
      </c>
      <c r="U1846" s="9" t="s">
        <v>13284</v>
      </c>
      <c r="V1846" s="9" t="s">
        <v>13284</v>
      </c>
      <c r="W1846" s="12"/>
      <c r="X1846" s="9" t="str">
        <f t="array" ref="X1846">IFERROR(INDEX('Адреса общежитий (скрытый)'!$B$2:$B$9, MATCH(W1846, 'Адреса общежитий (скрытый)'!$A$2:$A$9, 0)), "")</f>
        <v/>
      </c>
      <c r="Y1846" s="18"/>
      <c r="Z1846" s="18"/>
      <c r="AA1846" s="18"/>
      <c r="AB1846" s="18"/>
      <c r="AC1846" s="18"/>
    </row>
    <row r="1847" spans="1:29" ht="32.25" hidden="1" customHeight="1">
      <c r="A1847" s="17"/>
      <c r="B1847" s="9" t="s">
        <v>13284</v>
      </c>
      <c r="C1847" s="9" t="s">
        <v>13284</v>
      </c>
      <c r="D1847" s="9" t="s">
        <v>13284</v>
      </c>
      <c r="E1847" s="9" t="s">
        <v>13284</v>
      </c>
      <c r="F1847" s="9" t="s">
        <v>13284</v>
      </c>
      <c r="G1847" s="9" t="s">
        <v>13284</v>
      </c>
      <c r="H1847" s="9" t="s">
        <v>13284</v>
      </c>
      <c r="I1847" s="9" t="s">
        <v>13284</v>
      </c>
      <c r="J1847" s="9" t="s">
        <v>13284</v>
      </c>
      <c r="K1847" s="9" t="s">
        <v>13284</v>
      </c>
      <c r="L1847" s="9" t="s">
        <v>13284</v>
      </c>
      <c r="M1847" s="9" t="s">
        <v>13284</v>
      </c>
      <c r="N1847" s="9" t="s">
        <v>13284</v>
      </c>
      <c r="O1847" s="9" t="s">
        <v>13284</v>
      </c>
      <c r="P1847" s="9" t="s">
        <v>13284</v>
      </c>
      <c r="Q1847" s="9" t="s">
        <v>13284</v>
      </c>
      <c r="R1847" s="9" t="s">
        <v>13284</v>
      </c>
      <c r="S1847" s="9" t="s">
        <v>13284</v>
      </c>
      <c r="T1847" s="9" t="str">
        <f ca="1">IFERROR(IF(AND(VLOOKUP(A1847, 'Актуальное состояние (из общего'!A:C,3,0) = "", A1847 &lt;&gt; ""), "ПРОВЕРИТЬ", VLOOKUP(A1847, 'Актуальное состояние (из общего'!A:C,3,0)), "")</f>
        <v/>
      </c>
      <c r="U1847" s="9" t="s">
        <v>13284</v>
      </c>
      <c r="V1847" s="9" t="s">
        <v>13284</v>
      </c>
      <c r="W1847" s="12"/>
      <c r="X1847" s="9" t="str">
        <f t="array" ref="X1847">IFERROR(INDEX('Адреса общежитий (скрытый)'!$B$2:$B$9, MATCH(W1847, 'Адреса общежитий (скрытый)'!$A$2:$A$9, 0)), "")</f>
        <v/>
      </c>
      <c r="Y1847" s="18"/>
      <c r="Z1847" s="18"/>
      <c r="AA1847" s="18"/>
      <c r="AB1847" s="18"/>
      <c r="AC1847" s="18"/>
    </row>
    <row r="1848" spans="1:29" ht="32.25" hidden="1" customHeight="1">
      <c r="A1848" s="17"/>
      <c r="B1848" s="9" t="s">
        <v>13284</v>
      </c>
      <c r="C1848" s="9" t="s">
        <v>13284</v>
      </c>
      <c r="D1848" s="9" t="s">
        <v>13284</v>
      </c>
      <c r="E1848" s="9" t="s">
        <v>13284</v>
      </c>
      <c r="F1848" s="9" t="s">
        <v>13284</v>
      </c>
      <c r="G1848" s="9" t="s">
        <v>13284</v>
      </c>
      <c r="H1848" s="9" t="s">
        <v>13284</v>
      </c>
      <c r="I1848" s="9" t="s">
        <v>13284</v>
      </c>
      <c r="J1848" s="9" t="s">
        <v>13284</v>
      </c>
      <c r="K1848" s="9" t="s">
        <v>13284</v>
      </c>
      <c r="L1848" s="9" t="s">
        <v>13284</v>
      </c>
      <c r="M1848" s="9" t="s">
        <v>13284</v>
      </c>
      <c r="N1848" s="9" t="s">
        <v>13284</v>
      </c>
      <c r="O1848" s="9" t="s">
        <v>13284</v>
      </c>
      <c r="P1848" s="9" t="s">
        <v>13284</v>
      </c>
      <c r="Q1848" s="9" t="s">
        <v>13284</v>
      </c>
      <c r="R1848" s="9" t="s">
        <v>13284</v>
      </c>
      <c r="S1848" s="9" t="s">
        <v>13284</v>
      </c>
      <c r="T1848" s="9" t="str">
        <f ca="1">IFERROR(IF(AND(VLOOKUP(A1848, 'Актуальное состояние (из общего'!A:C,3,0) = "", A1848 &lt;&gt; ""), "ПРОВЕРИТЬ", VLOOKUP(A1848, 'Актуальное состояние (из общего'!A:C,3,0)), "")</f>
        <v/>
      </c>
      <c r="U1848" s="9" t="s">
        <v>13284</v>
      </c>
      <c r="V1848" s="9" t="s">
        <v>13284</v>
      </c>
      <c r="W1848" s="12"/>
      <c r="X1848" s="9" t="str">
        <f t="array" ref="X1848">IFERROR(INDEX('Адреса общежитий (скрытый)'!$B$2:$B$9, MATCH(W1848, 'Адреса общежитий (скрытый)'!$A$2:$A$9, 0)), "")</f>
        <v/>
      </c>
      <c r="Y1848" s="18"/>
      <c r="Z1848" s="18"/>
      <c r="AA1848" s="18"/>
      <c r="AB1848" s="18"/>
      <c r="AC1848" s="18"/>
    </row>
    <row r="1849" spans="1:29" ht="32.25" hidden="1" customHeight="1">
      <c r="A1849" s="17"/>
      <c r="B1849" s="9" t="s">
        <v>13284</v>
      </c>
      <c r="C1849" s="9" t="s">
        <v>13284</v>
      </c>
      <c r="D1849" s="9" t="s">
        <v>13284</v>
      </c>
      <c r="E1849" s="9" t="s">
        <v>13284</v>
      </c>
      <c r="F1849" s="9" t="s">
        <v>13284</v>
      </c>
      <c r="G1849" s="9" t="s">
        <v>13284</v>
      </c>
      <c r="H1849" s="9" t="s">
        <v>13284</v>
      </c>
      <c r="I1849" s="9" t="s">
        <v>13284</v>
      </c>
      <c r="J1849" s="9" t="s">
        <v>13284</v>
      </c>
      <c r="K1849" s="9" t="s">
        <v>13284</v>
      </c>
      <c r="L1849" s="9" t="s">
        <v>13284</v>
      </c>
      <c r="M1849" s="9" t="s">
        <v>13284</v>
      </c>
      <c r="N1849" s="9" t="s">
        <v>13284</v>
      </c>
      <c r="O1849" s="9" t="s">
        <v>13284</v>
      </c>
      <c r="P1849" s="9" t="s">
        <v>13284</v>
      </c>
      <c r="Q1849" s="9" t="s">
        <v>13284</v>
      </c>
      <c r="R1849" s="9" t="s">
        <v>13284</v>
      </c>
      <c r="S1849" s="9" t="s">
        <v>13284</v>
      </c>
      <c r="T1849" s="9" t="str">
        <f ca="1">IFERROR(IF(AND(VLOOKUP(A1849, 'Актуальное состояние (из общего'!A:C,3,0) = "", A1849 &lt;&gt; ""), "ПРОВЕРИТЬ", VLOOKUP(A1849, 'Актуальное состояние (из общего'!A:C,3,0)), "")</f>
        <v/>
      </c>
      <c r="U1849" s="9" t="s">
        <v>13284</v>
      </c>
      <c r="V1849" s="9" t="s">
        <v>13284</v>
      </c>
      <c r="W1849" s="12"/>
      <c r="X1849" s="9" t="str">
        <f t="array" ref="X1849">IFERROR(INDEX('Адреса общежитий (скрытый)'!$B$2:$B$9, MATCH(W1849, 'Адреса общежитий (скрытый)'!$A$2:$A$9, 0)), "")</f>
        <v/>
      </c>
      <c r="Y1849" s="18"/>
      <c r="Z1849" s="18"/>
      <c r="AA1849" s="18"/>
      <c r="AB1849" s="18"/>
      <c r="AC1849" s="18"/>
    </row>
    <row r="1850" spans="1:29" ht="32.25" hidden="1" customHeight="1">
      <c r="A1850" s="17"/>
      <c r="B1850" s="9" t="s">
        <v>13284</v>
      </c>
      <c r="C1850" s="9" t="s">
        <v>13284</v>
      </c>
      <c r="D1850" s="9" t="s">
        <v>13284</v>
      </c>
      <c r="E1850" s="9" t="s">
        <v>13284</v>
      </c>
      <c r="F1850" s="9" t="s">
        <v>13284</v>
      </c>
      <c r="G1850" s="9" t="s">
        <v>13284</v>
      </c>
      <c r="H1850" s="9" t="s">
        <v>13284</v>
      </c>
      <c r="I1850" s="9" t="s">
        <v>13284</v>
      </c>
      <c r="J1850" s="9" t="s">
        <v>13284</v>
      </c>
      <c r="K1850" s="9" t="s">
        <v>13284</v>
      </c>
      <c r="L1850" s="9" t="s">
        <v>13284</v>
      </c>
      <c r="M1850" s="9" t="s">
        <v>13284</v>
      </c>
      <c r="N1850" s="9" t="s">
        <v>13284</v>
      </c>
      <c r="O1850" s="9" t="s">
        <v>13284</v>
      </c>
      <c r="P1850" s="9" t="s">
        <v>13284</v>
      </c>
      <c r="Q1850" s="9" t="s">
        <v>13284</v>
      </c>
      <c r="R1850" s="9" t="s">
        <v>13284</v>
      </c>
      <c r="S1850" s="9" t="s">
        <v>13284</v>
      </c>
      <c r="T1850" s="9" t="str">
        <f ca="1">IFERROR(IF(AND(VLOOKUP(A1850, 'Актуальное состояние (из общего'!A:C,3,0) = "", A1850 &lt;&gt; ""), "ПРОВЕРИТЬ", VLOOKUP(A1850, 'Актуальное состояние (из общего'!A:C,3,0)), "")</f>
        <v/>
      </c>
      <c r="U1850" s="9" t="s">
        <v>13284</v>
      </c>
      <c r="V1850" s="9" t="s">
        <v>13284</v>
      </c>
      <c r="W1850" s="12"/>
      <c r="X1850" s="9" t="str">
        <f t="array" ref="X1850">IFERROR(INDEX('Адреса общежитий (скрытый)'!$B$2:$B$9, MATCH(W1850, 'Адреса общежитий (скрытый)'!$A$2:$A$9, 0)), "")</f>
        <v/>
      </c>
      <c r="Y1850" s="18"/>
      <c r="Z1850" s="18"/>
      <c r="AA1850" s="18"/>
      <c r="AB1850" s="18"/>
      <c r="AC1850" s="18"/>
    </row>
    <row r="1851" spans="1:29" ht="32.25" hidden="1" customHeight="1">
      <c r="A1851" s="17"/>
      <c r="B1851" s="9" t="s">
        <v>13284</v>
      </c>
      <c r="C1851" s="9" t="s">
        <v>13284</v>
      </c>
      <c r="D1851" s="9" t="s">
        <v>13284</v>
      </c>
      <c r="E1851" s="9" t="s">
        <v>13284</v>
      </c>
      <c r="F1851" s="9" t="s">
        <v>13284</v>
      </c>
      <c r="G1851" s="9" t="s">
        <v>13284</v>
      </c>
      <c r="H1851" s="9" t="s">
        <v>13284</v>
      </c>
      <c r="I1851" s="9" t="s">
        <v>13284</v>
      </c>
      <c r="J1851" s="9" t="s">
        <v>13284</v>
      </c>
      <c r="K1851" s="9" t="s">
        <v>13284</v>
      </c>
      <c r="L1851" s="9" t="s">
        <v>13284</v>
      </c>
      <c r="M1851" s="9" t="s">
        <v>13284</v>
      </c>
      <c r="N1851" s="9" t="s">
        <v>13284</v>
      </c>
      <c r="O1851" s="9" t="s">
        <v>13284</v>
      </c>
      <c r="P1851" s="9" t="s">
        <v>13284</v>
      </c>
      <c r="Q1851" s="9" t="s">
        <v>13284</v>
      </c>
      <c r="R1851" s="9" t="s">
        <v>13284</v>
      </c>
      <c r="S1851" s="9" t="s">
        <v>13284</v>
      </c>
      <c r="T1851" s="9" t="str">
        <f ca="1">IFERROR(IF(AND(VLOOKUP(A1851, 'Актуальное состояние (из общего'!A:C,3,0) = "", A1851 &lt;&gt; ""), "ПРОВЕРИТЬ", VLOOKUP(A1851, 'Актуальное состояние (из общего'!A:C,3,0)), "")</f>
        <v/>
      </c>
      <c r="U1851" s="9" t="s">
        <v>13284</v>
      </c>
      <c r="V1851" s="9" t="s">
        <v>13284</v>
      </c>
      <c r="W1851" s="12"/>
      <c r="X1851" s="9" t="str">
        <f t="array" ref="X1851">IFERROR(INDEX('Адреса общежитий (скрытый)'!$B$2:$B$9, MATCH(W1851, 'Адреса общежитий (скрытый)'!$A$2:$A$9, 0)), "")</f>
        <v/>
      </c>
      <c r="Y1851" s="18"/>
      <c r="Z1851" s="18"/>
      <c r="AA1851" s="18"/>
      <c r="AB1851" s="18"/>
      <c r="AC1851" s="18"/>
    </row>
    <row r="1852" spans="1:29" ht="32.25" hidden="1" customHeight="1">
      <c r="A1852" s="17"/>
      <c r="B1852" s="9" t="s">
        <v>13284</v>
      </c>
      <c r="C1852" s="9" t="s">
        <v>13284</v>
      </c>
      <c r="D1852" s="9" t="s">
        <v>13284</v>
      </c>
      <c r="E1852" s="9" t="s">
        <v>13284</v>
      </c>
      <c r="F1852" s="9" t="s">
        <v>13284</v>
      </c>
      <c r="G1852" s="9" t="s">
        <v>13284</v>
      </c>
      <c r="H1852" s="9" t="s">
        <v>13284</v>
      </c>
      <c r="I1852" s="9" t="s">
        <v>13284</v>
      </c>
      <c r="J1852" s="9" t="s">
        <v>13284</v>
      </c>
      <c r="K1852" s="9" t="s">
        <v>13284</v>
      </c>
      <c r="L1852" s="9" t="s">
        <v>13284</v>
      </c>
      <c r="M1852" s="9" t="s">
        <v>13284</v>
      </c>
      <c r="N1852" s="9" t="s">
        <v>13284</v>
      </c>
      <c r="O1852" s="9" t="s">
        <v>13284</v>
      </c>
      <c r="P1852" s="9" t="s">
        <v>13284</v>
      </c>
      <c r="Q1852" s="9" t="s">
        <v>13284</v>
      </c>
      <c r="R1852" s="9" t="s">
        <v>13284</v>
      </c>
      <c r="S1852" s="9" t="s">
        <v>13284</v>
      </c>
      <c r="T1852" s="9" t="str">
        <f ca="1">IFERROR(IF(AND(VLOOKUP(A1852, 'Актуальное состояние (из общего'!A:C,3,0) = "", A1852 &lt;&gt; ""), "ПРОВЕРИТЬ", VLOOKUP(A1852, 'Актуальное состояние (из общего'!A:C,3,0)), "")</f>
        <v/>
      </c>
      <c r="U1852" s="9" t="s">
        <v>13284</v>
      </c>
      <c r="V1852" s="9" t="s">
        <v>13284</v>
      </c>
      <c r="W1852" s="12"/>
      <c r="X1852" s="9" t="str">
        <f t="array" ref="X1852">IFERROR(INDEX('Адреса общежитий (скрытый)'!$B$2:$B$9, MATCH(W1852, 'Адреса общежитий (скрытый)'!$A$2:$A$9, 0)), "")</f>
        <v/>
      </c>
      <c r="Y1852" s="18"/>
      <c r="Z1852" s="18"/>
      <c r="AA1852" s="18"/>
      <c r="AB1852" s="18"/>
      <c r="AC1852" s="18"/>
    </row>
    <row r="1853" spans="1:29" ht="32.25" hidden="1" customHeight="1">
      <c r="A1853" s="17"/>
      <c r="B1853" s="9" t="s">
        <v>13284</v>
      </c>
      <c r="C1853" s="9" t="s">
        <v>13284</v>
      </c>
      <c r="D1853" s="9" t="s">
        <v>13284</v>
      </c>
      <c r="E1853" s="9" t="s">
        <v>13284</v>
      </c>
      <c r="F1853" s="9" t="s">
        <v>13284</v>
      </c>
      <c r="G1853" s="9" t="s">
        <v>13284</v>
      </c>
      <c r="H1853" s="9" t="s">
        <v>13284</v>
      </c>
      <c r="I1853" s="9" t="s">
        <v>13284</v>
      </c>
      <c r="J1853" s="9" t="s">
        <v>13284</v>
      </c>
      <c r="K1853" s="9" t="s">
        <v>13284</v>
      </c>
      <c r="L1853" s="9" t="s">
        <v>13284</v>
      </c>
      <c r="M1853" s="9" t="s">
        <v>13284</v>
      </c>
      <c r="N1853" s="9" t="s">
        <v>13284</v>
      </c>
      <c r="O1853" s="9" t="s">
        <v>13284</v>
      </c>
      <c r="P1853" s="9" t="s">
        <v>13284</v>
      </c>
      <c r="Q1853" s="9" t="s">
        <v>13284</v>
      </c>
      <c r="R1853" s="9" t="s">
        <v>13284</v>
      </c>
      <c r="S1853" s="9" t="s">
        <v>13284</v>
      </c>
      <c r="T1853" s="9" t="str">
        <f ca="1">IFERROR(IF(AND(VLOOKUP(A1853, 'Актуальное состояние (из общего'!A:C,3,0) = "", A1853 &lt;&gt; ""), "ПРОВЕРИТЬ", VLOOKUP(A1853, 'Актуальное состояние (из общего'!A:C,3,0)), "")</f>
        <v/>
      </c>
      <c r="U1853" s="9" t="s">
        <v>13284</v>
      </c>
      <c r="V1853" s="9" t="s">
        <v>13284</v>
      </c>
      <c r="W1853" s="12"/>
      <c r="X1853" s="9" t="str">
        <f t="array" ref="X1853">IFERROR(INDEX('Адреса общежитий (скрытый)'!$B$2:$B$9, MATCH(W1853, 'Адреса общежитий (скрытый)'!$A$2:$A$9, 0)), "")</f>
        <v/>
      </c>
      <c r="Y1853" s="18"/>
      <c r="Z1853" s="18"/>
      <c r="AA1853" s="18"/>
      <c r="AB1853" s="18"/>
      <c r="AC1853" s="18"/>
    </row>
    <row r="1854" spans="1:29" ht="32.25" hidden="1" customHeight="1">
      <c r="A1854" s="17"/>
      <c r="B1854" s="9" t="s">
        <v>13284</v>
      </c>
      <c r="C1854" s="9" t="s">
        <v>13284</v>
      </c>
      <c r="D1854" s="9" t="s">
        <v>13284</v>
      </c>
      <c r="E1854" s="9" t="s">
        <v>13284</v>
      </c>
      <c r="F1854" s="9" t="s">
        <v>13284</v>
      </c>
      <c r="G1854" s="9" t="s">
        <v>13284</v>
      </c>
      <c r="H1854" s="9" t="s">
        <v>13284</v>
      </c>
      <c r="I1854" s="9" t="s">
        <v>13284</v>
      </c>
      <c r="J1854" s="9" t="s">
        <v>13284</v>
      </c>
      <c r="K1854" s="9" t="s">
        <v>13284</v>
      </c>
      <c r="L1854" s="9" t="s">
        <v>13284</v>
      </c>
      <c r="M1854" s="9" t="s">
        <v>13284</v>
      </c>
      <c r="N1854" s="9" t="s">
        <v>13284</v>
      </c>
      <c r="O1854" s="9" t="s">
        <v>13284</v>
      </c>
      <c r="P1854" s="9" t="s">
        <v>13284</v>
      </c>
      <c r="Q1854" s="9" t="s">
        <v>13284</v>
      </c>
      <c r="R1854" s="9" t="s">
        <v>13284</v>
      </c>
      <c r="S1854" s="9" t="s">
        <v>13284</v>
      </c>
      <c r="T1854" s="9" t="str">
        <f ca="1">IFERROR(IF(AND(VLOOKUP(A1854, 'Актуальное состояние (из общего'!A:C,3,0) = "", A1854 &lt;&gt; ""), "ПРОВЕРИТЬ", VLOOKUP(A1854, 'Актуальное состояние (из общего'!A:C,3,0)), "")</f>
        <v/>
      </c>
      <c r="U1854" s="9" t="s">
        <v>13284</v>
      </c>
      <c r="V1854" s="9" t="s">
        <v>13284</v>
      </c>
      <c r="W1854" s="12"/>
      <c r="X1854" s="9" t="str">
        <f t="array" ref="X1854">IFERROR(INDEX('Адреса общежитий (скрытый)'!$B$2:$B$9, MATCH(W1854, 'Адреса общежитий (скрытый)'!$A$2:$A$9, 0)), "")</f>
        <v/>
      </c>
      <c r="Y1854" s="18"/>
      <c r="Z1854" s="18"/>
      <c r="AA1854" s="18"/>
      <c r="AB1854" s="18"/>
      <c r="AC1854" s="18"/>
    </row>
    <row r="1855" spans="1:29" ht="32.25" hidden="1" customHeight="1">
      <c r="A1855" s="17"/>
      <c r="B1855" s="9" t="s">
        <v>13284</v>
      </c>
      <c r="C1855" s="9" t="s">
        <v>13284</v>
      </c>
      <c r="D1855" s="9" t="s">
        <v>13284</v>
      </c>
      <c r="E1855" s="9" t="s">
        <v>13284</v>
      </c>
      <c r="F1855" s="9" t="s">
        <v>13284</v>
      </c>
      <c r="G1855" s="9" t="s">
        <v>13284</v>
      </c>
      <c r="H1855" s="9" t="s">
        <v>13284</v>
      </c>
      <c r="I1855" s="9" t="s">
        <v>13284</v>
      </c>
      <c r="J1855" s="9" t="s">
        <v>13284</v>
      </c>
      <c r="K1855" s="9" t="s">
        <v>13284</v>
      </c>
      <c r="L1855" s="9" t="s">
        <v>13284</v>
      </c>
      <c r="M1855" s="9" t="s">
        <v>13284</v>
      </c>
      <c r="N1855" s="9" t="s">
        <v>13284</v>
      </c>
      <c r="O1855" s="9" t="s">
        <v>13284</v>
      </c>
      <c r="P1855" s="9" t="s">
        <v>13284</v>
      </c>
      <c r="Q1855" s="9" t="s">
        <v>13284</v>
      </c>
      <c r="R1855" s="9" t="s">
        <v>13284</v>
      </c>
      <c r="S1855" s="9" t="s">
        <v>13284</v>
      </c>
      <c r="T1855" s="9" t="str">
        <f ca="1">IFERROR(IF(AND(VLOOKUP(A1855, 'Актуальное состояние (из общего'!A:C,3,0) = "", A1855 &lt;&gt; ""), "ПРОВЕРИТЬ", VLOOKUP(A1855, 'Актуальное состояние (из общего'!A:C,3,0)), "")</f>
        <v/>
      </c>
      <c r="U1855" s="9" t="s">
        <v>13284</v>
      </c>
      <c r="V1855" s="9" t="s">
        <v>13284</v>
      </c>
      <c r="W1855" s="12"/>
      <c r="X1855" s="9" t="str">
        <f t="array" ref="X1855">IFERROR(INDEX('Адреса общежитий (скрытый)'!$B$2:$B$9, MATCH(W1855, 'Адреса общежитий (скрытый)'!$A$2:$A$9, 0)), "")</f>
        <v/>
      </c>
      <c r="Y1855" s="18"/>
      <c r="Z1855" s="18"/>
      <c r="AA1855" s="18"/>
      <c r="AB1855" s="18"/>
      <c r="AC1855" s="18"/>
    </row>
    <row r="1856" spans="1:29" ht="32.25" hidden="1" customHeight="1">
      <c r="A1856" s="17"/>
      <c r="B1856" s="9" t="s">
        <v>13284</v>
      </c>
      <c r="C1856" s="9" t="s">
        <v>13284</v>
      </c>
      <c r="D1856" s="9" t="s">
        <v>13284</v>
      </c>
      <c r="E1856" s="9" t="s">
        <v>13284</v>
      </c>
      <c r="F1856" s="9" t="s">
        <v>13284</v>
      </c>
      <c r="G1856" s="9" t="s">
        <v>13284</v>
      </c>
      <c r="H1856" s="9" t="s">
        <v>13284</v>
      </c>
      <c r="I1856" s="9" t="s">
        <v>13284</v>
      </c>
      <c r="J1856" s="9" t="s">
        <v>13284</v>
      </c>
      <c r="K1856" s="9" t="s">
        <v>13284</v>
      </c>
      <c r="L1856" s="9" t="s">
        <v>13284</v>
      </c>
      <c r="M1856" s="9" t="s">
        <v>13284</v>
      </c>
      <c r="N1856" s="9" t="s">
        <v>13284</v>
      </c>
      <c r="O1856" s="9" t="s">
        <v>13284</v>
      </c>
      <c r="P1856" s="9" t="s">
        <v>13284</v>
      </c>
      <c r="Q1856" s="9" t="s">
        <v>13284</v>
      </c>
      <c r="R1856" s="9" t="s">
        <v>13284</v>
      </c>
      <c r="S1856" s="9" t="s">
        <v>13284</v>
      </c>
      <c r="T1856" s="9" t="str">
        <f ca="1">IFERROR(IF(AND(VLOOKUP(A1856, 'Актуальное состояние (из общего'!A:C,3,0) = "", A1856 &lt;&gt; ""), "ПРОВЕРИТЬ", VLOOKUP(A1856, 'Актуальное состояние (из общего'!A:C,3,0)), "")</f>
        <v/>
      </c>
      <c r="U1856" s="9" t="s">
        <v>13284</v>
      </c>
      <c r="V1856" s="9" t="s">
        <v>13284</v>
      </c>
      <c r="W1856" s="12"/>
      <c r="X1856" s="9" t="str">
        <f t="array" ref="X1856">IFERROR(INDEX('Адреса общежитий (скрытый)'!$B$2:$B$9, MATCH(W1856, 'Адреса общежитий (скрытый)'!$A$2:$A$9, 0)), "")</f>
        <v/>
      </c>
      <c r="Y1856" s="18"/>
      <c r="Z1856" s="18"/>
      <c r="AA1856" s="18"/>
      <c r="AB1856" s="18"/>
      <c r="AC1856" s="18"/>
    </row>
    <row r="1857" spans="1:29" ht="32.25" hidden="1" customHeight="1">
      <c r="A1857" s="17"/>
      <c r="B1857" s="9" t="s">
        <v>13284</v>
      </c>
      <c r="C1857" s="9" t="s">
        <v>13284</v>
      </c>
      <c r="D1857" s="9" t="s">
        <v>13284</v>
      </c>
      <c r="E1857" s="9" t="s">
        <v>13284</v>
      </c>
      <c r="F1857" s="9" t="s">
        <v>13284</v>
      </c>
      <c r="G1857" s="9" t="s">
        <v>13284</v>
      </c>
      <c r="H1857" s="9" t="s">
        <v>13284</v>
      </c>
      <c r="I1857" s="9" t="s">
        <v>13284</v>
      </c>
      <c r="J1857" s="9" t="s">
        <v>13284</v>
      </c>
      <c r="K1857" s="9" t="s">
        <v>13284</v>
      </c>
      <c r="L1857" s="9" t="s">
        <v>13284</v>
      </c>
      <c r="M1857" s="9" t="s">
        <v>13284</v>
      </c>
      <c r="N1857" s="9" t="s">
        <v>13284</v>
      </c>
      <c r="O1857" s="9" t="s">
        <v>13284</v>
      </c>
      <c r="P1857" s="9" t="s">
        <v>13284</v>
      </c>
      <c r="Q1857" s="9" t="s">
        <v>13284</v>
      </c>
      <c r="R1857" s="9" t="s">
        <v>13284</v>
      </c>
      <c r="S1857" s="9" t="s">
        <v>13284</v>
      </c>
      <c r="T1857" s="9" t="str">
        <f ca="1">IFERROR(IF(AND(VLOOKUP(A1857, 'Актуальное состояние (из общего'!A:C,3,0) = "", A1857 &lt;&gt; ""), "ПРОВЕРИТЬ", VLOOKUP(A1857, 'Актуальное состояние (из общего'!A:C,3,0)), "")</f>
        <v/>
      </c>
      <c r="U1857" s="9" t="s">
        <v>13284</v>
      </c>
      <c r="V1857" s="9" t="s">
        <v>13284</v>
      </c>
      <c r="W1857" s="12"/>
      <c r="X1857" s="9" t="str">
        <f t="array" ref="X1857">IFERROR(INDEX('Адреса общежитий (скрытый)'!$B$2:$B$9, MATCH(W1857, 'Адреса общежитий (скрытый)'!$A$2:$A$9, 0)), "")</f>
        <v/>
      </c>
      <c r="Y1857" s="18"/>
      <c r="Z1857" s="18"/>
      <c r="AA1857" s="18"/>
      <c r="AB1857" s="18"/>
      <c r="AC1857" s="18"/>
    </row>
    <row r="1858" spans="1:29" ht="32.25" hidden="1" customHeight="1">
      <c r="A1858" s="17"/>
      <c r="B1858" s="9" t="s">
        <v>13284</v>
      </c>
      <c r="C1858" s="9" t="s">
        <v>13284</v>
      </c>
      <c r="D1858" s="9" t="s">
        <v>13284</v>
      </c>
      <c r="E1858" s="9" t="s">
        <v>13284</v>
      </c>
      <c r="F1858" s="9" t="s">
        <v>13284</v>
      </c>
      <c r="G1858" s="9" t="s">
        <v>13284</v>
      </c>
      <c r="H1858" s="9" t="s">
        <v>13284</v>
      </c>
      <c r="I1858" s="9" t="s">
        <v>13284</v>
      </c>
      <c r="J1858" s="9" t="s">
        <v>13284</v>
      </c>
      <c r="K1858" s="9" t="s">
        <v>13284</v>
      </c>
      <c r="L1858" s="9" t="s">
        <v>13284</v>
      </c>
      <c r="M1858" s="9" t="s">
        <v>13284</v>
      </c>
      <c r="N1858" s="9" t="s">
        <v>13284</v>
      </c>
      <c r="O1858" s="9" t="s">
        <v>13284</v>
      </c>
      <c r="P1858" s="9" t="s">
        <v>13284</v>
      </c>
      <c r="Q1858" s="9" t="s">
        <v>13284</v>
      </c>
      <c r="R1858" s="9" t="s">
        <v>13284</v>
      </c>
      <c r="S1858" s="9" t="s">
        <v>13284</v>
      </c>
      <c r="T1858" s="9" t="str">
        <f ca="1">IFERROR(IF(AND(VLOOKUP(A1858, 'Актуальное состояние (из общего'!A:C,3,0) = "", A1858 &lt;&gt; ""), "ПРОВЕРИТЬ", VLOOKUP(A1858, 'Актуальное состояние (из общего'!A:C,3,0)), "")</f>
        <v/>
      </c>
      <c r="U1858" s="9" t="s">
        <v>13284</v>
      </c>
      <c r="V1858" s="9" t="s">
        <v>13284</v>
      </c>
      <c r="W1858" s="12"/>
      <c r="X1858" s="9" t="str">
        <f t="array" ref="X1858">IFERROR(INDEX('Адреса общежитий (скрытый)'!$B$2:$B$9, MATCH(W1858, 'Адреса общежитий (скрытый)'!$A$2:$A$9, 0)), "")</f>
        <v/>
      </c>
      <c r="Y1858" s="18"/>
      <c r="Z1858" s="18"/>
      <c r="AA1858" s="18"/>
      <c r="AB1858" s="18"/>
      <c r="AC1858" s="18"/>
    </row>
    <row r="1859" spans="1:29" ht="32.25" hidden="1" customHeight="1">
      <c r="A1859" s="17"/>
      <c r="B1859" s="9" t="s">
        <v>13284</v>
      </c>
      <c r="C1859" s="9" t="s">
        <v>13284</v>
      </c>
      <c r="D1859" s="9" t="s">
        <v>13284</v>
      </c>
      <c r="E1859" s="9" t="s">
        <v>13284</v>
      </c>
      <c r="F1859" s="9" t="s">
        <v>13284</v>
      </c>
      <c r="G1859" s="9" t="s">
        <v>13284</v>
      </c>
      <c r="H1859" s="9" t="s">
        <v>13284</v>
      </c>
      <c r="I1859" s="9" t="s">
        <v>13284</v>
      </c>
      <c r="J1859" s="9" t="s">
        <v>13284</v>
      </c>
      <c r="K1859" s="9" t="s">
        <v>13284</v>
      </c>
      <c r="L1859" s="9" t="s">
        <v>13284</v>
      </c>
      <c r="M1859" s="9" t="s">
        <v>13284</v>
      </c>
      <c r="N1859" s="9" t="s">
        <v>13284</v>
      </c>
      <c r="O1859" s="9" t="s">
        <v>13284</v>
      </c>
      <c r="P1859" s="9" t="s">
        <v>13284</v>
      </c>
      <c r="Q1859" s="9" t="s">
        <v>13284</v>
      </c>
      <c r="R1859" s="9" t="s">
        <v>13284</v>
      </c>
      <c r="S1859" s="9" t="s">
        <v>13284</v>
      </c>
      <c r="T1859" s="9" t="str">
        <f ca="1">IFERROR(IF(AND(VLOOKUP(A1859, 'Актуальное состояние (из общего'!A:C,3,0) = "", A1859 &lt;&gt; ""), "ПРОВЕРИТЬ", VLOOKUP(A1859, 'Актуальное состояние (из общего'!A:C,3,0)), "")</f>
        <v/>
      </c>
      <c r="U1859" s="9" t="s">
        <v>13284</v>
      </c>
      <c r="V1859" s="9" t="s">
        <v>13284</v>
      </c>
      <c r="W1859" s="12"/>
      <c r="X1859" s="9" t="str">
        <f t="array" ref="X1859">IFERROR(INDEX('Адреса общежитий (скрытый)'!$B$2:$B$9, MATCH(W1859, 'Адреса общежитий (скрытый)'!$A$2:$A$9, 0)), "")</f>
        <v/>
      </c>
      <c r="Y1859" s="18"/>
      <c r="Z1859" s="18"/>
      <c r="AA1859" s="18"/>
      <c r="AB1859" s="18"/>
      <c r="AC1859" s="18"/>
    </row>
    <row r="1860" spans="1:29" ht="32.25" hidden="1" customHeight="1">
      <c r="A1860" s="17"/>
      <c r="B1860" s="9" t="s">
        <v>13284</v>
      </c>
      <c r="C1860" s="9" t="s">
        <v>13284</v>
      </c>
      <c r="D1860" s="9" t="s">
        <v>13284</v>
      </c>
      <c r="E1860" s="9" t="s">
        <v>13284</v>
      </c>
      <c r="F1860" s="9" t="s">
        <v>13284</v>
      </c>
      <c r="G1860" s="9" t="s">
        <v>13284</v>
      </c>
      <c r="H1860" s="9" t="s">
        <v>13284</v>
      </c>
      <c r="I1860" s="9" t="s">
        <v>13284</v>
      </c>
      <c r="J1860" s="9" t="s">
        <v>13284</v>
      </c>
      <c r="K1860" s="9" t="s">
        <v>13284</v>
      </c>
      <c r="L1860" s="9" t="s">
        <v>13284</v>
      </c>
      <c r="M1860" s="9" t="s">
        <v>13284</v>
      </c>
      <c r="N1860" s="9" t="s">
        <v>13284</v>
      </c>
      <c r="O1860" s="9" t="s">
        <v>13284</v>
      </c>
      <c r="P1860" s="9" t="s">
        <v>13284</v>
      </c>
      <c r="Q1860" s="9" t="s">
        <v>13284</v>
      </c>
      <c r="R1860" s="9" t="s">
        <v>13284</v>
      </c>
      <c r="S1860" s="9" t="s">
        <v>13284</v>
      </c>
      <c r="T1860" s="9" t="str">
        <f ca="1">IFERROR(IF(AND(VLOOKUP(A1860, 'Актуальное состояние (из общего'!A:C,3,0) = "", A1860 &lt;&gt; ""), "ПРОВЕРИТЬ", VLOOKUP(A1860, 'Актуальное состояние (из общего'!A:C,3,0)), "")</f>
        <v/>
      </c>
      <c r="U1860" s="9" t="s">
        <v>13284</v>
      </c>
      <c r="V1860" s="9" t="s">
        <v>13284</v>
      </c>
      <c r="W1860" s="12"/>
      <c r="X1860" s="9" t="str">
        <f t="array" ref="X1860">IFERROR(INDEX('Адреса общежитий (скрытый)'!$B$2:$B$9, MATCH(W1860, 'Адреса общежитий (скрытый)'!$A$2:$A$9, 0)), "")</f>
        <v/>
      </c>
      <c r="Y1860" s="18"/>
      <c r="Z1860" s="18"/>
      <c r="AA1860" s="18"/>
      <c r="AB1860" s="18"/>
      <c r="AC1860" s="18"/>
    </row>
    <row r="1861" spans="1:29" ht="32.25" hidden="1" customHeight="1">
      <c r="A1861" s="17"/>
      <c r="B1861" s="9" t="s">
        <v>13284</v>
      </c>
      <c r="C1861" s="9" t="s">
        <v>13284</v>
      </c>
      <c r="D1861" s="9" t="s">
        <v>13284</v>
      </c>
      <c r="E1861" s="9" t="s">
        <v>13284</v>
      </c>
      <c r="F1861" s="9" t="s">
        <v>13284</v>
      </c>
      <c r="G1861" s="9" t="s">
        <v>13284</v>
      </c>
      <c r="H1861" s="9" t="s">
        <v>13284</v>
      </c>
      <c r="I1861" s="9" t="s">
        <v>13284</v>
      </c>
      <c r="J1861" s="9" t="s">
        <v>13284</v>
      </c>
      <c r="K1861" s="9" t="s">
        <v>13284</v>
      </c>
      <c r="L1861" s="9" t="s">
        <v>13284</v>
      </c>
      <c r="M1861" s="9" t="s">
        <v>13284</v>
      </c>
      <c r="N1861" s="9" t="s">
        <v>13284</v>
      </c>
      <c r="O1861" s="9" t="s">
        <v>13284</v>
      </c>
      <c r="P1861" s="9" t="s">
        <v>13284</v>
      </c>
      <c r="Q1861" s="9" t="s">
        <v>13284</v>
      </c>
      <c r="R1861" s="9" t="s">
        <v>13284</v>
      </c>
      <c r="S1861" s="9" t="s">
        <v>13284</v>
      </c>
      <c r="T1861" s="9" t="str">
        <f ca="1">IFERROR(IF(AND(VLOOKUP(A1861, 'Актуальное состояние (из общего'!A:C,3,0) = "", A1861 &lt;&gt; ""), "ПРОВЕРИТЬ", VLOOKUP(A1861, 'Актуальное состояние (из общего'!A:C,3,0)), "")</f>
        <v/>
      </c>
      <c r="U1861" s="9" t="s">
        <v>13284</v>
      </c>
      <c r="V1861" s="9" t="s">
        <v>13284</v>
      </c>
      <c r="W1861" s="12"/>
      <c r="X1861" s="9" t="str">
        <f t="array" ref="X1861">IFERROR(INDEX('Адреса общежитий (скрытый)'!$B$2:$B$9, MATCH(W1861, 'Адреса общежитий (скрытый)'!$A$2:$A$9, 0)), "")</f>
        <v/>
      </c>
      <c r="Y1861" s="18"/>
      <c r="Z1861" s="18"/>
      <c r="AA1861" s="18"/>
      <c r="AB1861" s="18"/>
      <c r="AC1861" s="18"/>
    </row>
    <row r="1862" spans="1:29" ht="32.25" hidden="1" customHeight="1">
      <c r="A1862" s="17"/>
      <c r="B1862" s="9" t="s">
        <v>13284</v>
      </c>
      <c r="C1862" s="9" t="s">
        <v>13284</v>
      </c>
      <c r="D1862" s="9" t="s">
        <v>13284</v>
      </c>
      <c r="E1862" s="9" t="s">
        <v>13284</v>
      </c>
      <c r="F1862" s="9" t="s">
        <v>13284</v>
      </c>
      <c r="G1862" s="9" t="s">
        <v>13284</v>
      </c>
      <c r="H1862" s="9" t="s">
        <v>13284</v>
      </c>
      <c r="I1862" s="9" t="s">
        <v>13284</v>
      </c>
      <c r="J1862" s="9" t="s">
        <v>13284</v>
      </c>
      <c r="K1862" s="9" t="s">
        <v>13284</v>
      </c>
      <c r="L1862" s="9" t="s">
        <v>13284</v>
      </c>
      <c r="M1862" s="9" t="s">
        <v>13284</v>
      </c>
      <c r="N1862" s="9" t="s">
        <v>13284</v>
      </c>
      <c r="O1862" s="9" t="s">
        <v>13284</v>
      </c>
      <c r="P1862" s="9" t="s">
        <v>13284</v>
      </c>
      <c r="Q1862" s="9" t="s">
        <v>13284</v>
      </c>
      <c r="R1862" s="9" t="s">
        <v>13284</v>
      </c>
      <c r="S1862" s="9" t="s">
        <v>13284</v>
      </c>
      <c r="T1862" s="9" t="str">
        <f ca="1">IFERROR(IF(AND(VLOOKUP(A1862, 'Актуальное состояние (из общего'!A:C,3,0) = "", A1862 &lt;&gt; ""), "ПРОВЕРИТЬ", VLOOKUP(A1862, 'Актуальное состояние (из общего'!A:C,3,0)), "")</f>
        <v/>
      </c>
      <c r="U1862" s="9" t="s">
        <v>13284</v>
      </c>
      <c r="V1862" s="9" t="s">
        <v>13284</v>
      </c>
      <c r="W1862" s="12"/>
      <c r="X1862" s="9" t="str">
        <f t="array" ref="X1862">IFERROR(INDEX('Адреса общежитий (скрытый)'!$B$2:$B$9, MATCH(W1862, 'Адреса общежитий (скрытый)'!$A$2:$A$9, 0)), "")</f>
        <v/>
      </c>
      <c r="Y1862" s="18"/>
      <c r="Z1862" s="18"/>
      <c r="AA1862" s="18"/>
      <c r="AB1862" s="18"/>
      <c r="AC1862" s="18"/>
    </row>
    <row r="1863" spans="1:29" ht="32.25" hidden="1" customHeight="1">
      <c r="A1863" s="17"/>
      <c r="B1863" s="9" t="s">
        <v>13284</v>
      </c>
      <c r="C1863" s="9" t="s">
        <v>13284</v>
      </c>
      <c r="D1863" s="9" t="s">
        <v>13284</v>
      </c>
      <c r="E1863" s="9" t="s">
        <v>13284</v>
      </c>
      <c r="F1863" s="9" t="s">
        <v>13284</v>
      </c>
      <c r="G1863" s="9" t="s">
        <v>13284</v>
      </c>
      <c r="H1863" s="9" t="s">
        <v>13284</v>
      </c>
      <c r="I1863" s="9" t="s">
        <v>13284</v>
      </c>
      <c r="J1863" s="9" t="s">
        <v>13284</v>
      </c>
      <c r="K1863" s="9" t="s">
        <v>13284</v>
      </c>
      <c r="L1863" s="9" t="s">
        <v>13284</v>
      </c>
      <c r="M1863" s="9" t="s">
        <v>13284</v>
      </c>
      <c r="N1863" s="9" t="s">
        <v>13284</v>
      </c>
      <c r="O1863" s="9" t="s">
        <v>13284</v>
      </c>
      <c r="P1863" s="9" t="s">
        <v>13284</v>
      </c>
      <c r="Q1863" s="9" t="s">
        <v>13284</v>
      </c>
      <c r="R1863" s="9" t="s">
        <v>13284</v>
      </c>
      <c r="S1863" s="9" t="s">
        <v>13284</v>
      </c>
      <c r="T1863" s="9" t="str">
        <f ca="1">IFERROR(IF(AND(VLOOKUP(A1863, 'Актуальное состояние (из общего'!A:C,3,0) = "", A1863 &lt;&gt; ""), "ПРОВЕРИТЬ", VLOOKUP(A1863, 'Актуальное состояние (из общего'!A:C,3,0)), "")</f>
        <v/>
      </c>
      <c r="U1863" s="9" t="s">
        <v>13284</v>
      </c>
      <c r="V1863" s="9" t="s">
        <v>13284</v>
      </c>
      <c r="W1863" s="12"/>
      <c r="X1863" s="9" t="str">
        <f t="array" ref="X1863">IFERROR(INDEX('Адреса общежитий (скрытый)'!$B$2:$B$9, MATCH(W1863, 'Адреса общежитий (скрытый)'!$A$2:$A$9, 0)), "")</f>
        <v/>
      </c>
      <c r="Y1863" s="18"/>
      <c r="Z1863" s="18"/>
      <c r="AA1863" s="18"/>
      <c r="AB1863" s="18"/>
      <c r="AC1863" s="18"/>
    </row>
    <row r="1864" spans="1:29" ht="32.25" hidden="1" customHeight="1">
      <c r="A1864" s="17"/>
      <c r="B1864" s="9" t="s">
        <v>13284</v>
      </c>
      <c r="C1864" s="9" t="s">
        <v>13284</v>
      </c>
      <c r="D1864" s="9" t="s">
        <v>13284</v>
      </c>
      <c r="E1864" s="9" t="s">
        <v>13284</v>
      </c>
      <c r="F1864" s="9" t="s">
        <v>13284</v>
      </c>
      <c r="G1864" s="9" t="s">
        <v>13284</v>
      </c>
      <c r="H1864" s="9" t="s">
        <v>13284</v>
      </c>
      <c r="I1864" s="9" t="s">
        <v>13284</v>
      </c>
      <c r="J1864" s="9" t="s">
        <v>13284</v>
      </c>
      <c r="K1864" s="9" t="s">
        <v>13284</v>
      </c>
      <c r="L1864" s="9" t="s">
        <v>13284</v>
      </c>
      <c r="M1864" s="9" t="s">
        <v>13284</v>
      </c>
      <c r="N1864" s="9" t="s">
        <v>13284</v>
      </c>
      <c r="O1864" s="9" t="s">
        <v>13284</v>
      </c>
      <c r="P1864" s="9" t="s">
        <v>13284</v>
      </c>
      <c r="Q1864" s="9" t="s">
        <v>13284</v>
      </c>
      <c r="R1864" s="9" t="s">
        <v>13284</v>
      </c>
      <c r="S1864" s="9" t="s">
        <v>13284</v>
      </c>
      <c r="T1864" s="9" t="str">
        <f ca="1">IFERROR(IF(AND(VLOOKUP(A1864, 'Актуальное состояние (из общего'!A:C,3,0) = "", A1864 &lt;&gt; ""), "ПРОВЕРИТЬ", VLOOKUP(A1864, 'Актуальное состояние (из общего'!A:C,3,0)), "")</f>
        <v/>
      </c>
      <c r="U1864" s="9" t="s">
        <v>13284</v>
      </c>
      <c r="V1864" s="9" t="s">
        <v>13284</v>
      </c>
      <c r="W1864" s="12"/>
      <c r="X1864" s="9" t="str">
        <f t="array" ref="X1864">IFERROR(INDEX('Адреса общежитий (скрытый)'!$B$2:$B$9, MATCH(W1864, 'Адреса общежитий (скрытый)'!$A$2:$A$9, 0)), "")</f>
        <v/>
      </c>
      <c r="Y1864" s="18"/>
      <c r="Z1864" s="18"/>
      <c r="AA1864" s="18"/>
      <c r="AB1864" s="18"/>
      <c r="AC1864" s="18"/>
    </row>
    <row r="1865" spans="1:29" ht="32.25" hidden="1" customHeight="1">
      <c r="A1865" s="17"/>
      <c r="B1865" s="9" t="s">
        <v>13284</v>
      </c>
      <c r="C1865" s="9" t="s">
        <v>13284</v>
      </c>
      <c r="D1865" s="9" t="s">
        <v>13284</v>
      </c>
      <c r="E1865" s="9" t="s">
        <v>13284</v>
      </c>
      <c r="F1865" s="9" t="s">
        <v>13284</v>
      </c>
      <c r="G1865" s="9" t="s">
        <v>13284</v>
      </c>
      <c r="H1865" s="9" t="s">
        <v>13284</v>
      </c>
      <c r="I1865" s="9" t="s">
        <v>13284</v>
      </c>
      <c r="J1865" s="9" t="s">
        <v>13284</v>
      </c>
      <c r="K1865" s="9" t="s">
        <v>13284</v>
      </c>
      <c r="L1865" s="9" t="s">
        <v>13284</v>
      </c>
      <c r="M1865" s="9" t="s">
        <v>13284</v>
      </c>
      <c r="N1865" s="9" t="s">
        <v>13284</v>
      </c>
      <c r="O1865" s="9" t="s">
        <v>13284</v>
      </c>
      <c r="P1865" s="9" t="s">
        <v>13284</v>
      </c>
      <c r="Q1865" s="9" t="s">
        <v>13284</v>
      </c>
      <c r="R1865" s="9" t="s">
        <v>13284</v>
      </c>
      <c r="S1865" s="9" t="s">
        <v>13284</v>
      </c>
      <c r="T1865" s="9" t="str">
        <f ca="1">IFERROR(IF(AND(VLOOKUP(A1865, 'Актуальное состояние (из общего'!A:C,3,0) = "", A1865 &lt;&gt; ""), "ПРОВЕРИТЬ", VLOOKUP(A1865, 'Актуальное состояние (из общего'!A:C,3,0)), "")</f>
        <v/>
      </c>
      <c r="U1865" s="9" t="s">
        <v>13284</v>
      </c>
      <c r="V1865" s="9" t="s">
        <v>13284</v>
      </c>
      <c r="W1865" s="12"/>
      <c r="X1865" s="9" t="str">
        <f t="array" ref="X1865">IFERROR(INDEX('Адреса общежитий (скрытый)'!$B$2:$B$9, MATCH(W1865, 'Адреса общежитий (скрытый)'!$A$2:$A$9, 0)), "")</f>
        <v/>
      </c>
      <c r="Y1865" s="18"/>
      <c r="Z1865" s="18"/>
      <c r="AA1865" s="18"/>
      <c r="AB1865" s="18"/>
      <c r="AC1865" s="18"/>
    </row>
    <row r="1866" spans="1:29" ht="32.25" hidden="1" customHeight="1">
      <c r="A1866" s="17"/>
      <c r="B1866" s="9" t="s">
        <v>13284</v>
      </c>
      <c r="C1866" s="9" t="s">
        <v>13284</v>
      </c>
      <c r="D1866" s="9" t="s">
        <v>13284</v>
      </c>
      <c r="E1866" s="9" t="s">
        <v>13284</v>
      </c>
      <c r="F1866" s="9" t="s">
        <v>13284</v>
      </c>
      <c r="G1866" s="9" t="s">
        <v>13284</v>
      </c>
      <c r="H1866" s="9" t="s">
        <v>13284</v>
      </c>
      <c r="I1866" s="9" t="s">
        <v>13284</v>
      </c>
      <c r="J1866" s="9" t="s">
        <v>13284</v>
      </c>
      <c r="K1866" s="9" t="s">
        <v>13284</v>
      </c>
      <c r="L1866" s="9" t="s">
        <v>13284</v>
      </c>
      <c r="M1866" s="9" t="s">
        <v>13284</v>
      </c>
      <c r="N1866" s="9" t="s">
        <v>13284</v>
      </c>
      <c r="O1866" s="9" t="s">
        <v>13284</v>
      </c>
      <c r="P1866" s="9" t="s">
        <v>13284</v>
      </c>
      <c r="Q1866" s="9" t="s">
        <v>13284</v>
      </c>
      <c r="R1866" s="9" t="s">
        <v>13284</v>
      </c>
      <c r="S1866" s="9" t="s">
        <v>13284</v>
      </c>
      <c r="T1866" s="9" t="str">
        <f ca="1">IFERROR(IF(AND(VLOOKUP(A1866, 'Актуальное состояние (из общего'!A:C,3,0) = "", A1866 &lt;&gt; ""), "ПРОВЕРИТЬ", VLOOKUP(A1866, 'Актуальное состояние (из общего'!A:C,3,0)), "")</f>
        <v/>
      </c>
      <c r="U1866" s="9" t="s">
        <v>13284</v>
      </c>
      <c r="V1866" s="9" t="s">
        <v>13284</v>
      </c>
      <c r="W1866" s="12"/>
      <c r="X1866" s="9" t="str">
        <f t="array" ref="X1866">IFERROR(INDEX('Адреса общежитий (скрытый)'!$B$2:$B$9, MATCH(W1866, 'Адреса общежитий (скрытый)'!$A$2:$A$9, 0)), "")</f>
        <v/>
      </c>
      <c r="Y1866" s="18"/>
      <c r="Z1866" s="18"/>
      <c r="AA1866" s="18"/>
      <c r="AB1866" s="18"/>
      <c r="AC1866" s="18"/>
    </row>
    <row r="1867" spans="1:29" ht="32.25" hidden="1" customHeight="1">
      <c r="A1867" s="17"/>
      <c r="B1867" s="9" t="s">
        <v>13284</v>
      </c>
      <c r="C1867" s="9" t="s">
        <v>13284</v>
      </c>
      <c r="D1867" s="9" t="s">
        <v>13284</v>
      </c>
      <c r="E1867" s="9" t="s">
        <v>13284</v>
      </c>
      <c r="F1867" s="9" t="s">
        <v>13284</v>
      </c>
      <c r="G1867" s="9" t="s">
        <v>13284</v>
      </c>
      <c r="H1867" s="9" t="s">
        <v>13284</v>
      </c>
      <c r="I1867" s="9" t="s">
        <v>13284</v>
      </c>
      <c r="J1867" s="9" t="s">
        <v>13284</v>
      </c>
      <c r="K1867" s="9" t="s">
        <v>13284</v>
      </c>
      <c r="L1867" s="9" t="s">
        <v>13284</v>
      </c>
      <c r="M1867" s="9" t="s">
        <v>13284</v>
      </c>
      <c r="N1867" s="9" t="s">
        <v>13284</v>
      </c>
      <c r="O1867" s="9" t="s">
        <v>13284</v>
      </c>
      <c r="P1867" s="9" t="s">
        <v>13284</v>
      </c>
      <c r="Q1867" s="9" t="s">
        <v>13284</v>
      </c>
      <c r="R1867" s="9" t="s">
        <v>13284</v>
      </c>
      <c r="S1867" s="9" t="s">
        <v>13284</v>
      </c>
      <c r="T1867" s="9" t="str">
        <f ca="1">IFERROR(IF(AND(VLOOKUP(A1867, 'Актуальное состояние (из общего'!A:C,3,0) = "", A1867 &lt;&gt; ""), "ПРОВЕРИТЬ", VLOOKUP(A1867, 'Актуальное состояние (из общего'!A:C,3,0)), "")</f>
        <v/>
      </c>
      <c r="U1867" s="9" t="s">
        <v>13284</v>
      </c>
      <c r="V1867" s="9" t="s">
        <v>13284</v>
      </c>
      <c r="W1867" s="12"/>
      <c r="X1867" s="9" t="str">
        <f t="array" ref="X1867">IFERROR(INDEX('Адреса общежитий (скрытый)'!$B$2:$B$9, MATCH(W1867, 'Адреса общежитий (скрытый)'!$A$2:$A$9, 0)), "")</f>
        <v/>
      </c>
      <c r="Y1867" s="18"/>
      <c r="Z1867" s="18"/>
      <c r="AA1867" s="18"/>
      <c r="AB1867" s="18"/>
      <c r="AC1867" s="18"/>
    </row>
    <row r="1868" spans="1:29" ht="32.25" hidden="1" customHeight="1">
      <c r="A1868" s="17"/>
      <c r="B1868" s="9" t="s">
        <v>13284</v>
      </c>
      <c r="C1868" s="9" t="s">
        <v>13284</v>
      </c>
      <c r="D1868" s="9" t="s">
        <v>13284</v>
      </c>
      <c r="E1868" s="9" t="s">
        <v>13284</v>
      </c>
      <c r="F1868" s="9" t="s">
        <v>13284</v>
      </c>
      <c r="G1868" s="9" t="s">
        <v>13284</v>
      </c>
      <c r="H1868" s="9" t="s">
        <v>13284</v>
      </c>
      <c r="I1868" s="9" t="s">
        <v>13284</v>
      </c>
      <c r="J1868" s="9" t="s">
        <v>13284</v>
      </c>
      <c r="K1868" s="9" t="s">
        <v>13284</v>
      </c>
      <c r="L1868" s="9" t="s">
        <v>13284</v>
      </c>
      <c r="M1868" s="9" t="s">
        <v>13284</v>
      </c>
      <c r="N1868" s="9" t="s">
        <v>13284</v>
      </c>
      <c r="O1868" s="9" t="s">
        <v>13284</v>
      </c>
      <c r="P1868" s="9" t="s">
        <v>13284</v>
      </c>
      <c r="Q1868" s="9" t="s">
        <v>13284</v>
      </c>
      <c r="R1868" s="9" t="s">
        <v>13284</v>
      </c>
      <c r="S1868" s="9" t="s">
        <v>13284</v>
      </c>
      <c r="T1868" s="9" t="str">
        <f ca="1">IFERROR(IF(AND(VLOOKUP(A1868, 'Актуальное состояние (из общего'!A:C,3,0) = "", A1868 &lt;&gt; ""), "ПРОВЕРИТЬ", VLOOKUP(A1868, 'Актуальное состояние (из общего'!A:C,3,0)), "")</f>
        <v/>
      </c>
      <c r="U1868" s="9" t="s">
        <v>13284</v>
      </c>
      <c r="V1868" s="9" t="s">
        <v>13284</v>
      </c>
      <c r="W1868" s="12"/>
      <c r="X1868" s="9" t="str">
        <f t="array" ref="X1868">IFERROR(INDEX('Адреса общежитий (скрытый)'!$B$2:$B$9, MATCH(W1868, 'Адреса общежитий (скрытый)'!$A$2:$A$9, 0)), "")</f>
        <v/>
      </c>
      <c r="Y1868" s="18"/>
      <c r="Z1868" s="18"/>
      <c r="AA1868" s="18"/>
      <c r="AB1868" s="18"/>
      <c r="AC1868" s="18"/>
    </row>
    <row r="1869" spans="1:29" ht="32.25" hidden="1" customHeight="1">
      <c r="A1869" s="17"/>
      <c r="B1869" s="9" t="s">
        <v>13284</v>
      </c>
      <c r="C1869" s="9" t="s">
        <v>13284</v>
      </c>
      <c r="D1869" s="9" t="s">
        <v>13284</v>
      </c>
      <c r="E1869" s="9" t="s">
        <v>13284</v>
      </c>
      <c r="F1869" s="9" t="s">
        <v>13284</v>
      </c>
      <c r="G1869" s="9" t="s">
        <v>13284</v>
      </c>
      <c r="H1869" s="9" t="s">
        <v>13284</v>
      </c>
      <c r="I1869" s="9" t="s">
        <v>13284</v>
      </c>
      <c r="J1869" s="9" t="s">
        <v>13284</v>
      </c>
      <c r="K1869" s="9" t="s">
        <v>13284</v>
      </c>
      <c r="L1869" s="9" t="s">
        <v>13284</v>
      </c>
      <c r="M1869" s="9" t="s">
        <v>13284</v>
      </c>
      <c r="N1869" s="9" t="s">
        <v>13284</v>
      </c>
      <c r="O1869" s="9" t="s">
        <v>13284</v>
      </c>
      <c r="P1869" s="9" t="s">
        <v>13284</v>
      </c>
      <c r="Q1869" s="9" t="s">
        <v>13284</v>
      </c>
      <c r="R1869" s="9" t="s">
        <v>13284</v>
      </c>
      <c r="S1869" s="9" t="s">
        <v>13284</v>
      </c>
      <c r="T1869" s="9" t="str">
        <f ca="1">IFERROR(IF(AND(VLOOKUP(A1869, 'Актуальное состояние (из общего'!A:C,3,0) = "", A1869 &lt;&gt; ""), "ПРОВЕРИТЬ", VLOOKUP(A1869, 'Актуальное состояние (из общего'!A:C,3,0)), "")</f>
        <v/>
      </c>
      <c r="U1869" s="9" t="s">
        <v>13284</v>
      </c>
      <c r="V1869" s="9" t="s">
        <v>13284</v>
      </c>
      <c r="W1869" s="12"/>
      <c r="X1869" s="9" t="str">
        <f t="array" ref="X1869">IFERROR(INDEX('Адреса общежитий (скрытый)'!$B$2:$B$9, MATCH(W1869, 'Адреса общежитий (скрытый)'!$A$2:$A$9, 0)), "")</f>
        <v/>
      </c>
      <c r="Y1869" s="18"/>
      <c r="Z1869" s="18"/>
      <c r="AA1869" s="18"/>
      <c r="AB1869" s="18"/>
      <c r="AC1869" s="18"/>
    </row>
    <row r="1870" spans="1:29" ht="32.25" hidden="1" customHeight="1">
      <c r="A1870" s="17"/>
      <c r="B1870" s="9" t="s">
        <v>13284</v>
      </c>
      <c r="C1870" s="9" t="s">
        <v>13284</v>
      </c>
      <c r="D1870" s="9" t="s">
        <v>13284</v>
      </c>
      <c r="E1870" s="9" t="s">
        <v>13284</v>
      </c>
      <c r="F1870" s="9" t="s">
        <v>13284</v>
      </c>
      <c r="G1870" s="9" t="s">
        <v>13284</v>
      </c>
      <c r="H1870" s="9" t="s">
        <v>13284</v>
      </c>
      <c r="I1870" s="9" t="s">
        <v>13284</v>
      </c>
      <c r="J1870" s="9" t="s">
        <v>13284</v>
      </c>
      <c r="K1870" s="9" t="s">
        <v>13284</v>
      </c>
      <c r="L1870" s="9" t="s">
        <v>13284</v>
      </c>
      <c r="M1870" s="9" t="s">
        <v>13284</v>
      </c>
      <c r="N1870" s="9" t="s">
        <v>13284</v>
      </c>
      <c r="O1870" s="9" t="s">
        <v>13284</v>
      </c>
      <c r="P1870" s="9" t="s">
        <v>13284</v>
      </c>
      <c r="Q1870" s="9" t="s">
        <v>13284</v>
      </c>
      <c r="R1870" s="9" t="s">
        <v>13284</v>
      </c>
      <c r="S1870" s="9" t="s">
        <v>13284</v>
      </c>
      <c r="T1870" s="9" t="str">
        <f ca="1">IFERROR(IF(AND(VLOOKUP(A1870, 'Актуальное состояние (из общего'!A:C,3,0) = "", A1870 &lt;&gt; ""), "ПРОВЕРИТЬ", VLOOKUP(A1870, 'Актуальное состояние (из общего'!A:C,3,0)), "")</f>
        <v/>
      </c>
      <c r="U1870" s="9" t="s">
        <v>13284</v>
      </c>
      <c r="V1870" s="9" t="s">
        <v>13284</v>
      </c>
      <c r="W1870" s="12"/>
      <c r="X1870" s="9" t="str">
        <f t="array" ref="X1870">IFERROR(INDEX('Адреса общежитий (скрытый)'!$B$2:$B$9, MATCH(W1870, 'Адреса общежитий (скрытый)'!$A$2:$A$9, 0)), "")</f>
        <v/>
      </c>
      <c r="Y1870" s="18"/>
      <c r="Z1870" s="18"/>
      <c r="AA1870" s="18"/>
      <c r="AB1870" s="18"/>
      <c r="AC1870" s="18"/>
    </row>
    <row r="1871" spans="1:29" ht="32.25" hidden="1" customHeight="1">
      <c r="A1871" s="17"/>
      <c r="B1871" s="9" t="s">
        <v>13284</v>
      </c>
      <c r="C1871" s="9" t="s">
        <v>13284</v>
      </c>
      <c r="D1871" s="9" t="s">
        <v>13284</v>
      </c>
      <c r="E1871" s="9" t="s">
        <v>13284</v>
      </c>
      <c r="F1871" s="9" t="s">
        <v>13284</v>
      </c>
      <c r="G1871" s="9" t="s">
        <v>13284</v>
      </c>
      <c r="H1871" s="9" t="s">
        <v>13284</v>
      </c>
      <c r="I1871" s="9" t="s">
        <v>13284</v>
      </c>
      <c r="J1871" s="9" t="s">
        <v>13284</v>
      </c>
      <c r="K1871" s="9" t="s">
        <v>13284</v>
      </c>
      <c r="L1871" s="9" t="s">
        <v>13284</v>
      </c>
      <c r="M1871" s="9" t="s">
        <v>13284</v>
      </c>
      <c r="N1871" s="9" t="s">
        <v>13284</v>
      </c>
      <c r="O1871" s="9" t="s">
        <v>13284</v>
      </c>
      <c r="P1871" s="9" t="s">
        <v>13284</v>
      </c>
      <c r="Q1871" s="9" t="s">
        <v>13284</v>
      </c>
      <c r="R1871" s="9" t="s">
        <v>13284</v>
      </c>
      <c r="S1871" s="9" t="s">
        <v>13284</v>
      </c>
      <c r="T1871" s="9" t="str">
        <f ca="1">IFERROR(IF(AND(VLOOKUP(A1871, 'Актуальное состояние (из общего'!A:C,3,0) = "", A1871 &lt;&gt; ""), "ПРОВЕРИТЬ", VLOOKUP(A1871, 'Актуальное состояние (из общего'!A:C,3,0)), "")</f>
        <v/>
      </c>
      <c r="U1871" s="9" t="s">
        <v>13284</v>
      </c>
      <c r="V1871" s="9" t="s">
        <v>13284</v>
      </c>
      <c r="W1871" s="12"/>
      <c r="X1871" s="9" t="str">
        <f t="array" ref="X1871">IFERROR(INDEX('Адреса общежитий (скрытый)'!$B$2:$B$9, MATCH(W1871, 'Адреса общежитий (скрытый)'!$A$2:$A$9, 0)), "")</f>
        <v/>
      </c>
      <c r="Y1871" s="18"/>
      <c r="Z1871" s="18"/>
      <c r="AA1871" s="18"/>
      <c r="AB1871" s="18"/>
      <c r="AC1871" s="18"/>
    </row>
    <row r="1872" spans="1:29" ht="32.25" hidden="1" customHeight="1">
      <c r="A1872" s="17"/>
      <c r="B1872" s="9" t="s">
        <v>13284</v>
      </c>
      <c r="C1872" s="9" t="s">
        <v>13284</v>
      </c>
      <c r="D1872" s="9" t="s">
        <v>13284</v>
      </c>
      <c r="E1872" s="9" t="s">
        <v>13284</v>
      </c>
      <c r="F1872" s="9" t="s">
        <v>13284</v>
      </c>
      <c r="G1872" s="9" t="s">
        <v>13284</v>
      </c>
      <c r="H1872" s="9" t="s">
        <v>13284</v>
      </c>
      <c r="I1872" s="9" t="s">
        <v>13284</v>
      </c>
      <c r="J1872" s="9" t="s">
        <v>13284</v>
      </c>
      <c r="K1872" s="9" t="s">
        <v>13284</v>
      </c>
      <c r="L1872" s="9" t="s">
        <v>13284</v>
      </c>
      <c r="M1872" s="9" t="s">
        <v>13284</v>
      </c>
      <c r="N1872" s="9" t="s">
        <v>13284</v>
      </c>
      <c r="O1872" s="9" t="s">
        <v>13284</v>
      </c>
      <c r="P1872" s="9" t="s">
        <v>13284</v>
      </c>
      <c r="Q1872" s="9" t="s">
        <v>13284</v>
      </c>
      <c r="R1872" s="9" t="s">
        <v>13284</v>
      </c>
      <c r="S1872" s="9" t="s">
        <v>13284</v>
      </c>
      <c r="T1872" s="9" t="str">
        <f ca="1">IFERROR(IF(AND(VLOOKUP(A1872, 'Актуальное состояние (из общего'!A:C,3,0) = "", A1872 &lt;&gt; ""), "ПРОВЕРИТЬ", VLOOKUP(A1872, 'Актуальное состояние (из общего'!A:C,3,0)), "")</f>
        <v/>
      </c>
      <c r="U1872" s="9" t="s">
        <v>13284</v>
      </c>
      <c r="V1872" s="9" t="s">
        <v>13284</v>
      </c>
      <c r="W1872" s="12"/>
      <c r="X1872" s="9" t="str">
        <f t="array" ref="X1872">IFERROR(INDEX('Адреса общежитий (скрытый)'!$B$2:$B$9, MATCH(W1872, 'Адреса общежитий (скрытый)'!$A$2:$A$9, 0)), "")</f>
        <v/>
      </c>
      <c r="Y1872" s="18"/>
      <c r="Z1872" s="18"/>
      <c r="AA1872" s="18"/>
      <c r="AB1872" s="18"/>
      <c r="AC1872" s="18"/>
    </row>
    <row r="1873" spans="1:29" ht="32.25" hidden="1" customHeight="1">
      <c r="A1873" s="17"/>
      <c r="B1873" s="9" t="s">
        <v>13284</v>
      </c>
      <c r="C1873" s="9" t="s">
        <v>13284</v>
      </c>
      <c r="D1873" s="9" t="s">
        <v>13284</v>
      </c>
      <c r="E1873" s="9" t="s">
        <v>13284</v>
      </c>
      <c r="F1873" s="9" t="s">
        <v>13284</v>
      </c>
      <c r="G1873" s="9" t="s">
        <v>13284</v>
      </c>
      <c r="H1873" s="9" t="s">
        <v>13284</v>
      </c>
      <c r="I1873" s="9" t="s">
        <v>13284</v>
      </c>
      <c r="J1873" s="9" t="s">
        <v>13284</v>
      </c>
      <c r="K1873" s="9" t="s">
        <v>13284</v>
      </c>
      <c r="L1873" s="9" t="s">
        <v>13284</v>
      </c>
      <c r="M1873" s="9" t="s">
        <v>13284</v>
      </c>
      <c r="N1873" s="9" t="s">
        <v>13284</v>
      </c>
      <c r="O1873" s="9" t="s">
        <v>13284</v>
      </c>
      <c r="P1873" s="9" t="s">
        <v>13284</v>
      </c>
      <c r="Q1873" s="9" t="s">
        <v>13284</v>
      </c>
      <c r="R1873" s="9" t="s">
        <v>13284</v>
      </c>
      <c r="S1873" s="9" t="s">
        <v>13284</v>
      </c>
      <c r="T1873" s="9" t="str">
        <f ca="1">IFERROR(IF(AND(VLOOKUP(A1873, 'Актуальное состояние (из общего'!A:C,3,0) = "", A1873 &lt;&gt; ""), "ПРОВЕРИТЬ", VLOOKUP(A1873, 'Актуальное состояние (из общего'!A:C,3,0)), "")</f>
        <v/>
      </c>
      <c r="U1873" s="9" t="s">
        <v>13284</v>
      </c>
      <c r="V1873" s="9" t="s">
        <v>13284</v>
      </c>
      <c r="W1873" s="12"/>
      <c r="X1873" s="9" t="str">
        <f t="array" ref="X1873">IFERROR(INDEX('Адреса общежитий (скрытый)'!$B$2:$B$9, MATCH(W1873, 'Адреса общежитий (скрытый)'!$A$2:$A$9, 0)), "")</f>
        <v/>
      </c>
      <c r="Y1873" s="18"/>
      <c r="Z1873" s="18"/>
      <c r="AA1873" s="18"/>
      <c r="AB1873" s="18"/>
      <c r="AC1873" s="18"/>
    </row>
    <row r="1874" spans="1:29" ht="32.25" hidden="1" customHeight="1">
      <c r="A1874" s="17"/>
      <c r="B1874" s="9" t="s">
        <v>13284</v>
      </c>
      <c r="C1874" s="9" t="s">
        <v>13284</v>
      </c>
      <c r="D1874" s="9" t="s">
        <v>13284</v>
      </c>
      <c r="E1874" s="9" t="s">
        <v>13284</v>
      </c>
      <c r="F1874" s="9" t="s">
        <v>13284</v>
      </c>
      <c r="G1874" s="9" t="s">
        <v>13284</v>
      </c>
      <c r="H1874" s="9" t="s">
        <v>13284</v>
      </c>
      <c r="I1874" s="9" t="s">
        <v>13284</v>
      </c>
      <c r="J1874" s="9" t="s">
        <v>13284</v>
      </c>
      <c r="K1874" s="9" t="s">
        <v>13284</v>
      </c>
      <c r="L1874" s="9" t="s">
        <v>13284</v>
      </c>
      <c r="M1874" s="9" t="s">
        <v>13284</v>
      </c>
      <c r="N1874" s="9" t="s">
        <v>13284</v>
      </c>
      <c r="O1874" s="9" t="s">
        <v>13284</v>
      </c>
      <c r="P1874" s="9" t="s">
        <v>13284</v>
      </c>
      <c r="Q1874" s="9" t="s">
        <v>13284</v>
      </c>
      <c r="R1874" s="9" t="s">
        <v>13284</v>
      </c>
      <c r="S1874" s="9" t="s">
        <v>13284</v>
      </c>
      <c r="T1874" s="9" t="str">
        <f ca="1">IFERROR(IF(AND(VLOOKUP(A1874, 'Актуальное состояние (из общего'!A:C,3,0) = "", A1874 &lt;&gt; ""), "ПРОВЕРИТЬ", VLOOKUP(A1874, 'Актуальное состояние (из общего'!A:C,3,0)), "")</f>
        <v/>
      </c>
      <c r="U1874" s="9" t="s">
        <v>13284</v>
      </c>
      <c r="V1874" s="9" t="s">
        <v>13284</v>
      </c>
      <c r="W1874" s="12"/>
      <c r="X1874" s="9" t="str">
        <f t="array" ref="X1874">IFERROR(INDEX('Адреса общежитий (скрытый)'!$B$2:$B$9, MATCH(W1874, 'Адреса общежитий (скрытый)'!$A$2:$A$9, 0)), "")</f>
        <v/>
      </c>
      <c r="Y1874" s="18"/>
      <c r="Z1874" s="18"/>
      <c r="AA1874" s="18"/>
      <c r="AB1874" s="18"/>
      <c r="AC1874" s="18"/>
    </row>
    <row r="1875" spans="1:29" ht="32.25" hidden="1" customHeight="1">
      <c r="A1875" s="17"/>
      <c r="B1875" s="9" t="s">
        <v>13284</v>
      </c>
      <c r="C1875" s="9" t="s">
        <v>13284</v>
      </c>
      <c r="D1875" s="9" t="s">
        <v>13284</v>
      </c>
      <c r="E1875" s="9" t="s">
        <v>13284</v>
      </c>
      <c r="F1875" s="9" t="s">
        <v>13284</v>
      </c>
      <c r="G1875" s="9" t="s">
        <v>13284</v>
      </c>
      <c r="H1875" s="9" t="s">
        <v>13284</v>
      </c>
      <c r="I1875" s="9" t="s">
        <v>13284</v>
      </c>
      <c r="J1875" s="9" t="s">
        <v>13284</v>
      </c>
      <c r="K1875" s="9" t="s">
        <v>13284</v>
      </c>
      <c r="L1875" s="9" t="s">
        <v>13284</v>
      </c>
      <c r="M1875" s="9" t="s">
        <v>13284</v>
      </c>
      <c r="N1875" s="9" t="s">
        <v>13284</v>
      </c>
      <c r="O1875" s="9" t="s">
        <v>13284</v>
      </c>
      <c r="P1875" s="9" t="s">
        <v>13284</v>
      </c>
      <c r="Q1875" s="9" t="s">
        <v>13284</v>
      </c>
      <c r="R1875" s="9" t="s">
        <v>13284</v>
      </c>
      <c r="S1875" s="9" t="s">
        <v>13284</v>
      </c>
      <c r="T1875" s="9" t="str">
        <f ca="1">IFERROR(IF(AND(VLOOKUP(A1875, 'Актуальное состояние (из общего'!A:C,3,0) = "", A1875 &lt;&gt; ""), "ПРОВЕРИТЬ", VLOOKUP(A1875, 'Актуальное состояние (из общего'!A:C,3,0)), "")</f>
        <v/>
      </c>
      <c r="U1875" s="9" t="s">
        <v>13284</v>
      </c>
      <c r="V1875" s="9" t="s">
        <v>13284</v>
      </c>
      <c r="W1875" s="12"/>
      <c r="X1875" s="9" t="str">
        <f t="array" ref="X1875">IFERROR(INDEX('Адреса общежитий (скрытый)'!$B$2:$B$9, MATCH(W1875, 'Адреса общежитий (скрытый)'!$A$2:$A$9, 0)), "")</f>
        <v/>
      </c>
      <c r="Y1875" s="18"/>
      <c r="Z1875" s="18"/>
      <c r="AA1875" s="18"/>
      <c r="AB1875" s="18"/>
      <c r="AC1875" s="18"/>
    </row>
    <row r="1876" spans="1:29" ht="32.25" hidden="1" customHeight="1">
      <c r="A1876" s="17"/>
      <c r="B1876" s="9" t="s">
        <v>13284</v>
      </c>
      <c r="C1876" s="9" t="s">
        <v>13284</v>
      </c>
      <c r="D1876" s="9" t="s">
        <v>13284</v>
      </c>
      <c r="E1876" s="9" t="s">
        <v>13284</v>
      </c>
      <c r="F1876" s="9" t="s">
        <v>13284</v>
      </c>
      <c r="G1876" s="9" t="s">
        <v>13284</v>
      </c>
      <c r="H1876" s="9" t="s">
        <v>13284</v>
      </c>
      <c r="I1876" s="9" t="s">
        <v>13284</v>
      </c>
      <c r="J1876" s="9" t="s">
        <v>13284</v>
      </c>
      <c r="K1876" s="9" t="s">
        <v>13284</v>
      </c>
      <c r="L1876" s="9" t="s">
        <v>13284</v>
      </c>
      <c r="M1876" s="9" t="s">
        <v>13284</v>
      </c>
      <c r="N1876" s="9" t="s">
        <v>13284</v>
      </c>
      <c r="O1876" s="9" t="s">
        <v>13284</v>
      </c>
      <c r="P1876" s="9" t="s">
        <v>13284</v>
      </c>
      <c r="Q1876" s="9" t="s">
        <v>13284</v>
      </c>
      <c r="R1876" s="9" t="s">
        <v>13284</v>
      </c>
      <c r="S1876" s="9" t="s">
        <v>13284</v>
      </c>
      <c r="T1876" s="9" t="str">
        <f ca="1">IFERROR(IF(AND(VLOOKUP(A1876, 'Актуальное состояние (из общего'!A:C,3,0) = "", A1876 &lt;&gt; ""), "ПРОВЕРИТЬ", VLOOKUP(A1876, 'Актуальное состояние (из общего'!A:C,3,0)), "")</f>
        <v/>
      </c>
      <c r="U1876" s="9" t="s">
        <v>13284</v>
      </c>
      <c r="V1876" s="9" t="s">
        <v>13284</v>
      </c>
      <c r="W1876" s="12"/>
      <c r="X1876" s="9" t="str">
        <f t="array" ref="X1876">IFERROR(INDEX('Адреса общежитий (скрытый)'!$B$2:$B$9, MATCH(W1876, 'Адреса общежитий (скрытый)'!$A$2:$A$9, 0)), "")</f>
        <v/>
      </c>
      <c r="Y1876" s="18"/>
      <c r="Z1876" s="18"/>
      <c r="AA1876" s="18"/>
      <c r="AB1876" s="18"/>
      <c r="AC1876" s="18"/>
    </row>
    <row r="1877" spans="1:29" ht="32.25" hidden="1" customHeight="1">
      <c r="A1877" s="17"/>
      <c r="B1877" s="9" t="s">
        <v>13284</v>
      </c>
      <c r="C1877" s="9" t="s">
        <v>13284</v>
      </c>
      <c r="D1877" s="9" t="s">
        <v>13284</v>
      </c>
      <c r="E1877" s="9" t="s">
        <v>13284</v>
      </c>
      <c r="F1877" s="9" t="s">
        <v>13284</v>
      </c>
      <c r="G1877" s="9" t="s">
        <v>13284</v>
      </c>
      <c r="H1877" s="9" t="s">
        <v>13284</v>
      </c>
      <c r="I1877" s="9" t="s">
        <v>13284</v>
      </c>
      <c r="J1877" s="9" t="s">
        <v>13284</v>
      </c>
      <c r="K1877" s="9" t="s">
        <v>13284</v>
      </c>
      <c r="L1877" s="9" t="s">
        <v>13284</v>
      </c>
      <c r="M1877" s="9" t="s">
        <v>13284</v>
      </c>
      <c r="N1877" s="9" t="s">
        <v>13284</v>
      </c>
      <c r="O1877" s="9" t="s">
        <v>13284</v>
      </c>
      <c r="P1877" s="9" t="s">
        <v>13284</v>
      </c>
      <c r="Q1877" s="9" t="s">
        <v>13284</v>
      </c>
      <c r="R1877" s="9" t="s">
        <v>13284</v>
      </c>
      <c r="S1877" s="9" t="s">
        <v>13284</v>
      </c>
      <c r="T1877" s="9" t="str">
        <f ca="1">IFERROR(IF(AND(VLOOKUP(A1877, 'Актуальное состояние (из общего'!A:C,3,0) = "", A1877 &lt;&gt; ""), "ПРОВЕРИТЬ", VLOOKUP(A1877, 'Актуальное состояние (из общего'!A:C,3,0)), "")</f>
        <v/>
      </c>
      <c r="U1877" s="9" t="s">
        <v>13284</v>
      </c>
      <c r="V1877" s="9" t="s">
        <v>13284</v>
      </c>
      <c r="W1877" s="12"/>
      <c r="X1877" s="9" t="str">
        <f t="array" ref="X1877">IFERROR(INDEX('Адреса общежитий (скрытый)'!$B$2:$B$9, MATCH(W1877, 'Адреса общежитий (скрытый)'!$A$2:$A$9, 0)), "")</f>
        <v/>
      </c>
      <c r="Y1877" s="18"/>
      <c r="Z1877" s="18"/>
      <c r="AA1877" s="18"/>
      <c r="AB1877" s="18"/>
      <c r="AC1877" s="18"/>
    </row>
    <row r="1878" spans="1:29" ht="32.25" hidden="1" customHeight="1">
      <c r="A1878" s="17"/>
      <c r="B1878" s="9" t="s">
        <v>13284</v>
      </c>
      <c r="C1878" s="9" t="s">
        <v>13284</v>
      </c>
      <c r="D1878" s="9" t="s">
        <v>13284</v>
      </c>
      <c r="E1878" s="9" t="s">
        <v>13284</v>
      </c>
      <c r="F1878" s="9" t="s">
        <v>13284</v>
      </c>
      <c r="G1878" s="9" t="s">
        <v>13284</v>
      </c>
      <c r="H1878" s="9" t="s">
        <v>13284</v>
      </c>
      <c r="I1878" s="9" t="s">
        <v>13284</v>
      </c>
      <c r="J1878" s="9" t="s">
        <v>13284</v>
      </c>
      <c r="K1878" s="9" t="s">
        <v>13284</v>
      </c>
      <c r="L1878" s="9" t="s">
        <v>13284</v>
      </c>
      <c r="M1878" s="9" t="s">
        <v>13284</v>
      </c>
      <c r="N1878" s="9" t="s">
        <v>13284</v>
      </c>
      <c r="O1878" s="9" t="s">
        <v>13284</v>
      </c>
      <c r="P1878" s="9" t="s">
        <v>13284</v>
      </c>
      <c r="Q1878" s="9" t="s">
        <v>13284</v>
      </c>
      <c r="R1878" s="9" t="s">
        <v>13284</v>
      </c>
      <c r="S1878" s="9" t="s">
        <v>13284</v>
      </c>
      <c r="T1878" s="9" t="str">
        <f ca="1">IFERROR(IF(AND(VLOOKUP(A1878, 'Актуальное состояние (из общего'!A:C,3,0) = "", A1878 &lt;&gt; ""), "ПРОВЕРИТЬ", VLOOKUP(A1878, 'Актуальное состояние (из общего'!A:C,3,0)), "")</f>
        <v/>
      </c>
      <c r="U1878" s="9" t="s">
        <v>13284</v>
      </c>
      <c r="V1878" s="9" t="s">
        <v>13284</v>
      </c>
      <c r="W1878" s="12"/>
      <c r="X1878" s="9" t="str">
        <f t="array" ref="X1878">IFERROR(INDEX('Адреса общежитий (скрытый)'!$B$2:$B$9, MATCH(W1878, 'Адреса общежитий (скрытый)'!$A$2:$A$9, 0)), "")</f>
        <v/>
      </c>
      <c r="Y1878" s="18"/>
      <c r="Z1878" s="18"/>
      <c r="AA1878" s="18"/>
      <c r="AB1878" s="18"/>
      <c r="AC1878" s="18"/>
    </row>
    <row r="1879" spans="1:29" ht="32.25" hidden="1" customHeight="1">
      <c r="A1879" s="17"/>
      <c r="B1879" s="9" t="s">
        <v>13284</v>
      </c>
      <c r="C1879" s="9" t="s">
        <v>13284</v>
      </c>
      <c r="D1879" s="9" t="s">
        <v>13284</v>
      </c>
      <c r="E1879" s="9" t="s">
        <v>13284</v>
      </c>
      <c r="F1879" s="9" t="s">
        <v>13284</v>
      </c>
      <c r="G1879" s="9" t="s">
        <v>13284</v>
      </c>
      <c r="H1879" s="9" t="s">
        <v>13284</v>
      </c>
      <c r="I1879" s="9" t="s">
        <v>13284</v>
      </c>
      <c r="J1879" s="9" t="s">
        <v>13284</v>
      </c>
      <c r="K1879" s="9" t="s">
        <v>13284</v>
      </c>
      <c r="L1879" s="9" t="s">
        <v>13284</v>
      </c>
      <c r="M1879" s="9" t="s">
        <v>13284</v>
      </c>
      <c r="N1879" s="9" t="s">
        <v>13284</v>
      </c>
      <c r="O1879" s="9" t="s">
        <v>13284</v>
      </c>
      <c r="P1879" s="9" t="s">
        <v>13284</v>
      </c>
      <c r="Q1879" s="9" t="s">
        <v>13284</v>
      </c>
      <c r="R1879" s="9" t="s">
        <v>13284</v>
      </c>
      <c r="S1879" s="9" t="s">
        <v>13284</v>
      </c>
      <c r="T1879" s="9" t="str">
        <f ca="1">IFERROR(IF(AND(VLOOKUP(A1879, 'Актуальное состояние (из общего'!A:C,3,0) = "", A1879 &lt;&gt; ""), "ПРОВЕРИТЬ", VLOOKUP(A1879, 'Актуальное состояние (из общего'!A:C,3,0)), "")</f>
        <v/>
      </c>
      <c r="U1879" s="9" t="s">
        <v>13284</v>
      </c>
      <c r="V1879" s="9" t="s">
        <v>13284</v>
      </c>
      <c r="W1879" s="12"/>
      <c r="X1879" s="9" t="str">
        <f t="array" ref="X1879">IFERROR(INDEX('Адреса общежитий (скрытый)'!$B$2:$B$9, MATCH(W1879, 'Адреса общежитий (скрытый)'!$A$2:$A$9, 0)), "")</f>
        <v/>
      </c>
      <c r="Y1879" s="18"/>
      <c r="Z1879" s="18"/>
      <c r="AA1879" s="18"/>
      <c r="AB1879" s="18"/>
      <c r="AC1879" s="18"/>
    </row>
    <row r="1880" spans="1:29" ht="32.25" hidden="1" customHeight="1">
      <c r="A1880" s="17"/>
      <c r="B1880" s="9" t="s">
        <v>13284</v>
      </c>
      <c r="C1880" s="9" t="s">
        <v>13284</v>
      </c>
      <c r="D1880" s="9" t="s">
        <v>13284</v>
      </c>
      <c r="E1880" s="9" t="s">
        <v>13284</v>
      </c>
      <c r="F1880" s="9" t="s">
        <v>13284</v>
      </c>
      <c r="G1880" s="9" t="s">
        <v>13284</v>
      </c>
      <c r="H1880" s="9" t="s">
        <v>13284</v>
      </c>
      <c r="I1880" s="9" t="s">
        <v>13284</v>
      </c>
      <c r="J1880" s="9" t="s">
        <v>13284</v>
      </c>
      <c r="K1880" s="9" t="s">
        <v>13284</v>
      </c>
      <c r="L1880" s="9" t="s">
        <v>13284</v>
      </c>
      <c r="M1880" s="9" t="s">
        <v>13284</v>
      </c>
      <c r="N1880" s="9" t="s">
        <v>13284</v>
      </c>
      <c r="O1880" s="9" t="s">
        <v>13284</v>
      </c>
      <c r="P1880" s="9" t="s">
        <v>13284</v>
      </c>
      <c r="Q1880" s="9" t="s">
        <v>13284</v>
      </c>
      <c r="R1880" s="9" t="s">
        <v>13284</v>
      </c>
      <c r="S1880" s="9" t="s">
        <v>13284</v>
      </c>
      <c r="T1880" s="9" t="str">
        <f ca="1">IFERROR(IF(AND(VLOOKUP(A1880, 'Актуальное состояние (из общего'!A:C,3,0) = "", A1880 &lt;&gt; ""), "ПРОВЕРИТЬ", VLOOKUP(A1880, 'Актуальное состояние (из общего'!A:C,3,0)), "")</f>
        <v/>
      </c>
      <c r="U1880" s="9" t="s">
        <v>13284</v>
      </c>
      <c r="V1880" s="9" t="s">
        <v>13284</v>
      </c>
      <c r="W1880" s="12"/>
      <c r="X1880" s="9" t="str">
        <f t="array" ref="X1880">IFERROR(INDEX('Адреса общежитий (скрытый)'!$B$2:$B$9, MATCH(W1880, 'Адреса общежитий (скрытый)'!$A$2:$A$9, 0)), "")</f>
        <v/>
      </c>
      <c r="Y1880" s="18"/>
      <c r="Z1880" s="18"/>
      <c r="AA1880" s="18"/>
      <c r="AB1880" s="18"/>
      <c r="AC1880" s="18"/>
    </row>
    <row r="1881" spans="1:29" ht="32.25" hidden="1" customHeight="1">
      <c r="A1881" s="17"/>
      <c r="B1881" s="9" t="s">
        <v>13284</v>
      </c>
      <c r="C1881" s="9" t="s">
        <v>13284</v>
      </c>
      <c r="D1881" s="9" t="s">
        <v>13284</v>
      </c>
      <c r="E1881" s="9" t="s">
        <v>13284</v>
      </c>
      <c r="F1881" s="9" t="s">
        <v>13284</v>
      </c>
      <c r="G1881" s="9" t="s">
        <v>13284</v>
      </c>
      <c r="H1881" s="9" t="s">
        <v>13284</v>
      </c>
      <c r="I1881" s="9" t="s">
        <v>13284</v>
      </c>
      <c r="J1881" s="9" t="s">
        <v>13284</v>
      </c>
      <c r="K1881" s="9" t="s">
        <v>13284</v>
      </c>
      <c r="L1881" s="9" t="s">
        <v>13284</v>
      </c>
      <c r="M1881" s="9" t="s">
        <v>13284</v>
      </c>
      <c r="N1881" s="9" t="s">
        <v>13284</v>
      </c>
      <c r="O1881" s="9" t="s">
        <v>13284</v>
      </c>
      <c r="P1881" s="9" t="s">
        <v>13284</v>
      </c>
      <c r="Q1881" s="9" t="s">
        <v>13284</v>
      </c>
      <c r="R1881" s="9" t="s">
        <v>13284</v>
      </c>
      <c r="S1881" s="9" t="s">
        <v>13284</v>
      </c>
      <c r="T1881" s="9" t="str">
        <f ca="1">IFERROR(IF(AND(VLOOKUP(A1881, 'Актуальное состояние (из общего'!A:C,3,0) = "", A1881 &lt;&gt; ""), "ПРОВЕРИТЬ", VLOOKUP(A1881, 'Актуальное состояние (из общего'!A:C,3,0)), "")</f>
        <v/>
      </c>
      <c r="U1881" s="9" t="s">
        <v>13284</v>
      </c>
      <c r="V1881" s="9" t="s">
        <v>13284</v>
      </c>
      <c r="W1881" s="12"/>
      <c r="X1881" s="9" t="str">
        <f t="array" ref="X1881">IFERROR(INDEX('Адреса общежитий (скрытый)'!$B$2:$B$9, MATCH(W1881, 'Адреса общежитий (скрытый)'!$A$2:$A$9, 0)), "")</f>
        <v/>
      </c>
      <c r="Y1881" s="18"/>
      <c r="Z1881" s="18"/>
      <c r="AA1881" s="18"/>
      <c r="AB1881" s="18"/>
      <c r="AC1881" s="18"/>
    </row>
    <row r="1882" spans="1:29" ht="32.25" hidden="1" customHeight="1">
      <c r="A1882" s="17"/>
      <c r="B1882" s="9" t="s">
        <v>13284</v>
      </c>
      <c r="C1882" s="9" t="s">
        <v>13284</v>
      </c>
      <c r="D1882" s="9" t="s">
        <v>13284</v>
      </c>
      <c r="E1882" s="9" t="s">
        <v>13284</v>
      </c>
      <c r="F1882" s="9" t="s">
        <v>13284</v>
      </c>
      <c r="G1882" s="9" t="s">
        <v>13284</v>
      </c>
      <c r="H1882" s="9" t="s">
        <v>13284</v>
      </c>
      <c r="I1882" s="9" t="s">
        <v>13284</v>
      </c>
      <c r="J1882" s="9" t="s">
        <v>13284</v>
      </c>
      <c r="K1882" s="9" t="s">
        <v>13284</v>
      </c>
      <c r="L1882" s="9" t="s">
        <v>13284</v>
      </c>
      <c r="M1882" s="9" t="s">
        <v>13284</v>
      </c>
      <c r="N1882" s="9" t="s">
        <v>13284</v>
      </c>
      <c r="O1882" s="9" t="s">
        <v>13284</v>
      </c>
      <c r="P1882" s="9" t="s">
        <v>13284</v>
      </c>
      <c r="Q1882" s="9" t="s">
        <v>13284</v>
      </c>
      <c r="R1882" s="9" t="s">
        <v>13284</v>
      </c>
      <c r="S1882" s="9" t="s">
        <v>13284</v>
      </c>
      <c r="T1882" s="9" t="str">
        <f ca="1">IFERROR(IF(AND(VLOOKUP(A1882, 'Актуальное состояние (из общего'!A:C,3,0) = "", A1882 &lt;&gt; ""), "ПРОВЕРИТЬ", VLOOKUP(A1882, 'Актуальное состояние (из общего'!A:C,3,0)), "")</f>
        <v/>
      </c>
      <c r="U1882" s="9" t="s">
        <v>13284</v>
      </c>
      <c r="V1882" s="9" t="s">
        <v>13284</v>
      </c>
      <c r="W1882" s="12"/>
      <c r="X1882" s="9" t="str">
        <f t="array" ref="X1882">IFERROR(INDEX('Адреса общежитий (скрытый)'!$B$2:$B$9, MATCH(W1882, 'Адреса общежитий (скрытый)'!$A$2:$A$9, 0)), "")</f>
        <v/>
      </c>
      <c r="Y1882" s="18"/>
      <c r="Z1882" s="18"/>
      <c r="AA1882" s="18"/>
      <c r="AB1882" s="18"/>
      <c r="AC1882" s="18"/>
    </row>
    <row r="1883" spans="1:29" ht="32.25" hidden="1" customHeight="1">
      <c r="A1883" s="17"/>
      <c r="B1883" s="9" t="s">
        <v>13284</v>
      </c>
      <c r="C1883" s="9" t="s">
        <v>13284</v>
      </c>
      <c r="D1883" s="9" t="s">
        <v>13284</v>
      </c>
      <c r="E1883" s="9" t="s">
        <v>13284</v>
      </c>
      <c r="F1883" s="9" t="s">
        <v>13284</v>
      </c>
      <c r="G1883" s="9" t="s">
        <v>13284</v>
      </c>
      <c r="H1883" s="9" t="s">
        <v>13284</v>
      </c>
      <c r="I1883" s="9" t="s">
        <v>13284</v>
      </c>
      <c r="J1883" s="9" t="s">
        <v>13284</v>
      </c>
      <c r="K1883" s="9" t="s">
        <v>13284</v>
      </c>
      <c r="L1883" s="9" t="s">
        <v>13284</v>
      </c>
      <c r="M1883" s="9" t="s">
        <v>13284</v>
      </c>
      <c r="N1883" s="9" t="s">
        <v>13284</v>
      </c>
      <c r="O1883" s="9" t="s">
        <v>13284</v>
      </c>
      <c r="P1883" s="9" t="s">
        <v>13284</v>
      </c>
      <c r="Q1883" s="9" t="s">
        <v>13284</v>
      </c>
      <c r="R1883" s="9" t="s">
        <v>13284</v>
      </c>
      <c r="S1883" s="9" t="s">
        <v>13284</v>
      </c>
      <c r="T1883" s="9" t="str">
        <f ca="1">IFERROR(IF(AND(VLOOKUP(A1883, 'Актуальное состояние (из общего'!A:C,3,0) = "", A1883 &lt;&gt; ""), "ПРОВЕРИТЬ", VLOOKUP(A1883, 'Актуальное состояние (из общего'!A:C,3,0)), "")</f>
        <v/>
      </c>
      <c r="U1883" s="9" t="s">
        <v>13284</v>
      </c>
      <c r="V1883" s="9" t="s">
        <v>13284</v>
      </c>
      <c r="W1883" s="12"/>
      <c r="X1883" s="9" t="str">
        <f t="array" ref="X1883">IFERROR(INDEX('Адреса общежитий (скрытый)'!$B$2:$B$9, MATCH(W1883, 'Адреса общежитий (скрытый)'!$A$2:$A$9, 0)), "")</f>
        <v/>
      </c>
      <c r="Y1883" s="18"/>
      <c r="Z1883" s="18"/>
      <c r="AA1883" s="18"/>
      <c r="AB1883" s="18"/>
      <c r="AC1883" s="18"/>
    </row>
    <row r="1884" spans="1:29" ht="32.25" hidden="1" customHeight="1">
      <c r="A1884" s="17"/>
      <c r="B1884" s="9" t="s">
        <v>13284</v>
      </c>
      <c r="C1884" s="9" t="s">
        <v>13284</v>
      </c>
      <c r="D1884" s="9" t="s">
        <v>13284</v>
      </c>
      <c r="E1884" s="9" t="s">
        <v>13284</v>
      </c>
      <c r="F1884" s="9" t="s">
        <v>13284</v>
      </c>
      <c r="G1884" s="9" t="s">
        <v>13284</v>
      </c>
      <c r="H1884" s="9" t="s">
        <v>13284</v>
      </c>
      <c r="I1884" s="9" t="s">
        <v>13284</v>
      </c>
      <c r="J1884" s="9" t="s">
        <v>13284</v>
      </c>
      <c r="K1884" s="9" t="s">
        <v>13284</v>
      </c>
      <c r="L1884" s="9" t="s">
        <v>13284</v>
      </c>
      <c r="M1884" s="9" t="s">
        <v>13284</v>
      </c>
      <c r="N1884" s="9" t="s">
        <v>13284</v>
      </c>
      <c r="O1884" s="9" t="s">
        <v>13284</v>
      </c>
      <c r="P1884" s="9" t="s">
        <v>13284</v>
      </c>
      <c r="Q1884" s="9" t="s">
        <v>13284</v>
      </c>
      <c r="R1884" s="9" t="s">
        <v>13284</v>
      </c>
      <c r="S1884" s="9" t="s">
        <v>13284</v>
      </c>
      <c r="T1884" s="9" t="str">
        <f ca="1">IFERROR(IF(AND(VLOOKUP(A1884, 'Актуальное состояние (из общего'!A:C,3,0) = "", A1884 &lt;&gt; ""), "ПРОВЕРИТЬ", VLOOKUP(A1884, 'Актуальное состояние (из общего'!A:C,3,0)), "")</f>
        <v/>
      </c>
      <c r="U1884" s="9" t="s">
        <v>13284</v>
      </c>
      <c r="V1884" s="9" t="s">
        <v>13284</v>
      </c>
      <c r="W1884" s="12"/>
      <c r="X1884" s="9" t="str">
        <f t="array" ref="X1884">IFERROR(INDEX('Адреса общежитий (скрытый)'!$B$2:$B$9, MATCH(W1884, 'Адреса общежитий (скрытый)'!$A$2:$A$9, 0)), "")</f>
        <v/>
      </c>
      <c r="Y1884" s="18"/>
      <c r="Z1884" s="18"/>
      <c r="AA1884" s="18"/>
      <c r="AB1884" s="18"/>
      <c r="AC1884" s="18"/>
    </row>
    <row r="1885" spans="1:29" ht="32.25" hidden="1" customHeight="1">
      <c r="A1885" s="17"/>
      <c r="B1885" s="9" t="s">
        <v>13284</v>
      </c>
      <c r="C1885" s="9" t="s">
        <v>13284</v>
      </c>
      <c r="D1885" s="9" t="s">
        <v>13284</v>
      </c>
      <c r="E1885" s="9" t="s">
        <v>13284</v>
      </c>
      <c r="F1885" s="9" t="s">
        <v>13284</v>
      </c>
      <c r="G1885" s="9" t="s">
        <v>13284</v>
      </c>
      <c r="H1885" s="9" t="s">
        <v>13284</v>
      </c>
      <c r="I1885" s="9" t="s">
        <v>13284</v>
      </c>
      <c r="J1885" s="9" t="s">
        <v>13284</v>
      </c>
      <c r="K1885" s="9" t="s">
        <v>13284</v>
      </c>
      <c r="L1885" s="9" t="s">
        <v>13284</v>
      </c>
      <c r="M1885" s="9" t="s">
        <v>13284</v>
      </c>
      <c r="N1885" s="9" t="s">
        <v>13284</v>
      </c>
      <c r="O1885" s="9" t="s">
        <v>13284</v>
      </c>
      <c r="P1885" s="9" t="s">
        <v>13284</v>
      </c>
      <c r="Q1885" s="9" t="s">
        <v>13284</v>
      </c>
      <c r="R1885" s="9" t="s">
        <v>13284</v>
      </c>
      <c r="S1885" s="9" t="s">
        <v>13284</v>
      </c>
      <c r="T1885" s="9" t="str">
        <f ca="1">IFERROR(IF(AND(VLOOKUP(A1885, 'Актуальное состояние (из общего'!A:C,3,0) = "", A1885 &lt;&gt; ""), "ПРОВЕРИТЬ", VLOOKUP(A1885, 'Актуальное состояние (из общего'!A:C,3,0)), "")</f>
        <v/>
      </c>
      <c r="U1885" s="9" t="s">
        <v>13284</v>
      </c>
      <c r="V1885" s="9" t="s">
        <v>13284</v>
      </c>
      <c r="W1885" s="12"/>
      <c r="X1885" s="9" t="str">
        <f t="array" ref="X1885">IFERROR(INDEX('Адреса общежитий (скрытый)'!$B$2:$B$9, MATCH(W1885, 'Адреса общежитий (скрытый)'!$A$2:$A$9, 0)), "")</f>
        <v/>
      </c>
      <c r="Y1885" s="18"/>
      <c r="Z1885" s="18"/>
      <c r="AA1885" s="18"/>
      <c r="AB1885" s="18"/>
      <c r="AC1885" s="18"/>
    </row>
    <row r="1886" spans="1:29" ht="32.25" hidden="1" customHeight="1">
      <c r="A1886" s="17"/>
      <c r="B1886" s="9" t="s">
        <v>13284</v>
      </c>
      <c r="C1886" s="9" t="s">
        <v>13284</v>
      </c>
      <c r="D1886" s="9" t="s">
        <v>13284</v>
      </c>
      <c r="E1886" s="9" t="s">
        <v>13284</v>
      </c>
      <c r="F1886" s="9" t="s">
        <v>13284</v>
      </c>
      <c r="G1886" s="9" t="s">
        <v>13284</v>
      </c>
      <c r="H1886" s="9" t="s">
        <v>13284</v>
      </c>
      <c r="I1886" s="9" t="s">
        <v>13284</v>
      </c>
      <c r="J1886" s="9" t="s">
        <v>13284</v>
      </c>
      <c r="K1886" s="9" t="s">
        <v>13284</v>
      </c>
      <c r="L1886" s="9" t="s">
        <v>13284</v>
      </c>
      <c r="M1886" s="9" t="s">
        <v>13284</v>
      </c>
      <c r="N1886" s="9" t="s">
        <v>13284</v>
      </c>
      <c r="O1886" s="9" t="s">
        <v>13284</v>
      </c>
      <c r="P1886" s="9" t="s">
        <v>13284</v>
      </c>
      <c r="Q1886" s="9" t="s">
        <v>13284</v>
      </c>
      <c r="R1886" s="9" t="s">
        <v>13284</v>
      </c>
      <c r="S1886" s="9" t="s">
        <v>13284</v>
      </c>
      <c r="T1886" s="9" t="str">
        <f ca="1">IFERROR(IF(AND(VLOOKUP(A1886, 'Актуальное состояние (из общего'!A:C,3,0) = "", A1886 &lt;&gt; ""), "ПРОВЕРИТЬ", VLOOKUP(A1886, 'Актуальное состояние (из общего'!A:C,3,0)), "")</f>
        <v/>
      </c>
      <c r="U1886" s="9" t="s">
        <v>13284</v>
      </c>
      <c r="V1886" s="9" t="s">
        <v>13284</v>
      </c>
      <c r="W1886" s="12"/>
      <c r="X1886" s="9" t="str">
        <f t="array" ref="X1886">IFERROR(INDEX('Адреса общежитий (скрытый)'!$B$2:$B$9, MATCH(W1886, 'Адреса общежитий (скрытый)'!$A$2:$A$9, 0)), "")</f>
        <v/>
      </c>
      <c r="Y1886" s="18"/>
      <c r="Z1886" s="18"/>
      <c r="AA1886" s="18"/>
      <c r="AB1886" s="18"/>
      <c r="AC1886" s="18"/>
    </row>
    <row r="1887" spans="1:29" ht="32.25" hidden="1" customHeight="1">
      <c r="A1887" s="17"/>
      <c r="B1887" s="9" t="s">
        <v>13284</v>
      </c>
      <c r="C1887" s="9" t="s">
        <v>13284</v>
      </c>
      <c r="D1887" s="9" t="s">
        <v>13284</v>
      </c>
      <c r="E1887" s="9" t="s">
        <v>13284</v>
      </c>
      <c r="F1887" s="9" t="s">
        <v>13284</v>
      </c>
      <c r="G1887" s="9" t="s">
        <v>13284</v>
      </c>
      <c r="H1887" s="9" t="s">
        <v>13284</v>
      </c>
      <c r="I1887" s="9" t="s">
        <v>13284</v>
      </c>
      <c r="J1887" s="9" t="s">
        <v>13284</v>
      </c>
      <c r="K1887" s="9" t="s">
        <v>13284</v>
      </c>
      <c r="L1887" s="9" t="s">
        <v>13284</v>
      </c>
      <c r="M1887" s="9" t="s">
        <v>13284</v>
      </c>
      <c r="N1887" s="9" t="s">
        <v>13284</v>
      </c>
      <c r="O1887" s="9" t="s">
        <v>13284</v>
      </c>
      <c r="P1887" s="9" t="s">
        <v>13284</v>
      </c>
      <c r="Q1887" s="9" t="s">
        <v>13284</v>
      </c>
      <c r="R1887" s="9" t="s">
        <v>13284</v>
      </c>
      <c r="S1887" s="9" t="s">
        <v>13284</v>
      </c>
      <c r="T1887" s="9" t="str">
        <f ca="1">IFERROR(IF(AND(VLOOKUP(A1887, 'Актуальное состояние (из общего'!A:C,3,0) = "", A1887 &lt;&gt; ""), "ПРОВЕРИТЬ", VLOOKUP(A1887, 'Актуальное состояние (из общего'!A:C,3,0)), "")</f>
        <v/>
      </c>
      <c r="U1887" s="9" t="s">
        <v>13284</v>
      </c>
      <c r="V1887" s="9" t="s">
        <v>13284</v>
      </c>
      <c r="W1887" s="12"/>
      <c r="X1887" s="9" t="str">
        <f t="array" ref="X1887">IFERROR(INDEX('Адреса общежитий (скрытый)'!$B$2:$B$9, MATCH(W1887, 'Адреса общежитий (скрытый)'!$A$2:$A$9, 0)), "")</f>
        <v/>
      </c>
      <c r="Y1887" s="18"/>
      <c r="Z1887" s="18"/>
      <c r="AA1887" s="18"/>
      <c r="AB1887" s="18"/>
      <c r="AC1887" s="18"/>
    </row>
    <row r="1888" spans="1:29" ht="32.25" hidden="1" customHeight="1">
      <c r="A1888" s="17"/>
      <c r="B1888" s="9" t="s">
        <v>13284</v>
      </c>
      <c r="C1888" s="9" t="s">
        <v>13284</v>
      </c>
      <c r="D1888" s="9" t="s">
        <v>13284</v>
      </c>
      <c r="E1888" s="9" t="s">
        <v>13284</v>
      </c>
      <c r="F1888" s="9" t="s">
        <v>13284</v>
      </c>
      <c r="G1888" s="9" t="s">
        <v>13284</v>
      </c>
      <c r="H1888" s="9" t="s">
        <v>13284</v>
      </c>
      <c r="I1888" s="9" t="s">
        <v>13284</v>
      </c>
      <c r="J1888" s="9" t="s">
        <v>13284</v>
      </c>
      <c r="K1888" s="9" t="s">
        <v>13284</v>
      </c>
      <c r="L1888" s="9" t="s">
        <v>13284</v>
      </c>
      <c r="M1888" s="9" t="s">
        <v>13284</v>
      </c>
      <c r="N1888" s="9" t="s">
        <v>13284</v>
      </c>
      <c r="O1888" s="9" t="s">
        <v>13284</v>
      </c>
      <c r="P1888" s="9" t="s">
        <v>13284</v>
      </c>
      <c r="Q1888" s="9" t="s">
        <v>13284</v>
      </c>
      <c r="R1888" s="9" t="s">
        <v>13284</v>
      </c>
      <c r="S1888" s="9" t="s">
        <v>13284</v>
      </c>
      <c r="T1888" s="9" t="str">
        <f ca="1">IFERROR(IF(AND(VLOOKUP(A1888, 'Актуальное состояние (из общего'!A:C,3,0) = "", A1888 &lt;&gt; ""), "ПРОВЕРИТЬ", VLOOKUP(A1888, 'Актуальное состояние (из общего'!A:C,3,0)), "")</f>
        <v/>
      </c>
      <c r="U1888" s="9" t="s">
        <v>13284</v>
      </c>
      <c r="V1888" s="9" t="s">
        <v>13284</v>
      </c>
      <c r="W1888" s="12"/>
      <c r="X1888" s="9" t="str">
        <f t="array" ref="X1888">IFERROR(INDEX('Адреса общежитий (скрытый)'!$B$2:$B$9, MATCH(W1888, 'Адреса общежитий (скрытый)'!$A$2:$A$9, 0)), "")</f>
        <v/>
      </c>
      <c r="Y1888" s="18"/>
      <c r="Z1888" s="18"/>
      <c r="AA1888" s="18"/>
      <c r="AB1888" s="18"/>
      <c r="AC1888" s="18"/>
    </row>
    <row r="1889" spans="1:29" ht="32.25" hidden="1" customHeight="1">
      <c r="A1889" s="17"/>
      <c r="B1889" s="9" t="s">
        <v>13284</v>
      </c>
      <c r="C1889" s="9" t="s">
        <v>13284</v>
      </c>
      <c r="D1889" s="9" t="s">
        <v>13284</v>
      </c>
      <c r="E1889" s="9" t="s">
        <v>13284</v>
      </c>
      <c r="F1889" s="9" t="s">
        <v>13284</v>
      </c>
      <c r="G1889" s="9" t="s">
        <v>13284</v>
      </c>
      <c r="H1889" s="9" t="s">
        <v>13284</v>
      </c>
      <c r="I1889" s="9" t="s">
        <v>13284</v>
      </c>
      <c r="J1889" s="9" t="s">
        <v>13284</v>
      </c>
      <c r="K1889" s="9" t="s">
        <v>13284</v>
      </c>
      <c r="L1889" s="9" t="s">
        <v>13284</v>
      </c>
      <c r="M1889" s="9" t="s">
        <v>13284</v>
      </c>
      <c r="N1889" s="9" t="s">
        <v>13284</v>
      </c>
      <c r="O1889" s="9" t="s">
        <v>13284</v>
      </c>
      <c r="P1889" s="9" t="s">
        <v>13284</v>
      </c>
      <c r="Q1889" s="9" t="s">
        <v>13284</v>
      </c>
      <c r="R1889" s="9" t="s">
        <v>13284</v>
      </c>
      <c r="S1889" s="9" t="s">
        <v>13284</v>
      </c>
      <c r="T1889" s="9" t="str">
        <f ca="1">IFERROR(IF(AND(VLOOKUP(A1889, 'Актуальное состояние (из общего'!A:C,3,0) = "", A1889 &lt;&gt; ""), "ПРОВЕРИТЬ", VLOOKUP(A1889, 'Актуальное состояние (из общего'!A:C,3,0)), "")</f>
        <v/>
      </c>
      <c r="U1889" s="9" t="s">
        <v>13284</v>
      </c>
      <c r="V1889" s="9" t="s">
        <v>13284</v>
      </c>
      <c r="W1889" s="12"/>
      <c r="X1889" s="9" t="str">
        <f t="array" ref="X1889">IFERROR(INDEX('Адреса общежитий (скрытый)'!$B$2:$B$9, MATCH(W1889, 'Адреса общежитий (скрытый)'!$A$2:$A$9, 0)), "")</f>
        <v/>
      </c>
      <c r="Y1889" s="18"/>
      <c r="Z1889" s="18"/>
      <c r="AA1889" s="18"/>
      <c r="AB1889" s="18"/>
      <c r="AC1889" s="18"/>
    </row>
    <row r="1890" spans="1:29" ht="32.25" hidden="1" customHeight="1">
      <c r="A1890" s="17"/>
      <c r="B1890" s="9" t="s">
        <v>13284</v>
      </c>
      <c r="C1890" s="9" t="s">
        <v>13284</v>
      </c>
      <c r="D1890" s="9" t="s">
        <v>13284</v>
      </c>
      <c r="E1890" s="9" t="s">
        <v>13284</v>
      </c>
      <c r="F1890" s="9" t="s">
        <v>13284</v>
      </c>
      <c r="G1890" s="9" t="s">
        <v>13284</v>
      </c>
      <c r="H1890" s="9" t="s">
        <v>13284</v>
      </c>
      <c r="I1890" s="9" t="s">
        <v>13284</v>
      </c>
      <c r="J1890" s="9" t="s">
        <v>13284</v>
      </c>
      <c r="K1890" s="9" t="s">
        <v>13284</v>
      </c>
      <c r="L1890" s="9" t="s">
        <v>13284</v>
      </c>
      <c r="M1890" s="9" t="s">
        <v>13284</v>
      </c>
      <c r="N1890" s="9" t="s">
        <v>13284</v>
      </c>
      <c r="O1890" s="9" t="s">
        <v>13284</v>
      </c>
      <c r="P1890" s="9" t="s">
        <v>13284</v>
      </c>
      <c r="Q1890" s="9" t="s">
        <v>13284</v>
      </c>
      <c r="R1890" s="9" t="s">
        <v>13284</v>
      </c>
      <c r="S1890" s="9" t="s">
        <v>13284</v>
      </c>
      <c r="T1890" s="9" t="str">
        <f ca="1">IFERROR(IF(AND(VLOOKUP(A1890, 'Актуальное состояние (из общего'!A:C,3,0) = "", A1890 &lt;&gt; ""), "ПРОВЕРИТЬ", VLOOKUP(A1890, 'Актуальное состояние (из общего'!A:C,3,0)), "")</f>
        <v/>
      </c>
      <c r="U1890" s="9" t="s">
        <v>13284</v>
      </c>
      <c r="V1890" s="9" t="s">
        <v>13284</v>
      </c>
      <c r="W1890" s="12"/>
      <c r="X1890" s="9" t="str">
        <f t="array" ref="X1890">IFERROR(INDEX('Адреса общежитий (скрытый)'!$B$2:$B$9, MATCH(W1890, 'Адреса общежитий (скрытый)'!$A$2:$A$9, 0)), "")</f>
        <v/>
      </c>
      <c r="Y1890" s="18"/>
      <c r="Z1890" s="18"/>
      <c r="AA1890" s="18"/>
      <c r="AB1890" s="18"/>
      <c r="AC1890" s="18"/>
    </row>
    <row r="1891" spans="1:29" ht="32.25" hidden="1" customHeight="1">
      <c r="A1891" s="17"/>
      <c r="B1891" s="9" t="s">
        <v>13284</v>
      </c>
      <c r="C1891" s="9" t="s">
        <v>13284</v>
      </c>
      <c r="D1891" s="9" t="s">
        <v>13284</v>
      </c>
      <c r="E1891" s="9" t="s">
        <v>13284</v>
      </c>
      <c r="F1891" s="9" t="s">
        <v>13284</v>
      </c>
      <c r="G1891" s="9" t="s">
        <v>13284</v>
      </c>
      <c r="H1891" s="9" t="s">
        <v>13284</v>
      </c>
      <c r="I1891" s="9" t="s">
        <v>13284</v>
      </c>
      <c r="J1891" s="9" t="s">
        <v>13284</v>
      </c>
      <c r="K1891" s="9" t="s">
        <v>13284</v>
      </c>
      <c r="L1891" s="9" t="s">
        <v>13284</v>
      </c>
      <c r="M1891" s="9" t="s">
        <v>13284</v>
      </c>
      <c r="N1891" s="9" t="s">
        <v>13284</v>
      </c>
      <c r="O1891" s="9" t="s">
        <v>13284</v>
      </c>
      <c r="P1891" s="9" t="s">
        <v>13284</v>
      </c>
      <c r="Q1891" s="9" t="s">
        <v>13284</v>
      </c>
      <c r="R1891" s="9" t="s">
        <v>13284</v>
      </c>
      <c r="S1891" s="9" t="s">
        <v>13284</v>
      </c>
      <c r="T1891" s="9" t="str">
        <f ca="1">IFERROR(IF(AND(VLOOKUP(A1891, 'Актуальное состояние (из общего'!A:C,3,0) = "", A1891 &lt;&gt; ""), "ПРОВЕРИТЬ", VLOOKUP(A1891, 'Актуальное состояние (из общего'!A:C,3,0)), "")</f>
        <v/>
      </c>
      <c r="U1891" s="9" t="s">
        <v>13284</v>
      </c>
      <c r="V1891" s="9" t="s">
        <v>13284</v>
      </c>
      <c r="W1891" s="12"/>
      <c r="X1891" s="9" t="str">
        <f t="array" ref="X1891">IFERROR(INDEX('Адреса общежитий (скрытый)'!$B$2:$B$9, MATCH(W1891, 'Адреса общежитий (скрытый)'!$A$2:$A$9, 0)), "")</f>
        <v/>
      </c>
      <c r="Y1891" s="18"/>
      <c r="Z1891" s="18"/>
      <c r="AA1891" s="18"/>
      <c r="AB1891" s="18"/>
      <c r="AC1891" s="18"/>
    </row>
    <row r="1892" spans="1:29" ht="32.25" hidden="1" customHeight="1">
      <c r="A1892" s="17"/>
      <c r="B1892" s="9" t="s">
        <v>13284</v>
      </c>
      <c r="C1892" s="9" t="s">
        <v>13284</v>
      </c>
      <c r="D1892" s="9" t="s">
        <v>13284</v>
      </c>
      <c r="E1892" s="9" t="s">
        <v>13284</v>
      </c>
      <c r="F1892" s="9" t="s">
        <v>13284</v>
      </c>
      <c r="G1892" s="9" t="s">
        <v>13284</v>
      </c>
      <c r="H1892" s="9" t="s">
        <v>13284</v>
      </c>
      <c r="I1892" s="9" t="s">
        <v>13284</v>
      </c>
      <c r="J1892" s="9" t="s">
        <v>13284</v>
      </c>
      <c r="K1892" s="9" t="s">
        <v>13284</v>
      </c>
      <c r="L1892" s="9" t="s">
        <v>13284</v>
      </c>
      <c r="M1892" s="9" t="s">
        <v>13284</v>
      </c>
      <c r="N1892" s="9" t="s">
        <v>13284</v>
      </c>
      <c r="O1892" s="9" t="s">
        <v>13284</v>
      </c>
      <c r="P1892" s="9" t="s">
        <v>13284</v>
      </c>
      <c r="Q1892" s="9" t="s">
        <v>13284</v>
      </c>
      <c r="R1892" s="9" t="s">
        <v>13284</v>
      </c>
      <c r="S1892" s="9" t="s">
        <v>13284</v>
      </c>
      <c r="T1892" s="9" t="str">
        <f ca="1">IFERROR(IF(AND(VLOOKUP(A1892, 'Актуальное состояние (из общего'!A:C,3,0) = "", A1892 &lt;&gt; ""), "ПРОВЕРИТЬ", VLOOKUP(A1892, 'Актуальное состояние (из общего'!A:C,3,0)), "")</f>
        <v/>
      </c>
      <c r="U1892" s="9" t="s">
        <v>13284</v>
      </c>
      <c r="V1892" s="9" t="s">
        <v>13284</v>
      </c>
      <c r="W1892" s="12"/>
      <c r="X1892" s="9" t="str">
        <f t="array" ref="X1892">IFERROR(INDEX('Адреса общежитий (скрытый)'!$B$2:$B$9, MATCH(W1892, 'Адреса общежитий (скрытый)'!$A$2:$A$9, 0)), "")</f>
        <v/>
      </c>
      <c r="Y1892" s="18"/>
      <c r="Z1892" s="18"/>
      <c r="AA1892" s="18"/>
      <c r="AB1892" s="18"/>
      <c r="AC1892" s="18"/>
    </row>
    <row r="1893" spans="1:29" ht="32.25" hidden="1" customHeight="1">
      <c r="A1893" s="17"/>
      <c r="B1893" s="9" t="s">
        <v>13284</v>
      </c>
      <c r="C1893" s="9" t="s">
        <v>13284</v>
      </c>
      <c r="D1893" s="9" t="s">
        <v>13284</v>
      </c>
      <c r="E1893" s="9" t="s">
        <v>13284</v>
      </c>
      <c r="F1893" s="9" t="s">
        <v>13284</v>
      </c>
      <c r="G1893" s="9" t="s">
        <v>13284</v>
      </c>
      <c r="H1893" s="9" t="s">
        <v>13284</v>
      </c>
      <c r="I1893" s="9" t="s">
        <v>13284</v>
      </c>
      <c r="J1893" s="9" t="s">
        <v>13284</v>
      </c>
      <c r="K1893" s="9" t="s">
        <v>13284</v>
      </c>
      <c r="L1893" s="9" t="s">
        <v>13284</v>
      </c>
      <c r="M1893" s="9" t="s">
        <v>13284</v>
      </c>
      <c r="N1893" s="9" t="s">
        <v>13284</v>
      </c>
      <c r="O1893" s="9" t="s">
        <v>13284</v>
      </c>
      <c r="P1893" s="9" t="s">
        <v>13284</v>
      </c>
      <c r="Q1893" s="9" t="s">
        <v>13284</v>
      </c>
      <c r="R1893" s="9" t="s">
        <v>13284</v>
      </c>
      <c r="S1893" s="9" t="s">
        <v>13284</v>
      </c>
      <c r="T1893" s="9" t="str">
        <f ca="1">IFERROR(IF(AND(VLOOKUP(A1893, 'Актуальное состояние (из общего'!A:C,3,0) = "", A1893 &lt;&gt; ""), "ПРОВЕРИТЬ", VLOOKUP(A1893, 'Актуальное состояние (из общего'!A:C,3,0)), "")</f>
        <v/>
      </c>
      <c r="U1893" s="9" t="s">
        <v>13284</v>
      </c>
      <c r="V1893" s="9" t="s">
        <v>13284</v>
      </c>
      <c r="W1893" s="12"/>
      <c r="X1893" s="9" t="str">
        <f t="array" ref="X1893">IFERROR(INDEX('Адреса общежитий (скрытый)'!$B$2:$B$9, MATCH(W1893, 'Адреса общежитий (скрытый)'!$A$2:$A$9, 0)), "")</f>
        <v/>
      </c>
      <c r="Y1893" s="18"/>
      <c r="Z1893" s="18"/>
      <c r="AA1893" s="18"/>
      <c r="AB1893" s="18"/>
      <c r="AC1893" s="18"/>
    </row>
    <row r="1894" spans="1:29" ht="32.25" hidden="1" customHeight="1">
      <c r="A1894" s="17"/>
      <c r="B1894" s="9" t="s">
        <v>13284</v>
      </c>
      <c r="C1894" s="9" t="s">
        <v>13284</v>
      </c>
      <c r="D1894" s="9" t="s">
        <v>13284</v>
      </c>
      <c r="E1894" s="9" t="s">
        <v>13284</v>
      </c>
      <c r="F1894" s="9" t="s">
        <v>13284</v>
      </c>
      <c r="G1894" s="9" t="s">
        <v>13284</v>
      </c>
      <c r="H1894" s="9" t="s">
        <v>13284</v>
      </c>
      <c r="I1894" s="9" t="s">
        <v>13284</v>
      </c>
      <c r="J1894" s="9" t="s">
        <v>13284</v>
      </c>
      <c r="K1894" s="9" t="s">
        <v>13284</v>
      </c>
      <c r="L1894" s="9" t="s">
        <v>13284</v>
      </c>
      <c r="M1894" s="9" t="s">
        <v>13284</v>
      </c>
      <c r="N1894" s="9" t="s">
        <v>13284</v>
      </c>
      <c r="O1894" s="9" t="s">
        <v>13284</v>
      </c>
      <c r="P1894" s="9" t="s">
        <v>13284</v>
      </c>
      <c r="Q1894" s="9" t="s">
        <v>13284</v>
      </c>
      <c r="R1894" s="9" t="s">
        <v>13284</v>
      </c>
      <c r="S1894" s="9" t="s">
        <v>13284</v>
      </c>
      <c r="T1894" s="9" t="str">
        <f ca="1">IFERROR(IF(AND(VLOOKUP(A1894, 'Актуальное состояние (из общего'!A:C,3,0) = "", A1894 &lt;&gt; ""), "ПРОВЕРИТЬ", VLOOKUP(A1894, 'Актуальное состояние (из общего'!A:C,3,0)), "")</f>
        <v/>
      </c>
      <c r="U1894" s="9" t="s">
        <v>13284</v>
      </c>
      <c r="V1894" s="9" t="s">
        <v>13284</v>
      </c>
      <c r="W1894" s="12"/>
      <c r="X1894" s="9" t="str">
        <f t="array" ref="X1894">IFERROR(INDEX('Адреса общежитий (скрытый)'!$B$2:$B$9, MATCH(W1894, 'Адреса общежитий (скрытый)'!$A$2:$A$9, 0)), "")</f>
        <v/>
      </c>
      <c r="Y1894" s="18"/>
      <c r="Z1894" s="18"/>
      <c r="AA1894" s="18"/>
      <c r="AB1894" s="18"/>
      <c r="AC1894" s="18"/>
    </row>
    <row r="1895" spans="1:29" ht="32.25" hidden="1" customHeight="1">
      <c r="A1895" s="17"/>
      <c r="B1895" s="9" t="s">
        <v>13284</v>
      </c>
      <c r="C1895" s="9" t="s">
        <v>13284</v>
      </c>
      <c r="D1895" s="9" t="s">
        <v>13284</v>
      </c>
      <c r="E1895" s="9" t="s">
        <v>13284</v>
      </c>
      <c r="F1895" s="9" t="s">
        <v>13284</v>
      </c>
      <c r="G1895" s="9" t="s">
        <v>13284</v>
      </c>
      <c r="H1895" s="9" t="s">
        <v>13284</v>
      </c>
      <c r="I1895" s="9" t="s">
        <v>13284</v>
      </c>
      <c r="J1895" s="9" t="s">
        <v>13284</v>
      </c>
      <c r="K1895" s="9" t="s">
        <v>13284</v>
      </c>
      <c r="L1895" s="9" t="s">
        <v>13284</v>
      </c>
      <c r="M1895" s="9" t="s">
        <v>13284</v>
      </c>
      <c r="N1895" s="9" t="s">
        <v>13284</v>
      </c>
      <c r="O1895" s="9" t="s">
        <v>13284</v>
      </c>
      <c r="P1895" s="9" t="s">
        <v>13284</v>
      </c>
      <c r="Q1895" s="9" t="s">
        <v>13284</v>
      </c>
      <c r="R1895" s="9" t="s">
        <v>13284</v>
      </c>
      <c r="S1895" s="9" t="s">
        <v>13284</v>
      </c>
      <c r="T1895" s="9" t="str">
        <f ca="1">IFERROR(IF(AND(VLOOKUP(A1895, 'Актуальное состояние (из общего'!A:C,3,0) = "", A1895 &lt;&gt; ""), "ПРОВЕРИТЬ", VLOOKUP(A1895, 'Актуальное состояние (из общего'!A:C,3,0)), "")</f>
        <v/>
      </c>
      <c r="U1895" s="9" t="s">
        <v>13284</v>
      </c>
      <c r="V1895" s="9" t="s">
        <v>13284</v>
      </c>
      <c r="W1895" s="12"/>
      <c r="X1895" s="9" t="str">
        <f t="array" ref="X1895">IFERROR(INDEX('Адреса общежитий (скрытый)'!$B$2:$B$9, MATCH(W1895, 'Адреса общежитий (скрытый)'!$A$2:$A$9, 0)), "")</f>
        <v/>
      </c>
      <c r="Y1895" s="18"/>
      <c r="Z1895" s="18"/>
      <c r="AA1895" s="18"/>
      <c r="AB1895" s="18"/>
      <c r="AC1895" s="18"/>
    </row>
    <row r="1896" spans="1:29" ht="32.25" hidden="1" customHeight="1">
      <c r="A1896" s="17"/>
      <c r="B1896" s="9" t="s">
        <v>13284</v>
      </c>
      <c r="C1896" s="9" t="s">
        <v>13284</v>
      </c>
      <c r="D1896" s="9" t="s">
        <v>13284</v>
      </c>
      <c r="E1896" s="9" t="s">
        <v>13284</v>
      </c>
      <c r="F1896" s="9" t="s">
        <v>13284</v>
      </c>
      <c r="G1896" s="9" t="s">
        <v>13284</v>
      </c>
      <c r="H1896" s="9" t="s">
        <v>13284</v>
      </c>
      <c r="I1896" s="9" t="s">
        <v>13284</v>
      </c>
      <c r="J1896" s="9" t="s">
        <v>13284</v>
      </c>
      <c r="K1896" s="9" t="s">
        <v>13284</v>
      </c>
      <c r="L1896" s="9" t="s">
        <v>13284</v>
      </c>
      <c r="M1896" s="9" t="s">
        <v>13284</v>
      </c>
      <c r="N1896" s="9" t="s">
        <v>13284</v>
      </c>
      <c r="O1896" s="9" t="s">
        <v>13284</v>
      </c>
      <c r="P1896" s="9" t="s">
        <v>13284</v>
      </c>
      <c r="Q1896" s="9" t="s">
        <v>13284</v>
      </c>
      <c r="R1896" s="9" t="s">
        <v>13284</v>
      </c>
      <c r="S1896" s="9" t="s">
        <v>13284</v>
      </c>
      <c r="T1896" s="9" t="str">
        <f ca="1">IFERROR(IF(AND(VLOOKUP(A1896, 'Актуальное состояние (из общего'!A:C,3,0) = "", A1896 &lt;&gt; ""), "ПРОВЕРИТЬ", VLOOKUP(A1896, 'Актуальное состояние (из общего'!A:C,3,0)), "")</f>
        <v/>
      </c>
      <c r="U1896" s="9" t="s">
        <v>13284</v>
      </c>
      <c r="V1896" s="9" t="s">
        <v>13284</v>
      </c>
      <c r="W1896" s="12"/>
      <c r="X1896" s="9" t="str">
        <f t="array" ref="X1896">IFERROR(INDEX('Адреса общежитий (скрытый)'!$B$2:$B$9, MATCH(W1896, 'Адреса общежитий (скрытый)'!$A$2:$A$9, 0)), "")</f>
        <v/>
      </c>
      <c r="Y1896" s="18"/>
      <c r="Z1896" s="18"/>
      <c r="AA1896" s="18"/>
      <c r="AB1896" s="18"/>
      <c r="AC1896" s="18"/>
    </row>
    <row r="1897" spans="1:29" ht="32.25" hidden="1" customHeight="1">
      <c r="A1897" s="17"/>
      <c r="B1897" s="9" t="s">
        <v>13284</v>
      </c>
      <c r="C1897" s="9" t="s">
        <v>13284</v>
      </c>
      <c r="D1897" s="9" t="s">
        <v>13284</v>
      </c>
      <c r="E1897" s="9" t="s">
        <v>13284</v>
      </c>
      <c r="F1897" s="9" t="s">
        <v>13284</v>
      </c>
      <c r="G1897" s="9" t="s">
        <v>13284</v>
      </c>
      <c r="H1897" s="9" t="s">
        <v>13284</v>
      </c>
      <c r="I1897" s="9" t="s">
        <v>13284</v>
      </c>
      <c r="J1897" s="9" t="s">
        <v>13284</v>
      </c>
      <c r="K1897" s="9" t="s">
        <v>13284</v>
      </c>
      <c r="L1897" s="9" t="s">
        <v>13284</v>
      </c>
      <c r="M1897" s="9" t="s">
        <v>13284</v>
      </c>
      <c r="N1897" s="9" t="s">
        <v>13284</v>
      </c>
      <c r="O1897" s="9" t="s">
        <v>13284</v>
      </c>
      <c r="P1897" s="9" t="s">
        <v>13284</v>
      </c>
      <c r="Q1897" s="9" t="s">
        <v>13284</v>
      </c>
      <c r="R1897" s="9" t="s">
        <v>13284</v>
      </c>
      <c r="S1897" s="9" t="s">
        <v>13284</v>
      </c>
      <c r="T1897" s="9" t="str">
        <f ca="1">IFERROR(IF(AND(VLOOKUP(A1897, 'Актуальное состояние (из общего'!A:C,3,0) = "", A1897 &lt;&gt; ""), "ПРОВЕРИТЬ", VLOOKUP(A1897, 'Актуальное состояние (из общего'!A:C,3,0)), "")</f>
        <v/>
      </c>
      <c r="U1897" s="9" t="s">
        <v>13284</v>
      </c>
      <c r="V1897" s="9" t="s">
        <v>13284</v>
      </c>
      <c r="W1897" s="12"/>
      <c r="X1897" s="9" t="str">
        <f t="array" ref="X1897">IFERROR(INDEX('Адреса общежитий (скрытый)'!$B$2:$B$9, MATCH(W1897, 'Адреса общежитий (скрытый)'!$A$2:$A$9, 0)), "")</f>
        <v/>
      </c>
      <c r="Y1897" s="18"/>
      <c r="Z1897" s="18"/>
      <c r="AA1897" s="18"/>
      <c r="AB1897" s="18"/>
      <c r="AC1897" s="18"/>
    </row>
    <row r="1898" spans="1:29" ht="32.25" hidden="1" customHeight="1">
      <c r="A1898" s="17"/>
      <c r="B1898" s="9" t="s">
        <v>13284</v>
      </c>
      <c r="C1898" s="9" t="s">
        <v>13284</v>
      </c>
      <c r="D1898" s="9" t="s">
        <v>13284</v>
      </c>
      <c r="E1898" s="9" t="s">
        <v>13284</v>
      </c>
      <c r="F1898" s="9" t="s">
        <v>13284</v>
      </c>
      <c r="G1898" s="9" t="s">
        <v>13284</v>
      </c>
      <c r="H1898" s="9" t="s">
        <v>13284</v>
      </c>
      <c r="I1898" s="9" t="s">
        <v>13284</v>
      </c>
      <c r="J1898" s="9" t="s">
        <v>13284</v>
      </c>
      <c r="K1898" s="9" t="s">
        <v>13284</v>
      </c>
      <c r="L1898" s="9" t="s">
        <v>13284</v>
      </c>
      <c r="M1898" s="9" t="s">
        <v>13284</v>
      </c>
      <c r="N1898" s="9" t="s">
        <v>13284</v>
      </c>
      <c r="O1898" s="9" t="s">
        <v>13284</v>
      </c>
      <c r="P1898" s="9" t="s">
        <v>13284</v>
      </c>
      <c r="Q1898" s="9" t="s">
        <v>13284</v>
      </c>
      <c r="R1898" s="9" t="s">
        <v>13284</v>
      </c>
      <c r="S1898" s="9" t="s">
        <v>13284</v>
      </c>
      <c r="T1898" s="9" t="str">
        <f ca="1">IFERROR(IF(AND(VLOOKUP(A1898, 'Актуальное состояние (из общего'!A:C,3,0) = "", A1898 &lt;&gt; ""), "ПРОВЕРИТЬ", VLOOKUP(A1898, 'Актуальное состояние (из общего'!A:C,3,0)), "")</f>
        <v/>
      </c>
      <c r="U1898" s="9" t="s">
        <v>13284</v>
      </c>
      <c r="V1898" s="9" t="s">
        <v>13284</v>
      </c>
      <c r="W1898" s="12"/>
      <c r="X1898" s="9" t="str">
        <f t="array" ref="X1898">IFERROR(INDEX('Адреса общежитий (скрытый)'!$B$2:$B$9, MATCH(W1898, 'Адреса общежитий (скрытый)'!$A$2:$A$9, 0)), "")</f>
        <v/>
      </c>
      <c r="Y1898" s="18"/>
      <c r="Z1898" s="18"/>
      <c r="AA1898" s="18"/>
      <c r="AB1898" s="18"/>
      <c r="AC1898" s="18"/>
    </row>
    <row r="1899" spans="1:29" ht="32.25" hidden="1" customHeight="1">
      <c r="A1899" s="17"/>
      <c r="B1899" s="9" t="s">
        <v>13284</v>
      </c>
      <c r="C1899" s="9" t="s">
        <v>13284</v>
      </c>
      <c r="D1899" s="9" t="s">
        <v>13284</v>
      </c>
      <c r="E1899" s="9" t="s">
        <v>13284</v>
      </c>
      <c r="F1899" s="9" t="s">
        <v>13284</v>
      </c>
      <c r="G1899" s="9" t="s">
        <v>13284</v>
      </c>
      <c r="H1899" s="9" t="s">
        <v>13284</v>
      </c>
      <c r="I1899" s="9" t="s">
        <v>13284</v>
      </c>
      <c r="J1899" s="9" t="s">
        <v>13284</v>
      </c>
      <c r="K1899" s="9" t="s">
        <v>13284</v>
      </c>
      <c r="L1899" s="9" t="s">
        <v>13284</v>
      </c>
      <c r="M1899" s="9" t="s">
        <v>13284</v>
      </c>
      <c r="N1899" s="9" t="s">
        <v>13284</v>
      </c>
      <c r="O1899" s="9" t="s">
        <v>13284</v>
      </c>
      <c r="P1899" s="9" t="s">
        <v>13284</v>
      </c>
      <c r="Q1899" s="9" t="s">
        <v>13284</v>
      </c>
      <c r="R1899" s="9" t="s">
        <v>13284</v>
      </c>
      <c r="S1899" s="9" t="s">
        <v>13284</v>
      </c>
      <c r="T1899" s="9" t="str">
        <f ca="1">IFERROR(IF(AND(VLOOKUP(A1899, 'Актуальное состояние (из общего'!A:C,3,0) = "", A1899 &lt;&gt; ""), "ПРОВЕРИТЬ", VLOOKUP(A1899, 'Актуальное состояние (из общего'!A:C,3,0)), "")</f>
        <v/>
      </c>
      <c r="U1899" s="9" t="s">
        <v>13284</v>
      </c>
      <c r="V1899" s="9" t="s">
        <v>13284</v>
      </c>
      <c r="W1899" s="12"/>
      <c r="X1899" s="9" t="str">
        <f t="array" ref="X1899">IFERROR(INDEX('Адреса общежитий (скрытый)'!$B$2:$B$9, MATCH(W1899, 'Адреса общежитий (скрытый)'!$A$2:$A$9, 0)), "")</f>
        <v/>
      </c>
      <c r="Y1899" s="18"/>
      <c r="Z1899" s="18"/>
      <c r="AA1899" s="18"/>
      <c r="AB1899" s="18"/>
      <c r="AC1899" s="18"/>
    </row>
    <row r="1900" spans="1:29" ht="32.25" hidden="1" customHeight="1">
      <c r="A1900" s="17"/>
      <c r="B1900" s="9" t="s">
        <v>13284</v>
      </c>
      <c r="C1900" s="9" t="s">
        <v>13284</v>
      </c>
      <c r="D1900" s="9" t="s">
        <v>13284</v>
      </c>
      <c r="E1900" s="9" t="s">
        <v>13284</v>
      </c>
      <c r="F1900" s="9" t="s">
        <v>13284</v>
      </c>
      <c r="G1900" s="9" t="s">
        <v>13284</v>
      </c>
      <c r="H1900" s="9" t="s">
        <v>13284</v>
      </c>
      <c r="I1900" s="9" t="s">
        <v>13284</v>
      </c>
      <c r="J1900" s="9" t="s">
        <v>13284</v>
      </c>
      <c r="K1900" s="9" t="s">
        <v>13284</v>
      </c>
      <c r="L1900" s="9" t="s">
        <v>13284</v>
      </c>
      <c r="M1900" s="9" t="s">
        <v>13284</v>
      </c>
      <c r="N1900" s="9" t="s">
        <v>13284</v>
      </c>
      <c r="O1900" s="9" t="s">
        <v>13284</v>
      </c>
      <c r="P1900" s="9" t="s">
        <v>13284</v>
      </c>
      <c r="Q1900" s="9" t="s">
        <v>13284</v>
      </c>
      <c r="R1900" s="9" t="s">
        <v>13284</v>
      </c>
      <c r="S1900" s="9" t="s">
        <v>13284</v>
      </c>
      <c r="T1900" s="9" t="str">
        <f ca="1">IFERROR(IF(AND(VLOOKUP(A1900, 'Актуальное состояние (из общего'!A:C,3,0) = "", A1900 &lt;&gt; ""), "ПРОВЕРИТЬ", VLOOKUP(A1900, 'Актуальное состояние (из общего'!A:C,3,0)), "")</f>
        <v/>
      </c>
      <c r="U1900" s="9" t="s">
        <v>13284</v>
      </c>
      <c r="V1900" s="9" t="s">
        <v>13284</v>
      </c>
      <c r="W1900" s="12"/>
      <c r="X1900" s="9" t="str">
        <f t="array" ref="X1900">IFERROR(INDEX('Адреса общежитий (скрытый)'!$B$2:$B$9, MATCH(W1900, 'Адреса общежитий (скрытый)'!$A$2:$A$9, 0)), "")</f>
        <v/>
      </c>
      <c r="Y1900" s="18"/>
      <c r="Z1900" s="18"/>
      <c r="AA1900" s="18"/>
      <c r="AB1900" s="18"/>
      <c r="AC1900" s="18"/>
    </row>
    <row r="1901" spans="1:29" ht="32.25" hidden="1" customHeight="1">
      <c r="A1901" s="17"/>
      <c r="B1901" s="9" t="s">
        <v>13284</v>
      </c>
      <c r="C1901" s="9" t="s">
        <v>13284</v>
      </c>
      <c r="D1901" s="9" t="s">
        <v>13284</v>
      </c>
      <c r="E1901" s="9" t="s">
        <v>13284</v>
      </c>
      <c r="F1901" s="9" t="s">
        <v>13284</v>
      </c>
      <c r="G1901" s="9" t="s">
        <v>13284</v>
      </c>
      <c r="H1901" s="9" t="s">
        <v>13284</v>
      </c>
      <c r="I1901" s="9" t="s">
        <v>13284</v>
      </c>
      <c r="J1901" s="9" t="s">
        <v>13284</v>
      </c>
      <c r="K1901" s="9" t="s">
        <v>13284</v>
      </c>
      <c r="L1901" s="9" t="s">
        <v>13284</v>
      </c>
      <c r="M1901" s="9" t="s">
        <v>13284</v>
      </c>
      <c r="N1901" s="9" t="s">
        <v>13284</v>
      </c>
      <c r="O1901" s="9" t="s">
        <v>13284</v>
      </c>
      <c r="P1901" s="9" t="s">
        <v>13284</v>
      </c>
      <c r="Q1901" s="9" t="s">
        <v>13284</v>
      </c>
      <c r="R1901" s="9" t="s">
        <v>13284</v>
      </c>
      <c r="S1901" s="9" t="s">
        <v>13284</v>
      </c>
      <c r="T1901" s="9" t="str">
        <f ca="1">IFERROR(IF(AND(VLOOKUP(A1901, 'Актуальное состояние (из общего'!A:C,3,0) = "", A1901 &lt;&gt; ""), "ПРОВЕРИТЬ", VLOOKUP(A1901, 'Актуальное состояние (из общего'!A:C,3,0)), "")</f>
        <v/>
      </c>
      <c r="U1901" s="9" t="s">
        <v>13284</v>
      </c>
      <c r="V1901" s="9" t="s">
        <v>13284</v>
      </c>
      <c r="W1901" s="12"/>
      <c r="X1901" s="9" t="str">
        <f t="array" ref="X1901">IFERROR(INDEX('Адреса общежитий (скрытый)'!$B$2:$B$9, MATCH(W1901, 'Адреса общежитий (скрытый)'!$A$2:$A$9, 0)), "")</f>
        <v/>
      </c>
      <c r="Y1901" s="18"/>
      <c r="Z1901" s="18"/>
      <c r="AA1901" s="18"/>
      <c r="AB1901" s="18"/>
      <c r="AC1901" s="18"/>
    </row>
    <row r="1902" spans="1:29" ht="32.25" hidden="1" customHeight="1">
      <c r="A1902" s="17"/>
      <c r="B1902" s="9" t="s">
        <v>13284</v>
      </c>
      <c r="C1902" s="9" t="s">
        <v>13284</v>
      </c>
      <c r="D1902" s="9" t="s">
        <v>13284</v>
      </c>
      <c r="E1902" s="9" t="s">
        <v>13284</v>
      </c>
      <c r="F1902" s="9" t="s">
        <v>13284</v>
      </c>
      <c r="G1902" s="9" t="s">
        <v>13284</v>
      </c>
      <c r="H1902" s="9" t="s">
        <v>13284</v>
      </c>
      <c r="I1902" s="9" t="s">
        <v>13284</v>
      </c>
      <c r="J1902" s="9" t="s">
        <v>13284</v>
      </c>
      <c r="K1902" s="9" t="s">
        <v>13284</v>
      </c>
      <c r="L1902" s="9" t="s">
        <v>13284</v>
      </c>
      <c r="M1902" s="9" t="s">
        <v>13284</v>
      </c>
      <c r="N1902" s="9" t="s">
        <v>13284</v>
      </c>
      <c r="O1902" s="9" t="s">
        <v>13284</v>
      </c>
      <c r="P1902" s="9" t="s">
        <v>13284</v>
      </c>
      <c r="Q1902" s="9" t="s">
        <v>13284</v>
      </c>
      <c r="R1902" s="9" t="s">
        <v>13284</v>
      </c>
      <c r="S1902" s="9" t="s">
        <v>13284</v>
      </c>
      <c r="T1902" s="9" t="str">
        <f ca="1">IFERROR(IF(AND(VLOOKUP(A1902, 'Актуальное состояние (из общего'!A:C,3,0) = "", A1902 &lt;&gt; ""), "ПРОВЕРИТЬ", VLOOKUP(A1902, 'Актуальное состояние (из общего'!A:C,3,0)), "")</f>
        <v/>
      </c>
      <c r="U1902" s="9" t="s">
        <v>13284</v>
      </c>
      <c r="V1902" s="9" t="s">
        <v>13284</v>
      </c>
      <c r="W1902" s="12"/>
      <c r="X1902" s="9" t="str">
        <f t="array" ref="X1902">IFERROR(INDEX('Адреса общежитий (скрытый)'!$B$2:$B$9, MATCH(W1902, 'Адреса общежитий (скрытый)'!$A$2:$A$9, 0)), "")</f>
        <v/>
      </c>
      <c r="Y1902" s="18"/>
      <c r="Z1902" s="18"/>
      <c r="AA1902" s="18"/>
      <c r="AB1902" s="18"/>
      <c r="AC1902" s="18"/>
    </row>
    <row r="1903" spans="1:29" ht="32.25" hidden="1" customHeight="1">
      <c r="A1903" s="17"/>
      <c r="B1903" s="9" t="s">
        <v>13284</v>
      </c>
      <c r="C1903" s="9" t="s">
        <v>13284</v>
      </c>
      <c r="D1903" s="9" t="s">
        <v>13284</v>
      </c>
      <c r="E1903" s="9" t="s">
        <v>13284</v>
      </c>
      <c r="F1903" s="9" t="s">
        <v>13284</v>
      </c>
      <c r="G1903" s="9" t="s">
        <v>13284</v>
      </c>
      <c r="H1903" s="9" t="s">
        <v>13284</v>
      </c>
      <c r="I1903" s="9" t="s">
        <v>13284</v>
      </c>
      <c r="J1903" s="9" t="s">
        <v>13284</v>
      </c>
      <c r="K1903" s="9" t="s">
        <v>13284</v>
      </c>
      <c r="L1903" s="9" t="s">
        <v>13284</v>
      </c>
      <c r="M1903" s="9" t="s">
        <v>13284</v>
      </c>
      <c r="N1903" s="9" t="s">
        <v>13284</v>
      </c>
      <c r="O1903" s="9" t="s">
        <v>13284</v>
      </c>
      <c r="P1903" s="9" t="s">
        <v>13284</v>
      </c>
      <c r="Q1903" s="9" t="s">
        <v>13284</v>
      </c>
      <c r="R1903" s="9" t="s">
        <v>13284</v>
      </c>
      <c r="S1903" s="9" t="s">
        <v>13284</v>
      </c>
      <c r="T1903" s="9" t="str">
        <f ca="1">IFERROR(IF(AND(VLOOKUP(A1903, 'Актуальное состояние (из общего'!A:C,3,0) = "", A1903 &lt;&gt; ""), "ПРОВЕРИТЬ", VLOOKUP(A1903, 'Актуальное состояние (из общего'!A:C,3,0)), "")</f>
        <v/>
      </c>
      <c r="U1903" s="9" t="s">
        <v>13284</v>
      </c>
      <c r="V1903" s="9" t="s">
        <v>13284</v>
      </c>
      <c r="W1903" s="12"/>
      <c r="X1903" s="9" t="str">
        <f t="array" ref="X1903">IFERROR(INDEX('Адреса общежитий (скрытый)'!$B$2:$B$9, MATCH(W1903, 'Адреса общежитий (скрытый)'!$A$2:$A$9, 0)), "")</f>
        <v/>
      </c>
      <c r="Y1903" s="18"/>
      <c r="Z1903" s="18"/>
      <c r="AA1903" s="18"/>
      <c r="AB1903" s="18"/>
      <c r="AC1903" s="18"/>
    </row>
    <row r="1904" spans="1:29" ht="32.25" hidden="1" customHeight="1">
      <c r="A1904" s="17"/>
      <c r="B1904" s="9" t="s">
        <v>13284</v>
      </c>
      <c r="C1904" s="9" t="s">
        <v>13284</v>
      </c>
      <c r="D1904" s="9" t="s">
        <v>13284</v>
      </c>
      <c r="E1904" s="9" t="s">
        <v>13284</v>
      </c>
      <c r="F1904" s="9" t="s">
        <v>13284</v>
      </c>
      <c r="G1904" s="9" t="s">
        <v>13284</v>
      </c>
      <c r="H1904" s="9" t="s">
        <v>13284</v>
      </c>
      <c r="I1904" s="9" t="s">
        <v>13284</v>
      </c>
      <c r="J1904" s="9" t="s">
        <v>13284</v>
      </c>
      <c r="K1904" s="9" t="s">
        <v>13284</v>
      </c>
      <c r="L1904" s="9" t="s">
        <v>13284</v>
      </c>
      <c r="M1904" s="9" t="s">
        <v>13284</v>
      </c>
      <c r="N1904" s="9" t="s">
        <v>13284</v>
      </c>
      <c r="O1904" s="9" t="s">
        <v>13284</v>
      </c>
      <c r="P1904" s="9" t="s">
        <v>13284</v>
      </c>
      <c r="Q1904" s="9" t="s">
        <v>13284</v>
      </c>
      <c r="R1904" s="9" t="s">
        <v>13284</v>
      </c>
      <c r="S1904" s="9" t="s">
        <v>13284</v>
      </c>
      <c r="T1904" s="9" t="str">
        <f ca="1">IFERROR(IF(AND(VLOOKUP(A1904, 'Актуальное состояние (из общего'!A:C,3,0) = "", A1904 &lt;&gt; ""), "ПРОВЕРИТЬ", VLOOKUP(A1904, 'Актуальное состояние (из общего'!A:C,3,0)), "")</f>
        <v/>
      </c>
      <c r="U1904" s="9" t="s">
        <v>13284</v>
      </c>
      <c r="V1904" s="9" t="s">
        <v>13284</v>
      </c>
      <c r="W1904" s="12"/>
      <c r="X1904" s="9" t="str">
        <f t="array" ref="X1904">IFERROR(INDEX('Адреса общежитий (скрытый)'!$B$2:$B$9, MATCH(W1904, 'Адреса общежитий (скрытый)'!$A$2:$A$9, 0)), "")</f>
        <v/>
      </c>
      <c r="Y1904" s="18"/>
      <c r="Z1904" s="18"/>
      <c r="AA1904" s="18"/>
      <c r="AB1904" s="18"/>
      <c r="AC1904" s="18"/>
    </row>
    <row r="1905" spans="1:29" ht="32.25" hidden="1" customHeight="1">
      <c r="A1905" s="17"/>
      <c r="B1905" s="9" t="s">
        <v>13284</v>
      </c>
      <c r="C1905" s="9" t="s">
        <v>13284</v>
      </c>
      <c r="D1905" s="9" t="s">
        <v>13284</v>
      </c>
      <c r="E1905" s="9" t="s">
        <v>13284</v>
      </c>
      <c r="F1905" s="9" t="s">
        <v>13284</v>
      </c>
      <c r="G1905" s="9" t="s">
        <v>13284</v>
      </c>
      <c r="H1905" s="9" t="s">
        <v>13284</v>
      </c>
      <c r="I1905" s="9" t="s">
        <v>13284</v>
      </c>
      <c r="J1905" s="9" t="s">
        <v>13284</v>
      </c>
      <c r="K1905" s="9" t="s">
        <v>13284</v>
      </c>
      <c r="L1905" s="9" t="s">
        <v>13284</v>
      </c>
      <c r="M1905" s="9" t="s">
        <v>13284</v>
      </c>
      <c r="N1905" s="9" t="s">
        <v>13284</v>
      </c>
      <c r="O1905" s="9" t="s">
        <v>13284</v>
      </c>
      <c r="P1905" s="9" t="s">
        <v>13284</v>
      </c>
      <c r="Q1905" s="9" t="s">
        <v>13284</v>
      </c>
      <c r="R1905" s="9" t="s">
        <v>13284</v>
      </c>
      <c r="S1905" s="9" t="s">
        <v>13284</v>
      </c>
      <c r="T1905" s="9" t="str">
        <f ca="1">IFERROR(IF(AND(VLOOKUP(A1905, 'Актуальное состояние (из общего'!A:C,3,0) = "", A1905 &lt;&gt; ""), "ПРОВЕРИТЬ", VLOOKUP(A1905, 'Актуальное состояние (из общего'!A:C,3,0)), "")</f>
        <v/>
      </c>
      <c r="U1905" s="9" t="s">
        <v>13284</v>
      </c>
      <c r="V1905" s="9" t="s">
        <v>13284</v>
      </c>
      <c r="W1905" s="12"/>
      <c r="X1905" s="9" t="str">
        <f t="array" ref="X1905">IFERROR(INDEX('Адреса общежитий (скрытый)'!$B$2:$B$9, MATCH(W1905, 'Адреса общежитий (скрытый)'!$A$2:$A$9, 0)), "")</f>
        <v/>
      </c>
      <c r="Y1905" s="18"/>
      <c r="Z1905" s="18"/>
      <c r="AA1905" s="18"/>
      <c r="AB1905" s="18"/>
      <c r="AC1905" s="18"/>
    </row>
    <row r="1906" spans="1:29" ht="32.25" hidden="1" customHeight="1">
      <c r="A1906" s="17"/>
      <c r="B1906" s="9" t="s">
        <v>13284</v>
      </c>
      <c r="C1906" s="9" t="s">
        <v>13284</v>
      </c>
      <c r="D1906" s="9" t="s">
        <v>13284</v>
      </c>
      <c r="E1906" s="9" t="s">
        <v>13284</v>
      </c>
      <c r="F1906" s="9" t="s">
        <v>13284</v>
      </c>
      <c r="G1906" s="9" t="s">
        <v>13284</v>
      </c>
      <c r="H1906" s="9" t="s">
        <v>13284</v>
      </c>
      <c r="I1906" s="9" t="s">
        <v>13284</v>
      </c>
      <c r="J1906" s="9" t="s">
        <v>13284</v>
      </c>
      <c r="K1906" s="9" t="s">
        <v>13284</v>
      </c>
      <c r="L1906" s="9" t="s">
        <v>13284</v>
      </c>
      <c r="M1906" s="9" t="s">
        <v>13284</v>
      </c>
      <c r="N1906" s="9" t="s">
        <v>13284</v>
      </c>
      <c r="O1906" s="9" t="s">
        <v>13284</v>
      </c>
      <c r="P1906" s="9" t="s">
        <v>13284</v>
      </c>
      <c r="Q1906" s="9" t="s">
        <v>13284</v>
      </c>
      <c r="R1906" s="9" t="s">
        <v>13284</v>
      </c>
      <c r="S1906" s="9" t="s">
        <v>13284</v>
      </c>
      <c r="T1906" s="9" t="str">
        <f ca="1">IFERROR(IF(AND(VLOOKUP(A1906, 'Актуальное состояние (из общего'!A:C,3,0) = "", A1906 &lt;&gt; ""), "ПРОВЕРИТЬ", VLOOKUP(A1906, 'Актуальное состояние (из общего'!A:C,3,0)), "")</f>
        <v/>
      </c>
      <c r="U1906" s="9" t="s">
        <v>13284</v>
      </c>
      <c r="V1906" s="9" t="s">
        <v>13284</v>
      </c>
      <c r="W1906" s="12"/>
      <c r="X1906" s="9" t="str">
        <f t="array" ref="X1906">IFERROR(INDEX('Адреса общежитий (скрытый)'!$B$2:$B$9, MATCH(W1906, 'Адреса общежитий (скрытый)'!$A$2:$A$9, 0)), "")</f>
        <v/>
      </c>
      <c r="Y1906" s="18"/>
      <c r="Z1906" s="18"/>
      <c r="AA1906" s="18"/>
      <c r="AB1906" s="18"/>
      <c r="AC1906" s="18"/>
    </row>
    <row r="1907" spans="1:29" ht="32.25" hidden="1" customHeight="1">
      <c r="A1907" s="17"/>
      <c r="B1907" s="9" t="s">
        <v>13284</v>
      </c>
      <c r="C1907" s="9" t="s">
        <v>13284</v>
      </c>
      <c r="D1907" s="9" t="s">
        <v>13284</v>
      </c>
      <c r="E1907" s="9" t="s">
        <v>13284</v>
      </c>
      <c r="F1907" s="9" t="s">
        <v>13284</v>
      </c>
      <c r="G1907" s="9" t="s">
        <v>13284</v>
      </c>
      <c r="H1907" s="9" t="s">
        <v>13284</v>
      </c>
      <c r="I1907" s="9" t="s">
        <v>13284</v>
      </c>
      <c r="J1907" s="9" t="s">
        <v>13284</v>
      </c>
      <c r="K1907" s="9" t="s">
        <v>13284</v>
      </c>
      <c r="L1907" s="9" t="s">
        <v>13284</v>
      </c>
      <c r="M1907" s="9" t="s">
        <v>13284</v>
      </c>
      <c r="N1907" s="9" t="s">
        <v>13284</v>
      </c>
      <c r="O1907" s="9" t="s">
        <v>13284</v>
      </c>
      <c r="P1907" s="9" t="s">
        <v>13284</v>
      </c>
      <c r="Q1907" s="9" t="s">
        <v>13284</v>
      </c>
      <c r="R1907" s="9" t="s">
        <v>13284</v>
      </c>
      <c r="S1907" s="9" t="s">
        <v>13284</v>
      </c>
      <c r="T1907" s="9" t="str">
        <f ca="1">IFERROR(IF(AND(VLOOKUP(A1907, 'Актуальное состояние (из общего'!A:C,3,0) = "", A1907 &lt;&gt; ""), "ПРОВЕРИТЬ", VLOOKUP(A1907, 'Актуальное состояние (из общего'!A:C,3,0)), "")</f>
        <v/>
      </c>
      <c r="U1907" s="9" t="s">
        <v>13284</v>
      </c>
      <c r="V1907" s="9" t="s">
        <v>13284</v>
      </c>
      <c r="W1907" s="12"/>
      <c r="X1907" s="9" t="str">
        <f t="array" ref="X1907">IFERROR(INDEX('Адреса общежитий (скрытый)'!$B$2:$B$9, MATCH(W1907, 'Адреса общежитий (скрытый)'!$A$2:$A$9, 0)), "")</f>
        <v/>
      </c>
      <c r="Y1907" s="18"/>
      <c r="Z1907" s="18"/>
      <c r="AA1907" s="18"/>
      <c r="AB1907" s="18"/>
      <c r="AC1907" s="18"/>
    </row>
    <row r="1908" spans="1:29" ht="32.25" hidden="1" customHeight="1">
      <c r="A1908" s="17"/>
      <c r="B1908" s="9" t="s">
        <v>13284</v>
      </c>
      <c r="C1908" s="9" t="s">
        <v>13284</v>
      </c>
      <c r="D1908" s="9" t="s">
        <v>13284</v>
      </c>
      <c r="E1908" s="9" t="s">
        <v>13284</v>
      </c>
      <c r="F1908" s="9" t="s">
        <v>13284</v>
      </c>
      <c r="G1908" s="9" t="s">
        <v>13284</v>
      </c>
      <c r="H1908" s="9" t="s">
        <v>13284</v>
      </c>
      <c r="I1908" s="9" t="s">
        <v>13284</v>
      </c>
      <c r="J1908" s="9" t="s">
        <v>13284</v>
      </c>
      <c r="K1908" s="9" t="s">
        <v>13284</v>
      </c>
      <c r="L1908" s="9" t="s">
        <v>13284</v>
      </c>
      <c r="M1908" s="9" t="s">
        <v>13284</v>
      </c>
      <c r="N1908" s="9" t="s">
        <v>13284</v>
      </c>
      <c r="O1908" s="9" t="s">
        <v>13284</v>
      </c>
      <c r="P1908" s="9" t="s">
        <v>13284</v>
      </c>
      <c r="Q1908" s="9" t="s">
        <v>13284</v>
      </c>
      <c r="R1908" s="9" t="s">
        <v>13284</v>
      </c>
      <c r="S1908" s="9" t="s">
        <v>13284</v>
      </c>
      <c r="T1908" s="9" t="str">
        <f ca="1">IFERROR(IF(AND(VLOOKUP(A1908, 'Актуальное состояние (из общего'!A:C,3,0) = "", A1908 &lt;&gt; ""), "ПРОВЕРИТЬ", VLOOKUP(A1908, 'Актуальное состояние (из общего'!A:C,3,0)), "")</f>
        <v/>
      </c>
      <c r="U1908" s="9" t="s">
        <v>13284</v>
      </c>
      <c r="V1908" s="9" t="s">
        <v>13284</v>
      </c>
      <c r="W1908" s="12"/>
      <c r="X1908" s="9" t="str">
        <f t="array" ref="X1908">IFERROR(INDEX('Адреса общежитий (скрытый)'!$B$2:$B$9, MATCH(W1908, 'Адреса общежитий (скрытый)'!$A$2:$A$9, 0)), "")</f>
        <v/>
      </c>
      <c r="Y1908" s="18"/>
      <c r="Z1908" s="18"/>
      <c r="AA1908" s="18"/>
      <c r="AB1908" s="18"/>
      <c r="AC1908" s="18"/>
    </row>
    <row r="1909" spans="1:29" ht="32.25" hidden="1" customHeight="1">
      <c r="A1909" s="17"/>
      <c r="B1909" s="9" t="s">
        <v>13284</v>
      </c>
      <c r="C1909" s="9" t="s">
        <v>13284</v>
      </c>
      <c r="D1909" s="9" t="s">
        <v>13284</v>
      </c>
      <c r="E1909" s="9" t="s">
        <v>13284</v>
      </c>
      <c r="F1909" s="9" t="s">
        <v>13284</v>
      </c>
      <c r="G1909" s="9" t="s">
        <v>13284</v>
      </c>
      <c r="H1909" s="9" t="s">
        <v>13284</v>
      </c>
      <c r="I1909" s="9" t="s">
        <v>13284</v>
      </c>
      <c r="J1909" s="9" t="s">
        <v>13284</v>
      </c>
      <c r="K1909" s="9" t="s">
        <v>13284</v>
      </c>
      <c r="L1909" s="9" t="s">
        <v>13284</v>
      </c>
      <c r="M1909" s="9" t="s">
        <v>13284</v>
      </c>
      <c r="N1909" s="9" t="s">
        <v>13284</v>
      </c>
      <c r="O1909" s="9" t="s">
        <v>13284</v>
      </c>
      <c r="P1909" s="9" t="s">
        <v>13284</v>
      </c>
      <c r="Q1909" s="9" t="s">
        <v>13284</v>
      </c>
      <c r="R1909" s="9" t="s">
        <v>13284</v>
      </c>
      <c r="S1909" s="9" t="s">
        <v>13284</v>
      </c>
      <c r="T1909" s="9" t="str">
        <f ca="1">IFERROR(IF(AND(VLOOKUP(A1909, 'Актуальное состояние (из общего'!A:C,3,0) = "", A1909 &lt;&gt; ""), "ПРОВЕРИТЬ", VLOOKUP(A1909, 'Актуальное состояние (из общего'!A:C,3,0)), "")</f>
        <v/>
      </c>
      <c r="U1909" s="9" t="s">
        <v>13284</v>
      </c>
      <c r="V1909" s="9" t="s">
        <v>13284</v>
      </c>
      <c r="W1909" s="12"/>
      <c r="X1909" s="9" t="str">
        <f t="array" ref="X1909">IFERROR(INDEX('Адреса общежитий (скрытый)'!$B$2:$B$9, MATCH(W1909, 'Адреса общежитий (скрытый)'!$A$2:$A$9, 0)), "")</f>
        <v/>
      </c>
      <c r="Y1909" s="18"/>
      <c r="Z1909" s="18"/>
      <c r="AA1909" s="18"/>
      <c r="AB1909" s="18"/>
      <c r="AC1909" s="18"/>
    </row>
    <row r="1910" spans="1:29" ht="32.25" hidden="1" customHeight="1">
      <c r="A1910" s="17"/>
      <c r="B1910" s="9" t="s">
        <v>13284</v>
      </c>
      <c r="C1910" s="9" t="s">
        <v>13284</v>
      </c>
      <c r="D1910" s="9" t="s">
        <v>13284</v>
      </c>
      <c r="E1910" s="9" t="s">
        <v>13284</v>
      </c>
      <c r="F1910" s="9" t="s">
        <v>13284</v>
      </c>
      <c r="G1910" s="9" t="s">
        <v>13284</v>
      </c>
      <c r="H1910" s="9" t="s">
        <v>13284</v>
      </c>
      <c r="I1910" s="9" t="s">
        <v>13284</v>
      </c>
      <c r="J1910" s="9" t="s">
        <v>13284</v>
      </c>
      <c r="K1910" s="9" t="s">
        <v>13284</v>
      </c>
      <c r="L1910" s="9" t="s">
        <v>13284</v>
      </c>
      <c r="M1910" s="9" t="s">
        <v>13284</v>
      </c>
      <c r="N1910" s="9" t="s">
        <v>13284</v>
      </c>
      <c r="O1910" s="9" t="s">
        <v>13284</v>
      </c>
      <c r="P1910" s="9" t="s">
        <v>13284</v>
      </c>
      <c r="Q1910" s="9" t="s">
        <v>13284</v>
      </c>
      <c r="R1910" s="9" t="s">
        <v>13284</v>
      </c>
      <c r="S1910" s="9" t="s">
        <v>13284</v>
      </c>
      <c r="T1910" s="9" t="str">
        <f ca="1">IFERROR(IF(AND(VLOOKUP(A1910, 'Актуальное состояние (из общего'!A:C,3,0) = "", A1910 &lt;&gt; ""), "ПРОВЕРИТЬ", VLOOKUP(A1910, 'Актуальное состояние (из общего'!A:C,3,0)), "")</f>
        <v/>
      </c>
      <c r="U1910" s="9" t="s">
        <v>13284</v>
      </c>
      <c r="V1910" s="9" t="s">
        <v>13284</v>
      </c>
      <c r="W1910" s="12"/>
      <c r="X1910" s="9" t="str">
        <f t="array" ref="X1910">IFERROR(INDEX('Адреса общежитий (скрытый)'!$B$2:$B$9, MATCH(W1910, 'Адреса общежитий (скрытый)'!$A$2:$A$9, 0)), "")</f>
        <v/>
      </c>
      <c r="Y1910" s="18"/>
      <c r="Z1910" s="18"/>
      <c r="AA1910" s="18"/>
      <c r="AB1910" s="18"/>
      <c r="AC1910" s="18"/>
    </row>
    <row r="1911" spans="1:29" ht="32.25" hidden="1" customHeight="1">
      <c r="A1911" s="17"/>
      <c r="B1911" s="9" t="s">
        <v>13284</v>
      </c>
      <c r="C1911" s="9" t="s">
        <v>13284</v>
      </c>
      <c r="D1911" s="9" t="s">
        <v>13284</v>
      </c>
      <c r="E1911" s="9" t="s">
        <v>13284</v>
      </c>
      <c r="F1911" s="9" t="s">
        <v>13284</v>
      </c>
      <c r="G1911" s="9" t="s">
        <v>13284</v>
      </c>
      <c r="H1911" s="9" t="s">
        <v>13284</v>
      </c>
      <c r="I1911" s="9" t="s">
        <v>13284</v>
      </c>
      <c r="J1911" s="9" t="s">
        <v>13284</v>
      </c>
      <c r="K1911" s="9" t="s">
        <v>13284</v>
      </c>
      <c r="L1911" s="9" t="s">
        <v>13284</v>
      </c>
      <c r="M1911" s="9" t="s">
        <v>13284</v>
      </c>
      <c r="N1911" s="9" t="s">
        <v>13284</v>
      </c>
      <c r="O1911" s="9" t="s">
        <v>13284</v>
      </c>
      <c r="P1911" s="9" t="s">
        <v>13284</v>
      </c>
      <c r="Q1911" s="9" t="s">
        <v>13284</v>
      </c>
      <c r="R1911" s="9" t="s">
        <v>13284</v>
      </c>
      <c r="S1911" s="9" t="s">
        <v>13284</v>
      </c>
      <c r="T1911" s="9" t="str">
        <f ca="1">IFERROR(IF(AND(VLOOKUP(A1911, 'Актуальное состояние (из общего'!A:C,3,0) = "", A1911 &lt;&gt; ""), "ПРОВЕРИТЬ", VLOOKUP(A1911, 'Актуальное состояние (из общего'!A:C,3,0)), "")</f>
        <v/>
      </c>
      <c r="U1911" s="9" t="s">
        <v>13284</v>
      </c>
      <c r="V1911" s="9" t="s">
        <v>13284</v>
      </c>
      <c r="W1911" s="12"/>
      <c r="X1911" s="9" t="str">
        <f t="array" ref="X1911">IFERROR(INDEX('Адреса общежитий (скрытый)'!$B$2:$B$9, MATCH(W1911, 'Адреса общежитий (скрытый)'!$A$2:$A$9, 0)), "")</f>
        <v/>
      </c>
      <c r="Y1911" s="18"/>
      <c r="Z1911" s="18"/>
      <c r="AA1911" s="18"/>
      <c r="AB1911" s="18"/>
      <c r="AC1911" s="18"/>
    </row>
    <row r="1912" spans="1:29" ht="32.25" hidden="1" customHeight="1">
      <c r="A1912" s="17"/>
      <c r="B1912" s="9" t="s">
        <v>13284</v>
      </c>
      <c r="C1912" s="9" t="s">
        <v>13284</v>
      </c>
      <c r="D1912" s="9" t="s">
        <v>13284</v>
      </c>
      <c r="E1912" s="9" t="s">
        <v>13284</v>
      </c>
      <c r="F1912" s="9" t="s">
        <v>13284</v>
      </c>
      <c r="G1912" s="9" t="s">
        <v>13284</v>
      </c>
      <c r="H1912" s="9" t="s">
        <v>13284</v>
      </c>
      <c r="I1912" s="9" t="s">
        <v>13284</v>
      </c>
      <c r="J1912" s="9" t="s">
        <v>13284</v>
      </c>
      <c r="K1912" s="9" t="s">
        <v>13284</v>
      </c>
      <c r="L1912" s="9" t="s">
        <v>13284</v>
      </c>
      <c r="M1912" s="9" t="s">
        <v>13284</v>
      </c>
      <c r="N1912" s="9" t="s">
        <v>13284</v>
      </c>
      <c r="O1912" s="9" t="s">
        <v>13284</v>
      </c>
      <c r="P1912" s="9" t="s">
        <v>13284</v>
      </c>
      <c r="Q1912" s="9" t="s">
        <v>13284</v>
      </c>
      <c r="R1912" s="9" t="s">
        <v>13284</v>
      </c>
      <c r="S1912" s="9" t="s">
        <v>13284</v>
      </c>
      <c r="T1912" s="9" t="str">
        <f ca="1">IFERROR(IF(AND(VLOOKUP(A1912, 'Актуальное состояние (из общего'!A:C,3,0) = "", A1912 &lt;&gt; ""), "ПРОВЕРИТЬ", VLOOKUP(A1912, 'Актуальное состояние (из общего'!A:C,3,0)), "")</f>
        <v/>
      </c>
      <c r="U1912" s="9" t="s">
        <v>13284</v>
      </c>
      <c r="V1912" s="9" t="s">
        <v>13284</v>
      </c>
      <c r="W1912" s="12"/>
      <c r="X1912" s="9" t="str">
        <f t="array" ref="X1912">IFERROR(INDEX('Адреса общежитий (скрытый)'!$B$2:$B$9, MATCH(W1912, 'Адреса общежитий (скрытый)'!$A$2:$A$9, 0)), "")</f>
        <v/>
      </c>
      <c r="Y1912" s="18"/>
      <c r="Z1912" s="18"/>
      <c r="AA1912" s="18"/>
      <c r="AB1912" s="18"/>
      <c r="AC1912" s="18"/>
    </row>
    <row r="1913" spans="1:29" ht="32.25" hidden="1" customHeight="1">
      <c r="A1913" s="17"/>
      <c r="B1913" s="9" t="s">
        <v>13284</v>
      </c>
      <c r="C1913" s="9" t="s">
        <v>13284</v>
      </c>
      <c r="D1913" s="9" t="s">
        <v>13284</v>
      </c>
      <c r="E1913" s="9" t="s">
        <v>13284</v>
      </c>
      <c r="F1913" s="9" t="s">
        <v>13284</v>
      </c>
      <c r="G1913" s="9" t="s">
        <v>13284</v>
      </c>
      <c r="H1913" s="9" t="s">
        <v>13284</v>
      </c>
      <c r="I1913" s="9" t="s">
        <v>13284</v>
      </c>
      <c r="J1913" s="9" t="s">
        <v>13284</v>
      </c>
      <c r="K1913" s="9" t="s">
        <v>13284</v>
      </c>
      <c r="L1913" s="9" t="s">
        <v>13284</v>
      </c>
      <c r="M1913" s="9" t="s">
        <v>13284</v>
      </c>
      <c r="N1913" s="9" t="s">
        <v>13284</v>
      </c>
      <c r="O1913" s="9" t="s">
        <v>13284</v>
      </c>
      <c r="P1913" s="9" t="s">
        <v>13284</v>
      </c>
      <c r="Q1913" s="9" t="s">
        <v>13284</v>
      </c>
      <c r="R1913" s="9" t="s">
        <v>13284</v>
      </c>
      <c r="S1913" s="9" t="s">
        <v>13284</v>
      </c>
      <c r="T1913" s="9" t="str">
        <f ca="1">IFERROR(IF(AND(VLOOKUP(A1913, 'Актуальное состояние (из общего'!A:C,3,0) = "", A1913 &lt;&gt; ""), "ПРОВЕРИТЬ", VLOOKUP(A1913, 'Актуальное состояние (из общего'!A:C,3,0)), "")</f>
        <v/>
      </c>
      <c r="U1913" s="9" t="s">
        <v>13284</v>
      </c>
      <c r="V1913" s="9" t="s">
        <v>13284</v>
      </c>
      <c r="W1913" s="12"/>
      <c r="X1913" s="9" t="str">
        <f t="array" ref="X1913">IFERROR(INDEX('Адреса общежитий (скрытый)'!$B$2:$B$9, MATCH(W1913, 'Адреса общежитий (скрытый)'!$A$2:$A$9, 0)), "")</f>
        <v/>
      </c>
      <c r="Y1913" s="18"/>
      <c r="Z1913" s="18"/>
      <c r="AA1913" s="18"/>
      <c r="AB1913" s="18"/>
      <c r="AC1913" s="18"/>
    </row>
    <row r="1914" spans="1:29" ht="32.25" hidden="1" customHeight="1">
      <c r="A1914" s="17"/>
      <c r="B1914" s="9" t="s">
        <v>13284</v>
      </c>
      <c r="C1914" s="9" t="s">
        <v>13284</v>
      </c>
      <c r="D1914" s="9" t="s">
        <v>13284</v>
      </c>
      <c r="E1914" s="9" t="s">
        <v>13284</v>
      </c>
      <c r="F1914" s="9" t="s">
        <v>13284</v>
      </c>
      <c r="G1914" s="9" t="s">
        <v>13284</v>
      </c>
      <c r="H1914" s="9" t="s">
        <v>13284</v>
      </c>
      <c r="I1914" s="9" t="s">
        <v>13284</v>
      </c>
      <c r="J1914" s="9" t="s">
        <v>13284</v>
      </c>
      <c r="K1914" s="9" t="s">
        <v>13284</v>
      </c>
      <c r="L1914" s="9" t="s">
        <v>13284</v>
      </c>
      <c r="M1914" s="9" t="s">
        <v>13284</v>
      </c>
      <c r="N1914" s="9" t="s">
        <v>13284</v>
      </c>
      <c r="O1914" s="9" t="s">
        <v>13284</v>
      </c>
      <c r="P1914" s="9" t="s">
        <v>13284</v>
      </c>
      <c r="Q1914" s="9" t="s">
        <v>13284</v>
      </c>
      <c r="R1914" s="9" t="s">
        <v>13284</v>
      </c>
      <c r="S1914" s="9" t="s">
        <v>13284</v>
      </c>
      <c r="T1914" s="9" t="str">
        <f ca="1">IFERROR(IF(AND(VLOOKUP(A1914, 'Актуальное состояние (из общего'!A:C,3,0) = "", A1914 &lt;&gt; ""), "ПРОВЕРИТЬ", VLOOKUP(A1914, 'Актуальное состояние (из общего'!A:C,3,0)), "")</f>
        <v/>
      </c>
      <c r="U1914" s="9" t="s">
        <v>13284</v>
      </c>
      <c r="V1914" s="9" t="s">
        <v>13284</v>
      </c>
      <c r="W1914" s="12"/>
      <c r="X1914" s="9" t="str">
        <f t="array" ref="X1914">IFERROR(INDEX('Адреса общежитий (скрытый)'!$B$2:$B$9, MATCH(W1914, 'Адреса общежитий (скрытый)'!$A$2:$A$9, 0)), "")</f>
        <v/>
      </c>
      <c r="Y1914" s="18"/>
      <c r="Z1914" s="18"/>
      <c r="AA1914" s="18"/>
      <c r="AB1914" s="18"/>
      <c r="AC1914" s="18"/>
    </row>
    <row r="1915" spans="1:29" ht="32.25" hidden="1" customHeight="1">
      <c r="A1915" s="17"/>
      <c r="B1915" s="9" t="s">
        <v>13284</v>
      </c>
      <c r="C1915" s="9" t="s">
        <v>13284</v>
      </c>
      <c r="D1915" s="9" t="s">
        <v>13284</v>
      </c>
      <c r="E1915" s="9" t="s">
        <v>13284</v>
      </c>
      <c r="F1915" s="9" t="s">
        <v>13284</v>
      </c>
      <c r="G1915" s="9" t="s">
        <v>13284</v>
      </c>
      <c r="H1915" s="9" t="s">
        <v>13284</v>
      </c>
      <c r="I1915" s="9" t="s">
        <v>13284</v>
      </c>
      <c r="J1915" s="9" t="s">
        <v>13284</v>
      </c>
      <c r="K1915" s="9" t="s">
        <v>13284</v>
      </c>
      <c r="L1915" s="9" t="s">
        <v>13284</v>
      </c>
      <c r="M1915" s="9" t="s">
        <v>13284</v>
      </c>
      <c r="N1915" s="9" t="s">
        <v>13284</v>
      </c>
      <c r="O1915" s="9" t="s">
        <v>13284</v>
      </c>
      <c r="P1915" s="9" t="s">
        <v>13284</v>
      </c>
      <c r="Q1915" s="9" t="s">
        <v>13284</v>
      </c>
      <c r="R1915" s="9" t="s">
        <v>13284</v>
      </c>
      <c r="S1915" s="9" t="s">
        <v>13284</v>
      </c>
      <c r="T1915" s="9" t="str">
        <f ca="1">IFERROR(IF(AND(VLOOKUP(A1915, 'Актуальное состояние (из общего'!A:C,3,0) = "", A1915 &lt;&gt; ""), "ПРОВЕРИТЬ", VLOOKUP(A1915, 'Актуальное состояние (из общего'!A:C,3,0)), "")</f>
        <v/>
      </c>
      <c r="U1915" s="9" t="s">
        <v>13284</v>
      </c>
      <c r="V1915" s="9" t="s">
        <v>13284</v>
      </c>
      <c r="W1915" s="12"/>
      <c r="X1915" s="9" t="str">
        <f t="array" ref="X1915">IFERROR(INDEX('Адреса общежитий (скрытый)'!$B$2:$B$9, MATCH(W1915, 'Адреса общежитий (скрытый)'!$A$2:$A$9, 0)), "")</f>
        <v/>
      </c>
      <c r="Y1915" s="18"/>
      <c r="Z1915" s="18"/>
      <c r="AA1915" s="18"/>
      <c r="AB1915" s="18"/>
      <c r="AC1915" s="18"/>
    </row>
    <row r="1916" spans="1:29" ht="32.25" hidden="1" customHeight="1">
      <c r="A1916" s="17"/>
      <c r="B1916" s="9" t="s">
        <v>13284</v>
      </c>
      <c r="C1916" s="9" t="s">
        <v>13284</v>
      </c>
      <c r="D1916" s="9" t="s">
        <v>13284</v>
      </c>
      <c r="E1916" s="9" t="s">
        <v>13284</v>
      </c>
      <c r="F1916" s="9" t="s">
        <v>13284</v>
      </c>
      <c r="G1916" s="9" t="s">
        <v>13284</v>
      </c>
      <c r="H1916" s="9" t="s">
        <v>13284</v>
      </c>
      <c r="I1916" s="9" t="s">
        <v>13284</v>
      </c>
      <c r="J1916" s="9" t="s">
        <v>13284</v>
      </c>
      <c r="K1916" s="9" t="s">
        <v>13284</v>
      </c>
      <c r="L1916" s="9" t="s">
        <v>13284</v>
      </c>
      <c r="M1916" s="9" t="s">
        <v>13284</v>
      </c>
      <c r="N1916" s="9" t="s">
        <v>13284</v>
      </c>
      <c r="O1916" s="9" t="s">
        <v>13284</v>
      </c>
      <c r="P1916" s="9" t="s">
        <v>13284</v>
      </c>
      <c r="Q1916" s="9" t="s">
        <v>13284</v>
      </c>
      <c r="R1916" s="9" t="s">
        <v>13284</v>
      </c>
      <c r="S1916" s="9" t="s">
        <v>13284</v>
      </c>
      <c r="T1916" s="9" t="str">
        <f ca="1">IFERROR(IF(AND(VLOOKUP(A1916, 'Актуальное состояние (из общего'!A:C,3,0) = "", A1916 &lt;&gt; ""), "ПРОВЕРИТЬ", VLOOKUP(A1916, 'Актуальное состояние (из общего'!A:C,3,0)), "")</f>
        <v/>
      </c>
      <c r="U1916" s="9" t="s">
        <v>13284</v>
      </c>
      <c r="V1916" s="9" t="s">
        <v>13284</v>
      </c>
      <c r="W1916" s="12"/>
      <c r="X1916" s="9" t="str">
        <f t="array" ref="X1916">IFERROR(INDEX('Адреса общежитий (скрытый)'!$B$2:$B$9, MATCH(W1916, 'Адреса общежитий (скрытый)'!$A$2:$A$9, 0)), "")</f>
        <v/>
      </c>
      <c r="Y1916" s="18"/>
      <c r="Z1916" s="18"/>
      <c r="AA1916" s="18"/>
      <c r="AB1916" s="18"/>
      <c r="AC1916" s="18"/>
    </row>
    <row r="1917" spans="1:29" ht="32.25" hidden="1" customHeight="1">
      <c r="A1917" s="17"/>
      <c r="B1917" s="9" t="s">
        <v>13284</v>
      </c>
      <c r="C1917" s="9" t="s">
        <v>13284</v>
      </c>
      <c r="D1917" s="9" t="s">
        <v>13284</v>
      </c>
      <c r="E1917" s="9" t="s">
        <v>13284</v>
      </c>
      <c r="F1917" s="9" t="s">
        <v>13284</v>
      </c>
      <c r="G1917" s="9" t="s">
        <v>13284</v>
      </c>
      <c r="H1917" s="9" t="s">
        <v>13284</v>
      </c>
      <c r="I1917" s="9" t="s">
        <v>13284</v>
      </c>
      <c r="J1917" s="9" t="s">
        <v>13284</v>
      </c>
      <c r="K1917" s="9" t="s">
        <v>13284</v>
      </c>
      <c r="L1917" s="9" t="s">
        <v>13284</v>
      </c>
      <c r="M1917" s="9" t="s">
        <v>13284</v>
      </c>
      <c r="N1917" s="9" t="s">
        <v>13284</v>
      </c>
      <c r="O1917" s="9" t="s">
        <v>13284</v>
      </c>
      <c r="P1917" s="9" t="s">
        <v>13284</v>
      </c>
      <c r="Q1917" s="9" t="s">
        <v>13284</v>
      </c>
      <c r="R1917" s="9" t="s">
        <v>13284</v>
      </c>
      <c r="S1917" s="9" t="s">
        <v>13284</v>
      </c>
      <c r="T1917" s="9" t="str">
        <f ca="1">IFERROR(IF(AND(VLOOKUP(A1917, 'Актуальное состояние (из общего'!A:C,3,0) = "", A1917 &lt;&gt; ""), "ПРОВЕРИТЬ", VLOOKUP(A1917, 'Актуальное состояние (из общего'!A:C,3,0)), "")</f>
        <v/>
      </c>
      <c r="U1917" s="9" t="s">
        <v>13284</v>
      </c>
      <c r="V1917" s="9" t="s">
        <v>13284</v>
      </c>
      <c r="W1917" s="12"/>
      <c r="X1917" s="9" t="str">
        <f t="array" ref="X1917">IFERROR(INDEX('Адреса общежитий (скрытый)'!$B$2:$B$9, MATCH(W1917, 'Адреса общежитий (скрытый)'!$A$2:$A$9, 0)), "")</f>
        <v/>
      </c>
      <c r="Y1917" s="18"/>
      <c r="Z1917" s="18"/>
      <c r="AA1917" s="18"/>
      <c r="AB1917" s="18"/>
      <c r="AC1917" s="18"/>
    </row>
    <row r="1918" spans="1:29" ht="32.25" hidden="1" customHeight="1">
      <c r="A1918" s="17"/>
      <c r="B1918" s="9" t="s">
        <v>13284</v>
      </c>
      <c r="C1918" s="9" t="s">
        <v>13284</v>
      </c>
      <c r="D1918" s="9" t="s">
        <v>13284</v>
      </c>
      <c r="E1918" s="9" t="s">
        <v>13284</v>
      </c>
      <c r="F1918" s="9" t="s">
        <v>13284</v>
      </c>
      <c r="G1918" s="9" t="s">
        <v>13284</v>
      </c>
      <c r="H1918" s="9" t="s">
        <v>13284</v>
      </c>
      <c r="I1918" s="9" t="s">
        <v>13284</v>
      </c>
      <c r="J1918" s="9" t="s">
        <v>13284</v>
      </c>
      <c r="K1918" s="9" t="s">
        <v>13284</v>
      </c>
      <c r="L1918" s="9" t="s">
        <v>13284</v>
      </c>
      <c r="M1918" s="9" t="s">
        <v>13284</v>
      </c>
      <c r="N1918" s="9" t="s">
        <v>13284</v>
      </c>
      <c r="O1918" s="9" t="s">
        <v>13284</v>
      </c>
      <c r="P1918" s="9" t="s">
        <v>13284</v>
      </c>
      <c r="Q1918" s="9" t="s">
        <v>13284</v>
      </c>
      <c r="R1918" s="9" t="s">
        <v>13284</v>
      </c>
      <c r="S1918" s="9" t="s">
        <v>13284</v>
      </c>
      <c r="T1918" s="9" t="str">
        <f ca="1">IFERROR(IF(AND(VLOOKUP(A1918, 'Актуальное состояние (из общего'!A:C,3,0) = "", A1918 &lt;&gt; ""), "ПРОВЕРИТЬ", VLOOKUP(A1918, 'Актуальное состояние (из общего'!A:C,3,0)), "")</f>
        <v/>
      </c>
      <c r="U1918" s="9" t="s">
        <v>13284</v>
      </c>
      <c r="V1918" s="9" t="s">
        <v>13284</v>
      </c>
      <c r="W1918" s="12"/>
      <c r="X1918" s="9" t="str">
        <f t="array" ref="X1918">IFERROR(INDEX('Адреса общежитий (скрытый)'!$B$2:$B$9, MATCH(W1918, 'Адреса общежитий (скрытый)'!$A$2:$A$9, 0)), "")</f>
        <v/>
      </c>
      <c r="Y1918" s="18"/>
      <c r="Z1918" s="18"/>
      <c r="AA1918" s="18"/>
      <c r="AB1918" s="18"/>
      <c r="AC1918" s="18"/>
    </row>
    <row r="1919" spans="1:29" ht="32.25" hidden="1" customHeight="1">
      <c r="A1919" s="17"/>
      <c r="B1919" s="9" t="s">
        <v>13284</v>
      </c>
      <c r="C1919" s="9" t="s">
        <v>13284</v>
      </c>
      <c r="D1919" s="9" t="s">
        <v>13284</v>
      </c>
      <c r="E1919" s="9" t="s">
        <v>13284</v>
      </c>
      <c r="F1919" s="9" t="s">
        <v>13284</v>
      </c>
      <c r="G1919" s="9" t="s">
        <v>13284</v>
      </c>
      <c r="H1919" s="9" t="s">
        <v>13284</v>
      </c>
      <c r="I1919" s="9" t="s">
        <v>13284</v>
      </c>
      <c r="J1919" s="9" t="s">
        <v>13284</v>
      </c>
      <c r="K1919" s="9" t="s">
        <v>13284</v>
      </c>
      <c r="L1919" s="9" t="s">
        <v>13284</v>
      </c>
      <c r="M1919" s="9" t="s">
        <v>13284</v>
      </c>
      <c r="N1919" s="9" t="s">
        <v>13284</v>
      </c>
      <c r="O1919" s="9" t="s">
        <v>13284</v>
      </c>
      <c r="P1919" s="9" t="s">
        <v>13284</v>
      </c>
      <c r="Q1919" s="9" t="s">
        <v>13284</v>
      </c>
      <c r="R1919" s="9" t="s">
        <v>13284</v>
      </c>
      <c r="S1919" s="9" t="s">
        <v>13284</v>
      </c>
      <c r="T1919" s="9" t="str">
        <f ca="1">IFERROR(IF(AND(VLOOKUP(A1919, 'Актуальное состояние (из общего'!A:C,3,0) = "", A1919 &lt;&gt; ""), "ПРОВЕРИТЬ", VLOOKUP(A1919, 'Актуальное состояние (из общего'!A:C,3,0)), "")</f>
        <v/>
      </c>
      <c r="U1919" s="9" t="s">
        <v>13284</v>
      </c>
      <c r="V1919" s="9" t="s">
        <v>13284</v>
      </c>
      <c r="W1919" s="12"/>
      <c r="X1919" s="9" t="str">
        <f t="array" ref="X1919">IFERROR(INDEX('Адреса общежитий (скрытый)'!$B$2:$B$9, MATCH(W1919, 'Адреса общежитий (скрытый)'!$A$2:$A$9, 0)), "")</f>
        <v/>
      </c>
      <c r="Y1919" s="18"/>
      <c r="Z1919" s="18"/>
      <c r="AA1919" s="18"/>
      <c r="AB1919" s="18"/>
      <c r="AC1919" s="18"/>
    </row>
    <row r="1920" spans="1:29" ht="32.25" hidden="1" customHeight="1">
      <c r="A1920" s="17"/>
      <c r="B1920" s="9" t="s">
        <v>13284</v>
      </c>
      <c r="C1920" s="9" t="s">
        <v>13284</v>
      </c>
      <c r="D1920" s="9" t="s">
        <v>13284</v>
      </c>
      <c r="E1920" s="9" t="s">
        <v>13284</v>
      </c>
      <c r="F1920" s="9" t="s">
        <v>13284</v>
      </c>
      <c r="G1920" s="9" t="s">
        <v>13284</v>
      </c>
      <c r="H1920" s="9" t="s">
        <v>13284</v>
      </c>
      <c r="I1920" s="9" t="s">
        <v>13284</v>
      </c>
      <c r="J1920" s="9" t="s">
        <v>13284</v>
      </c>
      <c r="K1920" s="9" t="s">
        <v>13284</v>
      </c>
      <c r="L1920" s="9" t="s">
        <v>13284</v>
      </c>
      <c r="M1920" s="9" t="s">
        <v>13284</v>
      </c>
      <c r="N1920" s="9" t="s">
        <v>13284</v>
      </c>
      <c r="O1920" s="9" t="s">
        <v>13284</v>
      </c>
      <c r="P1920" s="9" t="s">
        <v>13284</v>
      </c>
      <c r="Q1920" s="9" t="s">
        <v>13284</v>
      </c>
      <c r="R1920" s="9" t="s">
        <v>13284</v>
      </c>
      <c r="S1920" s="9" t="s">
        <v>13284</v>
      </c>
      <c r="T1920" s="9" t="str">
        <f ca="1">IFERROR(IF(AND(VLOOKUP(A1920, 'Актуальное состояние (из общего'!A:C,3,0) = "", A1920 &lt;&gt; ""), "ПРОВЕРИТЬ", VLOOKUP(A1920, 'Актуальное состояние (из общего'!A:C,3,0)), "")</f>
        <v/>
      </c>
      <c r="U1920" s="9" t="s">
        <v>13284</v>
      </c>
      <c r="V1920" s="9" t="s">
        <v>13284</v>
      </c>
      <c r="W1920" s="12"/>
      <c r="X1920" s="9" t="str">
        <f t="array" ref="X1920">IFERROR(INDEX('Адреса общежитий (скрытый)'!$B$2:$B$9, MATCH(W1920, 'Адреса общежитий (скрытый)'!$A$2:$A$9, 0)), "")</f>
        <v/>
      </c>
      <c r="Y1920" s="18"/>
      <c r="Z1920" s="18"/>
      <c r="AA1920" s="18"/>
      <c r="AB1920" s="18"/>
      <c r="AC1920" s="18"/>
    </row>
    <row r="1921" spans="1:29" ht="32.25" hidden="1" customHeight="1">
      <c r="A1921" s="17"/>
      <c r="B1921" s="9" t="s">
        <v>13284</v>
      </c>
      <c r="C1921" s="9" t="s">
        <v>13284</v>
      </c>
      <c r="D1921" s="9" t="s">
        <v>13284</v>
      </c>
      <c r="E1921" s="9" t="s">
        <v>13284</v>
      </c>
      <c r="F1921" s="9" t="s">
        <v>13284</v>
      </c>
      <c r="G1921" s="9" t="s">
        <v>13284</v>
      </c>
      <c r="H1921" s="9" t="s">
        <v>13284</v>
      </c>
      <c r="I1921" s="9" t="s">
        <v>13284</v>
      </c>
      <c r="J1921" s="9" t="s">
        <v>13284</v>
      </c>
      <c r="K1921" s="9" t="s">
        <v>13284</v>
      </c>
      <c r="L1921" s="9" t="s">
        <v>13284</v>
      </c>
      <c r="M1921" s="9" t="s">
        <v>13284</v>
      </c>
      <c r="N1921" s="9" t="s">
        <v>13284</v>
      </c>
      <c r="O1921" s="9" t="s">
        <v>13284</v>
      </c>
      <c r="P1921" s="9" t="s">
        <v>13284</v>
      </c>
      <c r="Q1921" s="9" t="s">
        <v>13284</v>
      </c>
      <c r="R1921" s="9" t="s">
        <v>13284</v>
      </c>
      <c r="S1921" s="9" t="s">
        <v>13284</v>
      </c>
      <c r="T1921" s="9" t="str">
        <f ca="1">IFERROR(IF(AND(VLOOKUP(A1921, 'Актуальное состояние (из общего'!A:C,3,0) = "", A1921 &lt;&gt; ""), "ПРОВЕРИТЬ", VLOOKUP(A1921, 'Актуальное состояние (из общего'!A:C,3,0)), "")</f>
        <v/>
      </c>
      <c r="U1921" s="9" t="s">
        <v>13284</v>
      </c>
      <c r="V1921" s="9" t="s">
        <v>13284</v>
      </c>
      <c r="W1921" s="12"/>
      <c r="X1921" s="9" t="str">
        <f t="array" ref="X1921">IFERROR(INDEX('Адреса общежитий (скрытый)'!$B$2:$B$9, MATCH(W1921, 'Адреса общежитий (скрытый)'!$A$2:$A$9, 0)), "")</f>
        <v/>
      </c>
      <c r="Y1921" s="18"/>
      <c r="Z1921" s="18"/>
      <c r="AA1921" s="18"/>
      <c r="AB1921" s="18"/>
      <c r="AC1921" s="18"/>
    </row>
    <row r="1922" spans="1:29" ht="32.25" hidden="1" customHeight="1">
      <c r="A1922" s="17"/>
      <c r="B1922" s="9" t="s">
        <v>13284</v>
      </c>
      <c r="C1922" s="9" t="s">
        <v>13284</v>
      </c>
      <c r="D1922" s="9" t="s">
        <v>13284</v>
      </c>
      <c r="E1922" s="9" t="s">
        <v>13284</v>
      </c>
      <c r="F1922" s="9" t="s">
        <v>13284</v>
      </c>
      <c r="G1922" s="9" t="s">
        <v>13284</v>
      </c>
      <c r="H1922" s="9" t="s">
        <v>13284</v>
      </c>
      <c r="I1922" s="9" t="s">
        <v>13284</v>
      </c>
      <c r="J1922" s="9" t="s">
        <v>13284</v>
      </c>
      <c r="K1922" s="9" t="s">
        <v>13284</v>
      </c>
      <c r="L1922" s="9" t="s">
        <v>13284</v>
      </c>
      <c r="M1922" s="9" t="s">
        <v>13284</v>
      </c>
      <c r="N1922" s="9" t="s">
        <v>13284</v>
      </c>
      <c r="O1922" s="9" t="s">
        <v>13284</v>
      </c>
      <c r="P1922" s="9" t="s">
        <v>13284</v>
      </c>
      <c r="Q1922" s="9" t="s">
        <v>13284</v>
      </c>
      <c r="R1922" s="9" t="s">
        <v>13284</v>
      </c>
      <c r="S1922" s="9" t="s">
        <v>13284</v>
      </c>
      <c r="T1922" s="9" t="str">
        <f ca="1">IFERROR(IF(AND(VLOOKUP(A1922, 'Актуальное состояние (из общего'!A:C,3,0) = "", A1922 &lt;&gt; ""), "ПРОВЕРИТЬ", VLOOKUP(A1922, 'Актуальное состояние (из общего'!A:C,3,0)), "")</f>
        <v/>
      </c>
      <c r="U1922" s="9" t="s">
        <v>13284</v>
      </c>
      <c r="V1922" s="9" t="s">
        <v>13284</v>
      </c>
      <c r="W1922" s="12"/>
      <c r="X1922" s="9" t="str">
        <f t="array" ref="X1922">IFERROR(INDEX('Адреса общежитий (скрытый)'!$B$2:$B$9, MATCH(W1922, 'Адреса общежитий (скрытый)'!$A$2:$A$9, 0)), "")</f>
        <v/>
      </c>
      <c r="Y1922" s="18"/>
      <c r="Z1922" s="18"/>
      <c r="AA1922" s="18"/>
      <c r="AB1922" s="18"/>
      <c r="AC1922" s="18"/>
    </row>
    <row r="1923" spans="1:29" ht="32.25" hidden="1" customHeight="1">
      <c r="A1923" s="17"/>
      <c r="B1923" s="9" t="s">
        <v>13284</v>
      </c>
      <c r="C1923" s="9" t="s">
        <v>13284</v>
      </c>
      <c r="D1923" s="9" t="s">
        <v>13284</v>
      </c>
      <c r="E1923" s="9" t="s">
        <v>13284</v>
      </c>
      <c r="F1923" s="9" t="s">
        <v>13284</v>
      </c>
      <c r="G1923" s="9" t="s">
        <v>13284</v>
      </c>
      <c r="H1923" s="9" t="s">
        <v>13284</v>
      </c>
      <c r="I1923" s="9" t="s">
        <v>13284</v>
      </c>
      <c r="J1923" s="9" t="s">
        <v>13284</v>
      </c>
      <c r="K1923" s="9" t="s">
        <v>13284</v>
      </c>
      <c r="L1923" s="9" t="s">
        <v>13284</v>
      </c>
      <c r="M1923" s="9" t="s">
        <v>13284</v>
      </c>
      <c r="N1923" s="9" t="s">
        <v>13284</v>
      </c>
      <c r="O1923" s="9" t="s">
        <v>13284</v>
      </c>
      <c r="P1923" s="9" t="s">
        <v>13284</v>
      </c>
      <c r="Q1923" s="9" t="s">
        <v>13284</v>
      </c>
      <c r="R1923" s="9" t="s">
        <v>13284</v>
      </c>
      <c r="S1923" s="9" t="s">
        <v>13284</v>
      </c>
      <c r="T1923" s="9" t="str">
        <f ca="1">IFERROR(IF(AND(VLOOKUP(A1923, 'Актуальное состояние (из общего'!A:C,3,0) = "", A1923 &lt;&gt; ""), "ПРОВЕРИТЬ", VLOOKUP(A1923, 'Актуальное состояние (из общего'!A:C,3,0)), "")</f>
        <v/>
      </c>
      <c r="U1923" s="9" t="s">
        <v>13284</v>
      </c>
      <c r="V1923" s="9" t="s">
        <v>13284</v>
      </c>
      <c r="W1923" s="12"/>
      <c r="X1923" s="9" t="str">
        <f t="array" ref="X1923">IFERROR(INDEX('Адреса общежитий (скрытый)'!$B$2:$B$9, MATCH(W1923, 'Адреса общежитий (скрытый)'!$A$2:$A$9, 0)), "")</f>
        <v/>
      </c>
      <c r="Y1923" s="18"/>
      <c r="Z1923" s="18"/>
      <c r="AA1923" s="18"/>
      <c r="AB1923" s="18"/>
      <c r="AC1923" s="18"/>
    </row>
    <row r="1924" spans="1:29" ht="32.25" hidden="1" customHeight="1">
      <c r="A1924" s="17"/>
      <c r="B1924" s="9" t="s">
        <v>13284</v>
      </c>
      <c r="C1924" s="9" t="s">
        <v>13284</v>
      </c>
      <c r="D1924" s="9" t="s">
        <v>13284</v>
      </c>
      <c r="E1924" s="9" t="s">
        <v>13284</v>
      </c>
      <c r="F1924" s="9" t="s">
        <v>13284</v>
      </c>
      <c r="G1924" s="9" t="s">
        <v>13284</v>
      </c>
      <c r="H1924" s="9" t="s">
        <v>13284</v>
      </c>
      <c r="I1924" s="9" t="s">
        <v>13284</v>
      </c>
      <c r="J1924" s="9" t="s">
        <v>13284</v>
      </c>
      <c r="K1924" s="9" t="s">
        <v>13284</v>
      </c>
      <c r="L1924" s="9" t="s">
        <v>13284</v>
      </c>
      <c r="M1924" s="9" t="s">
        <v>13284</v>
      </c>
      <c r="N1924" s="9" t="s">
        <v>13284</v>
      </c>
      <c r="O1924" s="9" t="s">
        <v>13284</v>
      </c>
      <c r="P1924" s="9" t="s">
        <v>13284</v>
      </c>
      <c r="Q1924" s="9" t="s">
        <v>13284</v>
      </c>
      <c r="R1924" s="9" t="s">
        <v>13284</v>
      </c>
      <c r="S1924" s="9" t="s">
        <v>13284</v>
      </c>
      <c r="T1924" s="9" t="str">
        <f ca="1">IFERROR(IF(AND(VLOOKUP(A1924, 'Актуальное состояние (из общего'!A:C,3,0) = "", A1924 &lt;&gt; ""), "ПРОВЕРИТЬ", VLOOKUP(A1924, 'Актуальное состояние (из общего'!A:C,3,0)), "")</f>
        <v/>
      </c>
      <c r="U1924" s="9" t="s">
        <v>13284</v>
      </c>
      <c r="V1924" s="9" t="s">
        <v>13284</v>
      </c>
      <c r="W1924" s="12"/>
      <c r="X1924" s="9" t="str">
        <f t="array" ref="X1924">IFERROR(INDEX('Адреса общежитий (скрытый)'!$B$2:$B$9, MATCH(W1924, 'Адреса общежитий (скрытый)'!$A$2:$A$9, 0)), "")</f>
        <v/>
      </c>
      <c r="Y1924" s="18"/>
      <c r="Z1924" s="18"/>
      <c r="AA1924" s="18"/>
      <c r="AB1924" s="18"/>
      <c r="AC1924" s="18"/>
    </row>
    <row r="1925" spans="1:29" ht="32.25" hidden="1" customHeight="1">
      <c r="A1925" s="17"/>
      <c r="B1925" s="9" t="s">
        <v>13284</v>
      </c>
      <c r="C1925" s="9" t="s">
        <v>13284</v>
      </c>
      <c r="D1925" s="9" t="s">
        <v>13284</v>
      </c>
      <c r="E1925" s="9" t="s">
        <v>13284</v>
      </c>
      <c r="F1925" s="9" t="s">
        <v>13284</v>
      </c>
      <c r="G1925" s="9" t="s">
        <v>13284</v>
      </c>
      <c r="H1925" s="9" t="s">
        <v>13284</v>
      </c>
      <c r="I1925" s="9" t="s">
        <v>13284</v>
      </c>
      <c r="J1925" s="9" t="s">
        <v>13284</v>
      </c>
      <c r="K1925" s="9" t="s">
        <v>13284</v>
      </c>
      <c r="L1925" s="9" t="s">
        <v>13284</v>
      </c>
      <c r="M1925" s="9" t="s">
        <v>13284</v>
      </c>
      <c r="N1925" s="9" t="s">
        <v>13284</v>
      </c>
      <c r="O1925" s="9" t="s">
        <v>13284</v>
      </c>
      <c r="P1925" s="9" t="s">
        <v>13284</v>
      </c>
      <c r="Q1925" s="9" t="s">
        <v>13284</v>
      </c>
      <c r="R1925" s="9" t="s">
        <v>13284</v>
      </c>
      <c r="S1925" s="9" t="s">
        <v>13284</v>
      </c>
      <c r="T1925" s="9" t="str">
        <f ca="1">IFERROR(IF(AND(VLOOKUP(A1925, 'Актуальное состояние (из общего'!A:C,3,0) = "", A1925 &lt;&gt; ""), "ПРОВЕРИТЬ", VLOOKUP(A1925, 'Актуальное состояние (из общего'!A:C,3,0)), "")</f>
        <v/>
      </c>
      <c r="U1925" s="9" t="s">
        <v>13284</v>
      </c>
      <c r="V1925" s="9" t="s">
        <v>13284</v>
      </c>
      <c r="W1925" s="12"/>
      <c r="X1925" s="9" t="str">
        <f t="array" ref="X1925">IFERROR(INDEX('Адреса общежитий (скрытый)'!$B$2:$B$9, MATCH(W1925, 'Адреса общежитий (скрытый)'!$A$2:$A$9, 0)), "")</f>
        <v/>
      </c>
      <c r="Y1925" s="18"/>
      <c r="Z1925" s="18"/>
      <c r="AA1925" s="18"/>
      <c r="AB1925" s="18"/>
      <c r="AC1925" s="18"/>
    </row>
    <row r="1926" spans="1:29" ht="32.25" hidden="1" customHeight="1">
      <c r="A1926" s="17"/>
      <c r="B1926" s="9" t="s">
        <v>13284</v>
      </c>
      <c r="C1926" s="9" t="s">
        <v>13284</v>
      </c>
      <c r="D1926" s="9" t="s">
        <v>13284</v>
      </c>
      <c r="E1926" s="9" t="s">
        <v>13284</v>
      </c>
      <c r="F1926" s="9" t="s">
        <v>13284</v>
      </c>
      <c r="G1926" s="9" t="s">
        <v>13284</v>
      </c>
      <c r="H1926" s="9" t="s">
        <v>13284</v>
      </c>
      <c r="I1926" s="9" t="s">
        <v>13284</v>
      </c>
      <c r="J1926" s="9" t="s">
        <v>13284</v>
      </c>
      <c r="K1926" s="9" t="s">
        <v>13284</v>
      </c>
      <c r="L1926" s="9" t="s">
        <v>13284</v>
      </c>
      <c r="M1926" s="9" t="s">
        <v>13284</v>
      </c>
      <c r="N1926" s="9" t="s">
        <v>13284</v>
      </c>
      <c r="O1926" s="9" t="s">
        <v>13284</v>
      </c>
      <c r="P1926" s="9" t="s">
        <v>13284</v>
      </c>
      <c r="Q1926" s="9" t="s">
        <v>13284</v>
      </c>
      <c r="R1926" s="9" t="s">
        <v>13284</v>
      </c>
      <c r="S1926" s="9" t="s">
        <v>13284</v>
      </c>
      <c r="T1926" s="9" t="str">
        <f ca="1">IFERROR(IF(AND(VLOOKUP(A1926, 'Актуальное состояние (из общего'!A:C,3,0) = "", A1926 &lt;&gt; ""), "ПРОВЕРИТЬ", VLOOKUP(A1926, 'Актуальное состояние (из общего'!A:C,3,0)), "")</f>
        <v/>
      </c>
      <c r="U1926" s="9" t="s">
        <v>13284</v>
      </c>
      <c r="V1926" s="9" t="s">
        <v>13284</v>
      </c>
      <c r="W1926" s="12"/>
      <c r="X1926" s="9" t="str">
        <f t="array" ref="X1926">IFERROR(INDEX('Адреса общежитий (скрытый)'!$B$2:$B$9, MATCH(W1926, 'Адреса общежитий (скрытый)'!$A$2:$A$9, 0)), "")</f>
        <v/>
      </c>
      <c r="Y1926" s="18"/>
      <c r="Z1926" s="18"/>
      <c r="AA1926" s="18"/>
      <c r="AB1926" s="18"/>
      <c r="AC1926" s="18"/>
    </row>
    <row r="1927" spans="1:29" ht="32.25" hidden="1" customHeight="1">
      <c r="A1927" s="17"/>
      <c r="B1927" s="9" t="s">
        <v>13284</v>
      </c>
      <c r="C1927" s="9" t="s">
        <v>13284</v>
      </c>
      <c r="D1927" s="9" t="s">
        <v>13284</v>
      </c>
      <c r="E1927" s="9" t="s">
        <v>13284</v>
      </c>
      <c r="F1927" s="9" t="s">
        <v>13284</v>
      </c>
      <c r="G1927" s="9" t="s">
        <v>13284</v>
      </c>
      <c r="H1927" s="9" t="s">
        <v>13284</v>
      </c>
      <c r="I1927" s="9" t="s">
        <v>13284</v>
      </c>
      <c r="J1927" s="9" t="s">
        <v>13284</v>
      </c>
      <c r="K1927" s="9" t="s">
        <v>13284</v>
      </c>
      <c r="L1927" s="9" t="s">
        <v>13284</v>
      </c>
      <c r="M1927" s="9" t="s">
        <v>13284</v>
      </c>
      <c r="N1927" s="9" t="s">
        <v>13284</v>
      </c>
      <c r="O1927" s="9" t="s">
        <v>13284</v>
      </c>
      <c r="P1927" s="9" t="s">
        <v>13284</v>
      </c>
      <c r="Q1927" s="9" t="s">
        <v>13284</v>
      </c>
      <c r="R1927" s="9" t="s">
        <v>13284</v>
      </c>
      <c r="S1927" s="9" t="s">
        <v>13284</v>
      </c>
      <c r="T1927" s="9" t="str">
        <f ca="1">IFERROR(IF(AND(VLOOKUP(A1927, 'Актуальное состояние (из общего'!A:C,3,0) = "", A1927 &lt;&gt; ""), "ПРОВЕРИТЬ", VLOOKUP(A1927, 'Актуальное состояние (из общего'!A:C,3,0)), "")</f>
        <v/>
      </c>
      <c r="U1927" s="9" t="s">
        <v>13284</v>
      </c>
      <c r="V1927" s="9" t="s">
        <v>13284</v>
      </c>
      <c r="W1927" s="12"/>
      <c r="X1927" s="9" t="str">
        <f t="array" ref="X1927">IFERROR(INDEX('Адреса общежитий (скрытый)'!$B$2:$B$9, MATCH(W1927, 'Адреса общежитий (скрытый)'!$A$2:$A$9, 0)), "")</f>
        <v/>
      </c>
      <c r="Y1927" s="18"/>
      <c r="Z1927" s="18"/>
      <c r="AA1927" s="18"/>
      <c r="AB1927" s="18"/>
      <c r="AC1927" s="18"/>
    </row>
    <row r="1928" spans="1:29" ht="32.25" hidden="1" customHeight="1">
      <c r="A1928" s="17"/>
      <c r="B1928" s="9" t="s">
        <v>13284</v>
      </c>
      <c r="C1928" s="9" t="s">
        <v>13284</v>
      </c>
      <c r="D1928" s="9" t="s">
        <v>13284</v>
      </c>
      <c r="E1928" s="9" t="s">
        <v>13284</v>
      </c>
      <c r="F1928" s="9" t="s">
        <v>13284</v>
      </c>
      <c r="G1928" s="9" t="s">
        <v>13284</v>
      </c>
      <c r="H1928" s="9" t="s">
        <v>13284</v>
      </c>
      <c r="I1928" s="9" t="s">
        <v>13284</v>
      </c>
      <c r="J1928" s="9" t="s">
        <v>13284</v>
      </c>
      <c r="K1928" s="9" t="s">
        <v>13284</v>
      </c>
      <c r="L1928" s="9" t="s">
        <v>13284</v>
      </c>
      <c r="M1928" s="9" t="s">
        <v>13284</v>
      </c>
      <c r="N1928" s="9" t="s">
        <v>13284</v>
      </c>
      <c r="O1928" s="9" t="s">
        <v>13284</v>
      </c>
      <c r="P1928" s="9" t="s">
        <v>13284</v>
      </c>
      <c r="Q1928" s="9" t="s">
        <v>13284</v>
      </c>
      <c r="R1928" s="9" t="s">
        <v>13284</v>
      </c>
      <c r="S1928" s="9" t="s">
        <v>13284</v>
      </c>
      <c r="T1928" s="9" t="str">
        <f ca="1">IFERROR(IF(AND(VLOOKUP(A1928, 'Актуальное состояние (из общего'!A:C,3,0) = "", A1928 &lt;&gt; ""), "ПРОВЕРИТЬ", VLOOKUP(A1928, 'Актуальное состояние (из общего'!A:C,3,0)), "")</f>
        <v/>
      </c>
      <c r="U1928" s="9" t="s">
        <v>13284</v>
      </c>
      <c r="V1928" s="9" t="s">
        <v>13284</v>
      </c>
      <c r="W1928" s="12"/>
      <c r="X1928" s="9" t="str">
        <f t="array" ref="X1928">IFERROR(INDEX('Адреса общежитий (скрытый)'!$B$2:$B$9, MATCH(W1928, 'Адреса общежитий (скрытый)'!$A$2:$A$9, 0)), "")</f>
        <v/>
      </c>
      <c r="Y1928" s="18"/>
      <c r="Z1928" s="18"/>
      <c r="AA1928" s="18"/>
      <c r="AB1928" s="18"/>
      <c r="AC1928" s="18"/>
    </row>
    <row r="1929" spans="1:29" ht="32.25" hidden="1" customHeight="1">
      <c r="A1929" s="17"/>
      <c r="B1929" s="9" t="s">
        <v>13284</v>
      </c>
      <c r="C1929" s="9" t="s">
        <v>13284</v>
      </c>
      <c r="D1929" s="9" t="s">
        <v>13284</v>
      </c>
      <c r="E1929" s="9" t="s">
        <v>13284</v>
      </c>
      <c r="F1929" s="9" t="s">
        <v>13284</v>
      </c>
      <c r="G1929" s="9" t="s">
        <v>13284</v>
      </c>
      <c r="H1929" s="9" t="s">
        <v>13284</v>
      </c>
      <c r="I1929" s="9" t="s">
        <v>13284</v>
      </c>
      <c r="J1929" s="9" t="s">
        <v>13284</v>
      </c>
      <c r="K1929" s="9" t="s">
        <v>13284</v>
      </c>
      <c r="L1929" s="9" t="s">
        <v>13284</v>
      </c>
      <c r="M1929" s="9" t="s">
        <v>13284</v>
      </c>
      <c r="N1929" s="9" t="s">
        <v>13284</v>
      </c>
      <c r="O1929" s="9" t="s">
        <v>13284</v>
      </c>
      <c r="P1929" s="9" t="s">
        <v>13284</v>
      </c>
      <c r="Q1929" s="9" t="s">
        <v>13284</v>
      </c>
      <c r="R1929" s="9" t="s">
        <v>13284</v>
      </c>
      <c r="S1929" s="9" t="s">
        <v>13284</v>
      </c>
      <c r="T1929" s="9" t="str">
        <f ca="1">IFERROR(IF(AND(VLOOKUP(A1929, 'Актуальное состояние (из общего'!A:C,3,0) = "", A1929 &lt;&gt; ""), "ПРОВЕРИТЬ", VLOOKUP(A1929, 'Актуальное состояние (из общего'!A:C,3,0)), "")</f>
        <v/>
      </c>
      <c r="U1929" s="9" t="s">
        <v>13284</v>
      </c>
      <c r="V1929" s="9" t="s">
        <v>13284</v>
      </c>
      <c r="W1929" s="12"/>
      <c r="X1929" s="9" t="str">
        <f t="array" ref="X1929">IFERROR(INDEX('Адреса общежитий (скрытый)'!$B$2:$B$9, MATCH(W1929, 'Адреса общежитий (скрытый)'!$A$2:$A$9, 0)), "")</f>
        <v/>
      </c>
      <c r="Y1929" s="18"/>
      <c r="Z1929" s="18"/>
      <c r="AA1929" s="18"/>
      <c r="AB1929" s="18"/>
      <c r="AC1929" s="18"/>
    </row>
    <row r="1930" spans="1:29" ht="32.25" hidden="1" customHeight="1">
      <c r="A1930" s="17"/>
      <c r="B1930" s="9" t="s">
        <v>13284</v>
      </c>
      <c r="C1930" s="9" t="s">
        <v>13284</v>
      </c>
      <c r="D1930" s="9" t="s">
        <v>13284</v>
      </c>
      <c r="E1930" s="9" t="s">
        <v>13284</v>
      </c>
      <c r="F1930" s="9" t="s">
        <v>13284</v>
      </c>
      <c r="G1930" s="9" t="s">
        <v>13284</v>
      </c>
      <c r="H1930" s="9" t="s">
        <v>13284</v>
      </c>
      <c r="I1930" s="9" t="s">
        <v>13284</v>
      </c>
      <c r="J1930" s="9" t="s">
        <v>13284</v>
      </c>
      <c r="K1930" s="9" t="s">
        <v>13284</v>
      </c>
      <c r="L1930" s="9" t="s">
        <v>13284</v>
      </c>
      <c r="M1930" s="9" t="s">
        <v>13284</v>
      </c>
      <c r="N1930" s="9" t="s">
        <v>13284</v>
      </c>
      <c r="O1930" s="9" t="s">
        <v>13284</v>
      </c>
      <c r="P1930" s="9" t="s">
        <v>13284</v>
      </c>
      <c r="Q1930" s="9" t="s">
        <v>13284</v>
      </c>
      <c r="R1930" s="9" t="s">
        <v>13284</v>
      </c>
      <c r="S1930" s="9" t="s">
        <v>13284</v>
      </c>
      <c r="T1930" s="9" t="str">
        <f ca="1">IFERROR(IF(AND(VLOOKUP(A1930, 'Актуальное состояние (из общего'!A:C,3,0) = "", A1930 &lt;&gt; ""), "ПРОВЕРИТЬ", VLOOKUP(A1930, 'Актуальное состояние (из общего'!A:C,3,0)), "")</f>
        <v/>
      </c>
      <c r="U1930" s="9" t="s">
        <v>13284</v>
      </c>
      <c r="V1930" s="9" t="s">
        <v>13284</v>
      </c>
      <c r="W1930" s="12"/>
      <c r="X1930" s="9" t="str">
        <f t="array" ref="X1930">IFERROR(INDEX('Адреса общежитий (скрытый)'!$B$2:$B$9, MATCH(W1930, 'Адреса общежитий (скрытый)'!$A$2:$A$9, 0)), "")</f>
        <v/>
      </c>
      <c r="Y1930" s="18"/>
      <c r="Z1930" s="18"/>
      <c r="AA1930" s="18"/>
      <c r="AB1930" s="18"/>
      <c r="AC1930" s="18"/>
    </row>
    <row r="1931" spans="1:29" ht="32.25" hidden="1" customHeight="1">
      <c r="A1931" s="17"/>
      <c r="B1931" s="9" t="s">
        <v>13284</v>
      </c>
      <c r="C1931" s="9" t="s">
        <v>13284</v>
      </c>
      <c r="D1931" s="9" t="s">
        <v>13284</v>
      </c>
      <c r="E1931" s="9" t="s">
        <v>13284</v>
      </c>
      <c r="F1931" s="9" t="s">
        <v>13284</v>
      </c>
      <c r="G1931" s="9" t="s">
        <v>13284</v>
      </c>
      <c r="H1931" s="9" t="s">
        <v>13284</v>
      </c>
      <c r="I1931" s="9" t="s">
        <v>13284</v>
      </c>
      <c r="J1931" s="9" t="s">
        <v>13284</v>
      </c>
      <c r="K1931" s="9" t="s">
        <v>13284</v>
      </c>
      <c r="L1931" s="9" t="s">
        <v>13284</v>
      </c>
      <c r="M1931" s="9" t="s">
        <v>13284</v>
      </c>
      <c r="N1931" s="9" t="s">
        <v>13284</v>
      </c>
      <c r="O1931" s="9" t="s">
        <v>13284</v>
      </c>
      <c r="P1931" s="9" t="s">
        <v>13284</v>
      </c>
      <c r="Q1931" s="9" t="s">
        <v>13284</v>
      </c>
      <c r="R1931" s="9" t="s">
        <v>13284</v>
      </c>
      <c r="S1931" s="9" t="s">
        <v>13284</v>
      </c>
      <c r="T1931" s="9" t="str">
        <f ca="1">IFERROR(IF(AND(VLOOKUP(A1931, 'Актуальное состояние (из общего'!A:C,3,0) = "", A1931 &lt;&gt; ""), "ПРОВЕРИТЬ", VLOOKUP(A1931, 'Актуальное состояние (из общего'!A:C,3,0)), "")</f>
        <v/>
      </c>
      <c r="U1931" s="9" t="s">
        <v>13284</v>
      </c>
      <c r="V1931" s="9" t="s">
        <v>13284</v>
      </c>
      <c r="W1931" s="12"/>
      <c r="X1931" s="9" t="str">
        <f t="array" ref="X1931">IFERROR(INDEX('Адреса общежитий (скрытый)'!$B$2:$B$9, MATCH(W1931, 'Адреса общежитий (скрытый)'!$A$2:$A$9, 0)), "")</f>
        <v/>
      </c>
      <c r="Y1931" s="18"/>
      <c r="Z1931" s="18"/>
      <c r="AA1931" s="18"/>
      <c r="AB1931" s="18"/>
      <c r="AC1931" s="18"/>
    </row>
    <row r="1932" spans="1:29" ht="32.25" hidden="1" customHeight="1">
      <c r="A1932" s="17"/>
      <c r="B1932" s="9" t="s">
        <v>13284</v>
      </c>
      <c r="C1932" s="9" t="s">
        <v>13284</v>
      </c>
      <c r="D1932" s="9" t="s">
        <v>13284</v>
      </c>
      <c r="E1932" s="9" t="s">
        <v>13284</v>
      </c>
      <c r="F1932" s="9" t="s">
        <v>13284</v>
      </c>
      <c r="G1932" s="9" t="s">
        <v>13284</v>
      </c>
      <c r="H1932" s="9" t="s">
        <v>13284</v>
      </c>
      <c r="I1932" s="9" t="s">
        <v>13284</v>
      </c>
      <c r="J1932" s="9" t="s">
        <v>13284</v>
      </c>
      <c r="K1932" s="9" t="s">
        <v>13284</v>
      </c>
      <c r="L1932" s="9" t="s">
        <v>13284</v>
      </c>
      <c r="M1932" s="9" t="s">
        <v>13284</v>
      </c>
      <c r="N1932" s="9" t="s">
        <v>13284</v>
      </c>
      <c r="O1932" s="9" t="s">
        <v>13284</v>
      </c>
      <c r="P1932" s="9" t="s">
        <v>13284</v>
      </c>
      <c r="Q1932" s="9" t="s">
        <v>13284</v>
      </c>
      <c r="R1932" s="9" t="s">
        <v>13284</v>
      </c>
      <c r="S1932" s="9" t="s">
        <v>13284</v>
      </c>
      <c r="T1932" s="9" t="str">
        <f ca="1">IFERROR(IF(AND(VLOOKUP(A1932, 'Актуальное состояние (из общего'!A:C,3,0) = "", A1932 &lt;&gt; ""), "ПРОВЕРИТЬ", VLOOKUP(A1932, 'Актуальное состояние (из общего'!A:C,3,0)), "")</f>
        <v/>
      </c>
      <c r="U1932" s="9" t="s">
        <v>13284</v>
      </c>
      <c r="V1932" s="9" t="s">
        <v>13284</v>
      </c>
      <c r="W1932" s="12"/>
      <c r="X1932" s="9" t="str">
        <f t="array" ref="X1932">IFERROR(INDEX('Адреса общежитий (скрытый)'!$B$2:$B$9, MATCH(W1932, 'Адреса общежитий (скрытый)'!$A$2:$A$9, 0)), "")</f>
        <v/>
      </c>
      <c r="Y1932" s="18"/>
      <c r="Z1932" s="18"/>
      <c r="AA1932" s="18"/>
      <c r="AB1932" s="18"/>
      <c r="AC1932" s="18"/>
    </row>
    <row r="1933" spans="1:29" ht="32.25" hidden="1" customHeight="1">
      <c r="A1933" s="17"/>
      <c r="B1933" s="9" t="s">
        <v>13284</v>
      </c>
      <c r="C1933" s="9" t="s">
        <v>13284</v>
      </c>
      <c r="D1933" s="9" t="s">
        <v>13284</v>
      </c>
      <c r="E1933" s="9" t="s">
        <v>13284</v>
      </c>
      <c r="F1933" s="9" t="s">
        <v>13284</v>
      </c>
      <c r="G1933" s="9" t="s">
        <v>13284</v>
      </c>
      <c r="H1933" s="9" t="s">
        <v>13284</v>
      </c>
      <c r="I1933" s="9" t="s">
        <v>13284</v>
      </c>
      <c r="J1933" s="9" t="s">
        <v>13284</v>
      </c>
      <c r="K1933" s="9" t="s">
        <v>13284</v>
      </c>
      <c r="L1933" s="9" t="s">
        <v>13284</v>
      </c>
      <c r="M1933" s="9" t="s">
        <v>13284</v>
      </c>
      <c r="N1933" s="9" t="s">
        <v>13284</v>
      </c>
      <c r="O1933" s="9" t="s">
        <v>13284</v>
      </c>
      <c r="P1933" s="9" t="s">
        <v>13284</v>
      </c>
      <c r="Q1933" s="9" t="s">
        <v>13284</v>
      </c>
      <c r="R1933" s="9" t="s">
        <v>13284</v>
      </c>
      <c r="S1933" s="9" t="s">
        <v>13284</v>
      </c>
      <c r="T1933" s="9" t="str">
        <f ca="1">IFERROR(IF(AND(VLOOKUP(A1933, 'Актуальное состояние (из общего'!A:C,3,0) = "", A1933 &lt;&gt; ""), "ПРОВЕРИТЬ", VLOOKUP(A1933, 'Актуальное состояние (из общего'!A:C,3,0)), "")</f>
        <v/>
      </c>
      <c r="U1933" s="9" t="s">
        <v>13284</v>
      </c>
      <c r="V1933" s="9" t="s">
        <v>13284</v>
      </c>
      <c r="W1933" s="12"/>
      <c r="X1933" s="9" t="str">
        <f t="array" ref="X1933">IFERROR(INDEX('Адреса общежитий (скрытый)'!$B$2:$B$9, MATCH(W1933, 'Адреса общежитий (скрытый)'!$A$2:$A$9, 0)), "")</f>
        <v/>
      </c>
      <c r="Y1933" s="18"/>
      <c r="Z1933" s="18"/>
      <c r="AA1933" s="18"/>
      <c r="AB1933" s="18"/>
      <c r="AC1933" s="18"/>
    </row>
    <row r="1934" spans="1:29" ht="32.25" hidden="1" customHeight="1">
      <c r="A1934" s="17"/>
      <c r="B1934" s="9" t="s">
        <v>13284</v>
      </c>
      <c r="C1934" s="9" t="s">
        <v>13284</v>
      </c>
      <c r="D1934" s="9" t="s">
        <v>13284</v>
      </c>
      <c r="E1934" s="9" t="s">
        <v>13284</v>
      </c>
      <c r="F1934" s="9" t="s">
        <v>13284</v>
      </c>
      <c r="G1934" s="9" t="s">
        <v>13284</v>
      </c>
      <c r="H1934" s="9" t="s">
        <v>13284</v>
      </c>
      <c r="I1934" s="9" t="s">
        <v>13284</v>
      </c>
      <c r="J1934" s="9" t="s">
        <v>13284</v>
      </c>
      <c r="K1934" s="9" t="s">
        <v>13284</v>
      </c>
      <c r="L1934" s="9" t="s">
        <v>13284</v>
      </c>
      <c r="M1934" s="9" t="s">
        <v>13284</v>
      </c>
      <c r="N1934" s="9" t="s">
        <v>13284</v>
      </c>
      <c r="O1934" s="9" t="s">
        <v>13284</v>
      </c>
      <c r="P1934" s="9" t="s">
        <v>13284</v>
      </c>
      <c r="Q1934" s="9" t="s">
        <v>13284</v>
      </c>
      <c r="R1934" s="9" t="s">
        <v>13284</v>
      </c>
      <c r="S1934" s="9" t="s">
        <v>13284</v>
      </c>
      <c r="T1934" s="9" t="str">
        <f ca="1">IFERROR(IF(AND(VLOOKUP(A1934, 'Актуальное состояние (из общего'!A:C,3,0) = "", A1934 &lt;&gt; ""), "ПРОВЕРИТЬ", VLOOKUP(A1934, 'Актуальное состояние (из общего'!A:C,3,0)), "")</f>
        <v/>
      </c>
      <c r="U1934" s="9" t="s">
        <v>13284</v>
      </c>
      <c r="V1934" s="9" t="s">
        <v>13284</v>
      </c>
      <c r="W1934" s="12"/>
      <c r="X1934" s="9" t="str">
        <f t="array" ref="X1934">IFERROR(INDEX('Адреса общежитий (скрытый)'!$B$2:$B$9, MATCH(W1934, 'Адреса общежитий (скрытый)'!$A$2:$A$9, 0)), "")</f>
        <v/>
      </c>
      <c r="Y1934" s="18"/>
      <c r="Z1934" s="18"/>
      <c r="AA1934" s="18"/>
      <c r="AB1934" s="18"/>
      <c r="AC1934" s="18"/>
    </row>
    <row r="1935" spans="1:29" ht="32.25" hidden="1" customHeight="1">
      <c r="A1935" s="17"/>
      <c r="B1935" s="9" t="s">
        <v>13284</v>
      </c>
      <c r="C1935" s="9" t="s">
        <v>13284</v>
      </c>
      <c r="D1935" s="9" t="s">
        <v>13284</v>
      </c>
      <c r="E1935" s="9" t="s">
        <v>13284</v>
      </c>
      <c r="F1935" s="9" t="s">
        <v>13284</v>
      </c>
      <c r="G1935" s="9" t="s">
        <v>13284</v>
      </c>
      <c r="H1935" s="9" t="s">
        <v>13284</v>
      </c>
      <c r="I1935" s="9" t="s">
        <v>13284</v>
      </c>
      <c r="J1935" s="9" t="s">
        <v>13284</v>
      </c>
      <c r="K1935" s="9" t="s">
        <v>13284</v>
      </c>
      <c r="L1935" s="9" t="s">
        <v>13284</v>
      </c>
      <c r="M1935" s="9" t="s">
        <v>13284</v>
      </c>
      <c r="N1935" s="9" t="s">
        <v>13284</v>
      </c>
      <c r="O1935" s="9" t="s">
        <v>13284</v>
      </c>
      <c r="P1935" s="9" t="s">
        <v>13284</v>
      </c>
      <c r="Q1935" s="9" t="s">
        <v>13284</v>
      </c>
      <c r="R1935" s="9" t="s">
        <v>13284</v>
      </c>
      <c r="S1935" s="9" t="s">
        <v>13284</v>
      </c>
      <c r="T1935" s="9" t="str">
        <f ca="1">IFERROR(IF(AND(VLOOKUP(A1935, 'Актуальное состояние (из общего'!A:C,3,0) = "", A1935 &lt;&gt; ""), "ПРОВЕРИТЬ", VLOOKUP(A1935, 'Актуальное состояние (из общего'!A:C,3,0)), "")</f>
        <v/>
      </c>
      <c r="U1935" s="9" t="s">
        <v>13284</v>
      </c>
      <c r="V1935" s="9" t="s">
        <v>13284</v>
      </c>
      <c r="W1935" s="12"/>
      <c r="X1935" s="9" t="str">
        <f t="array" ref="X1935">IFERROR(INDEX('Адреса общежитий (скрытый)'!$B$2:$B$9, MATCH(W1935, 'Адреса общежитий (скрытый)'!$A$2:$A$9, 0)), "")</f>
        <v/>
      </c>
      <c r="Y1935" s="18"/>
      <c r="Z1935" s="18"/>
      <c r="AA1935" s="18"/>
      <c r="AB1935" s="18"/>
      <c r="AC1935" s="18"/>
    </row>
    <row r="1936" spans="1:29" ht="32.25" hidden="1" customHeight="1">
      <c r="A1936" s="17"/>
      <c r="B1936" s="9" t="s">
        <v>13284</v>
      </c>
      <c r="C1936" s="9" t="s">
        <v>13284</v>
      </c>
      <c r="D1936" s="9" t="s">
        <v>13284</v>
      </c>
      <c r="E1936" s="9" t="s">
        <v>13284</v>
      </c>
      <c r="F1936" s="9" t="s">
        <v>13284</v>
      </c>
      <c r="G1936" s="9" t="s">
        <v>13284</v>
      </c>
      <c r="H1936" s="9" t="s">
        <v>13284</v>
      </c>
      <c r="I1936" s="9" t="s">
        <v>13284</v>
      </c>
      <c r="J1936" s="9" t="s">
        <v>13284</v>
      </c>
      <c r="K1936" s="9" t="s">
        <v>13284</v>
      </c>
      <c r="L1936" s="9" t="s">
        <v>13284</v>
      </c>
      <c r="M1936" s="9" t="s">
        <v>13284</v>
      </c>
      <c r="N1936" s="9" t="s">
        <v>13284</v>
      </c>
      <c r="O1936" s="9" t="s">
        <v>13284</v>
      </c>
      <c r="P1936" s="9" t="s">
        <v>13284</v>
      </c>
      <c r="Q1936" s="9" t="s">
        <v>13284</v>
      </c>
      <c r="R1936" s="9" t="s">
        <v>13284</v>
      </c>
      <c r="S1936" s="9" t="s">
        <v>13284</v>
      </c>
      <c r="T1936" s="9" t="str">
        <f ca="1">IFERROR(IF(AND(VLOOKUP(A1936, 'Актуальное состояние (из общего'!A:C,3,0) = "", A1936 &lt;&gt; ""), "ПРОВЕРИТЬ", VLOOKUP(A1936, 'Актуальное состояние (из общего'!A:C,3,0)), "")</f>
        <v/>
      </c>
      <c r="U1936" s="9" t="s">
        <v>13284</v>
      </c>
      <c r="V1936" s="9" t="s">
        <v>13284</v>
      </c>
      <c r="W1936" s="12"/>
      <c r="X1936" s="9" t="str">
        <f t="array" ref="X1936">IFERROR(INDEX('Адреса общежитий (скрытый)'!$B$2:$B$9, MATCH(W1936, 'Адреса общежитий (скрытый)'!$A$2:$A$9, 0)), "")</f>
        <v/>
      </c>
      <c r="Y1936" s="18"/>
      <c r="Z1936" s="18"/>
      <c r="AA1936" s="18"/>
      <c r="AB1936" s="18"/>
      <c r="AC1936" s="18"/>
    </row>
    <row r="1937" spans="1:29" ht="32.25" hidden="1" customHeight="1">
      <c r="A1937" s="17"/>
      <c r="B1937" s="9" t="s">
        <v>13284</v>
      </c>
      <c r="C1937" s="9" t="s">
        <v>13284</v>
      </c>
      <c r="D1937" s="9" t="s">
        <v>13284</v>
      </c>
      <c r="E1937" s="9" t="s">
        <v>13284</v>
      </c>
      <c r="F1937" s="9" t="s">
        <v>13284</v>
      </c>
      <c r="G1937" s="9" t="s">
        <v>13284</v>
      </c>
      <c r="H1937" s="9" t="s">
        <v>13284</v>
      </c>
      <c r="I1937" s="9" t="s">
        <v>13284</v>
      </c>
      <c r="J1937" s="9" t="s">
        <v>13284</v>
      </c>
      <c r="K1937" s="9" t="s">
        <v>13284</v>
      </c>
      <c r="L1937" s="9" t="s">
        <v>13284</v>
      </c>
      <c r="M1937" s="9" t="s">
        <v>13284</v>
      </c>
      <c r="N1937" s="9" t="s">
        <v>13284</v>
      </c>
      <c r="O1937" s="9" t="s">
        <v>13284</v>
      </c>
      <c r="P1937" s="9" t="s">
        <v>13284</v>
      </c>
      <c r="Q1937" s="9" t="s">
        <v>13284</v>
      </c>
      <c r="R1937" s="9" t="s">
        <v>13284</v>
      </c>
      <c r="S1937" s="9" t="s">
        <v>13284</v>
      </c>
      <c r="T1937" s="9" t="str">
        <f ca="1">IFERROR(IF(AND(VLOOKUP(A1937, 'Актуальное состояние (из общего'!A:C,3,0) = "", A1937 &lt;&gt; ""), "ПРОВЕРИТЬ", VLOOKUP(A1937, 'Актуальное состояние (из общего'!A:C,3,0)), "")</f>
        <v/>
      </c>
      <c r="U1937" s="9" t="s">
        <v>13284</v>
      </c>
      <c r="V1937" s="9" t="s">
        <v>13284</v>
      </c>
      <c r="W1937" s="12"/>
      <c r="X1937" s="9" t="str">
        <f t="array" ref="X1937">IFERROR(INDEX('Адреса общежитий (скрытый)'!$B$2:$B$9, MATCH(W1937, 'Адреса общежитий (скрытый)'!$A$2:$A$9, 0)), "")</f>
        <v/>
      </c>
      <c r="Y1937" s="18"/>
      <c r="Z1937" s="18"/>
      <c r="AA1937" s="18"/>
      <c r="AB1937" s="18"/>
      <c r="AC1937" s="18"/>
    </row>
    <row r="1938" spans="1:29" ht="32.25" hidden="1" customHeight="1">
      <c r="A1938" s="17"/>
      <c r="B1938" s="9" t="s">
        <v>13284</v>
      </c>
      <c r="C1938" s="9" t="s">
        <v>13284</v>
      </c>
      <c r="D1938" s="9" t="s">
        <v>13284</v>
      </c>
      <c r="E1938" s="9" t="s">
        <v>13284</v>
      </c>
      <c r="F1938" s="9" t="s">
        <v>13284</v>
      </c>
      <c r="G1938" s="9" t="s">
        <v>13284</v>
      </c>
      <c r="H1938" s="9" t="s">
        <v>13284</v>
      </c>
      <c r="I1938" s="9" t="s">
        <v>13284</v>
      </c>
      <c r="J1938" s="9" t="s">
        <v>13284</v>
      </c>
      <c r="K1938" s="9" t="s">
        <v>13284</v>
      </c>
      <c r="L1938" s="9" t="s">
        <v>13284</v>
      </c>
      <c r="M1938" s="9" t="s">
        <v>13284</v>
      </c>
      <c r="N1938" s="9" t="s">
        <v>13284</v>
      </c>
      <c r="O1938" s="9" t="s">
        <v>13284</v>
      </c>
      <c r="P1938" s="9" t="s">
        <v>13284</v>
      </c>
      <c r="Q1938" s="9" t="s">
        <v>13284</v>
      </c>
      <c r="R1938" s="9" t="s">
        <v>13284</v>
      </c>
      <c r="S1938" s="9" t="s">
        <v>13284</v>
      </c>
      <c r="T1938" s="9" t="str">
        <f ca="1">IFERROR(IF(AND(VLOOKUP(A1938, 'Актуальное состояние (из общего'!A:C,3,0) = "", A1938 &lt;&gt; ""), "ПРОВЕРИТЬ", VLOOKUP(A1938, 'Актуальное состояние (из общего'!A:C,3,0)), "")</f>
        <v/>
      </c>
      <c r="U1938" s="9" t="s">
        <v>13284</v>
      </c>
      <c r="V1938" s="9" t="s">
        <v>13284</v>
      </c>
      <c r="W1938" s="12"/>
      <c r="X1938" s="9" t="str">
        <f t="array" ref="X1938">IFERROR(INDEX('Адреса общежитий (скрытый)'!$B$2:$B$9, MATCH(W1938, 'Адреса общежитий (скрытый)'!$A$2:$A$9, 0)), "")</f>
        <v/>
      </c>
      <c r="Y1938" s="18"/>
      <c r="Z1938" s="18"/>
      <c r="AA1938" s="18"/>
      <c r="AB1938" s="18"/>
      <c r="AC1938" s="18"/>
    </row>
    <row r="1939" spans="1:29" ht="32.25" hidden="1" customHeight="1">
      <c r="A1939" s="17"/>
      <c r="B1939" s="9" t="s">
        <v>13284</v>
      </c>
      <c r="C1939" s="9" t="s">
        <v>13284</v>
      </c>
      <c r="D1939" s="9" t="s">
        <v>13284</v>
      </c>
      <c r="E1939" s="9" t="s">
        <v>13284</v>
      </c>
      <c r="F1939" s="9" t="s">
        <v>13284</v>
      </c>
      <c r="G1939" s="9" t="s">
        <v>13284</v>
      </c>
      <c r="H1939" s="9" t="s">
        <v>13284</v>
      </c>
      <c r="I1939" s="9" t="s">
        <v>13284</v>
      </c>
      <c r="J1939" s="9" t="s">
        <v>13284</v>
      </c>
      <c r="K1939" s="9" t="s">
        <v>13284</v>
      </c>
      <c r="L1939" s="9" t="s">
        <v>13284</v>
      </c>
      <c r="M1939" s="9" t="s">
        <v>13284</v>
      </c>
      <c r="N1939" s="9" t="s">
        <v>13284</v>
      </c>
      <c r="O1939" s="9" t="s">
        <v>13284</v>
      </c>
      <c r="P1939" s="9" t="s">
        <v>13284</v>
      </c>
      <c r="Q1939" s="9" t="s">
        <v>13284</v>
      </c>
      <c r="R1939" s="9" t="s">
        <v>13284</v>
      </c>
      <c r="S1939" s="9" t="s">
        <v>13284</v>
      </c>
      <c r="T1939" s="9" t="str">
        <f ca="1">IFERROR(IF(AND(VLOOKUP(A1939, 'Актуальное состояние (из общего'!A:C,3,0) = "", A1939 &lt;&gt; ""), "ПРОВЕРИТЬ", VLOOKUP(A1939, 'Актуальное состояние (из общего'!A:C,3,0)), "")</f>
        <v/>
      </c>
      <c r="U1939" s="9" t="s">
        <v>13284</v>
      </c>
      <c r="V1939" s="9" t="s">
        <v>13284</v>
      </c>
      <c r="W1939" s="12"/>
      <c r="X1939" s="9" t="str">
        <f t="array" ref="X1939">IFERROR(INDEX('Адреса общежитий (скрытый)'!$B$2:$B$9, MATCH(W1939, 'Адреса общежитий (скрытый)'!$A$2:$A$9, 0)), "")</f>
        <v/>
      </c>
      <c r="Y1939" s="18"/>
      <c r="Z1939" s="18"/>
      <c r="AA1939" s="18"/>
      <c r="AB1939" s="18"/>
      <c r="AC1939" s="18"/>
    </row>
    <row r="1940" spans="1:29" ht="32.25" hidden="1" customHeight="1">
      <c r="A1940" s="17"/>
      <c r="B1940" s="9" t="s">
        <v>13284</v>
      </c>
      <c r="C1940" s="9" t="s">
        <v>13284</v>
      </c>
      <c r="D1940" s="9" t="s">
        <v>13284</v>
      </c>
      <c r="E1940" s="9" t="s">
        <v>13284</v>
      </c>
      <c r="F1940" s="9" t="s">
        <v>13284</v>
      </c>
      <c r="G1940" s="9" t="s">
        <v>13284</v>
      </c>
      <c r="H1940" s="9" t="s">
        <v>13284</v>
      </c>
      <c r="I1940" s="9" t="s">
        <v>13284</v>
      </c>
      <c r="J1940" s="9" t="s">
        <v>13284</v>
      </c>
      <c r="K1940" s="9" t="s">
        <v>13284</v>
      </c>
      <c r="L1940" s="9" t="s">
        <v>13284</v>
      </c>
      <c r="M1940" s="9" t="s">
        <v>13284</v>
      </c>
      <c r="N1940" s="9" t="s">
        <v>13284</v>
      </c>
      <c r="O1940" s="9" t="s">
        <v>13284</v>
      </c>
      <c r="P1940" s="9" t="s">
        <v>13284</v>
      </c>
      <c r="Q1940" s="9" t="s">
        <v>13284</v>
      </c>
      <c r="R1940" s="9" t="s">
        <v>13284</v>
      </c>
      <c r="S1940" s="9" t="s">
        <v>13284</v>
      </c>
      <c r="T1940" s="9" t="str">
        <f ca="1">IFERROR(IF(AND(VLOOKUP(A1940, 'Актуальное состояние (из общего'!A:C,3,0) = "", A1940 &lt;&gt; ""), "ПРОВЕРИТЬ", VLOOKUP(A1940, 'Актуальное состояние (из общего'!A:C,3,0)), "")</f>
        <v/>
      </c>
      <c r="U1940" s="9" t="s">
        <v>13284</v>
      </c>
      <c r="V1940" s="9" t="s">
        <v>13284</v>
      </c>
      <c r="W1940" s="12"/>
      <c r="X1940" s="9" t="str">
        <f t="array" ref="X1940">IFERROR(INDEX('Адреса общежитий (скрытый)'!$B$2:$B$9, MATCH(W1940, 'Адреса общежитий (скрытый)'!$A$2:$A$9, 0)), "")</f>
        <v/>
      </c>
      <c r="Y1940" s="18"/>
      <c r="Z1940" s="18"/>
      <c r="AA1940" s="18"/>
      <c r="AB1940" s="18"/>
      <c r="AC1940" s="18"/>
    </row>
    <row r="1941" spans="1:29" ht="32.25" hidden="1" customHeight="1">
      <c r="A1941" s="17"/>
      <c r="B1941" s="9" t="s">
        <v>13284</v>
      </c>
      <c r="C1941" s="9" t="s">
        <v>13284</v>
      </c>
      <c r="D1941" s="9" t="s">
        <v>13284</v>
      </c>
      <c r="E1941" s="9" t="s">
        <v>13284</v>
      </c>
      <c r="F1941" s="9" t="s">
        <v>13284</v>
      </c>
      <c r="G1941" s="9" t="s">
        <v>13284</v>
      </c>
      <c r="H1941" s="9" t="s">
        <v>13284</v>
      </c>
      <c r="I1941" s="9" t="s">
        <v>13284</v>
      </c>
      <c r="J1941" s="9" t="s">
        <v>13284</v>
      </c>
      <c r="K1941" s="9" t="s">
        <v>13284</v>
      </c>
      <c r="L1941" s="9" t="s">
        <v>13284</v>
      </c>
      <c r="M1941" s="9" t="s">
        <v>13284</v>
      </c>
      <c r="N1941" s="9" t="s">
        <v>13284</v>
      </c>
      <c r="O1941" s="9" t="s">
        <v>13284</v>
      </c>
      <c r="P1941" s="9" t="s">
        <v>13284</v>
      </c>
      <c r="Q1941" s="9" t="s">
        <v>13284</v>
      </c>
      <c r="R1941" s="9" t="s">
        <v>13284</v>
      </c>
      <c r="S1941" s="9" t="s">
        <v>13284</v>
      </c>
      <c r="T1941" s="9" t="str">
        <f ca="1">IFERROR(IF(AND(VLOOKUP(A1941, 'Актуальное состояние (из общего'!A:C,3,0) = "", A1941 &lt;&gt; ""), "ПРОВЕРИТЬ", VLOOKUP(A1941, 'Актуальное состояние (из общего'!A:C,3,0)), "")</f>
        <v/>
      </c>
      <c r="U1941" s="9" t="s">
        <v>13284</v>
      </c>
      <c r="V1941" s="9" t="s">
        <v>13284</v>
      </c>
      <c r="W1941" s="12"/>
      <c r="X1941" s="9" t="str">
        <f t="array" ref="X1941">IFERROR(INDEX('Адреса общежитий (скрытый)'!$B$2:$B$9, MATCH(W1941, 'Адреса общежитий (скрытый)'!$A$2:$A$9, 0)), "")</f>
        <v/>
      </c>
      <c r="Y1941" s="18"/>
      <c r="Z1941" s="18"/>
      <c r="AA1941" s="18"/>
      <c r="AB1941" s="18"/>
      <c r="AC1941" s="18"/>
    </row>
    <row r="1942" spans="1:29" ht="32.25" hidden="1" customHeight="1">
      <c r="A1942" s="17"/>
      <c r="B1942" s="9" t="s">
        <v>13284</v>
      </c>
      <c r="C1942" s="9" t="s">
        <v>13284</v>
      </c>
      <c r="D1942" s="9" t="s">
        <v>13284</v>
      </c>
      <c r="E1942" s="9" t="s">
        <v>13284</v>
      </c>
      <c r="F1942" s="9" t="s">
        <v>13284</v>
      </c>
      <c r="G1942" s="9" t="s">
        <v>13284</v>
      </c>
      <c r="H1942" s="9" t="s">
        <v>13284</v>
      </c>
      <c r="I1942" s="9" t="s">
        <v>13284</v>
      </c>
      <c r="J1942" s="9" t="s">
        <v>13284</v>
      </c>
      <c r="K1942" s="9" t="s">
        <v>13284</v>
      </c>
      <c r="L1942" s="9" t="s">
        <v>13284</v>
      </c>
      <c r="M1942" s="9" t="s">
        <v>13284</v>
      </c>
      <c r="N1942" s="9" t="s">
        <v>13284</v>
      </c>
      <c r="O1942" s="9" t="s">
        <v>13284</v>
      </c>
      <c r="P1942" s="9" t="s">
        <v>13284</v>
      </c>
      <c r="Q1942" s="9" t="s">
        <v>13284</v>
      </c>
      <c r="R1942" s="9" t="s">
        <v>13284</v>
      </c>
      <c r="S1942" s="9" t="s">
        <v>13284</v>
      </c>
      <c r="T1942" s="9" t="str">
        <f ca="1">IFERROR(IF(AND(VLOOKUP(A1942, 'Актуальное состояние (из общего'!A:C,3,0) = "", A1942 &lt;&gt; ""), "ПРОВЕРИТЬ", VLOOKUP(A1942, 'Актуальное состояние (из общего'!A:C,3,0)), "")</f>
        <v/>
      </c>
      <c r="U1942" s="9" t="s">
        <v>13284</v>
      </c>
      <c r="V1942" s="9" t="s">
        <v>13284</v>
      </c>
      <c r="W1942" s="12"/>
      <c r="X1942" s="9" t="str">
        <f t="array" ref="X1942">IFERROR(INDEX('Адреса общежитий (скрытый)'!$B$2:$B$9, MATCH(W1942, 'Адреса общежитий (скрытый)'!$A$2:$A$9, 0)), "")</f>
        <v/>
      </c>
      <c r="Y1942" s="18"/>
      <c r="Z1942" s="18"/>
      <c r="AA1942" s="18"/>
      <c r="AB1942" s="18"/>
      <c r="AC1942" s="18"/>
    </row>
    <row r="1943" spans="1:29" ht="32.25" hidden="1" customHeight="1">
      <c r="A1943" s="17"/>
      <c r="B1943" s="9" t="s">
        <v>13284</v>
      </c>
      <c r="C1943" s="9" t="s">
        <v>13284</v>
      </c>
      <c r="D1943" s="9" t="s">
        <v>13284</v>
      </c>
      <c r="E1943" s="9" t="s">
        <v>13284</v>
      </c>
      <c r="F1943" s="9" t="s">
        <v>13284</v>
      </c>
      <c r="G1943" s="9" t="s">
        <v>13284</v>
      </c>
      <c r="H1943" s="9" t="s">
        <v>13284</v>
      </c>
      <c r="I1943" s="9" t="s">
        <v>13284</v>
      </c>
      <c r="J1943" s="9" t="s">
        <v>13284</v>
      </c>
      <c r="K1943" s="9" t="s">
        <v>13284</v>
      </c>
      <c r="L1943" s="9" t="s">
        <v>13284</v>
      </c>
      <c r="M1943" s="9" t="s">
        <v>13284</v>
      </c>
      <c r="N1943" s="9" t="s">
        <v>13284</v>
      </c>
      <c r="O1943" s="9" t="s">
        <v>13284</v>
      </c>
      <c r="P1943" s="9" t="s">
        <v>13284</v>
      </c>
      <c r="Q1943" s="9" t="s">
        <v>13284</v>
      </c>
      <c r="R1943" s="9" t="s">
        <v>13284</v>
      </c>
      <c r="S1943" s="9" t="s">
        <v>13284</v>
      </c>
      <c r="T1943" s="9" t="str">
        <f ca="1">IFERROR(IF(AND(VLOOKUP(A1943, 'Актуальное состояние (из общего'!A:C,3,0) = "", A1943 &lt;&gt; ""), "ПРОВЕРИТЬ", VLOOKUP(A1943, 'Актуальное состояние (из общего'!A:C,3,0)), "")</f>
        <v/>
      </c>
      <c r="U1943" s="9" t="s">
        <v>13284</v>
      </c>
      <c r="V1943" s="9" t="s">
        <v>13284</v>
      </c>
      <c r="W1943" s="12"/>
      <c r="X1943" s="9" t="str">
        <f t="array" ref="X1943">IFERROR(INDEX('Адреса общежитий (скрытый)'!$B$2:$B$9, MATCH(W1943, 'Адреса общежитий (скрытый)'!$A$2:$A$9, 0)), "")</f>
        <v/>
      </c>
      <c r="Y1943" s="18"/>
      <c r="Z1943" s="18"/>
      <c r="AA1943" s="18"/>
      <c r="AB1943" s="18"/>
      <c r="AC1943" s="18"/>
    </row>
    <row r="1944" spans="1:29" ht="32.25" hidden="1" customHeight="1">
      <c r="A1944" s="17"/>
      <c r="B1944" s="9" t="s">
        <v>13284</v>
      </c>
      <c r="C1944" s="9" t="s">
        <v>13284</v>
      </c>
      <c r="D1944" s="9" t="s">
        <v>13284</v>
      </c>
      <c r="E1944" s="9" t="s">
        <v>13284</v>
      </c>
      <c r="F1944" s="9" t="s">
        <v>13284</v>
      </c>
      <c r="G1944" s="9" t="s">
        <v>13284</v>
      </c>
      <c r="H1944" s="9" t="s">
        <v>13284</v>
      </c>
      <c r="I1944" s="9" t="s">
        <v>13284</v>
      </c>
      <c r="J1944" s="9" t="s">
        <v>13284</v>
      </c>
      <c r="K1944" s="9" t="s">
        <v>13284</v>
      </c>
      <c r="L1944" s="9" t="s">
        <v>13284</v>
      </c>
      <c r="M1944" s="9" t="s">
        <v>13284</v>
      </c>
      <c r="N1944" s="9" t="s">
        <v>13284</v>
      </c>
      <c r="O1944" s="9" t="s">
        <v>13284</v>
      </c>
      <c r="P1944" s="9" t="s">
        <v>13284</v>
      </c>
      <c r="Q1944" s="9" t="s">
        <v>13284</v>
      </c>
      <c r="R1944" s="9" t="s">
        <v>13284</v>
      </c>
      <c r="S1944" s="9" t="s">
        <v>13284</v>
      </c>
      <c r="T1944" s="9" t="str">
        <f ca="1">IFERROR(IF(AND(VLOOKUP(A1944, 'Актуальное состояние (из общего'!A:C,3,0) = "", A1944 &lt;&gt; ""), "ПРОВЕРИТЬ", VLOOKUP(A1944, 'Актуальное состояние (из общего'!A:C,3,0)), "")</f>
        <v/>
      </c>
      <c r="U1944" s="9" t="s">
        <v>13284</v>
      </c>
      <c r="V1944" s="9" t="s">
        <v>13284</v>
      </c>
      <c r="W1944" s="12"/>
      <c r="X1944" s="9" t="str">
        <f t="array" ref="X1944">IFERROR(INDEX('Адреса общежитий (скрытый)'!$B$2:$B$9, MATCH(W1944, 'Адреса общежитий (скрытый)'!$A$2:$A$9, 0)), "")</f>
        <v/>
      </c>
      <c r="Y1944" s="18"/>
      <c r="Z1944" s="18"/>
      <c r="AA1944" s="18"/>
      <c r="AB1944" s="18"/>
      <c r="AC1944" s="18"/>
    </row>
    <row r="1945" spans="1:29" ht="32.25" hidden="1" customHeight="1">
      <c r="A1945" s="17"/>
      <c r="B1945" s="9" t="s">
        <v>13284</v>
      </c>
      <c r="C1945" s="9" t="s">
        <v>13284</v>
      </c>
      <c r="D1945" s="9" t="s">
        <v>13284</v>
      </c>
      <c r="E1945" s="9" t="s">
        <v>13284</v>
      </c>
      <c r="F1945" s="9" t="s">
        <v>13284</v>
      </c>
      <c r="G1945" s="9" t="s">
        <v>13284</v>
      </c>
      <c r="H1945" s="9" t="s">
        <v>13284</v>
      </c>
      <c r="I1945" s="9" t="s">
        <v>13284</v>
      </c>
      <c r="J1945" s="9" t="s">
        <v>13284</v>
      </c>
      <c r="K1945" s="9" t="s">
        <v>13284</v>
      </c>
      <c r="L1945" s="9" t="s">
        <v>13284</v>
      </c>
      <c r="M1945" s="9" t="s">
        <v>13284</v>
      </c>
      <c r="N1945" s="9" t="s">
        <v>13284</v>
      </c>
      <c r="O1945" s="9" t="s">
        <v>13284</v>
      </c>
      <c r="P1945" s="9" t="s">
        <v>13284</v>
      </c>
      <c r="Q1945" s="9" t="s">
        <v>13284</v>
      </c>
      <c r="R1945" s="9" t="s">
        <v>13284</v>
      </c>
      <c r="S1945" s="9" t="s">
        <v>13284</v>
      </c>
      <c r="T1945" s="9" t="str">
        <f ca="1">IFERROR(IF(AND(VLOOKUP(A1945, 'Актуальное состояние (из общего'!A:C,3,0) = "", A1945 &lt;&gt; ""), "ПРОВЕРИТЬ", VLOOKUP(A1945, 'Актуальное состояние (из общего'!A:C,3,0)), "")</f>
        <v/>
      </c>
      <c r="U1945" s="9" t="s">
        <v>13284</v>
      </c>
      <c r="V1945" s="9" t="s">
        <v>13284</v>
      </c>
      <c r="W1945" s="12"/>
      <c r="X1945" s="9" t="str">
        <f t="array" ref="X1945">IFERROR(INDEX('Адреса общежитий (скрытый)'!$B$2:$B$9, MATCH(W1945, 'Адреса общежитий (скрытый)'!$A$2:$A$9, 0)), "")</f>
        <v/>
      </c>
      <c r="Y1945" s="18"/>
      <c r="Z1945" s="18"/>
      <c r="AA1945" s="18"/>
      <c r="AB1945" s="18"/>
      <c r="AC1945" s="18"/>
    </row>
    <row r="1946" spans="1:29" ht="32.25" hidden="1" customHeight="1">
      <c r="A1946" s="17"/>
      <c r="B1946" s="9" t="s">
        <v>13284</v>
      </c>
      <c r="C1946" s="9" t="s">
        <v>13284</v>
      </c>
      <c r="D1946" s="9" t="s">
        <v>13284</v>
      </c>
      <c r="E1946" s="9" t="s">
        <v>13284</v>
      </c>
      <c r="F1946" s="9" t="s">
        <v>13284</v>
      </c>
      <c r="G1946" s="9" t="s">
        <v>13284</v>
      </c>
      <c r="H1946" s="9" t="s">
        <v>13284</v>
      </c>
      <c r="I1946" s="9" t="s">
        <v>13284</v>
      </c>
      <c r="J1946" s="9" t="s">
        <v>13284</v>
      </c>
      <c r="K1946" s="9" t="s">
        <v>13284</v>
      </c>
      <c r="L1946" s="9" t="s">
        <v>13284</v>
      </c>
      <c r="M1946" s="9" t="s">
        <v>13284</v>
      </c>
      <c r="N1946" s="9" t="s">
        <v>13284</v>
      </c>
      <c r="O1946" s="9" t="s">
        <v>13284</v>
      </c>
      <c r="P1946" s="9" t="s">
        <v>13284</v>
      </c>
      <c r="Q1946" s="9" t="s">
        <v>13284</v>
      </c>
      <c r="R1946" s="9" t="s">
        <v>13284</v>
      </c>
      <c r="S1946" s="9" t="s">
        <v>13284</v>
      </c>
      <c r="T1946" s="9" t="str">
        <f ca="1">IFERROR(IF(AND(VLOOKUP(A1946, 'Актуальное состояние (из общего'!A:C,3,0) = "", A1946 &lt;&gt; ""), "ПРОВЕРИТЬ", VLOOKUP(A1946, 'Актуальное состояние (из общего'!A:C,3,0)), "")</f>
        <v/>
      </c>
      <c r="U1946" s="9" t="s">
        <v>13284</v>
      </c>
      <c r="V1946" s="9" t="s">
        <v>13284</v>
      </c>
      <c r="W1946" s="12"/>
      <c r="X1946" s="9" t="str">
        <f t="array" ref="X1946">IFERROR(INDEX('Адреса общежитий (скрытый)'!$B$2:$B$9, MATCH(W1946, 'Адреса общежитий (скрытый)'!$A$2:$A$9, 0)), "")</f>
        <v/>
      </c>
      <c r="Y1946" s="18"/>
      <c r="Z1946" s="18"/>
      <c r="AA1946" s="18"/>
      <c r="AB1946" s="18"/>
      <c r="AC1946" s="18"/>
    </row>
    <row r="1947" spans="1:29" ht="32.25" hidden="1" customHeight="1">
      <c r="A1947" s="17"/>
      <c r="B1947" s="9" t="s">
        <v>13284</v>
      </c>
      <c r="C1947" s="9" t="s">
        <v>13284</v>
      </c>
      <c r="D1947" s="9" t="s">
        <v>13284</v>
      </c>
      <c r="E1947" s="9" t="s">
        <v>13284</v>
      </c>
      <c r="F1947" s="9" t="s">
        <v>13284</v>
      </c>
      <c r="G1947" s="9" t="s">
        <v>13284</v>
      </c>
      <c r="H1947" s="9" t="s">
        <v>13284</v>
      </c>
      <c r="I1947" s="9" t="s">
        <v>13284</v>
      </c>
      <c r="J1947" s="9" t="s">
        <v>13284</v>
      </c>
      <c r="K1947" s="9" t="s">
        <v>13284</v>
      </c>
      <c r="L1947" s="9" t="s">
        <v>13284</v>
      </c>
      <c r="M1947" s="9" t="s">
        <v>13284</v>
      </c>
      <c r="N1947" s="9" t="s">
        <v>13284</v>
      </c>
      <c r="O1947" s="9" t="s">
        <v>13284</v>
      </c>
      <c r="P1947" s="9" t="s">
        <v>13284</v>
      </c>
      <c r="Q1947" s="9" t="s">
        <v>13284</v>
      </c>
      <c r="R1947" s="9" t="s">
        <v>13284</v>
      </c>
      <c r="S1947" s="9" t="s">
        <v>13284</v>
      </c>
      <c r="T1947" s="9" t="str">
        <f ca="1">IFERROR(IF(AND(VLOOKUP(A1947, 'Актуальное состояние (из общего'!A:C,3,0) = "", A1947 &lt;&gt; ""), "ПРОВЕРИТЬ", VLOOKUP(A1947, 'Актуальное состояние (из общего'!A:C,3,0)), "")</f>
        <v/>
      </c>
      <c r="U1947" s="9" t="s">
        <v>13284</v>
      </c>
      <c r="V1947" s="9" t="s">
        <v>13284</v>
      </c>
      <c r="W1947" s="12"/>
      <c r="X1947" s="9" t="str">
        <f t="array" ref="X1947">IFERROR(INDEX('Адреса общежитий (скрытый)'!$B$2:$B$9, MATCH(W1947, 'Адреса общежитий (скрытый)'!$A$2:$A$9, 0)), "")</f>
        <v/>
      </c>
      <c r="Y1947" s="18"/>
      <c r="Z1947" s="18"/>
      <c r="AA1947" s="18"/>
      <c r="AB1947" s="18"/>
      <c r="AC1947" s="18"/>
    </row>
    <row r="1948" spans="1:29" ht="32.25" hidden="1" customHeight="1">
      <c r="A1948" s="17"/>
      <c r="B1948" s="9" t="s">
        <v>13284</v>
      </c>
      <c r="C1948" s="9" t="s">
        <v>13284</v>
      </c>
      <c r="D1948" s="9" t="s">
        <v>13284</v>
      </c>
      <c r="E1948" s="9" t="s">
        <v>13284</v>
      </c>
      <c r="F1948" s="9" t="s">
        <v>13284</v>
      </c>
      <c r="G1948" s="9" t="s">
        <v>13284</v>
      </c>
      <c r="H1948" s="9" t="s">
        <v>13284</v>
      </c>
      <c r="I1948" s="9" t="s">
        <v>13284</v>
      </c>
      <c r="J1948" s="9" t="s">
        <v>13284</v>
      </c>
      <c r="K1948" s="9" t="s">
        <v>13284</v>
      </c>
      <c r="L1948" s="9" t="s">
        <v>13284</v>
      </c>
      <c r="M1948" s="9" t="s">
        <v>13284</v>
      </c>
      <c r="N1948" s="9" t="s">
        <v>13284</v>
      </c>
      <c r="O1948" s="9" t="s">
        <v>13284</v>
      </c>
      <c r="P1948" s="9" t="s">
        <v>13284</v>
      </c>
      <c r="Q1948" s="9" t="s">
        <v>13284</v>
      </c>
      <c r="R1948" s="9" t="s">
        <v>13284</v>
      </c>
      <c r="S1948" s="9" t="s">
        <v>13284</v>
      </c>
      <c r="T1948" s="9" t="str">
        <f ca="1">IFERROR(IF(AND(VLOOKUP(A1948, 'Актуальное состояние (из общего'!A:C,3,0) = "", A1948 &lt;&gt; ""), "ПРОВЕРИТЬ", VLOOKUP(A1948, 'Актуальное состояние (из общего'!A:C,3,0)), "")</f>
        <v/>
      </c>
      <c r="U1948" s="9" t="s">
        <v>13284</v>
      </c>
      <c r="V1948" s="9" t="s">
        <v>13284</v>
      </c>
      <c r="W1948" s="12"/>
      <c r="X1948" s="9" t="str">
        <f t="array" ref="X1948">IFERROR(INDEX('Адреса общежитий (скрытый)'!$B$2:$B$9, MATCH(W1948, 'Адреса общежитий (скрытый)'!$A$2:$A$9, 0)), "")</f>
        <v/>
      </c>
      <c r="Y1948" s="18"/>
      <c r="Z1948" s="18"/>
      <c r="AA1948" s="18"/>
      <c r="AB1948" s="18"/>
      <c r="AC1948" s="18"/>
    </row>
    <row r="1949" spans="1:29" ht="32.25" hidden="1" customHeight="1">
      <c r="A1949" s="17"/>
      <c r="B1949" s="9" t="s">
        <v>13284</v>
      </c>
      <c r="C1949" s="9" t="s">
        <v>13284</v>
      </c>
      <c r="D1949" s="9" t="s">
        <v>13284</v>
      </c>
      <c r="E1949" s="9" t="s">
        <v>13284</v>
      </c>
      <c r="F1949" s="9" t="s">
        <v>13284</v>
      </c>
      <c r="G1949" s="9" t="s">
        <v>13284</v>
      </c>
      <c r="H1949" s="9" t="s">
        <v>13284</v>
      </c>
      <c r="I1949" s="9" t="s">
        <v>13284</v>
      </c>
      <c r="J1949" s="9" t="s">
        <v>13284</v>
      </c>
      <c r="K1949" s="9" t="s">
        <v>13284</v>
      </c>
      <c r="L1949" s="9" t="s">
        <v>13284</v>
      </c>
      <c r="M1949" s="9" t="s">
        <v>13284</v>
      </c>
      <c r="N1949" s="9" t="s">
        <v>13284</v>
      </c>
      <c r="O1949" s="9" t="s">
        <v>13284</v>
      </c>
      <c r="P1949" s="9" t="s">
        <v>13284</v>
      </c>
      <c r="Q1949" s="9" t="s">
        <v>13284</v>
      </c>
      <c r="R1949" s="9" t="s">
        <v>13284</v>
      </c>
      <c r="S1949" s="9" t="s">
        <v>13284</v>
      </c>
      <c r="T1949" s="9" t="str">
        <f ca="1">IFERROR(IF(AND(VLOOKUP(A1949, 'Актуальное состояние (из общего'!A:C,3,0) = "", A1949 &lt;&gt; ""), "ПРОВЕРИТЬ", VLOOKUP(A1949, 'Актуальное состояние (из общего'!A:C,3,0)), "")</f>
        <v/>
      </c>
      <c r="U1949" s="9" t="s">
        <v>13284</v>
      </c>
      <c r="V1949" s="9" t="s">
        <v>13284</v>
      </c>
      <c r="W1949" s="12"/>
      <c r="X1949" s="9" t="str">
        <f t="array" ref="X1949">IFERROR(INDEX('Адреса общежитий (скрытый)'!$B$2:$B$9, MATCH(W1949, 'Адреса общежитий (скрытый)'!$A$2:$A$9, 0)), "")</f>
        <v/>
      </c>
      <c r="Y1949" s="18"/>
      <c r="Z1949" s="18"/>
      <c r="AA1949" s="18"/>
      <c r="AB1949" s="18"/>
      <c r="AC1949" s="18"/>
    </row>
    <row r="1950" spans="1:29" ht="32.25" hidden="1" customHeight="1">
      <c r="A1950" s="17"/>
      <c r="B1950" s="9" t="s">
        <v>13284</v>
      </c>
      <c r="C1950" s="9" t="s">
        <v>13284</v>
      </c>
      <c r="D1950" s="9" t="s">
        <v>13284</v>
      </c>
      <c r="E1950" s="9" t="s">
        <v>13284</v>
      </c>
      <c r="F1950" s="9" t="s">
        <v>13284</v>
      </c>
      <c r="G1950" s="9" t="s">
        <v>13284</v>
      </c>
      <c r="H1950" s="9" t="s">
        <v>13284</v>
      </c>
      <c r="I1950" s="9" t="s">
        <v>13284</v>
      </c>
      <c r="J1950" s="9" t="s">
        <v>13284</v>
      </c>
      <c r="K1950" s="9" t="s">
        <v>13284</v>
      </c>
      <c r="L1950" s="9" t="s">
        <v>13284</v>
      </c>
      <c r="M1950" s="9" t="s">
        <v>13284</v>
      </c>
      <c r="N1950" s="9" t="s">
        <v>13284</v>
      </c>
      <c r="O1950" s="9" t="s">
        <v>13284</v>
      </c>
      <c r="P1950" s="9" t="s">
        <v>13284</v>
      </c>
      <c r="Q1950" s="9" t="s">
        <v>13284</v>
      </c>
      <c r="R1950" s="9" t="s">
        <v>13284</v>
      </c>
      <c r="S1950" s="9" t="s">
        <v>13284</v>
      </c>
      <c r="T1950" s="9" t="str">
        <f ca="1">IFERROR(IF(AND(VLOOKUP(A1950, 'Актуальное состояние (из общего'!A:C,3,0) = "", A1950 &lt;&gt; ""), "ПРОВЕРИТЬ", VLOOKUP(A1950, 'Актуальное состояние (из общего'!A:C,3,0)), "")</f>
        <v/>
      </c>
      <c r="U1950" s="9" t="s">
        <v>13284</v>
      </c>
      <c r="V1950" s="9" t="s">
        <v>13284</v>
      </c>
      <c r="W1950" s="12"/>
      <c r="X1950" s="9" t="str">
        <f t="array" ref="X1950">IFERROR(INDEX('Адреса общежитий (скрытый)'!$B$2:$B$9, MATCH(W1950, 'Адреса общежитий (скрытый)'!$A$2:$A$9, 0)), "")</f>
        <v/>
      </c>
      <c r="Y1950" s="18"/>
      <c r="Z1950" s="18"/>
      <c r="AA1950" s="18"/>
      <c r="AB1950" s="18"/>
      <c r="AC1950" s="18"/>
    </row>
    <row r="1951" spans="1:29" ht="32.25" hidden="1" customHeight="1">
      <c r="A1951" s="17"/>
      <c r="B1951" s="9" t="s">
        <v>13284</v>
      </c>
      <c r="C1951" s="9" t="s">
        <v>13284</v>
      </c>
      <c r="D1951" s="9" t="s">
        <v>13284</v>
      </c>
      <c r="E1951" s="9" t="s">
        <v>13284</v>
      </c>
      <c r="F1951" s="9" t="s">
        <v>13284</v>
      </c>
      <c r="G1951" s="9" t="s">
        <v>13284</v>
      </c>
      <c r="H1951" s="9" t="s">
        <v>13284</v>
      </c>
      <c r="I1951" s="9" t="s">
        <v>13284</v>
      </c>
      <c r="J1951" s="9" t="s">
        <v>13284</v>
      </c>
      <c r="K1951" s="9" t="s">
        <v>13284</v>
      </c>
      <c r="L1951" s="9" t="s">
        <v>13284</v>
      </c>
      <c r="M1951" s="9" t="s">
        <v>13284</v>
      </c>
      <c r="N1951" s="9" t="s">
        <v>13284</v>
      </c>
      <c r="O1951" s="9" t="s">
        <v>13284</v>
      </c>
      <c r="P1951" s="9" t="s">
        <v>13284</v>
      </c>
      <c r="Q1951" s="9" t="s">
        <v>13284</v>
      </c>
      <c r="R1951" s="9" t="s">
        <v>13284</v>
      </c>
      <c r="S1951" s="9" t="s">
        <v>13284</v>
      </c>
      <c r="T1951" s="9" t="str">
        <f ca="1">IFERROR(IF(AND(VLOOKUP(A1951, 'Актуальное состояние (из общего'!A:C,3,0) = "", A1951 &lt;&gt; ""), "ПРОВЕРИТЬ", VLOOKUP(A1951, 'Актуальное состояние (из общего'!A:C,3,0)), "")</f>
        <v/>
      </c>
      <c r="U1951" s="9" t="s">
        <v>13284</v>
      </c>
      <c r="V1951" s="9" t="s">
        <v>13284</v>
      </c>
      <c r="W1951" s="12"/>
      <c r="X1951" s="9" t="str">
        <f t="array" ref="X1951">IFERROR(INDEX('Адреса общежитий (скрытый)'!$B$2:$B$9, MATCH(W1951, 'Адреса общежитий (скрытый)'!$A$2:$A$9, 0)), "")</f>
        <v/>
      </c>
      <c r="Y1951" s="18"/>
      <c r="Z1951" s="18"/>
      <c r="AA1951" s="18"/>
      <c r="AB1951" s="18"/>
      <c r="AC1951" s="18"/>
    </row>
    <row r="1952" spans="1:29" ht="32.25" hidden="1" customHeight="1">
      <c r="A1952" s="17"/>
      <c r="B1952" s="9" t="s">
        <v>13284</v>
      </c>
      <c r="C1952" s="9" t="s">
        <v>13284</v>
      </c>
      <c r="D1952" s="9" t="s">
        <v>13284</v>
      </c>
      <c r="E1952" s="9" t="s">
        <v>13284</v>
      </c>
      <c r="F1952" s="9" t="s">
        <v>13284</v>
      </c>
      <c r="G1952" s="9" t="s">
        <v>13284</v>
      </c>
      <c r="H1952" s="9" t="s">
        <v>13284</v>
      </c>
      <c r="I1952" s="9" t="s">
        <v>13284</v>
      </c>
      <c r="J1952" s="9" t="s">
        <v>13284</v>
      </c>
      <c r="K1952" s="9" t="s">
        <v>13284</v>
      </c>
      <c r="L1952" s="9" t="s">
        <v>13284</v>
      </c>
      <c r="M1952" s="9" t="s">
        <v>13284</v>
      </c>
      <c r="N1952" s="9" t="s">
        <v>13284</v>
      </c>
      <c r="O1952" s="9" t="s">
        <v>13284</v>
      </c>
      <c r="P1952" s="9" t="s">
        <v>13284</v>
      </c>
      <c r="Q1952" s="9" t="s">
        <v>13284</v>
      </c>
      <c r="R1952" s="9" t="s">
        <v>13284</v>
      </c>
      <c r="S1952" s="9" t="s">
        <v>13284</v>
      </c>
      <c r="T1952" s="9" t="str">
        <f ca="1">IFERROR(IF(AND(VLOOKUP(A1952, 'Актуальное состояние (из общего'!A:C,3,0) = "", A1952 &lt;&gt; ""), "ПРОВЕРИТЬ", VLOOKUP(A1952, 'Актуальное состояние (из общего'!A:C,3,0)), "")</f>
        <v/>
      </c>
      <c r="U1952" s="9" t="s">
        <v>13284</v>
      </c>
      <c r="V1952" s="9" t="s">
        <v>13284</v>
      </c>
      <c r="W1952" s="12"/>
      <c r="X1952" s="9" t="str">
        <f t="array" ref="X1952">IFERROR(INDEX('Адреса общежитий (скрытый)'!$B$2:$B$9, MATCH(W1952, 'Адреса общежитий (скрытый)'!$A$2:$A$9, 0)), "")</f>
        <v/>
      </c>
      <c r="Y1952" s="18"/>
      <c r="Z1952" s="18"/>
      <c r="AA1952" s="18"/>
      <c r="AB1952" s="18"/>
      <c r="AC1952" s="18"/>
    </row>
    <row r="1953" spans="1:29" ht="32.25" hidden="1" customHeight="1">
      <c r="A1953" s="17"/>
      <c r="B1953" s="9" t="s">
        <v>13284</v>
      </c>
      <c r="C1953" s="9" t="s">
        <v>13284</v>
      </c>
      <c r="D1953" s="9" t="s">
        <v>13284</v>
      </c>
      <c r="E1953" s="9" t="s">
        <v>13284</v>
      </c>
      <c r="F1953" s="9" t="s">
        <v>13284</v>
      </c>
      <c r="G1953" s="9" t="s">
        <v>13284</v>
      </c>
      <c r="H1953" s="9" t="s">
        <v>13284</v>
      </c>
      <c r="I1953" s="9" t="s">
        <v>13284</v>
      </c>
      <c r="J1953" s="9" t="s">
        <v>13284</v>
      </c>
      <c r="K1953" s="9" t="s">
        <v>13284</v>
      </c>
      <c r="L1953" s="9" t="s">
        <v>13284</v>
      </c>
      <c r="M1953" s="9" t="s">
        <v>13284</v>
      </c>
      <c r="N1953" s="9" t="s">
        <v>13284</v>
      </c>
      <c r="O1953" s="9" t="s">
        <v>13284</v>
      </c>
      <c r="P1953" s="9" t="s">
        <v>13284</v>
      </c>
      <c r="Q1953" s="9" t="s">
        <v>13284</v>
      </c>
      <c r="R1953" s="9" t="s">
        <v>13284</v>
      </c>
      <c r="S1953" s="9" t="s">
        <v>13284</v>
      </c>
      <c r="T1953" s="9" t="str">
        <f ca="1">IFERROR(IF(AND(VLOOKUP(A1953, 'Актуальное состояние (из общего'!A:C,3,0) = "", A1953 &lt;&gt; ""), "ПРОВЕРИТЬ", VLOOKUP(A1953, 'Актуальное состояние (из общего'!A:C,3,0)), "")</f>
        <v/>
      </c>
      <c r="U1953" s="9" t="s">
        <v>13284</v>
      </c>
      <c r="V1953" s="9" t="s">
        <v>13284</v>
      </c>
      <c r="W1953" s="12"/>
      <c r="X1953" s="9" t="str">
        <f t="array" ref="X1953">IFERROR(INDEX('Адреса общежитий (скрытый)'!$B$2:$B$9, MATCH(W1953, 'Адреса общежитий (скрытый)'!$A$2:$A$9, 0)), "")</f>
        <v/>
      </c>
      <c r="Y1953" s="18"/>
      <c r="Z1953" s="18"/>
      <c r="AA1953" s="18"/>
      <c r="AB1953" s="18"/>
      <c r="AC1953" s="18"/>
    </row>
    <row r="1954" spans="1:29" ht="32.25" hidden="1" customHeight="1">
      <c r="A1954" s="17"/>
      <c r="B1954" s="9" t="s">
        <v>13284</v>
      </c>
      <c r="C1954" s="9" t="s">
        <v>13284</v>
      </c>
      <c r="D1954" s="9" t="s">
        <v>13284</v>
      </c>
      <c r="E1954" s="9" t="s">
        <v>13284</v>
      </c>
      <c r="F1954" s="9" t="s">
        <v>13284</v>
      </c>
      <c r="G1954" s="9" t="s">
        <v>13284</v>
      </c>
      <c r="H1954" s="9" t="s">
        <v>13284</v>
      </c>
      <c r="I1954" s="9" t="s">
        <v>13284</v>
      </c>
      <c r="J1954" s="9" t="s">
        <v>13284</v>
      </c>
      <c r="K1954" s="9" t="s">
        <v>13284</v>
      </c>
      <c r="L1954" s="9" t="s">
        <v>13284</v>
      </c>
      <c r="M1954" s="9" t="s">
        <v>13284</v>
      </c>
      <c r="N1954" s="9" t="s">
        <v>13284</v>
      </c>
      <c r="O1954" s="9" t="s">
        <v>13284</v>
      </c>
      <c r="P1954" s="9" t="s">
        <v>13284</v>
      </c>
      <c r="Q1954" s="9" t="s">
        <v>13284</v>
      </c>
      <c r="R1954" s="9" t="s">
        <v>13284</v>
      </c>
      <c r="S1954" s="9" t="s">
        <v>13284</v>
      </c>
      <c r="T1954" s="9" t="str">
        <f ca="1">IFERROR(IF(AND(VLOOKUP(A1954, 'Актуальное состояние (из общего'!A:C,3,0) = "", A1954 &lt;&gt; ""), "ПРОВЕРИТЬ", VLOOKUP(A1954, 'Актуальное состояние (из общего'!A:C,3,0)), "")</f>
        <v/>
      </c>
      <c r="U1954" s="9" t="s">
        <v>13284</v>
      </c>
      <c r="V1954" s="9" t="s">
        <v>13284</v>
      </c>
      <c r="W1954" s="12"/>
      <c r="X1954" s="9" t="str">
        <f t="array" ref="X1954">IFERROR(INDEX('Адреса общежитий (скрытый)'!$B$2:$B$9, MATCH(W1954, 'Адреса общежитий (скрытый)'!$A$2:$A$9, 0)), "")</f>
        <v/>
      </c>
      <c r="Y1954" s="18"/>
      <c r="Z1954" s="18"/>
      <c r="AA1954" s="18"/>
      <c r="AB1954" s="18"/>
      <c r="AC1954" s="18"/>
    </row>
    <row r="1955" spans="1:29" ht="32.25" hidden="1" customHeight="1">
      <c r="A1955" s="17"/>
      <c r="B1955" s="9" t="s">
        <v>13284</v>
      </c>
      <c r="C1955" s="9" t="s">
        <v>13284</v>
      </c>
      <c r="D1955" s="9" t="s">
        <v>13284</v>
      </c>
      <c r="E1955" s="9" t="s">
        <v>13284</v>
      </c>
      <c r="F1955" s="9" t="s">
        <v>13284</v>
      </c>
      <c r="G1955" s="9" t="s">
        <v>13284</v>
      </c>
      <c r="H1955" s="9" t="s">
        <v>13284</v>
      </c>
      <c r="I1955" s="9" t="s">
        <v>13284</v>
      </c>
      <c r="J1955" s="9" t="s">
        <v>13284</v>
      </c>
      <c r="K1955" s="9" t="s">
        <v>13284</v>
      </c>
      <c r="L1955" s="9" t="s">
        <v>13284</v>
      </c>
      <c r="M1955" s="9" t="s">
        <v>13284</v>
      </c>
      <c r="N1955" s="9" t="s">
        <v>13284</v>
      </c>
      <c r="O1955" s="9" t="s">
        <v>13284</v>
      </c>
      <c r="P1955" s="9" t="s">
        <v>13284</v>
      </c>
      <c r="Q1955" s="9" t="s">
        <v>13284</v>
      </c>
      <c r="R1955" s="9" t="s">
        <v>13284</v>
      </c>
      <c r="S1955" s="9" t="s">
        <v>13284</v>
      </c>
      <c r="T1955" s="9" t="str">
        <f ca="1">IFERROR(IF(AND(VLOOKUP(A1955, 'Актуальное состояние (из общего'!A:C,3,0) = "", A1955 &lt;&gt; ""), "ПРОВЕРИТЬ", VLOOKUP(A1955, 'Актуальное состояние (из общего'!A:C,3,0)), "")</f>
        <v/>
      </c>
      <c r="U1955" s="9" t="s">
        <v>13284</v>
      </c>
      <c r="V1955" s="9" t="s">
        <v>13284</v>
      </c>
      <c r="W1955" s="12"/>
      <c r="X1955" s="9" t="str">
        <f t="array" ref="X1955">IFERROR(INDEX('Адреса общежитий (скрытый)'!$B$2:$B$9, MATCH(W1955, 'Адреса общежитий (скрытый)'!$A$2:$A$9, 0)), "")</f>
        <v/>
      </c>
      <c r="Y1955" s="18"/>
      <c r="Z1955" s="18"/>
      <c r="AA1955" s="18"/>
      <c r="AB1955" s="18"/>
      <c r="AC1955" s="18"/>
    </row>
    <row r="1956" spans="1:29" ht="32.25" hidden="1" customHeight="1">
      <c r="A1956" s="17"/>
      <c r="B1956" s="9" t="s">
        <v>13284</v>
      </c>
      <c r="C1956" s="9" t="s">
        <v>13284</v>
      </c>
      <c r="D1956" s="9" t="s">
        <v>13284</v>
      </c>
      <c r="E1956" s="9" t="s">
        <v>13284</v>
      </c>
      <c r="F1956" s="9" t="s">
        <v>13284</v>
      </c>
      <c r="G1956" s="9" t="s">
        <v>13284</v>
      </c>
      <c r="H1956" s="9" t="s">
        <v>13284</v>
      </c>
      <c r="I1956" s="9" t="s">
        <v>13284</v>
      </c>
      <c r="J1956" s="9" t="s">
        <v>13284</v>
      </c>
      <c r="K1956" s="9" t="s">
        <v>13284</v>
      </c>
      <c r="L1956" s="9" t="s">
        <v>13284</v>
      </c>
      <c r="M1956" s="9" t="s">
        <v>13284</v>
      </c>
      <c r="N1956" s="9" t="s">
        <v>13284</v>
      </c>
      <c r="O1956" s="9" t="s">
        <v>13284</v>
      </c>
      <c r="P1956" s="9" t="s">
        <v>13284</v>
      </c>
      <c r="Q1956" s="9" t="s">
        <v>13284</v>
      </c>
      <c r="R1956" s="9" t="s">
        <v>13284</v>
      </c>
      <c r="S1956" s="9" t="s">
        <v>13284</v>
      </c>
      <c r="T1956" s="9" t="str">
        <f ca="1">IFERROR(IF(AND(VLOOKUP(A1956, 'Актуальное состояние (из общего'!A:C,3,0) = "", A1956 &lt;&gt; ""), "ПРОВЕРИТЬ", VLOOKUP(A1956, 'Актуальное состояние (из общего'!A:C,3,0)), "")</f>
        <v/>
      </c>
      <c r="U1956" s="9" t="s">
        <v>13284</v>
      </c>
      <c r="V1956" s="9" t="s">
        <v>13284</v>
      </c>
      <c r="W1956" s="12"/>
      <c r="X1956" s="9" t="str">
        <f t="array" ref="X1956">IFERROR(INDEX('Адреса общежитий (скрытый)'!$B$2:$B$9, MATCH(W1956, 'Адреса общежитий (скрытый)'!$A$2:$A$9, 0)), "")</f>
        <v/>
      </c>
      <c r="Y1956" s="18"/>
      <c r="Z1956" s="18"/>
      <c r="AA1956" s="18"/>
      <c r="AB1956" s="18"/>
      <c r="AC1956" s="18"/>
    </row>
    <row r="1957" spans="1:29" ht="32.25" hidden="1" customHeight="1">
      <c r="A1957" s="17"/>
      <c r="B1957" s="9" t="s">
        <v>13284</v>
      </c>
      <c r="C1957" s="9" t="s">
        <v>13284</v>
      </c>
      <c r="D1957" s="9" t="s">
        <v>13284</v>
      </c>
      <c r="E1957" s="9" t="s">
        <v>13284</v>
      </c>
      <c r="F1957" s="9" t="s">
        <v>13284</v>
      </c>
      <c r="G1957" s="9" t="s">
        <v>13284</v>
      </c>
      <c r="H1957" s="9" t="s">
        <v>13284</v>
      </c>
      <c r="I1957" s="9" t="s">
        <v>13284</v>
      </c>
      <c r="J1957" s="9" t="s">
        <v>13284</v>
      </c>
      <c r="K1957" s="9" t="s">
        <v>13284</v>
      </c>
      <c r="L1957" s="9" t="s">
        <v>13284</v>
      </c>
      <c r="M1957" s="9" t="s">
        <v>13284</v>
      </c>
      <c r="N1957" s="9" t="s">
        <v>13284</v>
      </c>
      <c r="O1957" s="9" t="s">
        <v>13284</v>
      </c>
      <c r="P1957" s="9" t="s">
        <v>13284</v>
      </c>
      <c r="Q1957" s="9" t="s">
        <v>13284</v>
      </c>
      <c r="R1957" s="9" t="s">
        <v>13284</v>
      </c>
      <c r="S1957" s="9" t="s">
        <v>13284</v>
      </c>
      <c r="T1957" s="9" t="str">
        <f ca="1">IFERROR(IF(AND(VLOOKUP(A1957, 'Актуальное состояние (из общего'!A:C,3,0) = "", A1957 &lt;&gt; ""), "ПРОВЕРИТЬ", VLOOKUP(A1957, 'Актуальное состояние (из общего'!A:C,3,0)), "")</f>
        <v/>
      </c>
      <c r="U1957" s="9" t="s">
        <v>13284</v>
      </c>
      <c r="V1957" s="9" t="s">
        <v>13284</v>
      </c>
      <c r="W1957" s="12"/>
      <c r="X1957" s="9" t="str">
        <f t="array" ref="X1957">IFERROR(INDEX('Адреса общежитий (скрытый)'!$B$2:$B$9, MATCH(W1957, 'Адреса общежитий (скрытый)'!$A$2:$A$9, 0)), "")</f>
        <v/>
      </c>
      <c r="Y1957" s="18"/>
      <c r="Z1957" s="18"/>
      <c r="AA1957" s="18"/>
      <c r="AB1957" s="18"/>
      <c r="AC1957" s="18"/>
    </row>
    <row r="1958" spans="1:29" ht="32.25" hidden="1" customHeight="1">
      <c r="A1958" s="17"/>
      <c r="B1958" s="9" t="s">
        <v>13284</v>
      </c>
      <c r="C1958" s="9" t="s">
        <v>13284</v>
      </c>
      <c r="D1958" s="9" t="s">
        <v>13284</v>
      </c>
      <c r="E1958" s="9" t="s">
        <v>13284</v>
      </c>
      <c r="F1958" s="9" t="s">
        <v>13284</v>
      </c>
      <c r="G1958" s="9" t="s">
        <v>13284</v>
      </c>
      <c r="H1958" s="9" t="s">
        <v>13284</v>
      </c>
      <c r="I1958" s="9" t="s">
        <v>13284</v>
      </c>
      <c r="J1958" s="9" t="s">
        <v>13284</v>
      </c>
      <c r="K1958" s="9" t="s">
        <v>13284</v>
      </c>
      <c r="L1958" s="9" t="s">
        <v>13284</v>
      </c>
      <c r="M1958" s="9" t="s">
        <v>13284</v>
      </c>
      <c r="N1958" s="9" t="s">
        <v>13284</v>
      </c>
      <c r="O1958" s="9" t="s">
        <v>13284</v>
      </c>
      <c r="P1958" s="9" t="s">
        <v>13284</v>
      </c>
      <c r="Q1958" s="9" t="s">
        <v>13284</v>
      </c>
      <c r="R1958" s="9" t="s">
        <v>13284</v>
      </c>
      <c r="S1958" s="9" t="s">
        <v>13284</v>
      </c>
      <c r="T1958" s="9" t="str">
        <f ca="1">IFERROR(IF(AND(VLOOKUP(A1958, 'Актуальное состояние (из общего'!A:C,3,0) = "", A1958 &lt;&gt; ""), "ПРОВЕРИТЬ", VLOOKUP(A1958, 'Актуальное состояние (из общего'!A:C,3,0)), "")</f>
        <v/>
      </c>
      <c r="U1958" s="9" t="s">
        <v>13284</v>
      </c>
      <c r="V1958" s="9" t="s">
        <v>13284</v>
      </c>
      <c r="W1958" s="12"/>
      <c r="X1958" s="9" t="str">
        <f t="array" ref="X1958">IFERROR(INDEX('Адреса общежитий (скрытый)'!$B$2:$B$9, MATCH(W1958, 'Адреса общежитий (скрытый)'!$A$2:$A$9, 0)), "")</f>
        <v/>
      </c>
      <c r="Y1958" s="18"/>
      <c r="Z1958" s="18"/>
      <c r="AA1958" s="18"/>
      <c r="AB1958" s="18"/>
      <c r="AC1958" s="18"/>
    </row>
    <row r="1959" spans="1:29" ht="32.25" hidden="1" customHeight="1">
      <c r="A1959" s="17"/>
      <c r="B1959" s="9" t="s">
        <v>13284</v>
      </c>
      <c r="C1959" s="9" t="s">
        <v>13284</v>
      </c>
      <c r="D1959" s="9" t="s">
        <v>13284</v>
      </c>
      <c r="E1959" s="9" t="s">
        <v>13284</v>
      </c>
      <c r="F1959" s="9" t="s">
        <v>13284</v>
      </c>
      <c r="G1959" s="9" t="s">
        <v>13284</v>
      </c>
      <c r="H1959" s="9" t="s">
        <v>13284</v>
      </c>
      <c r="I1959" s="9" t="s">
        <v>13284</v>
      </c>
      <c r="J1959" s="9" t="s">
        <v>13284</v>
      </c>
      <c r="K1959" s="9" t="s">
        <v>13284</v>
      </c>
      <c r="L1959" s="9" t="s">
        <v>13284</v>
      </c>
      <c r="M1959" s="9" t="s">
        <v>13284</v>
      </c>
      <c r="N1959" s="9" t="s">
        <v>13284</v>
      </c>
      <c r="O1959" s="9" t="s">
        <v>13284</v>
      </c>
      <c r="P1959" s="9" t="s">
        <v>13284</v>
      </c>
      <c r="Q1959" s="9" t="s">
        <v>13284</v>
      </c>
      <c r="R1959" s="9" t="s">
        <v>13284</v>
      </c>
      <c r="S1959" s="9" t="s">
        <v>13284</v>
      </c>
      <c r="T1959" s="9" t="str">
        <f ca="1">IFERROR(IF(AND(VLOOKUP(A1959, 'Актуальное состояние (из общего'!A:C,3,0) = "", A1959 &lt;&gt; ""), "ПРОВЕРИТЬ", VLOOKUP(A1959, 'Актуальное состояние (из общего'!A:C,3,0)), "")</f>
        <v/>
      </c>
      <c r="U1959" s="9" t="s">
        <v>13284</v>
      </c>
      <c r="V1959" s="9" t="s">
        <v>13284</v>
      </c>
      <c r="W1959" s="12"/>
      <c r="X1959" s="9" t="str">
        <f t="array" ref="X1959">IFERROR(INDEX('Адреса общежитий (скрытый)'!$B$2:$B$9, MATCH(W1959, 'Адреса общежитий (скрытый)'!$A$2:$A$9, 0)), "")</f>
        <v/>
      </c>
      <c r="Y1959" s="18"/>
      <c r="Z1959" s="18"/>
      <c r="AA1959" s="18"/>
      <c r="AB1959" s="18"/>
      <c r="AC1959" s="18"/>
    </row>
    <row r="1960" spans="1:29" ht="32.25" hidden="1" customHeight="1">
      <c r="A1960" s="17"/>
      <c r="B1960" s="9" t="s">
        <v>13284</v>
      </c>
      <c r="C1960" s="9" t="s">
        <v>13284</v>
      </c>
      <c r="D1960" s="9" t="s">
        <v>13284</v>
      </c>
      <c r="E1960" s="9" t="s">
        <v>13284</v>
      </c>
      <c r="F1960" s="9" t="s">
        <v>13284</v>
      </c>
      <c r="G1960" s="9" t="s">
        <v>13284</v>
      </c>
      <c r="H1960" s="9" t="s">
        <v>13284</v>
      </c>
      <c r="I1960" s="9" t="s">
        <v>13284</v>
      </c>
      <c r="J1960" s="9" t="s">
        <v>13284</v>
      </c>
      <c r="K1960" s="9" t="s">
        <v>13284</v>
      </c>
      <c r="L1960" s="9" t="s">
        <v>13284</v>
      </c>
      <c r="M1960" s="9" t="s">
        <v>13284</v>
      </c>
      <c r="N1960" s="9" t="s">
        <v>13284</v>
      </c>
      <c r="O1960" s="9" t="s">
        <v>13284</v>
      </c>
      <c r="P1960" s="9" t="s">
        <v>13284</v>
      </c>
      <c r="Q1960" s="9" t="s">
        <v>13284</v>
      </c>
      <c r="R1960" s="9" t="s">
        <v>13284</v>
      </c>
      <c r="S1960" s="9" t="s">
        <v>13284</v>
      </c>
      <c r="T1960" s="9" t="str">
        <f ca="1">IFERROR(IF(AND(VLOOKUP(A1960, 'Актуальное состояние (из общего'!A:C,3,0) = "", A1960 &lt;&gt; ""), "ПРОВЕРИТЬ", VLOOKUP(A1960, 'Актуальное состояние (из общего'!A:C,3,0)), "")</f>
        <v/>
      </c>
      <c r="U1960" s="9" t="s">
        <v>13284</v>
      </c>
      <c r="V1960" s="9" t="s">
        <v>13284</v>
      </c>
      <c r="W1960" s="12"/>
      <c r="X1960" s="9" t="str">
        <f t="array" ref="X1960">IFERROR(INDEX('Адреса общежитий (скрытый)'!$B$2:$B$9, MATCH(W1960, 'Адреса общежитий (скрытый)'!$A$2:$A$9, 0)), "")</f>
        <v/>
      </c>
      <c r="Y1960" s="18"/>
      <c r="Z1960" s="18"/>
      <c r="AA1960" s="18"/>
      <c r="AB1960" s="18"/>
      <c r="AC1960" s="18"/>
    </row>
    <row r="1961" spans="1:29" ht="32.25" hidden="1" customHeight="1">
      <c r="A1961" s="17"/>
      <c r="B1961" s="9" t="s">
        <v>13284</v>
      </c>
      <c r="C1961" s="9" t="s">
        <v>13284</v>
      </c>
      <c r="D1961" s="9" t="s">
        <v>13284</v>
      </c>
      <c r="E1961" s="9" t="s">
        <v>13284</v>
      </c>
      <c r="F1961" s="9" t="s">
        <v>13284</v>
      </c>
      <c r="G1961" s="9" t="s">
        <v>13284</v>
      </c>
      <c r="H1961" s="9" t="s">
        <v>13284</v>
      </c>
      <c r="I1961" s="9" t="s">
        <v>13284</v>
      </c>
      <c r="J1961" s="9" t="s">
        <v>13284</v>
      </c>
      <c r="K1961" s="9" t="s">
        <v>13284</v>
      </c>
      <c r="L1961" s="9" t="s">
        <v>13284</v>
      </c>
      <c r="M1961" s="9" t="s">
        <v>13284</v>
      </c>
      <c r="N1961" s="9" t="s">
        <v>13284</v>
      </c>
      <c r="O1961" s="9" t="s">
        <v>13284</v>
      </c>
      <c r="P1961" s="9" t="s">
        <v>13284</v>
      </c>
      <c r="Q1961" s="9" t="s">
        <v>13284</v>
      </c>
      <c r="R1961" s="9" t="s">
        <v>13284</v>
      </c>
      <c r="S1961" s="9" t="s">
        <v>13284</v>
      </c>
      <c r="T1961" s="9" t="str">
        <f ca="1">IFERROR(IF(AND(VLOOKUP(A1961, 'Актуальное состояние (из общего'!A:C,3,0) = "", A1961 &lt;&gt; ""), "ПРОВЕРИТЬ", VLOOKUP(A1961, 'Актуальное состояние (из общего'!A:C,3,0)), "")</f>
        <v/>
      </c>
      <c r="U1961" s="9" t="s">
        <v>13284</v>
      </c>
      <c r="V1961" s="9" t="s">
        <v>13284</v>
      </c>
      <c r="W1961" s="12"/>
      <c r="X1961" s="9" t="str">
        <f t="array" ref="X1961">IFERROR(INDEX('Адреса общежитий (скрытый)'!$B$2:$B$9, MATCH(W1961, 'Адреса общежитий (скрытый)'!$A$2:$A$9, 0)), "")</f>
        <v/>
      </c>
      <c r="Y1961" s="18"/>
      <c r="Z1961" s="18"/>
      <c r="AA1961" s="18"/>
      <c r="AB1961" s="18"/>
      <c r="AC1961" s="18"/>
    </row>
    <row r="1962" spans="1:29" ht="32.25" hidden="1" customHeight="1">
      <c r="A1962" s="17"/>
      <c r="B1962" s="9" t="s">
        <v>13284</v>
      </c>
      <c r="C1962" s="9" t="s">
        <v>13284</v>
      </c>
      <c r="D1962" s="9" t="s">
        <v>13284</v>
      </c>
      <c r="E1962" s="9" t="s">
        <v>13284</v>
      </c>
      <c r="F1962" s="9" t="s">
        <v>13284</v>
      </c>
      <c r="G1962" s="9" t="s">
        <v>13284</v>
      </c>
      <c r="H1962" s="9" t="s">
        <v>13284</v>
      </c>
      <c r="I1962" s="9" t="s">
        <v>13284</v>
      </c>
      <c r="J1962" s="9" t="s">
        <v>13284</v>
      </c>
      <c r="K1962" s="9" t="s">
        <v>13284</v>
      </c>
      <c r="L1962" s="9" t="s">
        <v>13284</v>
      </c>
      <c r="M1962" s="9" t="s">
        <v>13284</v>
      </c>
      <c r="N1962" s="9" t="s">
        <v>13284</v>
      </c>
      <c r="O1962" s="9" t="s">
        <v>13284</v>
      </c>
      <c r="P1962" s="9" t="s">
        <v>13284</v>
      </c>
      <c r="Q1962" s="9" t="s">
        <v>13284</v>
      </c>
      <c r="R1962" s="9" t="s">
        <v>13284</v>
      </c>
      <c r="S1962" s="9" t="s">
        <v>13284</v>
      </c>
      <c r="T1962" s="9" t="str">
        <f ca="1">IFERROR(IF(AND(VLOOKUP(A1962, 'Актуальное состояние (из общего'!A:C,3,0) = "", A1962 &lt;&gt; ""), "ПРОВЕРИТЬ", VLOOKUP(A1962, 'Актуальное состояние (из общего'!A:C,3,0)), "")</f>
        <v/>
      </c>
      <c r="U1962" s="9" t="s">
        <v>13284</v>
      </c>
      <c r="V1962" s="9" t="s">
        <v>13284</v>
      </c>
      <c r="W1962" s="12"/>
      <c r="X1962" s="9" t="str">
        <f t="array" ref="X1962">IFERROR(INDEX('Адреса общежитий (скрытый)'!$B$2:$B$9, MATCH(W1962, 'Адреса общежитий (скрытый)'!$A$2:$A$9, 0)), "")</f>
        <v/>
      </c>
      <c r="Y1962" s="18"/>
      <c r="Z1962" s="18"/>
      <c r="AA1962" s="18"/>
      <c r="AB1962" s="18"/>
      <c r="AC1962" s="18"/>
    </row>
    <row r="1963" spans="1:29" ht="32.25" hidden="1" customHeight="1">
      <c r="A1963" s="17"/>
      <c r="B1963" s="9" t="s">
        <v>13284</v>
      </c>
      <c r="C1963" s="9" t="s">
        <v>13284</v>
      </c>
      <c r="D1963" s="9" t="s">
        <v>13284</v>
      </c>
      <c r="E1963" s="9" t="s">
        <v>13284</v>
      </c>
      <c r="F1963" s="9" t="s">
        <v>13284</v>
      </c>
      <c r="G1963" s="9" t="s">
        <v>13284</v>
      </c>
      <c r="H1963" s="9" t="s">
        <v>13284</v>
      </c>
      <c r="I1963" s="9" t="s">
        <v>13284</v>
      </c>
      <c r="J1963" s="9" t="s">
        <v>13284</v>
      </c>
      <c r="K1963" s="9" t="s">
        <v>13284</v>
      </c>
      <c r="L1963" s="9" t="s">
        <v>13284</v>
      </c>
      <c r="M1963" s="9" t="s">
        <v>13284</v>
      </c>
      <c r="N1963" s="9" t="s">
        <v>13284</v>
      </c>
      <c r="O1963" s="9" t="s">
        <v>13284</v>
      </c>
      <c r="P1963" s="9" t="s">
        <v>13284</v>
      </c>
      <c r="Q1963" s="9" t="s">
        <v>13284</v>
      </c>
      <c r="R1963" s="9" t="s">
        <v>13284</v>
      </c>
      <c r="S1963" s="9" t="s">
        <v>13284</v>
      </c>
      <c r="T1963" s="9" t="str">
        <f ca="1">IFERROR(IF(AND(VLOOKUP(A1963, 'Актуальное состояние (из общего'!A:C,3,0) = "", A1963 &lt;&gt; ""), "ПРОВЕРИТЬ", VLOOKUP(A1963, 'Актуальное состояние (из общего'!A:C,3,0)), "")</f>
        <v/>
      </c>
      <c r="U1963" s="9" t="s">
        <v>13284</v>
      </c>
      <c r="V1963" s="9" t="s">
        <v>13284</v>
      </c>
      <c r="W1963" s="12"/>
      <c r="X1963" s="9" t="str">
        <f t="array" ref="X1963">IFERROR(INDEX('Адреса общежитий (скрытый)'!$B$2:$B$9, MATCH(W1963, 'Адреса общежитий (скрытый)'!$A$2:$A$9, 0)), "")</f>
        <v/>
      </c>
      <c r="Y1963" s="18"/>
      <c r="Z1963" s="18"/>
      <c r="AA1963" s="18"/>
      <c r="AB1963" s="18"/>
      <c r="AC1963" s="18"/>
    </row>
    <row r="1964" spans="1:29" ht="32.25" hidden="1" customHeight="1">
      <c r="A1964" s="17"/>
      <c r="B1964" s="9" t="s">
        <v>13284</v>
      </c>
      <c r="C1964" s="9" t="s">
        <v>13284</v>
      </c>
      <c r="D1964" s="9" t="s">
        <v>13284</v>
      </c>
      <c r="E1964" s="9" t="s">
        <v>13284</v>
      </c>
      <c r="F1964" s="9" t="s">
        <v>13284</v>
      </c>
      <c r="G1964" s="9" t="s">
        <v>13284</v>
      </c>
      <c r="H1964" s="9" t="s">
        <v>13284</v>
      </c>
      <c r="I1964" s="9" t="s">
        <v>13284</v>
      </c>
      <c r="J1964" s="9" t="s">
        <v>13284</v>
      </c>
      <c r="K1964" s="9" t="s">
        <v>13284</v>
      </c>
      <c r="L1964" s="9" t="s">
        <v>13284</v>
      </c>
      <c r="M1964" s="9" t="s">
        <v>13284</v>
      </c>
      <c r="N1964" s="9" t="s">
        <v>13284</v>
      </c>
      <c r="O1964" s="9" t="s">
        <v>13284</v>
      </c>
      <c r="P1964" s="9" t="s">
        <v>13284</v>
      </c>
      <c r="Q1964" s="9" t="s">
        <v>13284</v>
      </c>
      <c r="R1964" s="9" t="s">
        <v>13284</v>
      </c>
      <c r="S1964" s="9" t="s">
        <v>13284</v>
      </c>
      <c r="T1964" s="9" t="str">
        <f ca="1">IFERROR(IF(AND(VLOOKUP(A1964, 'Актуальное состояние (из общего'!A:C,3,0) = "", A1964 &lt;&gt; ""), "ПРОВЕРИТЬ", VLOOKUP(A1964, 'Актуальное состояние (из общего'!A:C,3,0)), "")</f>
        <v/>
      </c>
      <c r="U1964" s="9" t="s">
        <v>13284</v>
      </c>
      <c r="V1964" s="9" t="s">
        <v>13284</v>
      </c>
      <c r="W1964" s="12"/>
      <c r="X1964" s="9" t="str">
        <f t="array" ref="X1964">IFERROR(INDEX('Адреса общежитий (скрытый)'!$B$2:$B$9, MATCH(W1964, 'Адреса общежитий (скрытый)'!$A$2:$A$9, 0)), "")</f>
        <v/>
      </c>
      <c r="Y1964" s="18"/>
      <c r="Z1964" s="18"/>
      <c r="AA1964" s="18"/>
      <c r="AB1964" s="18"/>
      <c r="AC1964" s="18"/>
    </row>
    <row r="1965" spans="1:29" ht="32.25" hidden="1" customHeight="1">
      <c r="A1965" s="17"/>
      <c r="B1965" s="9" t="s">
        <v>13284</v>
      </c>
      <c r="C1965" s="9" t="s">
        <v>13284</v>
      </c>
      <c r="D1965" s="9" t="s">
        <v>13284</v>
      </c>
      <c r="E1965" s="9" t="s">
        <v>13284</v>
      </c>
      <c r="F1965" s="9" t="s">
        <v>13284</v>
      </c>
      <c r="G1965" s="9" t="s">
        <v>13284</v>
      </c>
      <c r="H1965" s="9" t="s">
        <v>13284</v>
      </c>
      <c r="I1965" s="9" t="s">
        <v>13284</v>
      </c>
      <c r="J1965" s="9" t="s">
        <v>13284</v>
      </c>
      <c r="K1965" s="9" t="s">
        <v>13284</v>
      </c>
      <c r="L1965" s="9" t="s">
        <v>13284</v>
      </c>
      <c r="M1965" s="9" t="s">
        <v>13284</v>
      </c>
      <c r="N1965" s="9" t="s">
        <v>13284</v>
      </c>
      <c r="O1965" s="9" t="s">
        <v>13284</v>
      </c>
      <c r="P1965" s="9" t="s">
        <v>13284</v>
      </c>
      <c r="Q1965" s="9" t="s">
        <v>13284</v>
      </c>
      <c r="R1965" s="9" t="s">
        <v>13284</v>
      </c>
      <c r="S1965" s="9" t="s">
        <v>13284</v>
      </c>
      <c r="T1965" s="9" t="str">
        <f ca="1">IFERROR(IF(AND(VLOOKUP(A1965, 'Актуальное состояние (из общего'!A:C,3,0) = "", A1965 &lt;&gt; ""), "ПРОВЕРИТЬ", VLOOKUP(A1965, 'Актуальное состояние (из общего'!A:C,3,0)), "")</f>
        <v/>
      </c>
      <c r="U1965" s="9" t="s">
        <v>13284</v>
      </c>
      <c r="V1965" s="9" t="s">
        <v>13284</v>
      </c>
      <c r="W1965" s="12"/>
      <c r="X1965" s="9" t="str">
        <f t="array" ref="X1965">IFERROR(INDEX('Адреса общежитий (скрытый)'!$B$2:$B$9, MATCH(W1965, 'Адреса общежитий (скрытый)'!$A$2:$A$9, 0)), "")</f>
        <v/>
      </c>
      <c r="Y1965" s="18"/>
      <c r="Z1965" s="18"/>
      <c r="AA1965" s="18"/>
      <c r="AB1965" s="18"/>
      <c r="AC1965" s="18"/>
    </row>
    <row r="1966" spans="1:29" ht="32.25" hidden="1" customHeight="1">
      <c r="A1966" s="17"/>
      <c r="B1966" s="9" t="s">
        <v>13284</v>
      </c>
      <c r="C1966" s="9" t="s">
        <v>13284</v>
      </c>
      <c r="D1966" s="9" t="s">
        <v>13284</v>
      </c>
      <c r="E1966" s="9" t="s">
        <v>13284</v>
      </c>
      <c r="F1966" s="9" t="s">
        <v>13284</v>
      </c>
      <c r="G1966" s="9" t="s">
        <v>13284</v>
      </c>
      <c r="H1966" s="9" t="s">
        <v>13284</v>
      </c>
      <c r="I1966" s="9" t="s">
        <v>13284</v>
      </c>
      <c r="J1966" s="9" t="s">
        <v>13284</v>
      </c>
      <c r="K1966" s="9" t="s">
        <v>13284</v>
      </c>
      <c r="L1966" s="9" t="s">
        <v>13284</v>
      </c>
      <c r="M1966" s="9" t="s">
        <v>13284</v>
      </c>
      <c r="N1966" s="9" t="s">
        <v>13284</v>
      </c>
      <c r="O1966" s="9" t="s">
        <v>13284</v>
      </c>
      <c r="P1966" s="9" t="s">
        <v>13284</v>
      </c>
      <c r="Q1966" s="9" t="s">
        <v>13284</v>
      </c>
      <c r="R1966" s="9" t="s">
        <v>13284</v>
      </c>
      <c r="S1966" s="9" t="s">
        <v>13284</v>
      </c>
      <c r="T1966" s="9" t="str">
        <f ca="1">IFERROR(IF(AND(VLOOKUP(A1966, 'Актуальное состояние (из общего'!A:C,3,0) = "", A1966 &lt;&gt; ""), "ПРОВЕРИТЬ", VLOOKUP(A1966, 'Актуальное состояние (из общего'!A:C,3,0)), "")</f>
        <v/>
      </c>
      <c r="U1966" s="9" t="s">
        <v>13284</v>
      </c>
      <c r="V1966" s="9" t="s">
        <v>13284</v>
      </c>
      <c r="W1966" s="12"/>
      <c r="X1966" s="9" t="str">
        <f t="array" ref="X1966">IFERROR(INDEX('Адреса общежитий (скрытый)'!$B$2:$B$9, MATCH(W1966, 'Адреса общежитий (скрытый)'!$A$2:$A$9, 0)), "")</f>
        <v/>
      </c>
      <c r="Y1966" s="18"/>
      <c r="Z1966" s="18"/>
      <c r="AA1966" s="18"/>
      <c r="AB1966" s="18"/>
      <c r="AC1966" s="18"/>
    </row>
    <row r="1967" spans="1:29" ht="32.25" hidden="1" customHeight="1">
      <c r="A1967" s="17"/>
      <c r="B1967" s="9" t="s">
        <v>13284</v>
      </c>
      <c r="C1967" s="9" t="s">
        <v>13284</v>
      </c>
      <c r="D1967" s="9" t="s">
        <v>13284</v>
      </c>
      <c r="E1967" s="9" t="s">
        <v>13284</v>
      </c>
      <c r="F1967" s="9" t="s">
        <v>13284</v>
      </c>
      <c r="G1967" s="9" t="s">
        <v>13284</v>
      </c>
      <c r="H1967" s="9" t="s">
        <v>13284</v>
      </c>
      <c r="I1967" s="9" t="s">
        <v>13284</v>
      </c>
      <c r="J1967" s="9" t="s">
        <v>13284</v>
      </c>
      <c r="K1967" s="9" t="s">
        <v>13284</v>
      </c>
      <c r="L1967" s="9" t="s">
        <v>13284</v>
      </c>
      <c r="M1967" s="9" t="s">
        <v>13284</v>
      </c>
      <c r="N1967" s="9" t="s">
        <v>13284</v>
      </c>
      <c r="O1967" s="9" t="s">
        <v>13284</v>
      </c>
      <c r="P1967" s="9" t="s">
        <v>13284</v>
      </c>
      <c r="Q1967" s="9" t="s">
        <v>13284</v>
      </c>
      <c r="R1967" s="9" t="s">
        <v>13284</v>
      </c>
      <c r="S1967" s="9" t="s">
        <v>13284</v>
      </c>
      <c r="T1967" s="9" t="str">
        <f ca="1">IFERROR(IF(AND(VLOOKUP(A1967, 'Актуальное состояние (из общего'!A:C,3,0) = "", A1967 &lt;&gt; ""), "ПРОВЕРИТЬ", VLOOKUP(A1967, 'Актуальное состояние (из общего'!A:C,3,0)), "")</f>
        <v/>
      </c>
      <c r="U1967" s="9" t="s">
        <v>13284</v>
      </c>
      <c r="V1967" s="9" t="s">
        <v>13284</v>
      </c>
      <c r="W1967" s="12"/>
      <c r="X1967" s="9" t="str">
        <f t="array" ref="X1967">IFERROR(INDEX('Адреса общежитий (скрытый)'!$B$2:$B$9, MATCH(W1967, 'Адреса общежитий (скрытый)'!$A$2:$A$9, 0)), "")</f>
        <v/>
      </c>
      <c r="Y1967" s="18"/>
      <c r="Z1967" s="18"/>
      <c r="AA1967" s="18"/>
      <c r="AB1967" s="18"/>
      <c r="AC1967" s="18"/>
    </row>
    <row r="1968" spans="1:29" ht="32.25" hidden="1" customHeight="1">
      <c r="A1968" s="17"/>
      <c r="B1968" s="9" t="s">
        <v>13284</v>
      </c>
      <c r="C1968" s="9" t="s">
        <v>13284</v>
      </c>
      <c r="D1968" s="9" t="s">
        <v>13284</v>
      </c>
      <c r="E1968" s="9" t="s">
        <v>13284</v>
      </c>
      <c r="F1968" s="9" t="s">
        <v>13284</v>
      </c>
      <c r="G1968" s="9" t="s">
        <v>13284</v>
      </c>
      <c r="H1968" s="9" t="s">
        <v>13284</v>
      </c>
      <c r="I1968" s="9" t="s">
        <v>13284</v>
      </c>
      <c r="J1968" s="9" t="s">
        <v>13284</v>
      </c>
      <c r="K1968" s="9" t="s">
        <v>13284</v>
      </c>
      <c r="L1968" s="9" t="s">
        <v>13284</v>
      </c>
      <c r="M1968" s="9" t="s">
        <v>13284</v>
      </c>
      <c r="N1968" s="9" t="s">
        <v>13284</v>
      </c>
      <c r="O1968" s="9" t="s">
        <v>13284</v>
      </c>
      <c r="P1968" s="9" t="s">
        <v>13284</v>
      </c>
      <c r="Q1968" s="9" t="s">
        <v>13284</v>
      </c>
      <c r="R1968" s="9" t="s">
        <v>13284</v>
      </c>
      <c r="S1968" s="9" t="s">
        <v>13284</v>
      </c>
      <c r="T1968" s="9" t="str">
        <f ca="1">IFERROR(IF(AND(VLOOKUP(A1968, 'Актуальное состояние (из общего'!A:C,3,0) = "", A1968 &lt;&gt; ""), "ПРОВЕРИТЬ", VLOOKUP(A1968, 'Актуальное состояние (из общего'!A:C,3,0)), "")</f>
        <v/>
      </c>
      <c r="U1968" s="9" t="s">
        <v>13284</v>
      </c>
      <c r="V1968" s="9" t="s">
        <v>13284</v>
      </c>
      <c r="W1968" s="12"/>
      <c r="X1968" s="9" t="str">
        <f t="array" ref="X1968">IFERROR(INDEX('Адреса общежитий (скрытый)'!$B$2:$B$9, MATCH(W1968, 'Адреса общежитий (скрытый)'!$A$2:$A$9, 0)), "")</f>
        <v/>
      </c>
      <c r="Y1968" s="18"/>
      <c r="Z1968" s="18"/>
      <c r="AA1968" s="18"/>
      <c r="AB1968" s="18"/>
      <c r="AC1968" s="18"/>
    </row>
    <row r="1969" spans="1:29" ht="32.25" hidden="1" customHeight="1">
      <c r="A1969" s="17"/>
      <c r="B1969" s="9" t="s">
        <v>13284</v>
      </c>
      <c r="C1969" s="9" t="s">
        <v>13284</v>
      </c>
      <c r="D1969" s="9" t="s">
        <v>13284</v>
      </c>
      <c r="E1969" s="9" t="s">
        <v>13284</v>
      </c>
      <c r="F1969" s="9" t="s">
        <v>13284</v>
      </c>
      <c r="G1969" s="9" t="s">
        <v>13284</v>
      </c>
      <c r="H1969" s="9" t="s">
        <v>13284</v>
      </c>
      <c r="I1969" s="9" t="s">
        <v>13284</v>
      </c>
      <c r="J1969" s="9" t="s">
        <v>13284</v>
      </c>
      <c r="K1969" s="9" t="s">
        <v>13284</v>
      </c>
      <c r="L1969" s="9" t="s">
        <v>13284</v>
      </c>
      <c r="M1969" s="9" t="s">
        <v>13284</v>
      </c>
      <c r="N1969" s="9" t="s">
        <v>13284</v>
      </c>
      <c r="O1969" s="9" t="s">
        <v>13284</v>
      </c>
      <c r="P1969" s="9" t="s">
        <v>13284</v>
      </c>
      <c r="Q1969" s="9" t="s">
        <v>13284</v>
      </c>
      <c r="R1969" s="9" t="s">
        <v>13284</v>
      </c>
      <c r="S1969" s="9" t="s">
        <v>13284</v>
      </c>
      <c r="T1969" s="9" t="str">
        <f ca="1">IFERROR(IF(AND(VLOOKUP(A1969, 'Актуальное состояние (из общего'!A:C,3,0) = "", A1969 &lt;&gt; ""), "ПРОВЕРИТЬ", VLOOKUP(A1969, 'Актуальное состояние (из общего'!A:C,3,0)), "")</f>
        <v/>
      </c>
      <c r="U1969" s="9" t="s">
        <v>13284</v>
      </c>
      <c r="V1969" s="9" t="s">
        <v>13284</v>
      </c>
      <c r="W1969" s="12"/>
      <c r="X1969" s="9" t="str">
        <f t="array" ref="X1969">IFERROR(INDEX('Адреса общежитий (скрытый)'!$B$2:$B$9, MATCH(W1969, 'Адреса общежитий (скрытый)'!$A$2:$A$9, 0)), "")</f>
        <v/>
      </c>
      <c r="Y1969" s="18"/>
      <c r="Z1969" s="18"/>
      <c r="AA1969" s="18"/>
      <c r="AB1969" s="18"/>
      <c r="AC1969" s="18"/>
    </row>
    <row r="1970" spans="1:29" ht="32.25" hidden="1" customHeight="1">
      <c r="A1970" s="17"/>
      <c r="B1970" s="9" t="s">
        <v>13284</v>
      </c>
      <c r="C1970" s="9" t="s">
        <v>13284</v>
      </c>
      <c r="D1970" s="9" t="s">
        <v>13284</v>
      </c>
      <c r="E1970" s="9" t="s">
        <v>13284</v>
      </c>
      <c r="F1970" s="9" t="s">
        <v>13284</v>
      </c>
      <c r="G1970" s="9" t="s">
        <v>13284</v>
      </c>
      <c r="H1970" s="9" t="s">
        <v>13284</v>
      </c>
      <c r="I1970" s="9" t="s">
        <v>13284</v>
      </c>
      <c r="J1970" s="9" t="s">
        <v>13284</v>
      </c>
      <c r="K1970" s="9" t="s">
        <v>13284</v>
      </c>
      <c r="L1970" s="9" t="s">
        <v>13284</v>
      </c>
      <c r="M1970" s="9" t="s">
        <v>13284</v>
      </c>
      <c r="N1970" s="9" t="s">
        <v>13284</v>
      </c>
      <c r="O1970" s="9" t="s">
        <v>13284</v>
      </c>
      <c r="P1970" s="9" t="s">
        <v>13284</v>
      </c>
      <c r="Q1970" s="9" t="s">
        <v>13284</v>
      </c>
      <c r="R1970" s="9" t="s">
        <v>13284</v>
      </c>
      <c r="S1970" s="9" t="s">
        <v>13284</v>
      </c>
      <c r="T1970" s="9" t="str">
        <f ca="1">IFERROR(IF(AND(VLOOKUP(A1970, 'Актуальное состояние (из общего'!A:C,3,0) = "", A1970 &lt;&gt; ""), "ПРОВЕРИТЬ", VLOOKUP(A1970, 'Актуальное состояние (из общего'!A:C,3,0)), "")</f>
        <v/>
      </c>
      <c r="U1970" s="9" t="s">
        <v>13284</v>
      </c>
      <c r="V1970" s="9" t="s">
        <v>13284</v>
      </c>
      <c r="W1970" s="12"/>
      <c r="X1970" s="9" t="str">
        <f t="array" ref="X1970">IFERROR(INDEX('Адреса общежитий (скрытый)'!$B$2:$B$9, MATCH(W1970, 'Адреса общежитий (скрытый)'!$A$2:$A$9, 0)), "")</f>
        <v/>
      </c>
      <c r="Y1970" s="18"/>
      <c r="Z1970" s="18"/>
      <c r="AA1970" s="18"/>
      <c r="AB1970" s="18"/>
      <c r="AC1970" s="18"/>
    </row>
    <row r="1971" spans="1:29" ht="32.25" hidden="1" customHeight="1">
      <c r="A1971" s="17"/>
      <c r="B1971" s="9" t="s">
        <v>13284</v>
      </c>
      <c r="C1971" s="9" t="s">
        <v>13284</v>
      </c>
      <c r="D1971" s="9" t="s">
        <v>13284</v>
      </c>
      <c r="E1971" s="9" t="s">
        <v>13284</v>
      </c>
      <c r="F1971" s="9" t="s">
        <v>13284</v>
      </c>
      <c r="G1971" s="9" t="s">
        <v>13284</v>
      </c>
      <c r="H1971" s="9" t="s">
        <v>13284</v>
      </c>
      <c r="I1971" s="9" t="s">
        <v>13284</v>
      </c>
      <c r="J1971" s="9" t="s">
        <v>13284</v>
      </c>
      <c r="K1971" s="9" t="s">
        <v>13284</v>
      </c>
      <c r="L1971" s="9" t="s">
        <v>13284</v>
      </c>
      <c r="M1971" s="9" t="s">
        <v>13284</v>
      </c>
      <c r="N1971" s="9" t="s">
        <v>13284</v>
      </c>
      <c r="O1971" s="9" t="s">
        <v>13284</v>
      </c>
      <c r="P1971" s="9" t="s">
        <v>13284</v>
      </c>
      <c r="Q1971" s="9" t="s">
        <v>13284</v>
      </c>
      <c r="R1971" s="9" t="s">
        <v>13284</v>
      </c>
      <c r="S1971" s="9" t="s">
        <v>13284</v>
      </c>
      <c r="T1971" s="9" t="str">
        <f ca="1">IFERROR(IF(AND(VLOOKUP(A1971, 'Актуальное состояние (из общего'!A:C,3,0) = "", A1971 &lt;&gt; ""), "ПРОВЕРИТЬ", VLOOKUP(A1971, 'Актуальное состояние (из общего'!A:C,3,0)), "")</f>
        <v/>
      </c>
      <c r="U1971" s="9" t="s">
        <v>13284</v>
      </c>
      <c r="V1971" s="9" t="s">
        <v>13284</v>
      </c>
      <c r="W1971" s="12"/>
      <c r="X1971" s="9" t="str">
        <f t="array" ref="X1971">IFERROR(INDEX('Адреса общежитий (скрытый)'!$B$2:$B$9, MATCH(W1971, 'Адреса общежитий (скрытый)'!$A$2:$A$9, 0)), "")</f>
        <v/>
      </c>
      <c r="Y1971" s="18"/>
      <c r="Z1971" s="18"/>
      <c r="AA1971" s="18"/>
      <c r="AB1971" s="18"/>
      <c r="AC1971" s="18"/>
    </row>
    <row r="1972" spans="1:29" ht="32.25" hidden="1" customHeight="1">
      <c r="A1972" s="17"/>
      <c r="B1972" s="9" t="s">
        <v>13284</v>
      </c>
      <c r="C1972" s="9" t="s">
        <v>13284</v>
      </c>
      <c r="D1972" s="9" t="s">
        <v>13284</v>
      </c>
      <c r="E1972" s="9" t="s">
        <v>13284</v>
      </c>
      <c r="F1972" s="9" t="s">
        <v>13284</v>
      </c>
      <c r="G1972" s="9" t="s">
        <v>13284</v>
      </c>
      <c r="H1972" s="9" t="s">
        <v>13284</v>
      </c>
      <c r="I1972" s="9" t="s">
        <v>13284</v>
      </c>
      <c r="J1972" s="9" t="s">
        <v>13284</v>
      </c>
      <c r="K1972" s="9" t="s">
        <v>13284</v>
      </c>
      <c r="L1972" s="9" t="s">
        <v>13284</v>
      </c>
      <c r="M1972" s="9" t="s">
        <v>13284</v>
      </c>
      <c r="N1972" s="9" t="s">
        <v>13284</v>
      </c>
      <c r="O1972" s="9" t="s">
        <v>13284</v>
      </c>
      <c r="P1972" s="9" t="s">
        <v>13284</v>
      </c>
      <c r="Q1972" s="9" t="s">
        <v>13284</v>
      </c>
      <c r="R1972" s="9" t="s">
        <v>13284</v>
      </c>
      <c r="S1972" s="9" t="s">
        <v>13284</v>
      </c>
      <c r="T1972" s="9" t="str">
        <f ca="1">IFERROR(IF(AND(VLOOKUP(A1972, 'Актуальное состояние (из общего'!A:C,3,0) = "", A1972 &lt;&gt; ""), "ПРОВЕРИТЬ", VLOOKUP(A1972, 'Актуальное состояние (из общего'!A:C,3,0)), "")</f>
        <v/>
      </c>
      <c r="U1972" s="9" t="s">
        <v>13284</v>
      </c>
      <c r="V1972" s="9" t="s">
        <v>13284</v>
      </c>
      <c r="W1972" s="12"/>
      <c r="X1972" s="9" t="str">
        <f t="array" ref="X1972">IFERROR(INDEX('Адреса общежитий (скрытый)'!$B$2:$B$9, MATCH(W1972, 'Адреса общежитий (скрытый)'!$A$2:$A$9, 0)), "")</f>
        <v/>
      </c>
      <c r="Y1972" s="18"/>
      <c r="Z1972" s="18"/>
      <c r="AA1972" s="18"/>
      <c r="AB1972" s="18"/>
      <c r="AC1972" s="18"/>
    </row>
    <row r="1973" spans="1:29" ht="32.25" hidden="1" customHeight="1">
      <c r="A1973" s="17"/>
      <c r="B1973" s="9" t="s">
        <v>13284</v>
      </c>
      <c r="C1973" s="9" t="s">
        <v>13284</v>
      </c>
      <c r="D1973" s="9" t="s">
        <v>13284</v>
      </c>
      <c r="E1973" s="9" t="s">
        <v>13284</v>
      </c>
      <c r="F1973" s="9" t="s">
        <v>13284</v>
      </c>
      <c r="G1973" s="9" t="s">
        <v>13284</v>
      </c>
      <c r="H1973" s="9" t="s">
        <v>13284</v>
      </c>
      <c r="I1973" s="9" t="s">
        <v>13284</v>
      </c>
      <c r="J1973" s="9" t="s">
        <v>13284</v>
      </c>
      <c r="K1973" s="9" t="s">
        <v>13284</v>
      </c>
      <c r="L1973" s="9" t="s">
        <v>13284</v>
      </c>
      <c r="M1973" s="9" t="s">
        <v>13284</v>
      </c>
      <c r="N1973" s="9" t="s">
        <v>13284</v>
      </c>
      <c r="O1973" s="9" t="s">
        <v>13284</v>
      </c>
      <c r="P1973" s="9" t="s">
        <v>13284</v>
      </c>
      <c r="Q1973" s="9" t="s">
        <v>13284</v>
      </c>
      <c r="R1973" s="9" t="s">
        <v>13284</v>
      </c>
      <c r="S1973" s="9" t="s">
        <v>13284</v>
      </c>
      <c r="T1973" s="9" t="str">
        <f ca="1">IFERROR(IF(AND(VLOOKUP(A1973, 'Актуальное состояние (из общего'!A:C,3,0) = "", A1973 &lt;&gt; ""), "ПРОВЕРИТЬ", VLOOKUP(A1973, 'Актуальное состояние (из общего'!A:C,3,0)), "")</f>
        <v/>
      </c>
      <c r="U1973" s="9" t="s">
        <v>13284</v>
      </c>
      <c r="V1973" s="9" t="s">
        <v>13284</v>
      </c>
      <c r="W1973" s="12"/>
      <c r="X1973" s="9" t="str">
        <f t="array" ref="X1973">IFERROR(INDEX('Адреса общежитий (скрытый)'!$B$2:$B$9, MATCH(W1973, 'Адреса общежитий (скрытый)'!$A$2:$A$9, 0)), "")</f>
        <v/>
      </c>
      <c r="Y1973" s="18"/>
      <c r="Z1973" s="18"/>
      <c r="AA1973" s="18"/>
      <c r="AB1973" s="18"/>
      <c r="AC1973" s="18"/>
    </row>
    <row r="1974" spans="1:29" ht="32.25" hidden="1" customHeight="1">
      <c r="A1974" s="17"/>
      <c r="B1974" s="9" t="s">
        <v>13284</v>
      </c>
      <c r="C1974" s="9" t="s">
        <v>13284</v>
      </c>
      <c r="D1974" s="9" t="s">
        <v>13284</v>
      </c>
      <c r="E1974" s="9" t="s">
        <v>13284</v>
      </c>
      <c r="F1974" s="9" t="s">
        <v>13284</v>
      </c>
      <c r="G1974" s="9" t="s">
        <v>13284</v>
      </c>
      <c r="H1974" s="9" t="s">
        <v>13284</v>
      </c>
      <c r="I1974" s="9" t="s">
        <v>13284</v>
      </c>
      <c r="J1974" s="9" t="s">
        <v>13284</v>
      </c>
      <c r="K1974" s="9" t="s">
        <v>13284</v>
      </c>
      <c r="L1974" s="9" t="s">
        <v>13284</v>
      </c>
      <c r="M1974" s="9" t="s">
        <v>13284</v>
      </c>
      <c r="N1974" s="9" t="s">
        <v>13284</v>
      </c>
      <c r="O1974" s="9" t="s">
        <v>13284</v>
      </c>
      <c r="P1974" s="9" t="s">
        <v>13284</v>
      </c>
      <c r="Q1974" s="9" t="s">
        <v>13284</v>
      </c>
      <c r="R1974" s="9" t="s">
        <v>13284</v>
      </c>
      <c r="S1974" s="9" t="s">
        <v>13284</v>
      </c>
      <c r="T1974" s="9" t="str">
        <f ca="1">IFERROR(IF(AND(VLOOKUP(A1974, 'Актуальное состояние (из общего'!A:C,3,0) = "", A1974 &lt;&gt; ""), "ПРОВЕРИТЬ", VLOOKUP(A1974, 'Актуальное состояние (из общего'!A:C,3,0)), "")</f>
        <v/>
      </c>
      <c r="U1974" s="9" t="s">
        <v>13284</v>
      </c>
      <c r="V1974" s="9" t="s">
        <v>13284</v>
      </c>
      <c r="W1974" s="12"/>
      <c r="X1974" s="9" t="str">
        <f t="array" ref="X1974">IFERROR(INDEX('Адреса общежитий (скрытый)'!$B$2:$B$9, MATCH(W1974, 'Адреса общежитий (скрытый)'!$A$2:$A$9, 0)), "")</f>
        <v/>
      </c>
      <c r="Y1974" s="18"/>
      <c r="Z1974" s="18"/>
      <c r="AA1974" s="18"/>
      <c r="AB1974" s="18"/>
      <c r="AC1974" s="18"/>
    </row>
    <row r="1975" spans="1:29" ht="32.25" hidden="1" customHeight="1">
      <c r="A1975" s="17"/>
      <c r="B1975" s="9" t="s">
        <v>13284</v>
      </c>
      <c r="C1975" s="9" t="s">
        <v>13284</v>
      </c>
      <c r="D1975" s="9" t="s">
        <v>13284</v>
      </c>
      <c r="E1975" s="9" t="s">
        <v>13284</v>
      </c>
      <c r="F1975" s="9" t="s">
        <v>13284</v>
      </c>
      <c r="G1975" s="9" t="s">
        <v>13284</v>
      </c>
      <c r="H1975" s="9" t="s">
        <v>13284</v>
      </c>
      <c r="I1975" s="9" t="s">
        <v>13284</v>
      </c>
      <c r="J1975" s="9" t="s">
        <v>13284</v>
      </c>
      <c r="K1975" s="9" t="s">
        <v>13284</v>
      </c>
      <c r="L1975" s="9" t="s">
        <v>13284</v>
      </c>
      <c r="M1975" s="9" t="s">
        <v>13284</v>
      </c>
      <c r="N1975" s="9" t="s">
        <v>13284</v>
      </c>
      <c r="O1975" s="9" t="s">
        <v>13284</v>
      </c>
      <c r="P1975" s="9" t="s">
        <v>13284</v>
      </c>
      <c r="Q1975" s="9" t="s">
        <v>13284</v>
      </c>
      <c r="R1975" s="9" t="s">
        <v>13284</v>
      </c>
      <c r="S1975" s="9" t="s">
        <v>13284</v>
      </c>
      <c r="T1975" s="9" t="str">
        <f ca="1">IFERROR(IF(AND(VLOOKUP(A1975, 'Актуальное состояние (из общего'!A:C,3,0) = "", A1975 &lt;&gt; ""), "ПРОВЕРИТЬ", VLOOKUP(A1975, 'Актуальное состояние (из общего'!A:C,3,0)), "")</f>
        <v/>
      </c>
      <c r="U1975" s="9" t="s">
        <v>13284</v>
      </c>
      <c r="V1975" s="9" t="s">
        <v>13284</v>
      </c>
      <c r="W1975" s="12"/>
      <c r="X1975" s="9" t="str">
        <f t="array" ref="X1975">IFERROR(INDEX('Адреса общежитий (скрытый)'!$B$2:$B$9, MATCH(W1975, 'Адреса общежитий (скрытый)'!$A$2:$A$9, 0)), "")</f>
        <v/>
      </c>
      <c r="Y1975" s="18"/>
      <c r="Z1975" s="18"/>
      <c r="AA1975" s="18"/>
      <c r="AB1975" s="18"/>
      <c r="AC1975" s="18"/>
    </row>
    <row r="1976" spans="1:29" ht="32.25" hidden="1" customHeight="1">
      <c r="A1976" s="17"/>
      <c r="B1976" s="9" t="s">
        <v>13284</v>
      </c>
      <c r="C1976" s="9" t="s">
        <v>13284</v>
      </c>
      <c r="D1976" s="9" t="s">
        <v>13284</v>
      </c>
      <c r="E1976" s="9" t="s">
        <v>13284</v>
      </c>
      <c r="F1976" s="9" t="s">
        <v>13284</v>
      </c>
      <c r="G1976" s="9" t="s">
        <v>13284</v>
      </c>
      <c r="H1976" s="9" t="s">
        <v>13284</v>
      </c>
      <c r="I1976" s="9" t="s">
        <v>13284</v>
      </c>
      <c r="J1976" s="9" t="s">
        <v>13284</v>
      </c>
      <c r="K1976" s="9" t="s">
        <v>13284</v>
      </c>
      <c r="L1976" s="9" t="s">
        <v>13284</v>
      </c>
      <c r="M1976" s="9" t="s">
        <v>13284</v>
      </c>
      <c r="N1976" s="9" t="s">
        <v>13284</v>
      </c>
      <c r="O1976" s="9" t="s">
        <v>13284</v>
      </c>
      <c r="P1976" s="9" t="s">
        <v>13284</v>
      </c>
      <c r="Q1976" s="9" t="s">
        <v>13284</v>
      </c>
      <c r="R1976" s="9" t="s">
        <v>13284</v>
      </c>
      <c r="S1976" s="9" t="s">
        <v>13284</v>
      </c>
      <c r="T1976" s="9" t="str">
        <f ca="1">IFERROR(IF(AND(VLOOKUP(A1976, 'Актуальное состояние (из общего'!A:C,3,0) = "", A1976 &lt;&gt; ""), "ПРОВЕРИТЬ", VLOOKUP(A1976, 'Актуальное состояние (из общего'!A:C,3,0)), "")</f>
        <v/>
      </c>
      <c r="U1976" s="9" t="s">
        <v>13284</v>
      </c>
      <c r="V1976" s="9" t="s">
        <v>13284</v>
      </c>
      <c r="W1976" s="12"/>
      <c r="X1976" s="9" t="str">
        <f t="array" ref="X1976">IFERROR(INDEX('Адреса общежитий (скрытый)'!$B$2:$B$9, MATCH(W1976, 'Адреса общежитий (скрытый)'!$A$2:$A$9, 0)), "")</f>
        <v/>
      </c>
      <c r="Y1976" s="18"/>
      <c r="Z1976" s="18"/>
      <c r="AA1976" s="18"/>
      <c r="AB1976" s="18"/>
      <c r="AC1976" s="18"/>
    </row>
    <row r="1977" spans="1:29" ht="32.25" hidden="1" customHeight="1">
      <c r="A1977" s="17"/>
      <c r="B1977" s="9" t="s">
        <v>13284</v>
      </c>
      <c r="C1977" s="9" t="s">
        <v>13284</v>
      </c>
      <c r="D1977" s="9" t="s">
        <v>13284</v>
      </c>
      <c r="E1977" s="9" t="s">
        <v>13284</v>
      </c>
      <c r="F1977" s="9" t="s">
        <v>13284</v>
      </c>
      <c r="G1977" s="9" t="s">
        <v>13284</v>
      </c>
      <c r="H1977" s="9" t="s">
        <v>13284</v>
      </c>
      <c r="I1977" s="9" t="s">
        <v>13284</v>
      </c>
      <c r="J1977" s="9" t="s">
        <v>13284</v>
      </c>
      <c r="K1977" s="9" t="s">
        <v>13284</v>
      </c>
      <c r="L1977" s="9" t="s">
        <v>13284</v>
      </c>
      <c r="M1977" s="9" t="s">
        <v>13284</v>
      </c>
      <c r="N1977" s="9" t="s">
        <v>13284</v>
      </c>
      <c r="O1977" s="9" t="s">
        <v>13284</v>
      </c>
      <c r="P1977" s="9" t="s">
        <v>13284</v>
      </c>
      <c r="Q1977" s="9" t="s">
        <v>13284</v>
      </c>
      <c r="R1977" s="9" t="s">
        <v>13284</v>
      </c>
      <c r="S1977" s="9" t="s">
        <v>13284</v>
      </c>
      <c r="T1977" s="9" t="str">
        <f ca="1">IFERROR(IF(AND(VLOOKUP(A1977, 'Актуальное состояние (из общего'!A:C,3,0) = "", A1977 &lt;&gt; ""), "ПРОВЕРИТЬ", VLOOKUP(A1977, 'Актуальное состояние (из общего'!A:C,3,0)), "")</f>
        <v/>
      </c>
      <c r="U1977" s="9" t="s">
        <v>13284</v>
      </c>
      <c r="V1977" s="9" t="s">
        <v>13284</v>
      </c>
      <c r="W1977" s="12"/>
      <c r="X1977" s="9" t="str">
        <f t="array" ref="X1977">IFERROR(INDEX('Адреса общежитий (скрытый)'!$B$2:$B$9, MATCH(W1977, 'Адреса общежитий (скрытый)'!$A$2:$A$9, 0)), "")</f>
        <v/>
      </c>
      <c r="Y1977" s="18"/>
      <c r="Z1977" s="18"/>
      <c r="AA1977" s="18"/>
      <c r="AB1977" s="18"/>
      <c r="AC1977" s="18"/>
    </row>
    <row r="1978" spans="1:29" ht="32.25" hidden="1" customHeight="1">
      <c r="A1978" s="17"/>
      <c r="B1978" s="9" t="s">
        <v>13284</v>
      </c>
      <c r="C1978" s="9" t="s">
        <v>13284</v>
      </c>
      <c r="D1978" s="9" t="s">
        <v>13284</v>
      </c>
      <c r="E1978" s="9" t="s">
        <v>13284</v>
      </c>
      <c r="F1978" s="9" t="s">
        <v>13284</v>
      </c>
      <c r="G1978" s="9" t="s">
        <v>13284</v>
      </c>
      <c r="H1978" s="9" t="s">
        <v>13284</v>
      </c>
      <c r="I1978" s="9" t="s">
        <v>13284</v>
      </c>
      <c r="J1978" s="9" t="s">
        <v>13284</v>
      </c>
      <c r="K1978" s="9" t="s">
        <v>13284</v>
      </c>
      <c r="L1978" s="9" t="s">
        <v>13284</v>
      </c>
      <c r="M1978" s="9" t="s">
        <v>13284</v>
      </c>
      <c r="N1978" s="9" t="s">
        <v>13284</v>
      </c>
      <c r="O1978" s="9" t="s">
        <v>13284</v>
      </c>
      <c r="P1978" s="9" t="s">
        <v>13284</v>
      </c>
      <c r="Q1978" s="9" t="s">
        <v>13284</v>
      </c>
      <c r="R1978" s="9" t="s">
        <v>13284</v>
      </c>
      <c r="S1978" s="9" t="s">
        <v>13284</v>
      </c>
      <c r="T1978" s="9" t="str">
        <f ca="1">IFERROR(IF(AND(VLOOKUP(A1978, 'Актуальное состояние (из общего'!A:C,3,0) = "", A1978 &lt;&gt; ""), "ПРОВЕРИТЬ", VLOOKUP(A1978, 'Актуальное состояние (из общего'!A:C,3,0)), "")</f>
        <v/>
      </c>
      <c r="U1978" s="9" t="s">
        <v>13284</v>
      </c>
      <c r="V1978" s="9" t="s">
        <v>13284</v>
      </c>
      <c r="W1978" s="12"/>
      <c r="X1978" s="9" t="str">
        <f t="array" ref="X1978">IFERROR(INDEX('Адреса общежитий (скрытый)'!$B$2:$B$9, MATCH(W1978, 'Адреса общежитий (скрытый)'!$A$2:$A$9, 0)), "")</f>
        <v/>
      </c>
      <c r="Y1978" s="18"/>
      <c r="Z1978" s="18"/>
      <c r="AA1978" s="18"/>
      <c r="AB1978" s="18"/>
      <c r="AC1978" s="18"/>
    </row>
    <row r="1979" spans="1:29" ht="32.25" hidden="1" customHeight="1">
      <c r="A1979" s="17"/>
      <c r="B1979" s="9" t="s">
        <v>13284</v>
      </c>
      <c r="C1979" s="9" t="s">
        <v>13284</v>
      </c>
      <c r="D1979" s="9" t="s">
        <v>13284</v>
      </c>
      <c r="E1979" s="9" t="s">
        <v>13284</v>
      </c>
      <c r="F1979" s="9" t="s">
        <v>13284</v>
      </c>
      <c r="G1979" s="9" t="s">
        <v>13284</v>
      </c>
      <c r="H1979" s="9" t="s">
        <v>13284</v>
      </c>
      <c r="I1979" s="9" t="s">
        <v>13284</v>
      </c>
      <c r="J1979" s="9" t="s">
        <v>13284</v>
      </c>
      <c r="K1979" s="9" t="s">
        <v>13284</v>
      </c>
      <c r="L1979" s="9" t="s">
        <v>13284</v>
      </c>
      <c r="M1979" s="9" t="s">
        <v>13284</v>
      </c>
      <c r="N1979" s="9" t="s">
        <v>13284</v>
      </c>
      <c r="O1979" s="9" t="s">
        <v>13284</v>
      </c>
      <c r="P1979" s="9" t="s">
        <v>13284</v>
      </c>
      <c r="Q1979" s="9" t="s">
        <v>13284</v>
      </c>
      <c r="R1979" s="9" t="s">
        <v>13284</v>
      </c>
      <c r="S1979" s="9" t="s">
        <v>13284</v>
      </c>
      <c r="T1979" s="9" t="str">
        <f ca="1">IFERROR(IF(AND(VLOOKUP(A1979, 'Актуальное состояние (из общего'!A:C,3,0) = "", A1979 &lt;&gt; ""), "ПРОВЕРИТЬ", VLOOKUP(A1979, 'Актуальное состояние (из общего'!A:C,3,0)), "")</f>
        <v/>
      </c>
      <c r="U1979" s="9" t="s">
        <v>13284</v>
      </c>
      <c r="V1979" s="9" t="s">
        <v>13284</v>
      </c>
      <c r="W1979" s="12"/>
      <c r="X1979" s="9" t="str">
        <f t="array" ref="X1979">IFERROR(INDEX('Адреса общежитий (скрытый)'!$B$2:$B$9, MATCH(W1979, 'Адреса общежитий (скрытый)'!$A$2:$A$9, 0)), "")</f>
        <v/>
      </c>
      <c r="Y1979" s="18"/>
      <c r="Z1979" s="18"/>
      <c r="AA1979" s="18"/>
      <c r="AB1979" s="18"/>
      <c r="AC1979" s="18"/>
    </row>
    <row r="1980" spans="1:29" ht="32.25" hidden="1" customHeight="1">
      <c r="A1980" s="17"/>
      <c r="B1980" s="9" t="s">
        <v>13284</v>
      </c>
      <c r="C1980" s="9" t="s">
        <v>13284</v>
      </c>
      <c r="D1980" s="9" t="s">
        <v>13284</v>
      </c>
      <c r="E1980" s="9" t="s">
        <v>13284</v>
      </c>
      <c r="F1980" s="9" t="s">
        <v>13284</v>
      </c>
      <c r="G1980" s="9" t="s">
        <v>13284</v>
      </c>
      <c r="H1980" s="9" t="s">
        <v>13284</v>
      </c>
      <c r="I1980" s="9" t="s">
        <v>13284</v>
      </c>
      <c r="J1980" s="9" t="s">
        <v>13284</v>
      </c>
      <c r="K1980" s="9" t="s">
        <v>13284</v>
      </c>
      <c r="L1980" s="9" t="s">
        <v>13284</v>
      </c>
      <c r="M1980" s="9" t="s">
        <v>13284</v>
      </c>
      <c r="N1980" s="9" t="s">
        <v>13284</v>
      </c>
      <c r="O1980" s="9" t="s">
        <v>13284</v>
      </c>
      <c r="P1980" s="9" t="s">
        <v>13284</v>
      </c>
      <c r="Q1980" s="9" t="s">
        <v>13284</v>
      </c>
      <c r="R1980" s="9" t="s">
        <v>13284</v>
      </c>
      <c r="S1980" s="9" t="s">
        <v>13284</v>
      </c>
      <c r="T1980" s="9" t="str">
        <f ca="1">IFERROR(IF(AND(VLOOKUP(A1980, 'Актуальное состояние (из общего'!A:C,3,0) = "", A1980 &lt;&gt; ""), "ПРОВЕРИТЬ", VLOOKUP(A1980, 'Актуальное состояние (из общего'!A:C,3,0)), "")</f>
        <v/>
      </c>
      <c r="U1980" s="9" t="s">
        <v>13284</v>
      </c>
      <c r="V1980" s="9" t="s">
        <v>13284</v>
      </c>
      <c r="W1980" s="12"/>
      <c r="X1980" s="9" t="str">
        <f t="array" ref="X1980">IFERROR(INDEX('Адреса общежитий (скрытый)'!$B$2:$B$9, MATCH(W1980, 'Адреса общежитий (скрытый)'!$A$2:$A$9, 0)), "")</f>
        <v/>
      </c>
      <c r="Y1980" s="18"/>
      <c r="Z1980" s="18"/>
      <c r="AA1980" s="18"/>
      <c r="AB1980" s="18"/>
      <c r="AC1980" s="18"/>
    </row>
    <row r="1981" spans="1:29" ht="32.25" hidden="1" customHeight="1">
      <c r="A1981" s="17"/>
      <c r="B1981" s="9" t="s">
        <v>13284</v>
      </c>
      <c r="C1981" s="9" t="s">
        <v>13284</v>
      </c>
      <c r="D1981" s="9" t="s">
        <v>13284</v>
      </c>
      <c r="E1981" s="9" t="s">
        <v>13284</v>
      </c>
      <c r="F1981" s="9" t="s">
        <v>13284</v>
      </c>
      <c r="G1981" s="9" t="s">
        <v>13284</v>
      </c>
      <c r="H1981" s="9" t="s">
        <v>13284</v>
      </c>
      <c r="I1981" s="9" t="s">
        <v>13284</v>
      </c>
      <c r="J1981" s="9" t="s">
        <v>13284</v>
      </c>
      <c r="K1981" s="9" t="s">
        <v>13284</v>
      </c>
      <c r="L1981" s="9" t="s">
        <v>13284</v>
      </c>
      <c r="M1981" s="9" t="s">
        <v>13284</v>
      </c>
      <c r="N1981" s="9" t="s">
        <v>13284</v>
      </c>
      <c r="O1981" s="9" t="s">
        <v>13284</v>
      </c>
      <c r="P1981" s="9" t="s">
        <v>13284</v>
      </c>
      <c r="Q1981" s="9" t="s">
        <v>13284</v>
      </c>
      <c r="R1981" s="9" t="s">
        <v>13284</v>
      </c>
      <c r="S1981" s="9" t="s">
        <v>13284</v>
      </c>
      <c r="T1981" s="9" t="str">
        <f ca="1">IFERROR(IF(AND(VLOOKUP(A1981, 'Актуальное состояние (из общего'!A:C,3,0) = "", A1981 &lt;&gt; ""), "ПРОВЕРИТЬ", VLOOKUP(A1981, 'Актуальное состояние (из общего'!A:C,3,0)), "")</f>
        <v/>
      </c>
      <c r="U1981" s="9" t="s">
        <v>13284</v>
      </c>
      <c r="V1981" s="9" t="s">
        <v>13284</v>
      </c>
      <c r="W1981" s="12"/>
      <c r="X1981" s="9" t="str">
        <f t="array" ref="X1981">IFERROR(INDEX('Адреса общежитий (скрытый)'!$B$2:$B$9, MATCH(W1981, 'Адреса общежитий (скрытый)'!$A$2:$A$9, 0)), "")</f>
        <v/>
      </c>
      <c r="Y1981" s="18"/>
      <c r="Z1981" s="18"/>
      <c r="AA1981" s="18"/>
      <c r="AB1981" s="18"/>
      <c r="AC1981" s="18"/>
    </row>
    <row r="1982" spans="1:29" ht="32.25" hidden="1" customHeight="1">
      <c r="A1982" s="17"/>
      <c r="B1982" s="9" t="s">
        <v>13284</v>
      </c>
      <c r="C1982" s="9" t="s">
        <v>13284</v>
      </c>
      <c r="D1982" s="9" t="s">
        <v>13284</v>
      </c>
      <c r="E1982" s="9" t="s">
        <v>13284</v>
      </c>
      <c r="F1982" s="9" t="s">
        <v>13284</v>
      </c>
      <c r="G1982" s="9" t="s">
        <v>13284</v>
      </c>
      <c r="H1982" s="9" t="s">
        <v>13284</v>
      </c>
      <c r="I1982" s="9" t="s">
        <v>13284</v>
      </c>
      <c r="J1982" s="9" t="s">
        <v>13284</v>
      </c>
      <c r="K1982" s="9" t="s">
        <v>13284</v>
      </c>
      <c r="L1982" s="9" t="s">
        <v>13284</v>
      </c>
      <c r="M1982" s="9" t="s">
        <v>13284</v>
      </c>
      <c r="N1982" s="9" t="s">
        <v>13284</v>
      </c>
      <c r="O1982" s="9" t="s">
        <v>13284</v>
      </c>
      <c r="P1982" s="9" t="s">
        <v>13284</v>
      </c>
      <c r="Q1982" s="9" t="s">
        <v>13284</v>
      </c>
      <c r="R1982" s="9" t="s">
        <v>13284</v>
      </c>
      <c r="S1982" s="9" t="s">
        <v>13284</v>
      </c>
      <c r="T1982" s="9" t="str">
        <f ca="1">IFERROR(IF(AND(VLOOKUP(A1982, 'Актуальное состояние (из общего'!A:C,3,0) = "", A1982 &lt;&gt; ""), "ПРОВЕРИТЬ", VLOOKUP(A1982, 'Актуальное состояние (из общего'!A:C,3,0)), "")</f>
        <v/>
      </c>
      <c r="U1982" s="9" t="s">
        <v>13284</v>
      </c>
      <c r="V1982" s="9" t="s">
        <v>13284</v>
      </c>
      <c r="W1982" s="12"/>
      <c r="X1982" s="9" t="str">
        <f t="array" ref="X1982">IFERROR(INDEX('Адреса общежитий (скрытый)'!$B$2:$B$9, MATCH(W1982, 'Адреса общежитий (скрытый)'!$A$2:$A$9, 0)), "")</f>
        <v/>
      </c>
      <c r="Y1982" s="18"/>
      <c r="Z1982" s="18"/>
      <c r="AA1982" s="18"/>
      <c r="AB1982" s="18"/>
      <c r="AC1982" s="18"/>
    </row>
    <row r="1983" spans="1:29" ht="32.25" hidden="1" customHeight="1">
      <c r="A1983" s="17"/>
      <c r="B1983" s="9" t="s">
        <v>13284</v>
      </c>
      <c r="C1983" s="9" t="s">
        <v>13284</v>
      </c>
      <c r="D1983" s="9" t="s">
        <v>13284</v>
      </c>
      <c r="E1983" s="9" t="s">
        <v>13284</v>
      </c>
      <c r="F1983" s="9" t="s">
        <v>13284</v>
      </c>
      <c r="G1983" s="9" t="s">
        <v>13284</v>
      </c>
      <c r="H1983" s="9" t="s">
        <v>13284</v>
      </c>
      <c r="I1983" s="9" t="s">
        <v>13284</v>
      </c>
      <c r="J1983" s="9" t="s">
        <v>13284</v>
      </c>
      <c r="K1983" s="9" t="s">
        <v>13284</v>
      </c>
      <c r="L1983" s="9" t="s">
        <v>13284</v>
      </c>
      <c r="M1983" s="9" t="s">
        <v>13284</v>
      </c>
      <c r="N1983" s="9" t="s">
        <v>13284</v>
      </c>
      <c r="O1983" s="9" t="s">
        <v>13284</v>
      </c>
      <c r="P1983" s="9" t="s">
        <v>13284</v>
      </c>
      <c r="Q1983" s="9" t="s">
        <v>13284</v>
      </c>
      <c r="R1983" s="9" t="s">
        <v>13284</v>
      </c>
      <c r="S1983" s="9" t="s">
        <v>13284</v>
      </c>
      <c r="T1983" s="9" t="str">
        <f ca="1">IFERROR(IF(AND(VLOOKUP(A1983, 'Актуальное состояние (из общего'!A:C,3,0) = "", A1983 &lt;&gt; ""), "ПРОВЕРИТЬ", VLOOKUP(A1983, 'Актуальное состояние (из общего'!A:C,3,0)), "")</f>
        <v/>
      </c>
      <c r="U1983" s="9" t="s">
        <v>13284</v>
      </c>
      <c r="V1983" s="9" t="s">
        <v>13284</v>
      </c>
      <c r="W1983" s="12"/>
      <c r="X1983" s="9" t="str">
        <f t="array" ref="X1983">IFERROR(INDEX('Адреса общежитий (скрытый)'!$B$2:$B$9, MATCH(W1983, 'Адреса общежитий (скрытый)'!$A$2:$A$9, 0)), "")</f>
        <v/>
      </c>
      <c r="Y1983" s="18"/>
      <c r="Z1983" s="18"/>
      <c r="AA1983" s="18"/>
      <c r="AB1983" s="18"/>
      <c r="AC1983" s="18"/>
    </row>
    <row r="1984" spans="1:29" ht="32.25" hidden="1" customHeight="1">
      <c r="A1984" s="17"/>
      <c r="B1984" s="9" t="s">
        <v>13284</v>
      </c>
      <c r="C1984" s="9" t="s">
        <v>13284</v>
      </c>
      <c r="D1984" s="9" t="s">
        <v>13284</v>
      </c>
      <c r="E1984" s="9" t="s">
        <v>13284</v>
      </c>
      <c r="F1984" s="9" t="s">
        <v>13284</v>
      </c>
      <c r="G1984" s="9" t="s">
        <v>13284</v>
      </c>
      <c r="H1984" s="9" t="s">
        <v>13284</v>
      </c>
      <c r="I1984" s="9" t="s">
        <v>13284</v>
      </c>
      <c r="J1984" s="9" t="s">
        <v>13284</v>
      </c>
      <c r="K1984" s="9" t="s">
        <v>13284</v>
      </c>
      <c r="L1984" s="9" t="s">
        <v>13284</v>
      </c>
      <c r="M1984" s="9" t="s">
        <v>13284</v>
      </c>
      <c r="N1984" s="9" t="s">
        <v>13284</v>
      </c>
      <c r="O1984" s="9" t="s">
        <v>13284</v>
      </c>
      <c r="P1984" s="9" t="s">
        <v>13284</v>
      </c>
      <c r="Q1984" s="9" t="s">
        <v>13284</v>
      </c>
      <c r="R1984" s="9" t="s">
        <v>13284</v>
      </c>
      <c r="S1984" s="9" t="s">
        <v>13284</v>
      </c>
      <c r="T1984" s="9" t="str">
        <f ca="1">IFERROR(IF(AND(VLOOKUP(A1984, 'Актуальное состояние (из общего'!A:C,3,0) = "", A1984 &lt;&gt; ""), "ПРОВЕРИТЬ", VLOOKUP(A1984, 'Актуальное состояние (из общего'!A:C,3,0)), "")</f>
        <v/>
      </c>
      <c r="U1984" s="9" t="s">
        <v>13284</v>
      </c>
      <c r="V1984" s="9" t="s">
        <v>13284</v>
      </c>
      <c r="W1984" s="12"/>
      <c r="X1984" s="9" t="str">
        <f t="array" ref="X1984">IFERROR(INDEX('Адреса общежитий (скрытый)'!$B$2:$B$9, MATCH(W1984, 'Адреса общежитий (скрытый)'!$A$2:$A$9, 0)), "")</f>
        <v/>
      </c>
      <c r="Y1984" s="18"/>
      <c r="Z1984" s="18"/>
      <c r="AA1984" s="18"/>
      <c r="AB1984" s="18"/>
      <c r="AC1984" s="18"/>
    </row>
    <row r="1985" spans="1:29" ht="32.25" hidden="1" customHeight="1">
      <c r="A1985" s="17"/>
      <c r="B1985" s="9" t="s">
        <v>13284</v>
      </c>
      <c r="C1985" s="9" t="s">
        <v>13284</v>
      </c>
      <c r="D1985" s="9" t="s">
        <v>13284</v>
      </c>
      <c r="E1985" s="9" t="s">
        <v>13284</v>
      </c>
      <c r="F1985" s="9" t="s">
        <v>13284</v>
      </c>
      <c r="G1985" s="9" t="s">
        <v>13284</v>
      </c>
      <c r="H1985" s="9" t="s">
        <v>13284</v>
      </c>
      <c r="I1985" s="9" t="s">
        <v>13284</v>
      </c>
      <c r="J1985" s="9" t="s">
        <v>13284</v>
      </c>
      <c r="K1985" s="9" t="s">
        <v>13284</v>
      </c>
      <c r="L1985" s="9" t="s">
        <v>13284</v>
      </c>
      <c r="M1985" s="9" t="s">
        <v>13284</v>
      </c>
      <c r="N1985" s="9" t="s">
        <v>13284</v>
      </c>
      <c r="O1985" s="9" t="s">
        <v>13284</v>
      </c>
      <c r="P1985" s="9" t="s">
        <v>13284</v>
      </c>
      <c r="Q1985" s="9" t="s">
        <v>13284</v>
      </c>
      <c r="R1985" s="9" t="s">
        <v>13284</v>
      </c>
      <c r="S1985" s="9" t="s">
        <v>13284</v>
      </c>
      <c r="T1985" s="9" t="str">
        <f ca="1">IFERROR(IF(AND(VLOOKUP(A1985, 'Актуальное состояние (из общего'!A:C,3,0) = "", A1985 &lt;&gt; ""), "ПРОВЕРИТЬ", VLOOKUP(A1985, 'Актуальное состояние (из общего'!A:C,3,0)), "")</f>
        <v/>
      </c>
      <c r="U1985" s="9" t="s">
        <v>13284</v>
      </c>
      <c r="V1985" s="9" t="s">
        <v>13284</v>
      </c>
      <c r="W1985" s="12"/>
      <c r="X1985" s="9" t="str">
        <f t="array" ref="X1985">IFERROR(INDEX('Адреса общежитий (скрытый)'!$B$2:$B$9, MATCH(W1985, 'Адреса общежитий (скрытый)'!$A$2:$A$9, 0)), "")</f>
        <v/>
      </c>
      <c r="Y1985" s="18"/>
      <c r="Z1985" s="18"/>
      <c r="AA1985" s="18"/>
      <c r="AB1985" s="18"/>
      <c r="AC1985" s="18"/>
    </row>
    <row r="1986" spans="1:29" ht="32.25" hidden="1" customHeight="1">
      <c r="A1986" s="17"/>
      <c r="B1986" s="9" t="s">
        <v>13284</v>
      </c>
      <c r="C1986" s="9" t="s">
        <v>13284</v>
      </c>
      <c r="D1986" s="9" t="s">
        <v>13284</v>
      </c>
      <c r="E1986" s="9" t="s">
        <v>13284</v>
      </c>
      <c r="F1986" s="9" t="s">
        <v>13284</v>
      </c>
      <c r="G1986" s="9" t="s">
        <v>13284</v>
      </c>
      <c r="H1986" s="9" t="s">
        <v>13284</v>
      </c>
      <c r="I1986" s="9" t="s">
        <v>13284</v>
      </c>
      <c r="J1986" s="9" t="s">
        <v>13284</v>
      </c>
      <c r="K1986" s="9" t="s">
        <v>13284</v>
      </c>
      <c r="L1986" s="9" t="s">
        <v>13284</v>
      </c>
      <c r="M1986" s="9" t="s">
        <v>13284</v>
      </c>
      <c r="N1986" s="9" t="s">
        <v>13284</v>
      </c>
      <c r="O1986" s="9" t="s">
        <v>13284</v>
      </c>
      <c r="P1986" s="9" t="s">
        <v>13284</v>
      </c>
      <c r="Q1986" s="9" t="s">
        <v>13284</v>
      </c>
      <c r="R1986" s="9" t="s">
        <v>13284</v>
      </c>
      <c r="S1986" s="9" t="s">
        <v>13284</v>
      </c>
      <c r="T1986" s="9" t="str">
        <f ca="1">IFERROR(IF(AND(VLOOKUP(A1986, 'Актуальное состояние (из общего'!A:C,3,0) = "", A1986 &lt;&gt; ""), "ПРОВЕРИТЬ", VLOOKUP(A1986, 'Актуальное состояние (из общего'!A:C,3,0)), "")</f>
        <v/>
      </c>
      <c r="U1986" s="9" t="s">
        <v>13284</v>
      </c>
      <c r="V1986" s="9" t="s">
        <v>13284</v>
      </c>
      <c r="W1986" s="12"/>
      <c r="X1986" s="9" t="str">
        <f t="array" ref="X1986">IFERROR(INDEX('Адреса общежитий (скрытый)'!$B$2:$B$9, MATCH(W1986, 'Адреса общежитий (скрытый)'!$A$2:$A$9, 0)), "")</f>
        <v/>
      </c>
      <c r="Y1986" s="18"/>
      <c r="Z1986" s="18"/>
      <c r="AA1986" s="18"/>
      <c r="AB1986" s="18"/>
      <c r="AC1986" s="18"/>
    </row>
    <row r="1987" spans="1:29" ht="32.25" hidden="1" customHeight="1">
      <c r="A1987" s="17"/>
      <c r="B1987" s="9" t="s">
        <v>13284</v>
      </c>
      <c r="C1987" s="9" t="s">
        <v>13284</v>
      </c>
      <c r="D1987" s="9" t="s">
        <v>13284</v>
      </c>
      <c r="E1987" s="9" t="s">
        <v>13284</v>
      </c>
      <c r="F1987" s="9" t="s">
        <v>13284</v>
      </c>
      <c r="G1987" s="9" t="s">
        <v>13284</v>
      </c>
      <c r="H1987" s="9" t="s">
        <v>13284</v>
      </c>
      <c r="I1987" s="9" t="s">
        <v>13284</v>
      </c>
      <c r="J1987" s="9" t="s">
        <v>13284</v>
      </c>
      <c r="K1987" s="9" t="s">
        <v>13284</v>
      </c>
      <c r="L1987" s="9" t="s">
        <v>13284</v>
      </c>
      <c r="M1987" s="9" t="s">
        <v>13284</v>
      </c>
      <c r="N1987" s="9" t="s">
        <v>13284</v>
      </c>
      <c r="O1987" s="9" t="s">
        <v>13284</v>
      </c>
      <c r="P1987" s="9" t="s">
        <v>13284</v>
      </c>
      <c r="Q1987" s="9" t="s">
        <v>13284</v>
      </c>
      <c r="R1987" s="9" t="s">
        <v>13284</v>
      </c>
      <c r="S1987" s="9" t="s">
        <v>13284</v>
      </c>
      <c r="T1987" s="9" t="str">
        <f ca="1">IFERROR(IF(AND(VLOOKUP(A1987, 'Актуальное состояние (из общего'!A:C,3,0) = "", A1987 &lt;&gt; ""), "ПРОВЕРИТЬ", VLOOKUP(A1987, 'Актуальное состояние (из общего'!A:C,3,0)), "")</f>
        <v/>
      </c>
      <c r="U1987" s="9" t="s">
        <v>13284</v>
      </c>
      <c r="V1987" s="9" t="s">
        <v>13284</v>
      </c>
      <c r="W1987" s="12"/>
      <c r="X1987" s="9" t="str">
        <f t="array" ref="X1987">IFERROR(INDEX('Адреса общежитий (скрытый)'!$B$2:$B$9, MATCH(W1987, 'Адреса общежитий (скрытый)'!$A$2:$A$9, 0)), "")</f>
        <v/>
      </c>
      <c r="Y1987" s="18"/>
      <c r="Z1987" s="18"/>
      <c r="AA1987" s="18"/>
      <c r="AB1987" s="18"/>
      <c r="AC1987" s="18"/>
    </row>
    <row r="1988" spans="1:29" ht="32.25" hidden="1" customHeight="1">
      <c r="A1988" s="17"/>
      <c r="B1988" s="9" t="s">
        <v>13284</v>
      </c>
      <c r="C1988" s="9" t="s">
        <v>13284</v>
      </c>
      <c r="D1988" s="9" t="s">
        <v>13284</v>
      </c>
      <c r="E1988" s="9" t="s">
        <v>13284</v>
      </c>
      <c r="F1988" s="9" t="s">
        <v>13284</v>
      </c>
      <c r="G1988" s="9" t="s">
        <v>13284</v>
      </c>
      <c r="H1988" s="9" t="s">
        <v>13284</v>
      </c>
      <c r="I1988" s="9" t="s">
        <v>13284</v>
      </c>
      <c r="J1988" s="9" t="s">
        <v>13284</v>
      </c>
      <c r="K1988" s="9" t="s">
        <v>13284</v>
      </c>
      <c r="L1988" s="9" t="s">
        <v>13284</v>
      </c>
      <c r="M1988" s="9" t="s">
        <v>13284</v>
      </c>
      <c r="N1988" s="9" t="s">
        <v>13284</v>
      </c>
      <c r="O1988" s="9" t="s">
        <v>13284</v>
      </c>
      <c r="P1988" s="9" t="s">
        <v>13284</v>
      </c>
      <c r="Q1988" s="9" t="s">
        <v>13284</v>
      </c>
      <c r="R1988" s="9" t="s">
        <v>13284</v>
      </c>
      <c r="S1988" s="9" t="s">
        <v>13284</v>
      </c>
      <c r="T1988" s="9" t="str">
        <f ca="1">IFERROR(IF(AND(VLOOKUP(A1988, 'Актуальное состояние (из общего'!A:C,3,0) = "", A1988 &lt;&gt; ""), "ПРОВЕРИТЬ", VLOOKUP(A1988, 'Актуальное состояние (из общего'!A:C,3,0)), "")</f>
        <v/>
      </c>
      <c r="U1988" s="9" t="s">
        <v>13284</v>
      </c>
      <c r="V1988" s="9" t="s">
        <v>13284</v>
      </c>
      <c r="W1988" s="12"/>
      <c r="X1988" s="9" t="str">
        <f t="array" ref="X1988">IFERROR(INDEX('Адреса общежитий (скрытый)'!$B$2:$B$9, MATCH(W1988, 'Адреса общежитий (скрытый)'!$A$2:$A$9, 0)), "")</f>
        <v/>
      </c>
      <c r="Y1988" s="18"/>
      <c r="Z1988" s="18"/>
      <c r="AA1988" s="18"/>
      <c r="AB1988" s="18"/>
      <c r="AC1988" s="18"/>
    </row>
    <row r="1989" spans="1:29" ht="32.25" hidden="1" customHeight="1">
      <c r="A1989" s="17"/>
      <c r="B1989" s="9" t="s">
        <v>13284</v>
      </c>
      <c r="C1989" s="9" t="s">
        <v>13284</v>
      </c>
      <c r="D1989" s="9" t="s">
        <v>13284</v>
      </c>
      <c r="E1989" s="9" t="s">
        <v>13284</v>
      </c>
      <c r="F1989" s="9" t="s">
        <v>13284</v>
      </c>
      <c r="G1989" s="9" t="s">
        <v>13284</v>
      </c>
      <c r="H1989" s="9" t="s">
        <v>13284</v>
      </c>
      <c r="I1989" s="9" t="s">
        <v>13284</v>
      </c>
      <c r="J1989" s="9" t="s">
        <v>13284</v>
      </c>
      <c r="K1989" s="9" t="s">
        <v>13284</v>
      </c>
      <c r="L1989" s="9" t="s">
        <v>13284</v>
      </c>
      <c r="M1989" s="9" t="s">
        <v>13284</v>
      </c>
      <c r="N1989" s="9" t="s">
        <v>13284</v>
      </c>
      <c r="O1989" s="9" t="s">
        <v>13284</v>
      </c>
      <c r="P1989" s="9" t="s">
        <v>13284</v>
      </c>
      <c r="Q1989" s="9" t="s">
        <v>13284</v>
      </c>
      <c r="R1989" s="9" t="s">
        <v>13284</v>
      </c>
      <c r="S1989" s="9" t="s">
        <v>13284</v>
      </c>
      <c r="T1989" s="9" t="str">
        <f ca="1">IFERROR(IF(AND(VLOOKUP(A1989, 'Актуальное состояние (из общего'!A:C,3,0) = "", A1989 &lt;&gt; ""), "ПРОВЕРИТЬ", VLOOKUP(A1989, 'Актуальное состояние (из общего'!A:C,3,0)), "")</f>
        <v/>
      </c>
      <c r="U1989" s="9" t="s">
        <v>13284</v>
      </c>
      <c r="V1989" s="9" t="s">
        <v>13284</v>
      </c>
      <c r="W1989" s="12"/>
      <c r="X1989" s="9" t="str">
        <f t="array" ref="X1989">IFERROR(INDEX('Адреса общежитий (скрытый)'!$B$2:$B$9, MATCH(W1989, 'Адреса общежитий (скрытый)'!$A$2:$A$9, 0)), "")</f>
        <v/>
      </c>
      <c r="Y1989" s="18"/>
      <c r="Z1989" s="18"/>
      <c r="AA1989" s="18"/>
      <c r="AB1989" s="18"/>
      <c r="AC1989" s="18"/>
    </row>
    <row r="1990" spans="1:29" ht="32.25" hidden="1" customHeight="1">
      <c r="A1990" s="17"/>
      <c r="B1990" s="9" t="s">
        <v>13284</v>
      </c>
      <c r="C1990" s="9" t="s">
        <v>13284</v>
      </c>
      <c r="D1990" s="9" t="s">
        <v>13284</v>
      </c>
      <c r="E1990" s="9" t="s">
        <v>13284</v>
      </c>
      <c r="F1990" s="9" t="s">
        <v>13284</v>
      </c>
      <c r="G1990" s="9" t="s">
        <v>13284</v>
      </c>
      <c r="H1990" s="9" t="s">
        <v>13284</v>
      </c>
      <c r="I1990" s="9" t="s">
        <v>13284</v>
      </c>
      <c r="J1990" s="9" t="s">
        <v>13284</v>
      </c>
      <c r="K1990" s="9" t="s">
        <v>13284</v>
      </c>
      <c r="L1990" s="9" t="s">
        <v>13284</v>
      </c>
      <c r="M1990" s="9" t="s">
        <v>13284</v>
      </c>
      <c r="N1990" s="9" t="s">
        <v>13284</v>
      </c>
      <c r="O1990" s="9" t="s">
        <v>13284</v>
      </c>
      <c r="P1990" s="9" t="s">
        <v>13284</v>
      </c>
      <c r="Q1990" s="9" t="s">
        <v>13284</v>
      </c>
      <c r="R1990" s="9" t="s">
        <v>13284</v>
      </c>
      <c r="S1990" s="9" t="s">
        <v>13284</v>
      </c>
      <c r="T1990" s="9" t="str">
        <f ca="1">IFERROR(IF(AND(VLOOKUP(A1990, 'Актуальное состояние (из общего'!A:C,3,0) = "", A1990 &lt;&gt; ""), "ПРОВЕРИТЬ", VLOOKUP(A1990, 'Актуальное состояние (из общего'!A:C,3,0)), "")</f>
        <v/>
      </c>
      <c r="U1990" s="9" t="s">
        <v>13284</v>
      </c>
      <c r="V1990" s="9" t="s">
        <v>13284</v>
      </c>
      <c r="W1990" s="12"/>
      <c r="X1990" s="9" t="str">
        <f t="array" ref="X1990">IFERROR(INDEX('Адреса общежитий (скрытый)'!$B$2:$B$9, MATCH(W1990, 'Адреса общежитий (скрытый)'!$A$2:$A$9, 0)), "")</f>
        <v/>
      </c>
      <c r="Y1990" s="18"/>
      <c r="Z1990" s="18"/>
      <c r="AA1990" s="18"/>
      <c r="AB1990" s="18"/>
      <c r="AC1990" s="18"/>
    </row>
    <row r="1991" spans="1:29" ht="32.25" hidden="1" customHeight="1">
      <c r="A1991" s="17"/>
      <c r="B1991" s="9" t="s">
        <v>13284</v>
      </c>
      <c r="C1991" s="9" t="s">
        <v>13284</v>
      </c>
      <c r="D1991" s="9" t="s">
        <v>13284</v>
      </c>
      <c r="E1991" s="9" t="s">
        <v>13284</v>
      </c>
      <c r="F1991" s="9" t="s">
        <v>13284</v>
      </c>
      <c r="G1991" s="9" t="s">
        <v>13284</v>
      </c>
      <c r="H1991" s="9" t="s">
        <v>13284</v>
      </c>
      <c r="I1991" s="9" t="s">
        <v>13284</v>
      </c>
      <c r="J1991" s="9" t="s">
        <v>13284</v>
      </c>
      <c r="K1991" s="9" t="s">
        <v>13284</v>
      </c>
      <c r="L1991" s="9" t="s">
        <v>13284</v>
      </c>
      <c r="M1991" s="9" t="s">
        <v>13284</v>
      </c>
      <c r="N1991" s="9" t="s">
        <v>13284</v>
      </c>
      <c r="O1991" s="9" t="s">
        <v>13284</v>
      </c>
      <c r="P1991" s="9" t="s">
        <v>13284</v>
      </c>
      <c r="Q1991" s="9" t="s">
        <v>13284</v>
      </c>
      <c r="R1991" s="9" t="s">
        <v>13284</v>
      </c>
      <c r="S1991" s="9" t="s">
        <v>13284</v>
      </c>
      <c r="T1991" s="9" t="str">
        <f ca="1">IFERROR(IF(AND(VLOOKUP(A1991, 'Актуальное состояние (из общего'!A:C,3,0) = "", A1991 &lt;&gt; ""), "ПРОВЕРИТЬ", VLOOKUP(A1991, 'Актуальное состояние (из общего'!A:C,3,0)), "")</f>
        <v/>
      </c>
      <c r="U1991" s="9" t="s">
        <v>13284</v>
      </c>
      <c r="V1991" s="9" t="s">
        <v>13284</v>
      </c>
      <c r="W1991" s="12"/>
      <c r="X1991" s="9" t="str">
        <f t="array" ref="X1991">IFERROR(INDEX('Адреса общежитий (скрытый)'!$B$2:$B$9, MATCH(W1991, 'Адреса общежитий (скрытый)'!$A$2:$A$9, 0)), "")</f>
        <v/>
      </c>
      <c r="Y1991" s="18"/>
      <c r="Z1991" s="18"/>
      <c r="AA1991" s="18"/>
      <c r="AB1991" s="18"/>
      <c r="AC1991" s="18"/>
    </row>
    <row r="1992" spans="1:29" ht="32.25" hidden="1" customHeight="1">
      <c r="A1992" s="17"/>
      <c r="B1992" s="9" t="s">
        <v>13284</v>
      </c>
      <c r="C1992" s="9" t="s">
        <v>13284</v>
      </c>
      <c r="D1992" s="9" t="s">
        <v>13284</v>
      </c>
      <c r="E1992" s="9" t="s">
        <v>13284</v>
      </c>
      <c r="F1992" s="9" t="s">
        <v>13284</v>
      </c>
      <c r="G1992" s="9" t="s">
        <v>13284</v>
      </c>
      <c r="H1992" s="9" t="s">
        <v>13284</v>
      </c>
      <c r="I1992" s="9" t="s">
        <v>13284</v>
      </c>
      <c r="J1992" s="9" t="s">
        <v>13284</v>
      </c>
      <c r="K1992" s="9" t="s">
        <v>13284</v>
      </c>
      <c r="L1992" s="9" t="s">
        <v>13284</v>
      </c>
      <c r="M1992" s="9" t="s">
        <v>13284</v>
      </c>
      <c r="N1992" s="9" t="s">
        <v>13284</v>
      </c>
      <c r="O1992" s="9" t="s">
        <v>13284</v>
      </c>
      <c r="P1992" s="9" t="s">
        <v>13284</v>
      </c>
      <c r="Q1992" s="9" t="s">
        <v>13284</v>
      </c>
      <c r="R1992" s="9" t="s">
        <v>13284</v>
      </c>
      <c r="S1992" s="9" t="s">
        <v>13284</v>
      </c>
      <c r="T1992" s="9" t="str">
        <f ca="1">IFERROR(IF(AND(VLOOKUP(A1992, 'Актуальное состояние (из общего'!A:C,3,0) = "", A1992 &lt;&gt; ""), "ПРОВЕРИТЬ", VLOOKUP(A1992, 'Актуальное состояние (из общего'!A:C,3,0)), "")</f>
        <v/>
      </c>
      <c r="U1992" s="9" t="s">
        <v>13284</v>
      </c>
      <c r="V1992" s="9" t="s">
        <v>13284</v>
      </c>
      <c r="W1992" s="12"/>
      <c r="X1992" s="9" t="str">
        <f t="array" ref="X1992">IFERROR(INDEX('Адреса общежитий (скрытый)'!$B$2:$B$9, MATCH(W1992, 'Адреса общежитий (скрытый)'!$A$2:$A$9, 0)), "")</f>
        <v/>
      </c>
      <c r="Y1992" s="18"/>
      <c r="Z1992" s="18"/>
      <c r="AA1992" s="18"/>
      <c r="AB1992" s="18"/>
      <c r="AC1992" s="18"/>
    </row>
    <row r="1993" spans="1:29" ht="32.25" hidden="1" customHeight="1">
      <c r="A1993" s="17"/>
      <c r="B1993" s="9" t="s">
        <v>13284</v>
      </c>
      <c r="C1993" s="9" t="s">
        <v>13284</v>
      </c>
      <c r="D1993" s="9" t="s">
        <v>13284</v>
      </c>
      <c r="E1993" s="9" t="s">
        <v>13284</v>
      </c>
      <c r="F1993" s="9" t="s">
        <v>13284</v>
      </c>
      <c r="G1993" s="9" t="s">
        <v>13284</v>
      </c>
      <c r="H1993" s="9" t="s">
        <v>13284</v>
      </c>
      <c r="I1993" s="9" t="s">
        <v>13284</v>
      </c>
      <c r="J1993" s="9" t="s">
        <v>13284</v>
      </c>
      <c r="K1993" s="9" t="s">
        <v>13284</v>
      </c>
      <c r="L1993" s="9" t="s">
        <v>13284</v>
      </c>
      <c r="M1993" s="9" t="s">
        <v>13284</v>
      </c>
      <c r="N1993" s="9" t="s">
        <v>13284</v>
      </c>
      <c r="O1993" s="9" t="s">
        <v>13284</v>
      </c>
      <c r="P1993" s="9" t="s">
        <v>13284</v>
      </c>
      <c r="Q1993" s="9" t="s">
        <v>13284</v>
      </c>
      <c r="R1993" s="9" t="s">
        <v>13284</v>
      </c>
      <c r="S1993" s="9" t="s">
        <v>13284</v>
      </c>
      <c r="T1993" s="9" t="str">
        <f ca="1">IFERROR(IF(AND(VLOOKUP(A1993, 'Актуальное состояние (из общего'!A:C,3,0) = "", A1993 &lt;&gt; ""), "ПРОВЕРИТЬ", VLOOKUP(A1993, 'Актуальное состояние (из общего'!A:C,3,0)), "")</f>
        <v/>
      </c>
      <c r="U1993" s="9" t="s">
        <v>13284</v>
      </c>
      <c r="V1993" s="9" t="s">
        <v>13284</v>
      </c>
      <c r="W1993" s="12"/>
      <c r="X1993" s="9" t="str">
        <f t="array" ref="X1993">IFERROR(INDEX('Адреса общежитий (скрытый)'!$B$2:$B$9, MATCH(W1993, 'Адреса общежитий (скрытый)'!$A$2:$A$9, 0)), "")</f>
        <v/>
      </c>
      <c r="Y1993" s="18"/>
      <c r="Z1993" s="18"/>
      <c r="AA1993" s="18"/>
      <c r="AB1993" s="18"/>
      <c r="AC1993" s="18"/>
    </row>
    <row r="1994" spans="1:29" ht="32.25" hidden="1" customHeight="1">
      <c r="A1994" s="17"/>
      <c r="B1994" s="9" t="s">
        <v>13284</v>
      </c>
      <c r="C1994" s="9" t="s">
        <v>13284</v>
      </c>
      <c r="D1994" s="9" t="s">
        <v>13284</v>
      </c>
      <c r="E1994" s="9" t="s">
        <v>13284</v>
      </c>
      <c r="F1994" s="9" t="s">
        <v>13284</v>
      </c>
      <c r="G1994" s="9" t="s">
        <v>13284</v>
      </c>
      <c r="H1994" s="9" t="s">
        <v>13284</v>
      </c>
      <c r="I1994" s="9" t="s">
        <v>13284</v>
      </c>
      <c r="J1994" s="9" t="s">
        <v>13284</v>
      </c>
      <c r="K1994" s="9" t="s">
        <v>13284</v>
      </c>
      <c r="L1994" s="9" t="s">
        <v>13284</v>
      </c>
      <c r="M1994" s="9" t="s">
        <v>13284</v>
      </c>
      <c r="N1994" s="9" t="s">
        <v>13284</v>
      </c>
      <c r="O1994" s="9" t="s">
        <v>13284</v>
      </c>
      <c r="P1994" s="9" t="s">
        <v>13284</v>
      </c>
      <c r="Q1994" s="9" t="s">
        <v>13284</v>
      </c>
      <c r="R1994" s="9" t="s">
        <v>13284</v>
      </c>
      <c r="S1994" s="9" t="s">
        <v>13284</v>
      </c>
      <c r="T1994" s="9" t="str">
        <f ca="1">IFERROR(IF(AND(VLOOKUP(A1994, 'Актуальное состояние (из общего'!A:C,3,0) = "", A1994 &lt;&gt; ""), "ПРОВЕРИТЬ", VLOOKUP(A1994, 'Актуальное состояние (из общего'!A:C,3,0)), "")</f>
        <v/>
      </c>
      <c r="U1994" s="9" t="s">
        <v>13284</v>
      </c>
      <c r="V1994" s="9" t="s">
        <v>13284</v>
      </c>
      <c r="W1994" s="12"/>
      <c r="X1994" s="9" t="str">
        <f t="array" ref="X1994">IFERROR(INDEX('Адреса общежитий (скрытый)'!$B$2:$B$9, MATCH(W1994, 'Адреса общежитий (скрытый)'!$A$2:$A$9, 0)), "")</f>
        <v/>
      </c>
      <c r="Y1994" s="18"/>
      <c r="Z1994" s="18"/>
      <c r="AA1994" s="18"/>
      <c r="AB1994" s="18"/>
      <c r="AC1994" s="18"/>
    </row>
    <row r="1995" spans="1:29" ht="32.25" hidden="1" customHeight="1">
      <c r="A1995" s="17"/>
      <c r="B1995" s="9" t="s">
        <v>13284</v>
      </c>
      <c r="C1995" s="9" t="s">
        <v>13284</v>
      </c>
      <c r="D1995" s="9" t="s">
        <v>13284</v>
      </c>
      <c r="E1995" s="9" t="s">
        <v>13284</v>
      </c>
      <c r="F1995" s="9" t="s">
        <v>13284</v>
      </c>
      <c r="G1995" s="9" t="s">
        <v>13284</v>
      </c>
      <c r="H1995" s="9" t="s">
        <v>13284</v>
      </c>
      <c r="I1995" s="9" t="s">
        <v>13284</v>
      </c>
      <c r="J1995" s="9" t="s">
        <v>13284</v>
      </c>
      <c r="K1995" s="9" t="s">
        <v>13284</v>
      </c>
      <c r="L1995" s="9" t="s">
        <v>13284</v>
      </c>
      <c r="M1995" s="9" t="s">
        <v>13284</v>
      </c>
      <c r="N1995" s="9" t="s">
        <v>13284</v>
      </c>
      <c r="O1995" s="9" t="s">
        <v>13284</v>
      </c>
      <c r="P1995" s="9" t="s">
        <v>13284</v>
      </c>
      <c r="Q1995" s="9" t="s">
        <v>13284</v>
      </c>
      <c r="R1995" s="9" t="s">
        <v>13284</v>
      </c>
      <c r="S1995" s="9" t="s">
        <v>13284</v>
      </c>
      <c r="T1995" s="9" t="str">
        <f ca="1">IFERROR(IF(AND(VLOOKUP(A1995, 'Актуальное состояние (из общего'!A:C,3,0) = "", A1995 &lt;&gt; ""), "ПРОВЕРИТЬ", VLOOKUP(A1995, 'Актуальное состояние (из общего'!A:C,3,0)), "")</f>
        <v/>
      </c>
      <c r="U1995" s="9" t="s">
        <v>13284</v>
      </c>
      <c r="V1995" s="9" t="s">
        <v>13284</v>
      </c>
      <c r="W1995" s="12"/>
      <c r="X1995" s="9" t="str">
        <f t="array" ref="X1995">IFERROR(INDEX('Адреса общежитий (скрытый)'!$B$2:$B$9, MATCH(W1995, 'Адреса общежитий (скрытый)'!$A$2:$A$9, 0)), "")</f>
        <v/>
      </c>
      <c r="Y1995" s="18"/>
      <c r="Z1995" s="18"/>
      <c r="AA1995" s="18"/>
      <c r="AB1995" s="18"/>
      <c r="AC1995" s="18"/>
    </row>
    <row r="1996" spans="1:29" ht="32.25" hidden="1" customHeight="1">
      <c r="A1996" s="17"/>
      <c r="B1996" s="9" t="s">
        <v>13284</v>
      </c>
      <c r="C1996" s="9" t="s">
        <v>13284</v>
      </c>
      <c r="D1996" s="9" t="s">
        <v>13284</v>
      </c>
      <c r="E1996" s="9" t="s">
        <v>13284</v>
      </c>
      <c r="F1996" s="9" t="s">
        <v>13284</v>
      </c>
      <c r="G1996" s="9" t="s">
        <v>13284</v>
      </c>
      <c r="H1996" s="9" t="s">
        <v>13284</v>
      </c>
      <c r="I1996" s="9" t="s">
        <v>13284</v>
      </c>
      <c r="J1996" s="9" t="s">
        <v>13284</v>
      </c>
      <c r="K1996" s="9" t="s">
        <v>13284</v>
      </c>
      <c r="L1996" s="9" t="s">
        <v>13284</v>
      </c>
      <c r="M1996" s="9" t="s">
        <v>13284</v>
      </c>
      <c r="N1996" s="9" t="s">
        <v>13284</v>
      </c>
      <c r="O1996" s="9" t="s">
        <v>13284</v>
      </c>
      <c r="P1996" s="9" t="s">
        <v>13284</v>
      </c>
      <c r="Q1996" s="9" t="s">
        <v>13284</v>
      </c>
      <c r="R1996" s="9" t="s">
        <v>13284</v>
      </c>
      <c r="S1996" s="9" t="s">
        <v>13284</v>
      </c>
      <c r="T1996" s="9" t="str">
        <f ca="1">IFERROR(IF(AND(VLOOKUP(A1996, 'Актуальное состояние (из общего'!A:C,3,0) = "", A1996 &lt;&gt; ""), "ПРОВЕРИТЬ", VLOOKUP(A1996, 'Актуальное состояние (из общего'!A:C,3,0)), "")</f>
        <v/>
      </c>
      <c r="U1996" s="9" t="s">
        <v>13284</v>
      </c>
      <c r="V1996" s="9" t="s">
        <v>13284</v>
      </c>
      <c r="W1996" s="12"/>
      <c r="X1996" s="9" t="str">
        <f t="array" ref="X1996">IFERROR(INDEX('Адреса общежитий (скрытый)'!$B$2:$B$9, MATCH(W1996, 'Адреса общежитий (скрытый)'!$A$2:$A$9, 0)), "")</f>
        <v/>
      </c>
      <c r="Y1996" s="18"/>
      <c r="Z1996" s="18"/>
      <c r="AA1996" s="18"/>
      <c r="AB1996" s="18"/>
      <c r="AC1996" s="18"/>
    </row>
    <row r="1997" spans="1:29" ht="32.25" hidden="1" customHeight="1">
      <c r="A1997" s="17"/>
      <c r="B1997" s="9" t="s">
        <v>13284</v>
      </c>
      <c r="C1997" s="9" t="s">
        <v>13284</v>
      </c>
      <c r="D1997" s="9" t="s">
        <v>13284</v>
      </c>
      <c r="E1997" s="9" t="s">
        <v>13284</v>
      </c>
      <c r="F1997" s="9" t="s">
        <v>13284</v>
      </c>
      <c r="G1997" s="9" t="s">
        <v>13284</v>
      </c>
      <c r="H1997" s="9" t="s">
        <v>13284</v>
      </c>
      <c r="I1997" s="9" t="s">
        <v>13284</v>
      </c>
      <c r="J1997" s="9" t="s">
        <v>13284</v>
      </c>
      <c r="K1997" s="9" t="s">
        <v>13284</v>
      </c>
      <c r="L1997" s="9" t="s">
        <v>13284</v>
      </c>
      <c r="M1997" s="9" t="s">
        <v>13284</v>
      </c>
      <c r="N1997" s="9" t="s">
        <v>13284</v>
      </c>
      <c r="O1997" s="9" t="s">
        <v>13284</v>
      </c>
      <c r="P1997" s="9" t="s">
        <v>13284</v>
      </c>
      <c r="Q1997" s="9" t="s">
        <v>13284</v>
      </c>
      <c r="R1997" s="9" t="s">
        <v>13284</v>
      </c>
      <c r="S1997" s="9" t="s">
        <v>13284</v>
      </c>
      <c r="T1997" s="9" t="str">
        <f ca="1">IFERROR(IF(AND(VLOOKUP(A1997, 'Актуальное состояние (из общего'!A:C,3,0) = "", A1997 &lt;&gt; ""), "ПРОВЕРИТЬ", VLOOKUP(A1997, 'Актуальное состояние (из общего'!A:C,3,0)), "")</f>
        <v/>
      </c>
      <c r="U1997" s="9" t="s">
        <v>13284</v>
      </c>
      <c r="V1997" s="9" t="s">
        <v>13284</v>
      </c>
      <c r="W1997" s="12"/>
      <c r="X1997" s="9" t="str">
        <f t="array" ref="X1997">IFERROR(INDEX('Адреса общежитий (скрытый)'!$B$2:$B$9, MATCH(W1997, 'Адреса общежитий (скрытый)'!$A$2:$A$9, 0)), "")</f>
        <v/>
      </c>
      <c r="Y1997" s="18"/>
      <c r="Z1997" s="18"/>
      <c r="AA1997" s="18"/>
      <c r="AB1997" s="18"/>
      <c r="AC1997" s="18"/>
    </row>
    <row r="1998" spans="1:29" ht="32.25" hidden="1" customHeight="1">
      <c r="A1998" s="17"/>
      <c r="B1998" s="9" t="s">
        <v>13284</v>
      </c>
      <c r="C1998" s="9" t="s">
        <v>13284</v>
      </c>
      <c r="D1998" s="9" t="s">
        <v>13284</v>
      </c>
      <c r="E1998" s="9" t="s">
        <v>13284</v>
      </c>
      <c r="F1998" s="9" t="s">
        <v>13284</v>
      </c>
      <c r="G1998" s="9" t="s">
        <v>13284</v>
      </c>
      <c r="H1998" s="9" t="s">
        <v>13284</v>
      </c>
      <c r="I1998" s="9" t="s">
        <v>13284</v>
      </c>
      <c r="J1998" s="9" t="s">
        <v>13284</v>
      </c>
      <c r="K1998" s="9" t="s">
        <v>13284</v>
      </c>
      <c r="L1998" s="9" t="s">
        <v>13284</v>
      </c>
      <c r="M1998" s="9" t="s">
        <v>13284</v>
      </c>
      <c r="N1998" s="9" t="s">
        <v>13284</v>
      </c>
      <c r="O1998" s="9" t="s">
        <v>13284</v>
      </c>
      <c r="P1998" s="9" t="s">
        <v>13284</v>
      </c>
      <c r="Q1998" s="9" t="s">
        <v>13284</v>
      </c>
      <c r="R1998" s="9" t="s">
        <v>13284</v>
      </c>
      <c r="S1998" s="9" t="s">
        <v>13284</v>
      </c>
      <c r="T1998" s="9" t="str">
        <f ca="1">IFERROR(IF(AND(VLOOKUP(A1998, 'Актуальное состояние (из общего'!A:C,3,0) = "", A1998 &lt;&gt; ""), "ПРОВЕРИТЬ", VLOOKUP(A1998, 'Актуальное состояние (из общего'!A:C,3,0)), "")</f>
        <v/>
      </c>
      <c r="U1998" s="9" t="s">
        <v>13284</v>
      </c>
      <c r="V1998" s="9" t="s">
        <v>13284</v>
      </c>
      <c r="W1998" s="12"/>
      <c r="X1998" s="9" t="str">
        <f t="array" ref="X1998">IFERROR(INDEX('Адреса общежитий (скрытый)'!$B$2:$B$9, MATCH(W1998, 'Адреса общежитий (скрытый)'!$A$2:$A$9, 0)), "")</f>
        <v/>
      </c>
      <c r="Y1998" s="18"/>
      <c r="Z1998" s="18"/>
      <c r="AA1998" s="18"/>
      <c r="AB1998" s="18"/>
      <c r="AC1998" s="18"/>
    </row>
    <row r="1999" spans="1:29" ht="32.25" hidden="1" customHeight="1">
      <c r="A1999" s="17"/>
      <c r="B1999" s="9" t="s">
        <v>13284</v>
      </c>
      <c r="C1999" s="9" t="s">
        <v>13284</v>
      </c>
      <c r="D1999" s="9" t="s">
        <v>13284</v>
      </c>
      <c r="E1999" s="9" t="s">
        <v>13284</v>
      </c>
      <c r="F1999" s="9" t="s">
        <v>13284</v>
      </c>
      <c r="G1999" s="9" t="s">
        <v>13284</v>
      </c>
      <c r="H1999" s="9" t="s">
        <v>13284</v>
      </c>
      <c r="I1999" s="9" t="s">
        <v>13284</v>
      </c>
      <c r="J1999" s="9" t="s">
        <v>13284</v>
      </c>
      <c r="K1999" s="9" t="s">
        <v>13284</v>
      </c>
      <c r="L1999" s="9" t="s">
        <v>13284</v>
      </c>
      <c r="M1999" s="9" t="s">
        <v>13284</v>
      </c>
      <c r="N1999" s="9" t="s">
        <v>13284</v>
      </c>
      <c r="O1999" s="9" t="s">
        <v>13284</v>
      </c>
      <c r="P1999" s="9" t="s">
        <v>13284</v>
      </c>
      <c r="Q1999" s="9" t="s">
        <v>13284</v>
      </c>
      <c r="R1999" s="9" t="s">
        <v>13284</v>
      </c>
      <c r="S1999" s="9" t="s">
        <v>13284</v>
      </c>
      <c r="T1999" s="9" t="str">
        <f ca="1">IFERROR(IF(AND(VLOOKUP(A1999, 'Актуальное состояние (из общего'!A:C,3,0) = "", A1999 &lt;&gt; ""), "ПРОВЕРИТЬ", VLOOKUP(A1999, 'Актуальное состояние (из общего'!A:C,3,0)), "")</f>
        <v/>
      </c>
      <c r="U1999" s="9" t="s">
        <v>13284</v>
      </c>
      <c r="V1999" s="9" t="s">
        <v>13284</v>
      </c>
      <c r="W1999" s="12"/>
      <c r="X1999" s="9" t="str">
        <f t="array" ref="X1999">IFERROR(INDEX('Адреса общежитий (скрытый)'!$B$2:$B$9, MATCH(W1999, 'Адреса общежитий (скрытый)'!$A$2:$A$9, 0)), "")</f>
        <v/>
      </c>
      <c r="Y1999" s="18"/>
      <c r="Z1999" s="18"/>
      <c r="AA1999" s="18"/>
      <c r="AB1999" s="18"/>
      <c r="AC1999" s="18"/>
    </row>
    <row r="2000" spans="1:29" ht="32.25" hidden="1" customHeight="1">
      <c r="A2000" s="17"/>
      <c r="B2000" s="9" t="s">
        <v>13284</v>
      </c>
      <c r="C2000" s="9" t="s">
        <v>13284</v>
      </c>
      <c r="D2000" s="9" t="s">
        <v>13284</v>
      </c>
      <c r="E2000" s="9" t="s">
        <v>13284</v>
      </c>
      <c r="F2000" s="9" t="s">
        <v>13284</v>
      </c>
      <c r="G2000" s="9" t="s">
        <v>13284</v>
      </c>
      <c r="H2000" s="9" t="s">
        <v>13284</v>
      </c>
      <c r="I2000" s="9" t="s">
        <v>13284</v>
      </c>
      <c r="J2000" s="9" t="s">
        <v>13284</v>
      </c>
      <c r="K2000" s="9" t="s">
        <v>13284</v>
      </c>
      <c r="L2000" s="9" t="s">
        <v>13284</v>
      </c>
      <c r="M2000" s="9" t="s">
        <v>13284</v>
      </c>
      <c r="N2000" s="9" t="s">
        <v>13284</v>
      </c>
      <c r="O2000" s="9" t="s">
        <v>13284</v>
      </c>
      <c r="P2000" s="9" t="s">
        <v>13284</v>
      </c>
      <c r="Q2000" s="9" t="s">
        <v>13284</v>
      </c>
      <c r="R2000" s="9" t="s">
        <v>13284</v>
      </c>
      <c r="S2000" s="9" t="s">
        <v>13284</v>
      </c>
      <c r="T2000" s="9" t="str">
        <f ca="1">IFERROR(IF(AND(VLOOKUP(A2000, 'Актуальное состояние (из общего'!A:C,3,0) = "", A2000 &lt;&gt; ""), "ПРОВЕРИТЬ", VLOOKUP(A2000, 'Актуальное состояние (из общего'!A:C,3,0)), "")</f>
        <v/>
      </c>
      <c r="U2000" s="9" t="s">
        <v>13284</v>
      </c>
      <c r="V2000" s="9" t="s">
        <v>13284</v>
      </c>
      <c r="W2000" s="12"/>
      <c r="X2000" s="9" t="str">
        <f t="array" ref="X2000">IFERROR(INDEX('Адреса общежитий (скрытый)'!$B$2:$B$9, MATCH(W2000, 'Адреса общежитий (скрытый)'!$A$2:$A$9, 0)), "")</f>
        <v/>
      </c>
      <c r="Y2000" s="18"/>
      <c r="Z2000" s="18"/>
      <c r="AA2000" s="18"/>
      <c r="AB2000" s="18"/>
      <c r="AC2000" s="18"/>
    </row>
    <row r="2001" spans="1:29" ht="32.25" hidden="1" customHeight="1">
      <c r="A2001" s="17"/>
      <c r="B2001" s="9" t="s">
        <v>13284</v>
      </c>
      <c r="C2001" s="9" t="s">
        <v>13284</v>
      </c>
      <c r="D2001" s="9" t="s">
        <v>13284</v>
      </c>
      <c r="E2001" s="9" t="s">
        <v>13284</v>
      </c>
      <c r="F2001" s="9" t="s">
        <v>13284</v>
      </c>
      <c r="G2001" s="9" t="s">
        <v>13284</v>
      </c>
      <c r="H2001" s="9" t="s">
        <v>13284</v>
      </c>
      <c r="I2001" s="9" t="s">
        <v>13284</v>
      </c>
      <c r="J2001" s="9" t="s">
        <v>13284</v>
      </c>
      <c r="K2001" s="9" t="s">
        <v>13284</v>
      </c>
      <c r="L2001" s="9" t="s">
        <v>13284</v>
      </c>
      <c r="M2001" s="9" t="s">
        <v>13284</v>
      </c>
      <c r="N2001" s="9" t="s">
        <v>13284</v>
      </c>
      <c r="O2001" s="9" t="s">
        <v>13284</v>
      </c>
      <c r="P2001" s="9" t="s">
        <v>13284</v>
      </c>
      <c r="Q2001" s="9" t="s">
        <v>13284</v>
      </c>
      <c r="R2001" s="9" t="s">
        <v>13284</v>
      </c>
      <c r="S2001" s="9" t="s">
        <v>13284</v>
      </c>
      <c r="T2001" s="9" t="str">
        <f ca="1">IFERROR(IF(AND(VLOOKUP(A2001, 'Актуальное состояние (из общего'!A:C,3,0) = "", A2001 &lt;&gt; ""), "ПРОВЕРИТЬ", VLOOKUP(A2001, 'Актуальное состояние (из общего'!A:C,3,0)), "")</f>
        <v/>
      </c>
      <c r="U2001" s="9" t="s">
        <v>13284</v>
      </c>
      <c r="V2001" s="9" t="s">
        <v>13284</v>
      </c>
      <c r="W2001" s="12"/>
      <c r="X2001" s="9" t="str">
        <f t="array" ref="X2001">IFERROR(INDEX('Адреса общежитий (скрытый)'!$B$2:$B$9, MATCH(W2001, 'Адреса общежитий (скрытый)'!$A$2:$A$9, 0)), "")</f>
        <v/>
      </c>
      <c r="Y2001" s="18"/>
      <c r="Z2001" s="18"/>
      <c r="AA2001" s="18"/>
      <c r="AB2001" s="18"/>
      <c r="AC2001" s="18"/>
    </row>
    <row r="2002" spans="1:29" ht="32.25" hidden="1" customHeight="1">
      <c r="A2002" s="17"/>
      <c r="B2002" s="9" t="s">
        <v>13284</v>
      </c>
      <c r="C2002" s="9" t="s">
        <v>13284</v>
      </c>
      <c r="D2002" s="9" t="s">
        <v>13284</v>
      </c>
      <c r="E2002" s="9" t="s">
        <v>13284</v>
      </c>
      <c r="F2002" s="9" t="s">
        <v>13284</v>
      </c>
      <c r="G2002" s="9" t="s">
        <v>13284</v>
      </c>
      <c r="H2002" s="9" t="s">
        <v>13284</v>
      </c>
      <c r="I2002" s="9" t="s">
        <v>13284</v>
      </c>
      <c r="J2002" s="9" t="s">
        <v>13284</v>
      </c>
      <c r="K2002" s="9" t="s">
        <v>13284</v>
      </c>
      <c r="L2002" s="9" t="s">
        <v>13284</v>
      </c>
      <c r="M2002" s="9" t="s">
        <v>13284</v>
      </c>
      <c r="N2002" s="9" t="s">
        <v>13284</v>
      </c>
      <c r="O2002" s="9" t="s">
        <v>13284</v>
      </c>
      <c r="P2002" s="9" t="s">
        <v>13284</v>
      </c>
      <c r="Q2002" s="9" t="s">
        <v>13284</v>
      </c>
      <c r="R2002" s="9" t="s">
        <v>13284</v>
      </c>
      <c r="S2002" s="9" t="s">
        <v>13284</v>
      </c>
      <c r="T2002" s="9" t="str">
        <f ca="1">IFERROR(IF(AND(VLOOKUP(A2002, 'Актуальное состояние (из общего'!A:C,3,0) = "", A2002 &lt;&gt; ""), "ПРОВЕРИТЬ", VLOOKUP(A2002, 'Актуальное состояние (из общего'!A:C,3,0)), "")</f>
        <v/>
      </c>
      <c r="U2002" s="9" t="s">
        <v>13284</v>
      </c>
      <c r="V2002" s="9" t="s">
        <v>13284</v>
      </c>
      <c r="W2002" s="12"/>
      <c r="X2002" s="9" t="str">
        <f t="array" ref="X2002">IFERROR(INDEX('Адреса общежитий (скрытый)'!$B$2:$B$9, MATCH(W2002, 'Адреса общежитий (скрытый)'!$A$2:$A$9, 0)), "")</f>
        <v/>
      </c>
      <c r="Y2002" s="18"/>
      <c r="Z2002" s="18"/>
      <c r="AA2002" s="18"/>
      <c r="AB2002" s="18"/>
      <c r="AC2002" s="18"/>
    </row>
    <row r="2003" spans="1:29" ht="32.25" hidden="1" customHeight="1">
      <c r="A2003" s="17"/>
      <c r="B2003" s="9" t="s">
        <v>13284</v>
      </c>
      <c r="C2003" s="9" t="s">
        <v>13284</v>
      </c>
      <c r="D2003" s="9" t="s">
        <v>13284</v>
      </c>
      <c r="E2003" s="9" t="s">
        <v>13284</v>
      </c>
      <c r="F2003" s="9" t="s">
        <v>13284</v>
      </c>
      <c r="G2003" s="9" t="s">
        <v>13284</v>
      </c>
      <c r="H2003" s="9" t="s">
        <v>13284</v>
      </c>
      <c r="I2003" s="9" t="s">
        <v>13284</v>
      </c>
      <c r="J2003" s="9" t="s">
        <v>13284</v>
      </c>
      <c r="K2003" s="9" t="s">
        <v>13284</v>
      </c>
      <c r="L2003" s="9" t="s">
        <v>13284</v>
      </c>
      <c r="M2003" s="9" t="s">
        <v>13284</v>
      </c>
      <c r="N2003" s="9" t="s">
        <v>13284</v>
      </c>
      <c r="O2003" s="9" t="s">
        <v>13284</v>
      </c>
      <c r="P2003" s="9" t="s">
        <v>13284</v>
      </c>
      <c r="Q2003" s="9" t="s">
        <v>13284</v>
      </c>
      <c r="R2003" s="9" t="s">
        <v>13284</v>
      </c>
      <c r="S2003" s="9" t="s">
        <v>13284</v>
      </c>
      <c r="T2003" s="9" t="str">
        <f ca="1">IFERROR(IF(AND(VLOOKUP(A2003, 'Актуальное состояние (из общего'!A:C,3,0) = "", A2003 &lt;&gt; ""), "ПРОВЕРИТЬ", VLOOKUP(A2003, 'Актуальное состояние (из общего'!A:C,3,0)), "")</f>
        <v/>
      </c>
      <c r="U2003" s="9" t="s">
        <v>13284</v>
      </c>
      <c r="V2003" s="9" t="s">
        <v>13284</v>
      </c>
      <c r="W2003" s="12"/>
      <c r="X2003" s="9" t="str">
        <f t="array" ref="X2003">IFERROR(INDEX('Адреса общежитий (скрытый)'!$B$2:$B$9, MATCH(W2003, 'Адреса общежитий (скрытый)'!$A$2:$A$9, 0)), "")</f>
        <v/>
      </c>
      <c r="Y2003" s="18"/>
      <c r="Z2003" s="18"/>
      <c r="AA2003" s="18"/>
      <c r="AB2003" s="18"/>
      <c r="AC2003" s="18"/>
    </row>
    <row r="2004" spans="1:29" ht="32.25" hidden="1" customHeight="1">
      <c r="A2004" s="17"/>
      <c r="B2004" s="9" t="s">
        <v>13284</v>
      </c>
      <c r="C2004" s="9" t="s">
        <v>13284</v>
      </c>
      <c r="D2004" s="9" t="s">
        <v>13284</v>
      </c>
      <c r="E2004" s="9" t="s">
        <v>13284</v>
      </c>
      <c r="F2004" s="9" t="s">
        <v>13284</v>
      </c>
      <c r="G2004" s="9" t="s">
        <v>13284</v>
      </c>
      <c r="H2004" s="9" t="s">
        <v>13284</v>
      </c>
      <c r="I2004" s="9" t="s">
        <v>13284</v>
      </c>
      <c r="J2004" s="9" t="s">
        <v>13284</v>
      </c>
      <c r="K2004" s="9" t="s">
        <v>13284</v>
      </c>
      <c r="L2004" s="9" t="s">
        <v>13284</v>
      </c>
      <c r="M2004" s="9" t="s">
        <v>13284</v>
      </c>
      <c r="N2004" s="9" t="s">
        <v>13284</v>
      </c>
      <c r="O2004" s="9" t="s">
        <v>13284</v>
      </c>
      <c r="P2004" s="9" t="s">
        <v>13284</v>
      </c>
      <c r="Q2004" s="9" t="s">
        <v>13284</v>
      </c>
      <c r="R2004" s="9" t="s">
        <v>13284</v>
      </c>
      <c r="S2004" s="9" t="s">
        <v>13284</v>
      </c>
      <c r="T2004" s="9" t="str">
        <f ca="1">IFERROR(IF(AND(VLOOKUP(A2004, 'Актуальное состояние (из общего'!A:C,3,0) = "", A2004 &lt;&gt; ""), "ПРОВЕРИТЬ", VLOOKUP(A2004, 'Актуальное состояние (из общего'!A:C,3,0)), "")</f>
        <v/>
      </c>
      <c r="U2004" s="9" t="s">
        <v>13284</v>
      </c>
      <c r="V2004" s="9" t="s">
        <v>13284</v>
      </c>
      <c r="W2004" s="12"/>
      <c r="X2004" s="9" t="str">
        <f t="array" ref="X2004">IFERROR(INDEX('Адреса общежитий (скрытый)'!$B$2:$B$9, MATCH(W2004, 'Адреса общежитий (скрытый)'!$A$2:$A$9, 0)), "")</f>
        <v/>
      </c>
      <c r="Y2004" s="18"/>
      <c r="Z2004" s="18"/>
      <c r="AA2004" s="18"/>
      <c r="AB2004" s="18"/>
      <c r="AC2004" s="18"/>
    </row>
    <row r="2005" spans="1:29" ht="32.25" hidden="1" customHeight="1">
      <c r="A2005" s="17"/>
      <c r="B2005" s="9" t="s">
        <v>13284</v>
      </c>
      <c r="C2005" s="9" t="s">
        <v>13284</v>
      </c>
      <c r="D2005" s="9" t="s">
        <v>13284</v>
      </c>
      <c r="E2005" s="9" t="s">
        <v>13284</v>
      </c>
      <c r="F2005" s="9" t="s">
        <v>13284</v>
      </c>
      <c r="G2005" s="9" t="s">
        <v>13284</v>
      </c>
      <c r="H2005" s="9" t="s">
        <v>13284</v>
      </c>
      <c r="I2005" s="9" t="s">
        <v>13284</v>
      </c>
      <c r="J2005" s="9" t="s">
        <v>13284</v>
      </c>
      <c r="K2005" s="9" t="s">
        <v>13284</v>
      </c>
      <c r="L2005" s="9" t="s">
        <v>13284</v>
      </c>
      <c r="M2005" s="9" t="s">
        <v>13284</v>
      </c>
      <c r="N2005" s="9" t="s">
        <v>13284</v>
      </c>
      <c r="O2005" s="9" t="s">
        <v>13284</v>
      </c>
      <c r="P2005" s="9" t="s">
        <v>13284</v>
      </c>
      <c r="Q2005" s="9" t="s">
        <v>13284</v>
      </c>
      <c r="R2005" s="9" t="s">
        <v>13284</v>
      </c>
      <c r="S2005" s="9" t="s">
        <v>13284</v>
      </c>
      <c r="T2005" s="9" t="str">
        <f ca="1">IFERROR(IF(AND(VLOOKUP(A2005, 'Актуальное состояние (из общего'!A:C,3,0) = "", A2005 &lt;&gt; ""), "ПРОВЕРИТЬ", VLOOKUP(A2005, 'Актуальное состояние (из общего'!A:C,3,0)), "")</f>
        <v/>
      </c>
      <c r="U2005" s="9" t="s">
        <v>13284</v>
      </c>
      <c r="V2005" s="9" t="s">
        <v>13284</v>
      </c>
      <c r="W2005" s="12"/>
      <c r="X2005" s="9" t="str">
        <f t="array" ref="X2005">IFERROR(INDEX('Адреса общежитий (скрытый)'!$B$2:$B$9, MATCH(W2005, 'Адреса общежитий (скрытый)'!$A$2:$A$9, 0)), "")</f>
        <v/>
      </c>
      <c r="Y2005" s="18"/>
      <c r="Z2005" s="18"/>
      <c r="AA2005" s="18"/>
      <c r="AB2005" s="18"/>
      <c r="AC2005" s="18"/>
    </row>
    <row r="2006" spans="1:29" ht="32.25" hidden="1" customHeight="1">
      <c r="A2006" s="17"/>
      <c r="B2006" s="9" t="s">
        <v>13284</v>
      </c>
      <c r="C2006" s="9" t="s">
        <v>13284</v>
      </c>
      <c r="D2006" s="9" t="s">
        <v>13284</v>
      </c>
      <c r="E2006" s="9" t="s">
        <v>13284</v>
      </c>
      <c r="F2006" s="9" t="s">
        <v>13284</v>
      </c>
      <c r="G2006" s="9" t="s">
        <v>13284</v>
      </c>
      <c r="H2006" s="9" t="s">
        <v>13284</v>
      </c>
      <c r="I2006" s="9" t="s">
        <v>13284</v>
      </c>
      <c r="J2006" s="9" t="s">
        <v>13284</v>
      </c>
      <c r="K2006" s="9" t="s">
        <v>13284</v>
      </c>
      <c r="L2006" s="9" t="s">
        <v>13284</v>
      </c>
      <c r="M2006" s="9" t="s">
        <v>13284</v>
      </c>
      <c r="N2006" s="9" t="s">
        <v>13284</v>
      </c>
      <c r="O2006" s="9" t="s">
        <v>13284</v>
      </c>
      <c r="P2006" s="9" t="s">
        <v>13284</v>
      </c>
      <c r="Q2006" s="9" t="s">
        <v>13284</v>
      </c>
      <c r="R2006" s="9" t="s">
        <v>13284</v>
      </c>
      <c r="S2006" s="9" t="s">
        <v>13284</v>
      </c>
      <c r="T2006" s="9" t="str">
        <f ca="1">IFERROR(IF(AND(VLOOKUP(A2006, 'Актуальное состояние (из общего'!A:C,3,0) = "", A2006 &lt;&gt; ""), "ПРОВЕРИТЬ", VLOOKUP(A2006, 'Актуальное состояние (из общего'!A:C,3,0)), "")</f>
        <v/>
      </c>
      <c r="U2006" s="9" t="s">
        <v>13284</v>
      </c>
      <c r="V2006" s="9" t="s">
        <v>13284</v>
      </c>
      <c r="W2006" s="12"/>
      <c r="X2006" s="9" t="str">
        <f t="array" ref="X2006">IFERROR(INDEX('Адреса общежитий (скрытый)'!$B$2:$B$9, MATCH(W2006, 'Адреса общежитий (скрытый)'!$A$2:$A$9, 0)), "")</f>
        <v/>
      </c>
      <c r="Y2006" s="18"/>
      <c r="Z2006" s="18"/>
      <c r="AA2006" s="18"/>
      <c r="AB2006" s="18"/>
      <c r="AC2006" s="18"/>
    </row>
    <row r="2007" spans="1:29" ht="32.25" hidden="1" customHeight="1">
      <c r="A2007" s="17"/>
      <c r="B2007" s="9" t="s">
        <v>13284</v>
      </c>
      <c r="C2007" s="9" t="s">
        <v>13284</v>
      </c>
      <c r="D2007" s="9" t="s">
        <v>13284</v>
      </c>
      <c r="E2007" s="9" t="s">
        <v>13284</v>
      </c>
      <c r="F2007" s="9" t="s">
        <v>13284</v>
      </c>
      <c r="G2007" s="9" t="s">
        <v>13284</v>
      </c>
      <c r="H2007" s="9" t="s">
        <v>13284</v>
      </c>
      <c r="I2007" s="9" t="s">
        <v>13284</v>
      </c>
      <c r="J2007" s="9" t="s">
        <v>13284</v>
      </c>
      <c r="K2007" s="9" t="s">
        <v>13284</v>
      </c>
      <c r="L2007" s="9" t="s">
        <v>13284</v>
      </c>
      <c r="M2007" s="9" t="s">
        <v>13284</v>
      </c>
      <c r="N2007" s="9" t="s">
        <v>13284</v>
      </c>
      <c r="O2007" s="9" t="s">
        <v>13284</v>
      </c>
      <c r="P2007" s="9" t="s">
        <v>13284</v>
      </c>
      <c r="Q2007" s="9" t="s">
        <v>13284</v>
      </c>
      <c r="R2007" s="9" t="s">
        <v>13284</v>
      </c>
      <c r="S2007" s="9" t="s">
        <v>13284</v>
      </c>
      <c r="T2007" s="9" t="str">
        <f ca="1">IFERROR(IF(AND(VLOOKUP(A2007, 'Актуальное состояние (из общего'!A:C,3,0) = "", A2007 &lt;&gt; ""), "ПРОВЕРИТЬ", VLOOKUP(A2007, 'Актуальное состояние (из общего'!A:C,3,0)), "")</f>
        <v/>
      </c>
      <c r="U2007" s="9" t="s">
        <v>13284</v>
      </c>
      <c r="V2007" s="9" t="s">
        <v>13284</v>
      </c>
      <c r="W2007" s="12"/>
      <c r="X2007" s="9" t="str">
        <f t="array" ref="X2007">IFERROR(INDEX('Адреса общежитий (скрытый)'!$B$2:$B$9, MATCH(W2007, 'Адреса общежитий (скрытый)'!$A$2:$A$9, 0)), "")</f>
        <v/>
      </c>
      <c r="Y2007" s="18"/>
      <c r="Z2007" s="18"/>
      <c r="AA2007" s="18"/>
      <c r="AB2007" s="18"/>
      <c r="AC2007" s="18"/>
    </row>
    <row r="2008" spans="1:29" ht="32.25" hidden="1" customHeight="1">
      <c r="A2008" s="17"/>
      <c r="B2008" s="9" t="s">
        <v>13284</v>
      </c>
      <c r="C2008" s="9" t="s">
        <v>13284</v>
      </c>
      <c r="D2008" s="9" t="s">
        <v>13284</v>
      </c>
      <c r="E2008" s="9" t="s">
        <v>13284</v>
      </c>
      <c r="F2008" s="9" t="s">
        <v>13284</v>
      </c>
      <c r="G2008" s="9" t="s">
        <v>13284</v>
      </c>
      <c r="H2008" s="9" t="s">
        <v>13284</v>
      </c>
      <c r="I2008" s="9" t="s">
        <v>13284</v>
      </c>
      <c r="J2008" s="9" t="s">
        <v>13284</v>
      </c>
      <c r="K2008" s="9" t="s">
        <v>13284</v>
      </c>
      <c r="L2008" s="9" t="s">
        <v>13284</v>
      </c>
      <c r="M2008" s="9" t="s">
        <v>13284</v>
      </c>
      <c r="N2008" s="9" t="s">
        <v>13284</v>
      </c>
      <c r="O2008" s="9" t="s">
        <v>13284</v>
      </c>
      <c r="P2008" s="9" t="s">
        <v>13284</v>
      </c>
      <c r="Q2008" s="9" t="s">
        <v>13284</v>
      </c>
      <c r="R2008" s="9" t="s">
        <v>13284</v>
      </c>
      <c r="S2008" s="9" t="s">
        <v>13284</v>
      </c>
      <c r="T2008" s="9" t="str">
        <f ca="1">IFERROR(IF(AND(VLOOKUP(A2008, 'Актуальное состояние (из общего'!A:C,3,0) = "", A2008 &lt;&gt; ""), "ПРОВЕРИТЬ", VLOOKUP(A2008, 'Актуальное состояние (из общего'!A:C,3,0)), "")</f>
        <v/>
      </c>
      <c r="U2008" s="9" t="s">
        <v>13284</v>
      </c>
      <c r="V2008" s="9" t="s">
        <v>13284</v>
      </c>
      <c r="W2008" s="12"/>
      <c r="X2008" s="9" t="str">
        <f t="array" ref="X2008">IFERROR(INDEX('Адреса общежитий (скрытый)'!$B$2:$B$9, MATCH(W2008, 'Адреса общежитий (скрытый)'!$A$2:$A$9, 0)), "")</f>
        <v/>
      </c>
      <c r="Y2008" s="18"/>
      <c r="Z2008" s="18"/>
      <c r="AA2008" s="18"/>
      <c r="AB2008" s="18"/>
      <c r="AC2008" s="18"/>
    </row>
    <row r="2009" spans="1:29" ht="32.25" hidden="1" customHeight="1">
      <c r="A2009" s="17"/>
      <c r="B2009" s="9" t="s">
        <v>13284</v>
      </c>
      <c r="C2009" s="9" t="s">
        <v>13284</v>
      </c>
      <c r="D2009" s="9" t="s">
        <v>13284</v>
      </c>
      <c r="E2009" s="9" t="s">
        <v>13284</v>
      </c>
      <c r="F2009" s="9" t="s">
        <v>13284</v>
      </c>
      <c r="G2009" s="9" t="s">
        <v>13284</v>
      </c>
      <c r="H2009" s="9" t="s">
        <v>13284</v>
      </c>
      <c r="I2009" s="9" t="s">
        <v>13284</v>
      </c>
      <c r="J2009" s="9" t="s">
        <v>13284</v>
      </c>
      <c r="K2009" s="9" t="s">
        <v>13284</v>
      </c>
      <c r="L2009" s="9" t="s">
        <v>13284</v>
      </c>
      <c r="M2009" s="9" t="s">
        <v>13284</v>
      </c>
      <c r="N2009" s="9" t="s">
        <v>13284</v>
      </c>
      <c r="O2009" s="9" t="s">
        <v>13284</v>
      </c>
      <c r="P2009" s="9" t="s">
        <v>13284</v>
      </c>
      <c r="Q2009" s="9" t="s">
        <v>13284</v>
      </c>
      <c r="R2009" s="9" t="s">
        <v>13284</v>
      </c>
      <c r="S2009" s="9" t="s">
        <v>13284</v>
      </c>
      <c r="T2009" s="9" t="str">
        <f ca="1">IFERROR(IF(AND(VLOOKUP(A2009, 'Актуальное состояние (из общего'!A:C,3,0) = "", A2009 &lt;&gt; ""), "ПРОВЕРИТЬ", VLOOKUP(A2009, 'Актуальное состояние (из общего'!A:C,3,0)), "")</f>
        <v/>
      </c>
      <c r="U2009" s="9" t="s">
        <v>13284</v>
      </c>
      <c r="V2009" s="9" t="s">
        <v>13284</v>
      </c>
      <c r="W2009" s="12"/>
      <c r="X2009" s="9" t="str">
        <f t="array" ref="X2009">IFERROR(INDEX('Адреса общежитий (скрытый)'!$B$2:$B$9, MATCH(W2009, 'Адреса общежитий (скрытый)'!$A$2:$A$9, 0)), "")</f>
        <v/>
      </c>
      <c r="Y2009" s="18"/>
      <c r="Z2009" s="18"/>
      <c r="AA2009" s="18"/>
      <c r="AB2009" s="18"/>
      <c r="AC2009" s="18"/>
    </row>
    <row r="2010" spans="1:29" ht="32.25" hidden="1" customHeight="1">
      <c r="A2010" s="17"/>
      <c r="B2010" s="9" t="s">
        <v>13284</v>
      </c>
      <c r="C2010" s="9" t="s">
        <v>13284</v>
      </c>
      <c r="D2010" s="9" t="s">
        <v>13284</v>
      </c>
      <c r="E2010" s="9" t="s">
        <v>13284</v>
      </c>
      <c r="F2010" s="9" t="s">
        <v>13284</v>
      </c>
      <c r="G2010" s="9" t="s">
        <v>13284</v>
      </c>
      <c r="H2010" s="9" t="s">
        <v>13284</v>
      </c>
      <c r="I2010" s="9" t="s">
        <v>13284</v>
      </c>
      <c r="J2010" s="9" t="s">
        <v>13284</v>
      </c>
      <c r="K2010" s="9" t="s">
        <v>13284</v>
      </c>
      <c r="L2010" s="9" t="s">
        <v>13284</v>
      </c>
      <c r="M2010" s="9" t="s">
        <v>13284</v>
      </c>
      <c r="N2010" s="9" t="s">
        <v>13284</v>
      </c>
      <c r="O2010" s="9" t="s">
        <v>13284</v>
      </c>
      <c r="P2010" s="9" t="s">
        <v>13284</v>
      </c>
      <c r="Q2010" s="9" t="s">
        <v>13284</v>
      </c>
      <c r="R2010" s="9" t="s">
        <v>13284</v>
      </c>
      <c r="S2010" s="9" t="s">
        <v>13284</v>
      </c>
      <c r="T2010" s="9" t="str">
        <f ca="1">IFERROR(IF(AND(VLOOKUP(A2010, 'Актуальное состояние (из общего'!A:C,3,0) = "", A2010 &lt;&gt; ""), "ПРОВЕРИТЬ", VLOOKUP(A2010, 'Актуальное состояние (из общего'!A:C,3,0)), "")</f>
        <v/>
      </c>
      <c r="U2010" s="9" t="s">
        <v>13284</v>
      </c>
      <c r="V2010" s="9" t="s">
        <v>13284</v>
      </c>
      <c r="W2010" s="12"/>
      <c r="X2010" s="9" t="str">
        <f t="array" ref="X2010">IFERROR(INDEX('Адреса общежитий (скрытый)'!$B$2:$B$9, MATCH(W2010, 'Адреса общежитий (скрытый)'!$A$2:$A$9, 0)), "")</f>
        <v/>
      </c>
      <c r="Y2010" s="18"/>
      <c r="Z2010" s="18"/>
      <c r="AA2010" s="18"/>
      <c r="AB2010" s="18"/>
      <c r="AC2010" s="18"/>
    </row>
    <row r="2011" spans="1:29" ht="32.25" hidden="1" customHeight="1">
      <c r="A2011" s="17"/>
      <c r="B2011" s="9" t="s">
        <v>13284</v>
      </c>
      <c r="C2011" s="9" t="s">
        <v>13284</v>
      </c>
      <c r="D2011" s="9" t="s">
        <v>13284</v>
      </c>
      <c r="E2011" s="9" t="s">
        <v>13284</v>
      </c>
      <c r="F2011" s="9" t="s">
        <v>13284</v>
      </c>
      <c r="G2011" s="9" t="s">
        <v>13284</v>
      </c>
      <c r="H2011" s="9" t="s">
        <v>13284</v>
      </c>
      <c r="I2011" s="9" t="s">
        <v>13284</v>
      </c>
      <c r="J2011" s="9" t="s">
        <v>13284</v>
      </c>
      <c r="K2011" s="9" t="s">
        <v>13284</v>
      </c>
      <c r="L2011" s="9" t="s">
        <v>13284</v>
      </c>
      <c r="M2011" s="9" t="s">
        <v>13284</v>
      </c>
      <c r="N2011" s="9" t="s">
        <v>13284</v>
      </c>
      <c r="O2011" s="9" t="s">
        <v>13284</v>
      </c>
      <c r="P2011" s="9" t="s">
        <v>13284</v>
      </c>
      <c r="Q2011" s="9" t="s">
        <v>13284</v>
      </c>
      <c r="R2011" s="9" t="s">
        <v>13284</v>
      </c>
      <c r="S2011" s="9" t="s">
        <v>13284</v>
      </c>
      <c r="T2011" s="9" t="str">
        <f ca="1">IFERROR(IF(AND(VLOOKUP(A2011, 'Актуальное состояние (из общего'!A:C,3,0) = "", A2011 &lt;&gt; ""), "ПРОВЕРИТЬ", VLOOKUP(A2011, 'Актуальное состояние (из общего'!A:C,3,0)), "")</f>
        <v/>
      </c>
      <c r="U2011" s="9" t="s">
        <v>13284</v>
      </c>
      <c r="V2011" s="9" t="s">
        <v>13284</v>
      </c>
      <c r="W2011" s="12"/>
      <c r="X2011" s="9" t="str">
        <f t="array" ref="X2011">IFERROR(INDEX('Адреса общежитий (скрытый)'!$B$2:$B$9, MATCH(W2011, 'Адреса общежитий (скрытый)'!$A$2:$A$9, 0)), "")</f>
        <v/>
      </c>
      <c r="Y2011" s="18"/>
      <c r="Z2011" s="18"/>
      <c r="AA2011" s="18"/>
      <c r="AB2011" s="18"/>
      <c r="AC2011" s="18"/>
    </row>
    <row r="2012" spans="1:29" ht="32.25" hidden="1" customHeight="1">
      <c r="A2012" s="17"/>
      <c r="B2012" s="9" t="s">
        <v>13284</v>
      </c>
      <c r="C2012" s="9" t="s">
        <v>13284</v>
      </c>
      <c r="D2012" s="9" t="s">
        <v>13284</v>
      </c>
      <c r="E2012" s="9" t="s">
        <v>13284</v>
      </c>
      <c r="F2012" s="9" t="s">
        <v>13284</v>
      </c>
      <c r="G2012" s="9" t="s">
        <v>13284</v>
      </c>
      <c r="H2012" s="9" t="s">
        <v>13284</v>
      </c>
      <c r="I2012" s="9" t="s">
        <v>13284</v>
      </c>
      <c r="J2012" s="9" t="s">
        <v>13284</v>
      </c>
      <c r="K2012" s="9" t="s">
        <v>13284</v>
      </c>
      <c r="L2012" s="9" t="s">
        <v>13284</v>
      </c>
      <c r="M2012" s="9" t="s">
        <v>13284</v>
      </c>
      <c r="N2012" s="9" t="s">
        <v>13284</v>
      </c>
      <c r="O2012" s="9" t="s">
        <v>13284</v>
      </c>
      <c r="P2012" s="9" t="s">
        <v>13284</v>
      </c>
      <c r="Q2012" s="9" t="s">
        <v>13284</v>
      </c>
      <c r="R2012" s="9" t="s">
        <v>13284</v>
      </c>
      <c r="S2012" s="9" t="s">
        <v>13284</v>
      </c>
      <c r="T2012" s="9" t="str">
        <f ca="1">IFERROR(IF(AND(VLOOKUP(A2012, 'Актуальное состояние (из общего'!A:C,3,0) = "", A2012 &lt;&gt; ""), "ПРОВЕРИТЬ", VLOOKUP(A2012, 'Актуальное состояние (из общего'!A:C,3,0)), "")</f>
        <v/>
      </c>
      <c r="U2012" s="9" t="s">
        <v>13284</v>
      </c>
      <c r="V2012" s="9" t="s">
        <v>13284</v>
      </c>
      <c r="W2012" s="12"/>
      <c r="X2012" s="9" t="str">
        <f t="array" ref="X2012">IFERROR(INDEX('Адреса общежитий (скрытый)'!$B$2:$B$9, MATCH(W2012, 'Адреса общежитий (скрытый)'!$A$2:$A$9, 0)), "")</f>
        <v/>
      </c>
      <c r="Y2012" s="18"/>
      <c r="Z2012" s="18"/>
      <c r="AA2012" s="18"/>
      <c r="AB2012" s="18"/>
      <c r="AC2012" s="18"/>
    </row>
    <row r="2013" spans="1:29" ht="32.25" hidden="1" customHeight="1">
      <c r="A2013" s="17"/>
      <c r="B2013" s="9" t="s">
        <v>13284</v>
      </c>
      <c r="C2013" s="9" t="s">
        <v>13284</v>
      </c>
      <c r="D2013" s="9" t="s">
        <v>13284</v>
      </c>
      <c r="E2013" s="9" t="s">
        <v>13284</v>
      </c>
      <c r="F2013" s="9" t="s">
        <v>13284</v>
      </c>
      <c r="G2013" s="9" t="s">
        <v>13284</v>
      </c>
      <c r="H2013" s="9" t="s">
        <v>13284</v>
      </c>
      <c r="I2013" s="9" t="s">
        <v>13284</v>
      </c>
      <c r="J2013" s="9" t="s">
        <v>13284</v>
      </c>
      <c r="K2013" s="9" t="s">
        <v>13284</v>
      </c>
      <c r="L2013" s="9" t="s">
        <v>13284</v>
      </c>
      <c r="M2013" s="9" t="s">
        <v>13284</v>
      </c>
      <c r="N2013" s="9" t="s">
        <v>13284</v>
      </c>
      <c r="O2013" s="9" t="s">
        <v>13284</v>
      </c>
      <c r="P2013" s="9" t="s">
        <v>13284</v>
      </c>
      <c r="Q2013" s="9" t="s">
        <v>13284</v>
      </c>
      <c r="R2013" s="9" t="s">
        <v>13284</v>
      </c>
      <c r="S2013" s="9" t="s">
        <v>13284</v>
      </c>
      <c r="T2013" s="9" t="str">
        <f ca="1">IFERROR(IF(AND(VLOOKUP(A2013, 'Актуальное состояние (из общего'!A:C,3,0) = "", A2013 &lt;&gt; ""), "ПРОВЕРИТЬ", VLOOKUP(A2013, 'Актуальное состояние (из общего'!A:C,3,0)), "")</f>
        <v/>
      </c>
      <c r="U2013" s="9" t="s">
        <v>13284</v>
      </c>
      <c r="V2013" s="9" t="s">
        <v>13284</v>
      </c>
      <c r="W2013" s="12"/>
      <c r="X2013" s="9" t="str">
        <f t="array" ref="X2013">IFERROR(INDEX('Адреса общежитий (скрытый)'!$B$2:$B$9, MATCH(W2013, 'Адреса общежитий (скрытый)'!$A$2:$A$9, 0)), "")</f>
        <v/>
      </c>
      <c r="Y2013" s="18"/>
      <c r="Z2013" s="18"/>
      <c r="AA2013" s="18"/>
      <c r="AB2013" s="18"/>
      <c r="AC2013" s="18"/>
    </row>
    <row r="2014" spans="1:29" ht="32.25" hidden="1" customHeight="1">
      <c r="A2014" s="17"/>
      <c r="B2014" s="9" t="s">
        <v>13284</v>
      </c>
      <c r="C2014" s="9" t="s">
        <v>13284</v>
      </c>
      <c r="D2014" s="9" t="s">
        <v>13284</v>
      </c>
      <c r="E2014" s="9" t="s">
        <v>13284</v>
      </c>
      <c r="F2014" s="9" t="s">
        <v>13284</v>
      </c>
      <c r="G2014" s="9" t="s">
        <v>13284</v>
      </c>
      <c r="H2014" s="9" t="s">
        <v>13284</v>
      </c>
      <c r="I2014" s="9" t="s">
        <v>13284</v>
      </c>
      <c r="J2014" s="9" t="s">
        <v>13284</v>
      </c>
      <c r="K2014" s="9" t="s">
        <v>13284</v>
      </c>
      <c r="L2014" s="9" t="s">
        <v>13284</v>
      </c>
      <c r="M2014" s="9" t="s">
        <v>13284</v>
      </c>
      <c r="N2014" s="9" t="s">
        <v>13284</v>
      </c>
      <c r="O2014" s="9" t="s">
        <v>13284</v>
      </c>
      <c r="P2014" s="9" t="s">
        <v>13284</v>
      </c>
      <c r="Q2014" s="9" t="s">
        <v>13284</v>
      </c>
      <c r="R2014" s="9" t="s">
        <v>13284</v>
      </c>
      <c r="S2014" s="9" t="s">
        <v>13284</v>
      </c>
      <c r="T2014" s="9" t="str">
        <f ca="1">IFERROR(IF(AND(VLOOKUP(A2014, 'Актуальное состояние (из общего'!A:C,3,0) = "", A2014 &lt;&gt; ""), "ПРОВЕРИТЬ", VLOOKUP(A2014, 'Актуальное состояние (из общего'!A:C,3,0)), "")</f>
        <v/>
      </c>
      <c r="U2014" s="9" t="s">
        <v>13284</v>
      </c>
      <c r="V2014" s="9" t="s">
        <v>13284</v>
      </c>
      <c r="W2014" s="12"/>
      <c r="X2014" s="9" t="str">
        <f t="array" ref="X2014">IFERROR(INDEX('Адреса общежитий (скрытый)'!$B$2:$B$9, MATCH(W2014, 'Адреса общежитий (скрытый)'!$A$2:$A$9, 0)), "")</f>
        <v/>
      </c>
      <c r="Y2014" s="18"/>
      <c r="Z2014" s="18"/>
      <c r="AA2014" s="18"/>
      <c r="AB2014" s="18"/>
      <c r="AC2014" s="18"/>
    </row>
    <row r="2015" spans="1:29" ht="32.25" hidden="1" customHeight="1">
      <c r="A2015" s="17"/>
      <c r="B2015" s="9" t="s">
        <v>13284</v>
      </c>
      <c r="C2015" s="9" t="s">
        <v>13284</v>
      </c>
      <c r="D2015" s="9" t="s">
        <v>13284</v>
      </c>
      <c r="E2015" s="9" t="s">
        <v>13284</v>
      </c>
      <c r="F2015" s="9" t="s">
        <v>13284</v>
      </c>
      <c r="G2015" s="9" t="s">
        <v>13284</v>
      </c>
      <c r="H2015" s="9" t="s">
        <v>13284</v>
      </c>
      <c r="I2015" s="9" t="s">
        <v>13284</v>
      </c>
      <c r="J2015" s="9" t="s">
        <v>13284</v>
      </c>
      <c r="K2015" s="9" t="s">
        <v>13284</v>
      </c>
      <c r="L2015" s="9" t="s">
        <v>13284</v>
      </c>
      <c r="M2015" s="9" t="s">
        <v>13284</v>
      </c>
      <c r="N2015" s="9" t="s">
        <v>13284</v>
      </c>
      <c r="O2015" s="9" t="s">
        <v>13284</v>
      </c>
      <c r="P2015" s="9" t="s">
        <v>13284</v>
      </c>
      <c r="Q2015" s="9" t="s">
        <v>13284</v>
      </c>
      <c r="R2015" s="9" t="s">
        <v>13284</v>
      </c>
      <c r="S2015" s="9" t="s">
        <v>13284</v>
      </c>
      <c r="T2015" s="9" t="str">
        <f ca="1">IFERROR(IF(AND(VLOOKUP(A2015, 'Актуальное состояние (из общего'!A:C,3,0) = "", A2015 &lt;&gt; ""), "ПРОВЕРИТЬ", VLOOKUP(A2015, 'Актуальное состояние (из общего'!A:C,3,0)), "")</f>
        <v/>
      </c>
      <c r="U2015" s="9" t="s">
        <v>13284</v>
      </c>
      <c r="V2015" s="9" t="s">
        <v>13284</v>
      </c>
      <c r="W2015" s="12"/>
      <c r="X2015" s="9" t="str">
        <f t="array" ref="X2015">IFERROR(INDEX('Адреса общежитий (скрытый)'!$B$2:$B$9, MATCH(W2015, 'Адреса общежитий (скрытый)'!$A$2:$A$9, 0)), "")</f>
        <v/>
      </c>
      <c r="Y2015" s="18"/>
      <c r="Z2015" s="18"/>
      <c r="AA2015" s="18"/>
      <c r="AB2015" s="18"/>
      <c r="AC2015" s="18"/>
    </row>
    <row r="2016" spans="1:29" ht="32.25" hidden="1" customHeight="1">
      <c r="A2016" s="17"/>
      <c r="B2016" s="9" t="s">
        <v>13284</v>
      </c>
      <c r="C2016" s="9" t="s">
        <v>13284</v>
      </c>
      <c r="D2016" s="9" t="s">
        <v>13284</v>
      </c>
      <c r="E2016" s="9" t="s">
        <v>13284</v>
      </c>
      <c r="F2016" s="9" t="s">
        <v>13284</v>
      </c>
      <c r="G2016" s="9" t="s">
        <v>13284</v>
      </c>
      <c r="H2016" s="9" t="s">
        <v>13284</v>
      </c>
      <c r="I2016" s="9" t="s">
        <v>13284</v>
      </c>
      <c r="J2016" s="9" t="s">
        <v>13284</v>
      </c>
      <c r="K2016" s="9" t="s">
        <v>13284</v>
      </c>
      <c r="L2016" s="9" t="s">
        <v>13284</v>
      </c>
      <c r="M2016" s="9" t="s">
        <v>13284</v>
      </c>
      <c r="N2016" s="9" t="s">
        <v>13284</v>
      </c>
      <c r="O2016" s="9" t="s">
        <v>13284</v>
      </c>
      <c r="P2016" s="9" t="s">
        <v>13284</v>
      </c>
      <c r="Q2016" s="9" t="s">
        <v>13284</v>
      </c>
      <c r="R2016" s="9" t="s">
        <v>13284</v>
      </c>
      <c r="S2016" s="9" t="s">
        <v>13284</v>
      </c>
      <c r="T2016" s="9" t="str">
        <f ca="1">IFERROR(IF(AND(VLOOKUP(A2016, 'Актуальное состояние (из общего'!A:C,3,0) = "", A2016 &lt;&gt; ""), "ПРОВЕРИТЬ", VLOOKUP(A2016, 'Актуальное состояние (из общего'!A:C,3,0)), "")</f>
        <v/>
      </c>
      <c r="U2016" s="9" t="s">
        <v>13284</v>
      </c>
      <c r="V2016" s="9" t="s">
        <v>13284</v>
      </c>
      <c r="W2016" s="12"/>
      <c r="X2016" s="9" t="str">
        <f t="array" ref="X2016">IFERROR(INDEX('Адреса общежитий (скрытый)'!$B$2:$B$9, MATCH(W2016, 'Адреса общежитий (скрытый)'!$A$2:$A$9, 0)), "")</f>
        <v/>
      </c>
      <c r="Y2016" s="18"/>
      <c r="Z2016" s="18"/>
      <c r="AA2016" s="18"/>
      <c r="AB2016" s="18"/>
      <c r="AC2016" s="18"/>
    </row>
    <row r="2017" spans="1:29" ht="32.25" hidden="1" customHeight="1">
      <c r="A2017" s="17"/>
      <c r="B2017" s="9" t="s">
        <v>13284</v>
      </c>
      <c r="C2017" s="9" t="s">
        <v>13284</v>
      </c>
      <c r="D2017" s="9" t="s">
        <v>13284</v>
      </c>
      <c r="E2017" s="9" t="s">
        <v>13284</v>
      </c>
      <c r="F2017" s="9" t="s">
        <v>13284</v>
      </c>
      <c r="G2017" s="9" t="s">
        <v>13284</v>
      </c>
      <c r="H2017" s="9" t="s">
        <v>13284</v>
      </c>
      <c r="I2017" s="9" t="s">
        <v>13284</v>
      </c>
      <c r="J2017" s="9" t="s">
        <v>13284</v>
      </c>
      <c r="K2017" s="9" t="s">
        <v>13284</v>
      </c>
      <c r="L2017" s="9" t="s">
        <v>13284</v>
      </c>
      <c r="M2017" s="9" t="s">
        <v>13284</v>
      </c>
      <c r="N2017" s="9" t="s">
        <v>13284</v>
      </c>
      <c r="O2017" s="9" t="s">
        <v>13284</v>
      </c>
      <c r="P2017" s="9" t="s">
        <v>13284</v>
      </c>
      <c r="Q2017" s="9" t="s">
        <v>13284</v>
      </c>
      <c r="R2017" s="9" t="s">
        <v>13284</v>
      </c>
      <c r="S2017" s="9" t="s">
        <v>13284</v>
      </c>
      <c r="T2017" s="9" t="str">
        <f ca="1">IFERROR(IF(AND(VLOOKUP(A2017, 'Актуальное состояние (из общего'!A:C,3,0) = "", A2017 &lt;&gt; ""), "ПРОВЕРИТЬ", VLOOKUP(A2017, 'Актуальное состояние (из общего'!A:C,3,0)), "")</f>
        <v/>
      </c>
      <c r="U2017" s="9" t="s">
        <v>13284</v>
      </c>
      <c r="V2017" s="9" t="s">
        <v>13284</v>
      </c>
      <c r="W2017" s="12"/>
      <c r="X2017" s="9" t="str">
        <f t="array" ref="X2017">IFERROR(INDEX('Адреса общежитий (скрытый)'!$B$2:$B$9, MATCH(W2017, 'Адреса общежитий (скрытый)'!$A$2:$A$9, 0)), "")</f>
        <v/>
      </c>
      <c r="Y2017" s="18"/>
      <c r="Z2017" s="18"/>
      <c r="AA2017" s="18"/>
      <c r="AB2017" s="18"/>
      <c r="AC2017" s="18"/>
    </row>
    <row r="2018" spans="1:29" ht="32.25" hidden="1" customHeight="1">
      <c r="A2018" s="17"/>
      <c r="B2018" s="9" t="s">
        <v>13284</v>
      </c>
      <c r="C2018" s="9" t="s">
        <v>13284</v>
      </c>
      <c r="D2018" s="9" t="s">
        <v>13284</v>
      </c>
      <c r="E2018" s="9" t="s">
        <v>13284</v>
      </c>
      <c r="F2018" s="9" t="s">
        <v>13284</v>
      </c>
      <c r="G2018" s="9" t="s">
        <v>13284</v>
      </c>
      <c r="H2018" s="9" t="s">
        <v>13284</v>
      </c>
      <c r="I2018" s="9" t="s">
        <v>13284</v>
      </c>
      <c r="J2018" s="9" t="s">
        <v>13284</v>
      </c>
      <c r="K2018" s="9" t="s">
        <v>13284</v>
      </c>
      <c r="L2018" s="9" t="s">
        <v>13284</v>
      </c>
      <c r="M2018" s="9" t="s">
        <v>13284</v>
      </c>
      <c r="N2018" s="9" t="s">
        <v>13284</v>
      </c>
      <c r="O2018" s="9" t="s">
        <v>13284</v>
      </c>
      <c r="P2018" s="9" t="s">
        <v>13284</v>
      </c>
      <c r="Q2018" s="9" t="s">
        <v>13284</v>
      </c>
      <c r="R2018" s="9" t="s">
        <v>13284</v>
      </c>
      <c r="S2018" s="9" t="s">
        <v>13284</v>
      </c>
      <c r="T2018" s="9" t="str">
        <f ca="1">IFERROR(IF(AND(VLOOKUP(A2018, 'Актуальное состояние (из общего'!A:C,3,0) = "", A2018 &lt;&gt; ""), "ПРОВЕРИТЬ", VLOOKUP(A2018, 'Актуальное состояние (из общего'!A:C,3,0)), "")</f>
        <v/>
      </c>
      <c r="U2018" s="9" t="s">
        <v>13284</v>
      </c>
      <c r="V2018" s="9" t="s">
        <v>13284</v>
      </c>
      <c r="W2018" s="12"/>
      <c r="X2018" s="9" t="str">
        <f t="array" ref="X2018">IFERROR(INDEX('Адреса общежитий (скрытый)'!$B$2:$B$9, MATCH(W2018, 'Адреса общежитий (скрытый)'!$A$2:$A$9, 0)), "")</f>
        <v/>
      </c>
      <c r="Y2018" s="18"/>
      <c r="Z2018" s="18"/>
      <c r="AA2018" s="18"/>
      <c r="AB2018" s="18"/>
      <c r="AC2018" s="18"/>
    </row>
    <row r="2019" spans="1:29" ht="32.25" hidden="1" customHeight="1">
      <c r="A2019" s="17"/>
      <c r="B2019" s="9" t="s">
        <v>13284</v>
      </c>
      <c r="C2019" s="9" t="s">
        <v>13284</v>
      </c>
      <c r="D2019" s="9" t="s">
        <v>13284</v>
      </c>
      <c r="E2019" s="9" t="s">
        <v>13284</v>
      </c>
      <c r="F2019" s="9" t="s">
        <v>13284</v>
      </c>
      <c r="G2019" s="9" t="s">
        <v>13284</v>
      </c>
      <c r="H2019" s="9" t="s">
        <v>13284</v>
      </c>
      <c r="I2019" s="9" t="s">
        <v>13284</v>
      </c>
      <c r="J2019" s="9" t="s">
        <v>13284</v>
      </c>
      <c r="K2019" s="9" t="s">
        <v>13284</v>
      </c>
      <c r="L2019" s="9" t="s">
        <v>13284</v>
      </c>
      <c r="M2019" s="9" t="s">
        <v>13284</v>
      </c>
      <c r="N2019" s="9" t="s">
        <v>13284</v>
      </c>
      <c r="O2019" s="9" t="s">
        <v>13284</v>
      </c>
      <c r="P2019" s="9" t="s">
        <v>13284</v>
      </c>
      <c r="Q2019" s="9" t="s">
        <v>13284</v>
      </c>
      <c r="R2019" s="9" t="s">
        <v>13284</v>
      </c>
      <c r="S2019" s="9" t="s">
        <v>13284</v>
      </c>
      <c r="T2019" s="9" t="str">
        <f ca="1">IFERROR(IF(AND(VLOOKUP(A2019, 'Актуальное состояние (из общего'!A:C,3,0) = "", A2019 &lt;&gt; ""), "ПРОВЕРИТЬ", VLOOKUP(A2019, 'Актуальное состояние (из общего'!A:C,3,0)), "")</f>
        <v/>
      </c>
      <c r="U2019" s="9" t="s">
        <v>13284</v>
      </c>
      <c r="V2019" s="9" t="s">
        <v>13284</v>
      </c>
      <c r="W2019" s="12"/>
      <c r="X2019" s="9" t="str">
        <f t="array" ref="X2019">IFERROR(INDEX('Адреса общежитий (скрытый)'!$B$2:$B$9, MATCH(W2019, 'Адреса общежитий (скрытый)'!$A$2:$A$9, 0)), "")</f>
        <v/>
      </c>
      <c r="Y2019" s="18"/>
      <c r="Z2019" s="18"/>
      <c r="AA2019" s="18"/>
      <c r="AB2019" s="18"/>
      <c r="AC2019" s="18"/>
    </row>
    <row r="2020" spans="1:29" ht="32.25" hidden="1" customHeight="1">
      <c r="A2020" s="17"/>
      <c r="B2020" s="9" t="s">
        <v>13284</v>
      </c>
      <c r="C2020" s="9" t="s">
        <v>13284</v>
      </c>
      <c r="D2020" s="9" t="s">
        <v>13284</v>
      </c>
      <c r="E2020" s="9" t="s">
        <v>13284</v>
      </c>
      <c r="F2020" s="9" t="s">
        <v>13284</v>
      </c>
      <c r="G2020" s="9" t="s">
        <v>13284</v>
      </c>
      <c r="H2020" s="9" t="s">
        <v>13284</v>
      </c>
      <c r="I2020" s="9" t="s">
        <v>13284</v>
      </c>
      <c r="J2020" s="9" t="s">
        <v>13284</v>
      </c>
      <c r="K2020" s="9" t="s">
        <v>13284</v>
      </c>
      <c r="L2020" s="9" t="s">
        <v>13284</v>
      </c>
      <c r="M2020" s="9" t="s">
        <v>13284</v>
      </c>
      <c r="N2020" s="9" t="s">
        <v>13284</v>
      </c>
      <c r="O2020" s="9" t="s">
        <v>13284</v>
      </c>
      <c r="P2020" s="9" t="s">
        <v>13284</v>
      </c>
      <c r="Q2020" s="9" t="s">
        <v>13284</v>
      </c>
      <c r="R2020" s="9" t="s">
        <v>13284</v>
      </c>
      <c r="S2020" s="9" t="s">
        <v>13284</v>
      </c>
      <c r="T2020" s="9" t="str">
        <f ca="1">IFERROR(IF(AND(VLOOKUP(A2020, 'Актуальное состояние (из общего'!A:C,3,0) = "", A2020 &lt;&gt; ""), "ПРОВЕРИТЬ", VLOOKUP(A2020, 'Актуальное состояние (из общего'!A:C,3,0)), "")</f>
        <v/>
      </c>
      <c r="U2020" s="9" t="s">
        <v>13284</v>
      </c>
      <c r="V2020" s="9" t="s">
        <v>13284</v>
      </c>
      <c r="W2020" s="12"/>
      <c r="X2020" s="9" t="str">
        <f t="array" ref="X2020">IFERROR(INDEX('Адреса общежитий (скрытый)'!$B$2:$B$9, MATCH(W2020, 'Адреса общежитий (скрытый)'!$A$2:$A$9, 0)), "")</f>
        <v/>
      </c>
      <c r="Y2020" s="18"/>
      <c r="Z2020" s="18"/>
      <c r="AA2020" s="18"/>
      <c r="AB2020" s="18"/>
      <c r="AC2020" s="18"/>
    </row>
    <row r="2021" spans="1:29" ht="32.25" hidden="1" customHeight="1">
      <c r="A2021" s="17"/>
      <c r="B2021" s="9" t="s">
        <v>13284</v>
      </c>
      <c r="C2021" s="9" t="s">
        <v>13284</v>
      </c>
      <c r="D2021" s="9" t="s">
        <v>13284</v>
      </c>
      <c r="E2021" s="9" t="s">
        <v>13284</v>
      </c>
      <c r="F2021" s="9" t="s">
        <v>13284</v>
      </c>
      <c r="G2021" s="9" t="s">
        <v>13284</v>
      </c>
      <c r="H2021" s="9" t="s">
        <v>13284</v>
      </c>
      <c r="I2021" s="9" t="s">
        <v>13284</v>
      </c>
      <c r="J2021" s="9" t="s">
        <v>13284</v>
      </c>
      <c r="K2021" s="9" t="s">
        <v>13284</v>
      </c>
      <c r="L2021" s="9" t="s">
        <v>13284</v>
      </c>
      <c r="M2021" s="9" t="s">
        <v>13284</v>
      </c>
      <c r="N2021" s="9" t="s">
        <v>13284</v>
      </c>
      <c r="O2021" s="9" t="s">
        <v>13284</v>
      </c>
      <c r="P2021" s="9" t="s">
        <v>13284</v>
      </c>
      <c r="Q2021" s="9" t="s">
        <v>13284</v>
      </c>
      <c r="R2021" s="9" t="s">
        <v>13284</v>
      </c>
      <c r="S2021" s="9" t="s">
        <v>13284</v>
      </c>
      <c r="T2021" s="9" t="str">
        <f ca="1">IFERROR(IF(AND(VLOOKUP(A2021, 'Актуальное состояние (из общего'!A:C,3,0) = "", A2021 &lt;&gt; ""), "ПРОВЕРИТЬ", VLOOKUP(A2021, 'Актуальное состояние (из общего'!A:C,3,0)), "")</f>
        <v/>
      </c>
      <c r="U2021" s="9" t="s">
        <v>13284</v>
      </c>
      <c r="V2021" s="9" t="s">
        <v>13284</v>
      </c>
      <c r="W2021" s="12"/>
      <c r="X2021" s="9" t="str">
        <f t="array" ref="X2021">IFERROR(INDEX('Адреса общежитий (скрытый)'!$B$2:$B$9, MATCH(W2021, 'Адреса общежитий (скрытый)'!$A$2:$A$9, 0)), "")</f>
        <v/>
      </c>
      <c r="Y2021" s="18"/>
      <c r="Z2021" s="18"/>
      <c r="AA2021" s="18"/>
      <c r="AB2021" s="18"/>
      <c r="AC2021" s="18"/>
    </row>
    <row r="2022" spans="1:29" ht="32.25" hidden="1" customHeight="1">
      <c r="A2022" s="17"/>
      <c r="B2022" s="9" t="s">
        <v>13284</v>
      </c>
      <c r="C2022" s="9" t="s">
        <v>13284</v>
      </c>
      <c r="D2022" s="9" t="s">
        <v>13284</v>
      </c>
      <c r="E2022" s="9" t="s">
        <v>13284</v>
      </c>
      <c r="F2022" s="9" t="s">
        <v>13284</v>
      </c>
      <c r="G2022" s="9" t="s">
        <v>13284</v>
      </c>
      <c r="H2022" s="9" t="s">
        <v>13284</v>
      </c>
      <c r="I2022" s="9" t="s">
        <v>13284</v>
      </c>
      <c r="J2022" s="9" t="s">
        <v>13284</v>
      </c>
      <c r="K2022" s="9" t="s">
        <v>13284</v>
      </c>
      <c r="L2022" s="9" t="s">
        <v>13284</v>
      </c>
      <c r="M2022" s="9" t="s">
        <v>13284</v>
      </c>
      <c r="N2022" s="9" t="s">
        <v>13284</v>
      </c>
      <c r="O2022" s="9" t="s">
        <v>13284</v>
      </c>
      <c r="P2022" s="9" t="s">
        <v>13284</v>
      </c>
      <c r="Q2022" s="9" t="s">
        <v>13284</v>
      </c>
      <c r="R2022" s="9" t="s">
        <v>13284</v>
      </c>
      <c r="S2022" s="9" t="s">
        <v>13284</v>
      </c>
      <c r="T2022" s="9" t="str">
        <f ca="1">IFERROR(IF(AND(VLOOKUP(A2022, 'Актуальное состояние (из общего'!A:C,3,0) = "", A2022 &lt;&gt; ""), "ПРОВЕРИТЬ", VLOOKUP(A2022, 'Актуальное состояние (из общего'!A:C,3,0)), "")</f>
        <v/>
      </c>
      <c r="U2022" s="9" t="s">
        <v>13284</v>
      </c>
      <c r="V2022" s="9" t="s">
        <v>13284</v>
      </c>
      <c r="W2022" s="12"/>
      <c r="X2022" s="9" t="str">
        <f t="array" ref="X2022">IFERROR(INDEX('Адреса общежитий (скрытый)'!$B$2:$B$9, MATCH(W2022, 'Адреса общежитий (скрытый)'!$A$2:$A$9, 0)), "")</f>
        <v/>
      </c>
      <c r="Y2022" s="18"/>
      <c r="Z2022" s="18"/>
      <c r="AA2022" s="18"/>
      <c r="AB2022" s="18"/>
      <c r="AC2022" s="18"/>
    </row>
    <row r="2023" spans="1:29" ht="32.25" hidden="1" customHeight="1">
      <c r="A2023" s="17"/>
      <c r="B2023" s="9" t="s">
        <v>13284</v>
      </c>
      <c r="C2023" s="9" t="s">
        <v>13284</v>
      </c>
      <c r="D2023" s="9" t="s">
        <v>13284</v>
      </c>
      <c r="E2023" s="9" t="s">
        <v>13284</v>
      </c>
      <c r="F2023" s="9" t="s">
        <v>13284</v>
      </c>
      <c r="G2023" s="9" t="s">
        <v>13284</v>
      </c>
      <c r="H2023" s="9" t="s">
        <v>13284</v>
      </c>
      <c r="I2023" s="9" t="s">
        <v>13284</v>
      </c>
      <c r="J2023" s="9" t="s">
        <v>13284</v>
      </c>
      <c r="K2023" s="9" t="s">
        <v>13284</v>
      </c>
      <c r="L2023" s="9" t="s">
        <v>13284</v>
      </c>
      <c r="M2023" s="9" t="s">
        <v>13284</v>
      </c>
      <c r="N2023" s="9" t="s">
        <v>13284</v>
      </c>
      <c r="O2023" s="9" t="s">
        <v>13284</v>
      </c>
      <c r="P2023" s="9" t="s">
        <v>13284</v>
      </c>
      <c r="Q2023" s="9" t="s">
        <v>13284</v>
      </c>
      <c r="R2023" s="9" t="s">
        <v>13284</v>
      </c>
      <c r="S2023" s="9" t="s">
        <v>13284</v>
      </c>
      <c r="T2023" s="9" t="str">
        <f ca="1">IFERROR(IF(AND(VLOOKUP(A2023, 'Актуальное состояние (из общего'!A:C,3,0) = "", A2023 &lt;&gt; ""), "ПРОВЕРИТЬ", VLOOKUP(A2023, 'Актуальное состояние (из общего'!A:C,3,0)), "")</f>
        <v/>
      </c>
      <c r="U2023" s="9" t="s">
        <v>13284</v>
      </c>
      <c r="V2023" s="9" t="s">
        <v>13284</v>
      </c>
      <c r="W2023" s="12"/>
      <c r="X2023" s="9" t="str">
        <f t="array" ref="X2023">IFERROR(INDEX('Адреса общежитий (скрытый)'!$B$2:$B$9, MATCH(W2023, 'Адреса общежитий (скрытый)'!$A$2:$A$9, 0)), "")</f>
        <v/>
      </c>
      <c r="Y2023" s="18"/>
      <c r="Z2023" s="18"/>
      <c r="AA2023" s="18"/>
      <c r="AB2023" s="18"/>
      <c r="AC2023" s="18"/>
    </row>
    <row r="2024" spans="1:29" ht="32.25" hidden="1" customHeight="1">
      <c r="A2024" s="17"/>
      <c r="B2024" s="9" t="s">
        <v>13284</v>
      </c>
      <c r="C2024" s="9" t="s">
        <v>13284</v>
      </c>
      <c r="D2024" s="9" t="s">
        <v>13284</v>
      </c>
      <c r="E2024" s="9" t="s">
        <v>13284</v>
      </c>
      <c r="F2024" s="9" t="s">
        <v>13284</v>
      </c>
      <c r="G2024" s="9" t="s">
        <v>13284</v>
      </c>
      <c r="H2024" s="9" t="s">
        <v>13284</v>
      </c>
      <c r="I2024" s="9" t="s">
        <v>13284</v>
      </c>
      <c r="J2024" s="9" t="s">
        <v>13284</v>
      </c>
      <c r="K2024" s="9" t="s">
        <v>13284</v>
      </c>
      <c r="L2024" s="9" t="s">
        <v>13284</v>
      </c>
      <c r="M2024" s="9" t="s">
        <v>13284</v>
      </c>
      <c r="N2024" s="9" t="s">
        <v>13284</v>
      </c>
      <c r="O2024" s="9" t="s">
        <v>13284</v>
      </c>
      <c r="P2024" s="9" t="s">
        <v>13284</v>
      </c>
      <c r="Q2024" s="9" t="s">
        <v>13284</v>
      </c>
      <c r="R2024" s="9" t="s">
        <v>13284</v>
      </c>
      <c r="S2024" s="9" t="s">
        <v>13284</v>
      </c>
      <c r="T2024" s="9" t="str">
        <f ca="1">IFERROR(IF(AND(VLOOKUP(A2024, 'Актуальное состояние (из общего'!A:C,3,0) = "", A2024 &lt;&gt; ""), "ПРОВЕРИТЬ", VLOOKUP(A2024, 'Актуальное состояние (из общего'!A:C,3,0)), "")</f>
        <v/>
      </c>
      <c r="U2024" s="9" t="s">
        <v>13284</v>
      </c>
      <c r="V2024" s="9" t="s">
        <v>13284</v>
      </c>
      <c r="W2024" s="12"/>
      <c r="X2024" s="9" t="str">
        <f t="array" ref="X2024">IFERROR(INDEX('Адреса общежитий (скрытый)'!$B$2:$B$9, MATCH(W2024, 'Адреса общежитий (скрытый)'!$A$2:$A$9, 0)), "")</f>
        <v/>
      </c>
      <c r="Y2024" s="18"/>
      <c r="Z2024" s="18"/>
      <c r="AA2024" s="18"/>
      <c r="AB2024" s="18"/>
      <c r="AC2024" s="18"/>
    </row>
    <row r="2025" spans="1:29" ht="32.25" hidden="1" customHeight="1">
      <c r="A2025" s="17"/>
      <c r="B2025" s="9" t="s">
        <v>13284</v>
      </c>
      <c r="C2025" s="9" t="s">
        <v>13284</v>
      </c>
      <c r="D2025" s="9" t="s">
        <v>13284</v>
      </c>
      <c r="E2025" s="9" t="s">
        <v>13284</v>
      </c>
      <c r="F2025" s="9" t="s">
        <v>13284</v>
      </c>
      <c r="G2025" s="9" t="s">
        <v>13284</v>
      </c>
      <c r="H2025" s="9" t="s">
        <v>13284</v>
      </c>
      <c r="I2025" s="9" t="s">
        <v>13284</v>
      </c>
      <c r="J2025" s="9" t="s">
        <v>13284</v>
      </c>
      <c r="K2025" s="9" t="s">
        <v>13284</v>
      </c>
      <c r="L2025" s="9" t="s">
        <v>13284</v>
      </c>
      <c r="M2025" s="9" t="s">
        <v>13284</v>
      </c>
      <c r="N2025" s="9" t="s">
        <v>13284</v>
      </c>
      <c r="O2025" s="9" t="s">
        <v>13284</v>
      </c>
      <c r="P2025" s="9" t="s">
        <v>13284</v>
      </c>
      <c r="Q2025" s="9" t="s">
        <v>13284</v>
      </c>
      <c r="R2025" s="9" t="s">
        <v>13284</v>
      </c>
      <c r="S2025" s="9" t="s">
        <v>13284</v>
      </c>
      <c r="T2025" s="9" t="str">
        <f ca="1">IFERROR(IF(AND(VLOOKUP(A2025, 'Актуальное состояние (из общего'!A:C,3,0) = "", A2025 &lt;&gt; ""), "ПРОВЕРИТЬ", VLOOKUP(A2025, 'Актуальное состояние (из общего'!A:C,3,0)), "")</f>
        <v/>
      </c>
      <c r="U2025" s="9" t="s">
        <v>13284</v>
      </c>
      <c r="V2025" s="9" t="s">
        <v>13284</v>
      </c>
      <c r="W2025" s="12"/>
      <c r="X2025" s="9" t="str">
        <f t="array" ref="X2025">IFERROR(INDEX('Адреса общежитий (скрытый)'!$B$2:$B$9, MATCH(W2025, 'Адреса общежитий (скрытый)'!$A$2:$A$9, 0)), "")</f>
        <v/>
      </c>
      <c r="Y2025" s="18"/>
      <c r="Z2025" s="18"/>
      <c r="AA2025" s="18"/>
      <c r="AB2025" s="18"/>
      <c r="AC2025" s="18"/>
    </row>
    <row r="2026" spans="1:29" ht="32.25" hidden="1" customHeight="1">
      <c r="A2026" s="17"/>
      <c r="B2026" s="9" t="s">
        <v>13284</v>
      </c>
      <c r="C2026" s="9" t="s">
        <v>13284</v>
      </c>
      <c r="D2026" s="9" t="s">
        <v>13284</v>
      </c>
      <c r="E2026" s="9" t="s">
        <v>13284</v>
      </c>
      <c r="F2026" s="9" t="s">
        <v>13284</v>
      </c>
      <c r="G2026" s="9" t="s">
        <v>13284</v>
      </c>
      <c r="H2026" s="9" t="s">
        <v>13284</v>
      </c>
      <c r="I2026" s="9" t="s">
        <v>13284</v>
      </c>
      <c r="J2026" s="9" t="s">
        <v>13284</v>
      </c>
      <c r="K2026" s="9" t="s">
        <v>13284</v>
      </c>
      <c r="L2026" s="9" t="s">
        <v>13284</v>
      </c>
      <c r="M2026" s="9" t="s">
        <v>13284</v>
      </c>
      <c r="N2026" s="9" t="s">
        <v>13284</v>
      </c>
      <c r="O2026" s="9" t="s">
        <v>13284</v>
      </c>
      <c r="P2026" s="9" t="s">
        <v>13284</v>
      </c>
      <c r="Q2026" s="9" t="s">
        <v>13284</v>
      </c>
      <c r="R2026" s="9" t="s">
        <v>13284</v>
      </c>
      <c r="S2026" s="9" t="s">
        <v>13284</v>
      </c>
      <c r="T2026" s="9" t="str">
        <f ca="1">IFERROR(IF(AND(VLOOKUP(A2026, 'Актуальное состояние (из общего'!A:C,3,0) = "", A2026 &lt;&gt; ""), "ПРОВЕРИТЬ", VLOOKUP(A2026, 'Актуальное состояние (из общего'!A:C,3,0)), "")</f>
        <v/>
      </c>
      <c r="U2026" s="9" t="s">
        <v>13284</v>
      </c>
      <c r="V2026" s="9" t="s">
        <v>13284</v>
      </c>
      <c r="W2026" s="12"/>
      <c r="X2026" s="9" t="str">
        <f t="array" ref="X2026">IFERROR(INDEX('Адреса общежитий (скрытый)'!$B$2:$B$9, MATCH(W2026, 'Адреса общежитий (скрытый)'!$A$2:$A$9, 0)), "")</f>
        <v/>
      </c>
      <c r="Y2026" s="18"/>
      <c r="Z2026" s="18"/>
      <c r="AA2026" s="18"/>
      <c r="AB2026" s="18"/>
      <c r="AC2026" s="18"/>
    </row>
    <row r="2027" spans="1:29" ht="32.25" hidden="1" customHeight="1">
      <c r="A2027" s="17"/>
      <c r="B2027" s="9" t="s">
        <v>13284</v>
      </c>
      <c r="C2027" s="9" t="s">
        <v>13284</v>
      </c>
      <c r="D2027" s="9" t="s">
        <v>13284</v>
      </c>
      <c r="E2027" s="9" t="s">
        <v>13284</v>
      </c>
      <c r="F2027" s="9" t="s">
        <v>13284</v>
      </c>
      <c r="G2027" s="9" t="s">
        <v>13284</v>
      </c>
      <c r="H2027" s="9" t="s">
        <v>13284</v>
      </c>
      <c r="I2027" s="9" t="s">
        <v>13284</v>
      </c>
      <c r="J2027" s="9" t="s">
        <v>13284</v>
      </c>
      <c r="K2027" s="9" t="s">
        <v>13284</v>
      </c>
      <c r="L2027" s="9" t="s">
        <v>13284</v>
      </c>
      <c r="M2027" s="9" t="s">
        <v>13284</v>
      </c>
      <c r="N2027" s="9" t="s">
        <v>13284</v>
      </c>
      <c r="O2027" s="9" t="s">
        <v>13284</v>
      </c>
      <c r="P2027" s="9" t="s">
        <v>13284</v>
      </c>
      <c r="Q2027" s="9" t="s">
        <v>13284</v>
      </c>
      <c r="R2027" s="9" t="s">
        <v>13284</v>
      </c>
      <c r="S2027" s="9" t="s">
        <v>13284</v>
      </c>
      <c r="T2027" s="9" t="str">
        <f ca="1">IFERROR(IF(AND(VLOOKUP(A2027, 'Актуальное состояние (из общего'!A:C,3,0) = "", A2027 &lt;&gt; ""), "ПРОВЕРИТЬ", VLOOKUP(A2027, 'Актуальное состояние (из общего'!A:C,3,0)), "")</f>
        <v/>
      </c>
      <c r="U2027" s="9" t="s">
        <v>13284</v>
      </c>
      <c r="V2027" s="9" t="s">
        <v>13284</v>
      </c>
      <c r="W2027" s="12"/>
      <c r="X2027" s="9" t="str">
        <f t="array" ref="X2027">IFERROR(INDEX('Адреса общежитий (скрытый)'!$B$2:$B$9, MATCH(W2027, 'Адреса общежитий (скрытый)'!$A$2:$A$9, 0)), "")</f>
        <v/>
      </c>
      <c r="Y2027" s="18"/>
      <c r="Z2027" s="18"/>
      <c r="AA2027" s="18"/>
      <c r="AB2027" s="18"/>
      <c r="AC2027" s="18"/>
    </row>
    <row r="2028" spans="1:29" ht="32.25" hidden="1" customHeight="1">
      <c r="A2028" s="17"/>
      <c r="B2028" s="9" t="s">
        <v>13284</v>
      </c>
      <c r="C2028" s="9" t="s">
        <v>13284</v>
      </c>
      <c r="D2028" s="9" t="s">
        <v>13284</v>
      </c>
      <c r="E2028" s="9" t="s">
        <v>13284</v>
      </c>
      <c r="F2028" s="9" t="s">
        <v>13284</v>
      </c>
      <c r="G2028" s="9" t="s">
        <v>13284</v>
      </c>
      <c r="H2028" s="9" t="s">
        <v>13284</v>
      </c>
      <c r="I2028" s="9" t="s">
        <v>13284</v>
      </c>
      <c r="J2028" s="9" t="s">
        <v>13284</v>
      </c>
      <c r="K2028" s="9" t="s">
        <v>13284</v>
      </c>
      <c r="L2028" s="9" t="s">
        <v>13284</v>
      </c>
      <c r="M2028" s="9" t="s">
        <v>13284</v>
      </c>
      <c r="N2028" s="9" t="s">
        <v>13284</v>
      </c>
      <c r="O2028" s="9" t="s">
        <v>13284</v>
      </c>
      <c r="P2028" s="9" t="s">
        <v>13284</v>
      </c>
      <c r="Q2028" s="9" t="s">
        <v>13284</v>
      </c>
      <c r="R2028" s="9" t="s">
        <v>13284</v>
      </c>
      <c r="S2028" s="9" t="s">
        <v>13284</v>
      </c>
      <c r="T2028" s="9" t="str">
        <f ca="1">IFERROR(IF(AND(VLOOKUP(A2028, 'Актуальное состояние (из общего'!A:C,3,0) = "", A2028 &lt;&gt; ""), "ПРОВЕРИТЬ", VLOOKUP(A2028, 'Актуальное состояние (из общего'!A:C,3,0)), "")</f>
        <v/>
      </c>
      <c r="U2028" s="9" t="s">
        <v>13284</v>
      </c>
      <c r="V2028" s="9" t="s">
        <v>13284</v>
      </c>
      <c r="W2028" s="12"/>
      <c r="X2028" s="9" t="str">
        <f t="array" ref="X2028">IFERROR(INDEX('Адреса общежитий (скрытый)'!$B$2:$B$9, MATCH(W2028, 'Адреса общежитий (скрытый)'!$A$2:$A$9, 0)), "")</f>
        <v/>
      </c>
      <c r="Y2028" s="18"/>
      <c r="Z2028" s="18"/>
      <c r="AA2028" s="18"/>
      <c r="AB2028" s="18"/>
      <c r="AC2028" s="18"/>
    </row>
    <row r="2029" spans="1:29" ht="32.25" hidden="1" customHeight="1">
      <c r="A2029" s="17"/>
      <c r="B2029" s="9" t="s">
        <v>13284</v>
      </c>
      <c r="C2029" s="9" t="s">
        <v>13284</v>
      </c>
      <c r="D2029" s="9" t="s">
        <v>13284</v>
      </c>
      <c r="E2029" s="9" t="s">
        <v>13284</v>
      </c>
      <c r="F2029" s="9" t="s">
        <v>13284</v>
      </c>
      <c r="G2029" s="9" t="s">
        <v>13284</v>
      </c>
      <c r="H2029" s="9" t="s">
        <v>13284</v>
      </c>
      <c r="I2029" s="9" t="s">
        <v>13284</v>
      </c>
      <c r="J2029" s="9" t="s">
        <v>13284</v>
      </c>
      <c r="K2029" s="9" t="s">
        <v>13284</v>
      </c>
      <c r="L2029" s="9" t="s">
        <v>13284</v>
      </c>
      <c r="M2029" s="9" t="s">
        <v>13284</v>
      </c>
      <c r="N2029" s="9" t="s">
        <v>13284</v>
      </c>
      <c r="O2029" s="9" t="s">
        <v>13284</v>
      </c>
      <c r="P2029" s="9" t="s">
        <v>13284</v>
      </c>
      <c r="Q2029" s="9" t="s">
        <v>13284</v>
      </c>
      <c r="R2029" s="9" t="s">
        <v>13284</v>
      </c>
      <c r="S2029" s="9" t="s">
        <v>13284</v>
      </c>
      <c r="T2029" s="9" t="str">
        <f ca="1">IFERROR(IF(AND(VLOOKUP(A2029, 'Актуальное состояние (из общего'!A:C,3,0) = "", A2029 &lt;&gt; ""), "ПРОВЕРИТЬ", VLOOKUP(A2029, 'Актуальное состояние (из общего'!A:C,3,0)), "")</f>
        <v/>
      </c>
      <c r="U2029" s="9" t="s">
        <v>13284</v>
      </c>
      <c r="V2029" s="9" t="s">
        <v>13284</v>
      </c>
      <c r="W2029" s="12"/>
      <c r="X2029" s="9" t="str">
        <f t="array" ref="X2029">IFERROR(INDEX('Адреса общежитий (скрытый)'!$B$2:$B$9, MATCH(W2029, 'Адреса общежитий (скрытый)'!$A$2:$A$9, 0)), "")</f>
        <v/>
      </c>
      <c r="Y2029" s="18"/>
      <c r="Z2029" s="18"/>
      <c r="AA2029" s="18"/>
      <c r="AB2029" s="18"/>
      <c r="AC2029" s="18"/>
    </row>
    <row r="2030" spans="1:29" ht="32.25" hidden="1" customHeight="1">
      <c r="A2030" s="17"/>
      <c r="B2030" s="9" t="s">
        <v>13284</v>
      </c>
      <c r="C2030" s="9" t="s">
        <v>13284</v>
      </c>
      <c r="D2030" s="9" t="s">
        <v>13284</v>
      </c>
      <c r="E2030" s="9" t="s">
        <v>13284</v>
      </c>
      <c r="F2030" s="9" t="s">
        <v>13284</v>
      </c>
      <c r="G2030" s="9" t="s">
        <v>13284</v>
      </c>
      <c r="H2030" s="9" t="s">
        <v>13284</v>
      </c>
      <c r="I2030" s="9" t="s">
        <v>13284</v>
      </c>
      <c r="J2030" s="9" t="s">
        <v>13284</v>
      </c>
      <c r="K2030" s="9" t="s">
        <v>13284</v>
      </c>
      <c r="L2030" s="9" t="s">
        <v>13284</v>
      </c>
      <c r="M2030" s="9" t="s">
        <v>13284</v>
      </c>
      <c r="N2030" s="9" t="s">
        <v>13284</v>
      </c>
      <c r="O2030" s="9" t="s">
        <v>13284</v>
      </c>
      <c r="P2030" s="9" t="s">
        <v>13284</v>
      </c>
      <c r="Q2030" s="9" t="s">
        <v>13284</v>
      </c>
      <c r="R2030" s="9" t="s">
        <v>13284</v>
      </c>
      <c r="S2030" s="9" t="s">
        <v>13284</v>
      </c>
      <c r="T2030" s="9" t="str">
        <f ca="1">IFERROR(IF(AND(VLOOKUP(A2030, 'Актуальное состояние (из общего'!A:C,3,0) = "", A2030 &lt;&gt; ""), "ПРОВЕРИТЬ", VLOOKUP(A2030, 'Актуальное состояние (из общего'!A:C,3,0)), "")</f>
        <v/>
      </c>
      <c r="U2030" s="9" t="s">
        <v>13284</v>
      </c>
      <c r="V2030" s="9" t="s">
        <v>13284</v>
      </c>
      <c r="W2030" s="12"/>
      <c r="X2030" s="9" t="str">
        <f t="array" ref="X2030">IFERROR(INDEX('Адреса общежитий (скрытый)'!$B$2:$B$9, MATCH(W2030, 'Адреса общежитий (скрытый)'!$A$2:$A$9, 0)), "")</f>
        <v/>
      </c>
      <c r="Y2030" s="18"/>
      <c r="Z2030" s="18"/>
      <c r="AA2030" s="18"/>
      <c r="AB2030" s="18"/>
      <c r="AC2030" s="18"/>
    </row>
    <row r="2031" spans="1:29" ht="32.25" hidden="1" customHeight="1">
      <c r="A2031" s="17"/>
      <c r="B2031" s="9" t="s">
        <v>13284</v>
      </c>
      <c r="C2031" s="9" t="s">
        <v>13284</v>
      </c>
      <c r="D2031" s="9" t="s">
        <v>13284</v>
      </c>
      <c r="E2031" s="9" t="s">
        <v>13284</v>
      </c>
      <c r="F2031" s="9" t="s">
        <v>13284</v>
      </c>
      <c r="G2031" s="9" t="s">
        <v>13284</v>
      </c>
      <c r="H2031" s="9" t="s">
        <v>13284</v>
      </c>
      <c r="I2031" s="9" t="s">
        <v>13284</v>
      </c>
      <c r="J2031" s="9" t="s">
        <v>13284</v>
      </c>
      <c r="K2031" s="9" t="s">
        <v>13284</v>
      </c>
      <c r="L2031" s="9" t="s">
        <v>13284</v>
      </c>
      <c r="M2031" s="9" t="s">
        <v>13284</v>
      </c>
      <c r="N2031" s="9" t="s">
        <v>13284</v>
      </c>
      <c r="O2031" s="9" t="s">
        <v>13284</v>
      </c>
      <c r="P2031" s="9" t="s">
        <v>13284</v>
      </c>
      <c r="Q2031" s="9" t="s">
        <v>13284</v>
      </c>
      <c r="R2031" s="9" t="s">
        <v>13284</v>
      </c>
      <c r="S2031" s="9" t="s">
        <v>13284</v>
      </c>
      <c r="T2031" s="9" t="str">
        <f ca="1">IFERROR(IF(AND(VLOOKUP(A2031, 'Актуальное состояние (из общего'!A:C,3,0) = "", A2031 &lt;&gt; ""), "ПРОВЕРИТЬ", VLOOKUP(A2031, 'Актуальное состояние (из общего'!A:C,3,0)), "")</f>
        <v/>
      </c>
      <c r="U2031" s="9" t="s">
        <v>13284</v>
      </c>
      <c r="V2031" s="9" t="s">
        <v>13284</v>
      </c>
      <c r="W2031" s="12"/>
      <c r="X2031" s="9" t="str">
        <f t="array" ref="X2031">IFERROR(INDEX('Адреса общежитий (скрытый)'!$B$2:$B$9, MATCH(W2031, 'Адреса общежитий (скрытый)'!$A$2:$A$9, 0)), "")</f>
        <v/>
      </c>
      <c r="Y2031" s="18"/>
      <c r="Z2031" s="18"/>
      <c r="AA2031" s="18"/>
      <c r="AB2031" s="18"/>
      <c r="AC2031" s="18"/>
    </row>
    <row r="2032" spans="1:29" ht="32.25" hidden="1" customHeight="1">
      <c r="A2032" s="17"/>
      <c r="B2032" s="9" t="s">
        <v>13284</v>
      </c>
      <c r="C2032" s="9" t="s">
        <v>13284</v>
      </c>
      <c r="D2032" s="9" t="s">
        <v>13284</v>
      </c>
      <c r="E2032" s="9" t="s">
        <v>13284</v>
      </c>
      <c r="F2032" s="9" t="s">
        <v>13284</v>
      </c>
      <c r="G2032" s="9" t="s">
        <v>13284</v>
      </c>
      <c r="H2032" s="9" t="s">
        <v>13284</v>
      </c>
      <c r="I2032" s="9" t="s">
        <v>13284</v>
      </c>
      <c r="J2032" s="9" t="s">
        <v>13284</v>
      </c>
      <c r="K2032" s="9" t="s">
        <v>13284</v>
      </c>
      <c r="L2032" s="9" t="s">
        <v>13284</v>
      </c>
      <c r="M2032" s="9" t="s">
        <v>13284</v>
      </c>
      <c r="N2032" s="9" t="s">
        <v>13284</v>
      </c>
      <c r="O2032" s="9" t="s">
        <v>13284</v>
      </c>
      <c r="P2032" s="9" t="s">
        <v>13284</v>
      </c>
      <c r="Q2032" s="9" t="s">
        <v>13284</v>
      </c>
      <c r="R2032" s="9" t="s">
        <v>13284</v>
      </c>
      <c r="S2032" s="9" t="s">
        <v>13284</v>
      </c>
      <c r="T2032" s="9" t="str">
        <f ca="1">IFERROR(IF(AND(VLOOKUP(A2032, 'Актуальное состояние (из общего'!A:C,3,0) = "", A2032 &lt;&gt; ""), "ПРОВЕРИТЬ", VLOOKUP(A2032, 'Актуальное состояние (из общего'!A:C,3,0)), "")</f>
        <v/>
      </c>
      <c r="U2032" s="9" t="s">
        <v>13284</v>
      </c>
      <c r="V2032" s="9" t="s">
        <v>13284</v>
      </c>
      <c r="W2032" s="12"/>
      <c r="X2032" s="9" t="str">
        <f t="array" ref="X2032">IFERROR(INDEX('Адреса общежитий (скрытый)'!$B$2:$B$9, MATCH(W2032, 'Адреса общежитий (скрытый)'!$A$2:$A$9, 0)), "")</f>
        <v/>
      </c>
      <c r="Y2032" s="18"/>
      <c r="Z2032" s="18"/>
      <c r="AA2032" s="18"/>
      <c r="AB2032" s="18"/>
      <c r="AC2032" s="18"/>
    </row>
    <row r="2033" spans="1:29" ht="32.25" hidden="1" customHeight="1">
      <c r="A2033" s="17"/>
      <c r="B2033" s="9" t="s">
        <v>13284</v>
      </c>
      <c r="C2033" s="9" t="s">
        <v>13284</v>
      </c>
      <c r="D2033" s="9" t="s">
        <v>13284</v>
      </c>
      <c r="E2033" s="9" t="s">
        <v>13284</v>
      </c>
      <c r="F2033" s="9" t="s">
        <v>13284</v>
      </c>
      <c r="G2033" s="9" t="s">
        <v>13284</v>
      </c>
      <c r="H2033" s="9" t="s">
        <v>13284</v>
      </c>
      <c r="I2033" s="9" t="s">
        <v>13284</v>
      </c>
      <c r="J2033" s="9" t="s">
        <v>13284</v>
      </c>
      <c r="K2033" s="9" t="s">
        <v>13284</v>
      </c>
      <c r="L2033" s="9" t="s">
        <v>13284</v>
      </c>
      <c r="M2033" s="9" t="s">
        <v>13284</v>
      </c>
      <c r="N2033" s="9" t="s">
        <v>13284</v>
      </c>
      <c r="O2033" s="9" t="s">
        <v>13284</v>
      </c>
      <c r="P2033" s="9" t="s">
        <v>13284</v>
      </c>
      <c r="Q2033" s="9" t="s">
        <v>13284</v>
      </c>
      <c r="R2033" s="9" t="s">
        <v>13284</v>
      </c>
      <c r="S2033" s="9" t="s">
        <v>13284</v>
      </c>
      <c r="T2033" s="9" t="str">
        <f ca="1">IFERROR(IF(AND(VLOOKUP(A2033, 'Актуальное состояние (из общего'!A:C,3,0) = "", A2033 &lt;&gt; ""), "ПРОВЕРИТЬ", VLOOKUP(A2033, 'Актуальное состояние (из общего'!A:C,3,0)), "")</f>
        <v/>
      </c>
      <c r="U2033" s="9" t="s">
        <v>13284</v>
      </c>
      <c r="V2033" s="9" t="s">
        <v>13284</v>
      </c>
      <c r="W2033" s="12"/>
      <c r="X2033" s="9" t="str">
        <f t="array" ref="X2033">IFERROR(INDEX('Адреса общежитий (скрытый)'!$B$2:$B$9, MATCH(W2033, 'Адреса общежитий (скрытый)'!$A$2:$A$9, 0)), "")</f>
        <v/>
      </c>
      <c r="Y2033" s="18"/>
      <c r="Z2033" s="18"/>
      <c r="AA2033" s="18"/>
      <c r="AB2033" s="18"/>
      <c r="AC2033" s="18"/>
    </row>
    <row r="2034" spans="1:29" ht="32.25" hidden="1" customHeight="1">
      <c r="A2034" s="17"/>
      <c r="B2034" s="9" t="s">
        <v>13284</v>
      </c>
      <c r="C2034" s="9" t="s">
        <v>13284</v>
      </c>
      <c r="D2034" s="9" t="s">
        <v>13284</v>
      </c>
      <c r="E2034" s="9" t="s">
        <v>13284</v>
      </c>
      <c r="F2034" s="9" t="s">
        <v>13284</v>
      </c>
      <c r="G2034" s="9" t="s">
        <v>13284</v>
      </c>
      <c r="H2034" s="9" t="s">
        <v>13284</v>
      </c>
      <c r="I2034" s="9" t="s">
        <v>13284</v>
      </c>
      <c r="J2034" s="9" t="s">
        <v>13284</v>
      </c>
      <c r="K2034" s="9" t="s">
        <v>13284</v>
      </c>
      <c r="L2034" s="9" t="s">
        <v>13284</v>
      </c>
      <c r="M2034" s="9" t="s">
        <v>13284</v>
      </c>
      <c r="N2034" s="9" t="s">
        <v>13284</v>
      </c>
      <c r="O2034" s="9" t="s">
        <v>13284</v>
      </c>
      <c r="P2034" s="9" t="s">
        <v>13284</v>
      </c>
      <c r="Q2034" s="9" t="s">
        <v>13284</v>
      </c>
      <c r="R2034" s="9" t="s">
        <v>13284</v>
      </c>
      <c r="S2034" s="9" t="s">
        <v>13284</v>
      </c>
      <c r="T2034" s="9" t="str">
        <f ca="1">IFERROR(IF(AND(VLOOKUP(A2034, 'Актуальное состояние (из общего'!A:C,3,0) = "", A2034 &lt;&gt; ""), "ПРОВЕРИТЬ", VLOOKUP(A2034, 'Актуальное состояние (из общего'!A:C,3,0)), "")</f>
        <v/>
      </c>
      <c r="U2034" s="9" t="s">
        <v>13284</v>
      </c>
      <c r="V2034" s="9" t="s">
        <v>13284</v>
      </c>
      <c r="W2034" s="12"/>
      <c r="X2034" s="9" t="str">
        <f t="array" ref="X2034">IFERROR(INDEX('Адреса общежитий (скрытый)'!$B$2:$B$9, MATCH(W2034, 'Адреса общежитий (скрытый)'!$A$2:$A$9, 0)), "")</f>
        <v/>
      </c>
      <c r="Y2034" s="18"/>
      <c r="Z2034" s="18"/>
      <c r="AA2034" s="18"/>
      <c r="AB2034" s="18"/>
      <c r="AC2034" s="18"/>
    </row>
    <row r="2035" spans="1:29" ht="32.25" hidden="1" customHeight="1">
      <c r="A2035" s="17"/>
      <c r="B2035" s="9" t="s">
        <v>13284</v>
      </c>
      <c r="C2035" s="9" t="s">
        <v>13284</v>
      </c>
      <c r="D2035" s="9" t="s">
        <v>13284</v>
      </c>
      <c r="E2035" s="9" t="s">
        <v>13284</v>
      </c>
      <c r="F2035" s="9" t="s">
        <v>13284</v>
      </c>
      <c r="G2035" s="9" t="s">
        <v>13284</v>
      </c>
      <c r="H2035" s="9" t="s">
        <v>13284</v>
      </c>
      <c r="I2035" s="9" t="s">
        <v>13284</v>
      </c>
      <c r="J2035" s="9" t="s">
        <v>13284</v>
      </c>
      <c r="K2035" s="9" t="s">
        <v>13284</v>
      </c>
      <c r="L2035" s="9" t="s">
        <v>13284</v>
      </c>
      <c r="M2035" s="9" t="s">
        <v>13284</v>
      </c>
      <c r="N2035" s="9" t="s">
        <v>13284</v>
      </c>
      <c r="O2035" s="9" t="s">
        <v>13284</v>
      </c>
      <c r="P2035" s="9" t="s">
        <v>13284</v>
      </c>
      <c r="Q2035" s="9" t="s">
        <v>13284</v>
      </c>
      <c r="R2035" s="9" t="s">
        <v>13284</v>
      </c>
      <c r="S2035" s="9" t="s">
        <v>13284</v>
      </c>
      <c r="T2035" s="9" t="str">
        <f ca="1">IFERROR(IF(AND(VLOOKUP(A2035, 'Актуальное состояние (из общего'!A:C,3,0) = "", A2035 &lt;&gt; ""), "ПРОВЕРИТЬ", VLOOKUP(A2035, 'Актуальное состояние (из общего'!A:C,3,0)), "")</f>
        <v/>
      </c>
      <c r="U2035" s="9" t="s">
        <v>13284</v>
      </c>
      <c r="V2035" s="9" t="s">
        <v>13284</v>
      </c>
      <c r="W2035" s="12"/>
      <c r="X2035" s="9" t="str">
        <f t="array" ref="X2035">IFERROR(INDEX('Адреса общежитий (скрытый)'!$B$2:$B$9, MATCH(W2035, 'Адреса общежитий (скрытый)'!$A$2:$A$9, 0)), "")</f>
        <v/>
      </c>
      <c r="Y2035" s="18"/>
      <c r="Z2035" s="18"/>
      <c r="AA2035" s="18"/>
      <c r="AB2035" s="18"/>
      <c r="AC2035" s="18"/>
    </row>
    <row r="2036" spans="1:29" ht="32.25" hidden="1" customHeight="1">
      <c r="A2036" s="17"/>
      <c r="B2036" s="9" t="s">
        <v>13284</v>
      </c>
      <c r="C2036" s="9" t="s">
        <v>13284</v>
      </c>
      <c r="D2036" s="9" t="s">
        <v>13284</v>
      </c>
      <c r="E2036" s="9" t="s">
        <v>13284</v>
      </c>
      <c r="F2036" s="9" t="s">
        <v>13284</v>
      </c>
      <c r="G2036" s="9" t="s">
        <v>13284</v>
      </c>
      <c r="H2036" s="9" t="s">
        <v>13284</v>
      </c>
      <c r="I2036" s="9" t="s">
        <v>13284</v>
      </c>
      <c r="J2036" s="9" t="s">
        <v>13284</v>
      </c>
      <c r="K2036" s="9" t="s">
        <v>13284</v>
      </c>
      <c r="L2036" s="9" t="s">
        <v>13284</v>
      </c>
      <c r="M2036" s="9" t="s">
        <v>13284</v>
      </c>
      <c r="N2036" s="9" t="s">
        <v>13284</v>
      </c>
      <c r="O2036" s="9" t="s">
        <v>13284</v>
      </c>
      <c r="P2036" s="9" t="s">
        <v>13284</v>
      </c>
      <c r="Q2036" s="9" t="s">
        <v>13284</v>
      </c>
      <c r="R2036" s="9" t="s">
        <v>13284</v>
      </c>
      <c r="S2036" s="9" t="s">
        <v>13284</v>
      </c>
      <c r="T2036" s="9" t="str">
        <f ca="1">IFERROR(IF(AND(VLOOKUP(A2036, 'Актуальное состояние (из общего'!A:C,3,0) = "", A2036 &lt;&gt; ""), "ПРОВЕРИТЬ", VLOOKUP(A2036, 'Актуальное состояние (из общего'!A:C,3,0)), "")</f>
        <v/>
      </c>
      <c r="U2036" s="9" t="s">
        <v>13284</v>
      </c>
      <c r="V2036" s="9" t="s">
        <v>13284</v>
      </c>
      <c r="W2036" s="12"/>
      <c r="X2036" s="9" t="str">
        <f t="array" ref="X2036">IFERROR(INDEX('Адреса общежитий (скрытый)'!$B$2:$B$9, MATCH(W2036, 'Адреса общежитий (скрытый)'!$A$2:$A$9, 0)), "")</f>
        <v/>
      </c>
      <c r="Y2036" s="18"/>
      <c r="Z2036" s="18"/>
      <c r="AA2036" s="18"/>
      <c r="AB2036" s="18"/>
      <c r="AC2036" s="18"/>
    </row>
    <row r="2037" spans="1:29" ht="32.25" hidden="1" customHeight="1">
      <c r="A2037" s="17"/>
      <c r="B2037" s="9" t="s">
        <v>13284</v>
      </c>
      <c r="C2037" s="9" t="s">
        <v>13284</v>
      </c>
      <c r="D2037" s="9" t="s">
        <v>13284</v>
      </c>
      <c r="E2037" s="9" t="s">
        <v>13284</v>
      </c>
      <c r="F2037" s="9" t="s">
        <v>13284</v>
      </c>
      <c r="G2037" s="9" t="s">
        <v>13284</v>
      </c>
      <c r="H2037" s="9" t="s">
        <v>13284</v>
      </c>
      <c r="I2037" s="9" t="s">
        <v>13284</v>
      </c>
      <c r="J2037" s="9" t="s">
        <v>13284</v>
      </c>
      <c r="K2037" s="9" t="s">
        <v>13284</v>
      </c>
      <c r="L2037" s="9" t="s">
        <v>13284</v>
      </c>
      <c r="M2037" s="9" t="s">
        <v>13284</v>
      </c>
      <c r="N2037" s="9" t="s">
        <v>13284</v>
      </c>
      <c r="O2037" s="9" t="s">
        <v>13284</v>
      </c>
      <c r="P2037" s="9" t="s">
        <v>13284</v>
      </c>
      <c r="Q2037" s="9" t="s">
        <v>13284</v>
      </c>
      <c r="R2037" s="9" t="s">
        <v>13284</v>
      </c>
      <c r="S2037" s="9" t="s">
        <v>13284</v>
      </c>
      <c r="T2037" s="9" t="str">
        <f ca="1">IFERROR(IF(AND(VLOOKUP(A2037, 'Актуальное состояние (из общего'!A:C,3,0) = "", A2037 &lt;&gt; ""), "ПРОВЕРИТЬ", VLOOKUP(A2037, 'Актуальное состояние (из общего'!A:C,3,0)), "")</f>
        <v/>
      </c>
      <c r="U2037" s="9" t="s">
        <v>13284</v>
      </c>
      <c r="V2037" s="9" t="s">
        <v>13284</v>
      </c>
      <c r="W2037" s="12"/>
      <c r="X2037" s="9" t="str">
        <f t="array" ref="X2037">IFERROR(INDEX('Адреса общежитий (скрытый)'!$B$2:$B$9, MATCH(W2037, 'Адреса общежитий (скрытый)'!$A$2:$A$9, 0)), "")</f>
        <v/>
      </c>
      <c r="Y2037" s="18"/>
      <c r="Z2037" s="18"/>
      <c r="AA2037" s="18"/>
      <c r="AB2037" s="18"/>
      <c r="AC2037" s="18"/>
    </row>
    <row r="2038" spans="1:29" ht="32.25" hidden="1" customHeight="1">
      <c r="A2038" s="17"/>
      <c r="B2038" s="9" t="s">
        <v>13284</v>
      </c>
      <c r="C2038" s="9" t="s">
        <v>13284</v>
      </c>
      <c r="D2038" s="9" t="s">
        <v>13284</v>
      </c>
      <c r="E2038" s="9" t="s">
        <v>13284</v>
      </c>
      <c r="F2038" s="9" t="s">
        <v>13284</v>
      </c>
      <c r="G2038" s="9" t="s">
        <v>13284</v>
      </c>
      <c r="H2038" s="9" t="s">
        <v>13284</v>
      </c>
      <c r="I2038" s="9" t="s">
        <v>13284</v>
      </c>
      <c r="J2038" s="9" t="s">
        <v>13284</v>
      </c>
      <c r="K2038" s="9" t="s">
        <v>13284</v>
      </c>
      <c r="L2038" s="9" t="s">
        <v>13284</v>
      </c>
      <c r="M2038" s="9" t="s">
        <v>13284</v>
      </c>
      <c r="N2038" s="9" t="s">
        <v>13284</v>
      </c>
      <c r="O2038" s="9" t="s">
        <v>13284</v>
      </c>
      <c r="P2038" s="9" t="s">
        <v>13284</v>
      </c>
      <c r="Q2038" s="9" t="s">
        <v>13284</v>
      </c>
      <c r="R2038" s="9" t="s">
        <v>13284</v>
      </c>
      <c r="S2038" s="9" t="s">
        <v>13284</v>
      </c>
      <c r="T2038" s="9" t="str">
        <f ca="1">IFERROR(IF(AND(VLOOKUP(A2038, 'Актуальное состояние (из общего'!A:C,3,0) = "", A2038 &lt;&gt; ""), "ПРОВЕРИТЬ", VLOOKUP(A2038, 'Актуальное состояние (из общего'!A:C,3,0)), "")</f>
        <v/>
      </c>
      <c r="U2038" s="9" t="s">
        <v>13284</v>
      </c>
      <c r="V2038" s="9" t="s">
        <v>13284</v>
      </c>
      <c r="W2038" s="12"/>
      <c r="X2038" s="9" t="str">
        <f t="array" ref="X2038">IFERROR(INDEX('Адреса общежитий (скрытый)'!$B$2:$B$9, MATCH(W2038, 'Адреса общежитий (скрытый)'!$A$2:$A$9, 0)), "")</f>
        <v/>
      </c>
      <c r="Y2038" s="18"/>
      <c r="Z2038" s="18"/>
      <c r="AA2038" s="18"/>
      <c r="AB2038" s="18"/>
      <c r="AC2038" s="18"/>
    </row>
    <row r="2039" spans="1:29" ht="32.25" hidden="1" customHeight="1">
      <c r="A2039" s="17"/>
      <c r="B2039" s="9" t="s">
        <v>13284</v>
      </c>
      <c r="C2039" s="9" t="s">
        <v>13284</v>
      </c>
      <c r="D2039" s="9" t="s">
        <v>13284</v>
      </c>
      <c r="E2039" s="9" t="s">
        <v>13284</v>
      </c>
      <c r="F2039" s="9" t="s">
        <v>13284</v>
      </c>
      <c r="G2039" s="9" t="s">
        <v>13284</v>
      </c>
      <c r="H2039" s="9" t="s">
        <v>13284</v>
      </c>
      <c r="I2039" s="9" t="s">
        <v>13284</v>
      </c>
      <c r="J2039" s="9" t="s">
        <v>13284</v>
      </c>
      <c r="K2039" s="9" t="s">
        <v>13284</v>
      </c>
      <c r="L2039" s="9" t="s">
        <v>13284</v>
      </c>
      <c r="M2039" s="9" t="s">
        <v>13284</v>
      </c>
      <c r="N2039" s="9" t="s">
        <v>13284</v>
      </c>
      <c r="O2039" s="9" t="s">
        <v>13284</v>
      </c>
      <c r="P2039" s="9" t="s">
        <v>13284</v>
      </c>
      <c r="Q2039" s="9" t="s">
        <v>13284</v>
      </c>
      <c r="R2039" s="9" t="s">
        <v>13284</v>
      </c>
      <c r="S2039" s="9" t="s">
        <v>13284</v>
      </c>
      <c r="T2039" s="9" t="str">
        <f ca="1">IFERROR(IF(AND(VLOOKUP(A2039, 'Актуальное состояние (из общего'!A:C,3,0) = "", A2039 &lt;&gt; ""), "ПРОВЕРИТЬ", VLOOKUP(A2039, 'Актуальное состояние (из общего'!A:C,3,0)), "")</f>
        <v/>
      </c>
      <c r="U2039" s="9" t="s">
        <v>13284</v>
      </c>
      <c r="V2039" s="9" t="s">
        <v>13284</v>
      </c>
      <c r="W2039" s="12"/>
      <c r="X2039" s="9" t="str">
        <f t="array" ref="X2039">IFERROR(INDEX('Адреса общежитий (скрытый)'!$B$2:$B$9, MATCH(W2039, 'Адреса общежитий (скрытый)'!$A$2:$A$9, 0)), "")</f>
        <v/>
      </c>
      <c r="Y2039" s="18"/>
      <c r="Z2039" s="18"/>
      <c r="AA2039" s="18"/>
      <c r="AB2039" s="18"/>
      <c r="AC2039" s="18"/>
    </row>
    <row r="2040" spans="1:29" ht="32.25" hidden="1" customHeight="1">
      <c r="A2040" s="17"/>
      <c r="B2040" s="9" t="s">
        <v>13284</v>
      </c>
      <c r="C2040" s="9" t="s">
        <v>13284</v>
      </c>
      <c r="D2040" s="9" t="s">
        <v>13284</v>
      </c>
      <c r="E2040" s="9" t="s">
        <v>13284</v>
      </c>
      <c r="F2040" s="9" t="s">
        <v>13284</v>
      </c>
      <c r="G2040" s="9" t="s">
        <v>13284</v>
      </c>
      <c r="H2040" s="9" t="s">
        <v>13284</v>
      </c>
      <c r="I2040" s="9" t="s">
        <v>13284</v>
      </c>
      <c r="J2040" s="9" t="s">
        <v>13284</v>
      </c>
      <c r="K2040" s="9" t="s">
        <v>13284</v>
      </c>
      <c r="L2040" s="9" t="s">
        <v>13284</v>
      </c>
      <c r="M2040" s="9" t="s">
        <v>13284</v>
      </c>
      <c r="N2040" s="9" t="s">
        <v>13284</v>
      </c>
      <c r="O2040" s="9" t="s">
        <v>13284</v>
      </c>
      <c r="P2040" s="9" t="s">
        <v>13284</v>
      </c>
      <c r="Q2040" s="9" t="s">
        <v>13284</v>
      </c>
      <c r="R2040" s="9" t="s">
        <v>13284</v>
      </c>
      <c r="S2040" s="9" t="s">
        <v>13284</v>
      </c>
      <c r="T2040" s="9" t="str">
        <f ca="1">IFERROR(IF(AND(VLOOKUP(A2040, 'Актуальное состояние (из общего'!A:C,3,0) = "", A2040 &lt;&gt; ""), "ПРОВЕРИТЬ", VLOOKUP(A2040, 'Актуальное состояние (из общего'!A:C,3,0)), "")</f>
        <v/>
      </c>
      <c r="U2040" s="9" t="s">
        <v>13284</v>
      </c>
      <c r="V2040" s="9" t="s">
        <v>13284</v>
      </c>
      <c r="W2040" s="12"/>
      <c r="X2040" s="9" t="str">
        <f t="array" ref="X2040">IFERROR(INDEX('Адреса общежитий (скрытый)'!$B$2:$B$9, MATCH(W2040, 'Адреса общежитий (скрытый)'!$A$2:$A$9, 0)), "")</f>
        <v/>
      </c>
      <c r="Y2040" s="18"/>
      <c r="Z2040" s="18"/>
      <c r="AA2040" s="18"/>
      <c r="AB2040" s="18"/>
      <c r="AC2040" s="18"/>
    </row>
    <row r="2041" spans="1:29" ht="32.25" hidden="1" customHeight="1">
      <c r="A2041" s="17"/>
      <c r="B2041" s="9" t="s">
        <v>13284</v>
      </c>
      <c r="C2041" s="9" t="s">
        <v>13284</v>
      </c>
      <c r="D2041" s="9" t="s">
        <v>13284</v>
      </c>
      <c r="E2041" s="9" t="s">
        <v>13284</v>
      </c>
      <c r="F2041" s="9" t="s">
        <v>13284</v>
      </c>
      <c r="G2041" s="9" t="s">
        <v>13284</v>
      </c>
      <c r="H2041" s="9" t="s">
        <v>13284</v>
      </c>
      <c r="I2041" s="9" t="s">
        <v>13284</v>
      </c>
      <c r="J2041" s="9" t="s">
        <v>13284</v>
      </c>
      <c r="K2041" s="9" t="s">
        <v>13284</v>
      </c>
      <c r="L2041" s="9" t="s">
        <v>13284</v>
      </c>
      <c r="M2041" s="9" t="s">
        <v>13284</v>
      </c>
      <c r="N2041" s="9" t="s">
        <v>13284</v>
      </c>
      <c r="O2041" s="9" t="s">
        <v>13284</v>
      </c>
      <c r="P2041" s="9" t="s">
        <v>13284</v>
      </c>
      <c r="Q2041" s="9" t="s">
        <v>13284</v>
      </c>
      <c r="R2041" s="9" t="s">
        <v>13284</v>
      </c>
      <c r="S2041" s="9" t="s">
        <v>13284</v>
      </c>
      <c r="T2041" s="9" t="str">
        <f ca="1">IFERROR(IF(AND(VLOOKUP(A2041, 'Актуальное состояние (из общего'!A:C,3,0) = "", A2041 &lt;&gt; ""), "ПРОВЕРИТЬ", VLOOKUP(A2041, 'Актуальное состояние (из общего'!A:C,3,0)), "")</f>
        <v/>
      </c>
      <c r="U2041" s="9" t="s">
        <v>13284</v>
      </c>
      <c r="V2041" s="9" t="s">
        <v>13284</v>
      </c>
      <c r="W2041" s="12"/>
      <c r="X2041" s="9" t="str">
        <f t="array" ref="X2041">IFERROR(INDEX('Адреса общежитий (скрытый)'!$B$2:$B$9, MATCH(W2041, 'Адреса общежитий (скрытый)'!$A$2:$A$9, 0)), "")</f>
        <v/>
      </c>
      <c r="Y2041" s="18"/>
      <c r="Z2041" s="18"/>
      <c r="AA2041" s="18"/>
      <c r="AB2041" s="18"/>
      <c r="AC2041" s="18"/>
    </row>
    <row r="2042" spans="1:29" ht="32.25" hidden="1" customHeight="1">
      <c r="A2042" s="17"/>
      <c r="B2042" s="9" t="s">
        <v>13284</v>
      </c>
      <c r="C2042" s="9" t="s">
        <v>13284</v>
      </c>
      <c r="D2042" s="9" t="s">
        <v>13284</v>
      </c>
      <c r="E2042" s="9" t="s">
        <v>13284</v>
      </c>
      <c r="F2042" s="9" t="s">
        <v>13284</v>
      </c>
      <c r="G2042" s="9" t="s">
        <v>13284</v>
      </c>
      <c r="H2042" s="9" t="s">
        <v>13284</v>
      </c>
      <c r="I2042" s="9" t="s">
        <v>13284</v>
      </c>
      <c r="J2042" s="9" t="s">
        <v>13284</v>
      </c>
      <c r="K2042" s="9" t="s">
        <v>13284</v>
      </c>
      <c r="L2042" s="9" t="s">
        <v>13284</v>
      </c>
      <c r="M2042" s="9" t="s">
        <v>13284</v>
      </c>
      <c r="N2042" s="9" t="s">
        <v>13284</v>
      </c>
      <c r="O2042" s="9" t="s">
        <v>13284</v>
      </c>
      <c r="P2042" s="9" t="s">
        <v>13284</v>
      </c>
      <c r="Q2042" s="9" t="s">
        <v>13284</v>
      </c>
      <c r="R2042" s="9" t="s">
        <v>13284</v>
      </c>
      <c r="S2042" s="9" t="s">
        <v>13284</v>
      </c>
      <c r="T2042" s="9" t="str">
        <f ca="1">IFERROR(IF(AND(VLOOKUP(A2042, 'Актуальное состояние (из общего'!A:C,3,0) = "", A2042 &lt;&gt; ""), "ПРОВЕРИТЬ", VLOOKUP(A2042, 'Актуальное состояние (из общего'!A:C,3,0)), "")</f>
        <v/>
      </c>
      <c r="U2042" s="9" t="s">
        <v>13284</v>
      </c>
      <c r="V2042" s="9" t="s">
        <v>13284</v>
      </c>
      <c r="W2042" s="12"/>
      <c r="X2042" s="9" t="str">
        <f t="array" ref="X2042">IFERROR(INDEX('Адреса общежитий (скрытый)'!$B$2:$B$9, MATCH(W2042, 'Адреса общежитий (скрытый)'!$A$2:$A$9, 0)), "")</f>
        <v/>
      </c>
      <c r="Y2042" s="18"/>
      <c r="Z2042" s="18"/>
      <c r="AA2042" s="18"/>
      <c r="AB2042" s="18"/>
      <c r="AC2042" s="18"/>
    </row>
    <row r="2043" spans="1:29" ht="32.25" hidden="1" customHeight="1">
      <c r="A2043" s="17"/>
      <c r="B2043" s="9" t="s">
        <v>13284</v>
      </c>
      <c r="C2043" s="9" t="s">
        <v>13284</v>
      </c>
      <c r="D2043" s="9" t="s">
        <v>13284</v>
      </c>
      <c r="E2043" s="9" t="s">
        <v>13284</v>
      </c>
      <c r="F2043" s="9" t="s">
        <v>13284</v>
      </c>
      <c r="G2043" s="9" t="s">
        <v>13284</v>
      </c>
      <c r="H2043" s="9" t="s">
        <v>13284</v>
      </c>
      <c r="I2043" s="9" t="s">
        <v>13284</v>
      </c>
      <c r="J2043" s="9" t="s">
        <v>13284</v>
      </c>
      <c r="K2043" s="9" t="s">
        <v>13284</v>
      </c>
      <c r="L2043" s="9" t="s">
        <v>13284</v>
      </c>
      <c r="M2043" s="9" t="s">
        <v>13284</v>
      </c>
      <c r="N2043" s="9" t="s">
        <v>13284</v>
      </c>
      <c r="O2043" s="9" t="s">
        <v>13284</v>
      </c>
      <c r="P2043" s="9" t="s">
        <v>13284</v>
      </c>
      <c r="Q2043" s="9" t="s">
        <v>13284</v>
      </c>
      <c r="R2043" s="9" t="s">
        <v>13284</v>
      </c>
      <c r="S2043" s="9" t="s">
        <v>13284</v>
      </c>
      <c r="T2043" s="9" t="str">
        <f ca="1">IFERROR(IF(AND(VLOOKUP(A2043, 'Актуальное состояние (из общего'!A:C,3,0) = "", A2043 &lt;&gt; ""), "ПРОВЕРИТЬ", VLOOKUP(A2043, 'Актуальное состояние (из общего'!A:C,3,0)), "")</f>
        <v/>
      </c>
      <c r="U2043" s="9" t="s">
        <v>13284</v>
      </c>
      <c r="V2043" s="9" t="s">
        <v>13284</v>
      </c>
      <c r="W2043" s="12"/>
      <c r="X2043" s="9" t="str">
        <f t="array" ref="X2043">IFERROR(INDEX('Адреса общежитий (скрытый)'!$B$2:$B$9, MATCH(W2043, 'Адреса общежитий (скрытый)'!$A$2:$A$9, 0)), "")</f>
        <v/>
      </c>
      <c r="Y2043" s="18"/>
      <c r="Z2043" s="18"/>
      <c r="AA2043" s="18"/>
      <c r="AB2043" s="18"/>
      <c r="AC2043" s="18"/>
    </row>
    <row r="2044" spans="1:29" ht="32.25" hidden="1" customHeight="1">
      <c r="A2044" s="17"/>
      <c r="B2044" s="9" t="s">
        <v>13284</v>
      </c>
      <c r="C2044" s="9" t="s">
        <v>13284</v>
      </c>
      <c r="D2044" s="9" t="s">
        <v>13284</v>
      </c>
      <c r="E2044" s="9" t="s">
        <v>13284</v>
      </c>
      <c r="F2044" s="9" t="s">
        <v>13284</v>
      </c>
      <c r="G2044" s="9" t="s">
        <v>13284</v>
      </c>
      <c r="H2044" s="9" t="s">
        <v>13284</v>
      </c>
      <c r="I2044" s="9" t="s">
        <v>13284</v>
      </c>
      <c r="J2044" s="9" t="s">
        <v>13284</v>
      </c>
      <c r="K2044" s="9" t="s">
        <v>13284</v>
      </c>
      <c r="L2044" s="9" t="s">
        <v>13284</v>
      </c>
      <c r="M2044" s="9" t="s">
        <v>13284</v>
      </c>
      <c r="N2044" s="9" t="s">
        <v>13284</v>
      </c>
      <c r="O2044" s="9" t="s">
        <v>13284</v>
      </c>
      <c r="P2044" s="9" t="s">
        <v>13284</v>
      </c>
      <c r="Q2044" s="9" t="s">
        <v>13284</v>
      </c>
      <c r="R2044" s="9" t="s">
        <v>13284</v>
      </c>
      <c r="S2044" s="9" t="s">
        <v>13284</v>
      </c>
      <c r="T2044" s="9" t="str">
        <f ca="1">IFERROR(IF(AND(VLOOKUP(A2044, 'Актуальное состояние (из общего'!A:C,3,0) = "", A2044 &lt;&gt; ""), "ПРОВЕРИТЬ", VLOOKUP(A2044, 'Актуальное состояние (из общего'!A:C,3,0)), "")</f>
        <v/>
      </c>
      <c r="U2044" s="9" t="s">
        <v>13284</v>
      </c>
      <c r="V2044" s="9" t="s">
        <v>13284</v>
      </c>
      <c r="W2044" s="12"/>
      <c r="X2044" s="9" t="str">
        <f t="array" ref="X2044">IFERROR(INDEX('Адреса общежитий (скрытый)'!$B$2:$B$9, MATCH(W2044, 'Адреса общежитий (скрытый)'!$A$2:$A$9, 0)), "")</f>
        <v/>
      </c>
      <c r="Y2044" s="18"/>
      <c r="Z2044" s="18"/>
      <c r="AA2044" s="18"/>
      <c r="AB2044" s="18"/>
      <c r="AC2044" s="18"/>
    </row>
    <row r="2045" spans="1:29" ht="32.25" hidden="1" customHeight="1">
      <c r="A2045" s="17"/>
      <c r="B2045" s="9" t="s">
        <v>13284</v>
      </c>
      <c r="C2045" s="9" t="s">
        <v>13284</v>
      </c>
      <c r="D2045" s="9" t="s">
        <v>13284</v>
      </c>
      <c r="E2045" s="9" t="s">
        <v>13284</v>
      </c>
      <c r="F2045" s="9" t="s">
        <v>13284</v>
      </c>
      <c r="G2045" s="9" t="s">
        <v>13284</v>
      </c>
      <c r="H2045" s="9" t="s">
        <v>13284</v>
      </c>
      <c r="I2045" s="9" t="s">
        <v>13284</v>
      </c>
      <c r="J2045" s="9" t="s">
        <v>13284</v>
      </c>
      <c r="K2045" s="9" t="s">
        <v>13284</v>
      </c>
      <c r="L2045" s="9" t="s">
        <v>13284</v>
      </c>
      <c r="M2045" s="9" t="s">
        <v>13284</v>
      </c>
      <c r="N2045" s="9" t="s">
        <v>13284</v>
      </c>
      <c r="O2045" s="9" t="s">
        <v>13284</v>
      </c>
      <c r="P2045" s="9" t="s">
        <v>13284</v>
      </c>
      <c r="Q2045" s="9" t="s">
        <v>13284</v>
      </c>
      <c r="R2045" s="9" t="s">
        <v>13284</v>
      </c>
      <c r="S2045" s="9" t="s">
        <v>13284</v>
      </c>
      <c r="T2045" s="9" t="str">
        <f ca="1">IFERROR(IF(AND(VLOOKUP(A2045, 'Актуальное состояние (из общего'!A:C,3,0) = "", A2045 &lt;&gt; ""), "ПРОВЕРИТЬ", VLOOKUP(A2045, 'Актуальное состояние (из общего'!A:C,3,0)), "")</f>
        <v/>
      </c>
      <c r="U2045" s="9" t="s">
        <v>13284</v>
      </c>
      <c r="V2045" s="9" t="s">
        <v>13284</v>
      </c>
      <c r="W2045" s="12"/>
      <c r="X2045" s="9" t="str">
        <f t="array" ref="X2045">IFERROR(INDEX('Адреса общежитий (скрытый)'!$B$2:$B$9, MATCH(W2045, 'Адреса общежитий (скрытый)'!$A$2:$A$9, 0)), "")</f>
        <v/>
      </c>
      <c r="Y2045" s="18"/>
      <c r="Z2045" s="18"/>
      <c r="AA2045" s="18"/>
      <c r="AB2045" s="18"/>
      <c r="AC2045" s="18"/>
    </row>
    <row r="2046" spans="1:29" ht="32.25" hidden="1" customHeight="1">
      <c r="A2046" s="17"/>
      <c r="B2046" s="9" t="s">
        <v>13284</v>
      </c>
      <c r="C2046" s="9" t="s">
        <v>13284</v>
      </c>
      <c r="D2046" s="9" t="s">
        <v>13284</v>
      </c>
      <c r="E2046" s="9" t="s">
        <v>13284</v>
      </c>
      <c r="F2046" s="9" t="s">
        <v>13284</v>
      </c>
      <c r="G2046" s="9" t="s">
        <v>13284</v>
      </c>
      <c r="H2046" s="9" t="s">
        <v>13284</v>
      </c>
      <c r="I2046" s="9" t="s">
        <v>13284</v>
      </c>
      <c r="J2046" s="9" t="s">
        <v>13284</v>
      </c>
      <c r="K2046" s="9" t="s">
        <v>13284</v>
      </c>
      <c r="L2046" s="9" t="s">
        <v>13284</v>
      </c>
      <c r="M2046" s="9" t="s">
        <v>13284</v>
      </c>
      <c r="N2046" s="9" t="s">
        <v>13284</v>
      </c>
      <c r="O2046" s="9" t="s">
        <v>13284</v>
      </c>
      <c r="P2046" s="9" t="s">
        <v>13284</v>
      </c>
      <c r="Q2046" s="9" t="s">
        <v>13284</v>
      </c>
      <c r="R2046" s="9" t="s">
        <v>13284</v>
      </c>
      <c r="S2046" s="9" t="s">
        <v>13284</v>
      </c>
      <c r="T2046" s="9" t="str">
        <f ca="1">IFERROR(IF(AND(VLOOKUP(A2046, 'Актуальное состояние (из общего'!A:C,3,0) = "", A2046 &lt;&gt; ""), "ПРОВЕРИТЬ", VLOOKUP(A2046, 'Актуальное состояние (из общего'!A:C,3,0)), "")</f>
        <v/>
      </c>
      <c r="U2046" s="9" t="s">
        <v>13284</v>
      </c>
      <c r="V2046" s="9" t="s">
        <v>13284</v>
      </c>
      <c r="W2046" s="12"/>
      <c r="X2046" s="9" t="str">
        <f t="array" ref="X2046">IFERROR(INDEX('Адреса общежитий (скрытый)'!$B$2:$B$9, MATCH(W2046, 'Адреса общежитий (скрытый)'!$A$2:$A$9, 0)), "")</f>
        <v/>
      </c>
      <c r="Y2046" s="18"/>
      <c r="Z2046" s="18"/>
      <c r="AA2046" s="18"/>
      <c r="AB2046" s="18"/>
      <c r="AC2046" s="18"/>
    </row>
    <row r="2047" spans="1:29" ht="32.25" hidden="1" customHeight="1">
      <c r="A2047" s="17"/>
      <c r="B2047" s="9" t="s">
        <v>13284</v>
      </c>
      <c r="C2047" s="9" t="s">
        <v>13284</v>
      </c>
      <c r="D2047" s="9" t="s">
        <v>13284</v>
      </c>
      <c r="E2047" s="9" t="s">
        <v>13284</v>
      </c>
      <c r="F2047" s="9" t="s">
        <v>13284</v>
      </c>
      <c r="G2047" s="9" t="s">
        <v>13284</v>
      </c>
      <c r="H2047" s="9" t="s">
        <v>13284</v>
      </c>
      <c r="I2047" s="9" t="s">
        <v>13284</v>
      </c>
      <c r="J2047" s="9" t="s">
        <v>13284</v>
      </c>
      <c r="K2047" s="9" t="s">
        <v>13284</v>
      </c>
      <c r="L2047" s="9" t="s">
        <v>13284</v>
      </c>
      <c r="M2047" s="9" t="s">
        <v>13284</v>
      </c>
      <c r="N2047" s="9" t="s">
        <v>13284</v>
      </c>
      <c r="O2047" s="9" t="s">
        <v>13284</v>
      </c>
      <c r="P2047" s="9" t="s">
        <v>13284</v>
      </c>
      <c r="Q2047" s="9" t="s">
        <v>13284</v>
      </c>
      <c r="R2047" s="9" t="s">
        <v>13284</v>
      </c>
      <c r="S2047" s="9" t="s">
        <v>13284</v>
      </c>
      <c r="T2047" s="9" t="str">
        <f ca="1">IFERROR(IF(AND(VLOOKUP(A2047, 'Актуальное состояние (из общего'!A:C,3,0) = "", A2047 &lt;&gt; ""), "ПРОВЕРИТЬ", VLOOKUP(A2047, 'Актуальное состояние (из общего'!A:C,3,0)), "")</f>
        <v/>
      </c>
      <c r="U2047" s="9" t="s">
        <v>13284</v>
      </c>
      <c r="V2047" s="9" t="s">
        <v>13284</v>
      </c>
      <c r="W2047" s="12"/>
      <c r="X2047" s="9" t="str">
        <f t="array" ref="X2047">IFERROR(INDEX('Адреса общежитий (скрытый)'!$B$2:$B$9, MATCH(W2047, 'Адреса общежитий (скрытый)'!$A$2:$A$9, 0)), "")</f>
        <v/>
      </c>
      <c r="Y2047" s="18"/>
      <c r="Z2047" s="18"/>
      <c r="AA2047" s="18"/>
      <c r="AB2047" s="18"/>
      <c r="AC2047" s="18"/>
    </row>
    <row r="2048" spans="1:29" ht="32.25" hidden="1" customHeight="1">
      <c r="A2048" s="17"/>
      <c r="B2048" s="9" t="s">
        <v>13284</v>
      </c>
      <c r="C2048" s="9" t="s">
        <v>13284</v>
      </c>
      <c r="D2048" s="9" t="s">
        <v>13284</v>
      </c>
      <c r="E2048" s="9" t="s">
        <v>13284</v>
      </c>
      <c r="F2048" s="9" t="s">
        <v>13284</v>
      </c>
      <c r="G2048" s="9" t="s">
        <v>13284</v>
      </c>
      <c r="H2048" s="9" t="s">
        <v>13284</v>
      </c>
      <c r="I2048" s="9" t="s">
        <v>13284</v>
      </c>
      <c r="J2048" s="9" t="s">
        <v>13284</v>
      </c>
      <c r="K2048" s="9" t="s">
        <v>13284</v>
      </c>
      <c r="L2048" s="9" t="s">
        <v>13284</v>
      </c>
      <c r="M2048" s="9" t="s">
        <v>13284</v>
      </c>
      <c r="N2048" s="9" t="s">
        <v>13284</v>
      </c>
      <c r="O2048" s="9" t="s">
        <v>13284</v>
      </c>
      <c r="P2048" s="9" t="s">
        <v>13284</v>
      </c>
      <c r="Q2048" s="9" t="s">
        <v>13284</v>
      </c>
      <c r="R2048" s="9" t="s">
        <v>13284</v>
      </c>
      <c r="S2048" s="9" t="s">
        <v>13284</v>
      </c>
      <c r="T2048" s="9" t="str">
        <f ca="1">IFERROR(IF(AND(VLOOKUP(A2048, 'Актуальное состояние (из общего'!A:C,3,0) = "", A2048 &lt;&gt; ""), "ПРОВЕРИТЬ", VLOOKUP(A2048, 'Актуальное состояние (из общего'!A:C,3,0)), "")</f>
        <v/>
      </c>
      <c r="U2048" s="9" t="s">
        <v>13284</v>
      </c>
      <c r="V2048" s="9" t="s">
        <v>13284</v>
      </c>
      <c r="W2048" s="12"/>
      <c r="X2048" s="9" t="str">
        <f t="array" ref="X2048">IFERROR(INDEX('Адреса общежитий (скрытый)'!$B$2:$B$9, MATCH(W2048, 'Адреса общежитий (скрытый)'!$A$2:$A$9, 0)), "")</f>
        <v/>
      </c>
      <c r="Y2048" s="18"/>
      <c r="Z2048" s="18"/>
      <c r="AA2048" s="18"/>
      <c r="AB2048" s="18"/>
      <c r="AC2048" s="18"/>
    </row>
    <row r="2049" spans="1:29" ht="32.25" hidden="1" customHeight="1">
      <c r="A2049" s="17"/>
      <c r="B2049" s="9" t="s">
        <v>13284</v>
      </c>
      <c r="C2049" s="9" t="s">
        <v>13284</v>
      </c>
      <c r="D2049" s="9" t="s">
        <v>13284</v>
      </c>
      <c r="E2049" s="9" t="s">
        <v>13284</v>
      </c>
      <c r="F2049" s="9" t="s">
        <v>13284</v>
      </c>
      <c r="G2049" s="9" t="s">
        <v>13284</v>
      </c>
      <c r="H2049" s="9" t="s">
        <v>13284</v>
      </c>
      <c r="I2049" s="9" t="s">
        <v>13284</v>
      </c>
      <c r="J2049" s="9" t="s">
        <v>13284</v>
      </c>
      <c r="K2049" s="9" t="s">
        <v>13284</v>
      </c>
      <c r="L2049" s="9" t="s">
        <v>13284</v>
      </c>
      <c r="M2049" s="9" t="s">
        <v>13284</v>
      </c>
      <c r="N2049" s="9" t="s">
        <v>13284</v>
      </c>
      <c r="O2049" s="9" t="s">
        <v>13284</v>
      </c>
      <c r="P2049" s="9" t="s">
        <v>13284</v>
      </c>
      <c r="Q2049" s="9" t="s">
        <v>13284</v>
      </c>
      <c r="R2049" s="9" t="s">
        <v>13284</v>
      </c>
      <c r="S2049" s="9" t="s">
        <v>13284</v>
      </c>
      <c r="T2049" s="9" t="str">
        <f ca="1">IFERROR(IF(AND(VLOOKUP(A2049, 'Актуальное состояние (из общего'!A:C,3,0) = "", A2049 &lt;&gt; ""), "ПРОВЕРИТЬ", VLOOKUP(A2049, 'Актуальное состояние (из общего'!A:C,3,0)), "")</f>
        <v/>
      </c>
      <c r="U2049" s="9" t="s">
        <v>13284</v>
      </c>
      <c r="V2049" s="9" t="s">
        <v>13284</v>
      </c>
      <c r="W2049" s="12"/>
      <c r="X2049" s="9" t="str">
        <f t="array" ref="X2049">IFERROR(INDEX('Адреса общежитий (скрытый)'!$B$2:$B$9, MATCH(W2049, 'Адреса общежитий (скрытый)'!$A$2:$A$9, 0)), "")</f>
        <v/>
      </c>
      <c r="Y2049" s="18"/>
      <c r="Z2049" s="18"/>
      <c r="AA2049" s="18"/>
      <c r="AB2049" s="18"/>
      <c r="AC2049" s="18"/>
    </row>
    <row r="2050" spans="1:29" ht="32.25" hidden="1" customHeight="1">
      <c r="A2050" s="17"/>
      <c r="B2050" s="9" t="s">
        <v>13284</v>
      </c>
      <c r="C2050" s="9" t="s">
        <v>13284</v>
      </c>
      <c r="D2050" s="9" t="s">
        <v>13284</v>
      </c>
      <c r="E2050" s="9" t="s">
        <v>13284</v>
      </c>
      <c r="F2050" s="9" t="s">
        <v>13284</v>
      </c>
      <c r="G2050" s="9" t="s">
        <v>13284</v>
      </c>
      <c r="H2050" s="9" t="s">
        <v>13284</v>
      </c>
      <c r="I2050" s="9" t="s">
        <v>13284</v>
      </c>
      <c r="J2050" s="9" t="s">
        <v>13284</v>
      </c>
      <c r="K2050" s="9" t="s">
        <v>13284</v>
      </c>
      <c r="L2050" s="9" t="s">
        <v>13284</v>
      </c>
      <c r="M2050" s="9" t="s">
        <v>13284</v>
      </c>
      <c r="N2050" s="9" t="s">
        <v>13284</v>
      </c>
      <c r="O2050" s="9" t="s">
        <v>13284</v>
      </c>
      <c r="P2050" s="9" t="s">
        <v>13284</v>
      </c>
      <c r="Q2050" s="9" t="s">
        <v>13284</v>
      </c>
      <c r="R2050" s="9" t="s">
        <v>13284</v>
      </c>
      <c r="S2050" s="9" t="s">
        <v>13284</v>
      </c>
      <c r="T2050" s="9" t="str">
        <f ca="1">IFERROR(IF(AND(VLOOKUP(A2050, 'Актуальное состояние (из общего'!A:C,3,0) = "", A2050 &lt;&gt; ""), "ПРОВЕРИТЬ", VLOOKUP(A2050, 'Актуальное состояние (из общего'!A:C,3,0)), "")</f>
        <v/>
      </c>
      <c r="U2050" s="9" t="s">
        <v>13284</v>
      </c>
      <c r="V2050" s="9" t="s">
        <v>13284</v>
      </c>
      <c r="W2050" s="12"/>
      <c r="X2050" s="9" t="str">
        <f t="array" ref="X2050">IFERROR(INDEX('Адреса общежитий (скрытый)'!$B$2:$B$9, MATCH(W2050, 'Адреса общежитий (скрытый)'!$A$2:$A$9, 0)), "")</f>
        <v/>
      </c>
      <c r="Y2050" s="18"/>
      <c r="Z2050" s="18"/>
      <c r="AA2050" s="18"/>
      <c r="AB2050" s="18"/>
      <c r="AC2050" s="18"/>
    </row>
    <row r="2051" spans="1:29" ht="32.25" hidden="1" customHeight="1">
      <c r="A2051" s="17"/>
      <c r="B2051" s="9" t="s">
        <v>13284</v>
      </c>
      <c r="C2051" s="9" t="s">
        <v>13284</v>
      </c>
      <c r="D2051" s="9" t="s">
        <v>13284</v>
      </c>
      <c r="E2051" s="9" t="s">
        <v>13284</v>
      </c>
      <c r="F2051" s="9" t="s">
        <v>13284</v>
      </c>
      <c r="G2051" s="9" t="s">
        <v>13284</v>
      </c>
      <c r="H2051" s="9" t="s">
        <v>13284</v>
      </c>
      <c r="I2051" s="9" t="s">
        <v>13284</v>
      </c>
      <c r="J2051" s="9" t="s">
        <v>13284</v>
      </c>
      <c r="K2051" s="9" t="s">
        <v>13284</v>
      </c>
      <c r="L2051" s="9" t="s">
        <v>13284</v>
      </c>
      <c r="M2051" s="9" t="s">
        <v>13284</v>
      </c>
      <c r="N2051" s="9" t="s">
        <v>13284</v>
      </c>
      <c r="O2051" s="9" t="s">
        <v>13284</v>
      </c>
      <c r="P2051" s="9" t="s">
        <v>13284</v>
      </c>
      <c r="Q2051" s="9" t="s">
        <v>13284</v>
      </c>
      <c r="R2051" s="9" t="s">
        <v>13284</v>
      </c>
      <c r="S2051" s="9" t="s">
        <v>13284</v>
      </c>
      <c r="T2051" s="9" t="str">
        <f ca="1">IFERROR(IF(AND(VLOOKUP(A2051, 'Актуальное состояние (из общего'!A:C,3,0) = "", A2051 &lt;&gt; ""), "ПРОВЕРИТЬ", VLOOKUP(A2051, 'Актуальное состояние (из общего'!A:C,3,0)), "")</f>
        <v/>
      </c>
      <c r="U2051" s="9" t="s">
        <v>13284</v>
      </c>
      <c r="V2051" s="9" t="s">
        <v>13284</v>
      </c>
      <c r="W2051" s="12"/>
      <c r="X2051" s="9" t="str">
        <f t="array" ref="X2051">IFERROR(INDEX('Адреса общежитий (скрытый)'!$B$2:$B$9, MATCH(W2051, 'Адреса общежитий (скрытый)'!$A$2:$A$9, 0)), "")</f>
        <v/>
      </c>
      <c r="Y2051" s="18"/>
      <c r="Z2051" s="18"/>
      <c r="AA2051" s="18"/>
      <c r="AB2051" s="18"/>
      <c r="AC2051" s="18"/>
    </row>
    <row r="2052" spans="1:29" ht="32.25" hidden="1" customHeight="1">
      <c r="A2052" s="17"/>
      <c r="B2052" s="9" t="s">
        <v>13284</v>
      </c>
      <c r="C2052" s="9" t="s">
        <v>13284</v>
      </c>
      <c r="D2052" s="9" t="s">
        <v>13284</v>
      </c>
      <c r="E2052" s="9" t="s">
        <v>13284</v>
      </c>
      <c r="F2052" s="9" t="s">
        <v>13284</v>
      </c>
      <c r="G2052" s="9" t="s">
        <v>13284</v>
      </c>
      <c r="H2052" s="9" t="s">
        <v>13284</v>
      </c>
      <c r="I2052" s="9" t="s">
        <v>13284</v>
      </c>
      <c r="J2052" s="9" t="s">
        <v>13284</v>
      </c>
      <c r="K2052" s="9" t="s">
        <v>13284</v>
      </c>
      <c r="L2052" s="9" t="s">
        <v>13284</v>
      </c>
      <c r="M2052" s="9" t="s">
        <v>13284</v>
      </c>
      <c r="N2052" s="9" t="s">
        <v>13284</v>
      </c>
      <c r="O2052" s="9" t="s">
        <v>13284</v>
      </c>
      <c r="P2052" s="9" t="s">
        <v>13284</v>
      </c>
      <c r="Q2052" s="9" t="s">
        <v>13284</v>
      </c>
      <c r="R2052" s="9" t="s">
        <v>13284</v>
      </c>
      <c r="S2052" s="9" t="s">
        <v>13284</v>
      </c>
      <c r="T2052" s="9" t="str">
        <f ca="1">IFERROR(IF(AND(VLOOKUP(A2052, 'Актуальное состояние (из общего'!A:C,3,0) = "", A2052 &lt;&gt; ""), "ПРОВЕРИТЬ", VLOOKUP(A2052, 'Актуальное состояние (из общего'!A:C,3,0)), "")</f>
        <v/>
      </c>
      <c r="U2052" s="9" t="s">
        <v>13284</v>
      </c>
      <c r="V2052" s="9" t="s">
        <v>13284</v>
      </c>
      <c r="W2052" s="12"/>
      <c r="X2052" s="9" t="str">
        <f t="array" ref="X2052">IFERROR(INDEX('Адреса общежитий (скрытый)'!$B$2:$B$9, MATCH(W2052, 'Адреса общежитий (скрытый)'!$A$2:$A$9, 0)), "")</f>
        <v/>
      </c>
      <c r="Y2052" s="18"/>
      <c r="Z2052" s="18"/>
      <c r="AA2052" s="18"/>
      <c r="AB2052" s="18"/>
      <c r="AC2052" s="18"/>
    </row>
    <row r="2053" spans="1:29" ht="32.25" hidden="1" customHeight="1">
      <c r="A2053" s="17"/>
      <c r="B2053" s="9" t="s">
        <v>13284</v>
      </c>
      <c r="C2053" s="9" t="s">
        <v>13284</v>
      </c>
      <c r="D2053" s="9" t="s">
        <v>13284</v>
      </c>
      <c r="E2053" s="9" t="s">
        <v>13284</v>
      </c>
      <c r="F2053" s="9" t="s">
        <v>13284</v>
      </c>
      <c r="G2053" s="9" t="s">
        <v>13284</v>
      </c>
      <c r="H2053" s="9" t="s">
        <v>13284</v>
      </c>
      <c r="I2053" s="9" t="s">
        <v>13284</v>
      </c>
      <c r="J2053" s="9" t="s">
        <v>13284</v>
      </c>
      <c r="K2053" s="9" t="s">
        <v>13284</v>
      </c>
      <c r="L2053" s="9" t="s">
        <v>13284</v>
      </c>
      <c r="M2053" s="9" t="s">
        <v>13284</v>
      </c>
      <c r="N2053" s="9" t="s">
        <v>13284</v>
      </c>
      <c r="O2053" s="9" t="s">
        <v>13284</v>
      </c>
      <c r="P2053" s="9" t="s">
        <v>13284</v>
      </c>
      <c r="Q2053" s="9" t="s">
        <v>13284</v>
      </c>
      <c r="R2053" s="9" t="s">
        <v>13284</v>
      </c>
      <c r="S2053" s="9" t="s">
        <v>13284</v>
      </c>
      <c r="T2053" s="9" t="str">
        <f ca="1">IFERROR(IF(AND(VLOOKUP(A2053, 'Актуальное состояние (из общего'!A:C,3,0) = "", A2053 &lt;&gt; ""), "ПРОВЕРИТЬ", VLOOKUP(A2053, 'Актуальное состояние (из общего'!A:C,3,0)), "")</f>
        <v/>
      </c>
      <c r="U2053" s="9" t="s">
        <v>13284</v>
      </c>
      <c r="V2053" s="9" t="s">
        <v>13284</v>
      </c>
      <c r="W2053" s="12"/>
      <c r="X2053" s="9" t="str">
        <f t="array" ref="X2053">IFERROR(INDEX('Адреса общежитий (скрытый)'!$B$2:$B$9, MATCH(W2053, 'Адреса общежитий (скрытый)'!$A$2:$A$9, 0)), "")</f>
        <v/>
      </c>
      <c r="Y2053" s="18"/>
      <c r="Z2053" s="18"/>
      <c r="AA2053" s="18"/>
      <c r="AB2053" s="18"/>
      <c r="AC2053" s="18"/>
    </row>
    <row r="2054" spans="1:29" ht="32.25" hidden="1" customHeight="1">
      <c r="A2054" s="17"/>
      <c r="B2054" s="9" t="s">
        <v>13284</v>
      </c>
      <c r="C2054" s="9" t="s">
        <v>13284</v>
      </c>
      <c r="D2054" s="9" t="s">
        <v>13284</v>
      </c>
      <c r="E2054" s="9" t="s">
        <v>13284</v>
      </c>
      <c r="F2054" s="9" t="s">
        <v>13284</v>
      </c>
      <c r="G2054" s="9" t="s">
        <v>13284</v>
      </c>
      <c r="H2054" s="9" t="s">
        <v>13284</v>
      </c>
      <c r="I2054" s="9" t="s">
        <v>13284</v>
      </c>
      <c r="J2054" s="9" t="s">
        <v>13284</v>
      </c>
      <c r="K2054" s="9" t="s">
        <v>13284</v>
      </c>
      <c r="L2054" s="9" t="s">
        <v>13284</v>
      </c>
      <c r="M2054" s="9" t="s">
        <v>13284</v>
      </c>
      <c r="N2054" s="9" t="s">
        <v>13284</v>
      </c>
      <c r="O2054" s="9" t="s">
        <v>13284</v>
      </c>
      <c r="P2054" s="9" t="s">
        <v>13284</v>
      </c>
      <c r="Q2054" s="9" t="s">
        <v>13284</v>
      </c>
      <c r="R2054" s="9" t="s">
        <v>13284</v>
      </c>
      <c r="S2054" s="9" t="s">
        <v>13284</v>
      </c>
      <c r="T2054" s="9" t="str">
        <f ca="1">IFERROR(IF(AND(VLOOKUP(A2054, 'Актуальное состояние (из общего'!A:C,3,0) = "", A2054 &lt;&gt; ""), "ПРОВЕРИТЬ", VLOOKUP(A2054, 'Актуальное состояние (из общего'!A:C,3,0)), "")</f>
        <v/>
      </c>
      <c r="U2054" s="9" t="s">
        <v>13284</v>
      </c>
      <c r="V2054" s="9" t="s">
        <v>13284</v>
      </c>
      <c r="W2054" s="12"/>
      <c r="X2054" s="9" t="str">
        <f t="array" ref="X2054">IFERROR(INDEX('Адреса общежитий (скрытый)'!$B$2:$B$9, MATCH(W2054, 'Адреса общежитий (скрытый)'!$A$2:$A$9, 0)), "")</f>
        <v/>
      </c>
      <c r="Y2054" s="18"/>
      <c r="Z2054" s="18"/>
      <c r="AA2054" s="18"/>
      <c r="AB2054" s="18"/>
      <c r="AC2054" s="18"/>
    </row>
    <row r="2055" spans="1:29" ht="32.25" hidden="1" customHeight="1">
      <c r="A2055" s="17"/>
      <c r="B2055" s="9" t="s">
        <v>13284</v>
      </c>
      <c r="C2055" s="9" t="s">
        <v>13284</v>
      </c>
      <c r="D2055" s="9" t="s">
        <v>13284</v>
      </c>
      <c r="E2055" s="9" t="s">
        <v>13284</v>
      </c>
      <c r="F2055" s="9" t="s">
        <v>13284</v>
      </c>
      <c r="G2055" s="9" t="s">
        <v>13284</v>
      </c>
      <c r="H2055" s="9" t="s">
        <v>13284</v>
      </c>
      <c r="I2055" s="9" t="s">
        <v>13284</v>
      </c>
      <c r="J2055" s="9" t="s">
        <v>13284</v>
      </c>
      <c r="K2055" s="9" t="s">
        <v>13284</v>
      </c>
      <c r="L2055" s="9" t="s">
        <v>13284</v>
      </c>
      <c r="M2055" s="9" t="s">
        <v>13284</v>
      </c>
      <c r="N2055" s="9" t="s">
        <v>13284</v>
      </c>
      <c r="O2055" s="9" t="s">
        <v>13284</v>
      </c>
      <c r="P2055" s="9" t="s">
        <v>13284</v>
      </c>
      <c r="Q2055" s="9" t="s">
        <v>13284</v>
      </c>
      <c r="R2055" s="9" t="s">
        <v>13284</v>
      </c>
      <c r="S2055" s="9" t="s">
        <v>13284</v>
      </c>
      <c r="T2055" s="9" t="str">
        <f ca="1">IFERROR(IF(AND(VLOOKUP(A2055, 'Актуальное состояние (из общего'!A:C,3,0) = "", A2055 &lt;&gt; ""), "ПРОВЕРИТЬ", VLOOKUP(A2055, 'Актуальное состояние (из общего'!A:C,3,0)), "")</f>
        <v/>
      </c>
      <c r="U2055" s="9" t="s">
        <v>13284</v>
      </c>
      <c r="V2055" s="9" t="s">
        <v>13284</v>
      </c>
      <c r="W2055" s="12"/>
      <c r="X2055" s="9" t="str">
        <f t="array" ref="X2055">IFERROR(INDEX('Адреса общежитий (скрытый)'!$B$2:$B$9, MATCH(W2055, 'Адреса общежитий (скрытый)'!$A$2:$A$9, 0)), "")</f>
        <v/>
      </c>
      <c r="Y2055" s="18"/>
      <c r="Z2055" s="18"/>
      <c r="AA2055" s="18"/>
      <c r="AB2055" s="18"/>
      <c r="AC2055" s="18"/>
    </row>
    <row r="2056" spans="1:29" ht="32.25" hidden="1" customHeight="1">
      <c r="A2056" s="17"/>
      <c r="B2056" s="9" t="s">
        <v>13284</v>
      </c>
      <c r="C2056" s="9" t="s">
        <v>13284</v>
      </c>
      <c r="D2056" s="9" t="s">
        <v>13284</v>
      </c>
      <c r="E2056" s="9" t="s">
        <v>13284</v>
      </c>
      <c r="F2056" s="9" t="s">
        <v>13284</v>
      </c>
      <c r="G2056" s="9" t="s">
        <v>13284</v>
      </c>
      <c r="H2056" s="9" t="s">
        <v>13284</v>
      </c>
      <c r="I2056" s="9" t="s">
        <v>13284</v>
      </c>
      <c r="J2056" s="9" t="s">
        <v>13284</v>
      </c>
      <c r="K2056" s="9" t="s">
        <v>13284</v>
      </c>
      <c r="L2056" s="9" t="s">
        <v>13284</v>
      </c>
      <c r="M2056" s="9" t="s">
        <v>13284</v>
      </c>
      <c r="N2056" s="9" t="s">
        <v>13284</v>
      </c>
      <c r="O2056" s="9" t="s">
        <v>13284</v>
      </c>
      <c r="P2056" s="9" t="s">
        <v>13284</v>
      </c>
      <c r="Q2056" s="9" t="s">
        <v>13284</v>
      </c>
      <c r="R2056" s="9" t="s">
        <v>13284</v>
      </c>
      <c r="S2056" s="9" t="s">
        <v>13284</v>
      </c>
      <c r="T2056" s="9" t="str">
        <f ca="1">IFERROR(IF(AND(VLOOKUP(A2056, 'Актуальное состояние (из общего'!A:C,3,0) = "", A2056 &lt;&gt; ""), "ПРОВЕРИТЬ", VLOOKUP(A2056, 'Актуальное состояние (из общего'!A:C,3,0)), "")</f>
        <v/>
      </c>
      <c r="U2056" s="9" t="s">
        <v>13284</v>
      </c>
      <c r="V2056" s="9" t="s">
        <v>13284</v>
      </c>
      <c r="W2056" s="12"/>
      <c r="X2056" s="9" t="str">
        <f t="array" ref="X2056">IFERROR(INDEX('Адреса общежитий (скрытый)'!$B$2:$B$9, MATCH(W2056, 'Адреса общежитий (скрытый)'!$A$2:$A$9, 0)), "")</f>
        <v/>
      </c>
      <c r="Y2056" s="18"/>
      <c r="Z2056" s="18"/>
      <c r="AA2056" s="18"/>
      <c r="AB2056" s="18"/>
      <c r="AC2056" s="18"/>
    </row>
    <row r="2057" spans="1:29" ht="32.25" hidden="1" customHeight="1">
      <c r="A2057" s="17"/>
      <c r="B2057" s="9" t="s">
        <v>13284</v>
      </c>
      <c r="C2057" s="9" t="s">
        <v>13284</v>
      </c>
      <c r="D2057" s="9" t="s">
        <v>13284</v>
      </c>
      <c r="E2057" s="9" t="s">
        <v>13284</v>
      </c>
      <c r="F2057" s="9" t="s">
        <v>13284</v>
      </c>
      <c r="G2057" s="9" t="s">
        <v>13284</v>
      </c>
      <c r="H2057" s="9" t="s">
        <v>13284</v>
      </c>
      <c r="I2057" s="9" t="s">
        <v>13284</v>
      </c>
      <c r="J2057" s="9" t="s">
        <v>13284</v>
      </c>
      <c r="K2057" s="9" t="s">
        <v>13284</v>
      </c>
      <c r="L2057" s="9" t="s">
        <v>13284</v>
      </c>
      <c r="M2057" s="9" t="s">
        <v>13284</v>
      </c>
      <c r="N2057" s="9" t="s">
        <v>13284</v>
      </c>
      <c r="O2057" s="9" t="s">
        <v>13284</v>
      </c>
      <c r="P2057" s="9" t="s">
        <v>13284</v>
      </c>
      <c r="Q2057" s="9" t="s">
        <v>13284</v>
      </c>
      <c r="R2057" s="9" t="s">
        <v>13284</v>
      </c>
      <c r="S2057" s="9" t="s">
        <v>13284</v>
      </c>
      <c r="T2057" s="9" t="str">
        <f ca="1">IFERROR(IF(AND(VLOOKUP(A2057, 'Актуальное состояние (из общего'!A:C,3,0) = "", A2057 &lt;&gt; ""), "ПРОВЕРИТЬ", VLOOKUP(A2057, 'Актуальное состояние (из общего'!A:C,3,0)), "")</f>
        <v/>
      </c>
      <c r="U2057" s="9" t="s">
        <v>13284</v>
      </c>
      <c r="V2057" s="9" t="s">
        <v>13284</v>
      </c>
      <c r="W2057" s="12"/>
      <c r="X2057" s="9" t="str">
        <f t="array" ref="X2057">IFERROR(INDEX('Адреса общежитий (скрытый)'!$B$2:$B$9, MATCH(W2057, 'Адреса общежитий (скрытый)'!$A$2:$A$9, 0)), "")</f>
        <v/>
      </c>
      <c r="Y2057" s="18"/>
      <c r="Z2057" s="18"/>
      <c r="AA2057" s="18"/>
      <c r="AB2057" s="18"/>
      <c r="AC2057" s="18"/>
    </row>
    <row r="2058" spans="1:29" ht="32.25" hidden="1" customHeight="1">
      <c r="A2058" s="17"/>
      <c r="B2058" s="9" t="s">
        <v>13284</v>
      </c>
      <c r="C2058" s="9" t="s">
        <v>13284</v>
      </c>
      <c r="D2058" s="9" t="s">
        <v>13284</v>
      </c>
      <c r="E2058" s="9" t="s">
        <v>13284</v>
      </c>
      <c r="F2058" s="9" t="s">
        <v>13284</v>
      </c>
      <c r="G2058" s="9" t="s">
        <v>13284</v>
      </c>
      <c r="H2058" s="9" t="s">
        <v>13284</v>
      </c>
      <c r="I2058" s="9" t="s">
        <v>13284</v>
      </c>
      <c r="J2058" s="9" t="s">
        <v>13284</v>
      </c>
      <c r="K2058" s="9" t="s">
        <v>13284</v>
      </c>
      <c r="L2058" s="9" t="s">
        <v>13284</v>
      </c>
      <c r="M2058" s="9" t="s">
        <v>13284</v>
      </c>
      <c r="N2058" s="9" t="s">
        <v>13284</v>
      </c>
      <c r="O2058" s="9" t="s">
        <v>13284</v>
      </c>
      <c r="P2058" s="9" t="s">
        <v>13284</v>
      </c>
      <c r="Q2058" s="9" t="s">
        <v>13284</v>
      </c>
      <c r="R2058" s="9" t="s">
        <v>13284</v>
      </c>
      <c r="S2058" s="9" t="s">
        <v>13284</v>
      </c>
      <c r="T2058" s="9" t="str">
        <f ca="1">IFERROR(IF(AND(VLOOKUP(A2058, 'Актуальное состояние (из общего'!A:C,3,0) = "", A2058 &lt;&gt; ""), "ПРОВЕРИТЬ", VLOOKUP(A2058, 'Актуальное состояние (из общего'!A:C,3,0)), "")</f>
        <v/>
      </c>
      <c r="U2058" s="9" t="s">
        <v>13284</v>
      </c>
      <c r="V2058" s="9" t="s">
        <v>13284</v>
      </c>
      <c r="W2058" s="12"/>
      <c r="X2058" s="9" t="str">
        <f t="array" ref="X2058">IFERROR(INDEX('Адреса общежитий (скрытый)'!$B$2:$B$9, MATCH(W2058, 'Адреса общежитий (скрытый)'!$A$2:$A$9, 0)), "")</f>
        <v/>
      </c>
      <c r="Y2058" s="18"/>
      <c r="Z2058" s="18"/>
      <c r="AA2058" s="18"/>
      <c r="AB2058" s="18"/>
      <c r="AC2058" s="18"/>
    </row>
    <row r="2059" spans="1:29" ht="32.25" hidden="1" customHeight="1">
      <c r="A2059" s="17"/>
      <c r="B2059" s="9" t="s">
        <v>13284</v>
      </c>
      <c r="C2059" s="9" t="s">
        <v>13284</v>
      </c>
      <c r="D2059" s="9" t="s">
        <v>13284</v>
      </c>
      <c r="E2059" s="9" t="s">
        <v>13284</v>
      </c>
      <c r="F2059" s="9" t="s">
        <v>13284</v>
      </c>
      <c r="G2059" s="9" t="s">
        <v>13284</v>
      </c>
      <c r="H2059" s="9" t="s">
        <v>13284</v>
      </c>
      <c r="I2059" s="9" t="s">
        <v>13284</v>
      </c>
      <c r="J2059" s="9" t="s">
        <v>13284</v>
      </c>
      <c r="K2059" s="9" t="s">
        <v>13284</v>
      </c>
      <c r="L2059" s="9" t="s">
        <v>13284</v>
      </c>
      <c r="M2059" s="9" t="s">
        <v>13284</v>
      </c>
      <c r="N2059" s="9" t="s">
        <v>13284</v>
      </c>
      <c r="O2059" s="9" t="s">
        <v>13284</v>
      </c>
      <c r="P2059" s="9" t="s">
        <v>13284</v>
      </c>
      <c r="Q2059" s="9" t="s">
        <v>13284</v>
      </c>
      <c r="R2059" s="9" t="s">
        <v>13284</v>
      </c>
      <c r="S2059" s="9" t="s">
        <v>13284</v>
      </c>
      <c r="T2059" s="9" t="str">
        <f ca="1">IFERROR(IF(AND(VLOOKUP(A2059, 'Актуальное состояние (из общего'!A:C,3,0) = "", A2059 &lt;&gt; ""), "ПРОВЕРИТЬ", VLOOKUP(A2059, 'Актуальное состояние (из общего'!A:C,3,0)), "")</f>
        <v/>
      </c>
      <c r="U2059" s="9" t="s">
        <v>13284</v>
      </c>
      <c r="V2059" s="9" t="s">
        <v>13284</v>
      </c>
      <c r="W2059" s="12"/>
      <c r="X2059" s="9" t="str">
        <f t="array" ref="X2059">IFERROR(INDEX('Адреса общежитий (скрытый)'!$B$2:$B$9, MATCH(W2059, 'Адреса общежитий (скрытый)'!$A$2:$A$9, 0)), "")</f>
        <v/>
      </c>
      <c r="Y2059" s="18"/>
      <c r="Z2059" s="18"/>
      <c r="AA2059" s="18"/>
      <c r="AB2059" s="18"/>
      <c r="AC2059" s="18"/>
    </row>
    <row r="2060" spans="1:29" ht="32.25" hidden="1" customHeight="1">
      <c r="A2060" s="17"/>
      <c r="B2060" s="9" t="s">
        <v>13284</v>
      </c>
      <c r="C2060" s="9" t="s">
        <v>13284</v>
      </c>
      <c r="D2060" s="9" t="s">
        <v>13284</v>
      </c>
      <c r="E2060" s="9" t="s">
        <v>13284</v>
      </c>
      <c r="F2060" s="9" t="s">
        <v>13284</v>
      </c>
      <c r="G2060" s="9" t="s">
        <v>13284</v>
      </c>
      <c r="H2060" s="9" t="s">
        <v>13284</v>
      </c>
      <c r="I2060" s="9" t="s">
        <v>13284</v>
      </c>
      <c r="J2060" s="9" t="s">
        <v>13284</v>
      </c>
      <c r="K2060" s="9" t="s">
        <v>13284</v>
      </c>
      <c r="L2060" s="9" t="s">
        <v>13284</v>
      </c>
      <c r="M2060" s="9" t="s">
        <v>13284</v>
      </c>
      <c r="N2060" s="9" t="s">
        <v>13284</v>
      </c>
      <c r="O2060" s="9" t="s">
        <v>13284</v>
      </c>
      <c r="P2060" s="9" t="s">
        <v>13284</v>
      </c>
      <c r="Q2060" s="9" t="s">
        <v>13284</v>
      </c>
      <c r="R2060" s="9" t="s">
        <v>13284</v>
      </c>
      <c r="S2060" s="9" t="s">
        <v>13284</v>
      </c>
      <c r="T2060" s="9" t="str">
        <f ca="1">IFERROR(IF(AND(VLOOKUP(A2060, 'Актуальное состояние (из общего'!A:C,3,0) = "", A2060 &lt;&gt; ""), "ПРОВЕРИТЬ", VLOOKUP(A2060, 'Актуальное состояние (из общего'!A:C,3,0)), "")</f>
        <v/>
      </c>
      <c r="U2060" s="9" t="s">
        <v>13284</v>
      </c>
      <c r="V2060" s="9" t="s">
        <v>13284</v>
      </c>
      <c r="W2060" s="12"/>
      <c r="X2060" s="9" t="str">
        <f t="array" ref="X2060">IFERROR(INDEX('Адреса общежитий (скрытый)'!$B$2:$B$9, MATCH(W2060, 'Адреса общежитий (скрытый)'!$A$2:$A$9, 0)), "")</f>
        <v/>
      </c>
      <c r="Y2060" s="18"/>
      <c r="Z2060" s="18"/>
      <c r="AA2060" s="18"/>
      <c r="AB2060" s="18"/>
      <c r="AC2060" s="18"/>
    </row>
    <row r="2061" spans="1:29" ht="32.25" hidden="1" customHeight="1">
      <c r="A2061" s="17"/>
      <c r="B2061" s="9" t="s">
        <v>13284</v>
      </c>
      <c r="C2061" s="9" t="s">
        <v>13284</v>
      </c>
      <c r="D2061" s="9" t="s">
        <v>13284</v>
      </c>
      <c r="E2061" s="9" t="s">
        <v>13284</v>
      </c>
      <c r="F2061" s="9" t="s">
        <v>13284</v>
      </c>
      <c r="G2061" s="9" t="s">
        <v>13284</v>
      </c>
      <c r="H2061" s="9" t="s">
        <v>13284</v>
      </c>
      <c r="I2061" s="9" t="s">
        <v>13284</v>
      </c>
      <c r="J2061" s="9" t="s">
        <v>13284</v>
      </c>
      <c r="K2061" s="9" t="s">
        <v>13284</v>
      </c>
      <c r="L2061" s="9" t="s">
        <v>13284</v>
      </c>
      <c r="M2061" s="9" t="s">
        <v>13284</v>
      </c>
      <c r="N2061" s="9" t="s">
        <v>13284</v>
      </c>
      <c r="O2061" s="9" t="s">
        <v>13284</v>
      </c>
      <c r="P2061" s="9" t="s">
        <v>13284</v>
      </c>
      <c r="Q2061" s="9" t="s">
        <v>13284</v>
      </c>
      <c r="R2061" s="9" t="s">
        <v>13284</v>
      </c>
      <c r="S2061" s="9" t="s">
        <v>13284</v>
      </c>
      <c r="T2061" s="9" t="str">
        <f ca="1">IFERROR(IF(AND(VLOOKUP(A2061, 'Актуальное состояние (из общего'!A:C,3,0) = "", A2061 &lt;&gt; ""), "ПРОВЕРИТЬ", VLOOKUP(A2061, 'Актуальное состояние (из общего'!A:C,3,0)), "")</f>
        <v/>
      </c>
      <c r="U2061" s="9" t="s">
        <v>13284</v>
      </c>
      <c r="V2061" s="9" t="s">
        <v>13284</v>
      </c>
      <c r="W2061" s="12"/>
      <c r="X2061" s="9" t="str">
        <f t="array" ref="X2061">IFERROR(INDEX('Адреса общежитий (скрытый)'!$B$2:$B$9, MATCH(W2061, 'Адреса общежитий (скрытый)'!$A$2:$A$9, 0)), "")</f>
        <v/>
      </c>
      <c r="Y2061" s="18"/>
      <c r="Z2061" s="18"/>
      <c r="AA2061" s="18"/>
      <c r="AB2061" s="18"/>
      <c r="AC2061" s="18"/>
    </row>
    <row r="2062" spans="1:29" ht="32.25" hidden="1" customHeight="1">
      <c r="A2062" s="17"/>
      <c r="B2062" s="9" t="s">
        <v>13284</v>
      </c>
      <c r="C2062" s="9" t="s">
        <v>13284</v>
      </c>
      <c r="D2062" s="9" t="s">
        <v>13284</v>
      </c>
      <c r="E2062" s="9" t="s">
        <v>13284</v>
      </c>
      <c r="F2062" s="9" t="s">
        <v>13284</v>
      </c>
      <c r="G2062" s="9" t="s">
        <v>13284</v>
      </c>
      <c r="H2062" s="9" t="s">
        <v>13284</v>
      </c>
      <c r="I2062" s="9" t="s">
        <v>13284</v>
      </c>
      <c r="J2062" s="9" t="s">
        <v>13284</v>
      </c>
      <c r="K2062" s="9" t="s">
        <v>13284</v>
      </c>
      <c r="L2062" s="9" t="s">
        <v>13284</v>
      </c>
      <c r="M2062" s="9" t="s">
        <v>13284</v>
      </c>
      <c r="N2062" s="9" t="s">
        <v>13284</v>
      </c>
      <c r="O2062" s="9" t="s">
        <v>13284</v>
      </c>
      <c r="P2062" s="9" t="s">
        <v>13284</v>
      </c>
      <c r="Q2062" s="9" t="s">
        <v>13284</v>
      </c>
      <c r="R2062" s="9" t="s">
        <v>13284</v>
      </c>
      <c r="S2062" s="9" t="s">
        <v>13284</v>
      </c>
      <c r="T2062" s="9" t="str">
        <f ca="1">IFERROR(IF(AND(VLOOKUP(A2062, 'Актуальное состояние (из общего'!A:C,3,0) = "", A2062 &lt;&gt; ""), "ПРОВЕРИТЬ", VLOOKUP(A2062, 'Актуальное состояние (из общего'!A:C,3,0)), "")</f>
        <v/>
      </c>
      <c r="U2062" s="9" t="s">
        <v>13284</v>
      </c>
      <c r="V2062" s="9" t="s">
        <v>13284</v>
      </c>
      <c r="W2062" s="12"/>
      <c r="X2062" s="9" t="str">
        <f t="array" ref="X2062">IFERROR(INDEX('Адреса общежитий (скрытый)'!$B$2:$B$9, MATCH(W2062, 'Адреса общежитий (скрытый)'!$A$2:$A$9, 0)), "")</f>
        <v/>
      </c>
      <c r="Y2062" s="18"/>
      <c r="Z2062" s="18"/>
      <c r="AA2062" s="18"/>
      <c r="AB2062" s="18"/>
      <c r="AC2062" s="18"/>
    </row>
    <row r="2063" spans="1:29" ht="32.25" hidden="1" customHeight="1">
      <c r="A2063" s="17"/>
      <c r="B2063" s="9" t="s">
        <v>13284</v>
      </c>
      <c r="C2063" s="9" t="s">
        <v>13284</v>
      </c>
      <c r="D2063" s="9" t="s">
        <v>13284</v>
      </c>
      <c r="E2063" s="9" t="s">
        <v>13284</v>
      </c>
      <c r="F2063" s="9" t="s">
        <v>13284</v>
      </c>
      <c r="G2063" s="9" t="s">
        <v>13284</v>
      </c>
      <c r="H2063" s="9" t="s">
        <v>13284</v>
      </c>
      <c r="I2063" s="9" t="s">
        <v>13284</v>
      </c>
      <c r="J2063" s="9" t="s">
        <v>13284</v>
      </c>
      <c r="K2063" s="9" t="s">
        <v>13284</v>
      </c>
      <c r="L2063" s="9" t="s">
        <v>13284</v>
      </c>
      <c r="M2063" s="9" t="s">
        <v>13284</v>
      </c>
      <c r="N2063" s="9" t="s">
        <v>13284</v>
      </c>
      <c r="O2063" s="9" t="s">
        <v>13284</v>
      </c>
      <c r="P2063" s="9" t="s">
        <v>13284</v>
      </c>
      <c r="Q2063" s="9" t="s">
        <v>13284</v>
      </c>
      <c r="R2063" s="9" t="s">
        <v>13284</v>
      </c>
      <c r="S2063" s="9" t="s">
        <v>13284</v>
      </c>
      <c r="T2063" s="9" t="str">
        <f ca="1">IFERROR(IF(AND(VLOOKUP(A2063, 'Актуальное состояние (из общего'!A:C,3,0) = "", A2063 &lt;&gt; ""), "ПРОВЕРИТЬ", VLOOKUP(A2063, 'Актуальное состояние (из общего'!A:C,3,0)), "")</f>
        <v/>
      </c>
      <c r="U2063" s="9" t="s">
        <v>13284</v>
      </c>
      <c r="V2063" s="9" t="s">
        <v>13284</v>
      </c>
      <c r="W2063" s="12"/>
      <c r="X2063" s="9" t="str">
        <f t="array" ref="X2063">IFERROR(INDEX('Адреса общежитий (скрытый)'!$B$2:$B$9, MATCH(W2063, 'Адреса общежитий (скрытый)'!$A$2:$A$9, 0)), "")</f>
        <v/>
      </c>
      <c r="Y2063" s="18"/>
      <c r="Z2063" s="18"/>
      <c r="AA2063" s="18"/>
      <c r="AB2063" s="18"/>
      <c r="AC2063" s="18"/>
    </row>
    <row r="2064" spans="1:29" ht="32.25" hidden="1" customHeight="1">
      <c r="A2064" s="17"/>
      <c r="B2064" s="9" t="s">
        <v>13284</v>
      </c>
      <c r="C2064" s="9" t="s">
        <v>13284</v>
      </c>
      <c r="D2064" s="9" t="s">
        <v>13284</v>
      </c>
      <c r="E2064" s="9" t="s">
        <v>13284</v>
      </c>
      <c r="F2064" s="9" t="s">
        <v>13284</v>
      </c>
      <c r="G2064" s="9" t="s">
        <v>13284</v>
      </c>
      <c r="H2064" s="9" t="s">
        <v>13284</v>
      </c>
      <c r="I2064" s="9" t="s">
        <v>13284</v>
      </c>
      <c r="J2064" s="9" t="s">
        <v>13284</v>
      </c>
      <c r="K2064" s="9" t="s">
        <v>13284</v>
      </c>
      <c r="L2064" s="9" t="s">
        <v>13284</v>
      </c>
      <c r="M2064" s="9" t="s">
        <v>13284</v>
      </c>
      <c r="N2064" s="9" t="s">
        <v>13284</v>
      </c>
      <c r="O2064" s="9" t="s">
        <v>13284</v>
      </c>
      <c r="P2064" s="9" t="s">
        <v>13284</v>
      </c>
      <c r="Q2064" s="9" t="s">
        <v>13284</v>
      </c>
      <c r="R2064" s="9" t="s">
        <v>13284</v>
      </c>
      <c r="S2064" s="9" t="s">
        <v>13284</v>
      </c>
      <c r="T2064" s="9" t="str">
        <f ca="1">IFERROR(IF(AND(VLOOKUP(A2064, 'Актуальное состояние (из общего'!A:C,3,0) = "", A2064 &lt;&gt; ""), "ПРОВЕРИТЬ", VLOOKUP(A2064, 'Актуальное состояние (из общего'!A:C,3,0)), "")</f>
        <v/>
      </c>
      <c r="U2064" s="9" t="s">
        <v>13284</v>
      </c>
      <c r="V2064" s="9" t="s">
        <v>13284</v>
      </c>
      <c r="W2064" s="12"/>
      <c r="X2064" s="9" t="str">
        <f t="array" ref="X2064">IFERROR(INDEX('Адреса общежитий (скрытый)'!$B$2:$B$9, MATCH(W2064, 'Адреса общежитий (скрытый)'!$A$2:$A$9, 0)), "")</f>
        <v/>
      </c>
      <c r="Y2064" s="18"/>
      <c r="Z2064" s="18"/>
      <c r="AA2064" s="18"/>
      <c r="AB2064" s="18"/>
      <c r="AC2064" s="18"/>
    </row>
    <row r="2065" spans="1:29" ht="32.25" hidden="1" customHeight="1">
      <c r="A2065" s="17"/>
      <c r="B2065" s="9" t="s">
        <v>13284</v>
      </c>
      <c r="C2065" s="9" t="s">
        <v>13284</v>
      </c>
      <c r="D2065" s="9" t="s">
        <v>13284</v>
      </c>
      <c r="E2065" s="9" t="s">
        <v>13284</v>
      </c>
      <c r="F2065" s="9" t="s">
        <v>13284</v>
      </c>
      <c r="G2065" s="9" t="s">
        <v>13284</v>
      </c>
      <c r="H2065" s="9" t="s">
        <v>13284</v>
      </c>
      <c r="I2065" s="9" t="s">
        <v>13284</v>
      </c>
      <c r="J2065" s="9" t="s">
        <v>13284</v>
      </c>
      <c r="K2065" s="9" t="s">
        <v>13284</v>
      </c>
      <c r="L2065" s="9" t="s">
        <v>13284</v>
      </c>
      <c r="M2065" s="9" t="s">
        <v>13284</v>
      </c>
      <c r="N2065" s="9" t="s">
        <v>13284</v>
      </c>
      <c r="O2065" s="9" t="s">
        <v>13284</v>
      </c>
      <c r="P2065" s="9" t="s">
        <v>13284</v>
      </c>
      <c r="Q2065" s="9" t="s">
        <v>13284</v>
      </c>
      <c r="R2065" s="9" t="s">
        <v>13284</v>
      </c>
      <c r="S2065" s="9" t="s">
        <v>13284</v>
      </c>
      <c r="T2065" s="9" t="str">
        <f ca="1">IFERROR(IF(AND(VLOOKUP(A2065, 'Актуальное состояние (из общего'!A:C,3,0) = "", A2065 &lt;&gt; ""), "ПРОВЕРИТЬ", VLOOKUP(A2065, 'Актуальное состояние (из общего'!A:C,3,0)), "")</f>
        <v/>
      </c>
      <c r="U2065" s="9" t="s">
        <v>13284</v>
      </c>
      <c r="V2065" s="9" t="s">
        <v>13284</v>
      </c>
      <c r="W2065" s="12"/>
      <c r="X2065" s="9" t="str">
        <f t="array" ref="X2065">IFERROR(INDEX('Адреса общежитий (скрытый)'!$B$2:$B$9, MATCH(W2065, 'Адреса общежитий (скрытый)'!$A$2:$A$9, 0)), "")</f>
        <v/>
      </c>
      <c r="Y2065" s="18"/>
      <c r="Z2065" s="18"/>
      <c r="AA2065" s="18"/>
      <c r="AB2065" s="18"/>
      <c r="AC2065" s="18"/>
    </row>
    <row r="2066" spans="1:29" ht="32.25" hidden="1" customHeight="1">
      <c r="A2066" s="17"/>
      <c r="B2066" s="9" t="s">
        <v>13284</v>
      </c>
      <c r="C2066" s="9" t="s">
        <v>13284</v>
      </c>
      <c r="D2066" s="9" t="s">
        <v>13284</v>
      </c>
      <c r="E2066" s="9" t="s">
        <v>13284</v>
      </c>
      <c r="F2066" s="9" t="s">
        <v>13284</v>
      </c>
      <c r="G2066" s="9" t="s">
        <v>13284</v>
      </c>
      <c r="H2066" s="9" t="s">
        <v>13284</v>
      </c>
      <c r="I2066" s="9" t="s">
        <v>13284</v>
      </c>
      <c r="J2066" s="9" t="s">
        <v>13284</v>
      </c>
      <c r="K2066" s="9" t="s">
        <v>13284</v>
      </c>
      <c r="L2066" s="9" t="s">
        <v>13284</v>
      </c>
      <c r="M2066" s="9" t="s">
        <v>13284</v>
      </c>
      <c r="N2066" s="9" t="s">
        <v>13284</v>
      </c>
      <c r="O2066" s="9" t="s">
        <v>13284</v>
      </c>
      <c r="P2066" s="9" t="s">
        <v>13284</v>
      </c>
      <c r="Q2066" s="9" t="s">
        <v>13284</v>
      </c>
      <c r="R2066" s="9" t="s">
        <v>13284</v>
      </c>
      <c r="S2066" s="9" t="s">
        <v>13284</v>
      </c>
      <c r="T2066" s="9" t="str">
        <f ca="1">IFERROR(IF(AND(VLOOKUP(A2066, 'Актуальное состояние (из общего'!A:C,3,0) = "", A2066 &lt;&gt; ""), "ПРОВЕРИТЬ", VLOOKUP(A2066, 'Актуальное состояние (из общего'!A:C,3,0)), "")</f>
        <v/>
      </c>
      <c r="U2066" s="9" t="s">
        <v>13284</v>
      </c>
      <c r="V2066" s="9" t="s">
        <v>13284</v>
      </c>
      <c r="W2066" s="12"/>
      <c r="X2066" s="9" t="str">
        <f t="array" ref="X2066">IFERROR(INDEX('Адреса общежитий (скрытый)'!$B$2:$B$9, MATCH(W2066, 'Адреса общежитий (скрытый)'!$A$2:$A$9, 0)), "")</f>
        <v/>
      </c>
      <c r="Y2066" s="18"/>
      <c r="Z2066" s="18"/>
      <c r="AA2066" s="18"/>
      <c r="AB2066" s="18"/>
      <c r="AC2066" s="18"/>
    </row>
    <row r="2067" spans="1:29" ht="32.25" hidden="1" customHeight="1">
      <c r="A2067" s="17"/>
      <c r="B2067" s="9" t="s">
        <v>13284</v>
      </c>
      <c r="C2067" s="9" t="s">
        <v>13284</v>
      </c>
      <c r="D2067" s="9" t="s">
        <v>13284</v>
      </c>
      <c r="E2067" s="9" t="s">
        <v>13284</v>
      </c>
      <c r="F2067" s="9" t="s">
        <v>13284</v>
      </c>
      <c r="G2067" s="9" t="s">
        <v>13284</v>
      </c>
      <c r="H2067" s="9" t="s">
        <v>13284</v>
      </c>
      <c r="I2067" s="9" t="s">
        <v>13284</v>
      </c>
      <c r="J2067" s="9" t="s">
        <v>13284</v>
      </c>
      <c r="K2067" s="9" t="s">
        <v>13284</v>
      </c>
      <c r="L2067" s="9" t="s">
        <v>13284</v>
      </c>
      <c r="M2067" s="9" t="s">
        <v>13284</v>
      </c>
      <c r="N2067" s="9" t="s">
        <v>13284</v>
      </c>
      <c r="O2067" s="9" t="s">
        <v>13284</v>
      </c>
      <c r="P2067" s="9" t="s">
        <v>13284</v>
      </c>
      <c r="Q2067" s="9" t="s">
        <v>13284</v>
      </c>
      <c r="R2067" s="9" t="s">
        <v>13284</v>
      </c>
      <c r="S2067" s="9" t="s">
        <v>13284</v>
      </c>
      <c r="T2067" s="9" t="str">
        <f ca="1">IFERROR(IF(AND(VLOOKUP(A2067, 'Актуальное состояние (из общего'!A:C,3,0) = "", A2067 &lt;&gt; ""), "ПРОВЕРИТЬ", VLOOKUP(A2067, 'Актуальное состояние (из общего'!A:C,3,0)), "")</f>
        <v/>
      </c>
      <c r="U2067" s="9" t="s">
        <v>13284</v>
      </c>
      <c r="V2067" s="9" t="s">
        <v>13284</v>
      </c>
      <c r="W2067" s="12"/>
      <c r="X2067" s="9" t="str">
        <f t="array" ref="X2067">IFERROR(INDEX('Адреса общежитий (скрытый)'!$B$2:$B$9, MATCH(W2067, 'Адреса общежитий (скрытый)'!$A$2:$A$9, 0)), "")</f>
        <v/>
      </c>
      <c r="Y2067" s="18"/>
      <c r="Z2067" s="18"/>
      <c r="AA2067" s="18"/>
      <c r="AB2067" s="18"/>
      <c r="AC2067" s="18"/>
    </row>
    <row r="2068" spans="1:29" ht="32.25" hidden="1" customHeight="1">
      <c r="A2068" s="17"/>
      <c r="B2068" s="9" t="s">
        <v>13284</v>
      </c>
      <c r="C2068" s="9" t="s">
        <v>13284</v>
      </c>
      <c r="D2068" s="9" t="s">
        <v>13284</v>
      </c>
      <c r="E2068" s="9" t="s">
        <v>13284</v>
      </c>
      <c r="F2068" s="9" t="s">
        <v>13284</v>
      </c>
      <c r="G2068" s="9" t="s">
        <v>13284</v>
      </c>
      <c r="H2068" s="9" t="s">
        <v>13284</v>
      </c>
      <c r="I2068" s="9" t="s">
        <v>13284</v>
      </c>
      <c r="J2068" s="9" t="s">
        <v>13284</v>
      </c>
      <c r="K2068" s="9" t="s">
        <v>13284</v>
      </c>
      <c r="L2068" s="9" t="s">
        <v>13284</v>
      </c>
      <c r="M2068" s="9" t="s">
        <v>13284</v>
      </c>
      <c r="N2068" s="9" t="s">
        <v>13284</v>
      </c>
      <c r="O2068" s="9" t="s">
        <v>13284</v>
      </c>
      <c r="P2068" s="9" t="s">
        <v>13284</v>
      </c>
      <c r="Q2068" s="9" t="s">
        <v>13284</v>
      </c>
      <c r="R2068" s="9" t="s">
        <v>13284</v>
      </c>
      <c r="S2068" s="9" t="s">
        <v>13284</v>
      </c>
      <c r="T2068" s="9" t="str">
        <f ca="1">IFERROR(IF(AND(VLOOKUP(A2068, 'Актуальное состояние (из общего'!A:C,3,0) = "", A2068 &lt;&gt; ""), "ПРОВЕРИТЬ", VLOOKUP(A2068, 'Актуальное состояние (из общего'!A:C,3,0)), "")</f>
        <v/>
      </c>
      <c r="U2068" s="9" t="s">
        <v>13284</v>
      </c>
      <c r="V2068" s="9" t="s">
        <v>13284</v>
      </c>
      <c r="W2068" s="12"/>
      <c r="X2068" s="9" t="str">
        <f t="array" ref="X2068">IFERROR(INDEX('Адреса общежитий (скрытый)'!$B$2:$B$9, MATCH(W2068, 'Адреса общежитий (скрытый)'!$A$2:$A$9, 0)), "")</f>
        <v/>
      </c>
      <c r="Y2068" s="18"/>
      <c r="Z2068" s="18"/>
      <c r="AA2068" s="18"/>
      <c r="AB2068" s="18"/>
      <c r="AC2068" s="18"/>
    </row>
    <row r="2069" spans="1:29" ht="32.25" hidden="1" customHeight="1">
      <c r="A2069" s="17"/>
      <c r="B2069" s="9" t="s">
        <v>13284</v>
      </c>
      <c r="C2069" s="9" t="s">
        <v>13284</v>
      </c>
      <c r="D2069" s="9" t="s">
        <v>13284</v>
      </c>
      <c r="E2069" s="9" t="s">
        <v>13284</v>
      </c>
      <c r="F2069" s="9" t="s">
        <v>13284</v>
      </c>
      <c r="G2069" s="9" t="s">
        <v>13284</v>
      </c>
      <c r="H2069" s="9" t="s">
        <v>13284</v>
      </c>
      <c r="I2069" s="9" t="s">
        <v>13284</v>
      </c>
      <c r="J2069" s="9" t="s">
        <v>13284</v>
      </c>
      <c r="K2069" s="9" t="s">
        <v>13284</v>
      </c>
      <c r="L2069" s="9" t="s">
        <v>13284</v>
      </c>
      <c r="M2069" s="9" t="s">
        <v>13284</v>
      </c>
      <c r="N2069" s="9" t="s">
        <v>13284</v>
      </c>
      <c r="O2069" s="9" t="s">
        <v>13284</v>
      </c>
      <c r="P2069" s="9" t="s">
        <v>13284</v>
      </c>
      <c r="Q2069" s="9" t="s">
        <v>13284</v>
      </c>
      <c r="R2069" s="9" t="s">
        <v>13284</v>
      </c>
      <c r="S2069" s="9" t="s">
        <v>13284</v>
      </c>
      <c r="T2069" s="9" t="str">
        <f ca="1">IFERROR(IF(AND(VLOOKUP(A2069, 'Актуальное состояние (из общего'!A:C,3,0) = "", A2069 &lt;&gt; ""), "ПРОВЕРИТЬ", VLOOKUP(A2069, 'Актуальное состояние (из общего'!A:C,3,0)), "")</f>
        <v/>
      </c>
      <c r="U2069" s="9" t="s">
        <v>13284</v>
      </c>
      <c r="V2069" s="9" t="s">
        <v>13284</v>
      </c>
      <c r="W2069" s="12"/>
      <c r="X2069" s="9" t="str">
        <f t="array" ref="X2069">IFERROR(INDEX('Адреса общежитий (скрытый)'!$B$2:$B$9, MATCH(W2069, 'Адреса общежитий (скрытый)'!$A$2:$A$9, 0)), "")</f>
        <v/>
      </c>
      <c r="Y2069" s="18"/>
      <c r="Z2069" s="18"/>
      <c r="AA2069" s="18"/>
      <c r="AB2069" s="18"/>
      <c r="AC2069" s="18"/>
    </row>
    <row r="2070" spans="1:29" ht="32.25" hidden="1" customHeight="1">
      <c r="A2070" s="17"/>
      <c r="B2070" s="9" t="s">
        <v>13284</v>
      </c>
      <c r="C2070" s="9" t="s">
        <v>13284</v>
      </c>
      <c r="D2070" s="9" t="s">
        <v>13284</v>
      </c>
      <c r="E2070" s="9" t="s">
        <v>13284</v>
      </c>
      <c r="F2070" s="9" t="s">
        <v>13284</v>
      </c>
      <c r="G2070" s="9" t="s">
        <v>13284</v>
      </c>
      <c r="H2070" s="9" t="s">
        <v>13284</v>
      </c>
      <c r="I2070" s="9" t="s">
        <v>13284</v>
      </c>
      <c r="J2070" s="9" t="s">
        <v>13284</v>
      </c>
      <c r="K2070" s="9" t="s">
        <v>13284</v>
      </c>
      <c r="L2070" s="9" t="s">
        <v>13284</v>
      </c>
      <c r="M2070" s="9" t="s">
        <v>13284</v>
      </c>
      <c r="N2070" s="9" t="s">
        <v>13284</v>
      </c>
      <c r="O2070" s="9" t="s">
        <v>13284</v>
      </c>
      <c r="P2070" s="9" t="s">
        <v>13284</v>
      </c>
      <c r="Q2070" s="9" t="s">
        <v>13284</v>
      </c>
      <c r="R2070" s="9" t="s">
        <v>13284</v>
      </c>
      <c r="S2070" s="9" t="s">
        <v>13284</v>
      </c>
      <c r="T2070" s="9" t="str">
        <f ca="1">IFERROR(IF(AND(VLOOKUP(A2070, 'Актуальное состояние (из общего'!A:C,3,0) = "", A2070 &lt;&gt; ""), "ПРОВЕРИТЬ", VLOOKUP(A2070, 'Актуальное состояние (из общего'!A:C,3,0)), "")</f>
        <v/>
      </c>
      <c r="U2070" s="9" t="s">
        <v>13284</v>
      </c>
      <c r="V2070" s="9" t="s">
        <v>13284</v>
      </c>
      <c r="W2070" s="12"/>
      <c r="X2070" s="9" t="str">
        <f t="array" ref="X2070">IFERROR(INDEX('Адреса общежитий (скрытый)'!$B$2:$B$9, MATCH(W2070, 'Адреса общежитий (скрытый)'!$A$2:$A$9, 0)), "")</f>
        <v/>
      </c>
      <c r="Y2070" s="18"/>
      <c r="Z2070" s="18"/>
      <c r="AA2070" s="18"/>
      <c r="AB2070" s="18"/>
      <c r="AC2070" s="18"/>
    </row>
    <row r="2071" spans="1:29" ht="32.25" hidden="1" customHeight="1">
      <c r="A2071" s="17"/>
      <c r="B2071" s="9" t="s">
        <v>13284</v>
      </c>
      <c r="C2071" s="9" t="s">
        <v>13284</v>
      </c>
      <c r="D2071" s="9" t="s">
        <v>13284</v>
      </c>
      <c r="E2071" s="9" t="s">
        <v>13284</v>
      </c>
      <c r="F2071" s="9" t="s">
        <v>13284</v>
      </c>
      <c r="G2071" s="9" t="s">
        <v>13284</v>
      </c>
      <c r="H2071" s="9" t="s">
        <v>13284</v>
      </c>
      <c r="I2071" s="9" t="s">
        <v>13284</v>
      </c>
      <c r="J2071" s="9" t="s">
        <v>13284</v>
      </c>
      <c r="K2071" s="9" t="s">
        <v>13284</v>
      </c>
      <c r="L2071" s="9" t="s">
        <v>13284</v>
      </c>
      <c r="M2071" s="9" t="s">
        <v>13284</v>
      </c>
      <c r="N2071" s="9" t="s">
        <v>13284</v>
      </c>
      <c r="O2071" s="9" t="s">
        <v>13284</v>
      </c>
      <c r="P2071" s="9" t="s">
        <v>13284</v>
      </c>
      <c r="Q2071" s="9" t="s">
        <v>13284</v>
      </c>
      <c r="R2071" s="9" t="s">
        <v>13284</v>
      </c>
      <c r="S2071" s="9" t="s">
        <v>13284</v>
      </c>
      <c r="T2071" s="9" t="str">
        <f ca="1">IFERROR(IF(AND(VLOOKUP(A2071, 'Актуальное состояние (из общего'!A:C,3,0) = "", A2071 &lt;&gt; ""), "ПРОВЕРИТЬ", VLOOKUP(A2071, 'Актуальное состояние (из общего'!A:C,3,0)), "")</f>
        <v/>
      </c>
      <c r="U2071" s="9" t="s">
        <v>13284</v>
      </c>
      <c r="V2071" s="9" t="s">
        <v>13284</v>
      </c>
      <c r="W2071" s="12"/>
      <c r="X2071" s="9" t="str">
        <f t="array" ref="X2071">IFERROR(INDEX('Адреса общежитий (скрытый)'!$B$2:$B$9, MATCH(W2071, 'Адреса общежитий (скрытый)'!$A$2:$A$9, 0)), "")</f>
        <v/>
      </c>
      <c r="Y2071" s="18"/>
      <c r="Z2071" s="18"/>
      <c r="AA2071" s="18"/>
      <c r="AB2071" s="18"/>
      <c r="AC2071" s="18"/>
    </row>
    <row r="2072" spans="1:29" ht="32.25" hidden="1" customHeight="1">
      <c r="A2072" s="17"/>
      <c r="B2072" s="9" t="s">
        <v>13284</v>
      </c>
      <c r="C2072" s="9" t="s">
        <v>13284</v>
      </c>
      <c r="D2072" s="9" t="s">
        <v>13284</v>
      </c>
      <c r="E2072" s="9" t="s">
        <v>13284</v>
      </c>
      <c r="F2072" s="9" t="s">
        <v>13284</v>
      </c>
      <c r="G2072" s="9" t="s">
        <v>13284</v>
      </c>
      <c r="H2072" s="9" t="s">
        <v>13284</v>
      </c>
      <c r="I2072" s="9" t="s">
        <v>13284</v>
      </c>
      <c r="J2072" s="9" t="s">
        <v>13284</v>
      </c>
      <c r="K2072" s="9" t="s">
        <v>13284</v>
      </c>
      <c r="L2072" s="9" t="s">
        <v>13284</v>
      </c>
      <c r="M2072" s="9" t="s">
        <v>13284</v>
      </c>
      <c r="N2072" s="9" t="s">
        <v>13284</v>
      </c>
      <c r="O2072" s="9" t="s">
        <v>13284</v>
      </c>
      <c r="P2072" s="9" t="s">
        <v>13284</v>
      </c>
      <c r="Q2072" s="9" t="s">
        <v>13284</v>
      </c>
      <c r="R2072" s="9" t="s">
        <v>13284</v>
      </c>
      <c r="S2072" s="9" t="s">
        <v>13284</v>
      </c>
      <c r="T2072" s="9" t="str">
        <f ca="1">IFERROR(IF(AND(VLOOKUP(A2072, 'Актуальное состояние (из общего'!A:C,3,0) = "", A2072 &lt;&gt; ""), "ПРОВЕРИТЬ", VLOOKUP(A2072, 'Актуальное состояние (из общего'!A:C,3,0)), "")</f>
        <v/>
      </c>
      <c r="U2072" s="9" t="s">
        <v>13284</v>
      </c>
      <c r="V2072" s="9" t="s">
        <v>13284</v>
      </c>
      <c r="W2072" s="12"/>
      <c r="X2072" s="9" t="str">
        <f t="array" ref="X2072">IFERROR(INDEX('Адреса общежитий (скрытый)'!$B$2:$B$9, MATCH(W2072, 'Адреса общежитий (скрытый)'!$A$2:$A$9, 0)), "")</f>
        <v/>
      </c>
      <c r="Y2072" s="18"/>
      <c r="Z2072" s="18"/>
      <c r="AA2072" s="18"/>
      <c r="AB2072" s="18"/>
      <c r="AC2072" s="18"/>
    </row>
    <row r="2073" spans="1:29" ht="32.25" hidden="1" customHeight="1">
      <c r="A2073" s="17"/>
      <c r="B2073" s="9" t="s">
        <v>13284</v>
      </c>
      <c r="C2073" s="9" t="s">
        <v>13284</v>
      </c>
      <c r="D2073" s="9" t="s">
        <v>13284</v>
      </c>
      <c r="E2073" s="9" t="s">
        <v>13284</v>
      </c>
      <c r="F2073" s="9" t="s">
        <v>13284</v>
      </c>
      <c r="G2073" s="9" t="s">
        <v>13284</v>
      </c>
      <c r="H2073" s="9" t="s">
        <v>13284</v>
      </c>
      <c r="I2073" s="9" t="s">
        <v>13284</v>
      </c>
      <c r="J2073" s="9" t="s">
        <v>13284</v>
      </c>
      <c r="K2073" s="9" t="s">
        <v>13284</v>
      </c>
      <c r="L2073" s="9" t="s">
        <v>13284</v>
      </c>
      <c r="M2073" s="9" t="s">
        <v>13284</v>
      </c>
      <c r="N2073" s="9" t="s">
        <v>13284</v>
      </c>
      <c r="O2073" s="9" t="s">
        <v>13284</v>
      </c>
      <c r="P2073" s="9" t="s">
        <v>13284</v>
      </c>
      <c r="Q2073" s="9" t="s">
        <v>13284</v>
      </c>
      <c r="R2073" s="9" t="s">
        <v>13284</v>
      </c>
      <c r="S2073" s="9" t="s">
        <v>13284</v>
      </c>
      <c r="T2073" s="9" t="str">
        <f ca="1">IFERROR(IF(AND(VLOOKUP(A2073, 'Актуальное состояние (из общего'!A:C,3,0) = "", A2073 &lt;&gt; ""), "ПРОВЕРИТЬ", VLOOKUP(A2073, 'Актуальное состояние (из общего'!A:C,3,0)), "")</f>
        <v/>
      </c>
      <c r="U2073" s="9" t="s">
        <v>13284</v>
      </c>
      <c r="V2073" s="9" t="s">
        <v>13284</v>
      </c>
      <c r="W2073" s="12"/>
      <c r="X2073" s="9" t="str">
        <f t="array" ref="X2073">IFERROR(INDEX('Адреса общежитий (скрытый)'!$B$2:$B$9, MATCH(W2073, 'Адреса общежитий (скрытый)'!$A$2:$A$9, 0)), "")</f>
        <v/>
      </c>
      <c r="Y2073" s="18"/>
      <c r="Z2073" s="18"/>
      <c r="AA2073" s="18"/>
      <c r="AB2073" s="18"/>
      <c r="AC2073" s="18"/>
    </row>
    <row r="2074" spans="1:29" ht="32.25" hidden="1" customHeight="1">
      <c r="A2074" s="17"/>
      <c r="B2074" s="9" t="s">
        <v>13284</v>
      </c>
      <c r="C2074" s="9" t="s">
        <v>13284</v>
      </c>
      <c r="D2074" s="9" t="s">
        <v>13284</v>
      </c>
      <c r="E2074" s="9" t="s">
        <v>13284</v>
      </c>
      <c r="F2074" s="9" t="s">
        <v>13284</v>
      </c>
      <c r="G2074" s="9" t="s">
        <v>13284</v>
      </c>
      <c r="H2074" s="9" t="s">
        <v>13284</v>
      </c>
      <c r="I2074" s="9" t="s">
        <v>13284</v>
      </c>
      <c r="J2074" s="9" t="s">
        <v>13284</v>
      </c>
      <c r="K2074" s="9" t="s">
        <v>13284</v>
      </c>
      <c r="L2074" s="9" t="s">
        <v>13284</v>
      </c>
      <c r="M2074" s="9" t="s">
        <v>13284</v>
      </c>
      <c r="N2074" s="9" t="s">
        <v>13284</v>
      </c>
      <c r="O2074" s="9" t="s">
        <v>13284</v>
      </c>
      <c r="P2074" s="9" t="s">
        <v>13284</v>
      </c>
      <c r="Q2074" s="9" t="s">
        <v>13284</v>
      </c>
      <c r="R2074" s="9" t="s">
        <v>13284</v>
      </c>
      <c r="S2074" s="9" t="s">
        <v>13284</v>
      </c>
      <c r="T2074" s="9" t="str">
        <f ca="1">IFERROR(IF(AND(VLOOKUP(A2074, 'Актуальное состояние (из общего'!A:C,3,0) = "", A2074 &lt;&gt; ""), "ПРОВЕРИТЬ", VLOOKUP(A2074, 'Актуальное состояние (из общего'!A:C,3,0)), "")</f>
        <v/>
      </c>
      <c r="U2074" s="9" t="s">
        <v>13284</v>
      </c>
      <c r="V2074" s="9" t="s">
        <v>13284</v>
      </c>
      <c r="W2074" s="12"/>
      <c r="X2074" s="9" t="str">
        <f t="array" ref="X2074">IFERROR(INDEX('Адреса общежитий (скрытый)'!$B$2:$B$9, MATCH(W2074, 'Адреса общежитий (скрытый)'!$A$2:$A$9, 0)), "")</f>
        <v/>
      </c>
      <c r="Y2074" s="18"/>
      <c r="Z2074" s="18"/>
      <c r="AA2074" s="18"/>
      <c r="AB2074" s="18"/>
      <c r="AC2074" s="18"/>
    </row>
    <row r="2075" spans="1:29" ht="32.25" hidden="1" customHeight="1">
      <c r="A2075" s="17"/>
      <c r="B2075" s="9" t="s">
        <v>13284</v>
      </c>
      <c r="C2075" s="9" t="s">
        <v>13284</v>
      </c>
      <c r="D2075" s="9" t="s">
        <v>13284</v>
      </c>
      <c r="E2075" s="9" t="s">
        <v>13284</v>
      </c>
      <c r="F2075" s="9" t="s">
        <v>13284</v>
      </c>
      <c r="G2075" s="9" t="s">
        <v>13284</v>
      </c>
      <c r="H2075" s="9" t="s">
        <v>13284</v>
      </c>
      <c r="I2075" s="9" t="s">
        <v>13284</v>
      </c>
      <c r="J2075" s="9" t="s">
        <v>13284</v>
      </c>
      <c r="K2075" s="9" t="s">
        <v>13284</v>
      </c>
      <c r="L2075" s="9" t="s">
        <v>13284</v>
      </c>
      <c r="M2075" s="9" t="s">
        <v>13284</v>
      </c>
      <c r="N2075" s="9" t="s">
        <v>13284</v>
      </c>
      <c r="O2075" s="9" t="s">
        <v>13284</v>
      </c>
      <c r="P2075" s="9" t="s">
        <v>13284</v>
      </c>
      <c r="Q2075" s="9" t="s">
        <v>13284</v>
      </c>
      <c r="R2075" s="9" t="s">
        <v>13284</v>
      </c>
      <c r="S2075" s="9" t="s">
        <v>13284</v>
      </c>
      <c r="T2075" s="9" t="str">
        <f ca="1">IFERROR(IF(AND(VLOOKUP(A2075, 'Актуальное состояние (из общего'!A:C,3,0) = "", A2075 &lt;&gt; ""), "ПРОВЕРИТЬ", VLOOKUP(A2075, 'Актуальное состояние (из общего'!A:C,3,0)), "")</f>
        <v/>
      </c>
      <c r="U2075" s="9" t="s">
        <v>13284</v>
      </c>
      <c r="V2075" s="9" t="s">
        <v>13284</v>
      </c>
      <c r="W2075" s="12"/>
      <c r="X2075" s="9" t="str">
        <f t="array" ref="X2075">IFERROR(INDEX('Адреса общежитий (скрытый)'!$B$2:$B$9, MATCH(W2075, 'Адреса общежитий (скрытый)'!$A$2:$A$9, 0)), "")</f>
        <v/>
      </c>
      <c r="Y2075" s="18"/>
      <c r="Z2075" s="18"/>
      <c r="AA2075" s="18"/>
      <c r="AB2075" s="18"/>
      <c r="AC2075" s="18"/>
    </row>
    <row r="2076" spans="1:29" ht="32.25" hidden="1" customHeight="1">
      <c r="A2076" s="17"/>
      <c r="B2076" s="9" t="s">
        <v>13284</v>
      </c>
      <c r="C2076" s="9" t="s">
        <v>13284</v>
      </c>
      <c r="D2076" s="9" t="s">
        <v>13284</v>
      </c>
      <c r="E2076" s="9" t="s">
        <v>13284</v>
      </c>
      <c r="F2076" s="9" t="s">
        <v>13284</v>
      </c>
      <c r="G2076" s="9" t="s">
        <v>13284</v>
      </c>
      <c r="H2076" s="9" t="s">
        <v>13284</v>
      </c>
      <c r="I2076" s="9" t="s">
        <v>13284</v>
      </c>
      <c r="J2076" s="9" t="s">
        <v>13284</v>
      </c>
      <c r="K2076" s="9" t="s">
        <v>13284</v>
      </c>
      <c r="L2076" s="9" t="s">
        <v>13284</v>
      </c>
      <c r="M2076" s="9" t="s">
        <v>13284</v>
      </c>
      <c r="N2076" s="9" t="s">
        <v>13284</v>
      </c>
      <c r="O2076" s="9" t="s">
        <v>13284</v>
      </c>
      <c r="P2076" s="9" t="s">
        <v>13284</v>
      </c>
      <c r="Q2076" s="9" t="s">
        <v>13284</v>
      </c>
      <c r="R2076" s="9" t="s">
        <v>13284</v>
      </c>
      <c r="S2076" s="9" t="s">
        <v>13284</v>
      </c>
      <c r="T2076" s="9" t="str">
        <f ca="1">IFERROR(IF(AND(VLOOKUP(A2076, 'Актуальное состояние (из общего'!A:C,3,0) = "", A2076 &lt;&gt; ""), "ПРОВЕРИТЬ", VLOOKUP(A2076, 'Актуальное состояние (из общего'!A:C,3,0)), "")</f>
        <v/>
      </c>
      <c r="U2076" s="9" t="s">
        <v>13284</v>
      </c>
      <c r="V2076" s="9" t="s">
        <v>13284</v>
      </c>
      <c r="W2076" s="12"/>
      <c r="X2076" s="9" t="str">
        <f t="array" ref="X2076">IFERROR(INDEX('Адреса общежитий (скрытый)'!$B$2:$B$9, MATCH(W2076, 'Адреса общежитий (скрытый)'!$A$2:$A$9, 0)), "")</f>
        <v/>
      </c>
      <c r="Y2076" s="18"/>
      <c r="Z2076" s="18"/>
      <c r="AA2076" s="18"/>
      <c r="AB2076" s="18"/>
      <c r="AC2076" s="18"/>
    </row>
    <row r="2077" spans="1:29" ht="32.25" hidden="1" customHeight="1">
      <c r="A2077" s="17"/>
      <c r="B2077" s="9" t="s">
        <v>13284</v>
      </c>
      <c r="C2077" s="9" t="s">
        <v>13284</v>
      </c>
      <c r="D2077" s="9" t="s">
        <v>13284</v>
      </c>
      <c r="E2077" s="9" t="s">
        <v>13284</v>
      </c>
      <c r="F2077" s="9" t="s">
        <v>13284</v>
      </c>
      <c r="G2077" s="9" t="s">
        <v>13284</v>
      </c>
      <c r="H2077" s="9" t="s">
        <v>13284</v>
      </c>
      <c r="I2077" s="9" t="s">
        <v>13284</v>
      </c>
      <c r="J2077" s="9" t="s">
        <v>13284</v>
      </c>
      <c r="K2077" s="9" t="s">
        <v>13284</v>
      </c>
      <c r="L2077" s="9" t="s">
        <v>13284</v>
      </c>
      <c r="M2077" s="9" t="s">
        <v>13284</v>
      </c>
      <c r="N2077" s="9" t="s">
        <v>13284</v>
      </c>
      <c r="O2077" s="9" t="s">
        <v>13284</v>
      </c>
      <c r="P2077" s="9" t="s">
        <v>13284</v>
      </c>
      <c r="Q2077" s="9" t="s">
        <v>13284</v>
      </c>
      <c r="R2077" s="9" t="s">
        <v>13284</v>
      </c>
      <c r="S2077" s="9" t="s">
        <v>13284</v>
      </c>
      <c r="T2077" s="9" t="str">
        <f ca="1">IFERROR(IF(AND(VLOOKUP(A2077, 'Актуальное состояние (из общего'!A:C,3,0) = "", A2077 &lt;&gt; ""), "ПРОВЕРИТЬ", VLOOKUP(A2077, 'Актуальное состояние (из общего'!A:C,3,0)), "")</f>
        <v/>
      </c>
      <c r="U2077" s="9" t="s">
        <v>13284</v>
      </c>
      <c r="V2077" s="9" t="s">
        <v>13284</v>
      </c>
      <c r="W2077" s="12"/>
      <c r="X2077" s="9" t="str">
        <f t="array" ref="X2077">IFERROR(INDEX('Адреса общежитий (скрытый)'!$B$2:$B$9, MATCH(W2077, 'Адреса общежитий (скрытый)'!$A$2:$A$9, 0)), "")</f>
        <v/>
      </c>
      <c r="Y2077" s="18"/>
      <c r="Z2077" s="18"/>
      <c r="AA2077" s="18"/>
      <c r="AB2077" s="18"/>
      <c r="AC2077" s="18"/>
    </row>
    <row r="2078" spans="1:29" ht="32.25" hidden="1" customHeight="1">
      <c r="A2078" s="17"/>
      <c r="B2078" s="9" t="s">
        <v>13284</v>
      </c>
      <c r="C2078" s="9" t="s">
        <v>13284</v>
      </c>
      <c r="D2078" s="9" t="s">
        <v>13284</v>
      </c>
      <c r="E2078" s="9" t="s">
        <v>13284</v>
      </c>
      <c r="F2078" s="9" t="s">
        <v>13284</v>
      </c>
      <c r="G2078" s="9" t="s">
        <v>13284</v>
      </c>
      <c r="H2078" s="9" t="s">
        <v>13284</v>
      </c>
      <c r="I2078" s="9" t="s">
        <v>13284</v>
      </c>
      <c r="J2078" s="9" t="s">
        <v>13284</v>
      </c>
      <c r="K2078" s="9" t="s">
        <v>13284</v>
      </c>
      <c r="L2078" s="9" t="s">
        <v>13284</v>
      </c>
      <c r="M2078" s="9" t="s">
        <v>13284</v>
      </c>
      <c r="N2078" s="9" t="s">
        <v>13284</v>
      </c>
      <c r="O2078" s="9" t="s">
        <v>13284</v>
      </c>
      <c r="P2078" s="9" t="s">
        <v>13284</v>
      </c>
      <c r="Q2078" s="9" t="s">
        <v>13284</v>
      </c>
      <c r="R2078" s="9" t="s">
        <v>13284</v>
      </c>
      <c r="S2078" s="9" t="s">
        <v>13284</v>
      </c>
      <c r="T2078" s="9" t="str">
        <f ca="1">IFERROR(IF(AND(VLOOKUP(A2078, 'Актуальное состояние (из общего'!A:C,3,0) = "", A2078 &lt;&gt; ""), "ПРОВЕРИТЬ", VLOOKUP(A2078, 'Актуальное состояние (из общего'!A:C,3,0)), "")</f>
        <v/>
      </c>
      <c r="U2078" s="9" t="s">
        <v>13284</v>
      </c>
      <c r="V2078" s="9" t="s">
        <v>13284</v>
      </c>
      <c r="W2078" s="12"/>
      <c r="X2078" s="9" t="str">
        <f t="array" ref="X2078">IFERROR(INDEX('Адреса общежитий (скрытый)'!$B$2:$B$9, MATCH(W2078, 'Адреса общежитий (скрытый)'!$A$2:$A$9, 0)), "")</f>
        <v/>
      </c>
      <c r="Y2078" s="18"/>
      <c r="Z2078" s="18"/>
      <c r="AA2078" s="18"/>
      <c r="AB2078" s="18"/>
      <c r="AC2078" s="18"/>
    </row>
    <row r="2079" spans="1:29" ht="32.25" hidden="1" customHeight="1">
      <c r="A2079" s="17"/>
      <c r="B2079" s="9" t="s">
        <v>13284</v>
      </c>
      <c r="C2079" s="9" t="s">
        <v>13284</v>
      </c>
      <c r="D2079" s="9" t="s">
        <v>13284</v>
      </c>
      <c r="E2079" s="9" t="s">
        <v>13284</v>
      </c>
      <c r="F2079" s="9" t="s">
        <v>13284</v>
      </c>
      <c r="G2079" s="9" t="s">
        <v>13284</v>
      </c>
      <c r="H2079" s="9" t="s">
        <v>13284</v>
      </c>
      <c r="I2079" s="9" t="s">
        <v>13284</v>
      </c>
      <c r="J2079" s="9" t="s">
        <v>13284</v>
      </c>
      <c r="K2079" s="9" t="s">
        <v>13284</v>
      </c>
      <c r="L2079" s="9" t="s">
        <v>13284</v>
      </c>
      <c r="M2079" s="9" t="s">
        <v>13284</v>
      </c>
      <c r="N2079" s="9" t="s">
        <v>13284</v>
      </c>
      <c r="O2079" s="9" t="s">
        <v>13284</v>
      </c>
      <c r="P2079" s="9" t="s">
        <v>13284</v>
      </c>
      <c r="Q2079" s="9" t="s">
        <v>13284</v>
      </c>
      <c r="R2079" s="9" t="s">
        <v>13284</v>
      </c>
      <c r="S2079" s="9" t="s">
        <v>13284</v>
      </c>
      <c r="T2079" s="9" t="str">
        <f ca="1">IFERROR(IF(AND(VLOOKUP(A2079, 'Актуальное состояние (из общего'!A:C,3,0) = "", A2079 &lt;&gt; ""), "ПРОВЕРИТЬ", VLOOKUP(A2079, 'Актуальное состояние (из общего'!A:C,3,0)), "")</f>
        <v/>
      </c>
      <c r="U2079" s="9" t="s">
        <v>13284</v>
      </c>
      <c r="V2079" s="9" t="s">
        <v>13284</v>
      </c>
      <c r="W2079" s="12"/>
      <c r="X2079" s="9" t="str">
        <f t="array" ref="X2079">IFERROR(INDEX('Адреса общежитий (скрытый)'!$B$2:$B$9, MATCH(W2079, 'Адреса общежитий (скрытый)'!$A$2:$A$9, 0)), "")</f>
        <v/>
      </c>
      <c r="Y2079" s="18"/>
      <c r="Z2079" s="18"/>
      <c r="AA2079" s="18"/>
      <c r="AB2079" s="18"/>
      <c r="AC2079" s="18"/>
    </row>
    <row r="2080" spans="1:29" ht="32.25" hidden="1" customHeight="1">
      <c r="A2080" s="17"/>
      <c r="B2080" s="9" t="s">
        <v>13284</v>
      </c>
      <c r="C2080" s="9" t="s">
        <v>13284</v>
      </c>
      <c r="D2080" s="9" t="s">
        <v>13284</v>
      </c>
      <c r="E2080" s="9" t="s">
        <v>13284</v>
      </c>
      <c r="F2080" s="9" t="s">
        <v>13284</v>
      </c>
      <c r="G2080" s="9" t="s">
        <v>13284</v>
      </c>
      <c r="H2080" s="9" t="s">
        <v>13284</v>
      </c>
      <c r="I2080" s="9" t="s">
        <v>13284</v>
      </c>
      <c r="J2080" s="9" t="s">
        <v>13284</v>
      </c>
      <c r="K2080" s="9" t="s">
        <v>13284</v>
      </c>
      <c r="L2080" s="9" t="s">
        <v>13284</v>
      </c>
      <c r="M2080" s="9" t="s">
        <v>13284</v>
      </c>
      <c r="N2080" s="9" t="s">
        <v>13284</v>
      </c>
      <c r="O2080" s="9" t="s">
        <v>13284</v>
      </c>
      <c r="P2080" s="9" t="s">
        <v>13284</v>
      </c>
      <c r="Q2080" s="9" t="s">
        <v>13284</v>
      </c>
      <c r="R2080" s="9" t="s">
        <v>13284</v>
      </c>
      <c r="S2080" s="9" t="s">
        <v>13284</v>
      </c>
      <c r="T2080" s="9" t="str">
        <f ca="1">IFERROR(IF(AND(VLOOKUP(A2080, 'Актуальное состояние (из общего'!A:C,3,0) = "", A2080 &lt;&gt; ""), "ПРОВЕРИТЬ", VLOOKUP(A2080, 'Актуальное состояние (из общего'!A:C,3,0)), "")</f>
        <v/>
      </c>
      <c r="U2080" s="9" t="s">
        <v>13284</v>
      </c>
      <c r="V2080" s="9" t="s">
        <v>13284</v>
      </c>
      <c r="W2080" s="12"/>
      <c r="X2080" s="9" t="str">
        <f t="array" ref="X2080">IFERROR(INDEX('Адреса общежитий (скрытый)'!$B$2:$B$9, MATCH(W2080, 'Адреса общежитий (скрытый)'!$A$2:$A$9, 0)), "")</f>
        <v/>
      </c>
      <c r="Y2080" s="18"/>
      <c r="Z2080" s="18"/>
      <c r="AA2080" s="18"/>
      <c r="AB2080" s="18"/>
      <c r="AC2080" s="18"/>
    </row>
    <row r="2081" spans="1:29" ht="32.25" hidden="1" customHeight="1">
      <c r="A2081" s="17"/>
      <c r="B2081" s="9" t="s">
        <v>13284</v>
      </c>
      <c r="C2081" s="9" t="s">
        <v>13284</v>
      </c>
      <c r="D2081" s="9" t="s">
        <v>13284</v>
      </c>
      <c r="E2081" s="9" t="s">
        <v>13284</v>
      </c>
      <c r="F2081" s="9" t="s">
        <v>13284</v>
      </c>
      <c r="G2081" s="9" t="s">
        <v>13284</v>
      </c>
      <c r="H2081" s="9" t="s">
        <v>13284</v>
      </c>
      <c r="I2081" s="9" t="s">
        <v>13284</v>
      </c>
      <c r="J2081" s="9" t="s">
        <v>13284</v>
      </c>
      <c r="K2081" s="9" t="s">
        <v>13284</v>
      </c>
      <c r="L2081" s="9" t="s">
        <v>13284</v>
      </c>
      <c r="M2081" s="9" t="s">
        <v>13284</v>
      </c>
      <c r="N2081" s="9" t="s">
        <v>13284</v>
      </c>
      <c r="O2081" s="9" t="s">
        <v>13284</v>
      </c>
      <c r="P2081" s="9" t="s">
        <v>13284</v>
      </c>
      <c r="Q2081" s="9" t="s">
        <v>13284</v>
      </c>
      <c r="R2081" s="9" t="s">
        <v>13284</v>
      </c>
      <c r="S2081" s="9" t="s">
        <v>13284</v>
      </c>
      <c r="T2081" s="9" t="str">
        <f ca="1">IFERROR(IF(AND(VLOOKUP(A2081, 'Актуальное состояние (из общего'!A:C,3,0) = "", A2081 &lt;&gt; ""), "ПРОВЕРИТЬ", VLOOKUP(A2081, 'Актуальное состояние (из общего'!A:C,3,0)), "")</f>
        <v/>
      </c>
      <c r="U2081" s="9" t="s">
        <v>13284</v>
      </c>
      <c r="V2081" s="9" t="s">
        <v>13284</v>
      </c>
      <c r="W2081" s="12"/>
      <c r="X2081" s="9" t="str">
        <f t="array" ref="X2081">IFERROR(INDEX('Адреса общежитий (скрытый)'!$B$2:$B$9, MATCH(W2081, 'Адреса общежитий (скрытый)'!$A$2:$A$9, 0)), "")</f>
        <v/>
      </c>
      <c r="Y2081" s="18"/>
      <c r="Z2081" s="18"/>
      <c r="AA2081" s="18"/>
      <c r="AB2081" s="18"/>
      <c r="AC2081" s="18"/>
    </row>
    <row r="2082" spans="1:29" ht="32.25" hidden="1" customHeight="1">
      <c r="A2082" s="17"/>
      <c r="B2082" s="9" t="s">
        <v>13284</v>
      </c>
      <c r="C2082" s="9" t="s">
        <v>13284</v>
      </c>
      <c r="D2082" s="9" t="s">
        <v>13284</v>
      </c>
      <c r="E2082" s="9" t="s">
        <v>13284</v>
      </c>
      <c r="F2082" s="9" t="s">
        <v>13284</v>
      </c>
      <c r="G2082" s="9" t="s">
        <v>13284</v>
      </c>
      <c r="H2082" s="9" t="s">
        <v>13284</v>
      </c>
      <c r="I2082" s="9" t="s">
        <v>13284</v>
      </c>
      <c r="J2082" s="9" t="s">
        <v>13284</v>
      </c>
      <c r="K2082" s="9" t="s">
        <v>13284</v>
      </c>
      <c r="L2082" s="9" t="s">
        <v>13284</v>
      </c>
      <c r="M2082" s="9" t="s">
        <v>13284</v>
      </c>
      <c r="N2082" s="9" t="s">
        <v>13284</v>
      </c>
      <c r="O2082" s="9" t="s">
        <v>13284</v>
      </c>
      <c r="P2082" s="9" t="s">
        <v>13284</v>
      </c>
      <c r="Q2082" s="9" t="s">
        <v>13284</v>
      </c>
      <c r="R2082" s="9" t="s">
        <v>13284</v>
      </c>
      <c r="S2082" s="9" t="s">
        <v>13284</v>
      </c>
      <c r="T2082" s="9" t="str">
        <f ca="1">IFERROR(IF(AND(VLOOKUP(A2082, 'Актуальное состояние (из общего'!A:C,3,0) = "", A2082 &lt;&gt; ""), "ПРОВЕРИТЬ", VLOOKUP(A2082, 'Актуальное состояние (из общего'!A:C,3,0)), "")</f>
        <v/>
      </c>
      <c r="U2082" s="9" t="s">
        <v>13284</v>
      </c>
      <c r="V2082" s="9" t="s">
        <v>13284</v>
      </c>
      <c r="W2082" s="12"/>
      <c r="X2082" s="9" t="str">
        <f t="array" ref="X2082">IFERROR(INDEX('Адреса общежитий (скрытый)'!$B$2:$B$9, MATCH(W2082, 'Адреса общежитий (скрытый)'!$A$2:$A$9, 0)), "")</f>
        <v/>
      </c>
      <c r="Y2082" s="18"/>
      <c r="Z2082" s="18"/>
      <c r="AA2082" s="18"/>
      <c r="AB2082" s="18"/>
      <c r="AC2082" s="18"/>
    </row>
    <row r="2083" spans="1:29" ht="32.25" hidden="1" customHeight="1">
      <c r="A2083" s="17"/>
      <c r="B2083" s="9" t="s">
        <v>13284</v>
      </c>
      <c r="C2083" s="9" t="s">
        <v>13284</v>
      </c>
      <c r="D2083" s="9" t="s">
        <v>13284</v>
      </c>
      <c r="E2083" s="9" t="s">
        <v>13284</v>
      </c>
      <c r="F2083" s="9" t="s">
        <v>13284</v>
      </c>
      <c r="G2083" s="9" t="s">
        <v>13284</v>
      </c>
      <c r="H2083" s="9" t="s">
        <v>13284</v>
      </c>
      <c r="I2083" s="9" t="s">
        <v>13284</v>
      </c>
      <c r="J2083" s="9" t="s">
        <v>13284</v>
      </c>
      <c r="K2083" s="9" t="s">
        <v>13284</v>
      </c>
      <c r="L2083" s="9" t="s">
        <v>13284</v>
      </c>
      <c r="M2083" s="9" t="s">
        <v>13284</v>
      </c>
      <c r="N2083" s="9" t="s">
        <v>13284</v>
      </c>
      <c r="O2083" s="9" t="s">
        <v>13284</v>
      </c>
      <c r="P2083" s="9" t="s">
        <v>13284</v>
      </c>
      <c r="Q2083" s="9" t="s">
        <v>13284</v>
      </c>
      <c r="R2083" s="9" t="s">
        <v>13284</v>
      </c>
      <c r="S2083" s="9" t="s">
        <v>13284</v>
      </c>
      <c r="T2083" s="9" t="str">
        <f ca="1">IFERROR(IF(AND(VLOOKUP(A2083, 'Актуальное состояние (из общего'!A:C,3,0) = "", A2083 &lt;&gt; ""), "ПРОВЕРИТЬ", VLOOKUP(A2083, 'Актуальное состояние (из общего'!A:C,3,0)), "")</f>
        <v/>
      </c>
      <c r="U2083" s="9" t="s">
        <v>13284</v>
      </c>
      <c r="V2083" s="9" t="s">
        <v>13284</v>
      </c>
      <c r="W2083" s="12"/>
      <c r="X2083" s="9" t="str">
        <f t="array" ref="X2083">IFERROR(INDEX('Адреса общежитий (скрытый)'!$B$2:$B$9, MATCH(W2083, 'Адреса общежитий (скрытый)'!$A$2:$A$9, 0)), "")</f>
        <v/>
      </c>
      <c r="Y2083" s="18"/>
      <c r="Z2083" s="18"/>
      <c r="AA2083" s="18"/>
      <c r="AB2083" s="18"/>
      <c r="AC2083" s="18"/>
    </row>
    <row r="2084" spans="1:29" ht="32.25" hidden="1" customHeight="1">
      <c r="A2084" s="17"/>
      <c r="B2084" s="9" t="s">
        <v>13284</v>
      </c>
      <c r="C2084" s="9" t="s">
        <v>13284</v>
      </c>
      <c r="D2084" s="9" t="s">
        <v>13284</v>
      </c>
      <c r="E2084" s="9" t="s">
        <v>13284</v>
      </c>
      <c r="F2084" s="9" t="s">
        <v>13284</v>
      </c>
      <c r="G2084" s="9" t="s">
        <v>13284</v>
      </c>
      <c r="H2084" s="9" t="s">
        <v>13284</v>
      </c>
      <c r="I2084" s="9" t="s">
        <v>13284</v>
      </c>
      <c r="J2084" s="9" t="s">
        <v>13284</v>
      </c>
      <c r="K2084" s="9" t="s">
        <v>13284</v>
      </c>
      <c r="L2084" s="9" t="s">
        <v>13284</v>
      </c>
      <c r="M2084" s="9" t="s">
        <v>13284</v>
      </c>
      <c r="N2084" s="9" t="s">
        <v>13284</v>
      </c>
      <c r="O2084" s="9" t="s">
        <v>13284</v>
      </c>
      <c r="P2084" s="9" t="s">
        <v>13284</v>
      </c>
      <c r="Q2084" s="9" t="s">
        <v>13284</v>
      </c>
      <c r="R2084" s="9" t="s">
        <v>13284</v>
      </c>
      <c r="S2084" s="9" t="s">
        <v>13284</v>
      </c>
      <c r="T2084" s="9" t="str">
        <f ca="1">IFERROR(IF(AND(VLOOKUP(A2084, 'Актуальное состояние (из общего'!A:C,3,0) = "", A2084 &lt;&gt; ""), "ПРОВЕРИТЬ", VLOOKUP(A2084, 'Актуальное состояние (из общего'!A:C,3,0)), "")</f>
        <v/>
      </c>
      <c r="U2084" s="9" t="s">
        <v>13284</v>
      </c>
      <c r="V2084" s="9" t="s">
        <v>13284</v>
      </c>
      <c r="W2084" s="12"/>
      <c r="X2084" s="9" t="str">
        <f t="array" ref="X2084">IFERROR(INDEX('Адреса общежитий (скрытый)'!$B$2:$B$9, MATCH(W2084, 'Адреса общежитий (скрытый)'!$A$2:$A$9, 0)), "")</f>
        <v/>
      </c>
      <c r="Y2084" s="18"/>
      <c r="Z2084" s="18"/>
      <c r="AA2084" s="18"/>
      <c r="AB2084" s="18"/>
      <c r="AC2084" s="18"/>
    </row>
    <row r="2085" spans="1:29" ht="32.25" hidden="1" customHeight="1">
      <c r="A2085" s="17"/>
      <c r="B2085" s="9" t="s">
        <v>13284</v>
      </c>
      <c r="C2085" s="9" t="s">
        <v>13284</v>
      </c>
      <c r="D2085" s="9" t="s">
        <v>13284</v>
      </c>
      <c r="E2085" s="9" t="s">
        <v>13284</v>
      </c>
      <c r="F2085" s="9" t="s">
        <v>13284</v>
      </c>
      <c r="G2085" s="9" t="s">
        <v>13284</v>
      </c>
      <c r="H2085" s="9" t="s">
        <v>13284</v>
      </c>
      <c r="I2085" s="9" t="s">
        <v>13284</v>
      </c>
      <c r="J2085" s="9" t="s">
        <v>13284</v>
      </c>
      <c r="K2085" s="9" t="s">
        <v>13284</v>
      </c>
      <c r="L2085" s="9" t="s">
        <v>13284</v>
      </c>
      <c r="M2085" s="9" t="s">
        <v>13284</v>
      </c>
      <c r="N2085" s="9" t="s">
        <v>13284</v>
      </c>
      <c r="O2085" s="9" t="s">
        <v>13284</v>
      </c>
      <c r="P2085" s="9" t="s">
        <v>13284</v>
      </c>
      <c r="Q2085" s="9" t="s">
        <v>13284</v>
      </c>
      <c r="R2085" s="9" t="s">
        <v>13284</v>
      </c>
      <c r="S2085" s="9" t="s">
        <v>13284</v>
      </c>
      <c r="T2085" s="9" t="str">
        <f ca="1">IFERROR(IF(AND(VLOOKUP(A2085, 'Актуальное состояние (из общего'!A:C,3,0) = "", A2085 &lt;&gt; ""), "ПРОВЕРИТЬ", VLOOKUP(A2085, 'Актуальное состояние (из общего'!A:C,3,0)), "")</f>
        <v/>
      </c>
      <c r="U2085" s="9" t="s">
        <v>13284</v>
      </c>
      <c r="V2085" s="9" t="s">
        <v>13284</v>
      </c>
      <c r="W2085" s="12"/>
      <c r="X2085" s="9" t="str">
        <f t="array" ref="X2085">IFERROR(INDEX('Адреса общежитий (скрытый)'!$B$2:$B$9, MATCH(W2085, 'Адреса общежитий (скрытый)'!$A$2:$A$9, 0)), "")</f>
        <v/>
      </c>
      <c r="Y2085" s="18"/>
      <c r="Z2085" s="18"/>
      <c r="AA2085" s="18"/>
      <c r="AB2085" s="18"/>
      <c r="AC2085" s="18"/>
    </row>
    <row r="2086" spans="1:29" ht="32.25" hidden="1" customHeight="1">
      <c r="A2086" s="17"/>
      <c r="B2086" s="9" t="s">
        <v>13284</v>
      </c>
      <c r="C2086" s="9" t="s">
        <v>13284</v>
      </c>
      <c r="D2086" s="9" t="s">
        <v>13284</v>
      </c>
      <c r="E2086" s="9" t="s">
        <v>13284</v>
      </c>
      <c r="F2086" s="9" t="s">
        <v>13284</v>
      </c>
      <c r="G2086" s="9" t="s">
        <v>13284</v>
      </c>
      <c r="H2086" s="9" t="s">
        <v>13284</v>
      </c>
      <c r="I2086" s="9" t="s">
        <v>13284</v>
      </c>
      <c r="J2086" s="9" t="s">
        <v>13284</v>
      </c>
      <c r="K2086" s="9" t="s">
        <v>13284</v>
      </c>
      <c r="L2086" s="9" t="s">
        <v>13284</v>
      </c>
      <c r="M2086" s="9" t="s">
        <v>13284</v>
      </c>
      <c r="N2086" s="9" t="s">
        <v>13284</v>
      </c>
      <c r="O2086" s="9" t="s">
        <v>13284</v>
      </c>
      <c r="P2086" s="9" t="s">
        <v>13284</v>
      </c>
      <c r="Q2086" s="9" t="s">
        <v>13284</v>
      </c>
      <c r="R2086" s="9" t="s">
        <v>13284</v>
      </c>
      <c r="S2086" s="9" t="s">
        <v>13284</v>
      </c>
      <c r="T2086" s="9" t="str">
        <f ca="1">IFERROR(IF(AND(VLOOKUP(A2086, 'Актуальное состояние (из общего'!A:C,3,0) = "", A2086 &lt;&gt; ""), "ПРОВЕРИТЬ", VLOOKUP(A2086, 'Актуальное состояние (из общего'!A:C,3,0)), "")</f>
        <v/>
      </c>
      <c r="U2086" s="9" t="s">
        <v>13284</v>
      </c>
      <c r="V2086" s="9" t="s">
        <v>13284</v>
      </c>
      <c r="W2086" s="12"/>
      <c r="X2086" s="9" t="str">
        <f t="array" ref="X2086">IFERROR(INDEX('Адреса общежитий (скрытый)'!$B$2:$B$9, MATCH(W2086, 'Адреса общежитий (скрытый)'!$A$2:$A$9, 0)), "")</f>
        <v/>
      </c>
      <c r="Y2086" s="18"/>
      <c r="Z2086" s="18"/>
      <c r="AA2086" s="18"/>
      <c r="AB2086" s="18"/>
      <c r="AC2086" s="18"/>
    </row>
    <row r="2087" spans="1:29" ht="32.25" hidden="1" customHeight="1">
      <c r="A2087" s="17"/>
      <c r="B2087" s="9" t="s">
        <v>13284</v>
      </c>
      <c r="C2087" s="9" t="s">
        <v>13284</v>
      </c>
      <c r="D2087" s="9" t="s">
        <v>13284</v>
      </c>
      <c r="E2087" s="9" t="s">
        <v>13284</v>
      </c>
      <c r="F2087" s="9" t="s">
        <v>13284</v>
      </c>
      <c r="G2087" s="9" t="s">
        <v>13284</v>
      </c>
      <c r="H2087" s="9" t="s">
        <v>13284</v>
      </c>
      <c r="I2087" s="9" t="s">
        <v>13284</v>
      </c>
      <c r="J2087" s="9" t="s">
        <v>13284</v>
      </c>
      <c r="K2087" s="9" t="s">
        <v>13284</v>
      </c>
      <c r="L2087" s="9" t="s">
        <v>13284</v>
      </c>
      <c r="M2087" s="9" t="s">
        <v>13284</v>
      </c>
      <c r="N2087" s="9" t="s">
        <v>13284</v>
      </c>
      <c r="O2087" s="9" t="s">
        <v>13284</v>
      </c>
      <c r="P2087" s="9" t="s">
        <v>13284</v>
      </c>
      <c r="Q2087" s="9" t="s">
        <v>13284</v>
      </c>
      <c r="R2087" s="9" t="s">
        <v>13284</v>
      </c>
      <c r="S2087" s="9" t="s">
        <v>13284</v>
      </c>
      <c r="T2087" s="9" t="str">
        <f ca="1">IFERROR(IF(AND(VLOOKUP(A2087, 'Актуальное состояние (из общего'!A:C,3,0) = "", A2087 &lt;&gt; ""), "ПРОВЕРИТЬ", VLOOKUP(A2087, 'Актуальное состояние (из общего'!A:C,3,0)), "")</f>
        <v/>
      </c>
      <c r="U2087" s="9" t="s">
        <v>13284</v>
      </c>
      <c r="V2087" s="9" t="s">
        <v>13284</v>
      </c>
      <c r="W2087" s="12"/>
      <c r="X2087" s="9" t="str">
        <f t="array" ref="X2087">IFERROR(INDEX('Адреса общежитий (скрытый)'!$B$2:$B$9, MATCH(W2087, 'Адреса общежитий (скрытый)'!$A$2:$A$9, 0)), "")</f>
        <v/>
      </c>
      <c r="Y2087" s="18"/>
      <c r="Z2087" s="18"/>
      <c r="AA2087" s="18"/>
      <c r="AB2087" s="18"/>
      <c r="AC2087" s="18"/>
    </row>
    <row r="2088" spans="1:29" ht="32.25" hidden="1" customHeight="1">
      <c r="A2088" s="17"/>
      <c r="B2088" s="9" t="s">
        <v>13284</v>
      </c>
      <c r="C2088" s="9" t="s">
        <v>13284</v>
      </c>
      <c r="D2088" s="9" t="s">
        <v>13284</v>
      </c>
      <c r="E2088" s="9" t="s">
        <v>13284</v>
      </c>
      <c r="F2088" s="9" t="s">
        <v>13284</v>
      </c>
      <c r="G2088" s="9" t="s">
        <v>13284</v>
      </c>
      <c r="H2088" s="9" t="s">
        <v>13284</v>
      </c>
      <c r="I2088" s="9" t="s">
        <v>13284</v>
      </c>
      <c r="J2088" s="9" t="s">
        <v>13284</v>
      </c>
      <c r="K2088" s="9" t="s">
        <v>13284</v>
      </c>
      <c r="L2088" s="9" t="s">
        <v>13284</v>
      </c>
      <c r="M2088" s="9" t="s">
        <v>13284</v>
      </c>
      <c r="N2088" s="9" t="s">
        <v>13284</v>
      </c>
      <c r="O2088" s="9" t="s">
        <v>13284</v>
      </c>
      <c r="P2088" s="9" t="s">
        <v>13284</v>
      </c>
      <c r="Q2088" s="9" t="s">
        <v>13284</v>
      </c>
      <c r="R2088" s="9" t="s">
        <v>13284</v>
      </c>
      <c r="S2088" s="9" t="s">
        <v>13284</v>
      </c>
      <c r="T2088" s="9" t="str">
        <f ca="1">IFERROR(IF(AND(VLOOKUP(A2088, 'Актуальное состояние (из общего'!A:C,3,0) = "", A2088 &lt;&gt; ""), "ПРОВЕРИТЬ", VLOOKUP(A2088, 'Актуальное состояние (из общего'!A:C,3,0)), "")</f>
        <v/>
      </c>
      <c r="U2088" s="9" t="s">
        <v>13284</v>
      </c>
      <c r="V2088" s="9" t="s">
        <v>13284</v>
      </c>
      <c r="W2088" s="12"/>
      <c r="X2088" s="9" t="str">
        <f t="array" ref="X2088">IFERROR(INDEX('Адреса общежитий (скрытый)'!$B$2:$B$9, MATCH(W2088, 'Адреса общежитий (скрытый)'!$A$2:$A$9, 0)), "")</f>
        <v/>
      </c>
      <c r="Y2088" s="18"/>
      <c r="Z2088" s="18"/>
      <c r="AA2088" s="18"/>
      <c r="AB2088" s="18"/>
      <c r="AC2088" s="18"/>
    </row>
    <row r="2089" spans="1:29" ht="32.25" hidden="1" customHeight="1">
      <c r="A2089" s="17"/>
      <c r="B2089" s="9" t="s">
        <v>13284</v>
      </c>
      <c r="C2089" s="9" t="s">
        <v>13284</v>
      </c>
      <c r="D2089" s="9" t="s">
        <v>13284</v>
      </c>
      <c r="E2089" s="9" t="s">
        <v>13284</v>
      </c>
      <c r="F2089" s="9" t="s">
        <v>13284</v>
      </c>
      <c r="G2089" s="9" t="s">
        <v>13284</v>
      </c>
      <c r="H2089" s="9" t="s">
        <v>13284</v>
      </c>
      <c r="I2089" s="9" t="s">
        <v>13284</v>
      </c>
      <c r="J2089" s="9" t="s">
        <v>13284</v>
      </c>
      <c r="K2089" s="9" t="s">
        <v>13284</v>
      </c>
      <c r="L2089" s="9" t="s">
        <v>13284</v>
      </c>
      <c r="M2089" s="9" t="s">
        <v>13284</v>
      </c>
      <c r="N2089" s="9" t="s">
        <v>13284</v>
      </c>
      <c r="O2089" s="9" t="s">
        <v>13284</v>
      </c>
      <c r="P2089" s="9" t="s">
        <v>13284</v>
      </c>
      <c r="Q2089" s="9" t="s">
        <v>13284</v>
      </c>
      <c r="R2089" s="9" t="s">
        <v>13284</v>
      </c>
      <c r="S2089" s="9" t="s">
        <v>13284</v>
      </c>
      <c r="T2089" s="9" t="str">
        <f ca="1">IFERROR(IF(AND(VLOOKUP(A2089, 'Актуальное состояние (из общего'!A:C,3,0) = "", A2089 &lt;&gt; ""), "ПРОВЕРИТЬ", VLOOKUP(A2089, 'Актуальное состояние (из общего'!A:C,3,0)), "")</f>
        <v/>
      </c>
      <c r="U2089" s="9" t="s">
        <v>13284</v>
      </c>
      <c r="V2089" s="9" t="s">
        <v>13284</v>
      </c>
      <c r="W2089" s="12"/>
      <c r="X2089" s="9" t="str">
        <f t="array" ref="X2089">IFERROR(INDEX('Адреса общежитий (скрытый)'!$B$2:$B$9, MATCH(W2089, 'Адреса общежитий (скрытый)'!$A$2:$A$9, 0)), "")</f>
        <v/>
      </c>
      <c r="Y2089" s="18"/>
      <c r="Z2089" s="18"/>
      <c r="AA2089" s="18"/>
      <c r="AB2089" s="18"/>
      <c r="AC2089" s="18"/>
    </row>
    <row r="2090" spans="1:29" ht="32.25" hidden="1" customHeight="1">
      <c r="A2090" s="17"/>
      <c r="B2090" s="9" t="s">
        <v>13284</v>
      </c>
      <c r="C2090" s="9" t="s">
        <v>13284</v>
      </c>
      <c r="D2090" s="9" t="s">
        <v>13284</v>
      </c>
      <c r="E2090" s="9" t="s">
        <v>13284</v>
      </c>
      <c r="F2090" s="9" t="s">
        <v>13284</v>
      </c>
      <c r="G2090" s="9" t="s">
        <v>13284</v>
      </c>
      <c r="H2090" s="9" t="s">
        <v>13284</v>
      </c>
      <c r="I2090" s="9" t="s">
        <v>13284</v>
      </c>
      <c r="J2090" s="9" t="s">
        <v>13284</v>
      </c>
      <c r="K2090" s="9" t="s">
        <v>13284</v>
      </c>
      <c r="L2090" s="9" t="s">
        <v>13284</v>
      </c>
      <c r="M2090" s="9" t="s">
        <v>13284</v>
      </c>
      <c r="N2090" s="9" t="s">
        <v>13284</v>
      </c>
      <c r="O2090" s="9" t="s">
        <v>13284</v>
      </c>
      <c r="P2090" s="9" t="s">
        <v>13284</v>
      </c>
      <c r="Q2090" s="9" t="s">
        <v>13284</v>
      </c>
      <c r="R2090" s="9" t="s">
        <v>13284</v>
      </c>
      <c r="S2090" s="9" t="s">
        <v>13284</v>
      </c>
      <c r="T2090" s="9" t="str">
        <f ca="1">IFERROR(IF(AND(VLOOKUP(A2090, 'Актуальное состояние (из общего'!A:C,3,0) = "", A2090 &lt;&gt; ""), "ПРОВЕРИТЬ", VLOOKUP(A2090, 'Актуальное состояние (из общего'!A:C,3,0)), "")</f>
        <v/>
      </c>
      <c r="U2090" s="9" t="s">
        <v>13284</v>
      </c>
      <c r="V2090" s="9" t="s">
        <v>13284</v>
      </c>
      <c r="W2090" s="12"/>
      <c r="X2090" s="9" t="str">
        <f t="array" ref="X2090">IFERROR(INDEX('Адреса общежитий (скрытый)'!$B$2:$B$9, MATCH(W2090, 'Адреса общежитий (скрытый)'!$A$2:$A$9, 0)), "")</f>
        <v/>
      </c>
      <c r="Y2090" s="18"/>
      <c r="Z2090" s="18"/>
      <c r="AA2090" s="18"/>
      <c r="AB2090" s="18"/>
      <c r="AC2090" s="18"/>
    </row>
    <row r="2091" spans="1:29" ht="32.25" hidden="1" customHeight="1">
      <c r="A2091" s="17"/>
      <c r="B2091" s="9" t="s">
        <v>13284</v>
      </c>
      <c r="C2091" s="9" t="s">
        <v>13284</v>
      </c>
      <c r="D2091" s="9" t="s">
        <v>13284</v>
      </c>
      <c r="E2091" s="9" t="s">
        <v>13284</v>
      </c>
      <c r="F2091" s="9" t="s">
        <v>13284</v>
      </c>
      <c r="G2091" s="9" t="s">
        <v>13284</v>
      </c>
      <c r="H2091" s="9" t="s">
        <v>13284</v>
      </c>
      <c r="I2091" s="9" t="s">
        <v>13284</v>
      </c>
      <c r="J2091" s="9" t="s">
        <v>13284</v>
      </c>
      <c r="K2091" s="9" t="s">
        <v>13284</v>
      </c>
      <c r="L2091" s="9" t="s">
        <v>13284</v>
      </c>
      <c r="M2091" s="9" t="s">
        <v>13284</v>
      </c>
      <c r="N2091" s="9" t="s">
        <v>13284</v>
      </c>
      <c r="O2091" s="9" t="s">
        <v>13284</v>
      </c>
      <c r="P2091" s="9" t="s">
        <v>13284</v>
      </c>
      <c r="Q2091" s="9" t="s">
        <v>13284</v>
      </c>
      <c r="R2091" s="9" t="s">
        <v>13284</v>
      </c>
      <c r="S2091" s="9" t="s">
        <v>13284</v>
      </c>
      <c r="T2091" s="9" t="str">
        <f ca="1">IFERROR(IF(AND(VLOOKUP(A2091, 'Актуальное состояние (из общего'!A:C,3,0) = "", A2091 &lt;&gt; ""), "ПРОВЕРИТЬ", VLOOKUP(A2091, 'Актуальное состояние (из общего'!A:C,3,0)), "")</f>
        <v/>
      </c>
      <c r="U2091" s="9" t="s">
        <v>13284</v>
      </c>
      <c r="V2091" s="9" t="s">
        <v>13284</v>
      </c>
      <c r="W2091" s="12"/>
      <c r="X2091" s="9" t="str">
        <f t="array" ref="X2091">IFERROR(INDEX('Адреса общежитий (скрытый)'!$B$2:$B$9, MATCH(W2091, 'Адреса общежитий (скрытый)'!$A$2:$A$9, 0)), "")</f>
        <v/>
      </c>
      <c r="Y2091" s="18"/>
      <c r="Z2091" s="18"/>
      <c r="AA2091" s="18"/>
      <c r="AB2091" s="18"/>
      <c r="AC2091" s="18"/>
    </row>
    <row r="2092" spans="1:29" ht="32.25" hidden="1" customHeight="1">
      <c r="A2092" s="17"/>
      <c r="B2092" s="9" t="s">
        <v>13284</v>
      </c>
      <c r="C2092" s="9" t="s">
        <v>13284</v>
      </c>
      <c r="D2092" s="9" t="s">
        <v>13284</v>
      </c>
      <c r="E2092" s="9" t="s">
        <v>13284</v>
      </c>
      <c r="F2092" s="9" t="s">
        <v>13284</v>
      </c>
      <c r="G2092" s="9" t="s">
        <v>13284</v>
      </c>
      <c r="H2092" s="9" t="s">
        <v>13284</v>
      </c>
      <c r="I2092" s="9" t="s">
        <v>13284</v>
      </c>
      <c r="J2092" s="9" t="s">
        <v>13284</v>
      </c>
      <c r="K2092" s="9" t="s">
        <v>13284</v>
      </c>
      <c r="L2092" s="9" t="s">
        <v>13284</v>
      </c>
      <c r="M2092" s="9" t="s">
        <v>13284</v>
      </c>
      <c r="N2092" s="9" t="s">
        <v>13284</v>
      </c>
      <c r="O2092" s="9" t="s">
        <v>13284</v>
      </c>
      <c r="P2092" s="9" t="s">
        <v>13284</v>
      </c>
      <c r="Q2092" s="9" t="s">
        <v>13284</v>
      </c>
      <c r="R2092" s="9" t="s">
        <v>13284</v>
      </c>
      <c r="S2092" s="9" t="s">
        <v>13284</v>
      </c>
      <c r="T2092" s="9" t="str">
        <f ca="1">IFERROR(IF(AND(VLOOKUP(A2092, 'Актуальное состояние (из общего'!A:C,3,0) = "", A2092 &lt;&gt; ""), "ПРОВЕРИТЬ", VLOOKUP(A2092, 'Актуальное состояние (из общего'!A:C,3,0)), "")</f>
        <v/>
      </c>
      <c r="U2092" s="9" t="s">
        <v>13284</v>
      </c>
      <c r="V2092" s="9" t="s">
        <v>13284</v>
      </c>
      <c r="W2092" s="12"/>
      <c r="X2092" s="9" t="str">
        <f t="array" ref="X2092">IFERROR(INDEX('Адреса общежитий (скрытый)'!$B$2:$B$9, MATCH(W2092, 'Адреса общежитий (скрытый)'!$A$2:$A$9, 0)), "")</f>
        <v/>
      </c>
      <c r="Y2092" s="18"/>
      <c r="Z2092" s="18"/>
      <c r="AA2092" s="18"/>
      <c r="AB2092" s="18"/>
      <c r="AC2092" s="18"/>
    </row>
    <row r="2093" spans="1:29" ht="32.25" hidden="1" customHeight="1">
      <c r="A2093" s="17"/>
      <c r="B2093" s="9" t="s">
        <v>13284</v>
      </c>
      <c r="C2093" s="9" t="s">
        <v>13284</v>
      </c>
      <c r="D2093" s="9" t="s">
        <v>13284</v>
      </c>
      <c r="E2093" s="9" t="s">
        <v>13284</v>
      </c>
      <c r="F2093" s="9" t="s">
        <v>13284</v>
      </c>
      <c r="G2093" s="9" t="s">
        <v>13284</v>
      </c>
      <c r="H2093" s="9" t="s">
        <v>13284</v>
      </c>
      <c r="I2093" s="9" t="s">
        <v>13284</v>
      </c>
      <c r="J2093" s="9" t="s">
        <v>13284</v>
      </c>
      <c r="K2093" s="9" t="s">
        <v>13284</v>
      </c>
      <c r="L2093" s="9" t="s">
        <v>13284</v>
      </c>
      <c r="M2093" s="9" t="s">
        <v>13284</v>
      </c>
      <c r="N2093" s="9" t="s">
        <v>13284</v>
      </c>
      <c r="O2093" s="9" t="s">
        <v>13284</v>
      </c>
      <c r="P2093" s="9" t="s">
        <v>13284</v>
      </c>
      <c r="Q2093" s="9" t="s">
        <v>13284</v>
      </c>
      <c r="R2093" s="9" t="s">
        <v>13284</v>
      </c>
      <c r="S2093" s="9" t="s">
        <v>13284</v>
      </c>
      <c r="T2093" s="9" t="str">
        <f ca="1">IFERROR(IF(AND(VLOOKUP(A2093, 'Актуальное состояние (из общего'!A:C,3,0) = "", A2093 &lt;&gt; ""), "ПРОВЕРИТЬ", VLOOKUP(A2093, 'Актуальное состояние (из общего'!A:C,3,0)), "")</f>
        <v/>
      </c>
      <c r="U2093" s="9" t="s">
        <v>13284</v>
      </c>
      <c r="V2093" s="9" t="s">
        <v>13284</v>
      </c>
      <c r="W2093" s="12"/>
      <c r="X2093" s="9" t="str">
        <f t="array" ref="X2093">IFERROR(INDEX('Адреса общежитий (скрытый)'!$B$2:$B$9, MATCH(W2093, 'Адреса общежитий (скрытый)'!$A$2:$A$9, 0)), "")</f>
        <v/>
      </c>
      <c r="Y2093" s="18"/>
      <c r="Z2093" s="18"/>
      <c r="AA2093" s="18"/>
      <c r="AB2093" s="18"/>
      <c r="AC2093" s="18"/>
    </row>
    <row r="2094" spans="1:29" ht="32.25" hidden="1" customHeight="1">
      <c r="A2094" s="17"/>
      <c r="B2094" s="9" t="s">
        <v>13284</v>
      </c>
      <c r="C2094" s="9" t="s">
        <v>13284</v>
      </c>
      <c r="D2094" s="9" t="s">
        <v>13284</v>
      </c>
      <c r="E2094" s="9" t="s">
        <v>13284</v>
      </c>
      <c r="F2094" s="9" t="s">
        <v>13284</v>
      </c>
      <c r="G2094" s="9" t="s">
        <v>13284</v>
      </c>
      <c r="H2094" s="9" t="s">
        <v>13284</v>
      </c>
      <c r="I2094" s="9" t="s">
        <v>13284</v>
      </c>
      <c r="J2094" s="9" t="s">
        <v>13284</v>
      </c>
      <c r="K2094" s="9" t="s">
        <v>13284</v>
      </c>
      <c r="L2094" s="9" t="s">
        <v>13284</v>
      </c>
      <c r="M2094" s="9" t="s">
        <v>13284</v>
      </c>
      <c r="N2094" s="9" t="s">
        <v>13284</v>
      </c>
      <c r="O2094" s="9" t="s">
        <v>13284</v>
      </c>
      <c r="P2094" s="9" t="s">
        <v>13284</v>
      </c>
      <c r="Q2094" s="9" t="s">
        <v>13284</v>
      </c>
      <c r="R2094" s="9" t="s">
        <v>13284</v>
      </c>
      <c r="S2094" s="9" t="s">
        <v>13284</v>
      </c>
      <c r="T2094" s="9" t="str">
        <f ca="1">IFERROR(IF(AND(VLOOKUP(A2094, 'Актуальное состояние (из общего'!A:C,3,0) = "", A2094 &lt;&gt; ""), "ПРОВЕРИТЬ", VLOOKUP(A2094, 'Актуальное состояние (из общего'!A:C,3,0)), "")</f>
        <v/>
      </c>
      <c r="U2094" s="9" t="s">
        <v>13284</v>
      </c>
      <c r="V2094" s="9" t="s">
        <v>13284</v>
      </c>
      <c r="W2094" s="12"/>
      <c r="X2094" s="9" t="str">
        <f t="array" ref="X2094">IFERROR(INDEX('Адреса общежитий (скрытый)'!$B$2:$B$9, MATCH(W2094, 'Адреса общежитий (скрытый)'!$A$2:$A$9, 0)), "")</f>
        <v/>
      </c>
      <c r="Y2094" s="18"/>
      <c r="Z2094" s="18"/>
      <c r="AA2094" s="18"/>
      <c r="AB2094" s="18"/>
      <c r="AC2094" s="18"/>
    </row>
    <row r="2095" spans="1:29" ht="32.25" hidden="1" customHeight="1">
      <c r="A2095" s="17"/>
      <c r="B2095" s="9" t="s">
        <v>13284</v>
      </c>
      <c r="C2095" s="9" t="s">
        <v>13284</v>
      </c>
      <c r="D2095" s="9" t="s">
        <v>13284</v>
      </c>
      <c r="E2095" s="9" t="s">
        <v>13284</v>
      </c>
      <c r="F2095" s="9" t="s">
        <v>13284</v>
      </c>
      <c r="G2095" s="9" t="s">
        <v>13284</v>
      </c>
      <c r="H2095" s="9" t="s">
        <v>13284</v>
      </c>
      <c r="I2095" s="9" t="s">
        <v>13284</v>
      </c>
      <c r="J2095" s="9" t="s">
        <v>13284</v>
      </c>
      <c r="K2095" s="9" t="s">
        <v>13284</v>
      </c>
      <c r="L2095" s="9" t="s">
        <v>13284</v>
      </c>
      <c r="M2095" s="9" t="s">
        <v>13284</v>
      </c>
      <c r="N2095" s="9" t="s">
        <v>13284</v>
      </c>
      <c r="O2095" s="9" t="s">
        <v>13284</v>
      </c>
      <c r="P2095" s="9" t="s">
        <v>13284</v>
      </c>
      <c r="Q2095" s="9" t="s">
        <v>13284</v>
      </c>
      <c r="R2095" s="9" t="s">
        <v>13284</v>
      </c>
      <c r="S2095" s="9" t="s">
        <v>13284</v>
      </c>
      <c r="T2095" s="9" t="str">
        <f ca="1">IFERROR(IF(AND(VLOOKUP(A2095, 'Актуальное состояние (из общего'!A:C,3,0) = "", A2095 &lt;&gt; ""), "ПРОВЕРИТЬ", VLOOKUP(A2095, 'Актуальное состояние (из общего'!A:C,3,0)), "")</f>
        <v/>
      </c>
      <c r="U2095" s="9" t="s">
        <v>13284</v>
      </c>
      <c r="V2095" s="9" t="s">
        <v>13284</v>
      </c>
      <c r="W2095" s="12"/>
      <c r="X2095" s="9" t="str">
        <f t="array" ref="X2095">IFERROR(INDEX('Адреса общежитий (скрытый)'!$B$2:$B$9, MATCH(W2095, 'Адреса общежитий (скрытый)'!$A$2:$A$9, 0)), "")</f>
        <v/>
      </c>
      <c r="Y2095" s="18"/>
      <c r="Z2095" s="18"/>
      <c r="AA2095" s="18"/>
      <c r="AB2095" s="18"/>
      <c r="AC2095" s="18"/>
    </row>
    <row r="2096" spans="1:29" ht="32.25" hidden="1" customHeight="1">
      <c r="A2096" s="17"/>
      <c r="B2096" s="9" t="s">
        <v>13284</v>
      </c>
      <c r="C2096" s="9" t="s">
        <v>13284</v>
      </c>
      <c r="D2096" s="9" t="s">
        <v>13284</v>
      </c>
      <c r="E2096" s="9" t="s">
        <v>13284</v>
      </c>
      <c r="F2096" s="9" t="s">
        <v>13284</v>
      </c>
      <c r="G2096" s="9" t="s">
        <v>13284</v>
      </c>
      <c r="H2096" s="9" t="s">
        <v>13284</v>
      </c>
      <c r="I2096" s="9" t="s">
        <v>13284</v>
      </c>
      <c r="J2096" s="9" t="s">
        <v>13284</v>
      </c>
      <c r="K2096" s="9" t="s">
        <v>13284</v>
      </c>
      <c r="L2096" s="9" t="s">
        <v>13284</v>
      </c>
      <c r="M2096" s="9" t="s">
        <v>13284</v>
      </c>
      <c r="N2096" s="9" t="s">
        <v>13284</v>
      </c>
      <c r="O2096" s="9" t="s">
        <v>13284</v>
      </c>
      <c r="P2096" s="9" t="s">
        <v>13284</v>
      </c>
      <c r="Q2096" s="9" t="s">
        <v>13284</v>
      </c>
      <c r="R2096" s="9" t="s">
        <v>13284</v>
      </c>
      <c r="S2096" s="9" t="s">
        <v>13284</v>
      </c>
      <c r="T2096" s="9" t="str">
        <f ca="1">IFERROR(IF(AND(VLOOKUP(A2096, 'Актуальное состояние (из общего'!A:C,3,0) = "", A2096 &lt;&gt; ""), "ПРОВЕРИТЬ", VLOOKUP(A2096, 'Актуальное состояние (из общего'!A:C,3,0)), "")</f>
        <v/>
      </c>
      <c r="U2096" s="9" t="s">
        <v>13284</v>
      </c>
      <c r="V2096" s="9" t="s">
        <v>13284</v>
      </c>
      <c r="W2096" s="12"/>
      <c r="X2096" s="9" t="str">
        <f t="array" ref="X2096">IFERROR(INDEX('Адреса общежитий (скрытый)'!$B$2:$B$9, MATCH(W2096, 'Адреса общежитий (скрытый)'!$A$2:$A$9, 0)), "")</f>
        <v/>
      </c>
      <c r="Y2096" s="18"/>
      <c r="Z2096" s="18"/>
      <c r="AA2096" s="18"/>
      <c r="AB2096" s="18"/>
      <c r="AC2096" s="18"/>
    </row>
    <row r="2097" spans="1:29" ht="32.25" hidden="1" customHeight="1">
      <c r="A2097" s="17"/>
      <c r="B2097" s="9" t="s">
        <v>13284</v>
      </c>
      <c r="C2097" s="9" t="s">
        <v>13284</v>
      </c>
      <c r="D2097" s="9" t="s">
        <v>13284</v>
      </c>
      <c r="E2097" s="9" t="s">
        <v>13284</v>
      </c>
      <c r="F2097" s="9" t="s">
        <v>13284</v>
      </c>
      <c r="G2097" s="9" t="s">
        <v>13284</v>
      </c>
      <c r="H2097" s="9" t="s">
        <v>13284</v>
      </c>
      <c r="I2097" s="9" t="s">
        <v>13284</v>
      </c>
      <c r="J2097" s="9" t="s">
        <v>13284</v>
      </c>
      <c r="K2097" s="9" t="s">
        <v>13284</v>
      </c>
      <c r="L2097" s="9" t="s">
        <v>13284</v>
      </c>
      <c r="M2097" s="9" t="s">
        <v>13284</v>
      </c>
      <c r="N2097" s="9" t="s">
        <v>13284</v>
      </c>
      <c r="O2097" s="9" t="s">
        <v>13284</v>
      </c>
      <c r="P2097" s="9" t="s">
        <v>13284</v>
      </c>
      <c r="Q2097" s="9" t="s">
        <v>13284</v>
      </c>
      <c r="R2097" s="9" t="s">
        <v>13284</v>
      </c>
      <c r="S2097" s="9" t="s">
        <v>13284</v>
      </c>
      <c r="T2097" s="9" t="str">
        <f ca="1">IFERROR(IF(AND(VLOOKUP(A2097, 'Актуальное состояние (из общего'!A:C,3,0) = "", A2097 &lt;&gt; ""), "ПРОВЕРИТЬ", VLOOKUP(A2097, 'Актуальное состояние (из общего'!A:C,3,0)), "")</f>
        <v/>
      </c>
      <c r="U2097" s="9" t="s">
        <v>13284</v>
      </c>
      <c r="V2097" s="9" t="s">
        <v>13284</v>
      </c>
      <c r="W2097" s="12"/>
      <c r="X2097" s="9" t="str">
        <f t="array" ref="X2097">IFERROR(INDEX('Адреса общежитий (скрытый)'!$B$2:$B$9, MATCH(W2097, 'Адреса общежитий (скрытый)'!$A$2:$A$9, 0)), "")</f>
        <v/>
      </c>
      <c r="Y2097" s="18"/>
      <c r="Z2097" s="18"/>
      <c r="AA2097" s="18"/>
      <c r="AB2097" s="18"/>
      <c r="AC2097" s="18"/>
    </row>
    <row r="2098" spans="1:29" ht="32.25" hidden="1" customHeight="1">
      <c r="A2098" s="17"/>
      <c r="B2098" s="9" t="s">
        <v>13284</v>
      </c>
      <c r="C2098" s="9" t="s">
        <v>13284</v>
      </c>
      <c r="D2098" s="9" t="s">
        <v>13284</v>
      </c>
      <c r="E2098" s="9" t="s">
        <v>13284</v>
      </c>
      <c r="F2098" s="9" t="s">
        <v>13284</v>
      </c>
      <c r="G2098" s="9" t="s">
        <v>13284</v>
      </c>
      <c r="H2098" s="9" t="s">
        <v>13284</v>
      </c>
      <c r="I2098" s="9" t="s">
        <v>13284</v>
      </c>
      <c r="J2098" s="9" t="s">
        <v>13284</v>
      </c>
      <c r="K2098" s="9" t="s">
        <v>13284</v>
      </c>
      <c r="L2098" s="9" t="s">
        <v>13284</v>
      </c>
      <c r="M2098" s="9" t="s">
        <v>13284</v>
      </c>
      <c r="N2098" s="9" t="s">
        <v>13284</v>
      </c>
      <c r="O2098" s="9" t="s">
        <v>13284</v>
      </c>
      <c r="P2098" s="9" t="s">
        <v>13284</v>
      </c>
      <c r="Q2098" s="9" t="s">
        <v>13284</v>
      </c>
      <c r="R2098" s="9" t="s">
        <v>13284</v>
      </c>
      <c r="S2098" s="9" t="s">
        <v>13284</v>
      </c>
      <c r="T2098" s="9" t="str">
        <f ca="1">IFERROR(IF(AND(VLOOKUP(A2098, 'Актуальное состояние (из общего'!A:C,3,0) = "", A2098 &lt;&gt; ""), "ПРОВЕРИТЬ", VLOOKUP(A2098, 'Актуальное состояние (из общего'!A:C,3,0)), "")</f>
        <v/>
      </c>
      <c r="U2098" s="9" t="s">
        <v>13284</v>
      </c>
      <c r="V2098" s="9" t="s">
        <v>13284</v>
      </c>
      <c r="W2098" s="12"/>
      <c r="X2098" s="9" t="str">
        <f t="array" ref="X2098">IFERROR(INDEX('Адреса общежитий (скрытый)'!$B$2:$B$9, MATCH(W2098, 'Адреса общежитий (скрытый)'!$A$2:$A$9, 0)), "")</f>
        <v/>
      </c>
      <c r="Y2098" s="18"/>
      <c r="Z2098" s="18"/>
      <c r="AA2098" s="18"/>
      <c r="AB2098" s="18"/>
      <c r="AC2098" s="18"/>
    </row>
    <row r="2099" spans="1:29" ht="32.25" hidden="1" customHeight="1">
      <c r="A2099" s="17"/>
      <c r="B2099" s="9" t="s">
        <v>13284</v>
      </c>
      <c r="C2099" s="9" t="s">
        <v>13284</v>
      </c>
      <c r="D2099" s="9" t="s">
        <v>13284</v>
      </c>
      <c r="E2099" s="9" t="s">
        <v>13284</v>
      </c>
      <c r="F2099" s="9" t="s">
        <v>13284</v>
      </c>
      <c r="G2099" s="9" t="s">
        <v>13284</v>
      </c>
      <c r="H2099" s="9" t="s">
        <v>13284</v>
      </c>
      <c r="I2099" s="9" t="s">
        <v>13284</v>
      </c>
      <c r="J2099" s="9" t="s">
        <v>13284</v>
      </c>
      <c r="K2099" s="9" t="s">
        <v>13284</v>
      </c>
      <c r="L2099" s="9" t="s">
        <v>13284</v>
      </c>
      <c r="M2099" s="9" t="s">
        <v>13284</v>
      </c>
      <c r="N2099" s="9" t="s">
        <v>13284</v>
      </c>
      <c r="O2099" s="9" t="s">
        <v>13284</v>
      </c>
      <c r="P2099" s="9" t="s">
        <v>13284</v>
      </c>
      <c r="Q2099" s="9" t="s">
        <v>13284</v>
      </c>
      <c r="R2099" s="9" t="s">
        <v>13284</v>
      </c>
      <c r="S2099" s="9" t="s">
        <v>13284</v>
      </c>
      <c r="T2099" s="9" t="str">
        <f ca="1">IFERROR(IF(AND(VLOOKUP(A2099, 'Актуальное состояние (из общего'!A:C,3,0) = "", A2099 &lt;&gt; ""), "ПРОВЕРИТЬ", VLOOKUP(A2099, 'Актуальное состояние (из общего'!A:C,3,0)), "")</f>
        <v/>
      </c>
      <c r="U2099" s="9" t="s">
        <v>13284</v>
      </c>
      <c r="V2099" s="9" t="s">
        <v>13284</v>
      </c>
      <c r="W2099" s="12"/>
      <c r="X2099" s="9" t="str">
        <f t="array" ref="X2099">IFERROR(INDEX('Адреса общежитий (скрытый)'!$B$2:$B$9, MATCH(W2099, 'Адреса общежитий (скрытый)'!$A$2:$A$9, 0)), "")</f>
        <v/>
      </c>
      <c r="Y2099" s="18"/>
      <c r="Z2099" s="18"/>
      <c r="AA2099" s="18"/>
      <c r="AB2099" s="18"/>
      <c r="AC2099" s="18"/>
    </row>
    <row r="2100" spans="1:29" ht="32.25" hidden="1" customHeight="1">
      <c r="A2100" s="17"/>
      <c r="B2100" s="9" t="s">
        <v>13284</v>
      </c>
      <c r="C2100" s="9" t="s">
        <v>13284</v>
      </c>
      <c r="D2100" s="9" t="s">
        <v>13284</v>
      </c>
      <c r="E2100" s="9" t="s">
        <v>13284</v>
      </c>
      <c r="F2100" s="9" t="s">
        <v>13284</v>
      </c>
      <c r="G2100" s="9" t="s">
        <v>13284</v>
      </c>
      <c r="H2100" s="9" t="s">
        <v>13284</v>
      </c>
      <c r="I2100" s="9" t="s">
        <v>13284</v>
      </c>
      <c r="J2100" s="9" t="s">
        <v>13284</v>
      </c>
      <c r="K2100" s="9" t="s">
        <v>13284</v>
      </c>
      <c r="L2100" s="9" t="s">
        <v>13284</v>
      </c>
      <c r="M2100" s="9" t="s">
        <v>13284</v>
      </c>
      <c r="N2100" s="9" t="s">
        <v>13284</v>
      </c>
      <c r="O2100" s="9" t="s">
        <v>13284</v>
      </c>
      <c r="P2100" s="9" t="s">
        <v>13284</v>
      </c>
      <c r="Q2100" s="9" t="s">
        <v>13284</v>
      </c>
      <c r="R2100" s="9" t="s">
        <v>13284</v>
      </c>
      <c r="S2100" s="9" t="s">
        <v>13284</v>
      </c>
      <c r="T2100" s="9" t="str">
        <f ca="1">IFERROR(IF(AND(VLOOKUP(A2100, 'Актуальное состояние (из общего'!A:C,3,0) = "", A2100 &lt;&gt; ""), "ПРОВЕРИТЬ", VLOOKUP(A2100, 'Актуальное состояние (из общего'!A:C,3,0)), "")</f>
        <v/>
      </c>
      <c r="U2100" s="9" t="s">
        <v>13284</v>
      </c>
      <c r="V2100" s="9" t="s">
        <v>13284</v>
      </c>
      <c r="W2100" s="12"/>
      <c r="X2100" s="9" t="str">
        <f t="array" ref="X2100">IFERROR(INDEX('Адреса общежитий (скрытый)'!$B$2:$B$9, MATCH(W2100, 'Адреса общежитий (скрытый)'!$A$2:$A$9, 0)), "")</f>
        <v/>
      </c>
      <c r="Y2100" s="18"/>
      <c r="Z2100" s="18"/>
      <c r="AA2100" s="18"/>
      <c r="AB2100" s="18"/>
      <c r="AC2100" s="18"/>
    </row>
    <row r="2101" spans="1:29" ht="32.25" hidden="1" customHeight="1">
      <c r="A2101" s="17"/>
      <c r="B2101" s="9" t="s">
        <v>13284</v>
      </c>
      <c r="C2101" s="9" t="s">
        <v>13284</v>
      </c>
      <c r="D2101" s="9" t="s">
        <v>13284</v>
      </c>
      <c r="E2101" s="9" t="s">
        <v>13284</v>
      </c>
      <c r="F2101" s="9" t="s">
        <v>13284</v>
      </c>
      <c r="G2101" s="9" t="s">
        <v>13284</v>
      </c>
      <c r="H2101" s="9" t="s">
        <v>13284</v>
      </c>
      <c r="I2101" s="9" t="s">
        <v>13284</v>
      </c>
      <c r="J2101" s="9" t="s">
        <v>13284</v>
      </c>
      <c r="K2101" s="9" t="s">
        <v>13284</v>
      </c>
      <c r="L2101" s="9" t="s">
        <v>13284</v>
      </c>
      <c r="M2101" s="9" t="s">
        <v>13284</v>
      </c>
      <c r="N2101" s="9" t="s">
        <v>13284</v>
      </c>
      <c r="O2101" s="9" t="s">
        <v>13284</v>
      </c>
      <c r="P2101" s="9" t="s">
        <v>13284</v>
      </c>
      <c r="Q2101" s="9" t="s">
        <v>13284</v>
      </c>
      <c r="R2101" s="9" t="s">
        <v>13284</v>
      </c>
      <c r="S2101" s="9" t="s">
        <v>13284</v>
      </c>
      <c r="T2101" s="9" t="str">
        <f ca="1">IFERROR(IF(AND(VLOOKUP(A2101, 'Актуальное состояние (из общего'!A:C,3,0) = "", A2101 &lt;&gt; ""), "ПРОВЕРИТЬ", VLOOKUP(A2101, 'Актуальное состояние (из общего'!A:C,3,0)), "")</f>
        <v/>
      </c>
      <c r="U2101" s="9" t="s">
        <v>13284</v>
      </c>
      <c r="V2101" s="9" t="s">
        <v>13284</v>
      </c>
      <c r="W2101" s="12"/>
      <c r="X2101" s="9" t="str">
        <f t="array" ref="X2101">IFERROR(INDEX('Адреса общежитий (скрытый)'!$B$2:$B$9, MATCH(W2101, 'Адреса общежитий (скрытый)'!$A$2:$A$9, 0)), "")</f>
        <v/>
      </c>
      <c r="Y2101" s="18"/>
      <c r="Z2101" s="18"/>
      <c r="AA2101" s="18"/>
      <c r="AB2101" s="18"/>
      <c r="AC2101" s="18"/>
    </row>
    <row r="2102" spans="1:29" ht="32.25" hidden="1" customHeight="1">
      <c r="A2102" s="17"/>
      <c r="B2102" s="9" t="s">
        <v>13284</v>
      </c>
      <c r="C2102" s="9" t="s">
        <v>13284</v>
      </c>
      <c r="D2102" s="9" t="s">
        <v>13284</v>
      </c>
      <c r="E2102" s="9" t="s">
        <v>13284</v>
      </c>
      <c r="F2102" s="9" t="s">
        <v>13284</v>
      </c>
      <c r="G2102" s="9" t="s">
        <v>13284</v>
      </c>
      <c r="H2102" s="9" t="s">
        <v>13284</v>
      </c>
      <c r="I2102" s="9" t="s">
        <v>13284</v>
      </c>
      <c r="J2102" s="9" t="s">
        <v>13284</v>
      </c>
      <c r="K2102" s="9" t="s">
        <v>13284</v>
      </c>
      <c r="L2102" s="9" t="s">
        <v>13284</v>
      </c>
      <c r="M2102" s="9" t="s">
        <v>13284</v>
      </c>
      <c r="N2102" s="9" t="s">
        <v>13284</v>
      </c>
      <c r="O2102" s="9" t="s">
        <v>13284</v>
      </c>
      <c r="P2102" s="9" t="s">
        <v>13284</v>
      </c>
      <c r="Q2102" s="9" t="s">
        <v>13284</v>
      </c>
      <c r="R2102" s="9" t="s">
        <v>13284</v>
      </c>
      <c r="S2102" s="9" t="s">
        <v>13284</v>
      </c>
      <c r="T2102" s="9" t="str">
        <f ca="1">IFERROR(IF(AND(VLOOKUP(A2102, 'Актуальное состояние (из общего'!A:C,3,0) = "", A2102 &lt;&gt; ""), "ПРОВЕРИТЬ", VLOOKUP(A2102, 'Актуальное состояние (из общего'!A:C,3,0)), "")</f>
        <v/>
      </c>
      <c r="U2102" s="9" t="s">
        <v>13284</v>
      </c>
      <c r="V2102" s="9" t="s">
        <v>13284</v>
      </c>
      <c r="W2102" s="12"/>
      <c r="X2102" s="9" t="str">
        <f t="array" ref="X2102">IFERROR(INDEX('Адреса общежитий (скрытый)'!$B$2:$B$9, MATCH(W2102, 'Адреса общежитий (скрытый)'!$A$2:$A$9, 0)), "")</f>
        <v/>
      </c>
      <c r="Y2102" s="18"/>
      <c r="Z2102" s="18"/>
      <c r="AA2102" s="18"/>
      <c r="AB2102" s="18"/>
      <c r="AC2102" s="18"/>
    </row>
    <row r="2103" spans="1:29" ht="32.25" hidden="1" customHeight="1">
      <c r="A2103" s="17"/>
      <c r="B2103" s="9" t="s">
        <v>13284</v>
      </c>
      <c r="C2103" s="9" t="s">
        <v>13284</v>
      </c>
      <c r="D2103" s="9" t="s">
        <v>13284</v>
      </c>
      <c r="E2103" s="9" t="s">
        <v>13284</v>
      </c>
      <c r="F2103" s="9" t="s">
        <v>13284</v>
      </c>
      <c r="G2103" s="9" t="s">
        <v>13284</v>
      </c>
      <c r="H2103" s="9" t="s">
        <v>13284</v>
      </c>
      <c r="I2103" s="9" t="s">
        <v>13284</v>
      </c>
      <c r="J2103" s="9" t="s">
        <v>13284</v>
      </c>
      <c r="K2103" s="9" t="s">
        <v>13284</v>
      </c>
      <c r="L2103" s="9" t="s">
        <v>13284</v>
      </c>
      <c r="M2103" s="9" t="s">
        <v>13284</v>
      </c>
      <c r="N2103" s="9" t="s">
        <v>13284</v>
      </c>
      <c r="O2103" s="9" t="s">
        <v>13284</v>
      </c>
      <c r="P2103" s="9" t="s">
        <v>13284</v>
      </c>
      <c r="Q2103" s="9" t="s">
        <v>13284</v>
      </c>
      <c r="R2103" s="9" t="s">
        <v>13284</v>
      </c>
      <c r="S2103" s="9" t="s">
        <v>13284</v>
      </c>
      <c r="T2103" s="9" t="str">
        <f ca="1">IFERROR(IF(AND(VLOOKUP(A2103, 'Актуальное состояние (из общего'!A:C,3,0) = "", A2103 &lt;&gt; ""), "ПРОВЕРИТЬ", VLOOKUP(A2103, 'Актуальное состояние (из общего'!A:C,3,0)), "")</f>
        <v/>
      </c>
      <c r="U2103" s="9" t="s">
        <v>13284</v>
      </c>
      <c r="V2103" s="9" t="s">
        <v>13284</v>
      </c>
      <c r="W2103" s="12"/>
      <c r="X2103" s="9" t="str">
        <f t="array" ref="X2103">IFERROR(INDEX('Адреса общежитий (скрытый)'!$B$2:$B$9, MATCH(W2103, 'Адреса общежитий (скрытый)'!$A$2:$A$9, 0)), "")</f>
        <v/>
      </c>
      <c r="Y2103" s="18"/>
      <c r="Z2103" s="18"/>
      <c r="AA2103" s="18"/>
      <c r="AB2103" s="18"/>
      <c r="AC2103" s="18"/>
    </row>
    <row r="2104" spans="1:29" ht="32.25" hidden="1" customHeight="1">
      <c r="A2104" s="17"/>
      <c r="B2104" s="9" t="s">
        <v>13284</v>
      </c>
      <c r="C2104" s="9" t="s">
        <v>13284</v>
      </c>
      <c r="D2104" s="9" t="s">
        <v>13284</v>
      </c>
      <c r="E2104" s="9" t="s">
        <v>13284</v>
      </c>
      <c r="F2104" s="9" t="s">
        <v>13284</v>
      </c>
      <c r="G2104" s="9" t="s">
        <v>13284</v>
      </c>
      <c r="H2104" s="9" t="s">
        <v>13284</v>
      </c>
      <c r="I2104" s="9" t="s">
        <v>13284</v>
      </c>
      <c r="J2104" s="9" t="s">
        <v>13284</v>
      </c>
      <c r="K2104" s="9" t="s">
        <v>13284</v>
      </c>
      <c r="L2104" s="9" t="s">
        <v>13284</v>
      </c>
      <c r="M2104" s="9" t="s">
        <v>13284</v>
      </c>
      <c r="N2104" s="9" t="s">
        <v>13284</v>
      </c>
      <c r="O2104" s="9" t="s">
        <v>13284</v>
      </c>
      <c r="P2104" s="9" t="s">
        <v>13284</v>
      </c>
      <c r="Q2104" s="9" t="s">
        <v>13284</v>
      </c>
      <c r="R2104" s="9" t="s">
        <v>13284</v>
      </c>
      <c r="S2104" s="9" t="s">
        <v>13284</v>
      </c>
      <c r="T2104" s="9" t="str">
        <f ca="1">IFERROR(IF(AND(VLOOKUP(A2104, 'Актуальное состояние (из общего'!A:C,3,0) = "", A2104 &lt;&gt; ""), "ПРОВЕРИТЬ", VLOOKUP(A2104, 'Актуальное состояние (из общего'!A:C,3,0)), "")</f>
        <v/>
      </c>
      <c r="U2104" s="9" t="s">
        <v>13284</v>
      </c>
      <c r="V2104" s="9" t="s">
        <v>13284</v>
      </c>
      <c r="W2104" s="12"/>
      <c r="X2104" s="9" t="str">
        <f t="array" ref="X2104">IFERROR(INDEX('Адреса общежитий (скрытый)'!$B$2:$B$9, MATCH(W2104, 'Адреса общежитий (скрытый)'!$A$2:$A$9, 0)), "")</f>
        <v/>
      </c>
      <c r="Y2104" s="18"/>
      <c r="Z2104" s="18"/>
      <c r="AA2104" s="18"/>
      <c r="AB2104" s="18"/>
      <c r="AC2104" s="18"/>
    </row>
    <row r="2105" spans="1:29" ht="32.25" hidden="1" customHeight="1">
      <c r="A2105" s="17"/>
      <c r="B2105" s="9" t="s">
        <v>13284</v>
      </c>
      <c r="C2105" s="9" t="s">
        <v>13284</v>
      </c>
      <c r="D2105" s="9" t="s">
        <v>13284</v>
      </c>
      <c r="E2105" s="9" t="s">
        <v>13284</v>
      </c>
      <c r="F2105" s="9" t="s">
        <v>13284</v>
      </c>
      <c r="G2105" s="9" t="s">
        <v>13284</v>
      </c>
      <c r="H2105" s="9" t="s">
        <v>13284</v>
      </c>
      <c r="I2105" s="9" t="s">
        <v>13284</v>
      </c>
      <c r="J2105" s="9" t="s">
        <v>13284</v>
      </c>
      <c r="K2105" s="9" t="s">
        <v>13284</v>
      </c>
      <c r="L2105" s="9" t="s">
        <v>13284</v>
      </c>
      <c r="M2105" s="9" t="s">
        <v>13284</v>
      </c>
      <c r="N2105" s="9" t="s">
        <v>13284</v>
      </c>
      <c r="O2105" s="9" t="s">
        <v>13284</v>
      </c>
      <c r="P2105" s="9" t="s">
        <v>13284</v>
      </c>
      <c r="Q2105" s="9" t="s">
        <v>13284</v>
      </c>
      <c r="R2105" s="9" t="s">
        <v>13284</v>
      </c>
      <c r="S2105" s="9" t="s">
        <v>13284</v>
      </c>
      <c r="T2105" s="9" t="str">
        <f ca="1">IFERROR(IF(AND(VLOOKUP(A2105, 'Актуальное состояние (из общего'!A:C,3,0) = "", A2105 &lt;&gt; ""), "ПРОВЕРИТЬ", VLOOKUP(A2105, 'Актуальное состояние (из общего'!A:C,3,0)), "")</f>
        <v/>
      </c>
      <c r="U2105" s="9" t="s">
        <v>13284</v>
      </c>
      <c r="V2105" s="9" t="s">
        <v>13284</v>
      </c>
      <c r="W2105" s="12"/>
      <c r="X2105" s="9" t="str">
        <f t="array" ref="X2105">IFERROR(INDEX('Адреса общежитий (скрытый)'!$B$2:$B$9, MATCH(W2105, 'Адреса общежитий (скрытый)'!$A$2:$A$9, 0)), "")</f>
        <v/>
      </c>
      <c r="Y2105" s="18"/>
      <c r="Z2105" s="18"/>
      <c r="AA2105" s="18"/>
      <c r="AB2105" s="18"/>
      <c r="AC2105" s="18"/>
    </row>
    <row r="2106" spans="1:29" ht="32.25" hidden="1" customHeight="1">
      <c r="A2106" s="17"/>
      <c r="B2106" s="9" t="s">
        <v>13284</v>
      </c>
      <c r="C2106" s="9" t="s">
        <v>13284</v>
      </c>
      <c r="D2106" s="9" t="s">
        <v>13284</v>
      </c>
      <c r="E2106" s="9" t="s">
        <v>13284</v>
      </c>
      <c r="F2106" s="9" t="s">
        <v>13284</v>
      </c>
      <c r="G2106" s="9" t="s">
        <v>13284</v>
      </c>
      <c r="H2106" s="9" t="s">
        <v>13284</v>
      </c>
      <c r="I2106" s="9" t="s">
        <v>13284</v>
      </c>
      <c r="J2106" s="9" t="s">
        <v>13284</v>
      </c>
      <c r="K2106" s="9" t="s">
        <v>13284</v>
      </c>
      <c r="L2106" s="9" t="s">
        <v>13284</v>
      </c>
      <c r="M2106" s="9" t="s">
        <v>13284</v>
      </c>
      <c r="N2106" s="9" t="s">
        <v>13284</v>
      </c>
      <c r="O2106" s="9" t="s">
        <v>13284</v>
      </c>
      <c r="P2106" s="9" t="s">
        <v>13284</v>
      </c>
      <c r="Q2106" s="9" t="s">
        <v>13284</v>
      </c>
      <c r="R2106" s="9" t="s">
        <v>13284</v>
      </c>
      <c r="S2106" s="9" t="s">
        <v>13284</v>
      </c>
      <c r="T2106" s="9" t="str">
        <f ca="1">IFERROR(IF(AND(VLOOKUP(A2106, 'Актуальное состояние (из общего'!A:C,3,0) = "", A2106 &lt;&gt; ""), "ПРОВЕРИТЬ", VLOOKUP(A2106, 'Актуальное состояние (из общего'!A:C,3,0)), "")</f>
        <v/>
      </c>
      <c r="U2106" s="9" t="s">
        <v>13284</v>
      </c>
      <c r="V2106" s="9" t="s">
        <v>13284</v>
      </c>
      <c r="W2106" s="12"/>
      <c r="X2106" s="9" t="str">
        <f t="array" ref="X2106">IFERROR(INDEX('Адреса общежитий (скрытый)'!$B$2:$B$9, MATCH(W2106, 'Адреса общежитий (скрытый)'!$A$2:$A$9, 0)), "")</f>
        <v/>
      </c>
      <c r="Y2106" s="18"/>
      <c r="Z2106" s="18"/>
      <c r="AA2106" s="18"/>
      <c r="AB2106" s="18"/>
      <c r="AC2106" s="18"/>
    </row>
    <row r="2107" spans="1:29" ht="32.25" hidden="1" customHeight="1">
      <c r="A2107" s="17"/>
      <c r="B2107" s="9" t="s">
        <v>13284</v>
      </c>
      <c r="C2107" s="9" t="s">
        <v>13284</v>
      </c>
      <c r="D2107" s="9" t="s">
        <v>13284</v>
      </c>
      <c r="E2107" s="9" t="s">
        <v>13284</v>
      </c>
      <c r="F2107" s="9" t="s">
        <v>13284</v>
      </c>
      <c r="G2107" s="9" t="s">
        <v>13284</v>
      </c>
      <c r="H2107" s="9" t="s">
        <v>13284</v>
      </c>
      <c r="I2107" s="9" t="s">
        <v>13284</v>
      </c>
      <c r="J2107" s="9" t="s">
        <v>13284</v>
      </c>
      <c r="K2107" s="9" t="s">
        <v>13284</v>
      </c>
      <c r="L2107" s="9" t="s">
        <v>13284</v>
      </c>
      <c r="M2107" s="9" t="s">
        <v>13284</v>
      </c>
      <c r="N2107" s="9" t="s">
        <v>13284</v>
      </c>
      <c r="O2107" s="9" t="s">
        <v>13284</v>
      </c>
      <c r="P2107" s="9" t="s">
        <v>13284</v>
      </c>
      <c r="Q2107" s="9" t="s">
        <v>13284</v>
      </c>
      <c r="R2107" s="9" t="s">
        <v>13284</v>
      </c>
      <c r="S2107" s="9" t="s">
        <v>13284</v>
      </c>
      <c r="T2107" s="9" t="str">
        <f ca="1">IFERROR(IF(AND(VLOOKUP(A2107, 'Актуальное состояние (из общего'!A:C,3,0) = "", A2107 &lt;&gt; ""), "ПРОВЕРИТЬ", VLOOKUP(A2107, 'Актуальное состояние (из общего'!A:C,3,0)), "")</f>
        <v/>
      </c>
      <c r="U2107" s="9" t="s">
        <v>13284</v>
      </c>
      <c r="V2107" s="9" t="s">
        <v>13284</v>
      </c>
      <c r="W2107" s="12"/>
      <c r="X2107" s="9" t="str">
        <f t="array" ref="X2107">IFERROR(INDEX('Адреса общежитий (скрытый)'!$B$2:$B$9, MATCH(W2107, 'Адреса общежитий (скрытый)'!$A$2:$A$9, 0)), "")</f>
        <v/>
      </c>
      <c r="Y2107" s="18"/>
      <c r="Z2107" s="18"/>
      <c r="AA2107" s="18"/>
      <c r="AB2107" s="18"/>
      <c r="AC2107" s="18"/>
    </row>
    <row r="2108" spans="1:29" ht="32.25" hidden="1" customHeight="1">
      <c r="A2108" s="17"/>
      <c r="B2108" s="9" t="s">
        <v>13284</v>
      </c>
      <c r="C2108" s="9" t="s">
        <v>13284</v>
      </c>
      <c r="D2108" s="9" t="s">
        <v>13284</v>
      </c>
      <c r="E2108" s="9" t="s">
        <v>13284</v>
      </c>
      <c r="F2108" s="9" t="s">
        <v>13284</v>
      </c>
      <c r="G2108" s="9" t="s">
        <v>13284</v>
      </c>
      <c r="H2108" s="9" t="s">
        <v>13284</v>
      </c>
      <c r="I2108" s="9" t="s">
        <v>13284</v>
      </c>
      <c r="J2108" s="9" t="s">
        <v>13284</v>
      </c>
      <c r="K2108" s="9" t="s">
        <v>13284</v>
      </c>
      <c r="L2108" s="9" t="s">
        <v>13284</v>
      </c>
      <c r="M2108" s="9" t="s">
        <v>13284</v>
      </c>
      <c r="N2108" s="9" t="s">
        <v>13284</v>
      </c>
      <c r="O2108" s="9" t="s">
        <v>13284</v>
      </c>
      <c r="P2108" s="9" t="s">
        <v>13284</v>
      </c>
      <c r="Q2108" s="9" t="s">
        <v>13284</v>
      </c>
      <c r="R2108" s="9" t="s">
        <v>13284</v>
      </c>
      <c r="S2108" s="9" t="s">
        <v>13284</v>
      </c>
      <c r="T2108" s="9" t="str">
        <f ca="1">IFERROR(IF(AND(VLOOKUP(A2108, 'Актуальное состояние (из общего'!A:C,3,0) = "", A2108 &lt;&gt; ""), "ПРОВЕРИТЬ", VLOOKUP(A2108, 'Актуальное состояние (из общего'!A:C,3,0)), "")</f>
        <v/>
      </c>
      <c r="U2108" s="9" t="s">
        <v>13284</v>
      </c>
      <c r="V2108" s="9" t="s">
        <v>13284</v>
      </c>
      <c r="W2108" s="12"/>
      <c r="X2108" s="9" t="str">
        <f t="array" ref="X2108">IFERROR(INDEX('Адреса общежитий (скрытый)'!$B$2:$B$9, MATCH(W2108, 'Адреса общежитий (скрытый)'!$A$2:$A$9, 0)), "")</f>
        <v/>
      </c>
      <c r="Y2108" s="18"/>
      <c r="Z2108" s="18"/>
      <c r="AA2108" s="18"/>
      <c r="AB2108" s="18"/>
      <c r="AC2108" s="18"/>
    </row>
    <row r="2109" spans="1:29" ht="32.25" hidden="1" customHeight="1">
      <c r="A2109" s="17"/>
      <c r="B2109" s="9" t="s">
        <v>13284</v>
      </c>
      <c r="C2109" s="9" t="s">
        <v>13284</v>
      </c>
      <c r="D2109" s="9" t="s">
        <v>13284</v>
      </c>
      <c r="E2109" s="9" t="s">
        <v>13284</v>
      </c>
      <c r="F2109" s="9" t="s">
        <v>13284</v>
      </c>
      <c r="G2109" s="9" t="s">
        <v>13284</v>
      </c>
      <c r="H2109" s="9" t="s">
        <v>13284</v>
      </c>
      <c r="I2109" s="9" t="s">
        <v>13284</v>
      </c>
      <c r="J2109" s="9" t="s">
        <v>13284</v>
      </c>
      <c r="K2109" s="9" t="s">
        <v>13284</v>
      </c>
      <c r="L2109" s="9" t="s">
        <v>13284</v>
      </c>
      <c r="M2109" s="9" t="s">
        <v>13284</v>
      </c>
      <c r="N2109" s="9" t="s">
        <v>13284</v>
      </c>
      <c r="O2109" s="9" t="s">
        <v>13284</v>
      </c>
      <c r="P2109" s="9" t="s">
        <v>13284</v>
      </c>
      <c r="Q2109" s="9" t="s">
        <v>13284</v>
      </c>
      <c r="R2109" s="9" t="s">
        <v>13284</v>
      </c>
      <c r="S2109" s="9" t="s">
        <v>13284</v>
      </c>
      <c r="T2109" s="9" t="str">
        <f ca="1">IFERROR(IF(AND(VLOOKUP(A2109, 'Актуальное состояние (из общего'!A:C,3,0) = "", A2109 &lt;&gt; ""), "ПРОВЕРИТЬ", VLOOKUP(A2109, 'Актуальное состояние (из общего'!A:C,3,0)), "")</f>
        <v/>
      </c>
      <c r="U2109" s="9" t="s">
        <v>13284</v>
      </c>
      <c r="V2109" s="9" t="s">
        <v>13284</v>
      </c>
      <c r="W2109" s="12"/>
      <c r="X2109" s="9" t="str">
        <f t="array" ref="X2109">IFERROR(INDEX('Адреса общежитий (скрытый)'!$B$2:$B$9, MATCH(W2109, 'Адреса общежитий (скрытый)'!$A$2:$A$9, 0)), "")</f>
        <v/>
      </c>
      <c r="Y2109" s="18"/>
      <c r="Z2109" s="18"/>
      <c r="AA2109" s="18"/>
      <c r="AB2109" s="18"/>
      <c r="AC2109" s="18"/>
    </row>
    <row r="2110" spans="1:29" ht="32.25" hidden="1" customHeight="1">
      <c r="A2110" s="17"/>
      <c r="B2110" s="9" t="s">
        <v>13284</v>
      </c>
      <c r="C2110" s="9" t="s">
        <v>13284</v>
      </c>
      <c r="D2110" s="9" t="s">
        <v>13284</v>
      </c>
      <c r="E2110" s="9" t="s">
        <v>13284</v>
      </c>
      <c r="F2110" s="9" t="s">
        <v>13284</v>
      </c>
      <c r="G2110" s="9" t="s">
        <v>13284</v>
      </c>
      <c r="H2110" s="9" t="s">
        <v>13284</v>
      </c>
      <c r="I2110" s="9" t="s">
        <v>13284</v>
      </c>
      <c r="J2110" s="9" t="s">
        <v>13284</v>
      </c>
      <c r="K2110" s="9" t="s">
        <v>13284</v>
      </c>
      <c r="L2110" s="9" t="s">
        <v>13284</v>
      </c>
      <c r="M2110" s="9" t="s">
        <v>13284</v>
      </c>
      <c r="N2110" s="9" t="s">
        <v>13284</v>
      </c>
      <c r="O2110" s="9" t="s">
        <v>13284</v>
      </c>
      <c r="P2110" s="9" t="s">
        <v>13284</v>
      </c>
      <c r="Q2110" s="9" t="s">
        <v>13284</v>
      </c>
      <c r="R2110" s="9" t="s">
        <v>13284</v>
      </c>
      <c r="S2110" s="9" t="s">
        <v>13284</v>
      </c>
      <c r="T2110" s="9" t="str">
        <f ca="1">IFERROR(IF(AND(VLOOKUP(A2110, 'Актуальное состояние (из общего'!A:C,3,0) = "", A2110 &lt;&gt; ""), "ПРОВЕРИТЬ", VLOOKUP(A2110, 'Актуальное состояние (из общего'!A:C,3,0)), "")</f>
        <v/>
      </c>
      <c r="U2110" s="9" t="s">
        <v>13284</v>
      </c>
      <c r="V2110" s="9" t="s">
        <v>13284</v>
      </c>
      <c r="W2110" s="12"/>
      <c r="X2110" s="9" t="str">
        <f t="array" ref="X2110">IFERROR(INDEX('Адреса общежитий (скрытый)'!$B$2:$B$9, MATCH(W2110, 'Адреса общежитий (скрытый)'!$A$2:$A$9, 0)), "")</f>
        <v/>
      </c>
      <c r="Y2110" s="18"/>
      <c r="Z2110" s="18"/>
      <c r="AA2110" s="18"/>
      <c r="AB2110" s="18"/>
      <c r="AC2110" s="18"/>
    </row>
    <row r="2111" spans="1:29" ht="32.25" hidden="1" customHeight="1">
      <c r="A2111" s="17"/>
      <c r="B2111" s="9" t="s">
        <v>13284</v>
      </c>
      <c r="C2111" s="9" t="s">
        <v>13284</v>
      </c>
      <c r="D2111" s="9" t="s">
        <v>13284</v>
      </c>
      <c r="E2111" s="9" t="s">
        <v>13284</v>
      </c>
      <c r="F2111" s="9" t="s">
        <v>13284</v>
      </c>
      <c r="G2111" s="9" t="s">
        <v>13284</v>
      </c>
      <c r="H2111" s="9" t="s">
        <v>13284</v>
      </c>
      <c r="I2111" s="9" t="s">
        <v>13284</v>
      </c>
      <c r="J2111" s="9" t="s">
        <v>13284</v>
      </c>
      <c r="K2111" s="9" t="s">
        <v>13284</v>
      </c>
      <c r="L2111" s="9" t="s">
        <v>13284</v>
      </c>
      <c r="M2111" s="9" t="s">
        <v>13284</v>
      </c>
      <c r="N2111" s="9" t="s">
        <v>13284</v>
      </c>
      <c r="O2111" s="9" t="s">
        <v>13284</v>
      </c>
      <c r="P2111" s="9" t="s">
        <v>13284</v>
      </c>
      <c r="Q2111" s="9" t="s">
        <v>13284</v>
      </c>
      <c r="R2111" s="9" t="s">
        <v>13284</v>
      </c>
      <c r="S2111" s="9" t="s">
        <v>13284</v>
      </c>
      <c r="T2111" s="9" t="str">
        <f ca="1">IFERROR(IF(AND(VLOOKUP(A2111, 'Актуальное состояние (из общего'!A:C,3,0) = "", A2111 &lt;&gt; ""), "ПРОВЕРИТЬ", VLOOKUP(A2111, 'Актуальное состояние (из общего'!A:C,3,0)), "")</f>
        <v/>
      </c>
      <c r="U2111" s="9" t="s">
        <v>13284</v>
      </c>
      <c r="V2111" s="9" t="s">
        <v>13284</v>
      </c>
      <c r="W2111" s="12"/>
      <c r="X2111" s="9" t="str">
        <f t="array" ref="X2111">IFERROR(INDEX('Адреса общежитий (скрытый)'!$B$2:$B$9, MATCH(W2111, 'Адреса общежитий (скрытый)'!$A$2:$A$9, 0)), "")</f>
        <v/>
      </c>
      <c r="Y2111" s="18"/>
      <c r="Z2111" s="18"/>
      <c r="AA2111" s="18"/>
      <c r="AB2111" s="18"/>
      <c r="AC2111" s="18"/>
    </row>
    <row r="2112" spans="1:29" ht="32.25" hidden="1" customHeight="1">
      <c r="A2112" s="17"/>
      <c r="B2112" s="9" t="s">
        <v>13284</v>
      </c>
      <c r="C2112" s="9" t="s">
        <v>13284</v>
      </c>
      <c r="D2112" s="9" t="s">
        <v>13284</v>
      </c>
      <c r="E2112" s="9" t="s">
        <v>13284</v>
      </c>
      <c r="F2112" s="9" t="s">
        <v>13284</v>
      </c>
      <c r="G2112" s="9" t="s">
        <v>13284</v>
      </c>
      <c r="H2112" s="9" t="s">
        <v>13284</v>
      </c>
      <c r="I2112" s="9" t="s">
        <v>13284</v>
      </c>
      <c r="J2112" s="9" t="s">
        <v>13284</v>
      </c>
      <c r="K2112" s="9" t="s">
        <v>13284</v>
      </c>
      <c r="L2112" s="9" t="s">
        <v>13284</v>
      </c>
      <c r="M2112" s="9" t="s">
        <v>13284</v>
      </c>
      <c r="N2112" s="9" t="s">
        <v>13284</v>
      </c>
      <c r="O2112" s="9" t="s">
        <v>13284</v>
      </c>
      <c r="P2112" s="9" t="s">
        <v>13284</v>
      </c>
      <c r="Q2112" s="9" t="s">
        <v>13284</v>
      </c>
      <c r="R2112" s="9" t="s">
        <v>13284</v>
      </c>
      <c r="S2112" s="9" t="s">
        <v>13284</v>
      </c>
      <c r="T2112" s="9" t="str">
        <f ca="1">IFERROR(IF(AND(VLOOKUP(A2112, 'Актуальное состояние (из общего'!A:C,3,0) = "", A2112 &lt;&gt; ""), "ПРОВЕРИТЬ", VLOOKUP(A2112, 'Актуальное состояние (из общего'!A:C,3,0)), "")</f>
        <v/>
      </c>
      <c r="U2112" s="9" t="s">
        <v>13284</v>
      </c>
      <c r="V2112" s="9" t="s">
        <v>13284</v>
      </c>
      <c r="W2112" s="12"/>
      <c r="X2112" s="9" t="str">
        <f t="array" ref="X2112">IFERROR(INDEX('Адреса общежитий (скрытый)'!$B$2:$B$9, MATCH(W2112, 'Адреса общежитий (скрытый)'!$A$2:$A$9, 0)), "")</f>
        <v/>
      </c>
      <c r="Y2112" s="18"/>
      <c r="Z2112" s="18"/>
      <c r="AA2112" s="18"/>
      <c r="AB2112" s="18"/>
      <c r="AC2112" s="18"/>
    </row>
    <row r="2113" spans="1:29" ht="32.25" hidden="1" customHeight="1">
      <c r="A2113" s="17"/>
      <c r="B2113" s="9" t="s">
        <v>13284</v>
      </c>
      <c r="C2113" s="9" t="s">
        <v>13284</v>
      </c>
      <c r="D2113" s="9" t="s">
        <v>13284</v>
      </c>
      <c r="E2113" s="9" t="s">
        <v>13284</v>
      </c>
      <c r="F2113" s="9" t="s">
        <v>13284</v>
      </c>
      <c r="G2113" s="9" t="s">
        <v>13284</v>
      </c>
      <c r="H2113" s="9" t="s">
        <v>13284</v>
      </c>
      <c r="I2113" s="9" t="s">
        <v>13284</v>
      </c>
      <c r="J2113" s="9" t="s">
        <v>13284</v>
      </c>
      <c r="K2113" s="9" t="s">
        <v>13284</v>
      </c>
      <c r="L2113" s="9" t="s">
        <v>13284</v>
      </c>
      <c r="M2113" s="9" t="s">
        <v>13284</v>
      </c>
      <c r="N2113" s="9" t="s">
        <v>13284</v>
      </c>
      <c r="O2113" s="9" t="s">
        <v>13284</v>
      </c>
      <c r="P2113" s="9" t="s">
        <v>13284</v>
      </c>
      <c r="Q2113" s="9" t="s">
        <v>13284</v>
      </c>
      <c r="R2113" s="9" t="s">
        <v>13284</v>
      </c>
      <c r="S2113" s="9" t="s">
        <v>13284</v>
      </c>
      <c r="T2113" s="9" t="str">
        <f ca="1">IFERROR(IF(AND(VLOOKUP(A2113, 'Актуальное состояние (из общего'!A:C,3,0) = "", A2113 &lt;&gt; ""), "ПРОВЕРИТЬ", VLOOKUP(A2113, 'Актуальное состояние (из общего'!A:C,3,0)), "")</f>
        <v/>
      </c>
      <c r="U2113" s="9" t="s">
        <v>13284</v>
      </c>
      <c r="V2113" s="9" t="s">
        <v>13284</v>
      </c>
      <c r="W2113" s="12"/>
      <c r="X2113" s="9" t="str">
        <f t="array" ref="X2113">IFERROR(INDEX('Адреса общежитий (скрытый)'!$B$2:$B$9, MATCH(W2113, 'Адреса общежитий (скрытый)'!$A$2:$A$9, 0)), "")</f>
        <v/>
      </c>
      <c r="Y2113" s="18"/>
      <c r="Z2113" s="18"/>
      <c r="AA2113" s="18"/>
      <c r="AB2113" s="18"/>
      <c r="AC2113" s="18"/>
    </row>
    <row r="2114" spans="1:29" ht="32.25" hidden="1" customHeight="1">
      <c r="A2114" s="17"/>
      <c r="B2114" s="9" t="s">
        <v>13284</v>
      </c>
      <c r="C2114" s="9" t="s">
        <v>13284</v>
      </c>
      <c r="D2114" s="9" t="s">
        <v>13284</v>
      </c>
      <c r="E2114" s="9" t="s">
        <v>13284</v>
      </c>
      <c r="F2114" s="9" t="s">
        <v>13284</v>
      </c>
      <c r="G2114" s="9" t="s">
        <v>13284</v>
      </c>
      <c r="H2114" s="9" t="s">
        <v>13284</v>
      </c>
      <c r="I2114" s="9" t="s">
        <v>13284</v>
      </c>
      <c r="J2114" s="9" t="s">
        <v>13284</v>
      </c>
      <c r="K2114" s="9" t="s">
        <v>13284</v>
      </c>
      <c r="L2114" s="9" t="s">
        <v>13284</v>
      </c>
      <c r="M2114" s="9" t="s">
        <v>13284</v>
      </c>
      <c r="N2114" s="9" t="s">
        <v>13284</v>
      </c>
      <c r="O2114" s="9" t="s">
        <v>13284</v>
      </c>
      <c r="P2114" s="9" t="s">
        <v>13284</v>
      </c>
      <c r="Q2114" s="9" t="s">
        <v>13284</v>
      </c>
      <c r="R2114" s="9" t="s">
        <v>13284</v>
      </c>
      <c r="S2114" s="9" t="s">
        <v>13284</v>
      </c>
      <c r="T2114" s="9" t="str">
        <f ca="1">IFERROR(IF(AND(VLOOKUP(A2114, 'Актуальное состояние (из общего'!A:C,3,0) = "", A2114 &lt;&gt; ""), "ПРОВЕРИТЬ", VLOOKUP(A2114, 'Актуальное состояние (из общего'!A:C,3,0)), "")</f>
        <v/>
      </c>
      <c r="U2114" s="9" t="s">
        <v>13284</v>
      </c>
      <c r="V2114" s="9" t="s">
        <v>13284</v>
      </c>
      <c r="W2114" s="12"/>
      <c r="X2114" s="9" t="str">
        <f t="array" ref="X2114">IFERROR(INDEX('Адреса общежитий (скрытый)'!$B$2:$B$9, MATCH(W2114, 'Адреса общежитий (скрытый)'!$A$2:$A$9, 0)), "")</f>
        <v/>
      </c>
      <c r="Y2114" s="18"/>
      <c r="Z2114" s="18"/>
      <c r="AA2114" s="18"/>
      <c r="AB2114" s="18"/>
      <c r="AC2114" s="18"/>
    </row>
    <row r="2115" spans="1:29" ht="32.25" hidden="1" customHeight="1">
      <c r="A2115" s="17"/>
      <c r="B2115" s="9" t="s">
        <v>13284</v>
      </c>
      <c r="C2115" s="9" t="s">
        <v>13284</v>
      </c>
      <c r="D2115" s="9" t="s">
        <v>13284</v>
      </c>
      <c r="E2115" s="9" t="s">
        <v>13284</v>
      </c>
      <c r="F2115" s="9" t="s">
        <v>13284</v>
      </c>
      <c r="G2115" s="9" t="s">
        <v>13284</v>
      </c>
      <c r="H2115" s="9" t="s">
        <v>13284</v>
      </c>
      <c r="I2115" s="9" t="s">
        <v>13284</v>
      </c>
      <c r="J2115" s="9" t="s">
        <v>13284</v>
      </c>
      <c r="K2115" s="9" t="s">
        <v>13284</v>
      </c>
      <c r="L2115" s="9" t="s">
        <v>13284</v>
      </c>
      <c r="M2115" s="9" t="s">
        <v>13284</v>
      </c>
      <c r="N2115" s="9" t="s">
        <v>13284</v>
      </c>
      <c r="O2115" s="9" t="s">
        <v>13284</v>
      </c>
      <c r="P2115" s="9" t="s">
        <v>13284</v>
      </c>
      <c r="Q2115" s="9" t="s">
        <v>13284</v>
      </c>
      <c r="R2115" s="9" t="s">
        <v>13284</v>
      </c>
      <c r="S2115" s="9" t="s">
        <v>13284</v>
      </c>
      <c r="T2115" s="9" t="str">
        <f ca="1">IFERROR(IF(AND(VLOOKUP(A2115, 'Актуальное состояние (из общего'!A:C,3,0) = "", A2115 &lt;&gt; ""), "ПРОВЕРИТЬ", VLOOKUP(A2115, 'Актуальное состояние (из общего'!A:C,3,0)), "")</f>
        <v/>
      </c>
      <c r="U2115" s="9" t="s">
        <v>13284</v>
      </c>
      <c r="V2115" s="9" t="s">
        <v>13284</v>
      </c>
      <c r="W2115" s="12"/>
      <c r="X2115" s="9" t="str">
        <f t="array" ref="X2115">IFERROR(INDEX('Адреса общежитий (скрытый)'!$B$2:$B$9, MATCH(W2115, 'Адреса общежитий (скрытый)'!$A$2:$A$9, 0)), "")</f>
        <v/>
      </c>
      <c r="Y2115" s="18"/>
      <c r="Z2115" s="18"/>
      <c r="AA2115" s="18"/>
      <c r="AB2115" s="18"/>
      <c r="AC2115" s="18"/>
    </row>
    <row r="2116" spans="1:29" ht="32.25" hidden="1" customHeight="1">
      <c r="A2116" s="17"/>
      <c r="B2116" s="9" t="s">
        <v>13284</v>
      </c>
      <c r="C2116" s="9" t="s">
        <v>13284</v>
      </c>
      <c r="D2116" s="9" t="s">
        <v>13284</v>
      </c>
      <c r="E2116" s="9" t="s">
        <v>13284</v>
      </c>
      <c r="F2116" s="9" t="s">
        <v>13284</v>
      </c>
      <c r="G2116" s="9" t="s">
        <v>13284</v>
      </c>
      <c r="H2116" s="9" t="s">
        <v>13284</v>
      </c>
      <c r="I2116" s="9" t="s">
        <v>13284</v>
      </c>
      <c r="J2116" s="9" t="s">
        <v>13284</v>
      </c>
      <c r="K2116" s="9" t="s">
        <v>13284</v>
      </c>
      <c r="L2116" s="9" t="s">
        <v>13284</v>
      </c>
      <c r="M2116" s="9" t="s">
        <v>13284</v>
      </c>
      <c r="N2116" s="9" t="s">
        <v>13284</v>
      </c>
      <c r="O2116" s="9" t="s">
        <v>13284</v>
      </c>
      <c r="P2116" s="9" t="s">
        <v>13284</v>
      </c>
      <c r="Q2116" s="9" t="s">
        <v>13284</v>
      </c>
      <c r="R2116" s="9" t="s">
        <v>13284</v>
      </c>
      <c r="S2116" s="9" t="s">
        <v>13284</v>
      </c>
      <c r="T2116" s="9" t="str">
        <f ca="1">IFERROR(IF(AND(VLOOKUP(A2116, 'Актуальное состояние (из общего'!A:C,3,0) = "", A2116 &lt;&gt; ""), "ПРОВЕРИТЬ", VLOOKUP(A2116, 'Актуальное состояние (из общего'!A:C,3,0)), "")</f>
        <v/>
      </c>
      <c r="U2116" s="9" t="s">
        <v>13284</v>
      </c>
      <c r="V2116" s="9" t="s">
        <v>13284</v>
      </c>
      <c r="W2116" s="12"/>
      <c r="X2116" s="9" t="str">
        <f t="array" ref="X2116">IFERROR(INDEX('Адреса общежитий (скрытый)'!$B$2:$B$9, MATCH(W2116, 'Адреса общежитий (скрытый)'!$A$2:$A$9, 0)), "")</f>
        <v/>
      </c>
      <c r="Y2116" s="18"/>
      <c r="Z2116" s="18"/>
      <c r="AA2116" s="18"/>
      <c r="AB2116" s="18"/>
      <c r="AC2116" s="18"/>
    </row>
    <row r="2117" spans="1:29" ht="32.25" hidden="1" customHeight="1">
      <c r="A2117" s="17"/>
      <c r="B2117" s="9" t="s">
        <v>13284</v>
      </c>
      <c r="C2117" s="9" t="s">
        <v>13284</v>
      </c>
      <c r="D2117" s="9" t="s">
        <v>13284</v>
      </c>
      <c r="E2117" s="9" t="s">
        <v>13284</v>
      </c>
      <c r="F2117" s="9" t="s">
        <v>13284</v>
      </c>
      <c r="G2117" s="9" t="s">
        <v>13284</v>
      </c>
      <c r="H2117" s="9" t="s">
        <v>13284</v>
      </c>
      <c r="I2117" s="9" t="s">
        <v>13284</v>
      </c>
      <c r="J2117" s="9" t="s">
        <v>13284</v>
      </c>
      <c r="K2117" s="9" t="s">
        <v>13284</v>
      </c>
      <c r="L2117" s="9" t="s">
        <v>13284</v>
      </c>
      <c r="M2117" s="9" t="s">
        <v>13284</v>
      </c>
      <c r="N2117" s="9" t="s">
        <v>13284</v>
      </c>
      <c r="O2117" s="9" t="s">
        <v>13284</v>
      </c>
      <c r="P2117" s="9" t="s">
        <v>13284</v>
      </c>
      <c r="Q2117" s="9" t="s">
        <v>13284</v>
      </c>
      <c r="R2117" s="9" t="s">
        <v>13284</v>
      </c>
      <c r="S2117" s="9" t="s">
        <v>13284</v>
      </c>
      <c r="T2117" s="9" t="str">
        <f ca="1">IFERROR(IF(AND(VLOOKUP(A2117, 'Актуальное состояние (из общего'!A:C,3,0) = "", A2117 &lt;&gt; ""), "ПРОВЕРИТЬ", VLOOKUP(A2117, 'Актуальное состояние (из общего'!A:C,3,0)), "")</f>
        <v/>
      </c>
      <c r="U2117" s="9" t="s">
        <v>13284</v>
      </c>
      <c r="V2117" s="9" t="s">
        <v>13284</v>
      </c>
      <c r="W2117" s="12"/>
      <c r="X2117" s="9" t="str">
        <f t="array" ref="X2117">IFERROR(INDEX('Адреса общежитий (скрытый)'!$B$2:$B$9, MATCH(W2117, 'Адреса общежитий (скрытый)'!$A$2:$A$9, 0)), "")</f>
        <v/>
      </c>
      <c r="Y2117" s="18"/>
      <c r="Z2117" s="18"/>
      <c r="AA2117" s="18"/>
      <c r="AB2117" s="18"/>
      <c r="AC2117" s="18"/>
    </row>
    <row r="2118" spans="1:29" ht="32.25" hidden="1" customHeight="1">
      <c r="A2118" s="17"/>
      <c r="B2118" s="9" t="s">
        <v>13284</v>
      </c>
      <c r="C2118" s="9" t="s">
        <v>13284</v>
      </c>
      <c r="D2118" s="9" t="s">
        <v>13284</v>
      </c>
      <c r="E2118" s="9" t="s">
        <v>13284</v>
      </c>
      <c r="F2118" s="9" t="s">
        <v>13284</v>
      </c>
      <c r="G2118" s="9" t="s">
        <v>13284</v>
      </c>
      <c r="H2118" s="9" t="s">
        <v>13284</v>
      </c>
      <c r="I2118" s="9" t="s">
        <v>13284</v>
      </c>
      <c r="J2118" s="9" t="s">
        <v>13284</v>
      </c>
      <c r="K2118" s="9" t="s">
        <v>13284</v>
      </c>
      <c r="L2118" s="9" t="s">
        <v>13284</v>
      </c>
      <c r="M2118" s="9" t="s">
        <v>13284</v>
      </c>
      <c r="N2118" s="9" t="s">
        <v>13284</v>
      </c>
      <c r="O2118" s="9" t="s">
        <v>13284</v>
      </c>
      <c r="P2118" s="9" t="s">
        <v>13284</v>
      </c>
      <c r="Q2118" s="9" t="s">
        <v>13284</v>
      </c>
      <c r="R2118" s="9" t="s">
        <v>13284</v>
      </c>
      <c r="S2118" s="9" t="s">
        <v>13284</v>
      </c>
      <c r="T2118" s="9" t="str">
        <f ca="1">IFERROR(IF(AND(VLOOKUP(A2118, 'Актуальное состояние (из общего'!A:C,3,0) = "", A2118 &lt;&gt; ""), "ПРОВЕРИТЬ", VLOOKUP(A2118, 'Актуальное состояние (из общего'!A:C,3,0)), "")</f>
        <v/>
      </c>
      <c r="U2118" s="9" t="s">
        <v>13284</v>
      </c>
      <c r="V2118" s="9" t="s">
        <v>13284</v>
      </c>
      <c r="W2118" s="12"/>
      <c r="X2118" s="9" t="str">
        <f t="array" ref="X2118">IFERROR(INDEX('Адреса общежитий (скрытый)'!$B$2:$B$9, MATCH(W2118, 'Адреса общежитий (скрытый)'!$A$2:$A$9, 0)), "")</f>
        <v/>
      </c>
      <c r="Y2118" s="18"/>
      <c r="Z2118" s="18"/>
      <c r="AA2118" s="18"/>
      <c r="AB2118" s="18"/>
      <c r="AC2118" s="18"/>
    </row>
    <row r="2119" spans="1:29" ht="32.25" hidden="1" customHeight="1">
      <c r="A2119" s="17"/>
      <c r="B2119" s="9" t="s">
        <v>13284</v>
      </c>
      <c r="C2119" s="9" t="s">
        <v>13284</v>
      </c>
      <c r="D2119" s="9" t="s">
        <v>13284</v>
      </c>
      <c r="E2119" s="9" t="s">
        <v>13284</v>
      </c>
      <c r="F2119" s="9" t="s">
        <v>13284</v>
      </c>
      <c r="G2119" s="9" t="s">
        <v>13284</v>
      </c>
      <c r="H2119" s="9" t="s">
        <v>13284</v>
      </c>
      <c r="I2119" s="9" t="s">
        <v>13284</v>
      </c>
      <c r="J2119" s="9" t="s">
        <v>13284</v>
      </c>
      <c r="K2119" s="9" t="s">
        <v>13284</v>
      </c>
      <c r="L2119" s="9" t="s">
        <v>13284</v>
      </c>
      <c r="M2119" s="9" t="s">
        <v>13284</v>
      </c>
      <c r="N2119" s="9" t="s">
        <v>13284</v>
      </c>
      <c r="O2119" s="9" t="s">
        <v>13284</v>
      </c>
      <c r="P2119" s="9" t="s">
        <v>13284</v>
      </c>
      <c r="Q2119" s="9" t="s">
        <v>13284</v>
      </c>
      <c r="R2119" s="9" t="s">
        <v>13284</v>
      </c>
      <c r="S2119" s="9" t="s">
        <v>13284</v>
      </c>
      <c r="T2119" s="9" t="str">
        <f ca="1">IFERROR(IF(AND(VLOOKUP(A2119, 'Актуальное состояние (из общего'!A:C,3,0) = "", A2119 &lt;&gt; ""), "ПРОВЕРИТЬ", VLOOKUP(A2119, 'Актуальное состояние (из общего'!A:C,3,0)), "")</f>
        <v/>
      </c>
      <c r="U2119" s="9" t="s">
        <v>13284</v>
      </c>
      <c r="V2119" s="9" t="s">
        <v>13284</v>
      </c>
      <c r="W2119" s="12"/>
      <c r="X2119" s="9" t="str">
        <f t="array" ref="X2119">IFERROR(INDEX('Адреса общежитий (скрытый)'!$B$2:$B$9, MATCH(W2119, 'Адреса общежитий (скрытый)'!$A$2:$A$9, 0)), "")</f>
        <v/>
      </c>
      <c r="Y2119" s="18"/>
      <c r="Z2119" s="18"/>
      <c r="AA2119" s="18"/>
      <c r="AB2119" s="18"/>
      <c r="AC2119" s="18"/>
    </row>
    <row r="2120" spans="1:29" ht="32.25" hidden="1" customHeight="1">
      <c r="A2120" s="17"/>
      <c r="B2120" s="9" t="s">
        <v>13284</v>
      </c>
      <c r="C2120" s="9" t="s">
        <v>13284</v>
      </c>
      <c r="D2120" s="9" t="s">
        <v>13284</v>
      </c>
      <c r="E2120" s="9" t="s">
        <v>13284</v>
      </c>
      <c r="F2120" s="9" t="s">
        <v>13284</v>
      </c>
      <c r="G2120" s="9" t="s">
        <v>13284</v>
      </c>
      <c r="H2120" s="9" t="s">
        <v>13284</v>
      </c>
      <c r="I2120" s="9" t="s">
        <v>13284</v>
      </c>
      <c r="J2120" s="9" t="s">
        <v>13284</v>
      </c>
      <c r="K2120" s="9" t="s">
        <v>13284</v>
      </c>
      <c r="L2120" s="9" t="s">
        <v>13284</v>
      </c>
      <c r="M2120" s="9" t="s">
        <v>13284</v>
      </c>
      <c r="N2120" s="9" t="s">
        <v>13284</v>
      </c>
      <c r="O2120" s="9" t="s">
        <v>13284</v>
      </c>
      <c r="P2120" s="9" t="s">
        <v>13284</v>
      </c>
      <c r="Q2120" s="9" t="s">
        <v>13284</v>
      </c>
      <c r="R2120" s="9" t="s">
        <v>13284</v>
      </c>
      <c r="S2120" s="9" t="s">
        <v>13284</v>
      </c>
      <c r="T2120" s="9" t="str">
        <f ca="1">IFERROR(IF(AND(VLOOKUP(A2120, 'Актуальное состояние (из общего'!A:C,3,0) = "", A2120 &lt;&gt; ""), "ПРОВЕРИТЬ", VLOOKUP(A2120, 'Актуальное состояние (из общего'!A:C,3,0)), "")</f>
        <v/>
      </c>
      <c r="U2120" s="9" t="s">
        <v>13284</v>
      </c>
      <c r="V2120" s="9" t="s">
        <v>13284</v>
      </c>
      <c r="W2120" s="12"/>
      <c r="X2120" s="9" t="str">
        <f t="array" ref="X2120">IFERROR(INDEX('Адреса общежитий (скрытый)'!$B$2:$B$9, MATCH(W2120, 'Адреса общежитий (скрытый)'!$A$2:$A$9, 0)), "")</f>
        <v/>
      </c>
      <c r="Y2120" s="18"/>
      <c r="Z2120" s="18"/>
      <c r="AA2120" s="18"/>
      <c r="AB2120" s="18"/>
      <c r="AC2120" s="18"/>
    </row>
    <row r="2121" spans="1:29" ht="32.25" hidden="1" customHeight="1">
      <c r="A2121" s="17"/>
      <c r="B2121" s="9" t="s">
        <v>13284</v>
      </c>
      <c r="C2121" s="9" t="s">
        <v>13284</v>
      </c>
      <c r="D2121" s="9" t="s">
        <v>13284</v>
      </c>
      <c r="E2121" s="9" t="s">
        <v>13284</v>
      </c>
      <c r="F2121" s="9" t="s">
        <v>13284</v>
      </c>
      <c r="G2121" s="9" t="s">
        <v>13284</v>
      </c>
      <c r="H2121" s="9" t="s">
        <v>13284</v>
      </c>
      <c r="I2121" s="9" t="s">
        <v>13284</v>
      </c>
      <c r="J2121" s="9" t="s">
        <v>13284</v>
      </c>
      <c r="K2121" s="9" t="s">
        <v>13284</v>
      </c>
      <c r="L2121" s="9" t="s">
        <v>13284</v>
      </c>
      <c r="M2121" s="9" t="s">
        <v>13284</v>
      </c>
      <c r="N2121" s="9" t="s">
        <v>13284</v>
      </c>
      <c r="O2121" s="9" t="s">
        <v>13284</v>
      </c>
      <c r="P2121" s="9" t="s">
        <v>13284</v>
      </c>
      <c r="Q2121" s="9" t="s">
        <v>13284</v>
      </c>
      <c r="R2121" s="9" t="s">
        <v>13284</v>
      </c>
      <c r="S2121" s="9" t="s">
        <v>13284</v>
      </c>
      <c r="T2121" s="9" t="str">
        <f ca="1">IFERROR(IF(AND(VLOOKUP(A2121, 'Актуальное состояние (из общего'!A:C,3,0) = "", A2121 &lt;&gt; ""), "ПРОВЕРИТЬ", VLOOKUP(A2121, 'Актуальное состояние (из общего'!A:C,3,0)), "")</f>
        <v/>
      </c>
      <c r="U2121" s="9" t="s">
        <v>13284</v>
      </c>
      <c r="V2121" s="9" t="s">
        <v>13284</v>
      </c>
      <c r="W2121" s="12"/>
      <c r="X2121" s="9" t="str">
        <f t="array" ref="X2121">IFERROR(INDEX('Адреса общежитий (скрытый)'!$B$2:$B$9, MATCH(W2121, 'Адреса общежитий (скрытый)'!$A$2:$A$9, 0)), "")</f>
        <v/>
      </c>
      <c r="Y2121" s="18"/>
      <c r="Z2121" s="18"/>
      <c r="AA2121" s="18"/>
      <c r="AB2121" s="18"/>
      <c r="AC2121" s="18"/>
    </row>
    <row r="2122" spans="1:29" ht="32.25" hidden="1" customHeight="1">
      <c r="A2122" s="17"/>
      <c r="B2122" s="9" t="s">
        <v>13284</v>
      </c>
      <c r="C2122" s="9" t="s">
        <v>13284</v>
      </c>
      <c r="D2122" s="9" t="s">
        <v>13284</v>
      </c>
      <c r="E2122" s="9" t="s">
        <v>13284</v>
      </c>
      <c r="F2122" s="9" t="s">
        <v>13284</v>
      </c>
      <c r="G2122" s="9" t="s">
        <v>13284</v>
      </c>
      <c r="H2122" s="9" t="s">
        <v>13284</v>
      </c>
      <c r="I2122" s="9" t="s">
        <v>13284</v>
      </c>
      <c r="J2122" s="9" t="s">
        <v>13284</v>
      </c>
      <c r="K2122" s="9" t="s">
        <v>13284</v>
      </c>
      <c r="L2122" s="9" t="s">
        <v>13284</v>
      </c>
      <c r="M2122" s="9" t="s">
        <v>13284</v>
      </c>
      <c r="N2122" s="9" t="s">
        <v>13284</v>
      </c>
      <c r="O2122" s="9" t="s">
        <v>13284</v>
      </c>
      <c r="P2122" s="9" t="s">
        <v>13284</v>
      </c>
      <c r="Q2122" s="9" t="s">
        <v>13284</v>
      </c>
      <c r="R2122" s="9" t="s">
        <v>13284</v>
      </c>
      <c r="S2122" s="9" t="s">
        <v>13284</v>
      </c>
      <c r="T2122" s="9" t="str">
        <f ca="1">IFERROR(IF(AND(VLOOKUP(A2122, 'Актуальное состояние (из общего'!A:C,3,0) = "", A2122 &lt;&gt; ""), "ПРОВЕРИТЬ", VLOOKUP(A2122, 'Актуальное состояние (из общего'!A:C,3,0)), "")</f>
        <v/>
      </c>
      <c r="U2122" s="9" t="s">
        <v>13284</v>
      </c>
      <c r="V2122" s="9" t="s">
        <v>13284</v>
      </c>
      <c r="W2122" s="12"/>
      <c r="X2122" s="9" t="str">
        <f t="array" ref="X2122">IFERROR(INDEX('Адреса общежитий (скрытый)'!$B$2:$B$9, MATCH(W2122, 'Адреса общежитий (скрытый)'!$A$2:$A$9, 0)), "")</f>
        <v/>
      </c>
      <c r="Y2122" s="18"/>
      <c r="Z2122" s="18"/>
      <c r="AA2122" s="18"/>
      <c r="AB2122" s="18"/>
      <c r="AC2122" s="18"/>
    </row>
    <row r="2123" spans="1:29" ht="32.25" hidden="1" customHeight="1">
      <c r="A2123" s="17"/>
      <c r="B2123" s="9" t="s">
        <v>13284</v>
      </c>
      <c r="C2123" s="9" t="s">
        <v>13284</v>
      </c>
      <c r="D2123" s="9" t="s">
        <v>13284</v>
      </c>
      <c r="E2123" s="9" t="s">
        <v>13284</v>
      </c>
      <c r="F2123" s="9" t="s">
        <v>13284</v>
      </c>
      <c r="G2123" s="9" t="s">
        <v>13284</v>
      </c>
      <c r="H2123" s="9" t="s">
        <v>13284</v>
      </c>
      <c r="I2123" s="9" t="s">
        <v>13284</v>
      </c>
      <c r="J2123" s="9" t="s">
        <v>13284</v>
      </c>
      <c r="K2123" s="9" t="s">
        <v>13284</v>
      </c>
      <c r="L2123" s="9" t="s">
        <v>13284</v>
      </c>
      <c r="M2123" s="9" t="s">
        <v>13284</v>
      </c>
      <c r="N2123" s="9" t="s">
        <v>13284</v>
      </c>
      <c r="O2123" s="9" t="s">
        <v>13284</v>
      </c>
      <c r="P2123" s="9" t="s">
        <v>13284</v>
      </c>
      <c r="Q2123" s="9" t="s">
        <v>13284</v>
      </c>
      <c r="R2123" s="9" t="s">
        <v>13284</v>
      </c>
      <c r="S2123" s="9" t="s">
        <v>13284</v>
      </c>
      <c r="T2123" s="9" t="str">
        <f ca="1">IFERROR(IF(AND(VLOOKUP(A2123, 'Актуальное состояние (из общего'!A:C,3,0) = "", A2123 &lt;&gt; ""), "ПРОВЕРИТЬ", VLOOKUP(A2123, 'Актуальное состояние (из общего'!A:C,3,0)), "")</f>
        <v/>
      </c>
      <c r="U2123" s="9" t="s">
        <v>13284</v>
      </c>
      <c r="V2123" s="9" t="s">
        <v>13284</v>
      </c>
      <c r="W2123" s="12"/>
      <c r="X2123" s="9" t="str">
        <f t="array" ref="X2123">IFERROR(INDEX('Адреса общежитий (скрытый)'!$B$2:$B$9, MATCH(W2123, 'Адреса общежитий (скрытый)'!$A$2:$A$9, 0)), "")</f>
        <v/>
      </c>
      <c r="Y2123" s="18"/>
      <c r="Z2123" s="18"/>
      <c r="AA2123" s="18"/>
      <c r="AB2123" s="18"/>
      <c r="AC2123" s="18"/>
    </row>
    <row r="2124" spans="1:29" ht="32.25" hidden="1" customHeight="1">
      <c r="A2124" s="17"/>
      <c r="B2124" s="9" t="s">
        <v>13284</v>
      </c>
      <c r="C2124" s="9" t="s">
        <v>13284</v>
      </c>
      <c r="D2124" s="9" t="s">
        <v>13284</v>
      </c>
      <c r="E2124" s="9" t="s">
        <v>13284</v>
      </c>
      <c r="F2124" s="9" t="s">
        <v>13284</v>
      </c>
      <c r="G2124" s="9" t="s">
        <v>13284</v>
      </c>
      <c r="H2124" s="9" t="s">
        <v>13284</v>
      </c>
      <c r="I2124" s="9" t="s">
        <v>13284</v>
      </c>
      <c r="J2124" s="9" t="s">
        <v>13284</v>
      </c>
      <c r="K2124" s="9" t="s">
        <v>13284</v>
      </c>
      <c r="L2124" s="9" t="s">
        <v>13284</v>
      </c>
      <c r="M2124" s="9" t="s">
        <v>13284</v>
      </c>
      <c r="N2124" s="9" t="s">
        <v>13284</v>
      </c>
      <c r="O2124" s="9" t="s">
        <v>13284</v>
      </c>
      <c r="P2124" s="9" t="s">
        <v>13284</v>
      </c>
      <c r="Q2124" s="9" t="s">
        <v>13284</v>
      </c>
      <c r="R2124" s="9" t="s">
        <v>13284</v>
      </c>
      <c r="S2124" s="9" t="s">
        <v>13284</v>
      </c>
      <c r="T2124" s="9" t="str">
        <f ca="1">IFERROR(IF(AND(VLOOKUP(A2124, 'Актуальное состояние (из общего'!A:C,3,0) = "", A2124 &lt;&gt; ""), "ПРОВЕРИТЬ", VLOOKUP(A2124, 'Актуальное состояние (из общего'!A:C,3,0)), "")</f>
        <v/>
      </c>
      <c r="U2124" s="9" t="s">
        <v>13284</v>
      </c>
      <c r="V2124" s="9" t="s">
        <v>13284</v>
      </c>
      <c r="W2124" s="12"/>
      <c r="X2124" s="9" t="str">
        <f t="array" ref="X2124">IFERROR(INDEX('Адреса общежитий (скрытый)'!$B$2:$B$9, MATCH(W2124, 'Адреса общежитий (скрытый)'!$A$2:$A$9, 0)), "")</f>
        <v/>
      </c>
      <c r="Y2124" s="18"/>
      <c r="Z2124" s="18"/>
      <c r="AA2124" s="18"/>
      <c r="AB2124" s="18"/>
      <c r="AC2124" s="18"/>
    </row>
    <row r="2125" spans="1:29" ht="32.25" hidden="1" customHeight="1">
      <c r="A2125" s="17"/>
      <c r="B2125" s="9" t="s">
        <v>13284</v>
      </c>
      <c r="C2125" s="9" t="s">
        <v>13284</v>
      </c>
      <c r="D2125" s="9" t="s">
        <v>13284</v>
      </c>
      <c r="E2125" s="9" t="s">
        <v>13284</v>
      </c>
      <c r="F2125" s="9" t="s">
        <v>13284</v>
      </c>
      <c r="G2125" s="9" t="s">
        <v>13284</v>
      </c>
      <c r="H2125" s="9" t="s">
        <v>13284</v>
      </c>
      <c r="I2125" s="9" t="s">
        <v>13284</v>
      </c>
      <c r="J2125" s="9" t="s">
        <v>13284</v>
      </c>
      <c r="K2125" s="9" t="s">
        <v>13284</v>
      </c>
      <c r="L2125" s="9" t="s">
        <v>13284</v>
      </c>
      <c r="M2125" s="9" t="s">
        <v>13284</v>
      </c>
      <c r="N2125" s="9" t="s">
        <v>13284</v>
      </c>
      <c r="O2125" s="9" t="s">
        <v>13284</v>
      </c>
      <c r="P2125" s="9" t="s">
        <v>13284</v>
      </c>
      <c r="Q2125" s="9" t="s">
        <v>13284</v>
      </c>
      <c r="R2125" s="9" t="s">
        <v>13284</v>
      </c>
      <c r="S2125" s="9" t="s">
        <v>13284</v>
      </c>
      <c r="T2125" s="9" t="str">
        <f ca="1">IFERROR(IF(AND(VLOOKUP(A2125, 'Актуальное состояние (из общего'!A:C,3,0) = "", A2125 &lt;&gt; ""), "ПРОВЕРИТЬ", VLOOKUP(A2125, 'Актуальное состояние (из общего'!A:C,3,0)), "")</f>
        <v/>
      </c>
      <c r="U2125" s="9" t="s">
        <v>13284</v>
      </c>
      <c r="V2125" s="9" t="s">
        <v>13284</v>
      </c>
      <c r="W2125" s="12"/>
      <c r="X2125" s="9" t="str">
        <f t="array" ref="X2125">IFERROR(INDEX('Адреса общежитий (скрытый)'!$B$2:$B$9, MATCH(W2125, 'Адреса общежитий (скрытый)'!$A$2:$A$9, 0)), "")</f>
        <v/>
      </c>
      <c r="Y2125" s="18"/>
      <c r="Z2125" s="18"/>
      <c r="AA2125" s="18"/>
      <c r="AB2125" s="18"/>
      <c r="AC2125" s="18"/>
    </row>
    <row r="2126" spans="1:29" ht="32.25" hidden="1" customHeight="1">
      <c r="A2126" s="17"/>
      <c r="B2126" s="9" t="s">
        <v>13284</v>
      </c>
      <c r="C2126" s="9" t="s">
        <v>13284</v>
      </c>
      <c r="D2126" s="9" t="s">
        <v>13284</v>
      </c>
      <c r="E2126" s="9" t="s">
        <v>13284</v>
      </c>
      <c r="F2126" s="9" t="s">
        <v>13284</v>
      </c>
      <c r="G2126" s="9" t="s">
        <v>13284</v>
      </c>
      <c r="H2126" s="9" t="s">
        <v>13284</v>
      </c>
      <c r="I2126" s="9" t="s">
        <v>13284</v>
      </c>
      <c r="J2126" s="9" t="s">
        <v>13284</v>
      </c>
      <c r="K2126" s="9" t="s">
        <v>13284</v>
      </c>
      <c r="L2126" s="9" t="s">
        <v>13284</v>
      </c>
      <c r="M2126" s="9" t="s">
        <v>13284</v>
      </c>
      <c r="N2126" s="9" t="s">
        <v>13284</v>
      </c>
      <c r="O2126" s="9" t="s">
        <v>13284</v>
      </c>
      <c r="P2126" s="9" t="s">
        <v>13284</v>
      </c>
      <c r="Q2126" s="9" t="s">
        <v>13284</v>
      </c>
      <c r="R2126" s="9" t="s">
        <v>13284</v>
      </c>
      <c r="S2126" s="9" t="s">
        <v>13284</v>
      </c>
      <c r="T2126" s="9" t="str">
        <f ca="1">IFERROR(IF(AND(VLOOKUP(A2126, 'Актуальное состояние (из общего'!A:C,3,0) = "", A2126 &lt;&gt; ""), "ПРОВЕРИТЬ", VLOOKUP(A2126, 'Актуальное состояние (из общего'!A:C,3,0)), "")</f>
        <v/>
      </c>
      <c r="U2126" s="9" t="s">
        <v>13284</v>
      </c>
      <c r="V2126" s="9" t="s">
        <v>13284</v>
      </c>
      <c r="W2126" s="12"/>
      <c r="X2126" s="9" t="str">
        <f t="array" ref="X2126">IFERROR(INDEX('Адреса общежитий (скрытый)'!$B$2:$B$9, MATCH(W2126, 'Адреса общежитий (скрытый)'!$A$2:$A$9, 0)), "")</f>
        <v/>
      </c>
      <c r="Y2126" s="18"/>
      <c r="Z2126" s="18"/>
      <c r="AA2126" s="18"/>
      <c r="AB2126" s="18"/>
      <c r="AC2126" s="18"/>
    </row>
    <row r="2127" spans="1:29" ht="32.25" hidden="1" customHeight="1">
      <c r="A2127" s="17"/>
      <c r="B2127" s="9" t="s">
        <v>13284</v>
      </c>
      <c r="C2127" s="9" t="s">
        <v>13284</v>
      </c>
      <c r="D2127" s="9" t="s">
        <v>13284</v>
      </c>
      <c r="E2127" s="9" t="s">
        <v>13284</v>
      </c>
      <c r="F2127" s="9" t="s">
        <v>13284</v>
      </c>
      <c r="G2127" s="9" t="s">
        <v>13284</v>
      </c>
      <c r="H2127" s="9" t="s">
        <v>13284</v>
      </c>
      <c r="I2127" s="9" t="s">
        <v>13284</v>
      </c>
      <c r="J2127" s="9" t="s">
        <v>13284</v>
      </c>
      <c r="K2127" s="9" t="s">
        <v>13284</v>
      </c>
      <c r="L2127" s="9" t="s">
        <v>13284</v>
      </c>
      <c r="M2127" s="9" t="s">
        <v>13284</v>
      </c>
      <c r="N2127" s="9" t="s">
        <v>13284</v>
      </c>
      <c r="O2127" s="9" t="s">
        <v>13284</v>
      </c>
      <c r="P2127" s="9" t="s">
        <v>13284</v>
      </c>
      <c r="Q2127" s="9" t="s">
        <v>13284</v>
      </c>
      <c r="R2127" s="9" t="s">
        <v>13284</v>
      </c>
      <c r="S2127" s="9" t="s">
        <v>13284</v>
      </c>
      <c r="T2127" s="9" t="str">
        <f ca="1">IFERROR(IF(AND(VLOOKUP(A2127, 'Актуальное состояние (из общего'!A:C,3,0) = "", A2127 &lt;&gt; ""), "ПРОВЕРИТЬ", VLOOKUP(A2127, 'Актуальное состояние (из общего'!A:C,3,0)), "")</f>
        <v/>
      </c>
      <c r="U2127" s="9" t="s">
        <v>13284</v>
      </c>
      <c r="V2127" s="9" t="s">
        <v>13284</v>
      </c>
      <c r="W2127" s="12"/>
      <c r="X2127" s="9" t="str">
        <f t="array" ref="X2127">IFERROR(INDEX('Адреса общежитий (скрытый)'!$B$2:$B$9, MATCH(W2127, 'Адреса общежитий (скрытый)'!$A$2:$A$9, 0)), "")</f>
        <v/>
      </c>
      <c r="Y2127" s="18"/>
      <c r="Z2127" s="18"/>
      <c r="AA2127" s="18"/>
      <c r="AB2127" s="18"/>
      <c r="AC2127" s="18"/>
    </row>
    <row r="2128" spans="1:29" ht="32.25" hidden="1" customHeight="1">
      <c r="A2128" s="17"/>
      <c r="B2128" s="9" t="s">
        <v>13284</v>
      </c>
      <c r="C2128" s="9" t="s">
        <v>13284</v>
      </c>
      <c r="D2128" s="9" t="s">
        <v>13284</v>
      </c>
      <c r="E2128" s="9" t="s">
        <v>13284</v>
      </c>
      <c r="F2128" s="9" t="s">
        <v>13284</v>
      </c>
      <c r="G2128" s="9" t="s">
        <v>13284</v>
      </c>
      <c r="H2128" s="9" t="s">
        <v>13284</v>
      </c>
      <c r="I2128" s="9" t="s">
        <v>13284</v>
      </c>
      <c r="J2128" s="9" t="s">
        <v>13284</v>
      </c>
      <c r="K2128" s="9" t="s">
        <v>13284</v>
      </c>
      <c r="L2128" s="9" t="s">
        <v>13284</v>
      </c>
      <c r="M2128" s="9" t="s">
        <v>13284</v>
      </c>
      <c r="N2128" s="9" t="s">
        <v>13284</v>
      </c>
      <c r="O2128" s="9" t="s">
        <v>13284</v>
      </c>
      <c r="P2128" s="9" t="s">
        <v>13284</v>
      </c>
      <c r="Q2128" s="9" t="s">
        <v>13284</v>
      </c>
      <c r="R2128" s="9" t="s">
        <v>13284</v>
      </c>
      <c r="S2128" s="9" t="s">
        <v>13284</v>
      </c>
      <c r="T2128" s="9" t="str">
        <f ca="1">IFERROR(IF(AND(VLOOKUP(A2128, 'Актуальное состояние (из общего'!A:C,3,0) = "", A2128 &lt;&gt; ""), "ПРОВЕРИТЬ", VLOOKUP(A2128, 'Актуальное состояние (из общего'!A:C,3,0)), "")</f>
        <v/>
      </c>
      <c r="U2128" s="9" t="s">
        <v>13284</v>
      </c>
      <c r="V2128" s="9" t="s">
        <v>13284</v>
      </c>
      <c r="W2128" s="12"/>
      <c r="X2128" s="9" t="str">
        <f t="array" ref="X2128">IFERROR(INDEX('Адреса общежитий (скрытый)'!$B$2:$B$9, MATCH(W2128, 'Адреса общежитий (скрытый)'!$A$2:$A$9, 0)), "")</f>
        <v/>
      </c>
      <c r="Y2128" s="18"/>
      <c r="Z2128" s="18"/>
      <c r="AA2128" s="18"/>
      <c r="AB2128" s="18"/>
      <c r="AC2128" s="18"/>
    </row>
    <row r="2129" spans="1:29" ht="32.25" hidden="1" customHeight="1">
      <c r="A2129" s="17"/>
      <c r="B2129" s="9" t="s">
        <v>13284</v>
      </c>
      <c r="C2129" s="9" t="s">
        <v>13284</v>
      </c>
      <c r="D2129" s="9" t="s">
        <v>13284</v>
      </c>
      <c r="E2129" s="9" t="s">
        <v>13284</v>
      </c>
      <c r="F2129" s="9" t="s">
        <v>13284</v>
      </c>
      <c r="G2129" s="9" t="s">
        <v>13284</v>
      </c>
      <c r="H2129" s="9" t="s">
        <v>13284</v>
      </c>
      <c r="I2129" s="9" t="s">
        <v>13284</v>
      </c>
      <c r="J2129" s="9" t="s">
        <v>13284</v>
      </c>
      <c r="K2129" s="9" t="s">
        <v>13284</v>
      </c>
      <c r="L2129" s="9" t="s">
        <v>13284</v>
      </c>
      <c r="M2129" s="9" t="s">
        <v>13284</v>
      </c>
      <c r="N2129" s="9" t="s">
        <v>13284</v>
      </c>
      <c r="O2129" s="9" t="s">
        <v>13284</v>
      </c>
      <c r="P2129" s="9" t="s">
        <v>13284</v>
      </c>
      <c r="Q2129" s="9" t="s">
        <v>13284</v>
      </c>
      <c r="R2129" s="9" t="s">
        <v>13284</v>
      </c>
      <c r="S2129" s="9" t="s">
        <v>13284</v>
      </c>
      <c r="T2129" s="9" t="str">
        <f ca="1">IFERROR(IF(AND(VLOOKUP(A2129, 'Актуальное состояние (из общего'!A:C,3,0) = "", A2129 &lt;&gt; ""), "ПРОВЕРИТЬ", VLOOKUP(A2129, 'Актуальное состояние (из общего'!A:C,3,0)), "")</f>
        <v/>
      </c>
      <c r="U2129" s="9" t="s">
        <v>13284</v>
      </c>
      <c r="V2129" s="9" t="s">
        <v>13284</v>
      </c>
      <c r="W2129" s="12"/>
      <c r="X2129" s="9" t="str">
        <f t="array" ref="X2129">IFERROR(INDEX('Адреса общежитий (скрытый)'!$B$2:$B$9, MATCH(W2129, 'Адреса общежитий (скрытый)'!$A$2:$A$9, 0)), "")</f>
        <v/>
      </c>
      <c r="Y2129" s="18"/>
      <c r="Z2129" s="18"/>
      <c r="AA2129" s="18"/>
      <c r="AB2129" s="18"/>
      <c r="AC2129" s="18"/>
    </row>
    <row r="2130" spans="1:29" ht="32.25" hidden="1" customHeight="1">
      <c r="A2130" s="17"/>
      <c r="B2130" s="9" t="s">
        <v>13284</v>
      </c>
      <c r="C2130" s="9" t="s">
        <v>13284</v>
      </c>
      <c r="D2130" s="9" t="s">
        <v>13284</v>
      </c>
      <c r="E2130" s="9" t="s">
        <v>13284</v>
      </c>
      <c r="F2130" s="9" t="s">
        <v>13284</v>
      </c>
      <c r="G2130" s="9" t="s">
        <v>13284</v>
      </c>
      <c r="H2130" s="9" t="s">
        <v>13284</v>
      </c>
      <c r="I2130" s="9" t="s">
        <v>13284</v>
      </c>
      <c r="J2130" s="9" t="s">
        <v>13284</v>
      </c>
      <c r="K2130" s="9" t="s">
        <v>13284</v>
      </c>
      <c r="L2130" s="9" t="s">
        <v>13284</v>
      </c>
      <c r="M2130" s="9" t="s">
        <v>13284</v>
      </c>
      <c r="N2130" s="9" t="s">
        <v>13284</v>
      </c>
      <c r="O2130" s="9" t="s">
        <v>13284</v>
      </c>
      <c r="P2130" s="9" t="s">
        <v>13284</v>
      </c>
      <c r="Q2130" s="9" t="s">
        <v>13284</v>
      </c>
      <c r="R2130" s="9" t="s">
        <v>13284</v>
      </c>
      <c r="S2130" s="9" t="s">
        <v>13284</v>
      </c>
      <c r="T2130" s="9" t="str">
        <f ca="1">IFERROR(IF(AND(VLOOKUP(A2130, 'Актуальное состояние (из общего'!A:C,3,0) = "", A2130 &lt;&gt; ""), "ПРОВЕРИТЬ", VLOOKUP(A2130, 'Актуальное состояние (из общего'!A:C,3,0)), "")</f>
        <v/>
      </c>
      <c r="U2130" s="9" t="s">
        <v>13284</v>
      </c>
      <c r="V2130" s="9" t="s">
        <v>13284</v>
      </c>
      <c r="W2130" s="12"/>
      <c r="X2130" s="9" t="str">
        <f t="array" ref="X2130">IFERROR(INDEX('Адреса общежитий (скрытый)'!$B$2:$B$9, MATCH(W2130, 'Адреса общежитий (скрытый)'!$A$2:$A$9, 0)), "")</f>
        <v/>
      </c>
      <c r="Y2130" s="18"/>
      <c r="Z2130" s="18"/>
      <c r="AA2130" s="18"/>
      <c r="AB2130" s="18"/>
      <c r="AC2130" s="18"/>
    </row>
    <row r="2131" spans="1:29" ht="32.25" hidden="1" customHeight="1">
      <c r="A2131" s="17"/>
      <c r="B2131" s="9" t="s">
        <v>13284</v>
      </c>
      <c r="C2131" s="9" t="s">
        <v>13284</v>
      </c>
      <c r="D2131" s="9" t="s">
        <v>13284</v>
      </c>
      <c r="E2131" s="9" t="s">
        <v>13284</v>
      </c>
      <c r="F2131" s="9" t="s">
        <v>13284</v>
      </c>
      <c r="G2131" s="9" t="s">
        <v>13284</v>
      </c>
      <c r="H2131" s="9" t="s">
        <v>13284</v>
      </c>
      <c r="I2131" s="9" t="s">
        <v>13284</v>
      </c>
      <c r="J2131" s="9" t="s">
        <v>13284</v>
      </c>
      <c r="K2131" s="9" t="s">
        <v>13284</v>
      </c>
      <c r="L2131" s="9" t="s">
        <v>13284</v>
      </c>
      <c r="M2131" s="9" t="s">
        <v>13284</v>
      </c>
      <c r="N2131" s="9" t="s">
        <v>13284</v>
      </c>
      <c r="O2131" s="9" t="s">
        <v>13284</v>
      </c>
      <c r="P2131" s="9" t="s">
        <v>13284</v>
      </c>
      <c r="Q2131" s="9" t="s">
        <v>13284</v>
      </c>
      <c r="R2131" s="9" t="s">
        <v>13284</v>
      </c>
      <c r="S2131" s="9" t="s">
        <v>13284</v>
      </c>
      <c r="T2131" s="9" t="str">
        <f ca="1">IFERROR(IF(AND(VLOOKUP(A2131, 'Актуальное состояние (из общего'!A:C,3,0) = "", A2131 &lt;&gt; ""), "ПРОВЕРИТЬ", VLOOKUP(A2131, 'Актуальное состояние (из общего'!A:C,3,0)), "")</f>
        <v/>
      </c>
      <c r="U2131" s="9" t="s">
        <v>13284</v>
      </c>
      <c r="V2131" s="9" t="s">
        <v>13284</v>
      </c>
      <c r="W2131" s="12"/>
      <c r="X2131" s="9" t="str">
        <f t="array" ref="X2131">IFERROR(INDEX('Адреса общежитий (скрытый)'!$B$2:$B$9, MATCH(W2131, 'Адреса общежитий (скрытый)'!$A$2:$A$9, 0)), "")</f>
        <v/>
      </c>
      <c r="Y2131" s="18"/>
      <c r="Z2131" s="18"/>
      <c r="AA2131" s="18"/>
      <c r="AB2131" s="18"/>
      <c r="AC2131" s="18"/>
    </row>
    <row r="2132" spans="1:29" ht="32.25" hidden="1" customHeight="1">
      <c r="A2132" s="17"/>
      <c r="B2132" s="9" t="s">
        <v>13284</v>
      </c>
      <c r="C2132" s="9" t="s">
        <v>13284</v>
      </c>
      <c r="D2132" s="9" t="s">
        <v>13284</v>
      </c>
      <c r="E2132" s="9" t="s">
        <v>13284</v>
      </c>
      <c r="F2132" s="9" t="s">
        <v>13284</v>
      </c>
      <c r="G2132" s="9" t="s">
        <v>13284</v>
      </c>
      <c r="H2132" s="9" t="s">
        <v>13284</v>
      </c>
      <c r="I2132" s="9" t="s">
        <v>13284</v>
      </c>
      <c r="J2132" s="9" t="s">
        <v>13284</v>
      </c>
      <c r="K2132" s="9" t="s">
        <v>13284</v>
      </c>
      <c r="L2132" s="9" t="s">
        <v>13284</v>
      </c>
      <c r="M2132" s="9" t="s">
        <v>13284</v>
      </c>
      <c r="N2132" s="9" t="s">
        <v>13284</v>
      </c>
      <c r="O2132" s="9" t="s">
        <v>13284</v>
      </c>
      <c r="P2132" s="9" t="s">
        <v>13284</v>
      </c>
      <c r="Q2132" s="9" t="s">
        <v>13284</v>
      </c>
      <c r="R2132" s="9" t="s">
        <v>13284</v>
      </c>
      <c r="S2132" s="9" t="s">
        <v>13284</v>
      </c>
      <c r="T2132" s="9" t="str">
        <f ca="1">IFERROR(IF(AND(VLOOKUP(A2132, 'Актуальное состояние (из общего'!A:C,3,0) = "", A2132 &lt;&gt; ""), "ПРОВЕРИТЬ", VLOOKUP(A2132, 'Актуальное состояние (из общего'!A:C,3,0)), "")</f>
        <v/>
      </c>
      <c r="U2132" s="9" t="s">
        <v>13284</v>
      </c>
      <c r="V2132" s="9" t="s">
        <v>13284</v>
      </c>
      <c r="W2132" s="12"/>
      <c r="X2132" s="9" t="str">
        <f t="array" ref="X2132">IFERROR(INDEX('Адреса общежитий (скрытый)'!$B$2:$B$9, MATCH(W2132, 'Адреса общежитий (скрытый)'!$A$2:$A$9, 0)), "")</f>
        <v/>
      </c>
      <c r="Y2132" s="18"/>
      <c r="Z2132" s="18"/>
      <c r="AA2132" s="18"/>
      <c r="AB2132" s="18"/>
      <c r="AC2132" s="18"/>
    </row>
    <row r="2133" spans="1:29" ht="32.25" hidden="1" customHeight="1">
      <c r="A2133" s="17"/>
      <c r="B2133" s="9" t="s">
        <v>13284</v>
      </c>
      <c r="C2133" s="9" t="s">
        <v>13284</v>
      </c>
      <c r="D2133" s="9" t="s">
        <v>13284</v>
      </c>
      <c r="E2133" s="9" t="s">
        <v>13284</v>
      </c>
      <c r="F2133" s="9" t="s">
        <v>13284</v>
      </c>
      <c r="G2133" s="9" t="s">
        <v>13284</v>
      </c>
      <c r="H2133" s="9" t="s">
        <v>13284</v>
      </c>
      <c r="I2133" s="9" t="s">
        <v>13284</v>
      </c>
      <c r="J2133" s="9" t="s">
        <v>13284</v>
      </c>
      <c r="K2133" s="9" t="s">
        <v>13284</v>
      </c>
      <c r="L2133" s="9" t="s">
        <v>13284</v>
      </c>
      <c r="M2133" s="9" t="s">
        <v>13284</v>
      </c>
      <c r="N2133" s="9" t="s">
        <v>13284</v>
      </c>
      <c r="O2133" s="9" t="s">
        <v>13284</v>
      </c>
      <c r="P2133" s="9" t="s">
        <v>13284</v>
      </c>
      <c r="Q2133" s="9" t="s">
        <v>13284</v>
      </c>
      <c r="R2133" s="9" t="s">
        <v>13284</v>
      </c>
      <c r="S2133" s="9" t="s">
        <v>13284</v>
      </c>
      <c r="T2133" s="9" t="str">
        <f ca="1">IFERROR(IF(AND(VLOOKUP(A2133, 'Актуальное состояние (из общего'!A:C,3,0) = "", A2133 &lt;&gt; ""), "ПРОВЕРИТЬ", VLOOKUP(A2133, 'Актуальное состояние (из общего'!A:C,3,0)), "")</f>
        <v/>
      </c>
      <c r="U2133" s="9" t="s">
        <v>13284</v>
      </c>
      <c r="V2133" s="9" t="s">
        <v>13284</v>
      </c>
      <c r="W2133" s="12"/>
      <c r="X2133" s="9" t="str">
        <f t="array" ref="X2133">IFERROR(INDEX('Адреса общежитий (скрытый)'!$B$2:$B$9, MATCH(W2133, 'Адреса общежитий (скрытый)'!$A$2:$A$9, 0)), "")</f>
        <v/>
      </c>
      <c r="Y2133" s="18"/>
      <c r="Z2133" s="18"/>
      <c r="AA2133" s="18"/>
      <c r="AB2133" s="18"/>
      <c r="AC2133" s="18"/>
    </row>
    <row r="2134" spans="1:29" ht="32.25" hidden="1" customHeight="1">
      <c r="A2134" s="17"/>
      <c r="B2134" s="9" t="s">
        <v>13284</v>
      </c>
      <c r="C2134" s="9" t="s">
        <v>13284</v>
      </c>
      <c r="D2134" s="9" t="s">
        <v>13284</v>
      </c>
      <c r="E2134" s="9" t="s">
        <v>13284</v>
      </c>
      <c r="F2134" s="9" t="s">
        <v>13284</v>
      </c>
      <c r="G2134" s="9" t="s">
        <v>13284</v>
      </c>
      <c r="H2134" s="9" t="s">
        <v>13284</v>
      </c>
      <c r="I2134" s="9" t="s">
        <v>13284</v>
      </c>
      <c r="J2134" s="9" t="s">
        <v>13284</v>
      </c>
      <c r="K2134" s="9" t="s">
        <v>13284</v>
      </c>
      <c r="L2134" s="9" t="s">
        <v>13284</v>
      </c>
      <c r="M2134" s="9" t="s">
        <v>13284</v>
      </c>
      <c r="N2134" s="9" t="s">
        <v>13284</v>
      </c>
      <c r="O2134" s="9" t="s">
        <v>13284</v>
      </c>
      <c r="P2134" s="9" t="s">
        <v>13284</v>
      </c>
      <c r="Q2134" s="9" t="s">
        <v>13284</v>
      </c>
      <c r="R2134" s="9" t="s">
        <v>13284</v>
      </c>
      <c r="S2134" s="9" t="s">
        <v>13284</v>
      </c>
      <c r="T2134" s="9" t="str">
        <f ca="1">IFERROR(IF(AND(VLOOKUP(A2134, 'Актуальное состояние (из общего'!A:C,3,0) = "", A2134 &lt;&gt; ""), "ПРОВЕРИТЬ", VLOOKUP(A2134, 'Актуальное состояние (из общего'!A:C,3,0)), "")</f>
        <v/>
      </c>
      <c r="U2134" s="9" t="s">
        <v>13284</v>
      </c>
      <c r="V2134" s="9" t="s">
        <v>13284</v>
      </c>
      <c r="W2134" s="12"/>
      <c r="X2134" s="9" t="str">
        <f t="array" ref="X2134">IFERROR(INDEX('Адреса общежитий (скрытый)'!$B$2:$B$9, MATCH(W2134, 'Адреса общежитий (скрытый)'!$A$2:$A$9, 0)), "")</f>
        <v/>
      </c>
      <c r="Y2134" s="18"/>
      <c r="Z2134" s="18"/>
      <c r="AA2134" s="18"/>
      <c r="AB2134" s="18"/>
      <c r="AC2134" s="18"/>
    </row>
    <row r="2135" spans="1:29" ht="32.25" hidden="1" customHeight="1">
      <c r="A2135" s="17"/>
      <c r="B2135" s="9" t="s">
        <v>13284</v>
      </c>
      <c r="C2135" s="9" t="s">
        <v>13284</v>
      </c>
      <c r="D2135" s="9" t="s">
        <v>13284</v>
      </c>
      <c r="E2135" s="9" t="s">
        <v>13284</v>
      </c>
      <c r="F2135" s="9" t="s">
        <v>13284</v>
      </c>
      <c r="G2135" s="9" t="s">
        <v>13284</v>
      </c>
      <c r="H2135" s="9" t="s">
        <v>13284</v>
      </c>
      <c r="I2135" s="9" t="s">
        <v>13284</v>
      </c>
      <c r="J2135" s="9" t="s">
        <v>13284</v>
      </c>
      <c r="K2135" s="9" t="s">
        <v>13284</v>
      </c>
      <c r="L2135" s="9" t="s">
        <v>13284</v>
      </c>
      <c r="M2135" s="9" t="s">
        <v>13284</v>
      </c>
      <c r="N2135" s="9" t="s">
        <v>13284</v>
      </c>
      <c r="O2135" s="9" t="s">
        <v>13284</v>
      </c>
      <c r="P2135" s="9" t="s">
        <v>13284</v>
      </c>
      <c r="Q2135" s="9" t="s">
        <v>13284</v>
      </c>
      <c r="R2135" s="9" t="s">
        <v>13284</v>
      </c>
      <c r="S2135" s="9" t="s">
        <v>13284</v>
      </c>
      <c r="T2135" s="9" t="str">
        <f ca="1">IFERROR(IF(AND(VLOOKUP(A2135, 'Актуальное состояние (из общего'!A:C,3,0) = "", A2135 &lt;&gt; ""), "ПРОВЕРИТЬ", VLOOKUP(A2135, 'Актуальное состояние (из общего'!A:C,3,0)), "")</f>
        <v/>
      </c>
      <c r="U2135" s="9" t="s">
        <v>13284</v>
      </c>
      <c r="V2135" s="9" t="s">
        <v>13284</v>
      </c>
      <c r="W2135" s="12"/>
      <c r="X2135" s="9" t="str">
        <f t="array" ref="X2135">IFERROR(INDEX('Адреса общежитий (скрытый)'!$B$2:$B$9, MATCH(W2135, 'Адреса общежитий (скрытый)'!$A$2:$A$9, 0)), "")</f>
        <v/>
      </c>
      <c r="Y2135" s="18"/>
      <c r="Z2135" s="18"/>
      <c r="AA2135" s="18"/>
      <c r="AB2135" s="18"/>
      <c r="AC2135" s="18"/>
    </row>
    <row r="2136" spans="1:29" ht="32.25" hidden="1" customHeight="1">
      <c r="A2136" s="17"/>
      <c r="B2136" s="9" t="s">
        <v>13284</v>
      </c>
      <c r="C2136" s="9" t="s">
        <v>13284</v>
      </c>
      <c r="D2136" s="9" t="s">
        <v>13284</v>
      </c>
      <c r="E2136" s="9" t="s">
        <v>13284</v>
      </c>
      <c r="F2136" s="9" t="s">
        <v>13284</v>
      </c>
      <c r="G2136" s="9" t="s">
        <v>13284</v>
      </c>
      <c r="H2136" s="9" t="s">
        <v>13284</v>
      </c>
      <c r="I2136" s="9" t="s">
        <v>13284</v>
      </c>
      <c r="J2136" s="9" t="s">
        <v>13284</v>
      </c>
      <c r="K2136" s="9" t="s">
        <v>13284</v>
      </c>
      <c r="L2136" s="9" t="s">
        <v>13284</v>
      </c>
      <c r="M2136" s="9" t="s">
        <v>13284</v>
      </c>
      <c r="N2136" s="9" t="s">
        <v>13284</v>
      </c>
      <c r="O2136" s="9" t="s">
        <v>13284</v>
      </c>
      <c r="P2136" s="9" t="s">
        <v>13284</v>
      </c>
      <c r="Q2136" s="9" t="s">
        <v>13284</v>
      </c>
      <c r="R2136" s="9" t="s">
        <v>13284</v>
      </c>
      <c r="S2136" s="9" t="s">
        <v>13284</v>
      </c>
      <c r="T2136" s="9" t="str">
        <f ca="1">IFERROR(IF(AND(VLOOKUP(A2136, 'Актуальное состояние (из общего'!A:C,3,0) = "", A2136 &lt;&gt; ""), "ПРОВЕРИТЬ", VLOOKUP(A2136, 'Актуальное состояние (из общего'!A:C,3,0)), "")</f>
        <v/>
      </c>
      <c r="U2136" s="9" t="s">
        <v>13284</v>
      </c>
      <c r="V2136" s="9" t="s">
        <v>13284</v>
      </c>
      <c r="W2136" s="12"/>
      <c r="X2136" s="9" t="str">
        <f t="array" ref="X2136">IFERROR(INDEX('Адреса общежитий (скрытый)'!$B$2:$B$9, MATCH(W2136, 'Адреса общежитий (скрытый)'!$A$2:$A$9, 0)), "")</f>
        <v/>
      </c>
      <c r="Y2136" s="18"/>
      <c r="Z2136" s="18"/>
      <c r="AA2136" s="18"/>
      <c r="AB2136" s="18"/>
      <c r="AC2136" s="18"/>
    </row>
    <row r="2137" spans="1:29" ht="32.25" hidden="1" customHeight="1">
      <c r="A2137" s="17"/>
      <c r="B2137" s="9" t="s">
        <v>13284</v>
      </c>
      <c r="C2137" s="9" t="s">
        <v>13284</v>
      </c>
      <c r="D2137" s="9" t="s">
        <v>13284</v>
      </c>
      <c r="E2137" s="9" t="s">
        <v>13284</v>
      </c>
      <c r="F2137" s="9" t="s">
        <v>13284</v>
      </c>
      <c r="G2137" s="9" t="s">
        <v>13284</v>
      </c>
      <c r="H2137" s="9" t="s">
        <v>13284</v>
      </c>
      <c r="I2137" s="9" t="s">
        <v>13284</v>
      </c>
      <c r="J2137" s="9" t="s">
        <v>13284</v>
      </c>
      <c r="K2137" s="9" t="s">
        <v>13284</v>
      </c>
      <c r="L2137" s="9" t="s">
        <v>13284</v>
      </c>
      <c r="M2137" s="9" t="s">
        <v>13284</v>
      </c>
      <c r="N2137" s="9" t="s">
        <v>13284</v>
      </c>
      <c r="O2137" s="9" t="s">
        <v>13284</v>
      </c>
      <c r="P2137" s="9" t="s">
        <v>13284</v>
      </c>
      <c r="Q2137" s="9" t="s">
        <v>13284</v>
      </c>
      <c r="R2137" s="9" t="s">
        <v>13284</v>
      </c>
      <c r="S2137" s="9" t="s">
        <v>13284</v>
      </c>
      <c r="T2137" s="9" t="str">
        <f ca="1">IFERROR(IF(AND(VLOOKUP(A2137, 'Актуальное состояние (из общего'!A:C,3,0) = "", A2137 &lt;&gt; ""), "ПРОВЕРИТЬ", VLOOKUP(A2137, 'Актуальное состояние (из общего'!A:C,3,0)), "")</f>
        <v/>
      </c>
      <c r="U2137" s="9" t="s">
        <v>13284</v>
      </c>
      <c r="V2137" s="9" t="s">
        <v>13284</v>
      </c>
      <c r="W2137" s="12"/>
      <c r="X2137" s="9" t="str">
        <f t="array" ref="X2137">IFERROR(INDEX('Адреса общежитий (скрытый)'!$B$2:$B$9, MATCH(W2137, 'Адреса общежитий (скрытый)'!$A$2:$A$9, 0)), "")</f>
        <v/>
      </c>
      <c r="Y2137" s="18"/>
      <c r="Z2137" s="18"/>
      <c r="AA2137" s="18"/>
      <c r="AB2137" s="18"/>
      <c r="AC2137" s="18"/>
    </row>
    <row r="2138" spans="1:29" ht="32.25" hidden="1" customHeight="1">
      <c r="A2138" s="17"/>
      <c r="B2138" s="9" t="s">
        <v>13284</v>
      </c>
      <c r="C2138" s="9" t="s">
        <v>13284</v>
      </c>
      <c r="D2138" s="9" t="s">
        <v>13284</v>
      </c>
      <c r="E2138" s="9" t="s">
        <v>13284</v>
      </c>
      <c r="F2138" s="9" t="s">
        <v>13284</v>
      </c>
      <c r="G2138" s="9" t="s">
        <v>13284</v>
      </c>
      <c r="H2138" s="9" t="s">
        <v>13284</v>
      </c>
      <c r="I2138" s="9" t="s">
        <v>13284</v>
      </c>
      <c r="J2138" s="9" t="s">
        <v>13284</v>
      </c>
      <c r="K2138" s="9" t="s">
        <v>13284</v>
      </c>
      <c r="L2138" s="9" t="s">
        <v>13284</v>
      </c>
      <c r="M2138" s="9" t="s">
        <v>13284</v>
      </c>
      <c r="N2138" s="9" t="s">
        <v>13284</v>
      </c>
      <c r="O2138" s="9" t="s">
        <v>13284</v>
      </c>
      <c r="P2138" s="9" t="s">
        <v>13284</v>
      </c>
      <c r="Q2138" s="9" t="s">
        <v>13284</v>
      </c>
      <c r="R2138" s="9" t="s">
        <v>13284</v>
      </c>
      <c r="S2138" s="9" t="s">
        <v>13284</v>
      </c>
      <c r="T2138" s="9" t="str">
        <f ca="1">IFERROR(IF(AND(VLOOKUP(A2138, 'Актуальное состояние (из общего'!A:C,3,0) = "", A2138 &lt;&gt; ""), "ПРОВЕРИТЬ", VLOOKUP(A2138, 'Актуальное состояние (из общего'!A:C,3,0)), "")</f>
        <v/>
      </c>
      <c r="U2138" s="9" t="s">
        <v>13284</v>
      </c>
      <c r="V2138" s="9" t="s">
        <v>13284</v>
      </c>
      <c r="W2138" s="12"/>
      <c r="X2138" s="9" t="str">
        <f t="array" ref="X2138">IFERROR(INDEX('Адреса общежитий (скрытый)'!$B$2:$B$9, MATCH(W2138, 'Адреса общежитий (скрытый)'!$A$2:$A$9, 0)), "")</f>
        <v/>
      </c>
      <c r="Y2138" s="18"/>
      <c r="Z2138" s="18"/>
      <c r="AA2138" s="18"/>
      <c r="AB2138" s="18"/>
      <c r="AC2138" s="18"/>
    </row>
    <row r="2139" spans="1:29" ht="32.25" hidden="1" customHeight="1">
      <c r="A2139" s="17"/>
      <c r="B2139" s="9" t="s">
        <v>13284</v>
      </c>
      <c r="C2139" s="9" t="s">
        <v>13284</v>
      </c>
      <c r="D2139" s="9" t="s">
        <v>13284</v>
      </c>
      <c r="E2139" s="9" t="s">
        <v>13284</v>
      </c>
      <c r="F2139" s="9" t="s">
        <v>13284</v>
      </c>
      <c r="G2139" s="9" t="s">
        <v>13284</v>
      </c>
      <c r="H2139" s="9" t="s">
        <v>13284</v>
      </c>
      <c r="I2139" s="9" t="s">
        <v>13284</v>
      </c>
      <c r="J2139" s="9" t="s">
        <v>13284</v>
      </c>
      <c r="K2139" s="9" t="s">
        <v>13284</v>
      </c>
      <c r="L2139" s="9" t="s">
        <v>13284</v>
      </c>
      <c r="M2139" s="9" t="s">
        <v>13284</v>
      </c>
      <c r="N2139" s="9" t="s">
        <v>13284</v>
      </c>
      <c r="O2139" s="9" t="s">
        <v>13284</v>
      </c>
      <c r="P2139" s="9" t="s">
        <v>13284</v>
      </c>
      <c r="Q2139" s="9" t="s">
        <v>13284</v>
      </c>
      <c r="R2139" s="9" t="s">
        <v>13284</v>
      </c>
      <c r="S2139" s="9" t="s">
        <v>13284</v>
      </c>
      <c r="T2139" s="9" t="str">
        <f ca="1">IFERROR(IF(AND(VLOOKUP(A2139, 'Актуальное состояние (из общего'!A:C,3,0) = "", A2139 &lt;&gt; ""), "ПРОВЕРИТЬ", VLOOKUP(A2139, 'Актуальное состояние (из общего'!A:C,3,0)), "")</f>
        <v/>
      </c>
      <c r="U2139" s="9" t="s">
        <v>13284</v>
      </c>
      <c r="V2139" s="9" t="s">
        <v>13284</v>
      </c>
      <c r="W2139" s="12"/>
      <c r="X2139" s="9" t="str">
        <f t="array" ref="X2139">IFERROR(INDEX('Адреса общежитий (скрытый)'!$B$2:$B$9, MATCH(W2139, 'Адреса общежитий (скрытый)'!$A$2:$A$9, 0)), "")</f>
        <v/>
      </c>
      <c r="Y2139" s="18"/>
      <c r="Z2139" s="18"/>
      <c r="AA2139" s="18"/>
      <c r="AB2139" s="18"/>
      <c r="AC2139" s="18"/>
    </row>
    <row r="2140" spans="1:29" ht="32.25" hidden="1" customHeight="1">
      <c r="A2140" s="17"/>
      <c r="B2140" s="9" t="s">
        <v>13284</v>
      </c>
      <c r="C2140" s="9" t="s">
        <v>13284</v>
      </c>
      <c r="D2140" s="9" t="s">
        <v>13284</v>
      </c>
      <c r="E2140" s="9" t="s">
        <v>13284</v>
      </c>
      <c r="F2140" s="9" t="s">
        <v>13284</v>
      </c>
      <c r="G2140" s="9" t="s">
        <v>13284</v>
      </c>
      <c r="H2140" s="9" t="s">
        <v>13284</v>
      </c>
      <c r="I2140" s="9" t="s">
        <v>13284</v>
      </c>
      <c r="J2140" s="9" t="s">
        <v>13284</v>
      </c>
      <c r="K2140" s="9" t="s">
        <v>13284</v>
      </c>
      <c r="L2140" s="9" t="s">
        <v>13284</v>
      </c>
      <c r="M2140" s="9" t="s">
        <v>13284</v>
      </c>
      <c r="N2140" s="9" t="s">
        <v>13284</v>
      </c>
      <c r="O2140" s="9" t="s">
        <v>13284</v>
      </c>
      <c r="P2140" s="9" t="s">
        <v>13284</v>
      </c>
      <c r="Q2140" s="9" t="s">
        <v>13284</v>
      </c>
      <c r="R2140" s="9" t="s">
        <v>13284</v>
      </c>
      <c r="S2140" s="9" t="s">
        <v>13284</v>
      </c>
      <c r="T2140" s="9" t="str">
        <f ca="1">IFERROR(IF(AND(VLOOKUP(A2140, 'Актуальное состояние (из общего'!A:C,3,0) = "", A2140 &lt;&gt; ""), "ПРОВЕРИТЬ", VLOOKUP(A2140, 'Актуальное состояние (из общего'!A:C,3,0)), "")</f>
        <v/>
      </c>
      <c r="U2140" s="9" t="s">
        <v>13284</v>
      </c>
      <c r="V2140" s="9" t="s">
        <v>13284</v>
      </c>
      <c r="W2140" s="12"/>
      <c r="X2140" s="9" t="str">
        <f t="array" ref="X2140">IFERROR(INDEX('Адреса общежитий (скрытый)'!$B$2:$B$9, MATCH(W2140, 'Адреса общежитий (скрытый)'!$A$2:$A$9, 0)), "")</f>
        <v/>
      </c>
      <c r="Y2140" s="18"/>
      <c r="Z2140" s="18"/>
      <c r="AA2140" s="18"/>
      <c r="AB2140" s="18"/>
      <c r="AC2140" s="18"/>
    </row>
    <row r="2141" spans="1:29" ht="32.25" hidden="1" customHeight="1">
      <c r="A2141" s="17"/>
      <c r="B2141" s="9" t="s">
        <v>13284</v>
      </c>
      <c r="C2141" s="9" t="s">
        <v>13284</v>
      </c>
      <c r="D2141" s="9" t="s">
        <v>13284</v>
      </c>
      <c r="E2141" s="9" t="s">
        <v>13284</v>
      </c>
      <c r="F2141" s="9" t="s">
        <v>13284</v>
      </c>
      <c r="G2141" s="9" t="s">
        <v>13284</v>
      </c>
      <c r="H2141" s="9" t="s">
        <v>13284</v>
      </c>
      <c r="I2141" s="9" t="s">
        <v>13284</v>
      </c>
      <c r="J2141" s="9" t="s">
        <v>13284</v>
      </c>
      <c r="K2141" s="9" t="s">
        <v>13284</v>
      </c>
      <c r="L2141" s="9" t="s">
        <v>13284</v>
      </c>
      <c r="M2141" s="9" t="s">
        <v>13284</v>
      </c>
      <c r="N2141" s="9" t="s">
        <v>13284</v>
      </c>
      <c r="O2141" s="9" t="s">
        <v>13284</v>
      </c>
      <c r="P2141" s="9" t="s">
        <v>13284</v>
      </c>
      <c r="Q2141" s="9" t="s">
        <v>13284</v>
      </c>
      <c r="R2141" s="9" t="s">
        <v>13284</v>
      </c>
      <c r="S2141" s="9" t="s">
        <v>13284</v>
      </c>
      <c r="T2141" s="9" t="str">
        <f ca="1">IFERROR(IF(AND(VLOOKUP(A2141, 'Актуальное состояние (из общего'!A:C,3,0) = "", A2141 &lt;&gt; ""), "ПРОВЕРИТЬ", VLOOKUP(A2141, 'Актуальное состояние (из общего'!A:C,3,0)), "")</f>
        <v/>
      </c>
      <c r="U2141" s="9" t="s">
        <v>13284</v>
      </c>
      <c r="V2141" s="9" t="s">
        <v>13284</v>
      </c>
      <c r="W2141" s="12"/>
      <c r="X2141" s="9" t="str">
        <f t="array" ref="X2141">IFERROR(INDEX('Адреса общежитий (скрытый)'!$B$2:$B$9, MATCH(W2141, 'Адреса общежитий (скрытый)'!$A$2:$A$9, 0)), "")</f>
        <v/>
      </c>
      <c r="Y2141" s="18"/>
      <c r="Z2141" s="18"/>
      <c r="AA2141" s="18"/>
      <c r="AB2141" s="18"/>
      <c r="AC2141" s="18"/>
    </row>
    <row r="2142" spans="1:29" ht="32.25" hidden="1" customHeight="1">
      <c r="A2142" s="17"/>
      <c r="B2142" s="9" t="s">
        <v>13284</v>
      </c>
      <c r="C2142" s="9" t="s">
        <v>13284</v>
      </c>
      <c r="D2142" s="9" t="s">
        <v>13284</v>
      </c>
      <c r="E2142" s="9" t="s">
        <v>13284</v>
      </c>
      <c r="F2142" s="9" t="s">
        <v>13284</v>
      </c>
      <c r="G2142" s="9" t="s">
        <v>13284</v>
      </c>
      <c r="H2142" s="9" t="s">
        <v>13284</v>
      </c>
      <c r="I2142" s="9" t="s">
        <v>13284</v>
      </c>
      <c r="J2142" s="9" t="s">
        <v>13284</v>
      </c>
      <c r="K2142" s="9" t="s">
        <v>13284</v>
      </c>
      <c r="L2142" s="9" t="s">
        <v>13284</v>
      </c>
      <c r="M2142" s="9" t="s">
        <v>13284</v>
      </c>
      <c r="N2142" s="9" t="s">
        <v>13284</v>
      </c>
      <c r="O2142" s="9" t="s">
        <v>13284</v>
      </c>
      <c r="P2142" s="9" t="s">
        <v>13284</v>
      </c>
      <c r="Q2142" s="9" t="s">
        <v>13284</v>
      </c>
      <c r="R2142" s="9" t="s">
        <v>13284</v>
      </c>
      <c r="S2142" s="9" t="s">
        <v>13284</v>
      </c>
      <c r="T2142" s="9" t="str">
        <f ca="1">IFERROR(IF(AND(VLOOKUP(A2142, 'Актуальное состояние (из общего'!A:C,3,0) = "", A2142 &lt;&gt; ""), "ПРОВЕРИТЬ", VLOOKUP(A2142, 'Актуальное состояние (из общего'!A:C,3,0)), "")</f>
        <v/>
      </c>
      <c r="U2142" s="9" t="s">
        <v>13284</v>
      </c>
      <c r="V2142" s="9" t="s">
        <v>13284</v>
      </c>
      <c r="W2142" s="12"/>
      <c r="X2142" s="9" t="str">
        <f t="array" ref="X2142">IFERROR(INDEX('Адреса общежитий (скрытый)'!$B$2:$B$9, MATCH(W2142, 'Адреса общежитий (скрытый)'!$A$2:$A$9, 0)), "")</f>
        <v/>
      </c>
      <c r="Y2142" s="18"/>
      <c r="Z2142" s="18"/>
      <c r="AA2142" s="18"/>
      <c r="AB2142" s="18"/>
      <c r="AC2142" s="18"/>
    </row>
    <row r="2143" spans="1:29" ht="32.25" hidden="1" customHeight="1">
      <c r="A2143" s="17"/>
      <c r="B2143" s="9" t="s">
        <v>13284</v>
      </c>
      <c r="C2143" s="9" t="s">
        <v>13284</v>
      </c>
      <c r="D2143" s="9" t="s">
        <v>13284</v>
      </c>
      <c r="E2143" s="9" t="s">
        <v>13284</v>
      </c>
      <c r="F2143" s="9" t="s">
        <v>13284</v>
      </c>
      <c r="G2143" s="9" t="s">
        <v>13284</v>
      </c>
      <c r="H2143" s="9" t="s">
        <v>13284</v>
      </c>
      <c r="I2143" s="9" t="s">
        <v>13284</v>
      </c>
      <c r="J2143" s="9" t="s">
        <v>13284</v>
      </c>
      <c r="K2143" s="9" t="s">
        <v>13284</v>
      </c>
      <c r="L2143" s="9" t="s">
        <v>13284</v>
      </c>
      <c r="M2143" s="9" t="s">
        <v>13284</v>
      </c>
      <c r="N2143" s="9" t="s">
        <v>13284</v>
      </c>
      <c r="O2143" s="9" t="s">
        <v>13284</v>
      </c>
      <c r="P2143" s="9" t="s">
        <v>13284</v>
      </c>
      <c r="Q2143" s="9" t="s">
        <v>13284</v>
      </c>
      <c r="R2143" s="9" t="s">
        <v>13284</v>
      </c>
      <c r="S2143" s="9" t="s">
        <v>13284</v>
      </c>
      <c r="T2143" s="9" t="str">
        <f ca="1">IFERROR(IF(AND(VLOOKUP(A2143, 'Актуальное состояние (из общего'!A:C,3,0) = "", A2143 &lt;&gt; ""), "ПРОВЕРИТЬ", VLOOKUP(A2143, 'Актуальное состояние (из общего'!A:C,3,0)), "")</f>
        <v/>
      </c>
      <c r="U2143" s="9" t="s">
        <v>13284</v>
      </c>
      <c r="V2143" s="9" t="s">
        <v>13284</v>
      </c>
      <c r="W2143" s="12"/>
      <c r="X2143" s="9" t="str">
        <f t="array" ref="X2143">IFERROR(INDEX('Адреса общежитий (скрытый)'!$B$2:$B$9, MATCH(W2143, 'Адреса общежитий (скрытый)'!$A$2:$A$9, 0)), "")</f>
        <v/>
      </c>
      <c r="Y2143" s="18"/>
      <c r="Z2143" s="18"/>
      <c r="AA2143" s="18"/>
      <c r="AB2143" s="18"/>
      <c r="AC2143" s="18"/>
    </row>
    <row r="2144" spans="1:29" ht="32.25" hidden="1" customHeight="1">
      <c r="A2144" s="17"/>
      <c r="B2144" s="9" t="s">
        <v>13284</v>
      </c>
      <c r="C2144" s="9" t="s">
        <v>13284</v>
      </c>
      <c r="D2144" s="9" t="s">
        <v>13284</v>
      </c>
      <c r="E2144" s="9" t="s">
        <v>13284</v>
      </c>
      <c r="F2144" s="9" t="s">
        <v>13284</v>
      </c>
      <c r="G2144" s="9" t="s">
        <v>13284</v>
      </c>
      <c r="H2144" s="9" t="s">
        <v>13284</v>
      </c>
      <c r="I2144" s="9" t="s">
        <v>13284</v>
      </c>
      <c r="J2144" s="9" t="s">
        <v>13284</v>
      </c>
      <c r="K2144" s="9" t="s">
        <v>13284</v>
      </c>
      <c r="L2144" s="9" t="s">
        <v>13284</v>
      </c>
      <c r="M2144" s="9" t="s">
        <v>13284</v>
      </c>
      <c r="N2144" s="9" t="s">
        <v>13284</v>
      </c>
      <c r="O2144" s="9" t="s">
        <v>13284</v>
      </c>
      <c r="P2144" s="9" t="s">
        <v>13284</v>
      </c>
      <c r="Q2144" s="9" t="s">
        <v>13284</v>
      </c>
      <c r="R2144" s="9" t="s">
        <v>13284</v>
      </c>
      <c r="S2144" s="9" t="s">
        <v>13284</v>
      </c>
      <c r="T2144" s="9" t="str">
        <f ca="1">IFERROR(IF(AND(VLOOKUP(A2144, 'Актуальное состояние (из общего'!A:C,3,0) = "", A2144 &lt;&gt; ""), "ПРОВЕРИТЬ", VLOOKUP(A2144, 'Актуальное состояние (из общего'!A:C,3,0)), "")</f>
        <v/>
      </c>
      <c r="U2144" s="9" t="s">
        <v>13284</v>
      </c>
      <c r="V2144" s="9" t="s">
        <v>13284</v>
      </c>
      <c r="W2144" s="12"/>
      <c r="X2144" s="9" t="str">
        <f t="array" ref="X2144">IFERROR(INDEX('Адреса общежитий (скрытый)'!$B$2:$B$9, MATCH(W2144, 'Адреса общежитий (скрытый)'!$A$2:$A$9, 0)), "")</f>
        <v/>
      </c>
      <c r="Y2144" s="18"/>
      <c r="Z2144" s="18"/>
      <c r="AA2144" s="18"/>
      <c r="AB2144" s="18"/>
      <c r="AC2144" s="18"/>
    </row>
    <row r="2145" spans="1:29" ht="32.25" hidden="1" customHeight="1">
      <c r="A2145" s="17"/>
      <c r="B2145" s="9" t="s">
        <v>13284</v>
      </c>
      <c r="C2145" s="9" t="s">
        <v>13284</v>
      </c>
      <c r="D2145" s="9" t="s">
        <v>13284</v>
      </c>
      <c r="E2145" s="9" t="s">
        <v>13284</v>
      </c>
      <c r="F2145" s="9" t="s">
        <v>13284</v>
      </c>
      <c r="G2145" s="9" t="s">
        <v>13284</v>
      </c>
      <c r="H2145" s="9" t="s">
        <v>13284</v>
      </c>
      <c r="I2145" s="9" t="s">
        <v>13284</v>
      </c>
      <c r="J2145" s="9" t="s">
        <v>13284</v>
      </c>
      <c r="K2145" s="9" t="s">
        <v>13284</v>
      </c>
      <c r="L2145" s="9" t="s">
        <v>13284</v>
      </c>
      <c r="M2145" s="9" t="s">
        <v>13284</v>
      </c>
      <c r="N2145" s="9" t="s">
        <v>13284</v>
      </c>
      <c r="O2145" s="9" t="s">
        <v>13284</v>
      </c>
      <c r="P2145" s="9" t="s">
        <v>13284</v>
      </c>
      <c r="Q2145" s="9" t="s">
        <v>13284</v>
      </c>
      <c r="R2145" s="9" t="s">
        <v>13284</v>
      </c>
      <c r="S2145" s="9" t="s">
        <v>13284</v>
      </c>
      <c r="T2145" s="9" t="str">
        <f ca="1">IFERROR(IF(AND(VLOOKUP(A2145, 'Актуальное состояние (из общего'!A:C,3,0) = "", A2145 &lt;&gt; ""), "ПРОВЕРИТЬ", VLOOKUP(A2145, 'Актуальное состояние (из общего'!A:C,3,0)), "")</f>
        <v/>
      </c>
      <c r="U2145" s="9" t="s">
        <v>13284</v>
      </c>
      <c r="V2145" s="9" t="s">
        <v>13284</v>
      </c>
      <c r="W2145" s="12"/>
      <c r="X2145" s="9" t="str">
        <f t="array" ref="X2145">IFERROR(INDEX('Адреса общежитий (скрытый)'!$B$2:$B$9, MATCH(W2145, 'Адреса общежитий (скрытый)'!$A$2:$A$9, 0)), "")</f>
        <v/>
      </c>
      <c r="Y2145" s="18"/>
      <c r="Z2145" s="18"/>
      <c r="AA2145" s="18"/>
      <c r="AB2145" s="18"/>
      <c r="AC2145" s="18"/>
    </row>
    <row r="2146" spans="1:29" ht="32.25" hidden="1" customHeight="1">
      <c r="A2146" s="17"/>
      <c r="B2146" s="9" t="s">
        <v>13284</v>
      </c>
      <c r="C2146" s="9" t="s">
        <v>13284</v>
      </c>
      <c r="D2146" s="9" t="s">
        <v>13284</v>
      </c>
      <c r="E2146" s="9" t="s">
        <v>13284</v>
      </c>
      <c r="F2146" s="9" t="s">
        <v>13284</v>
      </c>
      <c r="G2146" s="9" t="s">
        <v>13284</v>
      </c>
      <c r="H2146" s="9" t="s">
        <v>13284</v>
      </c>
      <c r="I2146" s="9" t="s">
        <v>13284</v>
      </c>
      <c r="J2146" s="9" t="s">
        <v>13284</v>
      </c>
      <c r="K2146" s="9" t="s">
        <v>13284</v>
      </c>
      <c r="L2146" s="9" t="s">
        <v>13284</v>
      </c>
      <c r="M2146" s="9" t="s">
        <v>13284</v>
      </c>
      <c r="N2146" s="9" t="s">
        <v>13284</v>
      </c>
      <c r="O2146" s="9" t="s">
        <v>13284</v>
      </c>
      <c r="P2146" s="9" t="s">
        <v>13284</v>
      </c>
      <c r="Q2146" s="9" t="s">
        <v>13284</v>
      </c>
      <c r="R2146" s="9" t="s">
        <v>13284</v>
      </c>
      <c r="S2146" s="9" t="s">
        <v>13284</v>
      </c>
      <c r="T2146" s="9" t="str">
        <f ca="1">IFERROR(IF(AND(VLOOKUP(A2146, 'Актуальное состояние (из общего'!A:C,3,0) = "", A2146 &lt;&gt; ""), "ПРОВЕРИТЬ", VLOOKUP(A2146, 'Актуальное состояние (из общего'!A:C,3,0)), "")</f>
        <v/>
      </c>
      <c r="U2146" s="9" t="s">
        <v>13284</v>
      </c>
      <c r="V2146" s="9" t="s">
        <v>13284</v>
      </c>
      <c r="W2146" s="12"/>
      <c r="X2146" s="9" t="str">
        <f t="array" ref="X2146">IFERROR(INDEX('Адреса общежитий (скрытый)'!$B$2:$B$9, MATCH(W2146, 'Адреса общежитий (скрытый)'!$A$2:$A$9, 0)), "")</f>
        <v/>
      </c>
      <c r="Y2146" s="18"/>
      <c r="Z2146" s="18"/>
      <c r="AA2146" s="18"/>
      <c r="AB2146" s="18"/>
      <c r="AC2146" s="18"/>
    </row>
    <row r="2147" spans="1:29" ht="32.25" hidden="1" customHeight="1">
      <c r="A2147" s="17"/>
      <c r="B2147" s="9" t="s">
        <v>13284</v>
      </c>
      <c r="C2147" s="9" t="s">
        <v>13284</v>
      </c>
      <c r="D2147" s="9" t="s">
        <v>13284</v>
      </c>
      <c r="E2147" s="9" t="s">
        <v>13284</v>
      </c>
      <c r="F2147" s="9" t="s">
        <v>13284</v>
      </c>
      <c r="G2147" s="9" t="s">
        <v>13284</v>
      </c>
      <c r="H2147" s="9" t="s">
        <v>13284</v>
      </c>
      <c r="I2147" s="9" t="s">
        <v>13284</v>
      </c>
      <c r="J2147" s="9" t="s">
        <v>13284</v>
      </c>
      <c r="K2147" s="9" t="s">
        <v>13284</v>
      </c>
      <c r="L2147" s="9" t="s">
        <v>13284</v>
      </c>
      <c r="M2147" s="9" t="s">
        <v>13284</v>
      </c>
      <c r="N2147" s="9" t="s">
        <v>13284</v>
      </c>
      <c r="O2147" s="9" t="s">
        <v>13284</v>
      </c>
      <c r="P2147" s="9" t="s">
        <v>13284</v>
      </c>
      <c r="Q2147" s="9" t="s">
        <v>13284</v>
      </c>
      <c r="R2147" s="9" t="s">
        <v>13284</v>
      </c>
      <c r="S2147" s="9" t="s">
        <v>13284</v>
      </c>
      <c r="T2147" s="9" t="str">
        <f ca="1">IFERROR(IF(AND(VLOOKUP(A2147, 'Актуальное состояние (из общего'!A:C,3,0) = "", A2147 &lt;&gt; ""), "ПРОВЕРИТЬ", VLOOKUP(A2147, 'Актуальное состояние (из общего'!A:C,3,0)), "")</f>
        <v/>
      </c>
      <c r="U2147" s="9" t="s">
        <v>13284</v>
      </c>
      <c r="V2147" s="9" t="s">
        <v>13284</v>
      </c>
      <c r="W2147" s="12"/>
      <c r="X2147" s="9" t="str">
        <f t="array" ref="X2147">IFERROR(INDEX('Адреса общежитий (скрытый)'!$B$2:$B$9, MATCH(W2147, 'Адреса общежитий (скрытый)'!$A$2:$A$9, 0)), "")</f>
        <v/>
      </c>
      <c r="Y2147" s="18"/>
      <c r="Z2147" s="18"/>
      <c r="AA2147" s="18"/>
      <c r="AB2147" s="18"/>
      <c r="AC2147" s="18"/>
    </row>
    <row r="2148" spans="1:29" ht="32.25" hidden="1" customHeight="1">
      <c r="A2148" s="17"/>
      <c r="B2148" s="9" t="s">
        <v>13284</v>
      </c>
      <c r="C2148" s="9" t="s">
        <v>13284</v>
      </c>
      <c r="D2148" s="9" t="s">
        <v>13284</v>
      </c>
      <c r="E2148" s="9" t="s">
        <v>13284</v>
      </c>
      <c r="F2148" s="9" t="s">
        <v>13284</v>
      </c>
      <c r="G2148" s="9" t="s">
        <v>13284</v>
      </c>
      <c r="H2148" s="9" t="s">
        <v>13284</v>
      </c>
      <c r="I2148" s="9" t="s">
        <v>13284</v>
      </c>
      <c r="J2148" s="9" t="s">
        <v>13284</v>
      </c>
      <c r="K2148" s="9" t="s">
        <v>13284</v>
      </c>
      <c r="L2148" s="9" t="s">
        <v>13284</v>
      </c>
      <c r="M2148" s="9" t="s">
        <v>13284</v>
      </c>
      <c r="N2148" s="9" t="s">
        <v>13284</v>
      </c>
      <c r="O2148" s="9" t="s">
        <v>13284</v>
      </c>
      <c r="P2148" s="9" t="s">
        <v>13284</v>
      </c>
      <c r="Q2148" s="9" t="s">
        <v>13284</v>
      </c>
      <c r="R2148" s="9" t="s">
        <v>13284</v>
      </c>
      <c r="S2148" s="9" t="s">
        <v>13284</v>
      </c>
      <c r="T2148" s="9" t="str">
        <f ca="1">IFERROR(IF(AND(VLOOKUP(A2148, 'Актуальное состояние (из общего'!A:C,3,0) = "", A2148 &lt;&gt; ""), "ПРОВЕРИТЬ", VLOOKUP(A2148, 'Актуальное состояние (из общего'!A:C,3,0)), "")</f>
        <v/>
      </c>
      <c r="U2148" s="9" t="s">
        <v>13284</v>
      </c>
      <c r="V2148" s="9" t="s">
        <v>13284</v>
      </c>
      <c r="W2148" s="12"/>
      <c r="X2148" s="9" t="str">
        <f t="array" ref="X2148">IFERROR(INDEX('Адреса общежитий (скрытый)'!$B$2:$B$9, MATCH(W2148, 'Адреса общежитий (скрытый)'!$A$2:$A$9, 0)), "")</f>
        <v/>
      </c>
      <c r="Y2148" s="18"/>
      <c r="Z2148" s="18"/>
      <c r="AA2148" s="18"/>
      <c r="AB2148" s="18"/>
      <c r="AC2148" s="18"/>
    </row>
    <row r="2149" spans="1:29" ht="32.25" hidden="1" customHeight="1">
      <c r="A2149" s="17"/>
      <c r="B2149" s="9" t="s">
        <v>13284</v>
      </c>
      <c r="C2149" s="9" t="s">
        <v>13284</v>
      </c>
      <c r="D2149" s="9" t="s">
        <v>13284</v>
      </c>
      <c r="E2149" s="9" t="s">
        <v>13284</v>
      </c>
      <c r="F2149" s="9" t="s">
        <v>13284</v>
      </c>
      <c r="G2149" s="9" t="s">
        <v>13284</v>
      </c>
      <c r="H2149" s="9" t="s">
        <v>13284</v>
      </c>
      <c r="I2149" s="9" t="s">
        <v>13284</v>
      </c>
      <c r="J2149" s="9" t="s">
        <v>13284</v>
      </c>
      <c r="K2149" s="9" t="s">
        <v>13284</v>
      </c>
      <c r="L2149" s="9" t="s">
        <v>13284</v>
      </c>
      <c r="M2149" s="9" t="s">
        <v>13284</v>
      </c>
      <c r="N2149" s="9" t="s">
        <v>13284</v>
      </c>
      <c r="O2149" s="9" t="s">
        <v>13284</v>
      </c>
      <c r="P2149" s="9" t="s">
        <v>13284</v>
      </c>
      <c r="Q2149" s="9" t="s">
        <v>13284</v>
      </c>
      <c r="R2149" s="9" t="s">
        <v>13284</v>
      </c>
      <c r="S2149" s="9" t="s">
        <v>13284</v>
      </c>
      <c r="T2149" s="9" t="str">
        <f ca="1">IFERROR(IF(AND(VLOOKUP(A2149, 'Актуальное состояние (из общего'!A:C,3,0) = "", A2149 &lt;&gt; ""), "ПРОВЕРИТЬ", VLOOKUP(A2149, 'Актуальное состояние (из общего'!A:C,3,0)), "")</f>
        <v/>
      </c>
      <c r="U2149" s="9" t="s">
        <v>13284</v>
      </c>
      <c r="V2149" s="9" t="s">
        <v>13284</v>
      </c>
      <c r="W2149" s="12"/>
      <c r="X2149" s="9" t="str">
        <f t="array" ref="X2149">IFERROR(INDEX('Адреса общежитий (скрытый)'!$B$2:$B$9, MATCH(W2149, 'Адреса общежитий (скрытый)'!$A$2:$A$9, 0)), "")</f>
        <v/>
      </c>
      <c r="Y2149" s="18"/>
      <c r="Z2149" s="18"/>
      <c r="AA2149" s="18"/>
      <c r="AB2149" s="18"/>
      <c r="AC2149" s="18"/>
    </row>
    <row r="2150" spans="1:29" ht="32.25" hidden="1" customHeight="1">
      <c r="A2150" s="17"/>
      <c r="B2150" s="9" t="s">
        <v>13284</v>
      </c>
      <c r="C2150" s="9" t="s">
        <v>13284</v>
      </c>
      <c r="D2150" s="9" t="s">
        <v>13284</v>
      </c>
      <c r="E2150" s="9" t="s">
        <v>13284</v>
      </c>
      <c r="F2150" s="9" t="s">
        <v>13284</v>
      </c>
      <c r="G2150" s="9" t="s">
        <v>13284</v>
      </c>
      <c r="H2150" s="9" t="s">
        <v>13284</v>
      </c>
      <c r="I2150" s="9" t="s">
        <v>13284</v>
      </c>
      <c r="J2150" s="9" t="s">
        <v>13284</v>
      </c>
      <c r="K2150" s="9" t="s">
        <v>13284</v>
      </c>
      <c r="L2150" s="9" t="s">
        <v>13284</v>
      </c>
      <c r="M2150" s="9" t="s">
        <v>13284</v>
      </c>
      <c r="N2150" s="9" t="s">
        <v>13284</v>
      </c>
      <c r="O2150" s="9" t="s">
        <v>13284</v>
      </c>
      <c r="P2150" s="9" t="s">
        <v>13284</v>
      </c>
      <c r="Q2150" s="9" t="s">
        <v>13284</v>
      </c>
      <c r="R2150" s="9" t="s">
        <v>13284</v>
      </c>
      <c r="S2150" s="9" t="s">
        <v>13284</v>
      </c>
      <c r="T2150" s="9" t="str">
        <f ca="1">IFERROR(IF(AND(VLOOKUP(A2150, 'Актуальное состояние (из общего'!A:C,3,0) = "", A2150 &lt;&gt; ""), "ПРОВЕРИТЬ", VLOOKUP(A2150, 'Актуальное состояние (из общего'!A:C,3,0)), "")</f>
        <v/>
      </c>
      <c r="U2150" s="9" t="s">
        <v>13284</v>
      </c>
      <c r="V2150" s="9" t="s">
        <v>13284</v>
      </c>
      <c r="W2150" s="12"/>
      <c r="X2150" s="9" t="str">
        <f t="array" ref="X2150">IFERROR(INDEX('Адреса общежитий (скрытый)'!$B$2:$B$9, MATCH(W2150, 'Адреса общежитий (скрытый)'!$A$2:$A$9, 0)), "")</f>
        <v/>
      </c>
      <c r="Y2150" s="18"/>
      <c r="Z2150" s="18"/>
      <c r="AA2150" s="18"/>
      <c r="AB2150" s="18"/>
      <c r="AC2150" s="18"/>
    </row>
    <row r="2151" spans="1:29" ht="32.25" hidden="1" customHeight="1">
      <c r="A2151" s="17"/>
      <c r="B2151" s="9" t="s">
        <v>13284</v>
      </c>
      <c r="C2151" s="9" t="s">
        <v>13284</v>
      </c>
      <c r="D2151" s="9" t="s">
        <v>13284</v>
      </c>
      <c r="E2151" s="9" t="s">
        <v>13284</v>
      </c>
      <c r="F2151" s="9" t="s">
        <v>13284</v>
      </c>
      <c r="G2151" s="9" t="s">
        <v>13284</v>
      </c>
      <c r="H2151" s="9" t="s">
        <v>13284</v>
      </c>
      <c r="I2151" s="9" t="s">
        <v>13284</v>
      </c>
      <c r="J2151" s="9" t="s">
        <v>13284</v>
      </c>
      <c r="K2151" s="9" t="s">
        <v>13284</v>
      </c>
      <c r="L2151" s="9" t="s">
        <v>13284</v>
      </c>
      <c r="M2151" s="9" t="s">
        <v>13284</v>
      </c>
      <c r="N2151" s="9" t="s">
        <v>13284</v>
      </c>
      <c r="O2151" s="9" t="s">
        <v>13284</v>
      </c>
      <c r="P2151" s="9" t="s">
        <v>13284</v>
      </c>
      <c r="Q2151" s="9" t="s">
        <v>13284</v>
      </c>
      <c r="R2151" s="9" t="s">
        <v>13284</v>
      </c>
      <c r="S2151" s="9" t="s">
        <v>13284</v>
      </c>
      <c r="T2151" s="9" t="str">
        <f ca="1">IFERROR(IF(AND(VLOOKUP(A2151, 'Актуальное состояние (из общего'!A:C,3,0) = "", A2151 &lt;&gt; ""), "ПРОВЕРИТЬ", VLOOKUP(A2151, 'Актуальное состояние (из общего'!A:C,3,0)), "")</f>
        <v/>
      </c>
      <c r="U2151" s="9" t="s">
        <v>13284</v>
      </c>
      <c r="V2151" s="9" t="s">
        <v>13284</v>
      </c>
      <c r="W2151" s="12"/>
      <c r="X2151" s="9" t="str">
        <f t="array" ref="X2151">IFERROR(INDEX('Адреса общежитий (скрытый)'!$B$2:$B$9, MATCH(W2151, 'Адреса общежитий (скрытый)'!$A$2:$A$9, 0)), "")</f>
        <v/>
      </c>
      <c r="Y2151" s="18"/>
      <c r="Z2151" s="18"/>
      <c r="AA2151" s="18"/>
      <c r="AB2151" s="18"/>
      <c r="AC2151" s="18"/>
    </row>
    <row r="2152" spans="1:29" ht="32.25" hidden="1" customHeight="1">
      <c r="A2152" s="17"/>
      <c r="B2152" s="9" t="s">
        <v>13284</v>
      </c>
      <c r="C2152" s="9" t="s">
        <v>13284</v>
      </c>
      <c r="D2152" s="9" t="s">
        <v>13284</v>
      </c>
      <c r="E2152" s="9" t="s">
        <v>13284</v>
      </c>
      <c r="F2152" s="9" t="s">
        <v>13284</v>
      </c>
      <c r="G2152" s="9" t="s">
        <v>13284</v>
      </c>
      <c r="H2152" s="9" t="s">
        <v>13284</v>
      </c>
      <c r="I2152" s="9" t="s">
        <v>13284</v>
      </c>
      <c r="J2152" s="9" t="s">
        <v>13284</v>
      </c>
      <c r="K2152" s="9" t="s">
        <v>13284</v>
      </c>
      <c r="L2152" s="9" t="s">
        <v>13284</v>
      </c>
      <c r="M2152" s="9" t="s">
        <v>13284</v>
      </c>
      <c r="N2152" s="9" t="s">
        <v>13284</v>
      </c>
      <c r="O2152" s="9" t="s">
        <v>13284</v>
      </c>
      <c r="P2152" s="9" t="s">
        <v>13284</v>
      </c>
      <c r="Q2152" s="9" t="s">
        <v>13284</v>
      </c>
      <c r="R2152" s="9" t="s">
        <v>13284</v>
      </c>
      <c r="S2152" s="9" t="s">
        <v>13284</v>
      </c>
      <c r="T2152" s="9" t="str">
        <f ca="1">IFERROR(IF(AND(VLOOKUP(A2152, 'Актуальное состояние (из общего'!A:C,3,0) = "", A2152 &lt;&gt; ""), "ПРОВЕРИТЬ", VLOOKUP(A2152, 'Актуальное состояние (из общего'!A:C,3,0)), "")</f>
        <v/>
      </c>
      <c r="U2152" s="9" t="s">
        <v>13284</v>
      </c>
      <c r="V2152" s="9" t="s">
        <v>13284</v>
      </c>
      <c r="W2152" s="12"/>
      <c r="X2152" s="9" t="str">
        <f t="array" ref="X2152">IFERROR(INDEX('Адреса общежитий (скрытый)'!$B$2:$B$9, MATCH(W2152, 'Адреса общежитий (скрытый)'!$A$2:$A$9, 0)), "")</f>
        <v/>
      </c>
      <c r="Y2152" s="18"/>
      <c r="Z2152" s="18"/>
      <c r="AA2152" s="18"/>
      <c r="AB2152" s="18"/>
      <c r="AC2152" s="18"/>
    </row>
    <row r="2153" spans="1:29" ht="32.25" hidden="1" customHeight="1">
      <c r="A2153" s="17"/>
      <c r="B2153" s="9" t="s">
        <v>13284</v>
      </c>
      <c r="C2153" s="9" t="s">
        <v>13284</v>
      </c>
      <c r="D2153" s="9" t="s">
        <v>13284</v>
      </c>
      <c r="E2153" s="9" t="s">
        <v>13284</v>
      </c>
      <c r="F2153" s="9" t="s">
        <v>13284</v>
      </c>
      <c r="G2153" s="9" t="s">
        <v>13284</v>
      </c>
      <c r="H2153" s="9" t="s">
        <v>13284</v>
      </c>
      <c r="I2153" s="9" t="s">
        <v>13284</v>
      </c>
      <c r="J2153" s="9" t="s">
        <v>13284</v>
      </c>
      <c r="K2153" s="9" t="s">
        <v>13284</v>
      </c>
      <c r="L2153" s="9" t="s">
        <v>13284</v>
      </c>
      <c r="M2153" s="9" t="s">
        <v>13284</v>
      </c>
      <c r="N2153" s="9" t="s">
        <v>13284</v>
      </c>
      <c r="O2153" s="9" t="s">
        <v>13284</v>
      </c>
      <c r="P2153" s="9" t="s">
        <v>13284</v>
      </c>
      <c r="Q2153" s="9" t="s">
        <v>13284</v>
      </c>
      <c r="R2153" s="9" t="s">
        <v>13284</v>
      </c>
      <c r="S2153" s="9" t="s">
        <v>13284</v>
      </c>
      <c r="T2153" s="9" t="str">
        <f ca="1">IFERROR(IF(AND(VLOOKUP(A2153, 'Актуальное состояние (из общего'!A:C,3,0) = "", A2153 &lt;&gt; ""), "ПРОВЕРИТЬ", VLOOKUP(A2153, 'Актуальное состояние (из общего'!A:C,3,0)), "")</f>
        <v/>
      </c>
      <c r="U2153" s="9" t="s">
        <v>13284</v>
      </c>
      <c r="V2153" s="9" t="s">
        <v>13284</v>
      </c>
      <c r="W2153" s="12"/>
      <c r="X2153" s="9" t="str">
        <f t="array" ref="X2153">IFERROR(INDEX('Адреса общежитий (скрытый)'!$B$2:$B$9, MATCH(W2153, 'Адреса общежитий (скрытый)'!$A$2:$A$9, 0)), "")</f>
        <v/>
      </c>
      <c r="Y2153" s="18"/>
      <c r="Z2153" s="18"/>
      <c r="AA2153" s="18"/>
      <c r="AB2153" s="18"/>
      <c r="AC2153" s="18"/>
    </row>
    <row r="2154" spans="1:29" ht="32.25" hidden="1" customHeight="1">
      <c r="A2154" s="17"/>
      <c r="B2154" s="9" t="s">
        <v>13284</v>
      </c>
      <c r="C2154" s="9" t="s">
        <v>13284</v>
      </c>
      <c r="D2154" s="9" t="s">
        <v>13284</v>
      </c>
      <c r="E2154" s="9" t="s">
        <v>13284</v>
      </c>
      <c r="F2154" s="9" t="s">
        <v>13284</v>
      </c>
      <c r="G2154" s="9" t="s">
        <v>13284</v>
      </c>
      <c r="H2154" s="9" t="s">
        <v>13284</v>
      </c>
      <c r="I2154" s="9" t="s">
        <v>13284</v>
      </c>
      <c r="J2154" s="9" t="s">
        <v>13284</v>
      </c>
      <c r="K2154" s="9" t="s">
        <v>13284</v>
      </c>
      <c r="L2154" s="9" t="s">
        <v>13284</v>
      </c>
      <c r="M2154" s="9" t="s">
        <v>13284</v>
      </c>
      <c r="N2154" s="9" t="s">
        <v>13284</v>
      </c>
      <c r="O2154" s="9" t="s">
        <v>13284</v>
      </c>
      <c r="P2154" s="9" t="s">
        <v>13284</v>
      </c>
      <c r="Q2154" s="9" t="s">
        <v>13284</v>
      </c>
      <c r="R2154" s="9" t="s">
        <v>13284</v>
      </c>
      <c r="S2154" s="9" t="s">
        <v>13284</v>
      </c>
      <c r="T2154" s="9" t="str">
        <f ca="1">IFERROR(IF(AND(VLOOKUP(A2154, 'Актуальное состояние (из общего'!A:C,3,0) = "", A2154 &lt;&gt; ""), "ПРОВЕРИТЬ", VLOOKUP(A2154, 'Актуальное состояние (из общего'!A:C,3,0)), "")</f>
        <v/>
      </c>
      <c r="U2154" s="9" t="s">
        <v>13284</v>
      </c>
      <c r="V2154" s="9" t="s">
        <v>13284</v>
      </c>
      <c r="W2154" s="12"/>
      <c r="X2154" s="9" t="str">
        <f t="array" ref="X2154">IFERROR(INDEX('Адреса общежитий (скрытый)'!$B$2:$B$9, MATCH(W2154, 'Адреса общежитий (скрытый)'!$A$2:$A$9, 0)), "")</f>
        <v/>
      </c>
      <c r="Y2154" s="18"/>
      <c r="Z2154" s="18"/>
      <c r="AA2154" s="18"/>
      <c r="AB2154" s="18"/>
      <c r="AC2154" s="18"/>
    </row>
    <row r="2155" spans="1:29" ht="32.25" hidden="1" customHeight="1">
      <c r="A2155" s="17"/>
      <c r="B2155" s="9" t="s">
        <v>13284</v>
      </c>
      <c r="C2155" s="9" t="s">
        <v>13284</v>
      </c>
      <c r="D2155" s="9" t="s">
        <v>13284</v>
      </c>
      <c r="E2155" s="9" t="s">
        <v>13284</v>
      </c>
      <c r="F2155" s="9" t="s">
        <v>13284</v>
      </c>
      <c r="G2155" s="9" t="s">
        <v>13284</v>
      </c>
      <c r="H2155" s="9" t="s">
        <v>13284</v>
      </c>
      <c r="I2155" s="9" t="s">
        <v>13284</v>
      </c>
      <c r="J2155" s="9" t="s">
        <v>13284</v>
      </c>
      <c r="K2155" s="9" t="s">
        <v>13284</v>
      </c>
      <c r="L2155" s="9" t="s">
        <v>13284</v>
      </c>
      <c r="M2155" s="9" t="s">
        <v>13284</v>
      </c>
      <c r="N2155" s="9" t="s">
        <v>13284</v>
      </c>
      <c r="O2155" s="9" t="s">
        <v>13284</v>
      </c>
      <c r="P2155" s="9" t="s">
        <v>13284</v>
      </c>
      <c r="Q2155" s="9" t="s">
        <v>13284</v>
      </c>
      <c r="R2155" s="9" t="s">
        <v>13284</v>
      </c>
      <c r="S2155" s="9" t="s">
        <v>13284</v>
      </c>
      <c r="T2155" s="9" t="str">
        <f ca="1">IFERROR(IF(AND(VLOOKUP(A2155, 'Актуальное состояние (из общего'!A:C,3,0) = "", A2155 &lt;&gt; ""), "ПРОВЕРИТЬ", VLOOKUP(A2155, 'Актуальное состояние (из общего'!A:C,3,0)), "")</f>
        <v/>
      </c>
      <c r="U2155" s="9" t="s">
        <v>13284</v>
      </c>
      <c r="V2155" s="9" t="s">
        <v>13284</v>
      </c>
      <c r="W2155" s="12"/>
      <c r="X2155" s="9" t="str">
        <f t="array" ref="X2155">IFERROR(INDEX('Адреса общежитий (скрытый)'!$B$2:$B$9, MATCH(W2155, 'Адреса общежитий (скрытый)'!$A$2:$A$9, 0)), "")</f>
        <v/>
      </c>
      <c r="Y2155" s="18"/>
      <c r="Z2155" s="18"/>
      <c r="AA2155" s="18"/>
      <c r="AB2155" s="18"/>
      <c r="AC2155" s="18"/>
    </row>
    <row r="2156" spans="1:29" ht="32.25" hidden="1" customHeight="1">
      <c r="A2156" s="17"/>
      <c r="B2156" s="9" t="s">
        <v>13284</v>
      </c>
      <c r="C2156" s="9" t="s">
        <v>13284</v>
      </c>
      <c r="D2156" s="9" t="s">
        <v>13284</v>
      </c>
      <c r="E2156" s="9" t="s">
        <v>13284</v>
      </c>
      <c r="F2156" s="9" t="s">
        <v>13284</v>
      </c>
      <c r="G2156" s="9" t="s">
        <v>13284</v>
      </c>
      <c r="H2156" s="9" t="s">
        <v>13284</v>
      </c>
      <c r="I2156" s="9" t="s">
        <v>13284</v>
      </c>
      <c r="J2156" s="9" t="s">
        <v>13284</v>
      </c>
      <c r="K2156" s="9" t="s">
        <v>13284</v>
      </c>
      <c r="L2156" s="9" t="s">
        <v>13284</v>
      </c>
      <c r="M2156" s="9" t="s">
        <v>13284</v>
      </c>
      <c r="N2156" s="9" t="s">
        <v>13284</v>
      </c>
      <c r="O2156" s="9" t="s">
        <v>13284</v>
      </c>
      <c r="P2156" s="9" t="s">
        <v>13284</v>
      </c>
      <c r="Q2156" s="9" t="s">
        <v>13284</v>
      </c>
      <c r="R2156" s="9" t="s">
        <v>13284</v>
      </c>
      <c r="S2156" s="9" t="s">
        <v>13284</v>
      </c>
      <c r="T2156" s="9" t="str">
        <f ca="1">IFERROR(IF(AND(VLOOKUP(A2156, 'Актуальное состояние (из общего'!A:C,3,0) = "", A2156 &lt;&gt; ""), "ПРОВЕРИТЬ", VLOOKUP(A2156, 'Актуальное состояние (из общего'!A:C,3,0)), "")</f>
        <v/>
      </c>
      <c r="U2156" s="9" t="s">
        <v>13284</v>
      </c>
      <c r="V2156" s="9" t="s">
        <v>13284</v>
      </c>
      <c r="W2156" s="12"/>
      <c r="X2156" s="9" t="str">
        <f t="array" ref="X2156">IFERROR(INDEX('Адреса общежитий (скрытый)'!$B$2:$B$9, MATCH(W2156, 'Адреса общежитий (скрытый)'!$A$2:$A$9, 0)), "")</f>
        <v/>
      </c>
      <c r="Y2156" s="18"/>
      <c r="Z2156" s="18"/>
      <c r="AA2156" s="18"/>
      <c r="AB2156" s="18"/>
      <c r="AC2156" s="18"/>
    </row>
    <row r="2157" spans="1:29" ht="32.25" hidden="1" customHeight="1">
      <c r="A2157" s="17"/>
      <c r="B2157" s="9" t="s">
        <v>13284</v>
      </c>
      <c r="C2157" s="9" t="s">
        <v>13284</v>
      </c>
      <c r="D2157" s="9" t="s">
        <v>13284</v>
      </c>
      <c r="E2157" s="9" t="s">
        <v>13284</v>
      </c>
      <c r="F2157" s="9" t="s">
        <v>13284</v>
      </c>
      <c r="G2157" s="9" t="s">
        <v>13284</v>
      </c>
      <c r="H2157" s="9" t="s">
        <v>13284</v>
      </c>
      <c r="I2157" s="9" t="s">
        <v>13284</v>
      </c>
      <c r="J2157" s="9" t="s">
        <v>13284</v>
      </c>
      <c r="K2157" s="9" t="s">
        <v>13284</v>
      </c>
      <c r="L2157" s="9" t="s">
        <v>13284</v>
      </c>
      <c r="M2157" s="9" t="s">
        <v>13284</v>
      </c>
      <c r="N2157" s="9" t="s">
        <v>13284</v>
      </c>
      <c r="O2157" s="9" t="s">
        <v>13284</v>
      </c>
      <c r="P2157" s="9" t="s">
        <v>13284</v>
      </c>
      <c r="Q2157" s="9" t="s">
        <v>13284</v>
      </c>
      <c r="R2157" s="9" t="s">
        <v>13284</v>
      </c>
      <c r="S2157" s="9" t="s">
        <v>13284</v>
      </c>
      <c r="T2157" s="9" t="str">
        <f ca="1">IFERROR(IF(AND(VLOOKUP(A2157, 'Актуальное состояние (из общего'!A:C,3,0) = "", A2157 &lt;&gt; ""), "ПРОВЕРИТЬ", VLOOKUP(A2157, 'Актуальное состояние (из общего'!A:C,3,0)), "")</f>
        <v/>
      </c>
      <c r="U2157" s="9" t="s">
        <v>13284</v>
      </c>
      <c r="V2157" s="9" t="s">
        <v>13284</v>
      </c>
      <c r="W2157" s="12"/>
      <c r="X2157" s="9" t="str">
        <f t="array" ref="X2157">IFERROR(INDEX('Адреса общежитий (скрытый)'!$B$2:$B$9, MATCH(W2157, 'Адреса общежитий (скрытый)'!$A$2:$A$9, 0)), "")</f>
        <v/>
      </c>
      <c r="Y2157" s="18"/>
      <c r="Z2157" s="18"/>
      <c r="AA2157" s="18"/>
      <c r="AB2157" s="18"/>
      <c r="AC2157" s="18"/>
    </row>
    <row r="2158" spans="1:29" ht="32.25" hidden="1" customHeight="1">
      <c r="A2158" s="17"/>
      <c r="B2158" s="9" t="s">
        <v>13284</v>
      </c>
      <c r="C2158" s="9" t="s">
        <v>13284</v>
      </c>
      <c r="D2158" s="9" t="s">
        <v>13284</v>
      </c>
      <c r="E2158" s="9" t="s">
        <v>13284</v>
      </c>
      <c r="F2158" s="9" t="s">
        <v>13284</v>
      </c>
      <c r="G2158" s="9" t="s">
        <v>13284</v>
      </c>
      <c r="H2158" s="9" t="s">
        <v>13284</v>
      </c>
      <c r="I2158" s="9" t="s">
        <v>13284</v>
      </c>
      <c r="J2158" s="9" t="s">
        <v>13284</v>
      </c>
      <c r="K2158" s="9" t="s">
        <v>13284</v>
      </c>
      <c r="L2158" s="9" t="s">
        <v>13284</v>
      </c>
      <c r="M2158" s="9" t="s">
        <v>13284</v>
      </c>
      <c r="N2158" s="9" t="s">
        <v>13284</v>
      </c>
      <c r="O2158" s="9" t="s">
        <v>13284</v>
      </c>
      <c r="P2158" s="9" t="s">
        <v>13284</v>
      </c>
      <c r="Q2158" s="9" t="s">
        <v>13284</v>
      </c>
      <c r="R2158" s="9" t="s">
        <v>13284</v>
      </c>
      <c r="S2158" s="9" t="s">
        <v>13284</v>
      </c>
      <c r="T2158" s="9" t="str">
        <f ca="1">IFERROR(IF(AND(VLOOKUP(A2158, 'Актуальное состояние (из общего'!A:C,3,0) = "", A2158 &lt;&gt; ""), "ПРОВЕРИТЬ", VLOOKUP(A2158, 'Актуальное состояние (из общего'!A:C,3,0)), "")</f>
        <v/>
      </c>
      <c r="U2158" s="9" t="s">
        <v>13284</v>
      </c>
      <c r="V2158" s="9" t="s">
        <v>13284</v>
      </c>
      <c r="W2158" s="12"/>
      <c r="X2158" s="9" t="str">
        <f t="array" ref="X2158">IFERROR(INDEX('Адреса общежитий (скрытый)'!$B$2:$B$9, MATCH(W2158, 'Адреса общежитий (скрытый)'!$A$2:$A$9, 0)), "")</f>
        <v/>
      </c>
      <c r="Y2158" s="18"/>
      <c r="Z2158" s="18"/>
      <c r="AA2158" s="18"/>
      <c r="AB2158" s="18"/>
      <c r="AC2158" s="18"/>
    </row>
    <row r="2159" spans="1:29" ht="32.25" hidden="1" customHeight="1">
      <c r="A2159" s="17"/>
      <c r="B2159" s="9" t="s">
        <v>13284</v>
      </c>
      <c r="C2159" s="9" t="s">
        <v>13284</v>
      </c>
      <c r="D2159" s="9" t="s">
        <v>13284</v>
      </c>
      <c r="E2159" s="9" t="s">
        <v>13284</v>
      </c>
      <c r="F2159" s="9" t="s">
        <v>13284</v>
      </c>
      <c r="G2159" s="9" t="s">
        <v>13284</v>
      </c>
      <c r="H2159" s="9" t="s">
        <v>13284</v>
      </c>
      <c r="I2159" s="9" t="s">
        <v>13284</v>
      </c>
      <c r="J2159" s="9" t="s">
        <v>13284</v>
      </c>
      <c r="K2159" s="9" t="s">
        <v>13284</v>
      </c>
      <c r="L2159" s="9" t="s">
        <v>13284</v>
      </c>
      <c r="M2159" s="9" t="s">
        <v>13284</v>
      </c>
      <c r="N2159" s="9" t="s">
        <v>13284</v>
      </c>
      <c r="O2159" s="9" t="s">
        <v>13284</v>
      </c>
      <c r="P2159" s="9" t="s">
        <v>13284</v>
      </c>
      <c r="Q2159" s="9" t="s">
        <v>13284</v>
      </c>
      <c r="R2159" s="9" t="s">
        <v>13284</v>
      </c>
      <c r="S2159" s="9" t="s">
        <v>13284</v>
      </c>
      <c r="T2159" s="9" t="str">
        <f ca="1">IFERROR(IF(AND(VLOOKUP(A2159, 'Актуальное состояние (из общего'!A:C,3,0) = "", A2159 &lt;&gt; ""), "ПРОВЕРИТЬ", VLOOKUP(A2159, 'Актуальное состояние (из общего'!A:C,3,0)), "")</f>
        <v/>
      </c>
      <c r="U2159" s="9" t="s">
        <v>13284</v>
      </c>
      <c r="V2159" s="9" t="s">
        <v>13284</v>
      </c>
      <c r="W2159" s="12"/>
      <c r="X2159" s="9" t="str">
        <f t="array" ref="X2159">IFERROR(INDEX('Адреса общежитий (скрытый)'!$B$2:$B$9, MATCH(W2159, 'Адреса общежитий (скрытый)'!$A$2:$A$9, 0)), "")</f>
        <v/>
      </c>
      <c r="Y2159" s="18"/>
      <c r="Z2159" s="18"/>
      <c r="AA2159" s="18"/>
      <c r="AB2159" s="18"/>
      <c r="AC2159" s="18"/>
    </row>
    <row r="2160" spans="1:29" ht="32.25" hidden="1" customHeight="1">
      <c r="A2160" s="17"/>
      <c r="B2160" s="9" t="s">
        <v>13284</v>
      </c>
      <c r="C2160" s="9" t="s">
        <v>13284</v>
      </c>
      <c r="D2160" s="9" t="s">
        <v>13284</v>
      </c>
      <c r="E2160" s="9" t="s">
        <v>13284</v>
      </c>
      <c r="F2160" s="9" t="s">
        <v>13284</v>
      </c>
      <c r="G2160" s="9" t="s">
        <v>13284</v>
      </c>
      <c r="H2160" s="9" t="s">
        <v>13284</v>
      </c>
      <c r="I2160" s="9" t="s">
        <v>13284</v>
      </c>
      <c r="J2160" s="9" t="s">
        <v>13284</v>
      </c>
      <c r="K2160" s="9" t="s">
        <v>13284</v>
      </c>
      <c r="L2160" s="9" t="s">
        <v>13284</v>
      </c>
      <c r="M2160" s="9" t="s">
        <v>13284</v>
      </c>
      <c r="N2160" s="9" t="s">
        <v>13284</v>
      </c>
      <c r="O2160" s="9" t="s">
        <v>13284</v>
      </c>
      <c r="P2160" s="9" t="s">
        <v>13284</v>
      </c>
      <c r="Q2160" s="9" t="s">
        <v>13284</v>
      </c>
      <c r="R2160" s="9" t="s">
        <v>13284</v>
      </c>
      <c r="S2160" s="9" t="s">
        <v>13284</v>
      </c>
      <c r="T2160" s="9" t="str">
        <f ca="1">IFERROR(IF(AND(VLOOKUP(A2160, 'Актуальное состояние (из общего'!A:C,3,0) = "", A2160 &lt;&gt; ""), "ПРОВЕРИТЬ", VLOOKUP(A2160, 'Актуальное состояние (из общего'!A:C,3,0)), "")</f>
        <v/>
      </c>
      <c r="U2160" s="9" t="s">
        <v>13284</v>
      </c>
      <c r="V2160" s="9" t="s">
        <v>13284</v>
      </c>
      <c r="W2160" s="12"/>
      <c r="X2160" s="9" t="str">
        <f t="array" ref="X2160">IFERROR(INDEX('Адреса общежитий (скрытый)'!$B$2:$B$9, MATCH(W2160, 'Адреса общежитий (скрытый)'!$A$2:$A$9, 0)), "")</f>
        <v/>
      </c>
      <c r="Y2160" s="18"/>
      <c r="Z2160" s="18"/>
      <c r="AA2160" s="18"/>
      <c r="AB2160" s="18"/>
      <c r="AC2160" s="18"/>
    </row>
    <row r="2161" spans="1:29" ht="32.25" hidden="1" customHeight="1">
      <c r="A2161" s="17"/>
      <c r="B2161" s="9" t="s">
        <v>13284</v>
      </c>
      <c r="C2161" s="9" t="s">
        <v>13284</v>
      </c>
      <c r="D2161" s="9" t="s">
        <v>13284</v>
      </c>
      <c r="E2161" s="9" t="s">
        <v>13284</v>
      </c>
      <c r="F2161" s="9" t="s">
        <v>13284</v>
      </c>
      <c r="G2161" s="9" t="s">
        <v>13284</v>
      </c>
      <c r="H2161" s="9" t="s">
        <v>13284</v>
      </c>
      <c r="I2161" s="9" t="s">
        <v>13284</v>
      </c>
      <c r="J2161" s="9" t="s">
        <v>13284</v>
      </c>
      <c r="K2161" s="9" t="s">
        <v>13284</v>
      </c>
      <c r="L2161" s="9" t="s">
        <v>13284</v>
      </c>
      <c r="M2161" s="9" t="s">
        <v>13284</v>
      </c>
      <c r="N2161" s="9" t="s">
        <v>13284</v>
      </c>
      <c r="O2161" s="9" t="s">
        <v>13284</v>
      </c>
      <c r="P2161" s="9" t="s">
        <v>13284</v>
      </c>
      <c r="Q2161" s="9" t="s">
        <v>13284</v>
      </c>
      <c r="R2161" s="9" t="s">
        <v>13284</v>
      </c>
      <c r="S2161" s="9" t="s">
        <v>13284</v>
      </c>
      <c r="T2161" s="9" t="str">
        <f ca="1">IFERROR(IF(AND(VLOOKUP(A2161, 'Актуальное состояние (из общего'!A:C,3,0) = "", A2161 &lt;&gt; ""), "ПРОВЕРИТЬ", VLOOKUP(A2161, 'Актуальное состояние (из общего'!A:C,3,0)), "")</f>
        <v/>
      </c>
      <c r="U2161" s="9" t="s">
        <v>13284</v>
      </c>
      <c r="V2161" s="9" t="s">
        <v>13284</v>
      </c>
      <c r="W2161" s="12"/>
      <c r="X2161" s="9" t="str">
        <f t="array" ref="X2161">IFERROR(INDEX('Адреса общежитий (скрытый)'!$B$2:$B$9, MATCH(W2161, 'Адреса общежитий (скрытый)'!$A$2:$A$9, 0)), "")</f>
        <v/>
      </c>
      <c r="Y2161" s="18"/>
      <c r="Z2161" s="18"/>
      <c r="AA2161" s="18"/>
      <c r="AB2161" s="18"/>
      <c r="AC2161" s="18"/>
    </row>
    <row r="2162" spans="1:29" ht="32.25" hidden="1" customHeight="1">
      <c r="A2162" s="17"/>
      <c r="B2162" s="9" t="s">
        <v>13284</v>
      </c>
      <c r="C2162" s="9" t="s">
        <v>13284</v>
      </c>
      <c r="D2162" s="9" t="s">
        <v>13284</v>
      </c>
      <c r="E2162" s="9" t="s">
        <v>13284</v>
      </c>
      <c r="F2162" s="9" t="s">
        <v>13284</v>
      </c>
      <c r="G2162" s="9" t="s">
        <v>13284</v>
      </c>
      <c r="H2162" s="9" t="s">
        <v>13284</v>
      </c>
      <c r="I2162" s="9" t="s">
        <v>13284</v>
      </c>
      <c r="J2162" s="9" t="s">
        <v>13284</v>
      </c>
      <c r="K2162" s="9" t="s">
        <v>13284</v>
      </c>
      <c r="L2162" s="9" t="s">
        <v>13284</v>
      </c>
      <c r="M2162" s="9" t="s">
        <v>13284</v>
      </c>
      <c r="N2162" s="9" t="s">
        <v>13284</v>
      </c>
      <c r="O2162" s="9" t="s">
        <v>13284</v>
      </c>
      <c r="P2162" s="9" t="s">
        <v>13284</v>
      </c>
      <c r="Q2162" s="9" t="s">
        <v>13284</v>
      </c>
      <c r="R2162" s="9" t="s">
        <v>13284</v>
      </c>
      <c r="S2162" s="9" t="s">
        <v>13284</v>
      </c>
      <c r="T2162" s="9" t="str">
        <f ca="1">IFERROR(IF(AND(VLOOKUP(A2162, 'Актуальное состояние (из общего'!A:C,3,0) = "", A2162 &lt;&gt; ""), "ПРОВЕРИТЬ", VLOOKUP(A2162, 'Актуальное состояние (из общего'!A:C,3,0)), "")</f>
        <v/>
      </c>
      <c r="U2162" s="9" t="s">
        <v>13284</v>
      </c>
      <c r="V2162" s="9" t="s">
        <v>13284</v>
      </c>
      <c r="W2162" s="12"/>
      <c r="X2162" s="9" t="str">
        <f t="array" ref="X2162">IFERROR(INDEX('Адреса общежитий (скрытый)'!$B$2:$B$9, MATCH(W2162, 'Адреса общежитий (скрытый)'!$A$2:$A$9, 0)), "")</f>
        <v/>
      </c>
      <c r="Y2162" s="18"/>
      <c r="Z2162" s="18"/>
      <c r="AA2162" s="18"/>
      <c r="AB2162" s="18"/>
      <c r="AC2162" s="18"/>
    </row>
    <row r="2163" spans="1:29" ht="32.25" hidden="1" customHeight="1">
      <c r="A2163" s="17"/>
      <c r="B2163" s="9" t="s">
        <v>13284</v>
      </c>
      <c r="C2163" s="9" t="s">
        <v>13284</v>
      </c>
      <c r="D2163" s="9" t="s">
        <v>13284</v>
      </c>
      <c r="E2163" s="9" t="s">
        <v>13284</v>
      </c>
      <c r="F2163" s="9" t="s">
        <v>13284</v>
      </c>
      <c r="G2163" s="9" t="s">
        <v>13284</v>
      </c>
      <c r="H2163" s="9" t="s">
        <v>13284</v>
      </c>
      <c r="I2163" s="9" t="s">
        <v>13284</v>
      </c>
      <c r="J2163" s="9" t="s">
        <v>13284</v>
      </c>
      <c r="K2163" s="9" t="s">
        <v>13284</v>
      </c>
      <c r="L2163" s="9" t="s">
        <v>13284</v>
      </c>
      <c r="M2163" s="9" t="s">
        <v>13284</v>
      </c>
      <c r="N2163" s="9" t="s">
        <v>13284</v>
      </c>
      <c r="O2163" s="9" t="s">
        <v>13284</v>
      </c>
      <c r="P2163" s="9" t="s">
        <v>13284</v>
      </c>
      <c r="Q2163" s="9" t="s">
        <v>13284</v>
      </c>
      <c r="R2163" s="9" t="s">
        <v>13284</v>
      </c>
      <c r="S2163" s="9" t="s">
        <v>13284</v>
      </c>
      <c r="T2163" s="9" t="str">
        <f ca="1">IFERROR(IF(AND(VLOOKUP(A2163, 'Актуальное состояние (из общего'!A:C,3,0) = "", A2163 &lt;&gt; ""), "ПРОВЕРИТЬ", VLOOKUP(A2163, 'Актуальное состояние (из общего'!A:C,3,0)), "")</f>
        <v/>
      </c>
      <c r="U2163" s="9" t="s">
        <v>13284</v>
      </c>
      <c r="V2163" s="9" t="s">
        <v>13284</v>
      </c>
      <c r="W2163" s="12"/>
      <c r="X2163" s="9" t="str">
        <f t="array" ref="X2163">IFERROR(INDEX('Адреса общежитий (скрытый)'!$B$2:$B$9, MATCH(W2163, 'Адреса общежитий (скрытый)'!$A$2:$A$9, 0)), "")</f>
        <v/>
      </c>
      <c r="Y2163" s="18"/>
      <c r="Z2163" s="18"/>
      <c r="AA2163" s="18"/>
      <c r="AB2163" s="18"/>
      <c r="AC2163" s="18"/>
    </row>
    <row r="2164" spans="1:29" ht="32.25" hidden="1" customHeight="1">
      <c r="A2164" s="17"/>
      <c r="B2164" s="9" t="s">
        <v>13284</v>
      </c>
      <c r="C2164" s="9" t="s">
        <v>13284</v>
      </c>
      <c r="D2164" s="9" t="s">
        <v>13284</v>
      </c>
      <c r="E2164" s="9" t="s">
        <v>13284</v>
      </c>
      <c r="F2164" s="9" t="s">
        <v>13284</v>
      </c>
      <c r="G2164" s="9" t="s">
        <v>13284</v>
      </c>
      <c r="H2164" s="9" t="s">
        <v>13284</v>
      </c>
      <c r="I2164" s="9" t="s">
        <v>13284</v>
      </c>
      <c r="J2164" s="9" t="s">
        <v>13284</v>
      </c>
      <c r="K2164" s="9" t="s">
        <v>13284</v>
      </c>
      <c r="L2164" s="9" t="s">
        <v>13284</v>
      </c>
      <c r="M2164" s="9" t="s">
        <v>13284</v>
      </c>
      <c r="N2164" s="9" t="s">
        <v>13284</v>
      </c>
      <c r="O2164" s="9" t="s">
        <v>13284</v>
      </c>
      <c r="P2164" s="9" t="s">
        <v>13284</v>
      </c>
      <c r="Q2164" s="9" t="s">
        <v>13284</v>
      </c>
      <c r="R2164" s="9" t="s">
        <v>13284</v>
      </c>
      <c r="S2164" s="9" t="s">
        <v>13284</v>
      </c>
      <c r="T2164" s="9" t="str">
        <f ca="1">IFERROR(IF(AND(VLOOKUP(A2164, 'Актуальное состояние (из общего'!A:C,3,0) = "", A2164 &lt;&gt; ""), "ПРОВЕРИТЬ", VLOOKUP(A2164, 'Актуальное состояние (из общего'!A:C,3,0)), "")</f>
        <v/>
      </c>
      <c r="U2164" s="9" t="s">
        <v>13284</v>
      </c>
      <c r="V2164" s="9" t="s">
        <v>13284</v>
      </c>
      <c r="W2164" s="12"/>
      <c r="X2164" s="9" t="str">
        <f t="array" ref="X2164">IFERROR(INDEX('Адреса общежитий (скрытый)'!$B$2:$B$9, MATCH(W2164, 'Адреса общежитий (скрытый)'!$A$2:$A$9, 0)), "")</f>
        <v/>
      </c>
      <c r="Y2164" s="18"/>
      <c r="Z2164" s="18"/>
      <c r="AA2164" s="18"/>
      <c r="AB2164" s="18"/>
      <c r="AC2164" s="18"/>
    </row>
    <row r="2165" spans="1:29" ht="32.25" hidden="1" customHeight="1">
      <c r="A2165" s="17"/>
      <c r="B2165" s="9" t="s">
        <v>13284</v>
      </c>
      <c r="C2165" s="9" t="s">
        <v>13284</v>
      </c>
      <c r="D2165" s="9" t="s">
        <v>13284</v>
      </c>
      <c r="E2165" s="9" t="s">
        <v>13284</v>
      </c>
      <c r="F2165" s="9" t="s">
        <v>13284</v>
      </c>
      <c r="G2165" s="9" t="s">
        <v>13284</v>
      </c>
      <c r="H2165" s="9" t="s">
        <v>13284</v>
      </c>
      <c r="I2165" s="9" t="s">
        <v>13284</v>
      </c>
      <c r="J2165" s="9" t="s">
        <v>13284</v>
      </c>
      <c r="K2165" s="9" t="s">
        <v>13284</v>
      </c>
      <c r="L2165" s="9" t="s">
        <v>13284</v>
      </c>
      <c r="M2165" s="9" t="s">
        <v>13284</v>
      </c>
      <c r="N2165" s="9" t="s">
        <v>13284</v>
      </c>
      <c r="O2165" s="9" t="s">
        <v>13284</v>
      </c>
      <c r="P2165" s="9" t="s">
        <v>13284</v>
      </c>
      <c r="Q2165" s="9" t="s">
        <v>13284</v>
      </c>
      <c r="R2165" s="9" t="s">
        <v>13284</v>
      </c>
      <c r="S2165" s="9" t="s">
        <v>13284</v>
      </c>
      <c r="T2165" s="9" t="str">
        <f ca="1">IFERROR(IF(AND(VLOOKUP(A2165, 'Актуальное состояние (из общего'!A:C,3,0) = "", A2165 &lt;&gt; ""), "ПРОВЕРИТЬ", VLOOKUP(A2165, 'Актуальное состояние (из общего'!A:C,3,0)), "")</f>
        <v/>
      </c>
      <c r="U2165" s="9" t="s">
        <v>13284</v>
      </c>
      <c r="V2165" s="9" t="s">
        <v>13284</v>
      </c>
      <c r="W2165" s="12"/>
      <c r="X2165" s="9" t="str">
        <f t="array" ref="X2165">IFERROR(INDEX('Адреса общежитий (скрытый)'!$B$2:$B$9, MATCH(W2165, 'Адреса общежитий (скрытый)'!$A$2:$A$9, 0)), "")</f>
        <v/>
      </c>
      <c r="Y2165" s="18"/>
      <c r="Z2165" s="18"/>
      <c r="AA2165" s="18"/>
      <c r="AB2165" s="18"/>
      <c r="AC2165" s="18"/>
    </row>
    <row r="2166" spans="1:29" ht="32.25" hidden="1" customHeight="1">
      <c r="A2166" s="17"/>
      <c r="B2166" s="9" t="s">
        <v>13284</v>
      </c>
      <c r="C2166" s="9" t="s">
        <v>13284</v>
      </c>
      <c r="D2166" s="9" t="s">
        <v>13284</v>
      </c>
      <c r="E2166" s="9" t="s">
        <v>13284</v>
      </c>
      <c r="F2166" s="9" t="s">
        <v>13284</v>
      </c>
      <c r="G2166" s="9" t="s">
        <v>13284</v>
      </c>
      <c r="H2166" s="9" t="s">
        <v>13284</v>
      </c>
      <c r="I2166" s="9" t="s">
        <v>13284</v>
      </c>
      <c r="J2166" s="9" t="s">
        <v>13284</v>
      </c>
      <c r="K2166" s="9" t="s">
        <v>13284</v>
      </c>
      <c r="L2166" s="9" t="s">
        <v>13284</v>
      </c>
      <c r="M2166" s="9" t="s">
        <v>13284</v>
      </c>
      <c r="N2166" s="9" t="s">
        <v>13284</v>
      </c>
      <c r="O2166" s="9" t="s">
        <v>13284</v>
      </c>
      <c r="P2166" s="9" t="s">
        <v>13284</v>
      </c>
      <c r="Q2166" s="9" t="s">
        <v>13284</v>
      </c>
      <c r="R2166" s="9" t="s">
        <v>13284</v>
      </c>
      <c r="S2166" s="9" t="s">
        <v>13284</v>
      </c>
      <c r="T2166" s="9" t="str">
        <f ca="1">IFERROR(IF(AND(VLOOKUP(A2166, 'Актуальное состояние (из общего'!A:C,3,0) = "", A2166 &lt;&gt; ""), "ПРОВЕРИТЬ", VLOOKUP(A2166, 'Актуальное состояние (из общего'!A:C,3,0)), "")</f>
        <v/>
      </c>
      <c r="U2166" s="9" t="s">
        <v>13284</v>
      </c>
      <c r="V2166" s="9" t="s">
        <v>13284</v>
      </c>
      <c r="W2166" s="12"/>
      <c r="X2166" s="9" t="str">
        <f t="array" ref="X2166">IFERROR(INDEX('Адреса общежитий (скрытый)'!$B$2:$B$9, MATCH(W2166, 'Адреса общежитий (скрытый)'!$A$2:$A$9, 0)), "")</f>
        <v/>
      </c>
      <c r="Y2166" s="18"/>
      <c r="Z2166" s="18"/>
      <c r="AA2166" s="18"/>
      <c r="AB2166" s="18"/>
      <c r="AC2166" s="18"/>
    </row>
    <row r="2167" spans="1:29" ht="32.25" hidden="1" customHeight="1">
      <c r="A2167" s="17"/>
      <c r="B2167" s="9" t="s">
        <v>13284</v>
      </c>
      <c r="C2167" s="9" t="s">
        <v>13284</v>
      </c>
      <c r="D2167" s="9" t="s">
        <v>13284</v>
      </c>
      <c r="E2167" s="9" t="s">
        <v>13284</v>
      </c>
      <c r="F2167" s="9" t="s">
        <v>13284</v>
      </c>
      <c r="G2167" s="9" t="s">
        <v>13284</v>
      </c>
      <c r="H2167" s="9" t="s">
        <v>13284</v>
      </c>
      <c r="I2167" s="9" t="s">
        <v>13284</v>
      </c>
      <c r="J2167" s="9" t="s">
        <v>13284</v>
      </c>
      <c r="K2167" s="9" t="s">
        <v>13284</v>
      </c>
      <c r="L2167" s="9" t="s">
        <v>13284</v>
      </c>
      <c r="M2167" s="9" t="s">
        <v>13284</v>
      </c>
      <c r="N2167" s="9" t="s">
        <v>13284</v>
      </c>
      <c r="O2167" s="9" t="s">
        <v>13284</v>
      </c>
      <c r="P2167" s="9" t="s">
        <v>13284</v>
      </c>
      <c r="Q2167" s="9" t="s">
        <v>13284</v>
      </c>
      <c r="R2167" s="9" t="s">
        <v>13284</v>
      </c>
      <c r="S2167" s="9" t="s">
        <v>13284</v>
      </c>
      <c r="T2167" s="9" t="str">
        <f ca="1">IFERROR(IF(AND(VLOOKUP(A2167, 'Актуальное состояние (из общего'!A:C,3,0) = "", A2167 &lt;&gt; ""), "ПРОВЕРИТЬ", VLOOKUP(A2167, 'Актуальное состояние (из общего'!A:C,3,0)), "")</f>
        <v/>
      </c>
      <c r="U2167" s="9" t="s">
        <v>13284</v>
      </c>
      <c r="V2167" s="9" t="s">
        <v>13284</v>
      </c>
      <c r="W2167" s="12"/>
      <c r="X2167" s="9" t="str">
        <f t="array" ref="X2167">IFERROR(INDEX('Адреса общежитий (скрытый)'!$B$2:$B$9, MATCH(W2167, 'Адреса общежитий (скрытый)'!$A$2:$A$9, 0)), "")</f>
        <v/>
      </c>
      <c r="Y2167" s="18"/>
      <c r="Z2167" s="18"/>
      <c r="AA2167" s="18"/>
      <c r="AB2167" s="18"/>
      <c r="AC2167" s="18"/>
    </row>
    <row r="2168" spans="1:29" ht="32.25" hidden="1" customHeight="1">
      <c r="A2168" s="17"/>
      <c r="B2168" s="9" t="s">
        <v>13284</v>
      </c>
      <c r="C2168" s="9" t="s">
        <v>13284</v>
      </c>
      <c r="D2168" s="9" t="s">
        <v>13284</v>
      </c>
      <c r="E2168" s="9" t="s">
        <v>13284</v>
      </c>
      <c r="F2168" s="9" t="s">
        <v>13284</v>
      </c>
      <c r="G2168" s="9" t="s">
        <v>13284</v>
      </c>
      <c r="H2168" s="9" t="s">
        <v>13284</v>
      </c>
      <c r="I2168" s="9" t="s">
        <v>13284</v>
      </c>
      <c r="J2168" s="9" t="s">
        <v>13284</v>
      </c>
      <c r="K2168" s="9" t="s">
        <v>13284</v>
      </c>
      <c r="L2168" s="9" t="s">
        <v>13284</v>
      </c>
      <c r="M2168" s="9" t="s">
        <v>13284</v>
      </c>
      <c r="N2168" s="9" t="s">
        <v>13284</v>
      </c>
      <c r="O2168" s="9" t="s">
        <v>13284</v>
      </c>
      <c r="P2168" s="9" t="s">
        <v>13284</v>
      </c>
      <c r="Q2168" s="9" t="s">
        <v>13284</v>
      </c>
      <c r="R2168" s="9" t="s">
        <v>13284</v>
      </c>
      <c r="S2168" s="9" t="s">
        <v>13284</v>
      </c>
      <c r="T2168" s="9" t="str">
        <f ca="1">IFERROR(IF(AND(VLOOKUP(A2168, 'Актуальное состояние (из общего'!A:C,3,0) = "", A2168 &lt;&gt; ""), "ПРОВЕРИТЬ", VLOOKUP(A2168, 'Актуальное состояние (из общего'!A:C,3,0)), "")</f>
        <v/>
      </c>
      <c r="U2168" s="9" t="s">
        <v>13284</v>
      </c>
      <c r="V2168" s="9" t="s">
        <v>13284</v>
      </c>
      <c r="W2168" s="12"/>
      <c r="X2168" s="9" t="str">
        <f t="array" ref="X2168">IFERROR(INDEX('Адреса общежитий (скрытый)'!$B$2:$B$9, MATCH(W2168, 'Адреса общежитий (скрытый)'!$A$2:$A$9, 0)), "")</f>
        <v/>
      </c>
      <c r="Y2168" s="18"/>
      <c r="Z2168" s="18"/>
      <c r="AA2168" s="18"/>
      <c r="AB2168" s="18"/>
      <c r="AC2168" s="18"/>
    </row>
    <row r="2169" spans="1:29" ht="32.25" hidden="1" customHeight="1">
      <c r="A2169" s="17"/>
      <c r="B2169" s="9" t="s">
        <v>13284</v>
      </c>
      <c r="C2169" s="9" t="s">
        <v>13284</v>
      </c>
      <c r="D2169" s="9" t="s">
        <v>13284</v>
      </c>
      <c r="E2169" s="9" t="s">
        <v>13284</v>
      </c>
      <c r="F2169" s="9" t="s">
        <v>13284</v>
      </c>
      <c r="G2169" s="9" t="s">
        <v>13284</v>
      </c>
      <c r="H2169" s="9" t="s">
        <v>13284</v>
      </c>
      <c r="I2169" s="9" t="s">
        <v>13284</v>
      </c>
      <c r="J2169" s="9" t="s">
        <v>13284</v>
      </c>
      <c r="K2169" s="9" t="s">
        <v>13284</v>
      </c>
      <c r="L2169" s="9" t="s">
        <v>13284</v>
      </c>
      <c r="M2169" s="9" t="s">
        <v>13284</v>
      </c>
      <c r="N2169" s="9" t="s">
        <v>13284</v>
      </c>
      <c r="O2169" s="9" t="s">
        <v>13284</v>
      </c>
      <c r="P2169" s="9" t="s">
        <v>13284</v>
      </c>
      <c r="Q2169" s="9" t="s">
        <v>13284</v>
      </c>
      <c r="R2169" s="9" t="s">
        <v>13284</v>
      </c>
      <c r="S2169" s="9" t="s">
        <v>13284</v>
      </c>
      <c r="T2169" s="9" t="str">
        <f ca="1">IFERROR(IF(AND(VLOOKUP(A2169, 'Актуальное состояние (из общего'!A:C,3,0) = "", A2169 &lt;&gt; ""), "ПРОВЕРИТЬ", VLOOKUP(A2169, 'Актуальное состояние (из общего'!A:C,3,0)), "")</f>
        <v/>
      </c>
      <c r="U2169" s="9" t="s">
        <v>13284</v>
      </c>
      <c r="V2169" s="9" t="s">
        <v>13284</v>
      </c>
      <c r="W2169" s="12"/>
      <c r="X2169" s="9" t="str">
        <f t="array" ref="X2169">IFERROR(INDEX('Адреса общежитий (скрытый)'!$B$2:$B$9, MATCH(W2169, 'Адреса общежитий (скрытый)'!$A$2:$A$9, 0)), "")</f>
        <v/>
      </c>
      <c r="Y2169" s="18"/>
      <c r="Z2169" s="18"/>
      <c r="AA2169" s="18"/>
      <c r="AB2169" s="18"/>
      <c r="AC2169" s="18"/>
    </row>
    <row r="2170" spans="1:29" ht="32.25" hidden="1" customHeight="1">
      <c r="A2170" s="17"/>
      <c r="B2170" s="9" t="s">
        <v>13284</v>
      </c>
      <c r="C2170" s="9" t="s">
        <v>13284</v>
      </c>
      <c r="D2170" s="9" t="s">
        <v>13284</v>
      </c>
      <c r="E2170" s="9" t="s">
        <v>13284</v>
      </c>
      <c r="F2170" s="9" t="s">
        <v>13284</v>
      </c>
      <c r="G2170" s="9" t="s">
        <v>13284</v>
      </c>
      <c r="H2170" s="9" t="s">
        <v>13284</v>
      </c>
      <c r="I2170" s="9" t="s">
        <v>13284</v>
      </c>
      <c r="J2170" s="9" t="s">
        <v>13284</v>
      </c>
      <c r="K2170" s="9" t="s">
        <v>13284</v>
      </c>
      <c r="L2170" s="9" t="s">
        <v>13284</v>
      </c>
      <c r="M2170" s="9" t="s">
        <v>13284</v>
      </c>
      <c r="N2170" s="9" t="s">
        <v>13284</v>
      </c>
      <c r="O2170" s="9" t="s">
        <v>13284</v>
      </c>
      <c r="P2170" s="9" t="s">
        <v>13284</v>
      </c>
      <c r="Q2170" s="9" t="s">
        <v>13284</v>
      </c>
      <c r="R2170" s="9" t="s">
        <v>13284</v>
      </c>
      <c r="S2170" s="9" t="s">
        <v>13284</v>
      </c>
      <c r="T2170" s="9" t="str">
        <f ca="1">IFERROR(IF(AND(VLOOKUP(A2170, 'Актуальное состояние (из общего'!A:C,3,0) = "", A2170 &lt;&gt; ""), "ПРОВЕРИТЬ", VLOOKUP(A2170, 'Актуальное состояние (из общего'!A:C,3,0)), "")</f>
        <v/>
      </c>
      <c r="U2170" s="9" t="s">
        <v>13284</v>
      </c>
      <c r="V2170" s="9" t="s">
        <v>13284</v>
      </c>
      <c r="W2170" s="12"/>
      <c r="X2170" s="9" t="str">
        <f t="array" ref="X2170">IFERROR(INDEX('Адреса общежитий (скрытый)'!$B$2:$B$9, MATCH(W2170, 'Адреса общежитий (скрытый)'!$A$2:$A$9, 0)), "")</f>
        <v/>
      </c>
      <c r="Y2170" s="18"/>
      <c r="Z2170" s="18"/>
      <c r="AA2170" s="18"/>
      <c r="AB2170" s="18"/>
      <c r="AC2170" s="18"/>
    </row>
    <row r="2171" spans="1:29" ht="32.25" hidden="1" customHeight="1">
      <c r="A2171" s="17"/>
      <c r="B2171" s="9" t="s">
        <v>13284</v>
      </c>
      <c r="C2171" s="9" t="s">
        <v>13284</v>
      </c>
      <c r="D2171" s="9" t="s">
        <v>13284</v>
      </c>
      <c r="E2171" s="9" t="s">
        <v>13284</v>
      </c>
      <c r="F2171" s="9" t="s">
        <v>13284</v>
      </c>
      <c r="G2171" s="9" t="s">
        <v>13284</v>
      </c>
      <c r="H2171" s="9" t="s">
        <v>13284</v>
      </c>
      <c r="I2171" s="9" t="s">
        <v>13284</v>
      </c>
      <c r="J2171" s="9" t="s">
        <v>13284</v>
      </c>
      <c r="K2171" s="9" t="s">
        <v>13284</v>
      </c>
      <c r="L2171" s="9" t="s">
        <v>13284</v>
      </c>
      <c r="M2171" s="9" t="s">
        <v>13284</v>
      </c>
      <c r="N2171" s="9" t="s">
        <v>13284</v>
      </c>
      <c r="O2171" s="9" t="s">
        <v>13284</v>
      </c>
      <c r="P2171" s="9" t="s">
        <v>13284</v>
      </c>
      <c r="Q2171" s="9" t="s">
        <v>13284</v>
      </c>
      <c r="R2171" s="9" t="s">
        <v>13284</v>
      </c>
      <c r="S2171" s="9" t="s">
        <v>13284</v>
      </c>
      <c r="T2171" s="9" t="str">
        <f ca="1">IFERROR(IF(AND(VLOOKUP(A2171, 'Актуальное состояние (из общего'!A:C,3,0) = "", A2171 &lt;&gt; ""), "ПРОВЕРИТЬ", VLOOKUP(A2171, 'Актуальное состояние (из общего'!A:C,3,0)), "")</f>
        <v/>
      </c>
      <c r="U2171" s="9" t="s">
        <v>13284</v>
      </c>
      <c r="V2171" s="9" t="s">
        <v>13284</v>
      </c>
      <c r="W2171" s="12"/>
      <c r="X2171" s="9" t="str">
        <f t="array" ref="X2171">IFERROR(INDEX('Адреса общежитий (скрытый)'!$B$2:$B$9, MATCH(W2171, 'Адреса общежитий (скрытый)'!$A$2:$A$9, 0)), "")</f>
        <v/>
      </c>
      <c r="Y2171" s="18"/>
      <c r="Z2171" s="18"/>
      <c r="AA2171" s="18"/>
      <c r="AB2171" s="18"/>
      <c r="AC2171" s="18"/>
    </row>
    <row r="2172" spans="1:29" ht="32.25" hidden="1" customHeight="1">
      <c r="A2172" s="17"/>
      <c r="B2172" s="9" t="s">
        <v>13284</v>
      </c>
      <c r="C2172" s="9" t="s">
        <v>13284</v>
      </c>
      <c r="D2172" s="9" t="s">
        <v>13284</v>
      </c>
      <c r="E2172" s="9" t="s">
        <v>13284</v>
      </c>
      <c r="F2172" s="9" t="s">
        <v>13284</v>
      </c>
      <c r="G2172" s="9" t="s">
        <v>13284</v>
      </c>
      <c r="H2172" s="9" t="s">
        <v>13284</v>
      </c>
      <c r="I2172" s="9" t="s">
        <v>13284</v>
      </c>
      <c r="J2172" s="9" t="s">
        <v>13284</v>
      </c>
      <c r="K2172" s="9" t="s">
        <v>13284</v>
      </c>
      <c r="L2172" s="9" t="s">
        <v>13284</v>
      </c>
      <c r="M2172" s="9" t="s">
        <v>13284</v>
      </c>
      <c r="N2172" s="9" t="s">
        <v>13284</v>
      </c>
      <c r="O2172" s="9" t="s">
        <v>13284</v>
      </c>
      <c r="P2172" s="9" t="s">
        <v>13284</v>
      </c>
      <c r="Q2172" s="9" t="s">
        <v>13284</v>
      </c>
      <c r="R2172" s="9" t="s">
        <v>13284</v>
      </c>
      <c r="S2172" s="9" t="s">
        <v>13284</v>
      </c>
      <c r="T2172" s="9" t="str">
        <f ca="1">IFERROR(IF(AND(VLOOKUP(A2172, 'Актуальное состояние (из общего'!A:C,3,0) = "", A2172 &lt;&gt; ""), "ПРОВЕРИТЬ", VLOOKUP(A2172, 'Актуальное состояние (из общего'!A:C,3,0)), "")</f>
        <v/>
      </c>
      <c r="U2172" s="9" t="s">
        <v>13284</v>
      </c>
      <c r="V2172" s="9" t="s">
        <v>13284</v>
      </c>
      <c r="W2172" s="12"/>
      <c r="X2172" s="9" t="str">
        <f t="array" ref="X2172">IFERROR(INDEX('Адреса общежитий (скрытый)'!$B$2:$B$9, MATCH(W2172, 'Адреса общежитий (скрытый)'!$A$2:$A$9, 0)), "")</f>
        <v/>
      </c>
      <c r="Y2172" s="18"/>
      <c r="Z2172" s="18"/>
      <c r="AA2172" s="18"/>
      <c r="AB2172" s="18"/>
      <c r="AC2172" s="18"/>
    </row>
    <row r="2173" spans="1:29" ht="32.25" hidden="1" customHeight="1">
      <c r="A2173" s="17"/>
      <c r="B2173" s="9" t="s">
        <v>13284</v>
      </c>
      <c r="C2173" s="9" t="s">
        <v>13284</v>
      </c>
      <c r="D2173" s="9" t="s">
        <v>13284</v>
      </c>
      <c r="E2173" s="9" t="s">
        <v>13284</v>
      </c>
      <c r="F2173" s="9" t="s">
        <v>13284</v>
      </c>
      <c r="G2173" s="9" t="s">
        <v>13284</v>
      </c>
      <c r="H2173" s="9" t="s">
        <v>13284</v>
      </c>
      <c r="I2173" s="9" t="s">
        <v>13284</v>
      </c>
      <c r="J2173" s="9" t="s">
        <v>13284</v>
      </c>
      <c r="K2173" s="9" t="s">
        <v>13284</v>
      </c>
      <c r="L2173" s="9" t="s">
        <v>13284</v>
      </c>
      <c r="M2173" s="9" t="s">
        <v>13284</v>
      </c>
      <c r="N2173" s="9" t="s">
        <v>13284</v>
      </c>
      <c r="O2173" s="9" t="s">
        <v>13284</v>
      </c>
      <c r="P2173" s="9" t="s">
        <v>13284</v>
      </c>
      <c r="Q2173" s="9" t="s">
        <v>13284</v>
      </c>
      <c r="R2173" s="9" t="s">
        <v>13284</v>
      </c>
      <c r="S2173" s="9" t="s">
        <v>13284</v>
      </c>
      <c r="T2173" s="9" t="str">
        <f ca="1">IFERROR(IF(AND(VLOOKUP(A2173, 'Актуальное состояние (из общего'!A:C,3,0) = "", A2173 &lt;&gt; ""), "ПРОВЕРИТЬ", VLOOKUP(A2173, 'Актуальное состояние (из общего'!A:C,3,0)), "")</f>
        <v/>
      </c>
      <c r="U2173" s="9" t="s">
        <v>13284</v>
      </c>
      <c r="V2173" s="9" t="s">
        <v>13284</v>
      </c>
      <c r="W2173" s="12"/>
      <c r="X2173" s="9" t="str">
        <f t="array" ref="X2173">IFERROR(INDEX('Адреса общежитий (скрытый)'!$B$2:$B$9, MATCH(W2173, 'Адреса общежитий (скрытый)'!$A$2:$A$9, 0)), "")</f>
        <v/>
      </c>
      <c r="Y2173" s="18"/>
      <c r="Z2173" s="18"/>
      <c r="AA2173" s="18"/>
      <c r="AB2173" s="18"/>
      <c r="AC2173" s="18"/>
    </row>
    <row r="2174" spans="1:29" ht="32.25" hidden="1" customHeight="1">
      <c r="A2174" s="17"/>
      <c r="B2174" s="9" t="s">
        <v>13284</v>
      </c>
      <c r="C2174" s="9" t="s">
        <v>13284</v>
      </c>
      <c r="D2174" s="9" t="s">
        <v>13284</v>
      </c>
      <c r="E2174" s="9" t="s">
        <v>13284</v>
      </c>
      <c r="F2174" s="9" t="s">
        <v>13284</v>
      </c>
      <c r="G2174" s="9" t="s">
        <v>13284</v>
      </c>
      <c r="H2174" s="9" t="s">
        <v>13284</v>
      </c>
      <c r="I2174" s="9" t="s">
        <v>13284</v>
      </c>
      <c r="J2174" s="9" t="s">
        <v>13284</v>
      </c>
      <c r="K2174" s="9" t="s">
        <v>13284</v>
      </c>
      <c r="L2174" s="9" t="s">
        <v>13284</v>
      </c>
      <c r="M2174" s="9" t="s">
        <v>13284</v>
      </c>
      <c r="N2174" s="9" t="s">
        <v>13284</v>
      </c>
      <c r="O2174" s="9" t="s">
        <v>13284</v>
      </c>
      <c r="P2174" s="9" t="s">
        <v>13284</v>
      </c>
      <c r="Q2174" s="9" t="s">
        <v>13284</v>
      </c>
      <c r="R2174" s="9" t="s">
        <v>13284</v>
      </c>
      <c r="S2174" s="9" t="s">
        <v>13284</v>
      </c>
      <c r="T2174" s="9" t="str">
        <f ca="1">IFERROR(IF(AND(VLOOKUP(A2174, 'Актуальное состояние (из общего'!A:C,3,0) = "", A2174 &lt;&gt; ""), "ПРОВЕРИТЬ", VLOOKUP(A2174, 'Актуальное состояние (из общего'!A:C,3,0)), "")</f>
        <v/>
      </c>
      <c r="U2174" s="9" t="s">
        <v>13284</v>
      </c>
      <c r="V2174" s="9" t="s">
        <v>13284</v>
      </c>
      <c r="W2174" s="12"/>
      <c r="X2174" s="9" t="str">
        <f t="array" ref="X2174">IFERROR(INDEX('Адреса общежитий (скрытый)'!$B$2:$B$9, MATCH(W2174, 'Адреса общежитий (скрытый)'!$A$2:$A$9, 0)), "")</f>
        <v/>
      </c>
      <c r="Y2174" s="18"/>
      <c r="Z2174" s="18"/>
      <c r="AA2174" s="18"/>
      <c r="AB2174" s="18"/>
      <c r="AC2174" s="18"/>
    </row>
    <row r="2175" spans="1:29" ht="32.25" hidden="1" customHeight="1">
      <c r="A2175" s="17"/>
      <c r="B2175" s="9" t="s">
        <v>13284</v>
      </c>
      <c r="C2175" s="9" t="s">
        <v>13284</v>
      </c>
      <c r="D2175" s="9" t="s">
        <v>13284</v>
      </c>
      <c r="E2175" s="9" t="s">
        <v>13284</v>
      </c>
      <c r="F2175" s="9" t="s">
        <v>13284</v>
      </c>
      <c r="G2175" s="9" t="s">
        <v>13284</v>
      </c>
      <c r="H2175" s="9" t="s">
        <v>13284</v>
      </c>
      <c r="I2175" s="9" t="s">
        <v>13284</v>
      </c>
      <c r="J2175" s="9" t="s">
        <v>13284</v>
      </c>
      <c r="K2175" s="9" t="s">
        <v>13284</v>
      </c>
      <c r="L2175" s="9" t="s">
        <v>13284</v>
      </c>
      <c r="M2175" s="9" t="s">
        <v>13284</v>
      </c>
      <c r="N2175" s="9" t="s">
        <v>13284</v>
      </c>
      <c r="O2175" s="9" t="s">
        <v>13284</v>
      </c>
      <c r="P2175" s="9" t="s">
        <v>13284</v>
      </c>
      <c r="Q2175" s="9" t="s">
        <v>13284</v>
      </c>
      <c r="R2175" s="9" t="s">
        <v>13284</v>
      </c>
      <c r="S2175" s="9" t="s">
        <v>13284</v>
      </c>
      <c r="T2175" s="9" t="str">
        <f ca="1">IFERROR(IF(AND(VLOOKUP(A2175, 'Актуальное состояние (из общего'!A:C,3,0) = "", A2175 &lt;&gt; ""), "ПРОВЕРИТЬ", VLOOKUP(A2175, 'Актуальное состояние (из общего'!A:C,3,0)), "")</f>
        <v/>
      </c>
      <c r="U2175" s="9" t="s">
        <v>13284</v>
      </c>
      <c r="V2175" s="9" t="s">
        <v>13284</v>
      </c>
      <c r="W2175" s="12"/>
      <c r="X2175" s="9" t="str">
        <f t="array" ref="X2175">IFERROR(INDEX('Адреса общежитий (скрытый)'!$B$2:$B$9, MATCH(W2175, 'Адреса общежитий (скрытый)'!$A$2:$A$9, 0)), "")</f>
        <v/>
      </c>
      <c r="Y2175" s="18"/>
      <c r="Z2175" s="18"/>
      <c r="AA2175" s="18"/>
      <c r="AB2175" s="18"/>
      <c r="AC2175" s="18"/>
    </row>
    <row r="2176" spans="1:29" ht="32.25" hidden="1" customHeight="1">
      <c r="A2176" s="17"/>
      <c r="B2176" s="9" t="s">
        <v>13284</v>
      </c>
      <c r="C2176" s="9" t="s">
        <v>13284</v>
      </c>
      <c r="D2176" s="9" t="s">
        <v>13284</v>
      </c>
      <c r="E2176" s="9" t="s">
        <v>13284</v>
      </c>
      <c r="F2176" s="9" t="s">
        <v>13284</v>
      </c>
      <c r="G2176" s="9" t="s">
        <v>13284</v>
      </c>
      <c r="H2176" s="9" t="s">
        <v>13284</v>
      </c>
      <c r="I2176" s="9" t="s">
        <v>13284</v>
      </c>
      <c r="J2176" s="9" t="s">
        <v>13284</v>
      </c>
      <c r="K2176" s="9" t="s">
        <v>13284</v>
      </c>
      <c r="L2176" s="9" t="s">
        <v>13284</v>
      </c>
      <c r="M2176" s="9" t="s">
        <v>13284</v>
      </c>
      <c r="N2176" s="9" t="s">
        <v>13284</v>
      </c>
      <c r="O2176" s="9" t="s">
        <v>13284</v>
      </c>
      <c r="P2176" s="9" t="s">
        <v>13284</v>
      </c>
      <c r="Q2176" s="9" t="s">
        <v>13284</v>
      </c>
      <c r="R2176" s="9" t="s">
        <v>13284</v>
      </c>
      <c r="S2176" s="9" t="s">
        <v>13284</v>
      </c>
      <c r="T2176" s="9" t="str">
        <f ca="1">IFERROR(IF(AND(VLOOKUP(A2176, 'Актуальное состояние (из общего'!A:C,3,0) = "", A2176 &lt;&gt; ""), "ПРОВЕРИТЬ", VLOOKUP(A2176, 'Актуальное состояние (из общего'!A:C,3,0)), "")</f>
        <v/>
      </c>
      <c r="U2176" s="9" t="s">
        <v>13284</v>
      </c>
      <c r="V2176" s="9" t="s">
        <v>13284</v>
      </c>
      <c r="W2176" s="12"/>
      <c r="X2176" s="9" t="str">
        <f t="array" ref="X2176">IFERROR(INDEX('Адреса общежитий (скрытый)'!$B$2:$B$9, MATCH(W2176, 'Адреса общежитий (скрытый)'!$A$2:$A$9, 0)), "")</f>
        <v/>
      </c>
      <c r="Y2176" s="18"/>
      <c r="Z2176" s="18"/>
      <c r="AA2176" s="18"/>
      <c r="AB2176" s="18"/>
      <c r="AC2176" s="18"/>
    </row>
    <row r="2177" spans="1:29" ht="32.25" hidden="1" customHeight="1">
      <c r="A2177" s="17"/>
      <c r="B2177" s="9" t="s">
        <v>13284</v>
      </c>
      <c r="C2177" s="9" t="s">
        <v>13284</v>
      </c>
      <c r="D2177" s="9" t="s">
        <v>13284</v>
      </c>
      <c r="E2177" s="9" t="s">
        <v>13284</v>
      </c>
      <c r="F2177" s="9" t="s">
        <v>13284</v>
      </c>
      <c r="G2177" s="9" t="s">
        <v>13284</v>
      </c>
      <c r="H2177" s="9" t="s">
        <v>13284</v>
      </c>
      <c r="I2177" s="9" t="s">
        <v>13284</v>
      </c>
      <c r="J2177" s="9" t="s">
        <v>13284</v>
      </c>
      <c r="K2177" s="9" t="s">
        <v>13284</v>
      </c>
      <c r="L2177" s="9" t="s">
        <v>13284</v>
      </c>
      <c r="M2177" s="9" t="s">
        <v>13284</v>
      </c>
      <c r="N2177" s="9" t="s">
        <v>13284</v>
      </c>
      <c r="O2177" s="9" t="s">
        <v>13284</v>
      </c>
      <c r="P2177" s="9" t="s">
        <v>13284</v>
      </c>
      <c r="Q2177" s="9" t="s">
        <v>13284</v>
      </c>
      <c r="R2177" s="9" t="s">
        <v>13284</v>
      </c>
      <c r="S2177" s="9" t="s">
        <v>13284</v>
      </c>
      <c r="T2177" s="9" t="str">
        <f ca="1">IFERROR(IF(AND(VLOOKUP(A2177, 'Актуальное состояние (из общего'!A:C,3,0) = "", A2177 &lt;&gt; ""), "ПРОВЕРИТЬ", VLOOKUP(A2177, 'Актуальное состояние (из общего'!A:C,3,0)), "")</f>
        <v/>
      </c>
      <c r="U2177" s="9" t="s">
        <v>13284</v>
      </c>
      <c r="V2177" s="9" t="s">
        <v>13284</v>
      </c>
      <c r="W2177" s="12"/>
      <c r="X2177" s="9" t="str">
        <f t="array" ref="X2177">IFERROR(INDEX('Адреса общежитий (скрытый)'!$B$2:$B$9, MATCH(W2177, 'Адреса общежитий (скрытый)'!$A$2:$A$9, 0)), "")</f>
        <v/>
      </c>
      <c r="Y2177" s="18"/>
      <c r="Z2177" s="18"/>
      <c r="AA2177" s="18"/>
      <c r="AB2177" s="18"/>
      <c r="AC2177" s="18"/>
    </row>
    <row r="2178" spans="1:29" ht="32.25" hidden="1" customHeight="1">
      <c r="A2178" s="17"/>
      <c r="B2178" s="9" t="s">
        <v>13284</v>
      </c>
      <c r="C2178" s="9" t="s">
        <v>13284</v>
      </c>
      <c r="D2178" s="9" t="s">
        <v>13284</v>
      </c>
      <c r="E2178" s="9" t="s">
        <v>13284</v>
      </c>
      <c r="F2178" s="9" t="s">
        <v>13284</v>
      </c>
      <c r="G2178" s="9" t="s">
        <v>13284</v>
      </c>
      <c r="H2178" s="9" t="s">
        <v>13284</v>
      </c>
      <c r="I2178" s="9" t="s">
        <v>13284</v>
      </c>
      <c r="J2178" s="9" t="s">
        <v>13284</v>
      </c>
      <c r="K2178" s="9" t="s">
        <v>13284</v>
      </c>
      <c r="L2178" s="9" t="s">
        <v>13284</v>
      </c>
      <c r="M2178" s="9" t="s">
        <v>13284</v>
      </c>
      <c r="N2178" s="9" t="s">
        <v>13284</v>
      </c>
      <c r="O2178" s="9" t="s">
        <v>13284</v>
      </c>
      <c r="P2178" s="9" t="s">
        <v>13284</v>
      </c>
      <c r="Q2178" s="9" t="s">
        <v>13284</v>
      </c>
      <c r="R2178" s="9" t="s">
        <v>13284</v>
      </c>
      <c r="S2178" s="9" t="s">
        <v>13284</v>
      </c>
      <c r="T2178" s="9" t="str">
        <f ca="1">IFERROR(IF(AND(VLOOKUP(A2178, 'Актуальное состояние (из общего'!A:C,3,0) = "", A2178 &lt;&gt; ""), "ПРОВЕРИТЬ", VLOOKUP(A2178, 'Актуальное состояние (из общего'!A:C,3,0)), "")</f>
        <v/>
      </c>
      <c r="U2178" s="9" t="s">
        <v>13284</v>
      </c>
      <c r="V2178" s="9" t="s">
        <v>13284</v>
      </c>
      <c r="W2178" s="12"/>
      <c r="X2178" s="9" t="str">
        <f t="array" ref="X2178">IFERROR(INDEX('Адреса общежитий (скрытый)'!$B$2:$B$9, MATCH(W2178, 'Адреса общежитий (скрытый)'!$A$2:$A$9, 0)), "")</f>
        <v/>
      </c>
      <c r="Y2178" s="18"/>
      <c r="Z2178" s="18"/>
      <c r="AA2178" s="18"/>
      <c r="AB2178" s="18"/>
      <c r="AC2178" s="18"/>
    </row>
    <row r="2179" spans="1:29" ht="32.25" hidden="1" customHeight="1">
      <c r="A2179" s="17"/>
      <c r="B2179" s="9" t="s">
        <v>13284</v>
      </c>
      <c r="C2179" s="9" t="s">
        <v>13284</v>
      </c>
      <c r="D2179" s="9" t="s">
        <v>13284</v>
      </c>
      <c r="E2179" s="9" t="s">
        <v>13284</v>
      </c>
      <c r="F2179" s="9" t="s">
        <v>13284</v>
      </c>
      <c r="G2179" s="9" t="s">
        <v>13284</v>
      </c>
      <c r="H2179" s="9" t="s">
        <v>13284</v>
      </c>
      <c r="I2179" s="9" t="s">
        <v>13284</v>
      </c>
      <c r="J2179" s="9" t="s">
        <v>13284</v>
      </c>
      <c r="K2179" s="9" t="s">
        <v>13284</v>
      </c>
      <c r="L2179" s="9" t="s">
        <v>13284</v>
      </c>
      <c r="M2179" s="9" t="s">
        <v>13284</v>
      </c>
      <c r="N2179" s="9" t="s">
        <v>13284</v>
      </c>
      <c r="O2179" s="9" t="s">
        <v>13284</v>
      </c>
      <c r="P2179" s="9" t="s">
        <v>13284</v>
      </c>
      <c r="Q2179" s="9" t="s">
        <v>13284</v>
      </c>
      <c r="R2179" s="9" t="s">
        <v>13284</v>
      </c>
      <c r="S2179" s="9" t="s">
        <v>13284</v>
      </c>
      <c r="T2179" s="9" t="str">
        <f ca="1">IFERROR(IF(AND(VLOOKUP(A2179, 'Актуальное состояние (из общего'!A:C,3,0) = "", A2179 &lt;&gt; ""), "ПРОВЕРИТЬ", VLOOKUP(A2179, 'Актуальное состояние (из общего'!A:C,3,0)), "")</f>
        <v/>
      </c>
      <c r="U2179" s="9" t="s">
        <v>13284</v>
      </c>
      <c r="V2179" s="9" t="s">
        <v>13284</v>
      </c>
      <c r="W2179" s="12"/>
      <c r="X2179" s="9" t="str">
        <f t="array" ref="X2179">IFERROR(INDEX('Адреса общежитий (скрытый)'!$B$2:$B$9, MATCH(W2179, 'Адреса общежитий (скрытый)'!$A$2:$A$9, 0)), "")</f>
        <v/>
      </c>
      <c r="Y2179" s="18"/>
      <c r="Z2179" s="18"/>
      <c r="AA2179" s="18"/>
      <c r="AB2179" s="18"/>
      <c r="AC2179" s="18"/>
    </row>
    <row r="2180" spans="1:29" ht="32.25" hidden="1" customHeight="1">
      <c r="A2180" s="17"/>
      <c r="B2180" s="9" t="s">
        <v>13284</v>
      </c>
      <c r="C2180" s="9" t="s">
        <v>13284</v>
      </c>
      <c r="D2180" s="9" t="s">
        <v>13284</v>
      </c>
      <c r="E2180" s="9" t="s">
        <v>13284</v>
      </c>
      <c r="F2180" s="9" t="s">
        <v>13284</v>
      </c>
      <c r="G2180" s="9" t="s">
        <v>13284</v>
      </c>
      <c r="H2180" s="9" t="s">
        <v>13284</v>
      </c>
      <c r="I2180" s="9" t="s">
        <v>13284</v>
      </c>
      <c r="J2180" s="9" t="s">
        <v>13284</v>
      </c>
      <c r="K2180" s="9" t="s">
        <v>13284</v>
      </c>
      <c r="L2180" s="9" t="s">
        <v>13284</v>
      </c>
      <c r="M2180" s="9" t="s">
        <v>13284</v>
      </c>
      <c r="N2180" s="9" t="s">
        <v>13284</v>
      </c>
      <c r="O2180" s="9" t="s">
        <v>13284</v>
      </c>
      <c r="P2180" s="9" t="s">
        <v>13284</v>
      </c>
      <c r="Q2180" s="9" t="s">
        <v>13284</v>
      </c>
      <c r="R2180" s="9" t="s">
        <v>13284</v>
      </c>
      <c r="S2180" s="9" t="s">
        <v>13284</v>
      </c>
      <c r="T2180" s="9" t="str">
        <f ca="1">IFERROR(IF(AND(VLOOKUP(A2180, 'Актуальное состояние (из общего'!A:C,3,0) = "", A2180 &lt;&gt; ""), "ПРОВЕРИТЬ", VLOOKUP(A2180, 'Актуальное состояние (из общего'!A:C,3,0)), "")</f>
        <v/>
      </c>
      <c r="U2180" s="9" t="s">
        <v>13284</v>
      </c>
      <c r="V2180" s="9" t="s">
        <v>13284</v>
      </c>
      <c r="W2180" s="12"/>
      <c r="X2180" s="9" t="str">
        <f t="array" ref="X2180">IFERROR(INDEX('Адреса общежитий (скрытый)'!$B$2:$B$9, MATCH(W2180, 'Адреса общежитий (скрытый)'!$A$2:$A$9, 0)), "")</f>
        <v/>
      </c>
      <c r="Y2180" s="18"/>
      <c r="Z2180" s="18"/>
      <c r="AA2180" s="18"/>
      <c r="AB2180" s="18"/>
      <c r="AC2180" s="18"/>
    </row>
    <row r="2181" spans="1:29" ht="32.25" hidden="1" customHeight="1">
      <c r="A2181" s="17"/>
      <c r="B2181" s="9" t="s">
        <v>13284</v>
      </c>
      <c r="C2181" s="9" t="s">
        <v>13284</v>
      </c>
      <c r="D2181" s="9" t="s">
        <v>13284</v>
      </c>
      <c r="E2181" s="9" t="s">
        <v>13284</v>
      </c>
      <c r="F2181" s="9" t="s">
        <v>13284</v>
      </c>
      <c r="G2181" s="9" t="s">
        <v>13284</v>
      </c>
      <c r="H2181" s="9" t="s">
        <v>13284</v>
      </c>
      <c r="I2181" s="9" t="s">
        <v>13284</v>
      </c>
      <c r="J2181" s="9" t="s">
        <v>13284</v>
      </c>
      <c r="K2181" s="9" t="s">
        <v>13284</v>
      </c>
      <c r="L2181" s="9" t="s">
        <v>13284</v>
      </c>
      <c r="M2181" s="9" t="s">
        <v>13284</v>
      </c>
      <c r="N2181" s="9" t="s">
        <v>13284</v>
      </c>
      <c r="O2181" s="9" t="s">
        <v>13284</v>
      </c>
      <c r="P2181" s="9" t="s">
        <v>13284</v>
      </c>
      <c r="Q2181" s="9" t="s">
        <v>13284</v>
      </c>
      <c r="R2181" s="9" t="s">
        <v>13284</v>
      </c>
      <c r="S2181" s="9" t="s">
        <v>13284</v>
      </c>
      <c r="T2181" s="9" t="str">
        <f ca="1">IFERROR(IF(AND(VLOOKUP(A2181, 'Актуальное состояние (из общего'!A:C,3,0) = "", A2181 &lt;&gt; ""), "ПРОВЕРИТЬ", VLOOKUP(A2181, 'Актуальное состояние (из общего'!A:C,3,0)), "")</f>
        <v/>
      </c>
      <c r="U2181" s="9" t="s">
        <v>13284</v>
      </c>
      <c r="V2181" s="9" t="s">
        <v>13284</v>
      </c>
      <c r="W2181" s="12"/>
      <c r="X2181" s="9" t="str">
        <f t="array" ref="X2181">IFERROR(INDEX('Адреса общежитий (скрытый)'!$B$2:$B$9, MATCH(W2181, 'Адреса общежитий (скрытый)'!$A$2:$A$9, 0)), "")</f>
        <v/>
      </c>
      <c r="Y2181" s="18"/>
      <c r="Z2181" s="18"/>
      <c r="AA2181" s="18"/>
      <c r="AB2181" s="18"/>
      <c r="AC2181" s="18"/>
    </row>
    <row r="2182" spans="1:29" ht="32.25" hidden="1" customHeight="1">
      <c r="A2182" s="17"/>
      <c r="B2182" s="9" t="s">
        <v>13284</v>
      </c>
      <c r="C2182" s="9" t="s">
        <v>13284</v>
      </c>
      <c r="D2182" s="9" t="s">
        <v>13284</v>
      </c>
      <c r="E2182" s="9" t="s">
        <v>13284</v>
      </c>
      <c r="F2182" s="9" t="s">
        <v>13284</v>
      </c>
      <c r="G2182" s="9" t="s">
        <v>13284</v>
      </c>
      <c r="H2182" s="9" t="s">
        <v>13284</v>
      </c>
      <c r="I2182" s="9" t="s">
        <v>13284</v>
      </c>
      <c r="J2182" s="9" t="s">
        <v>13284</v>
      </c>
      <c r="K2182" s="9" t="s">
        <v>13284</v>
      </c>
      <c r="L2182" s="9" t="s">
        <v>13284</v>
      </c>
      <c r="M2182" s="9" t="s">
        <v>13284</v>
      </c>
      <c r="N2182" s="9" t="s">
        <v>13284</v>
      </c>
      <c r="O2182" s="9" t="s">
        <v>13284</v>
      </c>
      <c r="P2182" s="9" t="s">
        <v>13284</v>
      </c>
      <c r="Q2182" s="9" t="s">
        <v>13284</v>
      </c>
      <c r="R2182" s="9" t="s">
        <v>13284</v>
      </c>
      <c r="S2182" s="9" t="s">
        <v>13284</v>
      </c>
      <c r="T2182" s="9" t="str">
        <f ca="1">IFERROR(IF(AND(VLOOKUP(A2182, 'Актуальное состояние (из общего'!A:C,3,0) = "", A2182 &lt;&gt; ""), "ПРОВЕРИТЬ", VLOOKUP(A2182, 'Актуальное состояние (из общего'!A:C,3,0)), "")</f>
        <v/>
      </c>
      <c r="U2182" s="9" t="s">
        <v>13284</v>
      </c>
      <c r="V2182" s="9" t="s">
        <v>13284</v>
      </c>
      <c r="W2182" s="12"/>
      <c r="X2182" s="9" t="str">
        <f t="array" ref="X2182">IFERROR(INDEX('Адреса общежитий (скрытый)'!$B$2:$B$9, MATCH(W2182, 'Адреса общежитий (скрытый)'!$A$2:$A$9, 0)), "")</f>
        <v/>
      </c>
      <c r="Y2182" s="18"/>
      <c r="Z2182" s="18"/>
      <c r="AA2182" s="18"/>
      <c r="AB2182" s="18"/>
      <c r="AC2182" s="18"/>
    </row>
    <row r="2183" spans="1:29" ht="32.25" hidden="1" customHeight="1">
      <c r="A2183" s="17"/>
      <c r="B2183" s="9" t="s">
        <v>13284</v>
      </c>
      <c r="C2183" s="9" t="s">
        <v>13284</v>
      </c>
      <c r="D2183" s="9" t="s">
        <v>13284</v>
      </c>
      <c r="E2183" s="9" t="s">
        <v>13284</v>
      </c>
      <c r="F2183" s="9" t="s">
        <v>13284</v>
      </c>
      <c r="G2183" s="9" t="s">
        <v>13284</v>
      </c>
      <c r="H2183" s="9" t="s">
        <v>13284</v>
      </c>
      <c r="I2183" s="9" t="s">
        <v>13284</v>
      </c>
      <c r="J2183" s="9" t="s">
        <v>13284</v>
      </c>
      <c r="K2183" s="9" t="s">
        <v>13284</v>
      </c>
      <c r="L2183" s="9" t="s">
        <v>13284</v>
      </c>
      <c r="M2183" s="9" t="s">
        <v>13284</v>
      </c>
      <c r="N2183" s="9" t="s">
        <v>13284</v>
      </c>
      <c r="O2183" s="9" t="s">
        <v>13284</v>
      </c>
      <c r="P2183" s="9" t="s">
        <v>13284</v>
      </c>
      <c r="Q2183" s="9" t="s">
        <v>13284</v>
      </c>
      <c r="R2183" s="9" t="s">
        <v>13284</v>
      </c>
      <c r="S2183" s="9" t="s">
        <v>13284</v>
      </c>
      <c r="T2183" s="9" t="str">
        <f ca="1">IFERROR(IF(AND(VLOOKUP(A2183, 'Актуальное состояние (из общего'!A:C,3,0) = "", A2183 &lt;&gt; ""), "ПРОВЕРИТЬ", VLOOKUP(A2183, 'Актуальное состояние (из общего'!A:C,3,0)), "")</f>
        <v/>
      </c>
      <c r="U2183" s="9" t="s">
        <v>13284</v>
      </c>
      <c r="V2183" s="9" t="s">
        <v>13284</v>
      </c>
      <c r="W2183" s="12"/>
      <c r="X2183" s="9" t="str">
        <f t="array" ref="X2183">IFERROR(INDEX('Адреса общежитий (скрытый)'!$B$2:$B$9, MATCH(W2183, 'Адреса общежитий (скрытый)'!$A$2:$A$9, 0)), "")</f>
        <v/>
      </c>
      <c r="Y2183" s="18"/>
      <c r="Z2183" s="18"/>
      <c r="AA2183" s="18"/>
      <c r="AB2183" s="18"/>
      <c r="AC2183" s="18"/>
    </row>
    <row r="2184" spans="1:29" ht="32.25" hidden="1" customHeight="1">
      <c r="A2184" s="17"/>
      <c r="B2184" s="9" t="s">
        <v>13284</v>
      </c>
      <c r="C2184" s="9" t="s">
        <v>13284</v>
      </c>
      <c r="D2184" s="9" t="s">
        <v>13284</v>
      </c>
      <c r="E2184" s="9" t="s">
        <v>13284</v>
      </c>
      <c r="F2184" s="9" t="s">
        <v>13284</v>
      </c>
      <c r="G2184" s="9" t="s">
        <v>13284</v>
      </c>
      <c r="H2184" s="9" t="s">
        <v>13284</v>
      </c>
      <c r="I2184" s="9" t="s">
        <v>13284</v>
      </c>
      <c r="J2184" s="9" t="s">
        <v>13284</v>
      </c>
      <c r="K2184" s="9" t="s">
        <v>13284</v>
      </c>
      <c r="L2184" s="9" t="s">
        <v>13284</v>
      </c>
      <c r="M2184" s="9" t="s">
        <v>13284</v>
      </c>
      <c r="N2184" s="9" t="s">
        <v>13284</v>
      </c>
      <c r="O2184" s="9" t="s">
        <v>13284</v>
      </c>
      <c r="P2184" s="9" t="s">
        <v>13284</v>
      </c>
      <c r="Q2184" s="9" t="s">
        <v>13284</v>
      </c>
      <c r="R2184" s="9" t="s">
        <v>13284</v>
      </c>
      <c r="S2184" s="9" t="s">
        <v>13284</v>
      </c>
      <c r="T2184" s="9" t="str">
        <f ca="1">IFERROR(IF(AND(VLOOKUP(A2184, 'Актуальное состояние (из общего'!A:C,3,0) = "", A2184 &lt;&gt; ""), "ПРОВЕРИТЬ", VLOOKUP(A2184, 'Актуальное состояние (из общего'!A:C,3,0)), "")</f>
        <v/>
      </c>
      <c r="U2184" s="9" t="s">
        <v>13284</v>
      </c>
      <c r="V2184" s="9" t="s">
        <v>13284</v>
      </c>
      <c r="W2184" s="12"/>
      <c r="X2184" s="9" t="str">
        <f t="array" ref="X2184">IFERROR(INDEX('Адреса общежитий (скрытый)'!$B$2:$B$9, MATCH(W2184, 'Адреса общежитий (скрытый)'!$A$2:$A$9, 0)), "")</f>
        <v/>
      </c>
      <c r="Y2184" s="18"/>
      <c r="Z2184" s="18"/>
      <c r="AA2184" s="18"/>
      <c r="AB2184" s="18"/>
      <c r="AC2184" s="18"/>
    </row>
    <row r="2185" spans="1:29" ht="32.25" hidden="1" customHeight="1">
      <c r="A2185" s="17"/>
      <c r="B2185" s="9" t="s">
        <v>13284</v>
      </c>
      <c r="C2185" s="9" t="s">
        <v>13284</v>
      </c>
      <c r="D2185" s="9" t="s">
        <v>13284</v>
      </c>
      <c r="E2185" s="9" t="s">
        <v>13284</v>
      </c>
      <c r="F2185" s="9" t="s">
        <v>13284</v>
      </c>
      <c r="G2185" s="9" t="s">
        <v>13284</v>
      </c>
      <c r="H2185" s="9" t="s">
        <v>13284</v>
      </c>
      <c r="I2185" s="9" t="s">
        <v>13284</v>
      </c>
      <c r="J2185" s="9" t="s">
        <v>13284</v>
      </c>
      <c r="K2185" s="9" t="s">
        <v>13284</v>
      </c>
      <c r="L2185" s="9" t="s">
        <v>13284</v>
      </c>
      <c r="M2185" s="9" t="s">
        <v>13284</v>
      </c>
      <c r="N2185" s="9" t="s">
        <v>13284</v>
      </c>
      <c r="O2185" s="9" t="s">
        <v>13284</v>
      </c>
      <c r="P2185" s="9" t="s">
        <v>13284</v>
      </c>
      <c r="Q2185" s="9" t="s">
        <v>13284</v>
      </c>
      <c r="R2185" s="9" t="s">
        <v>13284</v>
      </c>
      <c r="S2185" s="9" t="s">
        <v>13284</v>
      </c>
      <c r="T2185" s="9" t="str">
        <f ca="1">IFERROR(IF(AND(VLOOKUP(A2185, 'Актуальное состояние (из общего'!A:C,3,0) = "", A2185 &lt;&gt; ""), "ПРОВЕРИТЬ", VLOOKUP(A2185, 'Актуальное состояние (из общего'!A:C,3,0)), "")</f>
        <v/>
      </c>
      <c r="U2185" s="9" t="s">
        <v>13284</v>
      </c>
      <c r="V2185" s="9" t="s">
        <v>13284</v>
      </c>
      <c r="W2185" s="12"/>
      <c r="X2185" s="9" t="str">
        <f t="array" ref="X2185">IFERROR(INDEX('Адреса общежитий (скрытый)'!$B$2:$B$9, MATCH(W2185, 'Адреса общежитий (скрытый)'!$A$2:$A$9, 0)), "")</f>
        <v/>
      </c>
      <c r="Y2185" s="18"/>
      <c r="Z2185" s="18"/>
      <c r="AA2185" s="18"/>
      <c r="AB2185" s="18"/>
      <c r="AC2185" s="18"/>
    </row>
    <row r="2186" spans="1:29" ht="32.25" hidden="1" customHeight="1">
      <c r="A2186" s="17"/>
      <c r="B2186" s="9" t="s">
        <v>13284</v>
      </c>
      <c r="C2186" s="9" t="s">
        <v>13284</v>
      </c>
      <c r="D2186" s="9" t="s">
        <v>13284</v>
      </c>
      <c r="E2186" s="9" t="s">
        <v>13284</v>
      </c>
      <c r="F2186" s="9" t="s">
        <v>13284</v>
      </c>
      <c r="G2186" s="9" t="s">
        <v>13284</v>
      </c>
      <c r="H2186" s="9" t="s">
        <v>13284</v>
      </c>
      <c r="I2186" s="9" t="s">
        <v>13284</v>
      </c>
      <c r="J2186" s="9" t="s">
        <v>13284</v>
      </c>
      <c r="K2186" s="9" t="s">
        <v>13284</v>
      </c>
      <c r="L2186" s="9" t="s">
        <v>13284</v>
      </c>
      <c r="M2186" s="9" t="s">
        <v>13284</v>
      </c>
      <c r="N2186" s="9" t="s">
        <v>13284</v>
      </c>
      <c r="O2186" s="9" t="s">
        <v>13284</v>
      </c>
      <c r="P2186" s="9" t="s">
        <v>13284</v>
      </c>
      <c r="Q2186" s="9" t="s">
        <v>13284</v>
      </c>
      <c r="R2186" s="9" t="s">
        <v>13284</v>
      </c>
      <c r="S2186" s="9" t="s">
        <v>13284</v>
      </c>
      <c r="T2186" s="9" t="str">
        <f ca="1">IFERROR(IF(AND(VLOOKUP(A2186, 'Актуальное состояние (из общего'!A:C,3,0) = "", A2186 &lt;&gt; ""), "ПРОВЕРИТЬ", VLOOKUP(A2186, 'Актуальное состояние (из общего'!A:C,3,0)), "")</f>
        <v/>
      </c>
      <c r="U2186" s="9" t="s">
        <v>13284</v>
      </c>
      <c r="V2186" s="9" t="s">
        <v>13284</v>
      </c>
      <c r="W2186" s="12"/>
      <c r="X2186" s="9" t="str">
        <f t="array" ref="X2186">IFERROR(INDEX('Адреса общежитий (скрытый)'!$B$2:$B$9, MATCH(W2186, 'Адреса общежитий (скрытый)'!$A$2:$A$9, 0)), "")</f>
        <v/>
      </c>
      <c r="Y2186" s="18"/>
      <c r="Z2186" s="18"/>
      <c r="AA2186" s="18"/>
      <c r="AB2186" s="18"/>
      <c r="AC2186" s="18"/>
    </row>
    <row r="2187" spans="1:29" ht="32.25" hidden="1" customHeight="1">
      <c r="A2187" s="17"/>
      <c r="B2187" s="9" t="s">
        <v>13284</v>
      </c>
      <c r="C2187" s="9" t="s">
        <v>13284</v>
      </c>
      <c r="D2187" s="9" t="s">
        <v>13284</v>
      </c>
      <c r="E2187" s="9" t="s">
        <v>13284</v>
      </c>
      <c r="F2187" s="9" t="s">
        <v>13284</v>
      </c>
      <c r="G2187" s="9" t="s">
        <v>13284</v>
      </c>
      <c r="H2187" s="9" t="s">
        <v>13284</v>
      </c>
      <c r="I2187" s="9" t="s">
        <v>13284</v>
      </c>
      <c r="J2187" s="9" t="s">
        <v>13284</v>
      </c>
      <c r="K2187" s="9" t="s">
        <v>13284</v>
      </c>
      <c r="L2187" s="9" t="s">
        <v>13284</v>
      </c>
      <c r="M2187" s="9" t="s">
        <v>13284</v>
      </c>
      <c r="N2187" s="9" t="s">
        <v>13284</v>
      </c>
      <c r="O2187" s="9" t="s">
        <v>13284</v>
      </c>
      <c r="P2187" s="9" t="s">
        <v>13284</v>
      </c>
      <c r="Q2187" s="9" t="s">
        <v>13284</v>
      </c>
      <c r="R2187" s="9" t="s">
        <v>13284</v>
      </c>
      <c r="S2187" s="9" t="s">
        <v>13284</v>
      </c>
      <c r="T2187" s="9" t="str">
        <f ca="1">IFERROR(IF(AND(VLOOKUP(A2187, 'Актуальное состояние (из общего'!A:C,3,0) = "", A2187 &lt;&gt; ""), "ПРОВЕРИТЬ", VLOOKUP(A2187, 'Актуальное состояние (из общего'!A:C,3,0)), "")</f>
        <v/>
      </c>
      <c r="U2187" s="9" t="s">
        <v>13284</v>
      </c>
      <c r="V2187" s="9" t="s">
        <v>13284</v>
      </c>
      <c r="W2187" s="12"/>
      <c r="X2187" s="9" t="str">
        <f t="array" ref="X2187">IFERROR(INDEX('Адреса общежитий (скрытый)'!$B$2:$B$9, MATCH(W2187, 'Адреса общежитий (скрытый)'!$A$2:$A$9, 0)), "")</f>
        <v/>
      </c>
      <c r="Y2187" s="18"/>
      <c r="Z2187" s="18"/>
      <c r="AA2187" s="18"/>
      <c r="AB2187" s="18"/>
      <c r="AC2187" s="18"/>
    </row>
    <row r="2188" spans="1:29" ht="32.25" hidden="1" customHeight="1">
      <c r="A2188" s="17"/>
      <c r="B2188" s="9" t="s">
        <v>13284</v>
      </c>
      <c r="C2188" s="9" t="s">
        <v>13284</v>
      </c>
      <c r="D2188" s="9" t="s">
        <v>13284</v>
      </c>
      <c r="E2188" s="9" t="s">
        <v>13284</v>
      </c>
      <c r="F2188" s="9" t="s">
        <v>13284</v>
      </c>
      <c r="G2188" s="9" t="s">
        <v>13284</v>
      </c>
      <c r="H2188" s="9" t="s">
        <v>13284</v>
      </c>
      <c r="I2188" s="9" t="s">
        <v>13284</v>
      </c>
      <c r="J2188" s="9" t="s">
        <v>13284</v>
      </c>
      <c r="K2188" s="9" t="s">
        <v>13284</v>
      </c>
      <c r="L2188" s="9" t="s">
        <v>13284</v>
      </c>
      <c r="M2188" s="9" t="s">
        <v>13284</v>
      </c>
      <c r="N2188" s="9" t="s">
        <v>13284</v>
      </c>
      <c r="O2188" s="9" t="s">
        <v>13284</v>
      </c>
      <c r="P2188" s="9" t="s">
        <v>13284</v>
      </c>
      <c r="Q2188" s="9" t="s">
        <v>13284</v>
      </c>
      <c r="R2188" s="9" t="s">
        <v>13284</v>
      </c>
      <c r="S2188" s="9" t="s">
        <v>13284</v>
      </c>
      <c r="T2188" s="9" t="str">
        <f ca="1">IFERROR(IF(AND(VLOOKUP(A2188, 'Актуальное состояние (из общего'!A:C,3,0) = "", A2188 &lt;&gt; ""), "ПРОВЕРИТЬ", VLOOKUP(A2188, 'Актуальное состояние (из общего'!A:C,3,0)), "")</f>
        <v/>
      </c>
      <c r="U2188" s="9" t="s">
        <v>13284</v>
      </c>
      <c r="V2188" s="9" t="s">
        <v>13284</v>
      </c>
      <c r="W2188" s="12"/>
      <c r="X2188" s="9" t="str">
        <f t="array" ref="X2188">IFERROR(INDEX('Адреса общежитий (скрытый)'!$B$2:$B$9, MATCH(W2188, 'Адреса общежитий (скрытый)'!$A$2:$A$9, 0)), "")</f>
        <v/>
      </c>
      <c r="Y2188" s="18"/>
      <c r="Z2188" s="18"/>
      <c r="AA2188" s="18"/>
      <c r="AB2188" s="18"/>
      <c r="AC2188" s="18"/>
    </row>
    <row r="2189" spans="1:29" ht="32.25" hidden="1" customHeight="1">
      <c r="A2189" s="17"/>
      <c r="B2189" s="9" t="s">
        <v>13284</v>
      </c>
      <c r="C2189" s="9" t="s">
        <v>13284</v>
      </c>
      <c r="D2189" s="9" t="s">
        <v>13284</v>
      </c>
      <c r="E2189" s="9" t="s">
        <v>13284</v>
      </c>
      <c r="F2189" s="9" t="s">
        <v>13284</v>
      </c>
      <c r="G2189" s="9" t="s">
        <v>13284</v>
      </c>
      <c r="H2189" s="9" t="s">
        <v>13284</v>
      </c>
      <c r="I2189" s="9" t="s">
        <v>13284</v>
      </c>
      <c r="J2189" s="9" t="s">
        <v>13284</v>
      </c>
      <c r="K2189" s="9" t="s">
        <v>13284</v>
      </c>
      <c r="L2189" s="9" t="s">
        <v>13284</v>
      </c>
      <c r="M2189" s="9" t="s">
        <v>13284</v>
      </c>
      <c r="N2189" s="9" t="s">
        <v>13284</v>
      </c>
      <c r="O2189" s="9" t="s">
        <v>13284</v>
      </c>
      <c r="P2189" s="9" t="s">
        <v>13284</v>
      </c>
      <c r="Q2189" s="9" t="s">
        <v>13284</v>
      </c>
      <c r="R2189" s="9" t="s">
        <v>13284</v>
      </c>
      <c r="S2189" s="9" t="s">
        <v>13284</v>
      </c>
      <c r="T2189" s="9" t="str">
        <f ca="1">IFERROR(IF(AND(VLOOKUP(A2189, 'Актуальное состояние (из общего'!A:C,3,0) = "", A2189 &lt;&gt; ""), "ПРОВЕРИТЬ", VLOOKUP(A2189, 'Актуальное состояние (из общего'!A:C,3,0)), "")</f>
        <v/>
      </c>
      <c r="U2189" s="9" t="s">
        <v>13284</v>
      </c>
      <c r="V2189" s="9" t="s">
        <v>13284</v>
      </c>
      <c r="W2189" s="12"/>
      <c r="X2189" s="9" t="str">
        <f t="array" ref="X2189">IFERROR(INDEX('Адреса общежитий (скрытый)'!$B$2:$B$9, MATCH(W2189, 'Адреса общежитий (скрытый)'!$A$2:$A$9, 0)), "")</f>
        <v/>
      </c>
      <c r="Y2189" s="18"/>
      <c r="Z2189" s="18"/>
      <c r="AA2189" s="18"/>
      <c r="AB2189" s="18"/>
      <c r="AC2189" s="18"/>
    </row>
    <row r="2190" spans="1:29" ht="32.25" hidden="1" customHeight="1">
      <c r="A2190" s="17"/>
      <c r="B2190" s="9" t="s">
        <v>13284</v>
      </c>
      <c r="C2190" s="9" t="s">
        <v>13284</v>
      </c>
      <c r="D2190" s="9" t="s">
        <v>13284</v>
      </c>
      <c r="E2190" s="9" t="s">
        <v>13284</v>
      </c>
      <c r="F2190" s="9" t="s">
        <v>13284</v>
      </c>
      <c r="G2190" s="9" t="s">
        <v>13284</v>
      </c>
      <c r="H2190" s="9" t="s">
        <v>13284</v>
      </c>
      <c r="I2190" s="9" t="s">
        <v>13284</v>
      </c>
      <c r="J2190" s="9" t="s">
        <v>13284</v>
      </c>
      <c r="K2190" s="9" t="s">
        <v>13284</v>
      </c>
      <c r="L2190" s="9" t="s">
        <v>13284</v>
      </c>
      <c r="M2190" s="9" t="s">
        <v>13284</v>
      </c>
      <c r="N2190" s="9" t="s">
        <v>13284</v>
      </c>
      <c r="O2190" s="9" t="s">
        <v>13284</v>
      </c>
      <c r="P2190" s="9" t="s">
        <v>13284</v>
      </c>
      <c r="Q2190" s="9" t="s">
        <v>13284</v>
      </c>
      <c r="R2190" s="9" t="s">
        <v>13284</v>
      </c>
      <c r="S2190" s="9" t="s">
        <v>13284</v>
      </c>
      <c r="T2190" s="9" t="str">
        <f ca="1">IFERROR(IF(AND(VLOOKUP(A2190, 'Актуальное состояние (из общего'!A:C,3,0) = "", A2190 &lt;&gt; ""), "ПРОВЕРИТЬ", VLOOKUP(A2190, 'Актуальное состояние (из общего'!A:C,3,0)), "")</f>
        <v/>
      </c>
      <c r="U2190" s="9" t="s">
        <v>13284</v>
      </c>
      <c r="V2190" s="9" t="s">
        <v>13284</v>
      </c>
      <c r="W2190" s="12"/>
      <c r="X2190" s="9" t="str">
        <f t="array" ref="X2190">IFERROR(INDEX('Адреса общежитий (скрытый)'!$B$2:$B$9, MATCH(W2190, 'Адреса общежитий (скрытый)'!$A$2:$A$9, 0)), "")</f>
        <v/>
      </c>
      <c r="Y2190" s="18"/>
      <c r="Z2190" s="18"/>
      <c r="AA2190" s="18"/>
      <c r="AB2190" s="18"/>
      <c r="AC2190" s="18"/>
    </row>
    <row r="2191" spans="1:29" ht="32.25" hidden="1" customHeight="1">
      <c r="A2191" s="17"/>
      <c r="B2191" s="9" t="s">
        <v>13284</v>
      </c>
      <c r="C2191" s="9" t="s">
        <v>13284</v>
      </c>
      <c r="D2191" s="9" t="s">
        <v>13284</v>
      </c>
      <c r="E2191" s="9" t="s">
        <v>13284</v>
      </c>
      <c r="F2191" s="9" t="s">
        <v>13284</v>
      </c>
      <c r="G2191" s="9" t="s">
        <v>13284</v>
      </c>
      <c r="H2191" s="9" t="s">
        <v>13284</v>
      </c>
      <c r="I2191" s="9" t="s">
        <v>13284</v>
      </c>
      <c r="J2191" s="9" t="s">
        <v>13284</v>
      </c>
      <c r="K2191" s="9" t="s">
        <v>13284</v>
      </c>
      <c r="L2191" s="9" t="s">
        <v>13284</v>
      </c>
      <c r="M2191" s="9" t="s">
        <v>13284</v>
      </c>
      <c r="N2191" s="9" t="s">
        <v>13284</v>
      </c>
      <c r="O2191" s="9" t="s">
        <v>13284</v>
      </c>
      <c r="P2191" s="9" t="s">
        <v>13284</v>
      </c>
      <c r="Q2191" s="9" t="s">
        <v>13284</v>
      </c>
      <c r="R2191" s="9" t="s">
        <v>13284</v>
      </c>
      <c r="S2191" s="9" t="s">
        <v>13284</v>
      </c>
      <c r="T2191" s="9" t="str">
        <f ca="1">IFERROR(IF(AND(VLOOKUP(A2191, 'Актуальное состояние (из общего'!A:C,3,0) = "", A2191 &lt;&gt; ""), "ПРОВЕРИТЬ", VLOOKUP(A2191, 'Актуальное состояние (из общего'!A:C,3,0)), "")</f>
        <v/>
      </c>
      <c r="U2191" s="9" t="s">
        <v>13284</v>
      </c>
      <c r="V2191" s="9" t="s">
        <v>13284</v>
      </c>
      <c r="W2191" s="12"/>
      <c r="X2191" s="9" t="str">
        <f t="array" ref="X2191">IFERROR(INDEX('Адреса общежитий (скрытый)'!$B$2:$B$9, MATCH(W2191, 'Адреса общежитий (скрытый)'!$A$2:$A$9, 0)), "")</f>
        <v/>
      </c>
      <c r="Y2191" s="18"/>
      <c r="Z2191" s="18"/>
      <c r="AA2191" s="18"/>
      <c r="AB2191" s="18"/>
      <c r="AC2191" s="18"/>
    </row>
    <row r="2192" spans="1:29" ht="32.25" hidden="1" customHeight="1">
      <c r="A2192" s="17"/>
      <c r="B2192" s="9" t="s">
        <v>13284</v>
      </c>
      <c r="C2192" s="9" t="s">
        <v>13284</v>
      </c>
      <c r="D2192" s="9" t="s">
        <v>13284</v>
      </c>
      <c r="E2192" s="9" t="s">
        <v>13284</v>
      </c>
      <c r="F2192" s="9" t="s">
        <v>13284</v>
      </c>
      <c r="G2192" s="9" t="s">
        <v>13284</v>
      </c>
      <c r="H2192" s="9" t="s">
        <v>13284</v>
      </c>
      <c r="I2192" s="9" t="s">
        <v>13284</v>
      </c>
      <c r="J2192" s="9" t="s">
        <v>13284</v>
      </c>
      <c r="K2192" s="9" t="s">
        <v>13284</v>
      </c>
      <c r="L2192" s="9" t="s">
        <v>13284</v>
      </c>
      <c r="M2192" s="9" t="s">
        <v>13284</v>
      </c>
      <c r="N2192" s="9" t="s">
        <v>13284</v>
      </c>
      <c r="O2192" s="9" t="s">
        <v>13284</v>
      </c>
      <c r="P2192" s="9" t="s">
        <v>13284</v>
      </c>
      <c r="Q2192" s="9" t="s">
        <v>13284</v>
      </c>
      <c r="R2192" s="9" t="s">
        <v>13284</v>
      </c>
      <c r="S2192" s="9" t="s">
        <v>13284</v>
      </c>
      <c r="T2192" s="9" t="str">
        <f ca="1">IFERROR(IF(AND(VLOOKUP(A2192, 'Актуальное состояние (из общего'!A:C,3,0) = "", A2192 &lt;&gt; ""), "ПРОВЕРИТЬ", VLOOKUP(A2192, 'Актуальное состояние (из общего'!A:C,3,0)), "")</f>
        <v/>
      </c>
      <c r="U2192" s="9" t="s">
        <v>13284</v>
      </c>
      <c r="V2192" s="9" t="s">
        <v>13284</v>
      </c>
      <c r="W2192" s="12"/>
      <c r="X2192" s="9" t="str">
        <f t="array" ref="X2192">IFERROR(INDEX('Адреса общежитий (скрытый)'!$B$2:$B$9, MATCH(W2192, 'Адреса общежитий (скрытый)'!$A$2:$A$9, 0)), "")</f>
        <v/>
      </c>
      <c r="Y2192" s="18"/>
      <c r="Z2192" s="18"/>
      <c r="AA2192" s="18"/>
      <c r="AB2192" s="18"/>
      <c r="AC2192" s="18"/>
    </row>
    <row r="2193" spans="1:29" ht="32.25" hidden="1" customHeight="1">
      <c r="A2193" s="17"/>
      <c r="B2193" s="9" t="s">
        <v>13284</v>
      </c>
      <c r="C2193" s="9" t="s">
        <v>13284</v>
      </c>
      <c r="D2193" s="9" t="s">
        <v>13284</v>
      </c>
      <c r="E2193" s="9" t="s">
        <v>13284</v>
      </c>
      <c r="F2193" s="9" t="s">
        <v>13284</v>
      </c>
      <c r="G2193" s="9" t="s">
        <v>13284</v>
      </c>
      <c r="H2193" s="9" t="s">
        <v>13284</v>
      </c>
      <c r="I2193" s="9" t="s">
        <v>13284</v>
      </c>
      <c r="J2193" s="9" t="s">
        <v>13284</v>
      </c>
      <c r="K2193" s="9" t="s">
        <v>13284</v>
      </c>
      <c r="L2193" s="9" t="s">
        <v>13284</v>
      </c>
      <c r="M2193" s="9" t="s">
        <v>13284</v>
      </c>
      <c r="N2193" s="9" t="s">
        <v>13284</v>
      </c>
      <c r="O2193" s="9" t="s">
        <v>13284</v>
      </c>
      <c r="P2193" s="9" t="s">
        <v>13284</v>
      </c>
      <c r="Q2193" s="9" t="s">
        <v>13284</v>
      </c>
      <c r="R2193" s="9" t="s">
        <v>13284</v>
      </c>
      <c r="S2193" s="9" t="s">
        <v>13284</v>
      </c>
      <c r="T2193" s="9" t="str">
        <f ca="1">IFERROR(IF(AND(VLOOKUP(A2193, 'Актуальное состояние (из общего'!A:C,3,0) = "", A2193 &lt;&gt; ""), "ПРОВЕРИТЬ", VLOOKUP(A2193, 'Актуальное состояние (из общего'!A:C,3,0)), "")</f>
        <v/>
      </c>
      <c r="U2193" s="9" t="s">
        <v>13284</v>
      </c>
      <c r="V2193" s="9" t="s">
        <v>13284</v>
      </c>
      <c r="W2193" s="12"/>
      <c r="X2193" s="9" t="str">
        <f t="array" ref="X2193">IFERROR(INDEX('Адреса общежитий (скрытый)'!$B$2:$B$9, MATCH(W2193, 'Адреса общежитий (скрытый)'!$A$2:$A$9, 0)), "")</f>
        <v/>
      </c>
      <c r="Y2193" s="18"/>
      <c r="Z2193" s="18"/>
      <c r="AA2193" s="18"/>
      <c r="AB2193" s="18"/>
      <c r="AC2193" s="18"/>
    </row>
    <row r="2194" spans="1:29" ht="32.25" hidden="1" customHeight="1">
      <c r="A2194" s="17"/>
      <c r="B2194" s="9" t="s">
        <v>13284</v>
      </c>
      <c r="C2194" s="9" t="s">
        <v>13284</v>
      </c>
      <c r="D2194" s="9" t="s">
        <v>13284</v>
      </c>
      <c r="E2194" s="9" t="s">
        <v>13284</v>
      </c>
      <c r="F2194" s="9" t="s">
        <v>13284</v>
      </c>
      <c r="G2194" s="9" t="s">
        <v>13284</v>
      </c>
      <c r="H2194" s="9" t="s">
        <v>13284</v>
      </c>
      <c r="I2194" s="9" t="s">
        <v>13284</v>
      </c>
      <c r="J2194" s="9" t="s">
        <v>13284</v>
      </c>
      <c r="K2194" s="9" t="s">
        <v>13284</v>
      </c>
      <c r="L2194" s="9" t="s">
        <v>13284</v>
      </c>
      <c r="M2194" s="9" t="s">
        <v>13284</v>
      </c>
      <c r="N2194" s="9" t="s">
        <v>13284</v>
      </c>
      <c r="O2194" s="9" t="s">
        <v>13284</v>
      </c>
      <c r="P2194" s="9" t="s">
        <v>13284</v>
      </c>
      <c r="Q2194" s="9" t="s">
        <v>13284</v>
      </c>
      <c r="R2194" s="9" t="s">
        <v>13284</v>
      </c>
      <c r="S2194" s="9" t="s">
        <v>13284</v>
      </c>
      <c r="T2194" s="9" t="str">
        <f ca="1">IFERROR(IF(AND(VLOOKUP(A2194, 'Актуальное состояние (из общего'!A:C,3,0) = "", A2194 &lt;&gt; ""), "ПРОВЕРИТЬ", VLOOKUP(A2194, 'Актуальное состояние (из общего'!A:C,3,0)), "")</f>
        <v/>
      </c>
      <c r="U2194" s="9" t="s">
        <v>13284</v>
      </c>
      <c r="V2194" s="9" t="s">
        <v>13284</v>
      </c>
      <c r="W2194" s="12"/>
      <c r="X2194" s="9" t="str">
        <f t="array" ref="X2194">IFERROR(INDEX('Адреса общежитий (скрытый)'!$B$2:$B$9, MATCH(W2194, 'Адреса общежитий (скрытый)'!$A$2:$A$9, 0)), "")</f>
        <v/>
      </c>
      <c r="Y2194" s="18"/>
      <c r="Z2194" s="18"/>
      <c r="AA2194" s="18"/>
      <c r="AB2194" s="18"/>
      <c r="AC2194" s="18"/>
    </row>
    <row r="2195" spans="1:29" ht="32.25" hidden="1" customHeight="1">
      <c r="A2195" s="17"/>
      <c r="B2195" s="9" t="s">
        <v>13284</v>
      </c>
      <c r="C2195" s="9" t="s">
        <v>13284</v>
      </c>
      <c r="D2195" s="9" t="s">
        <v>13284</v>
      </c>
      <c r="E2195" s="9" t="s">
        <v>13284</v>
      </c>
      <c r="F2195" s="9" t="s">
        <v>13284</v>
      </c>
      <c r="G2195" s="9" t="s">
        <v>13284</v>
      </c>
      <c r="H2195" s="9" t="s">
        <v>13284</v>
      </c>
      <c r="I2195" s="9" t="s">
        <v>13284</v>
      </c>
      <c r="J2195" s="9" t="s">
        <v>13284</v>
      </c>
      <c r="K2195" s="9" t="s">
        <v>13284</v>
      </c>
      <c r="L2195" s="9" t="s">
        <v>13284</v>
      </c>
      <c r="M2195" s="9" t="s">
        <v>13284</v>
      </c>
      <c r="N2195" s="9" t="s">
        <v>13284</v>
      </c>
      <c r="O2195" s="9" t="s">
        <v>13284</v>
      </c>
      <c r="P2195" s="9" t="s">
        <v>13284</v>
      </c>
      <c r="Q2195" s="9" t="s">
        <v>13284</v>
      </c>
      <c r="R2195" s="9" t="s">
        <v>13284</v>
      </c>
      <c r="S2195" s="9" t="s">
        <v>13284</v>
      </c>
      <c r="T2195" s="9" t="str">
        <f ca="1">IFERROR(IF(AND(VLOOKUP(A2195, 'Актуальное состояние (из общего'!A:C,3,0) = "", A2195 &lt;&gt; ""), "ПРОВЕРИТЬ", VLOOKUP(A2195, 'Актуальное состояние (из общего'!A:C,3,0)), "")</f>
        <v/>
      </c>
      <c r="U2195" s="9" t="s">
        <v>13284</v>
      </c>
      <c r="V2195" s="9" t="s">
        <v>13284</v>
      </c>
      <c r="W2195" s="12"/>
      <c r="X2195" s="9" t="str">
        <f t="array" ref="X2195">IFERROR(INDEX('Адреса общежитий (скрытый)'!$B$2:$B$9, MATCH(W2195, 'Адреса общежитий (скрытый)'!$A$2:$A$9, 0)), "")</f>
        <v/>
      </c>
      <c r="Y2195" s="18"/>
      <c r="Z2195" s="18"/>
      <c r="AA2195" s="18"/>
      <c r="AB2195" s="18"/>
      <c r="AC2195" s="18"/>
    </row>
    <row r="2196" spans="1:29" ht="32.25" hidden="1" customHeight="1">
      <c r="A2196" s="17"/>
      <c r="B2196" s="9" t="s">
        <v>13284</v>
      </c>
      <c r="C2196" s="9" t="s">
        <v>13284</v>
      </c>
      <c r="D2196" s="9" t="s">
        <v>13284</v>
      </c>
      <c r="E2196" s="9" t="s">
        <v>13284</v>
      </c>
      <c r="F2196" s="9" t="s">
        <v>13284</v>
      </c>
      <c r="G2196" s="9" t="s">
        <v>13284</v>
      </c>
      <c r="H2196" s="9" t="s">
        <v>13284</v>
      </c>
      <c r="I2196" s="9" t="s">
        <v>13284</v>
      </c>
      <c r="J2196" s="9" t="s">
        <v>13284</v>
      </c>
      <c r="K2196" s="9" t="s">
        <v>13284</v>
      </c>
      <c r="L2196" s="9" t="s">
        <v>13284</v>
      </c>
      <c r="M2196" s="9" t="s">
        <v>13284</v>
      </c>
      <c r="N2196" s="9" t="s">
        <v>13284</v>
      </c>
      <c r="O2196" s="9" t="s">
        <v>13284</v>
      </c>
      <c r="P2196" s="9" t="s">
        <v>13284</v>
      </c>
      <c r="Q2196" s="9" t="s">
        <v>13284</v>
      </c>
      <c r="R2196" s="9" t="s">
        <v>13284</v>
      </c>
      <c r="S2196" s="9" t="s">
        <v>13284</v>
      </c>
      <c r="T2196" s="9" t="str">
        <f ca="1">IFERROR(IF(AND(VLOOKUP(A2196, 'Актуальное состояние (из общего'!A:C,3,0) = "", A2196 &lt;&gt; ""), "ПРОВЕРИТЬ", VLOOKUP(A2196, 'Актуальное состояние (из общего'!A:C,3,0)), "")</f>
        <v/>
      </c>
      <c r="U2196" s="9" t="s">
        <v>13284</v>
      </c>
      <c r="V2196" s="9" t="s">
        <v>13284</v>
      </c>
      <c r="W2196" s="12"/>
      <c r="X2196" s="9" t="str">
        <f t="array" ref="X2196">IFERROR(INDEX('Адреса общежитий (скрытый)'!$B$2:$B$9, MATCH(W2196, 'Адреса общежитий (скрытый)'!$A$2:$A$9, 0)), "")</f>
        <v/>
      </c>
      <c r="Y2196" s="18"/>
      <c r="Z2196" s="18"/>
      <c r="AA2196" s="18"/>
      <c r="AB2196" s="18"/>
      <c r="AC2196" s="18"/>
    </row>
    <row r="2197" spans="1:29" ht="32.25" hidden="1" customHeight="1">
      <c r="A2197" s="17"/>
      <c r="B2197" s="9" t="s">
        <v>13284</v>
      </c>
      <c r="C2197" s="9" t="s">
        <v>13284</v>
      </c>
      <c r="D2197" s="9" t="s">
        <v>13284</v>
      </c>
      <c r="E2197" s="9" t="s">
        <v>13284</v>
      </c>
      <c r="F2197" s="9" t="s">
        <v>13284</v>
      </c>
      <c r="G2197" s="9" t="s">
        <v>13284</v>
      </c>
      <c r="H2197" s="9" t="s">
        <v>13284</v>
      </c>
      <c r="I2197" s="9" t="s">
        <v>13284</v>
      </c>
      <c r="J2197" s="9" t="s">
        <v>13284</v>
      </c>
      <c r="K2197" s="9" t="s">
        <v>13284</v>
      </c>
      <c r="L2197" s="9" t="s">
        <v>13284</v>
      </c>
      <c r="M2197" s="9" t="s">
        <v>13284</v>
      </c>
      <c r="N2197" s="9" t="s">
        <v>13284</v>
      </c>
      <c r="O2197" s="9" t="s">
        <v>13284</v>
      </c>
      <c r="P2197" s="9" t="s">
        <v>13284</v>
      </c>
      <c r="Q2197" s="9" t="s">
        <v>13284</v>
      </c>
      <c r="R2197" s="9" t="s">
        <v>13284</v>
      </c>
      <c r="S2197" s="9" t="s">
        <v>13284</v>
      </c>
      <c r="T2197" s="9" t="str">
        <f ca="1">IFERROR(IF(AND(VLOOKUP(A2197, 'Актуальное состояние (из общего'!A:C,3,0) = "", A2197 &lt;&gt; ""), "ПРОВЕРИТЬ", VLOOKUP(A2197, 'Актуальное состояние (из общего'!A:C,3,0)), "")</f>
        <v/>
      </c>
      <c r="U2197" s="9" t="s">
        <v>13284</v>
      </c>
      <c r="V2197" s="9" t="s">
        <v>13284</v>
      </c>
      <c r="W2197" s="12"/>
      <c r="X2197" s="9" t="str">
        <f t="array" ref="X2197">IFERROR(INDEX('Адреса общежитий (скрытый)'!$B$2:$B$9, MATCH(W2197, 'Адреса общежитий (скрытый)'!$A$2:$A$9, 0)), "")</f>
        <v/>
      </c>
      <c r="Y2197" s="18"/>
      <c r="Z2197" s="18"/>
      <c r="AA2197" s="18"/>
      <c r="AB2197" s="18"/>
      <c r="AC2197" s="18"/>
    </row>
    <row r="2198" spans="1:29" ht="32.25" hidden="1" customHeight="1">
      <c r="A2198" s="17"/>
      <c r="B2198" s="9" t="s">
        <v>13284</v>
      </c>
      <c r="C2198" s="9" t="s">
        <v>13284</v>
      </c>
      <c r="D2198" s="9" t="s">
        <v>13284</v>
      </c>
      <c r="E2198" s="9" t="s">
        <v>13284</v>
      </c>
      <c r="F2198" s="9" t="s">
        <v>13284</v>
      </c>
      <c r="G2198" s="9" t="s">
        <v>13284</v>
      </c>
      <c r="H2198" s="9" t="s">
        <v>13284</v>
      </c>
      <c r="I2198" s="9" t="s">
        <v>13284</v>
      </c>
      <c r="J2198" s="9" t="s">
        <v>13284</v>
      </c>
      <c r="K2198" s="9" t="s">
        <v>13284</v>
      </c>
      <c r="L2198" s="9" t="s">
        <v>13284</v>
      </c>
      <c r="M2198" s="9" t="s">
        <v>13284</v>
      </c>
      <c r="N2198" s="9" t="s">
        <v>13284</v>
      </c>
      <c r="O2198" s="9" t="s">
        <v>13284</v>
      </c>
      <c r="P2198" s="9" t="s">
        <v>13284</v>
      </c>
      <c r="Q2198" s="9" t="s">
        <v>13284</v>
      </c>
      <c r="R2198" s="9" t="s">
        <v>13284</v>
      </c>
      <c r="S2198" s="9" t="s">
        <v>13284</v>
      </c>
      <c r="T2198" s="9" t="str">
        <f ca="1">IFERROR(IF(AND(VLOOKUP(A2198, 'Актуальное состояние (из общего'!A:C,3,0) = "", A2198 &lt;&gt; ""), "ПРОВЕРИТЬ", VLOOKUP(A2198, 'Актуальное состояние (из общего'!A:C,3,0)), "")</f>
        <v/>
      </c>
      <c r="U2198" s="9" t="s">
        <v>13284</v>
      </c>
      <c r="V2198" s="9" t="s">
        <v>13284</v>
      </c>
      <c r="W2198" s="12"/>
      <c r="X2198" s="9" t="str">
        <f t="array" ref="X2198">IFERROR(INDEX('Адреса общежитий (скрытый)'!$B$2:$B$9, MATCH(W2198, 'Адреса общежитий (скрытый)'!$A$2:$A$9, 0)), "")</f>
        <v/>
      </c>
      <c r="Y2198" s="18"/>
      <c r="Z2198" s="18"/>
      <c r="AA2198" s="18"/>
      <c r="AB2198" s="18"/>
      <c r="AC2198" s="18"/>
    </row>
    <row r="2199" spans="1:29" ht="32.25" hidden="1" customHeight="1">
      <c r="A2199" s="17"/>
      <c r="B2199" s="9" t="s">
        <v>13284</v>
      </c>
      <c r="C2199" s="9" t="s">
        <v>13284</v>
      </c>
      <c r="D2199" s="9" t="s">
        <v>13284</v>
      </c>
      <c r="E2199" s="9" t="s">
        <v>13284</v>
      </c>
      <c r="F2199" s="9" t="s">
        <v>13284</v>
      </c>
      <c r="G2199" s="9" t="s">
        <v>13284</v>
      </c>
      <c r="H2199" s="9" t="s">
        <v>13284</v>
      </c>
      <c r="I2199" s="9" t="s">
        <v>13284</v>
      </c>
      <c r="J2199" s="9" t="s">
        <v>13284</v>
      </c>
      <c r="K2199" s="9" t="s">
        <v>13284</v>
      </c>
      <c r="L2199" s="9" t="s">
        <v>13284</v>
      </c>
      <c r="M2199" s="9" t="s">
        <v>13284</v>
      </c>
      <c r="N2199" s="9" t="s">
        <v>13284</v>
      </c>
      <c r="O2199" s="9" t="s">
        <v>13284</v>
      </c>
      <c r="P2199" s="9" t="s">
        <v>13284</v>
      </c>
      <c r="Q2199" s="9" t="s">
        <v>13284</v>
      </c>
      <c r="R2199" s="9" t="s">
        <v>13284</v>
      </c>
      <c r="S2199" s="9" t="s">
        <v>13284</v>
      </c>
      <c r="T2199" s="9" t="str">
        <f ca="1">IFERROR(IF(AND(VLOOKUP(A2199, 'Актуальное состояние (из общего'!A:C,3,0) = "", A2199 &lt;&gt; ""), "ПРОВЕРИТЬ", VLOOKUP(A2199, 'Актуальное состояние (из общего'!A:C,3,0)), "")</f>
        <v/>
      </c>
      <c r="U2199" s="9" t="s">
        <v>13284</v>
      </c>
      <c r="V2199" s="9" t="s">
        <v>13284</v>
      </c>
      <c r="W2199" s="12"/>
      <c r="X2199" s="9" t="str">
        <f t="array" ref="X2199">IFERROR(INDEX('Адреса общежитий (скрытый)'!$B$2:$B$9, MATCH(W2199, 'Адреса общежитий (скрытый)'!$A$2:$A$9, 0)), "")</f>
        <v/>
      </c>
      <c r="Y2199" s="18"/>
      <c r="Z2199" s="18"/>
      <c r="AA2199" s="18"/>
      <c r="AB2199" s="18"/>
      <c r="AC2199" s="18"/>
    </row>
    <row r="2200" spans="1:29" ht="32.25" hidden="1" customHeight="1">
      <c r="A2200" s="17"/>
      <c r="B2200" s="9" t="s">
        <v>13284</v>
      </c>
      <c r="C2200" s="9" t="s">
        <v>13284</v>
      </c>
      <c r="D2200" s="9" t="s">
        <v>13284</v>
      </c>
      <c r="E2200" s="9" t="s">
        <v>13284</v>
      </c>
      <c r="F2200" s="9" t="s">
        <v>13284</v>
      </c>
      <c r="G2200" s="9" t="s">
        <v>13284</v>
      </c>
      <c r="H2200" s="9" t="s">
        <v>13284</v>
      </c>
      <c r="I2200" s="9" t="s">
        <v>13284</v>
      </c>
      <c r="J2200" s="9" t="s">
        <v>13284</v>
      </c>
      <c r="K2200" s="9" t="s">
        <v>13284</v>
      </c>
      <c r="L2200" s="9" t="s">
        <v>13284</v>
      </c>
      <c r="M2200" s="9" t="s">
        <v>13284</v>
      </c>
      <c r="N2200" s="9" t="s">
        <v>13284</v>
      </c>
      <c r="O2200" s="9" t="s">
        <v>13284</v>
      </c>
      <c r="P2200" s="9" t="s">
        <v>13284</v>
      </c>
      <c r="Q2200" s="9" t="s">
        <v>13284</v>
      </c>
      <c r="R2200" s="9" t="s">
        <v>13284</v>
      </c>
      <c r="S2200" s="9" t="s">
        <v>13284</v>
      </c>
      <c r="T2200" s="9" t="str">
        <f ca="1">IFERROR(IF(AND(VLOOKUP(A2200, 'Актуальное состояние (из общего'!A:C,3,0) = "", A2200 &lt;&gt; ""), "ПРОВЕРИТЬ", VLOOKUP(A2200, 'Актуальное состояние (из общего'!A:C,3,0)), "")</f>
        <v/>
      </c>
      <c r="U2200" s="9" t="s">
        <v>13284</v>
      </c>
      <c r="V2200" s="9" t="s">
        <v>13284</v>
      </c>
      <c r="W2200" s="12"/>
      <c r="X2200" s="9" t="str">
        <f t="array" ref="X2200">IFERROR(INDEX('Адреса общежитий (скрытый)'!$B$2:$B$9, MATCH(W2200, 'Адреса общежитий (скрытый)'!$A$2:$A$9, 0)), "")</f>
        <v/>
      </c>
      <c r="Y2200" s="18"/>
      <c r="Z2200" s="18"/>
      <c r="AA2200" s="18"/>
      <c r="AB2200" s="18"/>
      <c r="AC2200" s="18"/>
    </row>
    <row r="2201" spans="1:29" ht="32.25" hidden="1" customHeight="1">
      <c r="A2201" s="17"/>
      <c r="B2201" s="9" t="s">
        <v>13284</v>
      </c>
      <c r="C2201" s="9" t="s">
        <v>13284</v>
      </c>
      <c r="D2201" s="9" t="s">
        <v>13284</v>
      </c>
      <c r="E2201" s="9" t="s">
        <v>13284</v>
      </c>
      <c r="F2201" s="9" t="s">
        <v>13284</v>
      </c>
      <c r="G2201" s="9" t="s">
        <v>13284</v>
      </c>
      <c r="H2201" s="9" t="s">
        <v>13284</v>
      </c>
      <c r="I2201" s="9" t="s">
        <v>13284</v>
      </c>
      <c r="J2201" s="9" t="s">
        <v>13284</v>
      </c>
      <c r="K2201" s="9" t="s">
        <v>13284</v>
      </c>
      <c r="L2201" s="9" t="s">
        <v>13284</v>
      </c>
      <c r="M2201" s="9" t="s">
        <v>13284</v>
      </c>
      <c r="N2201" s="9" t="s">
        <v>13284</v>
      </c>
      <c r="O2201" s="9" t="s">
        <v>13284</v>
      </c>
      <c r="P2201" s="9" t="s">
        <v>13284</v>
      </c>
      <c r="Q2201" s="9" t="s">
        <v>13284</v>
      </c>
      <c r="R2201" s="9" t="s">
        <v>13284</v>
      </c>
      <c r="S2201" s="9" t="s">
        <v>13284</v>
      </c>
      <c r="T2201" s="9" t="str">
        <f ca="1">IFERROR(IF(AND(VLOOKUP(A2201, 'Актуальное состояние (из общего'!A:C,3,0) = "", A2201 &lt;&gt; ""), "ПРОВЕРИТЬ", VLOOKUP(A2201, 'Актуальное состояние (из общего'!A:C,3,0)), "")</f>
        <v/>
      </c>
      <c r="U2201" s="9" t="s">
        <v>13284</v>
      </c>
      <c r="V2201" s="9" t="s">
        <v>13284</v>
      </c>
      <c r="W2201" s="12"/>
      <c r="X2201" s="9" t="str">
        <f t="array" ref="X2201">IFERROR(INDEX('Адреса общежитий (скрытый)'!$B$2:$B$9, MATCH(W2201, 'Адреса общежитий (скрытый)'!$A$2:$A$9, 0)), "")</f>
        <v/>
      </c>
      <c r="Y2201" s="18"/>
      <c r="Z2201" s="18"/>
      <c r="AA2201" s="18"/>
      <c r="AB2201" s="18"/>
      <c r="AC2201" s="18"/>
    </row>
    <row r="2202" spans="1:29" ht="32.25" hidden="1" customHeight="1">
      <c r="A2202" s="17"/>
      <c r="B2202" s="9" t="s">
        <v>13284</v>
      </c>
      <c r="C2202" s="9" t="s">
        <v>13284</v>
      </c>
      <c r="D2202" s="9" t="s">
        <v>13284</v>
      </c>
      <c r="E2202" s="9" t="s">
        <v>13284</v>
      </c>
      <c r="F2202" s="9" t="s">
        <v>13284</v>
      </c>
      <c r="G2202" s="9" t="s">
        <v>13284</v>
      </c>
      <c r="H2202" s="9" t="s">
        <v>13284</v>
      </c>
      <c r="I2202" s="9" t="s">
        <v>13284</v>
      </c>
      <c r="J2202" s="9" t="s">
        <v>13284</v>
      </c>
      <c r="K2202" s="9" t="s">
        <v>13284</v>
      </c>
      <c r="L2202" s="9" t="s">
        <v>13284</v>
      </c>
      <c r="M2202" s="9" t="s">
        <v>13284</v>
      </c>
      <c r="N2202" s="9" t="s">
        <v>13284</v>
      </c>
      <c r="O2202" s="9" t="s">
        <v>13284</v>
      </c>
      <c r="P2202" s="9" t="s">
        <v>13284</v>
      </c>
      <c r="Q2202" s="9" t="s">
        <v>13284</v>
      </c>
      <c r="R2202" s="9" t="s">
        <v>13284</v>
      </c>
      <c r="S2202" s="9" t="s">
        <v>13284</v>
      </c>
      <c r="T2202" s="9" t="str">
        <f ca="1">IFERROR(IF(AND(VLOOKUP(A2202, 'Актуальное состояние (из общего'!A:C,3,0) = "", A2202 &lt;&gt; ""), "ПРОВЕРИТЬ", VLOOKUP(A2202, 'Актуальное состояние (из общего'!A:C,3,0)), "")</f>
        <v/>
      </c>
      <c r="U2202" s="9" t="s">
        <v>13284</v>
      </c>
      <c r="V2202" s="9" t="s">
        <v>13284</v>
      </c>
      <c r="W2202" s="12"/>
      <c r="X2202" s="9" t="str">
        <f t="array" ref="X2202">IFERROR(INDEX('Адреса общежитий (скрытый)'!$B$2:$B$9, MATCH(W2202, 'Адреса общежитий (скрытый)'!$A$2:$A$9, 0)), "")</f>
        <v/>
      </c>
      <c r="Y2202" s="18"/>
      <c r="Z2202" s="18"/>
      <c r="AA2202" s="18"/>
      <c r="AB2202" s="18"/>
      <c r="AC2202" s="18"/>
    </row>
    <row r="2203" spans="1:29" ht="32.25" hidden="1" customHeight="1">
      <c r="A2203" s="17"/>
      <c r="B2203" s="9" t="s">
        <v>13284</v>
      </c>
      <c r="C2203" s="9" t="s">
        <v>13284</v>
      </c>
      <c r="D2203" s="9" t="s">
        <v>13284</v>
      </c>
      <c r="E2203" s="9" t="s">
        <v>13284</v>
      </c>
      <c r="F2203" s="9" t="s">
        <v>13284</v>
      </c>
      <c r="G2203" s="9" t="s">
        <v>13284</v>
      </c>
      <c r="H2203" s="9" t="s">
        <v>13284</v>
      </c>
      <c r="I2203" s="9" t="s">
        <v>13284</v>
      </c>
      <c r="J2203" s="9" t="s">
        <v>13284</v>
      </c>
      <c r="K2203" s="9" t="s">
        <v>13284</v>
      </c>
      <c r="L2203" s="9" t="s">
        <v>13284</v>
      </c>
      <c r="M2203" s="9" t="s">
        <v>13284</v>
      </c>
      <c r="N2203" s="9" t="s">
        <v>13284</v>
      </c>
      <c r="O2203" s="9" t="s">
        <v>13284</v>
      </c>
      <c r="P2203" s="9" t="s">
        <v>13284</v>
      </c>
      <c r="Q2203" s="9" t="s">
        <v>13284</v>
      </c>
      <c r="R2203" s="9" t="s">
        <v>13284</v>
      </c>
      <c r="S2203" s="9" t="s">
        <v>13284</v>
      </c>
      <c r="T2203" s="9" t="str">
        <f ca="1">IFERROR(IF(AND(VLOOKUP(A2203, 'Актуальное состояние (из общего'!A:C,3,0) = "", A2203 &lt;&gt; ""), "ПРОВЕРИТЬ", VLOOKUP(A2203, 'Актуальное состояние (из общего'!A:C,3,0)), "")</f>
        <v/>
      </c>
      <c r="U2203" s="9" t="s">
        <v>13284</v>
      </c>
      <c r="V2203" s="9" t="s">
        <v>13284</v>
      </c>
      <c r="W2203" s="12"/>
      <c r="X2203" s="9" t="str">
        <f t="array" ref="X2203">IFERROR(INDEX('Адреса общежитий (скрытый)'!$B$2:$B$9, MATCH(W2203, 'Адреса общежитий (скрытый)'!$A$2:$A$9, 0)), "")</f>
        <v/>
      </c>
      <c r="Y2203" s="18"/>
      <c r="Z2203" s="18"/>
      <c r="AA2203" s="18"/>
      <c r="AB2203" s="18"/>
      <c r="AC2203" s="18"/>
    </row>
    <row r="2204" spans="1:29" ht="32.25" hidden="1" customHeight="1">
      <c r="A2204" s="17"/>
      <c r="B2204" s="9" t="s">
        <v>13284</v>
      </c>
      <c r="C2204" s="9" t="s">
        <v>13284</v>
      </c>
      <c r="D2204" s="9" t="s">
        <v>13284</v>
      </c>
      <c r="E2204" s="9" t="s">
        <v>13284</v>
      </c>
      <c r="F2204" s="9" t="s">
        <v>13284</v>
      </c>
      <c r="G2204" s="9" t="s">
        <v>13284</v>
      </c>
      <c r="H2204" s="9" t="s">
        <v>13284</v>
      </c>
      <c r="I2204" s="9" t="s">
        <v>13284</v>
      </c>
      <c r="J2204" s="9" t="s">
        <v>13284</v>
      </c>
      <c r="K2204" s="9" t="s">
        <v>13284</v>
      </c>
      <c r="L2204" s="9" t="s">
        <v>13284</v>
      </c>
      <c r="M2204" s="9" t="s">
        <v>13284</v>
      </c>
      <c r="N2204" s="9" t="s">
        <v>13284</v>
      </c>
      <c r="O2204" s="9" t="s">
        <v>13284</v>
      </c>
      <c r="P2204" s="9" t="s">
        <v>13284</v>
      </c>
      <c r="Q2204" s="9" t="s">
        <v>13284</v>
      </c>
      <c r="R2204" s="9" t="s">
        <v>13284</v>
      </c>
      <c r="S2204" s="9" t="s">
        <v>13284</v>
      </c>
      <c r="T2204" s="9" t="str">
        <f ca="1">IFERROR(IF(AND(VLOOKUP(A2204, 'Актуальное состояние (из общего'!A:C,3,0) = "", A2204 &lt;&gt; ""), "ПРОВЕРИТЬ", VLOOKUP(A2204, 'Актуальное состояние (из общего'!A:C,3,0)), "")</f>
        <v/>
      </c>
      <c r="U2204" s="9" t="s">
        <v>13284</v>
      </c>
      <c r="V2204" s="9" t="s">
        <v>13284</v>
      </c>
      <c r="W2204" s="12"/>
      <c r="X2204" s="9" t="str">
        <f t="array" ref="X2204">IFERROR(INDEX('Адреса общежитий (скрытый)'!$B$2:$B$9, MATCH(W2204, 'Адреса общежитий (скрытый)'!$A$2:$A$9, 0)), "")</f>
        <v/>
      </c>
      <c r="Y2204" s="18"/>
      <c r="Z2204" s="18"/>
      <c r="AA2204" s="18"/>
      <c r="AB2204" s="18"/>
      <c r="AC2204" s="18"/>
    </row>
    <row r="2205" spans="1:29" ht="32.25" hidden="1" customHeight="1">
      <c r="A2205" s="17"/>
      <c r="B2205" s="9" t="s">
        <v>13284</v>
      </c>
      <c r="C2205" s="9" t="s">
        <v>13284</v>
      </c>
      <c r="D2205" s="9" t="s">
        <v>13284</v>
      </c>
      <c r="E2205" s="9" t="s">
        <v>13284</v>
      </c>
      <c r="F2205" s="9" t="s">
        <v>13284</v>
      </c>
      <c r="G2205" s="9" t="s">
        <v>13284</v>
      </c>
      <c r="H2205" s="9" t="s">
        <v>13284</v>
      </c>
      <c r="I2205" s="9" t="s">
        <v>13284</v>
      </c>
      <c r="J2205" s="9" t="s">
        <v>13284</v>
      </c>
      <c r="K2205" s="9" t="s">
        <v>13284</v>
      </c>
      <c r="L2205" s="9" t="s">
        <v>13284</v>
      </c>
      <c r="M2205" s="9" t="s">
        <v>13284</v>
      </c>
      <c r="N2205" s="9" t="s">
        <v>13284</v>
      </c>
      <c r="O2205" s="9" t="s">
        <v>13284</v>
      </c>
      <c r="P2205" s="9" t="s">
        <v>13284</v>
      </c>
      <c r="Q2205" s="9" t="s">
        <v>13284</v>
      </c>
      <c r="R2205" s="9" t="s">
        <v>13284</v>
      </c>
      <c r="S2205" s="9" t="s">
        <v>13284</v>
      </c>
      <c r="T2205" s="9" t="str">
        <f ca="1">IFERROR(IF(AND(VLOOKUP(A2205, 'Актуальное состояние (из общего'!A:C,3,0) = "", A2205 &lt;&gt; ""), "ПРОВЕРИТЬ", VLOOKUP(A2205, 'Актуальное состояние (из общего'!A:C,3,0)), "")</f>
        <v/>
      </c>
      <c r="U2205" s="9" t="s">
        <v>13284</v>
      </c>
      <c r="V2205" s="9" t="s">
        <v>13284</v>
      </c>
      <c r="W2205" s="12"/>
      <c r="X2205" s="9" t="str">
        <f t="array" ref="X2205">IFERROR(INDEX('Адреса общежитий (скрытый)'!$B$2:$B$9, MATCH(W2205, 'Адреса общежитий (скрытый)'!$A$2:$A$9, 0)), "")</f>
        <v/>
      </c>
      <c r="Y2205" s="18"/>
      <c r="Z2205" s="18"/>
      <c r="AA2205" s="18"/>
      <c r="AB2205" s="18"/>
      <c r="AC2205" s="18"/>
    </row>
    <row r="2206" spans="1:29" ht="32.25" hidden="1" customHeight="1">
      <c r="A2206" s="17"/>
      <c r="B2206" s="9" t="s">
        <v>13284</v>
      </c>
      <c r="C2206" s="9" t="s">
        <v>13284</v>
      </c>
      <c r="D2206" s="9" t="s">
        <v>13284</v>
      </c>
      <c r="E2206" s="9" t="s">
        <v>13284</v>
      </c>
      <c r="F2206" s="9" t="s">
        <v>13284</v>
      </c>
      <c r="G2206" s="9" t="s">
        <v>13284</v>
      </c>
      <c r="H2206" s="9" t="s">
        <v>13284</v>
      </c>
      <c r="I2206" s="9" t="s">
        <v>13284</v>
      </c>
      <c r="J2206" s="9" t="s">
        <v>13284</v>
      </c>
      <c r="K2206" s="9" t="s">
        <v>13284</v>
      </c>
      <c r="L2206" s="9" t="s">
        <v>13284</v>
      </c>
      <c r="M2206" s="9" t="s">
        <v>13284</v>
      </c>
      <c r="N2206" s="9" t="s">
        <v>13284</v>
      </c>
      <c r="O2206" s="9" t="s">
        <v>13284</v>
      </c>
      <c r="P2206" s="9" t="s">
        <v>13284</v>
      </c>
      <c r="Q2206" s="9" t="s">
        <v>13284</v>
      </c>
      <c r="R2206" s="9" t="s">
        <v>13284</v>
      </c>
      <c r="S2206" s="9" t="s">
        <v>13284</v>
      </c>
      <c r="T2206" s="9" t="str">
        <f ca="1">IFERROR(IF(AND(VLOOKUP(A2206, 'Актуальное состояние (из общего'!A:C,3,0) = "", A2206 &lt;&gt; ""), "ПРОВЕРИТЬ", VLOOKUP(A2206, 'Актуальное состояние (из общего'!A:C,3,0)), "")</f>
        <v/>
      </c>
      <c r="U2206" s="9" t="s">
        <v>13284</v>
      </c>
      <c r="V2206" s="9" t="s">
        <v>13284</v>
      </c>
      <c r="W2206" s="12"/>
      <c r="X2206" s="9" t="str">
        <f t="array" ref="X2206">IFERROR(INDEX('Адреса общежитий (скрытый)'!$B$2:$B$9, MATCH(W2206, 'Адреса общежитий (скрытый)'!$A$2:$A$9, 0)), "")</f>
        <v/>
      </c>
      <c r="Y2206" s="18"/>
      <c r="Z2206" s="18"/>
      <c r="AA2206" s="18"/>
      <c r="AB2206" s="18"/>
      <c r="AC2206" s="18"/>
    </row>
    <row r="2207" spans="1:29" ht="32.25" hidden="1" customHeight="1">
      <c r="A2207" s="17"/>
      <c r="B2207" s="9" t="s">
        <v>13284</v>
      </c>
      <c r="C2207" s="9" t="s">
        <v>13284</v>
      </c>
      <c r="D2207" s="9" t="s">
        <v>13284</v>
      </c>
      <c r="E2207" s="9" t="s">
        <v>13284</v>
      </c>
      <c r="F2207" s="9" t="s">
        <v>13284</v>
      </c>
      <c r="G2207" s="9" t="s">
        <v>13284</v>
      </c>
      <c r="H2207" s="9" t="s">
        <v>13284</v>
      </c>
      <c r="I2207" s="9" t="s">
        <v>13284</v>
      </c>
      <c r="J2207" s="9" t="s">
        <v>13284</v>
      </c>
      <c r="K2207" s="9" t="s">
        <v>13284</v>
      </c>
      <c r="L2207" s="9" t="s">
        <v>13284</v>
      </c>
      <c r="M2207" s="9" t="s">
        <v>13284</v>
      </c>
      <c r="N2207" s="9" t="s">
        <v>13284</v>
      </c>
      <c r="O2207" s="9" t="s">
        <v>13284</v>
      </c>
      <c r="P2207" s="9" t="s">
        <v>13284</v>
      </c>
      <c r="Q2207" s="9" t="s">
        <v>13284</v>
      </c>
      <c r="R2207" s="9" t="s">
        <v>13284</v>
      </c>
      <c r="S2207" s="9" t="s">
        <v>13284</v>
      </c>
      <c r="T2207" s="9" t="str">
        <f ca="1">IFERROR(IF(AND(VLOOKUP(A2207, 'Актуальное состояние (из общего'!A:C,3,0) = "", A2207 &lt;&gt; ""), "ПРОВЕРИТЬ", VLOOKUP(A2207, 'Актуальное состояние (из общего'!A:C,3,0)), "")</f>
        <v/>
      </c>
      <c r="U2207" s="9" t="s">
        <v>13284</v>
      </c>
      <c r="V2207" s="9" t="s">
        <v>13284</v>
      </c>
      <c r="W2207" s="12"/>
      <c r="X2207" s="9" t="str">
        <f t="array" ref="X2207">IFERROR(INDEX('Адреса общежитий (скрытый)'!$B$2:$B$9, MATCH(W2207, 'Адреса общежитий (скрытый)'!$A$2:$A$9, 0)), "")</f>
        <v/>
      </c>
      <c r="Y2207" s="18"/>
      <c r="Z2207" s="18"/>
      <c r="AA2207" s="18"/>
      <c r="AB2207" s="18"/>
      <c r="AC2207" s="18"/>
    </row>
    <row r="2208" spans="1:29" ht="32.25" hidden="1" customHeight="1">
      <c r="A2208" s="17"/>
      <c r="B2208" s="9" t="s">
        <v>13284</v>
      </c>
      <c r="C2208" s="9" t="s">
        <v>13284</v>
      </c>
      <c r="D2208" s="9" t="s">
        <v>13284</v>
      </c>
      <c r="E2208" s="9" t="s">
        <v>13284</v>
      </c>
      <c r="F2208" s="9" t="s">
        <v>13284</v>
      </c>
      <c r="G2208" s="9" t="s">
        <v>13284</v>
      </c>
      <c r="H2208" s="9" t="s">
        <v>13284</v>
      </c>
      <c r="I2208" s="9" t="s">
        <v>13284</v>
      </c>
      <c r="J2208" s="9" t="s">
        <v>13284</v>
      </c>
      <c r="K2208" s="9" t="s">
        <v>13284</v>
      </c>
      <c r="L2208" s="9" t="s">
        <v>13284</v>
      </c>
      <c r="M2208" s="9" t="s">
        <v>13284</v>
      </c>
      <c r="N2208" s="9" t="s">
        <v>13284</v>
      </c>
      <c r="O2208" s="9" t="s">
        <v>13284</v>
      </c>
      <c r="P2208" s="9" t="s">
        <v>13284</v>
      </c>
      <c r="Q2208" s="9" t="s">
        <v>13284</v>
      </c>
      <c r="R2208" s="9" t="s">
        <v>13284</v>
      </c>
      <c r="S2208" s="9" t="s">
        <v>13284</v>
      </c>
      <c r="T2208" s="9" t="str">
        <f ca="1">IFERROR(IF(AND(VLOOKUP(A2208, 'Актуальное состояние (из общего'!A:C,3,0) = "", A2208 &lt;&gt; ""), "ПРОВЕРИТЬ", VLOOKUP(A2208, 'Актуальное состояние (из общего'!A:C,3,0)), "")</f>
        <v/>
      </c>
      <c r="U2208" s="9" t="s">
        <v>13284</v>
      </c>
      <c r="V2208" s="9" t="s">
        <v>13284</v>
      </c>
      <c r="W2208" s="12"/>
      <c r="X2208" s="9" t="str">
        <f t="array" ref="X2208">IFERROR(INDEX('Адреса общежитий (скрытый)'!$B$2:$B$9, MATCH(W2208, 'Адреса общежитий (скрытый)'!$A$2:$A$9, 0)), "")</f>
        <v/>
      </c>
      <c r="Y2208" s="18"/>
      <c r="Z2208" s="18"/>
      <c r="AA2208" s="18"/>
      <c r="AB2208" s="18"/>
      <c r="AC2208" s="18"/>
    </row>
    <row r="2209" spans="1:29" ht="32.25" hidden="1" customHeight="1">
      <c r="A2209" s="17"/>
      <c r="B2209" s="9" t="s">
        <v>13284</v>
      </c>
      <c r="C2209" s="9" t="s">
        <v>13284</v>
      </c>
      <c r="D2209" s="9" t="s">
        <v>13284</v>
      </c>
      <c r="E2209" s="9" t="s">
        <v>13284</v>
      </c>
      <c r="F2209" s="9" t="s">
        <v>13284</v>
      </c>
      <c r="G2209" s="9" t="s">
        <v>13284</v>
      </c>
      <c r="H2209" s="9" t="s">
        <v>13284</v>
      </c>
      <c r="I2209" s="9" t="s">
        <v>13284</v>
      </c>
      <c r="J2209" s="9" t="s">
        <v>13284</v>
      </c>
      <c r="K2209" s="9" t="s">
        <v>13284</v>
      </c>
      <c r="L2209" s="9" t="s">
        <v>13284</v>
      </c>
      <c r="M2209" s="9" t="s">
        <v>13284</v>
      </c>
      <c r="N2209" s="9" t="s">
        <v>13284</v>
      </c>
      <c r="O2209" s="9" t="s">
        <v>13284</v>
      </c>
      <c r="P2209" s="9" t="s">
        <v>13284</v>
      </c>
      <c r="Q2209" s="9" t="s">
        <v>13284</v>
      </c>
      <c r="R2209" s="9" t="s">
        <v>13284</v>
      </c>
      <c r="S2209" s="9" t="s">
        <v>13284</v>
      </c>
      <c r="T2209" s="9" t="str">
        <f ca="1">IFERROR(IF(AND(VLOOKUP(A2209, 'Актуальное состояние (из общего'!A:C,3,0) = "", A2209 &lt;&gt; ""), "ПРОВЕРИТЬ", VLOOKUP(A2209, 'Актуальное состояние (из общего'!A:C,3,0)), "")</f>
        <v/>
      </c>
      <c r="U2209" s="9" t="s">
        <v>13284</v>
      </c>
      <c r="V2209" s="9" t="s">
        <v>13284</v>
      </c>
      <c r="W2209" s="12"/>
      <c r="X2209" s="9" t="str">
        <f t="array" ref="X2209">IFERROR(INDEX('Адреса общежитий (скрытый)'!$B$2:$B$9, MATCH(W2209, 'Адреса общежитий (скрытый)'!$A$2:$A$9, 0)), "")</f>
        <v/>
      </c>
      <c r="Y2209" s="18"/>
      <c r="Z2209" s="18"/>
      <c r="AA2209" s="18"/>
      <c r="AB2209" s="18"/>
      <c r="AC2209" s="18"/>
    </row>
    <row r="2210" spans="1:29" ht="32.25" hidden="1" customHeight="1">
      <c r="A2210" s="17"/>
      <c r="B2210" s="9" t="s">
        <v>13284</v>
      </c>
      <c r="C2210" s="9" t="s">
        <v>13284</v>
      </c>
      <c r="D2210" s="9" t="s">
        <v>13284</v>
      </c>
      <c r="E2210" s="9" t="s">
        <v>13284</v>
      </c>
      <c r="F2210" s="9" t="s">
        <v>13284</v>
      </c>
      <c r="G2210" s="9" t="s">
        <v>13284</v>
      </c>
      <c r="H2210" s="9" t="s">
        <v>13284</v>
      </c>
      <c r="I2210" s="9" t="s">
        <v>13284</v>
      </c>
      <c r="J2210" s="9" t="s">
        <v>13284</v>
      </c>
      <c r="K2210" s="9" t="s">
        <v>13284</v>
      </c>
      <c r="L2210" s="9" t="s">
        <v>13284</v>
      </c>
      <c r="M2210" s="9" t="s">
        <v>13284</v>
      </c>
      <c r="N2210" s="9" t="s">
        <v>13284</v>
      </c>
      <c r="O2210" s="9" t="s">
        <v>13284</v>
      </c>
      <c r="P2210" s="9" t="s">
        <v>13284</v>
      </c>
      <c r="Q2210" s="9" t="s">
        <v>13284</v>
      </c>
      <c r="R2210" s="9" t="s">
        <v>13284</v>
      </c>
      <c r="S2210" s="9" t="s">
        <v>13284</v>
      </c>
      <c r="T2210" s="9" t="str">
        <f ca="1">IFERROR(IF(AND(VLOOKUP(A2210, 'Актуальное состояние (из общего'!A:C,3,0) = "", A2210 &lt;&gt; ""), "ПРОВЕРИТЬ", VLOOKUP(A2210, 'Актуальное состояние (из общего'!A:C,3,0)), "")</f>
        <v/>
      </c>
      <c r="U2210" s="9" t="s">
        <v>13284</v>
      </c>
      <c r="V2210" s="9" t="s">
        <v>13284</v>
      </c>
      <c r="W2210" s="12"/>
      <c r="X2210" s="9" t="str">
        <f t="array" ref="X2210">IFERROR(INDEX('Адреса общежитий (скрытый)'!$B$2:$B$9, MATCH(W2210, 'Адреса общежитий (скрытый)'!$A$2:$A$9, 0)), "")</f>
        <v/>
      </c>
      <c r="Y2210" s="18"/>
      <c r="Z2210" s="18"/>
      <c r="AA2210" s="18"/>
      <c r="AB2210" s="18"/>
      <c r="AC2210" s="18"/>
    </row>
    <row r="2211" spans="1:29" ht="32.25" hidden="1" customHeight="1">
      <c r="A2211" s="17"/>
      <c r="B2211" s="9" t="s">
        <v>13284</v>
      </c>
      <c r="C2211" s="9" t="s">
        <v>13284</v>
      </c>
      <c r="D2211" s="9" t="s">
        <v>13284</v>
      </c>
      <c r="E2211" s="9" t="s">
        <v>13284</v>
      </c>
      <c r="F2211" s="9" t="s">
        <v>13284</v>
      </c>
      <c r="G2211" s="9" t="s">
        <v>13284</v>
      </c>
      <c r="H2211" s="9" t="s">
        <v>13284</v>
      </c>
      <c r="I2211" s="9" t="s">
        <v>13284</v>
      </c>
      <c r="J2211" s="9" t="s">
        <v>13284</v>
      </c>
      <c r="K2211" s="9" t="s">
        <v>13284</v>
      </c>
      <c r="L2211" s="9" t="s">
        <v>13284</v>
      </c>
      <c r="M2211" s="9" t="s">
        <v>13284</v>
      </c>
      <c r="N2211" s="9" t="s">
        <v>13284</v>
      </c>
      <c r="O2211" s="9" t="s">
        <v>13284</v>
      </c>
      <c r="P2211" s="9" t="s">
        <v>13284</v>
      </c>
      <c r="Q2211" s="9" t="s">
        <v>13284</v>
      </c>
      <c r="R2211" s="9" t="s">
        <v>13284</v>
      </c>
      <c r="S2211" s="9" t="s">
        <v>13284</v>
      </c>
      <c r="T2211" s="9" t="str">
        <f ca="1">IFERROR(IF(AND(VLOOKUP(A2211, 'Актуальное состояние (из общего'!A:C,3,0) = "", A2211 &lt;&gt; ""), "ПРОВЕРИТЬ", VLOOKUP(A2211, 'Актуальное состояние (из общего'!A:C,3,0)), "")</f>
        <v/>
      </c>
      <c r="U2211" s="9" t="s">
        <v>13284</v>
      </c>
      <c r="V2211" s="9" t="s">
        <v>13284</v>
      </c>
      <c r="W2211" s="12"/>
      <c r="X2211" s="9" t="str">
        <f t="array" ref="X2211">IFERROR(INDEX('Адреса общежитий (скрытый)'!$B$2:$B$9, MATCH(W2211, 'Адреса общежитий (скрытый)'!$A$2:$A$9, 0)), "")</f>
        <v/>
      </c>
      <c r="Y2211" s="18"/>
      <c r="Z2211" s="18"/>
      <c r="AA2211" s="18"/>
      <c r="AB2211" s="18"/>
      <c r="AC2211" s="18"/>
    </row>
    <row r="2212" spans="1:29" ht="32.25" hidden="1" customHeight="1">
      <c r="A2212" s="17"/>
      <c r="B2212" s="9" t="s">
        <v>13284</v>
      </c>
      <c r="C2212" s="9" t="s">
        <v>13284</v>
      </c>
      <c r="D2212" s="9" t="s">
        <v>13284</v>
      </c>
      <c r="E2212" s="9" t="s">
        <v>13284</v>
      </c>
      <c r="F2212" s="9" t="s">
        <v>13284</v>
      </c>
      <c r="G2212" s="9" t="s">
        <v>13284</v>
      </c>
      <c r="H2212" s="9" t="s">
        <v>13284</v>
      </c>
      <c r="I2212" s="9" t="s">
        <v>13284</v>
      </c>
      <c r="J2212" s="9" t="s">
        <v>13284</v>
      </c>
      <c r="K2212" s="9" t="s">
        <v>13284</v>
      </c>
      <c r="L2212" s="9" t="s">
        <v>13284</v>
      </c>
      <c r="M2212" s="9" t="s">
        <v>13284</v>
      </c>
      <c r="N2212" s="9" t="s">
        <v>13284</v>
      </c>
      <c r="O2212" s="9" t="s">
        <v>13284</v>
      </c>
      <c r="P2212" s="9" t="s">
        <v>13284</v>
      </c>
      <c r="Q2212" s="9" t="s">
        <v>13284</v>
      </c>
      <c r="R2212" s="9" t="s">
        <v>13284</v>
      </c>
      <c r="S2212" s="9" t="s">
        <v>13284</v>
      </c>
      <c r="T2212" s="9" t="str">
        <f ca="1">IFERROR(IF(AND(VLOOKUP(A2212, 'Актуальное состояние (из общего'!A:C,3,0) = "", A2212 &lt;&gt; ""), "ПРОВЕРИТЬ", VLOOKUP(A2212, 'Актуальное состояние (из общего'!A:C,3,0)), "")</f>
        <v/>
      </c>
      <c r="U2212" s="9" t="s">
        <v>13284</v>
      </c>
      <c r="V2212" s="9" t="s">
        <v>13284</v>
      </c>
      <c r="W2212" s="12"/>
      <c r="X2212" s="9" t="str">
        <f t="array" ref="X2212">IFERROR(INDEX('Адреса общежитий (скрытый)'!$B$2:$B$9, MATCH(W2212, 'Адреса общежитий (скрытый)'!$A$2:$A$9, 0)), "")</f>
        <v/>
      </c>
      <c r="Y2212" s="18"/>
      <c r="Z2212" s="18"/>
      <c r="AA2212" s="18"/>
      <c r="AB2212" s="18"/>
      <c r="AC2212" s="18"/>
    </row>
    <row r="2213" spans="1:29" ht="32.25" hidden="1" customHeight="1">
      <c r="A2213" s="17"/>
      <c r="B2213" s="9" t="s">
        <v>13284</v>
      </c>
      <c r="C2213" s="9" t="s">
        <v>13284</v>
      </c>
      <c r="D2213" s="9" t="s">
        <v>13284</v>
      </c>
      <c r="E2213" s="9" t="s">
        <v>13284</v>
      </c>
      <c r="F2213" s="9" t="s">
        <v>13284</v>
      </c>
      <c r="G2213" s="9" t="s">
        <v>13284</v>
      </c>
      <c r="H2213" s="9" t="s">
        <v>13284</v>
      </c>
      <c r="I2213" s="9" t="s">
        <v>13284</v>
      </c>
      <c r="J2213" s="9" t="s">
        <v>13284</v>
      </c>
      <c r="K2213" s="9" t="s">
        <v>13284</v>
      </c>
      <c r="L2213" s="9" t="s">
        <v>13284</v>
      </c>
      <c r="M2213" s="9" t="s">
        <v>13284</v>
      </c>
      <c r="N2213" s="9" t="s">
        <v>13284</v>
      </c>
      <c r="O2213" s="9" t="s">
        <v>13284</v>
      </c>
      <c r="P2213" s="9" t="s">
        <v>13284</v>
      </c>
      <c r="Q2213" s="9" t="s">
        <v>13284</v>
      </c>
      <c r="R2213" s="9" t="s">
        <v>13284</v>
      </c>
      <c r="S2213" s="9" t="s">
        <v>13284</v>
      </c>
      <c r="T2213" s="9" t="str">
        <f ca="1">IFERROR(IF(AND(VLOOKUP(A2213, 'Актуальное состояние (из общего'!A:C,3,0) = "", A2213 &lt;&gt; ""), "ПРОВЕРИТЬ", VLOOKUP(A2213, 'Актуальное состояние (из общего'!A:C,3,0)), "")</f>
        <v/>
      </c>
      <c r="U2213" s="9" t="s">
        <v>13284</v>
      </c>
      <c r="V2213" s="9" t="s">
        <v>13284</v>
      </c>
      <c r="W2213" s="12"/>
      <c r="X2213" s="9" t="str">
        <f t="array" ref="X2213">IFERROR(INDEX('Адреса общежитий (скрытый)'!$B$2:$B$9, MATCH(W2213, 'Адреса общежитий (скрытый)'!$A$2:$A$9, 0)), "")</f>
        <v/>
      </c>
      <c r="Y2213" s="18"/>
      <c r="Z2213" s="18"/>
      <c r="AA2213" s="18"/>
      <c r="AB2213" s="18"/>
      <c r="AC2213" s="18"/>
    </row>
    <row r="2214" spans="1:29" ht="32.25" hidden="1" customHeight="1">
      <c r="A2214" s="17"/>
      <c r="B2214" s="9" t="s">
        <v>13284</v>
      </c>
      <c r="C2214" s="9" t="s">
        <v>13284</v>
      </c>
      <c r="D2214" s="9" t="s">
        <v>13284</v>
      </c>
      <c r="E2214" s="9" t="s">
        <v>13284</v>
      </c>
      <c r="F2214" s="9" t="s">
        <v>13284</v>
      </c>
      <c r="G2214" s="9" t="s">
        <v>13284</v>
      </c>
      <c r="H2214" s="9" t="s">
        <v>13284</v>
      </c>
      <c r="I2214" s="9" t="s">
        <v>13284</v>
      </c>
      <c r="J2214" s="9" t="s">
        <v>13284</v>
      </c>
      <c r="K2214" s="9" t="s">
        <v>13284</v>
      </c>
      <c r="L2214" s="9" t="s">
        <v>13284</v>
      </c>
      <c r="M2214" s="9" t="s">
        <v>13284</v>
      </c>
      <c r="N2214" s="9" t="s">
        <v>13284</v>
      </c>
      <c r="O2214" s="9" t="s">
        <v>13284</v>
      </c>
      <c r="P2214" s="9" t="s">
        <v>13284</v>
      </c>
      <c r="Q2214" s="9" t="s">
        <v>13284</v>
      </c>
      <c r="R2214" s="9" t="s">
        <v>13284</v>
      </c>
      <c r="S2214" s="9" t="s">
        <v>13284</v>
      </c>
      <c r="T2214" s="9" t="str">
        <f ca="1">IFERROR(IF(AND(VLOOKUP(A2214, 'Актуальное состояние (из общего'!A:C,3,0) = "", A2214 &lt;&gt; ""), "ПРОВЕРИТЬ", VLOOKUP(A2214, 'Актуальное состояние (из общего'!A:C,3,0)), "")</f>
        <v/>
      </c>
      <c r="U2214" s="9" t="s">
        <v>13284</v>
      </c>
      <c r="V2214" s="9" t="s">
        <v>13284</v>
      </c>
      <c r="W2214" s="12"/>
      <c r="X2214" s="9" t="str">
        <f t="array" ref="X2214">IFERROR(INDEX('Адреса общежитий (скрытый)'!$B$2:$B$9, MATCH(W2214, 'Адреса общежитий (скрытый)'!$A$2:$A$9, 0)), "")</f>
        <v/>
      </c>
      <c r="Y2214" s="18"/>
      <c r="Z2214" s="18"/>
      <c r="AA2214" s="18"/>
      <c r="AB2214" s="18"/>
      <c r="AC2214" s="18"/>
    </row>
    <row r="2215" spans="1:29" ht="32.25" hidden="1" customHeight="1">
      <c r="A2215" s="17"/>
      <c r="B2215" s="9" t="s">
        <v>13284</v>
      </c>
      <c r="C2215" s="9" t="s">
        <v>13284</v>
      </c>
      <c r="D2215" s="9" t="s">
        <v>13284</v>
      </c>
      <c r="E2215" s="9" t="s">
        <v>13284</v>
      </c>
      <c r="F2215" s="9" t="s">
        <v>13284</v>
      </c>
      <c r="G2215" s="9" t="s">
        <v>13284</v>
      </c>
      <c r="H2215" s="9" t="s">
        <v>13284</v>
      </c>
      <c r="I2215" s="9" t="s">
        <v>13284</v>
      </c>
      <c r="J2215" s="9" t="s">
        <v>13284</v>
      </c>
      <c r="K2215" s="9" t="s">
        <v>13284</v>
      </c>
      <c r="L2215" s="9" t="s">
        <v>13284</v>
      </c>
      <c r="M2215" s="9" t="s">
        <v>13284</v>
      </c>
      <c r="N2215" s="9" t="s">
        <v>13284</v>
      </c>
      <c r="O2215" s="9" t="s">
        <v>13284</v>
      </c>
      <c r="P2215" s="9" t="s">
        <v>13284</v>
      </c>
      <c r="Q2215" s="9" t="s">
        <v>13284</v>
      </c>
      <c r="R2215" s="9" t="s">
        <v>13284</v>
      </c>
      <c r="S2215" s="9" t="s">
        <v>13284</v>
      </c>
      <c r="T2215" s="9" t="str">
        <f ca="1">IFERROR(IF(AND(VLOOKUP(A2215, 'Актуальное состояние (из общего'!A:C,3,0) = "", A2215 &lt;&gt; ""), "ПРОВЕРИТЬ", VLOOKUP(A2215, 'Актуальное состояние (из общего'!A:C,3,0)), "")</f>
        <v/>
      </c>
      <c r="U2215" s="9" t="s">
        <v>13284</v>
      </c>
      <c r="V2215" s="9" t="s">
        <v>13284</v>
      </c>
      <c r="W2215" s="12"/>
      <c r="X2215" s="9" t="str">
        <f t="array" ref="X2215">IFERROR(INDEX('Адреса общежитий (скрытый)'!$B$2:$B$9, MATCH(W2215, 'Адреса общежитий (скрытый)'!$A$2:$A$9, 0)), "")</f>
        <v/>
      </c>
      <c r="Y2215" s="18"/>
      <c r="Z2215" s="18"/>
      <c r="AA2215" s="18"/>
      <c r="AB2215" s="18"/>
      <c r="AC2215" s="18"/>
    </row>
    <row r="2216" spans="1:29" ht="32.25" hidden="1" customHeight="1">
      <c r="A2216" s="17"/>
      <c r="B2216" s="9" t="s">
        <v>13284</v>
      </c>
      <c r="C2216" s="9" t="s">
        <v>13284</v>
      </c>
      <c r="D2216" s="9" t="s">
        <v>13284</v>
      </c>
      <c r="E2216" s="9" t="s">
        <v>13284</v>
      </c>
      <c r="F2216" s="9" t="s">
        <v>13284</v>
      </c>
      <c r="G2216" s="9" t="s">
        <v>13284</v>
      </c>
      <c r="H2216" s="9" t="s">
        <v>13284</v>
      </c>
      <c r="I2216" s="9" t="s">
        <v>13284</v>
      </c>
      <c r="J2216" s="9" t="s">
        <v>13284</v>
      </c>
      <c r="K2216" s="9" t="s">
        <v>13284</v>
      </c>
      <c r="L2216" s="9" t="s">
        <v>13284</v>
      </c>
      <c r="M2216" s="9" t="s">
        <v>13284</v>
      </c>
      <c r="N2216" s="9" t="s">
        <v>13284</v>
      </c>
      <c r="O2216" s="9" t="s">
        <v>13284</v>
      </c>
      <c r="P2216" s="9" t="s">
        <v>13284</v>
      </c>
      <c r="Q2216" s="9" t="s">
        <v>13284</v>
      </c>
      <c r="R2216" s="9" t="s">
        <v>13284</v>
      </c>
      <c r="S2216" s="9" t="s">
        <v>13284</v>
      </c>
      <c r="T2216" s="9" t="str">
        <f ca="1">IFERROR(IF(AND(VLOOKUP(A2216, 'Актуальное состояние (из общего'!A:C,3,0) = "", A2216 &lt;&gt; ""), "ПРОВЕРИТЬ", VLOOKUP(A2216, 'Актуальное состояние (из общего'!A:C,3,0)), "")</f>
        <v/>
      </c>
      <c r="U2216" s="9" t="s">
        <v>13284</v>
      </c>
      <c r="V2216" s="9" t="s">
        <v>13284</v>
      </c>
      <c r="W2216" s="12"/>
      <c r="X2216" s="9" t="str">
        <f t="array" ref="X2216">IFERROR(INDEX('Адреса общежитий (скрытый)'!$B$2:$B$9, MATCH(W2216, 'Адреса общежитий (скрытый)'!$A$2:$A$9, 0)), "")</f>
        <v/>
      </c>
      <c r="Y2216" s="18"/>
      <c r="Z2216" s="18"/>
      <c r="AA2216" s="18"/>
      <c r="AB2216" s="18"/>
      <c r="AC2216" s="18"/>
    </row>
    <row r="2217" spans="1:29" ht="32.25" hidden="1" customHeight="1">
      <c r="A2217" s="17"/>
      <c r="B2217" s="9" t="s">
        <v>13284</v>
      </c>
      <c r="C2217" s="9" t="s">
        <v>13284</v>
      </c>
      <c r="D2217" s="9" t="s">
        <v>13284</v>
      </c>
      <c r="E2217" s="9" t="s">
        <v>13284</v>
      </c>
      <c r="F2217" s="9" t="s">
        <v>13284</v>
      </c>
      <c r="G2217" s="9" t="s">
        <v>13284</v>
      </c>
      <c r="H2217" s="9" t="s">
        <v>13284</v>
      </c>
      <c r="I2217" s="9" t="s">
        <v>13284</v>
      </c>
      <c r="J2217" s="9" t="s">
        <v>13284</v>
      </c>
      <c r="K2217" s="9" t="s">
        <v>13284</v>
      </c>
      <c r="L2217" s="9" t="s">
        <v>13284</v>
      </c>
      <c r="M2217" s="9" t="s">
        <v>13284</v>
      </c>
      <c r="N2217" s="9" t="s">
        <v>13284</v>
      </c>
      <c r="O2217" s="9" t="s">
        <v>13284</v>
      </c>
      <c r="P2217" s="9" t="s">
        <v>13284</v>
      </c>
      <c r="Q2217" s="9" t="s">
        <v>13284</v>
      </c>
      <c r="R2217" s="9" t="s">
        <v>13284</v>
      </c>
      <c r="S2217" s="9" t="s">
        <v>13284</v>
      </c>
      <c r="T2217" s="9" t="str">
        <f ca="1">IFERROR(IF(AND(VLOOKUP(A2217, 'Актуальное состояние (из общего'!A:C,3,0) = "", A2217 &lt;&gt; ""), "ПРОВЕРИТЬ", VLOOKUP(A2217, 'Актуальное состояние (из общего'!A:C,3,0)), "")</f>
        <v/>
      </c>
      <c r="U2217" s="9" t="s">
        <v>13284</v>
      </c>
      <c r="V2217" s="9" t="s">
        <v>13284</v>
      </c>
      <c r="W2217" s="12"/>
      <c r="X2217" s="9" t="str">
        <f t="array" ref="X2217">IFERROR(INDEX('Адреса общежитий (скрытый)'!$B$2:$B$9, MATCH(W2217, 'Адреса общежитий (скрытый)'!$A$2:$A$9, 0)), "")</f>
        <v/>
      </c>
      <c r="Y2217" s="18"/>
      <c r="Z2217" s="18"/>
      <c r="AA2217" s="18"/>
      <c r="AB2217" s="18"/>
      <c r="AC2217" s="18"/>
    </row>
    <row r="2218" spans="1:29" ht="32.25" hidden="1" customHeight="1">
      <c r="A2218" s="17"/>
      <c r="B2218" s="9" t="s">
        <v>13284</v>
      </c>
      <c r="C2218" s="9" t="s">
        <v>13284</v>
      </c>
      <c r="D2218" s="9" t="s">
        <v>13284</v>
      </c>
      <c r="E2218" s="9" t="s">
        <v>13284</v>
      </c>
      <c r="F2218" s="9" t="s">
        <v>13284</v>
      </c>
      <c r="G2218" s="9" t="s">
        <v>13284</v>
      </c>
      <c r="H2218" s="9" t="s">
        <v>13284</v>
      </c>
      <c r="I2218" s="9" t="s">
        <v>13284</v>
      </c>
      <c r="J2218" s="9" t="s">
        <v>13284</v>
      </c>
      <c r="K2218" s="9" t="s">
        <v>13284</v>
      </c>
      <c r="L2218" s="9" t="s">
        <v>13284</v>
      </c>
      <c r="M2218" s="9" t="s">
        <v>13284</v>
      </c>
      <c r="N2218" s="9" t="s">
        <v>13284</v>
      </c>
      <c r="O2218" s="9" t="s">
        <v>13284</v>
      </c>
      <c r="P2218" s="9" t="s">
        <v>13284</v>
      </c>
      <c r="Q2218" s="9" t="s">
        <v>13284</v>
      </c>
      <c r="R2218" s="9" t="s">
        <v>13284</v>
      </c>
      <c r="S2218" s="9" t="s">
        <v>13284</v>
      </c>
      <c r="T2218" s="9" t="str">
        <f ca="1">IFERROR(IF(AND(VLOOKUP(A2218, 'Актуальное состояние (из общего'!A:C,3,0) = "", A2218 &lt;&gt; ""), "ПРОВЕРИТЬ", VLOOKUP(A2218, 'Актуальное состояние (из общего'!A:C,3,0)), "")</f>
        <v/>
      </c>
      <c r="U2218" s="9" t="s">
        <v>13284</v>
      </c>
      <c r="V2218" s="9" t="s">
        <v>13284</v>
      </c>
      <c r="W2218" s="12"/>
      <c r="X2218" s="9" t="str">
        <f t="array" ref="X2218">IFERROR(INDEX('Адреса общежитий (скрытый)'!$B$2:$B$9, MATCH(W2218, 'Адреса общежитий (скрытый)'!$A$2:$A$9, 0)), "")</f>
        <v/>
      </c>
      <c r="Y2218" s="18"/>
      <c r="Z2218" s="18"/>
      <c r="AA2218" s="18"/>
      <c r="AB2218" s="18"/>
      <c r="AC2218" s="18"/>
    </row>
    <row r="2219" spans="1:29" ht="32.25" hidden="1" customHeight="1">
      <c r="A2219" s="17"/>
      <c r="B2219" s="9" t="s">
        <v>13284</v>
      </c>
      <c r="C2219" s="9" t="s">
        <v>13284</v>
      </c>
      <c r="D2219" s="9" t="s">
        <v>13284</v>
      </c>
      <c r="E2219" s="9" t="s">
        <v>13284</v>
      </c>
      <c r="F2219" s="9" t="s">
        <v>13284</v>
      </c>
      <c r="G2219" s="9" t="s">
        <v>13284</v>
      </c>
      <c r="H2219" s="9" t="s">
        <v>13284</v>
      </c>
      <c r="I2219" s="9" t="s">
        <v>13284</v>
      </c>
      <c r="J2219" s="9" t="s">
        <v>13284</v>
      </c>
      <c r="K2219" s="9" t="s">
        <v>13284</v>
      </c>
      <c r="L2219" s="9" t="s">
        <v>13284</v>
      </c>
      <c r="M2219" s="9" t="s">
        <v>13284</v>
      </c>
      <c r="N2219" s="9" t="s">
        <v>13284</v>
      </c>
      <c r="O2219" s="9" t="s">
        <v>13284</v>
      </c>
      <c r="P2219" s="9" t="s">
        <v>13284</v>
      </c>
      <c r="Q2219" s="9" t="s">
        <v>13284</v>
      </c>
      <c r="R2219" s="9" t="s">
        <v>13284</v>
      </c>
      <c r="S2219" s="9" t="s">
        <v>13284</v>
      </c>
      <c r="T2219" s="9" t="str">
        <f ca="1">IFERROR(IF(AND(VLOOKUP(A2219, 'Актуальное состояние (из общего'!A:C,3,0) = "", A2219 &lt;&gt; ""), "ПРОВЕРИТЬ", VLOOKUP(A2219, 'Актуальное состояние (из общего'!A:C,3,0)), "")</f>
        <v/>
      </c>
      <c r="U2219" s="9" t="s">
        <v>13284</v>
      </c>
      <c r="V2219" s="9" t="s">
        <v>13284</v>
      </c>
      <c r="W2219" s="12"/>
      <c r="X2219" s="9" t="str">
        <f t="array" ref="X2219">IFERROR(INDEX('Адреса общежитий (скрытый)'!$B$2:$B$9, MATCH(W2219, 'Адреса общежитий (скрытый)'!$A$2:$A$9, 0)), "")</f>
        <v/>
      </c>
      <c r="Y2219" s="18"/>
      <c r="Z2219" s="18"/>
      <c r="AA2219" s="18"/>
      <c r="AB2219" s="18"/>
      <c r="AC2219" s="18"/>
    </row>
    <row r="2220" spans="1:29" ht="32.25" hidden="1" customHeight="1">
      <c r="A2220" s="17"/>
      <c r="B2220" s="9" t="s">
        <v>13284</v>
      </c>
      <c r="C2220" s="9" t="s">
        <v>13284</v>
      </c>
      <c r="D2220" s="9" t="s">
        <v>13284</v>
      </c>
      <c r="E2220" s="9" t="s">
        <v>13284</v>
      </c>
      <c r="F2220" s="9" t="s">
        <v>13284</v>
      </c>
      <c r="G2220" s="9" t="s">
        <v>13284</v>
      </c>
      <c r="H2220" s="9" t="s">
        <v>13284</v>
      </c>
      <c r="I2220" s="9" t="s">
        <v>13284</v>
      </c>
      <c r="J2220" s="9" t="s">
        <v>13284</v>
      </c>
      <c r="K2220" s="9" t="s">
        <v>13284</v>
      </c>
      <c r="L2220" s="9" t="s">
        <v>13284</v>
      </c>
      <c r="M2220" s="9" t="s">
        <v>13284</v>
      </c>
      <c r="N2220" s="9" t="s">
        <v>13284</v>
      </c>
      <c r="O2220" s="9" t="s">
        <v>13284</v>
      </c>
      <c r="P2220" s="9" t="s">
        <v>13284</v>
      </c>
      <c r="Q2220" s="9" t="s">
        <v>13284</v>
      </c>
      <c r="R2220" s="9" t="s">
        <v>13284</v>
      </c>
      <c r="S2220" s="9" t="s">
        <v>13284</v>
      </c>
      <c r="T2220" s="9" t="str">
        <f ca="1">IFERROR(IF(AND(VLOOKUP(A2220, 'Актуальное состояние (из общего'!A:C,3,0) = "", A2220 &lt;&gt; ""), "ПРОВЕРИТЬ", VLOOKUP(A2220, 'Актуальное состояние (из общего'!A:C,3,0)), "")</f>
        <v/>
      </c>
      <c r="U2220" s="9" t="s">
        <v>13284</v>
      </c>
      <c r="V2220" s="9" t="s">
        <v>13284</v>
      </c>
      <c r="W2220" s="12"/>
      <c r="X2220" s="9" t="str">
        <f t="array" ref="X2220">IFERROR(INDEX('Адреса общежитий (скрытый)'!$B$2:$B$9, MATCH(W2220, 'Адреса общежитий (скрытый)'!$A$2:$A$9, 0)), "")</f>
        <v/>
      </c>
      <c r="Y2220" s="18"/>
      <c r="Z2220" s="18"/>
      <c r="AA2220" s="18"/>
      <c r="AB2220" s="18"/>
      <c r="AC2220" s="18"/>
    </row>
    <row r="2221" spans="1:29" ht="32.25" hidden="1" customHeight="1">
      <c r="A2221" s="17"/>
      <c r="B2221" s="9" t="s">
        <v>13284</v>
      </c>
      <c r="C2221" s="9" t="s">
        <v>13284</v>
      </c>
      <c r="D2221" s="9" t="s">
        <v>13284</v>
      </c>
      <c r="E2221" s="9" t="s">
        <v>13284</v>
      </c>
      <c r="F2221" s="9" t="s">
        <v>13284</v>
      </c>
      <c r="G2221" s="9" t="s">
        <v>13284</v>
      </c>
      <c r="H2221" s="9" t="s">
        <v>13284</v>
      </c>
      <c r="I2221" s="9" t="s">
        <v>13284</v>
      </c>
      <c r="J2221" s="9" t="s">
        <v>13284</v>
      </c>
      <c r="K2221" s="9" t="s">
        <v>13284</v>
      </c>
      <c r="L2221" s="9" t="s">
        <v>13284</v>
      </c>
      <c r="M2221" s="9" t="s">
        <v>13284</v>
      </c>
      <c r="N2221" s="9" t="s">
        <v>13284</v>
      </c>
      <c r="O2221" s="9" t="s">
        <v>13284</v>
      </c>
      <c r="P2221" s="9" t="s">
        <v>13284</v>
      </c>
      <c r="Q2221" s="9" t="s">
        <v>13284</v>
      </c>
      <c r="R2221" s="9" t="s">
        <v>13284</v>
      </c>
      <c r="S2221" s="9" t="s">
        <v>13284</v>
      </c>
      <c r="T2221" s="9" t="str">
        <f ca="1">IFERROR(IF(AND(VLOOKUP(A2221, 'Актуальное состояние (из общего'!A:C,3,0) = "", A2221 &lt;&gt; ""), "ПРОВЕРИТЬ", VLOOKUP(A2221, 'Актуальное состояние (из общего'!A:C,3,0)), "")</f>
        <v/>
      </c>
      <c r="U2221" s="9" t="s">
        <v>13284</v>
      </c>
      <c r="V2221" s="9" t="s">
        <v>13284</v>
      </c>
      <c r="W2221" s="12"/>
      <c r="X2221" s="9" t="str">
        <f t="array" ref="X2221">IFERROR(INDEX('Адреса общежитий (скрытый)'!$B$2:$B$9, MATCH(W2221, 'Адреса общежитий (скрытый)'!$A$2:$A$9, 0)), "")</f>
        <v/>
      </c>
      <c r="Y2221" s="18"/>
      <c r="Z2221" s="18"/>
      <c r="AA2221" s="18"/>
      <c r="AB2221" s="18"/>
      <c r="AC2221" s="18"/>
    </row>
    <row r="2222" spans="1:29" ht="32.25" hidden="1" customHeight="1">
      <c r="A2222" s="17"/>
      <c r="B2222" s="9" t="s">
        <v>13284</v>
      </c>
      <c r="C2222" s="9" t="s">
        <v>13284</v>
      </c>
      <c r="D2222" s="9" t="s">
        <v>13284</v>
      </c>
      <c r="E2222" s="9" t="s">
        <v>13284</v>
      </c>
      <c r="F2222" s="9" t="s">
        <v>13284</v>
      </c>
      <c r="G2222" s="9" t="s">
        <v>13284</v>
      </c>
      <c r="H2222" s="9" t="s">
        <v>13284</v>
      </c>
      <c r="I2222" s="9" t="s">
        <v>13284</v>
      </c>
      <c r="J2222" s="9" t="s">
        <v>13284</v>
      </c>
      <c r="K2222" s="9" t="s">
        <v>13284</v>
      </c>
      <c r="L2222" s="9" t="s">
        <v>13284</v>
      </c>
      <c r="M2222" s="9" t="s">
        <v>13284</v>
      </c>
      <c r="N2222" s="9" t="s">
        <v>13284</v>
      </c>
      <c r="O2222" s="9" t="s">
        <v>13284</v>
      </c>
      <c r="P2222" s="9" t="s">
        <v>13284</v>
      </c>
      <c r="Q2222" s="9" t="s">
        <v>13284</v>
      </c>
      <c r="R2222" s="9" t="s">
        <v>13284</v>
      </c>
      <c r="S2222" s="9" t="s">
        <v>13284</v>
      </c>
      <c r="T2222" s="9" t="str">
        <f ca="1">IFERROR(IF(AND(VLOOKUP(A2222, 'Актуальное состояние (из общего'!A:C,3,0) = "", A2222 &lt;&gt; ""), "ПРОВЕРИТЬ", VLOOKUP(A2222, 'Актуальное состояние (из общего'!A:C,3,0)), "")</f>
        <v/>
      </c>
      <c r="U2222" s="9" t="s">
        <v>13284</v>
      </c>
      <c r="V2222" s="9" t="s">
        <v>13284</v>
      </c>
      <c r="W2222" s="12"/>
      <c r="X2222" s="9" t="str">
        <f t="array" ref="X2222">IFERROR(INDEX('Адреса общежитий (скрытый)'!$B$2:$B$9, MATCH(W2222, 'Адреса общежитий (скрытый)'!$A$2:$A$9, 0)), "")</f>
        <v/>
      </c>
      <c r="Y2222" s="18"/>
      <c r="Z2222" s="18"/>
      <c r="AA2222" s="18"/>
      <c r="AB2222" s="18"/>
      <c r="AC2222" s="18"/>
    </row>
    <row r="2223" spans="1:29" ht="32.25" hidden="1" customHeight="1">
      <c r="A2223" s="17"/>
      <c r="B2223" s="9" t="s">
        <v>13284</v>
      </c>
      <c r="C2223" s="9" t="s">
        <v>13284</v>
      </c>
      <c r="D2223" s="9" t="s">
        <v>13284</v>
      </c>
      <c r="E2223" s="9" t="s">
        <v>13284</v>
      </c>
      <c r="F2223" s="9" t="s">
        <v>13284</v>
      </c>
      <c r="G2223" s="9" t="s">
        <v>13284</v>
      </c>
      <c r="H2223" s="9" t="s">
        <v>13284</v>
      </c>
      <c r="I2223" s="9" t="s">
        <v>13284</v>
      </c>
      <c r="J2223" s="9" t="s">
        <v>13284</v>
      </c>
      <c r="K2223" s="9" t="s">
        <v>13284</v>
      </c>
      <c r="L2223" s="9" t="s">
        <v>13284</v>
      </c>
      <c r="M2223" s="9" t="s">
        <v>13284</v>
      </c>
      <c r="N2223" s="9" t="s">
        <v>13284</v>
      </c>
      <c r="O2223" s="9" t="s">
        <v>13284</v>
      </c>
      <c r="P2223" s="9" t="s">
        <v>13284</v>
      </c>
      <c r="Q2223" s="9" t="s">
        <v>13284</v>
      </c>
      <c r="R2223" s="9" t="s">
        <v>13284</v>
      </c>
      <c r="S2223" s="9" t="s">
        <v>13284</v>
      </c>
      <c r="T2223" s="9" t="str">
        <f ca="1">IFERROR(IF(AND(VLOOKUP(A2223, 'Актуальное состояние (из общего'!A:C,3,0) = "", A2223 &lt;&gt; ""), "ПРОВЕРИТЬ", VLOOKUP(A2223, 'Актуальное состояние (из общего'!A:C,3,0)), "")</f>
        <v/>
      </c>
      <c r="U2223" s="9" t="s">
        <v>13284</v>
      </c>
      <c r="V2223" s="9" t="s">
        <v>13284</v>
      </c>
      <c r="W2223" s="12"/>
      <c r="X2223" s="9" t="str">
        <f t="array" ref="X2223">IFERROR(INDEX('Адреса общежитий (скрытый)'!$B$2:$B$9, MATCH(W2223, 'Адреса общежитий (скрытый)'!$A$2:$A$9, 0)), "")</f>
        <v/>
      </c>
      <c r="Y2223" s="18"/>
      <c r="Z2223" s="18"/>
      <c r="AA2223" s="18"/>
      <c r="AB2223" s="18"/>
      <c r="AC2223" s="18"/>
    </row>
    <row r="2224" spans="1:29" ht="32.25" hidden="1" customHeight="1">
      <c r="A2224" s="17"/>
      <c r="B2224" s="9" t="s">
        <v>13284</v>
      </c>
      <c r="C2224" s="9" t="s">
        <v>13284</v>
      </c>
      <c r="D2224" s="9" t="s">
        <v>13284</v>
      </c>
      <c r="E2224" s="9" t="s">
        <v>13284</v>
      </c>
      <c r="F2224" s="9" t="s">
        <v>13284</v>
      </c>
      <c r="G2224" s="9" t="s">
        <v>13284</v>
      </c>
      <c r="H2224" s="9" t="s">
        <v>13284</v>
      </c>
      <c r="I2224" s="9" t="s">
        <v>13284</v>
      </c>
      <c r="J2224" s="9" t="s">
        <v>13284</v>
      </c>
      <c r="K2224" s="9" t="s">
        <v>13284</v>
      </c>
      <c r="L2224" s="9" t="s">
        <v>13284</v>
      </c>
      <c r="M2224" s="9" t="s">
        <v>13284</v>
      </c>
      <c r="N2224" s="9" t="s">
        <v>13284</v>
      </c>
      <c r="O2224" s="9" t="s">
        <v>13284</v>
      </c>
      <c r="P2224" s="9" t="s">
        <v>13284</v>
      </c>
      <c r="Q2224" s="9" t="s">
        <v>13284</v>
      </c>
      <c r="R2224" s="9" t="s">
        <v>13284</v>
      </c>
      <c r="S2224" s="9" t="s">
        <v>13284</v>
      </c>
      <c r="T2224" s="9" t="str">
        <f ca="1">IFERROR(IF(AND(VLOOKUP(A2224, 'Актуальное состояние (из общего'!A:C,3,0) = "", A2224 &lt;&gt; ""), "ПРОВЕРИТЬ", VLOOKUP(A2224, 'Актуальное состояние (из общего'!A:C,3,0)), "")</f>
        <v/>
      </c>
      <c r="U2224" s="9" t="s">
        <v>13284</v>
      </c>
      <c r="V2224" s="9" t="s">
        <v>13284</v>
      </c>
      <c r="W2224" s="12"/>
      <c r="X2224" s="9" t="str">
        <f t="array" ref="X2224">IFERROR(INDEX('Адреса общежитий (скрытый)'!$B$2:$B$9, MATCH(W2224, 'Адреса общежитий (скрытый)'!$A$2:$A$9, 0)), "")</f>
        <v/>
      </c>
      <c r="Y2224" s="18"/>
      <c r="Z2224" s="18"/>
      <c r="AA2224" s="18"/>
      <c r="AB2224" s="18"/>
      <c r="AC2224" s="18"/>
    </row>
    <row r="2225" spans="1:29" ht="32.25" hidden="1" customHeight="1">
      <c r="A2225" s="17"/>
      <c r="B2225" s="9" t="s">
        <v>13284</v>
      </c>
      <c r="C2225" s="9" t="s">
        <v>13284</v>
      </c>
      <c r="D2225" s="9" t="s">
        <v>13284</v>
      </c>
      <c r="E2225" s="9" t="s">
        <v>13284</v>
      </c>
      <c r="F2225" s="9" t="s">
        <v>13284</v>
      </c>
      <c r="G2225" s="9" t="s">
        <v>13284</v>
      </c>
      <c r="H2225" s="9" t="s">
        <v>13284</v>
      </c>
      <c r="I2225" s="9" t="s">
        <v>13284</v>
      </c>
      <c r="J2225" s="9" t="s">
        <v>13284</v>
      </c>
      <c r="K2225" s="9" t="s">
        <v>13284</v>
      </c>
      <c r="L2225" s="9" t="s">
        <v>13284</v>
      </c>
      <c r="M2225" s="9" t="s">
        <v>13284</v>
      </c>
      <c r="N2225" s="9" t="s">
        <v>13284</v>
      </c>
      <c r="O2225" s="9" t="s">
        <v>13284</v>
      </c>
      <c r="P2225" s="9" t="s">
        <v>13284</v>
      </c>
      <c r="Q2225" s="9" t="s">
        <v>13284</v>
      </c>
      <c r="R2225" s="9" t="s">
        <v>13284</v>
      </c>
      <c r="S2225" s="9" t="s">
        <v>13284</v>
      </c>
      <c r="T2225" s="9" t="str">
        <f ca="1">IFERROR(IF(AND(VLOOKUP(A2225, 'Актуальное состояние (из общего'!A:C,3,0) = "", A2225 &lt;&gt; ""), "ПРОВЕРИТЬ", VLOOKUP(A2225, 'Актуальное состояние (из общего'!A:C,3,0)), "")</f>
        <v/>
      </c>
      <c r="U2225" s="9" t="s">
        <v>13284</v>
      </c>
      <c r="V2225" s="9" t="s">
        <v>13284</v>
      </c>
      <c r="W2225" s="12"/>
      <c r="X2225" s="9" t="str">
        <f t="array" ref="X2225">IFERROR(INDEX('Адреса общежитий (скрытый)'!$B$2:$B$9, MATCH(W2225, 'Адреса общежитий (скрытый)'!$A$2:$A$9, 0)), "")</f>
        <v/>
      </c>
      <c r="Y2225" s="18"/>
      <c r="Z2225" s="18"/>
      <c r="AA2225" s="18"/>
      <c r="AB2225" s="18"/>
      <c r="AC2225" s="18"/>
    </row>
    <row r="2226" spans="1:29" ht="32.25" hidden="1" customHeight="1">
      <c r="A2226" s="17"/>
      <c r="B2226" s="9" t="s">
        <v>13284</v>
      </c>
      <c r="C2226" s="9" t="s">
        <v>13284</v>
      </c>
      <c r="D2226" s="9" t="s">
        <v>13284</v>
      </c>
      <c r="E2226" s="9" t="s">
        <v>13284</v>
      </c>
      <c r="F2226" s="9" t="s">
        <v>13284</v>
      </c>
      <c r="G2226" s="9" t="s">
        <v>13284</v>
      </c>
      <c r="H2226" s="9" t="s">
        <v>13284</v>
      </c>
      <c r="I2226" s="9" t="s">
        <v>13284</v>
      </c>
      <c r="J2226" s="9" t="s">
        <v>13284</v>
      </c>
      <c r="K2226" s="9" t="s">
        <v>13284</v>
      </c>
      <c r="L2226" s="9" t="s">
        <v>13284</v>
      </c>
      <c r="M2226" s="9" t="s">
        <v>13284</v>
      </c>
      <c r="N2226" s="9" t="s">
        <v>13284</v>
      </c>
      <c r="O2226" s="9" t="s">
        <v>13284</v>
      </c>
      <c r="P2226" s="9" t="s">
        <v>13284</v>
      </c>
      <c r="Q2226" s="9" t="s">
        <v>13284</v>
      </c>
      <c r="R2226" s="9" t="s">
        <v>13284</v>
      </c>
      <c r="S2226" s="9" t="s">
        <v>13284</v>
      </c>
      <c r="T2226" s="9" t="str">
        <f ca="1">IFERROR(IF(AND(VLOOKUP(A2226, 'Актуальное состояние (из общего'!A:C,3,0) = "", A2226 &lt;&gt; ""), "ПРОВЕРИТЬ", VLOOKUP(A2226, 'Актуальное состояние (из общего'!A:C,3,0)), "")</f>
        <v/>
      </c>
      <c r="U2226" s="9" t="s">
        <v>13284</v>
      </c>
      <c r="V2226" s="9" t="s">
        <v>13284</v>
      </c>
      <c r="W2226" s="12"/>
      <c r="X2226" s="9" t="str">
        <f t="array" ref="X2226">IFERROR(INDEX('Адреса общежитий (скрытый)'!$B$2:$B$9, MATCH(W2226, 'Адреса общежитий (скрытый)'!$A$2:$A$9, 0)), "")</f>
        <v/>
      </c>
      <c r="Y2226" s="18"/>
      <c r="Z2226" s="18"/>
      <c r="AA2226" s="18"/>
      <c r="AB2226" s="18"/>
      <c r="AC2226" s="18"/>
    </row>
    <row r="2227" spans="1:29" ht="32.25" hidden="1" customHeight="1">
      <c r="A2227" s="17"/>
      <c r="B2227" s="9" t="s">
        <v>13284</v>
      </c>
      <c r="C2227" s="9" t="s">
        <v>13284</v>
      </c>
      <c r="D2227" s="9" t="s">
        <v>13284</v>
      </c>
      <c r="E2227" s="9" t="s">
        <v>13284</v>
      </c>
      <c r="F2227" s="9" t="s">
        <v>13284</v>
      </c>
      <c r="G2227" s="9" t="s">
        <v>13284</v>
      </c>
      <c r="H2227" s="9" t="s">
        <v>13284</v>
      </c>
      <c r="I2227" s="9" t="s">
        <v>13284</v>
      </c>
      <c r="J2227" s="9" t="s">
        <v>13284</v>
      </c>
      <c r="K2227" s="9" t="s">
        <v>13284</v>
      </c>
      <c r="L2227" s="9" t="s">
        <v>13284</v>
      </c>
      <c r="M2227" s="9" t="s">
        <v>13284</v>
      </c>
      <c r="N2227" s="9" t="s">
        <v>13284</v>
      </c>
      <c r="O2227" s="9" t="s">
        <v>13284</v>
      </c>
      <c r="P2227" s="9" t="s">
        <v>13284</v>
      </c>
      <c r="Q2227" s="9" t="s">
        <v>13284</v>
      </c>
      <c r="R2227" s="9" t="s">
        <v>13284</v>
      </c>
      <c r="S2227" s="9" t="s">
        <v>13284</v>
      </c>
      <c r="T2227" s="9" t="str">
        <f ca="1">IFERROR(IF(AND(VLOOKUP(A2227, 'Актуальное состояние (из общего'!A:C,3,0) = "", A2227 &lt;&gt; ""), "ПРОВЕРИТЬ", VLOOKUP(A2227, 'Актуальное состояние (из общего'!A:C,3,0)), "")</f>
        <v/>
      </c>
      <c r="U2227" s="9" t="s">
        <v>13284</v>
      </c>
      <c r="V2227" s="9" t="s">
        <v>13284</v>
      </c>
      <c r="W2227" s="12"/>
      <c r="X2227" s="9" t="str">
        <f t="array" ref="X2227">IFERROR(INDEX('Адреса общежитий (скрытый)'!$B$2:$B$9, MATCH(W2227, 'Адреса общежитий (скрытый)'!$A$2:$A$9, 0)), "")</f>
        <v/>
      </c>
      <c r="Y2227" s="18"/>
      <c r="Z2227" s="18"/>
      <c r="AA2227" s="18"/>
      <c r="AB2227" s="18"/>
      <c r="AC2227" s="18"/>
    </row>
    <row r="2228" spans="1:29" ht="32.25" hidden="1" customHeight="1">
      <c r="A2228" s="17"/>
      <c r="B2228" s="9" t="s">
        <v>13284</v>
      </c>
      <c r="C2228" s="9" t="s">
        <v>13284</v>
      </c>
      <c r="D2228" s="9" t="s">
        <v>13284</v>
      </c>
      <c r="E2228" s="9" t="s">
        <v>13284</v>
      </c>
      <c r="F2228" s="9" t="s">
        <v>13284</v>
      </c>
      <c r="G2228" s="9" t="s">
        <v>13284</v>
      </c>
      <c r="H2228" s="9" t="s">
        <v>13284</v>
      </c>
      <c r="I2228" s="9" t="s">
        <v>13284</v>
      </c>
      <c r="J2228" s="9" t="s">
        <v>13284</v>
      </c>
      <c r="K2228" s="9" t="s">
        <v>13284</v>
      </c>
      <c r="L2228" s="9" t="s">
        <v>13284</v>
      </c>
      <c r="M2228" s="9" t="s">
        <v>13284</v>
      </c>
      <c r="N2228" s="9" t="s">
        <v>13284</v>
      </c>
      <c r="O2228" s="9" t="s">
        <v>13284</v>
      </c>
      <c r="P2228" s="9" t="s">
        <v>13284</v>
      </c>
      <c r="Q2228" s="9" t="s">
        <v>13284</v>
      </c>
      <c r="R2228" s="9" t="s">
        <v>13284</v>
      </c>
      <c r="S2228" s="9" t="s">
        <v>13284</v>
      </c>
      <c r="T2228" s="9" t="str">
        <f ca="1">IFERROR(IF(AND(VLOOKUP(A2228, 'Актуальное состояние (из общего'!A:C,3,0) = "", A2228 &lt;&gt; ""), "ПРОВЕРИТЬ", VLOOKUP(A2228, 'Актуальное состояние (из общего'!A:C,3,0)), "")</f>
        <v/>
      </c>
      <c r="U2228" s="9" t="s">
        <v>13284</v>
      </c>
      <c r="V2228" s="9" t="s">
        <v>13284</v>
      </c>
      <c r="W2228" s="12"/>
      <c r="X2228" s="9" t="str">
        <f t="array" ref="X2228">IFERROR(INDEX('Адреса общежитий (скрытый)'!$B$2:$B$9, MATCH(W2228, 'Адреса общежитий (скрытый)'!$A$2:$A$9, 0)), "")</f>
        <v/>
      </c>
      <c r="Y2228" s="18"/>
      <c r="Z2228" s="18"/>
      <c r="AA2228" s="18"/>
      <c r="AB2228" s="18"/>
      <c r="AC2228" s="18"/>
    </row>
    <row r="2229" spans="1:29" ht="32.25" hidden="1" customHeight="1">
      <c r="A2229" s="17"/>
      <c r="B2229" s="9" t="s">
        <v>13284</v>
      </c>
      <c r="C2229" s="9" t="s">
        <v>13284</v>
      </c>
      <c r="D2229" s="9" t="s">
        <v>13284</v>
      </c>
      <c r="E2229" s="9" t="s">
        <v>13284</v>
      </c>
      <c r="F2229" s="9" t="s">
        <v>13284</v>
      </c>
      <c r="G2229" s="9" t="s">
        <v>13284</v>
      </c>
      <c r="H2229" s="9" t="s">
        <v>13284</v>
      </c>
      <c r="I2229" s="9" t="s">
        <v>13284</v>
      </c>
      <c r="J2229" s="9" t="s">
        <v>13284</v>
      </c>
      <c r="K2229" s="9" t="s">
        <v>13284</v>
      </c>
      <c r="L2229" s="9" t="s">
        <v>13284</v>
      </c>
      <c r="M2229" s="9" t="s">
        <v>13284</v>
      </c>
      <c r="N2229" s="9" t="s">
        <v>13284</v>
      </c>
      <c r="O2229" s="9" t="s">
        <v>13284</v>
      </c>
      <c r="P2229" s="9" t="s">
        <v>13284</v>
      </c>
      <c r="Q2229" s="9" t="s">
        <v>13284</v>
      </c>
      <c r="R2229" s="9" t="s">
        <v>13284</v>
      </c>
      <c r="S2229" s="9" t="s">
        <v>13284</v>
      </c>
      <c r="T2229" s="9" t="str">
        <f ca="1">IFERROR(IF(AND(VLOOKUP(A2229, 'Актуальное состояние (из общего'!A:C,3,0) = "", A2229 &lt;&gt; ""), "ПРОВЕРИТЬ", VLOOKUP(A2229, 'Актуальное состояние (из общего'!A:C,3,0)), "")</f>
        <v/>
      </c>
      <c r="U2229" s="9" t="s">
        <v>13284</v>
      </c>
      <c r="V2229" s="9" t="s">
        <v>13284</v>
      </c>
      <c r="W2229" s="12"/>
      <c r="X2229" s="9" t="str">
        <f t="array" ref="X2229">IFERROR(INDEX('Адреса общежитий (скрытый)'!$B$2:$B$9, MATCH(W2229, 'Адреса общежитий (скрытый)'!$A$2:$A$9, 0)), "")</f>
        <v/>
      </c>
      <c r="Y2229" s="18"/>
      <c r="Z2229" s="18"/>
      <c r="AA2229" s="18"/>
      <c r="AB2229" s="18"/>
      <c r="AC2229" s="18"/>
    </row>
    <row r="2230" spans="1:29" ht="32.25" hidden="1" customHeight="1">
      <c r="A2230" s="17"/>
      <c r="B2230" s="9" t="s">
        <v>13284</v>
      </c>
      <c r="C2230" s="9" t="s">
        <v>13284</v>
      </c>
      <c r="D2230" s="9" t="s">
        <v>13284</v>
      </c>
      <c r="E2230" s="9" t="s">
        <v>13284</v>
      </c>
      <c r="F2230" s="9" t="s">
        <v>13284</v>
      </c>
      <c r="G2230" s="9" t="s">
        <v>13284</v>
      </c>
      <c r="H2230" s="9" t="s">
        <v>13284</v>
      </c>
      <c r="I2230" s="9" t="s">
        <v>13284</v>
      </c>
      <c r="J2230" s="9" t="s">
        <v>13284</v>
      </c>
      <c r="K2230" s="9" t="s">
        <v>13284</v>
      </c>
      <c r="L2230" s="9" t="s">
        <v>13284</v>
      </c>
      <c r="M2230" s="9" t="s">
        <v>13284</v>
      </c>
      <c r="N2230" s="9" t="s">
        <v>13284</v>
      </c>
      <c r="O2230" s="9" t="s">
        <v>13284</v>
      </c>
      <c r="P2230" s="9" t="s">
        <v>13284</v>
      </c>
      <c r="Q2230" s="9" t="s">
        <v>13284</v>
      </c>
      <c r="R2230" s="9" t="s">
        <v>13284</v>
      </c>
      <c r="S2230" s="9" t="s">
        <v>13284</v>
      </c>
      <c r="T2230" s="9" t="str">
        <f ca="1">IFERROR(IF(AND(VLOOKUP(A2230, 'Актуальное состояние (из общего'!A:C,3,0) = "", A2230 &lt;&gt; ""), "ПРОВЕРИТЬ", VLOOKUP(A2230, 'Актуальное состояние (из общего'!A:C,3,0)), "")</f>
        <v/>
      </c>
      <c r="U2230" s="9" t="s">
        <v>13284</v>
      </c>
      <c r="V2230" s="9" t="s">
        <v>13284</v>
      </c>
      <c r="W2230" s="12"/>
      <c r="X2230" s="9" t="str">
        <f t="array" ref="X2230">IFERROR(INDEX('Адреса общежитий (скрытый)'!$B$2:$B$9, MATCH(W2230, 'Адреса общежитий (скрытый)'!$A$2:$A$9, 0)), "")</f>
        <v/>
      </c>
      <c r="Y2230" s="18"/>
      <c r="Z2230" s="18"/>
      <c r="AA2230" s="18"/>
      <c r="AB2230" s="18"/>
      <c r="AC2230" s="18"/>
    </row>
    <row r="2231" spans="1:29" ht="32.25" hidden="1" customHeight="1">
      <c r="A2231" s="17"/>
      <c r="B2231" s="9" t="s">
        <v>13284</v>
      </c>
      <c r="C2231" s="9" t="s">
        <v>13284</v>
      </c>
      <c r="D2231" s="9" t="s">
        <v>13284</v>
      </c>
      <c r="E2231" s="9" t="s">
        <v>13284</v>
      </c>
      <c r="F2231" s="9" t="s">
        <v>13284</v>
      </c>
      <c r="G2231" s="9" t="s">
        <v>13284</v>
      </c>
      <c r="H2231" s="9" t="s">
        <v>13284</v>
      </c>
      <c r="I2231" s="9" t="s">
        <v>13284</v>
      </c>
      <c r="J2231" s="9" t="s">
        <v>13284</v>
      </c>
      <c r="K2231" s="9" t="s">
        <v>13284</v>
      </c>
      <c r="L2231" s="9" t="s">
        <v>13284</v>
      </c>
      <c r="M2231" s="9" t="s">
        <v>13284</v>
      </c>
      <c r="N2231" s="9" t="s">
        <v>13284</v>
      </c>
      <c r="O2231" s="9" t="s">
        <v>13284</v>
      </c>
      <c r="P2231" s="9" t="s">
        <v>13284</v>
      </c>
      <c r="Q2231" s="9" t="s">
        <v>13284</v>
      </c>
      <c r="R2231" s="9" t="s">
        <v>13284</v>
      </c>
      <c r="S2231" s="9" t="s">
        <v>13284</v>
      </c>
      <c r="T2231" s="9" t="str">
        <f ca="1">IFERROR(IF(AND(VLOOKUP(A2231, 'Актуальное состояние (из общего'!A:C,3,0) = "", A2231 &lt;&gt; ""), "ПРОВЕРИТЬ", VLOOKUP(A2231, 'Актуальное состояние (из общего'!A:C,3,0)), "")</f>
        <v/>
      </c>
      <c r="U2231" s="9" t="s">
        <v>13284</v>
      </c>
      <c r="V2231" s="9" t="s">
        <v>13284</v>
      </c>
      <c r="W2231" s="12"/>
      <c r="X2231" s="9" t="str">
        <f t="array" ref="X2231">IFERROR(INDEX('Адреса общежитий (скрытый)'!$B$2:$B$9, MATCH(W2231, 'Адреса общежитий (скрытый)'!$A$2:$A$9, 0)), "")</f>
        <v/>
      </c>
      <c r="Y2231" s="18"/>
      <c r="Z2231" s="18"/>
      <c r="AA2231" s="18"/>
      <c r="AB2231" s="18"/>
      <c r="AC2231" s="18"/>
    </row>
    <row r="2232" spans="1:29" ht="32.25" hidden="1" customHeight="1">
      <c r="A2232" s="17"/>
      <c r="B2232" s="9" t="s">
        <v>13284</v>
      </c>
      <c r="C2232" s="9" t="s">
        <v>13284</v>
      </c>
      <c r="D2232" s="9" t="s">
        <v>13284</v>
      </c>
      <c r="E2232" s="9" t="s">
        <v>13284</v>
      </c>
      <c r="F2232" s="9" t="s">
        <v>13284</v>
      </c>
      <c r="G2232" s="9" t="s">
        <v>13284</v>
      </c>
      <c r="H2232" s="9" t="s">
        <v>13284</v>
      </c>
      <c r="I2232" s="9" t="s">
        <v>13284</v>
      </c>
      <c r="J2232" s="9" t="s">
        <v>13284</v>
      </c>
      <c r="K2232" s="9" t="s">
        <v>13284</v>
      </c>
      <c r="L2232" s="9" t="s">
        <v>13284</v>
      </c>
      <c r="M2232" s="9" t="s">
        <v>13284</v>
      </c>
      <c r="N2232" s="9" t="s">
        <v>13284</v>
      </c>
      <c r="O2232" s="9" t="s">
        <v>13284</v>
      </c>
      <c r="P2232" s="9" t="s">
        <v>13284</v>
      </c>
      <c r="Q2232" s="9" t="s">
        <v>13284</v>
      </c>
      <c r="R2232" s="9" t="s">
        <v>13284</v>
      </c>
      <c r="S2232" s="9" t="s">
        <v>13284</v>
      </c>
      <c r="T2232" s="9" t="str">
        <f ca="1">IFERROR(IF(AND(VLOOKUP(A2232, 'Актуальное состояние (из общего'!A:C,3,0) = "", A2232 &lt;&gt; ""), "ПРОВЕРИТЬ", VLOOKUP(A2232, 'Актуальное состояние (из общего'!A:C,3,0)), "")</f>
        <v/>
      </c>
      <c r="U2232" s="9" t="s">
        <v>13284</v>
      </c>
      <c r="V2232" s="9" t="s">
        <v>13284</v>
      </c>
      <c r="W2232" s="12"/>
      <c r="X2232" s="9" t="str">
        <f t="array" ref="X2232">IFERROR(INDEX('Адреса общежитий (скрытый)'!$B$2:$B$9, MATCH(W2232, 'Адреса общежитий (скрытый)'!$A$2:$A$9, 0)), "")</f>
        <v/>
      </c>
      <c r="Y2232" s="18"/>
      <c r="Z2232" s="18"/>
      <c r="AA2232" s="18"/>
      <c r="AB2232" s="18"/>
      <c r="AC2232" s="18"/>
    </row>
    <row r="2233" spans="1:29" ht="32.25" hidden="1" customHeight="1">
      <c r="A2233" s="17"/>
      <c r="B2233" s="9" t="s">
        <v>13284</v>
      </c>
      <c r="C2233" s="9" t="s">
        <v>13284</v>
      </c>
      <c r="D2233" s="9" t="s">
        <v>13284</v>
      </c>
      <c r="E2233" s="9" t="s">
        <v>13284</v>
      </c>
      <c r="F2233" s="9" t="s">
        <v>13284</v>
      </c>
      <c r="G2233" s="9" t="s">
        <v>13284</v>
      </c>
      <c r="H2233" s="9" t="s">
        <v>13284</v>
      </c>
      <c r="I2233" s="9" t="s">
        <v>13284</v>
      </c>
      <c r="J2233" s="9" t="s">
        <v>13284</v>
      </c>
      <c r="K2233" s="9" t="s">
        <v>13284</v>
      </c>
      <c r="L2233" s="9" t="s">
        <v>13284</v>
      </c>
      <c r="M2233" s="9" t="s">
        <v>13284</v>
      </c>
      <c r="N2233" s="9" t="s">
        <v>13284</v>
      </c>
      <c r="O2233" s="9" t="s">
        <v>13284</v>
      </c>
      <c r="P2233" s="9" t="s">
        <v>13284</v>
      </c>
      <c r="Q2233" s="9" t="s">
        <v>13284</v>
      </c>
      <c r="R2233" s="9" t="s">
        <v>13284</v>
      </c>
      <c r="S2233" s="9" t="s">
        <v>13284</v>
      </c>
      <c r="T2233" s="9" t="str">
        <f ca="1">IFERROR(IF(AND(VLOOKUP(A2233, 'Актуальное состояние (из общего'!A:C,3,0) = "", A2233 &lt;&gt; ""), "ПРОВЕРИТЬ", VLOOKUP(A2233, 'Актуальное состояние (из общего'!A:C,3,0)), "")</f>
        <v/>
      </c>
      <c r="U2233" s="9" t="s">
        <v>13284</v>
      </c>
      <c r="V2233" s="9" t="s">
        <v>13284</v>
      </c>
      <c r="W2233" s="12"/>
      <c r="X2233" s="9" t="str">
        <f t="array" ref="X2233">IFERROR(INDEX('Адреса общежитий (скрытый)'!$B$2:$B$9, MATCH(W2233, 'Адреса общежитий (скрытый)'!$A$2:$A$9, 0)), "")</f>
        <v/>
      </c>
      <c r="Y2233" s="18"/>
      <c r="Z2233" s="18"/>
      <c r="AA2233" s="18"/>
      <c r="AB2233" s="18"/>
      <c r="AC2233" s="18"/>
    </row>
    <row r="2234" spans="1:29" ht="32.25" hidden="1" customHeight="1">
      <c r="A2234" s="17"/>
      <c r="B2234" s="9" t="s">
        <v>13284</v>
      </c>
      <c r="C2234" s="9" t="s">
        <v>13284</v>
      </c>
      <c r="D2234" s="9" t="s">
        <v>13284</v>
      </c>
      <c r="E2234" s="9" t="s">
        <v>13284</v>
      </c>
      <c r="F2234" s="9" t="s">
        <v>13284</v>
      </c>
      <c r="G2234" s="9" t="s">
        <v>13284</v>
      </c>
      <c r="H2234" s="9" t="s">
        <v>13284</v>
      </c>
      <c r="I2234" s="9" t="s">
        <v>13284</v>
      </c>
      <c r="J2234" s="9" t="s">
        <v>13284</v>
      </c>
      <c r="K2234" s="9" t="s">
        <v>13284</v>
      </c>
      <c r="L2234" s="9" t="s">
        <v>13284</v>
      </c>
      <c r="M2234" s="9" t="s">
        <v>13284</v>
      </c>
      <c r="N2234" s="9" t="s">
        <v>13284</v>
      </c>
      <c r="O2234" s="9" t="s">
        <v>13284</v>
      </c>
      <c r="P2234" s="9" t="s">
        <v>13284</v>
      </c>
      <c r="Q2234" s="9" t="s">
        <v>13284</v>
      </c>
      <c r="R2234" s="9" t="s">
        <v>13284</v>
      </c>
      <c r="S2234" s="9" t="s">
        <v>13284</v>
      </c>
      <c r="T2234" s="9" t="str">
        <f ca="1">IFERROR(IF(AND(VLOOKUP(A2234, 'Актуальное состояние (из общего'!A:C,3,0) = "", A2234 &lt;&gt; ""), "ПРОВЕРИТЬ", VLOOKUP(A2234, 'Актуальное состояние (из общего'!A:C,3,0)), "")</f>
        <v/>
      </c>
      <c r="U2234" s="9" t="s">
        <v>13284</v>
      </c>
      <c r="V2234" s="9" t="s">
        <v>13284</v>
      </c>
      <c r="W2234" s="12"/>
      <c r="X2234" s="9" t="str">
        <f t="array" ref="X2234">IFERROR(INDEX('Адреса общежитий (скрытый)'!$B$2:$B$9, MATCH(W2234, 'Адреса общежитий (скрытый)'!$A$2:$A$9, 0)), "")</f>
        <v/>
      </c>
      <c r="Y2234" s="18"/>
      <c r="Z2234" s="18"/>
      <c r="AA2234" s="18"/>
      <c r="AB2234" s="18"/>
      <c r="AC2234" s="18"/>
    </row>
    <row r="2235" spans="1:29" ht="32.25" hidden="1" customHeight="1">
      <c r="A2235" s="17"/>
      <c r="B2235" s="9" t="s">
        <v>13284</v>
      </c>
      <c r="C2235" s="9" t="s">
        <v>13284</v>
      </c>
      <c r="D2235" s="9" t="s">
        <v>13284</v>
      </c>
      <c r="E2235" s="9" t="s">
        <v>13284</v>
      </c>
      <c r="F2235" s="9" t="s">
        <v>13284</v>
      </c>
      <c r="G2235" s="9" t="s">
        <v>13284</v>
      </c>
      <c r="H2235" s="9" t="s">
        <v>13284</v>
      </c>
      <c r="I2235" s="9" t="s">
        <v>13284</v>
      </c>
      <c r="J2235" s="9" t="s">
        <v>13284</v>
      </c>
      <c r="K2235" s="9" t="s">
        <v>13284</v>
      </c>
      <c r="L2235" s="9" t="s">
        <v>13284</v>
      </c>
      <c r="M2235" s="9" t="s">
        <v>13284</v>
      </c>
      <c r="N2235" s="9" t="s">
        <v>13284</v>
      </c>
      <c r="O2235" s="9" t="s">
        <v>13284</v>
      </c>
      <c r="P2235" s="9" t="s">
        <v>13284</v>
      </c>
      <c r="Q2235" s="9" t="s">
        <v>13284</v>
      </c>
      <c r="R2235" s="9" t="s">
        <v>13284</v>
      </c>
      <c r="S2235" s="9" t="s">
        <v>13284</v>
      </c>
      <c r="T2235" s="9" t="str">
        <f ca="1">IFERROR(IF(AND(VLOOKUP(A2235, 'Актуальное состояние (из общего'!A:C,3,0) = "", A2235 &lt;&gt; ""), "ПРОВЕРИТЬ", VLOOKUP(A2235, 'Актуальное состояние (из общего'!A:C,3,0)), "")</f>
        <v/>
      </c>
      <c r="U2235" s="9" t="s">
        <v>13284</v>
      </c>
      <c r="V2235" s="9" t="s">
        <v>13284</v>
      </c>
      <c r="W2235" s="12"/>
      <c r="X2235" s="9" t="str">
        <f t="array" ref="X2235">IFERROR(INDEX('Адреса общежитий (скрытый)'!$B$2:$B$9, MATCH(W2235, 'Адреса общежитий (скрытый)'!$A$2:$A$9, 0)), "")</f>
        <v/>
      </c>
      <c r="Y2235" s="18"/>
      <c r="Z2235" s="18"/>
      <c r="AA2235" s="18"/>
      <c r="AB2235" s="18"/>
      <c r="AC2235" s="18"/>
    </row>
    <row r="2236" spans="1:29" ht="32.25" hidden="1" customHeight="1">
      <c r="A2236" s="17"/>
      <c r="B2236" s="9" t="s">
        <v>13284</v>
      </c>
      <c r="C2236" s="9" t="s">
        <v>13284</v>
      </c>
      <c r="D2236" s="9" t="s">
        <v>13284</v>
      </c>
      <c r="E2236" s="9" t="s">
        <v>13284</v>
      </c>
      <c r="F2236" s="9" t="s">
        <v>13284</v>
      </c>
      <c r="G2236" s="9" t="s">
        <v>13284</v>
      </c>
      <c r="H2236" s="9" t="s">
        <v>13284</v>
      </c>
      <c r="I2236" s="9" t="s">
        <v>13284</v>
      </c>
      <c r="J2236" s="9" t="s">
        <v>13284</v>
      </c>
      <c r="K2236" s="9" t="s">
        <v>13284</v>
      </c>
      <c r="L2236" s="9" t="s">
        <v>13284</v>
      </c>
      <c r="M2236" s="9" t="s">
        <v>13284</v>
      </c>
      <c r="N2236" s="9" t="s">
        <v>13284</v>
      </c>
      <c r="O2236" s="9" t="s">
        <v>13284</v>
      </c>
      <c r="P2236" s="9" t="s">
        <v>13284</v>
      </c>
      <c r="Q2236" s="9" t="s">
        <v>13284</v>
      </c>
      <c r="R2236" s="9" t="s">
        <v>13284</v>
      </c>
      <c r="S2236" s="9" t="s">
        <v>13284</v>
      </c>
      <c r="T2236" s="9" t="str">
        <f ca="1">IFERROR(IF(AND(VLOOKUP(A2236, 'Актуальное состояние (из общего'!A:C,3,0) = "", A2236 &lt;&gt; ""), "ПРОВЕРИТЬ", VLOOKUP(A2236, 'Актуальное состояние (из общего'!A:C,3,0)), "")</f>
        <v/>
      </c>
      <c r="U2236" s="9" t="s">
        <v>13284</v>
      </c>
      <c r="V2236" s="9" t="s">
        <v>13284</v>
      </c>
      <c r="W2236" s="12"/>
      <c r="X2236" s="9" t="str">
        <f t="array" ref="X2236">IFERROR(INDEX('Адреса общежитий (скрытый)'!$B$2:$B$9, MATCH(W2236, 'Адреса общежитий (скрытый)'!$A$2:$A$9, 0)), "")</f>
        <v/>
      </c>
      <c r="Y2236" s="18"/>
      <c r="Z2236" s="18"/>
      <c r="AA2236" s="18"/>
      <c r="AB2236" s="18"/>
      <c r="AC2236" s="18"/>
    </row>
    <row r="2237" spans="1:29" ht="32.25" hidden="1" customHeight="1">
      <c r="A2237" s="17"/>
      <c r="B2237" s="9" t="s">
        <v>13284</v>
      </c>
      <c r="C2237" s="9" t="s">
        <v>13284</v>
      </c>
      <c r="D2237" s="9" t="s">
        <v>13284</v>
      </c>
      <c r="E2237" s="9" t="s">
        <v>13284</v>
      </c>
      <c r="F2237" s="9" t="s">
        <v>13284</v>
      </c>
      <c r="G2237" s="9" t="s">
        <v>13284</v>
      </c>
      <c r="H2237" s="9" t="s">
        <v>13284</v>
      </c>
      <c r="I2237" s="9" t="s">
        <v>13284</v>
      </c>
      <c r="J2237" s="9" t="s">
        <v>13284</v>
      </c>
      <c r="K2237" s="9" t="s">
        <v>13284</v>
      </c>
      <c r="L2237" s="9" t="s">
        <v>13284</v>
      </c>
      <c r="M2237" s="9" t="s">
        <v>13284</v>
      </c>
      <c r="N2237" s="9" t="s">
        <v>13284</v>
      </c>
      <c r="O2237" s="9" t="s">
        <v>13284</v>
      </c>
      <c r="P2237" s="9" t="s">
        <v>13284</v>
      </c>
      <c r="Q2237" s="9" t="s">
        <v>13284</v>
      </c>
      <c r="R2237" s="9" t="s">
        <v>13284</v>
      </c>
      <c r="S2237" s="9" t="s">
        <v>13284</v>
      </c>
      <c r="T2237" s="9" t="str">
        <f ca="1">IFERROR(IF(AND(VLOOKUP(A2237, 'Актуальное состояние (из общего'!A:C,3,0) = "", A2237 &lt;&gt; ""), "ПРОВЕРИТЬ", VLOOKUP(A2237, 'Актуальное состояние (из общего'!A:C,3,0)), "")</f>
        <v/>
      </c>
      <c r="U2237" s="9" t="s">
        <v>13284</v>
      </c>
      <c r="V2237" s="9" t="s">
        <v>13284</v>
      </c>
      <c r="W2237" s="12"/>
      <c r="X2237" s="9" t="str">
        <f t="array" ref="X2237">IFERROR(INDEX('Адреса общежитий (скрытый)'!$B$2:$B$9, MATCH(W2237, 'Адреса общежитий (скрытый)'!$A$2:$A$9, 0)), "")</f>
        <v/>
      </c>
      <c r="Y2237" s="18"/>
      <c r="Z2237" s="18"/>
      <c r="AA2237" s="18"/>
      <c r="AB2237" s="18"/>
      <c r="AC2237" s="18"/>
    </row>
    <row r="2238" spans="1:29" ht="32.25" hidden="1" customHeight="1">
      <c r="A2238" s="17"/>
      <c r="B2238" s="9" t="s">
        <v>13284</v>
      </c>
      <c r="C2238" s="9" t="s">
        <v>13284</v>
      </c>
      <c r="D2238" s="9" t="s">
        <v>13284</v>
      </c>
      <c r="E2238" s="9" t="s">
        <v>13284</v>
      </c>
      <c r="F2238" s="9" t="s">
        <v>13284</v>
      </c>
      <c r="G2238" s="9" t="s">
        <v>13284</v>
      </c>
      <c r="H2238" s="9" t="s">
        <v>13284</v>
      </c>
      <c r="I2238" s="9" t="s">
        <v>13284</v>
      </c>
      <c r="J2238" s="9" t="s">
        <v>13284</v>
      </c>
      <c r="K2238" s="9" t="s">
        <v>13284</v>
      </c>
      <c r="L2238" s="9" t="s">
        <v>13284</v>
      </c>
      <c r="M2238" s="9" t="s">
        <v>13284</v>
      </c>
      <c r="N2238" s="9" t="s">
        <v>13284</v>
      </c>
      <c r="O2238" s="9" t="s">
        <v>13284</v>
      </c>
      <c r="P2238" s="9" t="s">
        <v>13284</v>
      </c>
      <c r="Q2238" s="9" t="s">
        <v>13284</v>
      </c>
      <c r="R2238" s="9" t="s">
        <v>13284</v>
      </c>
      <c r="S2238" s="9" t="s">
        <v>13284</v>
      </c>
      <c r="T2238" s="9" t="str">
        <f ca="1">IFERROR(IF(AND(VLOOKUP(A2238, 'Актуальное состояние (из общего'!A:C,3,0) = "", A2238 &lt;&gt; ""), "ПРОВЕРИТЬ", VLOOKUP(A2238, 'Актуальное состояние (из общего'!A:C,3,0)), "")</f>
        <v/>
      </c>
      <c r="U2238" s="9" t="s">
        <v>13284</v>
      </c>
      <c r="V2238" s="9" t="s">
        <v>13284</v>
      </c>
      <c r="W2238" s="12"/>
      <c r="X2238" s="9" t="str">
        <f t="array" ref="X2238">IFERROR(INDEX('Адреса общежитий (скрытый)'!$B$2:$B$9, MATCH(W2238, 'Адреса общежитий (скрытый)'!$A$2:$A$9, 0)), "")</f>
        <v/>
      </c>
      <c r="Y2238" s="18"/>
      <c r="Z2238" s="18"/>
      <c r="AA2238" s="18"/>
      <c r="AB2238" s="18"/>
      <c r="AC2238" s="18"/>
    </row>
    <row r="2239" spans="1:29" ht="32.25" hidden="1" customHeight="1">
      <c r="A2239" s="17"/>
      <c r="B2239" s="9" t="s">
        <v>13284</v>
      </c>
      <c r="C2239" s="9" t="s">
        <v>13284</v>
      </c>
      <c r="D2239" s="9" t="s">
        <v>13284</v>
      </c>
      <c r="E2239" s="9" t="s">
        <v>13284</v>
      </c>
      <c r="F2239" s="9" t="s">
        <v>13284</v>
      </c>
      <c r="G2239" s="9" t="s">
        <v>13284</v>
      </c>
      <c r="H2239" s="9" t="s">
        <v>13284</v>
      </c>
      <c r="I2239" s="9" t="s">
        <v>13284</v>
      </c>
      <c r="J2239" s="9" t="s">
        <v>13284</v>
      </c>
      <c r="K2239" s="9" t="s">
        <v>13284</v>
      </c>
      <c r="L2239" s="9" t="s">
        <v>13284</v>
      </c>
      <c r="M2239" s="9" t="s">
        <v>13284</v>
      </c>
      <c r="N2239" s="9" t="s">
        <v>13284</v>
      </c>
      <c r="O2239" s="9" t="s">
        <v>13284</v>
      </c>
      <c r="P2239" s="9" t="s">
        <v>13284</v>
      </c>
      <c r="Q2239" s="9" t="s">
        <v>13284</v>
      </c>
      <c r="R2239" s="9" t="s">
        <v>13284</v>
      </c>
      <c r="S2239" s="9" t="s">
        <v>13284</v>
      </c>
      <c r="T2239" s="9" t="str">
        <f ca="1">IFERROR(IF(AND(VLOOKUP(A2239, 'Актуальное состояние (из общего'!A:C,3,0) = "", A2239 &lt;&gt; ""), "ПРОВЕРИТЬ", VLOOKUP(A2239, 'Актуальное состояние (из общего'!A:C,3,0)), "")</f>
        <v/>
      </c>
      <c r="U2239" s="9" t="s">
        <v>13284</v>
      </c>
      <c r="V2239" s="9" t="s">
        <v>13284</v>
      </c>
      <c r="W2239" s="12"/>
      <c r="X2239" s="9" t="str">
        <f t="array" ref="X2239">IFERROR(INDEX('Адреса общежитий (скрытый)'!$B$2:$B$9, MATCH(W2239, 'Адреса общежитий (скрытый)'!$A$2:$A$9, 0)), "")</f>
        <v/>
      </c>
      <c r="Y2239" s="18"/>
      <c r="Z2239" s="18"/>
      <c r="AA2239" s="18"/>
      <c r="AB2239" s="18"/>
      <c r="AC2239" s="18"/>
    </row>
    <row r="2240" spans="1:29" ht="32.25" hidden="1" customHeight="1">
      <c r="A2240" s="17"/>
      <c r="B2240" s="9" t="s">
        <v>13284</v>
      </c>
      <c r="C2240" s="9" t="s">
        <v>13284</v>
      </c>
      <c r="D2240" s="9" t="s">
        <v>13284</v>
      </c>
      <c r="E2240" s="9" t="s">
        <v>13284</v>
      </c>
      <c r="F2240" s="9" t="s">
        <v>13284</v>
      </c>
      <c r="G2240" s="9" t="s">
        <v>13284</v>
      </c>
      <c r="H2240" s="9" t="s">
        <v>13284</v>
      </c>
      <c r="I2240" s="9" t="s">
        <v>13284</v>
      </c>
      <c r="J2240" s="9" t="s">
        <v>13284</v>
      </c>
      <c r="K2240" s="9" t="s">
        <v>13284</v>
      </c>
      <c r="L2240" s="9" t="s">
        <v>13284</v>
      </c>
      <c r="M2240" s="9" t="s">
        <v>13284</v>
      </c>
      <c r="N2240" s="9" t="s">
        <v>13284</v>
      </c>
      <c r="O2240" s="9" t="s">
        <v>13284</v>
      </c>
      <c r="P2240" s="9" t="s">
        <v>13284</v>
      </c>
      <c r="Q2240" s="9" t="s">
        <v>13284</v>
      </c>
      <c r="R2240" s="9" t="s">
        <v>13284</v>
      </c>
      <c r="S2240" s="9" t="s">
        <v>13284</v>
      </c>
      <c r="T2240" s="9" t="str">
        <f ca="1">IFERROR(IF(AND(VLOOKUP(A2240, 'Актуальное состояние (из общего'!A:C,3,0) = "", A2240 &lt;&gt; ""), "ПРОВЕРИТЬ", VLOOKUP(A2240, 'Актуальное состояние (из общего'!A:C,3,0)), "")</f>
        <v/>
      </c>
      <c r="U2240" s="9" t="s">
        <v>13284</v>
      </c>
      <c r="V2240" s="9" t="s">
        <v>13284</v>
      </c>
      <c r="W2240" s="12"/>
      <c r="X2240" s="9" t="str">
        <f t="array" ref="X2240">IFERROR(INDEX('Адреса общежитий (скрытый)'!$B$2:$B$9, MATCH(W2240, 'Адреса общежитий (скрытый)'!$A$2:$A$9, 0)), "")</f>
        <v/>
      </c>
      <c r="Y2240" s="18"/>
      <c r="Z2240" s="18"/>
      <c r="AA2240" s="18"/>
      <c r="AB2240" s="18"/>
      <c r="AC2240" s="18"/>
    </row>
    <row r="2241" spans="1:29" ht="32.25" hidden="1" customHeight="1">
      <c r="A2241" s="17"/>
      <c r="B2241" s="9" t="s">
        <v>13284</v>
      </c>
      <c r="C2241" s="9" t="s">
        <v>13284</v>
      </c>
      <c r="D2241" s="9" t="s">
        <v>13284</v>
      </c>
      <c r="E2241" s="9" t="s">
        <v>13284</v>
      </c>
      <c r="F2241" s="9" t="s">
        <v>13284</v>
      </c>
      <c r="G2241" s="9" t="s">
        <v>13284</v>
      </c>
      <c r="H2241" s="9" t="s">
        <v>13284</v>
      </c>
      <c r="I2241" s="9" t="s">
        <v>13284</v>
      </c>
      <c r="J2241" s="9" t="s">
        <v>13284</v>
      </c>
      <c r="K2241" s="9" t="s">
        <v>13284</v>
      </c>
      <c r="L2241" s="9" t="s">
        <v>13284</v>
      </c>
      <c r="M2241" s="9" t="s">
        <v>13284</v>
      </c>
      <c r="N2241" s="9" t="s">
        <v>13284</v>
      </c>
      <c r="O2241" s="9" t="s">
        <v>13284</v>
      </c>
      <c r="P2241" s="9" t="s">
        <v>13284</v>
      </c>
      <c r="Q2241" s="9" t="s">
        <v>13284</v>
      </c>
      <c r="R2241" s="9" t="s">
        <v>13284</v>
      </c>
      <c r="S2241" s="9" t="s">
        <v>13284</v>
      </c>
      <c r="T2241" s="9" t="str">
        <f ca="1">IFERROR(IF(AND(VLOOKUP(A2241, 'Актуальное состояние (из общего'!A:C,3,0) = "", A2241 &lt;&gt; ""), "ПРОВЕРИТЬ", VLOOKUP(A2241, 'Актуальное состояние (из общего'!A:C,3,0)), "")</f>
        <v/>
      </c>
      <c r="U2241" s="9" t="s">
        <v>13284</v>
      </c>
      <c r="V2241" s="9" t="s">
        <v>13284</v>
      </c>
      <c r="W2241" s="12"/>
      <c r="X2241" s="9" t="str">
        <f t="array" ref="X2241">IFERROR(INDEX('Адреса общежитий (скрытый)'!$B$2:$B$9, MATCH(W2241, 'Адреса общежитий (скрытый)'!$A$2:$A$9, 0)), "")</f>
        <v/>
      </c>
      <c r="Y2241" s="18"/>
      <c r="Z2241" s="18"/>
      <c r="AA2241" s="18"/>
      <c r="AB2241" s="18"/>
      <c r="AC2241" s="18"/>
    </row>
    <row r="2242" spans="1:29" ht="32.25" hidden="1" customHeight="1">
      <c r="A2242" s="17"/>
      <c r="B2242" s="9" t="s">
        <v>13284</v>
      </c>
      <c r="C2242" s="9" t="s">
        <v>13284</v>
      </c>
      <c r="D2242" s="9" t="s">
        <v>13284</v>
      </c>
      <c r="E2242" s="9" t="s">
        <v>13284</v>
      </c>
      <c r="F2242" s="9" t="s">
        <v>13284</v>
      </c>
      <c r="G2242" s="9" t="s">
        <v>13284</v>
      </c>
      <c r="H2242" s="9" t="s">
        <v>13284</v>
      </c>
      <c r="I2242" s="9" t="s">
        <v>13284</v>
      </c>
      <c r="J2242" s="9" t="s">
        <v>13284</v>
      </c>
      <c r="K2242" s="9" t="s">
        <v>13284</v>
      </c>
      <c r="L2242" s="9" t="s">
        <v>13284</v>
      </c>
      <c r="M2242" s="9" t="s">
        <v>13284</v>
      </c>
      <c r="N2242" s="9" t="s">
        <v>13284</v>
      </c>
      <c r="O2242" s="9" t="s">
        <v>13284</v>
      </c>
      <c r="P2242" s="9" t="s">
        <v>13284</v>
      </c>
      <c r="Q2242" s="9" t="s">
        <v>13284</v>
      </c>
      <c r="R2242" s="9" t="s">
        <v>13284</v>
      </c>
      <c r="S2242" s="9" t="s">
        <v>13284</v>
      </c>
      <c r="T2242" s="9" t="str">
        <f ca="1">IFERROR(IF(AND(VLOOKUP(A2242, 'Актуальное состояние (из общего'!A:C,3,0) = "", A2242 &lt;&gt; ""), "ПРОВЕРИТЬ", VLOOKUP(A2242, 'Актуальное состояние (из общего'!A:C,3,0)), "")</f>
        <v/>
      </c>
      <c r="U2242" s="9" t="s">
        <v>13284</v>
      </c>
      <c r="V2242" s="9" t="s">
        <v>13284</v>
      </c>
      <c r="W2242" s="12"/>
      <c r="X2242" s="9" t="str">
        <f t="array" ref="X2242">IFERROR(INDEX('Адреса общежитий (скрытый)'!$B$2:$B$9, MATCH(W2242, 'Адреса общежитий (скрытый)'!$A$2:$A$9, 0)), "")</f>
        <v/>
      </c>
      <c r="Y2242" s="18"/>
      <c r="Z2242" s="18"/>
      <c r="AA2242" s="18"/>
      <c r="AB2242" s="18"/>
      <c r="AC2242" s="18"/>
    </row>
    <row r="2243" spans="1:29" ht="32.25" hidden="1" customHeight="1">
      <c r="A2243" s="17"/>
      <c r="B2243" s="9" t="s">
        <v>13284</v>
      </c>
      <c r="C2243" s="9" t="s">
        <v>13284</v>
      </c>
      <c r="D2243" s="9" t="s">
        <v>13284</v>
      </c>
      <c r="E2243" s="9" t="s">
        <v>13284</v>
      </c>
      <c r="F2243" s="9" t="s">
        <v>13284</v>
      </c>
      <c r="G2243" s="9" t="s">
        <v>13284</v>
      </c>
      <c r="H2243" s="9" t="s">
        <v>13284</v>
      </c>
      <c r="I2243" s="9" t="s">
        <v>13284</v>
      </c>
      <c r="J2243" s="9" t="s">
        <v>13284</v>
      </c>
      <c r="K2243" s="9" t="s">
        <v>13284</v>
      </c>
      <c r="L2243" s="9" t="s">
        <v>13284</v>
      </c>
      <c r="M2243" s="9" t="s">
        <v>13284</v>
      </c>
      <c r="N2243" s="9" t="s">
        <v>13284</v>
      </c>
      <c r="O2243" s="9" t="s">
        <v>13284</v>
      </c>
      <c r="P2243" s="9" t="s">
        <v>13284</v>
      </c>
      <c r="Q2243" s="9" t="s">
        <v>13284</v>
      </c>
      <c r="R2243" s="9" t="s">
        <v>13284</v>
      </c>
      <c r="S2243" s="9" t="s">
        <v>13284</v>
      </c>
      <c r="T2243" s="9" t="str">
        <f ca="1">IFERROR(IF(AND(VLOOKUP(A2243, 'Актуальное состояние (из общего'!A:C,3,0) = "", A2243 &lt;&gt; ""), "ПРОВЕРИТЬ", VLOOKUP(A2243, 'Актуальное состояние (из общего'!A:C,3,0)), "")</f>
        <v/>
      </c>
      <c r="U2243" s="9" t="s">
        <v>13284</v>
      </c>
      <c r="V2243" s="9" t="s">
        <v>13284</v>
      </c>
      <c r="W2243" s="12"/>
      <c r="X2243" s="9" t="str">
        <f t="array" ref="X2243">IFERROR(INDEX('Адреса общежитий (скрытый)'!$B$2:$B$9, MATCH(W2243, 'Адреса общежитий (скрытый)'!$A$2:$A$9, 0)), "")</f>
        <v/>
      </c>
      <c r="Y2243" s="18"/>
      <c r="Z2243" s="18"/>
      <c r="AA2243" s="18"/>
      <c r="AB2243" s="18"/>
      <c r="AC2243" s="18"/>
    </row>
    <row r="2244" spans="1:29" ht="32.25" hidden="1" customHeight="1">
      <c r="A2244" s="17"/>
      <c r="B2244" s="9" t="s">
        <v>13284</v>
      </c>
      <c r="C2244" s="9" t="s">
        <v>13284</v>
      </c>
      <c r="D2244" s="9" t="s">
        <v>13284</v>
      </c>
      <c r="E2244" s="9" t="s">
        <v>13284</v>
      </c>
      <c r="F2244" s="9" t="s">
        <v>13284</v>
      </c>
      <c r="G2244" s="9" t="s">
        <v>13284</v>
      </c>
      <c r="H2244" s="9" t="s">
        <v>13284</v>
      </c>
      <c r="I2244" s="9" t="s">
        <v>13284</v>
      </c>
      <c r="J2244" s="9" t="s">
        <v>13284</v>
      </c>
      <c r="K2244" s="9" t="s">
        <v>13284</v>
      </c>
      <c r="L2244" s="9" t="s">
        <v>13284</v>
      </c>
      <c r="M2244" s="9" t="s">
        <v>13284</v>
      </c>
      <c r="N2244" s="9" t="s">
        <v>13284</v>
      </c>
      <c r="O2244" s="9" t="s">
        <v>13284</v>
      </c>
      <c r="P2244" s="9" t="s">
        <v>13284</v>
      </c>
      <c r="Q2244" s="9" t="s">
        <v>13284</v>
      </c>
      <c r="R2244" s="9" t="s">
        <v>13284</v>
      </c>
      <c r="S2244" s="9" t="s">
        <v>13284</v>
      </c>
      <c r="T2244" s="9" t="str">
        <f ca="1">IFERROR(IF(AND(VLOOKUP(A2244, 'Актуальное состояние (из общего'!A:C,3,0) = "", A2244 &lt;&gt; ""), "ПРОВЕРИТЬ", VLOOKUP(A2244, 'Актуальное состояние (из общего'!A:C,3,0)), "")</f>
        <v/>
      </c>
      <c r="U2244" s="9" t="s">
        <v>13284</v>
      </c>
      <c r="V2244" s="9" t="s">
        <v>13284</v>
      </c>
      <c r="W2244" s="12"/>
      <c r="X2244" s="9" t="str">
        <f t="array" ref="X2244">IFERROR(INDEX('Адреса общежитий (скрытый)'!$B$2:$B$9, MATCH(W2244, 'Адреса общежитий (скрытый)'!$A$2:$A$9, 0)), "")</f>
        <v/>
      </c>
      <c r="Y2244" s="18"/>
      <c r="Z2244" s="18"/>
      <c r="AA2244" s="18"/>
      <c r="AB2244" s="18"/>
      <c r="AC2244" s="18"/>
    </row>
    <row r="2245" spans="1:29" ht="32.25" hidden="1" customHeight="1">
      <c r="A2245" s="17"/>
      <c r="B2245" s="9" t="s">
        <v>13284</v>
      </c>
      <c r="C2245" s="9" t="s">
        <v>13284</v>
      </c>
      <c r="D2245" s="9" t="s">
        <v>13284</v>
      </c>
      <c r="E2245" s="9" t="s">
        <v>13284</v>
      </c>
      <c r="F2245" s="9" t="s">
        <v>13284</v>
      </c>
      <c r="G2245" s="9" t="s">
        <v>13284</v>
      </c>
      <c r="H2245" s="9" t="s">
        <v>13284</v>
      </c>
      <c r="I2245" s="9" t="s">
        <v>13284</v>
      </c>
      <c r="J2245" s="9" t="s">
        <v>13284</v>
      </c>
      <c r="K2245" s="9" t="s">
        <v>13284</v>
      </c>
      <c r="L2245" s="9" t="s">
        <v>13284</v>
      </c>
      <c r="M2245" s="9" t="s">
        <v>13284</v>
      </c>
      <c r="N2245" s="9" t="s">
        <v>13284</v>
      </c>
      <c r="O2245" s="9" t="s">
        <v>13284</v>
      </c>
      <c r="P2245" s="9" t="s">
        <v>13284</v>
      </c>
      <c r="Q2245" s="9" t="s">
        <v>13284</v>
      </c>
      <c r="R2245" s="9" t="s">
        <v>13284</v>
      </c>
      <c r="S2245" s="9" t="s">
        <v>13284</v>
      </c>
      <c r="T2245" s="9" t="str">
        <f ca="1">IFERROR(IF(AND(VLOOKUP(A2245, 'Актуальное состояние (из общего'!A:C,3,0) = "", A2245 &lt;&gt; ""), "ПРОВЕРИТЬ", VLOOKUP(A2245, 'Актуальное состояние (из общего'!A:C,3,0)), "")</f>
        <v/>
      </c>
      <c r="U2245" s="9" t="s">
        <v>13284</v>
      </c>
      <c r="V2245" s="9" t="s">
        <v>13284</v>
      </c>
      <c r="W2245" s="12"/>
      <c r="X2245" s="9" t="str">
        <f t="array" ref="X2245">IFERROR(INDEX('Адреса общежитий (скрытый)'!$B$2:$B$9, MATCH(W2245, 'Адреса общежитий (скрытый)'!$A$2:$A$9, 0)), "")</f>
        <v/>
      </c>
      <c r="Y2245" s="18"/>
      <c r="Z2245" s="18"/>
      <c r="AA2245" s="18"/>
      <c r="AB2245" s="18"/>
      <c r="AC2245" s="18"/>
    </row>
    <row r="2246" spans="1:29" ht="32.25" hidden="1" customHeight="1">
      <c r="A2246" s="17"/>
      <c r="B2246" s="9" t="s">
        <v>13284</v>
      </c>
      <c r="C2246" s="9" t="s">
        <v>13284</v>
      </c>
      <c r="D2246" s="9" t="s">
        <v>13284</v>
      </c>
      <c r="E2246" s="9" t="s">
        <v>13284</v>
      </c>
      <c r="F2246" s="9" t="s">
        <v>13284</v>
      </c>
      <c r="G2246" s="9" t="s">
        <v>13284</v>
      </c>
      <c r="H2246" s="9" t="s">
        <v>13284</v>
      </c>
      <c r="I2246" s="9" t="s">
        <v>13284</v>
      </c>
      <c r="J2246" s="9" t="s">
        <v>13284</v>
      </c>
      <c r="K2246" s="9" t="s">
        <v>13284</v>
      </c>
      <c r="L2246" s="9" t="s">
        <v>13284</v>
      </c>
      <c r="M2246" s="9" t="s">
        <v>13284</v>
      </c>
      <c r="N2246" s="9" t="s">
        <v>13284</v>
      </c>
      <c r="O2246" s="9" t="s">
        <v>13284</v>
      </c>
      <c r="P2246" s="9" t="s">
        <v>13284</v>
      </c>
      <c r="Q2246" s="9" t="s">
        <v>13284</v>
      </c>
      <c r="R2246" s="9" t="s">
        <v>13284</v>
      </c>
      <c r="S2246" s="9" t="s">
        <v>13284</v>
      </c>
      <c r="T2246" s="9" t="str">
        <f ca="1">IFERROR(IF(AND(VLOOKUP(A2246, 'Актуальное состояние (из общего'!A:C,3,0) = "", A2246 &lt;&gt; ""), "ПРОВЕРИТЬ", VLOOKUP(A2246, 'Актуальное состояние (из общего'!A:C,3,0)), "")</f>
        <v/>
      </c>
      <c r="U2246" s="9" t="s">
        <v>13284</v>
      </c>
      <c r="V2246" s="9" t="s">
        <v>13284</v>
      </c>
      <c r="W2246" s="12"/>
      <c r="X2246" s="9" t="str">
        <f t="array" ref="X2246">IFERROR(INDEX('Адреса общежитий (скрытый)'!$B$2:$B$9, MATCH(W2246, 'Адреса общежитий (скрытый)'!$A$2:$A$9, 0)), "")</f>
        <v/>
      </c>
      <c r="Y2246" s="18"/>
      <c r="Z2246" s="18"/>
      <c r="AA2246" s="18"/>
      <c r="AB2246" s="18"/>
      <c r="AC2246" s="18"/>
    </row>
    <row r="2247" spans="1:29" ht="32.25" hidden="1" customHeight="1">
      <c r="A2247" s="17"/>
      <c r="B2247" s="9" t="s">
        <v>13284</v>
      </c>
      <c r="C2247" s="9" t="s">
        <v>13284</v>
      </c>
      <c r="D2247" s="9" t="s">
        <v>13284</v>
      </c>
      <c r="E2247" s="9" t="s">
        <v>13284</v>
      </c>
      <c r="F2247" s="9" t="s">
        <v>13284</v>
      </c>
      <c r="G2247" s="9" t="s">
        <v>13284</v>
      </c>
      <c r="H2247" s="9" t="s">
        <v>13284</v>
      </c>
      <c r="I2247" s="9" t="s">
        <v>13284</v>
      </c>
      <c r="J2247" s="9" t="s">
        <v>13284</v>
      </c>
      <c r="K2247" s="9" t="s">
        <v>13284</v>
      </c>
      <c r="L2247" s="9" t="s">
        <v>13284</v>
      </c>
      <c r="M2247" s="9" t="s">
        <v>13284</v>
      </c>
      <c r="N2247" s="9" t="s">
        <v>13284</v>
      </c>
      <c r="O2247" s="9" t="s">
        <v>13284</v>
      </c>
      <c r="P2247" s="9" t="s">
        <v>13284</v>
      </c>
      <c r="Q2247" s="9" t="s">
        <v>13284</v>
      </c>
      <c r="R2247" s="9" t="s">
        <v>13284</v>
      </c>
      <c r="S2247" s="9" t="s">
        <v>13284</v>
      </c>
      <c r="T2247" s="9" t="str">
        <f ca="1">IFERROR(IF(AND(VLOOKUP(A2247, 'Актуальное состояние (из общего'!A:C,3,0) = "", A2247 &lt;&gt; ""), "ПРОВЕРИТЬ", VLOOKUP(A2247, 'Актуальное состояние (из общего'!A:C,3,0)), "")</f>
        <v/>
      </c>
      <c r="U2247" s="9" t="s">
        <v>13284</v>
      </c>
      <c r="V2247" s="9" t="s">
        <v>13284</v>
      </c>
      <c r="W2247" s="12"/>
      <c r="X2247" s="9" t="str">
        <f t="array" ref="X2247">IFERROR(INDEX('Адреса общежитий (скрытый)'!$B$2:$B$9, MATCH(W2247, 'Адреса общежитий (скрытый)'!$A$2:$A$9, 0)), "")</f>
        <v/>
      </c>
      <c r="Y2247" s="18"/>
      <c r="Z2247" s="18"/>
      <c r="AA2247" s="18"/>
      <c r="AB2247" s="18"/>
      <c r="AC2247" s="18"/>
    </row>
    <row r="2248" spans="1:29" ht="32.25" hidden="1" customHeight="1">
      <c r="A2248" s="17"/>
      <c r="B2248" s="9" t="s">
        <v>13284</v>
      </c>
      <c r="C2248" s="9" t="s">
        <v>13284</v>
      </c>
      <c r="D2248" s="9" t="s">
        <v>13284</v>
      </c>
      <c r="E2248" s="9" t="s">
        <v>13284</v>
      </c>
      <c r="F2248" s="9" t="s">
        <v>13284</v>
      </c>
      <c r="G2248" s="9" t="s">
        <v>13284</v>
      </c>
      <c r="H2248" s="9" t="s">
        <v>13284</v>
      </c>
      <c r="I2248" s="9" t="s">
        <v>13284</v>
      </c>
      <c r="J2248" s="9" t="s">
        <v>13284</v>
      </c>
      <c r="K2248" s="9" t="s">
        <v>13284</v>
      </c>
      <c r="L2248" s="9" t="s">
        <v>13284</v>
      </c>
      <c r="M2248" s="9" t="s">
        <v>13284</v>
      </c>
      <c r="N2248" s="9" t="s">
        <v>13284</v>
      </c>
      <c r="O2248" s="9" t="s">
        <v>13284</v>
      </c>
      <c r="P2248" s="9" t="s">
        <v>13284</v>
      </c>
      <c r="Q2248" s="9" t="s">
        <v>13284</v>
      </c>
      <c r="R2248" s="9" t="s">
        <v>13284</v>
      </c>
      <c r="S2248" s="9" t="s">
        <v>13284</v>
      </c>
      <c r="T2248" s="9" t="str">
        <f ca="1">IFERROR(IF(AND(VLOOKUP(A2248, 'Актуальное состояние (из общего'!A:C,3,0) = "", A2248 &lt;&gt; ""), "ПРОВЕРИТЬ", VLOOKUP(A2248, 'Актуальное состояние (из общего'!A:C,3,0)), "")</f>
        <v/>
      </c>
      <c r="U2248" s="9" t="s">
        <v>13284</v>
      </c>
      <c r="V2248" s="9" t="s">
        <v>13284</v>
      </c>
      <c r="W2248" s="12"/>
      <c r="X2248" s="9" t="str">
        <f t="array" ref="X2248">IFERROR(INDEX('Адреса общежитий (скрытый)'!$B$2:$B$9, MATCH(W2248, 'Адреса общежитий (скрытый)'!$A$2:$A$9, 0)), "")</f>
        <v/>
      </c>
      <c r="Y2248" s="18"/>
      <c r="Z2248" s="18"/>
      <c r="AA2248" s="18"/>
      <c r="AB2248" s="18"/>
      <c r="AC2248" s="18"/>
    </row>
    <row r="2249" spans="1:29" ht="32.25" hidden="1" customHeight="1">
      <c r="A2249" s="17"/>
      <c r="B2249" s="9" t="s">
        <v>13284</v>
      </c>
      <c r="C2249" s="9" t="s">
        <v>13284</v>
      </c>
      <c r="D2249" s="9" t="s">
        <v>13284</v>
      </c>
      <c r="E2249" s="9" t="s">
        <v>13284</v>
      </c>
      <c r="F2249" s="9" t="s">
        <v>13284</v>
      </c>
      <c r="G2249" s="9" t="s">
        <v>13284</v>
      </c>
      <c r="H2249" s="9" t="s">
        <v>13284</v>
      </c>
      <c r="I2249" s="9" t="s">
        <v>13284</v>
      </c>
      <c r="J2249" s="9" t="s">
        <v>13284</v>
      </c>
      <c r="K2249" s="9" t="s">
        <v>13284</v>
      </c>
      <c r="L2249" s="9" t="s">
        <v>13284</v>
      </c>
      <c r="M2249" s="9" t="s">
        <v>13284</v>
      </c>
      <c r="N2249" s="9" t="s">
        <v>13284</v>
      </c>
      <c r="O2249" s="9" t="s">
        <v>13284</v>
      </c>
      <c r="P2249" s="9" t="s">
        <v>13284</v>
      </c>
      <c r="Q2249" s="9" t="s">
        <v>13284</v>
      </c>
      <c r="R2249" s="9" t="s">
        <v>13284</v>
      </c>
      <c r="S2249" s="9" t="s">
        <v>13284</v>
      </c>
      <c r="T2249" s="9" t="str">
        <f ca="1">IFERROR(IF(AND(VLOOKUP(A2249, 'Актуальное состояние (из общего'!A:C,3,0) = "", A2249 &lt;&gt; ""), "ПРОВЕРИТЬ", VLOOKUP(A2249, 'Актуальное состояние (из общего'!A:C,3,0)), "")</f>
        <v/>
      </c>
      <c r="U2249" s="9" t="s">
        <v>13284</v>
      </c>
      <c r="V2249" s="9" t="s">
        <v>13284</v>
      </c>
      <c r="W2249" s="12"/>
      <c r="X2249" s="9" t="str">
        <f t="array" ref="X2249">IFERROR(INDEX('Адреса общежитий (скрытый)'!$B$2:$B$9, MATCH(W2249, 'Адреса общежитий (скрытый)'!$A$2:$A$9, 0)), "")</f>
        <v/>
      </c>
      <c r="Y2249" s="18"/>
      <c r="Z2249" s="18"/>
      <c r="AA2249" s="18"/>
      <c r="AB2249" s="18"/>
      <c r="AC2249" s="18"/>
    </row>
    <row r="2250" spans="1:29" ht="32.25" hidden="1" customHeight="1">
      <c r="A2250" s="17"/>
      <c r="B2250" s="9" t="s">
        <v>13284</v>
      </c>
      <c r="C2250" s="9" t="s">
        <v>13284</v>
      </c>
      <c r="D2250" s="9" t="s">
        <v>13284</v>
      </c>
      <c r="E2250" s="9" t="s">
        <v>13284</v>
      </c>
      <c r="F2250" s="9" t="s">
        <v>13284</v>
      </c>
      <c r="G2250" s="9" t="s">
        <v>13284</v>
      </c>
      <c r="H2250" s="9" t="s">
        <v>13284</v>
      </c>
      <c r="I2250" s="9" t="s">
        <v>13284</v>
      </c>
      <c r="J2250" s="9" t="s">
        <v>13284</v>
      </c>
      <c r="K2250" s="9" t="s">
        <v>13284</v>
      </c>
      <c r="L2250" s="9" t="s">
        <v>13284</v>
      </c>
      <c r="M2250" s="9" t="s">
        <v>13284</v>
      </c>
      <c r="N2250" s="9" t="s">
        <v>13284</v>
      </c>
      <c r="O2250" s="9" t="s">
        <v>13284</v>
      </c>
      <c r="P2250" s="9" t="s">
        <v>13284</v>
      </c>
      <c r="Q2250" s="9" t="s">
        <v>13284</v>
      </c>
      <c r="R2250" s="9" t="s">
        <v>13284</v>
      </c>
      <c r="S2250" s="9" t="s">
        <v>13284</v>
      </c>
      <c r="T2250" s="9" t="str">
        <f ca="1">IFERROR(IF(AND(VLOOKUP(A2250, 'Актуальное состояние (из общего'!A:C,3,0) = "", A2250 &lt;&gt; ""), "ПРОВЕРИТЬ", VLOOKUP(A2250, 'Актуальное состояние (из общего'!A:C,3,0)), "")</f>
        <v/>
      </c>
      <c r="U2250" s="9" t="s">
        <v>13284</v>
      </c>
      <c r="V2250" s="9" t="s">
        <v>13284</v>
      </c>
      <c r="W2250" s="12"/>
      <c r="X2250" s="9" t="str">
        <f t="array" ref="X2250">IFERROR(INDEX('Адреса общежитий (скрытый)'!$B$2:$B$9, MATCH(W2250, 'Адреса общежитий (скрытый)'!$A$2:$A$9, 0)), "")</f>
        <v/>
      </c>
      <c r="Y2250" s="18"/>
      <c r="Z2250" s="18"/>
      <c r="AA2250" s="18"/>
      <c r="AB2250" s="18"/>
      <c r="AC2250" s="18"/>
    </row>
    <row r="2251" spans="1:29" ht="32.25" hidden="1" customHeight="1">
      <c r="A2251" s="17"/>
      <c r="B2251" s="9" t="s">
        <v>13284</v>
      </c>
      <c r="C2251" s="9" t="s">
        <v>13284</v>
      </c>
      <c r="D2251" s="9" t="s">
        <v>13284</v>
      </c>
      <c r="E2251" s="9" t="s">
        <v>13284</v>
      </c>
      <c r="F2251" s="9" t="s">
        <v>13284</v>
      </c>
      <c r="G2251" s="9" t="s">
        <v>13284</v>
      </c>
      <c r="H2251" s="9" t="s">
        <v>13284</v>
      </c>
      <c r="I2251" s="9" t="s">
        <v>13284</v>
      </c>
      <c r="J2251" s="9" t="s">
        <v>13284</v>
      </c>
      <c r="K2251" s="9" t="s">
        <v>13284</v>
      </c>
      <c r="L2251" s="9" t="s">
        <v>13284</v>
      </c>
      <c r="M2251" s="9" t="s">
        <v>13284</v>
      </c>
      <c r="N2251" s="9" t="s">
        <v>13284</v>
      </c>
      <c r="O2251" s="9" t="s">
        <v>13284</v>
      </c>
      <c r="P2251" s="9" t="s">
        <v>13284</v>
      </c>
      <c r="Q2251" s="9" t="s">
        <v>13284</v>
      </c>
      <c r="R2251" s="9" t="s">
        <v>13284</v>
      </c>
      <c r="S2251" s="9" t="s">
        <v>13284</v>
      </c>
      <c r="T2251" s="9" t="str">
        <f ca="1">IFERROR(IF(AND(VLOOKUP(A2251, 'Актуальное состояние (из общего'!A:C,3,0) = "", A2251 &lt;&gt; ""), "ПРОВЕРИТЬ", VLOOKUP(A2251, 'Актуальное состояние (из общего'!A:C,3,0)), "")</f>
        <v/>
      </c>
      <c r="U2251" s="9" t="s">
        <v>13284</v>
      </c>
      <c r="V2251" s="9" t="s">
        <v>13284</v>
      </c>
      <c r="W2251" s="12"/>
      <c r="X2251" s="9" t="str">
        <f t="array" ref="X2251">IFERROR(INDEX('Адреса общежитий (скрытый)'!$B$2:$B$9, MATCH(W2251, 'Адреса общежитий (скрытый)'!$A$2:$A$9, 0)), "")</f>
        <v/>
      </c>
      <c r="Y2251" s="18"/>
      <c r="Z2251" s="18"/>
      <c r="AA2251" s="18"/>
      <c r="AB2251" s="18"/>
      <c r="AC2251" s="18"/>
    </row>
    <row r="2252" spans="1:29" ht="32.25" hidden="1" customHeight="1">
      <c r="A2252" s="17"/>
      <c r="B2252" s="9" t="s">
        <v>13284</v>
      </c>
      <c r="C2252" s="9" t="s">
        <v>13284</v>
      </c>
      <c r="D2252" s="9" t="s">
        <v>13284</v>
      </c>
      <c r="E2252" s="9" t="s">
        <v>13284</v>
      </c>
      <c r="F2252" s="9" t="s">
        <v>13284</v>
      </c>
      <c r="G2252" s="9" t="s">
        <v>13284</v>
      </c>
      <c r="H2252" s="9" t="s">
        <v>13284</v>
      </c>
      <c r="I2252" s="9" t="s">
        <v>13284</v>
      </c>
      <c r="J2252" s="9" t="s">
        <v>13284</v>
      </c>
      <c r="K2252" s="9" t="s">
        <v>13284</v>
      </c>
      <c r="L2252" s="9" t="s">
        <v>13284</v>
      </c>
      <c r="M2252" s="9" t="s">
        <v>13284</v>
      </c>
      <c r="N2252" s="9" t="s">
        <v>13284</v>
      </c>
      <c r="O2252" s="9" t="s">
        <v>13284</v>
      </c>
      <c r="P2252" s="9" t="s">
        <v>13284</v>
      </c>
      <c r="Q2252" s="9" t="s">
        <v>13284</v>
      </c>
      <c r="R2252" s="9" t="s">
        <v>13284</v>
      </c>
      <c r="S2252" s="9" t="s">
        <v>13284</v>
      </c>
      <c r="T2252" s="9" t="str">
        <f ca="1">IFERROR(IF(AND(VLOOKUP(A2252, 'Актуальное состояние (из общего'!A:C,3,0) = "", A2252 &lt;&gt; ""), "ПРОВЕРИТЬ", VLOOKUP(A2252, 'Актуальное состояние (из общего'!A:C,3,0)), "")</f>
        <v/>
      </c>
      <c r="U2252" s="9" t="s">
        <v>13284</v>
      </c>
      <c r="V2252" s="9" t="s">
        <v>13284</v>
      </c>
      <c r="W2252" s="12"/>
      <c r="X2252" s="9" t="str">
        <f t="array" ref="X2252">IFERROR(INDEX('Адреса общежитий (скрытый)'!$B$2:$B$9, MATCH(W2252, 'Адреса общежитий (скрытый)'!$A$2:$A$9, 0)), "")</f>
        <v/>
      </c>
      <c r="Y2252" s="18"/>
      <c r="Z2252" s="18"/>
      <c r="AA2252" s="18"/>
      <c r="AB2252" s="18"/>
      <c r="AC2252" s="18"/>
    </row>
    <row r="2253" spans="1:29" ht="32.25" hidden="1" customHeight="1">
      <c r="A2253" s="17"/>
      <c r="B2253" s="9" t="s">
        <v>13284</v>
      </c>
      <c r="C2253" s="9" t="s">
        <v>13284</v>
      </c>
      <c r="D2253" s="9" t="s">
        <v>13284</v>
      </c>
      <c r="E2253" s="9" t="s">
        <v>13284</v>
      </c>
      <c r="F2253" s="9" t="s">
        <v>13284</v>
      </c>
      <c r="G2253" s="9" t="s">
        <v>13284</v>
      </c>
      <c r="H2253" s="9" t="s">
        <v>13284</v>
      </c>
      <c r="I2253" s="9" t="s">
        <v>13284</v>
      </c>
      <c r="J2253" s="9" t="s">
        <v>13284</v>
      </c>
      <c r="K2253" s="9" t="s">
        <v>13284</v>
      </c>
      <c r="L2253" s="9" t="s">
        <v>13284</v>
      </c>
      <c r="M2253" s="9" t="s">
        <v>13284</v>
      </c>
      <c r="N2253" s="9" t="s">
        <v>13284</v>
      </c>
      <c r="O2253" s="9" t="s">
        <v>13284</v>
      </c>
      <c r="P2253" s="9" t="s">
        <v>13284</v>
      </c>
      <c r="Q2253" s="9" t="s">
        <v>13284</v>
      </c>
      <c r="R2253" s="9" t="s">
        <v>13284</v>
      </c>
      <c r="S2253" s="9" t="s">
        <v>13284</v>
      </c>
      <c r="T2253" s="9" t="str">
        <f ca="1">IFERROR(IF(AND(VLOOKUP(A2253, 'Актуальное состояние (из общего'!A:C,3,0) = "", A2253 &lt;&gt; ""), "ПРОВЕРИТЬ", VLOOKUP(A2253, 'Актуальное состояние (из общего'!A:C,3,0)), "")</f>
        <v/>
      </c>
      <c r="U2253" s="9" t="s">
        <v>13284</v>
      </c>
      <c r="V2253" s="9" t="s">
        <v>13284</v>
      </c>
      <c r="W2253" s="12"/>
      <c r="X2253" s="9" t="str">
        <f t="array" ref="X2253">IFERROR(INDEX('Адреса общежитий (скрытый)'!$B$2:$B$9, MATCH(W2253, 'Адреса общежитий (скрытый)'!$A$2:$A$9, 0)), "")</f>
        <v/>
      </c>
      <c r="Y2253" s="18"/>
      <c r="Z2253" s="18"/>
      <c r="AA2253" s="18"/>
      <c r="AB2253" s="18"/>
      <c r="AC2253" s="18"/>
    </row>
    <row r="2254" spans="1:29" ht="32.25" hidden="1" customHeight="1">
      <c r="A2254" s="17"/>
      <c r="B2254" s="9" t="s">
        <v>13284</v>
      </c>
      <c r="C2254" s="9" t="s">
        <v>13284</v>
      </c>
      <c r="D2254" s="9" t="s">
        <v>13284</v>
      </c>
      <c r="E2254" s="9" t="s">
        <v>13284</v>
      </c>
      <c r="F2254" s="9" t="s">
        <v>13284</v>
      </c>
      <c r="G2254" s="9" t="s">
        <v>13284</v>
      </c>
      <c r="H2254" s="9" t="s">
        <v>13284</v>
      </c>
      <c r="I2254" s="9" t="s">
        <v>13284</v>
      </c>
      <c r="J2254" s="9" t="s">
        <v>13284</v>
      </c>
      <c r="K2254" s="9" t="s">
        <v>13284</v>
      </c>
      <c r="L2254" s="9" t="s">
        <v>13284</v>
      </c>
      <c r="M2254" s="9" t="s">
        <v>13284</v>
      </c>
      <c r="N2254" s="9" t="s">
        <v>13284</v>
      </c>
      <c r="O2254" s="9" t="s">
        <v>13284</v>
      </c>
      <c r="P2254" s="9" t="s">
        <v>13284</v>
      </c>
      <c r="Q2254" s="9" t="s">
        <v>13284</v>
      </c>
      <c r="R2254" s="9" t="s">
        <v>13284</v>
      </c>
      <c r="S2254" s="9" t="s">
        <v>13284</v>
      </c>
      <c r="T2254" s="9" t="str">
        <f ca="1">IFERROR(IF(AND(VLOOKUP(A2254, 'Актуальное состояние (из общего'!A:C,3,0) = "", A2254 &lt;&gt; ""), "ПРОВЕРИТЬ", VLOOKUP(A2254, 'Актуальное состояние (из общего'!A:C,3,0)), "")</f>
        <v/>
      </c>
      <c r="U2254" s="9" t="s">
        <v>13284</v>
      </c>
      <c r="V2254" s="9" t="s">
        <v>13284</v>
      </c>
      <c r="W2254" s="12"/>
      <c r="X2254" s="9" t="str">
        <f t="array" ref="X2254">IFERROR(INDEX('Адреса общежитий (скрытый)'!$B$2:$B$9, MATCH(W2254, 'Адреса общежитий (скрытый)'!$A$2:$A$9, 0)), "")</f>
        <v/>
      </c>
      <c r="Y2254" s="18"/>
      <c r="Z2254" s="18"/>
      <c r="AA2254" s="18"/>
      <c r="AB2254" s="18"/>
      <c r="AC2254" s="18"/>
    </row>
    <row r="2255" spans="1:29" ht="32.25" hidden="1" customHeight="1">
      <c r="A2255" s="17"/>
      <c r="B2255" s="9" t="s">
        <v>13284</v>
      </c>
      <c r="C2255" s="9" t="s">
        <v>13284</v>
      </c>
      <c r="D2255" s="9" t="s">
        <v>13284</v>
      </c>
      <c r="E2255" s="9" t="s">
        <v>13284</v>
      </c>
      <c r="F2255" s="9" t="s">
        <v>13284</v>
      </c>
      <c r="G2255" s="9" t="s">
        <v>13284</v>
      </c>
      <c r="H2255" s="9" t="s">
        <v>13284</v>
      </c>
      <c r="I2255" s="9" t="s">
        <v>13284</v>
      </c>
      <c r="J2255" s="9" t="s">
        <v>13284</v>
      </c>
      <c r="K2255" s="9" t="s">
        <v>13284</v>
      </c>
      <c r="L2255" s="9" t="s">
        <v>13284</v>
      </c>
      <c r="M2255" s="9" t="s">
        <v>13284</v>
      </c>
      <c r="N2255" s="9" t="s">
        <v>13284</v>
      </c>
      <c r="O2255" s="9" t="s">
        <v>13284</v>
      </c>
      <c r="P2255" s="9" t="s">
        <v>13284</v>
      </c>
      <c r="Q2255" s="9" t="s">
        <v>13284</v>
      </c>
      <c r="R2255" s="9" t="s">
        <v>13284</v>
      </c>
      <c r="S2255" s="9" t="s">
        <v>13284</v>
      </c>
      <c r="T2255" s="9" t="str">
        <f ca="1">IFERROR(IF(AND(VLOOKUP(A2255, 'Актуальное состояние (из общего'!A:C,3,0) = "", A2255 &lt;&gt; ""), "ПРОВЕРИТЬ", VLOOKUP(A2255, 'Актуальное состояние (из общего'!A:C,3,0)), "")</f>
        <v/>
      </c>
      <c r="U2255" s="9" t="s">
        <v>13284</v>
      </c>
      <c r="V2255" s="9" t="s">
        <v>13284</v>
      </c>
      <c r="W2255" s="12"/>
      <c r="X2255" s="9" t="str">
        <f t="array" ref="X2255">IFERROR(INDEX('Адреса общежитий (скрытый)'!$B$2:$B$9, MATCH(W2255, 'Адреса общежитий (скрытый)'!$A$2:$A$9, 0)), "")</f>
        <v/>
      </c>
      <c r="Y2255" s="18"/>
      <c r="Z2255" s="18"/>
      <c r="AA2255" s="18"/>
      <c r="AB2255" s="18"/>
      <c r="AC2255" s="18"/>
    </row>
    <row r="2256" spans="1:29" ht="32.25" hidden="1" customHeight="1">
      <c r="A2256" s="17"/>
      <c r="B2256" s="9" t="s">
        <v>13284</v>
      </c>
      <c r="C2256" s="9" t="s">
        <v>13284</v>
      </c>
      <c r="D2256" s="9" t="s">
        <v>13284</v>
      </c>
      <c r="E2256" s="9" t="s">
        <v>13284</v>
      </c>
      <c r="F2256" s="9" t="s">
        <v>13284</v>
      </c>
      <c r="G2256" s="9" t="s">
        <v>13284</v>
      </c>
      <c r="H2256" s="9" t="s">
        <v>13284</v>
      </c>
      <c r="I2256" s="9" t="s">
        <v>13284</v>
      </c>
      <c r="J2256" s="9" t="s">
        <v>13284</v>
      </c>
      <c r="K2256" s="9" t="s">
        <v>13284</v>
      </c>
      <c r="L2256" s="9" t="s">
        <v>13284</v>
      </c>
      <c r="M2256" s="9" t="s">
        <v>13284</v>
      </c>
      <c r="N2256" s="9" t="s">
        <v>13284</v>
      </c>
      <c r="O2256" s="9" t="s">
        <v>13284</v>
      </c>
      <c r="P2256" s="9" t="s">
        <v>13284</v>
      </c>
      <c r="Q2256" s="9" t="s">
        <v>13284</v>
      </c>
      <c r="R2256" s="9" t="s">
        <v>13284</v>
      </c>
      <c r="S2256" s="9" t="s">
        <v>13284</v>
      </c>
      <c r="T2256" s="9" t="str">
        <f ca="1">IFERROR(IF(AND(VLOOKUP(A2256, 'Актуальное состояние (из общего'!A:C,3,0) = "", A2256 &lt;&gt; ""), "ПРОВЕРИТЬ", VLOOKUP(A2256, 'Актуальное состояние (из общего'!A:C,3,0)), "")</f>
        <v/>
      </c>
      <c r="U2256" s="9" t="s">
        <v>13284</v>
      </c>
      <c r="V2256" s="9" t="s">
        <v>13284</v>
      </c>
      <c r="W2256" s="12"/>
      <c r="X2256" s="9" t="str">
        <f t="array" ref="X2256">IFERROR(INDEX('Адреса общежитий (скрытый)'!$B$2:$B$9, MATCH(W2256, 'Адреса общежитий (скрытый)'!$A$2:$A$9, 0)), "")</f>
        <v/>
      </c>
      <c r="Y2256" s="18"/>
      <c r="Z2256" s="18"/>
      <c r="AA2256" s="18"/>
      <c r="AB2256" s="18"/>
      <c r="AC2256" s="18"/>
    </row>
    <row r="2257" spans="1:29" ht="32.25" hidden="1" customHeight="1">
      <c r="A2257" s="17"/>
      <c r="B2257" s="9" t="s">
        <v>13284</v>
      </c>
      <c r="C2257" s="9" t="s">
        <v>13284</v>
      </c>
      <c r="D2257" s="9" t="s">
        <v>13284</v>
      </c>
      <c r="E2257" s="9" t="s">
        <v>13284</v>
      </c>
      <c r="F2257" s="9" t="s">
        <v>13284</v>
      </c>
      <c r="G2257" s="9" t="s">
        <v>13284</v>
      </c>
      <c r="H2257" s="9" t="s">
        <v>13284</v>
      </c>
      <c r="I2257" s="9" t="s">
        <v>13284</v>
      </c>
      <c r="J2257" s="9" t="s">
        <v>13284</v>
      </c>
      <c r="K2257" s="9" t="s">
        <v>13284</v>
      </c>
      <c r="L2257" s="9" t="s">
        <v>13284</v>
      </c>
      <c r="M2257" s="9" t="s">
        <v>13284</v>
      </c>
      <c r="N2257" s="9" t="s">
        <v>13284</v>
      </c>
      <c r="O2257" s="9" t="s">
        <v>13284</v>
      </c>
      <c r="P2257" s="9" t="s">
        <v>13284</v>
      </c>
      <c r="Q2257" s="9" t="s">
        <v>13284</v>
      </c>
      <c r="R2257" s="9" t="s">
        <v>13284</v>
      </c>
      <c r="S2257" s="9" t="s">
        <v>13284</v>
      </c>
      <c r="T2257" s="9" t="str">
        <f ca="1">IFERROR(IF(AND(VLOOKUP(A2257, 'Актуальное состояние (из общего'!A:C,3,0) = "", A2257 &lt;&gt; ""), "ПРОВЕРИТЬ", VLOOKUP(A2257, 'Актуальное состояние (из общего'!A:C,3,0)), "")</f>
        <v/>
      </c>
      <c r="U2257" s="9" t="s">
        <v>13284</v>
      </c>
      <c r="V2257" s="9" t="s">
        <v>13284</v>
      </c>
      <c r="W2257" s="12"/>
      <c r="X2257" s="9" t="str">
        <f t="array" ref="X2257">IFERROR(INDEX('Адреса общежитий (скрытый)'!$B$2:$B$9, MATCH(W2257, 'Адреса общежитий (скрытый)'!$A$2:$A$9, 0)), "")</f>
        <v/>
      </c>
      <c r="Y2257" s="18"/>
      <c r="Z2257" s="18"/>
      <c r="AA2257" s="18"/>
      <c r="AB2257" s="18"/>
      <c r="AC2257" s="18"/>
    </row>
    <row r="2258" spans="1:29" ht="32.25" hidden="1" customHeight="1">
      <c r="A2258" s="17"/>
      <c r="B2258" s="9" t="s">
        <v>13284</v>
      </c>
      <c r="C2258" s="9" t="s">
        <v>13284</v>
      </c>
      <c r="D2258" s="9" t="s">
        <v>13284</v>
      </c>
      <c r="E2258" s="9" t="s">
        <v>13284</v>
      </c>
      <c r="F2258" s="9" t="s">
        <v>13284</v>
      </c>
      <c r="G2258" s="9" t="s">
        <v>13284</v>
      </c>
      <c r="H2258" s="9" t="s">
        <v>13284</v>
      </c>
      <c r="I2258" s="9" t="s">
        <v>13284</v>
      </c>
      <c r="J2258" s="9" t="s">
        <v>13284</v>
      </c>
      <c r="K2258" s="9" t="s">
        <v>13284</v>
      </c>
      <c r="L2258" s="9" t="s">
        <v>13284</v>
      </c>
      <c r="M2258" s="9" t="s">
        <v>13284</v>
      </c>
      <c r="N2258" s="9" t="s">
        <v>13284</v>
      </c>
      <c r="O2258" s="9" t="s">
        <v>13284</v>
      </c>
      <c r="P2258" s="9" t="s">
        <v>13284</v>
      </c>
      <c r="Q2258" s="9" t="s">
        <v>13284</v>
      </c>
      <c r="R2258" s="9" t="s">
        <v>13284</v>
      </c>
      <c r="S2258" s="9" t="s">
        <v>13284</v>
      </c>
      <c r="T2258" s="9" t="str">
        <f ca="1">IFERROR(IF(AND(VLOOKUP(A2258, 'Актуальное состояние (из общего'!A:C,3,0) = "", A2258 &lt;&gt; ""), "ПРОВЕРИТЬ", VLOOKUP(A2258, 'Актуальное состояние (из общего'!A:C,3,0)), "")</f>
        <v/>
      </c>
      <c r="U2258" s="9" t="s">
        <v>13284</v>
      </c>
      <c r="V2258" s="9" t="s">
        <v>13284</v>
      </c>
      <c r="W2258" s="12"/>
      <c r="X2258" s="9" t="str">
        <f t="array" ref="X2258">IFERROR(INDEX('Адреса общежитий (скрытый)'!$B$2:$B$9, MATCH(W2258, 'Адреса общежитий (скрытый)'!$A$2:$A$9, 0)), "")</f>
        <v/>
      </c>
      <c r="Y2258" s="18"/>
      <c r="Z2258" s="18"/>
      <c r="AA2258" s="18"/>
      <c r="AB2258" s="18"/>
      <c r="AC2258" s="18"/>
    </row>
    <row r="2259" spans="1:29" ht="32.25" hidden="1" customHeight="1">
      <c r="A2259" s="17"/>
      <c r="B2259" s="9" t="s">
        <v>13284</v>
      </c>
      <c r="C2259" s="9" t="s">
        <v>13284</v>
      </c>
      <c r="D2259" s="9" t="s">
        <v>13284</v>
      </c>
      <c r="E2259" s="9" t="s">
        <v>13284</v>
      </c>
      <c r="F2259" s="9" t="s">
        <v>13284</v>
      </c>
      <c r="G2259" s="9" t="s">
        <v>13284</v>
      </c>
      <c r="H2259" s="9" t="s">
        <v>13284</v>
      </c>
      <c r="I2259" s="9" t="s">
        <v>13284</v>
      </c>
      <c r="J2259" s="9" t="s">
        <v>13284</v>
      </c>
      <c r="K2259" s="9" t="s">
        <v>13284</v>
      </c>
      <c r="L2259" s="9" t="s">
        <v>13284</v>
      </c>
      <c r="M2259" s="9" t="s">
        <v>13284</v>
      </c>
      <c r="N2259" s="9" t="s">
        <v>13284</v>
      </c>
      <c r="O2259" s="9" t="s">
        <v>13284</v>
      </c>
      <c r="P2259" s="9" t="s">
        <v>13284</v>
      </c>
      <c r="Q2259" s="9" t="s">
        <v>13284</v>
      </c>
      <c r="R2259" s="9" t="s">
        <v>13284</v>
      </c>
      <c r="S2259" s="9" t="s">
        <v>13284</v>
      </c>
      <c r="T2259" s="9" t="str">
        <f ca="1">IFERROR(IF(AND(VLOOKUP(A2259, 'Актуальное состояние (из общего'!A:C,3,0) = "", A2259 &lt;&gt; ""), "ПРОВЕРИТЬ", VLOOKUP(A2259, 'Актуальное состояние (из общего'!A:C,3,0)), "")</f>
        <v/>
      </c>
      <c r="U2259" s="9" t="s">
        <v>13284</v>
      </c>
      <c r="V2259" s="9" t="s">
        <v>13284</v>
      </c>
      <c r="W2259" s="12"/>
      <c r="X2259" s="9" t="str">
        <f t="array" ref="X2259">IFERROR(INDEX('Адреса общежитий (скрытый)'!$B$2:$B$9, MATCH(W2259, 'Адреса общежитий (скрытый)'!$A$2:$A$9, 0)), "")</f>
        <v/>
      </c>
      <c r="Y2259" s="18"/>
      <c r="Z2259" s="18"/>
      <c r="AA2259" s="18"/>
      <c r="AB2259" s="18"/>
      <c r="AC2259" s="18"/>
    </row>
    <row r="2260" spans="1:29" ht="32.25" hidden="1" customHeight="1">
      <c r="A2260" s="17"/>
      <c r="B2260" s="9" t="s">
        <v>13284</v>
      </c>
      <c r="C2260" s="9" t="s">
        <v>13284</v>
      </c>
      <c r="D2260" s="9" t="s">
        <v>13284</v>
      </c>
      <c r="E2260" s="9" t="s">
        <v>13284</v>
      </c>
      <c r="F2260" s="9" t="s">
        <v>13284</v>
      </c>
      <c r="G2260" s="9" t="s">
        <v>13284</v>
      </c>
      <c r="H2260" s="9" t="s">
        <v>13284</v>
      </c>
      <c r="I2260" s="9" t="s">
        <v>13284</v>
      </c>
      <c r="J2260" s="9" t="s">
        <v>13284</v>
      </c>
      <c r="K2260" s="9" t="s">
        <v>13284</v>
      </c>
      <c r="L2260" s="9" t="s">
        <v>13284</v>
      </c>
      <c r="M2260" s="9" t="s">
        <v>13284</v>
      </c>
      <c r="N2260" s="9" t="s">
        <v>13284</v>
      </c>
      <c r="O2260" s="9" t="s">
        <v>13284</v>
      </c>
      <c r="P2260" s="9" t="s">
        <v>13284</v>
      </c>
      <c r="Q2260" s="9" t="s">
        <v>13284</v>
      </c>
      <c r="R2260" s="9" t="s">
        <v>13284</v>
      </c>
      <c r="S2260" s="9" t="s">
        <v>13284</v>
      </c>
      <c r="T2260" s="9" t="str">
        <f ca="1">IFERROR(IF(AND(VLOOKUP(A2260, 'Актуальное состояние (из общего'!A:C,3,0) = "", A2260 &lt;&gt; ""), "ПРОВЕРИТЬ", VLOOKUP(A2260, 'Актуальное состояние (из общего'!A:C,3,0)), "")</f>
        <v/>
      </c>
      <c r="U2260" s="9" t="s">
        <v>13284</v>
      </c>
      <c r="V2260" s="9" t="s">
        <v>13284</v>
      </c>
      <c r="W2260" s="12"/>
      <c r="X2260" s="9" t="str">
        <f t="array" ref="X2260">IFERROR(INDEX('Адреса общежитий (скрытый)'!$B$2:$B$9, MATCH(W2260, 'Адреса общежитий (скрытый)'!$A$2:$A$9, 0)), "")</f>
        <v/>
      </c>
      <c r="Y2260" s="18"/>
      <c r="Z2260" s="18"/>
      <c r="AA2260" s="18"/>
      <c r="AB2260" s="18"/>
      <c r="AC2260" s="18"/>
    </row>
    <row r="2261" spans="1:29" ht="32.25" hidden="1" customHeight="1">
      <c r="A2261" s="17"/>
      <c r="B2261" s="9" t="s">
        <v>13284</v>
      </c>
      <c r="C2261" s="9" t="s">
        <v>13284</v>
      </c>
      <c r="D2261" s="9" t="s">
        <v>13284</v>
      </c>
      <c r="E2261" s="9" t="s">
        <v>13284</v>
      </c>
      <c r="F2261" s="9" t="s">
        <v>13284</v>
      </c>
      <c r="G2261" s="9" t="s">
        <v>13284</v>
      </c>
      <c r="H2261" s="9" t="s">
        <v>13284</v>
      </c>
      <c r="I2261" s="9" t="s">
        <v>13284</v>
      </c>
      <c r="J2261" s="9" t="s">
        <v>13284</v>
      </c>
      <c r="K2261" s="9" t="s">
        <v>13284</v>
      </c>
      <c r="L2261" s="9" t="s">
        <v>13284</v>
      </c>
      <c r="M2261" s="9" t="s">
        <v>13284</v>
      </c>
      <c r="N2261" s="9" t="s">
        <v>13284</v>
      </c>
      <c r="O2261" s="9" t="s">
        <v>13284</v>
      </c>
      <c r="P2261" s="9" t="s">
        <v>13284</v>
      </c>
      <c r="Q2261" s="9" t="s">
        <v>13284</v>
      </c>
      <c r="R2261" s="9" t="s">
        <v>13284</v>
      </c>
      <c r="S2261" s="9" t="s">
        <v>13284</v>
      </c>
      <c r="T2261" s="9" t="str">
        <f ca="1">IFERROR(IF(AND(VLOOKUP(A2261, 'Актуальное состояние (из общего'!A:C,3,0) = "", A2261 &lt;&gt; ""), "ПРОВЕРИТЬ", VLOOKUP(A2261, 'Актуальное состояние (из общего'!A:C,3,0)), "")</f>
        <v/>
      </c>
      <c r="U2261" s="9" t="s">
        <v>13284</v>
      </c>
      <c r="V2261" s="9" t="s">
        <v>13284</v>
      </c>
      <c r="W2261" s="12"/>
      <c r="X2261" s="9" t="str">
        <f t="array" ref="X2261">IFERROR(INDEX('Адреса общежитий (скрытый)'!$B$2:$B$9, MATCH(W2261, 'Адреса общежитий (скрытый)'!$A$2:$A$9, 0)), "")</f>
        <v/>
      </c>
      <c r="Y2261" s="18"/>
      <c r="Z2261" s="18"/>
      <c r="AA2261" s="18"/>
      <c r="AB2261" s="18"/>
      <c r="AC2261" s="18"/>
    </row>
    <row r="2262" spans="1:29" ht="32.25" hidden="1" customHeight="1">
      <c r="A2262" s="17"/>
      <c r="B2262" s="9" t="s">
        <v>13284</v>
      </c>
      <c r="C2262" s="9" t="s">
        <v>13284</v>
      </c>
      <c r="D2262" s="9" t="s">
        <v>13284</v>
      </c>
      <c r="E2262" s="9" t="s">
        <v>13284</v>
      </c>
      <c r="F2262" s="9" t="s">
        <v>13284</v>
      </c>
      <c r="G2262" s="9" t="s">
        <v>13284</v>
      </c>
      <c r="H2262" s="9" t="s">
        <v>13284</v>
      </c>
      <c r="I2262" s="9" t="s">
        <v>13284</v>
      </c>
      <c r="J2262" s="9" t="s">
        <v>13284</v>
      </c>
      <c r="K2262" s="9" t="s">
        <v>13284</v>
      </c>
      <c r="L2262" s="9" t="s">
        <v>13284</v>
      </c>
      <c r="M2262" s="9" t="s">
        <v>13284</v>
      </c>
      <c r="N2262" s="9" t="s">
        <v>13284</v>
      </c>
      <c r="O2262" s="9" t="s">
        <v>13284</v>
      </c>
      <c r="P2262" s="9" t="s">
        <v>13284</v>
      </c>
      <c r="Q2262" s="9" t="s">
        <v>13284</v>
      </c>
      <c r="R2262" s="9" t="s">
        <v>13284</v>
      </c>
      <c r="S2262" s="9" t="s">
        <v>13284</v>
      </c>
      <c r="T2262" s="9" t="str">
        <f ca="1">IFERROR(IF(AND(VLOOKUP(A2262, 'Актуальное состояние (из общего'!A:C,3,0) = "", A2262 &lt;&gt; ""), "ПРОВЕРИТЬ", VLOOKUP(A2262, 'Актуальное состояние (из общего'!A:C,3,0)), "")</f>
        <v/>
      </c>
      <c r="U2262" s="9" t="s">
        <v>13284</v>
      </c>
      <c r="V2262" s="9" t="s">
        <v>13284</v>
      </c>
      <c r="W2262" s="12"/>
      <c r="X2262" s="9" t="str">
        <f t="array" ref="X2262">IFERROR(INDEX('Адреса общежитий (скрытый)'!$B$2:$B$9, MATCH(W2262, 'Адреса общежитий (скрытый)'!$A$2:$A$9, 0)), "")</f>
        <v/>
      </c>
      <c r="Y2262" s="18"/>
      <c r="Z2262" s="18"/>
      <c r="AA2262" s="18"/>
      <c r="AB2262" s="18"/>
      <c r="AC2262" s="18"/>
    </row>
    <row r="2263" spans="1:29" ht="32.25" hidden="1" customHeight="1">
      <c r="A2263" s="17"/>
      <c r="B2263" s="9" t="s">
        <v>13284</v>
      </c>
      <c r="C2263" s="9" t="s">
        <v>13284</v>
      </c>
      <c r="D2263" s="9" t="s">
        <v>13284</v>
      </c>
      <c r="E2263" s="9" t="s">
        <v>13284</v>
      </c>
      <c r="F2263" s="9" t="s">
        <v>13284</v>
      </c>
      <c r="G2263" s="9" t="s">
        <v>13284</v>
      </c>
      <c r="H2263" s="9" t="s">
        <v>13284</v>
      </c>
      <c r="I2263" s="9" t="s">
        <v>13284</v>
      </c>
      <c r="J2263" s="9" t="s">
        <v>13284</v>
      </c>
      <c r="K2263" s="9" t="s">
        <v>13284</v>
      </c>
      <c r="L2263" s="9" t="s">
        <v>13284</v>
      </c>
      <c r="M2263" s="9" t="s">
        <v>13284</v>
      </c>
      <c r="N2263" s="9" t="s">
        <v>13284</v>
      </c>
      <c r="O2263" s="9" t="s">
        <v>13284</v>
      </c>
      <c r="P2263" s="9" t="s">
        <v>13284</v>
      </c>
      <c r="Q2263" s="9" t="s">
        <v>13284</v>
      </c>
      <c r="R2263" s="9" t="s">
        <v>13284</v>
      </c>
      <c r="S2263" s="9" t="s">
        <v>13284</v>
      </c>
      <c r="T2263" s="9" t="str">
        <f ca="1">IFERROR(IF(AND(VLOOKUP(A2263, 'Актуальное состояние (из общего'!A:C,3,0) = "", A2263 &lt;&gt; ""), "ПРОВЕРИТЬ", VLOOKUP(A2263, 'Актуальное состояние (из общего'!A:C,3,0)), "")</f>
        <v/>
      </c>
      <c r="U2263" s="9" t="s">
        <v>13284</v>
      </c>
      <c r="V2263" s="9" t="s">
        <v>13284</v>
      </c>
      <c r="W2263" s="12"/>
      <c r="X2263" s="9" t="str">
        <f t="array" ref="X2263">IFERROR(INDEX('Адреса общежитий (скрытый)'!$B$2:$B$9, MATCH(W2263, 'Адреса общежитий (скрытый)'!$A$2:$A$9, 0)), "")</f>
        <v/>
      </c>
      <c r="Y2263" s="18"/>
      <c r="Z2263" s="18"/>
      <c r="AA2263" s="18"/>
      <c r="AB2263" s="18"/>
      <c r="AC2263" s="18"/>
    </row>
    <row r="2264" spans="1:29" ht="32.25" hidden="1" customHeight="1">
      <c r="A2264" s="17"/>
      <c r="B2264" s="9" t="s">
        <v>13284</v>
      </c>
      <c r="C2264" s="9" t="s">
        <v>13284</v>
      </c>
      <c r="D2264" s="9" t="s">
        <v>13284</v>
      </c>
      <c r="E2264" s="9" t="s">
        <v>13284</v>
      </c>
      <c r="F2264" s="9" t="s">
        <v>13284</v>
      </c>
      <c r="G2264" s="9" t="s">
        <v>13284</v>
      </c>
      <c r="H2264" s="9" t="s">
        <v>13284</v>
      </c>
      <c r="I2264" s="9" t="s">
        <v>13284</v>
      </c>
      <c r="J2264" s="9" t="s">
        <v>13284</v>
      </c>
      <c r="K2264" s="9" t="s">
        <v>13284</v>
      </c>
      <c r="L2264" s="9" t="s">
        <v>13284</v>
      </c>
      <c r="M2264" s="9" t="s">
        <v>13284</v>
      </c>
      <c r="N2264" s="9" t="s">
        <v>13284</v>
      </c>
      <c r="O2264" s="9" t="s">
        <v>13284</v>
      </c>
      <c r="P2264" s="9" t="s">
        <v>13284</v>
      </c>
      <c r="Q2264" s="9" t="s">
        <v>13284</v>
      </c>
      <c r="R2264" s="9" t="s">
        <v>13284</v>
      </c>
      <c r="S2264" s="9" t="s">
        <v>13284</v>
      </c>
      <c r="T2264" s="9" t="str">
        <f ca="1">IFERROR(IF(AND(VLOOKUP(A2264, 'Актуальное состояние (из общего'!A:C,3,0) = "", A2264 &lt;&gt; ""), "ПРОВЕРИТЬ", VLOOKUP(A2264, 'Актуальное состояние (из общего'!A:C,3,0)), "")</f>
        <v/>
      </c>
      <c r="U2264" s="9" t="s">
        <v>13284</v>
      </c>
      <c r="V2264" s="9" t="s">
        <v>13284</v>
      </c>
      <c r="W2264" s="12"/>
      <c r="X2264" s="9" t="str">
        <f t="array" ref="X2264">IFERROR(INDEX('Адреса общежитий (скрытый)'!$B$2:$B$9, MATCH(W2264, 'Адреса общежитий (скрытый)'!$A$2:$A$9, 0)), "")</f>
        <v/>
      </c>
      <c r="Y2264" s="18"/>
      <c r="Z2264" s="18"/>
      <c r="AA2264" s="18"/>
      <c r="AB2264" s="18"/>
      <c r="AC2264" s="18"/>
    </row>
    <row r="2265" spans="1:29" ht="32.25" hidden="1" customHeight="1">
      <c r="A2265" s="17"/>
      <c r="B2265" s="9" t="s">
        <v>13284</v>
      </c>
      <c r="C2265" s="9" t="s">
        <v>13284</v>
      </c>
      <c r="D2265" s="9" t="s">
        <v>13284</v>
      </c>
      <c r="E2265" s="9" t="s">
        <v>13284</v>
      </c>
      <c r="F2265" s="9" t="s">
        <v>13284</v>
      </c>
      <c r="G2265" s="9" t="s">
        <v>13284</v>
      </c>
      <c r="H2265" s="9" t="s">
        <v>13284</v>
      </c>
      <c r="I2265" s="9" t="s">
        <v>13284</v>
      </c>
      <c r="J2265" s="9" t="s">
        <v>13284</v>
      </c>
      <c r="K2265" s="9" t="s">
        <v>13284</v>
      </c>
      <c r="L2265" s="9" t="s">
        <v>13284</v>
      </c>
      <c r="M2265" s="9" t="s">
        <v>13284</v>
      </c>
      <c r="N2265" s="9" t="s">
        <v>13284</v>
      </c>
      <c r="O2265" s="9" t="s">
        <v>13284</v>
      </c>
      <c r="P2265" s="9" t="s">
        <v>13284</v>
      </c>
      <c r="Q2265" s="9" t="s">
        <v>13284</v>
      </c>
      <c r="R2265" s="9" t="s">
        <v>13284</v>
      </c>
      <c r="S2265" s="9" t="s">
        <v>13284</v>
      </c>
      <c r="T2265" s="9" t="str">
        <f ca="1">IFERROR(IF(AND(VLOOKUP(A2265, 'Актуальное состояние (из общего'!A:C,3,0) = "", A2265 &lt;&gt; ""), "ПРОВЕРИТЬ", VLOOKUP(A2265, 'Актуальное состояние (из общего'!A:C,3,0)), "")</f>
        <v/>
      </c>
      <c r="U2265" s="9" t="s">
        <v>13284</v>
      </c>
      <c r="V2265" s="9" t="s">
        <v>13284</v>
      </c>
      <c r="W2265" s="12"/>
      <c r="X2265" s="9" t="str">
        <f t="array" ref="X2265">IFERROR(INDEX('Адреса общежитий (скрытый)'!$B$2:$B$9, MATCH(W2265, 'Адреса общежитий (скрытый)'!$A$2:$A$9, 0)), "")</f>
        <v/>
      </c>
      <c r="Y2265" s="18"/>
      <c r="Z2265" s="18"/>
      <c r="AA2265" s="18"/>
      <c r="AB2265" s="18"/>
      <c r="AC2265" s="18"/>
    </row>
    <row r="2266" spans="1:29" ht="32.25" hidden="1" customHeight="1">
      <c r="A2266" s="17"/>
      <c r="B2266" s="9" t="s">
        <v>13284</v>
      </c>
      <c r="C2266" s="9" t="s">
        <v>13284</v>
      </c>
      <c r="D2266" s="9" t="s">
        <v>13284</v>
      </c>
      <c r="E2266" s="9" t="s">
        <v>13284</v>
      </c>
      <c r="F2266" s="9" t="s">
        <v>13284</v>
      </c>
      <c r="G2266" s="9" t="s">
        <v>13284</v>
      </c>
      <c r="H2266" s="9" t="s">
        <v>13284</v>
      </c>
      <c r="I2266" s="9" t="s">
        <v>13284</v>
      </c>
      <c r="J2266" s="9" t="s">
        <v>13284</v>
      </c>
      <c r="K2266" s="9" t="s">
        <v>13284</v>
      </c>
      <c r="L2266" s="9" t="s">
        <v>13284</v>
      </c>
      <c r="M2266" s="9" t="s">
        <v>13284</v>
      </c>
      <c r="N2266" s="9" t="s">
        <v>13284</v>
      </c>
      <c r="O2266" s="9" t="s">
        <v>13284</v>
      </c>
      <c r="P2266" s="9" t="s">
        <v>13284</v>
      </c>
      <c r="Q2266" s="9" t="s">
        <v>13284</v>
      </c>
      <c r="R2266" s="9" t="s">
        <v>13284</v>
      </c>
      <c r="S2266" s="9" t="s">
        <v>13284</v>
      </c>
      <c r="T2266" s="9" t="str">
        <f ca="1">IFERROR(IF(AND(VLOOKUP(A2266, 'Актуальное состояние (из общего'!A:C,3,0) = "", A2266 &lt;&gt; ""), "ПРОВЕРИТЬ", VLOOKUP(A2266, 'Актуальное состояние (из общего'!A:C,3,0)), "")</f>
        <v/>
      </c>
      <c r="U2266" s="9" t="s">
        <v>13284</v>
      </c>
      <c r="V2266" s="9" t="s">
        <v>13284</v>
      </c>
      <c r="W2266" s="12"/>
      <c r="X2266" s="9" t="str">
        <f t="array" ref="X2266">IFERROR(INDEX('Адреса общежитий (скрытый)'!$B$2:$B$9, MATCH(W2266, 'Адреса общежитий (скрытый)'!$A$2:$A$9, 0)), "")</f>
        <v/>
      </c>
      <c r="Y2266" s="18"/>
      <c r="Z2266" s="18"/>
      <c r="AA2266" s="18"/>
      <c r="AB2266" s="18"/>
      <c r="AC2266" s="18"/>
    </row>
    <row r="2267" spans="1:29" ht="32.25" hidden="1" customHeight="1">
      <c r="A2267" s="17"/>
      <c r="B2267" s="9" t="s">
        <v>13284</v>
      </c>
      <c r="C2267" s="9" t="s">
        <v>13284</v>
      </c>
      <c r="D2267" s="9" t="s">
        <v>13284</v>
      </c>
      <c r="E2267" s="9" t="s">
        <v>13284</v>
      </c>
      <c r="F2267" s="9" t="s">
        <v>13284</v>
      </c>
      <c r="G2267" s="9" t="s">
        <v>13284</v>
      </c>
      <c r="H2267" s="9" t="s">
        <v>13284</v>
      </c>
      <c r="I2267" s="9" t="s">
        <v>13284</v>
      </c>
      <c r="J2267" s="9" t="s">
        <v>13284</v>
      </c>
      <c r="K2267" s="9" t="s">
        <v>13284</v>
      </c>
      <c r="L2267" s="9" t="s">
        <v>13284</v>
      </c>
      <c r="M2267" s="9" t="s">
        <v>13284</v>
      </c>
      <c r="N2267" s="9" t="s">
        <v>13284</v>
      </c>
      <c r="O2267" s="9" t="s">
        <v>13284</v>
      </c>
      <c r="P2267" s="9" t="s">
        <v>13284</v>
      </c>
      <c r="Q2267" s="9" t="s">
        <v>13284</v>
      </c>
      <c r="R2267" s="9" t="s">
        <v>13284</v>
      </c>
      <c r="S2267" s="9" t="s">
        <v>13284</v>
      </c>
      <c r="T2267" s="9" t="str">
        <f ca="1">IFERROR(IF(AND(VLOOKUP(A2267, 'Актуальное состояние (из общего'!A:C,3,0) = "", A2267 &lt;&gt; ""), "ПРОВЕРИТЬ", VLOOKUP(A2267, 'Актуальное состояние (из общего'!A:C,3,0)), "")</f>
        <v/>
      </c>
      <c r="U2267" s="9" t="s">
        <v>13284</v>
      </c>
      <c r="V2267" s="9" t="s">
        <v>13284</v>
      </c>
      <c r="W2267" s="12"/>
      <c r="X2267" s="9" t="str">
        <f t="array" ref="X2267">IFERROR(INDEX('Адреса общежитий (скрытый)'!$B$2:$B$9, MATCH(W2267, 'Адреса общежитий (скрытый)'!$A$2:$A$9, 0)), "")</f>
        <v/>
      </c>
      <c r="Y2267" s="18"/>
      <c r="Z2267" s="18"/>
      <c r="AA2267" s="18"/>
      <c r="AB2267" s="18"/>
      <c r="AC2267" s="18"/>
    </row>
    <row r="2268" spans="1:29" ht="32.25" hidden="1" customHeight="1">
      <c r="A2268" s="17"/>
      <c r="B2268" s="9" t="s">
        <v>13284</v>
      </c>
      <c r="C2268" s="9" t="s">
        <v>13284</v>
      </c>
      <c r="D2268" s="9" t="s">
        <v>13284</v>
      </c>
      <c r="E2268" s="9" t="s">
        <v>13284</v>
      </c>
      <c r="F2268" s="9" t="s">
        <v>13284</v>
      </c>
      <c r="G2268" s="9" t="s">
        <v>13284</v>
      </c>
      <c r="H2268" s="9" t="s">
        <v>13284</v>
      </c>
      <c r="I2268" s="9" t="s">
        <v>13284</v>
      </c>
      <c r="J2268" s="9" t="s">
        <v>13284</v>
      </c>
      <c r="K2268" s="9" t="s">
        <v>13284</v>
      </c>
      <c r="L2268" s="9" t="s">
        <v>13284</v>
      </c>
      <c r="M2268" s="9" t="s">
        <v>13284</v>
      </c>
      <c r="N2268" s="9" t="s">
        <v>13284</v>
      </c>
      <c r="O2268" s="9" t="s">
        <v>13284</v>
      </c>
      <c r="P2268" s="9" t="s">
        <v>13284</v>
      </c>
      <c r="Q2268" s="9" t="s">
        <v>13284</v>
      </c>
      <c r="R2268" s="9" t="s">
        <v>13284</v>
      </c>
      <c r="S2268" s="9" t="s">
        <v>13284</v>
      </c>
      <c r="T2268" s="9" t="str">
        <f ca="1">IFERROR(IF(AND(VLOOKUP(A2268, 'Актуальное состояние (из общего'!A:C,3,0) = "", A2268 &lt;&gt; ""), "ПРОВЕРИТЬ", VLOOKUP(A2268, 'Актуальное состояние (из общего'!A:C,3,0)), "")</f>
        <v/>
      </c>
      <c r="U2268" s="9" t="s">
        <v>13284</v>
      </c>
      <c r="V2268" s="9" t="s">
        <v>13284</v>
      </c>
      <c r="W2268" s="12"/>
      <c r="X2268" s="9" t="str">
        <f t="array" ref="X2268">IFERROR(INDEX('Адреса общежитий (скрытый)'!$B$2:$B$9, MATCH(W2268, 'Адреса общежитий (скрытый)'!$A$2:$A$9, 0)), "")</f>
        <v/>
      </c>
      <c r="Y2268" s="18"/>
      <c r="Z2268" s="18"/>
      <c r="AA2268" s="18"/>
      <c r="AB2268" s="18"/>
      <c r="AC2268" s="18"/>
    </row>
    <row r="2269" spans="1:29" ht="32.25" hidden="1" customHeight="1">
      <c r="A2269" s="17"/>
      <c r="B2269" s="9" t="s">
        <v>13284</v>
      </c>
      <c r="C2269" s="9" t="s">
        <v>13284</v>
      </c>
      <c r="D2269" s="9" t="s">
        <v>13284</v>
      </c>
      <c r="E2269" s="9" t="s">
        <v>13284</v>
      </c>
      <c r="F2269" s="9" t="s">
        <v>13284</v>
      </c>
      <c r="G2269" s="9" t="s">
        <v>13284</v>
      </c>
      <c r="H2269" s="9" t="s">
        <v>13284</v>
      </c>
      <c r="I2269" s="9" t="s">
        <v>13284</v>
      </c>
      <c r="J2269" s="9" t="s">
        <v>13284</v>
      </c>
      <c r="K2269" s="9" t="s">
        <v>13284</v>
      </c>
      <c r="L2269" s="9" t="s">
        <v>13284</v>
      </c>
      <c r="M2269" s="9" t="s">
        <v>13284</v>
      </c>
      <c r="N2269" s="9" t="s">
        <v>13284</v>
      </c>
      <c r="O2269" s="9" t="s">
        <v>13284</v>
      </c>
      <c r="P2269" s="9" t="s">
        <v>13284</v>
      </c>
      <c r="Q2269" s="9" t="s">
        <v>13284</v>
      </c>
      <c r="R2269" s="9" t="s">
        <v>13284</v>
      </c>
      <c r="S2269" s="9" t="s">
        <v>13284</v>
      </c>
      <c r="T2269" s="9" t="str">
        <f ca="1">IFERROR(IF(AND(VLOOKUP(A2269, 'Актуальное состояние (из общего'!A:C,3,0) = "", A2269 &lt;&gt; ""), "ПРОВЕРИТЬ", VLOOKUP(A2269, 'Актуальное состояние (из общего'!A:C,3,0)), "")</f>
        <v/>
      </c>
      <c r="U2269" s="9" t="s">
        <v>13284</v>
      </c>
      <c r="V2269" s="9" t="s">
        <v>13284</v>
      </c>
      <c r="W2269" s="12"/>
      <c r="X2269" s="9" t="str">
        <f t="array" ref="X2269">IFERROR(INDEX('Адреса общежитий (скрытый)'!$B$2:$B$9, MATCH(W2269, 'Адреса общежитий (скрытый)'!$A$2:$A$9, 0)), "")</f>
        <v/>
      </c>
      <c r="Y2269" s="18"/>
      <c r="Z2269" s="18"/>
      <c r="AA2269" s="18"/>
      <c r="AB2269" s="18"/>
      <c r="AC2269" s="18"/>
    </row>
    <row r="2270" spans="1:29" ht="32.25" hidden="1" customHeight="1">
      <c r="A2270" s="17"/>
      <c r="B2270" s="9" t="s">
        <v>13284</v>
      </c>
      <c r="C2270" s="9" t="s">
        <v>13284</v>
      </c>
      <c r="D2270" s="9" t="s">
        <v>13284</v>
      </c>
      <c r="E2270" s="9" t="s">
        <v>13284</v>
      </c>
      <c r="F2270" s="9" t="s">
        <v>13284</v>
      </c>
      <c r="G2270" s="9" t="s">
        <v>13284</v>
      </c>
      <c r="H2270" s="9" t="s">
        <v>13284</v>
      </c>
      <c r="I2270" s="9" t="s">
        <v>13284</v>
      </c>
      <c r="J2270" s="9" t="s">
        <v>13284</v>
      </c>
      <c r="K2270" s="9" t="s">
        <v>13284</v>
      </c>
      <c r="L2270" s="9" t="s">
        <v>13284</v>
      </c>
      <c r="M2270" s="9" t="s">
        <v>13284</v>
      </c>
      <c r="N2270" s="9" t="s">
        <v>13284</v>
      </c>
      <c r="O2270" s="9" t="s">
        <v>13284</v>
      </c>
      <c r="P2270" s="9" t="s">
        <v>13284</v>
      </c>
      <c r="Q2270" s="9" t="s">
        <v>13284</v>
      </c>
      <c r="R2270" s="9" t="s">
        <v>13284</v>
      </c>
      <c r="S2270" s="9" t="s">
        <v>13284</v>
      </c>
      <c r="T2270" s="9" t="str">
        <f ca="1">IFERROR(IF(AND(VLOOKUP(A2270, 'Актуальное состояние (из общего'!A:C,3,0) = "", A2270 &lt;&gt; ""), "ПРОВЕРИТЬ", VLOOKUP(A2270, 'Актуальное состояние (из общего'!A:C,3,0)), "")</f>
        <v/>
      </c>
      <c r="U2270" s="9" t="s">
        <v>13284</v>
      </c>
      <c r="V2270" s="9" t="s">
        <v>13284</v>
      </c>
      <c r="W2270" s="12"/>
      <c r="X2270" s="9" t="str">
        <f t="array" ref="X2270">IFERROR(INDEX('Адреса общежитий (скрытый)'!$B$2:$B$9, MATCH(W2270, 'Адреса общежитий (скрытый)'!$A$2:$A$9, 0)), "")</f>
        <v/>
      </c>
      <c r="Y2270" s="18"/>
      <c r="Z2270" s="18"/>
      <c r="AA2270" s="18"/>
      <c r="AB2270" s="18"/>
      <c r="AC2270" s="18"/>
    </row>
    <row r="2271" spans="1:29" ht="32.25" hidden="1" customHeight="1">
      <c r="A2271" s="17"/>
      <c r="B2271" s="9" t="s">
        <v>13284</v>
      </c>
      <c r="C2271" s="9" t="s">
        <v>13284</v>
      </c>
      <c r="D2271" s="9" t="s">
        <v>13284</v>
      </c>
      <c r="E2271" s="9" t="s">
        <v>13284</v>
      </c>
      <c r="F2271" s="9" t="s">
        <v>13284</v>
      </c>
      <c r="G2271" s="9" t="s">
        <v>13284</v>
      </c>
      <c r="H2271" s="9" t="s">
        <v>13284</v>
      </c>
      <c r="I2271" s="9" t="s">
        <v>13284</v>
      </c>
      <c r="J2271" s="9" t="s">
        <v>13284</v>
      </c>
      <c r="K2271" s="9" t="s">
        <v>13284</v>
      </c>
      <c r="L2271" s="9" t="s">
        <v>13284</v>
      </c>
      <c r="M2271" s="9" t="s">
        <v>13284</v>
      </c>
      <c r="N2271" s="9" t="s">
        <v>13284</v>
      </c>
      <c r="O2271" s="9" t="s">
        <v>13284</v>
      </c>
      <c r="P2271" s="9" t="s">
        <v>13284</v>
      </c>
      <c r="Q2271" s="9" t="s">
        <v>13284</v>
      </c>
      <c r="R2271" s="9" t="s">
        <v>13284</v>
      </c>
      <c r="S2271" s="9" t="s">
        <v>13284</v>
      </c>
      <c r="T2271" s="9" t="str">
        <f ca="1">IFERROR(IF(AND(VLOOKUP(A2271, 'Актуальное состояние (из общего'!A:C,3,0) = "", A2271 &lt;&gt; ""), "ПРОВЕРИТЬ", VLOOKUP(A2271, 'Актуальное состояние (из общего'!A:C,3,0)), "")</f>
        <v/>
      </c>
      <c r="U2271" s="9" t="s">
        <v>13284</v>
      </c>
      <c r="V2271" s="9" t="s">
        <v>13284</v>
      </c>
      <c r="W2271" s="12"/>
      <c r="X2271" s="9" t="str">
        <f t="array" ref="X2271">IFERROR(INDEX('Адреса общежитий (скрытый)'!$B$2:$B$9, MATCH(W2271, 'Адреса общежитий (скрытый)'!$A$2:$A$9, 0)), "")</f>
        <v/>
      </c>
      <c r="Y2271" s="18"/>
      <c r="Z2271" s="18"/>
      <c r="AA2271" s="18"/>
      <c r="AB2271" s="18"/>
      <c r="AC2271" s="18"/>
    </row>
    <row r="2272" spans="1:29" ht="32.25" hidden="1" customHeight="1">
      <c r="A2272" s="17"/>
      <c r="B2272" s="9" t="s">
        <v>13284</v>
      </c>
      <c r="C2272" s="9" t="s">
        <v>13284</v>
      </c>
      <c r="D2272" s="9" t="s">
        <v>13284</v>
      </c>
      <c r="E2272" s="9" t="s">
        <v>13284</v>
      </c>
      <c r="F2272" s="9" t="s">
        <v>13284</v>
      </c>
      <c r="G2272" s="9" t="s">
        <v>13284</v>
      </c>
      <c r="H2272" s="9" t="s">
        <v>13284</v>
      </c>
      <c r="I2272" s="9" t="s">
        <v>13284</v>
      </c>
      <c r="J2272" s="9" t="s">
        <v>13284</v>
      </c>
      <c r="K2272" s="9" t="s">
        <v>13284</v>
      </c>
      <c r="L2272" s="9" t="s">
        <v>13284</v>
      </c>
      <c r="M2272" s="9" t="s">
        <v>13284</v>
      </c>
      <c r="N2272" s="9" t="s">
        <v>13284</v>
      </c>
      <c r="O2272" s="9" t="s">
        <v>13284</v>
      </c>
      <c r="P2272" s="9" t="s">
        <v>13284</v>
      </c>
      <c r="Q2272" s="9" t="s">
        <v>13284</v>
      </c>
      <c r="R2272" s="9" t="s">
        <v>13284</v>
      </c>
      <c r="S2272" s="9" t="s">
        <v>13284</v>
      </c>
      <c r="T2272" s="9" t="str">
        <f ca="1">IFERROR(IF(AND(VLOOKUP(A2272, 'Актуальное состояние (из общего'!A:C,3,0) = "", A2272 &lt;&gt; ""), "ПРОВЕРИТЬ", VLOOKUP(A2272, 'Актуальное состояние (из общего'!A:C,3,0)), "")</f>
        <v/>
      </c>
      <c r="U2272" s="9" t="s">
        <v>13284</v>
      </c>
      <c r="V2272" s="9" t="s">
        <v>13284</v>
      </c>
      <c r="W2272" s="12"/>
      <c r="X2272" s="9" t="str">
        <f t="array" ref="X2272">IFERROR(INDEX('Адреса общежитий (скрытый)'!$B$2:$B$9, MATCH(W2272, 'Адреса общежитий (скрытый)'!$A$2:$A$9, 0)), "")</f>
        <v/>
      </c>
      <c r="Y2272" s="18"/>
      <c r="Z2272" s="18"/>
      <c r="AA2272" s="18"/>
      <c r="AB2272" s="18"/>
      <c r="AC2272" s="18"/>
    </row>
    <row r="2273" spans="1:29" ht="32.25" hidden="1" customHeight="1">
      <c r="A2273" s="17"/>
      <c r="B2273" s="9" t="s">
        <v>13284</v>
      </c>
      <c r="C2273" s="9" t="s">
        <v>13284</v>
      </c>
      <c r="D2273" s="9" t="s">
        <v>13284</v>
      </c>
      <c r="E2273" s="9" t="s">
        <v>13284</v>
      </c>
      <c r="F2273" s="9" t="s">
        <v>13284</v>
      </c>
      <c r="G2273" s="9" t="s">
        <v>13284</v>
      </c>
      <c r="H2273" s="9" t="s">
        <v>13284</v>
      </c>
      <c r="I2273" s="9" t="s">
        <v>13284</v>
      </c>
      <c r="J2273" s="9" t="s">
        <v>13284</v>
      </c>
      <c r="K2273" s="9" t="s">
        <v>13284</v>
      </c>
      <c r="L2273" s="9" t="s">
        <v>13284</v>
      </c>
      <c r="M2273" s="9" t="s">
        <v>13284</v>
      </c>
      <c r="N2273" s="9" t="s">
        <v>13284</v>
      </c>
      <c r="O2273" s="9" t="s">
        <v>13284</v>
      </c>
      <c r="P2273" s="9" t="s">
        <v>13284</v>
      </c>
      <c r="Q2273" s="9" t="s">
        <v>13284</v>
      </c>
      <c r="R2273" s="9" t="s">
        <v>13284</v>
      </c>
      <c r="S2273" s="9" t="s">
        <v>13284</v>
      </c>
      <c r="T2273" s="9" t="str">
        <f ca="1">IFERROR(IF(AND(VLOOKUP(A2273, 'Актуальное состояние (из общего'!A:C,3,0) = "", A2273 &lt;&gt; ""), "ПРОВЕРИТЬ", VLOOKUP(A2273, 'Актуальное состояние (из общего'!A:C,3,0)), "")</f>
        <v/>
      </c>
      <c r="U2273" s="9" t="s">
        <v>13284</v>
      </c>
      <c r="V2273" s="9" t="s">
        <v>13284</v>
      </c>
      <c r="W2273" s="12"/>
      <c r="X2273" s="9" t="str">
        <f t="array" ref="X2273">IFERROR(INDEX('Адреса общежитий (скрытый)'!$B$2:$B$9, MATCH(W2273, 'Адреса общежитий (скрытый)'!$A$2:$A$9, 0)), "")</f>
        <v/>
      </c>
      <c r="Y2273" s="18"/>
      <c r="Z2273" s="18"/>
      <c r="AA2273" s="18"/>
      <c r="AB2273" s="18"/>
      <c r="AC2273" s="18"/>
    </row>
    <row r="2274" spans="1:29" ht="32.25" hidden="1" customHeight="1">
      <c r="A2274" s="17"/>
      <c r="B2274" s="9" t="s">
        <v>13284</v>
      </c>
      <c r="C2274" s="9" t="s">
        <v>13284</v>
      </c>
      <c r="D2274" s="9" t="s">
        <v>13284</v>
      </c>
      <c r="E2274" s="9" t="s">
        <v>13284</v>
      </c>
      <c r="F2274" s="9" t="s">
        <v>13284</v>
      </c>
      <c r="G2274" s="9" t="s">
        <v>13284</v>
      </c>
      <c r="H2274" s="9" t="s">
        <v>13284</v>
      </c>
      <c r="I2274" s="9" t="s">
        <v>13284</v>
      </c>
      <c r="J2274" s="9" t="s">
        <v>13284</v>
      </c>
      <c r="K2274" s="9" t="s">
        <v>13284</v>
      </c>
      <c r="L2274" s="9" t="s">
        <v>13284</v>
      </c>
      <c r="M2274" s="9" t="s">
        <v>13284</v>
      </c>
      <c r="N2274" s="9" t="s">
        <v>13284</v>
      </c>
      <c r="O2274" s="9" t="s">
        <v>13284</v>
      </c>
      <c r="P2274" s="9" t="s">
        <v>13284</v>
      </c>
      <c r="Q2274" s="9" t="s">
        <v>13284</v>
      </c>
      <c r="R2274" s="9" t="s">
        <v>13284</v>
      </c>
      <c r="S2274" s="9" t="s">
        <v>13284</v>
      </c>
      <c r="T2274" s="9" t="str">
        <f ca="1">IFERROR(IF(AND(VLOOKUP(A2274, 'Актуальное состояние (из общего'!A:C,3,0) = "", A2274 &lt;&gt; ""), "ПРОВЕРИТЬ", VLOOKUP(A2274, 'Актуальное состояние (из общего'!A:C,3,0)), "")</f>
        <v/>
      </c>
      <c r="U2274" s="9" t="s">
        <v>13284</v>
      </c>
      <c r="V2274" s="9" t="s">
        <v>13284</v>
      </c>
      <c r="W2274" s="12"/>
      <c r="X2274" s="9" t="str">
        <f t="array" ref="X2274">IFERROR(INDEX('Адреса общежитий (скрытый)'!$B$2:$B$9, MATCH(W2274, 'Адреса общежитий (скрытый)'!$A$2:$A$9, 0)), "")</f>
        <v/>
      </c>
      <c r="Y2274" s="18"/>
      <c r="Z2274" s="18"/>
      <c r="AA2274" s="18"/>
      <c r="AB2274" s="18"/>
      <c r="AC2274" s="18"/>
    </row>
    <row r="2275" spans="1:29" ht="32.25" hidden="1" customHeight="1">
      <c r="A2275" s="17"/>
      <c r="B2275" s="9" t="s">
        <v>13284</v>
      </c>
      <c r="C2275" s="9" t="s">
        <v>13284</v>
      </c>
      <c r="D2275" s="9" t="s">
        <v>13284</v>
      </c>
      <c r="E2275" s="9" t="s">
        <v>13284</v>
      </c>
      <c r="F2275" s="9" t="s">
        <v>13284</v>
      </c>
      <c r="G2275" s="9" t="s">
        <v>13284</v>
      </c>
      <c r="H2275" s="9" t="s">
        <v>13284</v>
      </c>
      <c r="I2275" s="9" t="s">
        <v>13284</v>
      </c>
      <c r="J2275" s="9" t="s">
        <v>13284</v>
      </c>
      <c r="K2275" s="9" t="s">
        <v>13284</v>
      </c>
      <c r="L2275" s="9" t="s">
        <v>13284</v>
      </c>
      <c r="M2275" s="9" t="s">
        <v>13284</v>
      </c>
      <c r="N2275" s="9" t="s">
        <v>13284</v>
      </c>
      <c r="O2275" s="9" t="s">
        <v>13284</v>
      </c>
      <c r="P2275" s="9" t="s">
        <v>13284</v>
      </c>
      <c r="Q2275" s="9" t="s">
        <v>13284</v>
      </c>
      <c r="R2275" s="9" t="s">
        <v>13284</v>
      </c>
      <c r="S2275" s="9" t="s">
        <v>13284</v>
      </c>
      <c r="T2275" s="9" t="str">
        <f ca="1">IFERROR(IF(AND(VLOOKUP(A2275, 'Актуальное состояние (из общего'!A:C,3,0) = "", A2275 &lt;&gt; ""), "ПРОВЕРИТЬ", VLOOKUP(A2275, 'Актуальное состояние (из общего'!A:C,3,0)), "")</f>
        <v/>
      </c>
      <c r="U2275" s="9" t="s">
        <v>13284</v>
      </c>
      <c r="V2275" s="9" t="s">
        <v>13284</v>
      </c>
      <c r="W2275" s="12"/>
      <c r="X2275" s="9" t="str">
        <f t="array" ref="X2275">IFERROR(INDEX('Адреса общежитий (скрытый)'!$B$2:$B$9, MATCH(W2275, 'Адреса общежитий (скрытый)'!$A$2:$A$9, 0)), "")</f>
        <v/>
      </c>
      <c r="Y2275" s="18"/>
      <c r="Z2275" s="18"/>
      <c r="AA2275" s="18"/>
      <c r="AB2275" s="18"/>
      <c r="AC2275" s="18"/>
    </row>
    <row r="2276" spans="1:29" ht="32.25" hidden="1" customHeight="1">
      <c r="A2276" s="17"/>
      <c r="B2276" s="9" t="s">
        <v>13284</v>
      </c>
      <c r="C2276" s="9" t="s">
        <v>13284</v>
      </c>
      <c r="D2276" s="9" t="s">
        <v>13284</v>
      </c>
      <c r="E2276" s="9" t="s">
        <v>13284</v>
      </c>
      <c r="F2276" s="9" t="s">
        <v>13284</v>
      </c>
      <c r="G2276" s="9" t="s">
        <v>13284</v>
      </c>
      <c r="H2276" s="9" t="s">
        <v>13284</v>
      </c>
      <c r="I2276" s="9" t="s">
        <v>13284</v>
      </c>
      <c r="J2276" s="9" t="s">
        <v>13284</v>
      </c>
      <c r="K2276" s="9" t="s">
        <v>13284</v>
      </c>
      <c r="L2276" s="9" t="s">
        <v>13284</v>
      </c>
      <c r="M2276" s="9" t="s">
        <v>13284</v>
      </c>
      <c r="N2276" s="9" t="s">
        <v>13284</v>
      </c>
      <c r="O2276" s="9" t="s">
        <v>13284</v>
      </c>
      <c r="P2276" s="9" t="s">
        <v>13284</v>
      </c>
      <c r="Q2276" s="9" t="s">
        <v>13284</v>
      </c>
      <c r="R2276" s="9" t="s">
        <v>13284</v>
      </c>
      <c r="S2276" s="9" t="s">
        <v>13284</v>
      </c>
      <c r="T2276" s="9" t="str">
        <f ca="1">IFERROR(IF(AND(VLOOKUP(A2276, 'Актуальное состояние (из общего'!A:C,3,0) = "", A2276 &lt;&gt; ""), "ПРОВЕРИТЬ", VLOOKUP(A2276, 'Актуальное состояние (из общего'!A:C,3,0)), "")</f>
        <v/>
      </c>
      <c r="U2276" s="9" t="s">
        <v>13284</v>
      </c>
      <c r="V2276" s="9" t="s">
        <v>13284</v>
      </c>
      <c r="W2276" s="12"/>
      <c r="X2276" s="9" t="str">
        <f t="array" ref="X2276">IFERROR(INDEX('Адреса общежитий (скрытый)'!$B$2:$B$9, MATCH(W2276, 'Адреса общежитий (скрытый)'!$A$2:$A$9, 0)), "")</f>
        <v/>
      </c>
      <c r="Y2276" s="18"/>
      <c r="Z2276" s="18"/>
      <c r="AA2276" s="18"/>
      <c r="AB2276" s="18"/>
      <c r="AC2276" s="18"/>
    </row>
    <row r="2277" spans="1:29" ht="32.25" hidden="1" customHeight="1">
      <c r="A2277" s="17"/>
      <c r="B2277" s="9" t="s">
        <v>13284</v>
      </c>
      <c r="C2277" s="9" t="s">
        <v>13284</v>
      </c>
      <c r="D2277" s="9" t="s">
        <v>13284</v>
      </c>
      <c r="E2277" s="9" t="s">
        <v>13284</v>
      </c>
      <c r="F2277" s="9" t="s">
        <v>13284</v>
      </c>
      <c r="G2277" s="9" t="s">
        <v>13284</v>
      </c>
      <c r="H2277" s="9" t="s">
        <v>13284</v>
      </c>
      <c r="I2277" s="9" t="s">
        <v>13284</v>
      </c>
      <c r="J2277" s="9" t="s">
        <v>13284</v>
      </c>
      <c r="K2277" s="9" t="s">
        <v>13284</v>
      </c>
      <c r="L2277" s="9" t="s">
        <v>13284</v>
      </c>
      <c r="M2277" s="9" t="s">
        <v>13284</v>
      </c>
      <c r="N2277" s="9" t="s">
        <v>13284</v>
      </c>
      <c r="O2277" s="9" t="s">
        <v>13284</v>
      </c>
      <c r="P2277" s="9" t="s">
        <v>13284</v>
      </c>
      <c r="Q2277" s="9" t="s">
        <v>13284</v>
      </c>
      <c r="R2277" s="9" t="s">
        <v>13284</v>
      </c>
      <c r="S2277" s="9" t="s">
        <v>13284</v>
      </c>
      <c r="T2277" s="9" t="str">
        <f ca="1">IFERROR(IF(AND(VLOOKUP(A2277, 'Актуальное состояние (из общего'!A:C,3,0) = "", A2277 &lt;&gt; ""), "ПРОВЕРИТЬ", VLOOKUP(A2277, 'Актуальное состояние (из общего'!A:C,3,0)), "")</f>
        <v/>
      </c>
      <c r="U2277" s="9" t="s">
        <v>13284</v>
      </c>
      <c r="V2277" s="9" t="s">
        <v>13284</v>
      </c>
      <c r="W2277" s="12"/>
      <c r="X2277" s="9" t="str">
        <f t="array" ref="X2277">IFERROR(INDEX('Адреса общежитий (скрытый)'!$B$2:$B$9, MATCH(W2277, 'Адреса общежитий (скрытый)'!$A$2:$A$9, 0)), "")</f>
        <v/>
      </c>
      <c r="Y2277" s="18"/>
      <c r="Z2277" s="18"/>
      <c r="AA2277" s="18"/>
      <c r="AB2277" s="18"/>
      <c r="AC2277" s="18"/>
    </row>
    <row r="2278" spans="1:29" ht="32.25" hidden="1" customHeight="1">
      <c r="A2278" s="17"/>
      <c r="B2278" s="9" t="s">
        <v>13284</v>
      </c>
      <c r="C2278" s="9" t="s">
        <v>13284</v>
      </c>
      <c r="D2278" s="9" t="s">
        <v>13284</v>
      </c>
      <c r="E2278" s="9" t="s">
        <v>13284</v>
      </c>
      <c r="F2278" s="9" t="s">
        <v>13284</v>
      </c>
      <c r="G2278" s="9" t="s">
        <v>13284</v>
      </c>
      <c r="H2278" s="9" t="s">
        <v>13284</v>
      </c>
      <c r="I2278" s="9" t="s">
        <v>13284</v>
      </c>
      <c r="J2278" s="9" t="s">
        <v>13284</v>
      </c>
      <c r="K2278" s="9" t="s">
        <v>13284</v>
      </c>
      <c r="L2278" s="9" t="s">
        <v>13284</v>
      </c>
      <c r="M2278" s="9" t="s">
        <v>13284</v>
      </c>
      <c r="N2278" s="9" t="s">
        <v>13284</v>
      </c>
      <c r="O2278" s="9" t="s">
        <v>13284</v>
      </c>
      <c r="P2278" s="9" t="s">
        <v>13284</v>
      </c>
      <c r="Q2278" s="9" t="s">
        <v>13284</v>
      </c>
      <c r="R2278" s="9" t="s">
        <v>13284</v>
      </c>
      <c r="S2278" s="9" t="s">
        <v>13284</v>
      </c>
      <c r="T2278" s="9" t="str">
        <f ca="1">IFERROR(IF(AND(VLOOKUP(A2278, 'Актуальное состояние (из общего'!A:C,3,0) = "", A2278 &lt;&gt; ""), "ПРОВЕРИТЬ", VLOOKUP(A2278, 'Актуальное состояние (из общего'!A:C,3,0)), "")</f>
        <v/>
      </c>
      <c r="U2278" s="9" t="s">
        <v>13284</v>
      </c>
      <c r="V2278" s="9" t="s">
        <v>13284</v>
      </c>
      <c r="W2278" s="12"/>
      <c r="X2278" s="9" t="str">
        <f t="array" ref="X2278">IFERROR(INDEX('Адреса общежитий (скрытый)'!$B$2:$B$9, MATCH(W2278, 'Адреса общежитий (скрытый)'!$A$2:$A$9, 0)), "")</f>
        <v/>
      </c>
      <c r="Y2278" s="18"/>
      <c r="Z2278" s="18"/>
      <c r="AA2278" s="18"/>
      <c r="AB2278" s="18"/>
      <c r="AC2278" s="18"/>
    </row>
    <row r="2279" spans="1:29" ht="32.25" hidden="1" customHeight="1">
      <c r="A2279" s="17"/>
      <c r="B2279" s="9" t="s">
        <v>13284</v>
      </c>
      <c r="C2279" s="9" t="s">
        <v>13284</v>
      </c>
      <c r="D2279" s="9" t="s">
        <v>13284</v>
      </c>
      <c r="E2279" s="9" t="s">
        <v>13284</v>
      </c>
      <c r="F2279" s="9" t="s">
        <v>13284</v>
      </c>
      <c r="G2279" s="9" t="s">
        <v>13284</v>
      </c>
      <c r="H2279" s="9" t="s">
        <v>13284</v>
      </c>
      <c r="I2279" s="9" t="s">
        <v>13284</v>
      </c>
      <c r="J2279" s="9" t="s">
        <v>13284</v>
      </c>
      <c r="K2279" s="9" t="s">
        <v>13284</v>
      </c>
      <c r="L2279" s="9" t="s">
        <v>13284</v>
      </c>
      <c r="M2279" s="9" t="s">
        <v>13284</v>
      </c>
      <c r="N2279" s="9" t="s">
        <v>13284</v>
      </c>
      <c r="O2279" s="9" t="s">
        <v>13284</v>
      </c>
      <c r="P2279" s="9" t="s">
        <v>13284</v>
      </c>
      <c r="Q2279" s="9" t="s">
        <v>13284</v>
      </c>
      <c r="R2279" s="9" t="s">
        <v>13284</v>
      </c>
      <c r="S2279" s="9" t="s">
        <v>13284</v>
      </c>
      <c r="T2279" s="9" t="str">
        <f ca="1">IFERROR(IF(AND(VLOOKUP(A2279, 'Актуальное состояние (из общего'!A:C,3,0) = "", A2279 &lt;&gt; ""), "ПРОВЕРИТЬ", VLOOKUP(A2279, 'Актуальное состояние (из общего'!A:C,3,0)), "")</f>
        <v/>
      </c>
      <c r="U2279" s="9" t="s">
        <v>13284</v>
      </c>
      <c r="V2279" s="9" t="s">
        <v>13284</v>
      </c>
      <c r="W2279" s="12"/>
      <c r="X2279" s="9" t="str">
        <f t="array" ref="X2279">IFERROR(INDEX('Адреса общежитий (скрытый)'!$B$2:$B$9, MATCH(W2279, 'Адреса общежитий (скрытый)'!$A$2:$A$9, 0)), "")</f>
        <v/>
      </c>
      <c r="Y2279" s="18"/>
      <c r="Z2279" s="18"/>
      <c r="AA2279" s="18"/>
      <c r="AB2279" s="18"/>
      <c r="AC2279" s="18"/>
    </row>
    <row r="2280" spans="1:29" ht="32.25" hidden="1" customHeight="1">
      <c r="A2280" s="17"/>
      <c r="B2280" s="9" t="s">
        <v>13284</v>
      </c>
      <c r="C2280" s="9" t="s">
        <v>13284</v>
      </c>
      <c r="D2280" s="9" t="s">
        <v>13284</v>
      </c>
      <c r="E2280" s="9" t="s">
        <v>13284</v>
      </c>
      <c r="F2280" s="9" t="s">
        <v>13284</v>
      </c>
      <c r="G2280" s="9" t="s">
        <v>13284</v>
      </c>
      <c r="H2280" s="9" t="s">
        <v>13284</v>
      </c>
      <c r="I2280" s="9" t="s">
        <v>13284</v>
      </c>
      <c r="J2280" s="9" t="s">
        <v>13284</v>
      </c>
      <c r="K2280" s="9" t="s">
        <v>13284</v>
      </c>
      <c r="L2280" s="9" t="s">
        <v>13284</v>
      </c>
      <c r="M2280" s="9" t="s">
        <v>13284</v>
      </c>
      <c r="N2280" s="9" t="s">
        <v>13284</v>
      </c>
      <c r="O2280" s="9" t="s">
        <v>13284</v>
      </c>
      <c r="P2280" s="9" t="s">
        <v>13284</v>
      </c>
      <c r="Q2280" s="9" t="s">
        <v>13284</v>
      </c>
      <c r="R2280" s="9" t="s">
        <v>13284</v>
      </c>
      <c r="S2280" s="9" t="s">
        <v>13284</v>
      </c>
      <c r="T2280" s="9" t="str">
        <f ca="1">IFERROR(IF(AND(VLOOKUP(A2280, 'Актуальное состояние (из общего'!A:C,3,0) = "", A2280 &lt;&gt; ""), "ПРОВЕРИТЬ", VLOOKUP(A2280, 'Актуальное состояние (из общего'!A:C,3,0)), "")</f>
        <v/>
      </c>
      <c r="U2280" s="9" t="s">
        <v>13284</v>
      </c>
      <c r="V2280" s="9" t="s">
        <v>13284</v>
      </c>
      <c r="W2280" s="12"/>
      <c r="X2280" s="9" t="str">
        <f t="array" ref="X2280">IFERROR(INDEX('Адреса общежитий (скрытый)'!$B$2:$B$9, MATCH(W2280, 'Адреса общежитий (скрытый)'!$A$2:$A$9, 0)), "")</f>
        <v/>
      </c>
      <c r="Y2280" s="18"/>
      <c r="Z2280" s="18"/>
      <c r="AA2280" s="18"/>
      <c r="AB2280" s="18"/>
      <c r="AC2280" s="18"/>
    </row>
    <row r="2281" spans="1:29" ht="32.25" hidden="1" customHeight="1">
      <c r="A2281" s="17"/>
      <c r="B2281" s="9" t="s">
        <v>13284</v>
      </c>
      <c r="C2281" s="9" t="s">
        <v>13284</v>
      </c>
      <c r="D2281" s="9" t="s">
        <v>13284</v>
      </c>
      <c r="E2281" s="9" t="s">
        <v>13284</v>
      </c>
      <c r="F2281" s="9" t="s">
        <v>13284</v>
      </c>
      <c r="G2281" s="9" t="s">
        <v>13284</v>
      </c>
      <c r="H2281" s="9" t="s">
        <v>13284</v>
      </c>
      <c r="I2281" s="9" t="s">
        <v>13284</v>
      </c>
      <c r="J2281" s="9" t="s">
        <v>13284</v>
      </c>
      <c r="K2281" s="9" t="s">
        <v>13284</v>
      </c>
      <c r="L2281" s="9" t="s">
        <v>13284</v>
      </c>
      <c r="M2281" s="9" t="s">
        <v>13284</v>
      </c>
      <c r="N2281" s="9" t="s">
        <v>13284</v>
      </c>
      <c r="O2281" s="9" t="s">
        <v>13284</v>
      </c>
      <c r="P2281" s="9" t="s">
        <v>13284</v>
      </c>
      <c r="Q2281" s="9" t="s">
        <v>13284</v>
      </c>
      <c r="R2281" s="9" t="s">
        <v>13284</v>
      </c>
      <c r="S2281" s="9" t="s">
        <v>13284</v>
      </c>
      <c r="T2281" s="9" t="str">
        <f ca="1">IFERROR(IF(AND(VLOOKUP(A2281, 'Актуальное состояние (из общего'!A:C,3,0) = "", A2281 &lt;&gt; ""), "ПРОВЕРИТЬ", VLOOKUP(A2281, 'Актуальное состояние (из общего'!A:C,3,0)), "")</f>
        <v/>
      </c>
      <c r="U2281" s="9" t="s">
        <v>13284</v>
      </c>
      <c r="V2281" s="9" t="s">
        <v>13284</v>
      </c>
      <c r="W2281" s="12"/>
      <c r="X2281" s="9" t="str">
        <f t="array" ref="X2281">IFERROR(INDEX('Адреса общежитий (скрытый)'!$B$2:$B$9, MATCH(W2281, 'Адреса общежитий (скрытый)'!$A$2:$A$9, 0)), "")</f>
        <v/>
      </c>
      <c r="Y2281" s="18"/>
      <c r="Z2281" s="18"/>
      <c r="AA2281" s="18"/>
      <c r="AB2281" s="18"/>
      <c r="AC2281" s="18"/>
    </row>
    <row r="2282" spans="1:29" ht="32.25" hidden="1" customHeight="1">
      <c r="A2282" s="17"/>
      <c r="B2282" s="9" t="s">
        <v>13284</v>
      </c>
      <c r="C2282" s="9" t="s">
        <v>13284</v>
      </c>
      <c r="D2282" s="9" t="s">
        <v>13284</v>
      </c>
      <c r="E2282" s="9" t="s">
        <v>13284</v>
      </c>
      <c r="F2282" s="9" t="s">
        <v>13284</v>
      </c>
      <c r="G2282" s="9" t="s">
        <v>13284</v>
      </c>
      <c r="H2282" s="9" t="s">
        <v>13284</v>
      </c>
      <c r="I2282" s="9" t="s">
        <v>13284</v>
      </c>
      <c r="J2282" s="9" t="s">
        <v>13284</v>
      </c>
      <c r="K2282" s="9" t="s">
        <v>13284</v>
      </c>
      <c r="L2282" s="9" t="s">
        <v>13284</v>
      </c>
      <c r="M2282" s="9" t="s">
        <v>13284</v>
      </c>
      <c r="N2282" s="9" t="s">
        <v>13284</v>
      </c>
      <c r="O2282" s="9" t="s">
        <v>13284</v>
      </c>
      <c r="P2282" s="9" t="s">
        <v>13284</v>
      </c>
      <c r="Q2282" s="9" t="s">
        <v>13284</v>
      </c>
      <c r="R2282" s="9" t="s">
        <v>13284</v>
      </c>
      <c r="S2282" s="9" t="s">
        <v>13284</v>
      </c>
      <c r="T2282" s="9" t="str">
        <f ca="1">IFERROR(IF(AND(VLOOKUP(A2282, 'Актуальное состояние (из общего'!A:C,3,0) = "", A2282 &lt;&gt; ""), "ПРОВЕРИТЬ", VLOOKUP(A2282, 'Актуальное состояние (из общего'!A:C,3,0)), "")</f>
        <v/>
      </c>
      <c r="U2282" s="9" t="s">
        <v>13284</v>
      </c>
      <c r="V2282" s="9" t="s">
        <v>13284</v>
      </c>
      <c r="W2282" s="12"/>
      <c r="X2282" s="9" t="str">
        <f t="array" ref="X2282">IFERROR(INDEX('Адреса общежитий (скрытый)'!$B$2:$B$9, MATCH(W2282, 'Адреса общежитий (скрытый)'!$A$2:$A$9, 0)), "")</f>
        <v/>
      </c>
      <c r="Y2282" s="18"/>
      <c r="Z2282" s="18"/>
      <c r="AA2282" s="18"/>
      <c r="AB2282" s="18"/>
      <c r="AC2282" s="18"/>
    </row>
    <row r="2283" spans="1:29" ht="32.25" hidden="1" customHeight="1">
      <c r="A2283" s="17"/>
      <c r="B2283" s="9" t="s">
        <v>13284</v>
      </c>
      <c r="C2283" s="9" t="s">
        <v>13284</v>
      </c>
      <c r="D2283" s="9" t="s">
        <v>13284</v>
      </c>
      <c r="E2283" s="9" t="s">
        <v>13284</v>
      </c>
      <c r="F2283" s="9" t="s">
        <v>13284</v>
      </c>
      <c r="G2283" s="9" t="s">
        <v>13284</v>
      </c>
      <c r="H2283" s="9" t="s">
        <v>13284</v>
      </c>
      <c r="I2283" s="9" t="s">
        <v>13284</v>
      </c>
      <c r="J2283" s="9" t="s">
        <v>13284</v>
      </c>
      <c r="K2283" s="9" t="s">
        <v>13284</v>
      </c>
      <c r="L2283" s="9" t="s">
        <v>13284</v>
      </c>
      <c r="M2283" s="9" t="s">
        <v>13284</v>
      </c>
      <c r="N2283" s="9" t="s">
        <v>13284</v>
      </c>
      <c r="O2283" s="9" t="s">
        <v>13284</v>
      </c>
      <c r="P2283" s="9" t="s">
        <v>13284</v>
      </c>
      <c r="Q2283" s="9" t="s">
        <v>13284</v>
      </c>
      <c r="R2283" s="9" t="s">
        <v>13284</v>
      </c>
      <c r="S2283" s="9" t="s">
        <v>13284</v>
      </c>
      <c r="T2283" s="9" t="str">
        <f ca="1">IFERROR(IF(AND(VLOOKUP(A2283, 'Актуальное состояние (из общего'!A:C,3,0) = "", A2283 &lt;&gt; ""), "ПРОВЕРИТЬ", VLOOKUP(A2283, 'Актуальное состояние (из общего'!A:C,3,0)), "")</f>
        <v/>
      </c>
      <c r="U2283" s="9" t="s">
        <v>13284</v>
      </c>
      <c r="V2283" s="9" t="s">
        <v>13284</v>
      </c>
      <c r="W2283" s="12"/>
      <c r="X2283" s="9" t="str">
        <f t="array" ref="X2283">IFERROR(INDEX('Адреса общежитий (скрытый)'!$B$2:$B$9, MATCH(W2283, 'Адреса общежитий (скрытый)'!$A$2:$A$9, 0)), "")</f>
        <v/>
      </c>
      <c r="Y2283" s="18"/>
      <c r="Z2283" s="18"/>
      <c r="AA2283" s="18"/>
      <c r="AB2283" s="18"/>
      <c r="AC2283" s="18"/>
    </row>
    <row r="2284" spans="1:29" ht="32.25" hidden="1" customHeight="1">
      <c r="A2284" s="17"/>
      <c r="B2284" s="9" t="s">
        <v>13284</v>
      </c>
      <c r="C2284" s="9" t="s">
        <v>13284</v>
      </c>
      <c r="D2284" s="9" t="s">
        <v>13284</v>
      </c>
      <c r="E2284" s="9" t="s">
        <v>13284</v>
      </c>
      <c r="F2284" s="9" t="s">
        <v>13284</v>
      </c>
      <c r="G2284" s="9" t="s">
        <v>13284</v>
      </c>
      <c r="H2284" s="9" t="s">
        <v>13284</v>
      </c>
      <c r="I2284" s="9" t="s">
        <v>13284</v>
      </c>
      <c r="J2284" s="9" t="s">
        <v>13284</v>
      </c>
      <c r="K2284" s="9" t="s">
        <v>13284</v>
      </c>
      <c r="L2284" s="9" t="s">
        <v>13284</v>
      </c>
      <c r="M2284" s="9" t="s">
        <v>13284</v>
      </c>
      <c r="N2284" s="9" t="s">
        <v>13284</v>
      </c>
      <c r="O2284" s="9" t="s">
        <v>13284</v>
      </c>
      <c r="P2284" s="9" t="s">
        <v>13284</v>
      </c>
      <c r="Q2284" s="9" t="s">
        <v>13284</v>
      </c>
      <c r="R2284" s="9" t="s">
        <v>13284</v>
      </c>
      <c r="S2284" s="9" t="s">
        <v>13284</v>
      </c>
      <c r="T2284" s="9" t="str">
        <f ca="1">IFERROR(IF(AND(VLOOKUP(A2284, 'Актуальное состояние (из общего'!A:C,3,0) = "", A2284 &lt;&gt; ""), "ПРОВЕРИТЬ", VLOOKUP(A2284, 'Актуальное состояние (из общего'!A:C,3,0)), "")</f>
        <v/>
      </c>
      <c r="U2284" s="9" t="s">
        <v>13284</v>
      </c>
      <c r="V2284" s="9" t="s">
        <v>13284</v>
      </c>
      <c r="W2284" s="12"/>
      <c r="X2284" s="9" t="str">
        <f t="array" ref="X2284">IFERROR(INDEX('Адреса общежитий (скрытый)'!$B$2:$B$9, MATCH(W2284, 'Адреса общежитий (скрытый)'!$A$2:$A$9, 0)), "")</f>
        <v/>
      </c>
      <c r="Y2284" s="18"/>
      <c r="Z2284" s="18"/>
      <c r="AA2284" s="18"/>
      <c r="AB2284" s="18"/>
      <c r="AC2284" s="18"/>
    </row>
    <row r="2285" spans="1:29" ht="32.25" hidden="1" customHeight="1">
      <c r="A2285" s="17"/>
      <c r="B2285" s="9" t="s">
        <v>13284</v>
      </c>
      <c r="C2285" s="9" t="s">
        <v>13284</v>
      </c>
      <c r="D2285" s="9" t="s">
        <v>13284</v>
      </c>
      <c r="E2285" s="9" t="s">
        <v>13284</v>
      </c>
      <c r="F2285" s="9" t="s">
        <v>13284</v>
      </c>
      <c r="G2285" s="9" t="s">
        <v>13284</v>
      </c>
      <c r="H2285" s="9" t="s">
        <v>13284</v>
      </c>
      <c r="I2285" s="9" t="s">
        <v>13284</v>
      </c>
      <c r="J2285" s="9" t="s">
        <v>13284</v>
      </c>
      <c r="K2285" s="9" t="s">
        <v>13284</v>
      </c>
      <c r="L2285" s="9" t="s">
        <v>13284</v>
      </c>
      <c r="M2285" s="9" t="s">
        <v>13284</v>
      </c>
      <c r="N2285" s="9" t="s">
        <v>13284</v>
      </c>
      <c r="O2285" s="9" t="s">
        <v>13284</v>
      </c>
      <c r="P2285" s="9" t="s">
        <v>13284</v>
      </c>
      <c r="Q2285" s="9" t="s">
        <v>13284</v>
      </c>
      <c r="R2285" s="9" t="s">
        <v>13284</v>
      </c>
      <c r="S2285" s="9" t="s">
        <v>13284</v>
      </c>
      <c r="T2285" s="9" t="str">
        <f ca="1">IFERROR(IF(AND(VLOOKUP(A2285, 'Актуальное состояние (из общего'!A:C,3,0) = "", A2285 &lt;&gt; ""), "ПРОВЕРИТЬ", VLOOKUP(A2285, 'Актуальное состояние (из общего'!A:C,3,0)), "")</f>
        <v/>
      </c>
      <c r="U2285" s="9" t="s">
        <v>13284</v>
      </c>
      <c r="V2285" s="9" t="s">
        <v>13284</v>
      </c>
      <c r="W2285" s="12"/>
      <c r="X2285" s="9" t="str">
        <f t="array" ref="X2285">IFERROR(INDEX('Адреса общежитий (скрытый)'!$B$2:$B$9, MATCH(W2285, 'Адреса общежитий (скрытый)'!$A$2:$A$9, 0)), "")</f>
        <v/>
      </c>
      <c r="Y2285" s="18"/>
      <c r="Z2285" s="18"/>
      <c r="AA2285" s="18"/>
      <c r="AB2285" s="18"/>
      <c r="AC2285" s="18"/>
    </row>
    <row r="2286" spans="1:29" ht="32.25" hidden="1" customHeight="1">
      <c r="A2286" s="17"/>
      <c r="B2286" s="9" t="s">
        <v>13284</v>
      </c>
      <c r="C2286" s="9" t="s">
        <v>13284</v>
      </c>
      <c r="D2286" s="9" t="s">
        <v>13284</v>
      </c>
      <c r="E2286" s="9" t="s">
        <v>13284</v>
      </c>
      <c r="F2286" s="9" t="s">
        <v>13284</v>
      </c>
      <c r="G2286" s="9" t="s">
        <v>13284</v>
      </c>
      <c r="H2286" s="9" t="s">
        <v>13284</v>
      </c>
      <c r="I2286" s="9" t="s">
        <v>13284</v>
      </c>
      <c r="J2286" s="9" t="s">
        <v>13284</v>
      </c>
      <c r="K2286" s="9" t="s">
        <v>13284</v>
      </c>
      <c r="L2286" s="9" t="s">
        <v>13284</v>
      </c>
      <c r="M2286" s="9" t="s">
        <v>13284</v>
      </c>
      <c r="N2286" s="9" t="s">
        <v>13284</v>
      </c>
      <c r="O2286" s="9" t="s">
        <v>13284</v>
      </c>
      <c r="P2286" s="9" t="s">
        <v>13284</v>
      </c>
      <c r="Q2286" s="9" t="s">
        <v>13284</v>
      </c>
      <c r="R2286" s="9" t="s">
        <v>13284</v>
      </c>
      <c r="S2286" s="9" t="s">
        <v>13284</v>
      </c>
      <c r="T2286" s="9" t="str">
        <f ca="1">IFERROR(IF(AND(VLOOKUP(A2286, 'Актуальное состояние (из общего'!A:C,3,0) = "", A2286 &lt;&gt; ""), "ПРОВЕРИТЬ", VLOOKUP(A2286, 'Актуальное состояние (из общего'!A:C,3,0)), "")</f>
        <v/>
      </c>
      <c r="U2286" s="9" t="s">
        <v>13284</v>
      </c>
      <c r="V2286" s="9" t="s">
        <v>13284</v>
      </c>
      <c r="W2286" s="12"/>
      <c r="X2286" s="9" t="str">
        <f t="array" ref="X2286">IFERROR(INDEX('Адреса общежитий (скрытый)'!$B$2:$B$9, MATCH(W2286, 'Адреса общежитий (скрытый)'!$A$2:$A$9, 0)), "")</f>
        <v/>
      </c>
      <c r="Y2286" s="18"/>
      <c r="Z2286" s="18"/>
      <c r="AA2286" s="18"/>
      <c r="AB2286" s="18"/>
      <c r="AC2286" s="18"/>
    </row>
    <row r="2287" spans="1:29" ht="32.25" hidden="1" customHeight="1">
      <c r="A2287" s="17"/>
      <c r="B2287" s="9" t="s">
        <v>13284</v>
      </c>
      <c r="C2287" s="9" t="s">
        <v>13284</v>
      </c>
      <c r="D2287" s="9" t="s">
        <v>13284</v>
      </c>
      <c r="E2287" s="9" t="s">
        <v>13284</v>
      </c>
      <c r="F2287" s="9" t="s">
        <v>13284</v>
      </c>
      <c r="G2287" s="9" t="s">
        <v>13284</v>
      </c>
      <c r="H2287" s="9" t="s">
        <v>13284</v>
      </c>
      <c r="I2287" s="9" t="s">
        <v>13284</v>
      </c>
      <c r="J2287" s="9" t="s">
        <v>13284</v>
      </c>
      <c r="K2287" s="9" t="s">
        <v>13284</v>
      </c>
      <c r="L2287" s="9" t="s">
        <v>13284</v>
      </c>
      <c r="M2287" s="9" t="s">
        <v>13284</v>
      </c>
      <c r="N2287" s="9" t="s">
        <v>13284</v>
      </c>
      <c r="O2287" s="9" t="s">
        <v>13284</v>
      </c>
      <c r="P2287" s="9" t="s">
        <v>13284</v>
      </c>
      <c r="Q2287" s="9" t="s">
        <v>13284</v>
      </c>
      <c r="R2287" s="9" t="s">
        <v>13284</v>
      </c>
      <c r="S2287" s="9" t="s">
        <v>13284</v>
      </c>
      <c r="T2287" s="9" t="str">
        <f ca="1">IFERROR(IF(AND(VLOOKUP(A2287, 'Актуальное состояние (из общего'!A:C,3,0) = "", A2287 &lt;&gt; ""), "ПРОВЕРИТЬ", VLOOKUP(A2287, 'Актуальное состояние (из общего'!A:C,3,0)), "")</f>
        <v/>
      </c>
      <c r="U2287" s="9" t="s">
        <v>13284</v>
      </c>
      <c r="V2287" s="9" t="s">
        <v>13284</v>
      </c>
      <c r="W2287" s="12"/>
      <c r="X2287" s="9" t="str">
        <f t="array" ref="X2287">IFERROR(INDEX('Адреса общежитий (скрытый)'!$B$2:$B$9, MATCH(W2287, 'Адреса общежитий (скрытый)'!$A$2:$A$9, 0)), "")</f>
        <v/>
      </c>
      <c r="Y2287" s="18"/>
      <c r="Z2287" s="18"/>
      <c r="AA2287" s="18"/>
      <c r="AB2287" s="18"/>
      <c r="AC2287" s="18"/>
    </row>
    <row r="2288" spans="1:29" ht="32.25" hidden="1" customHeight="1">
      <c r="A2288" s="17"/>
      <c r="B2288" s="9" t="s">
        <v>13284</v>
      </c>
      <c r="C2288" s="9" t="s">
        <v>13284</v>
      </c>
      <c r="D2288" s="9" t="s">
        <v>13284</v>
      </c>
      <c r="E2288" s="9" t="s">
        <v>13284</v>
      </c>
      <c r="F2288" s="9" t="s">
        <v>13284</v>
      </c>
      <c r="G2288" s="9" t="s">
        <v>13284</v>
      </c>
      <c r="H2288" s="9" t="s">
        <v>13284</v>
      </c>
      <c r="I2288" s="9" t="s">
        <v>13284</v>
      </c>
      <c r="J2288" s="9" t="s">
        <v>13284</v>
      </c>
      <c r="K2288" s="9" t="s">
        <v>13284</v>
      </c>
      <c r="L2288" s="9" t="s">
        <v>13284</v>
      </c>
      <c r="M2288" s="9" t="s">
        <v>13284</v>
      </c>
      <c r="N2288" s="9" t="s">
        <v>13284</v>
      </c>
      <c r="O2288" s="9" t="s">
        <v>13284</v>
      </c>
      <c r="P2288" s="9" t="s">
        <v>13284</v>
      </c>
      <c r="Q2288" s="9" t="s">
        <v>13284</v>
      </c>
      <c r="R2288" s="9" t="s">
        <v>13284</v>
      </c>
      <c r="S2288" s="9" t="s">
        <v>13284</v>
      </c>
      <c r="T2288" s="9" t="str">
        <f ca="1">IFERROR(IF(AND(VLOOKUP(A2288, 'Актуальное состояние (из общего'!A:C,3,0) = "", A2288 &lt;&gt; ""), "ПРОВЕРИТЬ", VLOOKUP(A2288, 'Актуальное состояние (из общего'!A:C,3,0)), "")</f>
        <v/>
      </c>
      <c r="U2288" s="9" t="s">
        <v>13284</v>
      </c>
      <c r="V2288" s="9" t="s">
        <v>13284</v>
      </c>
      <c r="W2288" s="12"/>
      <c r="X2288" s="9" t="str">
        <f t="array" ref="X2288">IFERROR(INDEX('Адреса общежитий (скрытый)'!$B$2:$B$9, MATCH(W2288, 'Адреса общежитий (скрытый)'!$A$2:$A$9, 0)), "")</f>
        <v/>
      </c>
      <c r="Y2288" s="18"/>
      <c r="Z2288" s="18"/>
      <c r="AA2288" s="18"/>
      <c r="AB2288" s="18"/>
      <c r="AC2288" s="18"/>
    </row>
    <row r="2289" spans="1:29" ht="32.25" hidden="1" customHeight="1">
      <c r="A2289" s="17"/>
      <c r="B2289" s="9" t="s">
        <v>13284</v>
      </c>
      <c r="C2289" s="9" t="s">
        <v>13284</v>
      </c>
      <c r="D2289" s="9" t="s">
        <v>13284</v>
      </c>
      <c r="E2289" s="9" t="s">
        <v>13284</v>
      </c>
      <c r="F2289" s="9" t="s">
        <v>13284</v>
      </c>
      <c r="G2289" s="9" t="s">
        <v>13284</v>
      </c>
      <c r="H2289" s="9" t="s">
        <v>13284</v>
      </c>
      <c r="I2289" s="9" t="s">
        <v>13284</v>
      </c>
      <c r="J2289" s="9" t="s">
        <v>13284</v>
      </c>
      <c r="K2289" s="9" t="s">
        <v>13284</v>
      </c>
      <c r="L2289" s="9" t="s">
        <v>13284</v>
      </c>
      <c r="M2289" s="9" t="s">
        <v>13284</v>
      </c>
      <c r="N2289" s="9" t="s">
        <v>13284</v>
      </c>
      <c r="O2289" s="9" t="s">
        <v>13284</v>
      </c>
      <c r="P2289" s="9" t="s">
        <v>13284</v>
      </c>
      <c r="Q2289" s="9" t="s">
        <v>13284</v>
      </c>
      <c r="R2289" s="9" t="s">
        <v>13284</v>
      </c>
      <c r="S2289" s="9" t="s">
        <v>13284</v>
      </c>
      <c r="T2289" s="9" t="str">
        <f ca="1">IFERROR(IF(AND(VLOOKUP(A2289, 'Актуальное состояние (из общего'!A:C,3,0) = "", A2289 &lt;&gt; ""), "ПРОВЕРИТЬ", VLOOKUP(A2289, 'Актуальное состояние (из общего'!A:C,3,0)), "")</f>
        <v/>
      </c>
      <c r="U2289" s="9" t="s">
        <v>13284</v>
      </c>
      <c r="V2289" s="9" t="s">
        <v>13284</v>
      </c>
      <c r="W2289" s="12"/>
      <c r="X2289" s="9" t="str">
        <f t="array" ref="X2289">IFERROR(INDEX('Адреса общежитий (скрытый)'!$B$2:$B$9, MATCH(W2289, 'Адреса общежитий (скрытый)'!$A$2:$A$9, 0)), "")</f>
        <v/>
      </c>
      <c r="Y2289" s="18"/>
      <c r="Z2289" s="18"/>
      <c r="AA2289" s="18"/>
      <c r="AB2289" s="18"/>
      <c r="AC2289" s="18"/>
    </row>
    <row r="2290" spans="1:29" ht="32.25" hidden="1" customHeight="1">
      <c r="A2290" s="17"/>
      <c r="B2290" s="9" t="s">
        <v>13284</v>
      </c>
      <c r="C2290" s="9" t="s">
        <v>13284</v>
      </c>
      <c r="D2290" s="9" t="s">
        <v>13284</v>
      </c>
      <c r="E2290" s="9" t="s">
        <v>13284</v>
      </c>
      <c r="F2290" s="9" t="s">
        <v>13284</v>
      </c>
      <c r="G2290" s="9" t="s">
        <v>13284</v>
      </c>
      <c r="H2290" s="9" t="s">
        <v>13284</v>
      </c>
      <c r="I2290" s="9" t="s">
        <v>13284</v>
      </c>
      <c r="J2290" s="9" t="s">
        <v>13284</v>
      </c>
      <c r="K2290" s="9" t="s">
        <v>13284</v>
      </c>
      <c r="L2290" s="9" t="s">
        <v>13284</v>
      </c>
      <c r="M2290" s="9" t="s">
        <v>13284</v>
      </c>
      <c r="N2290" s="9" t="s">
        <v>13284</v>
      </c>
      <c r="O2290" s="9" t="s">
        <v>13284</v>
      </c>
      <c r="P2290" s="9" t="s">
        <v>13284</v>
      </c>
      <c r="Q2290" s="9" t="s">
        <v>13284</v>
      </c>
      <c r="R2290" s="9" t="s">
        <v>13284</v>
      </c>
      <c r="S2290" s="9" t="s">
        <v>13284</v>
      </c>
      <c r="T2290" s="9" t="str">
        <f ca="1">IFERROR(IF(AND(VLOOKUP(A2290, 'Актуальное состояние (из общего'!A:C,3,0) = "", A2290 &lt;&gt; ""), "ПРОВЕРИТЬ", VLOOKUP(A2290, 'Актуальное состояние (из общего'!A:C,3,0)), "")</f>
        <v/>
      </c>
      <c r="U2290" s="9" t="s">
        <v>13284</v>
      </c>
      <c r="V2290" s="9" t="s">
        <v>13284</v>
      </c>
      <c r="W2290" s="12"/>
      <c r="X2290" s="9" t="str">
        <f t="array" ref="X2290">IFERROR(INDEX('Адреса общежитий (скрытый)'!$B$2:$B$9, MATCH(W2290, 'Адреса общежитий (скрытый)'!$A$2:$A$9, 0)), "")</f>
        <v/>
      </c>
      <c r="Y2290" s="18"/>
      <c r="Z2290" s="18"/>
      <c r="AA2290" s="18"/>
      <c r="AB2290" s="18"/>
      <c r="AC2290" s="18"/>
    </row>
    <row r="2291" spans="1:29" ht="32.25" hidden="1" customHeight="1">
      <c r="A2291" s="17"/>
      <c r="B2291" s="9" t="s">
        <v>13284</v>
      </c>
      <c r="C2291" s="9" t="s">
        <v>13284</v>
      </c>
      <c r="D2291" s="9" t="s">
        <v>13284</v>
      </c>
      <c r="E2291" s="9" t="s">
        <v>13284</v>
      </c>
      <c r="F2291" s="9" t="s">
        <v>13284</v>
      </c>
      <c r="G2291" s="9" t="s">
        <v>13284</v>
      </c>
      <c r="H2291" s="9" t="s">
        <v>13284</v>
      </c>
      <c r="I2291" s="9" t="s">
        <v>13284</v>
      </c>
      <c r="J2291" s="9" t="s">
        <v>13284</v>
      </c>
      <c r="K2291" s="9" t="s">
        <v>13284</v>
      </c>
      <c r="L2291" s="9" t="s">
        <v>13284</v>
      </c>
      <c r="M2291" s="9" t="s">
        <v>13284</v>
      </c>
      <c r="N2291" s="9" t="s">
        <v>13284</v>
      </c>
      <c r="O2291" s="9" t="s">
        <v>13284</v>
      </c>
      <c r="P2291" s="9" t="s">
        <v>13284</v>
      </c>
      <c r="Q2291" s="9" t="s">
        <v>13284</v>
      </c>
      <c r="R2291" s="9" t="s">
        <v>13284</v>
      </c>
      <c r="S2291" s="9" t="s">
        <v>13284</v>
      </c>
      <c r="T2291" s="9" t="str">
        <f ca="1">IFERROR(IF(AND(VLOOKUP(A2291, 'Актуальное состояние (из общего'!A:C,3,0) = "", A2291 &lt;&gt; ""), "ПРОВЕРИТЬ", VLOOKUP(A2291, 'Актуальное состояние (из общего'!A:C,3,0)), "")</f>
        <v/>
      </c>
      <c r="U2291" s="9" t="s">
        <v>13284</v>
      </c>
      <c r="V2291" s="9" t="s">
        <v>13284</v>
      </c>
      <c r="W2291" s="12"/>
      <c r="X2291" s="9" t="str">
        <f t="array" ref="X2291">IFERROR(INDEX('Адреса общежитий (скрытый)'!$B$2:$B$9, MATCH(W2291, 'Адреса общежитий (скрытый)'!$A$2:$A$9, 0)), "")</f>
        <v/>
      </c>
      <c r="Y2291" s="18"/>
      <c r="Z2291" s="18"/>
      <c r="AA2291" s="18"/>
      <c r="AB2291" s="18"/>
      <c r="AC2291" s="18"/>
    </row>
    <row r="2292" spans="1:29" ht="32.25" hidden="1" customHeight="1">
      <c r="A2292" s="17"/>
      <c r="B2292" s="9" t="s">
        <v>13284</v>
      </c>
      <c r="C2292" s="9" t="s">
        <v>13284</v>
      </c>
      <c r="D2292" s="9" t="s">
        <v>13284</v>
      </c>
      <c r="E2292" s="9" t="s">
        <v>13284</v>
      </c>
      <c r="F2292" s="9" t="s">
        <v>13284</v>
      </c>
      <c r="G2292" s="9" t="s">
        <v>13284</v>
      </c>
      <c r="H2292" s="9" t="s">
        <v>13284</v>
      </c>
      <c r="I2292" s="9" t="s">
        <v>13284</v>
      </c>
      <c r="J2292" s="9" t="s">
        <v>13284</v>
      </c>
      <c r="K2292" s="9" t="s">
        <v>13284</v>
      </c>
      <c r="L2292" s="9" t="s">
        <v>13284</v>
      </c>
      <c r="M2292" s="9" t="s">
        <v>13284</v>
      </c>
      <c r="N2292" s="9" t="s">
        <v>13284</v>
      </c>
      <c r="O2292" s="9" t="s">
        <v>13284</v>
      </c>
      <c r="P2292" s="9" t="s">
        <v>13284</v>
      </c>
      <c r="Q2292" s="9" t="s">
        <v>13284</v>
      </c>
      <c r="R2292" s="9" t="s">
        <v>13284</v>
      </c>
      <c r="S2292" s="9" t="s">
        <v>13284</v>
      </c>
      <c r="T2292" s="9" t="str">
        <f ca="1">IFERROR(IF(AND(VLOOKUP(A2292, 'Актуальное состояние (из общего'!A:C,3,0) = "", A2292 &lt;&gt; ""), "ПРОВЕРИТЬ", VLOOKUP(A2292, 'Актуальное состояние (из общего'!A:C,3,0)), "")</f>
        <v/>
      </c>
      <c r="U2292" s="9" t="s">
        <v>13284</v>
      </c>
      <c r="V2292" s="9" t="s">
        <v>13284</v>
      </c>
      <c r="W2292" s="12"/>
      <c r="X2292" s="9" t="str">
        <f t="array" ref="X2292">IFERROR(INDEX('Адреса общежитий (скрытый)'!$B$2:$B$9, MATCH(W2292, 'Адреса общежитий (скрытый)'!$A$2:$A$9, 0)), "")</f>
        <v/>
      </c>
      <c r="Y2292" s="18"/>
      <c r="Z2292" s="18"/>
      <c r="AA2292" s="18"/>
      <c r="AB2292" s="18"/>
      <c r="AC2292" s="18"/>
    </row>
    <row r="2293" spans="1:29" ht="32.25" hidden="1" customHeight="1">
      <c r="A2293" s="17"/>
      <c r="B2293" s="9" t="s">
        <v>13284</v>
      </c>
      <c r="C2293" s="9" t="s">
        <v>13284</v>
      </c>
      <c r="D2293" s="9" t="s">
        <v>13284</v>
      </c>
      <c r="E2293" s="9" t="s">
        <v>13284</v>
      </c>
      <c r="F2293" s="9" t="s">
        <v>13284</v>
      </c>
      <c r="G2293" s="9" t="s">
        <v>13284</v>
      </c>
      <c r="H2293" s="9" t="s">
        <v>13284</v>
      </c>
      <c r="I2293" s="9" t="s">
        <v>13284</v>
      </c>
      <c r="J2293" s="9" t="s">
        <v>13284</v>
      </c>
      <c r="K2293" s="9" t="s">
        <v>13284</v>
      </c>
      <c r="L2293" s="9" t="s">
        <v>13284</v>
      </c>
      <c r="M2293" s="9" t="s">
        <v>13284</v>
      </c>
      <c r="N2293" s="9" t="s">
        <v>13284</v>
      </c>
      <c r="O2293" s="9" t="s">
        <v>13284</v>
      </c>
      <c r="P2293" s="9" t="s">
        <v>13284</v>
      </c>
      <c r="Q2293" s="9" t="s">
        <v>13284</v>
      </c>
      <c r="R2293" s="9" t="s">
        <v>13284</v>
      </c>
      <c r="S2293" s="9" t="s">
        <v>13284</v>
      </c>
      <c r="T2293" s="9" t="str">
        <f ca="1">IFERROR(IF(AND(VLOOKUP(A2293, 'Актуальное состояние (из общего'!A:C,3,0) = "", A2293 &lt;&gt; ""), "ПРОВЕРИТЬ", VLOOKUP(A2293, 'Актуальное состояние (из общего'!A:C,3,0)), "")</f>
        <v/>
      </c>
      <c r="U2293" s="9" t="s">
        <v>13284</v>
      </c>
      <c r="V2293" s="9" t="s">
        <v>13284</v>
      </c>
      <c r="W2293" s="12"/>
      <c r="X2293" s="9" t="str">
        <f t="array" ref="X2293">IFERROR(INDEX('Адреса общежитий (скрытый)'!$B$2:$B$9, MATCH(W2293, 'Адреса общежитий (скрытый)'!$A$2:$A$9, 0)), "")</f>
        <v/>
      </c>
      <c r="Y2293" s="18"/>
      <c r="Z2293" s="18"/>
      <c r="AA2293" s="18"/>
      <c r="AB2293" s="18"/>
      <c r="AC2293" s="18"/>
    </row>
    <row r="2294" spans="1:29" ht="32.25" hidden="1" customHeight="1">
      <c r="A2294" s="17"/>
      <c r="B2294" s="9" t="s">
        <v>13284</v>
      </c>
      <c r="C2294" s="9" t="s">
        <v>13284</v>
      </c>
      <c r="D2294" s="9" t="s">
        <v>13284</v>
      </c>
      <c r="E2294" s="9" t="s">
        <v>13284</v>
      </c>
      <c r="F2294" s="9" t="s">
        <v>13284</v>
      </c>
      <c r="G2294" s="9" t="s">
        <v>13284</v>
      </c>
      <c r="H2294" s="9" t="s">
        <v>13284</v>
      </c>
      <c r="I2294" s="9" t="s">
        <v>13284</v>
      </c>
      <c r="J2294" s="9" t="s">
        <v>13284</v>
      </c>
      <c r="K2294" s="9" t="s">
        <v>13284</v>
      </c>
      <c r="L2294" s="9" t="s">
        <v>13284</v>
      </c>
      <c r="M2294" s="9" t="s">
        <v>13284</v>
      </c>
      <c r="N2294" s="9" t="s">
        <v>13284</v>
      </c>
      <c r="O2294" s="9" t="s">
        <v>13284</v>
      </c>
      <c r="P2294" s="9" t="s">
        <v>13284</v>
      </c>
      <c r="Q2294" s="9" t="s">
        <v>13284</v>
      </c>
      <c r="R2294" s="9" t="s">
        <v>13284</v>
      </c>
      <c r="S2294" s="9" t="s">
        <v>13284</v>
      </c>
      <c r="T2294" s="9" t="str">
        <f ca="1">IFERROR(IF(AND(VLOOKUP(A2294, 'Актуальное состояние (из общего'!A:C,3,0) = "", A2294 &lt;&gt; ""), "ПРОВЕРИТЬ", VLOOKUP(A2294, 'Актуальное состояние (из общего'!A:C,3,0)), "")</f>
        <v/>
      </c>
      <c r="U2294" s="9" t="s">
        <v>13284</v>
      </c>
      <c r="V2294" s="9" t="s">
        <v>13284</v>
      </c>
      <c r="W2294" s="12"/>
      <c r="X2294" s="9" t="str">
        <f t="array" ref="X2294">IFERROR(INDEX('Адреса общежитий (скрытый)'!$B$2:$B$9, MATCH(W2294, 'Адреса общежитий (скрытый)'!$A$2:$A$9, 0)), "")</f>
        <v/>
      </c>
      <c r="Y2294" s="18"/>
      <c r="Z2294" s="18"/>
      <c r="AA2294" s="18"/>
      <c r="AB2294" s="18"/>
      <c r="AC2294" s="18"/>
    </row>
    <row r="2295" spans="1:29" ht="32.25" hidden="1" customHeight="1">
      <c r="A2295" s="17"/>
      <c r="B2295" s="9" t="s">
        <v>13284</v>
      </c>
      <c r="C2295" s="9" t="s">
        <v>13284</v>
      </c>
      <c r="D2295" s="9" t="s">
        <v>13284</v>
      </c>
      <c r="E2295" s="9" t="s">
        <v>13284</v>
      </c>
      <c r="F2295" s="9" t="s">
        <v>13284</v>
      </c>
      <c r="G2295" s="9" t="s">
        <v>13284</v>
      </c>
      <c r="H2295" s="9" t="s">
        <v>13284</v>
      </c>
      <c r="I2295" s="9" t="s">
        <v>13284</v>
      </c>
      <c r="J2295" s="9" t="s">
        <v>13284</v>
      </c>
      <c r="K2295" s="9" t="s">
        <v>13284</v>
      </c>
      <c r="L2295" s="9" t="s">
        <v>13284</v>
      </c>
      <c r="M2295" s="9" t="s">
        <v>13284</v>
      </c>
      <c r="N2295" s="9" t="s">
        <v>13284</v>
      </c>
      <c r="O2295" s="9" t="s">
        <v>13284</v>
      </c>
      <c r="P2295" s="9" t="s">
        <v>13284</v>
      </c>
      <c r="Q2295" s="9" t="s">
        <v>13284</v>
      </c>
      <c r="R2295" s="9" t="s">
        <v>13284</v>
      </c>
      <c r="S2295" s="9" t="s">
        <v>13284</v>
      </c>
      <c r="T2295" s="9" t="str">
        <f ca="1">IFERROR(IF(AND(VLOOKUP(A2295, 'Актуальное состояние (из общего'!A:C,3,0) = "", A2295 &lt;&gt; ""), "ПРОВЕРИТЬ", VLOOKUP(A2295, 'Актуальное состояние (из общего'!A:C,3,0)), "")</f>
        <v/>
      </c>
      <c r="U2295" s="9" t="s">
        <v>13284</v>
      </c>
      <c r="V2295" s="9" t="s">
        <v>13284</v>
      </c>
      <c r="W2295" s="12"/>
      <c r="X2295" s="9" t="str">
        <f t="array" ref="X2295">IFERROR(INDEX('Адреса общежитий (скрытый)'!$B$2:$B$9, MATCH(W2295, 'Адреса общежитий (скрытый)'!$A$2:$A$9, 0)), "")</f>
        <v/>
      </c>
      <c r="Y2295" s="18"/>
      <c r="Z2295" s="18"/>
      <c r="AA2295" s="18"/>
      <c r="AB2295" s="18"/>
      <c r="AC2295" s="18"/>
    </row>
    <row r="2296" spans="1:29" ht="32.25" hidden="1" customHeight="1">
      <c r="A2296" s="17"/>
      <c r="B2296" s="9" t="s">
        <v>13284</v>
      </c>
      <c r="C2296" s="9" t="s">
        <v>13284</v>
      </c>
      <c r="D2296" s="9" t="s">
        <v>13284</v>
      </c>
      <c r="E2296" s="9" t="s">
        <v>13284</v>
      </c>
      <c r="F2296" s="9" t="s">
        <v>13284</v>
      </c>
      <c r="G2296" s="9" t="s">
        <v>13284</v>
      </c>
      <c r="H2296" s="9" t="s">
        <v>13284</v>
      </c>
      <c r="I2296" s="9" t="s">
        <v>13284</v>
      </c>
      <c r="J2296" s="9" t="s">
        <v>13284</v>
      </c>
      <c r="K2296" s="9" t="s">
        <v>13284</v>
      </c>
      <c r="L2296" s="9" t="s">
        <v>13284</v>
      </c>
      <c r="M2296" s="9" t="s">
        <v>13284</v>
      </c>
      <c r="N2296" s="9" t="s">
        <v>13284</v>
      </c>
      <c r="O2296" s="9" t="s">
        <v>13284</v>
      </c>
      <c r="P2296" s="9" t="s">
        <v>13284</v>
      </c>
      <c r="Q2296" s="9" t="s">
        <v>13284</v>
      </c>
      <c r="R2296" s="9" t="s">
        <v>13284</v>
      </c>
      <c r="S2296" s="9" t="s">
        <v>13284</v>
      </c>
      <c r="T2296" s="9" t="str">
        <f ca="1">IFERROR(IF(AND(VLOOKUP(A2296, 'Актуальное состояние (из общего'!A:C,3,0) = "", A2296 &lt;&gt; ""), "ПРОВЕРИТЬ", VLOOKUP(A2296, 'Актуальное состояние (из общего'!A:C,3,0)), "")</f>
        <v/>
      </c>
      <c r="U2296" s="9" t="s">
        <v>13284</v>
      </c>
      <c r="V2296" s="9" t="s">
        <v>13284</v>
      </c>
      <c r="W2296" s="12"/>
      <c r="X2296" s="9" t="str">
        <f t="array" ref="X2296">IFERROR(INDEX('Адреса общежитий (скрытый)'!$B$2:$B$9, MATCH(W2296, 'Адреса общежитий (скрытый)'!$A$2:$A$9, 0)), "")</f>
        <v/>
      </c>
      <c r="Y2296" s="18"/>
      <c r="Z2296" s="18"/>
      <c r="AA2296" s="18"/>
      <c r="AB2296" s="18"/>
      <c r="AC2296" s="18"/>
    </row>
    <row r="2297" spans="1:29" ht="32.25" hidden="1" customHeight="1">
      <c r="A2297" s="17"/>
      <c r="B2297" s="9" t="s">
        <v>13284</v>
      </c>
      <c r="C2297" s="9" t="s">
        <v>13284</v>
      </c>
      <c r="D2297" s="9" t="s">
        <v>13284</v>
      </c>
      <c r="E2297" s="9" t="s">
        <v>13284</v>
      </c>
      <c r="F2297" s="9" t="s">
        <v>13284</v>
      </c>
      <c r="G2297" s="9" t="s">
        <v>13284</v>
      </c>
      <c r="H2297" s="9" t="s">
        <v>13284</v>
      </c>
      <c r="I2297" s="9" t="s">
        <v>13284</v>
      </c>
      <c r="J2297" s="9" t="s">
        <v>13284</v>
      </c>
      <c r="K2297" s="9" t="s">
        <v>13284</v>
      </c>
      <c r="L2297" s="9" t="s">
        <v>13284</v>
      </c>
      <c r="M2297" s="9" t="s">
        <v>13284</v>
      </c>
      <c r="N2297" s="9" t="s">
        <v>13284</v>
      </c>
      <c r="O2297" s="9" t="s">
        <v>13284</v>
      </c>
      <c r="P2297" s="9" t="s">
        <v>13284</v>
      </c>
      <c r="Q2297" s="9" t="s">
        <v>13284</v>
      </c>
      <c r="R2297" s="9" t="s">
        <v>13284</v>
      </c>
      <c r="S2297" s="9" t="s">
        <v>13284</v>
      </c>
      <c r="T2297" s="9" t="str">
        <f ca="1">IFERROR(IF(AND(VLOOKUP(A2297, 'Актуальное состояние (из общего'!A:C,3,0) = "", A2297 &lt;&gt; ""), "ПРОВЕРИТЬ", VLOOKUP(A2297, 'Актуальное состояние (из общего'!A:C,3,0)), "")</f>
        <v/>
      </c>
      <c r="U2297" s="9" t="s">
        <v>13284</v>
      </c>
      <c r="V2297" s="9" t="s">
        <v>13284</v>
      </c>
      <c r="W2297" s="12"/>
      <c r="X2297" s="9" t="str">
        <f t="array" ref="X2297">IFERROR(INDEX('Адреса общежитий (скрытый)'!$B$2:$B$9, MATCH(W2297, 'Адреса общежитий (скрытый)'!$A$2:$A$9, 0)), "")</f>
        <v/>
      </c>
      <c r="Y2297" s="18"/>
      <c r="Z2297" s="18"/>
      <c r="AA2297" s="18"/>
      <c r="AB2297" s="18"/>
      <c r="AC2297" s="18"/>
    </row>
    <row r="2298" spans="1:29" ht="32.25" hidden="1" customHeight="1">
      <c r="A2298" s="17"/>
      <c r="B2298" s="9" t="s">
        <v>13284</v>
      </c>
      <c r="C2298" s="9" t="s">
        <v>13284</v>
      </c>
      <c r="D2298" s="9" t="s">
        <v>13284</v>
      </c>
      <c r="E2298" s="9" t="s">
        <v>13284</v>
      </c>
      <c r="F2298" s="9" t="s">
        <v>13284</v>
      </c>
      <c r="G2298" s="9" t="s">
        <v>13284</v>
      </c>
      <c r="H2298" s="9" t="s">
        <v>13284</v>
      </c>
      <c r="I2298" s="9" t="s">
        <v>13284</v>
      </c>
      <c r="J2298" s="9" t="s">
        <v>13284</v>
      </c>
      <c r="K2298" s="9" t="s">
        <v>13284</v>
      </c>
      <c r="L2298" s="9" t="s">
        <v>13284</v>
      </c>
      <c r="M2298" s="9" t="s">
        <v>13284</v>
      </c>
      <c r="N2298" s="9" t="s">
        <v>13284</v>
      </c>
      <c r="O2298" s="9" t="s">
        <v>13284</v>
      </c>
      <c r="P2298" s="9" t="s">
        <v>13284</v>
      </c>
      <c r="Q2298" s="9" t="s">
        <v>13284</v>
      </c>
      <c r="R2298" s="9" t="s">
        <v>13284</v>
      </c>
      <c r="S2298" s="9" t="s">
        <v>13284</v>
      </c>
      <c r="T2298" s="9" t="str">
        <f ca="1">IFERROR(IF(AND(VLOOKUP(A2298, 'Актуальное состояние (из общего'!A:C,3,0) = "", A2298 &lt;&gt; ""), "ПРОВЕРИТЬ", VLOOKUP(A2298, 'Актуальное состояние (из общего'!A:C,3,0)), "")</f>
        <v/>
      </c>
      <c r="U2298" s="9" t="s">
        <v>13284</v>
      </c>
      <c r="V2298" s="9" t="s">
        <v>13284</v>
      </c>
      <c r="W2298" s="12"/>
      <c r="X2298" s="9" t="str">
        <f t="array" ref="X2298">IFERROR(INDEX('Адреса общежитий (скрытый)'!$B$2:$B$9, MATCH(W2298, 'Адреса общежитий (скрытый)'!$A$2:$A$9, 0)), "")</f>
        <v/>
      </c>
      <c r="Y2298" s="18"/>
      <c r="Z2298" s="18"/>
      <c r="AA2298" s="18"/>
      <c r="AB2298" s="18"/>
      <c r="AC2298" s="18"/>
    </row>
    <row r="2299" spans="1:29" ht="32.25" hidden="1" customHeight="1">
      <c r="A2299" s="17"/>
      <c r="B2299" s="9" t="s">
        <v>13284</v>
      </c>
      <c r="C2299" s="9" t="s">
        <v>13284</v>
      </c>
      <c r="D2299" s="9" t="s">
        <v>13284</v>
      </c>
      <c r="E2299" s="9" t="s">
        <v>13284</v>
      </c>
      <c r="F2299" s="9" t="s">
        <v>13284</v>
      </c>
      <c r="G2299" s="9" t="s">
        <v>13284</v>
      </c>
      <c r="H2299" s="9" t="s">
        <v>13284</v>
      </c>
      <c r="I2299" s="9" t="s">
        <v>13284</v>
      </c>
      <c r="J2299" s="9" t="s">
        <v>13284</v>
      </c>
      <c r="K2299" s="9" t="s">
        <v>13284</v>
      </c>
      <c r="L2299" s="9" t="s">
        <v>13284</v>
      </c>
      <c r="M2299" s="9" t="s">
        <v>13284</v>
      </c>
      <c r="N2299" s="9" t="s">
        <v>13284</v>
      </c>
      <c r="O2299" s="9" t="s">
        <v>13284</v>
      </c>
      <c r="P2299" s="9" t="s">
        <v>13284</v>
      </c>
      <c r="Q2299" s="9" t="s">
        <v>13284</v>
      </c>
      <c r="R2299" s="9" t="s">
        <v>13284</v>
      </c>
      <c r="S2299" s="9" t="s">
        <v>13284</v>
      </c>
      <c r="T2299" s="9" t="str">
        <f ca="1">IFERROR(IF(AND(VLOOKUP(A2299, 'Актуальное состояние (из общего'!A:C,3,0) = "", A2299 &lt;&gt; ""), "ПРОВЕРИТЬ", VLOOKUP(A2299, 'Актуальное состояние (из общего'!A:C,3,0)), "")</f>
        <v/>
      </c>
      <c r="U2299" s="9" t="s">
        <v>13284</v>
      </c>
      <c r="V2299" s="9" t="s">
        <v>13284</v>
      </c>
      <c r="W2299" s="12"/>
      <c r="X2299" s="9" t="str">
        <f t="array" ref="X2299">IFERROR(INDEX('Адреса общежитий (скрытый)'!$B$2:$B$9, MATCH(W2299, 'Адреса общежитий (скрытый)'!$A$2:$A$9, 0)), "")</f>
        <v/>
      </c>
      <c r="Y2299" s="18"/>
      <c r="Z2299" s="18"/>
      <c r="AA2299" s="18"/>
      <c r="AB2299" s="18"/>
      <c r="AC2299" s="18"/>
    </row>
    <row r="2300" spans="1:29" ht="32.25" hidden="1" customHeight="1">
      <c r="A2300" s="17"/>
      <c r="B2300" s="9" t="s">
        <v>13284</v>
      </c>
      <c r="C2300" s="9" t="s">
        <v>13284</v>
      </c>
      <c r="D2300" s="9" t="s">
        <v>13284</v>
      </c>
      <c r="E2300" s="9" t="s">
        <v>13284</v>
      </c>
      <c r="F2300" s="9" t="s">
        <v>13284</v>
      </c>
      <c r="G2300" s="9" t="s">
        <v>13284</v>
      </c>
      <c r="H2300" s="9" t="s">
        <v>13284</v>
      </c>
      <c r="I2300" s="9" t="s">
        <v>13284</v>
      </c>
      <c r="J2300" s="9" t="s">
        <v>13284</v>
      </c>
      <c r="K2300" s="9" t="s">
        <v>13284</v>
      </c>
      <c r="L2300" s="9" t="s">
        <v>13284</v>
      </c>
      <c r="M2300" s="9" t="s">
        <v>13284</v>
      </c>
      <c r="N2300" s="9" t="s">
        <v>13284</v>
      </c>
      <c r="O2300" s="9" t="s">
        <v>13284</v>
      </c>
      <c r="P2300" s="9" t="s">
        <v>13284</v>
      </c>
      <c r="Q2300" s="9" t="s">
        <v>13284</v>
      </c>
      <c r="R2300" s="9" t="s">
        <v>13284</v>
      </c>
      <c r="S2300" s="9" t="s">
        <v>13284</v>
      </c>
      <c r="T2300" s="9" t="str">
        <f ca="1">IFERROR(IF(AND(VLOOKUP(A2300, 'Актуальное состояние (из общего'!A:C,3,0) = "", A2300 &lt;&gt; ""), "ПРОВЕРИТЬ", VLOOKUP(A2300, 'Актуальное состояние (из общего'!A:C,3,0)), "")</f>
        <v/>
      </c>
      <c r="U2300" s="9" t="s">
        <v>13284</v>
      </c>
      <c r="V2300" s="9" t="s">
        <v>13284</v>
      </c>
      <c r="W2300" s="12"/>
      <c r="X2300" s="9" t="str">
        <f t="array" ref="X2300">IFERROR(INDEX('Адреса общежитий (скрытый)'!$B$2:$B$9, MATCH(W2300, 'Адреса общежитий (скрытый)'!$A$2:$A$9, 0)), "")</f>
        <v/>
      </c>
      <c r="Y2300" s="18"/>
      <c r="Z2300" s="18"/>
      <c r="AA2300" s="18"/>
      <c r="AB2300" s="18"/>
      <c r="AC2300" s="18"/>
    </row>
    <row r="2301" spans="1:29" ht="32.25" hidden="1" customHeight="1">
      <c r="A2301" s="17"/>
      <c r="B2301" s="9" t="s">
        <v>13284</v>
      </c>
      <c r="C2301" s="9" t="s">
        <v>13284</v>
      </c>
      <c r="D2301" s="9" t="s">
        <v>13284</v>
      </c>
      <c r="E2301" s="9" t="s">
        <v>13284</v>
      </c>
      <c r="F2301" s="9" t="s">
        <v>13284</v>
      </c>
      <c r="G2301" s="9" t="s">
        <v>13284</v>
      </c>
      <c r="H2301" s="9" t="s">
        <v>13284</v>
      </c>
      <c r="I2301" s="9" t="s">
        <v>13284</v>
      </c>
      <c r="J2301" s="9" t="s">
        <v>13284</v>
      </c>
      <c r="K2301" s="9" t="s">
        <v>13284</v>
      </c>
      <c r="L2301" s="9" t="s">
        <v>13284</v>
      </c>
      <c r="M2301" s="9" t="s">
        <v>13284</v>
      </c>
      <c r="N2301" s="9" t="s">
        <v>13284</v>
      </c>
      <c r="O2301" s="9" t="s">
        <v>13284</v>
      </c>
      <c r="P2301" s="9" t="s">
        <v>13284</v>
      </c>
      <c r="Q2301" s="9" t="s">
        <v>13284</v>
      </c>
      <c r="R2301" s="9" t="s">
        <v>13284</v>
      </c>
      <c r="S2301" s="9" t="s">
        <v>13284</v>
      </c>
      <c r="T2301" s="9" t="str">
        <f ca="1">IFERROR(IF(AND(VLOOKUP(A2301, 'Актуальное состояние (из общего'!A:C,3,0) = "", A2301 &lt;&gt; ""), "ПРОВЕРИТЬ", VLOOKUP(A2301, 'Актуальное состояние (из общего'!A:C,3,0)), "")</f>
        <v/>
      </c>
      <c r="U2301" s="9" t="s">
        <v>13284</v>
      </c>
      <c r="V2301" s="9" t="s">
        <v>13284</v>
      </c>
      <c r="W2301" s="12"/>
      <c r="X2301" s="9" t="str">
        <f t="array" ref="X2301">IFERROR(INDEX('Адреса общежитий (скрытый)'!$B$2:$B$9, MATCH(W2301, 'Адреса общежитий (скрытый)'!$A$2:$A$9, 0)), "")</f>
        <v/>
      </c>
      <c r="Y2301" s="18"/>
      <c r="Z2301" s="18"/>
      <c r="AA2301" s="18"/>
      <c r="AB2301" s="18"/>
      <c r="AC2301" s="18"/>
    </row>
    <row r="2302" spans="1:29" ht="32.25" hidden="1" customHeight="1">
      <c r="A2302" s="17"/>
      <c r="B2302" s="9" t="s">
        <v>13284</v>
      </c>
      <c r="C2302" s="9" t="s">
        <v>13284</v>
      </c>
      <c r="D2302" s="9" t="s">
        <v>13284</v>
      </c>
      <c r="E2302" s="9" t="s">
        <v>13284</v>
      </c>
      <c r="F2302" s="9" t="s">
        <v>13284</v>
      </c>
      <c r="G2302" s="9" t="s">
        <v>13284</v>
      </c>
      <c r="H2302" s="9" t="s">
        <v>13284</v>
      </c>
      <c r="I2302" s="9" t="s">
        <v>13284</v>
      </c>
      <c r="J2302" s="9" t="s">
        <v>13284</v>
      </c>
      <c r="K2302" s="9" t="s">
        <v>13284</v>
      </c>
      <c r="L2302" s="9" t="s">
        <v>13284</v>
      </c>
      <c r="M2302" s="9" t="s">
        <v>13284</v>
      </c>
      <c r="N2302" s="9" t="s">
        <v>13284</v>
      </c>
      <c r="O2302" s="9" t="s">
        <v>13284</v>
      </c>
      <c r="P2302" s="9" t="s">
        <v>13284</v>
      </c>
      <c r="Q2302" s="9" t="s">
        <v>13284</v>
      </c>
      <c r="R2302" s="9" t="s">
        <v>13284</v>
      </c>
      <c r="S2302" s="9" t="s">
        <v>13284</v>
      </c>
      <c r="T2302" s="9" t="str">
        <f ca="1">IFERROR(IF(AND(VLOOKUP(A2302, 'Актуальное состояние (из общего'!A:C,3,0) = "", A2302 &lt;&gt; ""), "ПРОВЕРИТЬ", VLOOKUP(A2302, 'Актуальное состояние (из общего'!A:C,3,0)), "")</f>
        <v/>
      </c>
      <c r="U2302" s="9" t="s">
        <v>13284</v>
      </c>
      <c r="V2302" s="9" t="s">
        <v>13284</v>
      </c>
      <c r="W2302" s="12"/>
      <c r="X2302" s="9" t="str">
        <f t="array" ref="X2302">IFERROR(INDEX('Адреса общежитий (скрытый)'!$B$2:$B$9, MATCH(W2302, 'Адреса общежитий (скрытый)'!$A$2:$A$9, 0)), "")</f>
        <v/>
      </c>
      <c r="Y2302" s="18"/>
      <c r="Z2302" s="18"/>
      <c r="AA2302" s="18"/>
      <c r="AB2302" s="18"/>
      <c r="AC2302" s="18"/>
    </row>
    <row r="2303" spans="1:29" ht="32.25" hidden="1" customHeight="1">
      <c r="A2303" s="17"/>
      <c r="B2303" s="9" t="s">
        <v>13284</v>
      </c>
      <c r="C2303" s="9" t="s">
        <v>13284</v>
      </c>
      <c r="D2303" s="9" t="s">
        <v>13284</v>
      </c>
      <c r="E2303" s="9" t="s">
        <v>13284</v>
      </c>
      <c r="F2303" s="9" t="s">
        <v>13284</v>
      </c>
      <c r="G2303" s="9" t="s">
        <v>13284</v>
      </c>
      <c r="H2303" s="9" t="s">
        <v>13284</v>
      </c>
      <c r="I2303" s="9" t="s">
        <v>13284</v>
      </c>
      <c r="J2303" s="9" t="s">
        <v>13284</v>
      </c>
      <c r="K2303" s="9" t="s">
        <v>13284</v>
      </c>
      <c r="L2303" s="9" t="s">
        <v>13284</v>
      </c>
      <c r="M2303" s="9" t="s">
        <v>13284</v>
      </c>
      <c r="N2303" s="9" t="s">
        <v>13284</v>
      </c>
      <c r="O2303" s="9" t="s">
        <v>13284</v>
      </c>
      <c r="P2303" s="9" t="s">
        <v>13284</v>
      </c>
      <c r="Q2303" s="9" t="s">
        <v>13284</v>
      </c>
      <c r="R2303" s="9" t="s">
        <v>13284</v>
      </c>
      <c r="S2303" s="9" t="s">
        <v>13284</v>
      </c>
      <c r="T2303" s="9" t="str">
        <f ca="1">IFERROR(IF(AND(VLOOKUP(A2303, 'Актуальное состояние (из общего'!A:C,3,0) = "", A2303 &lt;&gt; ""), "ПРОВЕРИТЬ", VLOOKUP(A2303, 'Актуальное состояние (из общего'!A:C,3,0)), "")</f>
        <v/>
      </c>
      <c r="U2303" s="9" t="s">
        <v>13284</v>
      </c>
      <c r="V2303" s="9" t="s">
        <v>13284</v>
      </c>
      <c r="W2303" s="12"/>
      <c r="X2303" s="9" t="str">
        <f t="array" ref="X2303">IFERROR(INDEX('Адреса общежитий (скрытый)'!$B$2:$B$9, MATCH(W2303, 'Адреса общежитий (скрытый)'!$A$2:$A$9, 0)), "")</f>
        <v/>
      </c>
      <c r="Y2303" s="18"/>
      <c r="Z2303" s="18"/>
      <c r="AA2303" s="18"/>
      <c r="AB2303" s="18"/>
      <c r="AC2303" s="18"/>
    </row>
    <row r="2304" spans="1:29" ht="32.25" hidden="1" customHeight="1">
      <c r="A2304" s="17"/>
      <c r="B2304" s="9" t="s">
        <v>13284</v>
      </c>
      <c r="C2304" s="9" t="s">
        <v>13284</v>
      </c>
      <c r="D2304" s="9" t="s">
        <v>13284</v>
      </c>
      <c r="E2304" s="9" t="s">
        <v>13284</v>
      </c>
      <c r="F2304" s="9" t="s">
        <v>13284</v>
      </c>
      <c r="G2304" s="9" t="s">
        <v>13284</v>
      </c>
      <c r="H2304" s="9" t="s">
        <v>13284</v>
      </c>
      <c r="I2304" s="9" t="s">
        <v>13284</v>
      </c>
      <c r="J2304" s="9" t="s">
        <v>13284</v>
      </c>
      <c r="K2304" s="9" t="s">
        <v>13284</v>
      </c>
      <c r="L2304" s="9" t="s">
        <v>13284</v>
      </c>
      <c r="M2304" s="9" t="s">
        <v>13284</v>
      </c>
      <c r="N2304" s="9" t="s">
        <v>13284</v>
      </c>
      <c r="O2304" s="9" t="s">
        <v>13284</v>
      </c>
      <c r="P2304" s="9" t="s">
        <v>13284</v>
      </c>
      <c r="Q2304" s="9" t="s">
        <v>13284</v>
      </c>
      <c r="R2304" s="9" t="s">
        <v>13284</v>
      </c>
      <c r="S2304" s="9" t="s">
        <v>13284</v>
      </c>
      <c r="T2304" s="9" t="str">
        <f ca="1">IFERROR(IF(AND(VLOOKUP(A2304, 'Актуальное состояние (из общего'!A:C,3,0) = "", A2304 &lt;&gt; ""), "ПРОВЕРИТЬ", VLOOKUP(A2304, 'Актуальное состояние (из общего'!A:C,3,0)), "")</f>
        <v/>
      </c>
      <c r="U2304" s="9" t="s">
        <v>13284</v>
      </c>
      <c r="V2304" s="9" t="s">
        <v>13284</v>
      </c>
      <c r="W2304" s="12"/>
      <c r="X2304" s="9" t="str">
        <f t="array" ref="X2304">IFERROR(INDEX('Адреса общежитий (скрытый)'!$B$2:$B$9, MATCH(W2304, 'Адреса общежитий (скрытый)'!$A$2:$A$9, 0)), "")</f>
        <v/>
      </c>
      <c r="Y2304" s="18"/>
      <c r="Z2304" s="18"/>
      <c r="AA2304" s="18"/>
      <c r="AB2304" s="18"/>
      <c r="AC2304" s="18"/>
    </row>
    <row r="2305" spans="1:29" ht="32.25" hidden="1" customHeight="1">
      <c r="A2305" s="17"/>
      <c r="B2305" s="9" t="s">
        <v>13284</v>
      </c>
      <c r="C2305" s="9" t="s">
        <v>13284</v>
      </c>
      <c r="D2305" s="9" t="s">
        <v>13284</v>
      </c>
      <c r="E2305" s="9" t="s">
        <v>13284</v>
      </c>
      <c r="F2305" s="9" t="s">
        <v>13284</v>
      </c>
      <c r="G2305" s="9" t="s">
        <v>13284</v>
      </c>
      <c r="H2305" s="9" t="s">
        <v>13284</v>
      </c>
      <c r="I2305" s="9" t="s">
        <v>13284</v>
      </c>
      <c r="J2305" s="9" t="s">
        <v>13284</v>
      </c>
      <c r="K2305" s="9" t="s">
        <v>13284</v>
      </c>
      <c r="L2305" s="9" t="s">
        <v>13284</v>
      </c>
      <c r="M2305" s="9" t="s">
        <v>13284</v>
      </c>
      <c r="N2305" s="9" t="s">
        <v>13284</v>
      </c>
      <c r="O2305" s="9" t="s">
        <v>13284</v>
      </c>
      <c r="P2305" s="9" t="s">
        <v>13284</v>
      </c>
      <c r="Q2305" s="9" t="s">
        <v>13284</v>
      </c>
      <c r="R2305" s="9" t="s">
        <v>13284</v>
      </c>
      <c r="S2305" s="9" t="s">
        <v>13284</v>
      </c>
      <c r="T2305" s="9" t="str">
        <f ca="1">IFERROR(IF(AND(VLOOKUP(A2305, 'Актуальное состояние (из общего'!A:C,3,0) = "", A2305 &lt;&gt; ""), "ПРОВЕРИТЬ", VLOOKUP(A2305, 'Актуальное состояние (из общего'!A:C,3,0)), "")</f>
        <v/>
      </c>
      <c r="U2305" s="9" t="s">
        <v>13284</v>
      </c>
      <c r="V2305" s="9" t="s">
        <v>13284</v>
      </c>
      <c r="W2305" s="12"/>
      <c r="X2305" s="9" t="str">
        <f t="array" ref="X2305">IFERROR(INDEX('Адреса общежитий (скрытый)'!$B$2:$B$9, MATCH(W2305, 'Адреса общежитий (скрытый)'!$A$2:$A$9, 0)), "")</f>
        <v/>
      </c>
      <c r="Y2305" s="18"/>
      <c r="Z2305" s="18"/>
      <c r="AA2305" s="18"/>
      <c r="AB2305" s="18"/>
      <c r="AC2305" s="18"/>
    </row>
    <row r="2306" spans="1:29" ht="32.25" hidden="1" customHeight="1">
      <c r="A2306" s="17"/>
      <c r="B2306" s="9" t="s">
        <v>13284</v>
      </c>
      <c r="C2306" s="9" t="s">
        <v>13284</v>
      </c>
      <c r="D2306" s="9" t="s">
        <v>13284</v>
      </c>
      <c r="E2306" s="9" t="s">
        <v>13284</v>
      </c>
      <c r="F2306" s="9" t="s">
        <v>13284</v>
      </c>
      <c r="G2306" s="9" t="s">
        <v>13284</v>
      </c>
      <c r="H2306" s="9" t="s">
        <v>13284</v>
      </c>
      <c r="I2306" s="9" t="s">
        <v>13284</v>
      </c>
      <c r="J2306" s="9" t="s">
        <v>13284</v>
      </c>
      <c r="K2306" s="9" t="s">
        <v>13284</v>
      </c>
      <c r="L2306" s="9" t="s">
        <v>13284</v>
      </c>
      <c r="M2306" s="9" t="s">
        <v>13284</v>
      </c>
      <c r="N2306" s="9" t="s">
        <v>13284</v>
      </c>
      <c r="O2306" s="9" t="s">
        <v>13284</v>
      </c>
      <c r="P2306" s="9" t="s">
        <v>13284</v>
      </c>
      <c r="Q2306" s="9" t="s">
        <v>13284</v>
      </c>
      <c r="R2306" s="9" t="s">
        <v>13284</v>
      </c>
      <c r="S2306" s="9" t="s">
        <v>13284</v>
      </c>
      <c r="T2306" s="9" t="str">
        <f ca="1">IFERROR(IF(AND(VLOOKUP(A2306, 'Актуальное состояние (из общего'!A:C,3,0) = "", A2306 &lt;&gt; ""), "ПРОВЕРИТЬ", VLOOKUP(A2306, 'Актуальное состояние (из общего'!A:C,3,0)), "")</f>
        <v/>
      </c>
      <c r="U2306" s="9" t="s">
        <v>13284</v>
      </c>
      <c r="V2306" s="9" t="s">
        <v>13284</v>
      </c>
      <c r="W2306" s="12"/>
      <c r="X2306" s="9" t="str">
        <f t="array" ref="X2306">IFERROR(INDEX('Адреса общежитий (скрытый)'!$B$2:$B$9, MATCH(W2306, 'Адреса общежитий (скрытый)'!$A$2:$A$9, 0)), "")</f>
        <v/>
      </c>
      <c r="Y2306" s="18"/>
      <c r="Z2306" s="18"/>
      <c r="AA2306" s="18"/>
      <c r="AB2306" s="18"/>
      <c r="AC2306" s="18"/>
    </row>
    <row r="2307" spans="1:29" ht="32.25" hidden="1" customHeight="1">
      <c r="A2307" s="17"/>
      <c r="B2307" s="9" t="s">
        <v>13284</v>
      </c>
      <c r="C2307" s="9" t="s">
        <v>13284</v>
      </c>
      <c r="D2307" s="9" t="s">
        <v>13284</v>
      </c>
      <c r="E2307" s="9" t="s">
        <v>13284</v>
      </c>
      <c r="F2307" s="9" t="s">
        <v>13284</v>
      </c>
      <c r="G2307" s="9" t="s">
        <v>13284</v>
      </c>
      <c r="H2307" s="9" t="s">
        <v>13284</v>
      </c>
      <c r="I2307" s="9" t="s">
        <v>13284</v>
      </c>
      <c r="J2307" s="9" t="s">
        <v>13284</v>
      </c>
      <c r="K2307" s="9" t="s">
        <v>13284</v>
      </c>
      <c r="L2307" s="9" t="s">
        <v>13284</v>
      </c>
      <c r="M2307" s="9" t="s">
        <v>13284</v>
      </c>
      <c r="N2307" s="9" t="s">
        <v>13284</v>
      </c>
      <c r="O2307" s="9" t="s">
        <v>13284</v>
      </c>
      <c r="P2307" s="9" t="s">
        <v>13284</v>
      </c>
      <c r="Q2307" s="9" t="s">
        <v>13284</v>
      </c>
      <c r="R2307" s="9" t="s">
        <v>13284</v>
      </c>
      <c r="S2307" s="9" t="s">
        <v>13284</v>
      </c>
      <c r="T2307" s="9" t="str">
        <f ca="1">IFERROR(IF(AND(VLOOKUP(A2307, 'Актуальное состояние (из общего'!A:C,3,0) = "", A2307 &lt;&gt; ""), "ПРОВЕРИТЬ", VLOOKUP(A2307, 'Актуальное состояние (из общего'!A:C,3,0)), "")</f>
        <v/>
      </c>
      <c r="U2307" s="9" t="s">
        <v>13284</v>
      </c>
      <c r="V2307" s="9" t="s">
        <v>13284</v>
      </c>
      <c r="W2307" s="12"/>
      <c r="X2307" s="9" t="str">
        <f t="array" ref="X2307">IFERROR(INDEX('Адреса общежитий (скрытый)'!$B$2:$B$9, MATCH(W2307, 'Адреса общежитий (скрытый)'!$A$2:$A$9, 0)), "")</f>
        <v/>
      </c>
      <c r="Y2307" s="18"/>
      <c r="Z2307" s="18"/>
      <c r="AA2307" s="18"/>
      <c r="AB2307" s="18"/>
      <c r="AC2307" s="18"/>
    </row>
    <row r="2308" spans="1:29" ht="32.25" hidden="1" customHeight="1">
      <c r="A2308" s="17"/>
      <c r="B2308" s="9" t="s">
        <v>13284</v>
      </c>
      <c r="C2308" s="9" t="s">
        <v>13284</v>
      </c>
      <c r="D2308" s="9" t="s">
        <v>13284</v>
      </c>
      <c r="E2308" s="9" t="s">
        <v>13284</v>
      </c>
      <c r="F2308" s="9" t="s">
        <v>13284</v>
      </c>
      <c r="G2308" s="9" t="s">
        <v>13284</v>
      </c>
      <c r="H2308" s="9" t="s">
        <v>13284</v>
      </c>
      <c r="I2308" s="9" t="s">
        <v>13284</v>
      </c>
      <c r="J2308" s="9" t="s">
        <v>13284</v>
      </c>
      <c r="K2308" s="9" t="s">
        <v>13284</v>
      </c>
      <c r="L2308" s="9" t="s">
        <v>13284</v>
      </c>
      <c r="M2308" s="9" t="s">
        <v>13284</v>
      </c>
      <c r="N2308" s="9" t="s">
        <v>13284</v>
      </c>
      <c r="O2308" s="9" t="s">
        <v>13284</v>
      </c>
      <c r="P2308" s="9" t="s">
        <v>13284</v>
      </c>
      <c r="Q2308" s="9" t="s">
        <v>13284</v>
      </c>
      <c r="R2308" s="9" t="s">
        <v>13284</v>
      </c>
      <c r="S2308" s="9" t="s">
        <v>13284</v>
      </c>
      <c r="T2308" s="9" t="str">
        <f ca="1">IFERROR(IF(AND(VLOOKUP(A2308, 'Актуальное состояние (из общего'!A:C,3,0) = "", A2308 &lt;&gt; ""), "ПРОВЕРИТЬ", VLOOKUP(A2308, 'Актуальное состояние (из общего'!A:C,3,0)), "")</f>
        <v/>
      </c>
      <c r="U2308" s="9" t="s">
        <v>13284</v>
      </c>
      <c r="V2308" s="9" t="s">
        <v>13284</v>
      </c>
      <c r="W2308" s="12"/>
      <c r="X2308" s="9" t="str">
        <f t="array" ref="X2308">IFERROR(INDEX('Адреса общежитий (скрытый)'!$B$2:$B$9, MATCH(W2308, 'Адреса общежитий (скрытый)'!$A$2:$A$9, 0)), "")</f>
        <v/>
      </c>
      <c r="Y2308" s="18"/>
      <c r="Z2308" s="18"/>
      <c r="AA2308" s="18"/>
      <c r="AB2308" s="18"/>
      <c r="AC2308" s="18"/>
    </row>
    <row r="2309" spans="1:29" ht="32.25" hidden="1" customHeight="1">
      <c r="A2309" s="17"/>
      <c r="B2309" s="9" t="s">
        <v>13284</v>
      </c>
      <c r="C2309" s="9" t="s">
        <v>13284</v>
      </c>
      <c r="D2309" s="9" t="s">
        <v>13284</v>
      </c>
      <c r="E2309" s="9" t="s">
        <v>13284</v>
      </c>
      <c r="F2309" s="9" t="s">
        <v>13284</v>
      </c>
      <c r="G2309" s="9" t="s">
        <v>13284</v>
      </c>
      <c r="H2309" s="9" t="s">
        <v>13284</v>
      </c>
      <c r="I2309" s="9" t="s">
        <v>13284</v>
      </c>
      <c r="J2309" s="9" t="s">
        <v>13284</v>
      </c>
      <c r="K2309" s="9" t="s">
        <v>13284</v>
      </c>
      <c r="L2309" s="9" t="s">
        <v>13284</v>
      </c>
      <c r="M2309" s="9" t="s">
        <v>13284</v>
      </c>
      <c r="N2309" s="9" t="s">
        <v>13284</v>
      </c>
      <c r="O2309" s="9" t="s">
        <v>13284</v>
      </c>
      <c r="P2309" s="9" t="s">
        <v>13284</v>
      </c>
      <c r="Q2309" s="9" t="s">
        <v>13284</v>
      </c>
      <c r="R2309" s="9" t="s">
        <v>13284</v>
      </c>
      <c r="S2309" s="9" t="s">
        <v>13284</v>
      </c>
      <c r="T2309" s="9" t="str">
        <f ca="1">IFERROR(IF(AND(VLOOKUP(A2309, 'Актуальное состояние (из общего'!A:C,3,0) = "", A2309 &lt;&gt; ""), "ПРОВЕРИТЬ", VLOOKUP(A2309, 'Актуальное состояние (из общего'!A:C,3,0)), "")</f>
        <v/>
      </c>
      <c r="U2309" s="9" t="s">
        <v>13284</v>
      </c>
      <c r="V2309" s="9" t="s">
        <v>13284</v>
      </c>
      <c r="W2309" s="12"/>
      <c r="X2309" s="9" t="str">
        <f t="array" ref="X2309">IFERROR(INDEX('Адреса общежитий (скрытый)'!$B$2:$B$9, MATCH(W2309, 'Адреса общежитий (скрытый)'!$A$2:$A$9, 0)), "")</f>
        <v/>
      </c>
      <c r="Y2309" s="18"/>
      <c r="Z2309" s="18"/>
      <c r="AA2309" s="18"/>
      <c r="AB2309" s="18"/>
      <c r="AC2309" s="18"/>
    </row>
    <row r="2310" spans="1:29" ht="32.25" hidden="1" customHeight="1">
      <c r="A2310" s="17"/>
      <c r="B2310" s="9" t="s">
        <v>13284</v>
      </c>
      <c r="C2310" s="9" t="s">
        <v>13284</v>
      </c>
      <c r="D2310" s="9" t="s">
        <v>13284</v>
      </c>
      <c r="E2310" s="9" t="s">
        <v>13284</v>
      </c>
      <c r="F2310" s="9" t="s">
        <v>13284</v>
      </c>
      <c r="G2310" s="9" t="s">
        <v>13284</v>
      </c>
      <c r="H2310" s="9" t="s">
        <v>13284</v>
      </c>
      <c r="I2310" s="9" t="s">
        <v>13284</v>
      </c>
      <c r="J2310" s="9" t="s">
        <v>13284</v>
      </c>
      <c r="K2310" s="9" t="s">
        <v>13284</v>
      </c>
      <c r="L2310" s="9" t="s">
        <v>13284</v>
      </c>
      <c r="M2310" s="9" t="s">
        <v>13284</v>
      </c>
      <c r="N2310" s="9" t="s">
        <v>13284</v>
      </c>
      <c r="O2310" s="9" t="s">
        <v>13284</v>
      </c>
      <c r="P2310" s="9" t="s">
        <v>13284</v>
      </c>
      <c r="Q2310" s="9" t="s">
        <v>13284</v>
      </c>
      <c r="R2310" s="9" t="s">
        <v>13284</v>
      </c>
      <c r="S2310" s="9" t="s">
        <v>13284</v>
      </c>
      <c r="T2310" s="9" t="str">
        <f ca="1">IFERROR(IF(AND(VLOOKUP(A2310, 'Актуальное состояние (из общего'!A:C,3,0) = "", A2310 &lt;&gt; ""), "ПРОВЕРИТЬ", VLOOKUP(A2310, 'Актуальное состояние (из общего'!A:C,3,0)), "")</f>
        <v/>
      </c>
      <c r="U2310" s="9" t="s">
        <v>13284</v>
      </c>
      <c r="V2310" s="9" t="s">
        <v>13284</v>
      </c>
      <c r="W2310" s="12"/>
      <c r="X2310" s="9" t="str">
        <f t="array" ref="X2310">IFERROR(INDEX('Адреса общежитий (скрытый)'!$B$2:$B$9, MATCH(W2310, 'Адреса общежитий (скрытый)'!$A$2:$A$9, 0)), "")</f>
        <v/>
      </c>
      <c r="Y2310" s="18"/>
      <c r="Z2310" s="18"/>
      <c r="AA2310" s="18"/>
      <c r="AB2310" s="18"/>
      <c r="AC2310" s="18"/>
    </row>
    <row r="2311" spans="1:29" ht="32.25" hidden="1" customHeight="1">
      <c r="A2311" s="17"/>
      <c r="B2311" s="9" t="s">
        <v>13284</v>
      </c>
      <c r="C2311" s="9" t="s">
        <v>13284</v>
      </c>
      <c r="D2311" s="9" t="s">
        <v>13284</v>
      </c>
      <c r="E2311" s="9" t="s">
        <v>13284</v>
      </c>
      <c r="F2311" s="9" t="s">
        <v>13284</v>
      </c>
      <c r="G2311" s="9" t="s">
        <v>13284</v>
      </c>
      <c r="H2311" s="9" t="s">
        <v>13284</v>
      </c>
      <c r="I2311" s="9" t="s">
        <v>13284</v>
      </c>
      <c r="J2311" s="9" t="s">
        <v>13284</v>
      </c>
      <c r="K2311" s="9" t="s">
        <v>13284</v>
      </c>
      <c r="L2311" s="9" t="s">
        <v>13284</v>
      </c>
      <c r="M2311" s="9" t="s">
        <v>13284</v>
      </c>
      <c r="N2311" s="9" t="s">
        <v>13284</v>
      </c>
      <c r="O2311" s="9" t="s">
        <v>13284</v>
      </c>
      <c r="P2311" s="9" t="s">
        <v>13284</v>
      </c>
      <c r="Q2311" s="9" t="s">
        <v>13284</v>
      </c>
      <c r="R2311" s="9" t="s">
        <v>13284</v>
      </c>
      <c r="S2311" s="9" t="s">
        <v>13284</v>
      </c>
      <c r="T2311" s="9" t="str">
        <f ca="1">IFERROR(IF(AND(VLOOKUP(A2311, 'Актуальное состояние (из общего'!A:C,3,0) = "", A2311 &lt;&gt; ""), "ПРОВЕРИТЬ", VLOOKUP(A2311, 'Актуальное состояние (из общего'!A:C,3,0)), "")</f>
        <v/>
      </c>
      <c r="U2311" s="9" t="s">
        <v>13284</v>
      </c>
      <c r="V2311" s="9" t="s">
        <v>13284</v>
      </c>
      <c r="W2311" s="12"/>
      <c r="X2311" s="9" t="str">
        <f t="array" ref="X2311">IFERROR(INDEX('Адреса общежитий (скрытый)'!$B$2:$B$9, MATCH(W2311, 'Адреса общежитий (скрытый)'!$A$2:$A$9, 0)), "")</f>
        <v/>
      </c>
      <c r="Y2311" s="18"/>
      <c r="Z2311" s="18"/>
      <c r="AA2311" s="18"/>
      <c r="AB2311" s="18"/>
      <c r="AC2311" s="18"/>
    </row>
    <row r="2312" spans="1:29" ht="32.25" hidden="1" customHeight="1">
      <c r="A2312" s="17"/>
      <c r="B2312" s="9" t="s">
        <v>13284</v>
      </c>
      <c r="C2312" s="9" t="s">
        <v>13284</v>
      </c>
      <c r="D2312" s="9" t="s">
        <v>13284</v>
      </c>
      <c r="E2312" s="9" t="s">
        <v>13284</v>
      </c>
      <c r="F2312" s="9" t="s">
        <v>13284</v>
      </c>
      <c r="G2312" s="9" t="s">
        <v>13284</v>
      </c>
      <c r="H2312" s="9" t="s">
        <v>13284</v>
      </c>
      <c r="I2312" s="9" t="s">
        <v>13284</v>
      </c>
      <c r="J2312" s="9" t="s">
        <v>13284</v>
      </c>
      <c r="K2312" s="9" t="s">
        <v>13284</v>
      </c>
      <c r="L2312" s="9" t="s">
        <v>13284</v>
      </c>
      <c r="M2312" s="9" t="s">
        <v>13284</v>
      </c>
      <c r="N2312" s="9" t="s">
        <v>13284</v>
      </c>
      <c r="O2312" s="9" t="s">
        <v>13284</v>
      </c>
      <c r="P2312" s="9" t="s">
        <v>13284</v>
      </c>
      <c r="Q2312" s="9" t="s">
        <v>13284</v>
      </c>
      <c r="R2312" s="9" t="s">
        <v>13284</v>
      </c>
      <c r="S2312" s="9" t="s">
        <v>13284</v>
      </c>
      <c r="T2312" s="9" t="str">
        <f ca="1">IFERROR(IF(AND(VLOOKUP(A2312, 'Актуальное состояние (из общего'!A:C,3,0) = "", A2312 &lt;&gt; ""), "ПРОВЕРИТЬ", VLOOKUP(A2312, 'Актуальное состояние (из общего'!A:C,3,0)), "")</f>
        <v/>
      </c>
      <c r="U2312" s="9" t="s">
        <v>13284</v>
      </c>
      <c r="V2312" s="9" t="s">
        <v>13284</v>
      </c>
      <c r="W2312" s="12"/>
      <c r="X2312" s="9" t="str">
        <f t="array" ref="X2312">IFERROR(INDEX('Адреса общежитий (скрытый)'!$B$2:$B$9, MATCH(W2312, 'Адреса общежитий (скрытый)'!$A$2:$A$9, 0)), "")</f>
        <v/>
      </c>
      <c r="Y2312" s="18"/>
      <c r="Z2312" s="18"/>
      <c r="AA2312" s="18"/>
      <c r="AB2312" s="18"/>
      <c r="AC2312" s="18"/>
    </row>
    <row r="2313" spans="1:29" ht="32.25" hidden="1" customHeight="1">
      <c r="A2313" s="17"/>
      <c r="B2313" s="9" t="s">
        <v>13284</v>
      </c>
      <c r="C2313" s="9" t="s">
        <v>13284</v>
      </c>
      <c r="D2313" s="9" t="s">
        <v>13284</v>
      </c>
      <c r="E2313" s="9" t="s">
        <v>13284</v>
      </c>
      <c r="F2313" s="9" t="s">
        <v>13284</v>
      </c>
      <c r="G2313" s="9" t="s">
        <v>13284</v>
      </c>
      <c r="H2313" s="9" t="s">
        <v>13284</v>
      </c>
      <c r="I2313" s="9" t="s">
        <v>13284</v>
      </c>
      <c r="J2313" s="9" t="s">
        <v>13284</v>
      </c>
      <c r="K2313" s="9" t="s">
        <v>13284</v>
      </c>
      <c r="L2313" s="9" t="s">
        <v>13284</v>
      </c>
      <c r="M2313" s="9" t="s">
        <v>13284</v>
      </c>
      <c r="N2313" s="9" t="s">
        <v>13284</v>
      </c>
      <c r="O2313" s="9" t="s">
        <v>13284</v>
      </c>
      <c r="P2313" s="9" t="s">
        <v>13284</v>
      </c>
      <c r="Q2313" s="9" t="s">
        <v>13284</v>
      </c>
      <c r="R2313" s="9" t="s">
        <v>13284</v>
      </c>
      <c r="S2313" s="9" t="s">
        <v>13284</v>
      </c>
      <c r="T2313" s="9" t="str">
        <f ca="1">IFERROR(IF(AND(VLOOKUP(A2313, 'Актуальное состояние (из общего'!A:C,3,0) = "", A2313 &lt;&gt; ""), "ПРОВЕРИТЬ", VLOOKUP(A2313, 'Актуальное состояние (из общего'!A:C,3,0)), "")</f>
        <v/>
      </c>
      <c r="U2313" s="9" t="s">
        <v>13284</v>
      </c>
      <c r="V2313" s="9" t="s">
        <v>13284</v>
      </c>
      <c r="W2313" s="12"/>
      <c r="X2313" s="9" t="str">
        <f t="array" ref="X2313">IFERROR(INDEX('Адреса общежитий (скрытый)'!$B$2:$B$9, MATCH(W2313, 'Адреса общежитий (скрытый)'!$A$2:$A$9, 0)), "")</f>
        <v/>
      </c>
      <c r="Y2313" s="18"/>
      <c r="Z2313" s="18"/>
      <c r="AA2313" s="18"/>
      <c r="AB2313" s="18"/>
      <c r="AC2313" s="18"/>
    </row>
    <row r="2314" spans="1:29" ht="32.25" hidden="1" customHeight="1">
      <c r="A2314" s="17"/>
      <c r="B2314" s="9" t="s">
        <v>13284</v>
      </c>
      <c r="C2314" s="9" t="s">
        <v>13284</v>
      </c>
      <c r="D2314" s="9" t="s">
        <v>13284</v>
      </c>
      <c r="E2314" s="9" t="s">
        <v>13284</v>
      </c>
      <c r="F2314" s="9" t="s">
        <v>13284</v>
      </c>
      <c r="G2314" s="9" t="s">
        <v>13284</v>
      </c>
      <c r="H2314" s="9" t="s">
        <v>13284</v>
      </c>
      <c r="I2314" s="9" t="s">
        <v>13284</v>
      </c>
      <c r="J2314" s="9" t="s">
        <v>13284</v>
      </c>
      <c r="K2314" s="9" t="s">
        <v>13284</v>
      </c>
      <c r="L2314" s="9" t="s">
        <v>13284</v>
      </c>
      <c r="M2314" s="9" t="s">
        <v>13284</v>
      </c>
      <c r="N2314" s="9" t="s">
        <v>13284</v>
      </c>
      <c r="O2314" s="9" t="s">
        <v>13284</v>
      </c>
      <c r="P2314" s="9" t="s">
        <v>13284</v>
      </c>
      <c r="Q2314" s="9" t="s">
        <v>13284</v>
      </c>
      <c r="R2314" s="9" t="s">
        <v>13284</v>
      </c>
      <c r="S2314" s="9" t="s">
        <v>13284</v>
      </c>
      <c r="T2314" s="9" t="str">
        <f ca="1">IFERROR(IF(AND(VLOOKUP(A2314, 'Актуальное состояние (из общего'!A:C,3,0) = "", A2314 &lt;&gt; ""), "ПРОВЕРИТЬ", VLOOKUP(A2314, 'Актуальное состояние (из общего'!A:C,3,0)), "")</f>
        <v/>
      </c>
      <c r="U2314" s="9" t="s">
        <v>13284</v>
      </c>
      <c r="V2314" s="9" t="s">
        <v>13284</v>
      </c>
      <c r="W2314" s="12"/>
      <c r="X2314" s="9" t="str">
        <f t="array" ref="X2314">IFERROR(INDEX('Адреса общежитий (скрытый)'!$B$2:$B$9, MATCH(W2314, 'Адреса общежитий (скрытый)'!$A$2:$A$9, 0)), "")</f>
        <v/>
      </c>
      <c r="Y2314" s="18"/>
      <c r="Z2314" s="18"/>
      <c r="AA2314" s="18"/>
      <c r="AB2314" s="18"/>
      <c r="AC2314" s="18"/>
    </row>
    <row r="2315" spans="1:29" ht="32.25" hidden="1" customHeight="1">
      <c r="A2315" s="17"/>
      <c r="B2315" s="9" t="s">
        <v>13284</v>
      </c>
      <c r="C2315" s="9" t="s">
        <v>13284</v>
      </c>
      <c r="D2315" s="9" t="s">
        <v>13284</v>
      </c>
      <c r="E2315" s="9" t="s">
        <v>13284</v>
      </c>
      <c r="F2315" s="9" t="s">
        <v>13284</v>
      </c>
      <c r="G2315" s="9" t="s">
        <v>13284</v>
      </c>
      <c r="H2315" s="9" t="s">
        <v>13284</v>
      </c>
      <c r="I2315" s="9" t="s">
        <v>13284</v>
      </c>
      <c r="J2315" s="9" t="s">
        <v>13284</v>
      </c>
      <c r="K2315" s="9" t="s">
        <v>13284</v>
      </c>
      <c r="L2315" s="9" t="s">
        <v>13284</v>
      </c>
      <c r="M2315" s="9" t="s">
        <v>13284</v>
      </c>
      <c r="N2315" s="9" t="s">
        <v>13284</v>
      </c>
      <c r="O2315" s="9" t="s">
        <v>13284</v>
      </c>
      <c r="P2315" s="9" t="s">
        <v>13284</v>
      </c>
      <c r="Q2315" s="9" t="s">
        <v>13284</v>
      </c>
      <c r="R2315" s="9" t="s">
        <v>13284</v>
      </c>
      <c r="S2315" s="9" t="s">
        <v>13284</v>
      </c>
      <c r="T2315" s="9" t="str">
        <f ca="1">IFERROR(IF(AND(VLOOKUP(A2315, 'Актуальное состояние (из общего'!A:C,3,0) = "", A2315 &lt;&gt; ""), "ПРОВЕРИТЬ", VLOOKUP(A2315, 'Актуальное состояние (из общего'!A:C,3,0)), "")</f>
        <v/>
      </c>
      <c r="U2315" s="9" t="s">
        <v>13284</v>
      </c>
      <c r="V2315" s="9" t="s">
        <v>13284</v>
      </c>
      <c r="W2315" s="12"/>
      <c r="X2315" s="9" t="str">
        <f t="array" ref="X2315">IFERROR(INDEX('Адреса общежитий (скрытый)'!$B$2:$B$9, MATCH(W2315, 'Адреса общежитий (скрытый)'!$A$2:$A$9, 0)), "")</f>
        <v/>
      </c>
      <c r="Y2315" s="18"/>
      <c r="Z2315" s="18"/>
      <c r="AA2315" s="18"/>
      <c r="AB2315" s="18"/>
      <c r="AC2315" s="18"/>
    </row>
    <row r="2316" spans="1:29" ht="32.25" hidden="1" customHeight="1">
      <c r="A2316" s="17"/>
      <c r="B2316" s="9" t="s">
        <v>13284</v>
      </c>
      <c r="C2316" s="9" t="s">
        <v>13284</v>
      </c>
      <c r="D2316" s="9" t="s">
        <v>13284</v>
      </c>
      <c r="E2316" s="9" t="s">
        <v>13284</v>
      </c>
      <c r="F2316" s="9" t="s">
        <v>13284</v>
      </c>
      <c r="G2316" s="9" t="s">
        <v>13284</v>
      </c>
      <c r="H2316" s="9" t="s">
        <v>13284</v>
      </c>
      <c r="I2316" s="9" t="s">
        <v>13284</v>
      </c>
      <c r="J2316" s="9" t="s">
        <v>13284</v>
      </c>
      <c r="K2316" s="9" t="s">
        <v>13284</v>
      </c>
      <c r="L2316" s="9" t="s">
        <v>13284</v>
      </c>
      <c r="M2316" s="9" t="s">
        <v>13284</v>
      </c>
      <c r="N2316" s="9" t="s">
        <v>13284</v>
      </c>
      <c r="O2316" s="9" t="s">
        <v>13284</v>
      </c>
      <c r="P2316" s="9" t="s">
        <v>13284</v>
      </c>
      <c r="Q2316" s="9" t="s">
        <v>13284</v>
      </c>
      <c r="R2316" s="9" t="s">
        <v>13284</v>
      </c>
      <c r="S2316" s="9" t="s">
        <v>13284</v>
      </c>
      <c r="T2316" s="9" t="str">
        <f ca="1">IFERROR(IF(AND(VLOOKUP(A2316, 'Актуальное состояние (из общего'!A:C,3,0) = "", A2316 &lt;&gt; ""), "ПРОВЕРИТЬ", VLOOKUP(A2316, 'Актуальное состояние (из общего'!A:C,3,0)), "")</f>
        <v/>
      </c>
      <c r="U2316" s="9" t="s">
        <v>13284</v>
      </c>
      <c r="V2316" s="9" t="s">
        <v>13284</v>
      </c>
      <c r="W2316" s="12"/>
      <c r="X2316" s="9" t="str">
        <f t="array" ref="X2316">IFERROR(INDEX('Адреса общежитий (скрытый)'!$B$2:$B$9, MATCH(W2316, 'Адреса общежитий (скрытый)'!$A$2:$A$9, 0)), "")</f>
        <v/>
      </c>
      <c r="Y2316" s="18"/>
      <c r="Z2316" s="18"/>
      <c r="AA2316" s="18"/>
      <c r="AB2316" s="18"/>
      <c r="AC2316" s="18"/>
    </row>
    <row r="2317" spans="1:29" ht="32.25" hidden="1" customHeight="1">
      <c r="A2317" s="17"/>
      <c r="B2317" s="9" t="s">
        <v>13284</v>
      </c>
      <c r="C2317" s="9" t="s">
        <v>13284</v>
      </c>
      <c r="D2317" s="9" t="s">
        <v>13284</v>
      </c>
      <c r="E2317" s="9" t="s">
        <v>13284</v>
      </c>
      <c r="F2317" s="9" t="s">
        <v>13284</v>
      </c>
      <c r="G2317" s="9" t="s">
        <v>13284</v>
      </c>
      <c r="H2317" s="9" t="s">
        <v>13284</v>
      </c>
      <c r="I2317" s="9" t="s">
        <v>13284</v>
      </c>
      <c r="J2317" s="9" t="s">
        <v>13284</v>
      </c>
      <c r="K2317" s="9" t="s">
        <v>13284</v>
      </c>
      <c r="L2317" s="9" t="s">
        <v>13284</v>
      </c>
      <c r="M2317" s="9" t="s">
        <v>13284</v>
      </c>
      <c r="N2317" s="9" t="s">
        <v>13284</v>
      </c>
      <c r="O2317" s="9" t="s">
        <v>13284</v>
      </c>
      <c r="P2317" s="9" t="s">
        <v>13284</v>
      </c>
      <c r="Q2317" s="9" t="s">
        <v>13284</v>
      </c>
      <c r="R2317" s="9" t="s">
        <v>13284</v>
      </c>
      <c r="S2317" s="9" t="s">
        <v>13284</v>
      </c>
      <c r="T2317" s="9" t="str">
        <f ca="1">IFERROR(IF(AND(VLOOKUP(A2317, 'Актуальное состояние (из общего'!A:C,3,0) = "", A2317 &lt;&gt; ""), "ПРОВЕРИТЬ", VLOOKUP(A2317, 'Актуальное состояние (из общего'!A:C,3,0)), "")</f>
        <v/>
      </c>
      <c r="U2317" s="9" t="s">
        <v>13284</v>
      </c>
      <c r="V2317" s="9" t="s">
        <v>13284</v>
      </c>
      <c r="W2317" s="12"/>
      <c r="X2317" s="9" t="str">
        <f t="array" ref="X2317">IFERROR(INDEX('Адреса общежитий (скрытый)'!$B$2:$B$9, MATCH(W2317, 'Адреса общежитий (скрытый)'!$A$2:$A$9, 0)), "")</f>
        <v/>
      </c>
      <c r="Y2317" s="18"/>
      <c r="Z2317" s="18"/>
      <c r="AA2317" s="18"/>
      <c r="AB2317" s="18"/>
      <c r="AC2317" s="18"/>
    </row>
    <row r="2318" spans="1:29" ht="32.25" hidden="1" customHeight="1">
      <c r="A2318" s="17"/>
      <c r="B2318" s="9" t="s">
        <v>13284</v>
      </c>
      <c r="C2318" s="9" t="s">
        <v>13284</v>
      </c>
      <c r="D2318" s="9" t="s">
        <v>13284</v>
      </c>
      <c r="E2318" s="9" t="s">
        <v>13284</v>
      </c>
      <c r="F2318" s="9" t="s">
        <v>13284</v>
      </c>
      <c r="G2318" s="9" t="s">
        <v>13284</v>
      </c>
      <c r="H2318" s="9" t="s">
        <v>13284</v>
      </c>
      <c r="I2318" s="9" t="s">
        <v>13284</v>
      </c>
      <c r="J2318" s="9" t="s">
        <v>13284</v>
      </c>
      <c r="K2318" s="9" t="s">
        <v>13284</v>
      </c>
      <c r="L2318" s="9" t="s">
        <v>13284</v>
      </c>
      <c r="M2318" s="9" t="s">
        <v>13284</v>
      </c>
      <c r="N2318" s="9" t="s">
        <v>13284</v>
      </c>
      <c r="O2318" s="9" t="s">
        <v>13284</v>
      </c>
      <c r="P2318" s="9" t="s">
        <v>13284</v>
      </c>
      <c r="Q2318" s="9" t="s">
        <v>13284</v>
      </c>
      <c r="R2318" s="9" t="s">
        <v>13284</v>
      </c>
      <c r="S2318" s="9" t="s">
        <v>13284</v>
      </c>
      <c r="T2318" s="9" t="str">
        <f ca="1">IFERROR(IF(AND(VLOOKUP(A2318, 'Актуальное состояние (из общего'!A:C,3,0) = "", A2318 &lt;&gt; ""), "ПРОВЕРИТЬ", VLOOKUP(A2318, 'Актуальное состояние (из общего'!A:C,3,0)), "")</f>
        <v/>
      </c>
      <c r="U2318" s="9" t="s">
        <v>13284</v>
      </c>
      <c r="V2318" s="9" t="s">
        <v>13284</v>
      </c>
      <c r="W2318" s="12"/>
      <c r="X2318" s="9" t="str">
        <f t="array" ref="X2318">IFERROR(INDEX('Адреса общежитий (скрытый)'!$B$2:$B$9, MATCH(W2318, 'Адреса общежитий (скрытый)'!$A$2:$A$9, 0)), "")</f>
        <v/>
      </c>
      <c r="Y2318" s="18"/>
      <c r="Z2318" s="18"/>
      <c r="AA2318" s="18"/>
      <c r="AB2318" s="18"/>
      <c r="AC2318" s="18"/>
    </row>
    <row r="2319" spans="1:29" ht="32.25" hidden="1" customHeight="1">
      <c r="A2319" s="17"/>
      <c r="B2319" s="9" t="s">
        <v>13284</v>
      </c>
      <c r="C2319" s="9" t="s">
        <v>13284</v>
      </c>
      <c r="D2319" s="9" t="s">
        <v>13284</v>
      </c>
      <c r="E2319" s="9" t="s">
        <v>13284</v>
      </c>
      <c r="F2319" s="9" t="s">
        <v>13284</v>
      </c>
      <c r="G2319" s="9" t="s">
        <v>13284</v>
      </c>
      <c r="H2319" s="9" t="s">
        <v>13284</v>
      </c>
      <c r="I2319" s="9" t="s">
        <v>13284</v>
      </c>
      <c r="J2319" s="9" t="s">
        <v>13284</v>
      </c>
      <c r="K2319" s="9" t="s">
        <v>13284</v>
      </c>
      <c r="L2319" s="9" t="s">
        <v>13284</v>
      </c>
      <c r="M2319" s="9" t="s">
        <v>13284</v>
      </c>
      <c r="N2319" s="9" t="s">
        <v>13284</v>
      </c>
      <c r="O2319" s="9" t="s">
        <v>13284</v>
      </c>
      <c r="P2319" s="9" t="s">
        <v>13284</v>
      </c>
      <c r="Q2319" s="9" t="s">
        <v>13284</v>
      </c>
      <c r="R2319" s="9" t="s">
        <v>13284</v>
      </c>
      <c r="S2319" s="9" t="s">
        <v>13284</v>
      </c>
      <c r="T2319" s="9" t="str">
        <f ca="1">IFERROR(IF(AND(VLOOKUP(A2319, 'Актуальное состояние (из общего'!A:C,3,0) = "", A2319 &lt;&gt; ""), "ПРОВЕРИТЬ", VLOOKUP(A2319, 'Актуальное состояние (из общего'!A:C,3,0)), "")</f>
        <v/>
      </c>
      <c r="U2319" s="9" t="s">
        <v>13284</v>
      </c>
      <c r="V2319" s="9" t="s">
        <v>13284</v>
      </c>
      <c r="W2319" s="12"/>
      <c r="X2319" s="9" t="str">
        <f t="array" ref="X2319">IFERROR(INDEX('Адреса общежитий (скрытый)'!$B$2:$B$9, MATCH(W2319, 'Адреса общежитий (скрытый)'!$A$2:$A$9, 0)), "")</f>
        <v/>
      </c>
      <c r="Y2319" s="18"/>
      <c r="Z2319" s="18"/>
      <c r="AA2319" s="18"/>
      <c r="AB2319" s="18"/>
      <c r="AC2319" s="18"/>
    </row>
    <row r="2320" spans="1:29" ht="32.25" hidden="1" customHeight="1">
      <c r="A2320" s="17"/>
      <c r="B2320" s="9" t="s">
        <v>13284</v>
      </c>
      <c r="C2320" s="9" t="s">
        <v>13284</v>
      </c>
      <c r="D2320" s="9" t="s">
        <v>13284</v>
      </c>
      <c r="E2320" s="9" t="s">
        <v>13284</v>
      </c>
      <c r="F2320" s="9" t="s">
        <v>13284</v>
      </c>
      <c r="G2320" s="9" t="s">
        <v>13284</v>
      </c>
      <c r="H2320" s="9" t="s">
        <v>13284</v>
      </c>
      <c r="I2320" s="9" t="s">
        <v>13284</v>
      </c>
      <c r="J2320" s="9" t="s">
        <v>13284</v>
      </c>
      <c r="K2320" s="9" t="s">
        <v>13284</v>
      </c>
      <c r="L2320" s="9" t="s">
        <v>13284</v>
      </c>
      <c r="M2320" s="9" t="s">
        <v>13284</v>
      </c>
      <c r="N2320" s="9" t="s">
        <v>13284</v>
      </c>
      <c r="O2320" s="9" t="s">
        <v>13284</v>
      </c>
      <c r="P2320" s="9" t="s">
        <v>13284</v>
      </c>
      <c r="Q2320" s="9" t="s">
        <v>13284</v>
      </c>
      <c r="R2320" s="9" t="s">
        <v>13284</v>
      </c>
      <c r="S2320" s="9" t="s">
        <v>13284</v>
      </c>
      <c r="T2320" s="9" t="str">
        <f ca="1">IFERROR(IF(AND(VLOOKUP(A2320, 'Актуальное состояние (из общего'!A:C,3,0) = "", A2320 &lt;&gt; ""), "ПРОВЕРИТЬ", VLOOKUP(A2320, 'Актуальное состояние (из общего'!A:C,3,0)), "")</f>
        <v/>
      </c>
      <c r="U2320" s="9" t="s">
        <v>13284</v>
      </c>
      <c r="V2320" s="9" t="s">
        <v>13284</v>
      </c>
      <c r="W2320" s="12"/>
      <c r="X2320" s="9" t="str">
        <f t="array" ref="X2320">IFERROR(INDEX('Адреса общежитий (скрытый)'!$B$2:$B$9, MATCH(W2320, 'Адреса общежитий (скрытый)'!$A$2:$A$9, 0)), "")</f>
        <v/>
      </c>
      <c r="Y2320" s="18"/>
      <c r="Z2320" s="18"/>
      <c r="AA2320" s="18"/>
      <c r="AB2320" s="18"/>
      <c r="AC2320" s="18"/>
    </row>
    <row r="2321" spans="1:29" ht="32.25" hidden="1" customHeight="1">
      <c r="A2321" s="17"/>
      <c r="B2321" s="9" t="s">
        <v>13284</v>
      </c>
      <c r="C2321" s="9" t="s">
        <v>13284</v>
      </c>
      <c r="D2321" s="9" t="s">
        <v>13284</v>
      </c>
      <c r="E2321" s="9" t="s">
        <v>13284</v>
      </c>
      <c r="F2321" s="9" t="s">
        <v>13284</v>
      </c>
      <c r="G2321" s="9" t="s">
        <v>13284</v>
      </c>
      <c r="H2321" s="9" t="s">
        <v>13284</v>
      </c>
      <c r="I2321" s="9" t="s">
        <v>13284</v>
      </c>
      <c r="J2321" s="9" t="s">
        <v>13284</v>
      </c>
      <c r="K2321" s="9" t="s">
        <v>13284</v>
      </c>
      <c r="L2321" s="9" t="s">
        <v>13284</v>
      </c>
      <c r="M2321" s="9" t="s">
        <v>13284</v>
      </c>
      <c r="N2321" s="9" t="s">
        <v>13284</v>
      </c>
      <c r="O2321" s="9" t="s">
        <v>13284</v>
      </c>
      <c r="P2321" s="9" t="s">
        <v>13284</v>
      </c>
      <c r="Q2321" s="9" t="s">
        <v>13284</v>
      </c>
      <c r="R2321" s="9" t="s">
        <v>13284</v>
      </c>
      <c r="S2321" s="9" t="s">
        <v>13284</v>
      </c>
      <c r="T2321" s="9" t="str">
        <f ca="1">IFERROR(IF(AND(VLOOKUP(A2321, 'Актуальное состояние (из общего'!A:C,3,0) = "", A2321 &lt;&gt; ""), "ПРОВЕРИТЬ", VLOOKUP(A2321, 'Актуальное состояние (из общего'!A:C,3,0)), "")</f>
        <v/>
      </c>
      <c r="U2321" s="9" t="s">
        <v>13284</v>
      </c>
      <c r="V2321" s="9" t="s">
        <v>13284</v>
      </c>
      <c r="W2321" s="12"/>
      <c r="X2321" s="9" t="str">
        <f t="array" ref="X2321">IFERROR(INDEX('Адреса общежитий (скрытый)'!$B$2:$B$9, MATCH(W2321, 'Адреса общежитий (скрытый)'!$A$2:$A$9, 0)), "")</f>
        <v/>
      </c>
      <c r="Y2321" s="18"/>
      <c r="Z2321" s="18"/>
      <c r="AA2321" s="18"/>
      <c r="AB2321" s="18"/>
      <c r="AC2321" s="18"/>
    </row>
    <row r="2322" spans="1:29" ht="32.25" hidden="1" customHeight="1">
      <c r="A2322" s="17"/>
      <c r="B2322" s="9" t="s">
        <v>13284</v>
      </c>
      <c r="C2322" s="9" t="s">
        <v>13284</v>
      </c>
      <c r="D2322" s="9" t="s">
        <v>13284</v>
      </c>
      <c r="E2322" s="9" t="s">
        <v>13284</v>
      </c>
      <c r="F2322" s="9" t="s">
        <v>13284</v>
      </c>
      <c r="G2322" s="9" t="s">
        <v>13284</v>
      </c>
      <c r="H2322" s="9" t="s">
        <v>13284</v>
      </c>
      <c r="I2322" s="9" t="s">
        <v>13284</v>
      </c>
      <c r="J2322" s="9" t="s">
        <v>13284</v>
      </c>
      <c r="K2322" s="9" t="s">
        <v>13284</v>
      </c>
      <c r="L2322" s="9" t="s">
        <v>13284</v>
      </c>
      <c r="M2322" s="9" t="s">
        <v>13284</v>
      </c>
      <c r="N2322" s="9" t="s">
        <v>13284</v>
      </c>
      <c r="O2322" s="9" t="s">
        <v>13284</v>
      </c>
      <c r="P2322" s="9" t="s">
        <v>13284</v>
      </c>
      <c r="Q2322" s="9" t="s">
        <v>13284</v>
      </c>
      <c r="R2322" s="9" t="s">
        <v>13284</v>
      </c>
      <c r="S2322" s="9" t="s">
        <v>13284</v>
      </c>
      <c r="T2322" s="9" t="str">
        <f ca="1">IFERROR(IF(AND(VLOOKUP(A2322, 'Актуальное состояние (из общего'!A:C,3,0) = "", A2322 &lt;&gt; ""), "ПРОВЕРИТЬ", VLOOKUP(A2322, 'Актуальное состояние (из общего'!A:C,3,0)), "")</f>
        <v/>
      </c>
      <c r="U2322" s="9" t="s">
        <v>13284</v>
      </c>
      <c r="V2322" s="9" t="s">
        <v>13284</v>
      </c>
      <c r="W2322" s="12"/>
      <c r="X2322" s="9" t="str">
        <f t="array" ref="X2322">IFERROR(INDEX('Адреса общежитий (скрытый)'!$B$2:$B$9, MATCH(W2322, 'Адреса общежитий (скрытый)'!$A$2:$A$9, 0)), "")</f>
        <v/>
      </c>
      <c r="Y2322" s="18"/>
      <c r="Z2322" s="18"/>
      <c r="AA2322" s="18"/>
      <c r="AB2322" s="18"/>
      <c r="AC2322" s="18"/>
    </row>
    <row r="2323" spans="1:29" ht="32.25" hidden="1" customHeight="1">
      <c r="A2323" s="17"/>
      <c r="B2323" s="9" t="s">
        <v>13284</v>
      </c>
      <c r="C2323" s="9" t="s">
        <v>13284</v>
      </c>
      <c r="D2323" s="9" t="s">
        <v>13284</v>
      </c>
      <c r="E2323" s="9" t="s">
        <v>13284</v>
      </c>
      <c r="F2323" s="9" t="s">
        <v>13284</v>
      </c>
      <c r="G2323" s="9" t="s">
        <v>13284</v>
      </c>
      <c r="H2323" s="9" t="s">
        <v>13284</v>
      </c>
      <c r="I2323" s="9" t="s">
        <v>13284</v>
      </c>
      <c r="J2323" s="9" t="s">
        <v>13284</v>
      </c>
      <c r="K2323" s="9" t="s">
        <v>13284</v>
      </c>
      <c r="L2323" s="9" t="s">
        <v>13284</v>
      </c>
      <c r="M2323" s="9" t="s">
        <v>13284</v>
      </c>
      <c r="N2323" s="9" t="s">
        <v>13284</v>
      </c>
      <c r="O2323" s="9" t="s">
        <v>13284</v>
      </c>
      <c r="P2323" s="9" t="s">
        <v>13284</v>
      </c>
      <c r="Q2323" s="9" t="s">
        <v>13284</v>
      </c>
      <c r="R2323" s="9" t="s">
        <v>13284</v>
      </c>
      <c r="S2323" s="9" t="s">
        <v>13284</v>
      </c>
      <c r="T2323" s="9" t="str">
        <f ca="1">IFERROR(IF(AND(VLOOKUP(A2323, 'Актуальное состояние (из общего'!A:C,3,0) = "", A2323 &lt;&gt; ""), "ПРОВЕРИТЬ", VLOOKUP(A2323, 'Актуальное состояние (из общего'!A:C,3,0)), "")</f>
        <v/>
      </c>
      <c r="U2323" s="9" t="s">
        <v>13284</v>
      </c>
      <c r="V2323" s="9" t="s">
        <v>13284</v>
      </c>
      <c r="W2323" s="12"/>
      <c r="X2323" s="9" t="str">
        <f t="array" ref="X2323">IFERROR(INDEX('Адреса общежитий (скрытый)'!$B$2:$B$9, MATCH(W2323, 'Адреса общежитий (скрытый)'!$A$2:$A$9, 0)), "")</f>
        <v/>
      </c>
      <c r="Y2323" s="18"/>
      <c r="Z2323" s="18"/>
      <c r="AA2323" s="18"/>
      <c r="AB2323" s="18"/>
      <c r="AC2323" s="18"/>
    </row>
    <row r="2324" spans="1:29" ht="32.25" hidden="1" customHeight="1">
      <c r="A2324" s="17"/>
      <c r="B2324" s="9" t="s">
        <v>13284</v>
      </c>
      <c r="C2324" s="9" t="s">
        <v>13284</v>
      </c>
      <c r="D2324" s="9" t="s">
        <v>13284</v>
      </c>
      <c r="E2324" s="9" t="s">
        <v>13284</v>
      </c>
      <c r="F2324" s="9" t="s">
        <v>13284</v>
      </c>
      <c r="G2324" s="9" t="s">
        <v>13284</v>
      </c>
      <c r="H2324" s="9" t="s">
        <v>13284</v>
      </c>
      <c r="I2324" s="9" t="s">
        <v>13284</v>
      </c>
      <c r="J2324" s="9" t="s">
        <v>13284</v>
      </c>
      <c r="K2324" s="9" t="s">
        <v>13284</v>
      </c>
      <c r="L2324" s="9" t="s">
        <v>13284</v>
      </c>
      <c r="M2324" s="9" t="s">
        <v>13284</v>
      </c>
      <c r="N2324" s="9" t="s">
        <v>13284</v>
      </c>
      <c r="O2324" s="9" t="s">
        <v>13284</v>
      </c>
      <c r="P2324" s="9" t="s">
        <v>13284</v>
      </c>
      <c r="Q2324" s="9" t="s">
        <v>13284</v>
      </c>
      <c r="R2324" s="9" t="s">
        <v>13284</v>
      </c>
      <c r="S2324" s="9" t="s">
        <v>13284</v>
      </c>
      <c r="T2324" s="9" t="str">
        <f ca="1">IFERROR(IF(AND(VLOOKUP(A2324, 'Актуальное состояние (из общего'!A:C,3,0) = "", A2324 &lt;&gt; ""), "ПРОВЕРИТЬ", VLOOKUP(A2324, 'Актуальное состояние (из общего'!A:C,3,0)), "")</f>
        <v/>
      </c>
      <c r="U2324" s="9" t="s">
        <v>13284</v>
      </c>
      <c r="V2324" s="9" t="s">
        <v>13284</v>
      </c>
      <c r="W2324" s="12"/>
      <c r="X2324" s="9" t="str">
        <f t="array" ref="X2324">IFERROR(INDEX('Адреса общежитий (скрытый)'!$B$2:$B$9, MATCH(W2324, 'Адреса общежитий (скрытый)'!$A$2:$A$9, 0)), "")</f>
        <v/>
      </c>
      <c r="Y2324" s="18"/>
      <c r="Z2324" s="18"/>
      <c r="AA2324" s="18"/>
      <c r="AB2324" s="18"/>
      <c r="AC2324" s="18"/>
    </row>
    <row r="2325" spans="1:29" ht="32.25" hidden="1" customHeight="1">
      <c r="A2325" s="17"/>
      <c r="B2325" s="9" t="s">
        <v>13284</v>
      </c>
      <c r="C2325" s="9" t="s">
        <v>13284</v>
      </c>
      <c r="D2325" s="9" t="s">
        <v>13284</v>
      </c>
      <c r="E2325" s="9" t="s">
        <v>13284</v>
      </c>
      <c r="F2325" s="9" t="s">
        <v>13284</v>
      </c>
      <c r="G2325" s="9" t="s">
        <v>13284</v>
      </c>
      <c r="H2325" s="9" t="s">
        <v>13284</v>
      </c>
      <c r="I2325" s="9" t="s">
        <v>13284</v>
      </c>
      <c r="J2325" s="9" t="s">
        <v>13284</v>
      </c>
      <c r="K2325" s="9" t="s">
        <v>13284</v>
      </c>
      <c r="L2325" s="9" t="s">
        <v>13284</v>
      </c>
      <c r="M2325" s="9" t="s">
        <v>13284</v>
      </c>
      <c r="N2325" s="9" t="s">
        <v>13284</v>
      </c>
      <c r="O2325" s="9" t="s">
        <v>13284</v>
      </c>
      <c r="P2325" s="9" t="s">
        <v>13284</v>
      </c>
      <c r="Q2325" s="9" t="s">
        <v>13284</v>
      </c>
      <c r="R2325" s="9" t="s">
        <v>13284</v>
      </c>
      <c r="S2325" s="9" t="s">
        <v>13284</v>
      </c>
      <c r="T2325" s="9" t="str">
        <f ca="1">IFERROR(IF(AND(VLOOKUP(A2325, 'Актуальное состояние (из общего'!A:C,3,0) = "", A2325 &lt;&gt; ""), "ПРОВЕРИТЬ", VLOOKUP(A2325, 'Актуальное состояние (из общего'!A:C,3,0)), "")</f>
        <v/>
      </c>
      <c r="U2325" s="9" t="s">
        <v>13284</v>
      </c>
      <c r="V2325" s="9" t="s">
        <v>13284</v>
      </c>
      <c r="W2325" s="12"/>
      <c r="X2325" s="9" t="str">
        <f t="array" ref="X2325">IFERROR(INDEX('Адреса общежитий (скрытый)'!$B$2:$B$9, MATCH(W2325, 'Адреса общежитий (скрытый)'!$A$2:$A$9, 0)), "")</f>
        <v/>
      </c>
      <c r="Y2325" s="18"/>
      <c r="Z2325" s="18"/>
      <c r="AA2325" s="18"/>
      <c r="AB2325" s="18"/>
      <c r="AC2325" s="18"/>
    </row>
    <row r="2326" spans="1:29" ht="32.25" hidden="1" customHeight="1">
      <c r="A2326" s="17"/>
      <c r="B2326" s="9" t="s">
        <v>13284</v>
      </c>
      <c r="C2326" s="9" t="s">
        <v>13284</v>
      </c>
      <c r="D2326" s="9" t="s">
        <v>13284</v>
      </c>
      <c r="E2326" s="9" t="s">
        <v>13284</v>
      </c>
      <c r="F2326" s="9" t="s">
        <v>13284</v>
      </c>
      <c r="G2326" s="9" t="s">
        <v>13284</v>
      </c>
      <c r="H2326" s="9" t="s">
        <v>13284</v>
      </c>
      <c r="I2326" s="9" t="s">
        <v>13284</v>
      </c>
      <c r="J2326" s="9" t="s">
        <v>13284</v>
      </c>
      <c r="K2326" s="9" t="s">
        <v>13284</v>
      </c>
      <c r="L2326" s="9" t="s">
        <v>13284</v>
      </c>
      <c r="M2326" s="9" t="s">
        <v>13284</v>
      </c>
      <c r="N2326" s="9" t="s">
        <v>13284</v>
      </c>
      <c r="O2326" s="9" t="s">
        <v>13284</v>
      </c>
      <c r="P2326" s="9" t="s">
        <v>13284</v>
      </c>
      <c r="Q2326" s="9" t="s">
        <v>13284</v>
      </c>
      <c r="R2326" s="9" t="s">
        <v>13284</v>
      </c>
      <c r="S2326" s="9" t="s">
        <v>13284</v>
      </c>
      <c r="T2326" s="9" t="str">
        <f ca="1">IFERROR(IF(AND(VLOOKUP(A2326, 'Актуальное состояние (из общего'!A:C,3,0) = "", A2326 &lt;&gt; ""), "ПРОВЕРИТЬ", VLOOKUP(A2326, 'Актуальное состояние (из общего'!A:C,3,0)), "")</f>
        <v/>
      </c>
      <c r="U2326" s="9" t="s">
        <v>13284</v>
      </c>
      <c r="V2326" s="9" t="s">
        <v>13284</v>
      </c>
      <c r="W2326" s="12"/>
      <c r="X2326" s="9" t="str">
        <f t="array" ref="X2326">IFERROR(INDEX('Адреса общежитий (скрытый)'!$B$2:$B$9, MATCH(W2326, 'Адреса общежитий (скрытый)'!$A$2:$A$9, 0)), "")</f>
        <v/>
      </c>
      <c r="Y2326" s="18"/>
      <c r="Z2326" s="18"/>
      <c r="AA2326" s="18"/>
      <c r="AB2326" s="18"/>
      <c r="AC2326" s="18"/>
    </row>
    <row r="2327" spans="1:29" ht="32.25" hidden="1" customHeight="1">
      <c r="A2327" s="17"/>
      <c r="B2327" s="9" t="s">
        <v>13284</v>
      </c>
      <c r="C2327" s="9" t="s">
        <v>13284</v>
      </c>
      <c r="D2327" s="9" t="s">
        <v>13284</v>
      </c>
      <c r="E2327" s="9" t="s">
        <v>13284</v>
      </c>
      <c r="F2327" s="9" t="s">
        <v>13284</v>
      </c>
      <c r="G2327" s="9" t="s">
        <v>13284</v>
      </c>
      <c r="H2327" s="9" t="s">
        <v>13284</v>
      </c>
      <c r="I2327" s="9" t="s">
        <v>13284</v>
      </c>
      <c r="J2327" s="9" t="s">
        <v>13284</v>
      </c>
      <c r="K2327" s="9" t="s">
        <v>13284</v>
      </c>
      <c r="L2327" s="9" t="s">
        <v>13284</v>
      </c>
      <c r="M2327" s="9" t="s">
        <v>13284</v>
      </c>
      <c r="N2327" s="9" t="s">
        <v>13284</v>
      </c>
      <c r="O2327" s="9" t="s">
        <v>13284</v>
      </c>
      <c r="P2327" s="9" t="s">
        <v>13284</v>
      </c>
      <c r="Q2327" s="9" t="s">
        <v>13284</v>
      </c>
      <c r="R2327" s="9" t="s">
        <v>13284</v>
      </c>
      <c r="S2327" s="9" t="s">
        <v>13284</v>
      </c>
      <c r="T2327" s="9" t="str">
        <f ca="1">IFERROR(IF(AND(VLOOKUP(A2327, 'Актуальное состояние (из общего'!A:C,3,0) = "", A2327 &lt;&gt; ""), "ПРОВЕРИТЬ", VLOOKUP(A2327, 'Актуальное состояние (из общего'!A:C,3,0)), "")</f>
        <v/>
      </c>
      <c r="U2327" s="9" t="s">
        <v>13284</v>
      </c>
      <c r="V2327" s="9" t="s">
        <v>13284</v>
      </c>
      <c r="W2327" s="12"/>
      <c r="X2327" s="9" t="str">
        <f t="array" ref="X2327">IFERROR(INDEX('Адреса общежитий (скрытый)'!$B$2:$B$9, MATCH(W2327, 'Адреса общежитий (скрытый)'!$A$2:$A$9, 0)), "")</f>
        <v/>
      </c>
      <c r="Y2327" s="18"/>
      <c r="Z2327" s="18"/>
      <c r="AA2327" s="18"/>
      <c r="AB2327" s="18"/>
      <c r="AC2327" s="18"/>
    </row>
    <row r="2328" spans="1:29" ht="32.25" hidden="1" customHeight="1">
      <c r="A2328" s="17"/>
      <c r="B2328" s="9" t="s">
        <v>13284</v>
      </c>
      <c r="C2328" s="9" t="s">
        <v>13284</v>
      </c>
      <c r="D2328" s="9" t="s">
        <v>13284</v>
      </c>
      <c r="E2328" s="9" t="s">
        <v>13284</v>
      </c>
      <c r="F2328" s="9" t="s">
        <v>13284</v>
      </c>
      <c r="G2328" s="9" t="s">
        <v>13284</v>
      </c>
      <c r="H2328" s="9" t="s">
        <v>13284</v>
      </c>
      <c r="I2328" s="9" t="s">
        <v>13284</v>
      </c>
      <c r="J2328" s="9" t="s">
        <v>13284</v>
      </c>
      <c r="K2328" s="9" t="s">
        <v>13284</v>
      </c>
      <c r="L2328" s="9" t="s">
        <v>13284</v>
      </c>
      <c r="M2328" s="9" t="s">
        <v>13284</v>
      </c>
      <c r="N2328" s="9" t="s">
        <v>13284</v>
      </c>
      <c r="O2328" s="9" t="s">
        <v>13284</v>
      </c>
      <c r="P2328" s="9" t="s">
        <v>13284</v>
      </c>
      <c r="Q2328" s="9" t="s">
        <v>13284</v>
      </c>
      <c r="R2328" s="9" t="s">
        <v>13284</v>
      </c>
      <c r="S2328" s="9" t="s">
        <v>13284</v>
      </c>
      <c r="T2328" s="9" t="str">
        <f ca="1">IFERROR(IF(AND(VLOOKUP(A2328, 'Актуальное состояние (из общего'!A:C,3,0) = "", A2328 &lt;&gt; ""), "ПРОВЕРИТЬ", VLOOKUP(A2328, 'Актуальное состояние (из общего'!A:C,3,0)), "")</f>
        <v/>
      </c>
      <c r="U2328" s="9" t="s">
        <v>13284</v>
      </c>
      <c r="V2328" s="9" t="s">
        <v>13284</v>
      </c>
      <c r="W2328" s="12"/>
      <c r="X2328" s="9" t="str">
        <f t="array" ref="X2328">IFERROR(INDEX('Адреса общежитий (скрытый)'!$B$2:$B$9, MATCH(W2328, 'Адреса общежитий (скрытый)'!$A$2:$A$9, 0)), "")</f>
        <v/>
      </c>
      <c r="Y2328" s="18"/>
      <c r="Z2328" s="18"/>
      <c r="AA2328" s="18"/>
      <c r="AB2328" s="18"/>
      <c r="AC2328" s="18"/>
    </row>
    <row r="2329" spans="1:29" ht="32.25" hidden="1" customHeight="1">
      <c r="A2329" s="17"/>
      <c r="B2329" s="9" t="s">
        <v>13284</v>
      </c>
      <c r="C2329" s="9" t="s">
        <v>13284</v>
      </c>
      <c r="D2329" s="9" t="s">
        <v>13284</v>
      </c>
      <c r="E2329" s="9" t="s">
        <v>13284</v>
      </c>
      <c r="F2329" s="9" t="s">
        <v>13284</v>
      </c>
      <c r="G2329" s="9" t="s">
        <v>13284</v>
      </c>
      <c r="H2329" s="9" t="s">
        <v>13284</v>
      </c>
      <c r="I2329" s="9" t="s">
        <v>13284</v>
      </c>
      <c r="J2329" s="9" t="s">
        <v>13284</v>
      </c>
      <c r="K2329" s="9" t="s">
        <v>13284</v>
      </c>
      <c r="L2329" s="9" t="s">
        <v>13284</v>
      </c>
      <c r="M2329" s="9" t="s">
        <v>13284</v>
      </c>
      <c r="N2329" s="9" t="s">
        <v>13284</v>
      </c>
      <c r="O2329" s="9" t="s">
        <v>13284</v>
      </c>
      <c r="P2329" s="9" t="s">
        <v>13284</v>
      </c>
      <c r="Q2329" s="9" t="s">
        <v>13284</v>
      </c>
      <c r="R2329" s="9" t="s">
        <v>13284</v>
      </c>
      <c r="S2329" s="9" t="s">
        <v>13284</v>
      </c>
      <c r="T2329" s="9" t="str">
        <f ca="1">IFERROR(IF(AND(VLOOKUP(A2329, 'Актуальное состояние (из общего'!A:C,3,0) = "", A2329 &lt;&gt; ""), "ПРОВЕРИТЬ", VLOOKUP(A2329, 'Актуальное состояние (из общего'!A:C,3,0)), "")</f>
        <v/>
      </c>
      <c r="U2329" s="9" t="s">
        <v>13284</v>
      </c>
      <c r="V2329" s="9" t="s">
        <v>13284</v>
      </c>
      <c r="W2329" s="12"/>
      <c r="X2329" s="9" t="str">
        <f t="array" ref="X2329">IFERROR(INDEX('Адреса общежитий (скрытый)'!$B$2:$B$9, MATCH(W2329, 'Адреса общежитий (скрытый)'!$A$2:$A$9, 0)), "")</f>
        <v/>
      </c>
      <c r="Y2329" s="18"/>
      <c r="Z2329" s="18"/>
      <c r="AA2329" s="18"/>
      <c r="AB2329" s="18"/>
      <c r="AC2329" s="18"/>
    </row>
    <row r="2330" spans="1:29" ht="32.25" hidden="1" customHeight="1">
      <c r="A2330" s="17"/>
      <c r="B2330" s="9" t="s">
        <v>13284</v>
      </c>
      <c r="C2330" s="9" t="s">
        <v>13284</v>
      </c>
      <c r="D2330" s="9" t="s">
        <v>13284</v>
      </c>
      <c r="E2330" s="9" t="s">
        <v>13284</v>
      </c>
      <c r="F2330" s="9" t="s">
        <v>13284</v>
      </c>
      <c r="G2330" s="9" t="s">
        <v>13284</v>
      </c>
      <c r="H2330" s="9" t="s">
        <v>13284</v>
      </c>
      <c r="I2330" s="9" t="s">
        <v>13284</v>
      </c>
      <c r="J2330" s="9" t="s">
        <v>13284</v>
      </c>
      <c r="K2330" s="9" t="s">
        <v>13284</v>
      </c>
      <c r="L2330" s="9" t="s">
        <v>13284</v>
      </c>
      <c r="M2330" s="9" t="s">
        <v>13284</v>
      </c>
      <c r="N2330" s="9" t="s">
        <v>13284</v>
      </c>
      <c r="O2330" s="9" t="s">
        <v>13284</v>
      </c>
      <c r="P2330" s="9" t="s">
        <v>13284</v>
      </c>
      <c r="Q2330" s="9" t="s">
        <v>13284</v>
      </c>
      <c r="R2330" s="9" t="s">
        <v>13284</v>
      </c>
      <c r="S2330" s="9" t="s">
        <v>13284</v>
      </c>
      <c r="T2330" s="9" t="str">
        <f ca="1">IFERROR(IF(AND(VLOOKUP(A2330, 'Актуальное состояние (из общего'!A:C,3,0) = "", A2330 &lt;&gt; ""), "ПРОВЕРИТЬ", VLOOKUP(A2330, 'Актуальное состояние (из общего'!A:C,3,0)), "")</f>
        <v/>
      </c>
      <c r="U2330" s="9" t="s">
        <v>13284</v>
      </c>
      <c r="V2330" s="9" t="s">
        <v>13284</v>
      </c>
      <c r="W2330" s="12"/>
      <c r="X2330" s="9" t="str">
        <f t="array" ref="X2330">IFERROR(INDEX('Адреса общежитий (скрытый)'!$B$2:$B$9, MATCH(W2330, 'Адреса общежитий (скрытый)'!$A$2:$A$9, 0)), "")</f>
        <v/>
      </c>
      <c r="Y2330" s="18"/>
      <c r="Z2330" s="18"/>
      <c r="AA2330" s="18"/>
      <c r="AB2330" s="18"/>
      <c r="AC2330" s="18"/>
    </row>
    <row r="2331" spans="1:29" ht="32.25" hidden="1" customHeight="1">
      <c r="A2331" s="17"/>
      <c r="B2331" s="9" t="s">
        <v>13284</v>
      </c>
      <c r="C2331" s="9" t="s">
        <v>13284</v>
      </c>
      <c r="D2331" s="9" t="s">
        <v>13284</v>
      </c>
      <c r="E2331" s="9" t="s">
        <v>13284</v>
      </c>
      <c r="F2331" s="9" t="s">
        <v>13284</v>
      </c>
      <c r="G2331" s="9" t="s">
        <v>13284</v>
      </c>
      <c r="H2331" s="9" t="s">
        <v>13284</v>
      </c>
      <c r="I2331" s="9" t="s">
        <v>13284</v>
      </c>
      <c r="J2331" s="9" t="s">
        <v>13284</v>
      </c>
      <c r="K2331" s="9" t="s">
        <v>13284</v>
      </c>
      <c r="L2331" s="9" t="s">
        <v>13284</v>
      </c>
      <c r="M2331" s="9" t="s">
        <v>13284</v>
      </c>
      <c r="N2331" s="9" t="s">
        <v>13284</v>
      </c>
      <c r="O2331" s="9" t="s">
        <v>13284</v>
      </c>
      <c r="P2331" s="9" t="s">
        <v>13284</v>
      </c>
      <c r="Q2331" s="9" t="s">
        <v>13284</v>
      </c>
      <c r="R2331" s="9" t="s">
        <v>13284</v>
      </c>
      <c r="S2331" s="9" t="s">
        <v>13284</v>
      </c>
      <c r="T2331" s="9" t="str">
        <f ca="1">IFERROR(IF(AND(VLOOKUP(A2331, 'Актуальное состояние (из общего'!A:C,3,0) = "", A2331 &lt;&gt; ""), "ПРОВЕРИТЬ", VLOOKUP(A2331, 'Актуальное состояние (из общего'!A:C,3,0)), "")</f>
        <v/>
      </c>
      <c r="U2331" s="9" t="s">
        <v>13284</v>
      </c>
      <c r="V2331" s="9" t="s">
        <v>13284</v>
      </c>
      <c r="W2331" s="12"/>
      <c r="X2331" s="9" t="str">
        <f t="array" ref="X2331">IFERROR(INDEX('Адреса общежитий (скрытый)'!$B$2:$B$9, MATCH(W2331, 'Адреса общежитий (скрытый)'!$A$2:$A$9, 0)), "")</f>
        <v/>
      </c>
      <c r="Y2331" s="18"/>
      <c r="Z2331" s="18"/>
      <c r="AA2331" s="18"/>
      <c r="AB2331" s="18"/>
      <c r="AC2331" s="18"/>
    </row>
    <row r="2332" spans="1:29" ht="32.25" hidden="1" customHeight="1">
      <c r="A2332" s="17"/>
      <c r="B2332" s="9" t="s">
        <v>13284</v>
      </c>
      <c r="C2332" s="9" t="s">
        <v>13284</v>
      </c>
      <c r="D2332" s="9" t="s">
        <v>13284</v>
      </c>
      <c r="E2332" s="9" t="s">
        <v>13284</v>
      </c>
      <c r="F2332" s="9" t="s">
        <v>13284</v>
      </c>
      <c r="G2332" s="9" t="s">
        <v>13284</v>
      </c>
      <c r="H2332" s="9" t="s">
        <v>13284</v>
      </c>
      <c r="I2332" s="9" t="s">
        <v>13284</v>
      </c>
      <c r="J2332" s="9" t="s">
        <v>13284</v>
      </c>
      <c r="K2332" s="9" t="s">
        <v>13284</v>
      </c>
      <c r="L2332" s="9" t="s">
        <v>13284</v>
      </c>
      <c r="M2332" s="9" t="s">
        <v>13284</v>
      </c>
      <c r="N2332" s="9" t="s">
        <v>13284</v>
      </c>
      <c r="O2332" s="9" t="s">
        <v>13284</v>
      </c>
      <c r="P2332" s="9" t="s">
        <v>13284</v>
      </c>
      <c r="Q2332" s="9" t="s">
        <v>13284</v>
      </c>
      <c r="R2332" s="9" t="s">
        <v>13284</v>
      </c>
      <c r="S2332" s="9" t="s">
        <v>13284</v>
      </c>
      <c r="T2332" s="9" t="str">
        <f ca="1">IFERROR(IF(AND(VLOOKUP(A2332, 'Актуальное состояние (из общего'!A:C,3,0) = "", A2332 &lt;&gt; ""), "ПРОВЕРИТЬ", VLOOKUP(A2332, 'Актуальное состояние (из общего'!A:C,3,0)), "")</f>
        <v/>
      </c>
      <c r="U2332" s="9" t="s">
        <v>13284</v>
      </c>
      <c r="V2332" s="9" t="s">
        <v>13284</v>
      </c>
      <c r="W2332" s="12"/>
      <c r="X2332" s="9" t="str">
        <f t="array" ref="X2332">IFERROR(INDEX('Адреса общежитий (скрытый)'!$B$2:$B$9, MATCH(W2332, 'Адреса общежитий (скрытый)'!$A$2:$A$9, 0)), "")</f>
        <v/>
      </c>
      <c r="Y2332" s="18"/>
      <c r="Z2332" s="18"/>
      <c r="AA2332" s="18"/>
      <c r="AB2332" s="18"/>
      <c r="AC2332" s="18"/>
    </row>
    <row r="2333" spans="1:29" ht="32.25" hidden="1" customHeight="1">
      <c r="A2333" s="17"/>
      <c r="B2333" s="9" t="s">
        <v>13284</v>
      </c>
      <c r="C2333" s="9" t="s">
        <v>13284</v>
      </c>
      <c r="D2333" s="9" t="s">
        <v>13284</v>
      </c>
      <c r="E2333" s="9" t="s">
        <v>13284</v>
      </c>
      <c r="F2333" s="9" t="s">
        <v>13284</v>
      </c>
      <c r="G2333" s="9" t="s">
        <v>13284</v>
      </c>
      <c r="H2333" s="9" t="s">
        <v>13284</v>
      </c>
      <c r="I2333" s="9" t="s">
        <v>13284</v>
      </c>
      <c r="J2333" s="9" t="s">
        <v>13284</v>
      </c>
      <c r="K2333" s="9" t="s">
        <v>13284</v>
      </c>
      <c r="L2333" s="9" t="s">
        <v>13284</v>
      </c>
      <c r="M2333" s="9" t="s">
        <v>13284</v>
      </c>
      <c r="N2333" s="9" t="s">
        <v>13284</v>
      </c>
      <c r="O2333" s="9" t="s">
        <v>13284</v>
      </c>
      <c r="P2333" s="9" t="s">
        <v>13284</v>
      </c>
      <c r="Q2333" s="9" t="s">
        <v>13284</v>
      </c>
      <c r="R2333" s="9" t="s">
        <v>13284</v>
      </c>
      <c r="S2333" s="9" t="s">
        <v>13284</v>
      </c>
      <c r="T2333" s="9" t="str">
        <f ca="1">IFERROR(IF(AND(VLOOKUP(A2333, 'Актуальное состояние (из общего'!A:C,3,0) = "", A2333 &lt;&gt; ""), "ПРОВЕРИТЬ", VLOOKUP(A2333, 'Актуальное состояние (из общего'!A:C,3,0)), "")</f>
        <v/>
      </c>
      <c r="U2333" s="9" t="s">
        <v>13284</v>
      </c>
      <c r="V2333" s="9" t="s">
        <v>13284</v>
      </c>
      <c r="W2333" s="12"/>
      <c r="X2333" s="9" t="str">
        <f t="array" ref="X2333">IFERROR(INDEX('Адреса общежитий (скрытый)'!$B$2:$B$9, MATCH(W2333, 'Адреса общежитий (скрытый)'!$A$2:$A$9, 0)), "")</f>
        <v/>
      </c>
      <c r="Y2333" s="18"/>
      <c r="Z2333" s="18"/>
      <c r="AA2333" s="18"/>
      <c r="AB2333" s="18"/>
      <c r="AC2333" s="18"/>
    </row>
    <row r="2334" spans="1:29" ht="32.25" hidden="1" customHeight="1">
      <c r="A2334" s="17"/>
      <c r="B2334" s="9" t="s">
        <v>13284</v>
      </c>
      <c r="C2334" s="9" t="s">
        <v>13284</v>
      </c>
      <c r="D2334" s="9" t="s">
        <v>13284</v>
      </c>
      <c r="E2334" s="9" t="s">
        <v>13284</v>
      </c>
      <c r="F2334" s="9" t="s">
        <v>13284</v>
      </c>
      <c r="G2334" s="9" t="s">
        <v>13284</v>
      </c>
      <c r="H2334" s="9" t="s">
        <v>13284</v>
      </c>
      <c r="I2334" s="9" t="s">
        <v>13284</v>
      </c>
      <c r="J2334" s="9" t="s">
        <v>13284</v>
      </c>
      <c r="K2334" s="9" t="s">
        <v>13284</v>
      </c>
      <c r="L2334" s="9" t="s">
        <v>13284</v>
      </c>
      <c r="M2334" s="9" t="s">
        <v>13284</v>
      </c>
      <c r="N2334" s="9" t="s">
        <v>13284</v>
      </c>
      <c r="O2334" s="9" t="s">
        <v>13284</v>
      </c>
      <c r="P2334" s="9" t="s">
        <v>13284</v>
      </c>
      <c r="Q2334" s="9" t="s">
        <v>13284</v>
      </c>
      <c r="R2334" s="9" t="s">
        <v>13284</v>
      </c>
      <c r="S2334" s="9" t="s">
        <v>13284</v>
      </c>
      <c r="T2334" s="9" t="str">
        <f ca="1">IFERROR(IF(AND(VLOOKUP(A2334, 'Актуальное состояние (из общего'!A:C,3,0) = "", A2334 &lt;&gt; ""), "ПРОВЕРИТЬ", VLOOKUP(A2334, 'Актуальное состояние (из общего'!A:C,3,0)), "")</f>
        <v/>
      </c>
      <c r="U2334" s="9" t="s">
        <v>13284</v>
      </c>
      <c r="V2334" s="9" t="s">
        <v>13284</v>
      </c>
      <c r="W2334" s="12"/>
      <c r="X2334" s="9" t="str">
        <f t="array" ref="X2334">IFERROR(INDEX('Адреса общежитий (скрытый)'!$B$2:$B$9, MATCH(W2334, 'Адреса общежитий (скрытый)'!$A$2:$A$9, 0)), "")</f>
        <v/>
      </c>
      <c r="Y2334" s="18"/>
      <c r="Z2334" s="18"/>
      <c r="AA2334" s="18"/>
      <c r="AB2334" s="18"/>
      <c r="AC2334" s="18"/>
    </row>
    <row r="2335" spans="1:29" ht="32.25" hidden="1" customHeight="1">
      <c r="A2335" s="17"/>
      <c r="B2335" s="9" t="s">
        <v>13284</v>
      </c>
      <c r="C2335" s="9" t="s">
        <v>13284</v>
      </c>
      <c r="D2335" s="9" t="s">
        <v>13284</v>
      </c>
      <c r="E2335" s="9" t="s">
        <v>13284</v>
      </c>
      <c r="F2335" s="9" t="s">
        <v>13284</v>
      </c>
      <c r="G2335" s="9" t="s">
        <v>13284</v>
      </c>
      <c r="H2335" s="9" t="s">
        <v>13284</v>
      </c>
      <c r="I2335" s="9" t="s">
        <v>13284</v>
      </c>
      <c r="J2335" s="9" t="s">
        <v>13284</v>
      </c>
      <c r="K2335" s="9" t="s">
        <v>13284</v>
      </c>
      <c r="L2335" s="9" t="s">
        <v>13284</v>
      </c>
      <c r="M2335" s="9" t="s">
        <v>13284</v>
      </c>
      <c r="N2335" s="9" t="s">
        <v>13284</v>
      </c>
      <c r="O2335" s="9" t="s">
        <v>13284</v>
      </c>
      <c r="P2335" s="9" t="s">
        <v>13284</v>
      </c>
      <c r="Q2335" s="9" t="s">
        <v>13284</v>
      </c>
      <c r="R2335" s="9" t="s">
        <v>13284</v>
      </c>
      <c r="S2335" s="9" t="s">
        <v>13284</v>
      </c>
      <c r="T2335" s="9" t="str">
        <f ca="1">IFERROR(IF(AND(VLOOKUP(A2335, 'Актуальное состояние (из общего'!A:C,3,0) = "", A2335 &lt;&gt; ""), "ПРОВЕРИТЬ", VLOOKUP(A2335, 'Актуальное состояние (из общего'!A:C,3,0)), "")</f>
        <v/>
      </c>
      <c r="U2335" s="9" t="s">
        <v>13284</v>
      </c>
      <c r="V2335" s="9" t="s">
        <v>13284</v>
      </c>
      <c r="W2335" s="12"/>
      <c r="X2335" s="9" t="str">
        <f t="array" ref="X2335">IFERROR(INDEX('Адреса общежитий (скрытый)'!$B$2:$B$9, MATCH(W2335, 'Адреса общежитий (скрытый)'!$A$2:$A$9, 0)), "")</f>
        <v/>
      </c>
      <c r="Y2335" s="18"/>
      <c r="Z2335" s="18"/>
      <c r="AA2335" s="18"/>
      <c r="AB2335" s="18"/>
      <c r="AC2335" s="18"/>
    </row>
    <row r="2336" spans="1:29" ht="32.25" hidden="1" customHeight="1">
      <c r="A2336" s="17"/>
      <c r="B2336" s="9" t="s">
        <v>13284</v>
      </c>
      <c r="C2336" s="9" t="s">
        <v>13284</v>
      </c>
      <c r="D2336" s="9" t="s">
        <v>13284</v>
      </c>
      <c r="E2336" s="9" t="s">
        <v>13284</v>
      </c>
      <c r="F2336" s="9" t="s">
        <v>13284</v>
      </c>
      <c r="G2336" s="9" t="s">
        <v>13284</v>
      </c>
      <c r="H2336" s="9" t="s">
        <v>13284</v>
      </c>
      <c r="I2336" s="9" t="s">
        <v>13284</v>
      </c>
      <c r="J2336" s="9" t="s">
        <v>13284</v>
      </c>
      <c r="K2336" s="9" t="s">
        <v>13284</v>
      </c>
      <c r="L2336" s="9" t="s">
        <v>13284</v>
      </c>
      <c r="M2336" s="9" t="s">
        <v>13284</v>
      </c>
      <c r="N2336" s="9" t="s">
        <v>13284</v>
      </c>
      <c r="O2336" s="9" t="s">
        <v>13284</v>
      </c>
      <c r="P2336" s="9" t="s">
        <v>13284</v>
      </c>
      <c r="Q2336" s="9" t="s">
        <v>13284</v>
      </c>
      <c r="R2336" s="9" t="s">
        <v>13284</v>
      </c>
      <c r="S2336" s="9" t="s">
        <v>13284</v>
      </c>
      <c r="T2336" s="9" t="str">
        <f ca="1">IFERROR(IF(AND(VLOOKUP(A2336, 'Актуальное состояние (из общего'!A:C,3,0) = "", A2336 &lt;&gt; ""), "ПРОВЕРИТЬ", VLOOKUP(A2336, 'Актуальное состояние (из общего'!A:C,3,0)), "")</f>
        <v/>
      </c>
      <c r="U2336" s="9" t="s">
        <v>13284</v>
      </c>
      <c r="V2336" s="9" t="s">
        <v>13284</v>
      </c>
      <c r="W2336" s="12"/>
      <c r="X2336" s="9" t="str">
        <f t="array" ref="X2336">IFERROR(INDEX('Адреса общежитий (скрытый)'!$B$2:$B$9, MATCH(W2336, 'Адреса общежитий (скрытый)'!$A$2:$A$9, 0)), "")</f>
        <v/>
      </c>
      <c r="Y2336" s="18"/>
      <c r="Z2336" s="18"/>
      <c r="AA2336" s="18"/>
      <c r="AB2336" s="18"/>
      <c r="AC2336" s="18"/>
    </row>
    <row r="2337" spans="1:29" ht="32.25" hidden="1" customHeight="1">
      <c r="A2337" s="17"/>
      <c r="B2337" s="9" t="s">
        <v>13284</v>
      </c>
      <c r="C2337" s="9" t="s">
        <v>13284</v>
      </c>
      <c r="D2337" s="9" t="s">
        <v>13284</v>
      </c>
      <c r="E2337" s="9" t="s">
        <v>13284</v>
      </c>
      <c r="F2337" s="9" t="s">
        <v>13284</v>
      </c>
      <c r="G2337" s="9" t="s">
        <v>13284</v>
      </c>
      <c r="H2337" s="9" t="s">
        <v>13284</v>
      </c>
      <c r="I2337" s="9" t="s">
        <v>13284</v>
      </c>
      <c r="J2337" s="9" t="s">
        <v>13284</v>
      </c>
      <c r="K2337" s="9" t="s">
        <v>13284</v>
      </c>
      <c r="L2337" s="9" t="s">
        <v>13284</v>
      </c>
      <c r="M2337" s="9" t="s">
        <v>13284</v>
      </c>
      <c r="N2337" s="9" t="s">
        <v>13284</v>
      </c>
      <c r="O2337" s="9" t="s">
        <v>13284</v>
      </c>
      <c r="P2337" s="9" t="s">
        <v>13284</v>
      </c>
      <c r="Q2337" s="9" t="s">
        <v>13284</v>
      </c>
      <c r="R2337" s="9" t="s">
        <v>13284</v>
      </c>
      <c r="S2337" s="9" t="s">
        <v>13284</v>
      </c>
      <c r="T2337" s="9" t="str">
        <f ca="1">IFERROR(IF(AND(VLOOKUP(A2337, 'Актуальное состояние (из общего'!A:C,3,0) = "", A2337 &lt;&gt; ""), "ПРОВЕРИТЬ", VLOOKUP(A2337, 'Актуальное состояние (из общего'!A:C,3,0)), "")</f>
        <v/>
      </c>
      <c r="U2337" s="9" t="s">
        <v>13284</v>
      </c>
      <c r="V2337" s="9" t="s">
        <v>13284</v>
      </c>
      <c r="W2337" s="12"/>
      <c r="X2337" s="9" t="str">
        <f t="array" ref="X2337">IFERROR(INDEX('Адреса общежитий (скрытый)'!$B$2:$B$9, MATCH(W2337, 'Адреса общежитий (скрытый)'!$A$2:$A$9, 0)), "")</f>
        <v/>
      </c>
      <c r="Y2337" s="18"/>
      <c r="Z2337" s="18"/>
      <c r="AA2337" s="18"/>
      <c r="AB2337" s="18"/>
      <c r="AC2337" s="18"/>
    </row>
    <row r="2338" spans="1:29" ht="32.25" hidden="1" customHeight="1">
      <c r="A2338" s="17"/>
      <c r="B2338" s="9" t="s">
        <v>13284</v>
      </c>
      <c r="C2338" s="9" t="s">
        <v>13284</v>
      </c>
      <c r="D2338" s="9" t="s">
        <v>13284</v>
      </c>
      <c r="E2338" s="9" t="s">
        <v>13284</v>
      </c>
      <c r="F2338" s="9" t="s">
        <v>13284</v>
      </c>
      <c r="G2338" s="9" t="s">
        <v>13284</v>
      </c>
      <c r="H2338" s="9" t="s">
        <v>13284</v>
      </c>
      <c r="I2338" s="9" t="s">
        <v>13284</v>
      </c>
      <c r="J2338" s="9" t="s">
        <v>13284</v>
      </c>
      <c r="K2338" s="9" t="s">
        <v>13284</v>
      </c>
      <c r="L2338" s="9" t="s">
        <v>13284</v>
      </c>
      <c r="M2338" s="9" t="s">
        <v>13284</v>
      </c>
      <c r="N2338" s="9" t="s">
        <v>13284</v>
      </c>
      <c r="O2338" s="9" t="s">
        <v>13284</v>
      </c>
      <c r="P2338" s="9" t="s">
        <v>13284</v>
      </c>
      <c r="Q2338" s="9" t="s">
        <v>13284</v>
      </c>
      <c r="R2338" s="9" t="s">
        <v>13284</v>
      </c>
      <c r="S2338" s="9" t="s">
        <v>13284</v>
      </c>
      <c r="T2338" s="9" t="str">
        <f ca="1">IFERROR(IF(AND(VLOOKUP(A2338, 'Актуальное состояние (из общего'!A:C,3,0) = "", A2338 &lt;&gt; ""), "ПРОВЕРИТЬ", VLOOKUP(A2338, 'Актуальное состояние (из общего'!A:C,3,0)), "")</f>
        <v/>
      </c>
      <c r="U2338" s="9" t="s">
        <v>13284</v>
      </c>
      <c r="V2338" s="9" t="s">
        <v>13284</v>
      </c>
      <c r="W2338" s="12"/>
      <c r="X2338" s="9" t="str">
        <f t="array" ref="X2338">IFERROR(INDEX('Адреса общежитий (скрытый)'!$B$2:$B$9, MATCH(W2338, 'Адреса общежитий (скрытый)'!$A$2:$A$9, 0)), "")</f>
        <v/>
      </c>
      <c r="Y2338" s="18"/>
      <c r="Z2338" s="18"/>
      <c r="AA2338" s="18"/>
      <c r="AB2338" s="18"/>
      <c r="AC2338" s="18"/>
    </row>
    <row r="2339" spans="1:29" ht="32.25" hidden="1" customHeight="1">
      <c r="A2339" s="17"/>
      <c r="B2339" s="9" t="s">
        <v>13284</v>
      </c>
      <c r="C2339" s="9" t="s">
        <v>13284</v>
      </c>
      <c r="D2339" s="9" t="s">
        <v>13284</v>
      </c>
      <c r="E2339" s="9" t="s">
        <v>13284</v>
      </c>
      <c r="F2339" s="9" t="s">
        <v>13284</v>
      </c>
      <c r="G2339" s="9" t="s">
        <v>13284</v>
      </c>
      <c r="H2339" s="9" t="s">
        <v>13284</v>
      </c>
      <c r="I2339" s="9" t="s">
        <v>13284</v>
      </c>
      <c r="J2339" s="9" t="s">
        <v>13284</v>
      </c>
      <c r="K2339" s="9" t="s">
        <v>13284</v>
      </c>
      <c r="L2339" s="9" t="s">
        <v>13284</v>
      </c>
      <c r="M2339" s="9" t="s">
        <v>13284</v>
      </c>
      <c r="N2339" s="9" t="s">
        <v>13284</v>
      </c>
      <c r="O2339" s="9" t="s">
        <v>13284</v>
      </c>
      <c r="P2339" s="9" t="s">
        <v>13284</v>
      </c>
      <c r="Q2339" s="9" t="s">
        <v>13284</v>
      </c>
      <c r="R2339" s="9" t="s">
        <v>13284</v>
      </c>
      <c r="S2339" s="9" t="s">
        <v>13284</v>
      </c>
      <c r="T2339" s="9" t="str">
        <f ca="1">IFERROR(IF(AND(VLOOKUP(A2339, 'Актуальное состояние (из общего'!A:C,3,0) = "", A2339 &lt;&gt; ""), "ПРОВЕРИТЬ", VLOOKUP(A2339, 'Актуальное состояние (из общего'!A:C,3,0)), "")</f>
        <v/>
      </c>
      <c r="U2339" s="9" t="s">
        <v>13284</v>
      </c>
      <c r="V2339" s="9" t="s">
        <v>13284</v>
      </c>
      <c r="W2339" s="12"/>
      <c r="X2339" s="9" t="str">
        <f t="array" ref="X2339">IFERROR(INDEX('Адреса общежитий (скрытый)'!$B$2:$B$9, MATCH(W2339, 'Адреса общежитий (скрытый)'!$A$2:$A$9, 0)), "")</f>
        <v/>
      </c>
      <c r="Y2339" s="18"/>
      <c r="Z2339" s="18"/>
      <c r="AA2339" s="18"/>
      <c r="AB2339" s="18"/>
      <c r="AC2339" s="18"/>
    </row>
    <row r="2340" spans="1:29" ht="32.25" hidden="1" customHeight="1">
      <c r="A2340" s="17"/>
      <c r="B2340" s="9" t="s">
        <v>13284</v>
      </c>
      <c r="C2340" s="9" t="s">
        <v>13284</v>
      </c>
      <c r="D2340" s="9" t="s">
        <v>13284</v>
      </c>
      <c r="E2340" s="9" t="s">
        <v>13284</v>
      </c>
      <c r="F2340" s="9" t="s">
        <v>13284</v>
      </c>
      <c r="G2340" s="9" t="s">
        <v>13284</v>
      </c>
      <c r="H2340" s="9" t="s">
        <v>13284</v>
      </c>
      <c r="I2340" s="9" t="s">
        <v>13284</v>
      </c>
      <c r="J2340" s="9" t="s">
        <v>13284</v>
      </c>
      <c r="K2340" s="9" t="s">
        <v>13284</v>
      </c>
      <c r="L2340" s="9" t="s">
        <v>13284</v>
      </c>
      <c r="M2340" s="9" t="s">
        <v>13284</v>
      </c>
      <c r="N2340" s="9" t="s">
        <v>13284</v>
      </c>
      <c r="O2340" s="9" t="s">
        <v>13284</v>
      </c>
      <c r="P2340" s="9" t="s">
        <v>13284</v>
      </c>
      <c r="Q2340" s="9" t="s">
        <v>13284</v>
      </c>
      <c r="R2340" s="9" t="s">
        <v>13284</v>
      </c>
      <c r="S2340" s="9" t="s">
        <v>13284</v>
      </c>
      <c r="T2340" s="9" t="str">
        <f ca="1">IFERROR(IF(AND(VLOOKUP(A2340, 'Актуальное состояние (из общего'!A:C,3,0) = "", A2340 &lt;&gt; ""), "ПРОВЕРИТЬ", VLOOKUP(A2340, 'Актуальное состояние (из общего'!A:C,3,0)), "")</f>
        <v/>
      </c>
      <c r="U2340" s="9" t="s">
        <v>13284</v>
      </c>
      <c r="V2340" s="9" t="s">
        <v>13284</v>
      </c>
      <c r="W2340" s="12"/>
      <c r="X2340" s="9" t="str">
        <f t="array" ref="X2340">IFERROR(INDEX('Адреса общежитий (скрытый)'!$B$2:$B$9, MATCH(W2340, 'Адреса общежитий (скрытый)'!$A$2:$A$9, 0)), "")</f>
        <v/>
      </c>
      <c r="Y2340" s="18"/>
      <c r="Z2340" s="18"/>
      <c r="AA2340" s="18"/>
      <c r="AB2340" s="18"/>
      <c r="AC2340" s="18"/>
    </row>
    <row r="2341" spans="1:29" ht="32.25" hidden="1" customHeight="1">
      <c r="A2341" s="17"/>
      <c r="B2341" s="9" t="s">
        <v>13284</v>
      </c>
      <c r="C2341" s="9" t="s">
        <v>13284</v>
      </c>
      <c r="D2341" s="9" t="s">
        <v>13284</v>
      </c>
      <c r="E2341" s="9" t="s">
        <v>13284</v>
      </c>
      <c r="F2341" s="9" t="s">
        <v>13284</v>
      </c>
      <c r="G2341" s="9" t="s">
        <v>13284</v>
      </c>
      <c r="H2341" s="9" t="s">
        <v>13284</v>
      </c>
      <c r="I2341" s="9" t="s">
        <v>13284</v>
      </c>
      <c r="J2341" s="9" t="s">
        <v>13284</v>
      </c>
      <c r="K2341" s="9" t="s">
        <v>13284</v>
      </c>
      <c r="L2341" s="9" t="s">
        <v>13284</v>
      </c>
      <c r="M2341" s="9" t="s">
        <v>13284</v>
      </c>
      <c r="N2341" s="9" t="s">
        <v>13284</v>
      </c>
      <c r="O2341" s="9" t="s">
        <v>13284</v>
      </c>
      <c r="P2341" s="9" t="s">
        <v>13284</v>
      </c>
      <c r="Q2341" s="9" t="s">
        <v>13284</v>
      </c>
      <c r="R2341" s="9" t="s">
        <v>13284</v>
      </c>
      <c r="S2341" s="9" t="s">
        <v>13284</v>
      </c>
      <c r="T2341" s="9" t="str">
        <f ca="1">IFERROR(IF(AND(VLOOKUP(A2341, 'Актуальное состояние (из общего'!A:C,3,0) = "", A2341 &lt;&gt; ""), "ПРОВЕРИТЬ", VLOOKUP(A2341, 'Актуальное состояние (из общего'!A:C,3,0)), "")</f>
        <v/>
      </c>
      <c r="U2341" s="9" t="s">
        <v>13284</v>
      </c>
      <c r="V2341" s="9" t="s">
        <v>13284</v>
      </c>
      <c r="W2341" s="12"/>
      <c r="X2341" s="9" t="str">
        <f t="array" ref="X2341">IFERROR(INDEX('Адреса общежитий (скрытый)'!$B$2:$B$9, MATCH(W2341, 'Адреса общежитий (скрытый)'!$A$2:$A$9, 0)), "")</f>
        <v/>
      </c>
      <c r="Y2341" s="18"/>
      <c r="Z2341" s="18"/>
      <c r="AA2341" s="18"/>
      <c r="AB2341" s="18"/>
      <c r="AC2341" s="18"/>
    </row>
    <row r="2342" spans="1:29" ht="32.25" hidden="1" customHeight="1">
      <c r="A2342" s="17"/>
      <c r="B2342" s="9" t="s">
        <v>13284</v>
      </c>
      <c r="C2342" s="9" t="s">
        <v>13284</v>
      </c>
      <c r="D2342" s="9" t="s">
        <v>13284</v>
      </c>
      <c r="E2342" s="9" t="s">
        <v>13284</v>
      </c>
      <c r="F2342" s="9" t="s">
        <v>13284</v>
      </c>
      <c r="G2342" s="9" t="s">
        <v>13284</v>
      </c>
      <c r="H2342" s="9" t="s">
        <v>13284</v>
      </c>
      <c r="I2342" s="9" t="s">
        <v>13284</v>
      </c>
      <c r="J2342" s="9" t="s">
        <v>13284</v>
      </c>
      <c r="K2342" s="9" t="s">
        <v>13284</v>
      </c>
      <c r="L2342" s="9" t="s">
        <v>13284</v>
      </c>
      <c r="M2342" s="9" t="s">
        <v>13284</v>
      </c>
      <c r="N2342" s="9" t="s">
        <v>13284</v>
      </c>
      <c r="O2342" s="9" t="s">
        <v>13284</v>
      </c>
      <c r="P2342" s="9" t="s">
        <v>13284</v>
      </c>
      <c r="Q2342" s="9" t="s">
        <v>13284</v>
      </c>
      <c r="R2342" s="9" t="s">
        <v>13284</v>
      </c>
      <c r="S2342" s="9" t="s">
        <v>13284</v>
      </c>
      <c r="T2342" s="9" t="str">
        <f ca="1">IFERROR(IF(AND(VLOOKUP(A2342, 'Актуальное состояние (из общего'!A:C,3,0) = "", A2342 &lt;&gt; ""), "ПРОВЕРИТЬ", VLOOKUP(A2342, 'Актуальное состояние (из общего'!A:C,3,0)), "")</f>
        <v/>
      </c>
      <c r="U2342" s="9" t="s">
        <v>13284</v>
      </c>
      <c r="V2342" s="9" t="s">
        <v>13284</v>
      </c>
      <c r="W2342" s="12"/>
      <c r="X2342" s="9" t="str">
        <f t="array" ref="X2342">IFERROR(INDEX('Адреса общежитий (скрытый)'!$B$2:$B$9, MATCH(W2342, 'Адреса общежитий (скрытый)'!$A$2:$A$9, 0)), "")</f>
        <v/>
      </c>
      <c r="Y2342" s="18"/>
      <c r="Z2342" s="18"/>
      <c r="AA2342" s="18"/>
      <c r="AB2342" s="18"/>
      <c r="AC2342" s="18"/>
    </row>
    <row r="2343" spans="1:29" ht="32.25" hidden="1" customHeight="1">
      <c r="A2343" s="17"/>
      <c r="B2343" s="9" t="s">
        <v>13284</v>
      </c>
      <c r="C2343" s="9" t="s">
        <v>13284</v>
      </c>
      <c r="D2343" s="9" t="s">
        <v>13284</v>
      </c>
      <c r="E2343" s="9" t="s">
        <v>13284</v>
      </c>
      <c r="F2343" s="9" t="s">
        <v>13284</v>
      </c>
      <c r="G2343" s="9" t="s">
        <v>13284</v>
      </c>
      <c r="H2343" s="9" t="s">
        <v>13284</v>
      </c>
      <c r="I2343" s="9" t="s">
        <v>13284</v>
      </c>
      <c r="J2343" s="9" t="s">
        <v>13284</v>
      </c>
      <c r="K2343" s="9" t="s">
        <v>13284</v>
      </c>
      <c r="L2343" s="9" t="s">
        <v>13284</v>
      </c>
      <c r="M2343" s="9" t="s">
        <v>13284</v>
      </c>
      <c r="N2343" s="9" t="s">
        <v>13284</v>
      </c>
      <c r="O2343" s="9" t="s">
        <v>13284</v>
      </c>
      <c r="P2343" s="9" t="s">
        <v>13284</v>
      </c>
      <c r="Q2343" s="9" t="s">
        <v>13284</v>
      </c>
      <c r="R2343" s="9" t="s">
        <v>13284</v>
      </c>
      <c r="S2343" s="9" t="s">
        <v>13284</v>
      </c>
      <c r="T2343" s="9" t="str">
        <f ca="1">IFERROR(IF(AND(VLOOKUP(A2343, 'Актуальное состояние (из общего'!A:C,3,0) = "", A2343 &lt;&gt; ""), "ПРОВЕРИТЬ", VLOOKUP(A2343, 'Актуальное состояние (из общего'!A:C,3,0)), "")</f>
        <v/>
      </c>
      <c r="U2343" s="9" t="s">
        <v>13284</v>
      </c>
      <c r="V2343" s="9" t="s">
        <v>13284</v>
      </c>
      <c r="W2343" s="12"/>
      <c r="X2343" s="9" t="str">
        <f t="array" ref="X2343">IFERROR(INDEX('Адреса общежитий (скрытый)'!$B$2:$B$9, MATCH(W2343, 'Адреса общежитий (скрытый)'!$A$2:$A$9, 0)), "")</f>
        <v/>
      </c>
      <c r="Y2343" s="18"/>
      <c r="Z2343" s="18"/>
      <c r="AA2343" s="18"/>
      <c r="AB2343" s="18"/>
      <c r="AC2343" s="18"/>
    </row>
    <row r="2344" spans="1:29" ht="32.25" hidden="1" customHeight="1">
      <c r="A2344" s="17"/>
      <c r="B2344" s="9" t="s">
        <v>13284</v>
      </c>
      <c r="C2344" s="9" t="s">
        <v>13284</v>
      </c>
      <c r="D2344" s="9" t="s">
        <v>13284</v>
      </c>
      <c r="E2344" s="9" t="s">
        <v>13284</v>
      </c>
      <c r="F2344" s="9" t="s">
        <v>13284</v>
      </c>
      <c r="G2344" s="9" t="s">
        <v>13284</v>
      </c>
      <c r="H2344" s="9" t="s">
        <v>13284</v>
      </c>
      <c r="I2344" s="9" t="s">
        <v>13284</v>
      </c>
      <c r="J2344" s="9" t="s">
        <v>13284</v>
      </c>
      <c r="K2344" s="9" t="s">
        <v>13284</v>
      </c>
      <c r="L2344" s="9" t="s">
        <v>13284</v>
      </c>
      <c r="M2344" s="9" t="s">
        <v>13284</v>
      </c>
      <c r="N2344" s="9" t="s">
        <v>13284</v>
      </c>
      <c r="O2344" s="9" t="s">
        <v>13284</v>
      </c>
      <c r="P2344" s="9" t="s">
        <v>13284</v>
      </c>
      <c r="Q2344" s="9" t="s">
        <v>13284</v>
      </c>
      <c r="R2344" s="9" t="s">
        <v>13284</v>
      </c>
      <c r="S2344" s="9" t="s">
        <v>13284</v>
      </c>
      <c r="T2344" s="9" t="str">
        <f ca="1">IFERROR(IF(AND(VLOOKUP(A2344, 'Актуальное состояние (из общего'!A:C,3,0) = "", A2344 &lt;&gt; ""), "ПРОВЕРИТЬ", VLOOKUP(A2344, 'Актуальное состояние (из общего'!A:C,3,0)), "")</f>
        <v/>
      </c>
      <c r="U2344" s="9" t="s">
        <v>13284</v>
      </c>
      <c r="V2344" s="9" t="s">
        <v>13284</v>
      </c>
      <c r="W2344" s="12"/>
      <c r="X2344" s="9" t="str">
        <f t="array" ref="X2344">IFERROR(INDEX('Адреса общежитий (скрытый)'!$B$2:$B$9, MATCH(W2344, 'Адреса общежитий (скрытый)'!$A$2:$A$9, 0)), "")</f>
        <v/>
      </c>
      <c r="Y2344" s="18"/>
      <c r="Z2344" s="18"/>
      <c r="AA2344" s="18"/>
      <c r="AB2344" s="18"/>
      <c r="AC2344" s="18"/>
    </row>
    <row r="2345" spans="1:29" ht="32.25" hidden="1" customHeight="1">
      <c r="A2345" s="17"/>
      <c r="B2345" s="9" t="s">
        <v>13284</v>
      </c>
      <c r="C2345" s="9" t="s">
        <v>13284</v>
      </c>
      <c r="D2345" s="9" t="s">
        <v>13284</v>
      </c>
      <c r="E2345" s="9" t="s">
        <v>13284</v>
      </c>
      <c r="F2345" s="9" t="s">
        <v>13284</v>
      </c>
      <c r="G2345" s="9" t="s">
        <v>13284</v>
      </c>
      <c r="H2345" s="9" t="s">
        <v>13284</v>
      </c>
      <c r="I2345" s="9" t="s">
        <v>13284</v>
      </c>
      <c r="J2345" s="9" t="s">
        <v>13284</v>
      </c>
      <c r="K2345" s="9" t="s">
        <v>13284</v>
      </c>
      <c r="L2345" s="9" t="s">
        <v>13284</v>
      </c>
      <c r="M2345" s="9" t="s">
        <v>13284</v>
      </c>
      <c r="N2345" s="9" t="s">
        <v>13284</v>
      </c>
      <c r="O2345" s="9" t="s">
        <v>13284</v>
      </c>
      <c r="P2345" s="9" t="s">
        <v>13284</v>
      </c>
      <c r="Q2345" s="9" t="s">
        <v>13284</v>
      </c>
      <c r="R2345" s="9" t="s">
        <v>13284</v>
      </c>
      <c r="S2345" s="9" t="s">
        <v>13284</v>
      </c>
      <c r="T2345" s="9" t="str">
        <f ca="1">IFERROR(IF(AND(VLOOKUP(A2345, 'Актуальное состояние (из общего'!A:C,3,0) = "", A2345 &lt;&gt; ""), "ПРОВЕРИТЬ", VLOOKUP(A2345, 'Актуальное состояние (из общего'!A:C,3,0)), "")</f>
        <v/>
      </c>
      <c r="U2345" s="9" t="s">
        <v>13284</v>
      </c>
      <c r="V2345" s="9" t="s">
        <v>13284</v>
      </c>
      <c r="W2345" s="12"/>
      <c r="X2345" s="9" t="str">
        <f t="array" ref="X2345">IFERROR(INDEX('Адреса общежитий (скрытый)'!$B$2:$B$9, MATCH(W2345, 'Адреса общежитий (скрытый)'!$A$2:$A$9, 0)), "")</f>
        <v/>
      </c>
      <c r="Y2345" s="18"/>
      <c r="Z2345" s="18"/>
      <c r="AA2345" s="18"/>
      <c r="AB2345" s="18"/>
      <c r="AC2345" s="18"/>
    </row>
    <row r="2346" spans="1:29" ht="32.25" hidden="1" customHeight="1">
      <c r="A2346" s="17"/>
      <c r="B2346" s="9" t="s">
        <v>13284</v>
      </c>
      <c r="C2346" s="9" t="s">
        <v>13284</v>
      </c>
      <c r="D2346" s="9" t="s">
        <v>13284</v>
      </c>
      <c r="E2346" s="9" t="s">
        <v>13284</v>
      </c>
      <c r="F2346" s="9" t="s">
        <v>13284</v>
      </c>
      <c r="G2346" s="9" t="s">
        <v>13284</v>
      </c>
      <c r="H2346" s="9" t="s">
        <v>13284</v>
      </c>
      <c r="I2346" s="9" t="s">
        <v>13284</v>
      </c>
      <c r="J2346" s="9" t="s">
        <v>13284</v>
      </c>
      <c r="K2346" s="9" t="s">
        <v>13284</v>
      </c>
      <c r="L2346" s="9" t="s">
        <v>13284</v>
      </c>
      <c r="M2346" s="9" t="s">
        <v>13284</v>
      </c>
      <c r="N2346" s="9" t="s">
        <v>13284</v>
      </c>
      <c r="O2346" s="9" t="s">
        <v>13284</v>
      </c>
      <c r="P2346" s="9" t="s">
        <v>13284</v>
      </c>
      <c r="Q2346" s="9" t="s">
        <v>13284</v>
      </c>
      <c r="R2346" s="9" t="s">
        <v>13284</v>
      </c>
      <c r="S2346" s="9" t="s">
        <v>13284</v>
      </c>
      <c r="T2346" s="9" t="str">
        <f ca="1">IFERROR(IF(AND(VLOOKUP(A2346, 'Актуальное состояние (из общего'!A:C,3,0) = "", A2346 &lt;&gt; ""), "ПРОВЕРИТЬ", VLOOKUP(A2346, 'Актуальное состояние (из общего'!A:C,3,0)), "")</f>
        <v/>
      </c>
      <c r="U2346" s="9" t="s">
        <v>13284</v>
      </c>
      <c r="V2346" s="9" t="s">
        <v>13284</v>
      </c>
      <c r="W2346" s="12"/>
      <c r="X2346" s="9" t="str">
        <f t="array" ref="X2346">IFERROR(INDEX('Адреса общежитий (скрытый)'!$B$2:$B$9, MATCH(W2346, 'Адреса общежитий (скрытый)'!$A$2:$A$9, 0)), "")</f>
        <v/>
      </c>
      <c r="Y2346" s="18"/>
      <c r="Z2346" s="18"/>
      <c r="AA2346" s="18"/>
      <c r="AB2346" s="18"/>
      <c r="AC2346" s="18"/>
    </row>
    <row r="2347" spans="1:29" ht="32.25" hidden="1" customHeight="1">
      <c r="A2347" s="17"/>
      <c r="B2347" s="9" t="s">
        <v>13284</v>
      </c>
      <c r="C2347" s="9" t="s">
        <v>13284</v>
      </c>
      <c r="D2347" s="9" t="s">
        <v>13284</v>
      </c>
      <c r="E2347" s="9" t="s">
        <v>13284</v>
      </c>
      <c r="F2347" s="9" t="s">
        <v>13284</v>
      </c>
      <c r="G2347" s="9" t="s">
        <v>13284</v>
      </c>
      <c r="H2347" s="9" t="s">
        <v>13284</v>
      </c>
      <c r="I2347" s="9" t="s">
        <v>13284</v>
      </c>
      <c r="J2347" s="9" t="s">
        <v>13284</v>
      </c>
      <c r="K2347" s="9" t="s">
        <v>13284</v>
      </c>
      <c r="L2347" s="9" t="s">
        <v>13284</v>
      </c>
      <c r="M2347" s="9" t="s">
        <v>13284</v>
      </c>
      <c r="N2347" s="9" t="s">
        <v>13284</v>
      </c>
      <c r="O2347" s="9" t="s">
        <v>13284</v>
      </c>
      <c r="P2347" s="9" t="s">
        <v>13284</v>
      </c>
      <c r="Q2347" s="9" t="s">
        <v>13284</v>
      </c>
      <c r="R2347" s="9" t="s">
        <v>13284</v>
      </c>
      <c r="S2347" s="9" t="s">
        <v>13284</v>
      </c>
      <c r="T2347" s="9" t="str">
        <f ca="1">IFERROR(IF(AND(VLOOKUP(A2347, 'Актуальное состояние (из общего'!A:C,3,0) = "", A2347 &lt;&gt; ""), "ПРОВЕРИТЬ", VLOOKUP(A2347, 'Актуальное состояние (из общего'!A:C,3,0)), "")</f>
        <v/>
      </c>
      <c r="U2347" s="9" t="s">
        <v>13284</v>
      </c>
      <c r="V2347" s="9" t="s">
        <v>13284</v>
      </c>
      <c r="W2347" s="12"/>
      <c r="X2347" s="9" t="str">
        <f t="array" ref="X2347">IFERROR(INDEX('Адреса общежитий (скрытый)'!$B$2:$B$9, MATCH(W2347, 'Адреса общежитий (скрытый)'!$A$2:$A$9, 0)), "")</f>
        <v/>
      </c>
      <c r="Y2347" s="18"/>
      <c r="Z2347" s="18"/>
      <c r="AA2347" s="18"/>
      <c r="AB2347" s="18"/>
      <c r="AC2347" s="18"/>
    </row>
    <row r="2348" spans="1:29" ht="32.25" hidden="1" customHeight="1">
      <c r="A2348" s="17"/>
      <c r="B2348" s="9" t="s">
        <v>13284</v>
      </c>
      <c r="C2348" s="9" t="s">
        <v>13284</v>
      </c>
      <c r="D2348" s="9" t="s">
        <v>13284</v>
      </c>
      <c r="E2348" s="9" t="s">
        <v>13284</v>
      </c>
      <c r="F2348" s="9" t="s">
        <v>13284</v>
      </c>
      <c r="G2348" s="9" t="s">
        <v>13284</v>
      </c>
      <c r="H2348" s="9" t="s">
        <v>13284</v>
      </c>
      <c r="I2348" s="9" t="s">
        <v>13284</v>
      </c>
      <c r="J2348" s="9" t="s">
        <v>13284</v>
      </c>
      <c r="K2348" s="9" t="s">
        <v>13284</v>
      </c>
      <c r="L2348" s="9" t="s">
        <v>13284</v>
      </c>
      <c r="M2348" s="9" t="s">
        <v>13284</v>
      </c>
      <c r="N2348" s="9" t="s">
        <v>13284</v>
      </c>
      <c r="O2348" s="9" t="s">
        <v>13284</v>
      </c>
      <c r="P2348" s="9" t="s">
        <v>13284</v>
      </c>
      <c r="Q2348" s="9" t="s">
        <v>13284</v>
      </c>
      <c r="R2348" s="9" t="s">
        <v>13284</v>
      </c>
      <c r="S2348" s="9" t="s">
        <v>13284</v>
      </c>
      <c r="T2348" s="9" t="str">
        <f ca="1">IFERROR(IF(AND(VLOOKUP(A2348, 'Актуальное состояние (из общего'!A:C,3,0) = "", A2348 &lt;&gt; ""), "ПРОВЕРИТЬ", VLOOKUP(A2348, 'Актуальное состояние (из общего'!A:C,3,0)), "")</f>
        <v/>
      </c>
      <c r="U2348" s="9" t="s">
        <v>13284</v>
      </c>
      <c r="V2348" s="9" t="s">
        <v>13284</v>
      </c>
      <c r="W2348" s="12"/>
      <c r="X2348" s="9" t="str">
        <f t="array" ref="X2348">IFERROR(INDEX('Адреса общежитий (скрытый)'!$B$2:$B$9, MATCH(W2348, 'Адреса общежитий (скрытый)'!$A$2:$A$9, 0)), "")</f>
        <v/>
      </c>
      <c r="Y2348" s="18"/>
      <c r="Z2348" s="18"/>
      <c r="AA2348" s="18"/>
      <c r="AB2348" s="18"/>
      <c r="AC2348" s="18"/>
    </row>
    <row r="2349" spans="1:29" ht="32.25" hidden="1" customHeight="1">
      <c r="A2349" s="17"/>
      <c r="B2349" s="9" t="s">
        <v>13284</v>
      </c>
      <c r="C2349" s="9" t="s">
        <v>13284</v>
      </c>
      <c r="D2349" s="9" t="s">
        <v>13284</v>
      </c>
      <c r="E2349" s="9" t="s">
        <v>13284</v>
      </c>
      <c r="F2349" s="9" t="s">
        <v>13284</v>
      </c>
      <c r="G2349" s="9" t="s">
        <v>13284</v>
      </c>
      <c r="H2349" s="9" t="s">
        <v>13284</v>
      </c>
      <c r="I2349" s="9" t="s">
        <v>13284</v>
      </c>
      <c r="J2349" s="9" t="s">
        <v>13284</v>
      </c>
      <c r="K2349" s="9" t="s">
        <v>13284</v>
      </c>
      <c r="L2349" s="9" t="s">
        <v>13284</v>
      </c>
      <c r="M2349" s="9" t="s">
        <v>13284</v>
      </c>
      <c r="N2349" s="9" t="s">
        <v>13284</v>
      </c>
      <c r="O2349" s="9" t="s">
        <v>13284</v>
      </c>
      <c r="P2349" s="9" t="s">
        <v>13284</v>
      </c>
      <c r="Q2349" s="9" t="s">
        <v>13284</v>
      </c>
      <c r="R2349" s="9" t="s">
        <v>13284</v>
      </c>
      <c r="S2349" s="9" t="s">
        <v>13284</v>
      </c>
      <c r="T2349" s="9" t="str">
        <f ca="1">IFERROR(IF(AND(VLOOKUP(A2349, 'Актуальное состояние (из общего'!A:C,3,0) = "", A2349 &lt;&gt; ""), "ПРОВЕРИТЬ", VLOOKUP(A2349, 'Актуальное состояние (из общего'!A:C,3,0)), "")</f>
        <v/>
      </c>
      <c r="U2349" s="9" t="s">
        <v>13284</v>
      </c>
      <c r="V2349" s="9" t="s">
        <v>13284</v>
      </c>
      <c r="W2349" s="12"/>
      <c r="X2349" s="9" t="str">
        <f t="array" ref="X2349">IFERROR(INDEX('Адреса общежитий (скрытый)'!$B$2:$B$9, MATCH(W2349, 'Адреса общежитий (скрытый)'!$A$2:$A$9, 0)), "")</f>
        <v/>
      </c>
      <c r="Y2349" s="18"/>
      <c r="Z2349" s="18"/>
      <c r="AA2349" s="18"/>
      <c r="AB2349" s="18"/>
      <c r="AC2349" s="18"/>
    </row>
    <row r="2350" spans="1:29" ht="32.25" hidden="1" customHeight="1">
      <c r="A2350" s="17"/>
      <c r="B2350" s="9" t="s">
        <v>13284</v>
      </c>
      <c r="C2350" s="9" t="s">
        <v>13284</v>
      </c>
      <c r="D2350" s="9" t="s">
        <v>13284</v>
      </c>
      <c r="E2350" s="9" t="s">
        <v>13284</v>
      </c>
      <c r="F2350" s="9" t="s">
        <v>13284</v>
      </c>
      <c r="G2350" s="9" t="s">
        <v>13284</v>
      </c>
      <c r="H2350" s="9" t="s">
        <v>13284</v>
      </c>
      <c r="I2350" s="9" t="s">
        <v>13284</v>
      </c>
      <c r="J2350" s="9" t="s">
        <v>13284</v>
      </c>
      <c r="K2350" s="9" t="s">
        <v>13284</v>
      </c>
      <c r="L2350" s="9" t="s">
        <v>13284</v>
      </c>
      <c r="M2350" s="9" t="s">
        <v>13284</v>
      </c>
      <c r="N2350" s="9" t="s">
        <v>13284</v>
      </c>
      <c r="O2350" s="9" t="s">
        <v>13284</v>
      </c>
      <c r="P2350" s="9" t="s">
        <v>13284</v>
      </c>
      <c r="Q2350" s="9" t="s">
        <v>13284</v>
      </c>
      <c r="R2350" s="9" t="s">
        <v>13284</v>
      </c>
      <c r="S2350" s="9" t="s">
        <v>13284</v>
      </c>
      <c r="T2350" s="9" t="str">
        <f ca="1">IFERROR(IF(AND(VLOOKUP(A2350, 'Актуальное состояние (из общего'!A:C,3,0) = "", A2350 &lt;&gt; ""), "ПРОВЕРИТЬ", VLOOKUP(A2350, 'Актуальное состояние (из общего'!A:C,3,0)), "")</f>
        <v/>
      </c>
      <c r="U2350" s="9" t="s">
        <v>13284</v>
      </c>
      <c r="V2350" s="9" t="s">
        <v>13284</v>
      </c>
      <c r="W2350" s="12"/>
      <c r="X2350" s="9" t="str">
        <f t="array" ref="X2350">IFERROR(INDEX('Адреса общежитий (скрытый)'!$B$2:$B$9, MATCH(W2350, 'Адреса общежитий (скрытый)'!$A$2:$A$9, 0)), "")</f>
        <v/>
      </c>
      <c r="Y2350" s="18"/>
      <c r="Z2350" s="18"/>
      <c r="AA2350" s="18"/>
      <c r="AB2350" s="18"/>
      <c r="AC2350" s="18"/>
    </row>
    <row r="2351" spans="1:29" ht="32.25" hidden="1" customHeight="1">
      <c r="A2351" s="17"/>
      <c r="B2351" s="9" t="s">
        <v>13284</v>
      </c>
      <c r="C2351" s="9" t="s">
        <v>13284</v>
      </c>
      <c r="D2351" s="9" t="s">
        <v>13284</v>
      </c>
      <c r="E2351" s="9" t="s">
        <v>13284</v>
      </c>
      <c r="F2351" s="9" t="s">
        <v>13284</v>
      </c>
      <c r="G2351" s="9" t="s">
        <v>13284</v>
      </c>
      <c r="H2351" s="9" t="s">
        <v>13284</v>
      </c>
      <c r="I2351" s="9" t="s">
        <v>13284</v>
      </c>
      <c r="J2351" s="9" t="s">
        <v>13284</v>
      </c>
      <c r="K2351" s="9" t="s">
        <v>13284</v>
      </c>
      <c r="L2351" s="9" t="s">
        <v>13284</v>
      </c>
      <c r="M2351" s="9" t="s">
        <v>13284</v>
      </c>
      <c r="N2351" s="9" t="s">
        <v>13284</v>
      </c>
      <c r="O2351" s="9" t="s">
        <v>13284</v>
      </c>
      <c r="P2351" s="9" t="s">
        <v>13284</v>
      </c>
      <c r="Q2351" s="9" t="s">
        <v>13284</v>
      </c>
      <c r="R2351" s="9" t="s">
        <v>13284</v>
      </c>
      <c r="S2351" s="9" t="s">
        <v>13284</v>
      </c>
      <c r="T2351" s="9" t="str">
        <f ca="1">IFERROR(IF(AND(VLOOKUP(A2351, 'Актуальное состояние (из общего'!A:C,3,0) = "", A2351 &lt;&gt; ""), "ПРОВЕРИТЬ", VLOOKUP(A2351, 'Актуальное состояние (из общего'!A:C,3,0)), "")</f>
        <v/>
      </c>
      <c r="U2351" s="9" t="s">
        <v>13284</v>
      </c>
      <c r="V2351" s="9" t="s">
        <v>13284</v>
      </c>
      <c r="W2351" s="12"/>
      <c r="X2351" s="9" t="str">
        <f t="array" ref="X2351">IFERROR(INDEX('Адреса общежитий (скрытый)'!$B$2:$B$9, MATCH(W2351, 'Адреса общежитий (скрытый)'!$A$2:$A$9, 0)), "")</f>
        <v/>
      </c>
      <c r="Y2351" s="18"/>
      <c r="Z2351" s="18"/>
      <c r="AA2351" s="18"/>
      <c r="AB2351" s="18"/>
      <c r="AC2351" s="18"/>
    </row>
    <row r="2352" spans="1:29" ht="32.25" hidden="1" customHeight="1">
      <c r="A2352" s="17"/>
      <c r="B2352" s="9" t="s">
        <v>13284</v>
      </c>
      <c r="C2352" s="9" t="s">
        <v>13284</v>
      </c>
      <c r="D2352" s="9" t="s">
        <v>13284</v>
      </c>
      <c r="E2352" s="9" t="s">
        <v>13284</v>
      </c>
      <c r="F2352" s="9" t="s">
        <v>13284</v>
      </c>
      <c r="G2352" s="9" t="s">
        <v>13284</v>
      </c>
      <c r="H2352" s="9" t="s">
        <v>13284</v>
      </c>
      <c r="I2352" s="9" t="s">
        <v>13284</v>
      </c>
      <c r="J2352" s="9" t="s">
        <v>13284</v>
      </c>
      <c r="K2352" s="9" t="s">
        <v>13284</v>
      </c>
      <c r="L2352" s="9" t="s">
        <v>13284</v>
      </c>
      <c r="M2352" s="9" t="s">
        <v>13284</v>
      </c>
      <c r="N2352" s="9" t="s">
        <v>13284</v>
      </c>
      <c r="O2352" s="9" t="s">
        <v>13284</v>
      </c>
      <c r="P2352" s="9" t="s">
        <v>13284</v>
      </c>
      <c r="Q2352" s="9" t="s">
        <v>13284</v>
      </c>
      <c r="R2352" s="9" t="s">
        <v>13284</v>
      </c>
      <c r="S2352" s="9" t="s">
        <v>13284</v>
      </c>
      <c r="T2352" s="9" t="str">
        <f ca="1">IFERROR(IF(AND(VLOOKUP(A2352, 'Актуальное состояние (из общего'!A:C,3,0) = "", A2352 &lt;&gt; ""), "ПРОВЕРИТЬ", VLOOKUP(A2352, 'Актуальное состояние (из общего'!A:C,3,0)), "")</f>
        <v/>
      </c>
      <c r="U2352" s="9" t="s">
        <v>13284</v>
      </c>
      <c r="V2352" s="9" t="s">
        <v>13284</v>
      </c>
      <c r="W2352" s="12"/>
      <c r="X2352" s="9" t="str">
        <f t="array" ref="X2352">IFERROR(INDEX('Адреса общежитий (скрытый)'!$B$2:$B$9, MATCH(W2352, 'Адреса общежитий (скрытый)'!$A$2:$A$9, 0)), "")</f>
        <v/>
      </c>
      <c r="Y2352" s="18"/>
      <c r="Z2352" s="18"/>
      <c r="AA2352" s="18"/>
      <c r="AB2352" s="18"/>
      <c r="AC2352" s="18"/>
    </row>
    <row r="2353" spans="1:29" ht="32.25" hidden="1" customHeight="1">
      <c r="A2353" s="17"/>
      <c r="B2353" s="9" t="s">
        <v>13284</v>
      </c>
      <c r="C2353" s="9" t="s">
        <v>13284</v>
      </c>
      <c r="D2353" s="9" t="s">
        <v>13284</v>
      </c>
      <c r="E2353" s="9" t="s">
        <v>13284</v>
      </c>
      <c r="F2353" s="9" t="s">
        <v>13284</v>
      </c>
      <c r="G2353" s="9" t="s">
        <v>13284</v>
      </c>
      <c r="H2353" s="9" t="s">
        <v>13284</v>
      </c>
      <c r="I2353" s="9" t="s">
        <v>13284</v>
      </c>
      <c r="J2353" s="9" t="s">
        <v>13284</v>
      </c>
      <c r="K2353" s="9" t="s">
        <v>13284</v>
      </c>
      <c r="L2353" s="9" t="s">
        <v>13284</v>
      </c>
      <c r="M2353" s="9" t="s">
        <v>13284</v>
      </c>
      <c r="N2353" s="9" t="s">
        <v>13284</v>
      </c>
      <c r="O2353" s="9" t="s">
        <v>13284</v>
      </c>
      <c r="P2353" s="9" t="s">
        <v>13284</v>
      </c>
      <c r="Q2353" s="9" t="s">
        <v>13284</v>
      </c>
      <c r="R2353" s="9" t="s">
        <v>13284</v>
      </c>
      <c r="S2353" s="9" t="s">
        <v>13284</v>
      </c>
      <c r="T2353" s="9" t="str">
        <f ca="1">IFERROR(IF(AND(VLOOKUP(A2353, 'Актуальное состояние (из общего'!A:C,3,0) = "", A2353 &lt;&gt; ""), "ПРОВЕРИТЬ", VLOOKUP(A2353, 'Актуальное состояние (из общего'!A:C,3,0)), "")</f>
        <v/>
      </c>
      <c r="U2353" s="9" t="s">
        <v>13284</v>
      </c>
      <c r="V2353" s="9" t="s">
        <v>13284</v>
      </c>
      <c r="W2353" s="12"/>
      <c r="X2353" s="9" t="str">
        <f t="array" ref="X2353">IFERROR(INDEX('Адреса общежитий (скрытый)'!$B$2:$B$9, MATCH(W2353, 'Адреса общежитий (скрытый)'!$A$2:$A$9, 0)), "")</f>
        <v/>
      </c>
      <c r="Y2353" s="18"/>
      <c r="Z2353" s="18"/>
      <c r="AA2353" s="18"/>
      <c r="AB2353" s="18"/>
      <c r="AC2353" s="18"/>
    </row>
    <row r="2354" spans="1:29" ht="32.25" hidden="1" customHeight="1">
      <c r="A2354" s="17"/>
      <c r="B2354" s="9" t="s">
        <v>13284</v>
      </c>
      <c r="C2354" s="9" t="s">
        <v>13284</v>
      </c>
      <c r="D2354" s="9" t="s">
        <v>13284</v>
      </c>
      <c r="E2354" s="9" t="s">
        <v>13284</v>
      </c>
      <c r="F2354" s="9" t="s">
        <v>13284</v>
      </c>
      <c r="G2354" s="9" t="s">
        <v>13284</v>
      </c>
      <c r="H2354" s="9" t="s">
        <v>13284</v>
      </c>
      <c r="I2354" s="9" t="s">
        <v>13284</v>
      </c>
      <c r="J2354" s="9" t="s">
        <v>13284</v>
      </c>
      <c r="K2354" s="9" t="s">
        <v>13284</v>
      </c>
      <c r="L2354" s="9" t="s">
        <v>13284</v>
      </c>
      <c r="M2354" s="9" t="s">
        <v>13284</v>
      </c>
      <c r="N2354" s="9" t="s">
        <v>13284</v>
      </c>
      <c r="O2354" s="9" t="s">
        <v>13284</v>
      </c>
      <c r="P2354" s="9" t="s">
        <v>13284</v>
      </c>
      <c r="Q2354" s="9" t="s">
        <v>13284</v>
      </c>
      <c r="R2354" s="9" t="s">
        <v>13284</v>
      </c>
      <c r="S2354" s="9" t="s">
        <v>13284</v>
      </c>
      <c r="T2354" s="9" t="str">
        <f ca="1">IFERROR(IF(AND(VLOOKUP(A2354, 'Актуальное состояние (из общего'!A:C,3,0) = "", A2354 &lt;&gt; ""), "ПРОВЕРИТЬ", VLOOKUP(A2354, 'Актуальное состояние (из общего'!A:C,3,0)), "")</f>
        <v/>
      </c>
      <c r="U2354" s="9" t="s">
        <v>13284</v>
      </c>
      <c r="V2354" s="9" t="s">
        <v>13284</v>
      </c>
      <c r="W2354" s="12"/>
      <c r="X2354" s="9" t="str">
        <f t="array" ref="X2354">IFERROR(INDEX('Адреса общежитий (скрытый)'!$B$2:$B$9, MATCH(W2354, 'Адреса общежитий (скрытый)'!$A$2:$A$9, 0)), "")</f>
        <v/>
      </c>
      <c r="Y2354" s="18"/>
      <c r="Z2354" s="18"/>
      <c r="AA2354" s="18"/>
      <c r="AB2354" s="18"/>
      <c r="AC2354" s="18"/>
    </row>
    <row r="2355" spans="1:29" ht="32.25" hidden="1" customHeight="1">
      <c r="A2355" s="17"/>
      <c r="B2355" s="9" t="s">
        <v>13284</v>
      </c>
      <c r="C2355" s="9" t="s">
        <v>13284</v>
      </c>
      <c r="D2355" s="9" t="s">
        <v>13284</v>
      </c>
      <c r="E2355" s="9" t="s">
        <v>13284</v>
      </c>
      <c r="F2355" s="9" t="s">
        <v>13284</v>
      </c>
      <c r="G2355" s="9" t="s">
        <v>13284</v>
      </c>
      <c r="H2355" s="9" t="s">
        <v>13284</v>
      </c>
      <c r="I2355" s="9" t="s">
        <v>13284</v>
      </c>
      <c r="J2355" s="9" t="s">
        <v>13284</v>
      </c>
      <c r="K2355" s="9" t="s">
        <v>13284</v>
      </c>
      <c r="L2355" s="9" t="s">
        <v>13284</v>
      </c>
      <c r="M2355" s="9" t="s">
        <v>13284</v>
      </c>
      <c r="N2355" s="9" t="s">
        <v>13284</v>
      </c>
      <c r="O2355" s="9" t="s">
        <v>13284</v>
      </c>
      <c r="P2355" s="9" t="s">
        <v>13284</v>
      </c>
      <c r="Q2355" s="9" t="s">
        <v>13284</v>
      </c>
      <c r="R2355" s="9" t="s">
        <v>13284</v>
      </c>
      <c r="S2355" s="9" t="s">
        <v>13284</v>
      </c>
      <c r="T2355" s="9" t="str">
        <f ca="1">IFERROR(IF(AND(VLOOKUP(A2355, 'Актуальное состояние (из общего'!A:C,3,0) = "", A2355 &lt;&gt; ""), "ПРОВЕРИТЬ", VLOOKUP(A2355, 'Актуальное состояние (из общего'!A:C,3,0)), "")</f>
        <v/>
      </c>
      <c r="U2355" s="9" t="s">
        <v>13284</v>
      </c>
      <c r="V2355" s="9" t="s">
        <v>13284</v>
      </c>
      <c r="W2355" s="12"/>
      <c r="X2355" s="9" t="str">
        <f t="array" ref="X2355">IFERROR(INDEX('Адреса общежитий (скрытый)'!$B$2:$B$9, MATCH(W2355, 'Адреса общежитий (скрытый)'!$A$2:$A$9, 0)), "")</f>
        <v/>
      </c>
      <c r="Y2355" s="18"/>
      <c r="Z2355" s="18"/>
      <c r="AA2355" s="18"/>
      <c r="AB2355" s="18"/>
      <c r="AC2355" s="18"/>
    </row>
    <row r="2356" spans="1:29" ht="32.25" hidden="1" customHeight="1">
      <c r="A2356" s="17"/>
      <c r="B2356" s="9" t="s">
        <v>13284</v>
      </c>
      <c r="C2356" s="9" t="s">
        <v>13284</v>
      </c>
      <c r="D2356" s="9" t="s">
        <v>13284</v>
      </c>
      <c r="E2356" s="9" t="s">
        <v>13284</v>
      </c>
      <c r="F2356" s="9" t="s">
        <v>13284</v>
      </c>
      <c r="G2356" s="9" t="s">
        <v>13284</v>
      </c>
      <c r="H2356" s="9" t="s">
        <v>13284</v>
      </c>
      <c r="I2356" s="9" t="s">
        <v>13284</v>
      </c>
      <c r="J2356" s="9" t="s">
        <v>13284</v>
      </c>
      <c r="K2356" s="9" t="s">
        <v>13284</v>
      </c>
      <c r="L2356" s="9" t="s">
        <v>13284</v>
      </c>
      <c r="M2356" s="9" t="s">
        <v>13284</v>
      </c>
      <c r="N2356" s="9" t="s">
        <v>13284</v>
      </c>
      <c r="O2356" s="9" t="s">
        <v>13284</v>
      </c>
      <c r="P2356" s="9" t="s">
        <v>13284</v>
      </c>
      <c r="Q2356" s="9" t="s">
        <v>13284</v>
      </c>
      <c r="R2356" s="9" t="s">
        <v>13284</v>
      </c>
      <c r="S2356" s="9" t="s">
        <v>13284</v>
      </c>
      <c r="T2356" s="9" t="str">
        <f ca="1">IFERROR(IF(AND(VLOOKUP(A2356, 'Актуальное состояние (из общего'!A:C,3,0) = "", A2356 &lt;&gt; ""), "ПРОВЕРИТЬ", VLOOKUP(A2356, 'Актуальное состояние (из общего'!A:C,3,0)), "")</f>
        <v/>
      </c>
      <c r="U2356" s="9" t="s">
        <v>13284</v>
      </c>
      <c r="V2356" s="9" t="s">
        <v>13284</v>
      </c>
      <c r="W2356" s="12"/>
      <c r="X2356" s="9" t="str">
        <f t="array" ref="X2356">IFERROR(INDEX('Адреса общежитий (скрытый)'!$B$2:$B$9, MATCH(W2356, 'Адреса общежитий (скрытый)'!$A$2:$A$9, 0)), "")</f>
        <v/>
      </c>
      <c r="Y2356" s="18"/>
      <c r="Z2356" s="18"/>
      <c r="AA2356" s="18"/>
      <c r="AB2356" s="18"/>
      <c r="AC2356" s="18"/>
    </row>
    <row r="2357" spans="1:29" ht="32.25" hidden="1" customHeight="1">
      <c r="A2357" s="17"/>
      <c r="B2357" s="9" t="s">
        <v>13284</v>
      </c>
      <c r="C2357" s="9" t="s">
        <v>13284</v>
      </c>
      <c r="D2357" s="9" t="s">
        <v>13284</v>
      </c>
      <c r="E2357" s="9" t="s">
        <v>13284</v>
      </c>
      <c r="F2357" s="9" t="s">
        <v>13284</v>
      </c>
      <c r="G2357" s="9" t="s">
        <v>13284</v>
      </c>
      <c r="H2357" s="9" t="s">
        <v>13284</v>
      </c>
      <c r="I2357" s="9" t="s">
        <v>13284</v>
      </c>
      <c r="J2357" s="9" t="s">
        <v>13284</v>
      </c>
      <c r="K2357" s="9" t="s">
        <v>13284</v>
      </c>
      <c r="L2357" s="9" t="s">
        <v>13284</v>
      </c>
      <c r="M2357" s="9" t="s">
        <v>13284</v>
      </c>
      <c r="N2357" s="9" t="s">
        <v>13284</v>
      </c>
      <c r="O2357" s="9" t="s">
        <v>13284</v>
      </c>
      <c r="P2357" s="9" t="s">
        <v>13284</v>
      </c>
      <c r="Q2357" s="9" t="s">
        <v>13284</v>
      </c>
      <c r="R2357" s="9" t="s">
        <v>13284</v>
      </c>
      <c r="S2357" s="9" t="s">
        <v>13284</v>
      </c>
      <c r="T2357" s="9" t="str">
        <f ca="1">IFERROR(IF(AND(VLOOKUP(A2357, 'Актуальное состояние (из общего'!A:C,3,0) = "", A2357 &lt;&gt; ""), "ПРОВЕРИТЬ", VLOOKUP(A2357, 'Актуальное состояние (из общего'!A:C,3,0)), "")</f>
        <v/>
      </c>
      <c r="U2357" s="9" t="s">
        <v>13284</v>
      </c>
      <c r="V2357" s="9" t="s">
        <v>13284</v>
      </c>
      <c r="W2357" s="12"/>
      <c r="X2357" s="9" t="str">
        <f t="array" ref="X2357">IFERROR(INDEX('Адреса общежитий (скрытый)'!$B$2:$B$9, MATCH(W2357, 'Адреса общежитий (скрытый)'!$A$2:$A$9, 0)), "")</f>
        <v/>
      </c>
      <c r="Y2357" s="18"/>
      <c r="Z2357" s="18"/>
      <c r="AA2357" s="18"/>
      <c r="AB2357" s="18"/>
      <c r="AC2357" s="18"/>
    </row>
    <row r="2358" spans="1:29" ht="32.25" hidden="1" customHeight="1">
      <c r="A2358" s="17"/>
      <c r="B2358" s="9" t="s">
        <v>13284</v>
      </c>
      <c r="C2358" s="9" t="s">
        <v>13284</v>
      </c>
      <c r="D2358" s="9" t="s">
        <v>13284</v>
      </c>
      <c r="E2358" s="9" t="s">
        <v>13284</v>
      </c>
      <c r="F2358" s="9" t="s">
        <v>13284</v>
      </c>
      <c r="G2358" s="9" t="s">
        <v>13284</v>
      </c>
      <c r="H2358" s="9" t="s">
        <v>13284</v>
      </c>
      <c r="I2358" s="9" t="s">
        <v>13284</v>
      </c>
      <c r="J2358" s="9" t="s">
        <v>13284</v>
      </c>
      <c r="K2358" s="9" t="s">
        <v>13284</v>
      </c>
      <c r="L2358" s="9" t="s">
        <v>13284</v>
      </c>
      <c r="M2358" s="9" t="s">
        <v>13284</v>
      </c>
      <c r="N2358" s="9" t="s">
        <v>13284</v>
      </c>
      <c r="O2358" s="9" t="s">
        <v>13284</v>
      </c>
      <c r="P2358" s="9" t="s">
        <v>13284</v>
      </c>
      <c r="Q2358" s="9" t="s">
        <v>13284</v>
      </c>
      <c r="R2358" s="9" t="s">
        <v>13284</v>
      </c>
      <c r="S2358" s="9" t="s">
        <v>13284</v>
      </c>
      <c r="T2358" s="9" t="str">
        <f ca="1">IFERROR(IF(AND(VLOOKUP(A2358, 'Актуальное состояние (из общего'!A:C,3,0) = "", A2358 &lt;&gt; ""), "ПРОВЕРИТЬ", VLOOKUP(A2358, 'Актуальное состояние (из общего'!A:C,3,0)), "")</f>
        <v/>
      </c>
      <c r="U2358" s="9" t="s">
        <v>13284</v>
      </c>
      <c r="V2358" s="9" t="s">
        <v>13284</v>
      </c>
      <c r="W2358" s="12"/>
      <c r="X2358" s="9" t="str">
        <f t="array" ref="X2358">IFERROR(INDEX('Адреса общежитий (скрытый)'!$B$2:$B$9, MATCH(W2358, 'Адреса общежитий (скрытый)'!$A$2:$A$9, 0)), "")</f>
        <v/>
      </c>
      <c r="Y2358" s="18"/>
      <c r="Z2358" s="18"/>
      <c r="AA2358" s="18"/>
      <c r="AB2358" s="18"/>
      <c r="AC2358" s="18"/>
    </row>
    <row r="2359" spans="1:29" ht="32.25" hidden="1" customHeight="1">
      <c r="A2359" s="17"/>
      <c r="B2359" s="9" t="s">
        <v>13284</v>
      </c>
      <c r="C2359" s="9" t="s">
        <v>13284</v>
      </c>
      <c r="D2359" s="9" t="s">
        <v>13284</v>
      </c>
      <c r="E2359" s="9" t="s">
        <v>13284</v>
      </c>
      <c r="F2359" s="9" t="s">
        <v>13284</v>
      </c>
      <c r="G2359" s="9" t="s">
        <v>13284</v>
      </c>
      <c r="H2359" s="9" t="s">
        <v>13284</v>
      </c>
      <c r="I2359" s="9" t="s">
        <v>13284</v>
      </c>
      <c r="J2359" s="9" t="s">
        <v>13284</v>
      </c>
      <c r="K2359" s="9" t="s">
        <v>13284</v>
      </c>
      <c r="L2359" s="9" t="s">
        <v>13284</v>
      </c>
      <c r="M2359" s="9" t="s">
        <v>13284</v>
      </c>
      <c r="N2359" s="9" t="s">
        <v>13284</v>
      </c>
      <c r="O2359" s="9" t="s">
        <v>13284</v>
      </c>
      <c r="P2359" s="9" t="s">
        <v>13284</v>
      </c>
      <c r="Q2359" s="9" t="s">
        <v>13284</v>
      </c>
      <c r="R2359" s="9" t="s">
        <v>13284</v>
      </c>
      <c r="S2359" s="9" t="s">
        <v>13284</v>
      </c>
      <c r="T2359" s="9" t="str">
        <f ca="1">IFERROR(IF(AND(VLOOKUP(A2359, 'Актуальное состояние (из общего'!A:C,3,0) = "", A2359 &lt;&gt; ""), "ПРОВЕРИТЬ", VLOOKUP(A2359, 'Актуальное состояние (из общего'!A:C,3,0)), "")</f>
        <v/>
      </c>
      <c r="U2359" s="9" t="s">
        <v>13284</v>
      </c>
      <c r="V2359" s="9" t="s">
        <v>13284</v>
      </c>
      <c r="W2359" s="12"/>
      <c r="X2359" s="9" t="str">
        <f t="array" ref="X2359">IFERROR(INDEX('Адреса общежитий (скрытый)'!$B$2:$B$9, MATCH(W2359, 'Адреса общежитий (скрытый)'!$A$2:$A$9, 0)), "")</f>
        <v/>
      </c>
      <c r="Y2359" s="18"/>
      <c r="Z2359" s="18"/>
      <c r="AA2359" s="18"/>
      <c r="AB2359" s="18"/>
      <c r="AC2359" s="18"/>
    </row>
    <row r="2360" spans="1:29" ht="32.25" hidden="1" customHeight="1">
      <c r="A2360" s="17"/>
      <c r="B2360" s="9" t="s">
        <v>13284</v>
      </c>
      <c r="C2360" s="9" t="s">
        <v>13284</v>
      </c>
      <c r="D2360" s="9" t="s">
        <v>13284</v>
      </c>
      <c r="E2360" s="9" t="s">
        <v>13284</v>
      </c>
      <c r="F2360" s="9" t="s">
        <v>13284</v>
      </c>
      <c r="G2360" s="9" t="s">
        <v>13284</v>
      </c>
      <c r="H2360" s="9" t="s">
        <v>13284</v>
      </c>
      <c r="I2360" s="9" t="s">
        <v>13284</v>
      </c>
      <c r="J2360" s="9" t="s">
        <v>13284</v>
      </c>
      <c r="K2360" s="9" t="s">
        <v>13284</v>
      </c>
      <c r="L2360" s="9" t="s">
        <v>13284</v>
      </c>
      <c r="M2360" s="9" t="s">
        <v>13284</v>
      </c>
      <c r="N2360" s="9" t="s">
        <v>13284</v>
      </c>
      <c r="O2360" s="9" t="s">
        <v>13284</v>
      </c>
      <c r="P2360" s="9" t="s">
        <v>13284</v>
      </c>
      <c r="Q2360" s="9" t="s">
        <v>13284</v>
      </c>
      <c r="R2360" s="9" t="s">
        <v>13284</v>
      </c>
      <c r="S2360" s="9" t="s">
        <v>13284</v>
      </c>
      <c r="T2360" s="9" t="str">
        <f ca="1">IFERROR(IF(AND(VLOOKUP(A2360, 'Актуальное состояние (из общего'!A:C,3,0) = "", A2360 &lt;&gt; ""), "ПРОВЕРИТЬ", VLOOKUP(A2360, 'Актуальное состояние (из общего'!A:C,3,0)), "")</f>
        <v/>
      </c>
      <c r="U2360" s="9" t="s">
        <v>13284</v>
      </c>
      <c r="V2360" s="9" t="s">
        <v>13284</v>
      </c>
      <c r="W2360" s="12"/>
      <c r="X2360" s="9" t="str">
        <f t="array" ref="X2360">IFERROR(INDEX('Адреса общежитий (скрытый)'!$B$2:$B$9, MATCH(W2360, 'Адреса общежитий (скрытый)'!$A$2:$A$9, 0)), "")</f>
        <v/>
      </c>
      <c r="Y2360" s="18"/>
      <c r="Z2360" s="18"/>
      <c r="AA2360" s="18"/>
      <c r="AB2360" s="18"/>
      <c r="AC2360" s="18"/>
    </row>
    <row r="2361" spans="1:29" ht="32.25" hidden="1" customHeight="1">
      <c r="A2361" s="17"/>
      <c r="B2361" s="9" t="s">
        <v>13284</v>
      </c>
      <c r="C2361" s="9" t="s">
        <v>13284</v>
      </c>
      <c r="D2361" s="9" t="s">
        <v>13284</v>
      </c>
      <c r="E2361" s="9" t="s">
        <v>13284</v>
      </c>
      <c r="F2361" s="9" t="s">
        <v>13284</v>
      </c>
      <c r="G2361" s="9" t="s">
        <v>13284</v>
      </c>
      <c r="H2361" s="9" t="s">
        <v>13284</v>
      </c>
      <c r="I2361" s="9" t="s">
        <v>13284</v>
      </c>
      <c r="J2361" s="9" t="s">
        <v>13284</v>
      </c>
      <c r="K2361" s="9" t="s">
        <v>13284</v>
      </c>
      <c r="L2361" s="9" t="s">
        <v>13284</v>
      </c>
      <c r="M2361" s="9" t="s">
        <v>13284</v>
      </c>
      <c r="N2361" s="9" t="s">
        <v>13284</v>
      </c>
      <c r="O2361" s="9" t="s">
        <v>13284</v>
      </c>
      <c r="P2361" s="9" t="s">
        <v>13284</v>
      </c>
      <c r="Q2361" s="9" t="s">
        <v>13284</v>
      </c>
      <c r="R2361" s="9" t="s">
        <v>13284</v>
      </c>
      <c r="S2361" s="9" t="s">
        <v>13284</v>
      </c>
      <c r="T2361" s="9" t="str">
        <f ca="1">IFERROR(IF(AND(VLOOKUP(A2361, 'Актуальное состояние (из общего'!A:C,3,0) = "", A2361 &lt;&gt; ""), "ПРОВЕРИТЬ", VLOOKUP(A2361, 'Актуальное состояние (из общего'!A:C,3,0)), "")</f>
        <v/>
      </c>
      <c r="U2361" s="9" t="s">
        <v>13284</v>
      </c>
      <c r="V2361" s="9" t="s">
        <v>13284</v>
      </c>
      <c r="W2361" s="12"/>
      <c r="X2361" s="9" t="str">
        <f t="array" ref="X2361">IFERROR(INDEX('Адреса общежитий (скрытый)'!$B$2:$B$9, MATCH(W2361, 'Адреса общежитий (скрытый)'!$A$2:$A$9, 0)), "")</f>
        <v/>
      </c>
      <c r="Y2361" s="18"/>
      <c r="Z2361" s="18"/>
      <c r="AA2361" s="18"/>
      <c r="AB2361" s="18"/>
      <c r="AC2361" s="18"/>
    </row>
    <row r="2362" spans="1:29" ht="32.25" hidden="1" customHeight="1">
      <c r="A2362" s="17"/>
      <c r="B2362" s="9" t="s">
        <v>13284</v>
      </c>
      <c r="C2362" s="9" t="s">
        <v>13284</v>
      </c>
      <c r="D2362" s="9" t="s">
        <v>13284</v>
      </c>
      <c r="E2362" s="9" t="s">
        <v>13284</v>
      </c>
      <c r="F2362" s="9" t="s">
        <v>13284</v>
      </c>
      <c r="G2362" s="9" t="s">
        <v>13284</v>
      </c>
      <c r="H2362" s="9" t="s">
        <v>13284</v>
      </c>
      <c r="I2362" s="9" t="s">
        <v>13284</v>
      </c>
      <c r="J2362" s="9" t="s">
        <v>13284</v>
      </c>
      <c r="K2362" s="9" t="s">
        <v>13284</v>
      </c>
      <c r="L2362" s="9" t="s">
        <v>13284</v>
      </c>
      <c r="M2362" s="9" t="s">
        <v>13284</v>
      </c>
      <c r="N2362" s="9" t="s">
        <v>13284</v>
      </c>
      <c r="O2362" s="9" t="s">
        <v>13284</v>
      </c>
      <c r="P2362" s="9" t="s">
        <v>13284</v>
      </c>
      <c r="Q2362" s="9" t="s">
        <v>13284</v>
      </c>
      <c r="R2362" s="9" t="s">
        <v>13284</v>
      </c>
      <c r="S2362" s="9" t="s">
        <v>13284</v>
      </c>
      <c r="T2362" s="9" t="str">
        <f ca="1">IFERROR(IF(AND(VLOOKUP(A2362, 'Актуальное состояние (из общего'!A:C,3,0) = "", A2362 &lt;&gt; ""), "ПРОВЕРИТЬ", VLOOKUP(A2362, 'Актуальное состояние (из общего'!A:C,3,0)), "")</f>
        <v/>
      </c>
      <c r="U2362" s="9" t="s">
        <v>13284</v>
      </c>
      <c r="V2362" s="9" t="s">
        <v>13284</v>
      </c>
      <c r="W2362" s="12"/>
      <c r="X2362" s="9" t="str">
        <f t="array" ref="X2362">IFERROR(INDEX('Адреса общежитий (скрытый)'!$B$2:$B$9, MATCH(W2362, 'Адреса общежитий (скрытый)'!$A$2:$A$9, 0)), "")</f>
        <v/>
      </c>
      <c r="Y2362" s="18"/>
      <c r="Z2362" s="18"/>
      <c r="AA2362" s="18"/>
      <c r="AB2362" s="18"/>
      <c r="AC2362" s="18"/>
    </row>
    <row r="2363" spans="1:29" ht="32.25" hidden="1" customHeight="1">
      <c r="A2363" s="17"/>
      <c r="B2363" s="9" t="s">
        <v>13284</v>
      </c>
      <c r="C2363" s="9" t="s">
        <v>13284</v>
      </c>
      <c r="D2363" s="9" t="s">
        <v>13284</v>
      </c>
      <c r="E2363" s="9" t="s">
        <v>13284</v>
      </c>
      <c r="F2363" s="9" t="s">
        <v>13284</v>
      </c>
      <c r="G2363" s="9" t="s">
        <v>13284</v>
      </c>
      <c r="H2363" s="9" t="s">
        <v>13284</v>
      </c>
      <c r="I2363" s="9" t="s">
        <v>13284</v>
      </c>
      <c r="J2363" s="9" t="s">
        <v>13284</v>
      </c>
      <c r="K2363" s="9" t="s">
        <v>13284</v>
      </c>
      <c r="L2363" s="9" t="s">
        <v>13284</v>
      </c>
      <c r="M2363" s="9" t="s">
        <v>13284</v>
      </c>
      <c r="N2363" s="9" t="s">
        <v>13284</v>
      </c>
      <c r="O2363" s="9" t="s">
        <v>13284</v>
      </c>
      <c r="P2363" s="9" t="s">
        <v>13284</v>
      </c>
      <c r="Q2363" s="9" t="s">
        <v>13284</v>
      </c>
      <c r="R2363" s="9" t="s">
        <v>13284</v>
      </c>
      <c r="S2363" s="9" t="s">
        <v>13284</v>
      </c>
      <c r="T2363" s="9" t="str">
        <f ca="1">IFERROR(IF(AND(VLOOKUP(A2363, 'Актуальное состояние (из общего'!A:C,3,0) = "", A2363 &lt;&gt; ""), "ПРОВЕРИТЬ", VLOOKUP(A2363, 'Актуальное состояние (из общего'!A:C,3,0)), "")</f>
        <v/>
      </c>
      <c r="U2363" s="9" t="s">
        <v>13284</v>
      </c>
      <c r="V2363" s="9" t="s">
        <v>13284</v>
      </c>
      <c r="W2363" s="12"/>
      <c r="X2363" s="9" t="str">
        <f t="array" ref="X2363">IFERROR(INDEX('Адреса общежитий (скрытый)'!$B$2:$B$9, MATCH(W2363, 'Адреса общежитий (скрытый)'!$A$2:$A$9, 0)), "")</f>
        <v/>
      </c>
      <c r="Y2363" s="18"/>
      <c r="Z2363" s="18"/>
      <c r="AA2363" s="18"/>
      <c r="AB2363" s="18"/>
      <c r="AC2363" s="18"/>
    </row>
    <row r="2364" spans="1:29" ht="32.25" hidden="1" customHeight="1">
      <c r="A2364" s="17"/>
      <c r="B2364" s="9" t="s">
        <v>13284</v>
      </c>
      <c r="C2364" s="9" t="s">
        <v>13284</v>
      </c>
      <c r="D2364" s="9" t="s">
        <v>13284</v>
      </c>
      <c r="E2364" s="9" t="s">
        <v>13284</v>
      </c>
      <c r="F2364" s="9" t="s">
        <v>13284</v>
      </c>
      <c r="G2364" s="9" t="s">
        <v>13284</v>
      </c>
      <c r="H2364" s="9" t="s">
        <v>13284</v>
      </c>
      <c r="I2364" s="9" t="s">
        <v>13284</v>
      </c>
      <c r="J2364" s="9" t="s">
        <v>13284</v>
      </c>
      <c r="K2364" s="9" t="s">
        <v>13284</v>
      </c>
      <c r="L2364" s="9" t="s">
        <v>13284</v>
      </c>
      <c r="M2364" s="9" t="s">
        <v>13284</v>
      </c>
      <c r="N2364" s="9" t="s">
        <v>13284</v>
      </c>
      <c r="O2364" s="9" t="s">
        <v>13284</v>
      </c>
      <c r="P2364" s="9" t="s">
        <v>13284</v>
      </c>
      <c r="Q2364" s="9" t="s">
        <v>13284</v>
      </c>
      <c r="R2364" s="9" t="s">
        <v>13284</v>
      </c>
      <c r="S2364" s="9" t="s">
        <v>13284</v>
      </c>
      <c r="T2364" s="9" t="str">
        <f ca="1">IFERROR(IF(AND(VLOOKUP(A2364, 'Актуальное состояние (из общего'!A:C,3,0) = "", A2364 &lt;&gt; ""), "ПРОВЕРИТЬ", VLOOKUP(A2364, 'Актуальное состояние (из общего'!A:C,3,0)), "")</f>
        <v/>
      </c>
      <c r="U2364" s="9" t="s">
        <v>13284</v>
      </c>
      <c r="V2364" s="9" t="s">
        <v>13284</v>
      </c>
      <c r="W2364" s="12"/>
      <c r="X2364" s="9" t="str">
        <f t="array" ref="X2364">IFERROR(INDEX('Адреса общежитий (скрытый)'!$B$2:$B$9, MATCH(W2364, 'Адреса общежитий (скрытый)'!$A$2:$A$9, 0)), "")</f>
        <v/>
      </c>
      <c r="Y2364" s="18"/>
      <c r="Z2364" s="18"/>
      <c r="AA2364" s="18"/>
      <c r="AB2364" s="18"/>
      <c r="AC2364" s="18"/>
    </row>
    <row r="2365" spans="1:29" ht="32.25" hidden="1" customHeight="1">
      <c r="A2365" s="17"/>
      <c r="B2365" s="9" t="s">
        <v>13284</v>
      </c>
      <c r="C2365" s="9" t="s">
        <v>13284</v>
      </c>
      <c r="D2365" s="9" t="s">
        <v>13284</v>
      </c>
      <c r="E2365" s="9" t="s">
        <v>13284</v>
      </c>
      <c r="F2365" s="9" t="s">
        <v>13284</v>
      </c>
      <c r="G2365" s="9" t="s">
        <v>13284</v>
      </c>
      <c r="H2365" s="9" t="s">
        <v>13284</v>
      </c>
      <c r="I2365" s="9" t="s">
        <v>13284</v>
      </c>
      <c r="J2365" s="9" t="s">
        <v>13284</v>
      </c>
      <c r="K2365" s="9" t="s">
        <v>13284</v>
      </c>
      <c r="L2365" s="9" t="s">
        <v>13284</v>
      </c>
      <c r="M2365" s="9" t="s">
        <v>13284</v>
      </c>
      <c r="N2365" s="9" t="s">
        <v>13284</v>
      </c>
      <c r="O2365" s="9" t="s">
        <v>13284</v>
      </c>
      <c r="P2365" s="9" t="s">
        <v>13284</v>
      </c>
      <c r="Q2365" s="9" t="s">
        <v>13284</v>
      </c>
      <c r="R2365" s="9" t="s">
        <v>13284</v>
      </c>
      <c r="S2365" s="9" t="s">
        <v>13284</v>
      </c>
      <c r="T2365" s="9" t="str">
        <f ca="1">IFERROR(IF(AND(VLOOKUP(A2365, 'Актуальное состояние (из общего'!A:C,3,0) = "", A2365 &lt;&gt; ""), "ПРОВЕРИТЬ", VLOOKUP(A2365, 'Актуальное состояние (из общего'!A:C,3,0)), "")</f>
        <v/>
      </c>
      <c r="U2365" s="9" t="s">
        <v>13284</v>
      </c>
      <c r="V2365" s="9" t="s">
        <v>13284</v>
      </c>
      <c r="W2365" s="12"/>
      <c r="X2365" s="9" t="str">
        <f t="array" ref="X2365">IFERROR(INDEX('Адреса общежитий (скрытый)'!$B$2:$B$9, MATCH(W2365, 'Адреса общежитий (скрытый)'!$A$2:$A$9, 0)), "")</f>
        <v/>
      </c>
      <c r="Y2365" s="18"/>
      <c r="Z2365" s="18"/>
      <c r="AA2365" s="18"/>
      <c r="AB2365" s="18"/>
      <c r="AC2365" s="18"/>
    </row>
    <row r="2366" spans="1:29" ht="32.25" hidden="1" customHeight="1">
      <c r="A2366" s="17"/>
      <c r="B2366" s="9" t="s">
        <v>13284</v>
      </c>
      <c r="C2366" s="9" t="s">
        <v>13284</v>
      </c>
      <c r="D2366" s="9" t="s">
        <v>13284</v>
      </c>
      <c r="E2366" s="9" t="s">
        <v>13284</v>
      </c>
      <c r="F2366" s="9" t="s">
        <v>13284</v>
      </c>
      <c r="G2366" s="9" t="s">
        <v>13284</v>
      </c>
      <c r="H2366" s="9" t="s">
        <v>13284</v>
      </c>
      <c r="I2366" s="9" t="s">
        <v>13284</v>
      </c>
      <c r="J2366" s="9" t="s">
        <v>13284</v>
      </c>
      <c r="K2366" s="9" t="s">
        <v>13284</v>
      </c>
      <c r="L2366" s="9" t="s">
        <v>13284</v>
      </c>
      <c r="M2366" s="9" t="s">
        <v>13284</v>
      </c>
      <c r="N2366" s="9" t="s">
        <v>13284</v>
      </c>
      <c r="O2366" s="9" t="s">
        <v>13284</v>
      </c>
      <c r="P2366" s="9" t="s">
        <v>13284</v>
      </c>
      <c r="Q2366" s="9" t="s">
        <v>13284</v>
      </c>
      <c r="R2366" s="9" t="s">
        <v>13284</v>
      </c>
      <c r="S2366" s="9" t="s">
        <v>13284</v>
      </c>
      <c r="T2366" s="9" t="str">
        <f ca="1">IFERROR(IF(AND(VLOOKUP(A2366, 'Актуальное состояние (из общего'!A:C,3,0) = "", A2366 &lt;&gt; ""), "ПРОВЕРИТЬ", VLOOKUP(A2366, 'Актуальное состояние (из общего'!A:C,3,0)), "")</f>
        <v/>
      </c>
      <c r="U2366" s="9" t="s">
        <v>13284</v>
      </c>
      <c r="V2366" s="9" t="s">
        <v>13284</v>
      </c>
      <c r="W2366" s="12"/>
      <c r="X2366" s="9" t="str">
        <f t="array" ref="X2366">IFERROR(INDEX('Адреса общежитий (скрытый)'!$B$2:$B$9, MATCH(W2366, 'Адреса общежитий (скрытый)'!$A$2:$A$9, 0)), "")</f>
        <v/>
      </c>
      <c r="Y2366" s="18"/>
      <c r="Z2366" s="18"/>
      <c r="AA2366" s="18"/>
      <c r="AB2366" s="18"/>
      <c r="AC2366" s="18"/>
    </row>
    <row r="2367" spans="1:29" ht="32.25" hidden="1" customHeight="1">
      <c r="A2367" s="17"/>
      <c r="B2367" s="9" t="s">
        <v>13284</v>
      </c>
      <c r="C2367" s="9" t="s">
        <v>13284</v>
      </c>
      <c r="D2367" s="9" t="s">
        <v>13284</v>
      </c>
      <c r="E2367" s="9" t="s">
        <v>13284</v>
      </c>
      <c r="F2367" s="9" t="s">
        <v>13284</v>
      </c>
      <c r="G2367" s="9" t="s">
        <v>13284</v>
      </c>
      <c r="H2367" s="9" t="s">
        <v>13284</v>
      </c>
      <c r="I2367" s="9" t="s">
        <v>13284</v>
      </c>
      <c r="J2367" s="9" t="s">
        <v>13284</v>
      </c>
      <c r="K2367" s="9" t="s">
        <v>13284</v>
      </c>
      <c r="L2367" s="9" t="s">
        <v>13284</v>
      </c>
      <c r="M2367" s="9" t="s">
        <v>13284</v>
      </c>
      <c r="N2367" s="9" t="s">
        <v>13284</v>
      </c>
      <c r="O2367" s="9" t="s">
        <v>13284</v>
      </c>
      <c r="P2367" s="9" t="s">
        <v>13284</v>
      </c>
      <c r="Q2367" s="9" t="s">
        <v>13284</v>
      </c>
      <c r="R2367" s="9" t="s">
        <v>13284</v>
      </c>
      <c r="S2367" s="9" t="s">
        <v>13284</v>
      </c>
      <c r="T2367" s="9" t="str">
        <f ca="1">IFERROR(IF(AND(VLOOKUP(A2367, 'Актуальное состояние (из общего'!A:C,3,0) = "", A2367 &lt;&gt; ""), "ПРОВЕРИТЬ", VLOOKUP(A2367, 'Актуальное состояние (из общего'!A:C,3,0)), "")</f>
        <v/>
      </c>
      <c r="U2367" s="9" t="s">
        <v>13284</v>
      </c>
      <c r="V2367" s="9" t="s">
        <v>13284</v>
      </c>
      <c r="W2367" s="12"/>
      <c r="X2367" s="9" t="str">
        <f t="array" ref="X2367">IFERROR(INDEX('Адреса общежитий (скрытый)'!$B$2:$B$9, MATCH(W2367, 'Адреса общежитий (скрытый)'!$A$2:$A$9, 0)), "")</f>
        <v/>
      </c>
      <c r="Y2367" s="18"/>
      <c r="Z2367" s="18"/>
      <c r="AA2367" s="18"/>
      <c r="AB2367" s="18"/>
      <c r="AC2367" s="18"/>
    </row>
    <row r="2368" spans="1:29" ht="32.25" hidden="1" customHeight="1">
      <c r="A2368" s="17"/>
      <c r="B2368" s="9" t="s">
        <v>13284</v>
      </c>
      <c r="C2368" s="9" t="s">
        <v>13284</v>
      </c>
      <c r="D2368" s="9" t="s">
        <v>13284</v>
      </c>
      <c r="E2368" s="9" t="s">
        <v>13284</v>
      </c>
      <c r="F2368" s="9" t="s">
        <v>13284</v>
      </c>
      <c r="G2368" s="9" t="s">
        <v>13284</v>
      </c>
      <c r="H2368" s="9" t="s">
        <v>13284</v>
      </c>
      <c r="I2368" s="9" t="s">
        <v>13284</v>
      </c>
      <c r="J2368" s="9" t="s">
        <v>13284</v>
      </c>
      <c r="K2368" s="9" t="s">
        <v>13284</v>
      </c>
      <c r="L2368" s="9" t="s">
        <v>13284</v>
      </c>
      <c r="M2368" s="9" t="s">
        <v>13284</v>
      </c>
      <c r="N2368" s="9" t="s">
        <v>13284</v>
      </c>
      <c r="O2368" s="9" t="s">
        <v>13284</v>
      </c>
      <c r="P2368" s="9" t="s">
        <v>13284</v>
      </c>
      <c r="Q2368" s="9" t="s">
        <v>13284</v>
      </c>
      <c r="R2368" s="9" t="s">
        <v>13284</v>
      </c>
      <c r="S2368" s="9" t="s">
        <v>13284</v>
      </c>
      <c r="T2368" s="9" t="str">
        <f ca="1">IFERROR(IF(AND(VLOOKUP(A2368, 'Актуальное состояние (из общего'!A:C,3,0) = "", A2368 &lt;&gt; ""), "ПРОВЕРИТЬ", VLOOKUP(A2368, 'Актуальное состояние (из общего'!A:C,3,0)), "")</f>
        <v/>
      </c>
      <c r="U2368" s="9" t="s">
        <v>13284</v>
      </c>
      <c r="V2368" s="9" t="s">
        <v>13284</v>
      </c>
      <c r="W2368" s="12"/>
      <c r="X2368" s="9" t="str">
        <f t="array" ref="X2368">IFERROR(INDEX('Адреса общежитий (скрытый)'!$B$2:$B$9, MATCH(W2368, 'Адреса общежитий (скрытый)'!$A$2:$A$9, 0)), "")</f>
        <v/>
      </c>
      <c r="Y2368" s="18"/>
      <c r="Z2368" s="18"/>
      <c r="AA2368" s="18"/>
      <c r="AB2368" s="18"/>
      <c r="AC2368" s="18"/>
    </row>
    <row r="2369" spans="1:29" ht="32.25" hidden="1" customHeight="1">
      <c r="A2369" s="17"/>
      <c r="B2369" s="9" t="s">
        <v>13284</v>
      </c>
      <c r="C2369" s="9" t="s">
        <v>13284</v>
      </c>
      <c r="D2369" s="9" t="s">
        <v>13284</v>
      </c>
      <c r="E2369" s="9" t="s">
        <v>13284</v>
      </c>
      <c r="F2369" s="9" t="s">
        <v>13284</v>
      </c>
      <c r="G2369" s="9" t="s">
        <v>13284</v>
      </c>
      <c r="H2369" s="9" t="s">
        <v>13284</v>
      </c>
      <c r="I2369" s="9" t="s">
        <v>13284</v>
      </c>
      <c r="J2369" s="9" t="s">
        <v>13284</v>
      </c>
      <c r="K2369" s="9" t="s">
        <v>13284</v>
      </c>
      <c r="L2369" s="9" t="s">
        <v>13284</v>
      </c>
      <c r="M2369" s="9" t="s">
        <v>13284</v>
      </c>
      <c r="N2369" s="9" t="s">
        <v>13284</v>
      </c>
      <c r="O2369" s="9" t="s">
        <v>13284</v>
      </c>
      <c r="P2369" s="9" t="s">
        <v>13284</v>
      </c>
      <c r="Q2369" s="9" t="s">
        <v>13284</v>
      </c>
      <c r="R2369" s="9" t="s">
        <v>13284</v>
      </c>
      <c r="S2369" s="9" t="s">
        <v>13284</v>
      </c>
      <c r="T2369" s="9" t="str">
        <f ca="1">IFERROR(IF(AND(VLOOKUP(A2369, 'Актуальное состояние (из общего'!A:C,3,0) = "", A2369 &lt;&gt; ""), "ПРОВЕРИТЬ", VLOOKUP(A2369, 'Актуальное состояние (из общего'!A:C,3,0)), "")</f>
        <v/>
      </c>
      <c r="U2369" s="9" t="s">
        <v>13284</v>
      </c>
      <c r="V2369" s="9" t="s">
        <v>13284</v>
      </c>
      <c r="W2369" s="12"/>
      <c r="X2369" s="9" t="str">
        <f t="array" ref="X2369">IFERROR(INDEX('Адреса общежитий (скрытый)'!$B$2:$B$9, MATCH(W2369, 'Адреса общежитий (скрытый)'!$A$2:$A$9, 0)), "")</f>
        <v/>
      </c>
      <c r="Y2369" s="18"/>
      <c r="Z2369" s="18"/>
      <c r="AA2369" s="18"/>
      <c r="AB2369" s="18"/>
      <c r="AC2369" s="18"/>
    </row>
    <row r="2370" spans="1:29" ht="32.25" hidden="1" customHeight="1">
      <c r="A2370" s="17"/>
      <c r="B2370" s="9" t="s">
        <v>13284</v>
      </c>
      <c r="C2370" s="9" t="s">
        <v>13284</v>
      </c>
      <c r="D2370" s="9" t="s">
        <v>13284</v>
      </c>
      <c r="E2370" s="9" t="s">
        <v>13284</v>
      </c>
      <c r="F2370" s="9" t="s">
        <v>13284</v>
      </c>
      <c r="G2370" s="9" t="s">
        <v>13284</v>
      </c>
      <c r="H2370" s="9" t="s">
        <v>13284</v>
      </c>
      <c r="I2370" s="9" t="s">
        <v>13284</v>
      </c>
      <c r="J2370" s="9" t="s">
        <v>13284</v>
      </c>
      <c r="K2370" s="9" t="s">
        <v>13284</v>
      </c>
      <c r="L2370" s="9" t="s">
        <v>13284</v>
      </c>
      <c r="M2370" s="9" t="s">
        <v>13284</v>
      </c>
      <c r="N2370" s="9" t="s">
        <v>13284</v>
      </c>
      <c r="O2370" s="9" t="s">
        <v>13284</v>
      </c>
      <c r="P2370" s="9" t="s">
        <v>13284</v>
      </c>
      <c r="Q2370" s="9" t="s">
        <v>13284</v>
      </c>
      <c r="R2370" s="9" t="s">
        <v>13284</v>
      </c>
      <c r="S2370" s="9" t="s">
        <v>13284</v>
      </c>
      <c r="T2370" s="9" t="str">
        <f ca="1">IFERROR(IF(AND(VLOOKUP(A2370, 'Актуальное состояние (из общего'!A:C,3,0) = "", A2370 &lt;&gt; ""), "ПРОВЕРИТЬ", VLOOKUP(A2370, 'Актуальное состояние (из общего'!A:C,3,0)), "")</f>
        <v/>
      </c>
      <c r="U2370" s="9" t="s">
        <v>13284</v>
      </c>
      <c r="V2370" s="9" t="s">
        <v>13284</v>
      </c>
      <c r="W2370" s="12"/>
      <c r="X2370" s="9" t="str">
        <f t="array" ref="X2370">IFERROR(INDEX('Адреса общежитий (скрытый)'!$B$2:$B$9, MATCH(W2370, 'Адреса общежитий (скрытый)'!$A$2:$A$9, 0)), "")</f>
        <v/>
      </c>
      <c r="Y2370" s="18"/>
      <c r="Z2370" s="18"/>
      <c r="AA2370" s="18"/>
      <c r="AB2370" s="18"/>
      <c r="AC2370" s="18"/>
    </row>
    <row r="2371" spans="1:29" ht="32.25" hidden="1" customHeight="1">
      <c r="A2371" s="17"/>
      <c r="B2371" s="9" t="s">
        <v>13284</v>
      </c>
      <c r="C2371" s="9" t="s">
        <v>13284</v>
      </c>
      <c r="D2371" s="9" t="s">
        <v>13284</v>
      </c>
      <c r="E2371" s="9" t="s">
        <v>13284</v>
      </c>
      <c r="F2371" s="9" t="s">
        <v>13284</v>
      </c>
      <c r="G2371" s="9" t="s">
        <v>13284</v>
      </c>
      <c r="H2371" s="9" t="s">
        <v>13284</v>
      </c>
      <c r="I2371" s="9" t="s">
        <v>13284</v>
      </c>
      <c r="J2371" s="9" t="s">
        <v>13284</v>
      </c>
      <c r="K2371" s="9" t="s">
        <v>13284</v>
      </c>
      <c r="L2371" s="9" t="s">
        <v>13284</v>
      </c>
      <c r="M2371" s="9" t="s">
        <v>13284</v>
      </c>
      <c r="N2371" s="9" t="s">
        <v>13284</v>
      </c>
      <c r="O2371" s="9" t="s">
        <v>13284</v>
      </c>
      <c r="P2371" s="9" t="s">
        <v>13284</v>
      </c>
      <c r="Q2371" s="9" t="s">
        <v>13284</v>
      </c>
      <c r="R2371" s="9" t="s">
        <v>13284</v>
      </c>
      <c r="S2371" s="9" t="s">
        <v>13284</v>
      </c>
      <c r="T2371" s="9" t="str">
        <f ca="1">IFERROR(IF(AND(VLOOKUP(A2371, 'Актуальное состояние (из общего'!A:C,3,0) = "", A2371 &lt;&gt; ""), "ПРОВЕРИТЬ", VLOOKUP(A2371, 'Актуальное состояние (из общего'!A:C,3,0)), "")</f>
        <v/>
      </c>
      <c r="U2371" s="9" t="s">
        <v>13284</v>
      </c>
      <c r="V2371" s="9" t="s">
        <v>13284</v>
      </c>
      <c r="W2371" s="12"/>
      <c r="X2371" s="9" t="str">
        <f t="array" ref="X2371">IFERROR(INDEX('Адреса общежитий (скрытый)'!$B$2:$B$9, MATCH(W2371, 'Адреса общежитий (скрытый)'!$A$2:$A$9, 0)), "")</f>
        <v/>
      </c>
      <c r="Y2371" s="18"/>
      <c r="Z2371" s="18"/>
      <c r="AA2371" s="18"/>
      <c r="AB2371" s="18"/>
      <c r="AC2371" s="18"/>
    </row>
    <row r="2372" spans="1:29" ht="32.25" hidden="1" customHeight="1">
      <c r="A2372" s="17"/>
      <c r="B2372" s="9" t="s">
        <v>13284</v>
      </c>
      <c r="C2372" s="9" t="s">
        <v>13284</v>
      </c>
      <c r="D2372" s="9" t="s">
        <v>13284</v>
      </c>
      <c r="E2372" s="9" t="s">
        <v>13284</v>
      </c>
      <c r="F2372" s="9" t="s">
        <v>13284</v>
      </c>
      <c r="G2372" s="9" t="s">
        <v>13284</v>
      </c>
      <c r="H2372" s="9" t="s">
        <v>13284</v>
      </c>
      <c r="I2372" s="9" t="s">
        <v>13284</v>
      </c>
      <c r="J2372" s="9" t="s">
        <v>13284</v>
      </c>
      <c r="K2372" s="9" t="s">
        <v>13284</v>
      </c>
      <c r="L2372" s="9" t="s">
        <v>13284</v>
      </c>
      <c r="M2372" s="9" t="s">
        <v>13284</v>
      </c>
      <c r="N2372" s="9" t="s">
        <v>13284</v>
      </c>
      <c r="O2372" s="9" t="s">
        <v>13284</v>
      </c>
      <c r="P2372" s="9" t="s">
        <v>13284</v>
      </c>
      <c r="Q2372" s="9" t="s">
        <v>13284</v>
      </c>
      <c r="R2372" s="9" t="s">
        <v>13284</v>
      </c>
      <c r="S2372" s="9" t="s">
        <v>13284</v>
      </c>
      <c r="T2372" s="9" t="str">
        <f ca="1">IFERROR(IF(AND(VLOOKUP(A2372, 'Актуальное состояние (из общего'!A:C,3,0) = "", A2372 &lt;&gt; ""), "ПРОВЕРИТЬ", VLOOKUP(A2372, 'Актуальное состояние (из общего'!A:C,3,0)), "")</f>
        <v/>
      </c>
      <c r="U2372" s="9" t="s">
        <v>13284</v>
      </c>
      <c r="V2372" s="9" t="s">
        <v>13284</v>
      </c>
      <c r="W2372" s="12"/>
      <c r="X2372" s="9" t="str">
        <f t="array" ref="X2372">IFERROR(INDEX('Адреса общежитий (скрытый)'!$B$2:$B$9, MATCH(W2372, 'Адреса общежитий (скрытый)'!$A$2:$A$9, 0)), "")</f>
        <v/>
      </c>
      <c r="Y2372" s="18"/>
      <c r="Z2372" s="18"/>
      <c r="AA2372" s="18"/>
      <c r="AB2372" s="18"/>
      <c r="AC2372" s="18"/>
    </row>
    <row r="2373" spans="1:29" ht="32.25" hidden="1" customHeight="1">
      <c r="A2373" s="17"/>
      <c r="B2373" s="9" t="s">
        <v>13284</v>
      </c>
      <c r="C2373" s="9" t="s">
        <v>13284</v>
      </c>
      <c r="D2373" s="9" t="s">
        <v>13284</v>
      </c>
      <c r="E2373" s="9" t="s">
        <v>13284</v>
      </c>
      <c r="F2373" s="9" t="s">
        <v>13284</v>
      </c>
      <c r="G2373" s="9" t="s">
        <v>13284</v>
      </c>
      <c r="H2373" s="9" t="s">
        <v>13284</v>
      </c>
      <c r="I2373" s="9" t="s">
        <v>13284</v>
      </c>
      <c r="J2373" s="9" t="s">
        <v>13284</v>
      </c>
      <c r="K2373" s="9" t="s">
        <v>13284</v>
      </c>
      <c r="L2373" s="9" t="s">
        <v>13284</v>
      </c>
      <c r="M2373" s="9" t="s">
        <v>13284</v>
      </c>
      <c r="N2373" s="9" t="s">
        <v>13284</v>
      </c>
      <c r="O2373" s="9" t="s">
        <v>13284</v>
      </c>
      <c r="P2373" s="9" t="s">
        <v>13284</v>
      </c>
      <c r="Q2373" s="9" t="s">
        <v>13284</v>
      </c>
      <c r="R2373" s="9" t="s">
        <v>13284</v>
      </c>
      <c r="S2373" s="9" t="s">
        <v>13284</v>
      </c>
      <c r="T2373" s="9" t="str">
        <f ca="1">IFERROR(IF(AND(VLOOKUP(A2373, 'Актуальное состояние (из общего'!A:C,3,0) = "", A2373 &lt;&gt; ""), "ПРОВЕРИТЬ", VLOOKUP(A2373, 'Актуальное состояние (из общего'!A:C,3,0)), "")</f>
        <v/>
      </c>
      <c r="U2373" s="9" t="s">
        <v>13284</v>
      </c>
      <c r="V2373" s="9" t="s">
        <v>13284</v>
      </c>
      <c r="W2373" s="12"/>
      <c r="X2373" s="9" t="str">
        <f t="array" ref="X2373">IFERROR(INDEX('Адреса общежитий (скрытый)'!$B$2:$B$9, MATCH(W2373, 'Адреса общежитий (скрытый)'!$A$2:$A$9, 0)), "")</f>
        <v/>
      </c>
      <c r="Y2373" s="18"/>
      <c r="Z2373" s="18"/>
      <c r="AA2373" s="18"/>
      <c r="AB2373" s="18"/>
      <c r="AC2373" s="18"/>
    </row>
    <row r="2374" spans="1:29" ht="32.25" hidden="1" customHeight="1">
      <c r="A2374" s="17"/>
      <c r="B2374" s="9" t="s">
        <v>13284</v>
      </c>
      <c r="C2374" s="9" t="s">
        <v>13284</v>
      </c>
      <c r="D2374" s="9" t="s">
        <v>13284</v>
      </c>
      <c r="E2374" s="9" t="s">
        <v>13284</v>
      </c>
      <c r="F2374" s="9" t="s">
        <v>13284</v>
      </c>
      <c r="G2374" s="9" t="s">
        <v>13284</v>
      </c>
      <c r="H2374" s="9" t="s">
        <v>13284</v>
      </c>
      <c r="I2374" s="9" t="s">
        <v>13284</v>
      </c>
      <c r="J2374" s="9" t="s">
        <v>13284</v>
      </c>
      <c r="K2374" s="9" t="s">
        <v>13284</v>
      </c>
      <c r="L2374" s="9" t="s">
        <v>13284</v>
      </c>
      <c r="M2374" s="9" t="s">
        <v>13284</v>
      </c>
      <c r="N2374" s="9" t="s">
        <v>13284</v>
      </c>
      <c r="O2374" s="9" t="s">
        <v>13284</v>
      </c>
      <c r="P2374" s="9" t="s">
        <v>13284</v>
      </c>
      <c r="Q2374" s="9" t="s">
        <v>13284</v>
      </c>
      <c r="R2374" s="9" t="s">
        <v>13284</v>
      </c>
      <c r="S2374" s="9" t="s">
        <v>13284</v>
      </c>
      <c r="T2374" s="9" t="str">
        <f ca="1">IFERROR(IF(AND(VLOOKUP(A2374, 'Актуальное состояние (из общего'!A:C,3,0) = "", A2374 &lt;&gt; ""), "ПРОВЕРИТЬ", VLOOKUP(A2374, 'Актуальное состояние (из общего'!A:C,3,0)), "")</f>
        <v/>
      </c>
      <c r="U2374" s="9" t="s">
        <v>13284</v>
      </c>
      <c r="V2374" s="9" t="s">
        <v>13284</v>
      </c>
      <c r="W2374" s="12"/>
      <c r="X2374" s="9" t="str">
        <f t="array" ref="X2374">IFERROR(INDEX('Адреса общежитий (скрытый)'!$B$2:$B$9, MATCH(W2374, 'Адреса общежитий (скрытый)'!$A$2:$A$9, 0)), "")</f>
        <v/>
      </c>
      <c r="Y2374" s="18"/>
      <c r="Z2374" s="18"/>
      <c r="AA2374" s="18"/>
      <c r="AB2374" s="18"/>
      <c r="AC2374" s="18"/>
    </row>
    <row r="2375" spans="1:29" ht="32.25" hidden="1" customHeight="1">
      <c r="A2375" s="17"/>
      <c r="B2375" s="9" t="s">
        <v>13284</v>
      </c>
      <c r="C2375" s="9" t="s">
        <v>13284</v>
      </c>
      <c r="D2375" s="9" t="s">
        <v>13284</v>
      </c>
      <c r="E2375" s="9" t="s">
        <v>13284</v>
      </c>
      <c r="F2375" s="9" t="s">
        <v>13284</v>
      </c>
      <c r="G2375" s="9" t="s">
        <v>13284</v>
      </c>
      <c r="H2375" s="9" t="s">
        <v>13284</v>
      </c>
      <c r="I2375" s="9" t="s">
        <v>13284</v>
      </c>
      <c r="J2375" s="9" t="s">
        <v>13284</v>
      </c>
      <c r="K2375" s="9" t="s">
        <v>13284</v>
      </c>
      <c r="L2375" s="9" t="s">
        <v>13284</v>
      </c>
      <c r="M2375" s="9" t="s">
        <v>13284</v>
      </c>
      <c r="N2375" s="9" t="s">
        <v>13284</v>
      </c>
      <c r="O2375" s="9" t="s">
        <v>13284</v>
      </c>
      <c r="P2375" s="9" t="s">
        <v>13284</v>
      </c>
      <c r="Q2375" s="9" t="s">
        <v>13284</v>
      </c>
      <c r="R2375" s="9" t="s">
        <v>13284</v>
      </c>
      <c r="S2375" s="9" t="s">
        <v>13284</v>
      </c>
      <c r="T2375" s="9" t="str">
        <f ca="1">IFERROR(IF(AND(VLOOKUP(A2375, 'Актуальное состояние (из общего'!A:C,3,0) = "", A2375 &lt;&gt; ""), "ПРОВЕРИТЬ", VLOOKUP(A2375, 'Актуальное состояние (из общего'!A:C,3,0)), "")</f>
        <v/>
      </c>
      <c r="U2375" s="9" t="s">
        <v>13284</v>
      </c>
      <c r="V2375" s="9" t="s">
        <v>13284</v>
      </c>
      <c r="W2375" s="12"/>
      <c r="X2375" s="9" t="str">
        <f t="array" ref="X2375">IFERROR(INDEX('Адреса общежитий (скрытый)'!$B$2:$B$9, MATCH(W2375, 'Адреса общежитий (скрытый)'!$A$2:$A$9, 0)), "")</f>
        <v/>
      </c>
      <c r="Y2375" s="18"/>
      <c r="Z2375" s="18"/>
      <c r="AA2375" s="18"/>
      <c r="AB2375" s="18"/>
      <c r="AC2375" s="18"/>
    </row>
    <row r="2376" spans="1:29" ht="32.25" hidden="1" customHeight="1">
      <c r="A2376" s="17"/>
      <c r="B2376" s="9" t="s">
        <v>13284</v>
      </c>
      <c r="C2376" s="9" t="s">
        <v>13284</v>
      </c>
      <c r="D2376" s="9" t="s">
        <v>13284</v>
      </c>
      <c r="E2376" s="9" t="s">
        <v>13284</v>
      </c>
      <c r="F2376" s="9" t="s">
        <v>13284</v>
      </c>
      <c r="G2376" s="9" t="s">
        <v>13284</v>
      </c>
      <c r="H2376" s="9" t="s">
        <v>13284</v>
      </c>
      <c r="I2376" s="9" t="s">
        <v>13284</v>
      </c>
      <c r="J2376" s="9" t="s">
        <v>13284</v>
      </c>
      <c r="K2376" s="9" t="s">
        <v>13284</v>
      </c>
      <c r="L2376" s="9" t="s">
        <v>13284</v>
      </c>
      <c r="M2376" s="9" t="s">
        <v>13284</v>
      </c>
      <c r="N2376" s="9" t="s">
        <v>13284</v>
      </c>
      <c r="O2376" s="9" t="s">
        <v>13284</v>
      </c>
      <c r="P2376" s="9" t="s">
        <v>13284</v>
      </c>
      <c r="Q2376" s="9" t="s">
        <v>13284</v>
      </c>
      <c r="R2376" s="9" t="s">
        <v>13284</v>
      </c>
      <c r="S2376" s="9" t="s">
        <v>13284</v>
      </c>
      <c r="T2376" s="9" t="str">
        <f ca="1">IFERROR(IF(AND(VLOOKUP(A2376, 'Актуальное состояние (из общего'!A:C,3,0) = "", A2376 &lt;&gt; ""), "ПРОВЕРИТЬ", VLOOKUP(A2376, 'Актуальное состояние (из общего'!A:C,3,0)), "")</f>
        <v/>
      </c>
      <c r="U2376" s="9" t="s">
        <v>13284</v>
      </c>
      <c r="V2376" s="9" t="s">
        <v>13284</v>
      </c>
      <c r="W2376" s="12"/>
      <c r="X2376" s="9" t="str">
        <f t="array" ref="X2376">IFERROR(INDEX('Адреса общежитий (скрытый)'!$B$2:$B$9, MATCH(W2376, 'Адреса общежитий (скрытый)'!$A$2:$A$9, 0)), "")</f>
        <v/>
      </c>
      <c r="Y2376" s="18"/>
      <c r="Z2376" s="18"/>
      <c r="AA2376" s="18"/>
      <c r="AB2376" s="18"/>
      <c r="AC2376" s="18"/>
    </row>
    <row r="2377" spans="1:29" ht="32.25" hidden="1" customHeight="1">
      <c r="A2377" s="17"/>
      <c r="B2377" s="9" t="s">
        <v>13284</v>
      </c>
      <c r="C2377" s="9" t="s">
        <v>13284</v>
      </c>
      <c r="D2377" s="9" t="s">
        <v>13284</v>
      </c>
      <c r="E2377" s="9" t="s">
        <v>13284</v>
      </c>
      <c r="F2377" s="9" t="s">
        <v>13284</v>
      </c>
      <c r="G2377" s="9" t="s">
        <v>13284</v>
      </c>
      <c r="H2377" s="9" t="s">
        <v>13284</v>
      </c>
      <c r="I2377" s="9" t="s">
        <v>13284</v>
      </c>
      <c r="J2377" s="9" t="s">
        <v>13284</v>
      </c>
      <c r="K2377" s="9" t="s">
        <v>13284</v>
      </c>
      <c r="L2377" s="9" t="s">
        <v>13284</v>
      </c>
      <c r="M2377" s="9" t="s">
        <v>13284</v>
      </c>
      <c r="N2377" s="9" t="s">
        <v>13284</v>
      </c>
      <c r="O2377" s="9" t="s">
        <v>13284</v>
      </c>
      <c r="P2377" s="9" t="s">
        <v>13284</v>
      </c>
      <c r="Q2377" s="9" t="s">
        <v>13284</v>
      </c>
      <c r="R2377" s="9" t="s">
        <v>13284</v>
      </c>
      <c r="S2377" s="9" t="s">
        <v>13284</v>
      </c>
      <c r="T2377" s="9" t="str">
        <f ca="1">IFERROR(IF(AND(VLOOKUP(A2377, 'Актуальное состояние (из общего'!A:C,3,0) = "", A2377 &lt;&gt; ""), "ПРОВЕРИТЬ", VLOOKUP(A2377, 'Актуальное состояние (из общего'!A:C,3,0)), "")</f>
        <v/>
      </c>
      <c r="U2377" s="9" t="s">
        <v>13284</v>
      </c>
      <c r="V2377" s="9" t="s">
        <v>13284</v>
      </c>
      <c r="W2377" s="12"/>
      <c r="X2377" s="9" t="str">
        <f t="array" ref="X2377">IFERROR(INDEX('Адреса общежитий (скрытый)'!$B$2:$B$9, MATCH(W2377, 'Адреса общежитий (скрытый)'!$A$2:$A$9, 0)), "")</f>
        <v/>
      </c>
      <c r="Y2377" s="18"/>
      <c r="Z2377" s="18"/>
      <c r="AA2377" s="18"/>
      <c r="AB2377" s="18"/>
      <c r="AC2377" s="18"/>
    </row>
    <row r="2378" spans="1:29" ht="32.25" hidden="1" customHeight="1">
      <c r="A2378" s="17"/>
      <c r="B2378" s="9" t="s">
        <v>13284</v>
      </c>
      <c r="C2378" s="9" t="s">
        <v>13284</v>
      </c>
      <c r="D2378" s="9" t="s">
        <v>13284</v>
      </c>
      <c r="E2378" s="9" t="s">
        <v>13284</v>
      </c>
      <c r="F2378" s="9" t="s">
        <v>13284</v>
      </c>
      <c r="G2378" s="9" t="s">
        <v>13284</v>
      </c>
      <c r="H2378" s="9" t="s">
        <v>13284</v>
      </c>
      <c r="I2378" s="9" t="s">
        <v>13284</v>
      </c>
      <c r="J2378" s="9" t="s">
        <v>13284</v>
      </c>
      <c r="K2378" s="9" t="s">
        <v>13284</v>
      </c>
      <c r="L2378" s="9" t="s">
        <v>13284</v>
      </c>
      <c r="M2378" s="9" t="s">
        <v>13284</v>
      </c>
      <c r="N2378" s="9" t="s">
        <v>13284</v>
      </c>
      <c r="O2378" s="9" t="s">
        <v>13284</v>
      </c>
      <c r="P2378" s="9" t="s">
        <v>13284</v>
      </c>
      <c r="Q2378" s="9" t="s">
        <v>13284</v>
      </c>
      <c r="R2378" s="9" t="s">
        <v>13284</v>
      </c>
      <c r="S2378" s="9" t="s">
        <v>13284</v>
      </c>
      <c r="T2378" s="9" t="str">
        <f ca="1">IFERROR(IF(AND(VLOOKUP(A2378, 'Актуальное состояние (из общего'!A:C,3,0) = "", A2378 &lt;&gt; ""), "ПРОВЕРИТЬ", VLOOKUP(A2378, 'Актуальное состояние (из общего'!A:C,3,0)), "")</f>
        <v/>
      </c>
      <c r="U2378" s="9" t="s">
        <v>13284</v>
      </c>
      <c r="V2378" s="9" t="s">
        <v>13284</v>
      </c>
      <c r="W2378" s="12"/>
      <c r="X2378" s="9" t="str">
        <f t="array" ref="X2378">IFERROR(INDEX('Адреса общежитий (скрытый)'!$B$2:$B$9, MATCH(W2378, 'Адреса общежитий (скрытый)'!$A$2:$A$9, 0)), "")</f>
        <v/>
      </c>
      <c r="Y2378" s="18"/>
      <c r="Z2378" s="18"/>
      <c r="AA2378" s="18"/>
      <c r="AB2378" s="18"/>
      <c r="AC2378" s="18"/>
    </row>
    <row r="2379" spans="1:29" ht="32.25" hidden="1" customHeight="1">
      <c r="A2379" s="17"/>
      <c r="B2379" s="9" t="s">
        <v>13284</v>
      </c>
      <c r="C2379" s="9" t="s">
        <v>13284</v>
      </c>
      <c r="D2379" s="9" t="s">
        <v>13284</v>
      </c>
      <c r="E2379" s="9" t="s">
        <v>13284</v>
      </c>
      <c r="F2379" s="9" t="s">
        <v>13284</v>
      </c>
      <c r="G2379" s="9" t="s">
        <v>13284</v>
      </c>
      <c r="H2379" s="9" t="s">
        <v>13284</v>
      </c>
      <c r="I2379" s="9" t="s">
        <v>13284</v>
      </c>
      <c r="J2379" s="9" t="s">
        <v>13284</v>
      </c>
      <c r="K2379" s="9" t="s">
        <v>13284</v>
      </c>
      <c r="L2379" s="9" t="s">
        <v>13284</v>
      </c>
      <c r="M2379" s="9" t="s">
        <v>13284</v>
      </c>
      <c r="N2379" s="9" t="s">
        <v>13284</v>
      </c>
      <c r="O2379" s="9" t="s">
        <v>13284</v>
      </c>
      <c r="P2379" s="9" t="s">
        <v>13284</v>
      </c>
      <c r="Q2379" s="9" t="s">
        <v>13284</v>
      </c>
      <c r="R2379" s="9" t="s">
        <v>13284</v>
      </c>
      <c r="S2379" s="9" t="s">
        <v>13284</v>
      </c>
      <c r="T2379" s="9" t="str">
        <f ca="1">IFERROR(IF(AND(VLOOKUP(A2379, 'Актуальное состояние (из общего'!A:C,3,0) = "", A2379 &lt;&gt; ""), "ПРОВЕРИТЬ", VLOOKUP(A2379, 'Актуальное состояние (из общего'!A:C,3,0)), "")</f>
        <v/>
      </c>
      <c r="U2379" s="9" t="s">
        <v>13284</v>
      </c>
      <c r="V2379" s="9" t="s">
        <v>13284</v>
      </c>
      <c r="W2379" s="12"/>
      <c r="X2379" s="9" t="str">
        <f t="array" ref="X2379">IFERROR(INDEX('Адреса общежитий (скрытый)'!$B$2:$B$9, MATCH(W2379, 'Адреса общежитий (скрытый)'!$A$2:$A$9, 0)), "")</f>
        <v/>
      </c>
      <c r="Y2379" s="18"/>
      <c r="Z2379" s="18"/>
      <c r="AA2379" s="18"/>
      <c r="AB2379" s="18"/>
      <c r="AC2379" s="18"/>
    </row>
    <row r="2380" spans="1:29" ht="32.25" hidden="1" customHeight="1">
      <c r="A2380" s="17"/>
      <c r="B2380" s="9" t="s">
        <v>13284</v>
      </c>
      <c r="C2380" s="9" t="s">
        <v>13284</v>
      </c>
      <c r="D2380" s="9" t="s">
        <v>13284</v>
      </c>
      <c r="E2380" s="9" t="s">
        <v>13284</v>
      </c>
      <c r="F2380" s="9" t="s">
        <v>13284</v>
      </c>
      <c r="G2380" s="9" t="s">
        <v>13284</v>
      </c>
      <c r="H2380" s="9" t="s">
        <v>13284</v>
      </c>
      <c r="I2380" s="9" t="s">
        <v>13284</v>
      </c>
      <c r="J2380" s="9" t="s">
        <v>13284</v>
      </c>
      <c r="K2380" s="9" t="s">
        <v>13284</v>
      </c>
      <c r="L2380" s="9" t="s">
        <v>13284</v>
      </c>
      <c r="M2380" s="9" t="s">
        <v>13284</v>
      </c>
      <c r="N2380" s="9" t="s">
        <v>13284</v>
      </c>
      <c r="O2380" s="9" t="s">
        <v>13284</v>
      </c>
      <c r="P2380" s="9" t="s">
        <v>13284</v>
      </c>
      <c r="Q2380" s="9" t="s">
        <v>13284</v>
      </c>
      <c r="R2380" s="9" t="s">
        <v>13284</v>
      </c>
      <c r="S2380" s="9" t="s">
        <v>13284</v>
      </c>
      <c r="T2380" s="9" t="str">
        <f ca="1">IFERROR(IF(AND(VLOOKUP(A2380, 'Актуальное состояние (из общего'!A:C,3,0) = "", A2380 &lt;&gt; ""), "ПРОВЕРИТЬ", VLOOKUP(A2380, 'Актуальное состояние (из общего'!A:C,3,0)), "")</f>
        <v/>
      </c>
      <c r="U2380" s="9" t="s">
        <v>13284</v>
      </c>
      <c r="V2380" s="9" t="s">
        <v>13284</v>
      </c>
      <c r="W2380" s="12"/>
      <c r="X2380" s="9" t="str">
        <f t="array" ref="X2380">IFERROR(INDEX('Адреса общежитий (скрытый)'!$B$2:$B$9, MATCH(W2380, 'Адреса общежитий (скрытый)'!$A$2:$A$9, 0)), "")</f>
        <v/>
      </c>
      <c r="Y2380" s="18"/>
      <c r="Z2380" s="18"/>
      <c r="AA2380" s="18"/>
      <c r="AB2380" s="18"/>
      <c r="AC2380" s="18"/>
    </row>
    <row r="2381" spans="1:29" ht="32.25" hidden="1" customHeight="1">
      <c r="A2381" s="17"/>
      <c r="B2381" s="9" t="s">
        <v>13284</v>
      </c>
      <c r="C2381" s="9" t="s">
        <v>13284</v>
      </c>
      <c r="D2381" s="9" t="s">
        <v>13284</v>
      </c>
      <c r="E2381" s="9" t="s">
        <v>13284</v>
      </c>
      <c r="F2381" s="9" t="s">
        <v>13284</v>
      </c>
      <c r="G2381" s="9" t="s">
        <v>13284</v>
      </c>
      <c r="H2381" s="9" t="s">
        <v>13284</v>
      </c>
      <c r="I2381" s="9" t="s">
        <v>13284</v>
      </c>
      <c r="J2381" s="9" t="s">
        <v>13284</v>
      </c>
      <c r="K2381" s="9" t="s">
        <v>13284</v>
      </c>
      <c r="L2381" s="9" t="s">
        <v>13284</v>
      </c>
      <c r="M2381" s="9" t="s">
        <v>13284</v>
      </c>
      <c r="N2381" s="9" t="s">
        <v>13284</v>
      </c>
      <c r="O2381" s="9" t="s">
        <v>13284</v>
      </c>
      <c r="P2381" s="9" t="s">
        <v>13284</v>
      </c>
      <c r="Q2381" s="9" t="s">
        <v>13284</v>
      </c>
      <c r="R2381" s="9" t="s">
        <v>13284</v>
      </c>
      <c r="S2381" s="9" t="s">
        <v>13284</v>
      </c>
      <c r="T2381" s="9" t="str">
        <f ca="1">IFERROR(IF(AND(VLOOKUP(A2381, 'Актуальное состояние (из общего'!A:C,3,0) = "", A2381 &lt;&gt; ""), "ПРОВЕРИТЬ", VLOOKUP(A2381, 'Актуальное состояние (из общего'!A:C,3,0)), "")</f>
        <v/>
      </c>
      <c r="U2381" s="9" t="s">
        <v>13284</v>
      </c>
      <c r="V2381" s="9" t="s">
        <v>13284</v>
      </c>
      <c r="W2381" s="12"/>
      <c r="X2381" s="9" t="str">
        <f t="array" ref="X2381">IFERROR(INDEX('Адреса общежитий (скрытый)'!$B$2:$B$9, MATCH(W2381, 'Адреса общежитий (скрытый)'!$A$2:$A$9, 0)), "")</f>
        <v/>
      </c>
      <c r="Y2381" s="18"/>
      <c r="Z2381" s="18"/>
      <c r="AA2381" s="18"/>
      <c r="AB2381" s="18"/>
      <c r="AC2381" s="18"/>
    </row>
    <row r="2382" spans="1:29" ht="32.25" hidden="1" customHeight="1">
      <c r="A2382" s="17"/>
      <c r="B2382" s="9" t="s">
        <v>13284</v>
      </c>
      <c r="C2382" s="9" t="s">
        <v>13284</v>
      </c>
      <c r="D2382" s="9" t="s">
        <v>13284</v>
      </c>
      <c r="E2382" s="9" t="s">
        <v>13284</v>
      </c>
      <c r="F2382" s="9" t="s">
        <v>13284</v>
      </c>
      <c r="G2382" s="9" t="s">
        <v>13284</v>
      </c>
      <c r="H2382" s="9" t="s">
        <v>13284</v>
      </c>
      <c r="I2382" s="9" t="s">
        <v>13284</v>
      </c>
      <c r="J2382" s="9" t="s">
        <v>13284</v>
      </c>
      <c r="K2382" s="9" t="s">
        <v>13284</v>
      </c>
      <c r="L2382" s="9" t="s">
        <v>13284</v>
      </c>
      <c r="M2382" s="9" t="s">
        <v>13284</v>
      </c>
      <c r="N2382" s="9" t="s">
        <v>13284</v>
      </c>
      <c r="O2382" s="9" t="s">
        <v>13284</v>
      </c>
      <c r="P2382" s="9" t="s">
        <v>13284</v>
      </c>
      <c r="Q2382" s="9" t="s">
        <v>13284</v>
      </c>
      <c r="R2382" s="9" t="s">
        <v>13284</v>
      </c>
      <c r="S2382" s="9" t="s">
        <v>13284</v>
      </c>
      <c r="T2382" s="9" t="str">
        <f ca="1">IFERROR(IF(AND(VLOOKUP(A2382, 'Актуальное состояние (из общего'!A:C,3,0) = "", A2382 &lt;&gt; ""), "ПРОВЕРИТЬ", VLOOKUP(A2382, 'Актуальное состояние (из общего'!A:C,3,0)), "")</f>
        <v/>
      </c>
      <c r="U2382" s="9" t="s">
        <v>13284</v>
      </c>
      <c r="V2382" s="9" t="s">
        <v>13284</v>
      </c>
      <c r="W2382" s="12"/>
      <c r="X2382" s="9" t="str">
        <f t="array" ref="X2382">IFERROR(INDEX('Адреса общежитий (скрытый)'!$B$2:$B$9, MATCH(W2382, 'Адреса общежитий (скрытый)'!$A$2:$A$9, 0)), "")</f>
        <v/>
      </c>
      <c r="Y2382" s="18"/>
      <c r="Z2382" s="18"/>
      <c r="AA2382" s="18"/>
      <c r="AB2382" s="18"/>
      <c r="AC2382" s="18"/>
    </row>
    <row r="2383" spans="1:29" ht="32.25" hidden="1" customHeight="1">
      <c r="A2383" s="17"/>
      <c r="B2383" s="9" t="s">
        <v>13284</v>
      </c>
      <c r="C2383" s="9" t="s">
        <v>13284</v>
      </c>
      <c r="D2383" s="9" t="s">
        <v>13284</v>
      </c>
      <c r="E2383" s="9" t="s">
        <v>13284</v>
      </c>
      <c r="F2383" s="9" t="s">
        <v>13284</v>
      </c>
      <c r="G2383" s="9" t="s">
        <v>13284</v>
      </c>
      <c r="H2383" s="9" t="s">
        <v>13284</v>
      </c>
      <c r="I2383" s="9" t="s">
        <v>13284</v>
      </c>
      <c r="J2383" s="9" t="s">
        <v>13284</v>
      </c>
      <c r="K2383" s="9" t="s">
        <v>13284</v>
      </c>
      <c r="L2383" s="9" t="s">
        <v>13284</v>
      </c>
      <c r="M2383" s="9" t="s">
        <v>13284</v>
      </c>
      <c r="N2383" s="9" t="s">
        <v>13284</v>
      </c>
      <c r="O2383" s="9" t="s">
        <v>13284</v>
      </c>
      <c r="P2383" s="9" t="s">
        <v>13284</v>
      </c>
      <c r="Q2383" s="9" t="s">
        <v>13284</v>
      </c>
      <c r="R2383" s="9" t="s">
        <v>13284</v>
      </c>
      <c r="S2383" s="9" t="s">
        <v>13284</v>
      </c>
      <c r="T2383" s="9" t="str">
        <f ca="1">IFERROR(IF(AND(VLOOKUP(A2383, 'Актуальное состояние (из общего'!A:C,3,0) = "", A2383 &lt;&gt; ""), "ПРОВЕРИТЬ", VLOOKUP(A2383, 'Актуальное состояние (из общего'!A:C,3,0)), "")</f>
        <v/>
      </c>
      <c r="U2383" s="9" t="s">
        <v>13284</v>
      </c>
      <c r="V2383" s="9" t="s">
        <v>13284</v>
      </c>
      <c r="W2383" s="12"/>
      <c r="X2383" s="9" t="str">
        <f t="array" ref="X2383">IFERROR(INDEX('Адреса общежитий (скрытый)'!$B$2:$B$9, MATCH(W2383, 'Адреса общежитий (скрытый)'!$A$2:$A$9, 0)), "")</f>
        <v/>
      </c>
      <c r="Y2383" s="18"/>
      <c r="Z2383" s="18"/>
      <c r="AA2383" s="18"/>
      <c r="AB2383" s="18"/>
      <c r="AC2383" s="18"/>
    </row>
    <row r="2384" spans="1:29" ht="32.25" hidden="1" customHeight="1">
      <c r="A2384" s="17"/>
      <c r="B2384" s="9" t="s">
        <v>13284</v>
      </c>
      <c r="C2384" s="9" t="s">
        <v>13284</v>
      </c>
      <c r="D2384" s="9" t="s">
        <v>13284</v>
      </c>
      <c r="E2384" s="9" t="s">
        <v>13284</v>
      </c>
      <c r="F2384" s="9" t="s">
        <v>13284</v>
      </c>
      <c r="G2384" s="9" t="s">
        <v>13284</v>
      </c>
      <c r="H2384" s="9" t="s">
        <v>13284</v>
      </c>
      <c r="I2384" s="9" t="s">
        <v>13284</v>
      </c>
      <c r="J2384" s="9" t="s">
        <v>13284</v>
      </c>
      <c r="K2384" s="9" t="s">
        <v>13284</v>
      </c>
      <c r="L2384" s="9" t="s">
        <v>13284</v>
      </c>
      <c r="M2384" s="9" t="s">
        <v>13284</v>
      </c>
      <c r="N2384" s="9" t="s">
        <v>13284</v>
      </c>
      <c r="O2384" s="9" t="s">
        <v>13284</v>
      </c>
      <c r="P2384" s="9" t="s">
        <v>13284</v>
      </c>
      <c r="Q2384" s="9" t="s">
        <v>13284</v>
      </c>
      <c r="R2384" s="9" t="s">
        <v>13284</v>
      </c>
      <c r="S2384" s="9" t="s">
        <v>13284</v>
      </c>
      <c r="T2384" s="9" t="str">
        <f ca="1">IFERROR(IF(AND(VLOOKUP(A2384, 'Актуальное состояние (из общего'!A:C,3,0) = "", A2384 &lt;&gt; ""), "ПРОВЕРИТЬ", VLOOKUP(A2384, 'Актуальное состояние (из общего'!A:C,3,0)), "")</f>
        <v/>
      </c>
      <c r="U2384" s="9" t="s">
        <v>13284</v>
      </c>
      <c r="V2384" s="9" t="s">
        <v>13284</v>
      </c>
      <c r="W2384" s="12"/>
      <c r="X2384" s="9" t="str">
        <f t="array" ref="X2384">IFERROR(INDEX('Адреса общежитий (скрытый)'!$B$2:$B$9, MATCH(W2384, 'Адреса общежитий (скрытый)'!$A$2:$A$9, 0)), "")</f>
        <v/>
      </c>
      <c r="Y2384" s="18"/>
      <c r="Z2384" s="18"/>
      <c r="AA2384" s="18"/>
      <c r="AB2384" s="18"/>
      <c r="AC2384" s="18"/>
    </row>
    <row r="2385" spans="1:29" ht="32.25" hidden="1" customHeight="1">
      <c r="A2385" s="17"/>
      <c r="B2385" s="9" t="s">
        <v>13284</v>
      </c>
      <c r="C2385" s="9" t="s">
        <v>13284</v>
      </c>
      <c r="D2385" s="9" t="s">
        <v>13284</v>
      </c>
      <c r="E2385" s="9" t="s">
        <v>13284</v>
      </c>
      <c r="F2385" s="9" t="s">
        <v>13284</v>
      </c>
      <c r="G2385" s="9" t="s">
        <v>13284</v>
      </c>
      <c r="H2385" s="9" t="s">
        <v>13284</v>
      </c>
      <c r="I2385" s="9" t="s">
        <v>13284</v>
      </c>
      <c r="J2385" s="9" t="s">
        <v>13284</v>
      </c>
      <c r="K2385" s="9" t="s">
        <v>13284</v>
      </c>
      <c r="L2385" s="9" t="s">
        <v>13284</v>
      </c>
      <c r="M2385" s="9" t="s">
        <v>13284</v>
      </c>
      <c r="N2385" s="9" t="s">
        <v>13284</v>
      </c>
      <c r="O2385" s="9" t="s">
        <v>13284</v>
      </c>
      <c r="P2385" s="9" t="s">
        <v>13284</v>
      </c>
      <c r="Q2385" s="9" t="s">
        <v>13284</v>
      </c>
      <c r="R2385" s="9" t="s">
        <v>13284</v>
      </c>
      <c r="S2385" s="9" t="s">
        <v>13284</v>
      </c>
      <c r="T2385" s="9" t="str">
        <f ca="1">IFERROR(IF(AND(VLOOKUP(A2385, 'Актуальное состояние (из общего'!A:C,3,0) = "", A2385 &lt;&gt; ""), "ПРОВЕРИТЬ", VLOOKUP(A2385, 'Актуальное состояние (из общего'!A:C,3,0)), "")</f>
        <v/>
      </c>
      <c r="U2385" s="9" t="s">
        <v>13284</v>
      </c>
      <c r="V2385" s="9" t="s">
        <v>13284</v>
      </c>
      <c r="W2385" s="12"/>
      <c r="X2385" s="9" t="str">
        <f t="array" ref="X2385">IFERROR(INDEX('Адреса общежитий (скрытый)'!$B$2:$B$9, MATCH(W2385, 'Адреса общежитий (скрытый)'!$A$2:$A$9, 0)), "")</f>
        <v/>
      </c>
      <c r="Y2385" s="18"/>
      <c r="Z2385" s="18"/>
      <c r="AA2385" s="18"/>
      <c r="AB2385" s="18"/>
      <c r="AC2385" s="18"/>
    </row>
    <row r="2386" spans="1:29" ht="32.25" hidden="1" customHeight="1">
      <c r="A2386" s="17"/>
      <c r="B2386" s="9" t="s">
        <v>13284</v>
      </c>
      <c r="C2386" s="9" t="s">
        <v>13284</v>
      </c>
      <c r="D2386" s="9" t="s">
        <v>13284</v>
      </c>
      <c r="E2386" s="9" t="s">
        <v>13284</v>
      </c>
      <c r="F2386" s="9" t="s">
        <v>13284</v>
      </c>
      <c r="G2386" s="9" t="s">
        <v>13284</v>
      </c>
      <c r="H2386" s="9" t="s">
        <v>13284</v>
      </c>
      <c r="I2386" s="9" t="s">
        <v>13284</v>
      </c>
      <c r="J2386" s="9" t="s">
        <v>13284</v>
      </c>
      <c r="K2386" s="9" t="s">
        <v>13284</v>
      </c>
      <c r="L2386" s="9" t="s">
        <v>13284</v>
      </c>
      <c r="M2386" s="9" t="s">
        <v>13284</v>
      </c>
      <c r="N2386" s="9" t="s">
        <v>13284</v>
      </c>
      <c r="O2386" s="9" t="s">
        <v>13284</v>
      </c>
      <c r="P2386" s="9" t="s">
        <v>13284</v>
      </c>
      <c r="Q2386" s="9" t="s">
        <v>13284</v>
      </c>
      <c r="R2386" s="9" t="s">
        <v>13284</v>
      </c>
      <c r="S2386" s="9" t="s">
        <v>13284</v>
      </c>
      <c r="T2386" s="9" t="str">
        <f ca="1">IFERROR(IF(AND(VLOOKUP(A2386, 'Актуальное состояние (из общего'!A:C,3,0) = "", A2386 &lt;&gt; ""), "ПРОВЕРИТЬ", VLOOKUP(A2386, 'Актуальное состояние (из общего'!A:C,3,0)), "")</f>
        <v/>
      </c>
      <c r="U2386" s="9" t="s">
        <v>13284</v>
      </c>
      <c r="V2386" s="9" t="s">
        <v>13284</v>
      </c>
      <c r="W2386" s="12"/>
      <c r="X2386" s="9" t="str">
        <f t="array" ref="X2386">IFERROR(INDEX('Адреса общежитий (скрытый)'!$B$2:$B$9, MATCH(W2386, 'Адреса общежитий (скрытый)'!$A$2:$A$9, 0)), "")</f>
        <v/>
      </c>
      <c r="Y2386" s="18"/>
      <c r="Z2386" s="18"/>
      <c r="AA2386" s="18"/>
      <c r="AB2386" s="18"/>
      <c r="AC2386" s="18"/>
    </row>
    <row r="2387" spans="1:29" ht="32.25" hidden="1" customHeight="1">
      <c r="A2387" s="17"/>
      <c r="B2387" s="9" t="s">
        <v>13284</v>
      </c>
      <c r="C2387" s="9" t="s">
        <v>13284</v>
      </c>
      <c r="D2387" s="9" t="s">
        <v>13284</v>
      </c>
      <c r="E2387" s="9" t="s">
        <v>13284</v>
      </c>
      <c r="F2387" s="9" t="s">
        <v>13284</v>
      </c>
      <c r="G2387" s="9" t="s">
        <v>13284</v>
      </c>
      <c r="H2387" s="9" t="s">
        <v>13284</v>
      </c>
      <c r="I2387" s="9" t="s">
        <v>13284</v>
      </c>
      <c r="J2387" s="9" t="s">
        <v>13284</v>
      </c>
      <c r="K2387" s="9" t="s">
        <v>13284</v>
      </c>
      <c r="L2387" s="9" t="s">
        <v>13284</v>
      </c>
      <c r="M2387" s="9" t="s">
        <v>13284</v>
      </c>
      <c r="N2387" s="9" t="s">
        <v>13284</v>
      </c>
      <c r="O2387" s="9" t="s">
        <v>13284</v>
      </c>
      <c r="P2387" s="9" t="s">
        <v>13284</v>
      </c>
      <c r="Q2387" s="9" t="s">
        <v>13284</v>
      </c>
      <c r="R2387" s="9" t="s">
        <v>13284</v>
      </c>
      <c r="S2387" s="9" t="s">
        <v>13284</v>
      </c>
      <c r="T2387" s="9" t="str">
        <f ca="1">IFERROR(IF(AND(VLOOKUP(A2387, 'Актуальное состояние (из общего'!A:C,3,0) = "", A2387 &lt;&gt; ""), "ПРОВЕРИТЬ", VLOOKUP(A2387, 'Актуальное состояние (из общего'!A:C,3,0)), "")</f>
        <v/>
      </c>
      <c r="U2387" s="9" t="s">
        <v>13284</v>
      </c>
      <c r="V2387" s="9" t="s">
        <v>13284</v>
      </c>
      <c r="W2387" s="12"/>
      <c r="X2387" s="9" t="str">
        <f t="array" ref="X2387">IFERROR(INDEX('Адреса общежитий (скрытый)'!$B$2:$B$9, MATCH(W2387, 'Адреса общежитий (скрытый)'!$A$2:$A$9, 0)), "")</f>
        <v/>
      </c>
      <c r="Y2387" s="18"/>
      <c r="Z2387" s="18"/>
      <c r="AA2387" s="18"/>
      <c r="AB2387" s="18"/>
      <c r="AC2387" s="18"/>
    </row>
    <row r="2388" spans="1:29" ht="32.25" hidden="1" customHeight="1">
      <c r="A2388" s="17"/>
      <c r="B2388" s="9" t="s">
        <v>13284</v>
      </c>
      <c r="C2388" s="9" t="s">
        <v>13284</v>
      </c>
      <c r="D2388" s="9" t="s">
        <v>13284</v>
      </c>
      <c r="E2388" s="9" t="s">
        <v>13284</v>
      </c>
      <c r="F2388" s="9" t="s">
        <v>13284</v>
      </c>
      <c r="G2388" s="9" t="s">
        <v>13284</v>
      </c>
      <c r="H2388" s="9" t="s">
        <v>13284</v>
      </c>
      <c r="I2388" s="9" t="s">
        <v>13284</v>
      </c>
      <c r="J2388" s="9" t="s">
        <v>13284</v>
      </c>
      <c r="K2388" s="9" t="s">
        <v>13284</v>
      </c>
      <c r="L2388" s="9" t="s">
        <v>13284</v>
      </c>
      <c r="M2388" s="9" t="s">
        <v>13284</v>
      </c>
      <c r="N2388" s="9" t="s">
        <v>13284</v>
      </c>
      <c r="O2388" s="9" t="s">
        <v>13284</v>
      </c>
      <c r="P2388" s="9" t="s">
        <v>13284</v>
      </c>
      <c r="Q2388" s="9" t="s">
        <v>13284</v>
      </c>
      <c r="R2388" s="9" t="s">
        <v>13284</v>
      </c>
      <c r="S2388" s="9" t="s">
        <v>13284</v>
      </c>
      <c r="T2388" s="9" t="str">
        <f ca="1">IFERROR(IF(AND(VLOOKUP(A2388, 'Актуальное состояние (из общего'!A:C,3,0) = "", A2388 &lt;&gt; ""), "ПРОВЕРИТЬ", VLOOKUP(A2388, 'Актуальное состояние (из общего'!A:C,3,0)), "")</f>
        <v/>
      </c>
      <c r="U2388" s="9" t="s">
        <v>13284</v>
      </c>
      <c r="V2388" s="9" t="s">
        <v>13284</v>
      </c>
      <c r="W2388" s="12"/>
      <c r="X2388" s="9" t="str">
        <f t="array" ref="X2388">IFERROR(INDEX('Адреса общежитий (скрытый)'!$B$2:$B$9, MATCH(W2388, 'Адреса общежитий (скрытый)'!$A$2:$A$9, 0)), "")</f>
        <v/>
      </c>
      <c r="Y2388" s="18"/>
      <c r="Z2388" s="18"/>
      <c r="AA2388" s="18"/>
      <c r="AB2388" s="18"/>
      <c r="AC2388" s="18"/>
    </row>
    <row r="2389" spans="1:29" ht="32.25" hidden="1" customHeight="1">
      <c r="A2389" s="17"/>
      <c r="B2389" s="9" t="s">
        <v>13284</v>
      </c>
      <c r="C2389" s="9" t="s">
        <v>13284</v>
      </c>
      <c r="D2389" s="9" t="s">
        <v>13284</v>
      </c>
      <c r="E2389" s="9" t="s">
        <v>13284</v>
      </c>
      <c r="F2389" s="9" t="s">
        <v>13284</v>
      </c>
      <c r="G2389" s="9" t="s">
        <v>13284</v>
      </c>
      <c r="H2389" s="9" t="s">
        <v>13284</v>
      </c>
      <c r="I2389" s="9" t="s">
        <v>13284</v>
      </c>
      <c r="J2389" s="9" t="s">
        <v>13284</v>
      </c>
      <c r="K2389" s="9" t="s">
        <v>13284</v>
      </c>
      <c r="L2389" s="9" t="s">
        <v>13284</v>
      </c>
      <c r="M2389" s="9" t="s">
        <v>13284</v>
      </c>
      <c r="N2389" s="9" t="s">
        <v>13284</v>
      </c>
      <c r="O2389" s="9" t="s">
        <v>13284</v>
      </c>
      <c r="P2389" s="9" t="s">
        <v>13284</v>
      </c>
      <c r="Q2389" s="9" t="s">
        <v>13284</v>
      </c>
      <c r="R2389" s="9" t="s">
        <v>13284</v>
      </c>
      <c r="S2389" s="9" t="s">
        <v>13284</v>
      </c>
      <c r="T2389" s="9" t="str">
        <f ca="1">IFERROR(IF(AND(VLOOKUP(A2389, 'Актуальное состояние (из общего'!A:C,3,0) = "", A2389 &lt;&gt; ""), "ПРОВЕРИТЬ", VLOOKUP(A2389, 'Актуальное состояние (из общего'!A:C,3,0)), "")</f>
        <v/>
      </c>
      <c r="U2389" s="9" t="s">
        <v>13284</v>
      </c>
      <c r="V2389" s="9" t="s">
        <v>13284</v>
      </c>
      <c r="W2389" s="12"/>
      <c r="X2389" s="9" t="str">
        <f t="array" ref="X2389">IFERROR(INDEX('Адреса общежитий (скрытый)'!$B$2:$B$9, MATCH(W2389, 'Адреса общежитий (скрытый)'!$A$2:$A$9, 0)), "")</f>
        <v/>
      </c>
      <c r="Y2389" s="18"/>
      <c r="Z2389" s="18"/>
      <c r="AA2389" s="18"/>
      <c r="AB2389" s="18"/>
      <c r="AC2389" s="18"/>
    </row>
    <row r="2390" spans="1:29" ht="32.25" hidden="1" customHeight="1">
      <c r="A2390" s="17"/>
      <c r="B2390" s="9" t="s">
        <v>13284</v>
      </c>
      <c r="C2390" s="9" t="s">
        <v>13284</v>
      </c>
      <c r="D2390" s="9" t="s">
        <v>13284</v>
      </c>
      <c r="E2390" s="9" t="s">
        <v>13284</v>
      </c>
      <c r="F2390" s="9" t="s">
        <v>13284</v>
      </c>
      <c r="G2390" s="9" t="s">
        <v>13284</v>
      </c>
      <c r="H2390" s="9" t="s">
        <v>13284</v>
      </c>
      <c r="I2390" s="9" t="s">
        <v>13284</v>
      </c>
      <c r="J2390" s="9" t="s">
        <v>13284</v>
      </c>
      <c r="K2390" s="9" t="s">
        <v>13284</v>
      </c>
      <c r="L2390" s="9" t="s">
        <v>13284</v>
      </c>
      <c r="M2390" s="9" t="s">
        <v>13284</v>
      </c>
      <c r="N2390" s="9" t="s">
        <v>13284</v>
      </c>
      <c r="O2390" s="9" t="s">
        <v>13284</v>
      </c>
      <c r="P2390" s="9" t="s">
        <v>13284</v>
      </c>
      <c r="Q2390" s="9" t="s">
        <v>13284</v>
      </c>
      <c r="R2390" s="9" t="s">
        <v>13284</v>
      </c>
      <c r="S2390" s="9" t="s">
        <v>13284</v>
      </c>
      <c r="T2390" s="9" t="str">
        <f ca="1">IFERROR(IF(AND(VLOOKUP(A2390, 'Актуальное состояние (из общего'!A:C,3,0) = "", A2390 &lt;&gt; ""), "ПРОВЕРИТЬ", VLOOKUP(A2390, 'Актуальное состояние (из общего'!A:C,3,0)), "")</f>
        <v/>
      </c>
      <c r="U2390" s="9" t="s">
        <v>13284</v>
      </c>
      <c r="V2390" s="9" t="s">
        <v>13284</v>
      </c>
      <c r="W2390" s="12"/>
      <c r="X2390" s="9" t="str">
        <f t="array" ref="X2390">IFERROR(INDEX('Адреса общежитий (скрытый)'!$B$2:$B$9, MATCH(W2390, 'Адреса общежитий (скрытый)'!$A$2:$A$9, 0)), "")</f>
        <v/>
      </c>
      <c r="Y2390" s="18"/>
      <c r="Z2390" s="18"/>
      <c r="AA2390" s="18"/>
      <c r="AB2390" s="18"/>
      <c r="AC2390" s="18"/>
    </row>
    <row r="2391" spans="1:29" ht="32.25" hidden="1" customHeight="1">
      <c r="A2391" s="17"/>
      <c r="B2391" s="9" t="s">
        <v>13284</v>
      </c>
      <c r="C2391" s="9" t="s">
        <v>13284</v>
      </c>
      <c r="D2391" s="9" t="s">
        <v>13284</v>
      </c>
      <c r="E2391" s="9" t="s">
        <v>13284</v>
      </c>
      <c r="F2391" s="9" t="s">
        <v>13284</v>
      </c>
      <c r="G2391" s="9" t="s">
        <v>13284</v>
      </c>
      <c r="H2391" s="9" t="s">
        <v>13284</v>
      </c>
      <c r="I2391" s="9" t="s">
        <v>13284</v>
      </c>
      <c r="J2391" s="9" t="s">
        <v>13284</v>
      </c>
      <c r="K2391" s="9" t="s">
        <v>13284</v>
      </c>
      <c r="L2391" s="9" t="s">
        <v>13284</v>
      </c>
      <c r="M2391" s="9" t="s">
        <v>13284</v>
      </c>
      <c r="N2391" s="9" t="s">
        <v>13284</v>
      </c>
      <c r="O2391" s="9" t="s">
        <v>13284</v>
      </c>
      <c r="P2391" s="9" t="s">
        <v>13284</v>
      </c>
      <c r="Q2391" s="9" t="s">
        <v>13284</v>
      </c>
      <c r="R2391" s="9" t="s">
        <v>13284</v>
      </c>
      <c r="S2391" s="9" t="s">
        <v>13284</v>
      </c>
      <c r="T2391" s="9" t="str">
        <f ca="1">IFERROR(IF(AND(VLOOKUP(A2391, 'Актуальное состояние (из общего'!A:C,3,0) = "", A2391 &lt;&gt; ""), "ПРОВЕРИТЬ", VLOOKUP(A2391, 'Актуальное состояние (из общего'!A:C,3,0)), "")</f>
        <v/>
      </c>
      <c r="U2391" s="9" t="s">
        <v>13284</v>
      </c>
      <c r="V2391" s="9" t="s">
        <v>13284</v>
      </c>
      <c r="W2391" s="12"/>
      <c r="X2391" s="9" t="str">
        <f t="array" ref="X2391">IFERROR(INDEX('Адреса общежитий (скрытый)'!$B$2:$B$9, MATCH(W2391, 'Адреса общежитий (скрытый)'!$A$2:$A$9, 0)), "")</f>
        <v/>
      </c>
      <c r="Y2391" s="18"/>
      <c r="Z2391" s="18"/>
      <c r="AA2391" s="18"/>
      <c r="AB2391" s="18"/>
      <c r="AC2391" s="18"/>
    </row>
    <row r="2392" spans="1:29" ht="32.25" hidden="1" customHeight="1">
      <c r="A2392" s="17"/>
      <c r="B2392" s="9" t="s">
        <v>13284</v>
      </c>
      <c r="C2392" s="9" t="s">
        <v>13284</v>
      </c>
      <c r="D2392" s="9" t="s">
        <v>13284</v>
      </c>
      <c r="E2392" s="9" t="s">
        <v>13284</v>
      </c>
      <c r="F2392" s="9" t="s">
        <v>13284</v>
      </c>
      <c r="G2392" s="9" t="s">
        <v>13284</v>
      </c>
      <c r="H2392" s="9" t="s">
        <v>13284</v>
      </c>
      <c r="I2392" s="9" t="s">
        <v>13284</v>
      </c>
      <c r="J2392" s="9" t="s">
        <v>13284</v>
      </c>
      <c r="K2392" s="9" t="s">
        <v>13284</v>
      </c>
      <c r="L2392" s="9" t="s">
        <v>13284</v>
      </c>
      <c r="M2392" s="9" t="s">
        <v>13284</v>
      </c>
      <c r="N2392" s="9" t="s">
        <v>13284</v>
      </c>
      <c r="O2392" s="9" t="s">
        <v>13284</v>
      </c>
      <c r="P2392" s="9" t="s">
        <v>13284</v>
      </c>
      <c r="Q2392" s="9" t="s">
        <v>13284</v>
      </c>
      <c r="R2392" s="9" t="s">
        <v>13284</v>
      </c>
      <c r="S2392" s="9" t="s">
        <v>13284</v>
      </c>
      <c r="T2392" s="9" t="str">
        <f ca="1">IFERROR(IF(AND(VLOOKUP(A2392, 'Актуальное состояние (из общего'!A:C,3,0) = "", A2392 &lt;&gt; ""), "ПРОВЕРИТЬ", VLOOKUP(A2392, 'Актуальное состояние (из общего'!A:C,3,0)), "")</f>
        <v/>
      </c>
      <c r="U2392" s="9" t="s">
        <v>13284</v>
      </c>
      <c r="V2392" s="9" t="s">
        <v>13284</v>
      </c>
      <c r="W2392" s="12"/>
      <c r="X2392" s="9" t="str">
        <f t="array" ref="X2392">IFERROR(INDEX('Адреса общежитий (скрытый)'!$B$2:$B$9, MATCH(W2392, 'Адреса общежитий (скрытый)'!$A$2:$A$9, 0)), "")</f>
        <v/>
      </c>
      <c r="Y2392" s="18"/>
      <c r="Z2392" s="18"/>
      <c r="AA2392" s="18"/>
      <c r="AB2392" s="18"/>
      <c r="AC2392" s="18"/>
    </row>
    <row r="2393" spans="1:29" ht="32.25" hidden="1" customHeight="1">
      <c r="A2393" s="17"/>
      <c r="B2393" s="9" t="s">
        <v>13284</v>
      </c>
      <c r="C2393" s="9" t="s">
        <v>13284</v>
      </c>
      <c r="D2393" s="9" t="s">
        <v>13284</v>
      </c>
      <c r="E2393" s="9" t="s">
        <v>13284</v>
      </c>
      <c r="F2393" s="9" t="s">
        <v>13284</v>
      </c>
      <c r="G2393" s="9" t="s">
        <v>13284</v>
      </c>
      <c r="H2393" s="9" t="s">
        <v>13284</v>
      </c>
      <c r="I2393" s="9" t="s">
        <v>13284</v>
      </c>
      <c r="J2393" s="9" t="s">
        <v>13284</v>
      </c>
      <c r="K2393" s="9" t="s">
        <v>13284</v>
      </c>
      <c r="L2393" s="9" t="s">
        <v>13284</v>
      </c>
      <c r="M2393" s="9" t="s">
        <v>13284</v>
      </c>
      <c r="N2393" s="9" t="s">
        <v>13284</v>
      </c>
      <c r="O2393" s="9" t="s">
        <v>13284</v>
      </c>
      <c r="P2393" s="9" t="s">
        <v>13284</v>
      </c>
      <c r="Q2393" s="9" t="s">
        <v>13284</v>
      </c>
      <c r="R2393" s="9" t="s">
        <v>13284</v>
      </c>
      <c r="S2393" s="9" t="s">
        <v>13284</v>
      </c>
      <c r="T2393" s="9" t="str">
        <f ca="1">IFERROR(IF(AND(VLOOKUP(A2393, 'Актуальное состояние (из общего'!A:C,3,0) = "", A2393 &lt;&gt; ""), "ПРОВЕРИТЬ", VLOOKUP(A2393, 'Актуальное состояние (из общего'!A:C,3,0)), "")</f>
        <v/>
      </c>
      <c r="U2393" s="9" t="s">
        <v>13284</v>
      </c>
      <c r="V2393" s="9" t="s">
        <v>13284</v>
      </c>
      <c r="W2393" s="12"/>
      <c r="X2393" s="9" t="str">
        <f t="array" ref="X2393">IFERROR(INDEX('Адреса общежитий (скрытый)'!$B$2:$B$9, MATCH(W2393, 'Адреса общежитий (скрытый)'!$A$2:$A$9, 0)), "")</f>
        <v/>
      </c>
      <c r="Y2393" s="18"/>
      <c r="Z2393" s="18"/>
      <c r="AA2393" s="18"/>
      <c r="AB2393" s="18"/>
      <c r="AC2393" s="18"/>
    </row>
    <row r="2394" spans="1:29" ht="32.25" hidden="1" customHeight="1">
      <c r="A2394" s="17"/>
      <c r="B2394" s="9" t="s">
        <v>13284</v>
      </c>
      <c r="C2394" s="9" t="s">
        <v>13284</v>
      </c>
      <c r="D2394" s="9" t="s">
        <v>13284</v>
      </c>
      <c r="E2394" s="9" t="s">
        <v>13284</v>
      </c>
      <c r="F2394" s="9" t="s">
        <v>13284</v>
      </c>
      <c r="G2394" s="9" t="s">
        <v>13284</v>
      </c>
      <c r="H2394" s="9" t="s">
        <v>13284</v>
      </c>
      <c r="I2394" s="9" t="s">
        <v>13284</v>
      </c>
      <c r="J2394" s="9" t="s">
        <v>13284</v>
      </c>
      <c r="K2394" s="9" t="s">
        <v>13284</v>
      </c>
      <c r="L2394" s="9" t="s">
        <v>13284</v>
      </c>
      <c r="M2394" s="9" t="s">
        <v>13284</v>
      </c>
      <c r="N2394" s="9" t="s">
        <v>13284</v>
      </c>
      <c r="O2394" s="9" t="s">
        <v>13284</v>
      </c>
      <c r="P2394" s="9" t="s">
        <v>13284</v>
      </c>
      <c r="Q2394" s="9" t="s">
        <v>13284</v>
      </c>
      <c r="R2394" s="9" t="s">
        <v>13284</v>
      </c>
      <c r="S2394" s="9" t="s">
        <v>13284</v>
      </c>
      <c r="T2394" s="9" t="str">
        <f ca="1">IFERROR(IF(AND(VLOOKUP(A2394, 'Актуальное состояние (из общего'!A:C,3,0) = "", A2394 &lt;&gt; ""), "ПРОВЕРИТЬ", VLOOKUP(A2394, 'Актуальное состояние (из общего'!A:C,3,0)), "")</f>
        <v/>
      </c>
      <c r="U2394" s="9" t="s">
        <v>13284</v>
      </c>
      <c r="V2394" s="9" t="s">
        <v>13284</v>
      </c>
      <c r="W2394" s="12"/>
      <c r="X2394" s="9" t="str">
        <f t="array" ref="X2394">IFERROR(INDEX('Адреса общежитий (скрытый)'!$B$2:$B$9, MATCH(W2394, 'Адреса общежитий (скрытый)'!$A$2:$A$9, 0)), "")</f>
        <v/>
      </c>
      <c r="Y2394" s="18"/>
      <c r="Z2394" s="18"/>
      <c r="AA2394" s="18"/>
      <c r="AB2394" s="18"/>
      <c r="AC2394" s="18"/>
    </row>
    <row r="2395" spans="1:29" ht="32.25" hidden="1" customHeight="1">
      <c r="A2395" s="17"/>
      <c r="B2395" s="9" t="s">
        <v>13284</v>
      </c>
      <c r="C2395" s="9" t="s">
        <v>13284</v>
      </c>
      <c r="D2395" s="9" t="s">
        <v>13284</v>
      </c>
      <c r="E2395" s="9" t="s">
        <v>13284</v>
      </c>
      <c r="F2395" s="9" t="s">
        <v>13284</v>
      </c>
      <c r="G2395" s="9" t="s">
        <v>13284</v>
      </c>
      <c r="H2395" s="9" t="s">
        <v>13284</v>
      </c>
      <c r="I2395" s="9" t="s">
        <v>13284</v>
      </c>
      <c r="J2395" s="9" t="s">
        <v>13284</v>
      </c>
      <c r="K2395" s="9" t="s">
        <v>13284</v>
      </c>
      <c r="L2395" s="9" t="s">
        <v>13284</v>
      </c>
      <c r="M2395" s="9" t="s">
        <v>13284</v>
      </c>
      <c r="N2395" s="9" t="s">
        <v>13284</v>
      </c>
      <c r="O2395" s="9" t="s">
        <v>13284</v>
      </c>
      <c r="P2395" s="9" t="s">
        <v>13284</v>
      </c>
      <c r="Q2395" s="9" t="s">
        <v>13284</v>
      </c>
      <c r="R2395" s="9" t="s">
        <v>13284</v>
      </c>
      <c r="S2395" s="9" t="s">
        <v>13284</v>
      </c>
      <c r="T2395" s="9" t="str">
        <f ca="1">IFERROR(IF(AND(VLOOKUP(A2395, 'Актуальное состояние (из общего'!A:C,3,0) = "", A2395 &lt;&gt; ""), "ПРОВЕРИТЬ", VLOOKUP(A2395, 'Актуальное состояние (из общего'!A:C,3,0)), "")</f>
        <v/>
      </c>
      <c r="U2395" s="9" t="s">
        <v>13284</v>
      </c>
      <c r="V2395" s="9" t="s">
        <v>13284</v>
      </c>
      <c r="W2395" s="12"/>
      <c r="X2395" s="9" t="str">
        <f t="array" ref="X2395">IFERROR(INDEX('Адреса общежитий (скрытый)'!$B$2:$B$9, MATCH(W2395, 'Адреса общежитий (скрытый)'!$A$2:$A$9, 0)), "")</f>
        <v/>
      </c>
      <c r="Y2395" s="18"/>
      <c r="Z2395" s="18"/>
      <c r="AA2395" s="18"/>
      <c r="AB2395" s="18"/>
      <c r="AC2395" s="18"/>
    </row>
    <row r="2396" spans="1:29" ht="32.25" hidden="1" customHeight="1">
      <c r="A2396" s="17"/>
      <c r="B2396" s="9" t="s">
        <v>13284</v>
      </c>
      <c r="C2396" s="9" t="s">
        <v>13284</v>
      </c>
      <c r="D2396" s="9" t="s">
        <v>13284</v>
      </c>
      <c r="E2396" s="9" t="s">
        <v>13284</v>
      </c>
      <c r="F2396" s="9" t="s">
        <v>13284</v>
      </c>
      <c r="G2396" s="9" t="s">
        <v>13284</v>
      </c>
      <c r="H2396" s="9" t="s">
        <v>13284</v>
      </c>
      <c r="I2396" s="9" t="s">
        <v>13284</v>
      </c>
      <c r="J2396" s="9" t="s">
        <v>13284</v>
      </c>
      <c r="K2396" s="9" t="s">
        <v>13284</v>
      </c>
      <c r="L2396" s="9" t="s">
        <v>13284</v>
      </c>
      <c r="M2396" s="9" t="s">
        <v>13284</v>
      </c>
      <c r="N2396" s="9" t="s">
        <v>13284</v>
      </c>
      <c r="O2396" s="9" t="s">
        <v>13284</v>
      </c>
      <c r="P2396" s="9" t="s">
        <v>13284</v>
      </c>
      <c r="Q2396" s="9" t="s">
        <v>13284</v>
      </c>
      <c r="R2396" s="9" t="s">
        <v>13284</v>
      </c>
      <c r="S2396" s="9" t="s">
        <v>13284</v>
      </c>
      <c r="T2396" s="9" t="str">
        <f ca="1">IFERROR(IF(AND(VLOOKUP(A2396, 'Актуальное состояние (из общего'!A:C,3,0) = "", A2396 &lt;&gt; ""), "ПРОВЕРИТЬ", VLOOKUP(A2396, 'Актуальное состояние (из общего'!A:C,3,0)), "")</f>
        <v/>
      </c>
      <c r="U2396" s="9" t="s">
        <v>13284</v>
      </c>
      <c r="V2396" s="9" t="s">
        <v>13284</v>
      </c>
      <c r="W2396" s="12"/>
      <c r="X2396" s="9" t="str">
        <f t="array" ref="X2396">IFERROR(INDEX('Адреса общежитий (скрытый)'!$B$2:$B$9, MATCH(W2396, 'Адреса общежитий (скрытый)'!$A$2:$A$9, 0)), "")</f>
        <v/>
      </c>
      <c r="Y2396" s="18"/>
      <c r="Z2396" s="18"/>
      <c r="AA2396" s="18"/>
      <c r="AB2396" s="18"/>
      <c r="AC2396" s="18"/>
    </row>
    <row r="2397" spans="1:29" ht="32.25" hidden="1" customHeight="1">
      <c r="A2397" s="17"/>
      <c r="B2397" s="9" t="s">
        <v>13284</v>
      </c>
      <c r="C2397" s="9" t="s">
        <v>13284</v>
      </c>
      <c r="D2397" s="9" t="s">
        <v>13284</v>
      </c>
      <c r="E2397" s="9" t="s">
        <v>13284</v>
      </c>
      <c r="F2397" s="9" t="s">
        <v>13284</v>
      </c>
      <c r="G2397" s="9" t="s">
        <v>13284</v>
      </c>
      <c r="H2397" s="9" t="s">
        <v>13284</v>
      </c>
      <c r="I2397" s="9" t="s">
        <v>13284</v>
      </c>
      <c r="J2397" s="9" t="s">
        <v>13284</v>
      </c>
      <c r="K2397" s="9" t="s">
        <v>13284</v>
      </c>
      <c r="L2397" s="9" t="s">
        <v>13284</v>
      </c>
      <c r="M2397" s="9" t="s">
        <v>13284</v>
      </c>
      <c r="N2397" s="9" t="s">
        <v>13284</v>
      </c>
      <c r="O2397" s="9" t="s">
        <v>13284</v>
      </c>
      <c r="P2397" s="9" t="s">
        <v>13284</v>
      </c>
      <c r="Q2397" s="9" t="s">
        <v>13284</v>
      </c>
      <c r="R2397" s="9" t="s">
        <v>13284</v>
      </c>
      <c r="S2397" s="9" t="s">
        <v>13284</v>
      </c>
      <c r="T2397" s="9" t="str">
        <f ca="1">IFERROR(IF(AND(VLOOKUP(A2397, 'Актуальное состояние (из общего'!A:C,3,0) = "", A2397 &lt;&gt; ""), "ПРОВЕРИТЬ", VLOOKUP(A2397, 'Актуальное состояние (из общего'!A:C,3,0)), "")</f>
        <v/>
      </c>
      <c r="U2397" s="9" t="s">
        <v>13284</v>
      </c>
      <c r="V2397" s="9" t="s">
        <v>13284</v>
      </c>
      <c r="W2397" s="12"/>
      <c r="X2397" s="9" t="str">
        <f t="array" ref="X2397">IFERROR(INDEX('Адреса общежитий (скрытый)'!$B$2:$B$9, MATCH(W2397, 'Адреса общежитий (скрытый)'!$A$2:$A$9, 0)), "")</f>
        <v/>
      </c>
      <c r="Y2397" s="18"/>
      <c r="Z2397" s="18"/>
      <c r="AA2397" s="18"/>
      <c r="AB2397" s="18"/>
      <c r="AC2397" s="18"/>
    </row>
    <row r="2398" spans="1:29" ht="32.25" hidden="1" customHeight="1">
      <c r="A2398" s="17"/>
      <c r="B2398" s="9" t="s">
        <v>13284</v>
      </c>
      <c r="C2398" s="9" t="s">
        <v>13284</v>
      </c>
      <c r="D2398" s="9" t="s">
        <v>13284</v>
      </c>
      <c r="E2398" s="9" t="s">
        <v>13284</v>
      </c>
      <c r="F2398" s="9" t="s">
        <v>13284</v>
      </c>
      <c r="G2398" s="9" t="s">
        <v>13284</v>
      </c>
      <c r="H2398" s="9" t="s">
        <v>13284</v>
      </c>
      <c r="I2398" s="9" t="s">
        <v>13284</v>
      </c>
      <c r="J2398" s="9" t="s">
        <v>13284</v>
      </c>
      <c r="K2398" s="9" t="s">
        <v>13284</v>
      </c>
      <c r="L2398" s="9" t="s">
        <v>13284</v>
      </c>
      <c r="M2398" s="9" t="s">
        <v>13284</v>
      </c>
      <c r="N2398" s="9" t="s">
        <v>13284</v>
      </c>
      <c r="O2398" s="9" t="s">
        <v>13284</v>
      </c>
      <c r="P2398" s="9" t="s">
        <v>13284</v>
      </c>
      <c r="Q2398" s="9" t="s">
        <v>13284</v>
      </c>
      <c r="R2398" s="9" t="s">
        <v>13284</v>
      </c>
      <c r="S2398" s="9" t="s">
        <v>13284</v>
      </c>
      <c r="T2398" s="9" t="str">
        <f ca="1">IFERROR(IF(AND(VLOOKUP(A2398, 'Актуальное состояние (из общего'!A:C,3,0) = "", A2398 &lt;&gt; ""), "ПРОВЕРИТЬ", VLOOKUP(A2398, 'Актуальное состояние (из общего'!A:C,3,0)), "")</f>
        <v/>
      </c>
      <c r="U2398" s="9" t="s">
        <v>13284</v>
      </c>
      <c r="V2398" s="9" t="s">
        <v>13284</v>
      </c>
      <c r="W2398" s="12"/>
      <c r="X2398" s="9" t="str">
        <f t="array" ref="X2398">IFERROR(INDEX('Адреса общежитий (скрытый)'!$B$2:$B$9, MATCH(W2398, 'Адреса общежитий (скрытый)'!$A$2:$A$9, 0)), "")</f>
        <v/>
      </c>
      <c r="Y2398" s="18"/>
      <c r="Z2398" s="18"/>
      <c r="AA2398" s="18"/>
      <c r="AB2398" s="18"/>
      <c r="AC2398" s="18"/>
    </row>
    <row r="2399" spans="1:29" ht="32.25" hidden="1" customHeight="1">
      <c r="A2399" s="17"/>
      <c r="B2399" s="9" t="s">
        <v>13284</v>
      </c>
      <c r="C2399" s="9" t="s">
        <v>13284</v>
      </c>
      <c r="D2399" s="9" t="s">
        <v>13284</v>
      </c>
      <c r="E2399" s="9" t="s">
        <v>13284</v>
      </c>
      <c r="F2399" s="9" t="s">
        <v>13284</v>
      </c>
      <c r="G2399" s="9" t="s">
        <v>13284</v>
      </c>
      <c r="H2399" s="9" t="s">
        <v>13284</v>
      </c>
      <c r="I2399" s="9" t="s">
        <v>13284</v>
      </c>
      <c r="J2399" s="9" t="s">
        <v>13284</v>
      </c>
      <c r="K2399" s="9" t="s">
        <v>13284</v>
      </c>
      <c r="L2399" s="9" t="s">
        <v>13284</v>
      </c>
      <c r="M2399" s="9" t="s">
        <v>13284</v>
      </c>
      <c r="N2399" s="9" t="s">
        <v>13284</v>
      </c>
      <c r="O2399" s="9" t="s">
        <v>13284</v>
      </c>
      <c r="P2399" s="9" t="s">
        <v>13284</v>
      </c>
      <c r="Q2399" s="9" t="s">
        <v>13284</v>
      </c>
      <c r="R2399" s="9" t="s">
        <v>13284</v>
      </c>
      <c r="S2399" s="9" t="s">
        <v>13284</v>
      </c>
      <c r="T2399" s="9" t="str">
        <f ca="1">IFERROR(IF(AND(VLOOKUP(A2399, 'Актуальное состояние (из общего'!A:C,3,0) = "", A2399 &lt;&gt; ""), "ПРОВЕРИТЬ", VLOOKUP(A2399, 'Актуальное состояние (из общего'!A:C,3,0)), "")</f>
        <v/>
      </c>
      <c r="U2399" s="9" t="s">
        <v>13284</v>
      </c>
      <c r="V2399" s="9" t="s">
        <v>13284</v>
      </c>
      <c r="W2399" s="12"/>
      <c r="X2399" s="9" t="str">
        <f t="array" ref="X2399">IFERROR(INDEX('Адреса общежитий (скрытый)'!$B$2:$B$9, MATCH(W2399, 'Адреса общежитий (скрытый)'!$A$2:$A$9, 0)), "")</f>
        <v/>
      </c>
      <c r="Y2399" s="18"/>
      <c r="Z2399" s="18"/>
      <c r="AA2399" s="18"/>
      <c r="AB2399" s="18"/>
      <c r="AC2399" s="18"/>
    </row>
    <row r="2400" spans="1:29" ht="32.25" hidden="1" customHeight="1">
      <c r="A2400" s="17"/>
      <c r="B2400" s="9" t="s">
        <v>13284</v>
      </c>
      <c r="C2400" s="9" t="s">
        <v>13284</v>
      </c>
      <c r="D2400" s="9" t="s">
        <v>13284</v>
      </c>
      <c r="E2400" s="9" t="s">
        <v>13284</v>
      </c>
      <c r="F2400" s="9" t="s">
        <v>13284</v>
      </c>
      <c r="G2400" s="9" t="s">
        <v>13284</v>
      </c>
      <c r="H2400" s="9" t="s">
        <v>13284</v>
      </c>
      <c r="I2400" s="9" t="s">
        <v>13284</v>
      </c>
      <c r="J2400" s="9" t="s">
        <v>13284</v>
      </c>
      <c r="K2400" s="9" t="s">
        <v>13284</v>
      </c>
      <c r="L2400" s="9" t="s">
        <v>13284</v>
      </c>
      <c r="M2400" s="9" t="s">
        <v>13284</v>
      </c>
      <c r="N2400" s="9" t="s">
        <v>13284</v>
      </c>
      <c r="O2400" s="9" t="s">
        <v>13284</v>
      </c>
      <c r="P2400" s="9" t="s">
        <v>13284</v>
      </c>
      <c r="Q2400" s="9" t="s">
        <v>13284</v>
      </c>
      <c r="R2400" s="9" t="s">
        <v>13284</v>
      </c>
      <c r="S2400" s="9" t="s">
        <v>13284</v>
      </c>
      <c r="T2400" s="9" t="str">
        <f ca="1">IFERROR(IF(AND(VLOOKUP(A2400, 'Актуальное состояние (из общего'!A:C,3,0) = "", A2400 &lt;&gt; ""), "ПРОВЕРИТЬ", VLOOKUP(A2400, 'Актуальное состояние (из общего'!A:C,3,0)), "")</f>
        <v/>
      </c>
      <c r="U2400" s="9" t="s">
        <v>13284</v>
      </c>
      <c r="V2400" s="9" t="s">
        <v>13284</v>
      </c>
      <c r="W2400" s="12"/>
      <c r="X2400" s="9" t="str">
        <f t="array" ref="X2400">IFERROR(INDEX('Адреса общежитий (скрытый)'!$B$2:$B$9, MATCH(W2400, 'Адреса общежитий (скрытый)'!$A$2:$A$9, 0)), "")</f>
        <v/>
      </c>
      <c r="Y2400" s="18"/>
      <c r="Z2400" s="18"/>
      <c r="AA2400" s="18"/>
      <c r="AB2400" s="18"/>
      <c r="AC2400" s="18"/>
    </row>
    <row r="2401" spans="1:29" ht="32.25" hidden="1" customHeight="1">
      <c r="A2401" s="17"/>
      <c r="B2401" s="9" t="s">
        <v>13284</v>
      </c>
      <c r="C2401" s="9" t="s">
        <v>13284</v>
      </c>
      <c r="D2401" s="9" t="s">
        <v>13284</v>
      </c>
      <c r="E2401" s="9" t="s">
        <v>13284</v>
      </c>
      <c r="F2401" s="9" t="s">
        <v>13284</v>
      </c>
      <c r="G2401" s="9" t="s">
        <v>13284</v>
      </c>
      <c r="H2401" s="9" t="s">
        <v>13284</v>
      </c>
      <c r="I2401" s="9" t="s">
        <v>13284</v>
      </c>
      <c r="J2401" s="9" t="s">
        <v>13284</v>
      </c>
      <c r="K2401" s="9" t="s">
        <v>13284</v>
      </c>
      <c r="L2401" s="9" t="s">
        <v>13284</v>
      </c>
      <c r="M2401" s="9" t="s">
        <v>13284</v>
      </c>
      <c r="N2401" s="9" t="s">
        <v>13284</v>
      </c>
      <c r="O2401" s="9" t="s">
        <v>13284</v>
      </c>
      <c r="P2401" s="9" t="s">
        <v>13284</v>
      </c>
      <c r="Q2401" s="9" t="s">
        <v>13284</v>
      </c>
      <c r="R2401" s="9" t="s">
        <v>13284</v>
      </c>
      <c r="S2401" s="9" t="s">
        <v>13284</v>
      </c>
      <c r="T2401" s="9" t="str">
        <f ca="1">IFERROR(IF(AND(VLOOKUP(A2401, 'Актуальное состояние (из общего'!A:C,3,0) = "", A2401 &lt;&gt; ""), "ПРОВЕРИТЬ", VLOOKUP(A2401, 'Актуальное состояние (из общего'!A:C,3,0)), "")</f>
        <v/>
      </c>
      <c r="U2401" s="9" t="s">
        <v>13284</v>
      </c>
      <c r="V2401" s="9" t="s">
        <v>13284</v>
      </c>
      <c r="W2401" s="12"/>
      <c r="X2401" s="9" t="str">
        <f t="array" ref="X2401">IFERROR(INDEX('Адреса общежитий (скрытый)'!$B$2:$B$9, MATCH(W2401, 'Адреса общежитий (скрытый)'!$A$2:$A$9, 0)), "")</f>
        <v/>
      </c>
      <c r="Y2401" s="18"/>
      <c r="Z2401" s="18"/>
      <c r="AA2401" s="18"/>
      <c r="AB2401" s="18"/>
      <c r="AC2401" s="18"/>
    </row>
    <row r="2402" spans="1:29" ht="32.25" hidden="1" customHeight="1">
      <c r="A2402" s="17"/>
      <c r="B2402" s="9" t="s">
        <v>13284</v>
      </c>
      <c r="C2402" s="9" t="s">
        <v>13284</v>
      </c>
      <c r="D2402" s="9" t="s">
        <v>13284</v>
      </c>
      <c r="E2402" s="9" t="s">
        <v>13284</v>
      </c>
      <c r="F2402" s="9" t="s">
        <v>13284</v>
      </c>
      <c r="G2402" s="9" t="s">
        <v>13284</v>
      </c>
      <c r="H2402" s="9" t="s">
        <v>13284</v>
      </c>
      <c r="I2402" s="9" t="s">
        <v>13284</v>
      </c>
      <c r="J2402" s="9" t="s">
        <v>13284</v>
      </c>
      <c r="K2402" s="9" t="s">
        <v>13284</v>
      </c>
      <c r="L2402" s="9" t="s">
        <v>13284</v>
      </c>
      <c r="M2402" s="9" t="s">
        <v>13284</v>
      </c>
      <c r="N2402" s="9" t="s">
        <v>13284</v>
      </c>
      <c r="O2402" s="9" t="s">
        <v>13284</v>
      </c>
      <c r="P2402" s="9" t="s">
        <v>13284</v>
      </c>
      <c r="Q2402" s="9" t="s">
        <v>13284</v>
      </c>
      <c r="R2402" s="9" t="s">
        <v>13284</v>
      </c>
      <c r="S2402" s="9" t="s">
        <v>13284</v>
      </c>
      <c r="T2402" s="9" t="str">
        <f ca="1">IFERROR(IF(AND(VLOOKUP(A2402, 'Актуальное состояние (из общего'!A:C,3,0) = "", A2402 &lt;&gt; ""), "ПРОВЕРИТЬ", VLOOKUP(A2402, 'Актуальное состояние (из общего'!A:C,3,0)), "")</f>
        <v/>
      </c>
      <c r="U2402" s="9" t="s">
        <v>13284</v>
      </c>
      <c r="V2402" s="9" t="s">
        <v>13284</v>
      </c>
      <c r="W2402" s="12"/>
      <c r="X2402" s="9" t="str">
        <f t="array" ref="X2402">IFERROR(INDEX('Адреса общежитий (скрытый)'!$B$2:$B$9, MATCH(W2402, 'Адреса общежитий (скрытый)'!$A$2:$A$9, 0)), "")</f>
        <v/>
      </c>
      <c r="Y2402" s="18"/>
      <c r="Z2402" s="18"/>
      <c r="AA2402" s="18"/>
      <c r="AB2402" s="18"/>
      <c r="AC2402" s="18"/>
    </row>
    <row r="2403" spans="1:29" ht="32.25" hidden="1" customHeight="1">
      <c r="A2403" s="17"/>
      <c r="B2403" s="9" t="s">
        <v>13284</v>
      </c>
      <c r="C2403" s="9" t="s">
        <v>13284</v>
      </c>
      <c r="D2403" s="9" t="s">
        <v>13284</v>
      </c>
      <c r="E2403" s="9" t="s">
        <v>13284</v>
      </c>
      <c r="F2403" s="9" t="s">
        <v>13284</v>
      </c>
      <c r="G2403" s="9" t="s">
        <v>13284</v>
      </c>
      <c r="H2403" s="9" t="s">
        <v>13284</v>
      </c>
      <c r="I2403" s="9" t="s">
        <v>13284</v>
      </c>
      <c r="J2403" s="9" t="s">
        <v>13284</v>
      </c>
      <c r="K2403" s="9" t="s">
        <v>13284</v>
      </c>
      <c r="L2403" s="9" t="s">
        <v>13284</v>
      </c>
      <c r="M2403" s="9" t="s">
        <v>13284</v>
      </c>
      <c r="N2403" s="9" t="s">
        <v>13284</v>
      </c>
      <c r="O2403" s="9" t="s">
        <v>13284</v>
      </c>
      <c r="P2403" s="9" t="s">
        <v>13284</v>
      </c>
      <c r="Q2403" s="9" t="s">
        <v>13284</v>
      </c>
      <c r="R2403" s="9" t="s">
        <v>13284</v>
      </c>
      <c r="S2403" s="9" t="s">
        <v>13284</v>
      </c>
      <c r="T2403" s="9" t="str">
        <f ca="1">IFERROR(IF(AND(VLOOKUP(A2403, 'Актуальное состояние (из общего'!A:C,3,0) = "", A2403 &lt;&gt; ""), "ПРОВЕРИТЬ", VLOOKUP(A2403, 'Актуальное состояние (из общего'!A:C,3,0)), "")</f>
        <v/>
      </c>
      <c r="U2403" s="9" t="s">
        <v>13284</v>
      </c>
      <c r="V2403" s="9" t="s">
        <v>13284</v>
      </c>
      <c r="W2403" s="12"/>
      <c r="X2403" s="9" t="str">
        <f t="array" ref="X2403">IFERROR(INDEX('Адреса общежитий (скрытый)'!$B$2:$B$9, MATCH(W2403, 'Адреса общежитий (скрытый)'!$A$2:$A$9, 0)), "")</f>
        <v/>
      </c>
      <c r="Y2403" s="18"/>
      <c r="Z2403" s="18"/>
      <c r="AA2403" s="18"/>
      <c r="AB2403" s="18"/>
      <c r="AC2403" s="18"/>
    </row>
    <row r="2404" spans="1:29" ht="32.25" hidden="1" customHeight="1">
      <c r="A2404" s="17"/>
      <c r="B2404" s="9" t="s">
        <v>13284</v>
      </c>
      <c r="C2404" s="9" t="s">
        <v>13284</v>
      </c>
      <c r="D2404" s="9" t="s">
        <v>13284</v>
      </c>
      <c r="E2404" s="9" t="s">
        <v>13284</v>
      </c>
      <c r="F2404" s="9" t="s">
        <v>13284</v>
      </c>
      <c r="G2404" s="9" t="s">
        <v>13284</v>
      </c>
      <c r="H2404" s="9" t="s">
        <v>13284</v>
      </c>
      <c r="I2404" s="9" t="s">
        <v>13284</v>
      </c>
      <c r="J2404" s="9" t="s">
        <v>13284</v>
      </c>
      <c r="K2404" s="9" t="s">
        <v>13284</v>
      </c>
      <c r="L2404" s="9" t="s">
        <v>13284</v>
      </c>
      <c r="M2404" s="9" t="s">
        <v>13284</v>
      </c>
      <c r="N2404" s="9" t="s">
        <v>13284</v>
      </c>
      <c r="O2404" s="9" t="s">
        <v>13284</v>
      </c>
      <c r="P2404" s="9" t="s">
        <v>13284</v>
      </c>
      <c r="Q2404" s="9" t="s">
        <v>13284</v>
      </c>
      <c r="R2404" s="9" t="s">
        <v>13284</v>
      </c>
      <c r="S2404" s="9" t="s">
        <v>13284</v>
      </c>
      <c r="T2404" s="9" t="str">
        <f ca="1">IFERROR(IF(AND(VLOOKUP(A2404, 'Актуальное состояние (из общего'!A:C,3,0) = "", A2404 &lt;&gt; ""), "ПРОВЕРИТЬ", VLOOKUP(A2404, 'Актуальное состояние (из общего'!A:C,3,0)), "")</f>
        <v/>
      </c>
      <c r="U2404" s="9" t="s">
        <v>13284</v>
      </c>
      <c r="V2404" s="9" t="s">
        <v>13284</v>
      </c>
      <c r="W2404" s="12"/>
      <c r="X2404" s="9" t="str">
        <f t="array" ref="X2404">IFERROR(INDEX('Адреса общежитий (скрытый)'!$B$2:$B$9, MATCH(W2404, 'Адреса общежитий (скрытый)'!$A$2:$A$9, 0)), "")</f>
        <v/>
      </c>
      <c r="Y2404" s="18"/>
      <c r="Z2404" s="18"/>
      <c r="AA2404" s="18"/>
      <c r="AB2404" s="18"/>
      <c r="AC2404" s="18"/>
    </row>
    <row r="2405" spans="1:29" ht="32.25" hidden="1" customHeight="1">
      <c r="A2405" s="17"/>
      <c r="B2405" s="9" t="s">
        <v>13284</v>
      </c>
      <c r="C2405" s="9" t="s">
        <v>13284</v>
      </c>
      <c r="D2405" s="9" t="s">
        <v>13284</v>
      </c>
      <c r="E2405" s="9" t="s">
        <v>13284</v>
      </c>
      <c r="F2405" s="9" t="s">
        <v>13284</v>
      </c>
      <c r="G2405" s="9" t="s">
        <v>13284</v>
      </c>
      <c r="H2405" s="9" t="s">
        <v>13284</v>
      </c>
      <c r="I2405" s="9" t="s">
        <v>13284</v>
      </c>
      <c r="J2405" s="9" t="s">
        <v>13284</v>
      </c>
      <c r="K2405" s="9" t="s">
        <v>13284</v>
      </c>
      <c r="L2405" s="9" t="s">
        <v>13284</v>
      </c>
      <c r="M2405" s="9" t="s">
        <v>13284</v>
      </c>
      <c r="N2405" s="9" t="s">
        <v>13284</v>
      </c>
      <c r="O2405" s="9" t="s">
        <v>13284</v>
      </c>
      <c r="P2405" s="9" t="s">
        <v>13284</v>
      </c>
      <c r="Q2405" s="9" t="s">
        <v>13284</v>
      </c>
      <c r="R2405" s="9" t="s">
        <v>13284</v>
      </c>
      <c r="S2405" s="9" t="s">
        <v>13284</v>
      </c>
      <c r="T2405" s="9" t="str">
        <f ca="1">IFERROR(IF(AND(VLOOKUP(A2405, 'Актуальное состояние (из общего'!A:C,3,0) = "", A2405 &lt;&gt; ""), "ПРОВЕРИТЬ", VLOOKUP(A2405, 'Актуальное состояние (из общего'!A:C,3,0)), "")</f>
        <v/>
      </c>
      <c r="U2405" s="9" t="s">
        <v>13284</v>
      </c>
      <c r="V2405" s="9" t="s">
        <v>13284</v>
      </c>
      <c r="W2405" s="12"/>
      <c r="X2405" s="9" t="str">
        <f t="array" ref="X2405">IFERROR(INDEX('Адреса общежитий (скрытый)'!$B$2:$B$9, MATCH(W2405, 'Адреса общежитий (скрытый)'!$A$2:$A$9, 0)), "")</f>
        <v/>
      </c>
      <c r="Y2405" s="18"/>
      <c r="Z2405" s="18"/>
      <c r="AA2405" s="18"/>
      <c r="AB2405" s="18"/>
      <c r="AC2405" s="18"/>
    </row>
    <row r="2406" spans="1:29" ht="32.25" hidden="1" customHeight="1">
      <c r="A2406" s="17"/>
      <c r="B2406" s="9" t="s">
        <v>13284</v>
      </c>
      <c r="C2406" s="9" t="s">
        <v>13284</v>
      </c>
      <c r="D2406" s="9" t="s">
        <v>13284</v>
      </c>
      <c r="E2406" s="9" t="s">
        <v>13284</v>
      </c>
      <c r="F2406" s="9" t="s">
        <v>13284</v>
      </c>
      <c r="G2406" s="9" t="s">
        <v>13284</v>
      </c>
      <c r="H2406" s="9" t="s">
        <v>13284</v>
      </c>
      <c r="I2406" s="9" t="s">
        <v>13284</v>
      </c>
      <c r="J2406" s="9" t="s">
        <v>13284</v>
      </c>
      <c r="K2406" s="9" t="s">
        <v>13284</v>
      </c>
      <c r="L2406" s="9" t="s">
        <v>13284</v>
      </c>
      <c r="M2406" s="9" t="s">
        <v>13284</v>
      </c>
      <c r="N2406" s="9" t="s">
        <v>13284</v>
      </c>
      <c r="O2406" s="9" t="s">
        <v>13284</v>
      </c>
      <c r="P2406" s="9" t="s">
        <v>13284</v>
      </c>
      <c r="Q2406" s="9" t="s">
        <v>13284</v>
      </c>
      <c r="R2406" s="9" t="s">
        <v>13284</v>
      </c>
      <c r="S2406" s="9" t="s">
        <v>13284</v>
      </c>
      <c r="T2406" s="9" t="str">
        <f ca="1">IFERROR(IF(AND(VLOOKUP(A2406, 'Актуальное состояние (из общего'!A:C,3,0) = "", A2406 &lt;&gt; ""), "ПРОВЕРИТЬ", VLOOKUP(A2406, 'Актуальное состояние (из общего'!A:C,3,0)), "")</f>
        <v/>
      </c>
      <c r="U2406" s="9" t="s">
        <v>13284</v>
      </c>
      <c r="V2406" s="9" t="s">
        <v>13284</v>
      </c>
      <c r="W2406" s="12"/>
      <c r="X2406" s="9" t="str">
        <f t="array" ref="X2406">IFERROR(INDEX('Адреса общежитий (скрытый)'!$B$2:$B$9, MATCH(W2406, 'Адреса общежитий (скрытый)'!$A$2:$A$9, 0)), "")</f>
        <v/>
      </c>
      <c r="Y2406" s="18"/>
      <c r="Z2406" s="18"/>
      <c r="AA2406" s="18"/>
      <c r="AB2406" s="18"/>
      <c r="AC2406" s="18"/>
    </row>
    <row r="2407" spans="1:29" ht="32.25" hidden="1" customHeight="1">
      <c r="A2407" s="17"/>
      <c r="B2407" s="9" t="s">
        <v>13284</v>
      </c>
      <c r="C2407" s="9" t="s">
        <v>13284</v>
      </c>
      <c r="D2407" s="9" t="s">
        <v>13284</v>
      </c>
      <c r="E2407" s="9" t="s">
        <v>13284</v>
      </c>
      <c r="F2407" s="9" t="s">
        <v>13284</v>
      </c>
      <c r="G2407" s="9" t="s">
        <v>13284</v>
      </c>
      <c r="H2407" s="9" t="s">
        <v>13284</v>
      </c>
      <c r="I2407" s="9" t="s">
        <v>13284</v>
      </c>
      <c r="J2407" s="9" t="s">
        <v>13284</v>
      </c>
      <c r="K2407" s="9" t="s">
        <v>13284</v>
      </c>
      <c r="L2407" s="9" t="s">
        <v>13284</v>
      </c>
      <c r="M2407" s="9" t="s">
        <v>13284</v>
      </c>
      <c r="N2407" s="9" t="s">
        <v>13284</v>
      </c>
      <c r="O2407" s="9" t="s">
        <v>13284</v>
      </c>
      <c r="P2407" s="9" t="s">
        <v>13284</v>
      </c>
      <c r="Q2407" s="9" t="s">
        <v>13284</v>
      </c>
      <c r="R2407" s="9" t="s">
        <v>13284</v>
      </c>
      <c r="S2407" s="9" t="s">
        <v>13284</v>
      </c>
      <c r="T2407" s="9" t="str">
        <f ca="1">IFERROR(IF(AND(VLOOKUP(A2407, 'Актуальное состояние (из общего'!A:C,3,0) = "", A2407 &lt;&gt; ""), "ПРОВЕРИТЬ", VLOOKUP(A2407, 'Актуальное состояние (из общего'!A:C,3,0)), "")</f>
        <v/>
      </c>
      <c r="U2407" s="9" t="s">
        <v>13284</v>
      </c>
      <c r="V2407" s="9" t="s">
        <v>13284</v>
      </c>
      <c r="W2407" s="12"/>
      <c r="X2407" s="9" t="str">
        <f t="array" ref="X2407">IFERROR(INDEX('Адреса общежитий (скрытый)'!$B$2:$B$9, MATCH(W2407, 'Адреса общежитий (скрытый)'!$A$2:$A$9, 0)), "")</f>
        <v/>
      </c>
      <c r="Y2407" s="18"/>
      <c r="Z2407" s="18"/>
      <c r="AA2407" s="18"/>
      <c r="AB2407" s="18"/>
      <c r="AC2407" s="18"/>
    </row>
    <row r="2408" spans="1:29" ht="32.25" hidden="1" customHeight="1">
      <c r="A2408" s="17"/>
      <c r="B2408" s="9" t="s">
        <v>13284</v>
      </c>
      <c r="C2408" s="9" t="s">
        <v>13284</v>
      </c>
      <c r="D2408" s="9" t="s">
        <v>13284</v>
      </c>
      <c r="E2408" s="9" t="s">
        <v>13284</v>
      </c>
      <c r="F2408" s="9" t="s">
        <v>13284</v>
      </c>
      <c r="G2408" s="9" t="s">
        <v>13284</v>
      </c>
      <c r="H2408" s="9" t="s">
        <v>13284</v>
      </c>
      <c r="I2408" s="9" t="s">
        <v>13284</v>
      </c>
      <c r="J2408" s="9" t="s">
        <v>13284</v>
      </c>
      <c r="K2408" s="9" t="s">
        <v>13284</v>
      </c>
      <c r="L2408" s="9" t="s">
        <v>13284</v>
      </c>
      <c r="M2408" s="9" t="s">
        <v>13284</v>
      </c>
      <c r="N2408" s="9" t="s">
        <v>13284</v>
      </c>
      <c r="O2408" s="9" t="s">
        <v>13284</v>
      </c>
      <c r="P2408" s="9" t="s">
        <v>13284</v>
      </c>
      <c r="Q2408" s="9" t="s">
        <v>13284</v>
      </c>
      <c r="R2408" s="9" t="s">
        <v>13284</v>
      </c>
      <c r="S2408" s="9" t="s">
        <v>13284</v>
      </c>
      <c r="T2408" s="9" t="str">
        <f ca="1">IFERROR(IF(AND(VLOOKUP(A2408, 'Актуальное состояние (из общего'!A:C,3,0) = "", A2408 &lt;&gt; ""), "ПРОВЕРИТЬ", VLOOKUP(A2408, 'Актуальное состояние (из общего'!A:C,3,0)), "")</f>
        <v/>
      </c>
      <c r="U2408" s="9" t="s">
        <v>13284</v>
      </c>
      <c r="V2408" s="9" t="s">
        <v>13284</v>
      </c>
      <c r="W2408" s="12"/>
      <c r="X2408" s="9" t="str">
        <f t="array" ref="X2408">IFERROR(INDEX('Адреса общежитий (скрытый)'!$B$2:$B$9, MATCH(W2408, 'Адреса общежитий (скрытый)'!$A$2:$A$9, 0)), "")</f>
        <v/>
      </c>
      <c r="Y2408" s="18"/>
      <c r="Z2408" s="18"/>
      <c r="AA2408" s="18"/>
      <c r="AB2408" s="18"/>
      <c r="AC2408" s="18"/>
    </row>
    <row r="2409" spans="1:29" ht="32.25" hidden="1" customHeight="1">
      <c r="A2409" s="17"/>
      <c r="B2409" s="9" t="s">
        <v>13284</v>
      </c>
      <c r="C2409" s="9" t="s">
        <v>13284</v>
      </c>
      <c r="D2409" s="9" t="s">
        <v>13284</v>
      </c>
      <c r="E2409" s="9" t="s">
        <v>13284</v>
      </c>
      <c r="F2409" s="9" t="s">
        <v>13284</v>
      </c>
      <c r="G2409" s="9" t="s">
        <v>13284</v>
      </c>
      <c r="H2409" s="9" t="s">
        <v>13284</v>
      </c>
      <c r="I2409" s="9" t="s">
        <v>13284</v>
      </c>
      <c r="J2409" s="9" t="s">
        <v>13284</v>
      </c>
      <c r="K2409" s="9" t="s">
        <v>13284</v>
      </c>
      <c r="L2409" s="9" t="s">
        <v>13284</v>
      </c>
      <c r="M2409" s="9" t="s">
        <v>13284</v>
      </c>
      <c r="N2409" s="9" t="s">
        <v>13284</v>
      </c>
      <c r="O2409" s="9" t="s">
        <v>13284</v>
      </c>
      <c r="P2409" s="9" t="s">
        <v>13284</v>
      </c>
      <c r="Q2409" s="9" t="s">
        <v>13284</v>
      </c>
      <c r="R2409" s="9" t="s">
        <v>13284</v>
      </c>
      <c r="S2409" s="9" t="s">
        <v>13284</v>
      </c>
      <c r="T2409" s="9" t="str">
        <f ca="1">IFERROR(IF(AND(VLOOKUP(A2409, 'Актуальное состояние (из общего'!A:C,3,0) = "", A2409 &lt;&gt; ""), "ПРОВЕРИТЬ", VLOOKUP(A2409, 'Актуальное состояние (из общего'!A:C,3,0)), "")</f>
        <v/>
      </c>
      <c r="U2409" s="9" t="s">
        <v>13284</v>
      </c>
      <c r="V2409" s="9" t="s">
        <v>13284</v>
      </c>
      <c r="W2409" s="12"/>
      <c r="X2409" s="9" t="str">
        <f t="array" ref="X2409">IFERROR(INDEX('Адреса общежитий (скрытый)'!$B$2:$B$9, MATCH(W2409, 'Адреса общежитий (скрытый)'!$A$2:$A$9, 0)), "")</f>
        <v/>
      </c>
      <c r="Y2409" s="18"/>
      <c r="Z2409" s="18"/>
      <c r="AA2409" s="18"/>
      <c r="AB2409" s="18"/>
      <c r="AC2409" s="18"/>
    </row>
    <row r="2410" spans="1:29" ht="32.25" hidden="1" customHeight="1">
      <c r="A2410" s="17"/>
      <c r="B2410" s="9" t="s">
        <v>13284</v>
      </c>
      <c r="C2410" s="9" t="s">
        <v>13284</v>
      </c>
      <c r="D2410" s="9" t="s">
        <v>13284</v>
      </c>
      <c r="E2410" s="9" t="s">
        <v>13284</v>
      </c>
      <c r="F2410" s="9" t="s">
        <v>13284</v>
      </c>
      <c r="G2410" s="9" t="s">
        <v>13284</v>
      </c>
      <c r="H2410" s="9" t="s">
        <v>13284</v>
      </c>
      <c r="I2410" s="9" t="s">
        <v>13284</v>
      </c>
      <c r="J2410" s="9" t="s">
        <v>13284</v>
      </c>
      <c r="K2410" s="9" t="s">
        <v>13284</v>
      </c>
      <c r="L2410" s="9" t="s">
        <v>13284</v>
      </c>
      <c r="M2410" s="9" t="s">
        <v>13284</v>
      </c>
      <c r="N2410" s="9" t="s">
        <v>13284</v>
      </c>
      <c r="O2410" s="9" t="s">
        <v>13284</v>
      </c>
      <c r="P2410" s="9" t="s">
        <v>13284</v>
      </c>
      <c r="Q2410" s="9" t="s">
        <v>13284</v>
      </c>
      <c r="R2410" s="9" t="s">
        <v>13284</v>
      </c>
      <c r="S2410" s="9" t="s">
        <v>13284</v>
      </c>
      <c r="T2410" s="9" t="str">
        <f ca="1">IFERROR(IF(AND(VLOOKUP(A2410, 'Актуальное состояние (из общего'!A:C,3,0) = "", A2410 &lt;&gt; ""), "ПРОВЕРИТЬ", VLOOKUP(A2410, 'Актуальное состояние (из общего'!A:C,3,0)), "")</f>
        <v/>
      </c>
      <c r="U2410" s="9" t="s">
        <v>13284</v>
      </c>
      <c r="V2410" s="9" t="s">
        <v>13284</v>
      </c>
      <c r="W2410" s="12"/>
      <c r="X2410" s="9" t="str">
        <f t="array" ref="X2410">IFERROR(INDEX('Адреса общежитий (скрытый)'!$B$2:$B$9, MATCH(W2410, 'Адреса общежитий (скрытый)'!$A$2:$A$9, 0)), "")</f>
        <v/>
      </c>
      <c r="Y2410" s="18"/>
      <c r="Z2410" s="18"/>
      <c r="AA2410" s="18"/>
      <c r="AB2410" s="18"/>
      <c r="AC2410" s="18"/>
    </row>
    <row r="2411" spans="1:29" ht="32.25" hidden="1" customHeight="1">
      <c r="A2411" s="17"/>
      <c r="B2411" s="9" t="s">
        <v>13284</v>
      </c>
      <c r="C2411" s="9" t="s">
        <v>13284</v>
      </c>
      <c r="D2411" s="9" t="s">
        <v>13284</v>
      </c>
      <c r="E2411" s="9" t="s">
        <v>13284</v>
      </c>
      <c r="F2411" s="9" t="s">
        <v>13284</v>
      </c>
      <c r="G2411" s="9" t="s">
        <v>13284</v>
      </c>
      <c r="H2411" s="9" t="s">
        <v>13284</v>
      </c>
      <c r="I2411" s="9" t="s">
        <v>13284</v>
      </c>
      <c r="J2411" s="9" t="s">
        <v>13284</v>
      </c>
      <c r="K2411" s="9" t="s">
        <v>13284</v>
      </c>
      <c r="L2411" s="9" t="s">
        <v>13284</v>
      </c>
      <c r="M2411" s="9" t="s">
        <v>13284</v>
      </c>
      <c r="N2411" s="9" t="s">
        <v>13284</v>
      </c>
      <c r="O2411" s="9" t="s">
        <v>13284</v>
      </c>
      <c r="P2411" s="9" t="s">
        <v>13284</v>
      </c>
      <c r="Q2411" s="9" t="s">
        <v>13284</v>
      </c>
      <c r="R2411" s="9" t="s">
        <v>13284</v>
      </c>
      <c r="S2411" s="9" t="s">
        <v>13284</v>
      </c>
      <c r="T2411" s="9" t="str">
        <f ca="1">IFERROR(IF(AND(VLOOKUP(A2411, 'Актуальное состояние (из общего'!A:C,3,0) = "", A2411 &lt;&gt; ""), "ПРОВЕРИТЬ", VLOOKUP(A2411, 'Актуальное состояние (из общего'!A:C,3,0)), "")</f>
        <v/>
      </c>
      <c r="U2411" s="9" t="s">
        <v>13284</v>
      </c>
      <c r="V2411" s="9" t="s">
        <v>13284</v>
      </c>
      <c r="W2411" s="12"/>
      <c r="X2411" s="9" t="str">
        <f t="array" ref="X2411">IFERROR(INDEX('Адреса общежитий (скрытый)'!$B$2:$B$9, MATCH(W2411, 'Адреса общежитий (скрытый)'!$A$2:$A$9, 0)), "")</f>
        <v/>
      </c>
      <c r="Y2411" s="18"/>
      <c r="Z2411" s="18"/>
      <c r="AA2411" s="18"/>
      <c r="AB2411" s="18"/>
      <c r="AC2411" s="18"/>
    </row>
    <row r="2412" spans="1:29" ht="32.25" hidden="1" customHeight="1">
      <c r="A2412" s="17"/>
      <c r="B2412" s="9" t="s">
        <v>13284</v>
      </c>
      <c r="C2412" s="9" t="s">
        <v>13284</v>
      </c>
      <c r="D2412" s="9" t="s">
        <v>13284</v>
      </c>
      <c r="E2412" s="9" t="s">
        <v>13284</v>
      </c>
      <c r="F2412" s="9" t="s">
        <v>13284</v>
      </c>
      <c r="G2412" s="9" t="s">
        <v>13284</v>
      </c>
      <c r="H2412" s="9" t="s">
        <v>13284</v>
      </c>
      <c r="I2412" s="9" t="s">
        <v>13284</v>
      </c>
      <c r="J2412" s="9" t="s">
        <v>13284</v>
      </c>
      <c r="K2412" s="9" t="s">
        <v>13284</v>
      </c>
      <c r="L2412" s="9" t="s">
        <v>13284</v>
      </c>
      <c r="M2412" s="9" t="s">
        <v>13284</v>
      </c>
      <c r="N2412" s="9" t="s">
        <v>13284</v>
      </c>
      <c r="O2412" s="9" t="s">
        <v>13284</v>
      </c>
      <c r="P2412" s="9" t="s">
        <v>13284</v>
      </c>
      <c r="Q2412" s="9" t="s">
        <v>13284</v>
      </c>
      <c r="R2412" s="9" t="s">
        <v>13284</v>
      </c>
      <c r="S2412" s="9" t="s">
        <v>13284</v>
      </c>
      <c r="T2412" s="9" t="str">
        <f ca="1">IFERROR(IF(AND(VLOOKUP(A2412, 'Актуальное состояние (из общего'!A:C,3,0) = "", A2412 &lt;&gt; ""), "ПРОВЕРИТЬ", VLOOKUP(A2412, 'Актуальное состояние (из общего'!A:C,3,0)), "")</f>
        <v/>
      </c>
      <c r="U2412" s="9" t="s">
        <v>13284</v>
      </c>
      <c r="V2412" s="9" t="s">
        <v>13284</v>
      </c>
      <c r="W2412" s="12"/>
      <c r="X2412" s="9" t="str">
        <f t="array" ref="X2412">IFERROR(INDEX('Адреса общежитий (скрытый)'!$B$2:$B$9, MATCH(W2412, 'Адреса общежитий (скрытый)'!$A$2:$A$9, 0)), "")</f>
        <v/>
      </c>
      <c r="Y2412" s="18"/>
      <c r="Z2412" s="18"/>
      <c r="AA2412" s="18"/>
      <c r="AB2412" s="18"/>
      <c r="AC2412" s="18"/>
    </row>
    <row r="2413" spans="1:29" ht="32.25" hidden="1" customHeight="1">
      <c r="A2413" s="17"/>
      <c r="B2413" s="9" t="s">
        <v>13284</v>
      </c>
      <c r="C2413" s="9" t="s">
        <v>13284</v>
      </c>
      <c r="D2413" s="9" t="s">
        <v>13284</v>
      </c>
      <c r="E2413" s="9" t="s">
        <v>13284</v>
      </c>
      <c r="F2413" s="9" t="s">
        <v>13284</v>
      </c>
      <c r="G2413" s="9" t="s">
        <v>13284</v>
      </c>
      <c r="H2413" s="9" t="s">
        <v>13284</v>
      </c>
      <c r="I2413" s="9" t="s">
        <v>13284</v>
      </c>
      <c r="J2413" s="9" t="s">
        <v>13284</v>
      </c>
      <c r="K2413" s="9" t="s">
        <v>13284</v>
      </c>
      <c r="L2413" s="9" t="s">
        <v>13284</v>
      </c>
      <c r="M2413" s="9" t="s">
        <v>13284</v>
      </c>
      <c r="N2413" s="9" t="s">
        <v>13284</v>
      </c>
      <c r="O2413" s="9" t="s">
        <v>13284</v>
      </c>
      <c r="P2413" s="9" t="s">
        <v>13284</v>
      </c>
      <c r="Q2413" s="9" t="s">
        <v>13284</v>
      </c>
      <c r="R2413" s="9" t="s">
        <v>13284</v>
      </c>
      <c r="S2413" s="9" t="s">
        <v>13284</v>
      </c>
      <c r="T2413" s="9" t="str">
        <f ca="1">IFERROR(IF(AND(VLOOKUP(A2413, 'Актуальное состояние (из общего'!A:C,3,0) = "", A2413 &lt;&gt; ""), "ПРОВЕРИТЬ", VLOOKUP(A2413, 'Актуальное состояние (из общего'!A:C,3,0)), "")</f>
        <v/>
      </c>
      <c r="U2413" s="9" t="s">
        <v>13284</v>
      </c>
      <c r="V2413" s="9" t="s">
        <v>13284</v>
      </c>
      <c r="W2413" s="12"/>
      <c r="X2413" s="9" t="str">
        <f t="array" ref="X2413">IFERROR(INDEX('Адреса общежитий (скрытый)'!$B$2:$B$9, MATCH(W2413, 'Адреса общежитий (скрытый)'!$A$2:$A$9, 0)), "")</f>
        <v/>
      </c>
      <c r="Y2413" s="18"/>
      <c r="Z2413" s="18"/>
      <c r="AA2413" s="18"/>
      <c r="AB2413" s="18"/>
      <c r="AC2413" s="18"/>
    </row>
    <row r="2414" spans="1:29" ht="32.25" hidden="1" customHeight="1">
      <c r="A2414" s="17"/>
      <c r="B2414" s="9" t="s">
        <v>13284</v>
      </c>
      <c r="C2414" s="9" t="s">
        <v>13284</v>
      </c>
      <c r="D2414" s="9" t="s">
        <v>13284</v>
      </c>
      <c r="E2414" s="9" t="s">
        <v>13284</v>
      </c>
      <c r="F2414" s="9" t="s">
        <v>13284</v>
      </c>
      <c r="G2414" s="9" t="s">
        <v>13284</v>
      </c>
      <c r="H2414" s="9" t="s">
        <v>13284</v>
      </c>
      <c r="I2414" s="9" t="s">
        <v>13284</v>
      </c>
      <c r="J2414" s="9" t="s">
        <v>13284</v>
      </c>
      <c r="K2414" s="9" t="s">
        <v>13284</v>
      </c>
      <c r="L2414" s="9" t="s">
        <v>13284</v>
      </c>
      <c r="M2414" s="9" t="s">
        <v>13284</v>
      </c>
      <c r="N2414" s="9" t="s">
        <v>13284</v>
      </c>
      <c r="O2414" s="9" t="s">
        <v>13284</v>
      </c>
      <c r="P2414" s="9" t="s">
        <v>13284</v>
      </c>
      <c r="Q2414" s="9" t="s">
        <v>13284</v>
      </c>
      <c r="R2414" s="9" t="s">
        <v>13284</v>
      </c>
      <c r="S2414" s="9" t="s">
        <v>13284</v>
      </c>
      <c r="T2414" s="9" t="str">
        <f ca="1">IFERROR(IF(AND(VLOOKUP(A2414, 'Актуальное состояние (из общего'!A:C,3,0) = "", A2414 &lt;&gt; ""), "ПРОВЕРИТЬ", VLOOKUP(A2414, 'Актуальное состояние (из общего'!A:C,3,0)), "")</f>
        <v/>
      </c>
      <c r="U2414" s="9" t="s">
        <v>13284</v>
      </c>
      <c r="V2414" s="9" t="s">
        <v>13284</v>
      </c>
      <c r="W2414" s="12"/>
      <c r="X2414" s="9" t="str">
        <f t="array" ref="X2414">IFERROR(INDEX('Адреса общежитий (скрытый)'!$B$2:$B$9, MATCH(W2414, 'Адреса общежитий (скрытый)'!$A$2:$A$9, 0)), "")</f>
        <v/>
      </c>
      <c r="Y2414" s="18"/>
      <c r="Z2414" s="18"/>
      <c r="AA2414" s="18"/>
      <c r="AB2414" s="18"/>
      <c r="AC2414" s="18"/>
    </row>
    <row r="2415" spans="1:29" ht="32.25" hidden="1" customHeight="1">
      <c r="A2415" s="17"/>
      <c r="B2415" s="9" t="s">
        <v>13284</v>
      </c>
      <c r="C2415" s="9" t="s">
        <v>13284</v>
      </c>
      <c r="D2415" s="9" t="s">
        <v>13284</v>
      </c>
      <c r="E2415" s="9" t="s">
        <v>13284</v>
      </c>
      <c r="F2415" s="9" t="s">
        <v>13284</v>
      </c>
      <c r="G2415" s="9" t="s">
        <v>13284</v>
      </c>
      <c r="H2415" s="9" t="s">
        <v>13284</v>
      </c>
      <c r="I2415" s="9" t="s">
        <v>13284</v>
      </c>
      <c r="J2415" s="9" t="s">
        <v>13284</v>
      </c>
      <c r="K2415" s="9" t="s">
        <v>13284</v>
      </c>
      <c r="L2415" s="9" t="s">
        <v>13284</v>
      </c>
      <c r="M2415" s="9" t="s">
        <v>13284</v>
      </c>
      <c r="N2415" s="9" t="s">
        <v>13284</v>
      </c>
      <c r="O2415" s="9" t="s">
        <v>13284</v>
      </c>
      <c r="P2415" s="9" t="s">
        <v>13284</v>
      </c>
      <c r="Q2415" s="9" t="s">
        <v>13284</v>
      </c>
      <c r="R2415" s="9" t="s">
        <v>13284</v>
      </c>
      <c r="S2415" s="9" t="s">
        <v>13284</v>
      </c>
      <c r="T2415" s="9" t="str">
        <f ca="1">IFERROR(IF(AND(VLOOKUP(A2415, 'Актуальное состояние (из общего'!A:C,3,0) = "", A2415 &lt;&gt; ""), "ПРОВЕРИТЬ", VLOOKUP(A2415, 'Актуальное состояние (из общего'!A:C,3,0)), "")</f>
        <v/>
      </c>
      <c r="U2415" s="9" t="s">
        <v>13284</v>
      </c>
      <c r="V2415" s="9" t="s">
        <v>13284</v>
      </c>
      <c r="W2415" s="12"/>
      <c r="X2415" s="9" t="str">
        <f t="array" ref="X2415">IFERROR(INDEX('Адреса общежитий (скрытый)'!$B$2:$B$9, MATCH(W2415, 'Адреса общежитий (скрытый)'!$A$2:$A$9, 0)), "")</f>
        <v/>
      </c>
      <c r="Y2415" s="18"/>
      <c r="Z2415" s="18"/>
      <c r="AA2415" s="18"/>
      <c r="AB2415" s="18"/>
      <c r="AC2415" s="18"/>
    </row>
    <row r="2416" spans="1:29" ht="32.25" hidden="1" customHeight="1">
      <c r="A2416" s="17"/>
      <c r="B2416" s="9" t="s">
        <v>13284</v>
      </c>
      <c r="C2416" s="9" t="s">
        <v>13284</v>
      </c>
      <c r="D2416" s="9" t="s">
        <v>13284</v>
      </c>
      <c r="E2416" s="9" t="s">
        <v>13284</v>
      </c>
      <c r="F2416" s="9" t="s">
        <v>13284</v>
      </c>
      <c r="G2416" s="9" t="s">
        <v>13284</v>
      </c>
      <c r="H2416" s="9" t="s">
        <v>13284</v>
      </c>
      <c r="I2416" s="9" t="s">
        <v>13284</v>
      </c>
      <c r="J2416" s="9" t="s">
        <v>13284</v>
      </c>
      <c r="K2416" s="9" t="s">
        <v>13284</v>
      </c>
      <c r="L2416" s="9" t="s">
        <v>13284</v>
      </c>
      <c r="M2416" s="9" t="s">
        <v>13284</v>
      </c>
      <c r="N2416" s="9" t="s">
        <v>13284</v>
      </c>
      <c r="O2416" s="9" t="s">
        <v>13284</v>
      </c>
      <c r="P2416" s="9" t="s">
        <v>13284</v>
      </c>
      <c r="Q2416" s="9" t="s">
        <v>13284</v>
      </c>
      <c r="R2416" s="9" t="s">
        <v>13284</v>
      </c>
      <c r="S2416" s="9" t="s">
        <v>13284</v>
      </c>
      <c r="T2416" s="9" t="str">
        <f ca="1">IFERROR(IF(AND(VLOOKUP(A2416, 'Актуальное состояние (из общего'!A:C,3,0) = "", A2416 &lt;&gt; ""), "ПРОВЕРИТЬ", VLOOKUP(A2416, 'Актуальное состояние (из общего'!A:C,3,0)), "")</f>
        <v/>
      </c>
      <c r="U2416" s="9" t="s">
        <v>13284</v>
      </c>
      <c r="V2416" s="9" t="s">
        <v>13284</v>
      </c>
      <c r="W2416" s="12"/>
      <c r="X2416" s="9" t="str">
        <f t="array" ref="X2416">IFERROR(INDEX('Адреса общежитий (скрытый)'!$B$2:$B$9, MATCH(W2416, 'Адреса общежитий (скрытый)'!$A$2:$A$9, 0)), "")</f>
        <v/>
      </c>
      <c r="Y2416" s="18"/>
      <c r="Z2416" s="18"/>
      <c r="AA2416" s="18"/>
      <c r="AB2416" s="18"/>
      <c r="AC2416" s="18"/>
    </row>
    <row r="2417" spans="1:29" ht="32.25" hidden="1" customHeight="1">
      <c r="A2417" s="17"/>
      <c r="B2417" s="9" t="s">
        <v>13284</v>
      </c>
      <c r="C2417" s="9" t="s">
        <v>13284</v>
      </c>
      <c r="D2417" s="9" t="s">
        <v>13284</v>
      </c>
      <c r="E2417" s="9" t="s">
        <v>13284</v>
      </c>
      <c r="F2417" s="9" t="s">
        <v>13284</v>
      </c>
      <c r="G2417" s="9" t="s">
        <v>13284</v>
      </c>
      <c r="H2417" s="9" t="s">
        <v>13284</v>
      </c>
      <c r="I2417" s="9" t="s">
        <v>13284</v>
      </c>
      <c r="J2417" s="9" t="s">
        <v>13284</v>
      </c>
      <c r="K2417" s="9" t="s">
        <v>13284</v>
      </c>
      <c r="L2417" s="9" t="s">
        <v>13284</v>
      </c>
      <c r="M2417" s="9" t="s">
        <v>13284</v>
      </c>
      <c r="N2417" s="9" t="s">
        <v>13284</v>
      </c>
      <c r="O2417" s="9" t="s">
        <v>13284</v>
      </c>
      <c r="P2417" s="9" t="s">
        <v>13284</v>
      </c>
      <c r="Q2417" s="9" t="s">
        <v>13284</v>
      </c>
      <c r="R2417" s="9" t="s">
        <v>13284</v>
      </c>
      <c r="S2417" s="9" t="s">
        <v>13284</v>
      </c>
      <c r="T2417" s="9" t="str">
        <f ca="1">IFERROR(IF(AND(VLOOKUP(A2417, 'Актуальное состояние (из общего'!A:C,3,0) = "", A2417 &lt;&gt; ""), "ПРОВЕРИТЬ", VLOOKUP(A2417, 'Актуальное состояние (из общего'!A:C,3,0)), "")</f>
        <v/>
      </c>
      <c r="U2417" s="9" t="s">
        <v>13284</v>
      </c>
      <c r="V2417" s="9" t="s">
        <v>13284</v>
      </c>
      <c r="W2417" s="12"/>
      <c r="X2417" s="9" t="str">
        <f t="array" ref="X2417">IFERROR(INDEX('Адреса общежитий (скрытый)'!$B$2:$B$9, MATCH(W2417, 'Адреса общежитий (скрытый)'!$A$2:$A$9, 0)), "")</f>
        <v/>
      </c>
      <c r="Y2417" s="18"/>
      <c r="Z2417" s="18"/>
      <c r="AA2417" s="18"/>
      <c r="AB2417" s="18"/>
      <c r="AC2417" s="18"/>
    </row>
    <row r="2418" spans="1:29" ht="32.25" hidden="1" customHeight="1">
      <c r="A2418" s="17"/>
      <c r="B2418" s="9" t="s">
        <v>13284</v>
      </c>
      <c r="C2418" s="9" t="s">
        <v>13284</v>
      </c>
      <c r="D2418" s="9" t="s">
        <v>13284</v>
      </c>
      <c r="E2418" s="9" t="s">
        <v>13284</v>
      </c>
      <c r="F2418" s="9" t="s">
        <v>13284</v>
      </c>
      <c r="G2418" s="9" t="s">
        <v>13284</v>
      </c>
      <c r="H2418" s="9" t="s">
        <v>13284</v>
      </c>
      <c r="I2418" s="9" t="s">
        <v>13284</v>
      </c>
      <c r="J2418" s="9" t="s">
        <v>13284</v>
      </c>
      <c r="K2418" s="9" t="s">
        <v>13284</v>
      </c>
      <c r="L2418" s="9" t="s">
        <v>13284</v>
      </c>
      <c r="M2418" s="9" t="s">
        <v>13284</v>
      </c>
      <c r="N2418" s="9" t="s">
        <v>13284</v>
      </c>
      <c r="O2418" s="9" t="s">
        <v>13284</v>
      </c>
      <c r="P2418" s="9" t="s">
        <v>13284</v>
      </c>
      <c r="Q2418" s="9" t="s">
        <v>13284</v>
      </c>
      <c r="R2418" s="9" t="s">
        <v>13284</v>
      </c>
      <c r="S2418" s="9" t="s">
        <v>13284</v>
      </c>
      <c r="T2418" s="9" t="str">
        <f ca="1">IFERROR(IF(AND(VLOOKUP(A2418, 'Актуальное состояние (из общего'!A:C,3,0) = "", A2418 &lt;&gt; ""), "ПРОВЕРИТЬ", VLOOKUP(A2418, 'Актуальное состояние (из общего'!A:C,3,0)), "")</f>
        <v/>
      </c>
      <c r="U2418" s="9" t="s">
        <v>13284</v>
      </c>
      <c r="V2418" s="9" t="s">
        <v>13284</v>
      </c>
      <c r="W2418" s="12"/>
      <c r="X2418" s="9" t="str">
        <f t="array" ref="X2418">IFERROR(INDEX('Адреса общежитий (скрытый)'!$B$2:$B$9, MATCH(W2418, 'Адреса общежитий (скрытый)'!$A$2:$A$9, 0)), "")</f>
        <v/>
      </c>
      <c r="Y2418" s="18"/>
      <c r="Z2418" s="18"/>
      <c r="AA2418" s="18"/>
      <c r="AB2418" s="18"/>
      <c r="AC2418" s="18"/>
    </row>
    <row r="2419" spans="1:29" ht="32.25" hidden="1" customHeight="1">
      <c r="A2419" s="17"/>
      <c r="B2419" s="9" t="s">
        <v>13284</v>
      </c>
      <c r="C2419" s="9" t="s">
        <v>13284</v>
      </c>
      <c r="D2419" s="9" t="s">
        <v>13284</v>
      </c>
      <c r="E2419" s="9" t="s">
        <v>13284</v>
      </c>
      <c r="F2419" s="9" t="s">
        <v>13284</v>
      </c>
      <c r="G2419" s="9" t="s">
        <v>13284</v>
      </c>
      <c r="H2419" s="9" t="s">
        <v>13284</v>
      </c>
      <c r="I2419" s="9" t="s">
        <v>13284</v>
      </c>
      <c r="J2419" s="9" t="s">
        <v>13284</v>
      </c>
      <c r="K2419" s="9" t="s">
        <v>13284</v>
      </c>
      <c r="L2419" s="9" t="s">
        <v>13284</v>
      </c>
      <c r="M2419" s="9" t="s">
        <v>13284</v>
      </c>
      <c r="N2419" s="9" t="s">
        <v>13284</v>
      </c>
      <c r="O2419" s="9" t="s">
        <v>13284</v>
      </c>
      <c r="P2419" s="9" t="s">
        <v>13284</v>
      </c>
      <c r="Q2419" s="9" t="s">
        <v>13284</v>
      </c>
      <c r="R2419" s="9" t="s">
        <v>13284</v>
      </c>
      <c r="S2419" s="9" t="s">
        <v>13284</v>
      </c>
      <c r="T2419" s="9" t="str">
        <f ca="1">IFERROR(IF(AND(VLOOKUP(A2419, 'Актуальное состояние (из общего'!A:C,3,0) = "", A2419 &lt;&gt; ""), "ПРОВЕРИТЬ", VLOOKUP(A2419, 'Актуальное состояние (из общего'!A:C,3,0)), "")</f>
        <v/>
      </c>
      <c r="U2419" s="9" t="s">
        <v>13284</v>
      </c>
      <c r="V2419" s="9" t="s">
        <v>13284</v>
      </c>
      <c r="W2419" s="12"/>
      <c r="X2419" s="9" t="str">
        <f t="array" ref="X2419">IFERROR(INDEX('Адреса общежитий (скрытый)'!$B$2:$B$9, MATCH(W2419, 'Адреса общежитий (скрытый)'!$A$2:$A$9, 0)), "")</f>
        <v/>
      </c>
      <c r="Y2419" s="18"/>
      <c r="Z2419" s="18"/>
      <c r="AA2419" s="18"/>
      <c r="AB2419" s="18"/>
      <c r="AC2419" s="18"/>
    </row>
    <row r="2420" spans="1:29" ht="32.25" hidden="1" customHeight="1">
      <c r="A2420" s="17"/>
      <c r="B2420" s="9" t="s">
        <v>13284</v>
      </c>
      <c r="C2420" s="9" t="s">
        <v>13284</v>
      </c>
      <c r="D2420" s="9" t="s">
        <v>13284</v>
      </c>
      <c r="E2420" s="9" t="s">
        <v>13284</v>
      </c>
      <c r="F2420" s="9" t="s">
        <v>13284</v>
      </c>
      <c r="G2420" s="9" t="s">
        <v>13284</v>
      </c>
      <c r="H2420" s="9" t="s">
        <v>13284</v>
      </c>
      <c r="I2420" s="9" t="s">
        <v>13284</v>
      </c>
      <c r="J2420" s="9" t="s">
        <v>13284</v>
      </c>
      <c r="K2420" s="9" t="s">
        <v>13284</v>
      </c>
      <c r="L2420" s="9" t="s">
        <v>13284</v>
      </c>
      <c r="M2420" s="9" t="s">
        <v>13284</v>
      </c>
      <c r="N2420" s="9" t="s">
        <v>13284</v>
      </c>
      <c r="O2420" s="9" t="s">
        <v>13284</v>
      </c>
      <c r="P2420" s="9" t="s">
        <v>13284</v>
      </c>
      <c r="Q2420" s="9" t="s">
        <v>13284</v>
      </c>
      <c r="R2420" s="9" t="s">
        <v>13284</v>
      </c>
      <c r="S2420" s="9" t="s">
        <v>13284</v>
      </c>
      <c r="T2420" s="9" t="str">
        <f ca="1">IFERROR(IF(AND(VLOOKUP(A2420, 'Актуальное состояние (из общего'!A:C,3,0) = "", A2420 &lt;&gt; ""), "ПРОВЕРИТЬ", VLOOKUP(A2420, 'Актуальное состояние (из общего'!A:C,3,0)), "")</f>
        <v/>
      </c>
      <c r="U2420" s="9" t="s">
        <v>13284</v>
      </c>
      <c r="V2420" s="9" t="s">
        <v>13284</v>
      </c>
      <c r="W2420" s="12"/>
      <c r="X2420" s="9" t="str">
        <f t="array" ref="X2420">IFERROR(INDEX('Адреса общежитий (скрытый)'!$B$2:$B$9, MATCH(W2420, 'Адреса общежитий (скрытый)'!$A$2:$A$9, 0)), "")</f>
        <v/>
      </c>
      <c r="Y2420" s="18"/>
      <c r="Z2420" s="18"/>
      <c r="AA2420" s="18"/>
      <c r="AB2420" s="18"/>
      <c r="AC2420" s="18"/>
    </row>
    <row r="2421" spans="1:29" ht="32.25" hidden="1" customHeight="1">
      <c r="A2421" s="17"/>
      <c r="B2421" s="9" t="s">
        <v>13284</v>
      </c>
      <c r="C2421" s="9" t="s">
        <v>13284</v>
      </c>
      <c r="D2421" s="9" t="s">
        <v>13284</v>
      </c>
      <c r="E2421" s="9" t="s">
        <v>13284</v>
      </c>
      <c r="F2421" s="9" t="s">
        <v>13284</v>
      </c>
      <c r="G2421" s="9" t="s">
        <v>13284</v>
      </c>
      <c r="H2421" s="9" t="s">
        <v>13284</v>
      </c>
      <c r="I2421" s="9" t="s">
        <v>13284</v>
      </c>
      <c r="J2421" s="9" t="s">
        <v>13284</v>
      </c>
      <c r="K2421" s="9" t="s">
        <v>13284</v>
      </c>
      <c r="L2421" s="9" t="s">
        <v>13284</v>
      </c>
      <c r="M2421" s="9" t="s">
        <v>13284</v>
      </c>
      <c r="N2421" s="9" t="s">
        <v>13284</v>
      </c>
      <c r="O2421" s="9" t="s">
        <v>13284</v>
      </c>
      <c r="P2421" s="9" t="s">
        <v>13284</v>
      </c>
      <c r="Q2421" s="9" t="s">
        <v>13284</v>
      </c>
      <c r="R2421" s="9" t="s">
        <v>13284</v>
      </c>
      <c r="S2421" s="9" t="s">
        <v>13284</v>
      </c>
      <c r="T2421" s="9" t="str">
        <f ca="1">IFERROR(IF(AND(VLOOKUP(A2421, 'Актуальное состояние (из общего'!A:C,3,0) = "", A2421 &lt;&gt; ""), "ПРОВЕРИТЬ", VLOOKUP(A2421, 'Актуальное состояние (из общего'!A:C,3,0)), "")</f>
        <v/>
      </c>
      <c r="U2421" s="9" t="s">
        <v>13284</v>
      </c>
      <c r="V2421" s="9" t="s">
        <v>13284</v>
      </c>
      <c r="W2421" s="12"/>
      <c r="X2421" s="9" t="str">
        <f t="array" ref="X2421">IFERROR(INDEX('Адреса общежитий (скрытый)'!$B$2:$B$9, MATCH(W2421, 'Адреса общежитий (скрытый)'!$A$2:$A$9, 0)), "")</f>
        <v/>
      </c>
      <c r="Y2421" s="18"/>
      <c r="Z2421" s="18"/>
      <c r="AA2421" s="18"/>
      <c r="AB2421" s="18"/>
      <c r="AC2421" s="18"/>
    </row>
    <row r="2422" spans="1:29" ht="32.25" hidden="1" customHeight="1">
      <c r="A2422" s="17"/>
      <c r="B2422" s="9" t="s">
        <v>13284</v>
      </c>
      <c r="C2422" s="9" t="s">
        <v>13284</v>
      </c>
      <c r="D2422" s="9" t="s">
        <v>13284</v>
      </c>
      <c r="E2422" s="9" t="s">
        <v>13284</v>
      </c>
      <c r="F2422" s="9" t="s">
        <v>13284</v>
      </c>
      <c r="G2422" s="9" t="s">
        <v>13284</v>
      </c>
      <c r="H2422" s="9" t="s">
        <v>13284</v>
      </c>
      <c r="I2422" s="9" t="s">
        <v>13284</v>
      </c>
      <c r="J2422" s="9" t="s">
        <v>13284</v>
      </c>
      <c r="K2422" s="9" t="s">
        <v>13284</v>
      </c>
      <c r="L2422" s="9" t="s">
        <v>13284</v>
      </c>
      <c r="M2422" s="9" t="s">
        <v>13284</v>
      </c>
      <c r="N2422" s="9" t="s">
        <v>13284</v>
      </c>
      <c r="O2422" s="9" t="s">
        <v>13284</v>
      </c>
      <c r="P2422" s="9" t="s">
        <v>13284</v>
      </c>
      <c r="Q2422" s="9" t="s">
        <v>13284</v>
      </c>
      <c r="R2422" s="9" t="s">
        <v>13284</v>
      </c>
      <c r="S2422" s="9" t="s">
        <v>13284</v>
      </c>
      <c r="T2422" s="9" t="str">
        <f ca="1">IFERROR(IF(AND(VLOOKUP(A2422, 'Актуальное состояние (из общего'!A:C,3,0) = "", A2422 &lt;&gt; ""), "ПРОВЕРИТЬ", VLOOKUP(A2422, 'Актуальное состояние (из общего'!A:C,3,0)), "")</f>
        <v/>
      </c>
      <c r="U2422" s="9" t="s">
        <v>13284</v>
      </c>
      <c r="V2422" s="9" t="s">
        <v>13284</v>
      </c>
      <c r="W2422" s="12"/>
      <c r="X2422" s="9" t="str">
        <f t="array" ref="X2422">IFERROR(INDEX('Адреса общежитий (скрытый)'!$B$2:$B$9, MATCH(W2422, 'Адреса общежитий (скрытый)'!$A$2:$A$9, 0)), "")</f>
        <v/>
      </c>
      <c r="Y2422" s="18"/>
      <c r="Z2422" s="18"/>
      <c r="AA2422" s="18"/>
      <c r="AB2422" s="18"/>
      <c r="AC2422" s="18"/>
    </row>
    <row r="2423" spans="1:29" ht="32.25" hidden="1" customHeight="1">
      <c r="A2423" s="17"/>
      <c r="B2423" s="9" t="s">
        <v>13284</v>
      </c>
      <c r="C2423" s="9" t="s">
        <v>13284</v>
      </c>
      <c r="D2423" s="9" t="s">
        <v>13284</v>
      </c>
      <c r="E2423" s="9" t="s">
        <v>13284</v>
      </c>
      <c r="F2423" s="9" t="s">
        <v>13284</v>
      </c>
      <c r="G2423" s="9" t="s">
        <v>13284</v>
      </c>
      <c r="H2423" s="9" t="s">
        <v>13284</v>
      </c>
      <c r="I2423" s="9" t="s">
        <v>13284</v>
      </c>
      <c r="J2423" s="9" t="s">
        <v>13284</v>
      </c>
      <c r="K2423" s="9" t="s">
        <v>13284</v>
      </c>
      <c r="L2423" s="9" t="s">
        <v>13284</v>
      </c>
      <c r="M2423" s="9" t="s">
        <v>13284</v>
      </c>
      <c r="N2423" s="9" t="s">
        <v>13284</v>
      </c>
      <c r="O2423" s="9" t="s">
        <v>13284</v>
      </c>
      <c r="P2423" s="9" t="s">
        <v>13284</v>
      </c>
      <c r="Q2423" s="9" t="s">
        <v>13284</v>
      </c>
      <c r="R2423" s="9" t="s">
        <v>13284</v>
      </c>
      <c r="S2423" s="9" t="s">
        <v>13284</v>
      </c>
      <c r="T2423" s="9" t="str">
        <f ca="1">IFERROR(IF(AND(VLOOKUP(A2423, 'Актуальное состояние (из общего'!A:C,3,0) = "", A2423 &lt;&gt; ""), "ПРОВЕРИТЬ", VLOOKUP(A2423, 'Актуальное состояние (из общего'!A:C,3,0)), "")</f>
        <v/>
      </c>
      <c r="U2423" s="9" t="s">
        <v>13284</v>
      </c>
      <c r="V2423" s="9" t="s">
        <v>13284</v>
      </c>
      <c r="W2423" s="12"/>
      <c r="X2423" s="9" t="str">
        <f t="array" ref="X2423">IFERROR(INDEX('Адреса общежитий (скрытый)'!$B$2:$B$9, MATCH(W2423, 'Адреса общежитий (скрытый)'!$A$2:$A$9, 0)), "")</f>
        <v/>
      </c>
      <c r="Y2423" s="18"/>
      <c r="Z2423" s="18"/>
      <c r="AA2423" s="18"/>
      <c r="AB2423" s="18"/>
      <c r="AC2423" s="18"/>
    </row>
    <row r="2424" spans="1:29" ht="32.25" hidden="1" customHeight="1">
      <c r="A2424" s="17"/>
      <c r="B2424" s="9" t="s">
        <v>13284</v>
      </c>
      <c r="C2424" s="9" t="s">
        <v>13284</v>
      </c>
      <c r="D2424" s="9" t="s">
        <v>13284</v>
      </c>
      <c r="E2424" s="9" t="s">
        <v>13284</v>
      </c>
      <c r="F2424" s="9" t="s">
        <v>13284</v>
      </c>
      <c r="G2424" s="9" t="s">
        <v>13284</v>
      </c>
      <c r="H2424" s="9" t="s">
        <v>13284</v>
      </c>
      <c r="I2424" s="9" t="s">
        <v>13284</v>
      </c>
      <c r="J2424" s="9" t="s">
        <v>13284</v>
      </c>
      <c r="K2424" s="9" t="s">
        <v>13284</v>
      </c>
      <c r="L2424" s="9" t="s">
        <v>13284</v>
      </c>
      <c r="M2424" s="9" t="s">
        <v>13284</v>
      </c>
      <c r="N2424" s="9" t="s">
        <v>13284</v>
      </c>
      <c r="O2424" s="9" t="s">
        <v>13284</v>
      </c>
      <c r="P2424" s="9" t="s">
        <v>13284</v>
      </c>
      <c r="Q2424" s="9" t="s">
        <v>13284</v>
      </c>
      <c r="R2424" s="9" t="s">
        <v>13284</v>
      </c>
      <c r="S2424" s="9" t="s">
        <v>13284</v>
      </c>
      <c r="T2424" s="9" t="str">
        <f ca="1">IFERROR(IF(AND(VLOOKUP(A2424, 'Актуальное состояние (из общего'!A:C,3,0) = "", A2424 &lt;&gt; ""), "ПРОВЕРИТЬ", VLOOKUP(A2424, 'Актуальное состояние (из общего'!A:C,3,0)), "")</f>
        <v/>
      </c>
      <c r="U2424" s="9" t="s">
        <v>13284</v>
      </c>
      <c r="V2424" s="9" t="s">
        <v>13284</v>
      </c>
      <c r="W2424" s="12"/>
      <c r="X2424" s="9" t="str">
        <f t="array" ref="X2424">IFERROR(INDEX('Адреса общежитий (скрытый)'!$B$2:$B$9, MATCH(W2424, 'Адреса общежитий (скрытый)'!$A$2:$A$9, 0)), "")</f>
        <v/>
      </c>
      <c r="Y2424" s="18"/>
      <c r="Z2424" s="18"/>
      <c r="AA2424" s="18"/>
      <c r="AB2424" s="18"/>
      <c r="AC2424" s="18"/>
    </row>
    <row r="2425" spans="1:29" ht="32.25" hidden="1" customHeight="1">
      <c r="A2425" s="17"/>
      <c r="B2425" s="9" t="s">
        <v>13284</v>
      </c>
      <c r="C2425" s="9" t="s">
        <v>13284</v>
      </c>
      <c r="D2425" s="9" t="s">
        <v>13284</v>
      </c>
      <c r="E2425" s="9" t="s">
        <v>13284</v>
      </c>
      <c r="F2425" s="9" t="s">
        <v>13284</v>
      </c>
      <c r="G2425" s="9" t="s">
        <v>13284</v>
      </c>
      <c r="H2425" s="9" t="s">
        <v>13284</v>
      </c>
      <c r="I2425" s="9" t="s">
        <v>13284</v>
      </c>
      <c r="J2425" s="9" t="s">
        <v>13284</v>
      </c>
      <c r="K2425" s="9" t="s">
        <v>13284</v>
      </c>
      <c r="L2425" s="9" t="s">
        <v>13284</v>
      </c>
      <c r="M2425" s="9" t="s">
        <v>13284</v>
      </c>
      <c r="N2425" s="9" t="s">
        <v>13284</v>
      </c>
      <c r="O2425" s="9" t="s">
        <v>13284</v>
      </c>
      <c r="P2425" s="9" t="s">
        <v>13284</v>
      </c>
      <c r="Q2425" s="9" t="s">
        <v>13284</v>
      </c>
      <c r="R2425" s="9" t="s">
        <v>13284</v>
      </c>
      <c r="S2425" s="9" t="s">
        <v>13284</v>
      </c>
      <c r="T2425" s="9" t="str">
        <f ca="1">IFERROR(IF(AND(VLOOKUP(A2425, 'Актуальное состояние (из общего'!A:C,3,0) = "", A2425 &lt;&gt; ""), "ПРОВЕРИТЬ", VLOOKUP(A2425, 'Актуальное состояние (из общего'!A:C,3,0)), "")</f>
        <v/>
      </c>
      <c r="U2425" s="9" t="s">
        <v>13284</v>
      </c>
      <c r="V2425" s="9" t="s">
        <v>13284</v>
      </c>
      <c r="W2425" s="12"/>
      <c r="X2425" s="9" t="str">
        <f t="array" ref="X2425">IFERROR(INDEX('Адреса общежитий (скрытый)'!$B$2:$B$9, MATCH(W2425, 'Адреса общежитий (скрытый)'!$A$2:$A$9, 0)), "")</f>
        <v/>
      </c>
      <c r="Y2425" s="18"/>
      <c r="Z2425" s="18"/>
      <c r="AA2425" s="18"/>
      <c r="AB2425" s="18"/>
      <c r="AC2425" s="18"/>
    </row>
    <row r="2426" spans="1:29" ht="32.25" hidden="1" customHeight="1">
      <c r="A2426" s="17"/>
      <c r="B2426" s="9" t="s">
        <v>13284</v>
      </c>
      <c r="C2426" s="9" t="s">
        <v>13284</v>
      </c>
      <c r="D2426" s="9" t="s">
        <v>13284</v>
      </c>
      <c r="E2426" s="9" t="s">
        <v>13284</v>
      </c>
      <c r="F2426" s="9" t="s">
        <v>13284</v>
      </c>
      <c r="G2426" s="9" t="s">
        <v>13284</v>
      </c>
      <c r="H2426" s="9" t="s">
        <v>13284</v>
      </c>
      <c r="I2426" s="9" t="s">
        <v>13284</v>
      </c>
      <c r="J2426" s="9" t="s">
        <v>13284</v>
      </c>
      <c r="K2426" s="9" t="s">
        <v>13284</v>
      </c>
      <c r="L2426" s="9" t="s">
        <v>13284</v>
      </c>
      <c r="M2426" s="9" t="s">
        <v>13284</v>
      </c>
      <c r="N2426" s="9" t="s">
        <v>13284</v>
      </c>
      <c r="O2426" s="9" t="s">
        <v>13284</v>
      </c>
      <c r="P2426" s="9" t="s">
        <v>13284</v>
      </c>
      <c r="Q2426" s="9" t="s">
        <v>13284</v>
      </c>
      <c r="R2426" s="9" t="s">
        <v>13284</v>
      </c>
      <c r="S2426" s="9" t="s">
        <v>13284</v>
      </c>
      <c r="T2426" s="9" t="str">
        <f ca="1">IFERROR(IF(AND(VLOOKUP(A2426, 'Актуальное состояние (из общего'!A:C,3,0) = "", A2426 &lt;&gt; ""), "ПРОВЕРИТЬ", VLOOKUP(A2426, 'Актуальное состояние (из общего'!A:C,3,0)), "")</f>
        <v/>
      </c>
      <c r="U2426" s="9" t="s">
        <v>13284</v>
      </c>
      <c r="V2426" s="9" t="s">
        <v>13284</v>
      </c>
      <c r="W2426" s="12"/>
      <c r="X2426" s="9" t="str">
        <f t="array" ref="X2426">IFERROR(INDEX('Адреса общежитий (скрытый)'!$B$2:$B$9, MATCH(W2426, 'Адреса общежитий (скрытый)'!$A$2:$A$9, 0)), "")</f>
        <v/>
      </c>
      <c r="Y2426" s="18"/>
      <c r="Z2426" s="18"/>
      <c r="AA2426" s="18"/>
      <c r="AB2426" s="18"/>
      <c r="AC2426" s="18"/>
    </row>
    <row r="2427" spans="1:29" ht="32.25" hidden="1" customHeight="1">
      <c r="A2427" s="17"/>
      <c r="B2427" s="9" t="s">
        <v>13284</v>
      </c>
      <c r="C2427" s="9" t="s">
        <v>13284</v>
      </c>
      <c r="D2427" s="9" t="s">
        <v>13284</v>
      </c>
      <c r="E2427" s="9" t="s">
        <v>13284</v>
      </c>
      <c r="F2427" s="9" t="s">
        <v>13284</v>
      </c>
      <c r="G2427" s="9" t="s">
        <v>13284</v>
      </c>
      <c r="H2427" s="9" t="s">
        <v>13284</v>
      </c>
      <c r="I2427" s="9" t="s">
        <v>13284</v>
      </c>
      <c r="J2427" s="9" t="s">
        <v>13284</v>
      </c>
      <c r="K2427" s="9" t="s">
        <v>13284</v>
      </c>
      <c r="L2427" s="9" t="s">
        <v>13284</v>
      </c>
      <c r="M2427" s="9" t="s">
        <v>13284</v>
      </c>
      <c r="N2427" s="9" t="s">
        <v>13284</v>
      </c>
      <c r="O2427" s="9" t="s">
        <v>13284</v>
      </c>
      <c r="P2427" s="9" t="s">
        <v>13284</v>
      </c>
      <c r="Q2427" s="9" t="s">
        <v>13284</v>
      </c>
      <c r="R2427" s="9" t="s">
        <v>13284</v>
      </c>
      <c r="S2427" s="9" t="s">
        <v>13284</v>
      </c>
      <c r="T2427" s="9" t="str">
        <f ca="1">IFERROR(IF(AND(VLOOKUP(A2427, 'Актуальное состояние (из общего'!A:C,3,0) = "", A2427 &lt;&gt; ""), "ПРОВЕРИТЬ", VLOOKUP(A2427, 'Актуальное состояние (из общего'!A:C,3,0)), "")</f>
        <v/>
      </c>
      <c r="U2427" s="9" t="s">
        <v>13284</v>
      </c>
      <c r="V2427" s="9" t="s">
        <v>13284</v>
      </c>
      <c r="W2427" s="12"/>
      <c r="X2427" s="9" t="str">
        <f t="array" ref="X2427">IFERROR(INDEX('Адреса общежитий (скрытый)'!$B$2:$B$9, MATCH(W2427, 'Адреса общежитий (скрытый)'!$A$2:$A$9, 0)), "")</f>
        <v/>
      </c>
      <c r="Y2427" s="18"/>
      <c r="Z2427" s="18"/>
      <c r="AA2427" s="18"/>
      <c r="AB2427" s="18"/>
      <c r="AC2427" s="18"/>
    </row>
    <row r="2428" spans="1:29" ht="32.25" hidden="1" customHeight="1">
      <c r="A2428" s="17"/>
      <c r="B2428" s="9" t="s">
        <v>13284</v>
      </c>
      <c r="C2428" s="9" t="s">
        <v>13284</v>
      </c>
      <c r="D2428" s="9" t="s">
        <v>13284</v>
      </c>
      <c r="E2428" s="9" t="s">
        <v>13284</v>
      </c>
      <c r="F2428" s="9" t="s">
        <v>13284</v>
      </c>
      <c r="G2428" s="9" t="s">
        <v>13284</v>
      </c>
      <c r="H2428" s="9" t="s">
        <v>13284</v>
      </c>
      <c r="I2428" s="9" t="s">
        <v>13284</v>
      </c>
      <c r="J2428" s="9" t="s">
        <v>13284</v>
      </c>
      <c r="K2428" s="9" t="s">
        <v>13284</v>
      </c>
      <c r="L2428" s="9" t="s">
        <v>13284</v>
      </c>
      <c r="M2428" s="9" t="s">
        <v>13284</v>
      </c>
      <c r="N2428" s="9" t="s">
        <v>13284</v>
      </c>
      <c r="O2428" s="9" t="s">
        <v>13284</v>
      </c>
      <c r="P2428" s="9" t="s">
        <v>13284</v>
      </c>
      <c r="Q2428" s="9" t="s">
        <v>13284</v>
      </c>
      <c r="R2428" s="9" t="s">
        <v>13284</v>
      </c>
      <c r="S2428" s="9" t="s">
        <v>13284</v>
      </c>
      <c r="T2428" s="9" t="str">
        <f ca="1">IFERROR(IF(AND(VLOOKUP(A2428, 'Актуальное состояние (из общего'!A:C,3,0) = "", A2428 &lt;&gt; ""), "ПРОВЕРИТЬ", VLOOKUP(A2428, 'Актуальное состояние (из общего'!A:C,3,0)), "")</f>
        <v/>
      </c>
      <c r="U2428" s="9" t="s">
        <v>13284</v>
      </c>
      <c r="V2428" s="9" t="s">
        <v>13284</v>
      </c>
      <c r="W2428" s="12"/>
      <c r="X2428" s="9" t="str">
        <f t="array" ref="X2428">IFERROR(INDEX('Адреса общежитий (скрытый)'!$B$2:$B$9, MATCH(W2428, 'Адреса общежитий (скрытый)'!$A$2:$A$9, 0)), "")</f>
        <v/>
      </c>
      <c r="Y2428" s="18"/>
      <c r="Z2428" s="18"/>
      <c r="AA2428" s="18"/>
      <c r="AB2428" s="18"/>
      <c r="AC2428" s="18"/>
    </row>
    <row r="2429" spans="1:29" ht="32.25" hidden="1" customHeight="1">
      <c r="A2429" s="17"/>
      <c r="B2429" s="9" t="s">
        <v>13284</v>
      </c>
      <c r="C2429" s="9" t="s">
        <v>13284</v>
      </c>
      <c r="D2429" s="9" t="s">
        <v>13284</v>
      </c>
      <c r="E2429" s="9" t="s">
        <v>13284</v>
      </c>
      <c r="F2429" s="9" t="s">
        <v>13284</v>
      </c>
      <c r="G2429" s="9" t="s">
        <v>13284</v>
      </c>
      <c r="H2429" s="9" t="s">
        <v>13284</v>
      </c>
      <c r="I2429" s="9" t="s">
        <v>13284</v>
      </c>
      <c r="J2429" s="9" t="s">
        <v>13284</v>
      </c>
      <c r="K2429" s="9" t="s">
        <v>13284</v>
      </c>
      <c r="L2429" s="9" t="s">
        <v>13284</v>
      </c>
      <c r="M2429" s="9" t="s">
        <v>13284</v>
      </c>
      <c r="N2429" s="9" t="s">
        <v>13284</v>
      </c>
      <c r="O2429" s="9" t="s">
        <v>13284</v>
      </c>
      <c r="P2429" s="9" t="s">
        <v>13284</v>
      </c>
      <c r="Q2429" s="9" t="s">
        <v>13284</v>
      </c>
      <c r="R2429" s="9" t="s">
        <v>13284</v>
      </c>
      <c r="S2429" s="9" t="s">
        <v>13284</v>
      </c>
      <c r="T2429" s="9" t="str">
        <f ca="1">IFERROR(IF(AND(VLOOKUP(A2429, 'Актуальное состояние (из общего'!A:C,3,0) = "", A2429 &lt;&gt; ""), "ПРОВЕРИТЬ", VLOOKUP(A2429, 'Актуальное состояние (из общего'!A:C,3,0)), "")</f>
        <v/>
      </c>
      <c r="U2429" s="9" t="s">
        <v>13284</v>
      </c>
      <c r="V2429" s="9" t="s">
        <v>13284</v>
      </c>
      <c r="W2429" s="12"/>
      <c r="X2429" s="9" t="str">
        <f t="array" ref="X2429">IFERROR(INDEX('Адреса общежитий (скрытый)'!$B$2:$B$9, MATCH(W2429, 'Адреса общежитий (скрытый)'!$A$2:$A$9, 0)), "")</f>
        <v/>
      </c>
      <c r="Y2429" s="18"/>
      <c r="Z2429" s="18"/>
      <c r="AA2429" s="18"/>
      <c r="AB2429" s="18"/>
      <c r="AC2429" s="18"/>
    </row>
    <row r="2430" spans="1:29" ht="32.25" hidden="1" customHeight="1">
      <c r="A2430" s="17"/>
      <c r="B2430" s="9" t="s">
        <v>13284</v>
      </c>
      <c r="C2430" s="9" t="s">
        <v>13284</v>
      </c>
      <c r="D2430" s="9" t="s">
        <v>13284</v>
      </c>
      <c r="E2430" s="9" t="s">
        <v>13284</v>
      </c>
      <c r="F2430" s="9" t="s">
        <v>13284</v>
      </c>
      <c r="G2430" s="9" t="s">
        <v>13284</v>
      </c>
      <c r="H2430" s="9" t="s">
        <v>13284</v>
      </c>
      <c r="I2430" s="9" t="s">
        <v>13284</v>
      </c>
      <c r="J2430" s="9" t="s">
        <v>13284</v>
      </c>
      <c r="K2430" s="9" t="s">
        <v>13284</v>
      </c>
      <c r="L2430" s="9" t="s">
        <v>13284</v>
      </c>
      <c r="M2430" s="9" t="s">
        <v>13284</v>
      </c>
      <c r="N2430" s="9" t="s">
        <v>13284</v>
      </c>
      <c r="O2430" s="9" t="s">
        <v>13284</v>
      </c>
      <c r="P2430" s="9" t="s">
        <v>13284</v>
      </c>
      <c r="Q2430" s="9" t="s">
        <v>13284</v>
      </c>
      <c r="R2430" s="9" t="s">
        <v>13284</v>
      </c>
      <c r="S2430" s="9" t="s">
        <v>13284</v>
      </c>
      <c r="T2430" s="9" t="str">
        <f ca="1">IFERROR(IF(AND(VLOOKUP(A2430, 'Актуальное состояние (из общего'!A:C,3,0) = "", A2430 &lt;&gt; ""), "ПРОВЕРИТЬ", VLOOKUP(A2430, 'Актуальное состояние (из общего'!A:C,3,0)), "")</f>
        <v/>
      </c>
      <c r="U2430" s="9" t="s">
        <v>13284</v>
      </c>
      <c r="V2430" s="9" t="s">
        <v>13284</v>
      </c>
      <c r="W2430" s="12"/>
      <c r="X2430" s="9" t="str">
        <f t="array" ref="X2430">IFERROR(INDEX('Адреса общежитий (скрытый)'!$B$2:$B$9, MATCH(W2430, 'Адреса общежитий (скрытый)'!$A$2:$A$9, 0)), "")</f>
        <v/>
      </c>
      <c r="Y2430" s="18"/>
      <c r="Z2430" s="18"/>
      <c r="AA2430" s="18"/>
      <c r="AB2430" s="18"/>
      <c r="AC2430" s="18"/>
    </row>
    <row r="2431" spans="1:29" ht="32.25" hidden="1" customHeight="1">
      <c r="A2431" s="17"/>
      <c r="B2431" s="9" t="s">
        <v>13284</v>
      </c>
      <c r="C2431" s="9" t="s">
        <v>13284</v>
      </c>
      <c r="D2431" s="9" t="s">
        <v>13284</v>
      </c>
      <c r="E2431" s="9" t="s">
        <v>13284</v>
      </c>
      <c r="F2431" s="9" t="s">
        <v>13284</v>
      </c>
      <c r="G2431" s="9" t="s">
        <v>13284</v>
      </c>
      <c r="H2431" s="9" t="s">
        <v>13284</v>
      </c>
      <c r="I2431" s="9" t="s">
        <v>13284</v>
      </c>
      <c r="J2431" s="9" t="s">
        <v>13284</v>
      </c>
      <c r="K2431" s="9" t="s">
        <v>13284</v>
      </c>
      <c r="L2431" s="9" t="s">
        <v>13284</v>
      </c>
      <c r="M2431" s="9" t="s">
        <v>13284</v>
      </c>
      <c r="N2431" s="9" t="s">
        <v>13284</v>
      </c>
      <c r="O2431" s="9" t="s">
        <v>13284</v>
      </c>
      <c r="P2431" s="9" t="s">
        <v>13284</v>
      </c>
      <c r="Q2431" s="9" t="s">
        <v>13284</v>
      </c>
      <c r="R2431" s="9" t="s">
        <v>13284</v>
      </c>
      <c r="S2431" s="9" t="s">
        <v>13284</v>
      </c>
      <c r="T2431" s="9" t="str">
        <f ca="1">IFERROR(IF(AND(VLOOKUP(A2431, 'Актуальное состояние (из общего'!A:C,3,0) = "", A2431 &lt;&gt; ""), "ПРОВЕРИТЬ", VLOOKUP(A2431, 'Актуальное состояние (из общего'!A:C,3,0)), "")</f>
        <v/>
      </c>
      <c r="U2431" s="9" t="s">
        <v>13284</v>
      </c>
      <c r="V2431" s="9" t="s">
        <v>13284</v>
      </c>
      <c r="W2431" s="12"/>
      <c r="X2431" s="9" t="str">
        <f t="array" ref="X2431">IFERROR(INDEX('Адреса общежитий (скрытый)'!$B$2:$B$9, MATCH(W2431, 'Адреса общежитий (скрытый)'!$A$2:$A$9, 0)), "")</f>
        <v/>
      </c>
      <c r="Y2431" s="18"/>
      <c r="Z2431" s="18"/>
      <c r="AA2431" s="18"/>
      <c r="AB2431" s="18"/>
      <c r="AC2431" s="18"/>
    </row>
    <row r="2432" spans="1:29" ht="32.25" hidden="1" customHeight="1">
      <c r="A2432" s="17"/>
      <c r="B2432" s="9" t="s">
        <v>13284</v>
      </c>
      <c r="C2432" s="9" t="s">
        <v>13284</v>
      </c>
      <c r="D2432" s="9" t="s">
        <v>13284</v>
      </c>
      <c r="E2432" s="9" t="s">
        <v>13284</v>
      </c>
      <c r="F2432" s="9" t="s">
        <v>13284</v>
      </c>
      <c r="G2432" s="9" t="s">
        <v>13284</v>
      </c>
      <c r="H2432" s="9" t="s">
        <v>13284</v>
      </c>
      <c r="I2432" s="9" t="s">
        <v>13284</v>
      </c>
      <c r="J2432" s="9" t="s">
        <v>13284</v>
      </c>
      <c r="K2432" s="9" t="s">
        <v>13284</v>
      </c>
      <c r="L2432" s="9" t="s">
        <v>13284</v>
      </c>
      <c r="M2432" s="9" t="s">
        <v>13284</v>
      </c>
      <c r="N2432" s="9" t="s">
        <v>13284</v>
      </c>
      <c r="O2432" s="9" t="s">
        <v>13284</v>
      </c>
      <c r="P2432" s="9" t="s">
        <v>13284</v>
      </c>
      <c r="Q2432" s="9" t="s">
        <v>13284</v>
      </c>
      <c r="R2432" s="9" t="s">
        <v>13284</v>
      </c>
      <c r="S2432" s="9" t="s">
        <v>13284</v>
      </c>
      <c r="T2432" s="9" t="str">
        <f ca="1">IFERROR(IF(AND(VLOOKUP(A2432, 'Актуальное состояние (из общего'!A:C,3,0) = "", A2432 &lt;&gt; ""), "ПРОВЕРИТЬ", VLOOKUP(A2432, 'Актуальное состояние (из общего'!A:C,3,0)), "")</f>
        <v/>
      </c>
      <c r="U2432" s="9" t="s">
        <v>13284</v>
      </c>
      <c r="V2432" s="9" t="s">
        <v>13284</v>
      </c>
      <c r="W2432" s="12"/>
      <c r="X2432" s="9" t="str">
        <f t="array" ref="X2432">IFERROR(INDEX('Адреса общежитий (скрытый)'!$B$2:$B$9, MATCH(W2432, 'Адреса общежитий (скрытый)'!$A$2:$A$9, 0)), "")</f>
        <v/>
      </c>
      <c r="Y2432" s="18"/>
      <c r="Z2432" s="18"/>
      <c r="AA2432" s="18"/>
      <c r="AB2432" s="18"/>
      <c r="AC2432" s="18"/>
    </row>
    <row r="2433" spans="1:29" ht="32.25" hidden="1" customHeight="1">
      <c r="A2433" s="17"/>
      <c r="B2433" s="9" t="s">
        <v>13284</v>
      </c>
      <c r="C2433" s="9" t="s">
        <v>13284</v>
      </c>
      <c r="D2433" s="9" t="s">
        <v>13284</v>
      </c>
      <c r="E2433" s="9" t="s">
        <v>13284</v>
      </c>
      <c r="F2433" s="9" t="s">
        <v>13284</v>
      </c>
      <c r="G2433" s="9" t="s">
        <v>13284</v>
      </c>
      <c r="H2433" s="9" t="s">
        <v>13284</v>
      </c>
      <c r="I2433" s="9" t="s">
        <v>13284</v>
      </c>
      <c r="J2433" s="9" t="s">
        <v>13284</v>
      </c>
      <c r="K2433" s="9" t="s">
        <v>13284</v>
      </c>
      <c r="L2433" s="9" t="s">
        <v>13284</v>
      </c>
      <c r="M2433" s="9" t="s">
        <v>13284</v>
      </c>
      <c r="N2433" s="9" t="s">
        <v>13284</v>
      </c>
      <c r="O2433" s="9" t="s">
        <v>13284</v>
      </c>
      <c r="P2433" s="9" t="s">
        <v>13284</v>
      </c>
      <c r="Q2433" s="9" t="s">
        <v>13284</v>
      </c>
      <c r="R2433" s="9" t="s">
        <v>13284</v>
      </c>
      <c r="S2433" s="9" t="s">
        <v>13284</v>
      </c>
      <c r="T2433" s="9" t="str">
        <f ca="1">IFERROR(IF(AND(VLOOKUP(A2433, 'Актуальное состояние (из общего'!A:C,3,0) = "", A2433 &lt;&gt; ""), "ПРОВЕРИТЬ", VLOOKUP(A2433, 'Актуальное состояние (из общего'!A:C,3,0)), "")</f>
        <v/>
      </c>
      <c r="U2433" s="9" t="s">
        <v>13284</v>
      </c>
      <c r="V2433" s="9" t="s">
        <v>13284</v>
      </c>
      <c r="W2433" s="12"/>
      <c r="X2433" s="9" t="str">
        <f t="array" ref="X2433">IFERROR(INDEX('Адреса общежитий (скрытый)'!$B$2:$B$9, MATCH(W2433, 'Адреса общежитий (скрытый)'!$A$2:$A$9, 0)), "")</f>
        <v/>
      </c>
      <c r="Y2433" s="18"/>
      <c r="Z2433" s="18"/>
      <c r="AA2433" s="18"/>
      <c r="AB2433" s="18"/>
      <c r="AC2433" s="18"/>
    </row>
    <row r="2434" spans="1:29" ht="32.25" hidden="1" customHeight="1">
      <c r="A2434" s="17"/>
      <c r="B2434" s="9" t="s">
        <v>13284</v>
      </c>
      <c r="C2434" s="9" t="s">
        <v>13284</v>
      </c>
      <c r="D2434" s="9" t="s">
        <v>13284</v>
      </c>
      <c r="E2434" s="9" t="s">
        <v>13284</v>
      </c>
      <c r="F2434" s="9" t="s">
        <v>13284</v>
      </c>
      <c r="G2434" s="9" t="s">
        <v>13284</v>
      </c>
      <c r="H2434" s="9" t="s">
        <v>13284</v>
      </c>
      <c r="I2434" s="9" t="s">
        <v>13284</v>
      </c>
      <c r="J2434" s="9" t="s">
        <v>13284</v>
      </c>
      <c r="K2434" s="9" t="s">
        <v>13284</v>
      </c>
      <c r="L2434" s="9" t="s">
        <v>13284</v>
      </c>
      <c r="M2434" s="9" t="s">
        <v>13284</v>
      </c>
      <c r="N2434" s="9" t="s">
        <v>13284</v>
      </c>
      <c r="O2434" s="9" t="s">
        <v>13284</v>
      </c>
      <c r="P2434" s="9" t="s">
        <v>13284</v>
      </c>
      <c r="Q2434" s="9" t="s">
        <v>13284</v>
      </c>
      <c r="R2434" s="9" t="s">
        <v>13284</v>
      </c>
      <c r="S2434" s="9" t="s">
        <v>13284</v>
      </c>
      <c r="T2434" s="9" t="str">
        <f ca="1">IFERROR(IF(AND(VLOOKUP(A2434, 'Актуальное состояние (из общего'!A:C,3,0) = "", A2434 &lt;&gt; ""), "ПРОВЕРИТЬ", VLOOKUP(A2434, 'Актуальное состояние (из общего'!A:C,3,0)), "")</f>
        <v/>
      </c>
      <c r="U2434" s="9" t="s">
        <v>13284</v>
      </c>
      <c r="V2434" s="9" t="s">
        <v>13284</v>
      </c>
      <c r="W2434" s="12"/>
      <c r="X2434" s="9" t="str">
        <f t="array" ref="X2434">IFERROR(INDEX('Адреса общежитий (скрытый)'!$B$2:$B$9, MATCH(W2434, 'Адреса общежитий (скрытый)'!$A$2:$A$9, 0)), "")</f>
        <v/>
      </c>
      <c r="Y2434" s="18"/>
      <c r="Z2434" s="18"/>
      <c r="AA2434" s="18"/>
      <c r="AB2434" s="18"/>
      <c r="AC2434" s="18"/>
    </row>
    <row r="2435" spans="1:29" ht="32.25" hidden="1" customHeight="1">
      <c r="A2435" s="17"/>
      <c r="B2435" s="9" t="s">
        <v>13284</v>
      </c>
      <c r="C2435" s="9" t="s">
        <v>13284</v>
      </c>
      <c r="D2435" s="9" t="s">
        <v>13284</v>
      </c>
      <c r="E2435" s="9" t="s">
        <v>13284</v>
      </c>
      <c r="F2435" s="9" t="s">
        <v>13284</v>
      </c>
      <c r="G2435" s="9" t="s">
        <v>13284</v>
      </c>
      <c r="H2435" s="9" t="s">
        <v>13284</v>
      </c>
      <c r="I2435" s="9" t="s">
        <v>13284</v>
      </c>
      <c r="J2435" s="9" t="s">
        <v>13284</v>
      </c>
      <c r="K2435" s="9" t="s">
        <v>13284</v>
      </c>
      <c r="L2435" s="9" t="s">
        <v>13284</v>
      </c>
      <c r="M2435" s="9" t="s">
        <v>13284</v>
      </c>
      <c r="N2435" s="9" t="s">
        <v>13284</v>
      </c>
      <c r="O2435" s="9" t="s">
        <v>13284</v>
      </c>
      <c r="P2435" s="9" t="s">
        <v>13284</v>
      </c>
      <c r="Q2435" s="9" t="s">
        <v>13284</v>
      </c>
      <c r="R2435" s="9" t="s">
        <v>13284</v>
      </c>
      <c r="S2435" s="9" t="s">
        <v>13284</v>
      </c>
      <c r="T2435" s="9" t="str">
        <f ca="1">IFERROR(IF(AND(VLOOKUP(A2435, 'Актуальное состояние (из общего'!A:C,3,0) = "", A2435 &lt;&gt; ""), "ПРОВЕРИТЬ", VLOOKUP(A2435, 'Актуальное состояние (из общего'!A:C,3,0)), "")</f>
        <v/>
      </c>
      <c r="U2435" s="9" t="s">
        <v>13284</v>
      </c>
      <c r="V2435" s="9" t="s">
        <v>13284</v>
      </c>
      <c r="W2435" s="12"/>
      <c r="X2435" s="9" t="str">
        <f t="array" ref="X2435">IFERROR(INDEX('Адреса общежитий (скрытый)'!$B$2:$B$9, MATCH(W2435, 'Адреса общежитий (скрытый)'!$A$2:$A$9, 0)), "")</f>
        <v/>
      </c>
      <c r="Y2435" s="18"/>
      <c r="Z2435" s="18"/>
      <c r="AA2435" s="18"/>
      <c r="AB2435" s="18"/>
      <c r="AC2435" s="18"/>
    </row>
    <row r="2436" spans="1:29" ht="32.25" hidden="1" customHeight="1">
      <c r="A2436" s="17"/>
      <c r="B2436" s="9" t="s">
        <v>13284</v>
      </c>
      <c r="C2436" s="9" t="s">
        <v>13284</v>
      </c>
      <c r="D2436" s="9" t="s">
        <v>13284</v>
      </c>
      <c r="E2436" s="9" t="s">
        <v>13284</v>
      </c>
      <c r="F2436" s="9" t="s">
        <v>13284</v>
      </c>
      <c r="G2436" s="9" t="s">
        <v>13284</v>
      </c>
      <c r="H2436" s="9" t="s">
        <v>13284</v>
      </c>
      <c r="I2436" s="9" t="s">
        <v>13284</v>
      </c>
      <c r="J2436" s="9" t="s">
        <v>13284</v>
      </c>
      <c r="K2436" s="9" t="s">
        <v>13284</v>
      </c>
      <c r="L2436" s="9" t="s">
        <v>13284</v>
      </c>
      <c r="M2436" s="9" t="s">
        <v>13284</v>
      </c>
      <c r="N2436" s="9" t="s">
        <v>13284</v>
      </c>
      <c r="O2436" s="9" t="s">
        <v>13284</v>
      </c>
      <c r="P2436" s="9" t="s">
        <v>13284</v>
      </c>
      <c r="Q2436" s="9" t="s">
        <v>13284</v>
      </c>
      <c r="R2436" s="9" t="s">
        <v>13284</v>
      </c>
      <c r="S2436" s="9" t="s">
        <v>13284</v>
      </c>
      <c r="T2436" s="9" t="str">
        <f ca="1">IFERROR(IF(AND(VLOOKUP(A2436, 'Актуальное состояние (из общего'!A:C,3,0) = "", A2436 &lt;&gt; ""), "ПРОВЕРИТЬ", VLOOKUP(A2436, 'Актуальное состояние (из общего'!A:C,3,0)), "")</f>
        <v/>
      </c>
      <c r="U2436" s="9" t="s">
        <v>13284</v>
      </c>
      <c r="V2436" s="9" t="s">
        <v>13284</v>
      </c>
      <c r="W2436" s="12"/>
      <c r="X2436" s="9" t="str">
        <f t="array" ref="X2436">IFERROR(INDEX('Адреса общежитий (скрытый)'!$B$2:$B$9, MATCH(W2436, 'Адреса общежитий (скрытый)'!$A$2:$A$9, 0)), "")</f>
        <v/>
      </c>
      <c r="Y2436" s="18"/>
      <c r="Z2436" s="18"/>
      <c r="AA2436" s="18"/>
      <c r="AB2436" s="18"/>
      <c r="AC2436" s="18"/>
    </row>
    <row r="2437" spans="1:29" ht="32.25" hidden="1" customHeight="1">
      <c r="A2437" s="17"/>
      <c r="B2437" s="9" t="s">
        <v>13284</v>
      </c>
      <c r="C2437" s="9" t="s">
        <v>13284</v>
      </c>
      <c r="D2437" s="9" t="s">
        <v>13284</v>
      </c>
      <c r="E2437" s="9" t="s">
        <v>13284</v>
      </c>
      <c r="F2437" s="9" t="s">
        <v>13284</v>
      </c>
      <c r="G2437" s="9" t="s">
        <v>13284</v>
      </c>
      <c r="H2437" s="9" t="s">
        <v>13284</v>
      </c>
      <c r="I2437" s="9" t="s">
        <v>13284</v>
      </c>
      <c r="J2437" s="9" t="s">
        <v>13284</v>
      </c>
      <c r="K2437" s="9" t="s">
        <v>13284</v>
      </c>
      <c r="L2437" s="9" t="s">
        <v>13284</v>
      </c>
      <c r="M2437" s="9" t="s">
        <v>13284</v>
      </c>
      <c r="N2437" s="9" t="s">
        <v>13284</v>
      </c>
      <c r="O2437" s="9" t="s">
        <v>13284</v>
      </c>
      <c r="P2437" s="9" t="s">
        <v>13284</v>
      </c>
      <c r="Q2437" s="9" t="s">
        <v>13284</v>
      </c>
      <c r="R2437" s="9" t="s">
        <v>13284</v>
      </c>
      <c r="S2437" s="9" t="s">
        <v>13284</v>
      </c>
      <c r="T2437" s="9" t="str">
        <f ca="1">IFERROR(IF(AND(VLOOKUP(A2437, 'Актуальное состояние (из общего'!A:C,3,0) = "", A2437 &lt;&gt; ""), "ПРОВЕРИТЬ", VLOOKUP(A2437, 'Актуальное состояние (из общего'!A:C,3,0)), "")</f>
        <v/>
      </c>
      <c r="U2437" s="9" t="s">
        <v>13284</v>
      </c>
      <c r="V2437" s="9" t="s">
        <v>13284</v>
      </c>
      <c r="W2437" s="12"/>
      <c r="X2437" s="9" t="str">
        <f t="array" ref="X2437">IFERROR(INDEX('Адреса общежитий (скрытый)'!$B$2:$B$9, MATCH(W2437, 'Адреса общежитий (скрытый)'!$A$2:$A$9, 0)), "")</f>
        <v/>
      </c>
      <c r="Y2437" s="18"/>
      <c r="Z2437" s="18"/>
      <c r="AA2437" s="18"/>
      <c r="AB2437" s="18"/>
      <c r="AC2437" s="18"/>
    </row>
    <row r="2438" spans="1:29" ht="32.25" hidden="1" customHeight="1">
      <c r="A2438" s="17"/>
      <c r="B2438" s="9" t="s">
        <v>13284</v>
      </c>
      <c r="C2438" s="9" t="s">
        <v>13284</v>
      </c>
      <c r="D2438" s="9" t="s">
        <v>13284</v>
      </c>
      <c r="E2438" s="9" t="s">
        <v>13284</v>
      </c>
      <c r="F2438" s="9" t="s">
        <v>13284</v>
      </c>
      <c r="G2438" s="9" t="s">
        <v>13284</v>
      </c>
      <c r="H2438" s="9" t="s">
        <v>13284</v>
      </c>
      <c r="I2438" s="9" t="s">
        <v>13284</v>
      </c>
      <c r="J2438" s="9" t="s">
        <v>13284</v>
      </c>
      <c r="K2438" s="9" t="s">
        <v>13284</v>
      </c>
      <c r="L2438" s="9" t="s">
        <v>13284</v>
      </c>
      <c r="M2438" s="9" t="s">
        <v>13284</v>
      </c>
      <c r="N2438" s="9" t="s">
        <v>13284</v>
      </c>
      <c r="O2438" s="9" t="s">
        <v>13284</v>
      </c>
      <c r="P2438" s="9" t="s">
        <v>13284</v>
      </c>
      <c r="Q2438" s="9" t="s">
        <v>13284</v>
      </c>
      <c r="R2438" s="9" t="s">
        <v>13284</v>
      </c>
      <c r="S2438" s="9" t="s">
        <v>13284</v>
      </c>
      <c r="T2438" s="9" t="str">
        <f ca="1">IFERROR(IF(AND(VLOOKUP(A2438, 'Актуальное состояние (из общего'!A:C,3,0) = "", A2438 &lt;&gt; ""), "ПРОВЕРИТЬ", VLOOKUP(A2438, 'Актуальное состояние (из общего'!A:C,3,0)), "")</f>
        <v/>
      </c>
      <c r="U2438" s="9" t="s">
        <v>13284</v>
      </c>
      <c r="V2438" s="9" t="s">
        <v>13284</v>
      </c>
      <c r="W2438" s="12"/>
      <c r="X2438" s="9" t="str">
        <f t="array" ref="X2438">IFERROR(INDEX('Адреса общежитий (скрытый)'!$B$2:$B$9, MATCH(W2438, 'Адреса общежитий (скрытый)'!$A$2:$A$9, 0)), "")</f>
        <v/>
      </c>
      <c r="Y2438" s="18"/>
      <c r="Z2438" s="18"/>
      <c r="AA2438" s="18"/>
      <c r="AB2438" s="18"/>
      <c r="AC2438" s="18"/>
    </row>
    <row r="2439" spans="1:29" ht="32.25" hidden="1" customHeight="1">
      <c r="A2439" s="17"/>
      <c r="B2439" s="9" t="s">
        <v>13284</v>
      </c>
      <c r="C2439" s="9" t="s">
        <v>13284</v>
      </c>
      <c r="D2439" s="9" t="s">
        <v>13284</v>
      </c>
      <c r="E2439" s="9" t="s">
        <v>13284</v>
      </c>
      <c r="F2439" s="9" t="s">
        <v>13284</v>
      </c>
      <c r="G2439" s="9" t="s">
        <v>13284</v>
      </c>
      <c r="H2439" s="9" t="s">
        <v>13284</v>
      </c>
      <c r="I2439" s="9" t="s">
        <v>13284</v>
      </c>
      <c r="J2439" s="9" t="s">
        <v>13284</v>
      </c>
      <c r="K2439" s="9" t="s">
        <v>13284</v>
      </c>
      <c r="L2439" s="9" t="s">
        <v>13284</v>
      </c>
      <c r="M2439" s="9" t="s">
        <v>13284</v>
      </c>
      <c r="N2439" s="9" t="s">
        <v>13284</v>
      </c>
      <c r="O2439" s="9" t="s">
        <v>13284</v>
      </c>
      <c r="P2439" s="9" t="s">
        <v>13284</v>
      </c>
      <c r="Q2439" s="9" t="s">
        <v>13284</v>
      </c>
      <c r="R2439" s="9" t="s">
        <v>13284</v>
      </c>
      <c r="S2439" s="9" t="s">
        <v>13284</v>
      </c>
      <c r="T2439" s="9" t="str">
        <f ca="1">IFERROR(IF(AND(VLOOKUP(A2439, 'Актуальное состояние (из общего'!A:C,3,0) = "", A2439 &lt;&gt; ""), "ПРОВЕРИТЬ", VLOOKUP(A2439, 'Актуальное состояние (из общего'!A:C,3,0)), "")</f>
        <v/>
      </c>
      <c r="U2439" s="9" t="s">
        <v>13284</v>
      </c>
      <c r="V2439" s="9" t="s">
        <v>13284</v>
      </c>
      <c r="W2439" s="12"/>
      <c r="X2439" s="9" t="str">
        <f t="array" ref="X2439">IFERROR(INDEX('Адреса общежитий (скрытый)'!$B$2:$B$9, MATCH(W2439, 'Адреса общежитий (скрытый)'!$A$2:$A$9, 0)), "")</f>
        <v/>
      </c>
      <c r="Y2439" s="18"/>
      <c r="Z2439" s="18"/>
      <c r="AA2439" s="18"/>
      <c r="AB2439" s="18"/>
      <c r="AC2439" s="18"/>
    </row>
    <row r="2440" spans="1:29" ht="32.25" hidden="1" customHeight="1">
      <c r="A2440" s="17"/>
      <c r="B2440" s="9" t="s">
        <v>13284</v>
      </c>
      <c r="C2440" s="9" t="s">
        <v>13284</v>
      </c>
      <c r="D2440" s="9" t="s">
        <v>13284</v>
      </c>
      <c r="E2440" s="9" t="s">
        <v>13284</v>
      </c>
      <c r="F2440" s="9" t="s">
        <v>13284</v>
      </c>
      <c r="G2440" s="9" t="s">
        <v>13284</v>
      </c>
      <c r="H2440" s="9" t="s">
        <v>13284</v>
      </c>
      <c r="I2440" s="9" t="s">
        <v>13284</v>
      </c>
      <c r="J2440" s="9" t="s">
        <v>13284</v>
      </c>
      <c r="K2440" s="9" t="s">
        <v>13284</v>
      </c>
      <c r="L2440" s="9" t="s">
        <v>13284</v>
      </c>
      <c r="M2440" s="9" t="s">
        <v>13284</v>
      </c>
      <c r="N2440" s="9" t="s">
        <v>13284</v>
      </c>
      <c r="O2440" s="9" t="s">
        <v>13284</v>
      </c>
      <c r="P2440" s="9" t="s">
        <v>13284</v>
      </c>
      <c r="Q2440" s="9" t="s">
        <v>13284</v>
      </c>
      <c r="R2440" s="9" t="s">
        <v>13284</v>
      </c>
      <c r="S2440" s="9" t="s">
        <v>13284</v>
      </c>
      <c r="T2440" s="9" t="str">
        <f ca="1">IFERROR(IF(AND(VLOOKUP(A2440, 'Актуальное состояние (из общего'!A:C,3,0) = "", A2440 &lt;&gt; ""), "ПРОВЕРИТЬ", VLOOKUP(A2440, 'Актуальное состояние (из общего'!A:C,3,0)), "")</f>
        <v/>
      </c>
      <c r="U2440" s="9" t="s">
        <v>13284</v>
      </c>
      <c r="V2440" s="9" t="s">
        <v>13284</v>
      </c>
      <c r="W2440" s="12"/>
      <c r="X2440" s="9" t="str">
        <f t="array" ref="X2440">IFERROR(INDEX('Адреса общежитий (скрытый)'!$B$2:$B$9, MATCH(W2440, 'Адреса общежитий (скрытый)'!$A$2:$A$9, 0)), "")</f>
        <v/>
      </c>
      <c r="Y2440" s="18"/>
      <c r="Z2440" s="18"/>
      <c r="AA2440" s="18"/>
      <c r="AB2440" s="18"/>
      <c r="AC2440" s="18"/>
    </row>
    <row r="2441" spans="1:29" ht="32.25" hidden="1" customHeight="1">
      <c r="A2441" s="17"/>
      <c r="B2441" s="9" t="s">
        <v>13284</v>
      </c>
      <c r="C2441" s="9" t="s">
        <v>13284</v>
      </c>
      <c r="D2441" s="9" t="s">
        <v>13284</v>
      </c>
      <c r="E2441" s="9" t="s">
        <v>13284</v>
      </c>
      <c r="F2441" s="9" t="s">
        <v>13284</v>
      </c>
      <c r="G2441" s="9" t="s">
        <v>13284</v>
      </c>
      <c r="H2441" s="9" t="s">
        <v>13284</v>
      </c>
      <c r="I2441" s="9" t="s">
        <v>13284</v>
      </c>
      <c r="J2441" s="9" t="s">
        <v>13284</v>
      </c>
      <c r="K2441" s="9" t="s">
        <v>13284</v>
      </c>
      <c r="L2441" s="9" t="s">
        <v>13284</v>
      </c>
      <c r="M2441" s="9" t="s">
        <v>13284</v>
      </c>
      <c r="N2441" s="9" t="s">
        <v>13284</v>
      </c>
      <c r="O2441" s="9" t="s">
        <v>13284</v>
      </c>
      <c r="P2441" s="9" t="s">
        <v>13284</v>
      </c>
      <c r="Q2441" s="9" t="s">
        <v>13284</v>
      </c>
      <c r="R2441" s="9" t="s">
        <v>13284</v>
      </c>
      <c r="S2441" s="9" t="s">
        <v>13284</v>
      </c>
      <c r="T2441" s="9" t="str">
        <f ca="1">IFERROR(IF(AND(VLOOKUP(A2441, 'Актуальное состояние (из общего'!A:C,3,0) = "", A2441 &lt;&gt; ""), "ПРОВЕРИТЬ", VLOOKUP(A2441, 'Актуальное состояние (из общего'!A:C,3,0)), "")</f>
        <v/>
      </c>
      <c r="U2441" s="9" t="s">
        <v>13284</v>
      </c>
      <c r="V2441" s="9" t="s">
        <v>13284</v>
      </c>
      <c r="W2441" s="12"/>
      <c r="X2441" s="9" t="str">
        <f t="array" ref="X2441">IFERROR(INDEX('Адреса общежитий (скрытый)'!$B$2:$B$9, MATCH(W2441, 'Адреса общежитий (скрытый)'!$A$2:$A$9, 0)), "")</f>
        <v/>
      </c>
      <c r="Y2441" s="18"/>
      <c r="Z2441" s="18"/>
      <c r="AA2441" s="18"/>
      <c r="AB2441" s="18"/>
      <c r="AC2441" s="18"/>
    </row>
    <row r="2442" spans="1:29" ht="32.25" hidden="1" customHeight="1">
      <c r="A2442" s="17"/>
      <c r="B2442" s="9" t="s">
        <v>13284</v>
      </c>
      <c r="C2442" s="9" t="s">
        <v>13284</v>
      </c>
      <c r="D2442" s="9" t="s">
        <v>13284</v>
      </c>
      <c r="E2442" s="9" t="s">
        <v>13284</v>
      </c>
      <c r="F2442" s="9" t="s">
        <v>13284</v>
      </c>
      <c r="G2442" s="9" t="s">
        <v>13284</v>
      </c>
      <c r="H2442" s="9" t="s">
        <v>13284</v>
      </c>
      <c r="I2442" s="9" t="s">
        <v>13284</v>
      </c>
      <c r="J2442" s="9" t="s">
        <v>13284</v>
      </c>
      <c r="K2442" s="9" t="s">
        <v>13284</v>
      </c>
      <c r="L2442" s="9" t="s">
        <v>13284</v>
      </c>
      <c r="M2442" s="9" t="s">
        <v>13284</v>
      </c>
      <c r="N2442" s="9" t="s">
        <v>13284</v>
      </c>
      <c r="O2442" s="9" t="s">
        <v>13284</v>
      </c>
      <c r="P2442" s="9" t="s">
        <v>13284</v>
      </c>
      <c r="Q2442" s="9" t="s">
        <v>13284</v>
      </c>
      <c r="R2442" s="9" t="s">
        <v>13284</v>
      </c>
      <c r="S2442" s="9" t="s">
        <v>13284</v>
      </c>
      <c r="T2442" s="9" t="str">
        <f ca="1">IFERROR(IF(AND(VLOOKUP(A2442, 'Актуальное состояние (из общего'!A:C,3,0) = "", A2442 &lt;&gt; ""), "ПРОВЕРИТЬ", VLOOKUP(A2442, 'Актуальное состояние (из общего'!A:C,3,0)), "")</f>
        <v/>
      </c>
      <c r="U2442" s="9" t="s">
        <v>13284</v>
      </c>
      <c r="V2442" s="9" t="s">
        <v>13284</v>
      </c>
      <c r="W2442" s="12"/>
      <c r="X2442" s="9" t="str">
        <f t="array" ref="X2442">IFERROR(INDEX('Адреса общежитий (скрытый)'!$B$2:$B$9, MATCH(W2442, 'Адреса общежитий (скрытый)'!$A$2:$A$9, 0)), "")</f>
        <v/>
      </c>
      <c r="Y2442" s="18"/>
      <c r="Z2442" s="18"/>
      <c r="AA2442" s="18"/>
      <c r="AB2442" s="18"/>
      <c r="AC2442" s="18"/>
    </row>
    <row r="2443" spans="1:29" ht="32.25" hidden="1" customHeight="1">
      <c r="A2443" s="17"/>
      <c r="B2443" s="9" t="s">
        <v>13284</v>
      </c>
      <c r="C2443" s="9" t="s">
        <v>13284</v>
      </c>
      <c r="D2443" s="9" t="s">
        <v>13284</v>
      </c>
      <c r="E2443" s="9" t="s">
        <v>13284</v>
      </c>
      <c r="F2443" s="9" t="s">
        <v>13284</v>
      </c>
      <c r="G2443" s="9" t="s">
        <v>13284</v>
      </c>
      <c r="H2443" s="9" t="s">
        <v>13284</v>
      </c>
      <c r="I2443" s="9" t="s">
        <v>13284</v>
      </c>
      <c r="J2443" s="9" t="s">
        <v>13284</v>
      </c>
      <c r="K2443" s="9" t="s">
        <v>13284</v>
      </c>
      <c r="L2443" s="9" t="s">
        <v>13284</v>
      </c>
      <c r="M2443" s="9" t="s">
        <v>13284</v>
      </c>
      <c r="N2443" s="9" t="s">
        <v>13284</v>
      </c>
      <c r="O2443" s="9" t="s">
        <v>13284</v>
      </c>
      <c r="P2443" s="9" t="s">
        <v>13284</v>
      </c>
      <c r="Q2443" s="9" t="s">
        <v>13284</v>
      </c>
      <c r="R2443" s="9" t="s">
        <v>13284</v>
      </c>
      <c r="S2443" s="9" t="s">
        <v>13284</v>
      </c>
      <c r="T2443" s="9" t="str">
        <f ca="1">IFERROR(IF(AND(VLOOKUP(A2443, 'Актуальное состояние (из общего'!A:C,3,0) = "", A2443 &lt;&gt; ""), "ПРОВЕРИТЬ", VLOOKUP(A2443, 'Актуальное состояние (из общего'!A:C,3,0)), "")</f>
        <v/>
      </c>
      <c r="U2443" s="9" t="s">
        <v>13284</v>
      </c>
      <c r="V2443" s="9" t="s">
        <v>13284</v>
      </c>
      <c r="W2443" s="12"/>
      <c r="X2443" s="9" t="str">
        <f t="array" ref="X2443">IFERROR(INDEX('Адреса общежитий (скрытый)'!$B$2:$B$9, MATCH(W2443, 'Адреса общежитий (скрытый)'!$A$2:$A$9, 0)), "")</f>
        <v/>
      </c>
      <c r="Y2443" s="18"/>
      <c r="Z2443" s="18"/>
      <c r="AA2443" s="18"/>
      <c r="AB2443" s="18"/>
      <c r="AC2443" s="18"/>
    </row>
    <row r="2444" spans="1:29" ht="32.25" hidden="1" customHeight="1">
      <c r="A2444" s="17"/>
      <c r="B2444" s="9" t="s">
        <v>13284</v>
      </c>
      <c r="C2444" s="9" t="s">
        <v>13284</v>
      </c>
      <c r="D2444" s="9" t="s">
        <v>13284</v>
      </c>
      <c r="E2444" s="9" t="s">
        <v>13284</v>
      </c>
      <c r="F2444" s="9" t="s">
        <v>13284</v>
      </c>
      <c r="G2444" s="9" t="s">
        <v>13284</v>
      </c>
      <c r="H2444" s="9" t="s">
        <v>13284</v>
      </c>
      <c r="I2444" s="9" t="s">
        <v>13284</v>
      </c>
      <c r="J2444" s="9" t="s">
        <v>13284</v>
      </c>
      <c r="K2444" s="9" t="s">
        <v>13284</v>
      </c>
      <c r="L2444" s="9" t="s">
        <v>13284</v>
      </c>
      <c r="M2444" s="9" t="s">
        <v>13284</v>
      </c>
      <c r="N2444" s="9" t="s">
        <v>13284</v>
      </c>
      <c r="O2444" s="9" t="s">
        <v>13284</v>
      </c>
      <c r="P2444" s="9" t="s">
        <v>13284</v>
      </c>
      <c r="Q2444" s="9" t="s">
        <v>13284</v>
      </c>
      <c r="R2444" s="9" t="s">
        <v>13284</v>
      </c>
      <c r="S2444" s="9" t="s">
        <v>13284</v>
      </c>
      <c r="T2444" s="9" t="str">
        <f ca="1">IFERROR(IF(AND(VLOOKUP(A2444, 'Актуальное состояние (из общего'!A:C,3,0) = "", A2444 &lt;&gt; ""), "ПРОВЕРИТЬ", VLOOKUP(A2444, 'Актуальное состояние (из общего'!A:C,3,0)), "")</f>
        <v/>
      </c>
      <c r="U2444" s="9" t="s">
        <v>13284</v>
      </c>
      <c r="V2444" s="9" t="s">
        <v>13284</v>
      </c>
      <c r="W2444" s="12"/>
      <c r="X2444" s="9" t="str">
        <f t="array" ref="X2444">IFERROR(INDEX('Адреса общежитий (скрытый)'!$B$2:$B$9, MATCH(W2444, 'Адреса общежитий (скрытый)'!$A$2:$A$9, 0)), "")</f>
        <v/>
      </c>
      <c r="Y2444" s="18"/>
      <c r="Z2444" s="18"/>
      <c r="AA2444" s="18"/>
      <c r="AB2444" s="18"/>
      <c r="AC2444" s="18"/>
    </row>
    <row r="2445" spans="1:29" ht="32.25" hidden="1" customHeight="1">
      <c r="A2445" s="17"/>
      <c r="B2445" s="9" t="s">
        <v>13284</v>
      </c>
      <c r="C2445" s="9" t="s">
        <v>13284</v>
      </c>
      <c r="D2445" s="9" t="s">
        <v>13284</v>
      </c>
      <c r="E2445" s="9" t="s">
        <v>13284</v>
      </c>
      <c r="F2445" s="9" t="s">
        <v>13284</v>
      </c>
      <c r="G2445" s="9" t="s">
        <v>13284</v>
      </c>
      <c r="H2445" s="9" t="s">
        <v>13284</v>
      </c>
      <c r="I2445" s="9" t="s">
        <v>13284</v>
      </c>
      <c r="J2445" s="9" t="s">
        <v>13284</v>
      </c>
      <c r="K2445" s="9" t="s">
        <v>13284</v>
      </c>
      <c r="L2445" s="9" t="s">
        <v>13284</v>
      </c>
      <c r="M2445" s="9" t="s">
        <v>13284</v>
      </c>
      <c r="N2445" s="9" t="s">
        <v>13284</v>
      </c>
      <c r="O2445" s="9" t="s">
        <v>13284</v>
      </c>
      <c r="P2445" s="9" t="s">
        <v>13284</v>
      </c>
      <c r="Q2445" s="9" t="s">
        <v>13284</v>
      </c>
      <c r="R2445" s="9" t="s">
        <v>13284</v>
      </c>
      <c r="S2445" s="9" t="s">
        <v>13284</v>
      </c>
      <c r="T2445" s="9" t="str">
        <f ca="1">IFERROR(IF(AND(VLOOKUP(A2445, 'Актуальное состояние (из общего'!A:C,3,0) = "", A2445 &lt;&gt; ""), "ПРОВЕРИТЬ", VLOOKUP(A2445, 'Актуальное состояние (из общего'!A:C,3,0)), "")</f>
        <v/>
      </c>
      <c r="U2445" s="9" t="s">
        <v>13284</v>
      </c>
      <c r="V2445" s="9" t="s">
        <v>13284</v>
      </c>
      <c r="W2445" s="12"/>
      <c r="X2445" s="9" t="str">
        <f t="array" ref="X2445">IFERROR(INDEX('Адреса общежитий (скрытый)'!$B$2:$B$9, MATCH(W2445, 'Адреса общежитий (скрытый)'!$A$2:$A$9, 0)), "")</f>
        <v/>
      </c>
      <c r="Y2445" s="18"/>
      <c r="Z2445" s="18"/>
      <c r="AA2445" s="18"/>
      <c r="AB2445" s="18"/>
      <c r="AC2445" s="18"/>
    </row>
    <row r="2446" spans="1:29" ht="32.25" hidden="1" customHeight="1">
      <c r="A2446" s="17"/>
      <c r="B2446" s="9" t="s">
        <v>13284</v>
      </c>
      <c r="C2446" s="9" t="s">
        <v>13284</v>
      </c>
      <c r="D2446" s="9" t="s">
        <v>13284</v>
      </c>
      <c r="E2446" s="9" t="s">
        <v>13284</v>
      </c>
      <c r="F2446" s="9" t="s">
        <v>13284</v>
      </c>
      <c r="G2446" s="9" t="s">
        <v>13284</v>
      </c>
      <c r="H2446" s="9" t="s">
        <v>13284</v>
      </c>
      <c r="I2446" s="9" t="s">
        <v>13284</v>
      </c>
      <c r="J2446" s="9" t="s">
        <v>13284</v>
      </c>
      <c r="K2446" s="9" t="s">
        <v>13284</v>
      </c>
      <c r="L2446" s="9" t="s">
        <v>13284</v>
      </c>
      <c r="M2446" s="9" t="s">
        <v>13284</v>
      </c>
      <c r="N2446" s="9" t="s">
        <v>13284</v>
      </c>
      <c r="O2446" s="9" t="s">
        <v>13284</v>
      </c>
      <c r="P2446" s="9" t="s">
        <v>13284</v>
      </c>
      <c r="Q2446" s="9" t="s">
        <v>13284</v>
      </c>
      <c r="R2446" s="9" t="s">
        <v>13284</v>
      </c>
      <c r="S2446" s="9" t="s">
        <v>13284</v>
      </c>
      <c r="T2446" s="9" t="str">
        <f ca="1">IFERROR(IF(AND(VLOOKUP(A2446, 'Актуальное состояние (из общего'!A:C,3,0) = "", A2446 &lt;&gt; ""), "ПРОВЕРИТЬ", VLOOKUP(A2446, 'Актуальное состояние (из общего'!A:C,3,0)), "")</f>
        <v/>
      </c>
      <c r="U2446" s="9" t="s">
        <v>13284</v>
      </c>
      <c r="V2446" s="9" t="s">
        <v>13284</v>
      </c>
      <c r="W2446" s="12"/>
      <c r="X2446" s="9" t="str">
        <f t="array" ref="X2446">IFERROR(INDEX('Адреса общежитий (скрытый)'!$B$2:$B$9, MATCH(W2446, 'Адреса общежитий (скрытый)'!$A$2:$A$9, 0)), "")</f>
        <v/>
      </c>
      <c r="Y2446" s="18"/>
      <c r="Z2446" s="18"/>
      <c r="AA2446" s="18"/>
      <c r="AB2446" s="18"/>
      <c r="AC2446" s="18"/>
    </row>
    <row r="2447" spans="1:29" ht="32.25" hidden="1" customHeight="1">
      <c r="A2447" s="17"/>
      <c r="B2447" s="9" t="s">
        <v>13284</v>
      </c>
      <c r="C2447" s="9" t="s">
        <v>13284</v>
      </c>
      <c r="D2447" s="9" t="s">
        <v>13284</v>
      </c>
      <c r="E2447" s="9" t="s">
        <v>13284</v>
      </c>
      <c r="F2447" s="9" t="s">
        <v>13284</v>
      </c>
      <c r="G2447" s="9" t="s">
        <v>13284</v>
      </c>
      <c r="H2447" s="9" t="s">
        <v>13284</v>
      </c>
      <c r="I2447" s="9" t="s">
        <v>13284</v>
      </c>
      <c r="J2447" s="9" t="s">
        <v>13284</v>
      </c>
      <c r="K2447" s="9" t="s">
        <v>13284</v>
      </c>
      <c r="L2447" s="9" t="s">
        <v>13284</v>
      </c>
      <c r="M2447" s="9" t="s">
        <v>13284</v>
      </c>
      <c r="N2447" s="9" t="s">
        <v>13284</v>
      </c>
      <c r="O2447" s="9" t="s">
        <v>13284</v>
      </c>
      <c r="P2447" s="9" t="s">
        <v>13284</v>
      </c>
      <c r="Q2447" s="9" t="s">
        <v>13284</v>
      </c>
      <c r="R2447" s="9" t="s">
        <v>13284</v>
      </c>
      <c r="S2447" s="9" t="s">
        <v>13284</v>
      </c>
      <c r="T2447" s="9" t="str">
        <f ca="1">IFERROR(IF(AND(VLOOKUP(A2447, 'Актуальное состояние (из общего'!A:C,3,0) = "", A2447 &lt;&gt; ""), "ПРОВЕРИТЬ", VLOOKUP(A2447, 'Актуальное состояние (из общего'!A:C,3,0)), "")</f>
        <v/>
      </c>
      <c r="U2447" s="9" t="s">
        <v>13284</v>
      </c>
      <c r="V2447" s="9" t="s">
        <v>13284</v>
      </c>
      <c r="W2447" s="12"/>
      <c r="X2447" s="9" t="str">
        <f t="array" ref="X2447">IFERROR(INDEX('Адреса общежитий (скрытый)'!$B$2:$B$9, MATCH(W2447, 'Адреса общежитий (скрытый)'!$A$2:$A$9, 0)), "")</f>
        <v/>
      </c>
      <c r="Y2447" s="18"/>
      <c r="Z2447" s="18"/>
      <c r="AA2447" s="18"/>
      <c r="AB2447" s="18"/>
      <c r="AC2447" s="18"/>
    </row>
    <row r="2448" spans="1:29" ht="32.25" hidden="1" customHeight="1">
      <c r="A2448" s="17"/>
      <c r="B2448" s="9" t="s">
        <v>13284</v>
      </c>
      <c r="C2448" s="9" t="s">
        <v>13284</v>
      </c>
      <c r="D2448" s="9" t="s">
        <v>13284</v>
      </c>
      <c r="E2448" s="9" t="s">
        <v>13284</v>
      </c>
      <c r="F2448" s="9" t="s">
        <v>13284</v>
      </c>
      <c r="G2448" s="9" t="s">
        <v>13284</v>
      </c>
      <c r="H2448" s="9" t="s">
        <v>13284</v>
      </c>
      <c r="I2448" s="9" t="s">
        <v>13284</v>
      </c>
      <c r="J2448" s="9" t="s">
        <v>13284</v>
      </c>
      <c r="K2448" s="9" t="s">
        <v>13284</v>
      </c>
      <c r="L2448" s="9" t="s">
        <v>13284</v>
      </c>
      <c r="M2448" s="9" t="s">
        <v>13284</v>
      </c>
      <c r="N2448" s="9" t="s">
        <v>13284</v>
      </c>
      <c r="O2448" s="9" t="s">
        <v>13284</v>
      </c>
      <c r="P2448" s="9" t="s">
        <v>13284</v>
      </c>
      <c r="Q2448" s="9" t="s">
        <v>13284</v>
      </c>
      <c r="R2448" s="9" t="s">
        <v>13284</v>
      </c>
      <c r="S2448" s="9" t="s">
        <v>13284</v>
      </c>
      <c r="T2448" s="9" t="str">
        <f ca="1">IFERROR(IF(AND(VLOOKUP(A2448, 'Актуальное состояние (из общего'!A:C,3,0) = "", A2448 &lt;&gt; ""), "ПРОВЕРИТЬ", VLOOKUP(A2448, 'Актуальное состояние (из общего'!A:C,3,0)), "")</f>
        <v/>
      </c>
      <c r="U2448" s="9" t="s">
        <v>13284</v>
      </c>
      <c r="V2448" s="9" t="s">
        <v>13284</v>
      </c>
      <c r="W2448" s="12"/>
      <c r="X2448" s="9" t="str">
        <f t="array" ref="X2448">IFERROR(INDEX('Адреса общежитий (скрытый)'!$B$2:$B$9, MATCH(W2448, 'Адреса общежитий (скрытый)'!$A$2:$A$9, 0)), "")</f>
        <v/>
      </c>
      <c r="Y2448" s="18"/>
      <c r="Z2448" s="18"/>
      <c r="AA2448" s="18"/>
      <c r="AB2448" s="18"/>
      <c r="AC2448" s="18"/>
    </row>
    <row r="2449" spans="1:29" ht="32.25" hidden="1" customHeight="1">
      <c r="A2449" s="17"/>
      <c r="B2449" s="9" t="s">
        <v>13284</v>
      </c>
      <c r="C2449" s="9" t="s">
        <v>13284</v>
      </c>
      <c r="D2449" s="9" t="s">
        <v>13284</v>
      </c>
      <c r="E2449" s="9" t="s">
        <v>13284</v>
      </c>
      <c r="F2449" s="9" t="s">
        <v>13284</v>
      </c>
      <c r="G2449" s="9" t="s">
        <v>13284</v>
      </c>
      <c r="H2449" s="9" t="s">
        <v>13284</v>
      </c>
      <c r="I2449" s="9" t="s">
        <v>13284</v>
      </c>
      <c r="J2449" s="9" t="s">
        <v>13284</v>
      </c>
      <c r="K2449" s="9" t="s">
        <v>13284</v>
      </c>
      <c r="L2449" s="9" t="s">
        <v>13284</v>
      </c>
      <c r="M2449" s="9" t="s">
        <v>13284</v>
      </c>
      <c r="N2449" s="9" t="s">
        <v>13284</v>
      </c>
      <c r="O2449" s="9" t="s">
        <v>13284</v>
      </c>
      <c r="P2449" s="9" t="s">
        <v>13284</v>
      </c>
      <c r="Q2449" s="9" t="s">
        <v>13284</v>
      </c>
      <c r="R2449" s="9" t="s">
        <v>13284</v>
      </c>
      <c r="S2449" s="9" t="s">
        <v>13284</v>
      </c>
      <c r="T2449" s="9" t="str">
        <f ca="1">IFERROR(IF(AND(VLOOKUP(A2449, 'Актуальное состояние (из общего'!A:C,3,0) = "", A2449 &lt;&gt; ""), "ПРОВЕРИТЬ", VLOOKUP(A2449, 'Актуальное состояние (из общего'!A:C,3,0)), "")</f>
        <v/>
      </c>
      <c r="U2449" s="9" t="s">
        <v>13284</v>
      </c>
      <c r="V2449" s="9" t="s">
        <v>13284</v>
      </c>
      <c r="W2449" s="12"/>
      <c r="X2449" s="9" t="str">
        <f t="array" ref="X2449">IFERROR(INDEX('Адреса общежитий (скрытый)'!$B$2:$B$9, MATCH(W2449, 'Адреса общежитий (скрытый)'!$A$2:$A$9, 0)), "")</f>
        <v/>
      </c>
      <c r="Y2449" s="18"/>
      <c r="Z2449" s="18"/>
      <c r="AA2449" s="18"/>
      <c r="AB2449" s="18"/>
      <c r="AC2449" s="18"/>
    </row>
    <row r="2450" spans="1:29" ht="32.25" hidden="1" customHeight="1">
      <c r="A2450" s="17"/>
      <c r="B2450" s="9" t="s">
        <v>13284</v>
      </c>
      <c r="C2450" s="9" t="s">
        <v>13284</v>
      </c>
      <c r="D2450" s="9" t="s">
        <v>13284</v>
      </c>
      <c r="E2450" s="9" t="s">
        <v>13284</v>
      </c>
      <c r="F2450" s="9" t="s">
        <v>13284</v>
      </c>
      <c r="G2450" s="9" t="s">
        <v>13284</v>
      </c>
      <c r="H2450" s="9" t="s">
        <v>13284</v>
      </c>
      <c r="I2450" s="9" t="s">
        <v>13284</v>
      </c>
      <c r="J2450" s="9" t="s">
        <v>13284</v>
      </c>
      <c r="K2450" s="9" t="s">
        <v>13284</v>
      </c>
      <c r="L2450" s="9" t="s">
        <v>13284</v>
      </c>
      <c r="M2450" s="9" t="s">
        <v>13284</v>
      </c>
      <c r="N2450" s="9" t="s">
        <v>13284</v>
      </c>
      <c r="O2450" s="9" t="s">
        <v>13284</v>
      </c>
      <c r="P2450" s="9" t="s">
        <v>13284</v>
      </c>
      <c r="Q2450" s="9" t="s">
        <v>13284</v>
      </c>
      <c r="R2450" s="9" t="s">
        <v>13284</v>
      </c>
      <c r="S2450" s="9" t="s">
        <v>13284</v>
      </c>
      <c r="T2450" s="9" t="str">
        <f ca="1">IFERROR(IF(AND(VLOOKUP(A2450, 'Актуальное состояние (из общего'!A:C,3,0) = "", A2450 &lt;&gt; ""), "ПРОВЕРИТЬ", VLOOKUP(A2450, 'Актуальное состояние (из общего'!A:C,3,0)), "")</f>
        <v/>
      </c>
      <c r="U2450" s="9" t="s">
        <v>13284</v>
      </c>
      <c r="V2450" s="9" t="s">
        <v>13284</v>
      </c>
      <c r="W2450" s="12"/>
      <c r="X2450" s="9" t="str">
        <f t="array" ref="X2450">IFERROR(INDEX('Адреса общежитий (скрытый)'!$B$2:$B$9, MATCH(W2450, 'Адреса общежитий (скрытый)'!$A$2:$A$9, 0)), "")</f>
        <v/>
      </c>
      <c r="Y2450" s="18"/>
      <c r="Z2450" s="18"/>
      <c r="AA2450" s="18"/>
      <c r="AB2450" s="18"/>
      <c r="AC2450" s="18"/>
    </row>
    <row r="2451" spans="1:29" ht="32.25" hidden="1" customHeight="1">
      <c r="A2451" s="17"/>
      <c r="B2451" s="9" t="s">
        <v>13284</v>
      </c>
      <c r="C2451" s="9" t="s">
        <v>13284</v>
      </c>
      <c r="D2451" s="9" t="s">
        <v>13284</v>
      </c>
      <c r="E2451" s="9" t="s">
        <v>13284</v>
      </c>
      <c r="F2451" s="9" t="s">
        <v>13284</v>
      </c>
      <c r="G2451" s="9" t="s">
        <v>13284</v>
      </c>
      <c r="H2451" s="9" t="s">
        <v>13284</v>
      </c>
      <c r="I2451" s="9" t="s">
        <v>13284</v>
      </c>
      <c r="J2451" s="9" t="s">
        <v>13284</v>
      </c>
      <c r="K2451" s="9" t="s">
        <v>13284</v>
      </c>
      <c r="L2451" s="9" t="s">
        <v>13284</v>
      </c>
      <c r="M2451" s="9" t="s">
        <v>13284</v>
      </c>
      <c r="N2451" s="9" t="s">
        <v>13284</v>
      </c>
      <c r="O2451" s="9" t="s">
        <v>13284</v>
      </c>
      <c r="P2451" s="9" t="s">
        <v>13284</v>
      </c>
      <c r="Q2451" s="9" t="s">
        <v>13284</v>
      </c>
      <c r="R2451" s="9" t="s">
        <v>13284</v>
      </c>
      <c r="S2451" s="9" t="s">
        <v>13284</v>
      </c>
      <c r="T2451" s="9" t="str">
        <f ca="1">IFERROR(IF(AND(VLOOKUP(A2451, 'Актуальное состояние (из общего'!A:C,3,0) = "", A2451 &lt;&gt; ""), "ПРОВЕРИТЬ", VLOOKUP(A2451, 'Актуальное состояние (из общего'!A:C,3,0)), "")</f>
        <v/>
      </c>
      <c r="U2451" s="9" t="s">
        <v>13284</v>
      </c>
      <c r="V2451" s="9" t="s">
        <v>13284</v>
      </c>
      <c r="W2451" s="12"/>
      <c r="X2451" s="9" t="str">
        <f t="array" ref="X2451">IFERROR(INDEX('Адреса общежитий (скрытый)'!$B$2:$B$9, MATCH(W2451, 'Адреса общежитий (скрытый)'!$A$2:$A$9, 0)), "")</f>
        <v/>
      </c>
      <c r="Y2451" s="18"/>
      <c r="Z2451" s="18"/>
      <c r="AA2451" s="18"/>
      <c r="AB2451" s="18"/>
      <c r="AC2451" s="18"/>
    </row>
    <row r="2452" spans="1:29" ht="32.25" hidden="1" customHeight="1">
      <c r="A2452" s="17"/>
      <c r="B2452" s="9" t="s">
        <v>13284</v>
      </c>
      <c r="C2452" s="9" t="s">
        <v>13284</v>
      </c>
      <c r="D2452" s="9" t="s">
        <v>13284</v>
      </c>
      <c r="E2452" s="9" t="s">
        <v>13284</v>
      </c>
      <c r="F2452" s="9" t="s">
        <v>13284</v>
      </c>
      <c r="G2452" s="9" t="s">
        <v>13284</v>
      </c>
      <c r="H2452" s="9" t="s">
        <v>13284</v>
      </c>
      <c r="I2452" s="9" t="s">
        <v>13284</v>
      </c>
      <c r="J2452" s="9" t="s">
        <v>13284</v>
      </c>
      <c r="K2452" s="9" t="s">
        <v>13284</v>
      </c>
      <c r="L2452" s="9" t="s">
        <v>13284</v>
      </c>
      <c r="M2452" s="9" t="s">
        <v>13284</v>
      </c>
      <c r="N2452" s="9" t="s">
        <v>13284</v>
      </c>
      <c r="O2452" s="9" t="s">
        <v>13284</v>
      </c>
      <c r="P2452" s="9" t="s">
        <v>13284</v>
      </c>
      <c r="Q2452" s="9" t="s">
        <v>13284</v>
      </c>
      <c r="R2452" s="9" t="s">
        <v>13284</v>
      </c>
      <c r="S2452" s="9" t="s">
        <v>13284</v>
      </c>
      <c r="T2452" s="9" t="str">
        <f ca="1">IFERROR(IF(AND(VLOOKUP(A2452, 'Актуальное состояние (из общего'!A:C,3,0) = "", A2452 &lt;&gt; ""), "ПРОВЕРИТЬ", VLOOKUP(A2452, 'Актуальное состояние (из общего'!A:C,3,0)), "")</f>
        <v/>
      </c>
      <c r="U2452" s="9" t="s">
        <v>13284</v>
      </c>
      <c r="V2452" s="9" t="s">
        <v>13284</v>
      </c>
      <c r="W2452" s="12"/>
      <c r="X2452" s="9" t="str">
        <f t="array" ref="X2452">IFERROR(INDEX('Адреса общежитий (скрытый)'!$B$2:$B$9, MATCH(W2452, 'Адреса общежитий (скрытый)'!$A$2:$A$9, 0)), "")</f>
        <v/>
      </c>
      <c r="Y2452" s="18"/>
      <c r="Z2452" s="18"/>
      <c r="AA2452" s="18"/>
      <c r="AB2452" s="18"/>
      <c r="AC2452" s="18"/>
    </row>
    <row r="2453" spans="1:29" ht="32.25" hidden="1" customHeight="1">
      <c r="A2453" s="17"/>
      <c r="B2453" s="9" t="s">
        <v>13284</v>
      </c>
      <c r="C2453" s="9" t="s">
        <v>13284</v>
      </c>
      <c r="D2453" s="9" t="s">
        <v>13284</v>
      </c>
      <c r="E2453" s="9" t="s">
        <v>13284</v>
      </c>
      <c r="F2453" s="9" t="s">
        <v>13284</v>
      </c>
      <c r="G2453" s="9" t="s">
        <v>13284</v>
      </c>
      <c r="H2453" s="9" t="s">
        <v>13284</v>
      </c>
      <c r="I2453" s="9" t="s">
        <v>13284</v>
      </c>
      <c r="J2453" s="9" t="s">
        <v>13284</v>
      </c>
      <c r="K2453" s="9" t="s">
        <v>13284</v>
      </c>
      <c r="L2453" s="9" t="s">
        <v>13284</v>
      </c>
      <c r="M2453" s="9" t="s">
        <v>13284</v>
      </c>
      <c r="N2453" s="9" t="s">
        <v>13284</v>
      </c>
      <c r="O2453" s="9" t="s">
        <v>13284</v>
      </c>
      <c r="P2453" s="9" t="s">
        <v>13284</v>
      </c>
      <c r="Q2453" s="9" t="s">
        <v>13284</v>
      </c>
      <c r="R2453" s="9" t="s">
        <v>13284</v>
      </c>
      <c r="S2453" s="9" t="s">
        <v>13284</v>
      </c>
      <c r="T2453" s="9" t="str">
        <f ca="1">IFERROR(IF(AND(VLOOKUP(A2453, 'Актуальное состояние (из общего'!A:C,3,0) = "", A2453 &lt;&gt; ""), "ПРОВЕРИТЬ", VLOOKUP(A2453, 'Актуальное состояние (из общего'!A:C,3,0)), "")</f>
        <v/>
      </c>
      <c r="U2453" s="9" t="s">
        <v>13284</v>
      </c>
      <c r="V2453" s="9" t="s">
        <v>13284</v>
      </c>
      <c r="W2453" s="12"/>
      <c r="X2453" s="9" t="str">
        <f t="array" ref="X2453">IFERROR(INDEX('Адреса общежитий (скрытый)'!$B$2:$B$9, MATCH(W2453, 'Адреса общежитий (скрытый)'!$A$2:$A$9, 0)), "")</f>
        <v/>
      </c>
      <c r="Y2453" s="18"/>
      <c r="Z2453" s="18"/>
      <c r="AA2453" s="18"/>
      <c r="AB2453" s="18"/>
      <c r="AC2453" s="18"/>
    </row>
    <row r="2454" spans="1:29" ht="32.25" hidden="1" customHeight="1">
      <c r="A2454" s="17"/>
      <c r="B2454" s="9" t="s">
        <v>13284</v>
      </c>
      <c r="C2454" s="9" t="s">
        <v>13284</v>
      </c>
      <c r="D2454" s="9" t="s">
        <v>13284</v>
      </c>
      <c r="E2454" s="9" t="s">
        <v>13284</v>
      </c>
      <c r="F2454" s="9" t="s">
        <v>13284</v>
      </c>
      <c r="G2454" s="9" t="s">
        <v>13284</v>
      </c>
      <c r="H2454" s="9" t="s">
        <v>13284</v>
      </c>
      <c r="I2454" s="9" t="s">
        <v>13284</v>
      </c>
      <c r="J2454" s="9" t="s">
        <v>13284</v>
      </c>
      <c r="K2454" s="9" t="s">
        <v>13284</v>
      </c>
      <c r="L2454" s="9" t="s">
        <v>13284</v>
      </c>
      <c r="M2454" s="9" t="s">
        <v>13284</v>
      </c>
      <c r="N2454" s="9" t="s">
        <v>13284</v>
      </c>
      <c r="O2454" s="9" t="s">
        <v>13284</v>
      </c>
      <c r="P2454" s="9" t="s">
        <v>13284</v>
      </c>
      <c r="Q2454" s="9" t="s">
        <v>13284</v>
      </c>
      <c r="R2454" s="9" t="s">
        <v>13284</v>
      </c>
      <c r="S2454" s="9" t="s">
        <v>13284</v>
      </c>
      <c r="T2454" s="9" t="str">
        <f ca="1">IFERROR(IF(AND(VLOOKUP(A2454, 'Актуальное состояние (из общего'!A:C,3,0) = "", A2454 &lt;&gt; ""), "ПРОВЕРИТЬ", VLOOKUP(A2454, 'Актуальное состояние (из общего'!A:C,3,0)), "")</f>
        <v/>
      </c>
      <c r="U2454" s="9" t="s">
        <v>13284</v>
      </c>
      <c r="V2454" s="9" t="s">
        <v>13284</v>
      </c>
      <c r="W2454" s="12"/>
      <c r="X2454" s="9" t="str">
        <f t="array" ref="X2454">IFERROR(INDEX('Адреса общежитий (скрытый)'!$B$2:$B$9, MATCH(W2454, 'Адреса общежитий (скрытый)'!$A$2:$A$9, 0)), "")</f>
        <v/>
      </c>
      <c r="Y2454" s="18"/>
      <c r="Z2454" s="18"/>
      <c r="AA2454" s="18"/>
      <c r="AB2454" s="18"/>
      <c r="AC2454" s="18"/>
    </row>
    <row r="2455" spans="1:29" ht="32.25" hidden="1" customHeight="1">
      <c r="A2455" s="17"/>
      <c r="B2455" s="9" t="s">
        <v>13284</v>
      </c>
      <c r="C2455" s="9" t="s">
        <v>13284</v>
      </c>
      <c r="D2455" s="9" t="s">
        <v>13284</v>
      </c>
      <c r="E2455" s="9" t="s">
        <v>13284</v>
      </c>
      <c r="F2455" s="9" t="s">
        <v>13284</v>
      </c>
      <c r="G2455" s="9" t="s">
        <v>13284</v>
      </c>
      <c r="H2455" s="9" t="s">
        <v>13284</v>
      </c>
      <c r="I2455" s="9" t="s">
        <v>13284</v>
      </c>
      <c r="J2455" s="9" t="s">
        <v>13284</v>
      </c>
      <c r="K2455" s="9" t="s">
        <v>13284</v>
      </c>
      <c r="L2455" s="9" t="s">
        <v>13284</v>
      </c>
      <c r="M2455" s="9" t="s">
        <v>13284</v>
      </c>
      <c r="N2455" s="9" t="s">
        <v>13284</v>
      </c>
      <c r="O2455" s="9" t="s">
        <v>13284</v>
      </c>
      <c r="P2455" s="9" t="s">
        <v>13284</v>
      </c>
      <c r="Q2455" s="9" t="s">
        <v>13284</v>
      </c>
      <c r="R2455" s="9" t="s">
        <v>13284</v>
      </c>
      <c r="S2455" s="9" t="s">
        <v>13284</v>
      </c>
      <c r="T2455" s="9" t="str">
        <f ca="1">IFERROR(IF(AND(VLOOKUP(A2455, 'Актуальное состояние (из общего'!A:C,3,0) = "", A2455 &lt;&gt; ""), "ПРОВЕРИТЬ", VLOOKUP(A2455, 'Актуальное состояние (из общего'!A:C,3,0)), "")</f>
        <v/>
      </c>
      <c r="U2455" s="9" t="s">
        <v>13284</v>
      </c>
      <c r="V2455" s="9" t="s">
        <v>13284</v>
      </c>
      <c r="W2455" s="12"/>
      <c r="X2455" s="9" t="str">
        <f t="array" ref="X2455">IFERROR(INDEX('Адреса общежитий (скрытый)'!$B$2:$B$9, MATCH(W2455, 'Адреса общежитий (скрытый)'!$A$2:$A$9, 0)), "")</f>
        <v/>
      </c>
      <c r="Y2455" s="18"/>
      <c r="Z2455" s="18"/>
      <c r="AA2455" s="18"/>
      <c r="AB2455" s="18"/>
      <c r="AC2455" s="18"/>
    </row>
    <row r="2456" spans="1:29" ht="32.25" hidden="1" customHeight="1">
      <c r="A2456" s="17"/>
      <c r="B2456" s="9" t="s">
        <v>13284</v>
      </c>
      <c r="C2456" s="9" t="s">
        <v>13284</v>
      </c>
      <c r="D2456" s="9" t="s">
        <v>13284</v>
      </c>
      <c r="E2456" s="9" t="s">
        <v>13284</v>
      </c>
      <c r="F2456" s="9" t="s">
        <v>13284</v>
      </c>
      <c r="G2456" s="9" t="s">
        <v>13284</v>
      </c>
      <c r="H2456" s="9" t="s">
        <v>13284</v>
      </c>
      <c r="I2456" s="9" t="s">
        <v>13284</v>
      </c>
      <c r="J2456" s="9" t="s">
        <v>13284</v>
      </c>
      <c r="K2456" s="9" t="s">
        <v>13284</v>
      </c>
      <c r="L2456" s="9" t="s">
        <v>13284</v>
      </c>
      <c r="M2456" s="9" t="s">
        <v>13284</v>
      </c>
      <c r="N2456" s="9" t="s">
        <v>13284</v>
      </c>
      <c r="O2456" s="9" t="s">
        <v>13284</v>
      </c>
      <c r="P2456" s="9" t="s">
        <v>13284</v>
      </c>
      <c r="Q2456" s="9" t="s">
        <v>13284</v>
      </c>
      <c r="R2456" s="9" t="s">
        <v>13284</v>
      </c>
      <c r="S2456" s="9" t="s">
        <v>13284</v>
      </c>
      <c r="T2456" s="9" t="str">
        <f ca="1">IFERROR(IF(AND(VLOOKUP(A2456, 'Актуальное состояние (из общего'!A:C,3,0) = "", A2456 &lt;&gt; ""), "ПРОВЕРИТЬ", VLOOKUP(A2456, 'Актуальное состояние (из общего'!A:C,3,0)), "")</f>
        <v/>
      </c>
      <c r="U2456" s="9" t="s">
        <v>13284</v>
      </c>
      <c r="V2456" s="9" t="s">
        <v>13284</v>
      </c>
      <c r="W2456" s="12"/>
      <c r="X2456" s="9" t="str">
        <f t="array" ref="X2456">IFERROR(INDEX('Адреса общежитий (скрытый)'!$B$2:$B$9, MATCH(W2456, 'Адреса общежитий (скрытый)'!$A$2:$A$9, 0)), "")</f>
        <v/>
      </c>
      <c r="Y2456" s="18"/>
      <c r="Z2456" s="18"/>
      <c r="AA2456" s="18"/>
      <c r="AB2456" s="18"/>
      <c r="AC2456" s="18"/>
    </row>
    <row r="2457" spans="1:29" ht="32.25" hidden="1" customHeight="1">
      <c r="A2457" s="17"/>
      <c r="B2457" s="9" t="s">
        <v>13284</v>
      </c>
      <c r="C2457" s="9" t="s">
        <v>13284</v>
      </c>
      <c r="D2457" s="9" t="s">
        <v>13284</v>
      </c>
      <c r="E2457" s="9" t="s">
        <v>13284</v>
      </c>
      <c r="F2457" s="9" t="s">
        <v>13284</v>
      </c>
      <c r="G2457" s="9" t="s">
        <v>13284</v>
      </c>
      <c r="H2457" s="9" t="s">
        <v>13284</v>
      </c>
      <c r="I2457" s="9" t="s">
        <v>13284</v>
      </c>
      <c r="J2457" s="9" t="s">
        <v>13284</v>
      </c>
      <c r="K2457" s="9" t="s">
        <v>13284</v>
      </c>
      <c r="L2457" s="9" t="s">
        <v>13284</v>
      </c>
      <c r="M2457" s="9" t="s">
        <v>13284</v>
      </c>
      <c r="N2457" s="9" t="s">
        <v>13284</v>
      </c>
      <c r="O2457" s="9" t="s">
        <v>13284</v>
      </c>
      <c r="P2457" s="9" t="s">
        <v>13284</v>
      </c>
      <c r="Q2457" s="9" t="s">
        <v>13284</v>
      </c>
      <c r="R2457" s="9" t="s">
        <v>13284</v>
      </c>
      <c r="S2457" s="9" t="s">
        <v>13284</v>
      </c>
      <c r="T2457" s="9" t="str">
        <f ca="1">IFERROR(IF(AND(VLOOKUP(A2457, 'Актуальное состояние (из общего'!A:C,3,0) = "", A2457 &lt;&gt; ""), "ПРОВЕРИТЬ", VLOOKUP(A2457, 'Актуальное состояние (из общего'!A:C,3,0)), "")</f>
        <v/>
      </c>
      <c r="U2457" s="9" t="s">
        <v>13284</v>
      </c>
      <c r="V2457" s="9" t="s">
        <v>13284</v>
      </c>
      <c r="W2457" s="12"/>
      <c r="X2457" s="9" t="str">
        <f t="array" ref="X2457">IFERROR(INDEX('Адреса общежитий (скрытый)'!$B$2:$B$9, MATCH(W2457, 'Адреса общежитий (скрытый)'!$A$2:$A$9, 0)), "")</f>
        <v/>
      </c>
      <c r="Y2457" s="18"/>
      <c r="Z2457" s="18"/>
      <c r="AA2457" s="18"/>
      <c r="AB2457" s="18"/>
      <c r="AC2457" s="18"/>
    </row>
    <row r="2458" spans="1:29" ht="32.25" hidden="1" customHeight="1">
      <c r="A2458" s="17"/>
      <c r="B2458" s="9" t="s">
        <v>13284</v>
      </c>
      <c r="C2458" s="9" t="s">
        <v>13284</v>
      </c>
      <c r="D2458" s="9" t="s">
        <v>13284</v>
      </c>
      <c r="E2458" s="9" t="s">
        <v>13284</v>
      </c>
      <c r="F2458" s="9" t="s">
        <v>13284</v>
      </c>
      <c r="G2458" s="9" t="s">
        <v>13284</v>
      </c>
      <c r="H2458" s="9" t="s">
        <v>13284</v>
      </c>
      <c r="I2458" s="9" t="s">
        <v>13284</v>
      </c>
      <c r="J2458" s="9" t="s">
        <v>13284</v>
      </c>
      <c r="K2458" s="9" t="s">
        <v>13284</v>
      </c>
      <c r="L2458" s="9" t="s">
        <v>13284</v>
      </c>
      <c r="M2458" s="9" t="s">
        <v>13284</v>
      </c>
      <c r="N2458" s="9" t="s">
        <v>13284</v>
      </c>
      <c r="O2458" s="9" t="s">
        <v>13284</v>
      </c>
      <c r="P2458" s="9" t="s">
        <v>13284</v>
      </c>
      <c r="Q2458" s="9" t="s">
        <v>13284</v>
      </c>
      <c r="R2458" s="9" t="s">
        <v>13284</v>
      </c>
      <c r="S2458" s="9" t="s">
        <v>13284</v>
      </c>
      <c r="T2458" s="9" t="str">
        <f ca="1">IFERROR(IF(AND(VLOOKUP(A2458, 'Актуальное состояние (из общего'!A:C,3,0) = "", A2458 &lt;&gt; ""), "ПРОВЕРИТЬ", VLOOKUP(A2458, 'Актуальное состояние (из общего'!A:C,3,0)), "")</f>
        <v/>
      </c>
      <c r="U2458" s="9" t="s">
        <v>13284</v>
      </c>
      <c r="V2458" s="9" t="s">
        <v>13284</v>
      </c>
      <c r="W2458" s="12"/>
      <c r="X2458" s="9" t="str">
        <f t="array" ref="X2458">IFERROR(INDEX('Адреса общежитий (скрытый)'!$B$2:$B$9, MATCH(W2458, 'Адреса общежитий (скрытый)'!$A$2:$A$9, 0)), "")</f>
        <v/>
      </c>
      <c r="Y2458" s="18"/>
      <c r="Z2458" s="18"/>
      <c r="AA2458" s="18"/>
      <c r="AB2458" s="18"/>
      <c r="AC2458" s="18"/>
    </row>
    <row r="2459" spans="1:29" ht="32.25" hidden="1" customHeight="1">
      <c r="A2459" s="17"/>
      <c r="B2459" s="9" t="s">
        <v>13284</v>
      </c>
      <c r="C2459" s="9" t="s">
        <v>13284</v>
      </c>
      <c r="D2459" s="9" t="s">
        <v>13284</v>
      </c>
      <c r="E2459" s="9" t="s">
        <v>13284</v>
      </c>
      <c r="F2459" s="9" t="s">
        <v>13284</v>
      </c>
      <c r="G2459" s="9" t="s">
        <v>13284</v>
      </c>
      <c r="H2459" s="9" t="s">
        <v>13284</v>
      </c>
      <c r="I2459" s="9" t="s">
        <v>13284</v>
      </c>
      <c r="J2459" s="9" t="s">
        <v>13284</v>
      </c>
      <c r="K2459" s="9" t="s">
        <v>13284</v>
      </c>
      <c r="L2459" s="9" t="s">
        <v>13284</v>
      </c>
      <c r="M2459" s="9" t="s">
        <v>13284</v>
      </c>
      <c r="N2459" s="9" t="s">
        <v>13284</v>
      </c>
      <c r="O2459" s="9" t="s">
        <v>13284</v>
      </c>
      <c r="P2459" s="9" t="s">
        <v>13284</v>
      </c>
      <c r="Q2459" s="9" t="s">
        <v>13284</v>
      </c>
      <c r="R2459" s="9" t="s">
        <v>13284</v>
      </c>
      <c r="S2459" s="9" t="s">
        <v>13284</v>
      </c>
      <c r="T2459" s="9" t="str">
        <f ca="1">IFERROR(IF(AND(VLOOKUP(A2459, 'Актуальное состояние (из общего'!A:C,3,0) = "", A2459 &lt;&gt; ""), "ПРОВЕРИТЬ", VLOOKUP(A2459, 'Актуальное состояние (из общего'!A:C,3,0)), "")</f>
        <v/>
      </c>
      <c r="U2459" s="9" t="s">
        <v>13284</v>
      </c>
      <c r="V2459" s="9" t="s">
        <v>13284</v>
      </c>
      <c r="W2459" s="12"/>
      <c r="X2459" s="9" t="str">
        <f t="array" ref="X2459">IFERROR(INDEX('Адреса общежитий (скрытый)'!$B$2:$B$9, MATCH(W2459, 'Адреса общежитий (скрытый)'!$A$2:$A$9, 0)), "")</f>
        <v/>
      </c>
      <c r="Y2459" s="18"/>
      <c r="Z2459" s="18"/>
      <c r="AA2459" s="18"/>
      <c r="AB2459" s="18"/>
      <c r="AC2459" s="18"/>
    </row>
    <row r="2460" spans="1:29" ht="32.25" hidden="1" customHeight="1">
      <c r="A2460" s="17"/>
      <c r="B2460" s="9" t="s">
        <v>13284</v>
      </c>
      <c r="C2460" s="9" t="s">
        <v>13284</v>
      </c>
      <c r="D2460" s="9" t="s">
        <v>13284</v>
      </c>
      <c r="E2460" s="9" t="s">
        <v>13284</v>
      </c>
      <c r="F2460" s="9" t="s">
        <v>13284</v>
      </c>
      <c r="G2460" s="9" t="s">
        <v>13284</v>
      </c>
      <c r="H2460" s="9" t="s">
        <v>13284</v>
      </c>
      <c r="I2460" s="9" t="s">
        <v>13284</v>
      </c>
      <c r="J2460" s="9" t="s">
        <v>13284</v>
      </c>
      <c r="K2460" s="9" t="s">
        <v>13284</v>
      </c>
      <c r="L2460" s="9" t="s">
        <v>13284</v>
      </c>
      <c r="M2460" s="9" t="s">
        <v>13284</v>
      </c>
      <c r="N2460" s="9" t="s">
        <v>13284</v>
      </c>
      <c r="O2460" s="9" t="s">
        <v>13284</v>
      </c>
      <c r="P2460" s="9" t="s">
        <v>13284</v>
      </c>
      <c r="Q2460" s="9" t="s">
        <v>13284</v>
      </c>
      <c r="R2460" s="9" t="s">
        <v>13284</v>
      </c>
      <c r="S2460" s="9" t="s">
        <v>13284</v>
      </c>
      <c r="T2460" s="9" t="str">
        <f ca="1">IFERROR(IF(AND(VLOOKUP(A2460, 'Актуальное состояние (из общего'!A:C,3,0) = "", A2460 &lt;&gt; ""), "ПРОВЕРИТЬ", VLOOKUP(A2460, 'Актуальное состояние (из общего'!A:C,3,0)), "")</f>
        <v/>
      </c>
      <c r="U2460" s="9" t="s">
        <v>13284</v>
      </c>
      <c r="V2460" s="9" t="s">
        <v>13284</v>
      </c>
      <c r="W2460" s="12"/>
      <c r="X2460" s="9" t="str">
        <f t="array" ref="X2460">IFERROR(INDEX('Адреса общежитий (скрытый)'!$B$2:$B$9, MATCH(W2460, 'Адреса общежитий (скрытый)'!$A$2:$A$9, 0)), "")</f>
        <v/>
      </c>
      <c r="Y2460" s="18"/>
      <c r="Z2460" s="18"/>
      <c r="AA2460" s="18"/>
      <c r="AB2460" s="18"/>
      <c r="AC2460" s="18"/>
    </row>
    <row r="2461" spans="1:29" ht="32.25" hidden="1" customHeight="1">
      <c r="A2461" s="17"/>
      <c r="B2461" s="9" t="s">
        <v>13284</v>
      </c>
      <c r="C2461" s="9" t="s">
        <v>13284</v>
      </c>
      <c r="D2461" s="9" t="s">
        <v>13284</v>
      </c>
      <c r="E2461" s="9" t="s">
        <v>13284</v>
      </c>
      <c r="F2461" s="9" t="s">
        <v>13284</v>
      </c>
      <c r="G2461" s="9" t="s">
        <v>13284</v>
      </c>
      <c r="H2461" s="9" t="s">
        <v>13284</v>
      </c>
      <c r="I2461" s="9" t="s">
        <v>13284</v>
      </c>
      <c r="J2461" s="9" t="s">
        <v>13284</v>
      </c>
      <c r="K2461" s="9" t="s">
        <v>13284</v>
      </c>
      <c r="L2461" s="9" t="s">
        <v>13284</v>
      </c>
      <c r="M2461" s="9" t="s">
        <v>13284</v>
      </c>
      <c r="N2461" s="9" t="s">
        <v>13284</v>
      </c>
      <c r="O2461" s="9" t="s">
        <v>13284</v>
      </c>
      <c r="P2461" s="9" t="s">
        <v>13284</v>
      </c>
      <c r="Q2461" s="9" t="s">
        <v>13284</v>
      </c>
      <c r="R2461" s="9" t="s">
        <v>13284</v>
      </c>
      <c r="S2461" s="9" t="s">
        <v>13284</v>
      </c>
      <c r="T2461" s="9" t="str">
        <f ca="1">IFERROR(IF(AND(VLOOKUP(A2461, 'Актуальное состояние (из общего'!A:C,3,0) = "", A2461 &lt;&gt; ""), "ПРОВЕРИТЬ", VLOOKUP(A2461, 'Актуальное состояние (из общего'!A:C,3,0)), "")</f>
        <v/>
      </c>
      <c r="U2461" s="9" t="s">
        <v>13284</v>
      </c>
      <c r="V2461" s="9" t="s">
        <v>13284</v>
      </c>
      <c r="W2461" s="12"/>
      <c r="X2461" s="9" t="str">
        <f t="array" ref="X2461">IFERROR(INDEX('Адреса общежитий (скрытый)'!$B$2:$B$9, MATCH(W2461, 'Адреса общежитий (скрытый)'!$A$2:$A$9, 0)), "")</f>
        <v/>
      </c>
      <c r="Y2461" s="18"/>
      <c r="Z2461" s="18"/>
      <c r="AA2461" s="18"/>
      <c r="AB2461" s="18"/>
      <c r="AC2461" s="18"/>
    </row>
    <row r="2462" spans="1:29" ht="32.25" hidden="1" customHeight="1">
      <c r="A2462" s="17"/>
      <c r="B2462" s="9" t="s">
        <v>13284</v>
      </c>
      <c r="C2462" s="9" t="s">
        <v>13284</v>
      </c>
      <c r="D2462" s="9" t="s">
        <v>13284</v>
      </c>
      <c r="E2462" s="9" t="s">
        <v>13284</v>
      </c>
      <c r="F2462" s="9" t="s">
        <v>13284</v>
      </c>
      <c r="G2462" s="9" t="s">
        <v>13284</v>
      </c>
      <c r="H2462" s="9" t="s">
        <v>13284</v>
      </c>
      <c r="I2462" s="9" t="s">
        <v>13284</v>
      </c>
      <c r="J2462" s="9" t="s">
        <v>13284</v>
      </c>
      <c r="K2462" s="9" t="s">
        <v>13284</v>
      </c>
      <c r="L2462" s="9" t="s">
        <v>13284</v>
      </c>
      <c r="M2462" s="9" t="s">
        <v>13284</v>
      </c>
      <c r="N2462" s="9" t="s">
        <v>13284</v>
      </c>
      <c r="O2462" s="9" t="s">
        <v>13284</v>
      </c>
      <c r="P2462" s="9" t="s">
        <v>13284</v>
      </c>
      <c r="Q2462" s="9" t="s">
        <v>13284</v>
      </c>
      <c r="R2462" s="9" t="s">
        <v>13284</v>
      </c>
      <c r="S2462" s="9" t="s">
        <v>13284</v>
      </c>
      <c r="T2462" s="9" t="str">
        <f ca="1">IFERROR(IF(AND(VLOOKUP(A2462, 'Актуальное состояние (из общего'!A:C,3,0) = "", A2462 &lt;&gt; ""), "ПРОВЕРИТЬ", VLOOKUP(A2462, 'Актуальное состояние (из общего'!A:C,3,0)), "")</f>
        <v/>
      </c>
      <c r="U2462" s="9" t="s">
        <v>13284</v>
      </c>
      <c r="V2462" s="9" t="s">
        <v>13284</v>
      </c>
      <c r="W2462" s="12"/>
      <c r="X2462" s="9" t="str">
        <f t="array" ref="X2462">IFERROR(INDEX('Адреса общежитий (скрытый)'!$B$2:$B$9, MATCH(W2462, 'Адреса общежитий (скрытый)'!$A$2:$A$9, 0)), "")</f>
        <v/>
      </c>
      <c r="Y2462" s="18"/>
      <c r="Z2462" s="18"/>
      <c r="AA2462" s="18"/>
      <c r="AB2462" s="18"/>
      <c r="AC2462" s="18"/>
    </row>
    <row r="2463" spans="1:29" ht="32.25" hidden="1" customHeight="1">
      <c r="A2463" s="17"/>
      <c r="B2463" s="9" t="s">
        <v>13284</v>
      </c>
      <c r="C2463" s="9" t="s">
        <v>13284</v>
      </c>
      <c r="D2463" s="9" t="s">
        <v>13284</v>
      </c>
      <c r="E2463" s="9" t="s">
        <v>13284</v>
      </c>
      <c r="F2463" s="9" t="s">
        <v>13284</v>
      </c>
      <c r="G2463" s="9" t="s">
        <v>13284</v>
      </c>
      <c r="H2463" s="9" t="s">
        <v>13284</v>
      </c>
      <c r="I2463" s="9" t="s">
        <v>13284</v>
      </c>
      <c r="J2463" s="9" t="s">
        <v>13284</v>
      </c>
      <c r="K2463" s="9" t="s">
        <v>13284</v>
      </c>
      <c r="L2463" s="9" t="s">
        <v>13284</v>
      </c>
      <c r="M2463" s="9" t="s">
        <v>13284</v>
      </c>
      <c r="N2463" s="9" t="s">
        <v>13284</v>
      </c>
      <c r="O2463" s="9" t="s">
        <v>13284</v>
      </c>
      <c r="P2463" s="9" t="s">
        <v>13284</v>
      </c>
      <c r="Q2463" s="9" t="s">
        <v>13284</v>
      </c>
      <c r="R2463" s="9" t="s">
        <v>13284</v>
      </c>
      <c r="S2463" s="9" t="s">
        <v>13284</v>
      </c>
      <c r="T2463" s="9" t="str">
        <f ca="1">IFERROR(IF(AND(VLOOKUP(A2463, 'Актуальное состояние (из общего'!A:C,3,0) = "", A2463 &lt;&gt; ""), "ПРОВЕРИТЬ", VLOOKUP(A2463, 'Актуальное состояние (из общего'!A:C,3,0)), "")</f>
        <v/>
      </c>
      <c r="U2463" s="9" t="s">
        <v>13284</v>
      </c>
      <c r="V2463" s="9" t="s">
        <v>13284</v>
      </c>
      <c r="W2463" s="12"/>
      <c r="X2463" s="9" t="str">
        <f t="array" ref="X2463">IFERROR(INDEX('Адреса общежитий (скрытый)'!$B$2:$B$9, MATCH(W2463, 'Адреса общежитий (скрытый)'!$A$2:$A$9, 0)), "")</f>
        <v/>
      </c>
      <c r="Y2463" s="18"/>
      <c r="Z2463" s="18"/>
      <c r="AA2463" s="18"/>
      <c r="AB2463" s="18"/>
      <c r="AC2463" s="18"/>
    </row>
    <row r="2464" spans="1:29" ht="32.25" hidden="1" customHeight="1">
      <c r="A2464" s="17"/>
      <c r="B2464" s="9" t="s">
        <v>13284</v>
      </c>
      <c r="C2464" s="9" t="s">
        <v>13284</v>
      </c>
      <c r="D2464" s="9" t="s">
        <v>13284</v>
      </c>
      <c r="E2464" s="9" t="s">
        <v>13284</v>
      </c>
      <c r="F2464" s="9" t="s">
        <v>13284</v>
      </c>
      <c r="G2464" s="9" t="s">
        <v>13284</v>
      </c>
      <c r="H2464" s="9" t="s">
        <v>13284</v>
      </c>
      <c r="I2464" s="9" t="s">
        <v>13284</v>
      </c>
      <c r="J2464" s="9" t="s">
        <v>13284</v>
      </c>
      <c r="K2464" s="9" t="s">
        <v>13284</v>
      </c>
      <c r="L2464" s="9" t="s">
        <v>13284</v>
      </c>
      <c r="M2464" s="9" t="s">
        <v>13284</v>
      </c>
      <c r="N2464" s="9" t="s">
        <v>13284</v>
      </c>
      <c r="O2464" s="9" t="s">
        <v>13284</v>
      </c>
      <c r="P2464" s="9" t="s">
        <v>13284</v>
      </c>
      <c r="Q2464" s="9" t="s">
        <v>13284</v>
      </c>
      <c r="R2464" s="9" t="s">
        <v>13284</v>
      </c>
      <c r="S2464" s="9" t="s">
        <v>13284</v>
      </c>
      <c r="T2464" s="9" t="str">
        <f ca="1">IFERROR(IF(AND(VLOOKUP(A2464, 'Актуальное состояние (из общего'!A:C,3,0) = "", A2464 &lt;&gt; ""), "ПРОВЕРИТЬ", VLOOKUP(A2464, 'Актуальное состояние (из общего'!A:C,3,0)), "")</f>
        <v/>
      </c>
      <c r="U2464" s="9" t="s">
        <v>13284</v>
      </c>
      <c r="V2464" s="9" t="s">
        <v>13284</v>
      </c>
      <c r="W2464" s="12"/>
      <c r="X2464" s="9" t="str">
        <f t="array" ref="X2464">IFERROR(INDEX('Адреса общежитий (скрытый)'!$B$2:$B$9, MATCH(W2464, 'Адреса общежитий (скрытый)'!$A$2:$A$9, 0)), "")</f>
        <v/>
      </c>
      <c r="Y2464" s="18"/>
      <c r="Z2464" s="18"/>
      <c r="AA2464" s="18"/>
      <c r="AB2464" s="18"/>
      <c r="AC2464" s="18"/>
    </row>
    <row r="2465" spans="1:29" ht="32.25" hidden="1" customHeight="1">
      <c r="A2465" s="17"/>
      <c r="B2465" s="9" t="s">
        <v>13284</v>
      </c>
      <c r="C2465" s="9" t="s">
        <v>13284</v>
      </c>
      <c r="D2465" s="9" t="s">
        <v>13284</v>
      </c>
      <c r="E2465" s="9" t="s">
        <v>13284</v>
      </c>
      <c r="F2465" s="9" t="s">
        <v>13284</v>
      </c>
      <c r="G2465" s="9" t="s">
        <v>13284</v>
      </c>
      <c r="H2465" s="9" t="s">
        <v>13284</v>
      </c>
      <c r="I2465" s="9" t="s">
        <v>13284</v>
      </c>
      <c r="J2465" s="9" t="s">
        <v>13284</v>
      </c>
      <c r="K2465" s="9" t="s">
        <v>13284</v>
      </c>
      <c r="L2465" s="9" t="s">
        <v>13284</v>
      </c>
      <c r="M2465" s="9" t="s">
        <v>13284</v>
      </c>
      <c r="N2465" s="9" t="s">
        <v>13284</v>
      </c>
      <c r="O2465" s="9" t="s">
        <v>13284</v>
      </c>
      <c r="P2465" s="9" t="s">
        <v>13284</v>
      </c>
      <c r="Q2465" s="9" t="s">
        <v>13284</v>
      </c>
      <c r="R2465" s="9" t="s">
        <v>13284</v>
      </c>
      <c r="S2465" s="9" t="s">
        <v>13284</v>
      </c>
      <c r="T2465" s="9" t="str">
        <f ca="1">IFERROR(IF(AND(VLOOKUP(A2465, 'Актуальное состояние (из общего'!A:C,3,0) = "", A2465 &lt;&gt; ""), "ПРОВЕРИТЬ", VLOOKUP(A2465, 'Актуальное состояние (из общего'!A:C,3,0)), "")</f>
        <v/>
      </c>
      <c r="U2465" s="9" t="s">
        <v>13284</v>
      </c>
      <c r="V2465" s="9" t="s">
        <v>13284</v>
      </c>
      <c r="W2465" s="12"/>
      <c r="X2465" s="9" t="str">
        <f t="array" ref="X2465">IFERROR(INDEX('Адреса общежитий (скрытый)'!$B$2:$B$9, MATCH(W2465, 'Адреса общежитий (скрытый)'!$A$2:$A$9, 0)), "")</f>
        <v/>
      </c>
      <c r="Y2465" s="18"/>
      <c r="Z2465" s="18"/>
      <c r="AA2465" s="18"/>
      <c r="AB2465" s="18"/>
      <c r="AC2465" s="18"/>
    </row>
    <row r="2466" spans="1:29" ht="32.25" hidden="1" customHeight="1">
      <c r="A2466" s="17"/>
      <c r="B2466" s="9" t="s">
        <v>13284</v>
      </c>
      <c r="C2466" s="9" t="s">
        <v>13284</v>
      </c>
      <c r="D2466" s="9" t="s">
        <v>13284</v>
      </c>
      <c r="E2466" s="9" t="s">
        <v>13284</v>
      </c>
      <c r="F2466" s="9" t="s">
        <v>13284</v>
      </c>
      <c r="G2466" s="9" t="s">
        <v>13284</v>
      </c>
      <c r="H2466" s="9" t="s">
        <v>13284</v>
      </c>
      <c r="I2466" s="9" t="s">
        <v>13284</v>
      </c>
      <c r="J2466" s="9" t="s">
        <v>13284</v>
      </c>
      <c r="K2466" s="9" t="s">
        <v>13284</v>
      </c>
      <c r="L2466" s="9" t="s">
        <v>13284</v>
      </c>
      <c r="M2466" s="9" t="s">
        <v>13284</v>
      </c>
      <c r="N2466" s="9" t="s">
        <v>13284</v>
      </c>
      <c r="O2466" s="9" t="s">
        <v>13284</v>
      </c>
      <c r="P2466" s="9" t="s">
        <v>13284</v>
      </c>
      <c r="Q2466" s="9" t="s">
        <v>13284</v>
      </c>
      <c r="R2466" s="9" t="s">
        <v>13284</v>
      </c>
      <c r="S2466" s="9" t="s">
        <v>13284</v>
      </c>
      <c r="T2466" s="9" t="str">
        <f ca="1">IFERROR(IF(AND(VLOOKUP(A2466, 'Актуальное состояние (из общего'!A:C,3,0) = "", A2466 &lt;&gt; ""), "ПРОВЕРИТЬ", VLOOKUP(A2466, 'Актуальное состояние (из общего'!A:C,3,0)), "")</f>
        <v/>
      </c>
      <c r="U2466" s="9" t="s">
        <v>13284</v>
      </c>
      <c r="V2466" s="9" t="s">
        <v>13284</v>
      </c>
      <c r="W2466" s="12"/>
      <c r="X2466" s="9" t="str">
        <f t="array" ref="X2466">IFERROR(INDEX('Адреса общежитий (скрытый)'!$B$2:$B$9, MATCH(W2466, 'Адреса общежитий (скрытый)'!$A$2:$A$9, 0)), "")</f>
        <v/>
      </c>
      <c r="Y2466" s="18"/>
      <c r="Z2466" s="18"/>
      <c r="AA2466" s="18"/>
      <c r="AB2466" s="18"/>
      <c r="AC2466" s="18"/>
    </row>
    <row r="2467" spans="1:29" ht="32.25" hidden="1" customHeight="1">
      <c r="A2467" s="17"/>
      <c r="B2467" s="9" t="s">
        <v>13284</v>
      </c>
      <c r="C2467" s="9" t="s">
        <v>13284</v>
      </c>
      <c r="D2467" s="9" t="s">
        <v>13284</v>
      </c>
      <c r="E2467" s="9" t="s">
        <v>13284</v>
      </c>
      <c r="F2467" s="9" t="s">
        <v>13284</v>
      </c>
      <c r="G2467" s="9" t="s">
        <v>13284</v>
      </c>
      <c r="H2467" s="9" t="s">
        <v>13284</v>
      </c>
      <c r="I2467" s="9" t="s">
        <v>13284</v>
      </c>
      <c r="J2467" s="9" t="s">
        <v>13284</v>
      </c>
      <c r="K2467" s="9" t="s">
        <v>13284</v>
      </c>
      <c r="L2467" s="9" t="s">
        <v>13284</v>
      </c>
      <c r="M2467" s="9" t="s">
        <v>13284</v>
      </c>
      <c r="N2467" s="9" t="s">
        <v>13284</v>
      </c>
      <c r="O2467" s="9" t="s">
        <v>13284</v>
      </c>
      <c r="P2467" s="9" t="s">
        <v>13284</v>
      </c>
      <c r="Q2467" s="9" t="s">
        <v>13284</v>
      </c>
      <c r="R2467" s="9" t="s">
        <v>13284</v>
      </c>
      <c r="S2467" s="9" t="s">
        <v>13284</v>
      </c>
      <c r="T2467" s="9" t="str">
        <f ca="1">IFERROR(IF(AND(VLOOKUP(A2467, 'Актуальное состояние (из общего'!A:C,3,0) = "", A2467 &lt;&gt; ""), "ПРОВЕРИТЬ", VLOOKUP(A2467, 'Актуальное состояние (из общего'!A:C,3,0)), "")</f>
        <v/>
      </c>
      <c r="U2467" s="9" t="s">
        <v>13284</v>
      </c>
      <c r="V2467" s="9" t="s">
        <v>13284</v>
      </c>
      <c r="W2467" s="12"/>
      <c r="X2467" s="9" t="str">
        <f t="array" ref="X2467">IFERROR(INDEX('Адреса общежитий (скрытый)'!$B$2:$B$9, MATCH(W2467, 'Адреса общежитий (скрытый)'!$A$2:$A$9, 0)), "")</f>
        <v/>
      </c>
      <c r="Y2467" s="18"/>
      <c r="Z2467" s="18"/>
      <c r="AA2467" s="18"/>
      <c r="AB2467" s="18"/>
      <c r="AC2467" s="18"/>
    </row>
    <row r="2468" spans="1:29" ht="32.25" hidden="1" customHeight="1">
      <c r="A2468" s="17"/>
      <c r="B2468" s="9" t="s">
        <v>13284</v>
      </c>
      <c r="C2468" s="9" t="s">
        <v>13284</v>
      </c>
      <c r="D2468" s="9" t="s">
        <v>13284</v>
      </c>
      <c r="E2468" s="9" t="s">
        <v>13284</v>
      </c>
      <c r="F2468" s="9" t="s">
        <v>13284</v>
      </c>
      <c r="G2468" s="9" t="s">
        <v>13284</v>
      </c>
      <c r="H2468" s="9" t="s">
        <v>13284</v>
      </c>
      <c r="I2468" s="9" t="s">
        <v>13284</v>
      </c>
      <c r="J2468" s="9" t="s">
        <v>13284</v>
      </c>
      <c r="K2468" s="9" t="s">
        <v>13284</v>
      </c>
      <c r="L2468" s="9" t="s">
        <v>13284</v>
      </c>
      <c r="M2468" s="9" t="s">
        <v>13284</v>
      </c>
      <c r="N2468" s="9" t="s">
        <v>13284</v>
      </c>
      <c r="O2468" s="9" t="s">
        <v>13284</v>
      </c>
      <c r="P2468" s="9" t="s">
        <v>13284</v>
      </c>
      <c r="Q2468" s="9" t="s">
        <v>13284</v>
      </c>
      <c r="R2468" s="9" t="s">
        <v>13284</v>
      </c>
      <c r="S2468" s="9" t="s">
        <v>13284</v>
      </c>
      <c r="T2468" s="9" t="str">
        <f ca="1">IFERROR(IF(AND(VLOOKUP(A2468, 'Актуальное состояние (из общего'!A:C,3,0) = "", A2468 &lt;&gt; ""), "ПРОВЕРИТЬ", VLOOKUP(A2468, 'Актуальное состояние (из общего'!A:C,3,0)), "")</f>
        <v/>
      </c>
      <c r="U2468" s="9" t="s">
        <v>13284</v>
      </c>
      <c r="V2468" s="9" t="s">
        <v>13284</v>
      </c>
      <c r="W2468" s="12"/>
      <c r="X2468" s="9" t="str">
        <f t="array" ref="X2468">IFERROR(INDEX('Адреса общежитий (скрытый)'!$B$2:$B$9, MATCH(W2468, 'Адреса общежитий (скрытый)'!$A$2:$A$9, 0)), "")</f>
        <v/>
      </c>
      <c r="Y2468" s="18"/>
      <c r="Z2468" s="18"/>
      <c r="AA2468" s="18"/>
      <c r="AB2468" s="18"/>
      <c r="AC2468" s="18"/>
    </row>
    <row r="2469" spans="1:29" ht="32.25" hidden="1" customHeight="1">
      <c r="A2469" s="17"/>
      <c r="B2469" s="9" t="s">
        <v>13284</v>
      </c>
      <c r="C2469" s="9" t="s">
        <v>13284</v>
      </c>
      <c r="D2469" s="9" t="s">
        <v>13284</v>
      </c>
      <c r="E2469" s="9" t="s">
        <v>13284</v>
      </c>
      <c r="F2469" s="9" t="s">
        <v>13284</v>
      </c>
      <c r="G2469" s="9" t="s">
        <v>13284</v>
      </c>
      <c r="H2469" s="9" t="s">
        <v>13284</v>
      </c>
      <c r="I2469" s="9" t="s">
        <v>13284</v>
      </c>
      <c r="J2469" s="9" t="s">
        <v>13284</v>
      </c>
      <c r="K2469" s="9" t="s">
        <v>13284</v>
      </c>
      <c r="L2469" s="9" t="s">
        <v>13284</v>
      </c>
      <c r="M2469" s="9" t="s">
        <v>13284</v>
      </c>
      <c r="N2469" s="9" t="s">
        <v>13284</v>
      </c>
      <c r="O2469" s="9" t="s">
        <v>13284</v>
      </c>
      <c r="P2469" s="9" t="s">
        <v>13284</v>
      </c>
      <c r="Q2469" s="9" t="s">
        <v>13284</v>
      </c>
      <c r="R2469" s="9" t="s">
        <v>13284</v>
      </c>
      <c r="S2469" s="9" t="s">
        <v>13284</v>
      </c>
      <c r="T2469" s="9" t="str">
        <f ca="1">IFERROR(IF(AND(VLOOKUP(A2469, 'Актуальное состояние (из общего'!A:C,3,0) = "", A2469 &lt;&gt; ""), "ПРОВЕРИТЬ", VLOOKUP(A2469, 'Актуальное состояние (из общего'!A:C,3,0)), "")</f>
        <v/>
      </c>
      <c r="U2469" s="9" t="s">
        <v>13284</v>
      </c>
      <c r="V2469" s="9" t="s">
        <v>13284</v>
      </c>
      <c r="W2469" s="12"/>
      <c r="X2469" s="9" t="str">
        <f t="array" ref="X2469">IFERROR(INDEX('Адреса общежитий (скрытый)'!$B$2:$B$9, MATCH(W2469, 'Адреса общежитий (скрытый)'!$A$2:$A$9, 0)), "")</f>
        <v/>
      </c>
      <c r="Y2469" s="18"/>
      <c r="Z2469" s="18"/>
      <c r="AA2469" s="18"/>
      <c r="AB2469" s="18"/>
      <c r="AC2469" s="18"/>
    </row>
    <row r="2470" spans="1:29" ht="32.25" hidden="1" customHeight="1">
      <c r="A2470" s="17"/>
      <c r="B2470" s="9" t="s">
        <v>13284</v>
      </c>
      <c r="C2470" s="9" t="s">
        <v>13284</v>
      </c>
      <c r="D2470" s="9" t="s">
        <v>13284</v>
      </c>
      <c r="E2470" s="9" t="s">
        <v>13284</v>
      </c>
      <c r="F2470" s="9" t="s">
        <v>13284</v>
      </c>
      <c r="G2470" s="9" t="s">
        <v>13284</v>
      </c>
      <c r="H2470" s="9" t="s">
        <v>13284</v>
      </c>
      <c r="I2470" s="9" t="s">
        <v>13284</v>
      </c>
      <c r="J2470" s="9" t="s">
        <v>13284</v>
      </c>
      <c r="K2470" s="9" t="s">
        <v>13284</v>
      </c>
      <c r="L2470" s="9" t="s">
        <v>13284</v>
      </c>
      <c r="M2470" s="9" t="s">
        <v>13284</v>
      </c>
      <c r="N2470" s="9" t="s">
        <v>13284</v>
      </c>
      <c r="O2470" s="9" t="s">
        <v>13284</v>
      </c>
      <c r="P2470" s="9" t="s">
        <v>13284</v>
      </c>
      <c r="Q2470" s="9" t="s">
        <v>13284</v>
      </c>
      <c r="R2470" s="9" t="s">
        <v>13284</v>
      </c>
      <c r="S2470" s="9" t="s">
        <v>13284</v>
      </c>
      <c r="T2470" s="9" t="str">
        <f ca="1">IFERROR(IF(AND(VLOOKUP(A2470, 'Актуальное состояние (из общего'!A:C,3,0) = "", A2470 &lt;&gt; ""), "ПРОВЕРИТЬ", VLOOKUP(A2470, 'Актуальное состояние (из общего'!A:C,3,0)), "")</f>
        <v/>
      </c>
      <c r="U2470" s="9" t="s">
        <v>13284</v>
      </c>
      <c r="V2470" s="9" t="s">
        <v>13284</v>
      </c>
      <c r="W2470" s="12"/>
      <c r="X2470" s="9" t="str">
        <f t="array" ref="X2470">IFERROR(INDEX('Адреса общежитий (скрытый)'!$B$2:$B$9, MATCH(W2470, 'Адреса общежитий (скрытый)'!$A$2:$A$9, 0)), "")</f>
        <v/>
      </c>
      <c r="Y2470" s="18"/>
      <c r="Z2470" s="18"/>
      <c r="AA2470" s="18"/>
      <c r="AB2470" s="18"/>
      <c r="AC2470" s="18"/>
    </row>
    <row r="2471" spans="1:29" ht="32.25" hidden="1" customHeight="1">
      <c r="A2471" s="17"/>
      <c r="B2471" s="9" t="s">
        <v>13284</v>
      </c>
      <c r="C2471" s="9" t="s">
        <v>13284</v>
      </c>
      <c r="D2471" s="9" t="s">
        <v>13284</v>
      </c>
      <c r="E2471" s="9" t="s">
        <v>13284</v>
      </c>
      <c r="F2471" s="9" t="s">
        <v>13284</v>
      </c>
      <c r="G2471" s="9" t="s">
        <v>13284</v>
      </c>
      <c r="H2471" s="9" t="s">
        <v>13284</v>
      </c>
      <c r="I2471" s="9" t="s">
        <v>13284</v>
      </c>
      <c r="J2471" s="9" t="s">
        <v>13284</v>
      </c>
      <c r="K2471" s="9" t="s">
        <v>13284</v>
      </c>
      <c r="L2471" s="9" t="s">
        <v>13284</v>
      </c>
      <c r="M2471" s="9" t="s">
        <v>13284</v>
      </c>
      <c r="N2471" s="9" t="s">
        <v>13284</v>
      </c>
      <c r="O2471" s="9" t="s">
        <v>13284</v>
      </c>
      <c r="P2471" s="9" t="s">
        <v>13284</v>
      </c>
      <c r="Q2471" s="9" t="s">
        <v>13284</v>
      </c>
      <c r="R2471" s="9" t="s">
        <v>13284</v>
      </c>
      <c r="S2471" s="9" t="s">
        <v>13284</v>
      </c>
      <c r="T2471" s="9" t="str">
        <f ca="1">IFERROR(IF(AND(VLOOKUP(A2471, 'Актуальное состояние (из общего'!A:C,3,0) = "", A2471 &lt;&gt; ""), "ПРОВЕРИТЬ", VLOOKUP(A2471, 'Актуальное состояние (из общего'!A:C,3,0)), "")</f>
        <v/>
      </c>
      <c r="U2471" s="9" t="s">
        <v>13284</v>
      </c>
      <c r="V2471" s="9" t="s">
        <v>13284</v>
      </c>
      <c r="W2471" s="12"/>
      <c r="X2471" s="9" t="str">
        <f t="array" ref="X2471">IFERROR(INDEX('Адреса общежитий (скрытый)'!$B$2:$B$9, MATCH(W2471, 'Адреса общежитий (скрытый)'!$A$2:$A$9, 0)), "")</f>
        <v/>
      </c>
      <c r="Y2471" s="18"/>
      <c r="Z2471" s="18"/>
      <c r="AA2471" s="18"/>
      <c r="AB2471" s="18"/>
      <c r="AC2471" s="18"/>
    </row>
    <row r="2472" spans="1:29" ht="32.25" hidden="1" customHeight="1">
      <c r="A2472" s="17"/>
      <c r="B2472" s="9" t="s">
        <v>13284</v>
      </c>
      <c r="C2472" s="9" t="s">
        <v>13284</v>
      </c>
      <c r="D2472" s="9" t="s">
        <v>13284</v>
      </c>
      <c r="E2472" s="9" t="s">
        <v>13284</v>
      </c>
      <c r="F2472" s="9" t="s">
        <v>13284</v>
      </c>
      <c r="G2472" s="9" t="s">
        <v>13284</v>
      </c>
      <c r="H2472" s="9" t="s">
        <v>13284</v>
      </c>
      <c r="I2472" s="9" t="s">
        <v>13284</v>
      </c>
      <c r="J2472" s="9" t="s">
        <v>13284</v>
      </c>
      <c r="K2472" s="9" t="s">
        <v>13284</v>
      </c>
      <c r="L2472" s="9" t="s">
        <v>13284</v>
      </c>
      <c r="M2472" s="9" t="s">
        <v>13284</v>
      </c>
      <c r="N2472" s="9" t="s">
        <v>13284</v>
      </c>
      <c r="O2472" s="9" t="s">
        <v>13284</v>
      </c>
      <c r="P2472" s="9" t="s">
        <v>13284</v>
      </c>
      <c r="Q2472" s="9" t="s">
        <v>13284</v>
      </c>
      <c r="R2472" s="9" t="s">
        <v>13284</v>
      </c>
      <c r="S2472" s="9" t="s">
        <v>13284</v>
      </c>
      <c r="T2472" s="9" t="str">
        <f ca="1">IFERROR(IF(AND(VLOOKUP(A2472, 'Актуальное состояние (из общего'!A:C,3,0) = "", A2472 &lt;&gt; ""), "ПРОВЕРИТЬ", VLOOKUP(A2472, 'Актуальное состояние (из общего'!A:C,3,0)), "")</f>
        <v/>
      </c>
      <c r="U2472" s="9" t="s">
        <v>13284</v>
      </c>
      <c r="V2472" s="9" t="s">
        <v>13284</v>
      </c>
      <c r="W2472" s="12"/>
      <c r="X2472" s="9" t="str">
        <f t="array" ref="X2472">IFERROR(INDEX('Адреса общежитий (скрытый)'!$B$2:$B$9, MATCH(W2472, 'Адреса общежитий (скрытый)'!$A$2:$A$9, 0)), "")</f>
        <v/>
      </c>
      <c r="Y2472" s="18"/>
      <c r="Z2472" s="18"/>
      <c r="AA2472" s="18"/>
      <c r="AB2472" s="18"/>
      <c r="AC2472" s="18"/>
    </row>
    <row r="2473" spans="1:29" ht="32.25" hidden="1" customHeight="1">
      <c r="A2473" s="17"/>
      <c r="B2473" s="9" t="s">
        <v>13284</v>
      </c>
      <c r="C2473" s="9" t="s">
        <v>13284</v>
      </c>
      <c r="D2473" s="9" t="s">
        <v>13284</v>
      </c>
      <c r="E2473" s="9" t="s">
        <v>13284</v>
      </c>
      <c r="F2473" s="9" t="s">
        <v>13284</v>
      </c>
      <c r="G2473" s="9" t="s">
        <v>13284</v>
      </c>
      <c r="H2473" s="9" t="s">
        <v>13284</v>
      </c>
      <c r="I2473" s="9" t="s">
        <v>13284</v>
      </c>
      <c r="J2473" s="9" t="s">
        <v>13284</v>
      </c>
      <c r="K2473" s="9" t="s">
        <v>13284</v>
      </c>
      <c r="L2473" s="9" t="s">
        <v>13284</v>
      </c>
      <c r="M2473" s="9" t="s">
        <v>13284</v>
      </c>
      <c r="N2473" s="9" t="s">
        <v>13284</v>
      </c>
      <c r="O2473" s="9" t="s">
        <v>13284</v>
      </c>
      <c r="P2473" s="9" t="s">
        <v>13284</v>
      </c>
      <c r="Q2473" s="9" t="s">
        <v>13284</v>
      </c>
      <c r="R2473" s="9" t="s">
        <v>13284</v>
      </c>
      <c r="S2473" s="9" t="s">
        <v>13284</v>
      </c>
      <c r="T2473" s="9" t="str">
        <f ca="1">IFERROR(IF(AND(VLOOKUP(A2473, 'Актуальное состояние (из общего'!A:C,3,0) = "", A2473 &lt;&gt; ""), "ПРОВЕРИТЬ", VLOOKUP(A2473, 'Актуальное состояние (из общего'!A:C,3,0)), "")</f>
        <v/>
      </c>
      <c r="U2473" s="9" t="s">
        <v>13284</v>
      </c>
      <c r="V2473" s="9" t="s">
        <v>13284</v>
      </c>
      <c r="W2473" s="12"/>
      <c r="X2473" s="9" t="str">
        <f t="array" ref="X2473">IFERROR(INDEX('Адреса общежитий (скрытый)'!$B$2:$B$9, MATCH(W2473, 'Адреса общежитий (скрытый)'!$A$2:$A$9, 0)), "")</f>
        <v/>
      </c>
      <c r="Y2473" s="18"/>
      <c r="Z2473" s="18"/>
      <c r="AA2473" s="18"/>
      <c r="AB2473" s="18"/>
      <c r="AC2473" s="18"/>
    </row>
    <row r="2474" spans="1:29" ht="32.25" hidden="1" customHeight="1">
      <c r="A2474" s="17"/>
      <c r="B2474" s="9" t="s">
        <v>13284</v>
      </c>
      <c r="C2474" s="9" t="s">
        <v>13284</v>
      </c>
      <c r="D2474" s="9" t="s">
        <v>13284</v>
      </c>
      <c r="E2474" s="9" t="s">
        <v>13284</v>
      </c>
      <c r="F2474" s="9" t="s">
        <v>13284</v>
      </c>
      <c r="G2474" s="9" t="s">
        <v>13284</v>
      </c>
      <c r="H2474" s="9" t="s">
        <v>13284</v>
      </c>
      <c r="I2474" s="9" t="s">
        <v>13284</v>
      </c>
      <c r="J2474" s="9" t="s">
        <v>13284</v>
      </c>
      <c r="K2474" s="9" t="s">
        <v>13284</v>
      </c>
      <c r="L2474" s="9" t="s">
        <v>13284</v>
      </c>
      <c r="M2474" s="9" t="s">
        <v>13284</v>
      </c>
      <c r="N2474" s="9" t="s">
        <v>13284</v>
      </c>
      <c r="O2474" s="9" t="s">
        <v>13284</v>
      </c>
      <c r="P2474" s="9" t="s">
        <v>13284</v>
      </c>
      <c r="Q2474" s="9" t="s">
        <v>13284</v>
      </c>
      <c r="R2474" s="9" t="s">
        <v>13284</v>
      </c>
      <c r="S2474" s="9" t="s">
        <v>13284</v>
      </c>
      <c r="T2474" s="9" t="str">
        <f ca="1">IFERROR(IF(AND(VLOOKUP(A2474, 'Актуальное состояние (из общего'!A:C,3,0) = "", A2474 &lt;&gt; ""), "ПРОВЕРИТЬ", VLOOKUP(A2474, 'Актуальное состояние (из общего'!A:C,3,0)), "")</f>
        <v/>
      </c>
      <c r="U2474" s="9" t="s">
        <v>13284</v>
      </c>
      <c r="V2474" s="9" t="s">
        <v>13284</v>
      </c>
      <c r="W2474" s="12"/>
      <c r="X2474" s="9" t="str">
        <f t="array" ref="X2474">IFERROR(INDEX('Адреса общежитий (скрытый)'!$B$2:$B$9, MATCH(W2474, 'Адреса общежитий (скрытый)'!$A$2:$A$9, 0)), "")</f>
        <v/>
      </c>
      <c r="Y2474" s="18"/>
      <c r="Z2474" s="18"/>
      <c r="AA2474" s="18"/>
      <c r="AB2474" s="18"/>
      <c r="AC2474" s="18"/>
    </row>
    <row r="2475" spans="1:29" ht="32.25" hidden="1" customHeight="1">
      <c r="A2475" s="17"/>
      <c r="B2475" s="9" t="s">
        <v>13284</v>
      </c>
      <c r="C2475" s="9" t="s">
        <v>13284</v>
      </c>
      <c r="D2475" s="9" t="s">
        <v>13284</v>
      </c>
      <c r="E2475" s="9" t="s">
        <v>13284</v>
      </c>
      <c r="F2475" s="9" t="s">
        <v>13284</v>
      </c>
      <c r="G2475" s="9" t="s">
        <v>13284</v>
      </c>
      <c r="H2475" s="9" t="s">
        <v>13284</v>
      </c>
      <c r="I2475" s="9" t="s">
        <v>13284</v>
      </c>
      <c r="J2475" s="9" t="s">
        <v>13284</v>
      </c>
      <c r="K2475" s="9" t="s">
        <v>13284</v>
      </c>
      <c r="L2475" s="9" t="s">
        <v>13284</v>
      </c>
      <c r="M2475" s="9" t="s">
        <v>13284</v>
      </c>
      <c r="N2475" s="9" t="s">
        <v>13284</v>
      </c>
      <c r="O2475" s="9" t="s">
        <v>13284</v>
      </c>
      <c r="P2475" s="9" t="s">
        <v>13284</v>
      </c>
      <c r="Q2475" s="9" t="s">
        <v>13284</v>
      </c>
      <c r="R2475" s="9" t="s">
        <v>13284</v>
      </c>
      <c r="S2475" s="9" t="s">
        <v>13284</v>
      </c>
      <c r="T2475" s="9" t="str">
        <f ca="1">IFERROR(IF(AND(VLOOKUP(A2475, 'Актуальное состояние (из общего'!A:C,3,0) = "", A2475 &lt;&gt; ""), "ПРОВЕРИТЬ", VLOOKUP(A2475, 'Актуальное состояние (из общего'!A:C,3,0)), "")</f>
        <v/>
      </c>
      <c r="U2475" s="9" t="s">
        <v>13284</v>
      </c>
      <c r="V2475" s="9" t="s">
        <v>13284</v>
      </c>
      <c r="W2475" s="12"/>
      <c r="X2475" s="9" t="str">
        <f t="array" ref="X2475">IFERROR(INDEX('Адреса общежитий (скрытый)'!$B$2:$B$9, MATCH(W2475, 'Адреса общежитий (скрытый)'!$A$2:$A$9, 0)), "")</f>
        <v/>
      </c>
      <c r="Y2475" s="18"/>
      <c r="Z2475" s="18"/>
      <c r="AA2475" s="18"/>
      <c r="AB2475" s="18"/>
      <c r="AC2475" s="18"/>
    </row>
    <row r="2476" spans="1:29" ht="32.25" hidden="1" customHeight="1">
      <c r="A2476" s="17"/>
      <c r="B2476" s="9" t="s">
        <v>13284</v>
      </c>
      <c r="C2476" s="9" t="s">
        <v>13284</v>
      </c>
      <c r="D2476" s="9" t="s">
        <v>13284</v>
      </c>
      <c r="E2476" s="9" t="s">
        <v>13284</v>
      </c>
      <c r="F2476" s="9" t="s">
        <v>13284</v>
      </c>
      <c r="G2476" s="9" t="s">
        <v>13284</v>
      </c>
      <c r="H2476" s="9" t="s">
        <v>13284</v>
      </c>
      <c r="I2476" s="9" t="s">
        <v>13284</v>
      </c>
      <c r="J2476" s="9" t="s">
        <v>13284</v>
      </c>
      <c r="K2476" s="9" t="s">
        <v>13284</v>
      </c>
      <c r="L2476" s="9" t="s">
        <v>13284</v>
      </c>
      <c r="M2476" s="9" t="s">
        <v>13284</v>
      </c>
      <c r="N2476" s="9" t="s">
        <v>13284</v>
      </c>
      <c r="O2476" s="9" t="s">
        <v>13284</v>
      </c>
      <c r="P2476" s="9" t="s">
        <v>13284</v>
      </c>
      <c r="Q2476" s="9" t="s">
        <v>13284</v>
      </c>
      <c r="R2476" s="9" t="s">
        <v>13284</v>
      </c>
      <c r="S2476" s="9" t="s">
        <v>13284</v>
      </c>
      <c r="T2476" s="9" t="str">
        <f ca="1">IFERROR(IF(AND(VLOOKUP(A2476, 'Актуальное состояние (из общего'!A:C,3,0) = "", A2476 &lt;&gt; ""), "ПРОВЕРИТЬ", VLOOKUP(A2476, 'Актуальное состояние (из общего'!A:C,3,0)), "")</f>
        <v/>
      </c>
      <c r="U2476" s="9" t="s">
        <v>13284</v>
      </c>
      <c r="V2476" s="9" t="s">
        <v>13284</v>
      </c>
      <c r="W2476" s="12"/>
      <c r="X2476" s="9" t="str">
        <f t="array" ref="X2476">IFERROR(INDEX('Адреса общежитий (скрытый)'!$B$2:$B$9, MATCH(W2476, 'Адреса общежитий (скрытый)'!$A$2:$A$9, 0)), "")</f>
        <v/>
      </c>
      <c r="Y2476" s="18"/>
      <c r="Z2476" s="18"/>
      <c r="AA2476" s="18"/>
      <c r="AB2476" s="18"/>
      <c r="AC2476" s="18"/>
    </row>
    <row r="2477" spans="1:29" ht="32.25" hidden="1" customHeight="1">
      <c r="A2477" s="17"/>
      <c r="B2477" s="9" t="s">
        <v>13284</v>
      </c>
      <c r="C2477" s="9" t="s">
        <v>13284</v>
      </c>
      <c r="D2477" s="9" t="s">
        <v>13284</v>
      </c>
      <c r="E2477" s="9" t="s">
        <v>13284</v>
      </c>
      <c r="F2477" s="9" t="s">
        <v>13284</v>
      </c>
      <c r="G2477" s="9" t="s">
        <v>13284</v>
      </c>
      <c r="H2477" s="9" t="s">
        <v>13284</v>
      </c>
      <c r="I2477" s="9" t="s">
        <v>13284</v>
      </c>
      <c r="J2477" s="9" t="s">
        <v>13284</v>
      </c>
      <c r="K2477" s="9" t="s">
        <v>13284</v>
      </c>
      <c r="L2477" s="9" t="s">
        <v>13284</v>
      </c>
      <c r="M2477" s="9" t="s">
        <v>13284</v>
      </c>
      <c r="N2477" s="9" t="s">
        <v>13284</v>
      </c>
      <c r="O2477" s="9" t="s">
        <v>13284</v>
      </c>
      <c r="P2477" s="9" t="s">
        <v>13284</v>
      </c>
      <c r="Q2477" s="9" t="s">
        <v>13284</v>
      </c>
      <c r="R2477" s="9" t="s">
        <v>13284</v>
      </c>
      <c r="S2477" s="9" t="s">
        <v>13284</v>
      </c>
      <c r="T2477" s="9" t="str">
        <f ca="1">IFERROR(IF(AND(VLOOKUP(A2477, 'Актуальное состояние (из общего'!A:C,3,0) = "", A2477 &lt;&gt; ""), "ПРОВЕРИТЬ", VLOOKUP(A2477, 'Актуальное состояние (из общего'!A:C,3,0)), "")</f>
        <v/>
      </c>
      <c r="U2477" s="9" t="s">
        <v>13284</v>
      </c>
      <c r="V2477" s="9" t="s">
        <v>13284</v>
      </c>
      <c r="W2477" s="12"/>
      <c r="X2477" s="9" t="str">
        <f t="array" ref="X2477">IFERROR(INDEX('Адреса общежитий (скрытый)'!$B$2:$B$9, MATCH(W2477, 'Адреса общежитий (скрытый)'!$A$2:$A$9, 0)), "")</f>
        <v/>
      </c>
      <c r="Y2477" s="18"/>
      <c r="Z2477" s="18"/>
      <c r="AA2477" s="18"/>
      <c r="AB2477" s="18"/>
      <c r="AC2477" s="18"/>
    </row>
    <row r="2478" spans="1:29" ht="32.25" hidden="1" customHeight="1">
      <c r="A2478" s="17"/>
      <c r="B2478" s="9" t="s">
        <v>13284</v>
      </c>
      <c r="C2478" s="9" t="s">
        <v>13284</v>
      </c>
      <c r="D2478" s="9" t="s">
        <v>13284</v>
      </c>
      <c r="E2478" s="9" t="s">
        <v>13284</v>
      </c>
      <c r="F2478" s="9" t="s">
        <v>13284</v>
      </c>
      <c r="G2478" s="9" t="s">
        <v>13284</v>
      </c>
      <c r="H2478" s="9" t="s">
        <v>13284</v>
      </c>
      <c r="I2478" s="9" t="s">
        <v>13284</v>
      </c>
      <c r="J2478" s="9" t="s">
        <v>13284</v>
      </c>
      <c r="K2478" s="9" t="s">
        <v>13284</v>
      </c>
      <c r="L2478" s="9" t="s">
        <v>13284</v>
      </c>
      <c r="M2478" s="9" t="s">
        <v>13284</v>
      </c>
      <c r="N2478" s="9" t="s">
        <v>13284</v>
      </c>
      <c r="O2478" s="9" t="s">
        <v>13284</v>
      </c>
      <c r="P2478" s="9" t="s">
        <v>13284</v>
      </c>
      <c r="Q2478" s="9" t="s">
        <v>13284</v>
      </c>
      <c r="R2478" s="9" t="s">
        <v>13284</v>
      </c>
      <c r="S2478" s="9" t="s">
        <v>13284</v>
      </c>
      <c r="T2478" s="9" t="str">
        <f ca="1">IFERROR(IF(AND(VLOOKUP(A2478, 'Актуальное состояние (из общего'!A:C,3,0) = "", A2478 &lt;&gt; ""), "ПРОВЕРИТЬ", VLOOKUP(A2478, 'Актуальное состояние (из общего'!A:C,3,0)), "")</f>
        <v/>
      </c>
      <c r="U2478" s="9" t="s">
        <v>13284</v>
      </c>
      <c r="V2478" s="9" t="s">
        <v>13284</v>
      </c>
      <c r="W2478" s="12"/>
      <c r="X2478" s="9" t="str">
        <f t="array" ref="X2478">IFERROR(INDEX('Адреса общежитий (скрытый)'!$B$2:$B$9, MATCH(W2478, 'Адреса общежитий (скрытый)'!$A$2:$A$9, 0)), "")</f>
        <v/>
      </c>
      <c r="Y2478" s="18"/>
      <c r="Z2478" s="18"/>
      <c r="AA2478" s="18"/>
      <c r="AB2478" s="18"/>
      <c r="AC2478" s="18"/>
    </row>
    <row r="2479" spans="1:29" ht="32.25" hidden="1" customHeight="1">
      <c r="A2479" s="17"/>
      <c r="B2479" s="9" t="s">
        <v>13284</v>
      </c>
      <c r="C2479" s="9" t="s">
        <v>13284</v>
      </c>
      <c r="D2479" s="9" t="s">
        <v>13284</v>
      </c>
      <c r="E2479" s="9" t="s">
        <v>13284</v>
      </c>
      <c r="F2479" s="9" t="s">
        <v>13284</v>
      </c>
      <c r="G2479" s="9" t="s">
        <v>13284</v>
      </c>
      <c r="H2479" s="9" t="s">
        <v>13284</v>
      </c>
      <c r="I2479" s="9" t="s">
        <v>13284</v>
      </c>
      <c r="J2479" s="9" t="s">
        <v>13284</v>
      </c>
      <c r="K2479" s="9" t="s">
        <v>13284</v>
      </c>
      <c r="L2479" s="9" t="s">
        <v>13284</v>
      </c>
      <c r="M2479" s="9" t="s">
        <v>13284</v>
      </c>
      <c r="N2479" s="9" t="s">
        <v>13284</v>
      </c>
      <c r="O2479" s="9" t="s">
        <v>13284</v>
      </c>
      <c r="P2479" s="9" t="s">
        <v>13284</v>
      </c>
      <c r="Q2479" s="9" t="s">
        <v>13284</v>
      </c>
      <c r="R2479" s="9" t="s">
        <v>13284</v>
      </c>
      <c r="S2479" s="9" t="s">
        <v>13284</v>
      </c>
      <c r="T2479" s="9" t="str">
        <f ca="1">IFERROR(IF(AND(VLOOKUP(A2479, 'Актуальное состояние (из общего'!A:C,3,0) = "", A2479 &lt;&gt; ""), "ПРОВЕРИТЬ", VLOOKUP(A2479, 'Актуальное состояние (из общего'!A:C,3,0)), "")</f>
        <v/>
      </c>
      <c r="U2479" s="9" t="s">
        <v>13284</v>
      </c>
      <c r="V2479" s="9" t="s">
        <v>13284</v>
      </c>
      <c r="W2479" s="12"/>
      <c r="X2479" s="9" t="str">
        <f t="array" ref="X2479">IFERROR(INDEX('Адреса общежитий (скрытый)'!$B$2:$B$9, MATCH(W2479, 'Адреса общежитий (скрытый)'!$A$2:$A$9, 0)), "")</f>
        <v/>
      </c>
      <c r="Y2479" s="18"/>
      <c r="Z2479" s="18"/>
      <c r="AA2479" s="18"/>
      <c r="AB2479" s="18"/>
      <c r="AC2479" s="18"/>
    </row>
    <row r="2480" spans="1:29" ht="32.25" hidden="1" customHeight="1">
      <c r="A2480" s="17"/>
      <c r="B2480" s="9" t="s">
        <v>13284</v>
      </c>
      <c r="C2480" s="9" t="s">
        <v>13284</v>
      </c>
      <c r="D2480" s="9" t="s">
        <v>13284</v>
      </c>
      <c r="E2480" s="9" t="s">
        <v>13284</v>
      </c>
      <c r="F2480" s="9" t="s">
        <v>13284</v>
      </c>
      <c r="G2480" s="9" t="s">
        <v>13284</v>
      </c>
      <c r="H2480" s="9" t="s">
        <v>13284</v>
      </c>
      <c r="I2480" s="9" t="s">
        <v>13284</v>
      </c>
      <c r="J2480" s="9" t="s">
        <v>13284</v>
      </c>
      <c r="K2480" s="9" t="s">
        <v>13284</v>
      </c>
      <c r="L2480" s="9" t="s">
        <v>13284</v>
      </c>
      <c r="M2480" s="9" t="s">
        <v>13284</v>
      </c>
      <c r="N2480" s="9" t="s">
        <v>13284</v>
      </c>
      <c r="O2480" s="9" t="s">
        <v>13284</v>
      </c>
      <c r="P2480" s="9" t="s">
        <v>13284</v>
      </c>
      <c r="Q2480" s="9" t="s">
        <v>13284</v>
      </c>
      <c r="R2480" s="9" t="s">
        <v>13284</v>
      </c>
      <c r="S2480" s="9" t="s">
        <v>13284</v>
      </c>
      <c r="T2480" s="9" t="str">
        <f ca="1">IFERROR(IF(AND(VLOOKUP(A2480, 'Актуальное состояние (из общего'!A:C,3,0) = "", A2480 &lt;&gt; ""), "ПРОВЕРИТЬ", VLOOKUP(A2480, 'Актуальное состояние (из общего'!A:C,3,0)), "")</f>
        <v/>
      </c>
      <c r="U2480" s="9" t="s">
        <v>13284</v>
      </c>
      <c r="V2480" s="9" t="s">
        <v>13284</v>
      </c>
      <c r="W2480" s="12"/>
      <c r="X2480" s="9" t="str">
        <f t="array" ref="X2480">IFERROR(INDEX('Адреса общежитий (скрытый)'!$B$2:$B$9, MATCH(W2480, 'Адреса общежитий (скрытый)'!$A$2:$A$9, 0)), "")</f>
        <v/>
      </c>
      <c r="Y2480" s="18"/>
      <c r="Z2480" s="18"/>
      <c r="AA2480" s="18"/>
      <c r="AB2480" s="18"/>
      <c r="AC2480" s="18"/>
    </row>
    <row r="2481" spans="1:29" ht="32.25" hidden="1" customHeight="1">
      <c r="A2481" s="17"/>
      <c r="B2481" s="9" t="s">
        <v>13284</v>
      </c>
      <c r="C2481" s="9" t="s">
        <v>13284</v>
      </c>
      <c r="D2481" s="9" t="s">
        <v>13284</v>
      </c>
      <c r="E2481" s="9" t="s">
        <v>13284</v>
      </c>
      <c r="F2481" s="9" t="s">
        <v>13284</v>
      </c>
      <c r="G2481" s="9" t="s">
        <v>13284</v>
      </c>
      <c r="H2481" s="9" t="s">
        <v>13284</v>
      </c>
      <c r="I2481" s="9" t="s">
        <v>13284</v>
      </c>
      <c r="J2481" s="9" t="s">
        <v>13284</v>
      </c>
      <c r="K2481" s="9" t="s">
        <v>13284</v>
      </c>
      <c r="L2481" s="9" t="s">
        <v>13284</v>
      </c>
      <c r="M2481" s="9" t="s">
        <v>13284</v>
      </c>
      <c r="N2481" s="9" t="s">
        <v>13284</v>
      </c>
      <c r="O2481" s="9" t="s">
        <v>13284</v>
      </c>
      <c r="P2481" s="9" t="s">
        <v>13284</v>
      </c>
      <c r="Q2481" s="9" t="s">
        <v>13284</v>
      </c>
      <c r="R2481" s="9" t="s">
        <v>13284</v>
      </c>
      <c r="S2481" s="9" t="s">
        <v>13284</v>
      </c>
      <c r="T2481" s="9" t="str">
        <f ca="1">IFERROR(IF(AND(VLOOKUP(A2481, 'Актуальное состояние (из общего'!A:C,3,0) = "", A2481 &lt;&gt; ""), "ПРОВЕРИТЬ", VLOOKUP(A2481, 'Актуальное состояние (из общего'!A:C,3,0)), "")</f>
        <v/>
      </c>
      <c r="U2481" s="9" t="s">
        <v>13284</v>
      </c>
      <c r="V2481" s="9" t="s">
        <v>13284</v>
      </c>
      <c r="W2481" s="12"/>
      <c r="X2481" s="9" t="str">
        <f t="array" ref="X2481">IFERROR(INDEX('Адреса общежитий (скрытый)'!$B$2:$B$9, MATCH(W2481, 'Адреса общежитий (скрытый)'!$A$2:$A$9, 0)), "")</f>
        <v/>
      </c>
      <c r="Y2481" s="18"/>
      <c r="Z2481" s="18"/>
      <c r="AA2481" s="18"/>
      <c r="AB2481" s="18"/>
      <c r="AC2481" s="18"/>
    </row>
    <row r="2482" spans="1:29" ht="32.25" hidden="1" customHeight="1">
      <c r="A2482" s="17"/>
      <c r="B2482" s="9" t="s">
        <v>13284</v>
      </c>
      <c r="C2482" s="9" t="s">
        <v>13284</v>
      </c>
      <c r="D2482" s="9" t="s">
        <v>13284</v>
      </c>
      <c r="E2482" s="9" t="s">
        <v>13284</v>
      </c>
      <c r="F2482" s="9" t="s">
        <v>13284</v>
      </c>
      <c r="G2482" s="9" t="s">
        <v>13284</v>
      </c>
      <c r="H2482" s="9" t="s">
        <v>13284</v>
      </c>
      <c r="I2482" s="9" t="s">
        <v>13284</v>
      </c>
      <c r="J2482" s="9" t="s">
        <v>13284</v>
      </c>
      <c r="K2482" s="9" t="s">
        <v>13284</v>
      </c>
      <c r="L2482" s="9" t="s">
        <v>13284</v>
      </c>
      <c r="M2482" s="9" t="s">
        <v>13284</v>
      </c>
      <c r="N2482" s="9" t="s">
        <v>13284</v>
      </c>
      <c r="O2482" s="9" t="s">
        <v>13284</v>
      </c>
      <c r="P2482" s="9" t="s">
        <v>13284</v>
      </c>
      <c r="Q2482" s="9" t="s">
        <v>13284</v>
      </c>
      <c r="R2482" s="9" t="s">
        <v>13284</v>
      </c>
      <c r="S2482" s="9" t="s">
        <v>13284</v>
      </c>
      <c r="T2482" s="9" t="str">
        <f ca="1">IFERROR(IF(AND(VLOOKUP(A2482, 'Актуальное состояние (из общего'!A:C,3,0) = "", A2482 &lt;&gt; ""), "ПРОВЕРИТЬ", VLOOKUP(A2482, 'Актуальное состояние (из общего'!A:C,3,0)), "")</f>
        <v/>
      </c>
      <c r="U2482" s="9" t="s">
        <v>13284</v>
      </c>
      <c r="V2482" s="9" t="s">
        <v>13284</v>
      </c>
      <c r="W2482" s="12"/>
      <c r="X2482" s="9" t="str">
        <f t="array" ref="X2482">IFERROR(INDEX('Адреса общежитий (скрытый)'!$B$2:$B$9, MATCH(W2482, 'Адреса общежитий (скрытый)'!$A$2:$A$9, 0)), "")</f>
        <v/>
      </c>
      <c r="Y2482" s="18"/>
      <c r="Z2482" s="18"/>
      <c r="AA2482" s="18"/>
      <c r="AB2482" s="18"/>
      <c r="AC2482" s="18"/>
    </row>
    <row r="2483" spans="1:29" ht="32.25" hidden="1" customHeight="1">
      <c r="A2483" s="17"/>
      <c r="B2483" s="9" t="s">
        <v>13284</v>
      </c>
      <c r="C2483" s="9" t="s">
        <v>13284</v>
      </c>
      <c r="D2483" s="9" t="s">
        <v>13284</v>
      </c>
      <c r="E2483" s="9" t="s">
        <v>13284</v>
      </c>
      <c r="F2483" s="9" t="s">
        <v>13284</v>
      </c>
      <c r="G2483" s="9" t="s">
        <v>13284</v>
      </c>
      <c r="H2483" s="9" t="s">
        <v>13284</v>
      </c>
      <c r="I2483" s="9" t="s">
        <v>13284</v>
      </c>
      <c r="J2483" s="9" t="s">
        <v>13284</v>
      </c>
      <c r="K2483" s="9" t="s">
        <v>13284</v>
      </c>
      <c r="L2483" s="9" t="s">
        <v>13284</v>
      </c>
      <c r="M2483" s="9" t="s">
        <v>13284</v>
      </c>
      <c r="N2483" s="9" t="s">
        <v>13284</v>
      </c>
      <c r="O2483" s="9" t="s">
        <v>13284</v>
      </c>
      <c r="P2483" s="9" t="s">
        <v>13284</v>
      </c>
      <c r="Q2483" s="9" t="s">
        <v>13284</v>
      </c>
      <c r="R2483" s="9" t="s">
        <v>13284</v>
      </c>
      <c r="S2483" s="9" t="s">
        <v>13284</v>
      </c>
      <c r="T2483" s="9" t="str">
        <f ca="1">IFERROR(IF(AND(VLOOKUP(A2483, 'Актуальное состояние (из общего'!A:C,3,0) = "", A2483 &lt;&gt; ""), "ПРОВЕРИТЬ", VLOOKUP(A2483, 'Актуальное состояние (из общего'!A:C,3,0)), "")</f>
        <v/>
      </c>
      <c r="U2483" s="9" t="s">
        <v>13284</v>
      </c>
      <c r="V2483" s="9" t="s">
        <v>13284</v>
      </c>
      <c r="W2483" s="12"/>
      <c r="X2483" s="9" t="str">
        <f t="array" ref="X2483">IFERROR(INDEX('Адреса общежитий (скрытый)'!$B$2:$B$9, MATCH(W2483, 'Адреса общежитий (скрытый)'!$A$2:$A$9, 0)), "")</f>
        <v/>
      </c>
      <c r="Y2483" s="18"/>
      <c r="Z2483" s="18"/>
      <c r="AA2483" s="18"/>
      <c r="AB2483" s="18"/>
      <c r="AC2483" s="18"/>
    </row>
    <row r="2484" spans="1:29" ht="32.25" hidden="1" customHeight="1">
      <c r="A2484" s="17"/>
      <c r="B2484" s="9" t="s">
        <v>13284</v>
      </c>
      <c r="C2484" s="9" t="s">
        <v>13284</v>
      </c>
      <c r="D2484" s="9" t="s">
        <v>13284</v>
      </c>
      <c r="E2484" s="9" t="s">
        <v>13284</v>
      </c>
      <c r="F2484" s="9" t="s">
        <v>13284</v>
      </c>
      <c r="G2484" s="9" t="s">
        <v>13284</v>
      </c>
      <c r="H2484" s="9" t="s">
        <v>13284</v>
      </c>
      <c r="I2484" s="9" t="s">
        <v>13284</v>
      </c>
      <c r="J2484" s="9" t="s">
        <v>13284</v>
      </c>
      <c r="K2484" s="9" t="s">
        <v>13284</v>
      </c>
      <c r="L2484" s="9" t="s">
        <v>13284</v>
      </c>
      <c r="M2484" s="9" t="s">
        <v>13284</v>
      </c>
      <c r="N2484" s="9" t="s">
        <v>13284</v>
      </c>
      <c r="O2484" s="9" t="s">
        <v>13284</v>
      </c>
      <c r="P2484" s="9" t="s">
        <v>13284</v>
      </c>
      <c r="Q2484" s="9" t="s">
        <v>13284</v>
      </c>
      <c r="R2484" s="9" t="s">
        <v>13284</v>
      </c>
      <c r="S2484" s="9" t="s">
        <v>13284</v>
      </c>
      <c r="T2484" s="9" t="str">
        <f ca="1">IFERROR(IF(AND(VLOOKUP(A2484, 'Актуальное состояние (из общего'!A:C,3,0) = "", A2484 &lt;&gt; ""), "ПРОВЕРИТЬ", VLOOKUP(A2484, 'Актуальное состояние (из общего'!A:C,3,0)), "")</f>
        <v/>
      </c>
      <c r="U2484" s="9" t="s">
        <v>13284</v>
      </c>
      <c r="V2484" s="9" t="s">
        <v>13284</v>
      </c>
      <c r="W2484" s="12"/>
      <c r="X2484" s="9" t="str">
        <f t="array" ref="X2484">IFERROR(INDEX('Адреса общежитий (скрытый)'!$B$2:$B$9, MATCH(W2484, 'Адреса общежитий (скрытый)'!$A$2:$A$9, 0)), "")</f>
        <v/>
      </c>
      <c r="Y2484" s="18"/>
      <c r="Z2484" s="18"/>
      <c r="AA2484" s="18"/>
      <c r="AB2484" s="18"/>
      <c r="AC2484" s="18"/>
    </row>
    <row r="2485" spans="1:29" ht="32.25" hidden="1" customHeight="1">
      <c r="A2485" s="17"/>
      <c r="B2485" s="9" t="s">
        <v>13284</v>
      </c>
      <c r="C2485" s="9" t="s">
        <v>13284</v>
      </c>
      <c r="D2485" s="9" t="s">
        <v>13284</v>
      </c>
      <c r="E2485" s="9" t="s">
        <v>13284</v>
      </c>
      <c r="F2485" s="9" t="s">
        <v>13284</v>
      </c>
      <c r="G2485" s="9" t="s">
        <v>13284</v>
      </c>
      <c r="H2485" s="9" t="s">
        <v>13284</v>
      </c>
      <c r="I2485" s="9" t="s">
        <v>13284</v>
      </c>
      <c r="J2485" s="9" t="s">
        <v>13284</v>
      </c>
      <c r="K2485" s="9" t="s">
        <v>13284</v>
      </c>
      <c r="L2485" s="9" t="s">
        <v>13284</v>
      </c>
      <c r="M2485" s="9" t="s">
        <v>13284</v>
      </c>
      <c r="N2485" s="9" t="s">
        <v>13284</v>
      </c>
      <c r="O2485" s="9" t="s">
        <v>13284</v>
      </c>
      <c r="P2485" s="9" t="s">
        <v>13284</v>
      </c>
      <c r="Q2485" s="9" t="s">
        <v>13284</v>
      </c>
      <c r="R2485" s="9" t="s">
        <v>13284</v>
      </c>
      <c r="S2485" s="9" t="s">
        <v>13284</v>
      </c>
      <c r="T2485" s="9" t="str">
        <f ca="1">IFERROR(IF(AND(VLOOKUP(A2485, 'Актуальное состояние (из общего'!A:C,3,0) = "", A2485 &lt;&gt; ""), "ПРОВЕРИТЬ", VLOOKUP(A2485, 'Актуальное состояние (из общего'!A:C,3,0)), "")</f>
        <v/>
      </c>
      <c r="U2485" s="9" t="s">
        <v>13284</v>
      </c>
      <c r="V2485" s="9" t="s">
        <v>13284</v>
      </c>
      <c r="W2485" s="12"/>
      <c r="X2485" s="9" t="str">
        <f t="array" ref="X2485">IFERROR(INDEX('Адреса общежитий (скрытый)'!$B$2:$B$9, MATCH(W2485, 'Адреса общежитий (скрытый)'!$A$2:$A$9, 0)), "")</f>
        <v/>
      </c>
      <c r="Y2485" s="18"/>
      <c r="Z2485" s="18"/>
      <c r="AA2485" s="18"/>
      <c r="AB2485" s="18"/>
      <c r="AC2485" s="18"/>
    </row>
    <row r="2486" spans="1:29" ht="32.25" hidden="1" customHeight="1">
      <c r="A2486" s="17"/>
      <c r="B2486" s="9" t="s">
        <v>13284</v>
      </c>
      <c r="C2486" s="9" t="s">
        <v>13284</v>
      </c>
      <c r="D2486" s="9" t="s">
        <v>13284</v>
      </c>
      <c r="E2486" s="9" t="s">
        <v>13284</v>
      </c>
      <c r="F2486" s="9" t="s">
        <v>13284</v>
      </c>
      <c r="G2486" s="9" t="s">
        <v>13284</v>
      </c>
      <c r="H2486" s="9" t="s">
        <v>13284</v>
      </c>
      <c r="I2486" s="9" t="s">
        <v>13284</v>
      </c>
      <c r="J2486" s="9" t="s">
        <v>13284</v>
      </c>
      <c r="K2486" s="9" t="s">
        <v>13284</v>
      </c>
      <c r="L2486" s="9" t="s">
        <v>13284</v>
      </c>
      <c r="M2486" s="9" t="s">
        <v>13284</v>
      </c>
      <c r="N2486" s="9" t="s">
        <v>13284</v>
      </c>
      <c r="O2486" s="9" t="s">
        <v>13284</v>
      </c>
      <c r="P2486" s="9" t="s">
        <v>13284</v>
      </c>
      <c r="Q2486" s="9" t="s">
        <v>13284</v>
      </c>
      <c r="R2486" s="9" t="s">
        <v>13284</v>
      </c>
      <c r="S2486" s="9" t="s">
        <v>13284</v>
      </c>
      <c r="T2486" s="9" t="str">
        <f ca="1">IFERROR(IF(AND(VLOOKUP(A2486, 'Актуальное состояние (из общего'!A:C,3,0) = "", A2486 &lt;&gt; ""), "ПРОВЕРИТЬ", VLOOKUP(A2486, 'Актуальное состояние (из общего'!A:C,3,0)), "")</f>
        <v/>
      </c>
      <c r="U2486" s="9" t="s">
        <v>13284</v>
      </c>
      <c r="V2486" s="9" t="s">
        <v>13284</v>
      </c>
      <c r="W2486" s="12"/>
      <c r="X2486" s="9" t="str">
        <f t="array" ref="X2486">IFERROR(INDEX('Адреса общежитий (скрытый)'!$B$2:$B$9, MATCH(W2486, 'Адреса общежитий (скрытый)'!$A$2:$A$9, 0)), "")</f>
        <v/>
      </c>
      <c r="Y2486" s="18"/>
      <c r="Z2486" s="18"/>
      <c r="AA2486" s="18"/>
      <c r="AB2486" s="18"/>
      <c r="AC2486" s="18"/>
    </row>
    <row r="2487" spans="1:29" ht="32.25" hidden="1" customHeight="1">
      <c r="A2487" s="17"/>
      <c r="B2487" s="9" t="s">
        <v>13284</v>
      </c>
      <c r="C2487" s="9" t="s">
        <v>13284</v>
      </c>
      <c r="D2487" s="9" t="s">
        <v>13284</v>
      </c>
      <c r="E2487" s="9" t="s">
        <v>13284</v>
      </c>
      <c r="F2487" s="9" t="s">
        <v>13284</v>
      </c>
      <c r="G2487" s="9" t="s">
        <v>13284</v>
      </c>
      <c r="H2487" s="9" t="s">
        <v>13284</v>
      </c>
      <c r="I2487" s="9" t="s">
        <v>13284</v>
      </c>
      <c r="J2487" s="9" t="s">
        <v>13284</v>
      </c>
      <c r="K2487" s="9" t="s">
        <v>13284</v>
      </c>
      <c r="L2487" s="9" t="s">
        <v>13284</v>
      </c>
      <c r="M2487" s="9" t="s">
        <v>13284</v>
      </c>
      <c r="N2487" s="9" t="s">
        <v>13284</v>
      </c>
      <c r="O2487" s="9" t="s">
        <v>13284</v>
      </c>
      <c r="P2487" s="9" t="s">
        <v>13284</v>
      </c>
      <c r="Q2487" s="9" t="s">
        <v>13284</v>
      </c>
      <c r="R2487" s="9" t="s">
        <v>13284</v>
      </c>
      <c r="S2487" s="9" t="s">
        <v>13284</v>
      </c>
      <c r="T2487" s="9" t="str">
        <f ca="1">IFERROR(IF(AND(VLOOKUP(A2487, 'Актуальное состояние (из общего'!A:C,3,0) = "", A2487 &lt;&gt; ""), "ПРОВЕРИТЬ", VLOOKUP(A2487, 'Актуальное состояние (из общего'!A:C,3,0)), "")</f>
        <v/>
      </c>
      <c r="U2487" s="9" t="s">
        <v>13284</v>
      </c>
      <c r="V2487" s="9" t="s">
        <v>13284</v>
      </c>
      <c r="W2487" s="12"/>
      <c r="X2487" s="9" t="str">
        <f t="array" ref="X2487">IFERROR(INDEX('Адреса общежитий (скрытый)'!$B$2:$B$9, MATCH(W2487, 'Адреса общежитий (скрытый)'!$A$2:$A$9, 0)), "")</f>
        <v/>
      </c>
      <c r="Y2487" s="18"/>
      <c r="Z2487" s="18"/>
      <c r="AA2487" s="18"/>
      <c r="AB2487" s="18"/>
      <c r="AC2487" s="18"/>
    </row>
    <row r="2488" spans="1:29" ht="32.25" hidden="1" customHeight="1">
      <c r="A2488" s="17"/>
      <c r="B2488" s="9" t="s">
        <v>13284</v>
      </c>
      <c r="C2488" s="9" t="s">
        <v>13284</v>
      </c>
      <c r="D2488" s="9" t="s">
        <v>13284</v>
      </c>
      <c r="E2488" s="9" t="s">
        <v>13284</v>
      </c>
      <c r="F2488" s="9" t="s">
        <v>13284</v>
      </c>
      <c r="G2488" s="9" t="s">
        <v>13284</v>
      </c>
      <c r="H2488" s="9" t="s">
        <v>13284</v>
      </c>
      <c r="I2488" s="9" t="s">
        <v>13284</v>
      </c>
      <c r="J2488" s="9" t="s">
        <v>13284</v>
      </c>
      <c r="K2488" s="9" t="s">
        <v>13284</v>
      </c>
      <c r="L2488" s="9" t="s">
        <v>13284</v>
      </c>
      <c r="M2488" s="9" t="s">
        <v>13284</v>
      </c>
      <c r="N2488" s="9" t="s">
        <v>13284</v>
      </c>
      <c r="O2488" s="9" t="s">
        <v>13284</v>
      </c>
      <c r="P2488" s="9" t="s">
        <v>13284</v>
      </c>
      <c r="Q2488" s="9" t="s">
        <v>13284</v>
      </c>
      <c r="R2488" s="9" t="s">
        <v>13284</v>
      </c>
      <c r="S2488" s="9" t="s">
        <v>13284</v>
      </c>
      <c r="T2488" s="9" t="str">
        <f ca="1">IFERROR(IF(AND(VLOOKUP(A2488, 'Актуальное состояние (из общего'!A:C,3,0) = "", A2488 &lt;&gt; ""), "ПРОВЕРИТЬ", VLOOKUP(A2488, 'Актуальное состояние (из общего'!A:C,3,0)), "")</f>
        <v/>
      </c>
      <c r="U2488" s="9" t="s">
        <v>13284</v>
      </c>
      <c r="V2488" s="9" t="s">
        <v>13284</v>
      </c>
      <c r="W2488" s="12"/>
      <c r="X2488" s="9" t="str">
        <f t="array" ref="X2488">IFERROR(INDEX('Адреса общежитий (скрытый)'!$B$2:$B$9, MATCH(W2488, 'Адреса общежитий (скрытый)'!$A$2:$A$9, 0)), "")</f>
        <v/>
      </c>
      <c r="Y2488" s="18"/>
      <c r="Z2488" s="18"/>
      <c r="AA2488" s="18"/>
      <c r="AB2488" s="18"/>
      <c r="AC2488" s="18"/>
    </row>
    <row r="2489" spans="1:29" ht="32.25" hidden="1" customHeight="1">
      <c r="A2489" s="17"/>
      <c r="B2489" s="9" t="s">
        <v>13284</v>
      </c>
      <c r="C2489" s="9" t="s">
        <v>13284</v>
      </c>
      <c r="D2489" s="9" t="s">
        <v>13284</v>
      </c>
      <c r="E2489" s="9" t="s">
        <v>13284</v>
      </c>
      <c r="F2489" s="9" t="s">
        <v>13284</v>
      </c>
      <c r="G2489" s="9" t="s">
        <v>13284</v>
      </c>
      <c r="H2489" s="9" t="s">
        <v>13284</v>
      </c>
      <c r="I2489" s="9" t="s">
        <v>13284</v>
      </c>
      <c r="J2489" s="9" t="s">
        <v>13284</v>
      </c>
      <c r="K2489" s="9" t="s">
        <v>13284</v>
      </c>
      <c r="L2489" s="9" t="s">
        <v>13284</v>
      </c>
      <c r="M2489" s="9" t="s">
        <v>13284</v>
      </c>
      <c r="N2489" s="9" t="s">
        <v>13284</v>
      </c>
      <c r="O2489" s="9" t="s">
        <v>13284</v>
      </c>
      <c r="P2489" s="9" t="s">
        <v>13284</v>
      </c>
      <c r="Q2489" s="9" t="s">
        <v>13284</v>
      </c>
      <c r="R2489" s="9" t="s">
        <v>13284</v>
      </c>
      <c r="S2489" s="9" t="s">
        <v>13284</v>
      </c>
      <c r="T2489" s="9" t="str">
        <f ca="1">IFERROR(IF(AND(VLOOKUP(A2489, 'Актуальное состояние (из общего'!A:C,3,0) = "", A2489 &lt;&gt; ""), "ПРОВЕРИТЬ", VLOOKUP(A2489, 'Актуальное состояние (из общего'!A:C,3,0)), "")</f>
        <v/>
      </c>
      <c r="U2489" s="9" t="s">
        <v>13284</v>
      </c>
      <c r="V2489" s="9" t="s">
        <v>13284</v>
      </c>
      <c r="W2489" s="12"/>
      <c r="X2489" s="9" t="str">
        <f t="array" ref="X2489">IFERROR(INDEX('Адреса общежитий (скрытый)'!$B$2:$B$9, MATCH(W2489, 'Адреса общежитий (скрытый)'!$A$2:$A$9, 0)), "")</f>
        <v/>
      </c>
      <c r="Y2489" s="18"/>
      <c r="Z2489" s="18"/>
      <c r="AA2489" s="18"/>
      <c r="AB2489" s="18"/>
      <c r="AC2489" s="18"/>
    </row>
    <row r="2490" spans="1:29" ht="32.25" hidden="1" customHeight="1">
      <c r="A2490" s="17"/>
      <c r="B2490" s="9" t="s">
        <v>13284</v>
      </c>
      <c r="C2490" s="9" t="s">
        <v>13284</v>
      </c>
      <c r="D2490" s="9" t="s">
        <v>13284</v>
      </c>
      <c r="E2490" s="9" t="s">
        <v>13284</v>
      </c>
      <c r="F2490" s="9" t="s">
        <v>13284</v>
      </c>
      <c r="G2490" s="9" t="s">
        <v>13284</v>
      </c>
      <c r="H2490" s="9" t="s">
        <v>13284</v>
      </c>
      <c r="I2490" s="9" t="s">
        <v>13284</v>
      </c>
      <c r="J2490" s="9" t="s">
        <v>13284</v>
      </c>
      <c r="K2490" s="9" t="s">
        <v>13284</v>
      </c>
      <c r="L2490" s="9" t="s">
        <v>13284</v>
      </c>
      <c r="M2490" s="9" t="s">
        <v>13284</v>
      </c>
      <c r="N2490" s="9" t="s">
        <v>13284</v>
      </c>
      <c r="O2490" s="9" t="s">
        <v>13284</v>
      </c>
      <c r="P2490" s="9" t="s">
        <v>13284</v>
      </c>
      <c r="Q2490" s="9" t="s">
        <v>13284</v>
      </c>
      <c r="R2490" s="9" t="s">
        <v>13284</v>
      </c>
      <c r="S2490" s="9" t="s">
        <v>13284</v>
      </c>
      <c r="T2490" s="9" t="str">
        <f ca="1">IFERROR(IF(AND(VLOOKUP(A2490, 'Актуальное состояние (из общего'!A:C,3,0) = "", A2490 &lt;&gt; ""), "ПРОВЕРИТЬ", VLOOKUP(A2490, 'Актуальное состояние (из общего'!A:C,3,0)), "")</f>
        <v/>
      </c>
      <c r="U2490" s="9" t="s">
        <v>13284</v>
      </c>
      <c r="V2490" s="9" t="s">
        <v>13284</v>
      </c>
      <c r="W2490" s="12"/>
      <c r="X2490" s="9" t="str">
        <f t="array" ref="X2490">IFERROR(INDEX('Адреса общежитий (скрытый)'!$B$2:$B$9, MATCH(W2490, 'Адреса общежитий (скрытый)'!$A$2:$A$9, 0)), "")</f>
        <v/>
      </c>
      <c r="Y2490" s="18"/>
      <c r="Z2490" s="18"/>
      <c r="AA2490" s="18"/>
      <c r="AB2490" s="18"/>
      <c r="AC2490" s="18"/>
    </row>
    <row r="2491" spans="1:29" ht="32.25" hidden="1" customHeight="1">
      <c r="A2491" s="17"/>
      <c r="B2491" s="9" t="s">
        <v>13284</v>
      </c>
      <c r="C2491" s="9" t="s">
        <v>13284</v>
      </c>
      <c r="D2491" s="9" t="s">
        <v>13284</v>
      </c>
      <c r="E2491" s="9" t="s">
        <v>13284</v>
      </c>
      <c r="F2491" s="9" t="s">
        <v>13284</v>
      </c>
      <c r="G2491" s="9" t="s">
        <v>13284</v>
      </c>
      <c r="H2491" s="9" t="s">
        <v>13284</v>
      </c>
      <c r="I2491" s="9" t="s">
        <v>13284</v>
      </c>
      <c r="J2491" s="9" t="s">
        <v>13284</v>
      </c>
      <c r="K2491" s="9" t="s">
        <v>13284</v>
      </c>
      <c r="L2491" s="9" t="s">
        <v>13284</v>
      </c>
      <c r="M2491" s="9" t="s">
        <v>13284</v>
      </c>
      <c r="N2491" s="9" t="s">
        <v>13284</v>
      </c>
      <c r="O2491" s="9" t="s">
        <v>13284</v>
      </c>
      <c r="P2491" s="9" t="s">
        <v>13284</v>
      </c>
      <c r="Q2491" s="9" t="s">
        <v>13284</v>
      </c>
      <c r="R2491" s="9" t="s">
        <v>13284</v>
      </c>
      <c r="S2491" s="9" t="s">
        <v>13284</v>
      </c>
      <c r="T2491" s="9" t="str">
        <f ca="1">IFERROR(IF(AND(VLOOKUP(A2491, 'Актуальное состояние (из общего'!A:C,3,0) = "", A2491 &lt;&gt; ""), "ПРОВЕРИТЬ", VLOOKUP(A2491, 'Актуальное состояние (из общего'!A:C,3,0)), "")</f>
        <v/>
      </c>
      <c r="U2491" s="9" t="s">
        <v>13284</v>
      </c>
      <c r="V2491" s="9" t="s">
        <v>13284</v>
      </c>
      <c r="W2491" s="12"/>
      <c r="X2491" s="9" t="str">
        <f t="array" ref="X2491">IFERROR(INDEX('Адреса общежитий (скрытый)'!$B$2:$B$9, MATCH(W2491, 'Адреса общежитий (скрытый)'!$A$2:$A$9, 0)), "")</f>
        <v/>
      </c>
      <c r="Y2491" s="18"/>
      <c r="Z2491" s="18"/>
      <c r="AA2491" s="18"/>
      <c r="AB2491" s="18"/>
      <c r="AC2491" s="18"/>
    </row>
    <row r="2492" spans="1:29" ht="32.25" hidden="1" customHeight="1">
      <c r="A2492" s="17"/>
      <c r="B2492" s="9" t="s">
        <v>13284</v>
      </c>
      <c r="C2492" s="9" t="s">
        <v>13284</v>
      </c>
      <c r="D2492" s="9" t="s">
        <v>13284</v>
      </c>
      <c r="E2492" s="9" t="s">
        <v>13284</v>
      </c>
      <c r="F2492" s="9" t="s">
        <v>13284</v>
      </c>
      <c r="G2492" s="9" t="s">
        <v>13284</v>
      </c>
      <c r="H2492" s="9" t="s">
        <v>13284</v>
      </c>
      <c r="I2492" s="9" t="s">
        <v>13284</v>
      </c>
      <c r="J2492" s="9" t="s">
        <v>13284</v>
      </c>
      <c r="K2492" s="9" t="s">
        <v>13284</v>
      </c>
      <c r="L2492" s="9" t="s">
        <v>13284</v>
      </c>
      <c r="M2492" s="9" t="s">
        <v>13284</v>
      </c>
      <c r="N2492" s="9" t="s">
        <v>13284</v>
      </c>
      <c r="O2492" s="9" t="s">
        <v>13284</v>
      </c>
      <c r="P2492" s="9" t="s">
        <v>13284</v>
      </c>
      <c r="Q2492" s="9" t="s">
        <v>13284</v>
      </c>
      <c r="R2492" s="9" t="s">
        <v>13284</v>
      </c>
      <c r="S2492" s="9" t="s">
        <v>13284</v>
      </c>
      <c r="T2492" s="9" t="str">
        <f ca="1">IFERROR(IF(AND(VLOOKUP(A2492, 'Актуальное состояние (из общего'!A:C,3,0) = "", A2492 &lt;&gt; ""), "ПРОВЕРИТЬ", VLOOKUP(A2492, 'Актуальное состояние (из общего'!A:C,3,0)), "")</f>
        <v/>
      </c>
      <c r="U2492" s="9" t="s">
        <v>13284</v>
      </c>
      <c r="V2492" s="9" t="s">
        <v>13284</v>
      </c>
      <c r="W2492" s="12"/>
      <c r="X2492" s="9" t="str">
        <f t="array" ref="X2492">IFERROR(INDEX('Адреса общежитий (скрытый)'!$B$2:$B$9, MATCH(W2492, 'Адреса общежитий (скрытый)'!$A$2:$A$9, 0)), "")</f>
        <v/>
      </c>
      <c r="Y2492" s="18"/>
      <c r="Z2492" s="18"/>
      <c r="AA2492" s="18"/>
      <c r="AB2492" s="18"/>
      <c r="AC2492" s="18"/>
    </row>
    <row r="2493" spans="1:29" ht="32.25" hidden="1" customHeight="1">
      <c r="A2493" s="17"/>
      <c r="B2493" s="9" t="s">
        <v>13284</v>
      </c>
      <c r="C2493" s="9" t="s">
        <v>13284</v>
      </c>
      <c r="D2493" s="9" t="s">
        <v>13284</v>
      </c>
      <c r="E2493" s="9" t="s">
        <v>13284</v>
      </c>
      <c r="F2493" s="9" t="s">
        <v>13284</v>
      </c>
      <c r="G2493" s="9" t="s">
        <v>13284</v>
      </c>
      <c r="H2493" s="9" t="s">
        <v>13284</v>
      </c>
      <c r="I2493" s="9" t="s">
        <v>13284</v>
      </c>
      <c r="J2493" s="9" t="s">
        <v>13284</v>
      </c>
      <c r="K2493" s="9" t="s">
        <v>13284</v>
      </c>
      <c r="L2493" s="9" t="s">
        <v>13284</v>
      </c>
      <c r="M2493" s="9" t="s">
        <v>13284</v>
      </c>
      <c r="N2493" s="9" t="s">
        <v>13284</v>
      </c>
      <c r="O2493" s="9" t="s">
        <v>13284</v>
      </c>
      <c r="P2493" s="9" t="s">
        <v>13284</v>
      </c>
      <c r="Q2493" s="9" t="s">
        <v>13284</v>
      </c>
      <c r="R2493" s="9" t="s">
        <v>13284</v>
      </c>
      <c r="S2493" s="9" t="s">
        <v>13284</v>
      </c>
      <c r="T2493" s="9" t="str">
        <f ca="1">IFERROR(IF(AND(VLOOKUP(A2493, 'Актуальное состояние (из общего'!A:C,3,0) = "", A2493 &lt;&gt; ""), "ПРОВЕРИТЬ", VLOOKUP(A2493, 'Актуальное состояние (из общего'!A:C,3,0)), "")</f>
        <v/>
      </c>
      <c r="U2493" s="9" t="s">
        <v>13284</v>
      </c>
      <c r="V2493" s="9" t="s">
        <v>13284</v>
      </c>
      <c r="W2493" s="12"/>
      <c r="X2493" s="9" t="str">
        <f t="array" ref="X2493">IFERROR(INDEX('Адреса общежитий (скрытый)'!$B$2:$B$9, MATCH(W2493, 'Адреса общежитий (скрытый)'!$A$2:$A$9, 0)), "")</f>
        <v/>
      </c>
      <c r="Y2493" s="18"/>
      <c r="Z2493" s="18"/>
      <c r="AA2493" s="18"/>
      <c r="AB2493" s="18"/>
      <c r="AC2493" s="18"/>
    </row>
    <row r="2494" spans="1:29" ht="32.25" hidden="1" customHeight="1">
      <c r="A2494" s="17"/>
      <c r="B2494" s="9" t="s">
        <v>13284</v>
      </c>
      <c r="C2494" s="9" t="s">
        <v>13284</v>
      </c>
      <c r="D2494" s="9" t="s">
        <v>13284</v>
      </c>
      <c r="E2494" s="9" t="s">
        <v>13284</v>
      </c>
      <c r="F2494" s="9" t="s">
        <v>13284</v>
      </c>
      <c r="G2494" s="9" t="s">
        <v>13284</v>
      </c>
      <c r="H2494" s="9" t="s">
        <v>13284</v>
      </c>
      <c r="I2494" s="9" t="s">
        <v>13284</v>
      </c>
      <c r="J2494" s="9" t="s">
        <v>13284</v>
      </c>
      <c r="K2494" s="9" t="s">
        <v>13284</v>
      </c>
      <c r="L2494" s="9" t="s">
        <v>13284</v>
      </c>
      <c r="M2494" s="9" t="s">
        <v>13284</v>
      </c>
      <c r="N2494" s="9" t="s">
        <v>13284</v>
      </c>
      <c r="O2494" s="9" t="s">
        <v>13284</v>
      </c>
      <c r="P2494" s="9" t="s">
        <v>13284</v>
      </c>
      <c r="Q2494" s="9" t="s">
        <v>13284</v>
      </c>
      <c r="R2494" s="9" t="s">
        <v>13284</v>
      </c>
      <c r="S2494" s="9" t="s">
        <v>13284</v>
      </c>
      <c r="T2494" s="9" t="str">
        <f ca="1">IFERROR(IF(AND(VLOOKUP(A2494, 'Актуальное состояние (из общего'!A:C,3,0) = "", A2494 &lt;&gt; ""), "ПРОВЕРИТЬ", VLOOKUP(A2494, 'Актуальное состояние (из общего'!A:C,3,0)), "")</f>
        <v/>
      </c>
      <c r="U2494" s="9" t="s">
        <v>13284</v>
      </c>
      <c r="V2494" s="9" t="s">
        <v>13284</v>
      </c>
      <c r="W2494" s="12"/>
      <c r="X2494" s="9" t="str">
        <f t="array" ref="X2494">IFERROR(INDEX('Адреса общежитий (скрытый)'!$B$2:$B$9, MATCH(W2494, 'Адреса общежитий (скрытый)'!$A$2:$A$9, 0)), "")</f>
        <v/>
      </c>
      <c r="Y2494" s="18"/>
      <c r="Z2494" s="18"/>
      <c r="AA2494" s="18"/>
      <c r="AB2494" s="18"/>
      <c r="AC2494" s="18"/>
    </row>
    <row r="2495" spans="1:29" ht="32.25" hidden="1" customHeight="1">
      <c r="A2495" s="17"/>
      <c r="B2495" s="9" t="s">
        <v>13284</v>
      </c>
      <c r="C2495" s="9" t="s">
        <v>13284</v>
      </c>
      <c r="D2495" s="9" t="s">
        <v>13284</v>
      </c>
      <c r="E2495" s="9" t="s">
        <v>13284</v>
      </c>
      <c r="F2495" s="9" t="s">
        <v>13284</v>
      </c>
      <c r="G2495" s="9" t="s">
        <v>13284</v>
      </c>
      <c r="H2495" s="9" t="s">
        <v>13284</v>
      </c>
      <c r="I2495" s="9" t="s">
        <v>13284</v>
      </c>
      <c r="J2495" s="9" t="s">
        <v>13284</v>
      </c>
      <c r="K2495" s="9" t="s">
        <v>13284</v>
      </c>
      <c r="L2495" s="9" t="s">
        <v>13284</v>
      </c>
      <c r="M2495" s="9" t="s">
        <v>13284</v>
      </c>
      <c r="N2495" s="9" t="s">
        <v>13284</v>
      </c>
      <c r="O2495" s="9" t="s">
        <v>13284</v>
      </c>
      <c r="P2495" s="9" t="s">
        <v>13284</v>
      </c>
      <c r="Q2495" s="9" t="s">
        <v>13284</v>
      </c>
      <c r="R2495" s="9" t="s">
        <v>13284</v>
      </c>
      <c r="S2495" s="9" t="s">
        <v>13284</v>
      </c>
      <c r="T2495" s="9" t="str">
        <f ca="1">IFERROR(IF(AND(VLOOKUP(A2495, 'Актуальное состояние (из общего'!A:C,3,0) = "", A2495 &lt;&gt; ""), "ПРОВЕРИТЬ", VLOOKUP(A2495, 'Актуальное состояние (из общего'!A:C,3,0)), "")</f>
        <v/>
      </c>
      <c r="U2495" s="9" t="s">
        <v>13284</v>
      </c>
      <c r="V2495" s="9" t="s">
        <v>13284</v>
      </c>
      <c r="W2495" s="12"/>
      <c r="X2495" s="9" t="str">
        <f t="array" ref="X2495">IFERROR(INDEX('Адреса общежитий (скрытый)'!$B$2:$B$9, MATCH(W2495, 'Адреса общежитий (скрытый)'!$A$2:$A$9, 0)), "")</f>
        <v/>
      </c>
      <c r="Y2495" s="18"/>
      <c r="Z2495" s="18"/>
      <c r="AA2495" s="18"/>
      <c r="AB2495" s="18"/>
      <c r="AC2495" s="18"/>
    </row>
    <row r="2496" spans="1:29" ht="32.25" hidden="1" customHeight="1">
      <c r="A2496" s="17"/>
      <c r="B2496" s="9" t="s">
        <v>13284</v>
      </c>
      <c r="C2496" s="9" t="s">
        <v>13284</v>
      </c>
      <c r="D2496" s="9" t="s">
        <v>13284</v>
      </c>
      <c r="E2496" s="9" t="s">
        <v>13284</v>
      </c>
      <c r="F2496" s="9" t="s">
        <v>13284</v>
      </c>
      <c r="G2496" s="9" t="s">
        <v>13284</v>
      </c>
      <c r="H2496" s="9" t="s">
        <v>13284</v>
      </c>
      <c r="I2496" s="9" t="s">
        <v>13284</v>
      </c>
      <c r="J2496" s="9" t="s">
        <v>13284</v>
      </c>
      <c r="K2496" s="9" t="s">
        <v>13284</v>
      </c>
      <c r="L2496" s="9" t="s">
        <v>13284</v>
      </c>
      <c r="M2496" s="9" t="s">
        <v>13284</v>
      </c>
      <c r="N2496" s="9" t="s">
        <v>13284</v>
      </c>
      <c r="O2496" s="9" t="s">
        <v>13284</v>
      </c>
      <c r="P2496" s="9" t="s">
        <v>13284</v>
      </c>
      <c r="Q2496" s="9" t="s">
        <v>13284</v>
      </c>
      <c r="R2496" s="9" t="s">
        <v>13284</v>
      </c>
      <c r="S2496" s="9" t="s">
        <v>13284</v>
      </c>
      <c r="T2496" s="9" t="str">
        <f ca="1">IFERROR(IF(AND(VLOOKUP(A2496, 'Актуальное состояние (из общего'!A:C,3,0) = "", A2496 &lt;&gt; ""), "ПРОВЕРИТЬ", VLOOKUP(A2496, 'Актуальное состояние (из общего'!A:C,3,0)), "")</f>
        <v/>
      </c>
      <c r="U2496" s="9" t="s">
        <v>13284</v>
      </c>
      <c r="V2496" s="9" t="s">
        <v>13284</v>
      </c>
      <c r="W2496" s="12"/>
      <c r="X2496" s="9" t="str">
        <f t="array" ref="X2496">IFERROR(INDEX('Адреса общежитий (скрытый)'!$B$2:$B$9, MATCH(W2496, 'Адреса общежитий (скрытый)'!$A$2:$A$9, 0)), "")</f>
        <v/>
      </c>
      <c r="Y2496" s="18"/>
      <c r="Z2496" s="18"/>
      <c r="AA2496" s="18"/>
      <c r="AB2496" s="18"/>
      <c r="AC2496" s="18"/>
    </row>
    <row r="2497" spans="1:29" ht="32.25" hidden="1" customHeight="1">
      <c r="A2497" s="17"/>
      <c r="B2497" s="9" t="s">
        <v>13284</v>
      </c>
      <c r="C2497" s="9" t="s">
        <v>13284</v>
      </c>
      <c r="D2497" s="9" t="s">
        <v>13284</v>
      </c>
      <c r="E2497" s="9" t="s">
        <v>13284</v>
      </c>
      <c r="F2497" s="9" t="s">
        <v>13284</v>
      </c>
      <c r="G2497" s="9" t="s">
        <v>13284</v>
      </c>
      <c r="H2497" s="9" t="s">
        <v>13284</v>
      </c>
      <c r="I2497" s="9" t="s">
        <v>13284</v>
      </c>
      <c r="J2497" s="9" t="s">
        <v>13284</v>
      </c>
      <c r="K2497" s="9" t="s">
        <v>13284</v>
      </c>
      <c r="L2497" s="9" t="s">
        <v>13284</v>
      </c>
      <c r="M2497" s="9" t="s">
        <v>13284</v>
      </c>
      <c r="N2497" s="9" t="s">
        <v>13284</v>
      </c>
      <c r="O2497" s="9" t="s">
        <v>13284</v>
      </c>
      <c r="P2497" s="9" t="s">
        <v>13284</v>
      </c>
      <c r="Q2497" s="9" t="s">
        <v>13284</v>
      </c>
      <c r="R2497" s="9" t="s">
        <v>13284</v>
      </c>
      <c r="S2497" s="9" t="s">
        <v>13284</v>
      </c>
      <c r="T2497" s="9" t="str">
        <f ca="1">IFERROR(IF(AND(VLOOKUP(A2497, 'Актуальное состояние (из общего'!A:C,3,0) = "", A2497 &lt;&gt; ""), "ПРОВЕРИТЬ", VLOOKUP(A2497, 'Актуальное состояние (из общего'!A:C,3,0)), "")</f>
        <v/>
      </c>
      <c r="U2497" s="9" t="s">
        <v>13284</v>
      </c>
      <c r="V2497" s="9" t="s">
        <v>13284</v>
      </c>
      <c r="W2497" s="12"/>
      <c r="X2497" s="9" t="str">
        <f t="array" ref="X2497">IFERROR(INDEX('Адреса общежитий (скрытый)'!$B$2:$B$9, MATCH(W2497, 'Адреса общежитий (скрытый)'!$A$2:$A$9, 0)), "")</f>
        <v/>
      </c>
      <c r="Y2497" s="18"/>
      <c r="Z2497" s="18"/>
      <c r="AA2497" s="18"/>
      <c r="AB2497" s="18"/>
      <c r="AC2497" s="18"/>
    </row>
    <row r="2498" spans="1:29" ht="32.25" hidden="1" customHeight="1">
      <c r="A2498" s="17"/>
      <c r="B2498" s="9" t="s">
        <v>13284</v>
      </c>
      <c r="C2498" s="9" t="s">
        <v>13284</v>
      </c>
      <c r="D2498" s="9" t="s">
        <v>13284</v>
      </c>
      <c r="E2498" s="9" t="s">
        <v>13284</v>
      </c>
      <c r="F2498" s="9" t="s">
        <v>13284</v>
      </c>
      <c r="G2498" s="9" t="s">
        <v>13284</v>
      </c>
      <c r="H2498" s="9" t="s">
        <v>13284</v>
      </c>
      <c r="I2498" s="9" t="s">
        <v>13284</v>
      </c>
      <c r="J2498" s="9" t="s">
        <v>13284</v>
      </c>
      <c r="K2498" s="9" t="s">
        <v>13284</v>
      </c>
      <c r="L2498" s="9" t="s">
        <v>13284</v>
      </c>
      <c r="M2498" s="9" t="s">
        <v>13284</v>
      </c>
      <c r="N2498" s="9" t="s">
        <v>13284</v>
      </c>
      <c r="O2498" s="9" t="s">
        <v>13284</v>
      </c>
      <c r="P2498" s="9" t="s">
        <v>13284</v>
      </c>
      <c r="Q2498" s="9" t="s">
        <v>13284</v>
      </c>
      <c r="R2498" s="9" t="s">
        <v>13284</v>
      </c>
      <c r="S2498" s="9" t="s">
        <v>13284</v>
      </c>
      <c r="T2498" s="9" t="str">
        <f ca="1">IFERROR(IF(AND(VLOOKUP(A2498, 'Актуальное состояние (из общего'!A:C,3,0) = "", A2498 &lt;&gt; ""), "ПРОВЕРИТЬ", VLOOKUP(A2498, 'Актуальное состояние (из общего'!A:C,3,0)), "")</f>
        <v/>
      </c>
      <c r="U2498" s="9" t="s">
        <v>13284</v>
      </c>
      <c r="V2498" s="9" t="s">
        <v>13284</v>
      </c>
      <c r="W2498" s="12"/>
      <c r="X2498" s="9" t="str">
        <f t="array" ref="X2498">IFERROR(INDEX('Адреса общежитий (скрытый)'!$B$2:$B$9, MATCH(W2498, 'Адреса общежитий (скрытый)'!$A$2:$A$9, 0)), "")</f>
        <v/>
      </c>
      <c r="Y2498" s="18"/>
      <c r="Z2498" s="18"/>
      <c r="AA2498" s="18"/>
      <c r="AB2498" s="18"/>
      <c r="AC2498" s="18"/>
    </row>
    <row r="2499" spans="1:29" ht="32.25" hidden="1" customHeight="1">
      <c r="A2499" s="17"/>
      <c r="B2499" s="9" t="s">
        <v>13284</v>
      </c>
      <c r="C2499" s="9" t="s">
        <v>13284</v>
      </c>
      <c r="D2499" s="9" t="s">
        <v>13284</v>
      </c>
      <c r="E2499" s="9" t="s">
        <v>13284</v>
      </c>
      <c r="F2499" s="9" t="s">
        <v>13284</v>
      </c>
      <c r="G2499" s="9" t="s">
        <v>13284</v>
      </c>
      <c r="H2499" s="9" t="s">
        <v>13284</v>
      </c>
      <c r="I2499" s="9" t="s">
        <v>13284</v>
      </c>
      <c r="J2499" s="9" t="s">
        <v>13284</v>
      </c>
      <c r="K2499" s="9" t="s">
        <v>13284</v>
      </c>
      <c r="L2499" s="9" t="s">
        <v>13284</v>
      </c>
      <c r="M2499" s="9" t="s">
        <v>13284</v>
      </c>
      <c r="N2499" s="9" t="s">
        <v>13284</v>
      </c>
      <c r="O2499" s="9" t="s">
        <v>13284</v>
      </c>
      <c r="P2499" s="9" t="s">
        <v>13284</v>
      </c>
      <c r="Q2499" s="9" t="s">
        <v>13284</v>
      </c>
      <c r="R2499" s="9" t="s">
        <v>13284</v>
      </c>
      <c r="S2499" s="9" t="s">
        <v>13284</v>
      </c>
      <c r="T2499" s="9" t="str">
        <f ca="1">IFERROR(IF(AND(VLOOKUP(A2499, 'Актуальное состояние (из общего'!A:C,3,0) = "", A2499 &lt;&gt; ""), "ПРОВЕРИТЬ", VLOOKUP(A2499, 'Актуальное состояние (из общего'!A:C,3,0)), "")</f>
        <v/>
      </c>
      <c r="U2499" s="9" t="s">
        <v>13284</v>
      </c>
      <c r="V2499" s="9" t="s">
        <v>13284</v>
      </c>
      <c r="W2499" s="12"/>
      <c r="X2499" s="9" t="str">
        <f t="array" ref="X2499">IFERROR(INDEX('Адреса общежитий (скрытый)'!$B$2:$B$9, MATCH(W2499, 'Адреса общежитий (скрытый)'!$A$2:$A$9, 0)), "")</f>
        <v/>
      </c>
      <c r="Y2499" s="18"/>
      <c r="Z2499" s="18"/>
      <c r="AA2499" s="18"/>
      <c r="AB2499" s="18"/>
      <c r="AC2499" s="18"/>
    </row>
    <row r="2500" spans="1:29" ht="32.25" hidden="1" customHeight="1">
      <c r="A2500" s="17"/>
      <c r="B2500" s="9" t="s">
        <v>13284</v>
      </c>
      <c r="C2500" s="9" t="s">
        <v>13284</v>
      </c>
      <c r="D2500" s="9" t="s">
        <v>13284</v>
      </c>
      <c r="E2500" s="9" t="s">
        <v>13284</v>
      </c>
      <c r="F2500" s="9" t="s">
        <v>13284</v>
      </c>
      <c r="G2500" s="9" t="s">
        <v>13284</v>
      </c>
      <c r="H2500" s="9" t="s">
        <v>13284</v>
      </c>
      <c r="I2500" s="9" t="s">
        <v>13284</v>
      </c>
      <c r="J2500" s="9" t="s">
        <v>13284</v>
      </c>
      <c r="K2500" s="9" t="s">
        <v>13284</v>
      </c>
      <c r="L2500" s="9" t="s">
        <v>13284</v>
      </c>
      <c r="M2500" s="9" t="s">
        <v>13284</v>
      </c>
      <c r="N2500" s="9" t="s">
        <v>13284</v>
      </c>
      <c r="O2500" s="9" t="s">
        <v>13284</v>
      </c>
      <c r="P2500" s="9" t="s">
        <v>13284</v>
      </c>
      <c r="Q2500" s="9" t="s">
        <v>13284</v>
      </c>
      <c r="R2500" s="9" t="s">
        <v>13284</v>
      </c>
      <c r="S2500" s="9" t="s">
        <v>13284</v>
      </c>
      <c r="T2500" s="9" t="str">
        <f ca="1">IFERROR(IF(AND(VLOOKUP(A2500, 'Актуальное состояние (из общего'!A:C,3,0) = "", A2500 &lt;&gt; ""), "ПРОВЕРИТЬ", VLOOKUP(A2500, 'Актуальное состояние (из общего'!A:C,3,0)), "")</f>
        <v/>
      </c>
      <c r="U2500" s="9" t="s">
        <v>13284</v>
      </c>
      <c r="V2500" s="9" t="s">
        <v>13284</v>
      </c>
      <c r="W2500" s="12"/>
      <c r="X2500" s="9" t="str">
        <f t="array" ref="X2500">IFERROR(INDEX('Адреса общежитий (скрытый)'!$B$2:$B$9, MATCH(W2500, 'Адреса общежитий (скрытый)'!$A$2:$A$9, 0)), "")</f>
        <v/>
      </c>
      <c r="Y2500" s="18"/>
      <c r="Z2500" s="18"/>
      <c r="AA2500" s="18"/>
      <c r="AB2500" s="18"/>
      <c r="AC2500" s="18"/>
    </row>
    <row r="2501" spans="1:29" ht="32.25" hidden="1" customHeight="1">
      <c r="A2501" s="17"/>
      <c r="B2501" s="9" t="s">
        <v>13284</v>
      </c>
      <c r="C2501" s="9" t="s">
        <v>13284</v>
      </c>
      <c r="D2501" s="9" t="s">
        <v>13284</v>
      </c>
      <c r="E2501" s="9" t="s">
        <v>13284</v>
      </c>
      <c r="F2501" s="9" t="s">
        <v>13284</v>
      </c>
      <c r="G2501" s="9" t="s">
        <v>13284</v>
      </c>
      <c r="H2501" s="9" t="s">
        <v>13284</v>
      </c>
      <c r="I2501" s="9" t="s">
        <v>13284</v>
      </c>
      <c r="J2501" s="9" t="s">
        <v>13284</v>
      </c>
      <c r="K2501" s="9" t="s">
        <v>13284</v>
      </c>
      <c r="L2501" s="9" t="s">
        <v>13284</v>
      </c>
      <c r="M2501" s="9" t="s">
        <v>13284</v>
      </c>
      <c r="N2501" s="9" t="s">
        <v>13284</v>
      </c>
      <c r="O2501" s="9" t="s">
        <v>13284</v>
      </c>
      <c r="P2501" s="9" t="s">
        <v>13284</v>
      </c>
      <c r="Q2501" s="9" t="s">
        <v>13284</v>
      </c>
      <c r="R2501" s="9" t="s">
        <v>13284</v>
      </c>
      <c r="S2501" s="9" t="s">
        <v>13284</v>
      </c>
      <c r="T2501" s="9" t="str">
        <f ca="1">IFERROR(IF(AND(VLOOKUP(A2501, 'Актуальное состояние (из общего'!A:C,3,0) = "", A2501 &lt;&gt; ""), "ПРОВЕРИТЬ", VLOOKUP(A2501, 'Актуальное состояние (из общего'!A:C,3,0)), "")</f>
        <v/>
      </c>
      <c r="U2501" s="9" t="s">
        <v>13284</v>
      </c>
      <c r="V2501" s="9" t="s">
        <v>13284</v>
      </c>
      <c r="W2501" s="12"/>
      <c r="X2501" s="9" t="str">
        <f t="array" ref="X2501">IFERROR(INDEX('Адреса общежитий (скрытый)'!$B$2:$B$9, MATCH(W2501, 'Адреса общежитий (скрытый)'!$A$2:$A$9, 0)), "")</f>
        <v/>
      </c>
      <c r="Y2501" s="18"/>
      <c r="Z2501" s="18"/>
      <c r="AA2501" s="18"/>
      <c r="AB2501" s="18"/>
      <c r="AC2501" s="18"/>
    </row>
    <row r="2502" spans="1:29" ht="32.25" hidden="1" customHeight="1">
      <c r="A2502" s="17"/>
      <c r="B2502" s="9" t="s">
        <v>13284</v>
      </c>
      <c r="C2502" s="9" t="s">
        <v>13284</v>
      </c>
      <c r="D2502" s="9" t="s">
        <v>13284</v>
      </c>
      <c r="E2502" s="9" t="s">
        <v>13284</v>
      </c>
      <c r="F2502" s="9" t="s">
        <v>13284</v>
      </c>
      <c r="G2502" s="9" t="s">
        <v>13284</v>
      </c>
      <c r="H2502" s="9" t="s">
        <v>13284</v>
      </c>
      <c r="I2502" s="9" t="s">
        <v>13284</v>
      </c>
      <c r="J2502" s="9" t="s">
        <v>13284</v>
      </c>
      <c r="K2502" s="9" t="s">
        <v>13284</v>
      </c>
      <c r="L2502" s="9" t="s">
        <v>13284</v>
      </c>
      <c r="M2502" s="9" t="s">
        <v>13284</v>
      </c>
      <c r="N2502" s="9" t="s">
        <v>13284</v>
      </c>
      <c r="O2502" s="9" t="s">
        <v>13284</v>
      </c>
      <c r="P2502" s="9" t="s">
        <v>13284</v>
      </c>
      <c r="Q2502" s="9" t="s">
        <v>13284</v>
      </c>
      <c r="R2502" s="9" t="s">
        <v>13284</v>
      </c>
      <c r="S2502" s="9" t="s">
        <v>13284</v>
      </c>
      <c r="T2502" s="9" t="str">
        <f ca="1">IFERROR(IF(AND(VLOOKUP(A2502, 'Актуальное состояние (из общего'!A:C,3,0) = "", A2502 &lt;&gt; ""), "ПРОВЕРИТЬ", VLOOKUP(A2502, 'Актуальное состояние (из общего'!A:C,3,0)), "")</f>
        <v/>
      </c>
      <c r="U2502" s="9" t="s">
        <v>13284</v>
      </c>
      <c r="V2502" s="9" t="s">
        <v>13284</v>
      </c>
      <c r="W2502" s="12"/>
      <c r="X2502" s="9" t="str">
        <f t="array" ref="X2502">IFERROR(INDEX('Адреса общежитий (скрытый)'!$B$2:$B$9, MATCH(W2502, 'Адреса общежитий (скрытый)'!$A$2:$A$9, 0)), "")</f>
        <v/>
      </c>
      <c r="Y2502" s="18"/>
      <c r="Z2502" s="18"/>
      <c r="AA2502" s="18"/>
      <c r="AB2502" s="18"/>
      <c r="AC2502" s="18"/>
    </row>
    <row r="2503" spans="1:29" ht="32.25" hidden="1" customHeight="1">
      <c r="A2503" s="17"/>
      <c r="B2503" s="9" t="s">
        <v>13284</v>
      </c>
      <c r="C2503" s="9" t="s">
        <v>13284</v>
      </c>
      <c r="D2503" s="9" t="s">
        <v>13284</v>
      </c>
      <c r="E2503" s="9" t="s">
        <v>13284</v>
      </c>
      <c r="F2503" s="9" t="s">
        <v>13284</v>
      </c>
      <c r="G2503" s="9" t="s">
        <v>13284</v>
      </c>
      <c r="H2503" s="9" t="s">
        <v>13284</v>
      </c>
      <c r="I2503" s="9" t="s">
        <v>13284</v>
      </c>
      <c r="J2503" s="9" t="s">
        <v>13284</v>
      </c>
      <c r="K2503" s="9" t="s">
        <v>13284</v>
      </c>
      <c r="L2503" s="9" t="s">
        <v>13284</v>
      </c>
      <c r="M2503" s="9" t="s">
        <v>13284</v>
      </c>
      <c r="N2503" s="9" t="s">
        <v>13284</v>
      </c>
      <c r="O2503" s="9" t="s">
        <v>13284</v>
      </c>
      <c r="P2503" s="9" t="s">
        <v>13284</v>
      </c>
      <c r="Q2503" s="9" t="s">
        <v>13284</v>
      </c>
      <c r="R2503" s="9" t="s">
        <v>13284</v>
      </c>
      <c r="S2503" s="9" t="s">
        <v>13284</v>
      </c>
      <c r="T2503" s="9" t="str">
        <f ca="1">IFERROR(IF(AND(VLOOKUP(A2503, 'Актуальное состояние (из общего'!A:C,3,0) = "", A2503 &lt;&gt; ""), "ПРОВЕРИТЬ", VLOOKUP(A2503, 'Актуальное состояние (из общего'!A:C,3,0)), "")</f>
        <v/>
      </c>
      <c r="U2503" s="9" t="s">
        <v>13284</v>
      </c>
      <c r="V2503" s="9" t="s">
        <v>13284</v>
      </c>
      <c r="W2503" s="12"/>
      <c r="X2503" s="9" t="str">
        <f t="array" ref="X2503">IFERROR(INDEX('Адреса общежитий (скрытый)'!$B$2:$B$9, MATCH(W2503, 'Адреса общежитий (скрытый)'!$A$2:$A$9, 0)), "")</f>
        <v/>
      </c>
      <c r="Y2503" s="18"/>
      <c r="Z2503" s="18"/>
      <c r="AA2503" s="18"/>
      <c r="AB2503" s="18"/>
      <c r="AC2503" s="18"/>
    </row>
    <row r="2504" spans="1:29" ht="32.25" hidden="1" customHeight="1">
      <c r="A2504" s="17"/>
      <c r="B2504" s="9" t="s">
        <v>13284</v>
      </c>
      <c r="C2504" s="9" t="s">
        <v>13284</v>
      </c>
      <c r="D2504" s="9" t="s">
        <v>13284</v>
      </c>
      <c r="E2504" s="9" t="s">
        <v>13284</v>
      </c>
      <c r="F2504" s="9" t="s">
        <v>13284</v>
      </c>
      <c r="G2504" s="9" t="s">
        <v>13284</v>
      </c>
      <c r="H2504" s="9" t="s">
        <v>13284</v>
      </c>
      <c r="I2504" s="9" t="s">
        <v>13284</v>
      </c>
      <c r="J2504" s="9" t="s">
        <v>13284</v>
      </c>
      <c r="K2504" s="9" t="s">
        <v>13284</v>
      </c>
      <c r="L2504" s="9" t="s">
        <v>13284</v>
      </c>
      <c r="M2504" s="9" t="s">
        <v>13284</v>
      </c>
      <c r="N2504" s="9" t="s">
        <v>13284</v>
      </c>
      <c r="O2504" s="9" t="s">
        <v>13284</v>
      </c>
      <c r="P2504" s="9" t="s">
        <v>13284</v>
      </c>
      <c r="Q2504" s="9" t="s">
        <v>13284</v>
      </c>
      <c r="R2504" s="9" t="s">
        <v>13284</v>
      </c>
      <c r="S2504" s="9" t="s">
        <v>13284</v>
      </c>
      <c r="T2504" s="9" t="str">
        <f ca="1">IFERROR(IF(AND(VLOOKUP(A2504, 'Актуальное состояние (из общего'!A:C,3,0) = "", A2504 &lt;&gt; ""), "ПРОВЕРИТЬ", VLOOKUP(A2504, 'Актуальное состояние (из общего'!A:C,3,0)), "")</f>
        <v/>
      </c>
      <c r="U2504" s="9" t="s">
        <v>13284</v>
      </c>
      <c r="V2504" s="9" t="s">
        <v>13284</v>
      </c>
      <c r="W2504" s="12"/>
      <c r="X2504" s="9" t="str">
        <f t="array" ref="X2504">IFERROR(INDEX('Адреса общежитий (скрытый)'!$B$2:$B$9, MATCH(W2504, 'Адреса общежитий (скрытый)'!$A$2:$A$9, 0)), "")</f>
        <v/>
      </c>
      <c r="Y2504" s="18"/>
      <c r="Z2504" s="18"/>
      <c r="AA2504" s="18"/>
      <c r="AB2504" s="18"/>
      <c r="AC2504" s="18"/>
    </row>
    <row r="2505" spans="1:29" ht="32.25" hidden="1" customHeight="1">
      <c r="A2505" s="17"/>
      <c r="B2505" s="9" t="s">
        <v>13284</v>
      </c>
      <c r="C2505" s="9" t="s">
        <v>13284</v>
      </c>
      <c r="D2505" s="9" t="s">
        <v>13284</v>
      </c>
      <c r="E2505" s="9" t="s">
        <v>13284</v>
      </c>
      <c r="F2505" s="9" t="s">
        <v>13284</v>
      </c>
      <c r="G2505" s="9" t="s">
        <v>13284</v>
      </c>
      <c r="H2505" s="9" t="s">
        <v>13284</v>
      </c>
      <c r="I2505" s="9" t="s">
        <v>13284</v>
      </c>
      <c r="J2505" s="9" t="s">
        <v>13284</v>
      </c>
      <c r="K2505" s="9" t="s">
        <v>13284</v>
      </c>
      <c r="L2505" s="9" t="s">
        <v>13284</v>
      </c>
      <c r="M2505" s="9" t="s">
        <v>13284</v>
      </c>
      <c r="N2505" s="9" t="s">
        <v>13284</v>
      </c>
      <c r="O2505" s="9" t="s">
        <v>13284</v>
      </c>
      <c r="P2505" s="9" t="s">
        <v>13284</v>
      </c>
      <c r="Q2505" s="9" t="s">
        <v>13284</v>
      </c>
      <c r="R2505" s="9" t="s">
        <v>13284</v>
      </c>
      <c r="S2505" s="9" t="s">
        <v>13284</v>
      </c>
      <c r="T2505" s="9" t="str">
        <f ca="1">IFERROR(IF(AND(VLOOKUP(A2505, 'Актуальное состояние (из общего'!A:C,3,0) = "", A2505 &lt;&gt; ""), "ПРОВЕРИТЬ", VLOOKUP(A2505, 'Актуальное состояние (из общего'!A:C,3,0)), "")</f>
        <v/>
      </c>
      <c r="U2505" s="9" t="s">
        <v>13284</v>
      </c>
      <c r="V2505" s="9" t="s">
        <v>13284</v>
      </c>
      <c r="W2505" s="12"/>
      <c r="X2505" s="9" t="str">
        <f t="array" ref="X2505">IFERROR(INDEX('Адреса общежитий (скрытый)'!$B$2:$B$9, MATCH(W2505, 'Адреса общежитий (скрытый)'!$A$2:$A$9, 0)), "")</f>
        <v/>
      </c>
      <c r="Y2505" s="18"/>
      <c r="Z2505" s="18"/>
      <c r="AA2505" s="18"/>
      <c r="AB2505" s="18"/>
      <c r="AC2505" s="18"/>
    </row>
    <row r="2506" spans="1:29" ht="32.25" hidden="1" customHeight="1">
      <c r="A2506" s="17"/>
      <c r="B2506" s="9" t="s">
        <v>13284</v>
      </c>
      <c r="C2506" s="9" t="s">
        <v>13284</v>
      </c>
      <c r="D2506" s="9" t="s">
        <v>13284</v>
      </c>
      <c r="E2506" s="9" t="s">
        <v>13284</v>
      </c>
      <c r="F2506" s="9" t="s">
        <v>13284</v>
      </c>
      <c r="G2506" s="9" t="s">
        <v>13284</v>
      </c>
      <c r="H2506" s="9" t="s">
        <v>13284</v>
      </c>
      <c r="I2506" s="9" t="s">
        <v>13284</v>
      </c>
      <c r="J2506" s="9" t="s">
        <v>13284</v>
      </c>
      <c r="K2506" s="9" t="s">
        <v>13284</v>
      </c>
      <c r="L2506" s="9" t="s">
        <v>13284</v>
      </c>
      <c r="M2506" s="9" t="s">
        <v>13284</v>
      </c>
      <c r="N2506" s="9" t="s">
        <v>13284</v>
      </c>
      <c r="O2506" s="9" t="s">
        <v>13284</v>
      </c>
      <c r="P2506" s="9" t="s">
        <v>13284</v>
      </c>
      <c r="Q2506" s="9" t="s">
        <v>13284</v>
      </c>
      <c r="R2506" s="9" t="s">
        <v>13284</v>
      </c>
      <c r="S2506" s="9" t="s">
        <v>13284</v>
      </c>
      <c r="T2506" s="9" t="str">
        <f ca="1">IFERROR(IF(AND(VLOOKUP(A2506, 'Актуальное состояние (из общего'!A:C,3,0) = "", A2506 &lt;&gt; ""), "ПРОВЕРИТЬ", VLOOKUP(A2506, 'Актуальное состояние (из общего'!A:C,3,0)), "")</f>
        <v/>
      </c>
      <c r="U2506" s="9" t="s">
        <v>13284</v>
      </c>
      <c r="V2506" s="9" t="s">
        <v>13284</v>
      </c>
      <c r="W2506" s="12"/>
      <c r="X2506" s="9" t="str">
        <f t="array" ref="X2506">IFERROR(INDEX('Адреса общежитий (скрытый)'!$B$2:$B$9, MATCH(W2506, 'Адреса общежитий (скрытый)'!$A$2:$A$9, 0)), "")</f>
        <v/>
      </c>
      <c r="Y2506" s="18"/>
      <c r="Z2506" s="18"/>
      <c r="AA2506" s="18"/>
      <c r="AB2506" s="18"/>
      <c r="AC2506" s="18"/>
    </row>
    <row r="2507" spans="1:29" ht="32.25" hidden="1" customHeight="1">
      <c r="A2507" s="17"/>
      <c r="B2507" s="9" t="s">
        <v>13284</v>
      </c>
      <c r="C2507" s="9" t="s">
        <v>13284</v>
      </c>
      <c r="D2507" s="9" t="s">
        <v>13284</v>
      </c>
      <c r="E2507" s="9" t="s">
        <v>13284</v>
      </c>
      <c r="F2507" s="9" t="s">
        <v>13284</v>
      </c>
      <c r="G2507" s="9" t="s">
        <v>13284</v>
      </c>
      <c r="H2507" s="9" t="s">
        <v>13284</v>
      </c>
      <c r="I2507" s="9" t="s">
        <v>13284</v>
      </c>
      <c r="J2507" s="9" t="s">
        <v>13284</v>
      </c>
      <c r="K2507" s="9" t="s">
        <v>13284</v>
      </c>
      <c r="L2507" s="9" t="s">
        <v>13284</v>
      </c>
      <c r="M2507" s="9" t="s">
        <v>13284</v>
      </c>
      <c r="N2507" s="9" t="s">
        <v>13284</v>
      </c>
      <c r="O2507" s="9" t="s">
        <v>13284</v>
      </c>
      <c r="P2507" s="9" t="s">
        <v>13284</v>
      </c>
      <c r="Q2507" s="9" t="s">
        <v>13284</v>
      </c>
      <c r="R2507" s="9" t="s">
        <v>13284</v>
      </c>
      <c r="S2507" s="9" t="s">
        <v>13284</v>
      </c>
      <c r="T2507" s="9" t="str">
        <f ca="1">IFERROR(IF(AND(VLOOKUP(A2507, 'Актуальное состояние (из общего'!A:C,3,0) = "", A2507 &lt;&gt; ""), "ПРОВЕРИТЬ", VLOOKUP(A2507, 'Актуальное состояние (из общего'!A:C,3,0)), "")</f>
        <v/>
      </c>
      <c r="U2507" s="9" t="s">
        <v>13284</v>
      </c>
      <c r="V2507" s="9" t="s">
        <v>13284</v>
      </c>
      <c r="W2507" s="12"/>
      <c r="X2507" s="9" t="str">
        <f t="array" ref="X2507">IFERROR(INDEX('Адреса общежитий (скрытый)'!$B$2:$B$9, MATCH(W2507, 'Адреса общежитий (скрытый)'!$A$2:$A$9, 0)), "")</f>
        <v/>
      </c>
      <c r="Y2507" s="18"/>
      <c r="Z2507" s="18"/>
      <c r="AA2507" s="18"/>
      <c r="AB2507" s="18"/>
      <c r="AC2507" s="18"/>
    </row>
    <row r="2508" spans="1:29" ht="32.25" hidden="1" customHeight="1">
      <c r="A2508" s="17"/>
      <c r="B2508" s="9" t="s">
        <v>13284</v>
      </c>
      <c r="C2508" s="9" t="s">
        <v>13284</v>
      </c>
      <c r="D2508" s="9" t="s">
        <v>13284</v>
      </c>
      <c r="E2508" s="9" t="s">
        <v>13284</v>
      </c>
      <c r="F2508" s="9" t="s">
        <v>13284</v>
      </c>
      <c r="G2508" s="9" t="s">
        <v>13284</v>
      </c>
      <c r="H2508" s="9" t="s">
        <v>13284</v>
      </c>
      <c r="I2508" s="9" t="s">
        <v>13284</v>
      </c>
      <c r="J2508" s="9" t="s">
        <v>13284</v>
      </c>
      <c r="K2508" s="9" t="s">
        <v>13284</v>
      </c>
      <c r="L2508" s="9" t="s">
        <v>13284</v>
      </c>
      <c r="M2508" s="9" t="s">
        <v>13284</v>
      </c>
      <c r="N2508" s="9" t="s">
        <v>13284</v>
      </c>
      <c r="O2508" s="9" t="s">
        <v>13284</v>
      </c>
      <c r="P2508" s="9" t="s">
        <v>13284</v>
      </c>
      <c r="Q2508" s="9" t="s">
        <v>13284</v>
      </c>
      <c r="R2508" s="9" t="s">
        <v>13284</v>
      </c>
      <c r="S2508" s="9" t="s">
        <v>13284</v>
      </c>
      <c r="T2508" s="9" t="str">
        <f ca="1">IFERROR(IF(AND(VLOOKUP(A2508, 'Актуальное состояние (из общего'!A:C,3,0) = "", A2508 &lt;&gt; ""), "ПРОВЕРИТЬ", VLOOKUP(A2508, 'Актуальное состояние (из общего'!A:C,3,0)), "")</f>
        <v/>
      </c>
      <c r="U2508" s="9" t="s">
        <v>13284</v>
      </c>
      <c r="V2508" s="9" t="s">
        <v>13284</v>
      </c>
      <c r="W2508" s="12"/>
      <c r="X2508" s="9" t="str">
        <f t="array" ref="X2508">IFERROR(INDEX('Адреса общежитий (скрытый)'!$B$2:$B$9, MATCH(W2508, 'Адреса общежитий (скрытый)'!$A$2:$A$9, 0)), "")</f>
        <v/>
      </c>
      <c r="Y2508" s="18"/>
      <c r="Z2508" s="18"/>
      <c r="AA2508" s="18"/>
      <c r="AB2508" s="18"/>
      <c r="AC2508" s="18"/>
    </row>
    <row r="2509" spans="1:29" ht="32.25" hidden="1" customHeight="1">
      <c r="A2509" s="17"/>
      <c r="B2509" s="9" t="s">
        <v>13284</v>
      </c>
      <c r="C2509" s="9" t="s">
        <v>13284</v>
      </c>
      <c r="D2509" s="9" t="s">
        <v>13284</v>
      </c>
      <c r="E2509" s="9" t="s">
        <v>13284</v>
      </c>
      <c r="F2509" s="9" t="s">
        <v>13284</v>
      </c>
      <c r="G2509" s="9" t="s">
        <v>13284</v>
      </c>
      <c r="H2509" s="9" t="s">
        <v>13284</v>
      </c>
      <c r="I2509" s="9" t="s">
        <v>13284</v>
      </c>
      <c r="J2509" s="9" t="s">
        <v>13284</v>
      </c>
      <c r="K2509" s="9" t="s">
        <v>13284</v>
      </c>
      <c r="L2509" s="9" t="s">
        <v>13284</v>
      </c>
      <c r="M2509" s="9" t="s">
        <v>13284</v>
      </c>
      <c r="N2509" s="9" t="s">
        <v>13284</v>
      </c>
      <c r="O2509" s="9" t="s">
        <v>13284</v>
      </c>
      <c r="P2509" s="9" t="s">
        <v>13284</v>
      </c>
      <c r="Q2509" s="9" t="s">
        <v>13284</v>
      </c>
      <c r="R2509" s="9" t="s">
        <v>13284</v>
      </c>
      <c r="S2509" s="9" t="s">
        <v>13284</v>
      </c>
      <c r="T2509" s="9" t="str">
        <f ca="1">IFERROR(IF(AND(VLOOKUP(A2509, 'Актуальное состояние (из общего'!A:C,3,0) = "", A2509 &lt;&gt; ""), "ПРОВЕРИТЬ", VLOOKUP(A2509, 'Актуальное состояние (из общего'!A:C,3,0)), "")</f>
        <v/>
      </c>
      <c r="U2509" s="9" t="s">
        <v>13284</v>
      </c>
      <c r="V2509" s="9" t="s">
        <v>13284</v>
      </c>
      <c r="W2509" s="12"/>
      <c r="X2509" s="9" t="str">
        <f t="array" ref="X2509">IFERROR(INDEX('Адреса общежитий (скрытый)'!$B$2:$B$9, MATCH(W2509, 'Адреса общежитий (скрытый)'!$A$2:$A$9, 0)), "")</f>
        <v/>
      </c>
      <c r="Y2509" s="18"/>
      <c r="Z2509" s="18"/>
      <c r="AA2509" s="18"/>
      <c r="AB2509" s="18"/>
      <c r="AC2509" s="18"/>
    </row>
    <row r="2510" spans="1:29" ht="32.25" hidden="1" customHeight="1">
      <c r="A2510" s="17"/>
      <c r="B2510" s="9" t="s">
        <v>13284</v>
      </c>
      <c r="C2510" s="9" t="s">
        <v>13284</v>
      </c>
      <c r="D2510" s="9" t="s">
        <v>13284</v>
      </c>
      <c r="E2510" s="9" t="s">
        <v>13284</v>
      </c>
      <c r="F2510" s="9" t="s">
        <v>13284</v>
      </c>
      <c r="G2510" s="9" t="s">
        <v>13284</v>
      </c>
      <c r="H2510" s="9" t="s">
        <v>13284</v>
      </c>
      <c r="I2510" s="9" t="s">
        <v>13284</v>
      </c>
      <c r="J2510" s="9" t="s">
        <v>13284</v>
      </c>
      <c r="K2510" s="9" t="s">
        <v>13284</v>
      </c>
      <c r="L2510" s="9" t="s">
        <v>13284</v>
      </c>
      <c r="M2510" s="9" t="s">
        <v>13284</v>
      </c>
      <c r="N2510" s="9" t="s">
        <v>13284</v>
      </c>
      <c r="O2510" s="9" t="s">
        <v>13284</v>
      </c>
      <c r="P2510" s="9" t="s">
        <v>13284</v>
      </c>
      <c r="Q2510" s="9" t="s">
        <v>13284</v>
      </c>
      <c r="R2510" s="9" t="s">
        <v>13284</v>
      </c>
      <c r="S2510" s="9" t="s">
        <v>13284</v>
      </c>
      <c r="T2510" s="9" t="str">
        <f ca="1">IFERROR(IF(AND(VLOOKUP(A2510, 'Актуальное состояние (из общего'!A:C,3,0) = "", A2510 &lt;&gt; ""), "ПРОВЕРИТЬ", VLOOKUP(A2510, 'Актуальное состояние (из общего'!A:C,3,0)), "")</f>
        <v/>
      </c>
      <c r="U2510" s="9" t="s">
        <v>13284</v>
      </c>
      <c r="V2510" s="9" t="s">
        <v>13284</v>
      </c>
      <c r="W2510" s="12"/>
      <c r="X2510" s="9" t="str">
        <f t="array" ref="X2510">IFERROR(INDEX('Адреса общежитий (скрытый)'!$B$2:$B$9, MATCH(W2510, 'Адреса общежитий (скрытый)'!$A$2:$A$9, 0)), "")</f>
        <v/>
      </c>
      <c r="Y2510" s="18"/>
      <c r="Z2510" s="18"/>
      <c r="AA2510" s="18"/>
      <c r="AB2510" s="18"/>
      <c r="AC2510" s="18"/>
    </row>
    <row r="2511" spans="1:29" ht="32.25" hidden="1" customHeight="1">
      <c r="A2511" s="17"/>
      <c r="B2511" s="9" t="s">
        <v>13284</v>
      </c>
      <c r="C2511" s="9" t="s">
        <v>13284</v>
      </c>
      <c r="D2511" s="9" t="s">
        <v>13284</v>
      </c>
      <c r="E2511" s="9" t="s">
        <v>13284</v>
      </c>
      <c r="F2511" s="9" t="s">
        <v>13284</v>
      </c>
      <c r="G2511" s="9" t="s">
        <v>13284</v>
      </c>
      <c r="H2511" s="9" t="s">
        <v>13284</v>
      </c>
      <c r="I2511" s="9" t="s">
        <v>13284</v>
      </c>
      <c r="J2511" s="9" t="s">
        <v>13284</v>
      </c>
      <c r="K2511" s="9" t="s">
        <v>13284</v>
      </c>
      <c r="L2511" s="9" t="s">
        <v>13284</v>
      </c>
      <c r="M2511" s="9" t="s">
        <v>13284</v>
      </c>
      <c r="N2511" s="9" t="s">
        <v>13284</v>
      </c>
      <c r="O2511" s="9" t="s">
        <v>13284</v>
      </c>
      <c r="P2511" s="9" t="s">
        <v>13284</v>
      </c>
      <c r="Q2511" s="9" t="s">
        <v>13284</v>
      </c>
      <c r="R2511" s="9" t="s">
        <v>13284</v>
      </c>
      <c r="S2511" s="9" t="s">
        <v>13284</v>
      </c>
      <c r="T2511" s="9" t="str">
        <f ca="1">IFERROR(IF(AND(VLOOKUP(A2511, 'Актуальное состояние (из общего'!A:C,3,0) = "", A2511 &lt;&gt; ""), "ПРОВЕРИТЬ", VLOOKUP(A2511, 'Актуальное состояние (из общего'!A:C,3,0)), "")</f>
        <v/>
      </c>
      <c r="U2511" s="9" t="s">
        <v>13284</v>
      </c>
      <c r="V2511" s="9" t="s">
        <v>13284</v>
      </c>
      <c r="W2511" s="12"/>
      <c r="X2511" s="9" t="str">
        <f t="array" ref="X2511">IFERROR(INDEX('Адреса общежитий (скрытый)'!$B$2:$B$9, MATCH(W2511, 'Адреса общежитий (скрытый)'!$A$2:$A$9, 0)), "")</f>
        <v/>
      </c>
      <c r="Y2511" s="18"/>
      <c r="Z2511" s="18"/>
      <c r="AA2511" s="18"/>
      <c r="AB2511" s="18"/>
      <c r="AC2511" s="18"/>
    </row>
    <row r="2512" spans="1:29" ht="32.25" hidden="1" customHeight="1">
      <c r="A2512" s="17"/>
      <c r="B2512" s="9" t="s">
        <v>13284</v>
      </c>
      <c r="C2512" s="9" t="s">
        <v>13284</v>
      </c>
      <c r="D2512" s="9" t="s">
        <v>13284</v>
      </c>
      <c r="E2512" s="9" t="s">
        <v>13284</v>
      </c>
      <c r="F2512" s="9" t="s">
        <v>13284</v>
      </c>
      <c r="G2512" s="9" t="s">
        <v>13284</v>
      </c>
      <c r="H2512" s="9" t="s">
        <v>13284</v>
      </c>
      <c r="I2512" s="9" t="s">
        <v>13284</v>
      </c>
      <c r="J2512" s="9" t="s">
        <v>13284</v>
      </c>
      <c r="K2512" s="9" t="s">
        <v>13284</v>
      </c>
      <c r="L2512" s="9" t="s">
        <v>13284</v>
      </c>
      <c r="M2512" s="9" t="s">
        <v>13284</v>
      </c>
      <c r="N2512" s="9" t="s">
        <v>13284</v>
      </c>
      <c r="O2512" s="9" t="s">
        <v>13284</v>
      </c>
      <c r="P2512" s="9" t="s">
        <v>13284</v>
      </c>
      <c r="Q2512" s="9" t="s">
        <v>13284</v>
      </c>
      <c r="R2512" s="9" t="s">
        <v>13284</v>
      </c>
      <c r="S2512" s="9" t="s">
        <v>13284</v>
      </c>
      <c r="T2512" s="9" t="str">
        <f ca="1">IFERROR(IF(AND(VLOOKUP(A2512, 'Актуальное состояние (из общего'!A:C,3,0) = "", A2512 &lt;&gt; ""), "ПРОВЕРИТЬ", VLOOKUP(A2512, 'Актуальное состояние (из общего'!A:C,3,0)), "")</f>
        <v/>
      </c>
      <c r="U2512" s="9" t="s">
        <v>13284</v>
      </c>
      <c r="V2512" s="9" t="s">
        <v>13284</v>
      </c>
      <c r="W2512" s="12"/>
      <c r="X2512" s="9" t="str">
        <f t="array" ref="X2512">IFERROR(INDEX('Адреса общежитий (скрытый)'!$B$2:$B$9, MATCH(W2512, 'Адреса общежитий (скрытый)'!$A$2:$A$9, 0)), "")</f>
        <v/>
      </c>
      <c r="Y2512" s="18"/>
      <c r="Z2512" s="18"/>
      <c r="AA2512" s="18"/>
      <c r="AB2512" s="18"/>
      <c r="AC2512" s="18"/>
    </row>
    <row r="2513" spans="1:29" ht="32.25" hidden="1" customHeight="1">
      <c r="A2513" s="17"/>
      <c r="B2513" s="9" t="s">
        <v>13284</v>
      </c>
      <c r="C2513" s="9" t="s">
        <v>13284</v>
      </c>
      <c r="D2513" s="9" t="s">
        <v>13284</v>
      </c>
      <c r="E2513" s="9" t="s">
        <v>13284</v>
      </c>
      <c r="F2513" s="9" t="s">
        <v>13284</v>
      </c>
      <c r="G2513" s="9" t="s">
        <v>13284</v>
      </c>
      <c r="H2513" s="9" t="s">
        <v>13284</v>
      </c>
      <c r="I2513" s="9" t="s">
        <v>13284</v>
      </c>
      <c r="J2513" s="9" t="s">
        <v>13284</v>
      </c>
      <c r="K2513" s="9" t="s">
        <v>13284</v>
      </c>
      <c r="L2513" s="9" t="s">
        <v>13284</v>
      </c>
      <c r="M2513" s="9" t="s">
        <v>13284</v>
      </c>
      <c r="N2513" s="9" t="s">
        <v>13284</v>
      </c>
      <c r="O2513" s="9" t="s">
        <v>13284</v>
      </c>
      <c r="P2513" s="9" t="s">
        <v>13284</v>
      </c>
      <c r="Q2513" s="9" t="s">
        <v>13284</v>
      </c>
      <c r="R2513" s="9" t="s">
        <v>13284</v>
      </c>
      <c r="S2513" s="9" t="s">
        <v>13284</v>
      </c>
      <c r="T2513" s="9" t="str">
        <f ca="1">IFERROR(IF(AND(VLOOKUP(A2513, 'Актуальное состояние (из общего'!A:C,3,0) = "", A2513 &lt;&gt; ""), "ПРОВЕРИТЬ", VLOOKUP(A2513, 'Актуальное состояние (из общего'!A:C,3,0)), "")</f>
        <v/>
      </c>
      <c r="U2513" s="9" t="s">
        <v>13284</v>
      </c>
      <c r="V2513" s="9" t="s">
        <v>13284</v>
      </c>
      <c r="W2513" s="12"/>
      <c r="X2513" s="9" t="str">
        <f t="array" ref="X2513">IFERROR(INDEX('Адреса общежитий (скрытый)'!$B$2:$B$9, MATCH(W2513, 'Адреса общежитий (скрытый)'!$A$2:$A$9, 0)), "")</f>
        <v/>
      </c>
      <c r="Y2513" s="18"/>
      <c r="Z2513" s="18"/>
      <c r="AA2513" s="18"/>
      <c r="AB2513" s="18"/>
      <c r="AC2513" s="18"/>
    </row>
    <row r="2514" spans="1:29" ht="32.25" hidden="1" customHeight="1">
      <c r="A2514" s="17"/>
      <c r="B2514" s="9" t="s">
        <v>13284</v>
      </c>
      <c r="C2514" s="9" t="s">
        <v>13284</v>
      </c>
      <c r="D2514" s="9" t="s">
        <v>13284</v>
      </c>
      <c r="E2514" s="9" t="s">
        <v>13284</v>
      </c>
      <c r="F2514" s="9" t="s">
        <v>13284</v>
      </c>
      <c r="G2514" s="9" t="s">
        <v>13284</v>
      </c>
      <c r="H2514" s="9" t="s">
        <v>13284</v>
      </c>
      <c r="I2514" s="9" t="s">
        <v>13284</v>
      </c>
      <c r="J2514" s="9" t="s">
        <v>13284</v>
      </c>
      <c r="K2514" s="9" t="s">
        <v>13284</v>
      </c>
      <c r="L2514" s="9" t="s">
        <v>13284</v>
      </c>
      <c r="M2514" s="9" t="s">
        <v>13284</v>
      </c>
      <c r="N2514" s="9" t="s">
        <v>13284</v>
      </c>
      <c r="O2514" s="9" t="s">
        <v>13284</v>
      </c>
      <c r="P2514" s="9" t="s">
        <v>13284</v>
      </c>
      <c r="Q2514" s="9" t="s">
        <v>13284</v>
      </c>
      <c r="R2514" s="9" t="s">
        <v>13284</v>
      </c>
      <c r="S2514" s="9" t="s">
        <v>13284</v>
      </c>
      <c r="T2514" s="9" t="str">
        <f ca="1">IFERROR(IF(AND(VLOOKUP(A2514, 'Актуальное состояние (из общего'!A:C,3,0) = "", A2514 &lt;&gt; ""), "ПРОВЕРИТЬ", VLOOKUP(A2514, 'Актуальное состояние (из общего'!A:C,3,0)), "")</f>
        <v/>
      </c>
      <c r="U2514" s="9" t="s">
        <v>13284</v>
      </c>
      <c r="V2514" s="9" t="s">
        <v>13284</v>
      </c>
      <c r="W2514" s="12"/>
      <c r="X2514" s="9" t="str">
        <f t="array" ref="X2514">IFERROR(INDEX('Адреса общежитий (скрытый)'!$B$2:$B$9, MATCH(W2514, 'Адреса общежитий (скрытый)'!$A$2:$A$9, 0)), "")</f>
        <v/>
      </c>
      <c r="Y2514" s="18"/>
      <c r="Z2514" s="18"/>
      <c r="AA2514" s="18"/>
      <c r="AB2514" s="18"/>
      <c r="AC2514" s="18"/>
    </row>
    <row r="2515" spans="1:29" ht="32.25" hidden="1" customHeight="1">
      <c r="A2515" s="17"/>
      <c r="B2515" s="9" t="s">
        <v>13284</v>
      </c>
      <c r="C2515" s="9" t="s">
        <v>13284</v>
      </c>
      <c r="D2515" s="9" t="s">
        <v>13284</v>
      </c>
      <c r="E2515" s="9" t="s">
        <v>13284</v>
      </c>
      <c r="F2515" s="9" t="s">
        <v>13284</v>
      </c>
      <c r="G2515" s="9" t="s">
        <v>13284</v>
      </c>
      <c r="H2515" s="9" t="s">
        <v>13284</v>
      </c>
      <c r="I2515" s="9" t="s">
        <v>13284</v>
      </c>
      <c r="J2515" s="9" t="s">
        <v>13284</v>
      </c>
      <c r="K2515" s="9" t="s">
        <v>13284</v>
      </c>
      <c r="L2515" s="9" t="s">
        <v>13284</v>
      </c>
      <c r="M2515" s="9" t="s">
        <v>13284</v>
      </c>
      <c r="N2515" s="9" t="s">
        <v>13284</v>
      </c>
      <c r="O2515" s="9" t="s">
        <v>13284</v>
      </c>
      <c r="P2515" s="9" t="s">
        <v>13284</v>
      </c>
      <c r="Q2515" s="9" t="s">
        <v>13284</v>
      </c>
      <c r="R2515" s="9" t="s">
        <v>13284</v>
      </c>
      <c r="S2515" s="9" t="s">
        <v>13284</v>
      </c>
      <c r="T2515" s="9" t="str">
        <f ca="1">IFERROR(IF(AND(VLOOKUP(A2515, 'Актуальное состояние (из общего'!A:C,3,0) = "", A2515 &lt;&gt; ""), "ПРОВЕРИТЬ", VLOOKUP(A2515, 'Актуальное состояние (из общего'!A:C,3,0)), "")</f>
        <v/>
      </c>
      <c r="U2515" s="9" t="s">
        <v>13284</v>
      </c>
      <c r="V2515" s="9" t="s">
        <v>13284</v>
      </c>
      <c r="W2515" s="12"/>
      <c r="X2515" s="9" t="str">
        <f t="array" ref="X2515">IFERROR(INDEX('Адреса общежитий (скрытый)'!$B$2:$B$9, MATCH(W2515, 'Адреса общежитий (скрытый)'!$A$2:$A$9, 0)), "")</f>
        <v/>
      </c>
      <c r="Y2515" s="18"/>
      <c r="Z2515" s="18"/>
      <c r="AA2515" s="18"/>
      <c r="AB2515" s="18"/>
      <c r="AC2515" s="18"/>
    </row>
    <row r="2516" spans="1:29" ht="32.25" hidden="1" customHeight="1">
      <c r="A2516" s="17"/>
      <c r="B2516" s="9" t="s">
        <v>13284</v>
      </c>
      <c r="C2516" s="9" t="s">
        <v>13284</v>
      </c>
      <c r="D2516" s="9" t="s">
        <v>13284</v>
      </c>
      <c r="E2516" s="9" t="s">
        <v>13284</v>
      </c>
      <c r="F2516" s="9" t="s">
        <v>13284</v>
      </c>
      <c r="G2516" s="9" t="s">
        <v>13284</v>
      </c>
      <c r="H2516" s="9" t="s">
        <v>13284</v>
      </c>
      <c r="I2516" s="9" t="s">
        <v>13284</v>
      </c>
      <c r="J2516" s="9" t="s">
        <v>13284</v>
      </c>
      <c r="K2516" s="9" t="s">
        <v>13284</v>
      </c>
      <c r="L2516" s="9" t="s">
        <v>13284</v>
      </c>
      <c r="M2516" s="9" t="s">
        <v>13284</v>
      </c>
      <c r="N2516" s="9" t="s">
        <v>13284</v>
      </c>
      <c r="O2516" s="9" t="s">
        <v>13284</v>
      </c>
      <c r="P2516" s="9" t="s">
        <v>13284</v>
      </c>
      <c r="Q2516" s="9" t="s">
        <v>13284</v>
      </c>
      <c r="R2516" s="9" t="s">
        <v>13284</v>
      </c>
      <c r="S2516" s="9" t="s">
        <v>13284</v>
      </c>
      <c r="T2516" s="9" t="str">
        <f ca="1">IFERROR(IF(AND(VLOOKUP(A2516, 'Актуальное состояние (из общего'!A:C,3,0) = "", A2516 &lt;&gt; ""), "ПРОВЕРИТЬ", VLOOKUP(A2516, 'Актуальное состояние (из общего'!A:C,3,0)), "")</f>
        <v/>
      </c>
      <c r="U2516" s="9" t="s">
        <v>13284</v>
      </c>
      <c r="V2516" s="9" t="s">
        <v>13284</v>
      </c>
      <c r="W2516" s="12"/>
      <c r="X2516" s="9" t="str">
        <f t="array" ref="X2516">IFERROR(INDEX('Адреса общежитий (скрытый)'!$B$2:$B$9, MATCH(W2516, 'Адреса общежитий (скрытый)'!$A$2:$A$9, 0)), "")</f>
        <v/>
      </c>
      <c r="Y2516" s="18"/>
      <c r="Z2516" s="18"/>
      <c r="AA2516" s="18"/>
      <c r="AB2516" s="18"/>
      <c r="AC2516" s="18"/>
    </row>
    <row r="2517" spans="1:29" ht="32.25" hidden="1" customHeight="1">
      <c r="A2517" s="17"/>
      <c r="B2517" s="9" t="s">
        <v>13284</v>
      </c>
      <c r="C2517" s="9" t="s">
        <v>13284</v>
      </c>
      <c r="D2517" s="9" t="s">
        <v>13284</v>
      </c>
      <c r="E2517" s="9" t="s">
        <v>13284</v>
      </c>
      <c r="F2517" s="9" t="s">
        <v>13284</v>
      </c>
      <c r="G2517" s="9" t="s">
        <v>13284</v>
      </c>
      <c r="H2517" s="9" t="s">
        <v>13284</v>
      </c>
      <c r="I2517" s="9" t="s">
        <v>13284</v>
      </c>
      <c r="J2517" s="9" t="s">
        <v>13284</v>
      </c>
      <c r="K2517" s="9" t="s">
        <v>13284</v>
      </c>
      <c r="L2517" s="9" t="s">
        <v>13284</v>
      </c>
      <c r="M2517" s="9" t="s">
        <v>13284</v>
      </c>
      <c r="N2517" s="9" t="s">
        <v>13284</v>
      </c>
      <c r="O2517" s="9" t="s">
        <v>13284</v>
      </c>
      <c r="P2517" s="9" t="s">
        <v>13284</v>
      </c>
      <c r="Q2517" s="9" t="s">
        <v>13284</v>
      </c>
      <c r="R2517" s="9" t="s">
        <v>13284</v>
      </c>
      <c r="S2517" s="9" t="s">
        <v>13284</v>
      </c>
      <c r="T2517" s="9" t="str">
        <f ca="1">IFERROR(IF(AND(VLOOKUP(A2517, 'Актуальное состояние (из общего'!A:C,3,0) = "", A2517 &lt;&gt; ""), "ПРОВЕРИТЬ", VLOOKUP(A2517, 'Актуальное состояние (из общего'!A:C,3,0)), "")</f>
        <v/>
      </c>
      <c r="U2517" s="9" t="s">
        <v>13284</v>
      </c>
      <c r="V2517" s="9" t="s">
        <v>13284</v>
      </c>
      <c r="W2517" s="12"/>
      <c r="X2517" s="9" t="str">
        <f t="array" ref="X2517">IFERROR(INDEX('Адреса общежитий (скрытый)'!$B$2:$B$9, MATCH(W2517, 'Адреса общежитий (скрытый)'!$A$2:$A$9, 0)), "")</f>
        <v/>
      </c>
      <c r="Y2517" s="18"/>
      <c r="Z2517" s="18"/>
      <c r="AA2517" s="18"/>
      <c r="AB2517" s="18"/>
      <c r="AC2517" s="18"/>
    </row>
    <row r="2518" spans="1:29" ht="32.25" hidden="1" customHeight="1">
      <c r="A2518" s="17"/>
      <c r="B2518" s="9" t="s">
        <v>13284</v>
      </c>
      <c r="C2518" s="9" t="s">
        <v>13284</v>
      </c>
      <c r="D2518" s="9" t="s">
        <v>13284</v>
      </c>
      <c r="E2518" s="9" t="s">
        <v>13284</v>
      </c>
      <c r="F2518" s="9" t="s">
        <v>13284</v>
      </c>
      <c r="G2518" s="9" t="s">
        <v>13284</v>
      </c>
      <c r="H2518" s="9" t="s">
        <v>13284</v>
      </c>
      <c r="I2518" s="9" t="s">
        <v>13284</v>
      </c>
      <c r="J2518" s="9" t="s">
        <v>13284</v>
      </c>
      <c r="K2518" s="9" t="s">
        <v>13284</v>
      </c>
      <c r="L2518" s="9" t="s">
        <v>13284</v>
      </c>
      <c r="M2518" s="9" t="s">
        <v>13284</v>
      </c>
      <c r="N2518" s="9" t="s">
        <v>13284</v>
      </c>
      <c r="O2518" s="9" t="s">
        <v>13284</v>
      </c>
      <c r="P2518" s="9" t="s">
        <v>13284</v>
      </c>
      <c r="Q2518" s="9" t="s">
        <v>13284</v>
      </c>
      <c r="R2518" s="9" t="s">
        <v>13284</v>
      </c>
      <c r="S2518" s="9" t="s">
        <v>13284</v>
      </c>
      <c r="T2518" s="9" t="str">
        <f ca="1">IFERROR(IF(AND(VLOOKUP(A2518, 'Актуальное состояние (из общего'!A:C,3,0) = "", A2518 &lt;&gt; ""), "ПРОВЕРИТЬ", VLOOKUP(A2518, 'Актуальное состояние (из общего'!A:C,3,0)), "")</f>
        <v/>
      </c>
      <c r="U2518" s="9" t="s">
        <v>13284</v>
      </c>
      <c r="V2518" s="9" t="s">
        <v>13284</v>
      </c>
      <c r="W2518" s="12"/>
      <c r="X2518" s="9" t="str">
        <f t="array" ref="X2518">IFERROR(INDEX('Адреса общежитий (скрытый)'!$B$2:$B$9, MATCH(W2518, 'Адреса общежитий (скрытый)'!$A$2:$A$9, 0)), "")</f>
        <v/>
      </c>
      <c r="Y2518" s="18"/>
      <c r="Z2518" s="18"/>
      <c r="AA2518" s="18"/>
      <c r="AB2518" s="18"/>
      <c r="AC2518" s="18"/>
    </row>
    <row r="2519" spans="1:29" ht="32.25" hidden="1" customHeight="1">
      <c r="A2519" s="17"/>
      <c r="B2519" s="9" t="s">
        <v>13284</v>
      </c>
      <c r="C2519" s="9" t="s">
        <v>13284</v>
      </c>
      <c r="D2519" s="9" t="s">
        <v>13284</v>
      </c>
      <c r="E2519" s="9" t="s">
        <v>13284</v>
      </c>
      <c r="F2519" s="9" t="s">
        <v>13284</v>
      </c>
      <c r="G2519" s="9" t="s">
        <v>13284</v>
      </c>
      <c r="H2519" s="9" t="s">
        <v>13284</v>
      </c>
      <c r="I2519" s="9" t="s">
        <v>13284</v>
      </c>
      <c r="J2519" s="9" t="s">
        <v>13284</v>
      </c>
      <c r="K2519" s="9" t="s">
        <v>13284</v>
      </c>
      <c r="L2519" s="9" t="s">
        <v>13284</v>
      </c>
      <c r="M2519" s="9" t="s">
        <v>13284</v>
      </c>
      <c r="N2519" s="9" t="s">
        <v>13284</v>
      </c>
      <c r="O2519" s="9" t="s">
        <v>13284</v>
      </c>
      <c r="P2519" s="9" t="s">
        <v>13284</v>
      </c>
      <c r="Q2519" s="9" t="s">
        <v>13284</v>
      </c>
      <c r="R2519" s="9" t="s">
        <v>13284</v>
      </c>
      <c r="S2519" s="9" t="s">
        <v>13284</v>
      </c>
      <c r="T2519" s="9" t="str">
        <f ca="1">IFERROR(IF(AND(VLOOKUP(A2519, 'Актуальное состояние (из общего'!A:C,3,0) = "", A2519 &lt;&gt; ""), "ПРОВЕРИТЬ", VLOOKUP(A2519, 'Актуальное состояние (из общего'!A:C,3,0)), "")</f>
        <v/>
      </c>
      <c r="U2519" s="9" t="s">
        <v>13284</v>
      </c>
      <c r="V2519" s="9" t="s">
        <v>13284</v>
      </c>
      <c r="W2519" s="12"/>
      <c r="X2519" s="9" t="str">
        <f t="array" ref="X2519">IFERROR(INDEX('Адреса общежитий (скрытый)'!$B$2:$B$9, MATCH(W2519, 'Адреса общежитий (скрытый)'!$A$2:$A$9, 0)), "")</f>
        <v/>
      </c>
      <c r="Y2519" s="18"/>
      <c r="Z2519" s="18"/>
      <c r="AA2519" s="18"/>
      <c r="AB2519" s="18"/>
      <c r="AC2519" s="18"/>
    </row>
    <row r="2520" spans="1:29" ht="32.25" hidden="1" customHeight="1">
      <c r="A2520" s="17"/>
      <c r="B2520" s="9" t="s">
        <v>13284</v>
      </c>
      <c r="C2520" s="9" t="s">
        <v>13284</v>
      </c>
      <c r="D2520" s="9" t="s">
        <v>13284</v>
      </c>
      <c r="E2520" s="9" t="s">
        <v>13284</v>
      </c>
      <c r="F2520" s="9" t="s">
        <v>13284</v>
      </c>
      <c r="G2520" s="9" t="s">
        <v>13284</v>
      </c>
      <c r="H2520" s="9" t="s">
        <v>13284</v>
      </c>
      <c r="I2520" s="9" t="s">
        <v>13284</v>
      </c>
      <c r="J2520" s="9" t="s">
        <v>13284</v>
      </c>
      <c r="K2520" s="9" t="s">
        <v>13284</v>
      </c>
      <c r="L2520" s="9" t="s">
        <v>13284</v>
      </c>
      <c r="M2520" s="9" t="s">
        <v>13284</v>
      </c>
      <c r="N2520" s="9" t="s">
        <v>13284</v>
      </c>
      <c r="O2520" s="9" t="s">
        <v>13284</v>
      </c>
      <c r="P2520" s="9" t="s">
        <v>13284</v>
      </c>
      <c r="Q2520" s="9" t="s">
        <v>13284</v>
      </c>
      <c r="R2520" s="9" t="s">
        <v>13284</v>
      </c>
      <c r="S2520" s="9" t="s">
        <v>13284</v>
      </c>
      <c r="T2520" s="9" t="str">
        <f ca="1">IFERROR(IF(AND(VLOOKUP(A2520, 'Актуальное состояние (из общего'!A:C,3,0) = "", A2520 &lt;&gt; ""), "ПРОВЕРИТЬ", VLOOKUP(A2520, 'Актуальное состояние (из общего'!A:C,3,0)), "")</f>
        <v/>
      </c>
      <c r="U2520" s="9" t="s">
        <v>13284</v>
      </c>
      <c r="V2520" s="9" t="s">
        <v>13284</v>
      </c>
      <c r="W2520" s="12"/>
      <c r="X2520" s="9" t="str">
        <f t="array" ref="X2520">IFERROR(INDEX('Адреса общежитий (скрытый)'!$B$2:$B$9, MATCH(W2520, 'Адреса общежитий (скрытый)'!$A$2:$A$9, 0)), "")</f>
        <v/>
      </c>
      <c r="Y2520" s="18"/>
      <c r="Z2520" s="18"/>
      <c r="AA2520" s="18"/>
      <c r="AB2520" s="18"/>
      <c r="AC2520" s="18"/>
    </row>
    <row r="2521" spans="1:29" ht="32.25" hidden="1" customHeight="1">
      <c r="A2521" s="17"/>
      <c r="B2521" s="9" t="s">
        <v>13284</v>
      </c>
      <c r="C2521" s="9" t="s">
        <v>13284</v>
      </c>
      <c r="D2521" s="9" t="s">
        <v>13284</v>
      </c>
      <c r="E2521" s="9" t="s">
        <v>13284</v>
      </c>
      <c r="F2521" s="9" t="s">
        <v>13284</v>
      </c>
      <c r="G2521" s="9" t="s">
        <v>13284</v>
      </c>
      <c r="H2521" s="9" t="s">
        <v>13284</v>
      </c>
      <c r="I2521" s="9" t="s">
        <v>13284</v>
      </c>
      <c r="J2521" s="9" t="s">
        <v>13284</v>
      </c>
      <c r="K2521" s="9" t="s">
        <v>13284</v>
      </c>
      <c r="L2521" s="9" t="s">
        <v>13284</v>
      </c>
      <c r="M2521" s="9" t="s">
        <v>13284</v>
      </c>
      <c r="N2521" s="9" t="s">
        <v>13284</v>
      </c>
      <c r="O2521" s="9" t="s">
        <v>13284</v>
      </c>
      <c r="P2521" s="9" t="s">
        <v>13284</v>
      </c>
      <c r="Q2521" s="9" t="s">
        <v>13284</v>
      </c>
      <c r="R2521" s="9" t="s">
        <v>13284</v>
      </c>
      <c r="S2521" s="9" t="s">
        <v>13284</v>
      </c>
      <c r="T2521" s="9" t="str">
        <f ca="1">IFERROR(IF(AND(VLOOKUP(A2521, 'Актуальное состояние (из общего'!A:C,3,0) = "", A2521 &lt;&gt; ""), "ПРОВЕРИТЬ", VLOOKUP(A2521, 'Актуальное состояние (из общего'!A:C,3,0)), "")</f>
        <v/>
      </c>
      <c r="U2521" s="9" t="s">
        <v>13284</v>
      </c>
      <c r="V2521" s="9" t="s">
        <v>13284</v>
      </c>
      <c r="W2521" s="12"/>
      <c r="X2521" s="9" t="str">
        <f t="array" ref="X2521">IFERROR(INDEX('Адреса общежитий (скрытый)'!$B$2:$B$9, MATCH(W2521, 'Адреса общежитий (скрытый)'!$A$2:$A$9, 0)), "")</f>
        <v/>
      </c>
      <c r="Y2521" s="18"/>
      <c r="Z2521" s="18"/>
      <c r="AA2521" s="18"/>
      <c r="AB2521" s="18"/>
      <c r="AC2521" s="18"/>
    </row>
    <row r="2522" spans="1:29" ht="32.25" hidden="1" customHeight="1">
      <c r="A2522" s="17"/>
      <c r="B2522" s="9" t="s">
        <v>13284</v>
      </c>
      <c r="C2522" s="9" t="s">
        <v>13284</v>
      </c>
      <c r="D2522" s="9" t="s">
        <v>13284</v>
      </c>
      <c r="E2522" s="9" t="s">
        <v>13284</v>
      </c>
      <c r="F2522" s="9" t="s">
        <v>13284</v>
      </c>
      <c r="G2522" s="9" t="s">
        <v>13284</v>
      </c>
      <c r="H2522" s="9" t="s">
        <v>13284</v>
      </c>
      <c r="I2522" s="9" t="s">
        <v>13284</v>
      </c>
      <c r="J2522" s="9" t="s">
        <v>13284</v>
      </c>
      <c r="K2522" s="9" t="s">
        <v>13284</v>
      </c>
      <c r="L2522" s="9" t="s">
        <v>13284</v>
      </c>
      <c r="M2522" s="9" t="s">
        <v>13284</v>
      </c>
      <c r="N2522" s="9" t="s">
        <v>13284</v>
      </c>
      <c r="O2522" s="9" t="s">
        <v>13284</v>
      </c>
      <c r="P2522" s="9" t="s">
        <v>13284</v>
      </c>
      <c r="Q2522" s="9" t="s">
        <v>13284</v>
      </c>
      <c r="R2522" s="9" t="s">
        <v>13284</v>
      </c>
      <c r="S2522" s="9" t="s">
        <v>13284</v>
      </c>
      <c r="T2522" s="9" t="str">
        <f ca="1">IFERROR(IF(AND(VLOOKUP(A2522, 'Актуальное состояние (из общего'!A:C,3,0) = "", A2522 &lt;&gt; ""), "ПРОВЕРИТЬ", VLOOKUP(A2522, 'Актуальное состояние (из общего'!A:C,3,0)), "")</f>
        <v/>
      </c>
      <c r="U2522" s="9" t="s">
        <v>13284</v>
      </c>
      <c r="V2522" s="9" t="s">
        <v>13284</v>
      </c>
      <c r="W2522" s="12"/>
      <c r="X2522" s="9" t="str">
        <f t="array" ref="X2522">IFERROR(INDEX('Адреса общежитий (скрытый)'!$B$2:$B$9, MATCH(W2522, 'Адреса общежитий (скрытый)'!$A$2:$A$9, 0)), "")</f>
        <v/>
      </c>
      <c r="Y2522" s="18"/>
      <c r="Z2522" s="18"/>
      <c r="AA2522" s="18"/>
      <c r="AB2522" s="18"/>
      <c r="AC2522" s="18"/>
    </row>
    <row r="2523" spans="1:29" ht="32.25" hidden="1" customHeight="1">
      <c r="A2523" s="17"/>
      <c r="B2523" s="9" t="s">
        <v>13284</v>
      </c>
      <c r="C2523" s="9" t="s">
        <v>13284</v>
      </c>
      <c r="D2523" s="9" t="s">
        <v>13284</v>
      </c>
      <c r="E2523" s="9" t="s">
        <v>13284</v>
      </c>
      <c r="F2523" s="9" t="s">
        <v>13284</v>
      </c>
      <c r="G2523" s="9" t="s">
        <v>13284</v>
      </c>
      <c r="H2523" s="9" t="s">
        <v>13284</v>
      </c>
      <c r="I2523" s="9" t="s">
        <v>13284</v>
      </c>
      <c r="J2523" s="9" t="s">
        <v>13284</v>
      </c>
      <c r="K2523" s="9" t="s">
        <v>13284</v>
      </c>
      <c r="L2523" s="9" t="s">
        <v>13284</v>
      </c>
      <c r="M2523" s="9" t="s">
        <v>13284</v>
      </c>
      <c r="N2523" s="9" t="s">
        <v>13284</v>
      </c>
      <c r="O2523" s="9" t="s">
        <v>13284</v>
      </c>
      <c r="P2523" s="9" t="s">
        <v>13284</v>
      </c>
      <c r="Q2523" s="9" t="s">
        <v>13284</v>
      </c>
      <c r="R2523" s="9" t="s">
        <v>13284</v>
      </c>
      <c r="S2523" s="9" t="s">
        <v>13284</v>
      </c>
      <c r="T2523" s="9" t="str">
        <f ca="1">IFERROR(IF(AND(VLOOKUP(A2523, 'Актуальное состояние (из общего'!A:C,3,0) = "", A2523 &lt;&gt; ""), "ПРОВЕРИТЬ", VLOOKUP(A2523, 'Актуальное состояние (из общего'!A:C,3,0)), "")</f>
        <v/>
      </c>
      <c r="U2523" s="9" t="s">
        <v>13284</v>
      </c>
      <c r="V2523" s="9" t="s">
        <v>13284</v>
      </c>
      <c r="W2523" s="12"/>
      <c r="X2523" s="9" t="str">
        <f t="array" ref="X2523">IFERROR(INDEX('Адреса общежитий (скрытый)'!$B$2:$B$9, MATCH(W2523, 'Адреса общежитий (скрытый)'!$A$2:$A$9, 0)), "")</f>
        <v/>
      </c>
      <c r="Y2523" s="18"/>
      <c r="Z2523" s="18"/>
      <c r="AA2523" s="18"/>
      <c r="AB2523" s="18"/>
      <c r="AC2523" s="18"/>
    </row>
    <row r="2524" spans="1:29" ht="32.25" hidden="1" customHeight="1">
      <c r="A2524" s="17"/>
      <c r="B2524" s="9" t="s">
        <v>13284</v>
      </c>
      <c r="C2524" s="9" t="s">
        <v>13284</v>
      </c>
      <c r="D2524" s="9" t="s">
        <v>13284</v>
      </c>
      <c r="E2524" s="9" t="s">
        <v>13284</v>
      </c>
      <c r="F2524" s="9" t="s">
        <v>13284</v>
      </c>
      <c r="G2524" s="9" t="s">
        <v>13284</v>
      </c>
      <c r="H2524" s="9" t="s">
        <v>13284</v>
      </c>
      <c r="I2524" s="9" t="s">
        <v>13284</v>
      </c>
      <c r="J2524" s="9" t="s">
        <v>13284</v>
      </c>
      <c r="K2524" s="9" t="s">
        <v>13284</v>
      </c>
      <c r="L2524" s="9" t="s">
        <v>13284</v>
      </c>
      <c r="M2524" s="9" t="s">
        <v>13284</v>
      </c>
      <c r="N2524" s="9" t="s">
        <v>13284</v>
      </c>
      <c r="O2524" s="9" t="s">
        <v>13284</v>
      </c>
      <c r="P2524" s="9" t="s">
        <v>13284</v>
      </c>
      <c r="Q2524" s="9" t="s">
        <v>13284</v>
      </c>
      <c r="R2524" s="9" t="s">
        <v>13284</v>
      </c>
      <c r="S2524" s="9" t="s">
        <v>13284</v>
      </c>
      <c r="T2524" s="9" t="str">
        <f ca="1">IFERROR(IF(AND(VLOOKUP(A2524, 'Актуальное состояние (из общего'!A:C,3,0) = "", A2524 &lt;&gt; ""), "ПРОВЕРИТЬ", VLOOKUP(A2524, 'Актуальное состояние (из общего'!A:C,3,0)), "")</f>
        <v/>
      </c>
      <c r="U2524" s="9" t="s">
        <v>13284</v>
      </c>
      <c r="V2524" s="9" t="s">
        <v>13284</v>
      </c>
      <c r="W2524" s="12"/>
      <c r="X2524" s="9" t="str">
        <f t="array" ref="X2524">IFERROR(INDEX('Адреса общежитий (скрытый)'!$B$2:$B$9, MATCH(W2524, 'Адреса общежитий (скрытый)'!$A$2:$A$9, 0)), "")</f>
        <v/>
      </c>
      <c r="Y2524" s="18"/>
      <c r="Z2524" s="18"/>
      <c r="AA2524" s="18"/>
      <c r="AB2524" s="18"/>
      <c r="AC2524" s="18"/>
    </row>
    <row r="2525" spans="1:29" ht="32.25" hidden="1" customHeight="1">
      <c r="A2525" s="17"/>
      <c r="B2525" s="9" t="s">
        <v>13284</v>
      </c>
      <c r="C2525" s="9" t="s">
        <v>13284</v>
      </c>
      <c r="D2525" s="9" t="s">
        <v>13284</v>
      </c>
      <c r="E2525" s="9" t="s">
        <v>13284</v>
      </c>
      <c r="F2525" s="9" t="s">
        <v>13284</v>
      </c>
      <c r="G2525" s="9" t="s">
        <v>13284</v>
      </c>
      <c r="H2525" s="9" t="s">
        <v>13284</v>
      </c>
      <c r="I2525" s="9" t="s">
        <v>13284</v>
      </c>
      <c r="J2525" s="9" t="s">
        <v>13284</v>
      </c>
      <c r="K2525" s="9" t="s">
        <v>13284</v>
      </c>
      <c r="L2525" s="9" t="s">
        <v>13284</v>
      </c>
      <c r="M2525" s="9" t="s">
        <v>13284</v>
      </c>
      <c r="N2525" s="9" t="s">
        <v>13284</v>
      </c>
      <c r="O2525" s="9" t="s">
        <v>13284</v>
      </c>
      <c r="P2525" s="9" t="s">
        <v>13284</v>
      </c>
      <c r="Q2525" s="9" t="s">
        <v>13284</v>
      </c>
      <c r="R2525" s="9" t="s">
        <v>13284</v>
      </c>
      <c r="S2525" s="9" t="s">
        <v>13284</v>
      </c>
      <c r="T2525" s="9" t="str">
        <f ca="1">IFERROR(IF(AND(VLOOKUP(A2525, 'Актуальное состояние (из общего'!A:C,3,0) = "", A2525 &lt;&gt; ""), "ПРОВЕРИТЬ", VLOOKUP(A2525, 'Актуальное состояние (из общего'!A:C,3,0)), "")</f>
        <v/>
      </c>
      <c r="U2525" s="9" t="s">
        <v>13284</v>
      </c>
      <c r="V2525" s="9" t="s">
        <v>13284</v>
      </c>
      <c r="W2525" s="12"/>
      <c r="X2525" s="9" t="str">
        <f t="array" ref="X2525">IFERROR(INDEX('Адреса общежитий (скрытый)'!$B$2:$B$9, MATCH(W2525, 'Адреса общежитий (скрытый)'!$A$2:$A$9, 0)), "")</f>
        <v/>
      </c>
      <c r="Y2525" s="18"/>
      <c r="Z2525" s="18"/>
      <c r="AA2525" s="18"/>
      <c r="AB2525" s="18"/>
      <c r="AC2525" s="18"/>
    </row>
    <row r="2526" spans="1:29" ht="32.25" hidden="1" customHeight="1">
      <c r="A2526" s="17"/>
      <c r="B2526" s="9" t="s">
        <v>13284</v>
      </c>
      <c r="C2526" s="9" t="s">
        <v>13284</v>
      </c>
      <c r="D2526" s="9" t="s">
        <v>13284</v>
      </c>
      <c r="E2526" s="9" t="s">
        <v>13284</v>
      </c>
      <c r="F2526" s="9" t="s">
        <v>13284</v>
      </c>
      <c r="G2526" s="9" t="s">
        <v>13284</v>
      </c>
      <c r="H2526" s="9" t="s">
        <v>13284</v>
      </c>
      <c r="I2526" s="9" t="s">
        <v>13284</v>
      </c>
      <c r="J2526" s="9" t="s">
        <v>13284</v>
      </c>
      <c r="K2526" s="9" t="s">
        <v>13284</v>
      </c>
      <c r="L2526" s="9" t="s">
        <v>13284</v>
      </c>
      <c r="M2526" s="9" t="s">
        <v>13284</v>
      </c>
      <c r="N2526" s="9" t="s">
        <v>13284</v>
      </c>
      <c r="O2526" s="9" t="s">
        <v>13284</v>
      </c>
      <c r="P2526" s="9" t="s">
        <v>13284</v>
      </c>
      <c r="Q2526" s="9" t="s">
        <v>13284</v>
      </c>
      <c r="R2526" s="9" t="s">
        <v>13284</v>
      </c>
      <c r="S2526" s="9" t="s">
        <v>13284</v>
      </c>
      <c r="T2526" s="9" t="str">
        <f ca="1">IFERROR(IF(AND(VLOOKUP(A2526, 'Актуальное состояние (из общего'!A:C,3,0) = "", A2526 &lt;&gt; ""), "ПРОВЕРИТЬ", VLOOKUP(A2526, 'Актуальное состояние (из общего'!A:C,3,0)), "")</f>
        <v/>
      </c>
      <c r="U2526" s="9" t="s">
        <v>13284</v>
      </c>
      <c r="V2526" s="9" t="s">
        <v>13284</v>
      </c>
      <c r="W2526" s="12"/>
      <c r="X2526" s="9" t="str">
        <f t="array" ref="X2526">IFERROR(INDEX('Адреса общежитий (скрытый)'!$B$2:$B$9, MATCH(W2526, 'Адреса общежитий (скрытый)'!$A$2:$A$9, 0)), "")</f>
        <v/>
      </c>
      <c r="Y2526" s="18"/>
      <c r="Z2526" s="18"/>
      <c r="AA2526" s="18"/>
      <c r="AB2526" s="18"/>
      <c r="AC2526" s="18"/>
    </row>
    <row r="2527" spans="1:29" ht="32.25" hidden="1" customHeight="1">
      <c r="A2527" s="17"/>
      <c r="B2527" s="9" t="s">
        <v>13284</v>
      </c>
      <c r="C2527" s="9" t="s">
        <v>13284</v>
      </c>
      <c r="D2527" s="9" t="s">
        <v>13284</v>
      </c>
      <c r="E2527" s="9" t="s">
        <v>13284</v>
      </c>
      <c r="F2527" s="9" t="s">
        <v>13284</v>
      </c>
      <c r="G2527" s="9" t="s">
        <v>13284</v>
      </c>
      <c r="H2527" s="9" t="s">
        <v>13284</v>
      </c>
      <c r="I2527" s="9" t="s">
        <v>13284</v>
      </c>
      <c r="J2527" s="9" t="s">
        <v>13284</v>
      </c>
      <c r="K2527" s="9" t="s">
        <v>13284</v>
      </c>
      <c r="L2527" s="9" t="s">
        <v>13284</v>
      </c>
      <c r="M2527" s="9" t="s">
        <v>13284</v>
      </c>
      <c r="N2527" s="9" t="s">
        <v>13284</v>
      </c>
      <c r="O2527" s="9" t="s">
        <v>13284</v>
      </c>
      <c r="P2527" s="9" t="s">
        <v>13284</v>
      </c>
      <c r="Q2527" s="9" t="s">
        <v>13284</v>
      </c>
      <c r="R2527" s="9" t="s">
        <v>13284</v>
      </c>
      <c r="S2527" s="9" t="s">
        <v>13284</v>
      </c>
      <c r="T2527" s="9" t="str">
        <f ca="1">IFERROR(IF(AND(VLOOKUP(A2527, 'Актуальное состояние (из общего'!A:C,3,0) = "", A2527 &lt;&gt; ""), "ПРОВЕРИТЬ", VLOOKUP(A2527, 'Актуальное состояние (из общего'!A:C,3,0)), "")</f>
        <v/>
      </c>
      <c r="U2527" s="9" t="s">
        <v>13284</v>
      </c>
      <c r="V2527" s="9" t="s">
        <v>13284</v>
      </c>
      <c r="W2527" s="12"/>
      <c r="X2527" s="9" t="str">
        <f t="array" ref="X2527">IFERROR(INDEX('Адреса общежитий (скрытый)'!$B$2:$B$9, MATCH(W2527, 'Адреса общежитий (скрытый)'!$A$2:$A$9, 0)), "")</f>
        <v/>
      </c>
      <c r="Y2527" s="18"/>
      <c r="Z2527" s="18"/>
      <c r="AA2527" s="18"/>
      <c r="AB2527" s="18"/>
      <c r="AC2527" s="18"/>
    </row>
    <row r="2528" spans="1:29" ht="32.25" hidden="1" customHeight="1">
      <c r="A2528" s="17"/>
      <c r="B2528" s="9" t="s">
        <v>13284</v>
      </c>
      <c r="C2528" s="9" t="s">
        <v>13284</v>
      </c>
      <c r="D2528" s="9" t="s">
        <v>13284</v>
      </c>
      <c r="E2528" s="9" t="s">
        <v>13284</v>
      </c>
      <c r="F2528" s="9" t="s">
        <v>13284</v>
      </c>
      <c r="G2528" s="9" t="s">
        <v>13284</v>
      </c>
      <c r="H2528" s="9" t="s">
        <v>13284</v>
      </c>
      <c r="I2528" s="9" t="s">
        <v>13284</v>
      </c>
      <c r="J2528" s="9" t="s">
        <v>13284</v>
      </c>
      <c r="K2528" s="9" t="s">
        <v>13284</v>
      </c>
      <c r="L2528" s="9" t="s">
        <v>13284</v>
      </c>
      <c r="M2528" s="9" t="s">
        <v>13284</v>
      </c>
      <c r="N2528" s="9" t="s">
        <v>13284</v>
      </c>
      <c r="O2528" s="9" t="s">
        <v>13284</v>
      </c>
      <c r="P2528" s="9" t="s">
        <v>13284</v>
      </c>
      <c r="Q2528" s="9" t="s">
        <v>13284</v>
      </c>
      <c r="R2528" s="9" t="s">
        <v>13284</v>
      </c>
      <c r="S2528" s="9" t="s">
        <v>13284</v>
      </c>
      <c r="T2528" s="9" t="str">
        <f ca="1">IFERROR(IF(AND(VLOOKUP(A2528, 'Актуальное состояние (из общего'!A:C,3,0) = "", A2528 &lt;&gt; ""), "ПРОВЕРИТЬ", VLOOKUP(A2528, 'Актуальное состояние (из общего'!A:C,3,0)), "")</f>
        <v/>
      </c>
      <c r="U2528" s="9" t="s">
        <v>13284</v>
      </c>
      <c r="V2528" s="9" t="s">
        <v>13284</v>
      </c>
      <c r="W2528" s="12"/>
      <c r="X2528" s="9" t="str">
        <f t="array" ref="X2528">IFERROR(INDEX('Адреса общежитий (скрытый)'!$B$2:$B$9, MATCH(W2528, 'Адреса общежитий (скрытый)'!$A$2:$A$9, 0)), "")</f>
        <v/>
      </c>
      <c r="Y2528" s="18"/>
      <c r="Z2528" s="18"/>
      <c r="AA2528" s="18"/>
      <c r="AB2528" s="18"/>
      <c r="AC2528" s="18"/>
    </row>
    <row r="2529" spans="1:29" ht="32.25" hidden="1" customHeight="1">
      <c r="A2529" s="17"/>
      <c r="B2529" s="9" t="s">
        <v>13284</v>
      </c>
      <c r="C2529" s="9" t="s">
        <v>13284</v>
      </c>
      <c r="D2529" s="9" t="s">
        <v>13284</v>
      </c>
      <c r="E2529" s="9" t="s">
        <v>13284</v>
      </c>
      <c r="F2529" s="9" t="s">
        <v>13284</v>
      </c>
      <c r="G2529" s="9" t="s">
        <v>13284</v>
      </c>
      <c r="H2529" s="9" t="s">
        <v>13284</v>
      </c>
      <c r="I2529" s="9" t="s">
        <v>13284</v>
      </c>
      <c r="J2529" s="9" t="s">
        <v>13284</v>
      </c>
      <c r="K2529" s="9" t="s">
        <v>13284</v>
      </c>
      <c r="L2529" s="9" t="s">
        <v>13284</v>
      </c>
      <c r="M2529" s="9" t="s">
        <v>13284</v>
      </c>
      <c r="N2529" s="9" t="s">
        <v>13284</v>
      </c>
      <c r="O2529" s="9" t="s">
        <v>13284</v>
      </c>
      <c r="P2529" s="9" t="s">
        <v>13284</v>
      </c>
      <c r="Q2529" s="9" t="s">
        <v>13284</v>
      </c>
      <c r="R2529" s="9" t="s">
        <v>13284</v>
      </c>
      <c r="S2529" s="9" t="s">
        <v>13284</v>
      </c>
      <c r="T2529" s="9" t="str">
        <f ca="1">IFERROR(IF(AND(VLOOKUP(A2529, 'Актуальное состояние (из общего'!A:C,3,0) = "", A2529 &lt;&gt; ""), "ПРОВЕРИТЬ", VLOOKUP(A2529, 'Актуальное состояние (из общего'!A:C,3,0)), "")</f>
        <v/>
      </c>
      <c r="U2529" s="9" t="s">
        <v>13284</v>
      </c>
      <c r="V2529" s="9" t="s">
        <v>13284</v>
      </c>
      <c r="W2529" s="12"/>
      <c r="X2529" s="9" t="str">
        <f t="array" ref="X2529">IFERROR(INDEX('Адреса общежитий (скрытый)'!$B$2:$B$9, MATCH(W2529, 'Адреса общежитий (скрытый)'!$A$2:$A$9, 0)), "")</f>
        <v/>
      </c>
      <c r="Y2529" s="18"/>
      <c r="Z2529" s="18"/>
      <c r="AA2529" s="18"/>
      <c r="AB2529" s="18"/>
      <c r="AC2529" s="18"/>
    </row>
    <row r="2530" spans="1:29" ht="32.25" hidden="1" customHeight="1">
      <c r="A2530" s="17"/>
      <c r="B2530" s="9" t="s">
        <v>13284</v>
      </c>
      <c r="C2530" s="9" t="s">
        <v>13284</v>
      </c>
      <c r="D2530" s="9" t="s">
        <v>13284</v>
      </c>
      <c r="E2530" s="9" t="s">
        <v>13284</v>
      </c>
      <c r="F2530" s="9" t="s">
        <v>13284</v>
      </c>
      <c r="G2530" s="9" t="s">
        <v>13284</v>
      </c>
      <c r="H2530" s="9" t="s">
        <v>13284</v>
      </c>
      <c r="I2530" s="9" t="s">
        <v>13284</v>
      </c>
      <c r="J2530" s="9" t="s">
        <v>13284</v>
      </c>
      <c r="K2530" s="9" t="s">
        <v>13284</v>
      </c>
      <c r="L2530" s="9" t="s">
        <v>13284</v>
      </c>
      <c r="M2530" s="9" t="s">
        <v>13284</v>
      </c>
      <c r="N2530" s="9" t="s">
        <v>13284</v>
      </c>
      <c r="O2530" s="9" t="s">
        <v>13284</v>
      </c>
      <c r="P2530" s="9" t="s">
        <v>13284</v>
      </c>
      <c r="Q2530" s="9" t="s">
        <v>13284</v>
      </c>
      <c r="R2530" s="9" t="s">
        <v>13284</v>
      </c>
      <c r="S2530" s="9" t="s">
        <v>13284</v>
      </c>
      <c r="T2530" s="9" t="str">
        <f ca="1">IFERROR(IF(AND(VLOOKUP(A2530, 'Актуальное состояние (из общего'!A:C,3,0) = "", A2530 &lt;&gt; ""), "ПРОВЕРИТЬ", VLOOKUP(A2530, 'Актуальное состояние (из общего'!A:C,3,0)), "")</f>
        <v/>
      </c>
      <c r="U2530" s="9" t="s">
        <v>13284</v>
      </c>
      <c r="V2530" s="9" t="s">
        <v>13284</v>
      </c>
      <c r="W2530" s="12"/>
      <c r="X2530" s="9" t="str">
        <f t="array" ref="X2530">IFERROR(INDEX('Адреса общежитий (скрытый)'!$B$2:$B$9, MATCH(W2530, 'Адреса общежитий (скрытый)'!$A$2:$A$9, 0)), "")</f>
        <v/>
      </c>
      <c r="Y2530" s="18"/>
      <c r="Z2530" s="18"/>
      <c r="AA2530" s="18"/>
      <c r="AB2530" s="18"/>
      <c r="AC2530" s="18"/>
    </row>
    <row r="2531" spans="1:29" ht="32.25" hidden="1" customHeight="1">
      <c r="A2531" s="17"/>
      <c r="B2531" s="9" t="s">
        <v>13284</v>
      </c>
      <c r="C2531" s="9" t="s">
        <v>13284</v>
      </c>
      <c r="D2531" s="9" t="s">
        <v>13284</v>
      </c>
      <c r="E2531" s="9" t="s">
        <v>13284</v>
      </c>
      <c r="F2531" s="9" t="s">
        <v>13284</v>
      </c>
      <c r="G2531" s="9" t="s">
        <v>13284</v>
      </c>
      <c r="H2531" s="9" t="s">
        <v>13284</v>
      </c>
      <c r="I2531" s="9" t="s">
        <v>13284</v>
      </c>
      <c r="J2531" s="9" t="s">
        <v>13284</v>
      </c>
      <c r="K2531" s="9" t="s">
        <v>13284</v>
      </c>
      <c r="L2531" s="9" t="s">
        <v>13284</v>
      </c>
      <c r="M2531" s="9" t="s">
        <v>13284</v>
      </c>
      <c r="N2531" s="9" t="s">
        <v>13284</v>
      </c>
      <c r="O2531" s="9" t="s">
        <v>13284</v>
      </c>
      <c r="P2531" s="9" t="s">
        <v>13284</v>
      </c>
      <c r="Q2531" s="9" t="s">
        <v>13284</v>
      </c>
      <c r="R2531" s="9" t="s">
        <v>13284</v>
      </c>
      <c r="S2531" s="9" t="s">
        <v>13284</v>
      </c>
      <c r="T2531" s="9" t="str">
        <f ca="1">IFERROR(IF(AND(VLOOKUP(A2531, 'Актуальное состояние (из общего'!A:C,3,0) = "", A2531 &lt;&gt; ""), "ПРОВЕРИТЬ", VLOOKUP(A2531, 'Актуальное состояние (из общего'!A:C,3,0)), "")</f>
        <v/>
      </c>
      <c r="U2531" s="9" t="s">
        <v>13284</v>
      </c>
      <c r="V2531" s="9" t="s">
        <v>13284</v>
      </c>
      <c r="W2531" s="12"/>
      <c r="X2531" s="9" t="str">
        <f t="array" ref="X2531">IFERROR(INDEX('Адреса общежитий (скрытый)'!$B$2:$B$9, MATCH(W2531, 'Адреса общежитий (скрытый)'!$A$2:$A$9, 0)), "")</f>
        <v/>
      </c>
      <c r="Y2531" s="18"/>
      <c r="Z2531" s="18"/>
      <c r="AA2531" s="18"/>
      <c r="AB2531" s="18"/>
      <c r="AC2531" s="18"/>
    </row>
    <row r="2532" spans="1:29" ht="32.25" hidden="1" customHeight="1">
      <c r="A2532" s="17"/>
      <c r="B2532" s="9" t="s">
        <v>13284</v>
      </c>
      <c r="C2532" s="9" t="s">
        <v>13284</v>
      </c>
      <c r="D2532" s="9" t="s">
        <v>13284</v>
      </c>
      <c r="E2532" s="9" t="s">
        <v>13284</v>
      </c>
      <c r="F2532" s="9" t="s">
        <v>13284</v>
      </c>
      <c r="G2532" s="9" t="s">
        <v>13284</v>
      </c>
      <c r="H2532" s="9" t="s">
        <v>13284</v>
      </c>
      <c r="I2532" s="9" t="s">
        <v>13284</v>
      </c>
      <c r="J2532" s="9" t="s">
        <v>13284</v>
      </c>
      <c r="K2532" s="9" t="s">
        <v>13284</v>
      </c>
      <c r="L2532" s="9" t="s">
        <v>13284</v>
      </c>
      <c r="M2532" s="9" t="s">
        <v>13284</v>
      </c>
      <c r="N2532" s="9" t="s">
        <v>13284</v>
      </c>
      <c r="O2532" s="9" t="s">
        <v>13284</v>
      </c>
      <c r="P2532" s="9" t="s">
        <v>13284</v>
      </c>
      <c r="Q2532" s="9" t="s">
        <v>13284</v>
      </c>
      <c r="R2532" s="9" t="s">
        <v>13284</v>
      </c>
      <c r="S2532" s="9" t="s">
        <v>13284</v>
      </c>
      <c r="T2532" s="9" t="str">
        <f ca="1">IFERROR(IF(AND(VLOOKUP(A2532, 'Актуальное состояние (из общего'!A:C,3,0) = "", A2532 &lt;&gt; ""), "ПРОВЕРИТЬ", VLOOKUP(A2532, 'Актуальное состояние (из общего'!A:C,3,0)), "")</f>
        <v/>
      </c>
      <c r="U2532" s="9" t="s">
        <v>13284</v>
      </c>
      <c r="V2532" s="9" t="s">
        <v>13284</v>
      </c>
      <c r="W2532" s="12"/>
      <c r="X2532" s="9" t="str">
        <f t="array" ref="X2532">IFERROR(INDEX('Адреса общежитий (скрытый)'!$B$2:$B$9, MATCH(W2532, 'Адреса общежитий (скрытый)'!$A$2:$A$9, 0)), "")</f>
        <v/>
      </c>
      <c r="Y2532" s="18"/>
      <c r="Z2532" s="18"/>
      <c r="AA2532" s="18"/>
      <c r="AB2532" s="18"/>
      <c r="AC2532" s="18"/>
    </row>
    <row r="2533" spans="1:29" ht="32.25" hidden="1" customHeight="1">
      <c r="A2533" s="17"/>
      <c r="B2533" s="9" t="s">
        <v>13284</v>
      </c>
      <c r="C2533" s="9" t="s">
        <v>13284</v>
      </c>
      <c r="D2533" s="9" t="s">
        <v>13284</v>
      </c>
      <c r="E2533" s="9" t="s">
        <v>13284</v>
      </c>
      <c r="F2533" s="9" t="s">
        <v>13284</v>
      </c>
      <c r="G2533" s="9" t="s">
        <v>13284</v>
      </c>
      <c r="H2533" s="9" t="s">
        <v>13284</v>
      </c>
      <c r="I2533" s="9" t="s">
        <v>13284</v>
      </c>
      <c r="J2533" s="9" t="s">
        <v>13284</v>
      </c>
      <c r="K2533" s="9" t="s">
        <v>13284</v>
      </c>
      <c r="L2533" s="9" t="s">
        <v>13284</v>
      </c>
      <c r="M2533" s="9" t="s">
        <v>13284</v>
      </c>
      <c r="N2533" s="9" t="s">
        <v>13284</v>
      </c>
      <c r="O2533" s="9" t="s">
        <v>13284</v>
      </c>
      <c r="P2533" s="9" t="s">
        <v>13284</v>
      </c>
      <c r="Q2533" s="9" t="s">
        <v>13284</v>
      </c>
      <c r="R2533" s="9" t="s">
        <v>13284</v>
      </c>
      <c r="S2533" s="9" t="s">
        <v>13284</v>
      </c>
      <c r="T2533" s="9" t="str">
        <f ca="1">IFERROR(IF(AND(VLOOKUP(A2533, 'Актуальное состояние (из общего'!A:C,3,0) = "", A2533 &lt;&gt; ""), "ПРОВЕРИТЬ", VLOOKUP(A2533, 'Актуальное состояние (из общего'!A:C,3,0)), "")</f>
        <v/>
      </c>
      <c r="U2533" s="9" t="s">
        <v>13284</v>
      </c>
      <c r="V2533" s="9" t="s">
        <v>13284</v>
      </c>
      <c r="W2533" s="12"/>
      <c r="X2533" s="9" t="str">
        <f t="array" ref="X2533">IFERROR(INDEX('Адреса общежитий (скрытый)'!$B$2:$B$9, MATCH(W2533, 'Адреса общежитий (скрытый)'!$A$2:$A$9, 0)), "")</f>
        <v/>
      </c>
      <c r="Y2533" s="18"/>
      <c r="Z2533" s="18"/>
      <c r="AA2533" s="18"/>
      <c r="AB2533" s="18"/>
      <c r="AC2533" s="18"/>
    </row>
    <row r="2534" spans="1:29" ht="32.25" hidden="1" customHeight="1">
      <c r="A2534" s="17"/>
      <c r="B2534" s="9" t="s">
        <v>13284</v>
      </c>
      <c r="C2534" s="9" t="s">
        <v>13284</v>
      </c>
      <c r="D2534" s="9" t="s">
        <v>13284</v>
      </c>
      <c r="E2534" s="9" t="s">
        <v>13284</v>
      </c>
      <c r="F2534" s="9" t="s">
        <v>13284</v>
      </c>
      <c r="G2534" s="9" t="s">
        <v>13284</v>
      </c>
      <c r="H2534" s="9" t="s">
        <v>13284</v>
      </c>
      <c r="I2534" s="9" t="s">
        <v>13284</v>
      </c>
      <c r="J2534" s="9" t="s">
        <v>13284</v>
      </c>
      <c r="K2534" s="9" t="s">
        <v>13284</v>
      </c>
      <c r="L2534" s="9" t="s">
        <v>13284</v>
      </c>
      <c r="M2534" s="9" t="s">
        <v>13284</v>
      </c>
      <c r="N2534" s="9" t="s">
        <v>13284</v>
      </c>
      <c r="O2534" s="9" t="s">
        <v>13284</v>
      </c>
      <c r="P2534" s="9" t="s">
        <v>13284</v>
      </c>
      <c r="Q2534" s="9" t="s">
        <v>13284</v>
      </c>
      <c r="R2534" s="9" t="s">
        <v>13284</v>
      </c>
      <c r="S2534" s="9" t="s">
        <v>13284</v>
      </c>
      <c r="T2534" s="9" t="str">
        <f ca="1">IFERROR(IF(AND(VLOOKUP(A2534, 'Актуальное состояние (из общего'!A:C,3,0) = "", A2534 &lt;&gt; ""), "ПРОВЕРИТЬ", VLOOKUP(A2534, 'Актуальное состояние (из общего'!A:C,3,0)), "")</f>
        <v/>
      </c>
      <c r="U2534" s="9" t="s">
        <v>13284</v>
      </c>
      <c r="V2534" s="9" t="s">
        <v>13284</v>
      </c>
      <c r="W2534" s="12"/>
      <c r="X2534" s="9" t="str">
        <f t="array" ref="X2534">IFERROR(INDEX('Адреса общежитий (скрытый)'!$B$2:$B$9, MATCH(W2534, 'Адреса общежитий (скрытый)'!$A$2:$A$9, 0)), "")</f>
        <v/>
      </c>
      <c r="Y2534" s="18"/>
      <c r="Z2534" s="18"/>
      <c r="AA2534" s="18"/>
      <c r="AB2534" s="18"/>
      <c r="AC2534" s="18"/>
    </row>
    <row r="2535" spans="1:29" ht="32.25" hidden="1" customHeight="1">
      <c r="A2535" s="17"/>
      <c r="B2535" s="9" t="s">
        <v>13284</v>
      </c>
      <c r="C2535" s="9" t="s">
        <v>13284</v>
      </c>
      <c r="D2535" s="9" t="s">
        <v>13284</v>
      </c>
      <c r="E2535" s="9" t="s">
        <v>13284</v>
      </c>
      <c r="F2535" s="9" t="s">
        <v>13284</v>
      </c>
      <c r="G2535" s="9" t="s">
        <v>13284</v>
      </c>
      <c r="H2535" s="9" t="s">
        <v>13284</v>
      </c>
      <c r="I2535" s="9" t="s">
        <v>13284</v>
      </c>
      <c r="J2535" s="9" t="s">
        <v>13284</v>
      </c>
      <c r="K2535" s="9" t="s">
        <v>13284</v>
      </c>
      <c r="L2535" s="9" t="s">
        <v>13284</v>
      </c>
      <c r="M2535" s="9" t="s">
        <v>13284</v>
      </c>
      <c r="N2535" s="9" t="s">
        <v>13284</v>
      </c>
      <c r="O2535" s="9" t="s">
        <v>13284</v>
      </c>
      <c r="P2535" s="9" t="s">
        <v>13284</v>
      </c>
      <c r="Q2535" s="9" t="s">
        <v>13284</v>
      </c>
      <c r="R2535" s="9" t="s">
        <v>13284</v>
      </c>
      <c r="S2535" s="9" t="s">
        <v>13284</v>
      </c>
      <c r="T2535" s="9" t="str">
        <f ca="1">IFERROR(IF(AND(VLOOKUP(A2535, 'Актуальное состояние (из общего'!A:C,3,0) = "", A2535 &lt;&gt; ""), "ПРОВЕРИТЬ", VLOOKUP(A2535, 'Актуальное состояние (из общего'!A:C,3,0)), "")</f>
        <v/>
      </c>
      <c r="U2535" s="9" t="s">
        <v>13284</v>
      </c>
      <c r="V2535" s="9" t="s">
        <v>13284</v>
      </c>
      <c r="W2535" s="12"/>
      <c r="X2535" s="9" t="str">
        <f t="array" ref="X2535">IFERROR(INDEX('Адреса общежитий (скрытый)'!$B$2:$B$9, MATCH(W2535, 'Адреса общежитий (скрытый)'!$A$2:$A$9, 0)), "")</f>
        <v/>
      </c>
      <c r="Y2535" s="18"/>
      <c r="Z2535" s="18"/>
      <c r="AA2535" s="18"/>
      <c r="AB2535" s="18"/>
      <c r="AC2535" s="18"/>
    </row>
    <row r="2536" spans="1:29" ht="32.25" hidden="1" customHeight="1">
      <c r="A2536" s="17"/>
      <c r="B2536" s="9" t="s">
        <v>13284</v>
      </c>
      <c r="C2536" s="9" t="s">
        <v>13284</v>
      </c>
      <c r="D2536" s="9" t="s">
        <v>13284</v>
      </c>
      <c r="E2536" s="9" t="s">
        <v>13284</v>
      </c>
      <c r="F2536" s="9" t="s">
        <v>13284</v>
      </c>
      <c r="G2536" s="9" t="s">
        <v>13284</v>
      </c>
      <c r="H2536" s="9" t="s">
        <v>13284</v>
      </c>
      <c r="I2536" s="9" t="s">
        <v>13284</v>
      </c>
      <c r="J2536" s="9" t="s">
        <v>13284</v>
      </c>
      <c r="K2536" s="9" t="s">
        <v>13284</v>
      </c>
      <c r="L2536" s="9" t="s">
        <v>13284</v>
      </c>
      <c r="M2536" s="9" t="s">
        <v>13284</v>
      </c>
      <c r="N2536" s="9" t="s">
        <v>13284</v>
      </c>
      <c r="O2536" s="9" t="s">
        <v>13284</v>
      </c>
      <c r="P2536" s="9" t="s">
        <v>13284</v>
      </c>
      <c r="Q2536" s="9" t="s">
        <v>13284</v>
      </c>
      <c r="R2536" s="9" t="s">
        <v>13284</v>
      </c>
      <c r="S2536" s="9" t="s">
        <v>13284</v>
      </c>
      <c r="T2536" s="9" t="str">
        <f ca="1">IFERROR(IF(AND(VLOOKUP(A2536, 'Актуальное состояние (из общего'!A:C,3,0) = "", A2536 &lt;&gt; ""), "ПРОВЕРИТЬ", VLOOKUP(A2536, 'Актуальное состояние (из общего'!A:C,3,0)), "")</f>
        <v/>
      </c>
      <c r="U2536" s="9" t="s">
        <v>13284</v>
      </c>
      <c r="V2536" s="9" t="s">
        <v>13284</v>
      </c>
      <c r="W2536" s="12"/>
      <c r="X2536" s="9" t="str">
        <f t="array" ref="X2536">IFERROR(INDEX('Адреса общежитий (скрытый)'!$B$2:$B$9, MATCH(W2536, 'Адреса общежитий (скрытый)'!$A$2:$A$9, 0)), "")</f>
        <v/>
      </c>
      <c r="Y2536" s="18"/>
      <c r="Z2536" s="18"/>
      <c r="AA2536" s="18"/>
      <c r="AB2536" s="18"/>
      <c r="AC2536" s="18"/>
    </row>
    <row r="2537" spans="1:29" ht="32.25" hidden="1" customHeight="1">
      <c r="A2537" s="17"/>
      <c r="B2537" s="9" t="s">
        <v>13284</v>
      </c>
      <c r="C2537" s="9" t="s">
        <v>13284</v>
      </c>
      <c r="D2537" s="9" t="s">
        <v>13284</v>
      </c>
      <c r="E2537" s="9" t="s">
        <v>13284</v>
      </c>
      <c r="F2537" s="9" t="s">
        <v>13284</v>
      </c>
      <c r="G2537" s="9" t="s">
        <v>13284</v>
      </c>
      <c r="H2537" s="9" t="s">
        <v>13284</v>
      </c>
      <c r="I2537" s="9" t="s">
        <v>13284</v>
      </c>
      <c r="J2537" s="9" t="s">
        <v>13284</v>
      </c>
      <c r="K2537" s="9" t="s">
        <v>13284</v>
      </c>
      <c r="L2537" s="9" t="s">
        <v>13284</v>
      </c>
      <c r="M2537" s="9" t="s">
        <v>13284</v>
      </c>
      <c r="N2537" s="9" t="s">
        <v>13284</v>
      </c>
      <c r="O2537" s="9" t="s">
        <v>13284</v>
      </c>
      <c r="P2537" s="9" t="s">
        <v>13284</v>
      </c>
      <c r="Q2537" s="9" t="s">
        <v>13284</v>
      </c>
      <c r="R2537" s="9" t="s">
        <v>13284</v>
      </c>
      <c r="S2537" s="9" t="s">
        <v>13284</v>
      </c>
      <c r="T2537" s="9" t="str">
        <f ca="1">IFERROR(IF(AND(VLOOKUP(A2537, 'Актуальное состояние (из общего'!A:C,3,0) = "", A2537 &lt;&gt; ""), "ПРОВЕРИТЬ", VLOOKUP(A2537, 'Актуальное состояние (из общего'!A:C,3,0)), "")</f>
        <v/>
      </c>
      <c r="U2537" s="9" t="s">
        <v>13284</v>
      </c>
      <c r="V2537" s="9" t="s">
        <v>13284</v>
      </c>
      <c r="W2537" s="12"/>
      <c r="X2537" s="9" t="str">
        <f t="array" ref="X2537">IFERROR(INDEX('Адреса общежитий (скрытый)'!$B$2:$B$9, MATCH(W2537, 'Адреса общежитий (скрытый)'!$A$2:$A$9, 0)), "")</f>
        <v/>
      </c>
      <c r="Y2537" s="18"/>
      <c r="Z2537" s="18"/>
      <c r="AA2537" s="18"/>
      <c r="AB2537" s="18"/>
      <c r="AC2537" s="18"/>
    </row>
    <row r="2538" spans="1:29" ht="32.25" hidden="1" customHeight="1">
      <c r="A2538" s="17"/>
      <c r="B2538" s="9" t="s">
        <v>13284</v>
      </c>
      <c r="C2538" s="9" t="s">
        <v>13284</v>
      </c>
      <c r="D2538" s="9" t="s">
        <v>13284</v>
      </c>
      <c r="E2538" s="9" t="s">
        <v>13284</v>
      </c>
      <c r="F2538" s="9" t="s">
        <v>13284</v>
      </c>
      <c r="G2538" s="9" t="s">
        <v>13284</v>
      </c>
      <c r="H2538" s="9" t="s">
        <v>13284</v>
      </c>
      <c r="I2538" s="9" t="s">
        <v>13284</v>
      </c>
      <c r="J2538" s="9" t="s">
        <v>13284</v>
      </c>
      <c r="K2538" s="9" t="s">
        <v>13284</v>
      </c>
      <c r="L2538" s="9" t="s">
        <v>13284</v>
      </c>
      <c r="M2538" s="9" t="s">
        <v>13284</v>
      </c>
      <c r="N2538" s="9" t="s">
        <v>13284</v>
      </c>
      <c r="O2538" s="9" t="s">
        <v>13284</v>
      </c>
      <c r="P2538" s="9" t="s">
        <v>13284</v>
      </c>
      <c r="Q2538" s="9" t="s">
        <v>13284</v>
      </c>
      <c r="R2538" s="9" t="s">
        <v>13284</v>
      </c>
      <c r="S2538" s="9" t="s">
        <v>13284</v>
      </c>
      <c r="T2538" s="9" t="str">
        <f ca="1">IFERROR(IF(AND(VLOOKUP(A2538, 'Актуальное состояние (из общего'!A:C,3,0) = "", A2538 &lt;&gt; ""), "ПРОВЕРИТЬ", VLOOKUP(A2538, 'Актуальное состояние (из общего'!A:C,3,0)), "")</f>
        <v/>
      </c>
      <c r="U2538" s="9" t="s">
        <v>13284</v>
      </c>
      <c r="V2538" s="9" t="s">
        <v>13284</v>
      </c>
      <c r="W2538" s="12"/>
      <c r="X2538" s="9" t="str">
        <f t="array" ref="X2538">IFERROR(INDEX('Адреса общежитий (скрытый)'!$B$2:$B$9, MATCH(W2538, 'Адреса общежитий (скрытый)'!$A$2:$A$9, 0)), "")</f>
        <v/>
      </c>
      <c r="Y2538" s="18"/>
      <c r="Z2538" s="18"/>
      <c r="AA2538" s="18"/>
      <c r="AB2538" s="18"/>
      <c r="AC2538" s="18"/>
    </row>
    <row r="2539" spans="1:29" ht="32.25" hidden="1" customHeight="1">
      <c r="A2539" s="17"/>
      <c r="B2539" s="9" t="s">
        <v>13284</v>
      </c>
      <c r="C2539" s="9" t="s">
        <v>13284</v>
      </c>
      <c r="D2539" s="9" t="s">
        <v>13284</v>
      </c>
      <c r="E2539" s="9" t="s">
        <v>13284</v>
      </c>
      <c r="F2539" s="9" t="s">
        <v>13284</v>
      </c>
      <c r="G2539" s="9" t="s">
        <v>13284</v>
      </c>
      <c r="H2539" s="9" t="s">
        <v>13284</v>
      </c>
      <c r="I2539" s="9" t="s">
        <v>13284</v>
      </c>
      <c r="J2539" s="9" t="s">
        <v>13284</v>
      </c>
      <c r="K2539" s="9" t="s">
        <v>13284</v>
      </c>
      <c r="L2539" s="9" t="s">
        <v>13284</v>
      </c>
      <c r="M2539" s="9" t="s">
        <v>13284</v>
      </c>
      <c r="N2539" s="9" t="s">
        <v>13284</v>
      </c>
      <c r="O2539" s="9" t="s">
        <v>13284</v>
      </c>
      <c r="P2539" s="9" t="s">
        <v>13284</v>
      </c>
      <c r="Q2539" s="9" t="s">
        <v>13284</v>
      </c>
      <c r="R2539" s="9" t="s">
        <v>13284</v>
      </c>
      <c r="S2539" s="9" t="s">
        <v>13284</v>
      </c>
      <c r="T2539" s="9" t="str">
        <f ca="1">IFERROR(IF(AND(VLOOKUP(A2539, 'Актуальное состояние (из общего'!A:C,3,0) = "", A2539 &lt;&gt; ""), "ПРОВЕРИТЬ", VLOOKUP(A2539, 'Актуальное состояние (из общего'!A:C,3,0)), "")</f>
        <v/>
      </c>
      <c r="U2539" s="9" t="s">
        <v>13284</v>
      </c>
      <c r="V2539" s="9" t="s">
        <v>13284</v>
      </c>
      <c r="W2539" s="12"/>
      <c r="X2539" s="9" t="str">
        <f t="array" ref="X2539">IFERROR(INDEX('Адреса общежитий (скрытый)'!$B$2:$B$9, MATCH(W2539, 'Адреса общежитий (скрытый)'!$A$2:$A$9, 0)), "")</f>
        <v/>
      </c>
      <c r="Y2539" s="18"/>
      <c r="Z2539" s="18"/>
      <c r="AA2539" s="18"/>
      <c r="AB2539" s="18"/>
      <c r="AC2539" s="18"/>
    </row>
    <row r="2540" spans="1:29" ht="32.25" hidden="1" customHeight="1">
      <c r="A2540" s="17"/>
      <c r="B2540" s="9" t="s">
        <v>13284</v>
      </c>
      <c r="C2540" s="9" t="s">
        <v>13284</v>
      </c>
      <c r="D2540" s="9" t="s">
        <v>13284</v>
      </c>
      <c r="E2540" s="9" t="s">
        <v>13284</v>
      </c>
      <c r="F2540" s="9" t="s">
        <v>13284</v>
      </c>
      <c r="G2540" s="9" t="s">
        <v>13284</v>
      </c>
      <c r="H2540" s="9" t="s">
        <v>13284</v>
      </c>
      <c r="I2540" s="9" t="s">
        <v>13284</v>
      </c>
      <c r="J2540" s="9" t="s">
        <v>13284</v>
      </c>
      <c r="K2540" s="9" t="s">
        <v>13284</v>
      </c>
      <c r="L2540" s="9" t="s">
        <v>13284</v>
      </c>
      <c r="M2540" s="9" t="s">
        <v>13284</v>
      </c>
      <c r="N2540" s="9" t="s">
        <v>13284</v>
      </c>
      <c r="O2540" s="9" t="s">
        <v>13284</v>
      </c>
      <c r="P2540" s="9" t="s">
        <v>13284</v>
      </c>
      <c r="Q2540" s="9" t="s">
        <v>13284</v>
      </c>
      <c r="R2540" s="9" t="s">
        <v>13284</v>
      </c>
      <c r="S2540" s="9" t="s">
        <v>13284</v>
      </c>
      <c r="T2540" s="9" t="str">
        <f ca="1">IFERROR(IF(AND(VLOOKUP(A2540, 'Актуальное состояние (из общего'!A:C,3,0) = "", A2540 &lt;&gt; ""), "ПРОВЕРИТЬ", VLOOKUP(A2540, 'Актуальное состояние (из общего'!A:C,3,0)), "")</f>
        <v/>
      </c>
      <c r="U2540" s="9" t="s">
        <v>13284</v>
      </c>
      <c r="V2540" s="9" t="s">
        <v>13284</v>
      </c>
      <c r="W2540" s="12"/>
      <c r="X2540" s="9" t="str">
        <f t="array" ref="X2540">IFERROR(INDEX('Адреса общежитий (скрытый)'!$B$2:$B$9, MATCH(W2540, 'Адреса общежитий (скрытый)'!$A$2:$A$9, 0)), "")</f>
        <v/>
      </c>
      <c r="Y2540" s="18"/>
      <c r="Z2540" s="18"/>
      <c r="AA2540" s="18"/>
      <c r="AB2540" s="18"/>
      <c r="AC2540" s="18"/>
    </row>
    <row r="2541" spans="1:29" ht="32.25" hidden="1" customHeight="1">
      <c r="A2541" s="17"/>
      <c r="B2541" s="9" t="s">
        <v>13284</v>
      </c>
      <c r="C2541" s="9" t="s">
        <v>13284</v>
      </c>
      <c r="D2541" s="9" t="s">
        <v>13284</v>
      </c>
      <c r="E2541" s="9" t="s">
        <v>13284</v>
      </c>
      <c r="F2541" s="9" t="s">
        <v>13284</v>
      </c>
      <c r="G2541" s="9" t="s">
        <v>13284</v>
      </c>
      <c r="H2541" s="9" t="s">
        <v>13284</v>
      </c>
      <c r="I2541" s="9" t="s">
        <v>13284</v>
      </c>
      <c r="J2541" s="9" t="s">
        <v>13284</v>
      </c>
      <c r="K2541" s="9" t="s">
        <v>13284</v>
      </c>
      <c r="L2541" s="9" t="s">
        <v>13284</v>
      </c>
      <c r="M2541" s="9" t="s">
        <v>13284</v>
      </c>
      <c r="N2541" s="9" t="s">
        <v>13284</v>
      </c>
      <c r="O2541" s="9" t="s">
        <v>13284</v>
      </c>
      <c r="P2541" s="9" t="s">
        <v>13284</v>
      </c>
      <c r="Q2541" s="9" t="s">
        <v>13284</v>
      </c>
      <c r="R2541" s="9" t="s">
        <v>13284</v>
      </c>
      <c r="S2541" s="9" t="s">
        <v>13284</v>
      </c>
      <c r="T2541" s="9" t="str">
        <f ca="1">IFERROR(IF(AND(VLOOKUP(A2541, 'Актуальное состояние (из общего'!A:C,3,0) = "", A2541 &lt;&gt; ""), "ПРОВЕРИТЬ", VLOOKUP(A2541, 'Актуальное состояние (из общего'!A:C,3,0)), "")</f>
        <v/>
      </c>
      <c r="U2541" s="9" t="s">
        <v>13284</v>
      </c>
      <c r="V2541" s="9" t="s">
        <v>13284</v>
      </c>
      <c r="W2541" s="12"/>
      <c r="X2541" s="9" t="str">
        <f t="array" ref="X2541">IFERROR(INDEX('Адреса общежитий (скрытый)'!$B$2:$B$9, MATCH(W2541, 'Адреса общежитий (скрытый)'!$A$2:$A$9, 0)), "")</f>
        <v/>
      </c>
      <c r="Y2541" s="18"/>
      <c r="Z2541" s="18"/>
      <c r="AA2541" s="18"/>
      <c r="AB2541" s="18"/>
      <c r="AC2541" s="18"/>
    </row>
    <row r="2542" spans="1:29" ht="32.25" hidden="1" customHeight="1">
      <c r="A2542" s="17"/>
      <c r="B2542" s="9" t="s">
        <v>13284</v>
      </c>
      <c r="C2542" s="9" t="s">
        <v>13284</v>
      </c>
      <c r="D2542" s="9" t="s">
        <v>13284</v>
      </c>
      <c r="E2542" s="9" t="s">
        <v>13284</v>
      </c>
      <c r="F2542" s="9" t="s">
        <v>13284</v>
      </c>
      <c r="G2542" s="9" t="s">
        <v>13284</v>
      </c>
      <c r="H2542" s="9" t="s">
        <v>13284</v>
      </c>
      <c r="I2542" s="9" t="s">
        <v>13284</v>
      </c>
      <c r="J2542" s="9" t="s">
        <v>13284</v>
      </c>
      <c r="K2542" s="9" t="s">
        <v>13284</v>
      </c>
      <c r="L2542" s="9" t="s">
        <v>13284</v>
      </c>
      <c r="M2542" s="9" t="s">
        <v>13284</v>
      </c>
      <c r="N2542" s="9" t="s">
        <v>13284</v>
      </c>
      <c r="O2542" s="9" t="s">
        <v>13284</v>
      </c>
      <c r="P2542" s="9" t="s">
        <v>13284</v>
      </c>
      <c r="Q2542" s="9" t="s">
        <v>13284</v>
      </c>
      <c r="R2542" s="9" t="s">
        <v>13284</v>
      </c>
      <c r="S2542" s="9" t="s">
        <v>13284</v>
      </c>
      <c r="T2542" s="9" t="str">
        <f ca="1">IFERROR(IF(AND(VLOOKUP(A2542, 'Актуальное состояние (из общего'!A:C,3,0) = "", A2542 &lt;&gt; ""), "ПРОВЕРИТЬ", VLOOKUP(A2542, 'Актуальное состояние (из общего'!A:C,3,0)), "")</f>
        <v/>
      </c>
      <c r="U2542" s="9" t="s">
        <v>13284</v>
      </c>
      <c r="V2542" s="9" t="s">
        <v>13284</v>
      </c>
      <c r="W2542" s="12"/>
      <c r="X2542" s="9" t="str">
        <f t="array" ref="X2542">IFERROR(INDEX('Адреса общежитий (скрытый)'!$B$2:$B$9, MATCH(W2542, 'Адреса общежитий (скрытый)'!$A$2:$A$9, 0)), "")</f>
        <v/>
      </c>
      <c r="Y2542" s="18"/>
      <c r="Z2542" s="18"/>
      <c r="AA2542" s="18"/>
      <c r="AB2542" s="18"/>
      <c r="AC2542" s="18"/>
    </row>
    <row r="2543" spans="1:29" ht="32.25" hidden="1" customHeight="1">
      <c r="A2543" s="17"/>
      <c r="B2543" s="9" t="s">
        <v>13284</v>
      </c>
      <c r="C2543" s="9" t="s">
        <v>13284</v>
      </c>
      <c r="D2543" s="9" t="s">
        <v>13284</v>
      </c>
      <c r="E2543" s="9" t="s">
        <v>13284</v>
      </c>
      <c r="F2543" s="9" t="s">
        <v>13284</v>
      </c>
      <c r="G2543" s="9" t="s">
        <v>13284</v>
      </c>
      <c r="H2543" s="9" t="s">
        <v>13284</v>
      </c>
      <c r="I2543" s="9" t="s">
        <v>13284</v>
      </c>
      <c r="J2543" s="9" t="s">
        <v>13284</v>
      </c>
      <c r="K2543" s="9" t="s">
        <v>13284</v>
      </c>
      <c r="L2543" s="9" t="s">
        <v>13284</v>
      </c>
      <c r="M2543" s="9" t="s">
        <v>13284</v>
      </c>
      <c r="N2543" s="9" t="s">
        <v>13284</v>
      </c>
      <c r="O2543" s="9" t="s">
        <v>13284</v>
      </c>
      <c r="P2543" s="9" t="s">
        <v>13284</v>
      </c>
      <c r="Q2543" s="9" t="s">
        <v>13284</v>
      </c>
      <c r="R2543" s="9" t="s">
        <v>13284</v>
      </c>
      <c r="S2543" s="9" t="s">
        <v>13284</v>
      </c>
      <c r="T2543" s="9" t="str">
        <f ca="1">IFERROR(IF(AND(VLOOKUP(A2543, 'Актуальное состояние (из общего'!A:C,3,0) = "", A2543 &lt;&gt; ""), "ПРОВЕРИТЬ", VLOOKUP(A2543, 'Актуальное состояние (из общего'!A:C,3,0)), "")</f>
        <v/>
      </c>
      <c r="U2543" s="9" t="s">
        <v>13284</v>
      </c>
      <c r="V2543" s="9" t="s">
        <v>13284</v>
      </c>
      <c r="W2543" s="12"/>
      <c r="X2543" s="9" t="str">
        <f t="array" ref="X2543">IFERROR(INDEX('Адреса общежитий (скрытый)'!$B$2:$B$9, MATCH(W2543, 'Адреса общежитий (скрытый)'!$A$2:$A$9, 0)), "")</f>
        <v/>
      </c>
      <c r="Y2543" s="18"/>
      <c r="Z2543" s="18"/>
      <c r="AA2543" s="18"/>
      <c r="AB2543" s="18"/>
      <c r="AC2543" s="18"/>
    </row>
    <row r="2544" spans="1:29" ht="32.25" hidden="1" customHeight="1">
      <c r="A2544" s="17"/>
      <c r="B2544" s="9" t="s">
        <v>13284</v>
      </c>
      <c r="C2544" s="9" t="s">
        <v>13284</v>
      </c>
      <c r="D2544" s="9" t="s">
        <v>13284</v>
      </c>
      <c r="E2544" s="9" t="s">
        <v>13284</v>
      </c>
      <c r="F2544" s="9" t="s">
        <v>13284</v>
      </c>
      <c r="G2544" s="9" t="s">
        <v>13284</v>
      </c>
      <c r="H2544" s="9" t="s">
        <v>13284</v>
      </c>
      <c r="I2544" s="9" t="s">
        <v>13284</v>
      </c>
      <c r="J2544" s="9" t="s">
        <v>13284</v>
      </c>
      <c r="K2544" s="9" t="s">
        <v>13284</v>
      </c>
      <c r="L2544" s="9" t="s">
        <v>13284</v>
      </c>
      <c r="M2544" s="9" t="s">
        <v>13284</v>
      </c>
      <c r="N2544" s="9" t="s">
        <v>13284</v>
      </c>
      <c r="O2544" s="9" t="s">
        <v>13284</v>
      </c>
      <c r="P2544" s="9" t="s">
        <v>13284</v>
      </c>
      <c r="Q2544" s="9" t="s">
        <v>13284</v>
      </c>
      <c r="R2544" s="9" t="s">
        <v>13284</v>
      </c>
      <c r="S2544" s="9" t="s">
        <v>13284</v>
      </c>
      <c r="T2544" s="9" t="str">
        <f ca="1">IFERROR(IF(AND(VLOOKUP(A2544, 'Актуальное состояние (из общего'!A:C,3,0) = "", A2544 &lt;&gt; ""), "ПРОВЕРИТЬ", VLOOKUP(A2544, 'Актуальное состояние (из общего'!A:C,3,0)), "")</f>
        <v/>
      </c>
      <c r="U2544" s="9" t="s">
        <v>13284</v>
      </c>
      <c r="V2544" s="9" t="s">
        <v>13284</v>
      </c>
      <c r="W2544" s="12"/>
      <c r="X2544" s="9" t="str">
        <f t="array" ref="X2544">IFERROR(INDEX('Адреса общежитий (скрытый)'!$B$2:$B$9, MATCH(W2544, 'Адреса общежитий (скрытый)'!$A$2:$A$9, 0)), "")</f>
        <v/>
      </c>
      <c r="Y2544" s="18"/>
      <c r="Z2544" s="18"/>
      <c r="AA2544" s="18"/>
      <c r="AB2544" s="18"/>
      <c r="AC2544" s="18"/>
    </row>
    <row r="2545" spans="1:29" ht="32.25" hidden="1" customHeight="1">
      <c r="A2545" s="17"/>
      <c r="B2545" s="9" t="s">
        <v>13284</v>
      </c>
      <c r="C2545" s="9" t="s">
        <v>13284</v>
      </c>
      <c r="D2545" s="9" t="s">
        <v>13284</v>
      </c>
      <c r="E2545" s="9" t="s">
        <v>13284</v>
      </c>
      <c r="F2545" s="9" t="s">
        <v>13284</v>
      </c>
      <c r="G2545" s="9" t="s">
        <v>13284</v>
      </c>
      <c r="H2545" s="9" t="s">
        <v>13284</v>
      </c>
      <c r="I2545" s="9" t="s">
        <v>13284</v>
      </c>
      <c r="J2545" s="9" t="s">
        <v>13284</v>
      </c>
      <c r="K2545" s="9" t="s">
        <v>13284</v>
      </c>
      <c r="L2545" s="9" t="s">
        <v>13284</v>
      </c>
      <c r="M2545" s="9" t="s">
        <v>13284</v>
      </c>
      <c r="N2545" s="9" t="s">
        <v>13284</v>
      </c>
      <c r="O2545" s="9" t="s">
        <v>13284</v>
      </c>
      <c r="P2545" s="9" t="s">
        <v>13284</v>
      </c>
      <c r="Q2545" s="9" t="s">
        <v>13284</v>
      </c>
      <c r="R2545" s="9" t="s">
        <v>13284</v>
      </c>
      <c r="S2545" s="9" t="s">
        <v>13284</v>
      </c>
      <c r="T2545" s="9" t="str">
        <f ca="1">IFERROR(IF(AND(VLOOKUP(A2545, 'Актуальное состояние (из общего'!A:C,3,0) = "", A2545 &lt;&gt; ""), "ПРОВЕРИТЬ", VLOOKUP(A2545, 'Актуальное состояние (из общего'!A:C,3,0)), "")</f>
        <v/>
      </c>
      <c r="U2545" s="9" t="s">
        <v>13284</v>
      </c>
      <c r="V2545" s="9" t="s">
        <v>13284</v>
      </c>
      <c r="W2545" s="12"/>
      <c r="X2545" s="9" t="str">
        <f t="array" ref="X2545">IFERROR(INDEX('Адреса общежитий (скрытый)'!$B$2:$B$9, MATCH(W2545, 'Адреса общежитий (скрытый)'!$A$2:$A$9, 0)), "")</f>
        <v/>
      </c>
      <c r="Y2545" s="18"/>
      <c r="Z2545" s="18"/>
      <c r="AA2545" s="18"/>
      <c r="AB2545" s="18"/>
      <c r="AC2545" s="18"/>
    </row>
    <row r="2546" spans="1:29" ht="32.25" hidden="1" customHeight="1">
      <c r="A2546" s="17"/>
      <c r="B2546" s="9" t="s">
        <v>13284</v>
      </c>
      <c r="C2546" s="9" t="s">
        <v>13284</v>
      </c>
      <c r="D2546" s="9" t="s">
        <v>13284</v>
      </c>
      <c r="E2546" s="9" t="s">
        <v>13284</v>
      </c>
      <c r="F2546" s="9" t="s">
        <v>13284</v>
      </c>
      <c r="G2546" s="9" t="s">
        <v>13284</v>
      </c>
      <c r="H2546" s="9" t="s">
        <v>13284</v>
      </c>
      <c r="I2546" s="9" t="s">
        <v>13284</v>
      </c>
      <c r="J2546" s="9" t="s">
        <v>13284</v>
      </c>
      <c r="K2546" s="9" t="s">
        <v>13284</v>
      </c>
      <c r="L2546" s="9" t="s">
        <v>13284</v>
      </c>
      <c r="M2546" s="9" t="s">
        <v>13284</v>
      </c>
      <c r="N2546" s="9" t="s">
        <v>13284</v>
      </c>
      <c r="O2546" s="9" t="s">
        <v>13284</v>
      </c>
      <c r="P2546" s="9" t="s">
        <v>13284</v>
      </c>
      <c r="Q2546" s="9" t="s">
        <v>13284</v>
      </c>
      <c r="R2546" s="9" t="s">
        <v>13284</v>
      </c>
      <c r="S2546" s="9" t="s">
        <v>13284</v>
      </c>
      <c r="T2546" s="9" t="str">
        <f ca="1">IFERROR(IF(AND(VLOOKUP(A2546, 'Актуальное состояние (из общего'!A:C,3,0) = "", A2546 &lt;&gt; ""), "ПРОВЕРИТЬ", VLOOKUP(A2546, 'Актуальное состояние (из общего'!A:C,3,0)), "")</f>
        <v/>
      </c>
      <c r="U2546" s="9" t="s">
        <v>13284</v>
      </c>
      <c r="V2546" s="9" t="s">
        <v>13284</v>
      </c>
      <c r="W2546" s="12"/>
      <c r="X2546" s="9" t="str">
        <f t="array" ref="X2546">IFERROR(INDEX('Адреса общежитий (скрытый)'!$B$2:$B$9, MATCH(W2546, 'Адреса общежитий (скрытый)'!$A$2:$A$9, 0)), "")</f>
        <v/>
      </c>
      <c r="Y2546" s="18"/>
      <c r="Z2546" s="18"/>
      <c r="AA2546" s="18"/>
      <c r="AB2546" s="18"/>
      <c r="AC2546" s="18"/>
    </row>
    <row r="2547" spans="1:29" ht="32.25" hidden="1" customHeight="1">
      <c r="A2547" s="17"/>
      <c r="B2547" s="9" t="s">
        <v>13284</v>
      </c>
      <c r="C2547" s="9" t="s">
        <v>13284</v>
      </c>
      <c r="D2547" s="9" t="s">
        <v>13284</v>
      </c>
      <c r="E2547" s="9" t="s">
        <v>13284</v>
      </c>
      <c r="F2547" s="9" t="s">
        <v>13284</v>
      </c>
      <c r="G2547" s="9" t="s">
        <v>13284</v>
      </c>
      <c r="H2547" s="9" t="s">
        <v>13284</v>
      </c>
      <c r="I2547" s="9" t="s">
        <v>13284</v>
      </c>
      <c r="J2547" s="9" t="s">
        <v>13284</v>
      </c>
      <c r="K2547" s="9" t="s">
        <v>13284</v>
      </c>
      <c r="L2547" s="9" t="s">
        <v>13284</v>
      </c>
      <c r="M2547" s="9" t="s">
        <v>13284</v>
      </c>
      <c r="N2547" s="9" t="s">
        <v>13284</v>
      </c>
      <c r="O2547" s="9" t="s">
        <v>13284</v>
      </c>
      <c r="P2547" s="9" t="s">
        <v>13284</v>
      </c>
      <c r="Q2547" s="9" t="s">
        <v>13284</v>
      </c>
      <c r="R2547" s="9" t="s">
        <v>13284</v>
      </c>
      <c r="S2547" s="9" t="s">
        <v>13284</v>
      </c>
      <c r="T2547" s="9" t="str">
        <f ca="1">IFERROR(IF(AND(VLOOKUP(A2547, 'Актуальное состояние (из общего'!A:C,3,0) = "", A2547 &lt;&gt; ""), "ПРОВЕРИТЬ", VLOOKUP(A2547, 'Актуальное состояние (из общего'!A:C,3,0)), "")</f>
        <v/>
      </c>
      <c r="U2547" s="9" t="s">
        <v>13284</v>
      </c>
      <c r="V2547" s="9" t="s">
        <v>13284</v>
      </c>
      <c r="W2547" s="12"/>
      <c r="X2547" s="9" t="str">
        <f t="array" ref="X2547">IFERROR(INDEX('Адреса общежитий (скрытый)'!$B$2:$B$9, MATCH(W2547, 'Адреса общежитий (скрытый)'!$A$2:$A$9, 0)), "")</f>
        <v/>
      </c>
      <c r="Y2547" s="18"/>
      <c r="Z2547" s="18"/>
      <c r="AA2547" s="18"/>
      <c r="AB2547" s="18"/>
      <c r="AC2547" s="18"/>
    </row>
    <row r="2548" spans="1:29" ht="32.25" hidden="1" customHeight="1">
      <c r="A2548" s="17"/>
      <c r="B2548" s="9" t="s">
        <v>13284</v>
      </c>
      <c r="C2548" s="9" t="s">
        <v>13284</v>
      </c>
      <c r="D2548" s="9" t="s">
        <v>13284</v>
      </c>
      <c r="E2548" s="9" t="s">
        <v>13284</v>
      </c>
      <c r="F2548" s="9" t="s">
        <v>13284</v>
      </c>
      <c r="G2548" s="9" t="s">
        <v>13284</v>
      </c>
      <c r="H2548" s="9" t="s">
        <v>13284</v>
      </c>
      <c r="I2548" s="9" t="s">
        <v>13284</v>
      </c>
      <c r="J2548" s="9" t="s">
        <v>13284</v>
      </c>
      <c r="K2548" s="9" t="s">
        <v>13284</v>
      </c>
      <c r="L2548" s="9" t="s">
        <v>13284</v>
      </c>
      <c r="M2548" s="9" t="s">
        <v>13284</v>
      </c>
      <c r="N2548" s="9" t="s">
        <v>13284</v>
      </c>
      <c r="O2548" s="9" t="s">
        <v>13284</v>
      </c>
      <c r="P2548" s="9" t="s">
        <v>13284</v>
      </c>
      <c r="Q2548" s="9" t="s">
        <v>13284</v>
      </c>
      <c r="R2548" s="9" t="s">
        <v>13284</v>
      </c>
      <c r="S2548" s="9" t="s">
        <v>13284</v>
      </c>
      <c r="T2548" s="9" t="str">
        <f ca="1">IFERROR(IF(AND(VLOOKUP(A2548, 'Актуальное состояние (из общего'!A:C,3,0) = "", A2548 &lt;&gt; ""), "ПРОВЕРИТЬ", VLOOKUP(A2548, 'Актуальное состояние (из общего'!A:C,3,0)), "")</f>
        <v/>
      </c>
      <c r="U2548" s="9" t="s">
        <v>13284</v>
      </c>
      <c r="V2548" s="9" t="s">
        <v>13284</v>
      </c>
      <c r="W2548" s="12"/>
      <c r="X2548" s="9" t="str">
        <f t="array" ref="X2548">IFERROR(INDEX('Адреса общежитий (скрытый)'!$B$2:$B$9, MATCH(W2548, 'Адреса общежитий (скрытый)'!$A$2:$A$9, 0)), "")</f>
        <v/>
      </c>
      <c r="Y2548" s="18"/>
      <c r="Z2548" s="18"/>
      <c r="AA2548" s="18"/>
      <c r="AB2548" s="18"/>
      <c r="AC2548" s="18"/>
    </row>
    <row r="2549" spans="1:29" ht="32.25" hidden="1" customHeight="1">
      <c r="A2549" s="17"/>
      <c r="B2549" s="9" t="s">
        <v>13284</v>
      </c>
      <c r="C2549" s="9" t="s">
        <v>13284</v>
      </c>
      <c r="D2549" s="9" t="s">
        <v>13284</v>
      </c>
      <c r="E2549" s="9" t="s">
        <v>13284</v>
      </c>
      <c r="F2549" s="9" t="s">
        <v>13284</v>
      </c>
      <c r="G2549" s="9" t="s">
        <v>13284</v>
      </c>
      <c r="H2549" s="9" t="s">
        <v>13284</v>
      </c>
      <c r="I2549" s="9" t="s">
        <v>13284</v>
      </c>
      <c r="J2549" s="9" t="s">
        <v>13284</v>
      </c>
      <c r="K2549" s="9" t="s">
        <v>13284</v>
      </c>
      <c r="L2549" s="9" t="s">
        <v>13284</v>
      </c>
      <c r="M2549" s="9" t="s">
        <v>13284</v>
      </c>
      <c r="N2549" s="9" t="s">
        <v>13284</v>
      </c>
      <c r="O2549" s="9" t="s">
        <v>13284</v>
      </c>
      <c r="P2549" s="9" t="s">
        <v>13284</v>
      </c>
      <c r="Q2549" s="9" t="s">
        <v>13284</v>
      </c>
      <c r="R2549" s="9" t="s">
        <v>13284</v>
      </c>
      <c r="S2549" s="9" t="s">
        <v>13284</v>
      </c>
      <c r="T2549" s="9" t="str">
        <f ca="1">IFERROR(IF(AND(VLOOKUP(A2549, 'Актуальное состояние (из общего'!A:C,3,0) = "", A2549 &lt;&gt; ""), "ПРОВЕРИТЬ", VLOOKUP(A2549, 'Актуальное состояние (из общего'!A:C,3,0)), "")</f>
        <v/>
      </c>
      <c r="U2549" s="9" t="s">
        <v>13284</v>
      </c>
      <c r="V2549" s="9" t="s">
        <v>13284</v>
      </c>
      <c r="W2549" s="12"/>
      <c r="X2549" s="9" t="str">
        <f t="array" ref="X2549">IFERROR(INDEX('Адреса общежитий (скрытый)'!$B$2:$B$9, MATCH(W2549, 'Адреса общежитий (скрытый)'!$A$2:$A$9, 0)), "")</f>
        <v/>
      </c>
      <c r="Y2549" s="18"/>
      <c r="Z2549" s="18"/>
      <c r="AA2549" s="18"/>
      <c r="AB2549" s="18"/>
      <c r="AC2549" s="18"/>
    </row>
    <row r="2550" spans="1:29" ht="32.25" hidden="1" customHeight="1">
      <c r="A2550" s="17"/>
      <c r="B2550" s="9" t="s">
        <v>13284</v>
      </c>
      <c r="C2550" s="9" t="s">
        <v>13284</v>
      </c>
      <c r="D2550" s="9" t="s">
        <v>13284</v>
      </c>
      <c r="E2550" s="9" t="s">
        <v>13284</v>
      </c>
      <c r="F2550" s="9" t="s">
        <v>13284</v>
      </c>
      <c r="G2550" s="9" t="s">
        <v>13284</v>
      </c>
      <c r="H2550" s="9" t="s">
        <v>13284</v>
      </c>
      <c r="I2550" s="9" t="s">
        <v>13284</v>
      </c>
      <c r="J2550" s="9" t="s">
        <v>13284</v>
      </c>
      <c r="K2550" s="9" t="s">
        <v>13284</v>
      </c>
      <c r="L2550" s="9" t="s">
        <v>13284</v>
      </c>
      <c r="M2550" s="9" t="s">
        <v>13284</v>
      </c>
      <c r="N2550" s="9" t="s">
        <v>13284</v>
      </c>
      <c r="O2550" s="9" t="s">
        <v>13284</v>
      </c>
      <c r="P2550" s="9" t="s">
        <v>13284</v>
      </c>
      <c r="Q2550" s="9" t="s">
        <v>13284</v>
      </c>
      <c r="R2550" s="9" t="s">
        <v>13284</v>
      </c>
      <c r="S2550" s="9" t="s">
        <v>13284</v>
      </c>
      <c r="T2550" s="9" t="str">
        <f ca="1">IFERROR(IF(AND(VLOOKUP(A2550, 'Актуальное состояние (из общего'!A:C,3,0) = "", A2550 &lt;&gt; ""), "ПРОВЕРИТЬ", VLOOKUP(A2550, 'Актуальное состояние (из общего'!A:C,3,0)), "")</f>
        <v/>
      </c>
      <c r="U2550" s="9" t="s">
        <v>13284</v>
      </c>
      <c r="V2550" s="9" t="s">
        <v>13284</v>
      </c>
      <c r="W2550" s="12"/>
      <c r="X2550" s="9" t="str">
        <f t="array" ref="X2550">IFERROR(INDEX('Адреса общежитий (скрытый)'!$B$2:$B$9, MATCH(W2550, 'Адреса общежитий (скрытый)'!$A$2:$A$9, 0)), "")</f>
        <v/>
      </c>
      <c r="Y2550" s="18"/>
      <c r="Z2550" s="18"/>
      <c r="AA2550" s="18"/>
      <c r="AB2550" s="18"/>
      <c r="AC2550" s="18"/>
    </row>
    <row r="2551" spans="1:29" ht="32.25" hidden="1" customHeight="1">
      <c r="A2551" s="17"/>
      <c r="B2551" s="9" t="s">
        <v>13284</v>
      </c>
      <c r="C2551" s="9" t="s">
        <v>13284</v>
      </c>
      <c r="D2551" s="9" t="s">
        <v>13284</v>
      </c>
      <c r="E2551" s="9" t="s">
        <v>13284</v>
      </c>
      <c r="F2551" s="9" t="s">
        <v>13284</v>
      </c>
      <c r="G2551" s="9" t="s">
        <v>13284</v>
      </c>
      <c r="H2551" s="9" t="s">
        <v>13284</v>
      </c>
      <c r="I2551" s="9" t="s">
        <v>13284</v>
      </c>
      <c r="J2551" s="9" t="s">
        <v>13284</v>
      </c>
      <c r="K2551" s="9" t="s">
        <v>13284</v>
      </c>
      <c r="L2551" s="9" t="s">
        <v>13284</v>
      </c>
      <c r="M2551" s="9" t="s">
        <v>13284</v>
      </c>
      <c r="N2551" s="9" t="s">
        <v>13284</v>
      </c>
      <c r="O2551" s="9" t="s">
        <v>13284</v>
      </c>
      <c r="P2551" s="9" t="s">
        <v>13284</v>
      </c>
      <c r="Q2551" s="9" t="s">
        <v>13284</v>
      </c>
      <c r="R2551" s="9" t="s">
        <v>13284</v>
      </c>
      <c r="S2551" s="9" t="s">
        <v>13284</v>
      </c>
      <c r="T2551" s="9" t="str">
        <f ca="1">IFERROR(IF(AND(VLOOKUP(A2551, 'Актуальное состояние (из общего'!A:C,3,0) = "", A2551 &lt;&gt; ""), "ПРОВЕРИТЬ", VLOOKUP(A2551, 'Актуальное состояние (из общего'!A:C,3,0)), "")</f>
        <v/>
      </c>
      <c r="U2551" s="9" t="s">
        <v>13284</v>
      </c>
      <c r="V2551" s="9" t="s">
        <v>13284</v>
      </c>
      <c r="W2551" s="12"/>
      <c r="X2551" s="9" t="str">
        <f t="array" ref="X2551">IFERROR(INDEX('Адреса общежитий (скрытый)'!$B$2:$B$9, MATCH(W2551, 'Адреса общежитий (скрытый)'!$A$2:$A$9, 0)), "")</f>
        <v/>
      </c>
      <c r="Y2551" s="18"/>
      <c r="Z2551" s="18"/>
      <c r="AA2551" s="18"/>
      <c r="AB2551" s="18"/>
      <c r="AC2551" s="18"/>
    </row>
    <row r="2552" spans="1:29" ht="32.25" hidden="1" customHeight="1">
      <c r="A2552" s="17"/>
      <c r="B2552" s="9" t="s">
        <v>13284</v>
      </c>
      <c r="C2552" s="9" t="s">
        <v>13284</v>
      </c>
      <c r="D2552" s="9" t="s">
        <v>13284</v>
      </c>
      <c r="E2552" s="9" t="s">
        <v>13284</v>
      </c>
      <c r="F2552" s="9" t="s">
        <v>13284</v>
      </c>
      <c r="G2552" s="9" t="s">
        <v>13284</v>
      </c>
      <c r="H2552" s="9" t="s">
        <v>13284</v>
      </c>
      <c r="I2552" s="9" t="s">
        <v>13284</v>
      </c>
      <c r="J2552" s="9" t="s">
        <v>13284</v>
      </c>
      <c r="K2552" s="9" t="s">
        <v>13284</v>
      </c>
      <c r="L2552" s="9" t="s">
        <v>13284</v>
      </c>
      <c r="M2552" s="9" t="s">
        <v>13284</v>
      </c>
      <c r="N2552" s="9" t="s">
        <v>13284</v>
      </c>
      <c r="O2552" s="9" t="s">
        <v>13284</v>
      </c>
      <c r="P2552" s="9" t="s">
        <v>13284</v>
      </c>
      <c r="Q2552" s="9" t="s">
        <v>13284</v>
      </c>
      <c r="R2552" s="9" t="s">
        <v>13284</v>
      </c>
      <c r="S2552" s="9" t="s">
        <v>13284</v>
      </c>
      <c r="T2552" s="9" t="str">
        <f ca="1">IFERROR(IF(AND(VLOOKUP(A2552, 'Актуальное состояние (из общего'!A:C,3,0) = "", A2552 &lt;&gt; ""), "ПРОВЕРИТЬ", VLOOKUP(A2552, 'Актуальное состояние (из общего'!A:C,3,0)), "")</f>
        <v/>
      </c>
      <c r="U2552" s="9" t="s">
        <v>13284</v>
      </c>
      <c r="V2552" s="9" t="s">
        <v>13284</v>
      </c>
      <c r="W2552" s="12"/>
      <c r="X2552" s="9" t="str">
        <f t="array" ref="X2552">IFERROR(INDEX('Адреса общежитий (скрытый)'!$B$2:$B$9, MATCH(W2552, 'Адреса общежитий (скрытый)'!$A$2:$A$9, 0)), "")</f>
        <v/>
      </c>
      <c r="Y2552" s="18"/>
      <c r="Z2552" s="18"/>
      <c r="AA2552" s="18"/>
      <c r="AB2552" s="18"/>
      <c r="AC2552" s="18"/>
    </row>
    <row r="2553" spans="1:29" ht="32.25" hidden="1" customHeight="1">
      <c r="A2553" s="17"/>
      <c r="B2553" s="9" t="s">
        <v>13284</v>
      </c>
      <c r="C2553" s="9" t="s">
        <v>13284</v>
      </c>
      <c r="D2553" s="9" t="s">
        <v>13284</v>
      </c>
      <c r="E2553" s="9" t="s">
        <v>13284</v>
      </c>
      <c r="F2553" s="9" t="s">
        <v>13284</v>
      </c>
      <c r="G2553" s="9" t="s">
        <v>13284</v>
      </c>
      <c r="H2553" s="9" t="s">
        <v>13284</v>
      </c>
      <c r="I2553" s="9" t="s">
        <v>13284</v>
      </c>
      <c r="J2553" s="9" t="s">
        <v>13284</v>
      </c>
      <c r="K2553" s="9" t="s">
        <v>13284</v>
      </c>
      <c r="L2553" s="9" t="s">
        <v>13284</v>
      </c>
      <c r="M2553" s="9" t="s">
        <v>13284</v>
      </c>
      <c r="N2553" s="9" t="s">
        <v>13284</v>
      </c>
      <c r="O2553" s="9" t="s">
        <v>13284</v>
      </c>
      <c r="P2553" s="9" t="s">
        <v>13284</v>
      </c>
      <c r="Q2553" s="9" t="s">
        <v>13284</v>
      </c>
      <c r="R2553" s="9" t="s">
        <v>13284</v>
      </c>
      <c r="S2553" s="9" t="s">
        <v>13284</v>
      </c>
      <c r="T2553" s="9" t="str">
        <f ca="1">IFERROR(IF(AND(VLOOKUP(A2553, 'Актуальное состояние (из общего'!A:C,3,0) = "", A2553 &lt;&gt; ""), "ПРОВЕРИТЬ", VLOOKUP(A2553, 'Актуальное состояние (из общего'!A:C,3,0)), "")</f>
        <v/>
      </c>
      <c r="U2553" s="9" t="s">
        <v>13284</v>
      </c>
      <c r="V2553" s="9" t="s">
        <v>13284</v>
      </c>
      <c r="W2553" s="12"/>
      <c r="X2553" s="9" t="str">
        <f t="array" ref="X2553">IFERROR(INDEX('Адреса общежитий (скрытый)'!$B$2:$B$9, MATCH(W2553, 'Адреса общежитий (скрытый)'!$A$2:$A$9, 0)), "")</f>
        <v/>
      </c>
      <c r="Y2553" s="18"/>
      <c r="Z2553" s="18"/>
      <c r="AA2553" s="18"/>
      <c r="AB2553" s="18"/>
      <c r="AC2553" s="18"/>
    </row>
    <row r="2554" spans="1:29" ht="32.25" hidden="1" customHeight="1">
      <c r="A2554" s="17"/>
      <c r="B2554" s="9" t="s">
        <v>13284</v>
      </c>
      <c r="C2554" s="9" t="s">
        <v>13284</v>
      </c>
      <c r="D2554" s="9" t="s">
        <v>13284</v>
      </c>
      <c r="E2554" s="9" t="s">
        <v>13284</v>
      </c>
      <c r="F2554" s="9" t="s">
        <v>13284</v>
      </c>
      <c r="G2554" s="9" t="s">
        <v>13284</v>
      </c>
      <c r="H2554" s="9" t="s">
        <v>13284</v>
      </c>
      <c r="I2554" s="9" t="s">
        <v>13284</v>
      </c>
      <c r="J2554" s="9" t="s">
        <v>13284</v>
      </c>
      <c r="K2554" s="9" t="s">
        <v>13284</v>
      </c>
      <c r="L2554" s="9" t="s">
        <v>13284</v>
      </c>
      <c r="M2554" s="9" t="s">
        <v>13284</v>
      </c>
      <c r="N2554" s="9" t="s">
        <v>13284</v>
      </c>
      <c r="O2554" s="9" t="s">
        <v>13284</v>
      </c>
      <c r="P2554" s="9" t="s">
        <v>13284</v>
      </c>
      <c r="Q2554" s="9" t="s">
        <v>13284</v>
      </c>
      <c r="R2554" s="9" t="s">
        <v>13284</v>
      </c>
      <c r="S2554" s="9" t="s">
        <v>13284</v>
      </c>
      <c r="T2554" s="9" t="str">
        <f ca="1">IFERROR(IF(AND(VLOOKUP(A2554, 'Актуальное состояние (из общего'!A:C,3,0) = "", A2554 &lt;&gt; ""), "ПРОВЕРИТЬ", VLOOKUP(A2554, 'Актуальное состояние (из общего'!A:C,3,0)), "")</f>
        <v/>
      </c>
      <c r="U2554" s="9" t="s">
        <v>13284</v>
      </c>
      <c r="V2554" s="9" t="s">
        <v>13284</v>
      </c>
      <c r="W2554" s="12"/>
      <c r="X2554" s="9" t="str">
        <f t="array" ref="X2554">IFERROR(INDEX('Адреса общежитий (скрытый)'!$B$2:$B$9, MATCH(W2554, 'Адреса общежитий (скрытый)'!$A$2:$A$9, 0)), "")</f>
        <v/>
      </c>
      <c r="Y2554" s="18"/>
      <c r="Z2554" s="18"/>
      <c r="AA2554" s="18"/>
      <c r="AB2554" s="18"/>
      <c r="AC2554" s="18"/>
    </row>
    <row r="2555" spans="1:29" ht="32.25" hidden="1" customHeight="1">
      <c r="A2555" s="17"/>
      <c r="B2555" s="9" t="s">
        <v>13284</v>
      </c>
      <c r="C2555" s="9" t="s">
        <v>13284</v>
      </c>
      <c r="D2555" s="9" t="s">
        <v>13284</v>
      </c>
      <c r="E2555" s="9" t="s">
        <v>13284</v>
      </c>
      <c r="F2555" s="9" t="s">
        <v>13284</v>
      </c>
      <c r="G2555" s="9" t="s">
        <v>13284</v>
      </c>
      <c r="H2555" s="9" t="s">
        <v>13284</v>
      </c>
      <c r="I2555" s="9" t="s">
        <v>13284</v>
      </c>
      <c r="J2555" s="9" t="s">
        <v>13284</v>
      </c>
      <c r="K2555" s="9" t="s">
        <v>13284</v>
      </c>
      <c r="L2555" s="9" t="s">
        <v>13284</v>
      </c>
      <c r="M2555" s="9" t="s">
        <v>13284</v>
      </c>
      <c r="N2555" s="9" t="s">
        <v>13284</v>
      </c>
      <c r="O2555" s="9" t="s">
        <v>13284</v>
      </c>
      <c r="P2555" s="9" t="s">
        <v>13284</v>
      </c>
      <c r="Q2555" s="9" t="s">
        <v>13284</v>
      </c>
      <c r="R2555" s="9" t="s">
        <v>13284</v>
      </c>
      <c r="S2555" s="9" t="s">
        <v>13284</v>
      </c>
      <c r="T2555" s="9" t="str">
        <f ca="1">IFERROR(IF(AND(VLOOKUP(A2555, 'Актуальное состояние (из общего'!A:C,3,0) = "", A2555 &lt;&gt; ""), "ПРОВЕРИТЬ", VLOOKUP(A2555, 'Актуальное состояние (из общего'!A:C,3,0)), "")</f>
        <v/>
      </c>
      <c r="U2555" s="9" t="s">
        <v>13284</v>
      </c>
      <c r="V2555" s="9" t="s">
        <v>13284</v>
      </c>
      <c r="W2555" s="12"/>
      <c r="X2555" s="9" t="str">
        <f t="array" ref="X2555">IFERROR(INDEX('Адреса общежитий (скрытый)'!$B$2:$B$9, MATCH(W2555, 'Адреса общежитий (скрытый)'!$A$2:$A$9, 0)), "")</f>
        <v/>
      </c>
      <c r="Y2555" s="18"/>
      <c r="Z2555" s="18"/>
      <c r="AA2555" s="18"/>
      <c r="AB2555" s="18"/>
      <c r="AC2555" s="18"/>
    </row>
    <row r="2556" spans="1:29" ht="32.25" hidden="1" customHeight="1">
      <c r="A2556" s="17"/>
      <c r="B2556" s="9" t="s">
        <v>13284</v>
      </c>
      <c r="C2556" s="9" t="s">
        <v>13284</v>
      </c>
      <c r="D2556" s="9" t="s">
        <v>13284</v>
      </c>
      <c r="E2556" s="9" t="s">
        <v>13284</v>
      </c>
      <c r="F2556" s="9" t="s">
        <v>13284</v>
      </c>
      <c r="G2556" s="9" t="s">
        <v>13284</v>
      </c>
      <c r="H2556" s="9" t="s">
        <v>13284</v>
      </c>
      <c r="I2556" s="9" t="s">
        <v>13284</v>
      </c>
      <c r="J2556" s="9" t="s">
        <v>13284</v>
      </c>
      <c r="K2556" s="9" t="s">
        <v>13284</v>
      </c>
      <c r="L2556" s="9" t="s">
        <v>13284</v>
      </c>
      <c r="M2556" s="9" t="s">
        <v>13284</v>
      </c>
      <c r="N2556" s="9" t="s">
        <v>13284</v>
      </c>
      <c r="O2556" s="9" t="s">
        <v>13284</v>
      </c>
      <c r="P2556" s="9" t="s">
        <v>13284</v>
      </c>
      <c r="Q2556" s="9" t="s">
        <v>13284</v>
      </c>
      <c r="R2556" s="9" t="s">
        <v>13284</v>
      </c>
      <c r="S2556" s="9" t="s">
        <v>13284</v>
      </c>
      <c r="T2556" s="9" t="str">
        <f ca="1">IFERROR(IF(AND(VLOOKUP(A2556, 'Актуальное состояние (из общего'!A:C,3,0) = "", A2556 &lt;&gt; ""), "ПРОВЕРИТЬ", VLOOKUP(A2556, 'Актуальное состояние (из общего'!A:C,3,0)), "")</f>
        <v/>
      </c>
      <c r="U2556" s="9" t="s">
        <v>13284</v>
      </c>
      <c r="V2556" s="9" t="s">
        <v>13284</v>
      </c>
      <c r="W2556" s="12"/>
      <c r="X2556" s="9" t="str">
        <f t="array" ref="X2556">IFERROR(INDEX('Адреса общежитий (скрытый)'!$B$2:$B$9, MATCH(W2556, 'Адреса общежитий (скрытый)'!$A$2:$A$9, 0)), "")</f>
        <v/>
      </c>
      <c r="Y2556" s="18"/>
      <c r="Z2556" s="18"/>
      <c r="AA2556" s="18"/>
      <c r="AB2556" s="18"/>
      <c r="AC2556" s="18"/>
    </row>
    <row r="2557" spans="1:29" ht="32.25" hidden="1" customHeight="1">
      <c r="A2557" s="17"/>
      <c r="B2557" s="9" t="s">
        <v>13284</v>
      </c>
      <c r="C2557" s="9" t="s">
        <v>13284</v>
      </c>
      <c r="D2557" s="9" t="s">
        <v>13284</v>
      </c>
      <c r="E2557" s="9" t="s">
        <v>13284</v>
      </c>
      <c r="F2557" s="9" t="s">
        <v>13284</v>
      </c>
      <c r="G2557" s="9" t="s">
        <v>13284</v>
      </c>
      <c r="H2557" s="9" t="s">
        <v>13284</v>
      </c>
      <c r="I2557" s="9" t="s">
        <v>13284</v>
      </c>
      <c r="J2557" s="9" t="s">
        <v>13284</v>
      </c>
      <c r="K2557" s="9" t="s">
        <v>13284</v>
      </c>
      <c r="L2557" s="9" t="s">
        <v>13284</v>
      </c>
      <c r="M2557" s="9" t="s">
        <v>13284</v>
      </c>
      <c r="N2557" s="9" t="s">
        <v>13284</v>
      </c>
      <c r="O2557" s="9" t="s">
        <v>13284</v>
      </c>
      <c r="P2557" s="9" t="s">
        <v>13284</v>
      </c>
      <c r="Q2557" s="9" t="s">
        <v>13284</v>
      </c>
      <c r="R2557" s="9" t="s">
        <v>13284</v>
      </c>
      <c r="S2557" s="9" t="s">
        <v>13284</v>
      </c>
      <c r="T2557" s="9" t="str">
        <f ca="1">IFERROR(IF(AND(VLOOKUP(A2557, 'Актуальное состояние (из общего'!A:C,3,0) = "", A2557 &lt;&gt; ""), "ПРОВЕРИТЬ", VLOOKUP(A2557, 'Актуальное состояние (из общего'!A:C,3,0)), "")</f>
        <v/>
      </c>
      <c r="U2557" s="9" t="s">
        <v>13284</v>
      </c>
      <c r="V2557" s="9" t="s">
        <v>13284</v>
      </c>
      <c r="W2557" s="12"/>
      <c r="X2557" s="9" t="str">
        <f t="array" ref="X2557">IFERROR(INDEX('Адреса общежитий (скрытый)'!$B$2:$B$9, MATCH(W2557, 'Адреса общежитий (скрытый)'!$A$2:$A$9, 0)), "")</f>
        <v/>
      </c>
      <c r="Y2557" s="18"/>
      <c r="Z2557" s="18"/>
      <c r="AA2557" s="18"/>
      <c r="AB2557" s="18"/>
      <c r="AC2557" s="18"/>
    </row>
    <row r="2558" spans="1:29" ht="32.25" hidden="1" customHeight="1">
      <c r="A2558" s="17"/>
      <c r="B2558" s="9" t="s">
        <v>13284</v>
      </c>
      <c r="C2558" s="9" t="s">
        <v>13284</v>
      </c>
      <c r="D2558" s="9" t="s">
        <v>13284</v>
      </c>
      <c r="E2558" s="9" t="s">
        <v>13284</v>
      </c>
      <c r="F2558" s="9" t="s">
        <v>13284</v>
      </c>
      <c r="G2558" s="9" t="s">
        <v>13284</v>
      </c>
      <c r="H2558" s="9" t="s">
        <v>13284</v>
      </c>
      <c r="I2558" s="9" t="s">
        <v>13284</v>
      </c>
      <c r="J2558" s="9" t="s">
        <v>13284</v>
      </c>
      <c r="K2558" s="9" t="s">
        <v>13284</v>
      </c>
      <c r="L2558" s="9" t="s">
        <v>13284</v>
      </c>
      <c r="M2558" s="9" t="s">
        <v>13284</v>
      </c>
      <c r="N2558" s="9" t="s">
        <v>13284</v>
      </c>
      <c r="O2558" s="9" t="s">
        <v>13284</v>
      </c>
      <c r="P2558" s="9" t="s">
        <v>13284</v>
      </c>
      <c r="Q2558" s="9" t="s">
        <v>13284</v>
      </c>
      <c r="R2558" s="9" t="s">
        <v>13284</v>
      </c>
      <c r="S2558" s="9" t="s">
        <v>13284</v>
      </c>
      <c r="T2558" s="9" t="str">
        <f ca="1">IFERROR(IF(AND(VLOOKUP(A2558, 'Актуальное состояние (из общего'!A:C,3,0) = "", A2558 &lt;&gt; ""), "ПРОВЕРИТЬ", VLOOKUP(A2558, 'Актуальное состояние (из общего'!A:C,3,0)), "")</f>
        <v/>
      </c>
      <c r="U2558" s="9" t="s">
        <v>13284</v>
      </c>
      <c r="V2558" s="9" t="s">
        <v>13284</v>
      </c>
      <c r="W2558" s="12"/>
      <c r="X2558" s="9" t="str">
        <f t="array" ref="X2558">IFERROR(INDEX('Адреса общежитий (скрытый)'!$B$2:$B$9, MATCH(W2558, 'Адреса общежитий (скрытый)'!$A$2:$A$9, 0)), "")</f>
        <v/>
      </c>
      <c r="Y2558" s="18"/>
      <c r="Z2558" s="18"/>
      <c r="AA2558" s="18"/>
      <c r="AB2558" s="18"/>
      <c r="AC2558" s="18"/>
    </row>
    <row r="2559" spans="1:29" ht="32.25" hidden="1" customHeight="1">
      <c r="A2559" s="17"/>
      <c r="B2559" s="9" t="s">
        <v>13284</v>
      </c>
      <c r="C2559" s="9" t="s">
        <v>13284</v>
      </c>
      <c r="D2559" s="9" t="s">
        <v>13284</v>
      </c>
      <c r="E2559" s="9" t="s">
        <v>13284</v>
      </c>
      <c r="F2559" s="9" t="s">
        <v>13284</v>
      </c>
      <c r="G2559" s="9" t="s">
        <v>13284</v>
      </c>
      <c r="H2559" s="9" t="s">
        <v>13284</v>
      </c>
      <c r="I2559" s="9" t="s">
        <v>13284</v>
      </c>
      <c r="J2559" s="9" t="s">
        <v>13284</v>
      </c>
      <c r="K2559" s="9" t="s">
        <v>13284</v>
      </c>
      <c r="L2559" s="9" t="s">
        <v>13284</v>
      </c>
      <c r="M2559" s="9" t="s">
        <v>13284</v>
      </c>
      <c r="N2559" s="9" t="s">
        <v>13284</v>
      </c>
      <c r="O2559" s="9" t="s">
        <v>13284</v>
      </c>
      <c r="P2559" s="9" t="s">
        <v>13284</v>
      </c>
      <c r="Q2559" s="9" t="s">
        <v>13284</v>
      </c>
      <c r="R2559" s="9" t="s">
        <v>13284</v>
      </c>
      <c r="S2559" s="9" t="s">
        <v>13284</v>
      </c>
      <c r="T2559" s="9" t="str">
        <f ca="1">IFERROR(IF(AND(VLOOKUP(A2559, 'Актуальное состояние (из общего'!A:C,3,0) = "", A2559 &lt;&gt; ""), "ПРОВЕРИТЬ", VLOOKUP(A2559, 'Актуальное состояние (из общего'!A:C,3,0)), "")</f>
        <v/>
      </c>
      <c r="U2559" s="9" t="s">
        <v>13284</v>
      </c>
      <c r="V2559" s="9" t="s">
        <v>13284</v>
      </c>
      <c r="W2559" s="12"/>
      <c r="X2559" s="9" t="str">
        <f t="array" ref="X2559">IFERROR(INDEX('Адреса общежитий (скрытый)'!$B$2:$B$9, MATCH(W2559, 'Адреса общежитий (скрытый)'!$A$2:$A$9, 0)), "")</f>
        <v/>
      </c>
      <c r="Y2559" s="18"/>
      <c r="Z2559" s="18"/>
      <c r="AA2559" s="18"/>
      <c r="AB2559" s="18"/>
      <c r="AC2559" s="18"/>
    </row>
    <row r="2560" spans="1:29" ht="32.25" hidden="1" customHeight="1">
      <c r="A2560" s="17"/>
      <c r="B2560" s="9" t="s">
        <v>13284</v>
      </c>
      <c r="C2560" s="9" t="s">
        <v>13284</v>
      </c>
      <c r="D2560" s="9" t="s">
        <v>13284</v>
      </c>
      <c r="E2560" s="9" t="s">
        <v>13284</v>
      </c>
      <c r="F2560" s="9" t="s">
        <v>13284</v>
      </c>
      <c r="G2560" s="9" t="s">
        <v>13284</v>
      </c>
      <c r="H2560" s="9" t="s">
        <v>13284</v>
      </c>
      <c r="I2560" s="9" t="s">
        <v>13284</v>
      </c>
      <c r="J2560" s="9" t="s">
        <v>13284</v>
      </c>
      <c r="K2560" s="9" t="s">
        <v>13284</v>
      </c>
      <c r="L2560" s="9" t="s">
        <v>13284</v>
      </c>
      <c r="M2560" s="9" t="s">
        <v>13284</v>
      </c>
      <c r="N2560" s="9" t="s">
        <v>13284</v>
      </c>
      <c r="O2560" s="9" t="s">
        <v>13284</v>
      </c>
      <c r="P2560" s="9" t="s">
        <v>13284</v>
      </c>
      <c r="Q2560" s="9" t="s">
        <v>13284</v>
      </c>
      <c r="R2560" s="9" t="s">
        <v>13284</v>
      </c>
      <c r="S2560" s="9" t="s">
        <v>13284</v>
      </c>
      <c r="T2560" s="9" t="str">
        <f ca="1">IFERROR(IF(AND(VLOOKUP(A2560, 'Актуальное состояние (из общего'!A:C,3,0) = "", A2560 &lt;&gt; ""), "ПРОВЕРИТЬ", VLOOKUP(A2560, 'Актуальное состояние (из общего'!A:C,3,0)), "")</f>
        <v/>
      </c>
      <c r="U2560" s="9" t="s">
        <v>13284</v>
      </c>
      <c r="V2560" s="9" t="s">
        <v>13284</v>
      </c>
      <c r="W2560" s="12"/>
      <c r="X2560" s="9" t="str">
        <f t="array" ref="X2560">IFERROR(INDEX('Адреса общежитий (скрытый)'!$B$2:$B$9, MATCH(W2560, 'Адреса общежитий (скрытый)'!$A$2:$A$9, 0)), "")</f>
        <v/>
      </c>
      <c r="Y2560" s="18"/>
      <c r="Z2560" s="18"/>
      <c r="AA2560" s="18"/>
      <c r="AB2560" s="18"/>
      <c r="AC2560" s="18"/>
    </row>
    <row r="2561" spans="1:29" ht="32.25" hidden="1" customHeight="1">
      <c r="A2561" s="17"/>
      <c r="B2561" s="9" t="s">
        <v>13284</v>
      </c>
      <c r="C2561" s="9" t="s">
        <v>13284</v>
      </c>
      <c r="D2561" s="9" t="s">
        <v>13284</v>
      </c>
      <c r="E2561" s="9" t="s">
        <v>13284</v>
      </c>
      <c r="F2561" s="9" t="s">
        <v>13284</v>
      </c>
      <c r="G2561" s="9" t="s">
        <v>13284</v>
      </c>
      <c r="H2561" s="9" t="s">
        <v>13284</v>
      </c>
      <c r="I2561" s="9" t="s">
        <v>13284</v>
      </c>
      <c r="J2561" s="9" t="s">
        <v>13284</v>
      </c>
      <c r="K2561" s="9" t="s">
        <v>13284</v>
      </c>
      <c r="L2561" s="9" t="s">
        <v>13284</v>
      </c>
      <c r="M2561" s="9" t="s">
        <v>13284</v>
      </c>
      <c r="N2561" s="9" t="s">
        <v>13284</v>
      </c>
      <c r="O2561" s="9" t="s">
        <v>13284</v>
      </c>
      <c r="P2561" s="9" t="s">
        <v>13284</v>
      </c>
      <c r="Q2561" s="9" t="s">
        <v>13284</v>
      </c>
      <c r="R2561" s="9" t="s">
        <v>13284</v>
      </c>
      <c r="S2561" s="9" t="s">
        <v>13284</v>
      </c>
      <c r="T2561" s="9" t="str">
        <f ca="1">IFERROR(IF(AND(VLOOKUP(A2561, 'Актуальное состояние (из общего'!A:C,3,0) = "", A2561 &lt;&gt; ""), "ПРОВЕРИТЬ", VLOOKUP(A2561, 'Актуальное состояние (из общего'!A:C,3,0)), "")</f>
        <v/>
      </c>
      <c r="U2561" s="9" t="s">
        <v>13284</v>
      </c>
      <c r="V2561" s="9" t="s">
        <v>13284</v>
      </c>
      <c r="W2561" s="12"/>
      <c r="X2561" s="9" t="str">
        <f t="array" ref="X2561">IFERROR(INDEX('Адреса общежитий (скрытый)'!$B$2:$B$9, MATCH(W2561, 'Адреса общежитий (скрытый)'!$A$2:$A$9, 0)), "")</f>
        <v/>
      </c>
      <c r="Y2561" s="18"/>
      <c r="Z2561" s="18"/>
      <c r="AA2561" s="18"/>
      <c r="AB2561" s="18"/>
      <c r="AC2561" s="18"/>
    </row>
    <row r="2562" spans="1:29" ht="32.25" hidden="1" customHeight="1">
      <c r="A2562" s="17"/>
      <c r="B2562" s="9" t="s">
        <v>13284</v>
      </c>
      <c r="C2562" s="9" t="s">
        <v>13284</v>
      </c>
      <c r="D2562" s="9" t="s">
        <v>13284</v>
      </c>
      <c r="E2562" s="9" t="s">
        <v>13284</v>
      </c>
      <c r="F2562" s="9" t="s">
        <v>13284</v>
      </c>
      <c r="G2562" s="9" t="s">
        <v>13284</v>
      </c>
      <c r="H2562" s="9" t="s">
        <v>13284</v>
      </c>
      <c r="I2562" s="9" t="s">
        <v>13284</v>
      </c>
      <c r="J2562" s="9" t="s">
        <v>13284</v>
      </c>
      <c r="K2562" s="9" t="s">
        <v>13284</v>
      </c>
      <c r="L2562" s="9" t="s">
        <v>13284</v>
      </c>
      <c r="M2562" s="9" t="s">
        <v>13284</v>
      </c>
      <c r="N2562" s="9" t="s">
        <v>13284</v>
      </c>
      <c r="O2562" s="9" t="s">
        <v>13284</v>
      </c>
      <c r="P2562" s="9" t="s">
        <v>13284</v>
      </c>
      <c r="Q2562" s="9" t="s">
        <v>13284</v>
      </c>
      <c r="R2562" s="9" t="s">
        <v>13284</v>
      </c>
      <c r="S2562" s="9" t="s">
        <v>13284</v>
      </c>
      <c r="T2562" s="9" t="str">
        <f ca="1">IFERROR(IF(AND(VLOOKUP(A2562, 'Актуальное состояние (из общего'!A:C,3,0) = "", A2562 &lt;&gt; ""), "ПРОВЕРИТЬ", VLOOKUP(A2562, 'Актуальное состояние (из общего'!A:C,3,0)), "")</f>
        <v/>
      </c>
      <c r="U2562" s="9" t="s">
        <v>13284</v>
      </c>
      <c r="V2562" s="9" t="s">
        <v>13284</v>
      </c>
      <c r="W2562" s="12"/>
      <c r="X2562" s="9" t="str">
        <f t="array" ref="X2562">IFERROR(INDEX('Адреса общежитий (скрытый)'!$B$2:$B$9, MATCH(W2562, 'Адреса общежитий (скрытый)'!$A$2:$A$9, 0)), "")</f>
        <v/>
      </c>
      <c r="Y2562" s="18"/>
      <c r="Z2562" s="18"/>
      <c r="AA2562" s="18"/>
      <c r="AB2562" s="18"/>
      <c r="AC2562" s="18"/>
    </row>
    <row r="2563" spans="1:29" ht="32.25" hidden="1" customHeight="1">
      <c r="A2563" s="17"/>
      <c r="B2563" s="9" t="s">
        <v>13284</v>
      </c>
      <c r="C2563" s="9" t="s">
        <v>13284</v>
      </c>
      <c r="D2563" s="9" t="s">
        <v>13284</v>
      </c>
      <c r="E2563" s="9" t="s">
        <v>13284</v>
      </c>
      <c r="F2563" s="9" t="s">
        <v>13284</v>
      </c>
      <c r="G2563" s="9" t="s">
        <v>13284</v>
      </c>
      <c r="H2563" s="9" t="s">
        <v>13284</v>
      </c>
      <c r="I2563" s="9" t="s">
        <v>13284</v>
      </c>
      <c r="J2563" s="9" t="s">
        <v>13284</v>
      </c>
      <c r="K2563" s="9" t="s">
        <v>13284</v>
      </c>
      <c r="L2563" s="9" t="s">
        <v>13284</v>
      </c>
      <c r="M2563" s="9" t="s">
        <v>13284</v>
      </c>
      <c r="N2563" s="9" t="s">
        <v>13284</v>
      </c>
      <c r="O2563" s="9" t="s">
        <v>13284</v>
      </c>
      <c r="P2563" s="9" t="s">
        <v>13284</v>
      </c>
      <c r="Q2563" s="9" t="s">
        <v>13284</v>
      </c>
      <c r="R2563" s="9" t="s">
        <v>13284</v>
      </c>
      <c r="S2563" s="9" t="s">
        <v>13284</v>
      </c>
      <c r="T2563" s="9" t="str">
        <f ca="1">IFERROR(IF(AND(VLOOKUP(A2563, 'Актуальное состояние (из общего'!A:C,3,0) = "", A2563 &lt;&gt; ""), "ПРОВЕРИТЬ", VLOOKUP(A2563, 'Актуальное состояние (из общего'!A:C,3,0)), "")</f>
        <v/>
      </c>
      <c r="U2563" s="9" t="s">
        <v>13284</v>
      </c>
      <c r="V2563" s="9" t="s">
        <v>13284</v>
      </c>
      <c r="W2563" s="12"/>
      <c r="X2563" s="9" t="str">
        <f t="array" ref="X2563">IFERROR(INDEX('Адреса общежитий (скрытый)'!$B$2:$B$9, MATCH(W2563, 'Адреса общежитий (скрытый)'!$A$2:$A$9, 0)), "")</f>
        <v/>
      </c>
      <c r="Y2563" s="18"/>
      <c r="Z2563" s="18"/>
      <c r="AA2563" s="18"/>
      <c r="AB2563" s="18"/>
      <c r="AC2563" s="18"/>
    </row>
    <row r="2564" spans="1:29" ht="32.25" hidden="1" customHeight="1">
      <c r="A2564" s="17"/>
      <c r="B2564" s="9" t="s">
        <v>13284</v>
      </c>
      <c r="C2564" s="9" t="s">
        <v>13284</v>
      </c>
      <c r="D2564" s="9" t="s">
        <v>13284</v>
      </c>
      <c r="E2564" s="9" t="s">
        <v>13284</v>
      </c>
      <c r="F2564" s="9" t="s">
        <v>13284</v>
      </c>
      <c r="G2564" s="9" t="s">
        <v>13284</v>
      </c>
      <c r="H2564" s="9" t="s">
        <v>13284</v>
      </c>
      <c r="I2564" s="9" t="s">
        <v>13284</v>
      </c>
      <c r="J2564" s="9" t="s">
        <v>13284</v>
      </c>
      <c r="K2564" s="9" t="s">
        <v>13284</v>
      </c>
      <c r="L2564" s="9" t="s">
        <v>13284</v>
      </c>
      <c r="M2564" s="9" t="s">
        <v>13284</v>
      </c>
      <c r="N2564" s="9" t="s">
        <v>13284</v>
      </c>
      <c r="O2564" s="9" t="s">
        <v>13284</v>
      </c>
      <c r="P2564" s="9" t="s">
        <v>13284</v>
      </c>
      <c r="Q2564" s="9" t="s">
        <v>13284</v>
      </c>
      <c r="R2564" s="9" t="s">
        <v>13284</v>
      </c>
      <c r="S2564" s="9" t="s">
        <v>13284</v>
      </c>
      <c r="T2564" s="9" t="str">
        <f ca="1">IFERROR(IF(AND(VLOOKUP(A2564, 'Актуальное состояние (из общего'!A:C,3,0) = "", A2564 &lt;&gt; ""), "ПРОВЕРИТЬ", VLOOKUP(A2564, 'Актуальное состояние (из общего'!A:C,3,0)), "")</f>
        <v/>
      </c>
      <c r="U2564" s="9" t="s">
        <v>13284</v>
      </c>
      <c r="V2564" s="9" t="s">
        <v>13284</v>
      </c>
      <c r="W2564" s="12"/>
      <c r="X2564" s="9" t="str">
        <f t="array" ref="X2564">IFERROR(INDEX('Адреса общежитий (скрытый)'!$B$2:$B$9, MATCH(W2564, 'Адреса общежитий (скрытый)'!$A$2:$A$9, 0)), "")</f>
        <v/>
      </c>
      <c r="Y2564" s="18"/>
      <c r="Z2564" s="18"/>
      <c r="AA2564" s="18"/>
      <c r="AB2564" s="18"/>
      <c r="AC2564" s="18"/>
    </row>
    <row r="2565" spans="1:29" ht="32.25" hidden="1" customHeight="1">
      <c r="A2565" s="17"/>
      <c r="B2565" s="9" t="s">
        <v>13284</v>
      </c>
      <c r="C2565" s="9" t="s">
        <v>13284</v>
      </c>
      <c r="D2565" s="9" t="s">
        <v>13284</v>
      </c>
      <c r="E2565" s="9" t="s">
        <v>13284</v>
      </c>
      <c r="F2565" s="9" t="s">
        <v>13284</v>
      </c>
      <c r="G2565" s="9" t="s">
        <v>13284</v>
      </c>
      <c r="H2565" s="9" t="s">
        <v>13284</v>
      </c>
      <c r="I2565" s="9" t="s">
        <v>13284</v>
      </c>
      <c r="J2565" s="9" t="s">
        <v>13284</v>
      </c>
      <c r="K2565" s="9" t="s">
        <v>13284</v>
      </c>
      <c r="L2565" s="9" t="s">
        <v>13284</v>
      </c>
      <c r="M2565" s="9" t="s">
        <v>13284</v>
      </c>
      <c r="N2565" s="9" t="s">
        <v>13284</v>
      </c>
      <c r="O2565" s="9" t="s">
        <v>13284</v>
      </c>
      <c r="P2565" s="9" t="s">
        <v>13284</v>
      </c>
      <c r="Q2565" s="9" t="s">
        <v>13284</v>
      </c>
      <c r="R2565" s="9" t="s">
        <v>13284</v>
      </c>
      <c r="S2565" s="9" t="s">
        <v>13284</v>
      </c>
      <c r="T2565" s="9" t="str">
        <f ca="1">IFERROR(IF(AND(VLOOKUP(A2565, 'Актуальное состояние (из общего'!A:C,3,0) = "", A2565 &lt;&gt; ""), "ПРОВЕРИТЬ", VLOOKUP(A2565, 'Актуальное состояние (из общего'!A:C,3,0)), "")</f>
        <v/>
      </c>
      <c r="U2565" s="9" t="s">
        <v>13284</v>
      </c>
      <c r="V2565" s="9" t="s">
        <v>13284</v>
      </c>
      <c r="W2565" s="12"/>
      <c r="X2565" s="9" t="str">
        <f t="array" ref="X2565">IFERROR(INDEX('Адреса общежитий (скрытый)'!$B$2:$B$9, MATCH(W2565, 'Адреса общежитий (скрытый)'!$A$2:$A$9, 0)), "")</f>
        <v/>
      </c>
      <c r="Y2565" s="18"/>
      <c r="Z2565" s="18"/>
      <c r="AA2565" s="18"/>
      <c r="AB2565" s="18"/>
      <c r="AC2565" s="18"/>
    </row>
    <row r="2566" spans="1:29" ht="32.25" hidden="1" customHeight="1">
      <c r="A2566" s="17"/>
      <c r="B2566" s="9" t="s">
        <v>13284</v>
      </c>
      <c r="C2566" s="9" t="s">
        <v>13284</v>
      </c>
      <c r="D2566" s="9" t="s">
        <v>13284</v>
      </c>
      <c r="E2566" s="9" t="s">
        <v>13284</v>
      </c>
      <c r="F2566" s="9" t="s">
        <v>13284</v>
      </c>
      <c r="G2566" s="9" t="s">
        <v>13284</v>
      </c>
      <c r="H2566" s="9" t="s">
        <v>13284</v>
      </c>
      <c r="I2566" s="9" t="s">
        <v>13284</v>
      </c>
      <c r="J2566" s="9" t="s">
        <v>13284</v>
      </c>
      <c r="K2566" s="9" t="s">
        <v>13284</v>
      </c>
      <c r="L2566" s="9" t="s">
        <v>13284</v>
      </c>
      <c r="M2566" s="9" t="s">
        <v>13284</v>
      </c>
      <c r="N2566" s="9" t="s">
        <v>13284</v>
      </c>
      <c r="O2566" s="9" t="s">
        <v>13284</v>
      </c>
      <c r="P2566" s="9" t="s">
        <v>13284</v>
      </c>
      <c r="Q2566" s="9" t="s">
        <v>13284</v>
      </c>
      <c r="R2566" s="9" t="s">
        <v>13284</v>
      </c>
      <c r="S2566" s="9" t="s">
        <v>13284</v>
      </c>
      <c r="T2566" s="9" t="str">
        <f ca="1">IFERROR(IF(AND(VLOOKUP(A2566, 'Актуальное состояние (из общего'!A:C,3,0) = "", A2566 &lt;&gt; ""), "ПРОВЕРИТЬ", VLOOKUP(A2566, 'Актуальное состояние (из общего'!A:C,3,0)), "")</f>
        <v/>
      </c>
      <c r="U2566" s="9" t="s">
        <v>13284</v>
      </c>
      <c r="V2566" s="9" t="s">
        <v>13284</v>
      </c>
      <c r="W2566" s="12"/>
      <c r="X2566" s="9" t="str">
        <f t="array" ref="X2566">IFERROR(INDEX('Адреса общежитий (скрытый)'!$B$2:$B$9, MATCH(W2566, 'Адреса общежитий (скрытый)'!$A$2:$A$9, 0)), "")</f>
        <v/>
      </c>
      <c r="Y2566" s="18"/>
      <c r="Z2566" s="18"/>
      <c r="AA2566" s="18"/>
      <c r="AB2566" s="18"/>
      <c r="AC2566" s="18"/>
    </row>
    <row r="2567" spans="1:29" ht="32.25" hidden="1" customHeight="1">
      <c r="A2567" s="17"/>
      <c r="B2567" s="9" t="s">
        <v>13284</v>
      </c>
      <c r="C2567" s="9" t="s">
        <v>13284</v>
      </c>
      <c r="D2567" s="9" t="s">
        <v>13284</v>
      </c>
      <c r="E2567" s="9" t="s">
        <v>13284</v>
      </c>
      <c r="F2567" s="9" t="s">
        <v>13284</v>
      </c>
      <c r="G2567" s="9" t="s">
        <v>13284</v>
      </c>
      <c r="H2567" s="9" t="s">
        <v>13284</v>
      </c>
      <c r="I2567" s="9" t="s">
        <v>13284</v>
      </c>
      <c r="J2567" s="9" t="s">
        <v>13284</v>
      </c>
      <c r="K2567" s="9" t="s">
        <v>13284</v>
      </c>
      <c r="L2567" s="9" t="s">
        <v>13284</v>
      </c>
      <c r="M2567" s="9" t="s">
        <v>13284</v>
      </c>
      <c r="N2567" s="9" t="s">
        <v>13284</v>
      </c>
      <c r="O2567" s="9" t="s">
        <v>13284</v>
      </c>
      <c r="P2567" s="9" t="s">
        <v>13284</v>
      </c>
      <c r="Q2567" s="9" t="s">
        <v>13284</v>
      </c>
      <c r="R2567" s="9" t="s">
        <v>13284</v>
      </c>
      <c r="S2567" s="9" t="s">
        <v>13284</v>
      </c>
      <c r="T2567" s="9" t="str">
        <f ca="1">IFERROR(IF(AND(VLOOKUP(A2567, 'Актуальное состояние (из общего'!A:C,3,0) = "", A2567 &lt;&gt; ""), "ПРОВЕРИТЬ", VLOOKUP(A2567, 'Актуальное состояние (из общего'!A:C,3,0)), "")</f>
        <v/>
      </c>
      <c r="U2567" s="9" t="s">
        <v>13284</v>
      </c>
      <c r="V2567" s="9" t="s">
        <v>13284</v>
      </c>
      <c r="W2567" s="12"/>
      <c r="X2567" s="9" t="str">
        <f t="array" ref="X2567">IFERROR(INDEX('Адреса общежитий (скрытый)'!$B$2:$B$9, MATCH(W2567, 'Адреса общежитий (скрытый)'!$A$2:$A$9, 0)), "")</f>
        <v/>
      </c>
      <c r="Y2567" s="18"/>
      <c r="Z2567" s="18"/>
      <c r="AA2567" s="18"/>
      <c r="AB2567" s="18"/>
      <c r="AC2567" s="18"/>
    </row>
    <row r="2568" spans="1:29" ht="32.25" hidden="1" customHeight="1">
      <c r="A2568" s="17"/>
      <c r="B2568" s="9" t="s">
        <v>13284</v>
      </c>
      <c r="C2568" s="9" t="s">
        <v>13284</v>
      </c>
      <c r="D2568" s="9" t="s">
        <v>13284</v>
      </c>
      <c r="E2568" s="9" t="s">
        <v>13284</v>
      </c>
      <c r="F2568" s="9" t="s">
        <v>13284</v>
      </c>
      <c r="G2568" s="9" t="s">
        <v>13284</v>
      </c>
      <c r="H2568" s="9" t="s">
        <v>13284</v>
      </c>
      <c r="I2568" s="9" t="s">
        <v>13284</v>
      </c>
      <c r="J2568" s="9" t="s">
        <v>13284</v>
      </c>
      <c r="K2568" s="9" t="s">
        <v>13284</v>
      </c>
      <c r="L2568" s="9" t="s">
        <v>13284</v>
      </c>
      <c r="M2568" s="9" t="s">
        <v>13284</v>
      </c>
      <c r="N2568" s="9" t="s">
        <v>13284</v>
      </c>
      <c r="O2568" s="9" t="s">
        <v>13284</v>
      </c>
      <c r="P2568" s="9" t="s">
        <v>13284</v>
      </c>
      <c r="Q2568" s="9" t="s">
        <v>13284</v>
      </c>
      <c r="R2568" s="9" t="s">
        <v>13284</v>
      </c>
      <c r="S2568" s="9" t="s">
        <v>13284</v>
      </c>
      <c r="T2568" s="9" t="str">
        <f ca="1">IFERROR(IF(AND(VLOOKUP(A2568, 'Актуальное состояние (из общего'!A:C,3,0) = "", A2568 &lt;&gt; ""), "ПРОВЕРИТЬ", VLOOKUP(A2568, 'Актуальное состояние (из общего'!A:C,3,0)), "")</f>
        <v/>
      </c>
      <c r="U2568" s="9" t="s">
        <v>13284</v>
      </c>
      <c r="V2568" s="9" t="s">
        <v>13284</v>
      </c>
      <c r="W2568" s="12"/>
      <c r="X2568" s="9" t="str">
        <f t="array" ref="X2568">IFERROR(INDEX('Адреса общежитий (скрытый)'!$B$2:$B$9, MATCH(W2568, 'Адреса общежитий (скрытый)'!$A$2:$A$9, 0)), "")</f>
        <v/>
      </c>
      <c r="Y2568" s="18"/>
      <c r="Z2568" s="18"/>
      <c r="AA2568" s="18"/>
      <c r="AB2568" s="18"/>
      <c r="AC2568" s="18"/>
    </row>
    <row r="2569" spans="1:29" ht="32.25" hidden="1" customHeight="1">
      <c r="A2569" s="17"/>
      <c r="B2569" s="9" t="s">
        <v>13284</v>
      </c>
      <c r="C2569" s="9" t="s">
        <v>13284</v>
      </c>
      <c r="D2569" s="9" t="s">
        <v>13284</v>
      </c>
      <c r="E2569" s="9" t="s">
        <v>13284</v>
      </c>
      <c r="F2569" s="9" t="s">
        <v>13284</v>
      </c>
      <c r="G2569" s="9" t="s">
        <v>13284</v>
      </c>
      <c r="H2569" s="9" t="s">
        <v>13284</v>
      </c>
      <c r="I2569" s="9" t="s">
        <v>13284</v>
      </c>
      <c r="J2569" s="9" t="s">
        <v>13284</v>
      </c>
      <c r="K2569" s="9" t="s">
        <v>13284</v>
      </c>
      <c r="L2569" s="9" t="s">
        <v>13284</v>
      </c>
      <c r="M2569" s="9" t="s">
        <v>13284</v>
      </c>
      <c r="N2569" s="9" t="s">
        <v>13284</v>
      </c>
      <c r="O2569" s="9" t="s">
        <v>13284</v>
      </c>
      <c r="P2569" s="9" t="s">
        <v>13284</v>
      </c>
      <c r="Q2569" s="9" t="s">
        <v>13284</v>
      </c>
      <c r="R2569" s="9" t="s">
        <v>13284</v>
      </c>
      <c r="S2569" s="9" t="s">
        <v>13284</v>
      </c>
      <c r="T2569" s="9" t="str">
        <f ca="1">IFERROR(IF(AND(VLOOKUP(A2569, 'Актуальное состояние (из общего'!A:C,3,0) = "", A2569 &lt;&gt; ""), "ПРОВЕРИТЬ", VLOOKUP(A2569, 'Актуальное состояние (из общего'!A:C,3,0)), "")</f>
        <v/>
      </c>
      <c r="U2569" s="9" t="s">
        <v>13284</v>
      </c>
      <c r="V2569" s="9" t="s">
        <v>13284</v>
      </c>
      <c r="W2569" s="12"/>
      <c r="X2569" s="9" t="str">
        <f t="array" ref="X2569">IFERROR(INDEX('Адреса общежитий (скрытый)'!$B$2:$B$9, MATCH(W2569, 'Адреса общежитий (скрытый)'!$A$2:$A$9, 0)), "")</f>
        <v/>
      </c>
      <c r="Y2569" s="18"/>
      <c r="Z2569" s="18"/>
      <c r="AA2569" s="18"/>
      <c r="AB2569" s="18"/>
      <c r="AC2569" s="18"/>
    </row>
    <row r="2570" spans="1:29" ht="32.25" hidden="1" customHeight="1">
      <c r="A2570" s="17"/>
      <c r="B2570" s="9" t="s">
        <v>13284</v>
      </c>
      <c r="C2570" s="9" t="s">
        <v>13284</v>
      </c>
      <c r="D2570" s="9" t="s">
        <v>13284</v>
      </c>
      <c r="E2570" s="9" t="s">
        <v>13284</v>
      </c>
      <c r="F2570" s="9" t="s">
        <v>13284</v>
      </c>
      <c r="G2570" s="9" t="s">
        <v>13284</v>
      </c>
      <c r="H2570" s="9" t="s">
        <v>13284</v>
      </c>
      <c r="I2570" s="9" t="s">
        <v>13284</v>
      </c>
      <c r="J2570" s="9" t="s">
        <v>13284</v>
      </c>
      <c r="K2570" s="9" t="s">
        <v>13284</v>
      </c>
      <c r="L2570" s="9" t="s">
        <v>13284</v>
      </c>
      <c r="M2570" s="9" t="s">
        <v>13284</v>
      </c>
      <c r="N2570" s="9" t="s">
        <v>13284</v>
      </c>
      <c r="O2570" s="9" t="s">
        <v>13284</v>
      </c>
      <c r="P2570" s="9" t="s">
        <v>13284</v>
      </c>
      <c r="Q2570" s="9" t="s">
        <v>13284</v>
      </c>
      <c r="R2570" s="9" t="s">
        <v>13284</v>
      </c>
      <c r="S2570" s="9" t="s">
        <v>13284</v>
      </c>
      <c r="T2570" s="9" t="str">
        <f ca="1">IFERROR(IF(AND(VLOOKUP(A2570, 'Актуальное состояние (из общего'!A:C,3,0) = "", A2570 &lt;&gt; ""), "ПРОВЕРИТЬ", VLOOKUP(A2570, 'Актуальное состояние (из общего'!A:C,3,0)), "")</f>
        <v/>
      </c>
      <c r="U2570" s="9" t="s">
        <v>13284</v>
      </c>
      <c r="V2570" s="9" t="s">
        <v>13284</v>
      </c>
      <c r="W2570" s="12"/>
      <c r="X2570" s="9" t="str">
        <f t="array" ref="X2570">IFERROR(INDEX('Адреса общежитий (скрытый)'!$B$2:$B$9, MATCH(W2570, 'Адреса общежитий (скрытый)'!$A$2:$A$9, 0)), "")</f>
        <v/>
      </c>
      <c r="Y2570" s="18"/>
      <c r="Z2570" s="18"/>
      <c r="AA2570" s="18"/>
      <c r="AB2570" s="18"/>
      <c r="AC2570" s="18"/>
    </row>
    <row r="2571" spans="1:29" ht="32.25" hidden="1" customHeight="1">
      <c r="A2571" s="17"/>
      <c r="B2571" s="9" t="s">
        <v>13284</v>
      </c>
      <c r="C2571" s="9" t="s">
        <v>13284</v>
      </c>
      <c r="D2571" s="9" t="s">
        <v>13284</v>
      </c>
      <c r="E2571" s="9" t="s">
        <v>13284</v>
      </c>
      <c r="F2571" s="9" t="s">
        <v>13284</v>
      </c>
      <c r="G2571" s="9" t="s">
        <v>13284</v>
      </c>
      <c r="H2571" s="9" t="s">
        <v>13284</v>
      </c>
      <c r="I2571" s="9" t="s">
        <v>13284</v>
      </c>
      <c r="J2571" s="9" t="s">
        <v>13284</v>
      </c>
      <c r="K2571" s="9" t="s">
        <v>13284</v>
      </c>
      <c r="L2571" s="9" t="s">
        <v>13284</v>
      </c>
      <c r="M2571" s="9" t="s">
        <v>13284</v>
      </c>
      <c r="N2571" s="9" t="s">
        <v>13284</v>
      </c>
      <c r="O2571" s="9" t="s">
        <v>13284</v>
      </c>
      <c r="P2571" s="9" t="s">
        <v>13284</v>
      </c>
      <c r="Q2571" s="9" t="s">
        <v>13284</v>
      </c>
      <c r="R2571" s="9" t="s">
        <v>13284</v>
      </c>
      <c r="S2571" s="9" t="s">
        <v>13284</v>
      </c>
      <c r="T2571" s="9" t="str">
        <f ca="1">IFERROR(IF(AND(VLOOKUP(A2571, 'Актуальное состояние (из общего'!A:C,3,0) = "", A2571 &lt;&gt; ""), "ПРОВЕРИТЬ", VLOOKUP(A2571, 'Актуальное состояние (из общего'!A:C,3,0)), "")</f>
        <v/>
      </c>
      <c r="U2571" s="9" t="s">
        <v>13284</v>
      </c>
      <c r="V2571" s="9" t="s">
        <v>13284</v>
      </c>
      <c r="W2571" s="12"/>
      <c r="X2571" s="9" t="str">
        <f t="array" ref="X2571">IFERROR(INDEX('Адреса общежитий (скрытый)'!$B$2:$B$9, MATCH(W2571, 'Адреса общежитий (скрытый)'!$A$2:$A$9, 0)), "")</f>
        <v/>
      </c>
      <c r="Y2571" s="18"/>
      <c r="Z2571" s="18"/>
      <c r="AA2571" s="18"/>
      <c r="AB2571" s="18"/>
      <c r="AC2571" s="18"/>
    </row>
    <row r="2572" spans="1:29" ht="32.25" hidden="1" customHeight="1">
      <c r="A2572" s="17"/>
      <c r="B2572" s="9" t="s">
        <v>13284</v>
      </c>
      <c r="C2572" s="9" t="s">
        <v>13284</v>
      </c>
      <c r="D2572" s="9" t="s">
        <v>13284</v>
      </c>
      <c r="E2572" s="9" t="s">
        <v>13284</v>
      </c>
      <c r="F2572" s="9" t="s">
        <v>13284</v>
      </c>
      <c r="G2572" s="9" t="s">
        <v>13284</v>
      </c>
      <c r="H2572" s="9" t="s">
        <v>13284</v>
      </c>
      <c r="I2572" s="9" t="s">
        <v>13284</v>
      </c>
      <c r="J2572" s="9" t="s">
        <v>13284</v>
      </c>
      <c r="K2572" s="9" t="s">
        <v>13284</v>
      </c>
      <c r="L2572" s="9" t="s">
        <v>13284</v>
      </c>
      <c r="M2572" s="9" t="s">
        <v>13284</v>
      </c>
      <c r="N2572" s="9" t="s">
        <v>13284</v>
      </c>
      <c r="O2572" s="9" t="s">
        <v>13284</v>
      </c>
      <c r="P2572" s="9" t="s">
        <v>13284</v>
      </c>
      <c r="Q2572" s="9" t="s">
        <v>13284</v>
      </c>
      <c r="R2572" s="9" t="s">
        <v>13284</v>
      </c>
      <c r="S2572" s="9" t="s">
        <v>13284</v>
      </c>
      <c r="T2572" s="9" t="str">
        <f ca="1">IFERROR(IF(AND(VLOOKUP(A2572, 'Актуальное состояние (из общего'!A:C,3,0) = "", A2572 &lt;&gt; ""), "ПРОВЕРИТЬ", VLOOKUP(A2572, 'Актуальное состояние (из общего'!A:C,3,0)), "")</f>
        <v/>
      </c>
      <c r="U2572" s="9" t="s">
        <v>13284</v>
      </c>
      <c r="V2572" s="9" t="s">
        <v>13284</v>
      </c>
      <c r="W2572" s="12"/>
      <c r="X2572" s="9" t="str">
        <f t="array" ref="X2572">IFERROR(INDEX('Адреса общежитий (скрытый)'!$B$2:$B$9, MATCH(W2572, 'Адреса общежитий (скрытый)'!$A$2:$A$9, 0)), "")</f>
        <v/>
      </c>
      <c r="Y2572" s="18"/>
      <c r="Z2572" s="18"/>
      <c r="AA2572" s="18"/>
      <c r="AB2572" s="18"/>
      <c r="AC2572" s="18"/>
    </row>
    <row r="2573" spans="1:29" ht="32.25" hidden="1" customHeight="1">
      <c r="A2573" s="17"/>
      <c r="B2573" s="9" t="s">
        <v>13284</v>
      </c>
      <c r="C2573" s="9" t="s">
        <v>13284</v>
      </c>
      <c r="D2573" s="9" t="s">
        <v>13284</v>
      </c>
      <c r="E2573" s="9" t="s">
        <v>13284</v>
      </c>
      <c r="F2573" s="9" t="s">
        <v>13284</v>
      </c>
      <c r="G2573" s="9" t="s">
        <v>13284</v>
      </c>
      <c r="H2573" s="9" t="s">
        <v>13284</v>
      </c>
      <c r="I2573" s="9" t="s">
        <v>13284</v>
      </c>
      <c r="J2573" s="9" t="s">
        <v>13284</v>
      </c>
      <c r="K2573" s="9" t="s">
        <v>13284</v>
      </c>
      <c r="L2573" s="9" t="s">
        <v>13284</v>
      </c>
      <c r="M2573" s="9" t="s">
        <v>13284</v>
      </c>
      <c r="N2573" s="9" t="s">
        <v>13284</v>
      </c>
      <c r="O2573" s="9" t="s">
        <v>13284</v>
      </c>
      <c r="P2573" s="9" t="s">
        <v>13284</v>
      </c>
      <c r="Q2573" s="9" t="s">
        <v>13284</v>
      </c>
      <c r="R2573" s="9" t="s">
        <v>13284</v>
      </c>
      <c r="S2573" s="9" t="s">
        <v>13284</v>
      </c>
      <c r="T2573" s="9" t="str">
        <f ca="1">IFERROR(IF(AND(VLOOKUP(A2573, 'Актуальное состояние (из общего'!A:C,3,0) = "", A2573 &lt;&gt; ""), "ПРОВЕРИТЬ", VLOOKUP(A2573, 'Актуальное состояние (из общего'!A:C,3,0)), "")</f>
        <v/>
      </c>
      <c r="U2573" s="9" t="s">
        <v>13284</v>
      </c>
      <c r="V2573" s="9" t="s">
        <v>13284</v>
      </c>
      <c r="W2573" s="12"/>
      <c r="X2573" s="9" t="str">
        <f t="array" ref="X2573">IFERROR(INDEX('Адреса общежитий (скрытый)'!$B$2:$B$9, MATCH(W2573, 'Адреса общежитий (скрытый)'!$A$2:$A$9, 0)), "")</f>
        <v/>
      </c>
      <c r="Y2573" s="18"/>
      <c r="Z2573" s="18"/>
      <c r="AA2573" s="18"/>
      <c r="AB2573" s="18"/>
      <c r="AC2573" s="18"/>
    </row>
    <row r="2574" spans="1:29" ht="32.25" hidden="1" customHeight="1">
      <c r="A2574" s="17"/>
      <c r="B2574" s="9" t="s">
        <v>13284</v>
      </c>
      <c r="C2574" s="9" t="s">
        <v>13284</v>
      </c>
      <c r="D2574" s="9" t="s">
        <v>13284</v>
      </c>
      <c r="E2574" s="9" t="s">
        <v>13284</v>
      </c>
      <c r="F2574" s="9" t="s">
        <v>13284</v>
      </c>
      <c r="G2574" s="9" t="s">
        <v>13284</v>
      </c>
      <c r="H2574" s="9" t="s">
        <v>13284</v>
      </c>
      <c r="I2574" s="9" t="s">
        <v>13284</v>
      </c>
      <c r="J2574" s="9" t="s">
        <v>13284</v>
      </c>
      <c r="K2574" s="9" t="s">
        <v>13284</v>
      </c>
      <c r="L2574" s="9" t="s">
        <v>13284</v>
      </c>
      <c r="M2574" s="9" t="s">
        <v>13284</v>
      </c>
      <c r="N2574" s="9" t="s">
        <v>13284</v>
      </c>
      <c r="O2574" s="9" t="s">
        <v>13284</v>
      </c>
      <c r="P2574" s="9" t="s">
        <v>13284</v>
      </c>
      <c r="Q2574" s="9" t="s">
        <v>13284</v>
      </c>
      <c r="R2574" s="9" t="s">
        <v>13284</v>
      </c>
      <c r="S2574" s="9" t="s">
        <v>13284</v>
      </c>
      <c r="T2574" s="9" t="str">
        <f ca="1">IFERROR(IF(AND(VLOOKUP(A2574, 'Актуальное состояние (из общего'!A:C,3,0) = "", A2574 &lt;&gt; ""), "ПРОВЕРИТЬ", VLOOKUP(A2574, 'Актуальное состояние (из общего'!A:C,3,0)), "")</f>
        <v/>
      </c>
      <c r="U2574" s="9" t="s">
        <v>13284</v>
      </c>
      <c r="V2574" s="9" t="s">
        <v>13284</v>
      </c>
      <c r="W2574" s="12"/>
      <c r="X2574" s="9" t="str">
        <f t="array" ref="X2574">IFERROR(INDEX('Адреса общежитий (скрытый)'!$B$2:$B$9, MATCH(W2574, 'Адреса общежитий (скрытый)'!$A$2:$A$9, 0)), "")</f>
        <v/>
      </c>
      <c r="Y2574" s="18"/>
      <c r="Z2574" s="18"/>
      <c r="AA2574" s="18"/>
      <c r="AB2574" s="18"/>
      <c r="AC2574" s="18"/>
    </row>
    <row r="2575" spans="1:29" ht="32.25" hidden="1" customHeight="1">
      <c r="A2575" s="17"/>
      <c r="B2575" s="9" t="s">
        <v>13284</v>
      </c>
      <c r="C2575" s="9" t="s">
        <v>13284</v>
      </c>
      <c r="D2575" s="9" t="s">
        <v>13284</v>
      </c>
      <c r="E2575" s="9" t="s">
        <v>13284</v>
      </c>
      <c r="F2575" s="9" t="s">
        <v>13284</v>
      </c>
      <c r="G2575" s="9" t="s">
        <v>13284</v>
      </c>
      <c r="H2575" s="9" t="s">
        <v>13284</v>
      </c>
      <c r="I2575" s="9" t="s">
        <v>13284</v>
      </c>
      <c r="J2575" s="9" t="s">
        <v>13284</v>
      </c>
      <c r="K2575" s="9" t="s">
        <v>13284</v>
      </c>
      <c r="L2575" s="9" t="s">
        <v>13284</v>
      </c>
      <c r="M2575" s="9" t="s">
        <v>13284</v>
      </c>
      <c r="N2575" s="9" t="s">
        <v>13284</v>
      </c>
      <c r="O2575" s="9" t="s">
        <v>13284</v>
      </c>
      <c r="P2575" s="9" t="s">
        <v>13284</v>
      </c>
      <c r="Q2575" s="9" t="s">
        <v>13284</v>
      </c>
      <c r="R2575" s="9" t="s">
        <v>13284</v>
      </c>
      <c r="S2575" s="9" t="s">
        <v>13284</v>
      </c>
      <c r="T2575" s="9" t="str">
        <f ca="1">IFERROR(IF(AND(VLOOKUP(A2575, 'Актуальное состояние (из общего'!A:C,3,0) = "", A2575 &lt;&gt; ""), "ПРОВЕРИТЬ", VLOOKUP(A2575, 'Актуальное состояние (из общего'!A:C,3,0)), "")</f>
        <v/>
      </c>
      <c r="U2575" s="9" t="s">
        <v>13284</v>
      </c>
      <c r="V2575" s="9" t="s">
        <v>13284</v>
      </c>
      <c r="W2575" s="12"/>
      <c r="X2575" s="9" t="str">
        <f t="array" ref="X2575">IFERROR(INDEX('Адреса общежитий (скрытый)'!$B$2:$B$9, MATCH(W2575, 'Адреса общежитий (скрытый)'!$A$2:$A$9, 0)), "")</f>
        <v/>
      </c>
      <c r="Y2575" s="18"/>
      <c r="Z2575" s="18"/>
      <c r="AA2575" s="18"/>
      <c r="AB2575" s="18"/>
      <c r="AC2575" s="18"/>
    </row>
    <row r="2576" spans="1:29" ht="32.25" hidden="1" customHeight="1">
      <c r="A2576" s="17"/>
      <c r="B2576" s="9" t="s">
        <v>13284</v>
      </c>
      <c r="C2576" s="9" t="s">
        <v>13284</v>
      </c>
      <c r="D2576" s="9" t="s">
        <v>13284</v>
      </c>
      <c r="E2576" s="9" t="s">
        <v>13284</v>
      </c>
      <c r="F2576" s="9" t="s">
        <v>13284</v>
      </c>
      <c r="G2576" s="9" t="s">
        <v>13284</v>
      </c>
      <c r="H2576" s="9" t="s">
        <v>13284</v>
      </c>
      <c r="I2576" s="9" t="s">
        <v>13284</v>
      </c>
      <c r="J2576" s="9" t="s">
        <v>13284</v>
      </c>
      <c r="K2576" s="9" t="s">
        <v>13284</v>
      </c>
      <c r="L2576" s="9" t="s">
        <v>13284</v>
      </c>
      <c r="M2576" s="9" t="s">
        <v>13284</v>
      </c>
      <c r="N2576" s="9" t="s">
        <v>13284</v>
      </c>
      <c r="O2576" s="9" t="s">
        <v>13284</v>
      </c>
      <c r="P2576" s="9" t="s">
        <v>13284</v>
      </c>
      <c r="Q2576" s="9" t="s">
        <v>13284</v>
      </c>
      <c r="R2576" s="9" t="s">
        <v>13284</v>
      </c>
      <c r="S2576" s="9" t="s">
        <v>13284</v>
      </c>
      <c r="T2576" s="9" t="str">
        <f ca="1">IFERROR(IF(AND(VLOOKUP(A2576, 'Актуальное состояние (из общего'!A:C,3,0) = "", A2576 &lt;&gt; ""), "ПРОВЕРИТЬ", VLOOKUP(A2576, 'Актуальное состояние (из общего'!A:C,3,0)), "")</f>
        <v/>
      </c>
      <c r="U2576" s="9" t="s">
        <v>13284</v>
      </c>
      <c r="V2576" s="9" t="s">
        <v>13284</v>
      </c>
      <c r="W2576" s="12"/>
      <c r="X2576" s="9" t="str">
        <f t="array" ref="X2576">IFERROR(INDEX('Адреса общежитий (скрытый)'!$B$2:$B$9, MATCH(W2576, 'Адреса общежитий (скрытый)'!$A$2:$A$9, 0)), "")</f>
        <v/>
      </c>
      <c r="Y2576" s="18"/>
      <c r="Z2576" s="18"/>
      <c r="AA2576" s="18"/>
      <c r="AB2576" s="18"/>
      <c r="AC2576" s="18"/>
    </row>
    <row r="2577" spans="1:29" ht="32.25" hidden="1" customHeight="1">
      <c r="A2577" s="17"/>
      <c r="B2577" s="9" t="s">
        <v>13284</v>
      </c>
      <c r="C2577" s="9" t="s">
        <v>13284</v>
      </c>
      <c r="D2577" s="9" t="s">
        <v>13284</v>
      </c>
      <c r="E2577" s="9" t="s">
        <v>13284</v>
      </c>
      <c r="F2577" s="9" t="s">
        <v>13284</v>
      </c>
      <c r="G2577" s="9" t="s">
        <v>13284</v>
      </c>
      <c r="H2577" s="9" t="s">
        <v>13284</v>
      </c>
      <c r="I2577" s="9" t="s">
        <v>13284</v>
      </c>
      <c r="J2577" s="9" t="s">
        <v>13284</v>
      </c>
      <c r="K2577" s="9" t="s">
        <v>13284</v>
      </c>
      <c r="L2577" s="9" t="s">
        <v>13284</v>
      </c>
      <c r="M2577" s="9" t="s">
        <v>13284</v>
      </c>
      <c r="N2577" s="9" t="s">
        <v>13284</v>
      </c>
      <c r="O2577" s="9" t="s">
        <v>13284</v>
      </c>
      <c r="P2577" s="9" t="s">
        <v>13284</v>
      </c>
      <c r="Q2577" s="9" t="s">
        <v>13284</v>
      </c>
      <c r="R2577" s="9" t="s">
        <v>13284</v>
      </c>
      <c r="S2577" s="9" t="s">
        <v>13284</v>
      </c>
      <c r="T2577" s="9" t="str">
        <f ca="1">IFERROR(IF(AND(VLOOKUP(A2577, 'Актуальное состояние (из общего'!A:C,3,0) = "", A2577 &lt;&gt; ""), "ПРОВЕРИТЬ", VLOOKUP(A2577, 'Актуальное состояние (из общего'!A:C,3,0)), "")</f>
        <v/>
      </c>
      <c r="U2577" s="9" t="s">
        <v>13284</v>
      </c>
      <c r="V2577" s="9" t="s">
        <v>13284</v>
      </c>
      <c r="W2577" s="12"/>
      <c r="X2577" s="9" t="str">
        <f t="array" ref="X2577">IFERROR(INDEX('Адреса общежитий (скрытый)'!$B$2:$B$9, MATCH(W2577, 'Адреса общежитий (скрытый)'!$A$2:$A$9, 0)), "")</f>
        <v/>
      </c>
      <c r="Y2577" s="18"/>
      <c r="Z2577" s="18"/>
      <c r="AA2577" s="18"/>
      <c r="AB2577" s="18"/>
      <c r="AC2577" s="18"/>
    </row>
    <row r="2578" spans="1:29" ht="32.25" hidden="1" customHeight="1">
      <c r="A2578" s="17"/>
      <c r="B2578" s="9" t="s">
        <v>13284</v>
      </c>
      <c r="C2578" s="9" t="s">
        <v>13284</v>
      </c>
      <c r="D2578" s="9" t="s">
        <v>13284</v>
      </c>
      <c r="E2578" s="9" t="s">
        <v>13284</v>
      </c>
      <c r="F2578" s="9" t="s">
        <v>13284</v>
      </c>
      <c r="G2578" s="9" t="s">
        <v>13284</v>
      </c>
      <c r="H2578" s="9" t="s">
        <v>13284</v>
      </c>
      <c r="I2578" s="9" t="s">
        <v>13284</v>
      </c>
      <c r="J2578" s="9" t="s">
        <v>13284</v>
      </c>
      <c r="K2578" s="9" t="s">
        <v>13284</v>
      </c>
      <c r="L2578" s="9" t="s">
        <v>13284</v>
      </c>
      <c r="M2578" s="9" t="s">
        <v>13284</v>
      </c>
      <c r="N2578" s="9" t="s">
        <v>13284</v>
      </c>
      <c r="O2578" s="9" t="s">
        <v>13284</v>
      </c>
      <c r="P2578" s="9" t="s">
        <v>13284</v>
      </c>
      <c r="Q2578" s="9" t="s">
        <v>13284</v>
      </c>
      <c r="R2578" s="9" t="s">
        <v>13284</v>
      </c>
      <c r="S2578" s="9" t="s">
        <v>13284</v>
      </c>
      <c r="T2578" s="9" t="str">
        <f ca="1">IFERROR(IF(AND(VLOOKUP(A2578, 'Актуальное состояние (из общего'!A:C,3,0) = "", A2578 &lt;&gt; ""), "ПРОВЕРИТЬ", VLOOKUP(A2578, 'Актуальное состояние (из общего'!A:C,3,0)), "")</f>
        <v/>
      </c>
      <c r="U2578" s="9" t="s">
        <v>13284</v>
      </c>
      <c r="V2578" s="9" t="s">
        <v>13284</v>
      </c>
      <c r="W2578" s="12"/>
      <c r="X2578" s="9" t="str">
        <f t="array" ref="X2578">IFERROR(INDEX('Адреса общежитий (скрытый)'!$B$2:$B$9, MATCH(W2578, 'Адреса общежитий (скрытый)'!$A$2:$A$9, 0)), "")</f>
        <v/>
      </c>
      <c r="Y2578" s="18"/>
      <c r="Z2578" s="18"/>
      <c r="AA2578" s="18"/>
      <c r="AB2578" s="18"/>
      <c r="AC2578" s="18"/>
    </row>
    <row r="2579" spans="1:29" ht="32.25" hidden="1" customHeight="1">
      <c r="A2579" s="17"/>
      <c r="B2579" s="9" t="s">
        <v>13284</v>
      </c>
      <c r="C2579" s="9" t="s">
        <v>13284</v>
      </c>
      <c r="D2579" s="9" t="s">
        <v>13284</v>
      </c>
      <c r="E2579" s="9" t="s">
        <v>13284</v>
      </c>
      <c r="F2579" s="9" t="s">
        <v>13284</v>
      </c>
      <c r="G2579" s="9" t="s">
        <v>13284</v>
      </c>
      <c r="H2579" s="9" t="s">
        <v>13284</v>
      </c>
      <c r="I2579" s="9" t="s">
        <v>13284</v>
      </c>
      <c r="J2579" s="9" t="s">
        <v>13284</v>
      </c>
      <c r="K2579" s="9" t="s">
        <v>13284</v>
      </c>
      <c r="L2579" s="9" t="s">
        <v>13284</v>
      </c>
      <c r="M2579" s="9" t="s">
        <v>13284</v>
      </c>
      <c r="N2579" s="9" t="s">
        <v>13284</v>
      </c>
      <c r="O2579" s="9" t="s">
        <v>13284</v>
      </c>
      <c r="P2579" s="9" t="s">
        <v>13284</v>
      </c>
      <c r="Q2579" s="9" t="s">
        <v>13284</v>
      </c>
      <c r="R2579" s="9" t="s">
        <v>13284</v>
      </c>
      <c r="S2579" s="9" t="s">
        <v>13284</v>
      </c>
      <c r="T2579" s="9" t="str">
        <f ca="1">IFERROR(IF(AND(VLOOKUP(A2579, 'Актуальное состояние (из общего'!A:C,3,0) = "", A2579 &lt;&gt; ""), "ПРОВЕРИТЬ", VLOOKUP(A2579, 'Актуальное состояние (из общего'!A:C,3,0)), "")</f>
        <v/>
      </c>
      <c r="U2579" s="9" t="s">
        <v>13284</v>
      </c>
      <c r="V2579" s="9" t="s">
        <v>13284</v>
      </c>
      <c r="W2579" s="12"/>
      <c r="X2579" s="9" t="str">
        <f t="array" ref="X2579">IFERROR(INDEX('Адреса общежитий (скрытый)'!$B$2:$B$9, MATCH(W2579, 'Адреса общежитий (скрытый)'!$A$2:$A$9, 0)), "")</f>
        <v/>
      </c>
      <c r="Y2579" s="18"/>
      <c r="Z2579" s="18"/>
      <c r="AA2579" s="18"/>
      <c r="AB2579" s="18"/>
      <c r="AC2579" s="18"/>
    </row>
    <row r="2580" spans="1:29" ht="32.25" hidden="1" customHeight="1">
      <c r="A2580" s="17"/>
      <c r="B2580" s="9" t="s">
        <v>13284</v>
      </c>
      <c r="C2580" s="9" t="s">
        <v>13284</v>
      </c>
      <c r="D2580" s="9" t="s">
        <v>13284</v>
      </c>
      <c r="E2580" s="9" t="s">
        <v>13284</v>
      </c>
      <c r="F2580" s="9" t="s">
        <v>13284</v>
      </c>
      <c r="G2580" s="9" t="s">
        <v>13284</v>
      </c>
      <c r="H2580" s="9" t="s">
        <v>13284</v>
      </c>
      <c r="I2580" s="9" t="s">
        <v>13284</v>
      </c>
      <c r="J2580" s="9" t="s">
        <v>13284</v>
      </c>
      <c r="K2580" s="9" t="s">
        <v>13284</v>
      </c>
      <c r="L2580" s="9" t="s">
        <v>13284</v>
      </c>
      <c r="M2580" s="9" t="s">
        <v>13284</v>
      </c>
      <c r="N2580" s="9" t="s">
        <v>13284</v>
      </c>
      <c r="O2580" s="9" t="s">
        <v>13284</v>
      </c>
      <c r="P2580" s="9" t="s">
        <v>13284</v>
      </c>
      <c r="Q2580" s="9" t="s">
        <v>13284</v>
      </c>
      <c r="R2580" s="9" t="s">
        <v>13284</v>
      </c>
      <c r="S2580" s="9" t="s">
        <v>13284</v>
      </c>
      <c r="T2580" s="9" t="str">
        <f ca="1">IFERROR(IF(AND(VLOOKUP(A2580, 'Актуальное состояние (из общего'!A:C,3,0) = "", A2580 &lt;&gt; ""), "ПРОВЕРИТЬ", VLOOKUP(A2580, 'Актуальное состояние (из общего'!A:C,3,0)), "")</f>
        <v/>
      </c>
      <c r="U2580" s="9" t="s">
        <v>13284</v>
      </c>
      <c r="V2580" s="9" t="s">
        <v>13284</v>
      </c>
      <c r="W2580" s="12"/>
      <c r="X2580" s="9" t="str">
        <f t="array" ref="X2580">IFERROR(INDEX('Адреса общежитий (скрытый)'!$B$2:$B$9, MATCH(W2580, 'Адреса общежитий (скрытый)'!$A$2:$A$9, 0)), "")</f>
        <v/>
      </c>
      <c r="Y2580" s="18"/>
      <c r="Z2580" s="18"/>
      <c r="AA2580" s="18"/>
      <c r="AB2580" s="18"/>
      <c r="AC2580" s="18"/>
    </row>
    <row r="2581" spans="1:29" ht="32.25" hidden="1" customHeight="1">
      <c r="A2581" s="17"/>
      <c r="B2581" s="9" t="s">
        <v>13284</v>
      </c>
      <c r="C2581" s="9" t="s">
        <v>13284</v>
      </c>
      <c r="D2581" s="9" t="s">
        <v>13284</v>
      </c>
      <c r="E2581" s="9" t="s">
        <v>13284</v>
      </c>
      <c r="F2581" s="9" t="s">
        <v>13284</v>
      </c>
      <c r="G2581" s="9" t="s">
        <v>13284</v>
      </c>
      <c r="H2581" s="9" t="s">
        <v>13284</v>
      </c>
      <c r="I2581" s="9" t="s">
        <v>13284</v>
      </c>
      <c r="J2581" s="9" t="s">
        <v>13284</v>
      </c>
      <c r="K2581" s="9" t="s">
        <v>13284</v>
      </c>
      <c r="L2581" s="9" t="s">
        <v>13284</v>
      </c>
      <c r="M2581" s="9" t="s">
        <v>13284</v>
      </c>
      <c r="N2581" s="9" t="s">
        <v>13284</v>
      </c>
      <c r="O2581" s="9" t="s">
        <v>13284</v>
      </c>
      <c r="P2581" s="9" t="s">
        <v>13284</v>
      </c>
      <c r="Q2581" s="9" t="s">
        <v>13284</v>
      </c>
      <c r="R2581" s="9" t="s">
        <v>13284</v>
      </c>
      <c r="S2581" s="9" t="s">
        <v>13284</v>
      </c>
      <c r="T2581" s="9" t="str">
        <f ca="1">IFERROR(IF(AND(VLOOKUP(A2581, 'Актуальное состояние (из общего'!A:C,3,0) = "", A2581 &lt;&gt; ""), "ПРОВЕРИТЬ", VLOOKUP(A2581, 'Актуальное состояние (из общего'!A:C,3,0)), "")</f>
        <v/>
      </c>
      <c r="U2581" s="9" t="s">
        <v>13284</v>
      </c>
      <c r="V2581" s="9" t="s">
        <v>13284</v>
      </c>
      <c r="W2581" s="12"/>
      <c r="X2581" s="9" t="str">
        <f t="array" ref="X2581">IFERROR(INDEX('Адреса общежитий (скрытый)'!$B$2:$B$9, MATCH(W2581, 'Адреса общежитий (скрытый)'!$A$2:$A$9, 0)), "")</f>
        <v/>
      </c>
      <c r="Y2581" s="18"/>
      <c r="Z2581" s="18"/>
      <c r="AA2581" s="18"/>
      <c r="AB2581" s="18"/>
      <c r="AC2581" s="18"/>
    </row>
    <row r="2582" spans="1:29" ht="32.25" hidden="1" customHeight="1">
      <c r="A2582" s="17"/>
      <c r="B2582" s="9" t="s">
        <v>13284</v>
      </c>
      <c r="C2582" s="9" t="s">
        <v>13284</v>
      </c>
      <c r="D2582" s="9" t="s">
        <v>13284</v>
      </c>
      <c r="E2582" s="9" t="s">
        <v>13284</v>
      </c>
      <c r="F2582" s="9" t="s">
        <v>13284</v>
      </c>
      <c r="G2582" s="9" t="s">
        <v>13284</v>
      </c>
      <c r="H2582" s="9" t="s">
        <v>13284</v>
      </c>
      <c r="I2582" s="9" t="s">
        <v>13284</v>
      </c>
      <c r="J2582" s="9" t="s">
        <v>13284</v>
      </c>
      <c r="K2582" s="9" t="s">
        <v>13284</v>
      </c>
      <c r="L2582" s="9" t="s">
        <v>13284</v>
      </c>
      <c r="M2582" s="9" t="s">
        <v>13284</v>
      </c>
      <c r="N2582" s="9" t="s">
        <v>13284</v>
      </c>
      <c r="O2582" s="9" t="s">
        <v>13284</v>
      </c>
      <c r="P2582" s="9" t="s">
        <v>13284</v>
      </c>
      <c r="Q2582" s="9" t="s">
        <v>13284</v>
      </c>
      <c r="R2582" s="9" t="s">
        <v>13284</v>
      </c>
      <c r="S2582" s="9" t="s">
        <v>13284</v>
      </c>
      <c r="T2582" s="9" t="str">
        <f ca="1">IFERROR(IF(AND(VLOOKUP(A2582, 'Актуальное состояние (из общего'!A:C,3,0) = "", A2582 &lt;&gt; ""), "ПРОВЕРИТЬ", VLOOKUP(A2582, 'Актуальное состояние (из общего'!A:C,3,0)), "")</f>
        <v/>
      </c>
      <c r="U2582" s="9" t="s">
        <v>13284</v>
      </c>
      <c r="V2582" s="9" t="s">
        <v>13284</v>
      </c>
      <c r="W2582" s="12"/>
      <c r="X2582" s="9" t="str">
        <f t="array" ref="X2582">IFERROR(INDEX('Адреса общежитий (скрытый)'!$B$2:$B$9, MATCH(W2582, 'Адреса общежитий (скрытый)'!$A$2:$A$9, 0)), "")</f>
        <v/>
      </c>
      <c r="Y2582" s="18"/>
      <c r="Z2582" s="18"/>
      <c r="AA2582" s="18"/>
      <c r="AB2582" s="18"/>
      <c r="AC2582" s="18"/>
    </row>
    <row r="2583" spans="1:29" ht="32.25" hidden="1" customHeight="1">
      <c r="A2583" s="17"/>
      <c r="B2583" s="9" t="s">
        <v>13284</v>
      </c>
      <c r="C2583" s="9" t="s">
        <v>13284</v>
      </c>
      <c r="D2583" s="9" t="s">
        <v>13284</v>
      </c>
      <c r="E2583" s="9" t="s">
        <v>13284</v>
      </c>
      <c r="F2583" s="9" t="s">
        <v>13284</v>
      </c>
      <c r="G2583" s="9" t="s">
        <v>13284</v>
      </c>
      <c r="H2583" s="9" t="s">
        <v>13284</v>
      </c>
      <c r="I2583" s="9" t="s">
        <v>13284</v>
      </c>
      <c r="J2583" s="9" t="s">
        <v>13284</v>
      </c>
      <c r="K2583" s="9" t="s">
        <v>13284</v>
      </c>
      <c r="L2583" s="9" t="s">
        <v>13284</v>
      </c>
      <c r="M2583" s="9" t="s">
        <v>13284</v>
      </c>
      <c r="N2583" s="9" t="s">
        <v>13284</v>
      </c>
      <c r="O2583" s="9" t="s">
        <v>13284</v>
      </c>
      <c r="P2583" s="9" t="s">
        <v>13284</v>
      </c>
      <c r="Q2583" s="9" t="s">
        <v>13284</v>
      </c>
      <c r="R2583" s="9" t="s">
        <v>13284</v>
      </c>
      <c r="S2583" s="9" t="s">
        <v>13284</v>
      </c>
      <c r="T2583" s="9" t="str">
        <f ca="1">IFERROR(IF(AND(VLOOKUP(A2583, 'Актуальное состояние (из общего'!A:C,3,0) = "", A2583 &lt;&gt; ""), "ПРОВЕРИТЬ", VLOOKUP(A2583, 'Актуальное состояние (из общего'!A:C,3,0)), "")</f>
        <v/>
      </c>
      <c r="U2583" s="9" t="s">
        <v>13284</v>
      </c>
      <c r="V2583" s="9" t="s">
        <v>13284</v>
      </c>
      <c r="W2583" s="12"/>
      <c r="X2583" s="9" t="str">
        <f t="array" ref="X2583">IFERROR(INDEX('Адреса общежитий (скрытый)'!$B$2:$B$9, MATCH(W2583, 'Адреса общежитий (скрытый)'!$A$2:$A$9, 0)), "")</f>
        <v/>
      </c>
      <c r="Y2583" s="18"/>
      <c r="Z2583" s="18"/>
      <c r="AA2583" s="18"/>
      <c r="AB2583" s="18"/>
      <c r="AC2583" s="18"/>
    </row>
    <row r="2584" spans="1:29" ht="32.25" hidden="1" customHeight="1">
      <c r="A2584" s="17"/>
      <c r="B2584" s="9" t="s">
        <v>13284</v>
      </c>
      <c r="C2584" s="9" t="s">
        <v>13284</v>
      </c>
      <c r="D2584" s="9" t="s">
        <v>13284</v>
      </c>
      <c r="E2584" s="9" t="s">
        <v>13284</v>
      </c>
      <c r="F2584" s="9" t="s">
        <v>13284</v>
      </c>
      <c r="G2584" s="9" t="s">
        <v>13284</v>
      </c>
      <c r="H2584" s="9" t="s">
        <v>13284</v>
      </c>
      <c r="I2584" s="9" t="s">
        <v>13284</v>
      </c>
      <c r="J2584" s="9" t="s">
        <v>13284</v>
      </c>
      <c r="K2584" s="9" t="s">
        <v>13284</v>
      </c>
      <c r="L2584" s="9" t="s">
        <v>13284</v>
      </c>
      <c r="M2584" s="9" t="s">
        <v>13284</v>
      </c>
      <c r="N2584" s="9" t="s">
        <v>13284</v>
      </c>
      <c r="O2584" s="9" t="s">
        <v>13284</v>
      </c>
      <c r="P2584" s="9" t="s">
        <v>13284</v>
      </c>
      <c r="Q2584" s="9" t="s">
        <v>13284</v>
      </c>
      <c r="R2584" s="9" t="s">
        <v>13284</v>
      </c>
      <c r="S2584" s="9" t="s">
        <v>13284</v>
      </c>
      <c r="T2584" s="9" t="str">
        <f ca="1">IFERROR(IF(AND(VLOOKUP(A2584, 'Актуальное состояние (из общего'!A:C,3,0) = "", A2584 &lt;&gt; ""), "ПРОВЕРИТЬ", VLOOKUP(A2584, 'Актуальное состояние (из общего'!A:C,3,0)), "")</f>
        <v/>
      </c>
      <c r="U2584" s="9" t="s">
        <v>13284</v>
      </c>
      <c r="V2584" s="9" t="s">
        <v>13284</v>
      </c>
      <c r="W2584" s="12"/>
      <c r="X2584" s="9" t="str">
        <f t="array" ref="X2584">IFERROR(INDEX('Адреса общежитий (скрытый)'!$B$2:$B$9, MATCH(W2584, 'Адреса общежитий (скрытый)'!$A$2:$A$9, 0)), "")</f>
        <v/>
      </c>
      <c r="Y2584" s="18"/>
      <c r="Z2584" s="18"/>
      <c r="AA2584" s="18"/>
      <c r="AB2584" s="18"/>
      <c r="AC2584" s="18"/>
    </row>
    <row r="2585" spans="1:29" ht="32.25" hidden="1" customHeight="1">
      <c r="A2585" s="17"/>
      <c r="B2585" s="9" t="s">
        <v>13284</v>
      </c>
      <c r="C2585" s="9" t="s">
        <v>13284</v>
      </c>
      <c r="D2585" s="9" t="s">
        <v>13284</v>
      </c>
      <c r="E2585" s="9" t="s">
        <v>13284</v>
      </c>
      <c r="F2585" s="9" t="s">
        <v>13284</v>
      </c>
      <c r="G2585" s="9" t="s">
        <v>13284</v>
      </c>
      <c r="H2585" s="9" t="s">
        <v>13284</v>
      </c>
      <c r="I2585" s="9" t="s">
        <v>13284</v>
      </c>
      <c r="J2585" s="9" t="s">
        <v>13284</v>
      </c>
      <c r="K2585" s="9" t="s">
        <v>13284</v>
      </c>
      <c r="L2585" s="9" t="s">
        <v>13284</v>
      </c>
      <c r="M2585" s="9" t="s">
        <v>13284</v>
      </c>
      <c r="N2585" s="9" t="s">
        <v>13284</v>
      </c>
      <c r="O2585" s="9" t="s">
        <v>13284</v>
      </c>
      <c r="P2585" s="9" t="s">
        <v>13284</v>
      </c>
      <c r="Q2585" s="9" t="s">
        <v>13284</v>
      </c>
      <c r="R2585" s="9" t="s">
        <v>13284</v>
      </c>
      <c r="S2585" s="9" t="s">
        <v>13284</v>
      </c>
      <c r="T2585" s="9" t="str">
        <f ca="1">IFERROR(IF(AND(VLOOKUP(A2585, 'Актуальное состояние (из общего'!A:C,3,0) = "", A2585 &lt;&gt; ""), "ПРОВЕРИТЬ", VLOOKUP(A2585, 'Актуальное состояние (из общего'!A:C,3,0)), "")</f>
        <v/>
      </c>
      <c r="U2585" s="9" t="s">
        <v>13284</v>
      </c>
      <c r="V2585" s="9" t="s">
        <v>13284</v>
      </c>
      <c r="W2585" s="12"/>
      <c r="X2585" s="9" t="str">
        <f t="array" ref="X2585">IFERROR(INDEX('Адреса общежитий (скрытый)'!$B$2:$B$9, MATCH(W2585, 'Адреса общежитий (скрытый)'!$A$2:$A$9, 0)), "")</f>
        <v/>
      </c>
      <c r="Y2585" s="18"/>
      <c r="Z2585" s="18"/>
      <c r="AA2585" s="18"/>
      <c r="AB2585" s="18"/>
      <c r="AC2585" s="18"/>
    </row>
    <row r="2586" spans="1:29" ht="32.25" hidden="1" customHeight="1">
      <c r="A2586" s="17"/>
      <c r="B2586" s="9" t="s">
        <v>13284</v>
      </c>
      <c r="C2586" s="9" t="s">
        <v>13284</v>
      </c>
      <c r="D2586" s="9" t="s">
        <v>13284</v>
      </c>
      <c r="E2586" s="9" t="s">
        <v>13284</v>
      </c>
      <c r="F2586" s="9" t="s">
        <v>13284</v>
      </c>
      <c r="G2586" s="9" t="s">
        <v>13284</v>
      </c>
      <c r="H2586" s="9" t="s">
        <v>13284</v>
      </c>
      <c r="I2586" s="9" t="s">
        <v>13284</v>
      </c>
      <c r="J2586" s="9" t="s">
        <v>13284</v>
      </c>
      <c r="K2586" s="9" t="s">
        <v>13284</v>
      </c>
      <c r="L2586" s="9" t="s">
        <v>13284</v>
      </c>
      <c r="M2586" s="9" t="s">
        <v>13284</v>
      </c>
      <c r="N2586" s="9" t="s">
        <v>13284</v>
      </c>
      <c r="O2586" s="9" t="s">
        <v>13284</v>
      </c>
      <c r="P2586" s="9" t="s">
        <v>13284</v>
      </c>
      <c r="Q2586" s="9" t="s">
        <v>13284</v>
      </c>
      <c r="R2586" s="9" t="s">
        <v>13284</v>
      </c>
      <c r="S2586" s="9" t="s">
        <v>13284</v>
      </c>
      <c r="T2586" s="9" t="str">
        <f ca="1">IFERROR(IF(AND(VLOOKUP(A2586, 'Актуальное состояние (из общего'!A:C,3,0) = "", A2586 &lt;&gt; ""), "ПРОВЕРИТЬ", VLOOKUP(A2586, 'Актуальное состояние (из общего'!A:C,3,0)), "")</f>
        <v/>
      </c>
      <c r="U2586" s="9" t="s">
        <v>13284</v>
      </c>
      <c r="V2586" s="9" t="s">
        <v>13284</v>
      </c>
      <c r="W2586" s="12"/>
      <c r="X2586" s="9" t="str">
        <f t="array" ref="X2586">IFERROR(INDEX('Адреса общежитий (скрытый)'!$B$2:$B$9, MATCH(W2586, 'Адреса общежитий (скрытый)'!$A$2:$A$9, 0)), "")</f>
        <v/>
      </c>
      <c r="Y2586" s="18"/>
      <c r="Z2586" s="18"/>
      <c r="AA2586" s="18"/>
      <c r="AB2586" s="18"/>
      <c r="AC2586" s="18"/>
    </row>
    <row r="2587" spans="1:29" ht="32.25" hidden="1" customHeight="1">
      <c r="A2587" s="17"/>
      <c r="B2587" s="9" t="s">
        <v>13284</v>
      </c>
      <c r="C2587" s="9" t="s">
        <v>13284</v>
      </c>
      <c r="D2587" s="9" t="s">
        <v>13284</v>
      </c>
      <c r="E2587" s="9" t="s">
        <v>13284</v>
      </c>
      <c r="F2587" s="9" t="s">
        <v>13284</v>
      </c>
      <c r="G2587" s="9" t="s">
        <v>13284</v>
      </c>
      <c r="H2587" s="9" t="s">
        <v>13284</v>
      </c>
      <c r="I2587" s="9" t="s">
        <v>13284</v>
      </c>
      <c r="J2587" s="9" t="s">
        <v>13284</v>
      </c>
      <c r="K2587" s="9" t="s">
        <v>13284</v>
      </c>
      <c r="L2587" s="9" t="s">
        <v>13284</v>
      </c>
      <c r="M2587" s="9" t="s">
        <v>13284</v>
      </c>
      <c r="N2587" s="9" t="s">
        <v>13284</v>
      </c>
      <c r="O2587" s="9" t="s">
        <v>13284</v>
      </c>
      <c r="P2587" s="9" t="s">
        <v>13284</v>
      </c>
      <c r="Q2587" s="9" t="s">
        <v>13284</v>
      </c>
      <c r="R2587" s="9" t="s">
        <v>13284</v>
      </c>
      <c r="S2587" s="9" t="s">
        <v>13284</v>
      </c>
      <c r="T2587" s="9" t="str">
        <f ca="1">IFERROR(IF(AND(VLOOKUP(A2587, 'Актуальное состояние (из общего'!A:C,3,0) = "", A2587 &lt;&gt; ""), "ПРОВЕРИТЬ", VLOOKUP(A2587, 'Актуальное состояние (из общего'!A:C,3,0)), "")</f>
        <v/>
      </c>
      <c r="U2587" s="9" t="s">
        <v>13284</v>
      </c>
      <c r="V2587" s="9" t="s">
        <v>13284</v>
      </c>
      <c r="W2587" s="12"/>
      <c r="X2587" s="9" t="str">
        <f t="array" ref="X2587">IFERROR(INDEX('Адреса общежитий (скрытый)'!$B$2:$B$9, MATCH(W2587, 'Адреса общежитий (скрытый)'!$A$2:$A$9, 0)), "")</f>
        <v/>
      </c>
      <c r="Y2587" s="18"/>
      <c r="Z2587" s="18"/>
      <c r="AA2587" s="18"/>
      <c r="AB2587" s="18"/>
      <c r="AC2587" s="18"/>
    </row>
    <row r="2588" spans="1:29" ht="32.25" hidden="1" customHeight="1">
      <c r="A2588" s="17"/>
      <c r="B2588" s="9" t="s">
        <v>13284</v>
      </c>
      <c r="C2588" s="9" t="s">
        <v>13284</v>
      </c>
      <c r="D2588" s="9" t="s">
        <v>13284</v>
      </c>
      <c r="E2588" s="9" t="s">
        <v>13284</v>
      </c>
      <c r="F2588" s="9" t="s">
        <v>13284</v>
      </c>
      <c r="G2588" s="9" t="s">
        <v>13284</v>
      </c>
      <c r="H2588" s="9" t="s">
        <v>13284</v>
      </c>
      <c r="I2588" s="9" t="s">
        <v>13284</v>
      </c>
      <c r="J2588" s="9" t="s">
        <v>13284</v>
      </c>
      <c r="K2588" s="9" t="s">
        <v>13284</v>
      </c>
      <c r="L2588" s="9" t="s">
        <v>13284</v>
      </c>
      <c r="M2588" s="9" t="s">
        <v>13284</v>
      </c>
      <c r="N2588" s="9" t="s">
        <v>13284</v>
      </c>
      <c r="O2588" s="9" t="s">
        <v>13284</v>
      </c>
      <c r="P2588" s="9" t="s">
        <v>13284</v>
      </c>
      <c r="Q2588" s="9" t="s">
        <v>13284</v>
      </c>
      <c r="R2588" s="9" t="s">
        <v>13284</v>
      </c>
      <c r="S2588" s="9" t="s">
        <v>13284</v>
      </c>
      <c r="T2588" s="9" t="str">
        <f ca="1">IFERROR(IF(AND(VLOOKUP(A2588, 'Актуальное состояние (из общего'!A:C,3,0) = "", A2588 &lt;&gt; ""), "ПРОВЕРИТЬ", VLOOKUP(A2588, 'Актуальное состояние (из общего'!A:C,3,0)), "")</f>
        <v/>
      </c>
      <c r="U2588" s="9" t="s">
        <v>13284</v>
      </c>
      <c r="V2588" s="9" t="s">
        <v>13284</v>
      </c>
      <c r="W2588" s="12"/>
      <c r="X2588" s="9" t="str">
        <f t="array" ref="X2588">IFERROR(INDEX('Адреса общежитий (скрытый)'!$B$2:$B$9, MATCH(W2588, 'Адреса общежитий (скрытый)'!$A$2:$A$9, 0)), "")</f>
        <v/>
      </c>
      <c r="Y2588" s="18"/>
      <c r="Z2588" s="18"/>
      <c r="AA2588" s="18"/>
      <c r="AB2588" s="18"/>
      <c r="AC2588" s="18"/>
    </row>
    <row r="2589" spans="1:29" ht="32.25" hidden="1" customHeight="1">
      <c r="A2589" s="17"/>
      <c r="B2589" s="9" t="s">
        <v>13284</v>
      </c>
      <c r="C2589" s="9" t="s">
        <v>13284</v>
      </c>
      <c r="D2589" s="9" t="s">
        <v>13284</v>
      </c>
      <c r="E2589" s="9" t="s">
        <v>13284</v>
      </c>
      <c r="F2589" s="9" t="s">
        <v>13284</v>
      </c>
      <c r="G2589" s="9" t="s">
        <v>13284</v>
      </c>
      <c r="H2589" s="9" t="s">
        <v>13284</v>
      </c>
      <c r="I2589" s="9" t="s">
        <v>13284</v>
      </c>
      <c r="J2589" s="9" t="s">
        <v>13284</v>
      </c>
      <c r="K2589" s="9" t="s">
        <v>13284</v>
      </c>
      <c r="L2589" s="9" t="s">
        <v>13284</v>
      </c>
      <c r="M2589" s="9" t="s">
        <v>13284</v>
      </c>
      <c r="N2589" s="9" t="s">
        <v>13284</v>
      </c>
      <c r="O2589" s="9" t="s">
        <v>13284</v>
      </c>
      <c r="P2589" s="9" t="s">
        <v>13284</v>
      </c>
      <c r="Q2589" s="9" t="s">
        <v>13284</v>
      </c>
      <c r="R2589" s="9" t="s">
        <v>13284</v>
      </c>
      <c r="S2589" s="9" t="s">
        <v>13284</v>
      </c>
      <c r="T2589" s="9" t="str">
        <f ca="1">IFERROR(IF(AND(VLOOKUP(A2589, 'Актуальное состояние (из общего'!A:C,3,0) = "", A2589 &lt;&gt; ""), "ПРОВЕРИТЬ", VLOOKUP(A2589, 'Актуальное состояние (из общего'!A:C,3,0)), "")</f>
        <v/>
      </c>
      <c r="U2589" s="9" t="s">
        <v>13284</v>
      </c>
      <c r="V2589" s="9" t="s">
        <v>13284</v>
      </c>
      <c r="W2589" s="12"/>
      <c r="X2589" s="9" t="str">
        <f t="array" ref="X2589">IFERROR(INDEX('Адреса общежитий (скрытый)'!$B$2:$B$9, MATCH(W2589, 'Адреса общежитий (скрытый)'!$A$2:$A$9, 0)), "")</f>
        <v/>
      </c>
      <c r="Y2589" s="18"/>
      <c r="Z2589" s="18"/>
      <c r="AA2589" s="18"/>
      <c r="AB2589" s="18"/>
      <c r="AC2589" s="18"/>
    </row>
    <row r="2590" spans="1:29" ht="32.25" hidden="1" customHeight="1">
      <c r="A2590" s="17"/>
      <c r="B2590" s="9" t="s">
        <v>13284</v>
      </c>
      <c r="C2590" s="9" t="s">
        <v>13284</v>
      </c>
      <c r="D2590" s="9" t="s">
        <v>13284</v>
      </c>
      <c r="E2590" s="9" t="s">
        <v>13284</v>
      </c>
      <c r="F2590" s="9" t="s">
        <v>13284</v>
      </c>
      <c r="G2590" s="9" t="s">
        <v>13284</v>
      </c>
      <c r="H2590" s="9" t="s">
        <v>13284</v>
      </c>
      <c r="I2590" s="9" t="s">
        <v>13284</v>
      </c>
      <c r="J2590" s="9" t="s">
        <v>13284</v>
      </c>
      <c r="K2590" s="9" t="s">
        <v>13284</v>
      </c>
      <c r="L2590" s="9" t="s">
        <v>13284</v>
      </c>
      <c r="M2590" s="9" t="s">
        <v>13284</v>
      </c>
      <c r="N2590" s="9" t="s">
        <v>13284</v>
      </c>
      <c r="O2590" s="9" t="s">
        <v>13284</v>
      </c>
      <c r="P2590" s="9" t="s">
        <v>13284</v>
      </c>
      <c r="Q2590" s="9" t="s">
        <v>13284</v>
      </c>
      <c r="R2590" s="9" t="s">
        <v>13284</v>
      </c>
      <c r="S2590" s="9" t="s">
        <v>13284</v>
      </c>
      <c r="T2590" s="9" t="str">
        <f ca="1">IFERROR(IF(AND(VLOOKUP(A2590, 'Актуальное состояние (из общего'!A:C,3,0) = "", A2590 &lt;&gt; ""), "ПРОВЕРИТЬ", VLOOKUP(A2590, 'Актуальное состояние (из общего'!A:C,3,0)), "")</f>
        <v/>
      </c>
      <c r="U2590" s="9" t="s">
        <v>13284</v>
      </c>
      <c r="V2590" s="9" t="s">
        <v>13284</v>
      </c>
      <c r="W2590" s="12"/>
      <c r="X2590" s="9" t="str">
        <f t="array" ref="X2590">IFERROR(INDEX('Адреса общежитий (скрытый)'!$B$2:$B$9, MATCH(W2590, 'Адреса общежитий (скрытый)'!$A$2:$A$9, 0)), "")</f>
        <v/>
      </c>
      <c r="Y2590" s="18"/>
      <c r="Z2590" s="18"/>
      <c r="AA2590" s="18"/>
      <c r="AB2590" s="18"/>
      <c r="AC2590" s="18"/>
    </row>
    <row r="2591" spans="1:29" ht="32.25" hidden="1" customHeight="1">
      <c r="A2591" s="17"/>
      <c r="B2591" s="9" t="s">
        <v>13284</v>
      </c>
      <c r="C2591" s="9" t="s">
        <v>13284</v>
      </c>
      <c r="D2591" s="9" t="s">
        <v>13284</v>
      </c>
      <c r="E2591" s="9" t="s">
        <v>13284</v>
      </c>
      <c r="F2591" s="9" t="s">
        <v>13284</v>
      </c>
      <c r="G2591" s="9" t="s">
        <v>13284</v>
      </c>
      <c r="H2591" s="9" t="s">
        <v>13284</v>
      </c>
      <c r="I2591" s="9" t="s">
        <v>13284</v>
      </c>
      <c r="J2591" s="9" t="s">
        <v>13284</v>
      </c>
      <c r="K2591" s="9" t="s">
        <v>13284</v>
      </c>
      <c r="L2591" s="9" t="s">
        <v>13284</v>
      </c>
      <c r="M2591" s="9" t="s">
        <v>13284</v>
      </c>
      <c r="N2591" s="9" t="s">
        <v>13284</v>
      </c>
      <c r="O2591" s="9" t="s">
        <v>13284</v>
      </c>
      <c r="P2591" s="9" t="s">
        <v>13284</v>
      </c>
      <c r="Q2591" s="9" t="s">
        <v>13284</v>
      </c>
      <c r="R2591" s="9" t="s">
        <v>13284</v>
      </c>
      <c r="S2591" s="9" t="s">
        <v>13284</v>
      </c>
      <c r="T2591" s="9" t="str">
        <f ca="1">IFERROR(IF(AND(VLOOKUP(A2591, 'Актуальное состояние (из общего'!A:C,3,0) = "", A2591 &lt;&gt; ""), "ПРОВЕРИТЬ", VLOOKUP(A2591, 'Актуальное состояние (из общего'!A:C,3,0)), "")</f>
        <v/>
      </c>
      <c r="U2591" s="9" t="s">
        <v>13284</v>
      </c>
      <c r="V2591" s="9" t="s">
        <v>13284</v>
      </c>
      <c r="W2591" s="12"/>
      <c r="X2591" s="9" t="str">
        <f t="array" ref="X2591">IFERROR(INDEX('Адреса общежитий (скрытый)'!$B$2:$B$9, MATCH(W2591, 'Адреса общежитий (скрытый)'!$A$2:$A$9, 0)), "")</f>
        <v/>
      </c>
      <c r="Y2591" s="18"/>
      <c r="Z2591" s="18"/>
      <c r="AA2591" s="18"/>
      <c r="AB2591" s="18"/>
      <c r="AC2591" s="18"/>
    </row>
    <row r="2592" spans="1:29" ht="32.25" hidden="1" customHeight="1">
      <c r="A2592" s="17"/>
      <c r="B2592" s="9" t="s">
        <v>13284</v>
      </c>
      <c r="C2592" s="9" t="s">
        <v>13284</v>
      </c>
      <c r="D2592" s="9" t="s">
        <v>13284</v>
      </c>
      <c r="E2592" s="9" t="s">
        <v>13284</v>
      </c>
      <c r="F2592" s="9" t="s">
        <v>13284</v>
      </c>
      <c r="G2592" s="9" t="s">
        <v>13284</v>
      </c>
      <c r="H2592" s="9" t="s">
        <v>13284</v>
      </c>
      <c r="I2592" s="9" t="s">
        <v>13284</v>
      </c>
      <c r="J2592" s="9" t="s">
        <v>13284</v>
      </c>
      <c r="K2592" s="9" t="s">
        <v>13284</v>
      </c>
      <c r="L2592" s="9" t="s">
        <v>13284</v>
      </c>
      <c r="M2592" s="9" t="s">
        <v>13284</v>
      </c>
      <c r="N2592" s="9" t="s">
        <v>13284</v>
      </c>
      <c r="O2592" s="9" t="s">
        <v>13284</v>
      </c>
      <c r="P2592" s="9" t="s">
        <v>13284</v>
      </c>
      <c r="Q2592" s="9" t="s">
        <v>13284</v>
      </c>
      <c r="R2592" s="9" t="s">
        <v>13284</v>
      </c>
      <c r="S2592" s="9" t="s">
        <v>13284</v>
      </c>
      <c r="T2592" s="9" t="str">
        <f ca="1">IFERROR(IF(AND(VLOOKUP(A2592, 'Актуальное состояние (из общего'!A:C,3,0) = "", A2592 &lt;&gt; ""), "ПРОВЕРИТЬ", VLOOKUP(A2592, 'Актуальное состояние (из общего'!A:C,3,0)), "")</f>
        <v/>
      </c>
      <c r="U2592" s="9" t="s">
        <v>13284</v>
      </c>
      <c r="V2592" s="9" t="s">
        <v>13284</v>
      </c>
      <c r="W2592" s="12"/>
      <c r="X2592" s="9" t="str">
        <f t="array" ref="X2592">IFERROR(INDEX('Адреса общежитий (скрытый)'!$B$2:$B$9, MATCH(W2592, 'Адреса общежитий (скрытый)'!$A$2:$A$9, 0)), "")</f>
        <v/>
      </c>
      <c r="Y2592" s="18"/>
      <c r="Z2592" s="18"/>
      <c r="AA2592" s="18"/>
      <c r="AB2592" s="18"/>
      <c r="AC2592" s="18"/>
    </row>
    <row r="2593" spans="1:29" ht="32.25" hidden="1" customHeight="1">
      <c r="A2593" s="17"/>
      <c r="B2593" s="9" t="s">
        <v>13284</v>
      </c>
      <c r="C2593" s="9" t="s">
        <v>13284</v>
      </c>
      <c r="D2593" s="9" t="s">
        <v>13284</v>
      </c>
      <c r="E2593" s="9" t="s">
        <v>13284</v>
      </c>
      <c r="F2593" s="9" t="s">
        <v>13284</v>
      </c>
      <c r="G2593" s="9" t="s">
        <v>13284</v>
      </c>
      <c r="H2593" s="9" t="s">
        <v>13284</v>
      </c>
      <c r="I2593" s="9" t="s">
        <v>13284</v>
      </c>
      <c r="J2593" s="9" t="s">
        <v>13284</v>
      </c>
      <c r="K2593" s="9" t="s">
        <v>13284</v>
      </c>
      <c r="L2593" s="9" t="s">
        <v>13284</v>
      </c>
      <c r="M2593" s="9" t="s">
        <v>13284</v>
      </c>
      <c r="N2593" s="9" t="s">
        <v>13284</v>
      </c>
      <c r="O2593" s="9" t="s">
        <v>13284</v>
      </c>
      <c r="P2593" s="9" t="s">
        <v>13284</v>
      </c>
      <c r="Q2593" s="9" t="s">
        <v>13284</v>
      </c>
      <c r="R2593" s="9" t="s">
        <v>13284</v>
      </c>
      <c r="S2593" s="9" t="s">
        <v>13284</v>
      </c>
      <c r="T2593" s="9" t="str">
        <f ca="1">IFERROR(IF(AND(VLOOKUP(A2593, 'Актуальное состояние (из общего'!A:C,3,0) = "", A2593 &lt;&gt; ""), "ПРОВЕРИТЬ", VLOOKUP(A2593, 'Актуальное состояние (из общего'!A:C,3,0)), "")</f>
        <v/>
      </c>
      <c r="U2593" s="9" t="s">
        <v>13284</v>
      </c>
      <c r="V2593" s="9" t="s">
        <v>13284</v>
      </c>
      <c r="W2593" s="12"/>
      <c r="X2593" s="9" t="str">
        <f t="array" ref="X2593">IFERROR(INDEX('Адреса общежитий (скрытый)'!$B$2:$B$9, MATCH(W2593, 'Адреса общежитий (скрытый)'!$A$2:$A$9, 0)), "")</f>
        <v/>
      </c>
      <c r="Y2593" s="18"/>
      <c r="Z2593" s="18"/>
      <c r="AA2593" s="18"/>
      <c r="AB2593" s="18"/>
      <c r="AC2593" s="18"/>
    </row>
    <row r="2594" spans="1:29" ht="32.25" hidden="1" customHeight="1">
      <c r="A2594" s="17"/>
      <c r="B2594" s="9" t="s">
        <v>13284</v>
      </c>
      <c r="C2594" s="9" t="s">
        <v>13284</v>
      </c>
      <c r="D2594" s="9" t="s">
        <v>13284</v>
      </c>
      <c r="E2594" s="9" t="s">
        <v>13284</v>
      </c>
      <c r="F2594" s="9" t="s">
        <v>13284</v>
      </c>
      <c r="G2594" s="9" t="s">
        <v>13284</v>
      </c>
      <c r="H2594" s="9" t="s">
        <v>13284</v>
      </c>
      <c r="I2594" s="9" t="s">
        <v>13284</v>
      </c>
      <c r="J2594" s="9" t="s">
        <v>13284</v>
      </c>
      <c r="K2594" s="9" t="s">
        <v>13284</v>
      </c>
      <c r="L2594" s="9" t="s">
        <v>13284</v>
      </c>
      <c r="M2594" s="9" t="s">
        <v>13284</v>
      </c>
      <c r="N2594" s="9" t="s">
        <v>13284</v>
      </c>
      <c r="O2594" s="9" t="s">
        <v>13284</v>
      </c>
      <c r="P2594" s="9" t="s">
        <v>13284</v>
      </c>
      <c r="Q2594" s="9" t="s">
        <v>13284</v>
      </c>
      <c r="R2594" s="9" t="s">
        <v>13284</v>
      </c>
      <c r="S2594" s="9" t="s">
        <v>13284</v>
      </c>
      <c r="T2594" s="9" t="str">
        <f ca="1">IFERROR(IF(AND(VLOOKUP(A2594, 'Актуальное состояние (из общего'!A:C,3,0) = "", A2594 &lt;&gt; ""), "ПРОВЕРИТЬ", VLOOKUP(A2594, 'Актуальное состояние (из общего'!A:C,3,0)), "")</f>
        <v/>
      </c>
      <c r="U2594" s="9" t="s">
        <v>13284</v>
      </c>
      <c r="V2594" s="9" t="s">
        <v>13284</v>
      </c>
      <c r="W2594" s="12"/>
      <c r="X2594" s="9" t="str">
        <f t="array" ref="X2594">IFERROR(INDEX('Адреса общежитий (скрытый)'!$B$2:$B$9, MATCH(W2594, 'Адреса общежитий (скрытый)'!$A$2:$A$9, 0)), "")</f>
        <v/>
      </c>
      <c r="Y2594" s="18"/>
      <c r="Z2594" s="18"/>
      <c r="AA2594" s="18"/>
      <c r="AB2594" s="18"/>
      <c r="AC2594" s="18"/>
    </row>
    <row r="2595" spans="1:29" ht="32.25" hidden="1" customHeight="1">
      <c r="A2595" s="17"/>
      <c r="B2595" s="9" t="s">
        <v>13284</v>
      </c>
      <c r="C2595" s="9" t="s">
        <v>13284</v>
      </c>
      <c r="D2595" s="9" t="s">
        <v>13284</v>
      </c>
      <c r="E2595" s="9" t="s">
        <v>13284</v>
      </c>
      <c r="F2595" s="9" t="s">
        <v>13284</v>
      </c>
      <c r="G2595" s="9" t="s">
        <v>13284</v>
      </c>
      <c r="H2595" s="9" t="s">
        <v>13284</v>
      </c>
      <c r="I2595" s="9" t="s">
        <v>13284</v>
      </c>
      <c r="J2595" s="9" t="s">
        <v>13284</v>
      </c>
      <c r="K2595" s="9" t="s">
        <v>13284</v>
      </c>
      <c r="L2595" s="9" t="s">
        <v>13284</v>
      </c>
      <c r="M2595" s="9" t="s">
        <v>13284</v>
      </c>
      <c r="N2595" s="9" t="s">
        <v>13284</v>
      </c>
      <c r="O2595" s="9" t="s">
        <v>13284</v>
      </c>
      <c r="P2595" s="9" t="s">
        <v>13284</v>
      </c>
      <c r="Q2595" s="9" t="s">
        <v>13284</v>
      </c>
      <c r="R2595" s="9" t="s">
        <v>13284</v>
      </c>
      <c r="S2595" s="9" t="s">
        <v>13284</v>
      </c>
      <c r="T2595" s="9" t="str">
        <f ca="1">IFERROR(IF(AND(VLOOKUP(A2595, 'Актуальное состояние (из общего'!A:C,3,0) = "", A2595 &lt;&gt; ""), "ПРОВЕРИТЬ", VLOOKUP(A2595, 'Актуальное состояние (из общего'!A:C,3,0)), "")</f>
        <v/>
      </c>
      <c r="U2595" s="9" t="s">
        <v>13284</v>
      </c>
      <c r="V2595" s="9" t="s">
        <v>13284</v>
      </c>
      <c r="W2595" s="12"/>
      <c r="X2595" s="9" t="str">
        <f t="array" ref="X2595">IFERROR(INDEX('Адреса общежитий (скрытый)'!$B$2:$B$9, MATCH(W2595, 'Адреса общежитий (скрытый)'!$A$2:$A$9, 0)), "")</f>
        <v/>
      </c>
      <c r="Y2595" s="18"/>
      <c r="Z2595" s="18"/>
      <c r="AA2595" s="18"/>
      <c r="AB2595" s="18"/>
      <c r="AC2595" s="18"/>
    </row>
    <row r="2596" spans="1:29" ht="32.25" hidden="1" customHeight="1">
      <c r="A2596" s="17"/>
      <c r="B2596" s="9" t="s">
        <v>13284</v>
      </c>
      <c r="C2596" s="9" t="s">
        <v>13284</v>
      </c>
      <c r="D2596" s="9" t="s">
        <v>13284</v>
      </c>
      <c r="E2596" s="9" t="s">
        <v>13284</v>
      </c>
      <c r="F2596" s="9" t="s">
        <v>13284</v>
      </c>
      <c r="G2596" s="9" t="s">
        <v>13284</v>
      </c>
      <c r="H2596" s="9" t="s">
        <v>13284</v>
      </c>
      <c r="I2596" s="9" t="s">
        <v>13284</v>
      </c>
      <c r="J2596" s="9" t="s">
        <v>13284</v>
      </c>
      <c r="K2596" s="9" t="s">
        <v>13284</v>
      </c>
      <c r="L2596" s="9" t="s">
        <v>13284</v>
      </c>
      <c r="M2596" s="9" t="s">
        <v>13284</v>
      </c>
      <c r="N2596" s="9" t="s">
        <v>13284</v>
      </c>
      <c r="O2596" s="9" t="s">
        <v>13284</v>
      </c>
      <c r="P2596" s="9" t="s">
        <v>13284</v>
      </c>
      <c r="Q2596" s="9" t="s">
        <v>13284</v>
      </c>
      <c r="R2596" s="9" t="s">
        <v>13284</v>
      </c>
      <c r="S2596" s="9" t="s">
        <v>13284</v>
      </c>
      <c r="T2596" s="9" t="str">
        <f ca="1">IFERROR(IF(AND(VLOOKUP(A2596, 'Актуальное состояние (из общего'!A:C,3,0) = "", A2596 &lt;&gt; ""), "ПРОВЕРИТЬ", VLOOKUP(A2596, 'Актуальное состояние (из общего'!A:C,3,0)), "")</f>
        <v/>
      </c>
      <c r="U2596" s="9" t="s">
        <v>13284</v>
      </c>
      <c r="V2596" s="9" t="s">
        <v>13284</v>
      </c>
      <c r="W2596" s="12"/>
      <c r="X2596" s="9" t="str">
        <f t="array" ref="X2596">IFERROR(INDEX('Адреса общежитий (скрытый)'!$B$2:$B$9, MATCH(W2596, 'Адреса общежитий (скрытый)'!$A$2:$A$9, 0)), "")</f>
        <v/>
      </c>
      <c r="Y2596" s="18"/>
      <c r="Z2596" s="18"/>
      <c r="AA2596" s="18"/>
      <c r="AB2596" s="18"/>
      <c r="AC2596" s="18"/>
    </row>
    <row r="2597" spans="1:29" ht="32.25" hidden="1" customHeight="1">
      <c r="A2597" s="17"/>
      <c r="B2597" s="9" t="s">
        <v>13284</v>
      </c>
      <c r="C2597" s="9" t="s">
        <v>13284</v>
      </c>
      <c r="D2597" s="9" t="s">
        <v>13284</v>
      </c>
      <c r="E2597" s="9" t="s">
        <v>13284</v>
      </c>
      <c r="F2597" s="9" t="s">
        <v>13284</v>
      </c>
      <c r="G2597" s="9" t="s">
        <v>13284</v>
      </c>
      <c r="H2597" s="9" t="s">
        <v>13284</v>
      </c>
      <c r="I2597" s="9" t="s">
        <v>13284</v>
      </c>
      <c r="J2597" s="9" t="s">
        <v>13284</v>
      </c>
      <c r="K2597" s="9" t="s">
        <v>13284</v>
      </c>
      <c r="L2597" s="9" t="s">
        <v>13284</v>
      </c>
      <c r="M2597" s="9" t="s">
        <v>13284</v>
      </c>
      <c r="N2597" s="9" t="s">
        <v>13284</v>
      </c>
      <c r="O2597" s="9" t="s">
        <v>13284</v>
      </c>
      <c r="P2597" s="9" t="s">
        <v>13284</v>
      </c>
      <c r="Q2597" s="9" t="s">
        <v>13284</v>
      </c>
      <c r="R2597" s="9" t="s">
        <v>13284</v>
      </c>
      <c r="S2597" s="9" t="s">
        <v>13284</v>
      </c>
      <c r="T2597" s="9" t="str">
        <f ca="1">IFERROR(IF(AND(VLOOKUP(A2597, 'Актуальное состояние (из общего'!A:C,3,0) = "", A2597 &lt;&gt; ""), "ПРОВЕРИТЬ", VLOOKUP(A2597, 'Актуальное состояние (из общего'!A:C,3,0)), "")</f>
        <v/>
      </c>
      <c r="U2597" s="9" t="s">
        <v>13284</v>
      </c>
      <c r="V2597" s="9" t="s">
        <v>13284</v>
      </c>
      <c r="W2597" s="12"/>
      <c r="X2597" s="9" t="str">
        <f t="array" ref="X2597">IFERROR(INDEX('Адреса общежитий (скрытый)'!$B$2:$B$9, MATCH(W2597, 'Адреса общежитий (скрытый)'!$A$2:$A$9, 0)), "")</f>
        <v/>
      </c>
      <c r="Y2597" s="18"/>
      <c r="Z2597" s="18"/>
      <c r="AA2597" s="18"/>
      <c r="AB2597" s="18"/>
      <c r="AC2597" s="18"/>
    </row>
    <row r="2598" spans="1:29" ht="32.25" hidden="1" customHeight="1">
      <c r="A2598" s="17"/>
      <c r="B2598" s="9" t="s">
        <v>13284</v>
      </c>
      <c r="C2598" s="9" t="s">
        <v>13284</v>
      </c>
      <c r="D2598" s="9" t="s">
        <v>13284</v>
      </c>
      <c r="E2598" s="9" t="s">
        <v>13284</v>
      </c>
      <c r="F2598" s="9" t="s">
        <v>13284</v>
      </c>
      <c r="G2598" s="9" t="s">
        <v>13284</v>
      </c>
      <c r="H2598" s="9" t="s">
        <v>13284</v>
      </c>
      <c r="I2598" s="9" t="s">
        <v>13284</v>
      </c>
      <c r="J2598" s="9" t="s">
        <v>13284</v>
      </c>
      <c r="K2598" s="9" t="s">
        <v>13284</v>
      </c>
      <c r="L2598" s="9" t="s">
        <v>13284</v>
      </c>
      <c r="M2598" s="9" t="s">
        <v>13284</v>
      </c>
      <c r="N2598" s="9" t="s">
        <v>13284</v>
      </c>
      <c r="O2598" s="9" t="s">
        <v>13284</v>
      </c>
      <c r="P2598" s="9" t="s">
        <v>13284</v>
      </c>
      <c r="Q2598" s="9" t="s">
        <v>13284</v>
      </c>
      <c r="R2598" s="9" t="s">
        <v>13284</v>
      </c>
      <c r="S2598" s="9" t="s">
        <v>13284</v>
      </c>
      <c r="T2598" s="9" t="str">
        <f ca="1">IFERROR(IF(AND(VLOOKUP(A2598, 'Актуальное состояние (из общего'!A:C,3,0) = "", A2598 &lt;&gt; ""), "ПРОВЕРИТЬ", VLOOKUP(A2598, 'Актуальное состояние (из общего'!A:C,3,0)), "")</f>
        <v/>
      </c>
      <c r="U2598" s="9" t="s">
        <v>13284</v>
      </c>
      <c r="V2598" s="9" t="s">
        <v>13284</v>
      </c>
      <c r="W2598" s="12"/>
      <c r="X2598" s="9" t="str">
        <f t="array" ref="X2598">IFERROR(INDEX('Адреса общежитий (скрытый)'!$B$2:$B$9, MATCH(W2598, 'Адреса общежитий (скрытый)'!$A$2:$A$9, 0)), "")</f>
        <v/>
      </c>
      <c r="Y2598" s="18"/>
      <c r="Z2598" s="18"/>
      <c r="AA2598" s="18"/>
      <c r="AB2598" s="18"/>
      <c r="AC2598" s="18"/>
    </row>
    <row r="2599" spans="1:29" ht="32.25" hidden="1" customHeight="1">
      <c r="A2599" s="17"/>
      <c r="B2599" s="9" t="s">
        <v>13284</v>
      </c>
      <c r="C2599" s="9" t="s">
        <v>13284</v>
      </c>
      <c r="D2599" s="9" t="s">
        <v>13284</v>
      </c>
      <c r="E2599" s="9" t="s">
        <v>13284</v>
      </c>
      <c r="F2599" s="9" t="s">
        <v>13284</v>
      </c>
      <c r="G2599" s="9" t="s">
        <v>13284</v>
      </c>
      <c r="H2599" s="9" t="s">
        <v>13284</v>
      </c>
      <c r="I2599" s="9" t="s">
        <v>13284</v>
      </c>
      <c r="J2599" s="9" t="s">
        <v>13284</v>
      </c>
      <c r="K2599" s="9" t="s">
        <v>13284</v>
      </c>
      <c r="L2599" s="9" t="s">
        <v>13284</v>
      </c>
      <c r="M2599" s="9" t="s">
        <v>13284</v>
      </c>
      <c r="N2599" s="9" t="s">
        <v>13284</v>
      </c>
      <c r="O2599" s="9" t="s">
        <v>13284</v>
      </c>
      <c r="P2599" s="9" t="s">
        <v>13284</v>
      </c>
      <c r="Q2599" s="9" t="s">
        <v>13284</v>
      </c>
      <c r="R2599" s="9" t="s">
        <v>13284</v>
      </c>
      <c r="S2599" s="9" t="s">
        <v>13284</v>
      </c>
      <c r="T2599" s="9" t="str">
        <f ca="1">IFERROR(IF(AND(VLOOKUP(A2599, 'Актуальное состояние (из общего'!A:C,3,0) = "", A2599 &lt;&gt; ""), "ПРОВЕРИТЬ", VLOOKUP(A2599, 'Актуальное состояние (из общего'!A:C,3,0)), "")</f>
        <v/>
      </c>
      <c r="U2599" s="9" t="s">
        <v>13284</v>
      </c>
      <c r="V2599" s="9" t="s">
        <v>13284</v>
      </c>
      <c r="W2599" s="12"/>
      <c r="X2599" s="9" t="str">
        <f t="array" ref="X2599">IFERROR(INDEX('Адреса общежитий (скрытый)'!$B$2:$B$9, MATCH(W2599, 'Адреса общежитий (скрытый)'!$A$2:$A$9, 0)), "")</f>
        <v/>
      </c>
      <c r="Y2599" s="18"/>
      <c r="Z2599" s="18"/>
      <c r="AA2599" s="18"/>
      <c r="AB2599" s="18"/>
      <c r="AC2599" s="18"/>
    </row>
    <row r="2600" spans="1:29" ht="32.25" hidden="1" customHeight="1">
      <c r="A2600" s="17"/>
      <c r="B2600" s="9" t="s">
        <v>13284</v>
      </c>
      <c r="C2600" s="9" t="s">
        <v>13284</v>
      </c>
      <c r="D2600" s="9" t="s">
        <v>13284</v>
      </c>
      <c r="E2600" s="9" t="s">
        <v>13284</v>
      </c>
      <c r="F2600" s="9" t="s">
        <v>13284</v>
      </c>
      <c r="G2600" s="9" t="s">
        <v>13284</v>
      </c>
      <c r="H2600" s="9" t="s">
        <v>13284</v>
      </c>
      <c r="I2600" s="9" t="s">
        <v>13284</v>
      </c>
      <c r="J2600" s="9" t="s">
        <v>13284</v>
      </c>
      <c r="K2600" s="9" t="s">
        <v>13284</v>
      </c>
      <c r="L2600" s="9" t="s">
        <v>13284</v>
      </c>
      <c r="M2600" s="9" t="s">
        <v>13284</v>
      </c>
      <c r="N2600" s="9" t="s">
        <v>13284</v>
      </c>
      <c r="O2600" s="9" t="s">
        <v>13284</v>
      </c>
      <c r="P2600" s="9" t="s">
        <v>13284</v>
      </c>
      <c r="Q2600" s="9" t="s">
        <v>13284</v>
      </c>
      <c r="R2600" s="9" t="s">
        <v>13284</v>
      </c>
      <c r="S2600" s="9" t="s">
        <v>13284</v>
      </c>
      <c r="T2600" s="9" t="str">
        <f ca="1">IFERROR(IF(AND(VLOOKUP(A2600, 'Актуальное состояние (из общего'!A:C,3,0) = "", A2600 &lt;&gt; ""), "ПРОВЕРИТЬ", VLOOKUP(A2600, 'Актуальное состояние (из общего'!A:C,3,0)), "")</f>
        <v/>
      </c>
      <c r="U2600" s="9" t="s">
        <v>13284</v>
      </c>
      <c r="V2600" s="9" t="s">
        <v>13284</v>
      </c>
      <c r="W2600" s="12"/>
      <c r="X2600" s="9" t="str">
        <f t="array" ref="X2600">IFERROR(INDEX('Адреса общежитий (скрытый)'!$B$2:$B$9, MATCH(W2600, 'Адреса общежитий (скрытый)'!$A$2:$A$9, 0)), "")</f>
        <v/>
      </c>
      <c r="Y2600" s="18"/>
      <c r="Z2600" s="18"/>
      <c r="AA2600" s="18"/>
      <c r="AB2600" s="18"/>
      <c r="AC2600" s="18"/>
    </row>
    <row r="2601" spans="1:29" ht="32.25" hidden="1" customHeight="1">
      <c r="A2601" s="17"/>
      <c r="B2601" s="9" t="s">
        <v>13284</v>
      </c>
      <c r="C2601" s="9" t="s">
        <v>13284</v>
      </c>
      <c r="D2601" s="9" t="s">
        <v>13284</v>
      </c>
      <c r="E2601" s="9" t="s">
        <v>13284</v>
      </c>
      <c r="F2601" s="9" t="s">
        <v>13284</v>
      </c>
      <c r="G2601" s="9" t="s">
        <v>13284</v>
      </c>
      <c r="H2601" s="9" t="s">
        <v>13284</v>
      </c>
      <c r="I2601" s="9" t="s">
        <v>13284</v>
      </c>
      <c r="J2601" s="9" t="s">
        <v>13284</v>
      </c>
      <c r="K2601" s="9" t="s">
        <v>13284</v>
      </c>
      <c r="L2601" s="9" t="s">
        <v>13284</v>
      </c>
      <c r="M2601" s="9" t="s">
        <v>13284</v>
      </c>
      <c r="N2601" s="9" t="s">
        <v>13284</v>
      </c>
      <c r="O2601" s="9" t="s">
        <v>13284</v>
      </c>
      <c r="P2601" s="9" t="s">
        <v>13284</v>
      </c>
      <c r="Q2601" s="9" t="s">
        <v>13284</v>
      </c>
      <c r="R2601" s="9" t="s">
        <v>13284</v>
      </c>
      <c r="S2601" s="9" t="s">
        <v>13284</v>
      </c>
      <c r="T2601" s="9" t="str">
        <f ca="1">IFERROR(IF(AND(VLOOKUP(A2601, 'Актуальное состояние (из общего'!A:C,3,0) = "", A2601 &lt;&gt; ""), "ПРОВЕРИТЬ", VLOOKUP(A2601, 'Актуальное состояние (из общего'!A:C,3,0)), "")</f>
        <v/>
      </c>
      <c r="U2601" s="9" t="s">
        <v>13284</v>
      </c>
      <c r="V2601" s="9" t="s">
        <v>13284</v>
      </c>
      <c r="W2601" s="12"/>
      <c r="X2601" s="9" t="str">
        <f t="array" ref="X2601">IFERROR(INDEX('Адреса общежитий (скрытый)'!$B$2:$B$9, MATCH(W2601, 'Адреса общежитий (скрытый)'!$A$2:$A$9, 0)), "")</f>
        <v/>
      </c>
      <c r="Y2601" s="18"/>
      <c r="Z2601" s="18"/>
      <c r="AA2601" s="18"/>
      <c r="AB2601" s="18"/>
      <c r="AC2601" s="18"/>
    </row>
    <row r="2602" spans="1:29" ht="32.25" hidden="1" customHeight="1">
      <c r="A2602" s="17"/>
      <c r="B2602" s="9" t="s">
        <v>13284</v>
      </c>
      <c r="C2602" s="9" t="s">
        <v>13284</v>
      </c>
      <c r="D2602" s="9" t="s">
        <v>13284</v>
      </c>
      <c r="E2602" s="9" t="s">
        <v>13284</v>
      </c>
      <c r="F2602" s="9" t="s">
        <v>13284</v>
      </c>
      <c r="G2602" s="9" t="s">
        <v>13284</v>
      </c>
      <c r="H2602" s="9" t="s">
        <v>13284</v>
      </c>
      <c r="I2602" s="9" t="s">
        <v>13284</v>
      </c>
      <c r="J2602" s="9" t="s">
        <v>13284</v>
      </c>
      <c r="K2602" s="9" t="s">
        <v>13284</v>
      </c>
      <c r="L2602" s="9" t="s">
        <v>13284</v>
      </c>
      <c r="M2602" s="9" t="s">
        <v>13284</v>
      </c>
      <c r="N2602" s="9" t="s">
        <v>13284</v>
      </c>
      <c r="O2602" s="9" t="s">
        <v>13284</v>
      </c>
      <c r="P2602" s="9" t="s">
        <v>13284</v>
      </c>
      <c r="Q2602" s="9" t="s">
        <v>13284</v>
      </c>
      <c r="R2602" s="9" t="s">
        <v>13284</v>
      </c>
      <c r="S2602" s="9" t="s">
        <v>13284</v>
      </c>
      <c r="T2602" s="9" t="str">
        <f ca="1">IFERROR(IF(AND(VLOOKUP(A2602, 'Актуальное состояние (из общего'!A:C,3,0) = "", A2602 &lt;&gt; ""), "ПРОВЕРИТЬ", VLOOKUP(A2602, 'Актуальное состояние (из общего'!A:C,3,0)), "")</f>
        <v/>
      </c>
      <c r="U2602" s="9" t="s">
        <v>13284</v>
      </c>
      <c r="V2602" s="9" t="s">
        <v>13284</v>
      </c>
      <c r="W2602" s="12"/>
      <c r="X2602" s="9" t="str">
        <f t="array" ref="X2602">IFERROR(INDEX('Адреса общежитий (скрытый)'!$B$2:$B$9, MATCH(W2602, 'Адреса общежитий (скрытый)'!$A$2:$A$9, 0)), "")</f>
        <v/>
      </c>
      <c r="Y2602" s="18"/>
      <c r="Z2602" s="18"/>
      <c r="AA2602" s="18"/>
      <c r="AB2602" s="18"/>
      <c r="AC2602" s="18"/>
    </row>
    <row r="2603" spans="1:29" ht="32.25" hidden="1" customHeight="1">
      <c r="A2603" s="17"/>
      <c r="B2603" s="9" t="s">
        <v>13284</v>
      </c>
      <c r="C2603" s="9" t="s">
        <v>13284</v>
      </c>
      <c r="D2603" s="9" t="s">
        <v>13284</v>
      </c>
      <c r="E2603" s="9" t="s">
        <v>13284</v>
      </c>
      <c r="F2603" s="9" t="s">
        <v>13284</v>
      </c>
      <c r="G2603" s="9" t="s">
        <v>13284</v>
      </c>
      <c r="H2603" s="9" t="s">
        <v>13284</v>
      </c>
      <c r="I2603" s="9" t="s">
        <v>13284</v>
      </c>
      <c r="J2603" s="9" t="s">
        <v>13284</v>
      </c>
      <c r="K2603" s="9" t="s">
        <v>13284</v>
      </c>
      <c r="L2603" s="9" t="s">
        <v>13284</v>
      </c>
      <c r="M2603" s="9" t="s">
        <v>13284</v>
      </c>
      <c r="N2603" s="9" t="s">
        <v>13284</v>
      </c>
      <c r="O2603" s="9" t="s">
        <v>13284</v>
      </c>
      <c r="P2603" s="9" t="s">
        <v>13284</v>
      </c>
      <c r="Q2603" s="9" t="s">
        <v>13284</v>
      </c>
      <c r="R2603" s="9" t="s">
        <v>13284</v>
      </c>
      <c r="S2603" s="9" t="s">
        <v>13284</v>
      </c>
      <c r="T2603" s="9" t="str">
        <f ca="1">IFERROR(IF(AND(VLOOKUP(A2603, 'Актуальное состояние (из общего'!A:C,3,0) = "", A2603 &lt;&gt; ""), "ПРОВЕРИТЬ", VLOOKUP(A2603, 'Актуальное состояние (из общего'!A:C,3,0)), "")</f>
        <v/>
      </c>
      <c r="U2603" s="9" t="s">
        <v>13284</v>
      </c>
      <c r="V2603" s="9" t="s">
        <v>13284</v>
      </c>
      <c r="W2603" s="12"/>
      <c r="X2603" s="9" t="str">
        <f t="array" ref="X2603">IFERROR(INDEX('Адреса общежитий (скрытый)'!$B$2:$B$9, MATCH(W2603, 'Адреса общежитий (скрытый)'!$A$2:$A$9, 0)), "")</f>
        <v/>
      </c>
      <c r="Y2603" s="18"/>
      <c r="Z2603" s="18"/>
      <c r="AA2603" s="18"/>
      <c r="AB2603" s="18"/>
      <c r="AC2603" s="18"/>
    </row>
    <row r="2604" spans="1:29" ht="32.25" hidden="1" customHeight="1">
      <c r="A2604" s="17"/>
      <c r="B2604" s="9" t="s">
        <v>13284</v>
      </c>
      <c r="C2604" s="9" t="s">
        <v>13284</v>
      </c>
      <c r="D2604" s="9" t="s">
        <v>13284</v>
      </c>
      <c r="E2604" s="9" t="s">
        <v>13284</v>
      </c>
      <c r="F2604" s="9" t="s">
        <v>13284</v>
      </c>
      <c r="G2604" s="9" t="s">
        <v>13284</v>
      </c>
      <c r="H2604" s="9" t="s">
        <v>13284</v>
      </c>
      <c r="I2604" s="9" t="s">
        <v>13284</v>
      </c>
      <c r="J2604" s="9" t="s">
        <v>13284</v>
      </c>
      <c r="K2604" s="9" t="s">
        <v>13284</v>
      </c>
      <c r="L2604" s="9" t="s">
        <v>13284</v>
      </c>
      <c r="M2604" s="9" t="s">
        <v>13284</v>
      </c>
      <c r="N2604" s="9" t="s">
        <v>13284</v>
      </c>
      <c r="O2604" s="9" t="s">
        <v>13284</v>
      </c>
      <c r="P2604" s="9" t="s">
        <v>13284</v>
      </c>
      <c r="Q2604" s="9" t="s">
        <v>13284</v>
      </c>
      <c r="R2604" s="9" t="s">
        <v>13284</v>
      </c>
      <c r="S2604" s="9" t="s">
        <v>13284</v>
      </c>
      <c r="T2604" s="9" t="str">
        <f ca="1">IFERROR(IF(AND(VLOOKUP(A2604, 'Актуальное состояние (из общего'!A:C,3,0) = "", A2604 &lt;&gt; ""), "ПРОВЕРИТЬ", VLOOKUP(A2604, 'Актуальное состояние (из общего'!A:C,3,0)), "")</f>
        <v/>
      </c>
      <c r="U2604" s="9" t="s">
        <v>13284</v>
      </c>
      <c r="V2604" s="9" t="s">
        <v>13284</v>
      </c>
      <c r="W2604" s="12"/>
      <c r="X2604" s="9" t="str">
        <f t="array" ref="X2604">IFERROR(INDEX('Адреса общежитий (скрытый)'!$B$2:$B$9, MATCH(W2604, 'Адреса общежитий (скрытый)'!$A$2:$A$9, 0)), "")</f>
        <v/>
      </c>
      <c r="Y2604" s="18"/>
      <c r="Z2604" s="18"/>
      <c r="AA2604" s="18"/>
      <c r="AB2604" s="18"/>
      <c r="AC2604" s="18"/>
    </row>
    <row r="2605" spans="1:29" ht="32.25" hidden="1" customHeight="1">
      <c r="A2605" s="17"/>
      <c r="B2605" s="9" t="s">
        <v>13284</v>
      </c>
      <c r="C2605" s="9" t="s">
        <v>13284</v>
      </c>
      <c r="D2605" s="9" t="s">
        <v>13284</v>
      </c>
      <c r="E2605" s="9" t="s">
        <v>13284</v>
      </c>
      <c r="F2605" s="9" t="s">
        <v>13284</v>
      </c>
      <c r="G2605" s="9" t="s">
        <v>13284</v>
      </c>
      <c r="H2605" s="9" t="s">
        <v>13284</v>
      </c>
      <c r="I2605" s="9" t="s">
        <v>13284</v>
      </c>
      <c r="J2605" s="9" t="s">
        <v>13284</v>
      </c>
      <c r="K2605" s="9" t="s">
        <v>13284</v>
      </c>
      <c r="L2605" s="9" t="s">
        <v>13284</v>
      </c>
      <c r="M2605" s="9" t="s">
        <v>13284</v>
      </c>
      <c r="N2605" s="9" t="s">
        <v>13284</v>
      </c>
      <c r="O2605" s="9" t="s">
        <v>13284</v>
      </c>
      <c r="P2605" s="9" t="s">
        <v>13284</v>
      </c>
      <c r="Q2605" s="9" t="s">
        <v>13284</v>
      </c>
      <c r="R2605" s="9" t="s">
        <v>13284</v>
      </c>
      <c r="S2605" s="9" t="s">
        <v>13284</v>
      </c>
      <c r="T2605" s="9" t="str">
        <f ca="1">IFERROR(IF(AND(VLOOKUP(A2605, 'Актуальное состояние (из общего'!A:C,3,0) = "", A2605 &lt;&gt; ""), "ПРОВЕРИТЬ", VLOOKUP(A2605, 'Актуальное состояние (из общего'!A:C,3,0)), "")</f>
        <v/>
      </c>
      <c r="U2605" s="9" t="s">
        <v>13284</v>
      </c>
      <c r="V2605" s="9" t="s">
        <v>13284</v>
      </c>
      <c r="W2605" s="12"/>
      <c r="X2605" s="9" t="str">
        <f t="array" ref="X2605">IFERROR(INDEX('Адреса общежитий (скрытый)'!$B$2:$B$9, MATCH(W2605, 'Адреса общежитий (скрытый)'!$A$2:$A$9, 0)), "")</f>
        <v/>
      </c>
      <c r="Y2605" s="18"/>
      <c r="Z2605" s="18"/>
      <c r="AA2605" s="18"/>
      <c r="AB2605" s="18"/>
      <c r="AC2605" s="18"/>
    </row>
    <row r="2606" spans="1:29" ht="32.25" hidden="1" customHeight="1">
      <c r="A2606" s="17"/>
      <c r="B2606" s="9" t="s">
        <v>13284</v>
      </c>
      <c r="C2606" s="9" t="s">
        <v>13284</v>
      </c>
      <c r="D2606" s="9" t="s">
        <v>13284</v>
      </c>
      <c r="E2606" s="9" t="s">
        <v>13284</v>
      </c>
      <c r="F2606" s="9" t="s">
        <v>13284</v>
      </c>
      <c r="G2606" s="9" t="s">
        <v>13284</v>
      </c>
      <c r="H2606" s="9" t="s">
        <v>13284</v>
      </c>
      <c r="I2606" s="9" t="s">
        <v>13284</v>
      </c>
      <c r="J2606" s="9" t="s">
        <v>13284</v>
      </c>
      <c r="K2606" s="9" t="s">
        <v>13284</v>
      </c>
      <c r="L2606" s="9" t="s">
        <v>13284</v>
      </c>
      <c r="M2606" s="9" t="s">
        <v>13284</v>
      </c>
      <c r="N2606" s="9" t="s">
        <v>13284</v>
      </c>
      <c r="O2606" s="9" t="s">
        <v>13284</v>
      </c>
      <c r="P2606" s="9" t="s">
        <v>13284</v>
      </c>
      <c r="Q2606" s="9" t="s">
        <v>13284</v>
      </c>
      <c r="R2606" s="9" t="s">
        <v>13284</v>
      </c>
      <c r="S2606" s="9" t="s">
        <v>13284</v>
      </c>
      <c r="T2606" s="9" t="str">
        <f ca="1">IFERROR(IF(AND(VLOOKUP(A2606, 'Актуальное состояние (из общего'!A:C,3,0) = "", A2606 &lt;&gt; ""), "ПРОВЕРИТЬ", VLOOKUP(A2606, 'Актуальное состояние (из общего'!A:C,3,0)), "")</f>
        <v/>
      </c>
      <c r="U2606" s="9" t="s">
        <v>13284</v>
      </c>
      <c r="V2606" s="9" t="s">
        <v>13284</v>
      </c>
      <c r="W2606" s="12"/>
      <c r="X2606" s="9" t="str">
        <f t="array" ref="X2606">IFERROR(INDEX('Адреса общежитий (скрытый)'!$B$2:$B$9, MATCH(W2606, 'Адреса общежитий (скрытый)'!$A$2:$A$9, 0)), "")</f>
        <v/>
      </c>
      <c r="Y2606" s="18"/>
      <c r="Z2606" s="18"/>
      <c r="AA2606" s="18"/>
      <c r="AB2606" s="18"/>
      <c r="AC2606" s="18"/>
    </row>
    <row r="2607" spans="1:29" ht="32.25" hidden="1" customHeight="1">
      <c r="A2607" s="17"/>
      <c r="B2607" s="9" t="s">
        <v>13284</v>
      </c>
      <c r="C2607" s="9" t="s">
        <v>13284</v>
      </c>
      <c r="D2607" s="9" t="s">
        <v>13284</v>
      </c>
      <c r="E2607" s="9" t="s">
        <v>13284</v>
      </c>
      <c r="F2607" s="9" t="s">
        <v>13284</v>
      </c>
      <c r="G2607" s="9" t="s">
        <v>13284</v>
      </c>
      <c r="H2607" s="9" t="s">
        <v>13284</v>
      </c>
      <c r="I2607" s="9" t="s">
        <v>13284</v>
      </c>
      <c r="J2607" s="9" t="s">
        <v>13284</v>
      </c>
      <c r="K2607" s="9" t="s">
        <v>13284</v>
      </c>
      <c r="L2607" s="9" t="s">
        <v>13284</v>
      </c>
      <c r="M2607" s="9" t="s">
        <v>13284</v>
      </c>
      <c r="N2607" s="9" t="s">
        <v>13284</v>
      </c>
      <c r="O2607" s="9" t="s">
        <v>13284</v>
      </c>
      <c r="P2607" s="9" t="s">
        <v>13284</v>
      </c>
      <c r="Q2607" s="9" t="s">
        <v>13284</v>
      </c>
      <c r="R2607" s="9" t="s">
        <v>13284</v>
      </c>
      <c r="S2607" s="9" t="s">
        <v>13284</v>
      </c>
      <c r="T2607" s="9" t="str">
        <f ca="1">IFERROR(IF(AND(VLOOKUP(A2607, 'Актуальное состояние (из общего'!A:C,3,0) = "", A2607 &lt;&gt; ""), "ПРОВЕРИТЬ", VLOOKUP(A2607, 'Актуальное состояние (из общего'!A:C,3,0)), "")</f>
        <v/>
      </c>
      <c r="U2607" s="9" t="s">
        <v>13284</v>
      </c>
      <c r="V2607" s="9" t="s">
        <v>13284</v>
      </c>
      <c r="W2607" s="12"/>
      <c r="X2607" s="9" t="str">
        <f t="array" ref="X2607">IFERROR(INDEX('Адреса общежитий (скрытый)'!$B$2:$B$9, MATCH(W2607, 'Адреса общежитий (скрытый)'!$A$2:$A$9, 0)), "")</f>
        <v/>
      </c>
      <c r="Y2607" s="18"/>
      <c r="Z2607" s="18"/>
      <c r="AA2607" s="18"/>
      <c r="AB2607" s="18"/>
      <c r="AC2607" s="18"/>
    </row>
    <row r="2608" spans="1:29" ht="32.25" hidden="1" customHeight="1">
      <c r="A2608" s="17"/>
      <c r="B2608" s="9" t="s">
        <v>13284</v>
      </c>
      <c r="C2608" s="9" t="s">
        <v>13284</v>
      </c>
      <c r="D2608" s="9" t="s">
        <v>13284</v>
      </c>
      <c r="E2608" s="9" t="s">
        <v>13284</v>
      </c>
      <c r="F2608" s="9" t="s">
        <v>13284</v>
      </c>
      <c r="G2608" s="9" t="s">
        <v>13284</v>
      </c>
      <c r="H2608" s="9" t="s">
        <v>13284</v>
      </c>
      <c r="I2608" s="9" t="s">
        <v>13284</v>
      </c>
      <c r="J2608" s="9" t="s">
        <v>13284</v>
      </c>
      <c r="K2608" s="9" t="s">
        <v>13284</v>
      </c>
      <c r="L2608" s="9" t="s">
        <v>13284</v>
      </c>
      <c r="M2608" s="9" t="s">
        <v>13284</v>
      </c>
      <c r="N2608" s="9" t="s">
        <v>13284</v>
      </c>
      <c r="O2608" s="9" t="s">
        <v>13284</v>
      </c>
      <c r="P2608" s="9" t="s">
        <v>13284</v>
      </c>
      <c r="Q2608" s="9" t="s">
        <v>13284</v>
      </c>
      <c r="R2608" s="9" t="s">
        <v>13284</v>
      </c>
      <c r="S2608" s="9" t="s">
        <v>13284</v>
      </c>
      <c r="T2608" s="9" t="str">
        <f ca="1">IFERROR(IF(AND(VLOOKUP(A2608, 'Актуальное состояние (из общего'!A:C,3,0) = "", A2608 &lt;&gt; ""), "ПРОВЕРИТЬ", VLOOKUP(A2608, 'Актуальное состояние (из общего'!A:C,3,0)), "")</f>
        <v/>
      </c>
      <c r="U2608" s="9" t="s">
        <v>13284</v>
      </c>
      <c r="V2608" s="9" t="s">
        <v>13284</v>
      </c>
      <c r="W2608" s="12"/>
      <c r="X2608" s="9" t="str">
        <f t="array" ref="X2608">IFERROR(INDEX('Адреса общежитий (скрытый)'!$B$2:$B$9, MATCH(W2608, 'Адреса общежитий (скрытый)'!$A$2:$A$9, 0)), "")</f>
        <v/>
      </c>
      <c r="Y2608" s="18"/>
      <c r="Z2608" s="18"/>
      <c r="AA2608" s="18"/>
      <c r="AB2608" s="18"/>
      <c r="AC2608" s="18"/>
    </row>
    <row r="2609" spans="1:29" ht="32.25" hidden="1" customHeight="1">
      <c r="A2609" s="17"/>
      <c r="B2609" s="9" t="s">
        <v>13284</v>
      </c>
      <c r="C2609" s="9" t="s">
        <v>13284</v>
      </c>
      <c r="D2609" s="9" t="s">
        <v>13284</v>
      </c>
      <c r="E2609" s="9" t="s">
        <v>13284</v>
      </c>
      <c r="F2609" s="9" t="s">
        <v>13284</v>
      </c>
      <c r="G2609" s="9" t="s">
        <v>13284</v>
      </c>
      <c r="H2609" s="9" t="s">
        <v>13284</v>
      </c>
      <c r="I2609" s="9" t="s">
        <v>13284</v>
      </c>
      <c r="J2609" s="9" t="s">
        <v>13284</v>
      </c>
      <c r="K2609" s="9" t="s">
        <v>13284</v>
      </c>
      <c r="L2609" s="9" t="s">
        <v>13284</v>
      </c>
      <c r="M2609" s="9" t="s">
        <v>13284</v>
      </c>
      <c r="N2609" s="9" t="s">
        <v>13284</v>
      </c>
      <c r="O2609" s="9" t="s">
        <v>13284</v>
      </c>
      <c r="P2609" s="9" t="s">
        <v>13284</v>
      </c>
      <c r="Q2609" s="9" t="s">
        <v>13284</v>
      </c>
      <c r="R2609" s="9" t="s">
        <v>13284</v>
      </c>
      <c r="S2609" s="9" t="s">
        <v>13284</v>
      </c>
      <c r="T2609" s="9" t="str">
        <f ca="1">IFERROR(IF(AND(VLOOKUP(A2609, 'Актуальное состояние (из общего'!A:C,3,0) = "", A2609 &lt;&gt; ""), "ПРОВЕРИТЬ", VLOOKUP(A2609, 'Актуальное состояние (из общего'!A:C,3,0)), "")</f>
        <v/>
      </c>
      <c r="U2609" s="9" t="s">
        <v>13284</v>
      </c>
      <c r="V2609" s="9" t="s">
        <v>13284</v>
      </c>
      <c r="W2609" s="12"/>
      <c r="X2609" s="9" t="str">
        <f t="array" ref="X2609">IFERROR(INDEX('Адреса общежитий (скрытый)'!$B$2:$B$9, MATCH(W2609, 'Адреса общежитий (скрытый)'!$A$2:$A$9, 0)), "")</f>
        <v/>
      </c>
      <c r="Y2609" s="18"/>
      <c r="Z2609" s="18"/>
      <c r="AA2609" s="18"/>
      <c r="AB2609" s="18"/>
      <c r="AC2609" s="18"/>
    </row>
    <row r="2610" spans="1:29" ht="32.25" hidden="1" customHeight="1">
      <c r="A2610" s="17"/>
      <c r="B2610" s="9" t="s">
        <v>13284</v>
      </c>
      <c r="C2610" s="9" t="s">
        <v>13284</v>
      </c>
      <c r="D2610" s="9" t="s">
        <v>13284</v>
      </c>
      <c r="E2610" s="9" t="s">
        <v>13284</v>
      </c>
      <c r="F2610" s="9" t="s">
        <v>13284</v>
      </c>
      <c r="G2610" s="9" t="s">
        <v>13284</v>
      </c>
      <c r="H2610" s="9" t="s">
        <v>13284</v>
      </c>
      <c r="I2610" s="9" t="s">
        <v>13284</v>
      </c>
      <c r="J2610" s="9" t="s">
        <v>13284</v>
      </c>
      <c r="K2610" s="9" t="s">
        <v>13284</v>
      </c>
      <c r="L2610" s="9" t="s">
        <v>13284</v>
      </c>
      <c r="M2610" s="9" t="s">
        <v>13284</v>
      </c>
      <c r="N2610" s="9" t="s">
        <v>13284</v>
      </c>
      <c r="O2610" s="9" t="s">
        <v>13284</v>
      </c>
      <c r="P2610" s="9" t="s">
        <v>13284</v>
      </c>
      <c r="Q2610" s="9" t="s">
        <v>13284</v>
      </c>
      <c r="R2610" s="9" t="s">
        <v>13284</v>
      </c>
      <c r="S2610" s="9" t="s">
        <v>13284</v>
      </c>
      <c r="T2610" s="9" t="str">
        <f ca="1">IFERROR(IF(AND(VLOOKUP(A2610, 'Актуальное состояние (из общего'!A:C,3,0) = "", A2610 &lt;&gt; ""), "ПРОВЕРИТЬ", VLOOKUP(A2610, 'Актуальное состояние (из общего'!A:C,3,0)), "")</f>
        <v/>
      </c>
      <c r="U2610" s="9" t="s">
        <v>13284</v>
      </c>
      <c r="V2610" s="9" t="s">
        <v>13284</v>
      </c>
      <c r="W2610" s="12"/>
      <c r="X2610" s="9" t="str">
        <f t="array" ref="X2610">IFERROR(INDEX('Адреса общежитий (скрытый)'!$B$2:$B$9, MATCH(W2610, 'Адреса общежитий (скрытый)'!$A$2:$A$9, 0)), "")</f>
        <v/>
      </c>
      <c r="Y2610" s="18"/>
      <c r="Z2610" s="18"/>
      <c r="AA2610" s="18"/>
      <c r="AB2610" s="18"/>
      <c r="AC2610" s="18"/>
    </row>
    <row r="2611" spans="1:29" ht="32.25" hidden="1" customHeight="1">
      <c r="A2611" s="17"/>
      <c r="B2611" s="9" t="s">
        <v>13284</v>
      </c>
      <c r="C2611" s="9" t="s">
        <v>13284</v>
      </c>
      <c r="D2611" s="9" t="s">
        <v>13284</v>
      </c>
      <c r="E2611" s="9" t="s">
        <v>13284</v>
      </c>
      <c r="F2611" s="9" t="s">
        <v>13284</v>
      </c>
      <c r="G2611" s="9" t="s">
        <v>13284</v>
      </c>
      <c r="H2611" s="9" t="s">
        <v>13284</v>
      </c>
      <c r="I2611" s="9" t="s">
        <v>13284</v>
      </c>
      <c r="J2611" s="9" t="s">
        <v>13284</v>
      </c>
      <c r="K2611" s="9" t="s">
        <v>13284</v>
      </c>
      <c r="L2611" s="9" t="s">
        <v>13284</v>
      </c>
      <c r="M2611" s="9" t="s">
        <v>13284</v>
      </c>
      <c r="N2611" s="9" t="s">
        <v>13284</v>
      </c>
      <c r="O2611" s="9" t="s">
        <v>13284</v>
      </c>
      <c r="P2611" s="9" t="s">
        <v>13284</v>
      </c>
      <c r="Q2611" s="9" t="s">
        <v>13284</v>
      </c>
      <c r="R2611" s="9" t="s">
        <v>13284</v>
      </c>
      <c r="S2611" s="9" t="s">
        <v>13284</v>
      </c>
      <c r="T2611" s="9" t="str">
        <f ca="1">IFERROR(IF(AND(VLOOKUP(A2611, 'Актуальное состояние (из общего'!A:C,3,0) = "", A2611 &lt;&gt; ""), "ПРОВЕРИТЬ", VLOOKUP(A2611, 'Актуальное состояние (из общего'!A:C,3,0)), "")</f>
        <v/>
      </c>
      <c r="U2611" s="9" t="s">
        <v>13284</v>
      </c>
      <c r="V2611" s="9" t="s">
        <v>13284</v>
      </c>
      <c r="W2611" s="12"/>
      <c r="X2611" s="9" t="str">
        <f t="array" ref="X2611">IFERROR(INDEX('Адреса общежитий (скрытый)'!$B$2:$B$9, MATCH(W2611, 'Адреса общежитий (скрытый)'!$A$2:$A$9, 0)), "")</f>
        <v/>
      </c>
      <c r="Y2611" s="18"/>
      <c r="Z2611" s="18"/>
      <c r="AA2611" s="18"/>
      <c r="AB2611" s="18"/>
      <c r="AC2611" s="18"/>
    </row>
    <row r="2612" spans="1:29" ht="32.25" hidden="1" customHeight="1">
      <c r="A2612" s="17"/>
      <c r="B2612" s="9" t="s">
        <v>13284</v>
      </c>
      <c r="C2612" s="9" t="s">
        <v>13284</v>
      </c>
      <c r="D2612" s="9" t="s">
        <v>13284</v>
      </c>
      <c r="E2612" s="9" t="s">
        <v>13284</v>
      </c>
      <c r="F2612" s="9" t="s">
        <v>13284</v>
      </c>
      <c r="G2612" s="9" t="s">
        <v>13284</v>
      </c>
      <c r="H2612" s="9" t="s">
        <v>13284</v>
      </c>
      <c r="I2612" s="9" t="s">
        <v>13284</v>
      </c>
      <c r="J2612" s="9" t="s">
        <v>13284</v>
      </c>
      <c r="K2612" s="9" t="s">
        <v>13284</v>
      </c>
      <c r="L2612" s="9" t="s">
        <v>13284</v>
      </c>
      <c r="M2612" s="9" t="s">
        <v>13284</v>
      </c>
      <c r="N2612" s="9" t="s">
        <v>13284</v>
      </c>
      <c r="O2612" s="9" t="s">
        <v>13284</v>
      </c>
      <c r="P2612" s="9" t="s">
        <v>13284</v>
      </c>
      <c r="Q2612" s="9" t="s">
        <v>13284</v>
      </c>
      <c r="R2612" s="9" t="s">
        <v>13284</v>
      </c>
      <c r="S2612" s="9" t="s">
        <v>13284</v>
      </c>
      <c r="T2612" s="9" t="str">
        <f ca="1">IFERROR(IF(AND(VLOOKUP(A2612, 'Актуальное состояние (из общего'!A:C,3,0) = "", A2612 &lt;&gt; ""), "ПРОВЕРИТЬ", VLOOKUP(A2612, 'Актуальное состояние (из общего'!A:C,3,0)), "")</f>
        <v/>
      </c>
      <c r="U2612" s="9" t="s">
        <v>13284</v>
      </c>
      <c r="V2612" s="9" t="s">
        <v>13284</v>
      </c>
      <c r="W2612" s="12"/>
      <c r="X2612" s="9" t="str">
        <f t="array" ref="X2612">IFERROR(INDEX('Адреса общежитий (скрытый)'!$B$2:$B$9, MATCH(W2612, 'Адреса общежитий (скрытый)'!$A$2:$A$9, 0)), "")</f>
        <v/>
      </c>
      <c r="Y2612" s="18"/>
      <c r="Z2612" s="18"/>
      <c r="AA2612" s="18"/>
      <c r="AB2612" s="18"/>
      <c r="AC2612" s="18"/>
    </row>
    <row r="2613" spans="1:29" ht="32.25" hidden="1" customHeight="1">
      <c r="A2613" s="17"/>
      <c r="B2613" s="9" t="s">
        <v>13284</v>
      </c>
      <c r="C2613" s="9" t="s">
        <v>13284</v>
      </c>
      <c r="D2613" s="9" t="s">
        <v>13284</v>
      </c>
      <c r="E2613" s="9" t="s">
        <v>13284</v>
      </c>
      <c r="F2613" s="9" t="s">
        <v>13284</v>
      </c>
      <c r="G2613" s="9" t="s">
        <v>13284</v>
      </c>
      <c r="H2613" s="9" t="s">
        <v>13284</v>
      </c>
      <c r="I2613" s="9" t="s">
        <v>13284</v>
      </c>
      <c r="J2613" s="9" t="s">
        <v>13284</v>
      </c>
      <c r="K2613" s="9" t="s">
        <v>13284</v>
      </c>
      <c r="L2613" s="9" t="s">
        <v>13284</v>
      </c>
      <c r="M2613" s="9" t="s">
        <v>13284</v>
      </c>
      <c r="N2613" s="9" t="s">
        <v>13284</v>
      </c>
      <c r="O2613" s="9" t="s">
        <v>13284</v>
      </c>
      <c r="P2613" s="9" t="s">
        <v>13284</v>
      </c>
      <c r="Q2613" s="9" t="s">
        <v>13284</v>
      </c>
      <c r="R2613" s="9" t="s">
        <v>13284</v>
      </c>
      <c r="S2613" s="9" t="s">
        <v>13284</v>
      </c>
      <c r="T2613" s="9" t="str">
        <f ca="1">IFERROR(IF(AND(VLOOKUP(A2613, 'Актуальное состояние (из общего'!A:C,3,0) = "", A2613 &lt;&gt; ""), "ПРОВЕРИТЬ", VLOOKUP(A2613, 'Актуальное состояние (из общего'!A:C,3,0)), "")</f>
        <v/>
      </c>
      <c r="U2613" s="9" t="s">
        <v>13284</v>
      </c>
      <c r="V2613" s="9" t="s">
        <v>13284</v>
      </c>
      <c r="W2613" s="12"/>
      <c r="X2613" s="9" t="str">
        <f t="array" ref="X2613">IFERROR(INDEX('Адреса общежитий (скрытый)'!$B$2:$B$9, MATCH(W2613, 'Адреса общежитий (скрытый)'!$A$2:$A$9, 0)), "")</f>
        <v/>
      </c>
      <c r="Y2613" s="18"/>
      <c r="Z2613" s="18"/>
      <c r="AA2613" s="18"/>
      <c r="AB2613" s="18"/>
      <c r="AC2613" s="18"/>
    </row>
    <row r="2614" spans="1:29" ht="32.25" hidden="1" customHeight="1">
      <c r="A2614" s="17"/>
      <c r="B2614" s="9" t="s">
        <v>13284</v>
      </c>
      <c r="C2614" s="9" t="s">
        <v>13284</v>
      </c>
      <c r="D2614" s="9" t="s">
        <v>13284</v>
      </c>
      <c r="E2614" s="9" t="s">
        <v>13284</v>
      </c>
      <c r="F2614" s="9" t="s">
        <v>13284</v>
      </c>
      <c r="G2614" s="9" t="s">
        <v>13284</v>
      </c>
      <c r="H2614" s="9" t="s">
        <v>13284</v>
      </c>
      <c r="I2614" s="9" t="s">
        <v>13284</v>
      </c>
      <c r="J2614" s="9" t="s">
        <v>13284</v>
      </c>
      <c r="K2614" s="9" t="s">
        <v>13284</v>
      </c>
      <c r="L2614" s="9" t="s">
        <v>13284</v>
      </c>
      <c r="M2614" s="9" t="s">
        <v>13284</v>
      </c>
      <c r="N2614" s="9" t="s">
        <v>13284</v>
      </c>
      <c r="O2614" s="9" t="s">
        <v>13284</v>
      </c>
      <c r="P2614" s="9" t="s">
        <v>13284</v>
      </c>
      <c r="Q2614" s="9" t="s">
        <v>13284</v>
      </c>
      <c r="R2614" s="9" t="s">
        <v>13284</v>
      </c>
      <c r="S2614" s="9" t="s">
        <v>13284</v>
      </c>
      <c r="T2614" s="9" t="str">
        <f ca="1">IFERROR(IF(AND(VLOOKUP(A2614, 'Актуальное состояние (из общего'!A:C,3,0) = "", A2614 &lt;&gt; ""), "ПРОВЕРИТЬ", VLOOKUP(A2614, 'Актуальное состояние (из общего'!A:C,3,0)), "")</f>
        <v/>
      </c>
      <c r="U2614" s="9" t="s">
        <v>13284</v>
      </c>
      <c r="V2614" s="9" t="s">
        <v>13284</v>
      </c>
      <c r="W2614" s="12"/>
      <c r="X2614" s="9" t="str">
        <f t="array" ref="X2614">IFERROR(INDEX('Адреса общежитий (скрытый)'!$B$2:$B$9, MATCH(W2614, 'Адреса общежитий (скрытый)'!$A$2:$A$9, 0)), "")</f>
        <v/>
      </c>
      <c r="Y2614" s="18"/>
      <c r="Z2614" s="18"/>
      <c r="AA2614" s="18"/>
      <c r="AB2614" s="18"/>
      <c r="AC2614" s="18"/>
    </row>
    <row r="2615" spans="1:29" ht="32.25" hidden="1" customHeight="1">
      <c r="A2615" s="17"/>
      <c r="B2615" s="9" t="s">
        <v>13284</v>
      </c>
      <c r="C2615" s="9" t="s">
        <v>13284</v>
      </c>
      <c r="D2615" s="9" t="s">
        <v>13284</v>
      </c>
      <c r="E2615" s="9" t="s">
        <v>13284</v>
      </c>
      <c r="F2615" s="9" t="s">
        <v>13284</v>
      </c>
      <c r="G2615" s="9" t="s">
        <v>13284</v>
      </c>
      <c r="H2615" s="9" t="s">
        <v>13284</v>
      </c>
      <c r="I2615" s="9" t="s">
        <v>13284</v>
      </c>
      <c r="J2615" s="9" t="s">
        <v>13284</v>
      </c>
      <c r="K2615" s="9" t="s">
        <v>13284</v>
      </c>
      <c r="L2615" s="9" t="s">
        <v>13284</v>
      </c>
      <c r="M2615" s="9" t="s">
        <v>13284</v>
      </c>
      <c r="N2615" s="9" t="s">
        <v>13284</v>
      </c>
      <c r="O2615" s="9" t="s">
        <v>13284</v>
      </c>
      <c r="P2615" s="9" t="s">
        <v>13284</v>
      </c>
      <c r="Q2615" s="9" t="s">
        <v>13284</v>
      </c>
      <c r="R2615" s="9" t="s">
        <v>13284</v>
      </c>
      <c r="S2615" s="9" t="s">
        <v>13284</v>
      </c>
      <c r="T2615" s="9" t="str">
        <f ca="1">IFERROR(IF(AND(VLOOKUP(A2615, 'Актуальное состояние (из общего'!A:C,3,0) = "", A2615 &lt;&gt; ""), "ПРОВЕРИТЬ", VLOOKUP(A2615, 'Актуальное состояние (из общего'!A:C,3,0)), "")</f>
        <v/>
      </c>
      <c r="U2615" s="9" t="s">
        <v>13284</v>
      </c>
      <c r="V2615" s="9" t="s">
        <v>13284</v>
      </c>
      <c r="W2615" s="12"/>
      <c r="X2615" s="9" t="str">
        <f t="array" ref="X2615">IFERROR(INDEX('Адреса общежитий (скрытый)'!$B$2:$B$9, MATCH(W2615, 'Адреса общежитий (скрытый)'!$A$2:$A$9, 0)), "")</f>
        <v/>
      </c>
      <c r="Y2615" s="18"/>
      <c r="Z2615" s="18"/>
      <c r="AA2615" s="18"/>
      <c r="AB2615" s="18"/>
      <c r="AC2615" s="18"/>
    </row>
    <row r="2616" spans="1:29" ht="32.25" hidden="1" customHeight="1">
      <c r="A2616" s="17"/>
      <c r="B2616" s="9" t="s">
        <v>13284</v>
      </c>
      <c r="C2616" s="9" t="s">
        <v>13284</v>
      </c>
      <c r="D2616" s="9" t="s">
        <v>13284</v>
      </c>
      <c r="E2616" s="9" t="s">
        <v>13284</v>
      </c>
      <c r="F2616" s="9" t="s">
        <v>13284</v>
      </c>
      <c r="G2616" s="9" t="s">
        <v>13284</v>
      </c>
      <c r="H2616" s="9" t="s">
        <v>13284</v>
      </c>
      <c r="I2616" s="9" t="s">
        <v>13284</v>
      </c>
      <c r="J2616" s="9" t="s">
        <v>13284</v>
      </c>
      <c r="K2616" s="9" t="s">
        <v>13284</v>
      </c>
      <c r="L2616" s="9" t="s">
        <v>13284</v>
      </c>
      <c r="M2616" s="9" t="s">
        <v>13284</v>
      </c>
      <c r="N2616" s="9" t="s">
        <v>13284</v>
      </c>
      <c r="O2616" s="9" t="s">
        <v>13284</v>
      </c>
      <c r="P2616" s="9" t="s">
        <v>13284</v>
      </c>
      <c r="Q2616" s="9" t="s">
        <v>13284</v>
      </c>
      <c r="R2616" s="9" t="s">
        <v>13284</v>
      </c>
      <c r="S2616" s="9" t="s">
        <v>13284</v>
      </c>
      <c r="T2616" s="9" t="str">
        <f ca="1">IFERROR(IF(AND(VLOOKUP(A2616, 'Актуальное состояние (из общего'!A:C,3,0) = "", A2616 &lt;&gt; ""), "ПРОВЕРИТЬ", VLOOKUP(A2616, 'Актуальное состояние (из общего'!A:C,3,0)), "")</f>
        <v/>
      </c>
      <c r="U2616" s="9" t="s">
        <v>13284</v>
      </c>
      <c r="V2616" s="9" t="s">
        <v>13284</v>
      </c>
      <c r="W2616" s="12"/>
      <c r="X2616" s="9" t="str">
        <f t="array" ref="X2616">IFERROR(INDEX('Адреса общежитий (скрытый)'!$B$2:$B$9, MATCH(W2616, 'Адреса общежитий (скрытый)'!$A$2:$A$9, 0)), "")</f>
        <v/>
      </c>
      <c r="Y2616" s="18"/>
      <c r="Z2616" s="18"/>
      <c r="AA2616" s="18"/>
      <c r="AB2616" s="18"/>
      <c r="AC2616" s="18"/>
    </row>
    <row r="2617" spans="1:29" ht="32.25" hidden="1" customHeight="1">
      <c r="A2617" s="17"/>
      <c r="B2617" s="9" t="s">
        <v>13284</v>
      </c>
      <c r="C2617" s="9" t="s">
        <v>13284</v>
      </c>
      <c r="D2617" s="9" t="s">
        <v>13284</v>
      </c>
      <c r="E2617" s="9" t="s">
        <v>13284</v>
      </c>
      <c r="F2617" s="9" t="s">
        <v>13284</v>
      </c>
      <c r="G2617" s="9" t="s">
        <v>13284</v>
      </c>
      <c r="H2617" s="9" t="s">
        <v>13284</v>
      </c>
      <c r="I2617" s="9" t="s">
        <v>13284</v>
      </c>
      <c r="J2617" s="9" t="s">
        <v>13284</v>
      </c>
      <c r="K2617" s="9" t="s">
        <v>13284</v>
      </c>
      <c r="L2617" s="9" t="s">
        <v>13284</v>
      </c>
      <c r="M2617" s="9" t="s">
        <v>13284</v>
      </c>
      <c r="N2617" s="9" t="s">
        <v>13284</v>
      </c>
      <c r="O2617" s="9" t="s">
        <v>13284</v>
      </c>
      <c r="P2617" s="9" t="s">
        <v>13284</v>
      </c>
      <c r="Q2617" s="9" t="s">
        <v>13284</v>
      </c>
      <c r="R2617" s="9" t="s">
        <v>13284</v>
      </c>
      <c r="S2617" s="9" t="s">
        <v>13284</v>
      </c>
      <c r="T2617" s="9" t="str">
        <f ca="1">IFERROR(IF(AND(VLOOKUP(A2617, 'Актуальное состояние (из общего'!A:C,3,0) = "", A2617 &lt;&gt; ""), "ПРОВЕРИТЬ", VLOOKUP(A2617, 'Актуальное состояние (из общего'!A:C,3,0)), "")</f>
        <v/>
      </c>
      <c r="U2617" s="9" t="s">
        <v>13284</v>
      </c>
      <c r="V2617" s="9" t="s">
        <v>13284</v>
      </c>
      <c r="W2617" s="12"/>
      <c r="X2617" s="9" t="str">
        <f t="array" ref="X2617">IFERROR(INDEX('Адреса общежитий (скрытый)'!$B$2:$B$9, MATCH(W2617, 'Адреса общежитий (скрытый)'!$A$2:$A$9, 0)), "")</f>
        <v/>
      </c>
      <c r="Y2617" s="18"/>
      <c r="Z2617" s="18"/>
      <c r="AA2617" s="18"/>
      <c r="AB2617" s="18"/>
      <c r="AC2617" s="18"/>
    </row>
    <row r="2618" spans="1:29" ht="32.25" hidden="1" customHeight="1">
      <c r="A2618" s="17"/>
      <c r="B2618" s="9" t="s">
        <v>13284</v>
      </c>
      <c r="C2618" s="9" t="s">
        <v>13284</v>
      </c>
      <c r="D2618" s="9" t="s">
        <v>13284</v>
      </c>
      <c r="E2618" s="9" t="s">
        <v>13284</v>
      </c>
      <c r="F2618" s="9" t="s">
        <v>13284</v>
      </c>
      <c r="G2618" s="9" t="s">
        <v>13284</v>
      </c>
      <c r="H2618" s="9" t="s">
        <v>13284</v>
      </c>
      <c r="I2618" s="9" t="s">
        <v>13284</v>
      </c>
      <c r="J2618" s="9" t="s">
        <v>13284</v>
      </c>
      <c r="K2618" s="9" t="s">
        <v>13284</v>
      </c>
      <c r="L2618" s="9" t="s">
        <v>13284</v>
      </c>
      <c r="M2618" s="9" t="s">
        <v>13284</v>
      </c>
      <c r="N2618" s="9" t="s">
        <v>13284</v>
      </c>
      <c r="O2618" s="9" t="s">
        <v>13284</v>
      </c>
      <c r="P2618" s="9" t="s">
        <v>13284</v>
      </c>
      <c r="Q2618" s="9" t="s">
        <v>13284</v>
      </c>
      <c r="R2618" s="9" t="s">
        <v>13284</v>
      </c>
      <c r="S2618" s="9" t="s">
        <v>13284</v>
      </c>
      <c r="T2618" s="9" t="str">
        <f ca="1">IFERROR(IF(AND(VLOOKUP(A2618, 'Актуальное состояние (из общего'!A:C,3,0) = "", A2618 &lt;&gt; ""), "ПРОВЕРИТЬ", VLOOKUP(A2618, 'Актуальное состояние (из общего'!A:C,3,0)), "")</f>
        <v/>
      </c>
      <c r="U2618" s="9" t="s">
        <v>13284</v>
      </c>
      <c r="V2618" s="9" t="s">
        <v>13284</v>
      </c>
      <c r="W2618" s="12"/>
      <c r="X2618" s="9" t="str">
        <f t="array" ref="X2618">IFERROR(INDEX('Адреса общежитий (скрытый)'!$B$2:$B$9, MATCH(W2618, 'Адреса общежитий (скрытый)'!$A$2:$A$9, 0)), "")</f>
        <v/>
      </c>
      <c r="Y2618" s="18"/>
      <c r="Z2618" s="18"/>
      <c r="AA2618" s="18"/>
      <c r="AB2618" s="18"/>
      <c r="AC2618" s="18"/>
    </row>
    <row r="2619" spans="1:29" ht="32.25" hidden="1" customHeight="1">
      <c r="A2619" s="17"/>
      <c r="B2619" s="9" t="s">
        <v>13284</v>
      </c>
      <c r="C2619" s="9" t="s">
        <v>13284</v>
      </c>
      <c r="D2619" s="9" t="s">
        <v>13284</v>
      </c>
      <c r="E2619" s="9" t="s">
        <v>13284</v>
      </c>
      <c r="F2619" s="9" t="s">
        <v>13284</v>
      </c>
      <c r="G2619" s="9" t="s">
        <v>13284</v>
      </c>
      <c r="H2619" s="9" t="s">
        <v>13284</v>
      </c>
      <c r="I2619" s="9" t="s">
        <v>13284</v>
      </c>
      <c r="J2619" s="9" t="s">
        <v>13284</v>
      </c>
      <c r="K2619" s="9" t="s">
        <v>13284</v>
      </c>
      <c r="L2619" s="9" t="s">
        <v>13284</v>
      </c>
      <c r="M2619" s="9" t="s">
        <v>13284</v>
      </c>
      <c r="N2619" s="9" t="s">
        <v>13284</v>
      </c>
      <c r="O2619" s="9" t="s">
        <v>13284</v>
      </c>
      <c r="P2619" s="9" t="s">
        <v>13284</v>
      </c>
      <c r="Q2619" s="9" t="s">
        <v>13284</v>
      </c>
      <c r="R2619" s="9" t="s">
        <v>13284</v>
      </c>
      <c r="S2619" s="9" t="s">
        <v>13284</v>
      </c>
      <c r="T2619" s="9" t="str">
        <f ca="1">IFERROR(IF(AND(VLOOKUP(A2619, 'Актуальное состояние (из общего'!A:C,3,0) = "", A2619 &lt;&gt; ""), "ПРОВЕРИТЬ", VLOOKUP(A2619, 'Актуальное состояние (из общего'!A:C,3,0)), "")</f>
        <v/>
      </c>
      <c r="U2619" s="9" t="s">
        <v>13284</v>
      </c>
      <c r="V2619" s="9" t="s">
        <v>13284</v>
      </c>
      <c r="W2619" s="12"/>
      <c r="X2619" s="9" t="str">
        <f t="array" ref="X2619">IFERROR(INDEX('Адреса общежитий (скрытый)'!$B$2:$B$9, MATCH(W2619, 'Адреса общежитий (скрытый)'!$A$2:$A$9, 0)), "")</f>
        <v/>
      </c>
      <c r="Y2619" s="18"/>
      <c r="Z2619" s="18"/>
      <c r="AA2619" s="18"/>
      <c r="AB2619" s="18"/>
      <c r="AC2619" s="18"/>
    </row>
    <row r="2620" spans="1:29" ht="32.25" hidden="1" customHeight="1">
      <c r="A2620" s="17"/>
      <c r="B2620" s="9" t="s">
        <v>13284</v>
      </c>
      <c r="C2620" s="9" t="s">
        <v>13284</v>
      </c>
      <c r="D2620" s="9" t="s">
        <v>13284</v>
      </c>
      <c r="E2620" s="9" t="s">
        <v>13284</v>
      </c>
      <c r="F2620" s="9" t="s">
        <v>13284</v>
      </c>
      <c r="G2620" s="9" t="s">
        <v>13284</v>
      </c>
      <c r="H2620" s="9" t="s">
        <v>13284</v>
      </c>
      <c r="I2620" s="9" t="s">
        <v>13284</v>
      </c>
      <c r="J2620" s="9" t="s">
        <v>13284</v>
      </c>
      <c r="K2620" s="9" t="s">
        <v>13284</v>
      </c>
      <c r="L2620" s="9" t="s">
        <v>13284</v>
      </c>
      <c r="M2620" s="9" t="s">
        <v>13284</v>
      </c>
      <c r="N2620" s="9" t="s">
        <v>13284</v>
      </c>
      <c r="O2620" s="9" t="s">
        <v>13284</v>
      </c>
      <c r="P2620" s="9" t="s">
        <v>13284</v>
      </c>
      <c r="Q2620" s="9" t="s">
        <v>13284</v>
      </c>
      <c r="R2620" s="9" t="s">
        <v>13284</v>
      </c>
      <c r="S2620" s="9" t="s">
        <v>13284</v>
      </c>
      <c r="T2620" s="9" t="str">
        <f ca="1">IFERROR(IF(AND(VLOOKUP(A2620, 'Актуальное состояние (из общего'!A:C,3,0) = "", A2620 &lt;&gt; ""), "ПРОВЕРИТЬ", VLOOKUP(A2620, 'Актуальное состояние (из общего'!A:C,3,0)), "")</f>
        <v/>
      </c>
      <c r="U2620" s="9" t="s">
        <v>13284</v>
      </c>
      <c r="V2620" s="9" t="s">
        <v>13284</v>
      </c>
      <c r="W2620" s="12"/>
      <c r="X2620" s="9" t="str">
        <f t="array" ref="X2620">IFERROR(INDEX('Адреса общежитий (скрытый)'!$B$2:$B$9, MATCH(W2620, 'Адреса общежитий (скрытый)'!$A$2:$A$9, 0)), "")</f>
        <v/>
      </c>
      <c r="Y2620" s="18"/>
      <c r="Z2620" s="18"/>
      <c r="AA2620" s="18"/>
      <c r="AB2620" s="18"/>
      <c r="AC2620" s="18"/>
    </row>
    <row r="2621" spans="1:29" ht="32.25" hidden="1" customHeight="1">
      <c r="A2621" s="17"/>
      <c r="B2621" s="9" t="s">
        <v>13284</v>
      </c>
      <c r="C2621" s="9" t="s">
        <v>13284</v>
      </c>
      <c r="D2621" s="9" t="s">
        <v>13284</v>
      </c>
      <c r="E2621" s="9" t="s">
        <v>13284</v>
      </c>
      <c r="F2621" s="9" t="s">
        <v>13284</v>
      </c>
      <c r="G2621" s="9" t="s">
        <v>13284</v>
      </c>
      <c r="H2621" s="9" t="s">
        <v>13284</v>
      </c>
      <c r="I2621" s="9" t="s">
        <v>13284</v>
      </c>
      <c r="J2621" s="9" t="s">
        <v>13284</v>
      </c>
      <c r="K2621" s="9" t="s">
        <v>13284</v>
      </c>
      <c r="L2621" s="9" t="s">
        <v>13284</v>
      </c>
      <c r="M2621" s="9" t="s">
        <v>13284</v>
      </c>
      <c r="N2621" s="9" t="s">
        <v>13284</v>
      </c>
      <c r="O2621" s="9" t="s">
        <v>13284</v>
      </c>
      <c r="P2621" s="9" t="s">
        <v>13284</v>
      </c>
      <c r="Q2621" s="9" t="s">
        <v>13284</v>
      </c>
      <c r="R2621" s="9" t="s">
        <v>13284</v>
      </c>
      <c r="S2621" s="9" t="s">
        <v>13284</v>
      </c>
      <c r="T2621" s="9" t="str">
        <f ca="1">IFERROR(IF(AND(VLOOKUP(A2621, 'Актуальное состояние (из общего'!A:C,3,0) = "", A2621 &lt;&gt; ""), "ПРОВЕРИТЬ", VLOOKUP(A2621, 'Актуальное состояние (из общего'!A:C,3,0)), "")</f>
        <v/>
      </c>
      <c r="U2621" s="9" t="s">
        <v>13284</v>
      </c>
      <c r="V2621" s="9" t="s">
        <v>13284</v>
      </c>
      <c r="W2621" s="12"/>
      <c r="X2621" s="9" t="str">
        <f t="array" ref="X2621">IFERROR(INDEX('Адреса общежитий (скрытый)'!$B$2:$B$9, MATCH(W2621, 'Адреса общежитий (скрытый)'!$A$2:$A$9, 0)), "")</f>
        <v/>
      </c>
      <c r="Y2621" s="18"/>
      <c r="Z2621" s="18"/>
      <c r="AA2621" s="18"/>
      <c r="AB2621" s="18"/>
      <c r="AC2621" s="18"/>
    </row>
    <row r="2622" spans="1:29" ht="32.25" hidden="1" customHeight="1">
      <c r="A2622" s="17"/>
      <c r="B2622" s="9" t="s">
        <v>13284</v>
      </c>
      <c r="C2622" s="9" t="s">
        <v>13284</v>
      </c>
      <c r="D2622" s="9" t="s">
        <v>13284</v>
      </c>
      <c r="E2622" s="9" t="s">
        <v>13284</v>
      </c>
      <c r="F2622" s="9" t="s">
        <v>13284</v>
      </c>
      <c r="G2622" s="9" t="s">
        <v>13284</v>
      </c>
      <c r="H2622" s="9" t="s">
        <v>13284</v>
      </c>
      <c r="I2622" s="9" t="s">
        <v>13284</v>
      </c>
      <c r="J2622" s="9" t="s">
        <v>13284</v>
      </c>
      <c r="K2622" s="9" t="s">
        <v>13284</v>
      </c>
      <c r="L2622" s="9" t="s">
        <v>13284</v>
      </c>
      <c r="M2622" s="9" t="s">
        <v>13284</v>
      </c>
      <c r="N2622" s="9" t="s">
        <v>13284</v>
      </c>
      <c r="O2622" s="9" t="s">
        <v>13284</v>
      </c>
      <c r="P2622" s="9" t="s">
        <v>13284</v>
      </c>
      <c r="Q2622" s="9" t="s">
        <v>13284</v>
      </c>
      <c r="R2622" s="9" t="s">
        <v>13284</v>
      </c>
      <c r="S2622" s="9" t="s">
        <v>13284</v>
      </c>
      <c r="T2622" s="9" t="str">
        <f ca="1">IFERROR(IF(AND(VLOOKUP(A2622, 'Актуальное состояние (из общего'!A:C,3,0) = "", A2622 &lt;&gt; ""), "ПРОВЕРИТЬ", VLOOKUP(A2622, 'Актуальное состояние (из общего'!A:C,3,0)), "")</f>
        <v/>
      </c>
      <c r="U2622" s="9" t="s">
        <v>13284</v>
      </c>
      <c r="V2622" s="9" t="s">
        <v>13284</v>
      </c>
      <c r="W2622" s="12"/>
      <c r="X2622" s="9" t="str">
        <f t="array" ref="X2622">IFERROR(INDEX('Адреса общежитий (скрытый)'!$B$2:$B$9, MATCH(W2622, 'Адреса общежитий (скрытый)'!$A$2:$A$9, 0)), "")</f>
        <v/>
      </c>
      <c r="Y2622" s="18"/>
      <c r="Z2622" s="18"/>
      <c r="AA2622" s="18"/>
      <c r="AB2622" s="18"/>
      <c r="AC2622" s="18"/>
    </row>
    <row r="2623" spans="1:29" ht="32.25" hidden="1" customHeight="1">
      <c r="A2623" s="17"/>
      <c r="B2623" s="9" t="s">
        <v>13284</v>
      </c>
      <c r="C2623" s="9" t="s">
        <v>13284</v>
      </c>
      <c r="D2623" s="9" t="s">
        <v>13284</v>
      </c>
      <c r="E2623" s="9" t="s">
        <v>13284</v>
      </c>
      <c r="F2623" s="9" t="s">
        <v>13284</v>
      </c>
      <c r="G2623" s="9" t="s">
        <v>13284</v>
      </c>
      <c r="H2623" s="9" t="s">
        <v>13284</v>
      </c>
      <c r="I2623" s="9" t="s">
        <v>13284</v>
      </c>
      <c r="J2623" s="9" t="s">
        <v>13284</v>
      </c>
      <c r="K2623" s="9" t="s">
        <v>13284</v>
      </c>
      <c r="L2623" s="9" t="s">
        <v>13284</v>
      </c>
      <c r="M2623" s="9" t="s">
        <v>13284</v>
      </c>
      <c r="N2623" s="9" t="s">
        <v>13284</v>
      </c>
      <c r="O2623" s="9" t="s">
        <v>13284</v>
      </c>
      <c r="P2623" s="9" t="s">
        <v>13284</v>
      </c>
      <c r="Q2623" s="9" t="s">
        <v>13284</v>
      </c>
      <c r="R2623" s="9" t="s">
        <v>13284</v>
      </c>
      <c r="S2623" s="9" t="s">
        <v>13284</v>
      </c>
      <c r="T2623" s="9" t="str">
        <f ca="1">IFERROR(IF(AND(VLOOKUP(A2623, 'Актуальное состояние (из общего'!A:C,3,0) = "", A2623 &lt;&gt; ""), "ПРОВЕРИТЬ", VLOOKUP(A2623, 'Актуальное состояние (из общего'!A:C,3,0)), "")</f>
        <v/>
      </c>
      <c r="U2623" s="9" t="s">
        <v>13284</v>
      </c>
      <c r="V2623" s="9" t="s">
        <v>13284</v>
      </c>
      <c r="W2623" s="12"/>
      <c r="X2623" s="9" t="str">
        <f t="array" ref="X2623">IFERROR(INDEX('Адреса общежитий (скрытый)'!$B$2:$B$9, MATCH(W2623, 'Адреса общежитий (скрытый)'!$A$2:$A$9, 0)), "")</f>
        <v/>
      </c>
      <c r="Y2623" s="18"/>
      <c r="Z2623" s="18"/>
      <c r="AA2623" s="18"/>
      <c r="AB2623" s="18"/>
      <c r="AC2623" s="18"/>
    </row>
    <row r="2624" spans="1:29" ht="32.25" hidden="1" customHeight="1">
      <c r="A2624" s="17"/>
      <c r="B2624" s="9" t="s">
        <v>13284</v>
      </c>
      <c r="C2624" s="9" t="s">
        <v>13284</v>
      </c>
      <c r="D2624" s="9" t="s">
        <v>13284</v>
      </c>
      <c r="E2624" s="9" t="s">
        <v>13284</v>
      </c>
      <c r="F2624" s="9" t="s">
        <v>13284</v>
      </c>
      <c r="G2624" s="9" t="s">
        <v>13284</v>
      </c>
      <c r="H2624" s="9" t="s">
        <v>13284</v>
      </c>
      <c r="I2624" s="9" t="s">
        <v>13284</v>
      </c>
      <c r="J2624" s="9" t="s">
        <v>13284</v>
      </c>
      <c r="K2624" s="9" t="s">
        <v>13284</v>
      </c>
      <c r="L2624" s="9" t="s">
        <v>13284</v>
      </c>
      <c r="M2624" s="9" t="s">
        <v>13284</v>
      </c>
      <c r="N2624" s="9" t="s">
        <v>13284</v>
      </c>
      <c r="O2624" s="9" t="s">
        <v>13284</v>
      </c>
      <c r="P2624" s="9" t="s">
        <v>13284</v>
      </c>
      <c r="Q2624" s="9" t="s">
        <v>13284</v>
      </c>
      <c r="R2624" s="9" t="s">
        <v>13284</v>
      </c>
      <c r="S2624" s="9" t="s">
        <v>13284</v>
      </c>
      <c r="T2624" s="9" t="str">
        <f ca="1">IFERROR(IF(AND(VLOOKUP(A2624, 'Актуальное состояние (из общего'!A:C,3,0) = "", A2624 &lt;&gt; ""), "ПРОВЕРИТЬ", VLOOKUP(A2624, 'Актуальное состояние (из общего'!A:C,3,0)), "")</f>
        <v/>
      </c>
      <c r="U2624" s="9" t="s">
        <v>13284</v>
      </c>
      <c r="V2624" s="9" t="s">
        <v>13284</v>
      </c>
      <c r="W2624" s="12"/>
      <c r="X2624" s="9" t="str">
        <f t="array" ref="X2624">IFERROR(INDEX('Адреса общежитий (скрытый)'!$B$2:$B$9, MATCH(W2624, 'Адреса общежитий (скрытый)'!$A$2:$A$9, 0)), "")</f>
        <v/>
      </c>
      <c r="Y2624" s="18"/>
      <c r="Z2624" s="18"/>
      <c r="AA2624" s="18"/>
      <c r="AB2624" s="18"/>
      <c r="AC2624" s="18"/>
    </row>
    <row r="2625" spans="1:29" ht="32.25" hidden="1" customHeight="1">
      <c r="A2625" s="17"/>
      <c r="B2625" s="9" t="s">
        <v>13284</v>
      </c>
      <c r="C2625" s="9" t="s">
        <v>13284</v>
      </c>
      <c r="D2625" s="9" t="s">
        <v>13284</v>
      </c>
      <c r="E2625" s="9" t="s">
        <v>13284</v>
      </c>
      <c r="F2625" s="9" t="s">
        <v>13284</v>
      </c>
      <c r="G2625" s="9" t="s">
        <v>13284</v>
      </c>
      <c r="H2625" s="9" t="s">
        <v>13284</v>
      </c>
      <c r="I2625" s="9" t="s">
        <v>13284</v>
      </c>
      <c r="J2625" s="9" t="s">
        <v>13284</v>
      </c>
      <c r="K2625" s="9" t="s">
        <v>13284</v>
      </c>
      <c r="L2625" s="9" t="s">
        <v>13284</v>
      </c>
      <c r="M2625" s="9" t="s">
        <v>13284</v>
      </c>
      <c r="N2625" s="9" t="s">
        <v>13284</v>
      </c>
      <c r="O2625" s="9" t="s">
        <v>13284</v>
      </c>
      <c r="P2625" s="9" t="s">
        <v>13284</v>
      </c>
      <c r="Q2625" s="9" t="s">
        <v>13284</v>
      </c>
      <c r="R2625" s="9" t="s">
        <v>13284</v>
      </c>
      <c r="S2625" s="9" t="s">
        <v>13284</v>
      </c>
      <c r="T2625" s="9" t="str">
        <f ca="1">IFERROR(IF(AND(VLOOKUP(A2625, 'Актуальное состояние (из общего'!A:C,3,0) = "", A2625 &lt;&gt; ""), "ПРОВЕРИТЬ", VLOOKUP(A2625, 'Актуальное состояние (из общего'!A:C,3,0)), "")</f>
        <v/>
      </c>
      <c r="U2625" s="9" t="s">
        <v>13284</v>
      </c>
      <c r="V2625" s="9" t="s">
        <v>13284</v>
      </c>
      <c r="W2625" s="12"/>
      <c r="X2625" s="9" t="str">
        <f t="array" ref="X2625">IFERROR(INDEX('Адреса общежитий (скрытый)'!$B$2:$B$9, MATCH(W2625, 'Адреса общежитий (скрытый)'!$A$2:$A$9, 0)), "")</f>
        <v/>
      </c>
      <c r="Y2625" s="18"/>
      <c r="Z2625" s="18"/>
      <c r="AA2625" s="18"/>
      <c r="AB2625" s="18"/>
      <c r="AC2625" s="18"/>
    </row>
    <row r="2626" spans="1:29" ht="32.25" hidden="1" customHeight="1">
      <c r="A2626" s="17"/>
      <c r="B2626" s="9" t="s">
        <v>13284</v>
      </c>
      <c r="C2626" s="9" t="s">
        <v>13284</v>
      </c>
      <c r="D2626" s="9" t="s">
        <v>13284</v>
      </c>
      <c r="E2626" s="9" t="s">
        <v>13284</v>
      </c>
      <c r="F2626" s="9" t="s">
        <v>13284</v>
      </c>
      <c r="G2626" s="9" t="s">
        <v>13284</v>
      </c>
      <c r="H2626" s="9" t="s">
        <v>13284</v>
      </c>
      <c r="I2626" s="9" t="s">
        <v>13284</v>
      </c>
      <c r="J2626" s="9" t="s">
        <v>13284</v>
      </c>
      <c r="K2626" s="9" t="s">
        <v>13284</v>
      </c>
      <c r="L2626" s="9" t="s">
        <v>13284</v>
      </c>
      <c r="M2626" s="9" t="s">
        <v>13284</v>
      </c>
      <c r="N2626" s="9" t="s">
        <v>13284</v>
      </c>
      <c r="O2626" s="9" t="s">
        <v>13284</v>
      </c>
      <c r="P2626" s="9" t="s">
        <v>13284</v>
      </c>
      <c r="Q2626" s="9" t="s">
        <v>13284</v>
      </c>
      <c r="R2626" s="9" t="s">
        <v>13284</v>
      </c>
      <c r="S2626" s="9" t="s">
        <v>13284</v>
      </c>
      <c r="T2626" s="9" t="str">
        <f ca="1">IFERROR(IF(AND(VLOOKUP(A2626, 'Актуальное состояние (из общего'!A:C,3,0) = "", A2626 &lt;&gt; ""), "ПРОВЕРИТЬ", VLOOKUP(A2626, 'Актуальное состояние (из общего'!A:C,3,0)), "")</f>
        <v/>
      </c>
      <c r="U2626" s="9" t="s">
        <v>13284</v>
      </c>
      <c r="V2626" s="9" t="s">
        <v>13284</v>
      </c>
      <c r="W2626" s="12"/>
      <c r="X2626" s="9" t="str">
        <f t="array" ref="X2626">IFERROR(INDEX('Адреса общежитий (скрытый)'!$B$2:$B$9, MATCH(W2626, 'Адреса общежитий (скрытый)'!$A$2:$A$9, 0)), "")</f>
        <v/>
      </c>
      <c r="Y2626" s="18"/>
      <c r="Z2626" s="18"/>
      <c r="AA2626" s="18"/>
      <c r="AB2626" s="18"/>
      <c r="AC2626" s="18"/>
    </row>
    <row r="2627" spans="1:29" ht="32.25" hidden="1" customHeight="1">
      <c r="A2627" s="17"/>
      <c r="B2627" s="9" t="s">
        <v>13284</v>
      </c>
      <c r="C2627" s="9" t="s">
        <v>13284</v>
      </c>
      <c r="D2627" s="9" t="s">
        <v>13284</v>
      </c>
      <c r="E2627" s="9" t="s">
        <v>13284</v>
      </c>
      <c r="F2627" s="9" t="s">
        <v>13284</v>
      </c>
      <c r="G2627" s="9" t="s">
        <v>13284</v>
      </c>
      <c r="H2627" s="9" t="s">
        <v>13284</v>
      </c>
      <c r="I2627" s="9" t="s">
        <v>13284</v>
      </c>
      <c r="J2627" s="9" t="s">
        <v>13284</v>
      </c>
      <c r="K2627" s="9" t="s">
        <v>13284</v>
      </c>
      <c r="L2627" s="9" t="s">
        <v>13284</v>
      </c>
      <c r="M2627" s="9" t="s">
        <v>13284</v>
      </c>
      <c r="N2627" s="9" t="s">
        <v>13284</v>
      </c>
      <c r="O2627" s="9" t="s">
        <v>13284</v>
      </c>
      <c r="P2627" s="9" t="s">
        <v>13284</v>
      </c>
      <c r="Q2627" s="9" t="s">
        <v>13284</v>
      </c>
      <c r="R2627" s="9" t="s">
        <v>13284</v>
      </c>
      <c r="S2627" s="9" t="s">
        <v>13284</v>
      </c>
      <c r="T2627" s="9" t="str">
        <f ca="1">IFERROR(IF(AND(VLOOKUP(A2627, 'Актуальное состояние (из общего'!A:C,3,0) = "", A2627 &lt;&gt; ""), "ПРОВЕРИТЬ", VLOOKUP(A2627, 'Актуальное состояние (из общего'!A:C,3,0)), "")</f>
        <v/>
      </c>
      <c r="U2627" s="9" t="s">
        <v>13284</v>
      </c>
      <c r="V2627" s="9" t="s">
        <v>13284</v>
      </c>
      <c r="W2627" s="12"/>
      <c r="X2627" s="9" t="str">
        <f t="array" ref="X2627">IFERROR(INDEX('Адреса общежитий (скрытый)'!$B$2:$B$9, MATCH(W2627, 'Адреса общежитий (скрытый)'!$A$2:$A$9, 0)), "")</f>
        <v/>
      </c>
      <c r="Y2627" s="18"/>
      <c r="Z2627" s="18"/>
      <c r="AA2627" s="18"/>
      <c r="AB2627" s="18"/>
      <c r="AC2627" s="18"/>
    </row>
    <row r="2628" spans="1:29" ht="32.25" hidden="1" customHeight="1">
      <c r="A2628" s="17"/>
      <c r="B2628" s="9" t="s">
        <v>13284</v>
      </c>
      <c r="C2628" s="9" t="s">
        <v>13284</v>
      </c>
      <c r="D2628" s="9" t="s">
        <v>13284</v>
      </c>
      <c r="E2628" s="9" t="s">
        <v>13284</v>
      </c>
      <c r="F2628" s="9" t="s">
        <v>13284</v>
      </c>
      <c r="G2628" s="9" t="s">
        <v>13284</v>
      </c>
      <c r="H2628" s="9" t="s">
        <v>13284</v>
      </c>
      <c r="I2628" s="9" t="s">
        <v>13284</v>
      </c>
      <c r="J2628" s="9" t="s">
        <v>13284</v>
      </c>
      <c r="K2628" s="9" t="s">
        <v>13284</v>
      </c>
      <c r="L2628" s="9" t="s">
        <v>13284</v>
      </c>
      <c r="M2628" s="9" t="s">
        <v>13284</v>
      </c>
      <c r="N2628" s="9" t="s">
        <v>13284</v>
      </c>
      <c r="O2628" s="9" t="s">
        <v>13284</v>
      </c>
      <c r="P2628" s="9" t="s">
        <v>13284</v>
      </c>
      <c r="Q2628" s="9" t="s">
        <v>13284</v>
      </c>
      <c r="R2628" s="9" t="s">
        <v>13284</v>
      </c>
      <c r="S2628" s="9" t="s">
        <v>13284</v>
      </c>
      <c r="T2628" s="9" t="str">
        <f ca="1">IFERROR(IF(AND(VLOOKUP(A2628, 'Актуальное состояние (из общего'!A:C,3,0) = "", A2628 &lt;&gt; ""), "ПРОВЕРИТЬ", VLOOKUP(A2628, 'Актуальное состояние (из общего'!A:C,3,0)), "")</f>
        <v/>
      </c>
      <c r="U2628" s="9" t="s">
        <v>13284</v>
      </c>
      <c r="V2628" s="9" t="s">
        <v>13284</v>
      </c>
      <c r="W2628" s="12"/>
      <c r="X2628" s="9" t="str">
        <f t="array" ref="X2628">IFERROR(INDEX('Адреса общежитий (скрытый)'!$B$2:$B$9, MATCH(W2628, 'Адреса общежитий (скрытый)'!$A$2:$A$9, 0)), "")</f>
        <v/>
      </c>
      <c r="Y2628" s="18"/>
      <c r="Z2628" s="18"/>
      <c r="AA2628" s="18"/>
      <c r="AB2628" s="18"/>
      <c r="AC2628" s="18"/>
    </row>
    <row r="2629" spans="1:29" ht="32.25" hidden="1" customHeight="1">
      <c r="A2629" s="17"/>
      <c r="B2629" s="9" t="s">
        <v>13284</v>
      </c>
      <c r="C2629" s="9" t="s">
        <v>13284</v>
      </c>
      <c r="D2629" s="9" t="s">
        <v>13284</v>
      </c>
      <c r="E2629" s="9" t="s">
        <v>13284</v>
      </c>
      <c r="F2629" s="9" t="s">
        <v>13284</v>
      </c>
      <c r="G2629" s="9" t="s">
        <v>13284</v>
      </c>
      <c r="H2629" s="9" t="s">
        <v>13284</v>
      </c>
      <c r="I2629" s="9" t="s">
        <v>13284</v>
      </c>
      <c r="J2629" s="9" t="s">
        <v>13284</v>
      </c>
      <c r="K2629" s="9" t="s">
        <v>13284</v>
      </c>
      <c r="L2629" s="9" t="s">
        <v>13284</v>
      </c>
      <c r="M2629" s="9" t="s">
        <v>13284</v>
      </c>
      <c r="N2629" s="9" t="s">
        <v>13284</v>
      </c>
      <c r="O2629" s="9" t="s">
        <v>13284</v>
      </c>
      <c r="P2629" s="9" t="s">
        <v>13284</v>
      </c>
      <c r="Q2629" s="9" t="s">
        <v>13284</v>
      </c>
      <c r="R2629" s="9" t="s">
        <v>13284</v>
      </c>
      <c r="S2629" s="9" t="s">
        <v>13284</v>
      </c>
      <c r="T2629" s="9" t="str">
        <f ca="1">IFERROR(IF(AND(VLOOKUP(A2629, 'Актуальное состояние (из общего'!A:C,3,0) = "", A2629 &lt;&gt; ""), "ПРОВЕРИТЬ", VLOOKUP(A2629, 'Актуальное состояние (из общего'!A:C,3,0)), "")</f>
        <v/>
      </c>
      <c r="U2629" s="9" t="s">
        <v>13284</v>
      </c>
      <c r="V2629" s="9" t="s">
        <v>13284</v>
      </c>
      <c r="W2629" s="12"/>
      <c r="X2629" s="9" t="str">
        <f t="array" ref="X2629">IFERROR(INDEX('Адреса общежитий (скрытый)'!$B$2:$B$9, MATCH(W2629, 'Адреса общежитий (скрытый)'!$A$2:$A$9, 0)), "")</f>
        <v/>
      </c>
      <c r="Y2629" s="18"/>
      <c r="Z2629" s="18"/>
      <c r="AA2629" s="18"/>
      <c r="AB2629" s="18"/>
      <c r="AC2629" s="18"/>
    </row>
    <row r="2630" spans="1:29" ht="32.25" hidden="1" customHeight="1">
      <c r="A2630" s="17"/>
      <c r="B2630" s="9" t="s">
        <v>13284</v>
      </c>
      <c r="C2630" s="9" t="s">
        <v>13284</v>
      </c>
      <c r="D2630" s="9" t="s">
        <v>13284</v>
      </c>
      <c r="E2630" s="9" t="s">
        <v>13284</v>
      </c>
      <c r="F2630" s="9" t="s">
        <v>13284</v>
      </c>
      <c r="G2630" s="9" t="s">
        <v>13284</v>
      </c>
      <c r="H2630" s="9" t="s">
        <v>13284</v>
      </c>
      <c r="I2630" s="9" t="s">
        <v>13284</v>
      </c>
      <c r="J2630" s="9" t="s">
        <v>13284</v>
      </c>
      <c r="K2630" s="9" t="s">
        <v>13284</v>
      </c>
      <c r="L2630" s="9" t="s">
        <v>13284</v>
      </c>
      <c r="M2630" s="9" t="s">
        <v>13284</v>
      </c>
      <c r="N2630" s="9" t="s">
        <v>13284</v>
      </c>
      <c r="O2630" s="9" t="s">
        <v>13284</v>
      </c>
      <c r="P2630" s="9" t="s">
        <v>13284</v>
      </c>
      <c r="Q2630" s="9" t="s">
        <v>13284</v>
      </c>
      <c r="R2630" s="9" t="s">
        <v>13284</v>
      </c>
      <c r="S2630" s="9" t="s">
        <v>13284</v>
      </c>
      <c r="T2630" s="9" t="str">
        <f ca="1">IFERROR(IF(AND(VLOOKUP(A2630, 'Актуальное состояние (из общего'!A:C,3,0) = "", A2630 &lt;&gt; ""), "ПРОВЕРИТЬ", VLOOKUP(A2630, 'Актуальное состояние (из общего'!A:C,3,0)), "")</f>
        <v/>
      </c>
      <c r="U2630" s="9" t="s">
        <v>13284</v>
      </c>
      <c r="V2630" s="9" t="s">
        <v>13284</v>
      </c>
      <c r="W2630" s="12"/>
      <c r="X2630" s="9" t="str">
        <f t="array" ref="X2630">IFERROR(INDEX('Адреса общежитий (скрытый)'!$B$2:$B$9, MATCH(W2630, 'Адреса общежитий (скрытый)'!$A$2:$A$9, 0)), "")</f>
        <v/>
      </c>
      <c r="Y2630" s="18"/>
      <c r="Z2630" s="18"/>
      <c r="AA2630" s="18"/>
      <c r="AB2630" s="18"/>
      <c r="AC2630" s="18"/>
    </row>
    <row r="2631" spans="1:29" ht="32.25" hidden="1" customHeight="1">
      <c r="A2631" s="17"/>
      <c r="B2631" s="9" t="s">
        <v>13284</v>
      </c>
      <c r="C2631" s="9" t="s">
        <v>13284</v>
      </c>
      <c r="D2631" s="9" t="s">
        <v>13284</v>
      </c>
      <c r="E2631" s="9" t="s">
        <v>13284</v>
      </c>
      <c r="F2631" s="9" t="s">
        <v>13284</v>
      </c>
      <c r="G2631" s="9" t="s">
        <v>13284</v>
      </c>
      <c r="H2631" s="9" t="s">
        <v>13284</v>
      </c>
      <c r="I2631" s="9" t="s">
        <v>13284</v>
      </c>
      <c r="J2631" s="9" t="s">
        <v>13284</v>
      </c>
      <c r="K2631" s="9" t="s">
        <v>13284</v>
      </c>
      <c r="L2631" s="9" t="s">
        <v>13284</v>
      </c>
      <c r="M2631" s="9" t="s">
        <v>13284</v>
      </c>
      <c r="N2631" s="9" t="s">
        <v>13284</v>
      </c>
      <c r="O2631" s="9" t="s">
        <v>13284</v>
      </c>
      <c r="P2631" s="9" t="s">
        <v>13284</v>
      </c>
      <c r="Q2631" s="9" t="s">
        <v>13284</v>
      </c>
      <c r="R2631" s="9" t="s">
        <v>13284</v>
      </c>
      <c r="S2631" s="9" t="s">
        <v>13284</v>
      </c>
      <c r="T2631" s="9" t="str">
        <f ca="1">IFERROR(IF(AND(VLOOKUP(A2631, 'Актуальное состояние (из общего'!A:C,3,0) = "", A2631 &lt;&gt; ""), "ПРОВЕРИТЬ", VLOOKUP(A2631, 'Актуальное состояние (из общего'!A:C,3,0)), "")</f>
        <v/>
      </c>
      <c r="U2631" s="9" t="s">
        <v>13284</v>
      </c>
      <c r="V2631" s="9" t="s">
        <v>13284</v>
      </c>
      <c r="W2631" s="12"/>
      <c r="X2631" s="9" t="str">
        <f t="array" ref="X2631">IFERROR(INDEX('Адреса общежитий (скрытый)'!$B$2:$B$9, MATCH(W2631, 'Адреса общежитий (скрытый)'!$A$2:$A$9, 0)), "")</f>
        <v/>
      </c>
      <c r="Y2631" s="18"/>
      <c r="Z2631" s="18"/>
      <c r="AA2631" s="18"/>
      <c r="AB2631" s="18"/>
      <c r="AC2631" s="18"/>
    </row>
    <row r="2632" spans="1:29" ht="32.25" hidden="1" customHeight="1">
      <c r="A2632" s="17"/>
      <c r="B2632" s="9" t="s">
        <v>13284</v>
      </c>
      <c r="C2632" s="9" t="s">
        <v>13284</v>
      </c>
      <c r="D2632" s="9" t="s">
        <v>13284</v>
      </c>
      <c r="E2632" s="9" t="s">
        <v>13284</v>
      </c>
      <c r="F2632" s="9" t="s">
        <v>13284</v>
      </c>
      <c r="G2632" s="9" t="s">
        <v>13284</v>
      </c>
      <c r="H2632" s="9" t="s">
        <v>13284</v>
      </c>
      <c r="I2632" s="9" t="s">
        <v>13284</v>
      </c>
      <c r="J2632" s="9" t="s">
        <v>13284</v>
      </c>
      <c r="K2632" s="9" t="s">
        <v>13284</v>
      </c>
      <c r="L2632" s="9" t="s">
        <v>13284</v>
      </c>
      <c r="M2632" s="9" t="s">
        <v>13284</v>
      </c>
      <c r="N2632" s="9" t="s">
        <v>13284</v>
      </c>
      <c r="O2632" s="9" t="s">
        <v>13284</v>
      </c>
      <c r="P2632" s="9" t="s">
        <v>13284</v>
      </c>
      <c r="Q2632" s="9" t="s">
        <v>13284</v>
      </c>
      <c r="R2632" s="9" t="s">
        <v>13284</v>
      </c>
      <c r="S2632" s="9" t="s">
        <v>13284</v>
      </c>
      <c r="T2632" s="9" t="str">
        <f ca="1">IFERROR(IF(AND(VLOOKUP(A2632, 'Актуальное состояние (из общего'!A:C,3,0) = "", A2632 &lt;&gt; ""), "ПРОВЕРИТЬ", VLOOKUP(A2632, 'Актуальное состояние (из общего'!A:C,3,0)), "")</f>
        <v/>
      </c>
      <c r="U2632" s="9" t="s">
        <v>13284</v>
      </c>
      <c r="V2632" s="9" t="s">
        <v>13284</v>
      </c>
      <c r="W2632" s="12"/>
      <c r="X2632" s="9" t="str">
        <f t="array" ref="X2632">IFERROR(INDEX('Адреса общежитий (скрытый)'!$B$2:$B$9, MATCH(W2632, 'Адреса общежитий (скрытый)'!$A$2:$A$9, 0)), "")</f>
        <v/>
      </c>
      <c r="Y2632" s="18"/>
      <c r="Z2632" s="18"/>
      <c r="AA2632" s="18"/>
      <c r="AB2632" s="18"/>
      <c r="AC2632" s="18"/>
    </row>
    <row r="2633" spans="1:29" ht="32.25" hidden="1" customHeight="1">
      <c r="A2633" s="17"/>
      <c r="B2633" s="9" t="s">
        <v>13284</v>
      </c>
      <c r="C2633" s="9" t="s">
        <v>13284</v>
      </c>
      <c r="D2633" s="9" t="s">
        <v>13284</v>
      </c>
      <c r="E2633" s="9" t="s">
        <v>13284</v>
      </c>
      <c r="F2633" s="9" t="s">
        <v>13284</v>
      </c>
      <c r="G2633" s="9" t="s">
        <v>13284</v>
      </c>
      <c r="H2633" s="9" t="s">
        <v>13284</v>
      </c>
      <c r="I2633" s="9" t="s">
        <v>13284</v>
      </c>
      <c r="J2633" s="9" t="s">
        <v>13284</v>
      </c>
      <c r="K2633" s="9" t="s">
        <v>13284</v>
      </c>
      <c r="L2633" s="9" t="s">
        <v>13284</v>
      </c>
      <c r="M2633" s="9" t="s">
        <v>13284</v>
      </c>
      <c r="N2633" s="9" t="s">
        <v>13284</v>
      </c>
      <c r="O2633" s="9" t="s">
        <v>13284</v>
      </c>
      <c r="P2633" s="9" t="s">
        <v>13284</v>
      </c>
      <c r="Q2633" s="9" t="s">
        <v>13284</v>
      </c>
      <c r="R2633" s="9" t="s">
        <v>13284</v>
      </c>
      <c r="S2633" s="9" t="s">
        <v>13284</v>
      </c>
      <c r="T2633" s="9" t="str">
        <f ca="1">IFERROR(IF(AND(VLOOKUP(A2633, 'Актуальное состояние (из общего'!A:C,3,0) = "", A2633 &lt;&gt; ""), "ПРОВЕРИТЬ", VLOOKUP(A2633, 'Актуальное состояние (из общего'!A:C,3,0)), "")</f>
        <v/>
      </c>
      <c r="U2633" s="9" t="s">
        <v>13284</v>
      </c>
      <c r="V2633" s="9" t="s">
        <v>13284</v>
      </c>
      <c r="W2633" s="12"/>
      <c r="X2633" s="9" t="str">
        <f t="array" ref="X2633">IFERROR(INDEX('Адреса общежитий (скрытый)'!$B$2:$B$9, MATCH(W2633, 'Адреса общежитий (скрытый)'!$A$2:$A$9, 0)), "")</f>
        <v/>
      </c>
      <c r="Y2633" s="18"/>
      <c r="Z2633" s="18"/>
      <c r="AA2633" s="18"/>
      <c r="AB2633" s="18"/>
      <c r="AC2633" s="18"/>
    </row>
    <row r="2634" spans="1:29" ht="32.25" hidden="1" customHeight="1">
      <c r="A2634" s="17"/>
      <c r="B2634" s="9" t="s">
        <v>13284</v>
      </c>
      <c r="C2634" s="9" t="s">
        <v>13284</v>
      </c>
      <c r="D2634" s="9" t="s">
        <v>13284</v>
      </c>
      <c r="E2634" s="9" t="s">
        <v>13284</v>
      </c>
      <c r="F2634" s="9" t="s">
        <v>13284</v>
      </c>
      <c r="G2634" s="9" t="s">
        <v>13284</v>
      </c>
      <c r="H2634" s="9" t="s">
        <v>13284</v>
      </c>
      <c r="I2634" s="9" t="s">
        <v>13284</v>
      </c>
      <c r="J2634" s="9" t="s">
        <v>13284</v>
      </c>
      <c r="K2634" s="9" t="s">
        <v>13284</v>
      </c>
      <c r="L2634" s="9" t="s">
        <v>13284</v>
      </c>
      <c r="M2634" s="9" t="s">
        <v>13284</v>
      </c>
      <c r="N2634" s="9" t="s">
        <v>13284</v>
      </c>
      <c r="O2634" s="9" t="s">
        <v>13284</v>
      </c>
      <c r="P2634" s="9" t="s">
        <v>13284</v>
      </c>
      <c r="Q2634" s="9" t="s">
        <v>13284</v>
      </c>
      <c r="R2634" s="9" t="s">
        <v>13284</v>
      </c>
      <c r="S2634" s="9" t="s">
        <v>13284</v>
      </c>
      <c r="T2634" s="9" t="str">
        <f ca="1">IFERROR(IF(AND(VLOOKUP(A2634, 'Актуальное состояние (из общего'!A:C,3,0) = "", A2634 &lt;&gt; ""), "ПРОВЕРИТЬ", VLOOKUP(A2634, 'Актуальное состояние (из общего'!A:C,3,0)), "")</f>
        <v/>
      </c>
      <c r="U2634" s="9" t="s">
        <v>13284</v>
      </c>
      <c r="V2634" s="9" t="s">
        <v>13284</v>
      </c>
      <c r="W2634" s="12"/>
      <c r="X2634" s="9" t="str">
        <f t="array" ref="X2634">IFERROR(INDEX('Адреса общежитий (скрытый)'!$B$2:$B$9, MATCH(W2634, 'Адреса общежитий (скрытый)'!$A$2:$A$9, 0)), "")</f>
        <v/>
      </c>
      <c r="Y2634" s="18"/>
      <c r="Z2634" s="18"/>
      <c r="AA2634" s="18"/>
      <c r="AB2634" s="18"/>
      <c r="AC2634" s="18"/>
    </row>
    <row r="2635" spans="1:29" ht="32.25" hidden="1" customHeight="1">
      <c r="A2635" s="17"/>
      <c r="B2635" s="9" t="s">
        <v>13284</v>
      </c>
      <c r="C2635" s="9" t="s">
        <v>13284</v>
      </c>
      <c r="D2635" s="9" t="s">
        <v>13284</v>
      </c>
      <c r="E2635" s="9" t="s">
        <v>13284</v>
      </c>
      <c r="F2635" s="9" t="s">
        <v>13284</v>
      </c>
      <c r="G2635" s="9" t="s">
        <v>13284</v>
      </c>
      <c r="H2635" s="9" t="s">
        <v>13284</v>
      </c>
      <c r="I2635" s="9" t="s">
        <v>13284</v>
      </c>
      <c r="J2635" s="9" t="s">
        <v>13284</v>
      </c>
      <c r="K2635" s="9" t="s">
        <v>13284</v>
      </c>
      <c r="L2635" s="9" t="s">
        <v>13284</v>
      </c>
      <c r="M2635" s="9" t="s">
        <v>13284</v>
      </c>
      <c r="N2635" s="9" t="s">
        <v>13284</v>
      </c>
      <c r="O2635" s="9" t="s">
        <v>13284</v>
      </c>
      <c r="P2635" s="9" t="s">
        <v>13284</v>
      </c>
      <c r="Q2635" s="9" t="s">
        <v>13284</v>
      </c>
      <c r="R2635" s="9" t="s">
        <v>13284</v>
      </c>
      <c r="S2635" s="9" t="s">
        <v>13284</v>
      </c>
      <c r="T2635" s="9" t="str">
        <f ca="1">IFERROR(IF(AND(VLOOKUP(A2635, 'Актуальное состояние (из общего'!A:C,3,0) = "", A2635 &lt;&gt; ""), "ПРОВЕРИТЬ", VLOOKUP(A2635, 'Актуальное состояние (из общего'!A:C,3,0)), "")</f>
        <v/>
      </c>
      <c r="U2635" s="9" t="s">
        <v>13284</v>
      </c>
      <c r="V2635" s="9" t="s">
        <v>13284</v>
      </c>
      <c r="W2635" s="12"/>
      <c r="X2635" s="9" t="str">
        <f t="array" ref="X2635">IFERROR(INDEX('Адреса общежитий (скрытый)'!$B$2:$B$9, MATCH(W2635, 'Адреса общежитий (скрытый)'!$A$2:$A$9, 0)), "")</f>
        <v/>
      </c>
      <c r="Y2635" s="18"/>
      <c r="Z2635" s="18"/>
      <c r="AA2635" s="18"/>
      <c r="AB2635" s="18"/>
      <c r="AC2635" s="18"/>
    </row>
    <row r="2636" spans="1:29" ht="32.25" hidden="1" customHeight="1">
      <c r="A2636" s="17"/>
      <c r="B2636" s="9" t="s">
        <v>13284</v>
      </c>
      <c r="C2636" s="9" t="s">
        <v>13284</v>
      </c>
      <c r="D2636" s="9" t="s">
        <v>13284</v>
      </c>
      <c r="E2636" s="9" t="s">
        <v>13284</v>
      </c>
      <c r="F2636" s="9" t="s">
        <v>13284</v>
      </c>
      <c r="G2636" s="9" t="s">
        <v>13284</v>
      </c>
      <c r="H2636" s="9" t="s">
        <v>13284</v>
      </c>
      <c r="I2636" s="9" t="s">
        <v>13284</v>
      </c>
      <c r="J2636" s="9" t="s">
        <v>13284</v>
      </c>
      <c r="K2636" s="9" t="s">
        <v>13284</v>
      </c>
      <c r="L2636" s="9" t="s">
        <v>13284</v>
      </c>
      <c r="M2636" s="9" t="s">
        <v>13284</v>
      </c>
      <c r="N2636" s="9" t="s">
        <v>13284</v>
      </c>
      <c r="O2636" s="9" t="s">
        <v>13284</v>
      </c>
      <c r="P2636" s="9" t="s">
        <v>13284</v>
      </c>
      <c r="Q2636" s="9" t="s">
        <v>13284</v>
      </c>
      <c r="R2636" s="9" t="s">
        <v>13284</v>
      </c>
      <c r="S2636" s="9" t="s">
        <v>13284</v>
      </c>
      <c r="T2636" s="9" t="str">
        <f ca="1">IFERROR(IF(AND(VLOOKUP(A2636, 'Актуальное состояние (из общего'!A:C,3,0) = "", A2636 &lt;&gt; ""), "ПРОВЕРИТЬ", VLOOKUP(A2636, 'Актуальное состояние (из общего'!A:C,3,0)), "")</f>
        <v/>
      </c>
      <c r="U2636" s="9" t="s">
        <v>13284</v>
      </c>
      <c r="V2636" s="9" t="s">
        <v>13284</v>
      </c>
      <c r="W2636" s="12"/>
      <c r="X2636" s="9" t="str">
        <f t="array" ref="X2636">IFERROR(INDEX('Адреса общежитий (скрытый)'!$B$2:$B$9, MATCH(W2636, 'Адреса общежитий (скрытый)'!$A$2:$A$9, 0)), "")</f>
        <v/>
      </c>
      <c r="Y2636" s="18"/>
      <c r="Z2636" s="18"/>
      <c r="AA2636" s="18"/>
      <c r="AB2636" s="18"/>
      <c r="AC2636" s="18"/>
    </row>
    <row r="2637" spans="1:29" ht="32.25" hidden="1" customHeight="1">
      <c r="A2637" s="17"/>
      <c r="B2637" s="9" t="s">
        <v>13284</v>
      </c>
      <c r="C2637" s="9" t="s">
        <v>13284</v>
      </c>
      <c r="D2637" s="9" t="s">
        <v>13284</v>
      </c>
      <c r="E2637" s="9" t="s">
        <v>13284</v>
      </c>
      <c r="F2637" s="9" t="s">
        <v>13284</v>
      </c>
      <c r="G2637" s="9" t="s">
        <v>13284</v>
      </c>
      <c r="H2637" s="9" t="s">
        <v>13284</v>
      </c>
      <c r="I2637" s="9" t="s">
        <v>13284</v>
      </c>
      <c r="J2637" s="9" t="s">
        <v>13284</v>
      </c>
      <c r="K2637" s="9" t="s">
        <v>13284</v>
      </c>
      <c r="L2637" s="9" t="s">
        <v>13284</v>
      </c>
      <c r="M2637" s="9" t="s">
        <v>13284</v>
      </c>
      <c r="N2637" s="9" t="s">
        <v>13284</v>
      </c>
      <c r="O2637" s="9" t="s">
        <v>13284</v>
      </c>
      <c r="P2637" s="9" t="s">
        <v>13284</v>
      </c>
      <c r="Q2637" s="9" t="s">
        <v>13284</v>
      </c>
      <c r="R2637" s="9" t="s">
        <v>13284</v>
      </c>
      <c r="S2637" s="9" t="s">
        <v>13284</v>
      </c>
      <c r="T2637" s="9" t="str">
        <f ca="1">IFERROR(IF(AND(VLOOKUP(A2637, 'Актуальное состояние (из общего'!A:C,3,0) = "", A2637 &lt;&gt; ""), "ПРОВЕРИТЬ", VLOOKUP(A2637, 'Актуальное состояние (из общего'!A:C,3,0)), "")</f>
        <v/>
      </c>
      <c r="U2637" s="9" t="s">
        <v>13284</v>
      </c>
      <c r="V2637" s="9" t="s">
        <v>13284</v>
      </c>
      <c r="W2637" s="12"/>
      <c r="X2637" s="9" t="str">
        <f t="array" ref="X2637">IFERROR(INDEX('Адреса общежитий (скрытый)'!$B$2:$B$9, MATCH(W2637, 'Адреса общежитий (скрытый)'!$A$2:$A$9, 0)), "")</f>
        <v/>
      </c>
      <c r="Y2637" s="18"/>
      <c r="Z2637" s="18"/>
      <c r="AA2637" s="18"/>
      <c r="AB2637" s="18"/>
      <c r="AC2637" s="18"/>
    </row>
    <row r="2638" spans="1:29" ht="32.25" hidden="1" customHeight="1">
      <c r="A2638" s="17"/>
      <c r="B2638" s="9" t="s">
        <v>13284</v>
      </c>
      <c r="C2638" s="9" t="s">
        <v>13284</v>
      </c>
      <c r="D2638" s="9" t="s">
        <v>13284</v>
      </c>
      <c r="E2638" s="9" t="s">
        <v>13284</v>
      </c>
      <c r="F2638" s="9" t="s">
        <v>13284</v>
      </c>
      <c r="G2638" s="9" t="s">
        <v>13284</v>
      </c>
      <c r="H2638" s="9" t="s">
        <v>13284</v>
      </c>
      <c r="I2638" s="9" t="s">
        <v>13284</v>
      </c>
      <c r="J2638" s="9" t="s">
        <v>13284</v>
      </c>
      <c r="K2638" s="9" t="s">
        <v>13284</v>
      </c>
      <c r="L2638" s="9" t="s">
        <v>13284</v>
      </c>
      <c r="M2638" s="9" t="s">
        <v>13284</v>
      </c>
      <c r="N2638" s="9" t="s">
        <v>13284</v>
      </c>
      <c r="O2638" s="9" t="s">
        <v>13284</v>
      </c>
      <c r="P2638" s="9" t="s">
        <v>13284</v>
      </c>
      <c r="Q2638" s="9" t="s">
        <v>13284</v>
      </c>
      <c r="R2638" s="9" t="s">
        <v>13284</v>
      </c>
      <c r="S2638" s="9" t="s">
        <v>13284</v>
      </c>
      <c r="T2638" s="9" t="str">
        <f ca="1">IFERROR(IF(AND(VLOOKUP(A2638, 'Актуальное состояние (из общего'!A:C,3,0) = "", A2638 &lt;&gt; ""), "ПРОВЕРИТЬ", VLOOKUP(A2638, 'Актуальное состояние (из общего'!A:C,3,0)), "")</f>
        <v/>
      </c>
      <c r="U2638" s="9" t="s">
        <v>13284</v>
      </c>
      <c r="V2638" s="9" t="s">
        <v>13284</v>
      </c>
      <c r="W2638" s="12"/>
      <c r="X2638" s="9" t="str">
        <f t="array" ref="X2638">IFERROR(INDEX('Адреса общежитий (скрытый)'!$B$2:$B$9, MATCH(W2638, 'Адреса общежитий (скрытый)'!$A$2:$A$9, 0)), "")</f>
        <v/>
      </c>
      <c r="Y2638" s="18"/>
      <c r="Z2638" s="18"/>
      <c r="AA2638" s="18"/>
      <c r="AB2638" s="18"/>
      <c r="AC2638" s="18"/>
    </row>
    <row r="2639" spans="1:29" ht="32.25" hidden="1" customHeight="1">
      <c r="A2639" s="17"/>
      <c r="B2639" s="9" t="s">
        <v>13284</v>
      </c>
      <c r="C2639" s="9" t="s">
        <v>13284</v>
      </c>
      <c r="D2639" s="9" t="s">
        <v>13284</v>
      </c>
      <c r="E2639" s="9" t="s">
        <v>13284</v>
      </c>
      <c r="F2639" s="9" t="s">
        <v>13284</v>
      </c>
      <c r="G2639" s="9" t="s">
        <v>13284</v>
      </c>
      <c r="H2639" s="9" t="s">
        <v>13284</v>
      </c>
      <c r="I2639" s="9" t="s">
        <v>13284</v>
      </c>
      <c r="J2639" s="9" t="s">
        <v>13284</v>
      </c>
      <c r="K2639" s="9" t="s">
        <v>13284</v>
      </c>
      <c r="L2639" s="9" t="s">
        <v>13284</v>
      </c>
      <c r="M2639" s="9" t="s">
        <v>13284</v>
      </c>
      <c r="N2639" s="9" t="s">
        <v>13284</v>
      </c>
      <c r="O2639" s="9" t="s">
        <v>13284</v>
      </c>
      <c r="P2639" s="9" t="s">
        <v>13284</v>
      </c>
      <c r="Q2639" s="9" t="s">
        <v>13284</v>
      </c>
      <c r="R2639" s="9" t="s">
        <v>13284</v>
      </c>
      <c r="S2639" s="9" t="s">
        <v>13284</v>
      </c>
      <c r="T2639" s="9" t="str">
        <f ca="1">IFERROR(IF(AND(VLOOKUP(A2639, 'Актуальное состояние (из общего'!A:C,3,0) = "", A2639 &lt;&gt; ""), "ПРОВЕРИТЬ", VLOOKUP(A2639, 'Актуальное состояние (из общего'!A:C,3,0)), "")</f>
        <v/>
      </c>
      <c r="U2639" s="9" t="s">
        <v>13284</v>
      </c>
      <c r="V2639" s="9" t="s">
        <v>13284</v>
      </c>
      <c r="W2639" s="12"/>
      <c r="X2639" s="9" t="str">
        <f t="array" ref="X2639">IFERROR(INDEX('Адреса общежитий (скрытый)'!$B$2:$B$9, MATCH(W2639, 'Адреса общежитий (скрытый)'!$A$2:$A$9, 0)), "")</f>
        <v/>
      </c>
      <c r="Y2639" s="18"/>
      <c r="Z2639" s="18"/>
      <c r="AA2639" s="18"/>
      <c r="AB2639" s="18"/>
      <c r="AC2639" s="18"/>
    </row>
    <row r="2640" spans="1:29" ht="32.25" hidden="1" customHeight="1">
      <c r="A2640" s="17"/>
      <c r="B2640" s="9" t="s">
        <v>13284</v>
      </c>
      <c r="C2640" s="9" t="s">
        <v>13284</v>
      </c>
      <c r="D2640" s="9" t="s">
        <v>13284</v>
      </c>
      <c r="E2640" s="9" t="s">
        <v>13284</v>
      </c>
      <c r="F2640" s="9" t="s">
        <v>13284</v>
      </c>
      <c r="G2640" s="9" t="s">
        <v>13284</v>
      </c>
      <c r="H2640" s="9" t="s">
        <v>13284</v>
      </c>
      <c r="I2640" s="9" t="s">
        <v>13284</v>
      </c>
      <c r="J2640" s="9" t="s">
        <v>13284</v>
      </c>
      <c r="K2640" s="9" t="s">
        <v>13284</v>
      </c>
      <c r="L2640" s="9" t="s">
        <v>13284</v>
      </c>
      <c r="M2640" s="9" t="s">
        <v>13284</v>
      </c>
      <c r="N2640" s="9" t="s">
        <v>13284</v>
      </c>
      <c r="O2640" s="9" t="s">
        <v>13284</v>
      </c>
      <c r="P2640" s="9" t="s">
        <v>13284</v>
      </c>
      <c r="Q2640" s="9" t="s">
        <v>13284</v>
      </c>
      <c r="R2640" s="9" t="s">
        <v>13284</v>
      </c>
      <c r="S2640" s="9" t="s">
        <v>13284</v>
      </c>
      <c r="T2640" s="9" t="str">
        <f ca="1">IFERROR(IF(AND(VLOOKUP(A2640, 'Актуальное состояние (из общего'!A:C,3,0) = "", A2640 &lt;&gt; ""), "ПРОВЕРИТЬ", VLOOKUP(A2640, 'Актуальное состояние (из общего'!A:C,3,0)), "")</f>
        <v/>
      </c>
      <c r="U2640" s="9" t="s">
        <v>13284</v>
      </c>
      <c r="V2640" s="9" t="s">
        <v>13284</v>
      </c>
      <c r="W2640" s="12"/>
      <c r="X2640" s="9" t="str">
        <f t="array" ref="X2640">IFERROR(INDEX('Адреса общежитий (скрытый)'!$B$2:$B$9, MATCH(W2640, 'Адреса общежитий (скрытый)'!$A$2:$A$9, 0)), "")</f>
        <v/>
      </c>
      <c r="Y2640" s="18"/>
      <c r="Z2640" s="18"/>
      <c r="AA2640" s="18"/>
      <c r="AB2640" s="18"/>
      <c r="AC2640" s="18"/>
    </row>
    <row r="2641" spans="1:29" ht="32.25" hidden="1" customHeight="1">
      <c r="A2641" s="17"/>
      <c r="B2641" s="9" t="s">
        <v>13284</v>
      </c>
      <c r="C2641" s="9" t="s">
        <v>13284</v>
      </c>
      <c r="D2641" s="9" t="s">
        <v>13284</v>
      </c>
      <c r="E2641" s="9" t="s">
        <v>13284</v>
      </c>
      <c r="F2641" s="9" t="s">
        <v>13284</v>
      </c>
      <c r="G2641" s="9" t="s">
        <v>13284</v>
      </c>
      <c r="H2641" s="9" t="s">
        <v>13284</v>
      </c>
      <c r="I2641" s="9" t="s">
        <v>13284</v>
      </c>
      <c r="J2641" s="9" t="s">
        <v>13284</v>
      </c>
      <c r="K2641" s="9" t="s">
        <v>13284</v>
      </c>
      <c r="L2641" s="9" t="s">
        <v>13284</v>
      </c>
      <c r="M2641" s="9" t="s">
        <v>13284</v>
      </c>
      <c r="N2641" s="9" t="s">
        <v>13284</v>
      </c>
      <c r="O2641" s="9" t="s">
        <v>13284</v>
      </c>
      <c r="P2641" s="9" t="s">
        <v>13284</v>
      </c>
      <c r="Q2641" s="9" t="s">
        <v>13284</v>
      </c>
      <c r="R2641" s="9" t="s">
        <v>13284</v>
      </c>
      <c r="S2641" s="9" t="s">
        <v>13284</v>
      </c>
      <c r="T2641" s="9" t="str">
        <f ca="1">IFERROR(IF(AND(VLOOKUP(A2641, 'Актуальное состояние (из общего'!A:C,3,0) = "", A2641 &lt;&gt; ""), "ПРОВЕРИТЬ", VLOOKUP(A2641, 'Актуальное состояние (из общего'!A:C,3,0)), "")</f>
        <v/>
      </c>
      <c r="U2641" s="9" t="s">
        <v>13284</v>
      </c>
      <c r="V2641" s="9" t="s">
        <v>13284</v>
      </c>
      <c r="W2641" s="12"/>
      <c r="X2641" s="9" t="str">
        <f t="array" ref="X2641">IFERROR(INDEX('Адреса общежитий (скрытый)'!$B$2:$B$9, MATCH(W2641, 'Адреса общежитий (скрытый)'!$A$2:$A$9, 0)), "")</f>
        <v/>
      </c>
      <c r="Y2641" s="18"/>
      <c r="Z2641" s="18"/>
      <c r="AA2641" s="18"/>
      <c r="AB2641" s="18"/>
      <c r="AC2641" s="18"/>
    </row>
    <row r="2642" spans="1:29" ht="32.25" hidden="1" customHeight="1">
      <c r="A2642" s="17"/>
      <c r="B2642" s="9" t="s">
        <v>13284</v>
      </c>
      <c r="C2642" s="9" t="s">
        <v>13284</v>
      </c>
      <c r="D2642" s="9" t="s">
        <v>13284</v>
      </c>
      <c r="E2642" s="9" t="s">
        <v>13284</v>
      </c>
      <c r="F2642" s="9" t="s">
        <v>13284</v>
      </c>
      <c r="G2642" s="9" t="s">
        <v>13284</v>
      </c>
      <c r="H2642" s="9" t="s">
        <v>13284</v>
      </c>
      <c r="I2642" s="9" t="s">
        <v>13284</v>
      </c>
      <c r="J2642" s="9" t="s">
        <v>13284</v>
      </c>
      <c r="K2642" s="9" t="s">
        <v>13284</v>
      </c>
      <c r="L2642" s="9" t="s">
        <v>13284</v>
      </c>
      <c r="M2642" s="9" t="s">
        <v>13284</v>
      </c>
      <c r="N2642" s="9" t="s">
        <v>13284</v>
      </c>
      <c r="O2642" s="9" t="s">
        <v>13284</v>
      </c>
      <c r="P2642" s="9" t="s">
        <v>13284</v>
      </c>
      <c r="Q2642" s="9" t="s">
        <v>13284</v>
      </c>
      <c r="R2642" s="9" t="s">
        <v>13284</v>
      </c>
      <c r="S2642" s="9" t="s">
        <v>13284</v>
      </c>
      <c r="T2642" s="9" t="str">
        <f ca="1">IFERROR(IF(AND(VLOOKUP(A2642, 'Актуальное состояние (из общего'!A:C,3,0) = "", A2642 &lt;&gt; ""), "ПРОВЕРИТЬ", VLOOKUP(A2642, 'Актуальное состояние (из общего'!A:C,3,0)), "")</f>
        <v/>
      </c>
      <c r="U2642" s="9" t="s">
        <v>13284</v>
      </c>
      <c r="V2642" s="9" t="s">
        <v>13284</v>
      </c>
      <c r="W2642" s="12"/>
      <c r="X2642" s="9" t="str">
        <f t="array" ref="X2642">IFERROR(INDEX('Адреса общежитий (скрытый)'!$B$2:$B$9, MATCH(W2642, 'Адреса общежитий (скрытый)'!$A$2:$A$9, 0)), "")</f>
        <v/>
      </c>
      <c r="Y2642" s="18"/>
      <c r="Z2642" s="18"/>
      <c r="AA2642" s="18"/>
      <c r="AB2642" s="18"/>
      <c r="AC2642" s="18"/>
    </row>
    <row r="2643" spans="1:29" ht="32.25" hidden="1" customHeight="1">
      <c r="A2643" s="17"/>
      <c r="B2643" s="9" t="s">
        <v>13284</v>
      </c>
      <c r="C2643" s="9" t="s">
        <v>13284</v>
      </c>
      <c r="D2643" s="9" t="s">
        <v>13284</v>
      </c>
      <c r="E2643" s="9" t="s">
        <v>13284</v>
      </c>
      <c r="F2643" s="9" t="s">
        <v>13284</v>
      </c>
      <c r="G2643" s="9" t="s">
        <v>13284</v>
      </c>
      <c r="H2643" s="9" t="s">
        <v>13284</v>
      </c>
      <c r="I2643" s="9" t="s">
        <v>13284</v>
      </c>
      <c r="J2643" s="9" t="s">
        <v>13284</v>
      </c>
      <c r="K2643" s="9" t="s">
        <v>13284</v>
      </c>
      <c r="L2643" s="9" t="s">
        <v>13284</v>
      </c>
      <c r="M2643" s="9" t="s">
        <v>13284</v>
      </c>
      <c r="N2643" s="9" t="s">
        <v>13284</v>
      </c>
      <c r="O2643" s="9" t="s">
        <v>13284</v>
      </c>
      <c r="P2643" s="9" t="s">
        <v>13284</v>
      </c>
      <c r="Q2643" s="9" t="s">
        <v>13284</v>
      </c>
      <c r="R2643" s="9" t="s">
        <v>13284</v>
      </c>
      <c r="S2643" s="9" t="s">
        <v>13284</v>
      </c>
      <c r="T2643" s="9" t="str">
        <f ca="1">IFERROR(IF(AND(VLOOKUP(A2643, 'Актуальное состояние (из общего'!A:C,3,0) = "", A2643 &lt;&gt; ""), "ПРОВЕРИТЬ", VLOOKUP(A2643, 'Актуальное состояние (из общего'!A:C,3,0)), "")</f>
        <v/>
      </c>
      <c r="U2643" s="9" t="s">
        <v>13284</v>
      </c>
      <c r="V2643" s="9" t="s">
        <v>13284</v>
      </c>
      <c r="W2643" s="12"/>
      <c r="X2643" s="9" t="str">
        <f t="array" ref="X2643">IFERROR(INDEX('Адреса общежитий (скрытый)'!$B$2:$B$9, MATCH(W2643, 'Адреса общежитий (скрытый)'!$A$2:$A$9, 0)), "")</f>
        <v/>
      </c>
      <c r="Y2643" s="18"/>
      <c r="Z2643" s="18"/>
      <c r="AA2643" s="18"/>
      <c r="AB2643" s="18"/>
      <c r="AC2643" s="18"/>
    </row>
    <row r="2644" spans="1:29" ht="32.25" hidden="1" customHeight="1">
      <c r="A2644" s="17"/>
      <c r="B2644" s="9" t="s">
        <v>13284</v>
      </c>
      <c r="C2644" s="9" t="s">
        <v>13284</v>
      </c>
      <c r="D2644" s="9" t="s">
        <v>13284</v>
      </c>
      <c r="E2644" s="9" t="s">
        <v>13284</v>
      </c>
      <c r="F2644" s="9" t="s">
        <v>13284</v>
      </c>
      <c r="G2644" s="9" t="s">
        <v>13284</v>
      </c>
      <c r="H2644" s="9" t="s">
        <v>13284</v>
      </c>
      <c r="I2644" s="9" t="s">
        <v>13284</v>
      </c>
      <c r="J2644" s="9" t="s">
        <v>13284</v>
      </c>
      <c r="K2644" s="9" t="s">
        <v>13284</v>
      </c>
      <c r="L2644" s="9" t="s">
        <v>13284</v>
      </c>
      <c r="M2644" s="9" t="s">
        <v>13284</v>
      </c>
      <c r="N2644" s="9" t="s">
        <v>13284</v>
      </c>
      <c r="O2644" s="9" t="s">
        <v>13284</v>
      </c>
      <c r="P2644" s="9" t="s">
        <v>13284</v>
      </c>
      <c r="Q2644" s="9" t="s">
        <v>13284</v>
      </c>
      <c r="R2644" s="9" t="s">
        <v>13284</v>
      </c>
      <c r="S2644" s="9" t="s">
        <v>13284</v>
      </c>
      <c r="T2644" s="9" t="str">
        <f ca="1">IFERROR(IF(AND(VLOOKUP(A2644, 'Актуальное состояние (из общего'!A:C,3,0) = "", A2644 &lt;&gt; ""), "ПРОВЕРИТЬ", VLOOKUP(A2644, 'Актуальное состояние (из общего'!A:C,3,0)), "")</f>
        <v/>
      </c>
      <c r="U2644" s="9" t="s">
        <v>13284</v>
      </c>
      <c r="V2644" s="9" t="s">
        <v>13284</v>
      </c>
      <c r="W2644" s="12"/>
      <c r="X2644" s="9" t="str">
        <f t="array" ref="X2644">IFERROR(INDEX('Адреса общежитий (скрытый)'!$B$2:$B$9, MATCH(W2644, 'Адреса общежитий (скрытый)'!$A$2:$A$9, 0)), "")</f>
        <v/>
      </c>
      <c r="Y2644" s="18"/>
      <c r="Z2644" s="18"/>
      <c r="AA2644" s="18"/>
      <c r="AB2644" s="18"/>
      <c r="AC2644" s="18"/>
    </row>
    <row r="2645" spans="1:29" ht="32.25" hidden="1" customHeight="1">
      <c r="A2645" s="17"/>
      <c r="B2645" s="9" t="s">
        <v>13284</v>
      </c>
      <c r="C2645" s="9" t="s">
        <v>13284</v>
      </c>
      <c r="D2645" s="9" t="s">
        <v>13284</v>
      </c>
      <c r="E2645" s="9" t="s">
        <v>13284</v>
      </c>
      <c r="F2645" s="9" t="s">
        <v>13284</v>
      </c>
      <c r="G2645" s="9" t="s">
        <v>13284</v>
      </c>
      <c r="H2645" s="9" t="s">
        <v>13284</v>
      </c>
      <c r="I2645" s="9" t="s">
        <v>13284</v>
      </c>
      <c r="J2645" s="9" t="s">
        <v>13284</v>
      </c>
      <c r="K2645" s="9" t="s">
        <v>13284</v>
      </c>
      <c r="L2645" s="9" t="s">
        <v>13284</v>
      </c>
      <c r="M2645" s="9" t="s">
        <v>13284</v>
      </c>
      <c r="N2645" s="9" t="s">
        <v>13284</v>
      </c>
      <c r="O2645" s="9" t="s">
        <v>13284</v>
      </c>
      <c r="P2645" s="9" t="s">
        <v>13284</v>
      </c>
      <c r="Q2645" s="9" t="s">
        <v>13284</v>
      </c>
      <c r="R2645" s="9" t="s">
        <v>13284</v>
      </c>
      <c r="S2645" s="9" t="s">
        <v>13284</v>
      </c>
      <c r="T2645" s="9" t="str">
        <f ca="1">IFERROR(IF(AND(VLOOKUP(A2645, 'Актуальное состояние (из общего'!A:C,3,0) = "", A2645 &lt;&gt; ""), "ПРОВЕРИТЬ", VLOOKUP(A2645, 'Актуальное состояние (из общего'!A:C,3,0)), "")</f>
        <v/>
      </c>
      <c r="U2645" s="9" t="s">
        <v>13284</v>
      </c>
      <c r="V2645" s="9" t="s">
        <v>13284</v>
      </c>
      <c r="W2645" s="12"/>
      <c r="X2645" s="9" t="str">
        <f t="array" ref="X2645">IFERROR(INDEX('Адреса общежитий (скрытый)'!$B$2:$B$9, MATCH(W2645, 'Адреса общежитий (скрытый)'!$A$2:$A$9, 0)), "")</f>
        <v/>
      </c>
      <c r="Y2645" s="18"/>
      <c r="Z2645" s="18"/>
      <c r="AA2645" s="18"/>
      <c r="AB2645" s="18"/>
      <c r="AC2645" s="18"/>
    </row>
    <row r="2646" spans="1:29" ht="32.25" hidden="1" customHeight="1">
      <c r="A2646" s="17"/>
      <c r="B2646" s="9" t="s">
        <v>13284</v>
      </c>
      <c r="C2646" s="9" t="s">
        <v>13284</v>
      </c>
      <c r="D2646" s="9" t="s">
        <v>13284</v>
      </c>
      <c r="E2646" s="9" t="s">
        <v>13284</v>
      </c>
      <c r="F2646" s="9" t="s">
        <v>13284</v>
      </c>
      <c r="G2646" s="9" t="s">
        <v>13284</v>
      </c>
      <c r="H2646" s="9" t="s">
        <v>13284</v>
      </c>
      <c r="I2646" s="9" t="s">
        <v>13284</v>
      </c>
      <c r="J2646" s="9" t="s">
        <v>13284</v>
      </c>
      <c r="K2646" s="9" t="s">
        <v>13284</v>
      </c>
      <c r="L2646" s="9" t="s">
        <v>13284</v>
      </c>
      <c r="M2646" s="9" t="s">
        <v>13284</v>
      </c>
      <c r="N2646" s="9" t="s">
        <v>13284</v>
      </c>
      <c r="O2646" s="9" t="s">
        <v>13284</v>
      </c>
      <c r="P2646" s="9" t="s">
        <v>13284</v>
      </c>
      <c r="Q2646" s="9" t="s">
        <v>13284</v>
      </c>
      <c r="R2646" s="9" t="s">
        <v>13284</v>
      </c>
      <c r="S2646" s="9" t="s">
        <v>13284</v>
      </c>
      <c r="T2646" s="9" t="str">
        <f ca="1">IFERROR(IF(AND(VLOOKUP(A2646, 'Актуальное состояние (из общего'!A:C,3,0) = "", A2646 &lt;&gt; ""), "ПРОВЕРИТЬ", VLOOKUP(A2646, 'Актуальное состояние (из общего'!A:C,3,0)), "")</f>
        <v/>
      </c>
      <c r="U2646" s="9" t="s">
        <v>13284</v>
      </c>
      <c r="V2646" s="9" t="s">
        <v>13284</v>
      </c>
      <c r="W2646" s="12"/>
      <c r="X2646" s="9" t="str">
        <f t="array" ref="X2646">IFERROR(INDEX('Адреса общежитий (скрытый)'!$B$2:$B$9, MATCH(W2646, 'Адреса общежитий (скрытый)'!$A$2:$A$9, 0)), "")</f>
        <v/>
      </c>
      <c r="Y2646" s="18"/>
      <c r="Z2646" s="18"/>
      <c r="AA2646" s="18"/>
      <c r="AB2646" s="18"/>
      <c r="AC2646" s="18"/>
    </row>
    <row r="2647" spans="1:29" ht="32.25" hidden="1" customHeight="1">
      <c r="A2647" s="17"/>
      <c r="B2647" s="9" t="s">
        <v>13284</v>
      </c>
      <c r="C2647" s="9" t="s">
        <v>13284</v>
      </c>
      <c r="D2647" s="9" t="s">
        <v>13284</v>
      </c>
      <c r="E2647" s="9" t="s">
        <v>13284</v>
      </c>
      <c r="F2647" s="9" t="s">
        <v>13284</v>
      </c>
      <c r="G2647" s="9" t="s">
        <v>13284</v>
      </c>
      <c r="H2647" s="9" t="s">
        <v>13284</v>
      </c>
      <c r="I2647" s="9" t="s">
        <v>13284</v>
      </c>
      <c r="J2647" s="9" t="s">
        <v>13284</v>
      </c>
      <c r="K2647" s="9" t="s">
        <v>13284</v>
      </c>
      <c r="L2647" s="9" t="s">
        <v>13284</v>
      </c>
      <c r="M2647" s="9" t="s">
        <v>13284</v>
      </c>
      <c r="N2647" s="9" t="s">
        <v>13284</v>
      </c>
      <c r="O2647" s="9" t="s">
        <v>13284</v>
      </c>
      <c r="P2647" s="9" t="s">
        <v>13284</v>
      </c>
      <c r="Q2647" s="9" t="s">
        <v>13284</v>
      </c>
      <c r="R2647" s="9" t="s">
        <v>13284</v>
      </c>
      <c r="S2647" s="9" t="s">
        <v>13284</v>
      </c>
      <c r="T2647" s="9" t="str">
        <f ca="1">IFERROR(IF(AND(VLOOKUP(A2647, 'Актуальное состояние (из общего'!A:C,3,0) = "", A2647 &lt;&gt; ""), "ПРОВЕРИТЬ", VLOOKUP(A2647, 'Актуальное состояние (из общего'!A:C,3,0)), "")</f>
        <v/>
      </c>
      <c r="U2647" s="9" t="s">
        <v>13284</v>
      </c>
      <c r="V2647" s="9" t="s">
        <v>13284</v>
      </c>
      <c r="W2647" s="12"/>
      <c r="X2647" s="9" t="str">
        <f t="array" ref="X2647">IFERROR(INDEX('Адреса общежитий (скрытый)'!$B$2:$B$9, MATCH(W2647, 'Адреса общежитий (скрытый)'!$A$2:$A$9, 0)), "")</f>
        <v/>
      </c>
      <c r="Y2647" s="18"/>
      <c r="Z2647" s="18"/>
      <c r="AA2647" s="18"/>
      <c r="AB2647" s="18"/>
      <c r="AC2647" s="18"/>
    </row>
    <row r="2648" spans="1:29" ht="32.25" hidden="1" customHeight="1">
      <c r="A2648" s="17"/>
      <c r="B2648" s="9" t="s">
        <v>13284</v>
      </c>
      <c r="C2648" s="9" t="s">
        <v>13284</v>
      </c>
      <c r="D2648" s="9" t="s">
        <v>13284</v>
      </c>
      <c r="E2648" s="9" t="s">
        <v>13284</v>
      </c>
      <c r="F2648" s="9" t="s">
        <v>13284</v>
      </c>
      <c r="G2648" s="9" t="s">
        <v>13284</v>
      </c>
      <c r="H2648" s="9" t="s">
        <v>13284</v>
      </c>
      <c r="I2648" s="9" t="s">
        <v>13284</v>
      </c>
      <c r="J2648" s="9" t="s">
        <v>13284</v>
      </c>
      <c r="K2648" s="9" t="s">
        <v>13284</v>
      </c>
      <c r="L2648" s="9" t="s">
        <v>13284</v>
      </c>
      <c r="M2648" s="9" t="s">
        <v>13284</v>
      </c>
      <c r="N2648" s="9" t="s">
        <v>13284</v>
      </c>
      <c r="O2648" s="9" t="s">
        <v>13284</v>
      </c>
      <c r="P2648" s="9" t="s">
        <v>13284</v>
      </c>
      <c r="Q2648" s="9" t="s">
        <v>13284</v>
      </c>
      <c r="R2648" s="9" t="s">
        <v>13284</v>
      </c>
      <c r="S2648" s="9" t="s">
        <v>13284</v>
      </c>
      <c r="T2648" s="9" t="str">
        <f ca="1">IFERROR(IF(AND(VLOOKUP(A2648, 'Актуальное состояние (из общего'!A:C,3,0) = "", A2648 &lt;&gt; ""), "ПРОВЕРИТЬ", VLOOKUP(A2648, 'Актуальное состояние (из общего'!A:C,3,0)), "")</f>
        <v/>
      </c>
      <c r="U2648" s="9" t="s">
        <v>13284</v>
      </c>
      <c r="V2648" s="9" t="s">
        <v>13284</v>
      </c>
      <c r="W2648" s="12"/>
      <c r="X2648" s="9" t="str">
        <f t="array" ref="X2648">IFERROR(INDEX('Адреса общежитий (скрытый)'!$B$2:$B$9, MATCH(W2648, 'Адреса общежитий (скрытый)'!$A$2:$A$9, 0)), "")</f>
        <v/>
      </c>
      <c r="Y2648" s="18"/>
      <c r="Z2648" s="18"/>
      <c r="AA2648" s="18"/>
      <c r="AB2648" s="18"/>
      <c r="AC2648" s="18"/>
    </row>
    <row r="2649" spans="1:29" ht="32.25" hidden="1" customHeight="1">
      <c r="A2649" s="17"/>
      <c r="B2649" s="9" t="s">
        <v>13284</v>
      </c>
      <c r="C2649" s="9" t="s">
        <v>13284</v>
      </c>
      <c r="D2649" s="9" t="s">
        <v>13284</v>
      </c>
      <c r="E2649" s="9" t="s">
        <v>13284</v>
      </c>
      <c r="F2649" s="9" t="s">
        <v>13284</v>
      </c>
      <c r="G2649" s="9" t="s">
        <v>13284</v>
      </c>
      <c r="H2649" s="9" t="s">
        <v>13284</v>
      </c>
      <c r="I2649" s="9" t="s">
        <v>13284</v>
      </c>
      <c r="J2649" s="9" t="s">
        <v>13284</v>
      </c>
      <c r="K2649" s="9" t="s">
        <v>13284</v>
      </c>
      <c r="L2649" s="9" t="s">
        <v>13284</v>
      </c>
      <c r="M2649" s="9" t="s">
        <v>13284</v>
      </c>
      <c r="N2649" s="9" t="s">
        <v>13284</v>
      </c>
      <c r="O2649" s="9" t="s">
        <v>13284</v>
      </c>
      <c r="P2649" s="9" t="s">
        <v>13284</v>
      </c>
      <c r="Q2649" s="9" t="s">
        <v>13284</v>
      </c>
      <c r="R2649" s="9" t="s">
        <v>13284</v>
      </c>
      <c r="S2649" s="9" t="s">
        <v>13284</v>
      </c>
      <c r="T2649" s="9" t="str">
        <f ca="1">IFERROR(IF(AND(VLOOKUP(A2649, 'Актуальное состояние (из общего'!A:C,3,0) = "", A2649 &lt;&gt; ""), "ПРОВЕРИТЬ", VLOOKUP(A2649, 'Актуальное состояние (из общего'!A:C,3,0)), "")</f>
        <v/>
      </c>
      <c r="U2649" s="9" t="s">
        <v>13284</v>
      </c>
      <c r="V2649" s="9" t="s">
        <v>13284</v>
      </c>
      <c r="W2649" s="12"/>
      <c r="X2649" s="9" t="str">
        <f t="array" ref="X2649">IFERROR(INDEX('Адреса общежитий (скрытый)'!$B$2:$B$9, MATCH(W2649, 'Адреса общежитий (скрытый)'!$A$2:$A$9, 0)), "")</f>
        <v/>
      </c>
      <c r="Y2649" s="18"/>
      <c r="Z2649" s="18"/>
      <c r="AA2649" s="18"/>
      <c r="AB2649" s="18"/>
      <c r="AC2649" s="18"/>
    </row>
    <row r="2650" spans="1:29" ht="32.25" hidden="1" customHeight="1">
      <c r="A2650" s="17"/>
      <c r="B2650" s="9" t="s">
        <v>13284</v>
      </c>
      <c r="C2650" s="9" t="s">
        <v>13284</v>
      </c>
      <c r="D2650" s="9" t="s">
        <v>13284</v>
      </c>
      <c r="E2650" s="9" t="s">
        <v>13284</v>
      </c>
      <c r="F2650" s="9" t="s">
        <v>13284</v>
      </c>
      <c r="G2650" s="9" t="s">
        <v>13284</v>
      </c>
      <c r="H2650" s="9" t="s">
        <v>13284</v>
      </c>
      <c r="I2650" s="9" t="s">
        <v>13284</v>
      </c>
      <c r="J2650" s="9" t="s">
        <v>13284</v>
      </c>
      <c r="K2650" s="9" t="s">
        <v>13284</v>
      </c>
      <c r="L2650" s="9" t="s">
        <v>13284</v>
      </c>
      <c r="M2650" s="9" t="s">
        <v>13284</v>
      </c>
      <c r="N2650" s="9" t="s">
        <v>13284</v>
      </c>
      <c r="O2650" s="9" t="s">
        <v>13284</v>
      </c>
      <c r="P2650" s="9" t="s">
        <v>13284</v>
      </c>
      <c r="Q2650" s="9" t="s">
        <v>13284</v>
      </c>
      <c r="R2650" s="9" t="s">
        <v>13284</v>
      </c>
      <c r="S2650" s="9" t="s">
        <v>13284</v>
      </c>
      <c r="T2650" s="9" t="str">
        <f ca="1">IFERROR(IF(AND(VLOOKUP(A2650, 'Актуальное состояние (из общего'!A:C,3,0) = "", A2650 &lt;&gt; ""), "ПРОВЕРИТЬ", VLOOKUP(A2650, 'Актуальное состояние (из общего'!A:C,3,0)), "")</f>
        <v/>
      </c>
      <c r="U2650" s="9" t="s">
        <v>13284</v>
      </c>
      <c r="V2650" s="9" t="s">
        <v>13284</v>
      </c>
      <c r="W2650" s="12"/>
      <c r="X2650" s="9" t="str">
        <f t="array" ref="X2650">IFERROR(INDEX('Адреса общежитий (скрытый)'!$B$2:$B$9, MATCH(W2650, 'Адреса общежитий (скрытый)'!$A$2:$A$9, 0)), "")</f>
        <v/>
      </c>
      <c r="Y2650" s="18"/>
      <c r="Z2650" s="18"/>
      <c r="AA2650" s="18"/>
      <c r="AB2650" s="18"/>
      <c r="AC2650" s="18"/>
    </row>
    <row r="2651" spans="1:29" ht="32.25" hidden="1" customHeight="1">
      <c r="A2651" s="17"/>
      <c r="B2651" s="9" t="s">
        <v>13284</v>
      </c>
      <c r="C2651" s="9" t="s">
        <v>13284</v>
      </c>
      <c r="D2651" s="9" t="s">
        <v>13284</v>
      </c>
      <c r="E2651" s="9" t="s">
        <v>13284</v>
      </c>
      <c r="F2651" s="9" t="s">
        <v>13284</v>
      </c>
      <c r="G2651" s="9" t="s">
        <v>13284</v>
      </c>
      <c r="H2651" s="9" t="s">
        <v>13284</v>
      </c>
      <c r="I2651" s="9" t="s">
        <v>13284</v>
      </c>
      <c r="J2651" s="9" t="s">
        <v>13284</v>
      </c>
      <c r="K2651" s="9" t="s">
        <v>13284</v>
      </c>
      <c r="L2651" s="9" t="s">
        <v>13284</v>
      </c>
      <c r="M2651" s="9" t="s">
        <v>13284</v>
      </c>
      <c r="N2651" s="9" t="s">
        <v>13284</v>
      </c>
      <c r="O2651" s="9" t="s">
        <v>13284</v>
      </c>
      <c r="P2651" s="9" t="s">
        <v>13284</v>
      </c>
      <c r="Q2651" s="9" t="s">
        <v>13284</v>
      </c>
      <c r="R2651" s="9" t="s">
        <v>13284</v>
      </c>
      <c r="S2651" s="9" t="s">
        <v>13284</v>
      </c>
      <c r="T2651" s="9" t="str">
        <f ca="1">IFERROR(IF(AND(VLOOKUP(A2651, 'Актуальное состояние (из общего'!A:C,3,0) = "", A2651 &lt;&gt; ""), "ПРОВЕРИТЬ", VLOOKUP(A2651, 'Актуальное состояние (из общего'!A:C,3,0)), "")</f>
        <v/>
      </c>
      <c r="U2651" s="9" t="s">
        <v>13284</v>
      </c>
      <c r="V2651" s="9" t="s">
        <v>13284</v>
      </c>
      <c r="W2651" s="12"/>
      <c r="X2651" s="9" t="str">
        <f t="array" ref="X2651">IFERROR(INDEX('Адреса общежитий (скрытый)'!$B$2:$B$9, MATCH(W2651, 'Адреса общежитий (скрытый)'!$A$2:$A$9, 0)), "")</f>
        <v/>
      </c>
      <c r="Y2651" s="18"/>
      <c r="Z2651" s="18"/>
      <c r="AA2651" s="18"/>
      <c r="AB2651" s="18"/>
      <c r="AC2651" s="18"/>
    </row>
    <row r="2652" spans="1:29" ht="32.25" hidden="1" customHeight="1">
      <c r="A2652" s="17"/>
      <c r="B2652" s="9" t="s">
        <v>13284</v>
      </c>
      <c r="C2652" s="9" t="s">
        <v>13284</v>
      </c>
      <c r="D2652" s="9" t="s">
        <v>13284</v>
      </c>
      <c r="E2652" s="9" t="s">
        <v>13284</v>
      </c>
      <c r="F2652" s="9" t="s">
        <v>13284</v>
      </c>
      <c r="G2652" s="9" t="s">
        <v>13284</v>
      </c>
      <c r="H2652" s="9" t="s">
        <v>13284</v>
      </c>
      <c r="I2652" s="9" t="s">
        <v>13284</v>
      </c>
      <c r="J2652" s="9" t="s">
        <v>13284</v>
      </c>
      <c r="K2652" s="9" t="s">
        <v>13284</v>
      </c>
      <c r="L2652" s="9" t="s">
        <v>13284</v>
      </c>
      <c r="M2652" s="9" t="s">
        <v>13284</v>
      </c>
      <c r="N2652" s="9" t="s">
        <v>13284</v>
      </c>
      <c r="O2652" s="9" t="s">
        <v>13284</v>
      </c>
      <c r="P2652" s="9" t="s">
        <v>13284</v>
      </c>
      <c r="Q2652" s="9" t="s">
        <v>13284</v>
      </c>
      <c r="R2652" s="9" t="s">
        <v>13284</v>
      </c>
      <c r="S2652" s="9" t="s">
        <v>13284</v>
      </c>
      <c r="T2652" s="9" t="str">
        <f ca="1">IFERROR(IF(AND(VLOOKUP(A2652, 'Актуальное состояние (из общего'!A:C,3,0) = "", A2652 &lt;&gt; ""), "ПРОВЕРИТЬ", VLOOKUP(A2652, 'Актуальное состояние (из общего'!A:C,3,0)), "")</f>
        <v/>
      </c>
      <c r="U2652" s="9" t="s">
        <v>13284</v>
      </c>
      <c r="V2652" s="9" t="s">
        <v>13284</v>
      </c>
      <c r="W2652" s="12"/>
      <c r="X2652" s="9" t="str">
        <f t="array" ref="X2652">IFERROR(INDEX('Адреса общежитий (скрытый)'!$B$2:$B$9, MATCH(W2652, 'Адреса общежитий (скрытый)'!$A$2:$A$9, 0)), "")</f>
        <v/>
      </c>
      <c r="Y2652" s="18"/>
      <c r="Z2652" s="18"/>
      <c r="AA2652" s="18"/>
      <c r="AB2652" s="18"/>
      <c r="AC2652" s="18"/>
    </row>
    <row r="2653" spans="1:29" ht="32.25" hidden="1" customHeight="1">
      <c r="A2653" s="17"/>
      <c r="B2653" s="9" t="s">
        <v>13284</v>
      </c>
      <c r="C2653" s="9" t="s">
        <v>13284</v>
      </c>
      <c r="D2653" s="9" t="s">
        <v>13284</v>
      </c>
      <c r="E2653" s="9" t="s">
        <v>13284</v>
      </c>
      <c r="F2653" s="9" t="s">
        <v>13284</v>
      </c>
      <c r="G2653" s="9" t="s">
        <v>13284</v>
      </c>
      <c r="H2653" s="9" t="s">
        <v>13284</v>
      </c>
      <c r="I2653" s="9" t="s">
        <v>13284</v>
      </c>
      <c r="J2653" s="9" t="s">
        <v>13284</v>
      </c>
      <c r="K2653" s="9" t="s">
        <v>13284</v>
      </c>
      <c r="L2653" s="9" t="s">
        <v>13284</v>
      </c>
      <c r="M2653" s="9" t="s">
        <v>13284</v>
      </c>
      <c r="N2653" s="9" t="s">
        <v>13284</v>
      </c>
      <c r="O2653" s="9" t="s">
        <v>13284</v>
      </c>
      <c r="P2653" s="9" t="s">
        <v>13284</v>
      </c>
      <c r="Q2653" s="9" t="s">
        <v>13284</v>
      </c>
      <c r="R2653" s="9" t="s">
        <v>13284</v>
      </c>
      <c r="S2653" s="9" t="s">
        <v>13284</v>
      </c>
      <c r="T2653" s="9" t="str">
        <f ca="1">IFERROR(IF(AND(VLOOKUP(A2653, 'Актуальное состояние (из общего'!A:C,3,0) = "", A2653 &lt;&gt; ""), "ПРОВЕРИТЬ", VLOOKUP(A2653, 'Актуальное состояние (из общего'!A:C,3,0)), "")</f>
        <v/>
      </c>
      <c r="U2653" s="9" t="s">
        <v>13284</v>
      </c>
      <c r="V2653" s="9" t="s">
        <v>13284</v>
      </c>
      <c r="W2653" s="12"/>
      <c r="X2653" s="9" t="str">
        <f t="array" ref="X2653">IFERROR(INDEX('Адреса общежитий (скрытый)'!$B$2:$B$9, MATCH(W2653, 'Адреса общежитий (скрытый)'!$A$2:$A$9, 0)), "")</f>
        <v/>
      </c>
      <c r="Y2653" s="18"/>
      <c r="Z2653" s="18"/>
      <c r="AA2653" s="18"/>
      <c r="AB2653" s="18"/>
      <c r="AC2653" s="18"/>
    </row>
    <row r="2654" spans="1:29" ht="32.25" hidden="1" customHeight="1">
      <c r="A2654" s="17"/>
      <c r="B2654" s="9" t="s">
        <v>13284</v>
      </c>
      <c r="C2654" s="9" t="s">
        <v>13284</v>
      </c>
      <c r="D2654" s="9" t="s">
        <v>13284</v>
      </c>
      <c r="E2654" s="9" t="s">
        <v>13284</v>
      </c>
      <c r="F2654" s="9" t="s">
        <v>13284</v>
      </c>
      <c r="G2654" s="9" t="s">
        <v>13284</v>
      </c>
      <c r="H2654" s="9" t="s">
        <v>13284</v>
      </c>
      <c r="I2654" s="9" t="s">
        <v>13284</v>
      </c>
      <c r="J2654" s="9" t="s">
        <v>13284</v>
      </c>
      <c r="K2654" s="9" t="s">
        <v>13284</v>
      </c>
      <c r="L2654" s="9" t="s">
        <v>13284</v>
      </c>
      <c r="M2654" s="9" t="s">
        <v>13284</v>
      </c>
      <c r="N2654" s="9" t="s">
        <v>13284</v>
      </c>
      <c r="O2654" s="9" t="s">
        <v>13284</v>
      </c>
      <c r="P2654" s="9" t="s">
        <v>13284</v>
      </c>
      <c r="Q2654" s="9" t="s">
        <v>13284</v>
      </c>
      <c r="R2654" s="9" t="s">
        <v>13284</v>
      </c>
      <c r="S2654" s="9" t="s">
        <v>13284</v>
      </c>
      <c r="T2654" s="9" t="str">
        <f ca="1">IFERROR(IF(AND(VLOOKUP(A2654, 'Актуальное состояние (из общего'!A:C,3,0) = "", A2654 &lt;&gt; ""), "ПРОВЕРИТЬ", VLOOKUP(A2654, 'Актуальное состояние (из общего'!A:C,3,0)), "")</f>
        <v/>
      </c>
      <c r="U2654" s="9" t="s">
        <v>13284</v>
      </c>
      <c r="V2654" s="9" t="s">
        <v>13284</v>
      </c>
      <c r="W2654" s="12"/>
      <c r="X2654" s="9" t="str">
        <f t="array" ref="X2654">IFERROR(INDEX('Адреса общежитий (скрытый)'!$B$2:$B$9, MATCH(W2654, 'Адреса общежитий (скрытый)'!$A$2:$A$9, 0)), "")</f>
        <v/>
      </c>
      <c r="Y2654" s="18"/>
      <c r="Z2654" s="18"/>
      <c r="AA2654" s="18"/>
      <c r="AB2654" s="18"/>
      <c r="AC2654" s="18"/>
    </row>
    <row r="2655" spans="1:29" ht="32.25" hidden="1" customHeight="1">
      <c r="A2655" s="17"/>
      <c r="B2655" s="9" t="s">
        <v>13284</v>
      </c>
      <c r="C2655" s="9" t="s">
        <v>13284</v>
      </c>
      <c r="D2655" s="9" t="s">
        <v>13284</v>
      </c>
      <c r="E2655" s="9" t="s">
        <v>13284</v>
      </c>
      <c r="F2655" s="9" t="s">
        <v>13284</v>
      </c>
      <c r="G2655" s="9" t="s">
        <v>13284</v>
      </c>
      <c r="H2655" s="9" t="s">
        <v>13284</v>
      </c>
      <c r="I2655" s="9" t="s">
        <v>13284</v>
      </c>
      <c r="J2655" s="9" t="s">
        <v>13284</v>
      </c>
      <c r="K2655" s="9" t="s">
        <v>13284</v>
      </c>
      <c r="L2655" s="9" t="s">
        <v>13284</v>
      </c>
      <c r="M2655" s="9" t="s">
        <v>13284</v>
      </c>
      <c r="N2655" s="9" t="s">
        <v>13284</v>
      </c>
      <c r="O2655" s="9" t="s">
        <v>13284</v>
      </c>
      <c r="P2655" s="9" t="s">
        <v>13284</v>
      </c>
      <c r="Q2655" s="9" t="s">
        <v>13284</v>
      </c>
      <c r="R2655" s="9" t="s">
        <v>13284</v>
      </c>
      <c r="S2655" s="9" t="s">
        <v>13284</v>
      </c>
      <c r="T2655" s="9" t="str">
        <f ca="1">IFERROR(IF(AND(VLOOKUP(A2655, 'Актуальное состояние (из общего'!A:C,3,0) = "", A2655 &lt;&gt; ""), "ПРОВЕРИТЬ", VLOOKUP(A2655, 'Актуальное состояние (из общего'!A:C,3,0)), "")</f>
        <v/>
      </c>
      <c r="U2655" s="9" t="s">
        <v>13284</v>
      </c>
      <c r="V2655" s="9" t="s">
        <v>13284</v>
      </c>
      <c r="W2655" s="12"/>
      <c r="X2655" s="9" t="str">
        <f t="array" ref="X2655">IFERROR(INDEX('Адреса общежитий (скрытый)'!$B$2:$B$9, MATCH(W2655, 'Адреса общежитий (скрытый)'!$A$2:$A$9, 0)), "")</f>
        <v/>
      </c>
      <c r="Y2655" s="18"/>
      <c r="Z2655" s="18"/>
      <c r="AA2655" s="18"/>
      <c r="AB2655" s="18"/>
      <c r="AC2655" s="18"/>
    </row>
    <row r="2656" spans="1:29" ht="32.25" hidden="1" customHeight="1">
      <c r="A2656" s="17"/>
      <c r="B2656" s="9" t="s">
        <v>13284</v>
      </c>
      <c r="C2656" s="9" t="s">
        <v>13284</v>
      </c>
      <c r="D2656" s="9" t="s">
        <v>13284</v>
      </c>
      <c r="E2656" s="9" t="s">
        <v>13284</v>
      </c>
      <c r="F2656" s="9" t="s">
        <v>13284</v>
      </c>
      <c r="G2656" s="9" t="s">
        <v>13284</v>
      </c>
      <c r="H2656" s="9" t="s">
        <v>13284</v>
      </c>
      <c r="I2656" s="9" t="s">
        <v>13284</v>
      </c>
      <c r="J2656" s="9" t="s">
        <v>13284</v>
      </c>
      <c r="K2656" s="9" t="s">
        <v>13284</v>
      </c>
      <c r="L2656" s="9" t="s">
        <v>13284</v>
      </c>
      <c r="M2656" s="9" t="s">
        <v>13284</v>
      </c>
      <c r="N2656" s="9" t="s">
        <v>13284</v>
      </c>
      <c r="O2656" s="9" t="s">
        <v>13284</v>
      </c>
      <c r="P2656" s="9" t="s">
        <v>13284</v>
      </c>
      <c r="Q2656" s="9" t="s">
        <v>13284</v>
      </c>
      <c r="R2656" s="9" t="s">
        <v>13284</v>
      </c>
      <c r="S2656" s="9" t="s">
        <v>13284</v>
      </c>
      <c r="T2656" s="9" t="str">
        <f ca="1">IFERROR(IF(AND(VLOOKUP(A2656, 'Актуальное состояние (из общего'!A:C,3,0) = "", A2656 &lt;&gt; ""), "ПРОВЕРИТЬ", VLOOKUP(A2656, 'Актуальное состояние (из общего'!A:C,3,0)), "")</f>
        <v/>
      </c>
      <c r="U2656" s="9" t="s">
        <v>13284</v>
      </c>
      <c r="V2656" s="9" t="s">
        <v>13284</v>
      </c>
      <c r="W2656" s="12"/>
      <c r="X2656" s="9" t="str">
        <f t="array" ref="X2656">IFERROR(INDEX('Адреса общежитий (скрытый)'!$B$2:$B$9, MATCH(W2656, 'Адреса общежитий (скрытый)'!$A$2:$A$9, 0)), "")</f>
        <v/>
      </c>
      <c r="Y2656" s="18"/>
      <c r="Z2656" s="18"/>
      <c r="AA2656" s="18"/>
      <c r="AB2656" s="18"/>
      <c r="AC2656" s="18"/>
    </row>
    <row r="2657" spans="1:29" ht="32.25" hidden="1" customHeight="1">
      <c r="A2657" s="17"/>
      <c r="B2657" s="9" t="s">
        <v>13284</v>
      </c>
      <c r="C2657" s="9" t="s">
        <v>13284</v>
      </c>
      <c r="D2657" s="9" t="s">
        <v>13284</v>
      </c>
      <c r="E2657" s="9" t="s">
        <v>13284</v>
      </c>
      <c r="F2657" s="9" t="s">
        <v>13284</v>
      </c>
      <c r="G2657" s="9" t="s">
        <v>13284</v>
      </c>
      <c r="H2657" s="9" t="s">
        <v>13284</v>
      </c>
      <c r="I2657" s="9" t="s">
        <v>13284</v>
      </c>
      <c r="J2657" s="9" t="s">
        <v>13284</v>
      </c>
      <c r="K2657" s="9" t="s">
        <v>13284</v>
      </c>
      <c r="L2657" s="9" t="s">
        <v>13284</v>
      </c>
      <c r="M2657" s="9" t="s">
        <v>13284</v>
      </c>
      <c r="N2657" s="9" t="s">
        <v>13284</v>
      </c>
      <c r="O2657" s="9" t="s">
        <v>13284</v>
      </c>
      <c r="P2657" s="9" t="s">
        <v>13284</v>
      </c>
      <c r="Q2657" s="9" t="s">
        <v>13284</v>
      </c>
      <c r="R2657" s="9" t="s">
        <v>13284</v>
      </c>
      <c r="S2657" s="9" t="s">
        <v>13284</v>
      </c>
      <c r="T2657" s="9" t="str">
        <f ca="1">IFERROR(IF(AND(VLOOKUP(A2657, 'Актуальное состояние (из общего'!A:C,3,0) = "", A2657 &lt;&gt; ""), "ПРОВЕРИТЬ", VLOOKUP(A2657, 'Актуальное состояние (из общего'!A:C,3,0)), "")</f>
        <v/>
      </c>
      <c r="U2657" s="9" t="s">
        <v>13284</v>
      </c>
      <c r="V2657" s="9" t="s">
        <v>13284</v>
      </c>
      <c r="W2657" s="12"/>
      <c r="X2657" s="9" t="str">
        <f t="array" ref="X2657">IFERROR(INDEX('Адреса общежитий (скрытый)'!$B$2:$B$9, MATCH(W2657, 'Адреса общежитий (скрытый)'!$A$2:$A$9, 0)), "")</f>
        <v/>
      </c>
      <c r="Y2657" s="18"/>
      <c r="Z2657" s="18"/>
      <c r="AA2657" s="18"/>
      <c r="AB2657" s="18"/>
      <c r="AC2657" s="18"/>
    </row>
    <row r="2658" spans="1:29" ht="32.25" hidden="1" customHeight="1">
      <c r="A2658" s="17"/>
      <c r="B2658" s="9" t="s">
        <v>13284</v>
      </c>
      <c r="C2658" s="9" t="s">
        <v>13284</v>
      </c>
      <c r="D2658" s="9" t="s">
        <v>13284</v>
      </c>
      <c r="E2658" s="9" t="s">
        <v>13284</v>
      </c>
      <c r="F2658" s="9" t="s">
        <v>13284</v>
      </c>
      <c r="G2658" s="9" t="s">
        <v>13284</v>
      </c>
      <c r="H2658" s="9" t="s">
        <v>13284</v>
      </c>
      <c r="I2658" s="9" t="s">
        <v>13284</v>
      </c>
      <c r="J2658" s="9" t="s">
        <v>13284</v>
      </c>
      <c r="K2658" s="9" t="s">
        <v>13284</v>
      </c>
      <c r="L2658" s="9" t="s">
        <v>13284</v>
      </c>
      <c r="M2658" s="9" t="s">
        <v>13284</v>
      </c>
      <c r="N2658" s="9" t="s">
        <v>13284</v>
      </c>
      <c r="O2658" s="9" t="s">
        <v>13284</v>
      </c>
      <c r="P2658" s="9" t="s">
        <v>13284</v>
      </c>
      <c r="Q2658" s="9" t="s">
        <v>13284</v>
      </c>
      <c r="R2658" s="9" t="s">
        <v>13284</v>
      </c>
      <c r="S2658" s="9" t="s">
        <v>13284</v>
      </c>
      <c r="T2658" s="9" t="str">
        <f ca="1">IFERROR(IF(AND(VLOOKUP(A2658, 'Актуальное состояние (из общего'!A:C,3,0) = "", A2658 &lt;&gt; ""), "ПРОВЕРИТЬ", VLOOKUP(A2658, 'Актуальное состояние (из общего'!A:C,3,0)), "")</f>
        <v/>
      </c>
      <c r="U2658" s="9" t="s">
        <v>13284</v>
      </c>
      <c r="V2658" s="9" t="s">
        <v>13284</v>
      </c>
      <c r="W2658" s="12"/>
      <c r="X2658" s="9" t="str">
        <f t="array" ref="X2658">IFERROR(INDEX('Адреса общежитий (скрытый)'!$B$2:$B$9, MATCH(W2658, 'Адреса общежитий (скрытый)'!$A$2:$A$9, 0)), "")</f>
        <v/>
      </c>
      <c r="Y2658" s="18"/>
      <c r="Z2658" s="18"/>
      <c r="AA2658" s="18"/>
      <c r="AB2658" s="18"/>
      <c r="AC2658" s="18"/>
    </row>
    <row r="2659" spans="1:29" ht="32.25" hidden="1" customHeight="1">
      <c r="A2659" s="17"/>
      <c r="B2659" s="9" t="s">
        <v>13284</v>
      </c>
      <c r="C2659" s="9" t="s">
        <v>13284</v>
      </c>
      <c r="D2659" s="9" t="s">
        <v>13284</v>
      </c>
      <c r="E2659" s="9" t="s">
        <v>13284</v>
      </c>
      <c r="F2659" s="9" t="s">
        <v>13284</v>
      </c>
      <c r="G2659" s="9" t="s">
        <v>13284</v>
      </c>
      <c r="H2659" s="9" t="s">
        <v>13284</v>
      </c>
      <c r="I2659" s="9" t="s">
        <v>13284</v>
      </c>
      <c r="J2659" s="9" t="s">
        <v>13284</v>
      </c>
      <c r="K2659" s="9" t="s">
        <v>13284</v>
      </c>
      <c r="L2659" s="9" t="s">
        <v>13284</v>
      </c>
      <c r="M2659" s="9" t="s">
        <v>13284</v>
      </c>
      <c r="N2659" s="9" t="s">
        <v>13284</v>
      </c>
      <c r="O2659" s="9" t="s">
        <v>13284</v>
      </c>
      <c r="P2659" s="9" t="s">
        <v>13284</v>
      </c>
      <c r="Q2659" s="9" t="s">
        <v>13284</v>
      </c>
      <c r="R2659" s="9" t="s">
        <v>13284</v>
      </c>
      <c r="S2659" s="9" t="s">
        <v>13284</v>
      </c>
      <c r="T2659" s="9" t="str">
        <f ca="1">IFERROR(IF(AND(VLOOKUP(A2659, 'Актуальное состояние (из общего'!A:C,3,0) = "", A2659 &lt;&gt; ""), "ПРОВЕРИТЬ", VLOOKUP(A2659, 'Актуальное состояние (из общего'!A:C,3,0)), "")</f>
        <v/>
      </c>
      <c r="U2659" s="9" t="s">
        <v>13284</v>
      </c>
      <c r="V2659" s="9" t="s">
        <v>13284</v>
      </c>
      <c r="W2659" s="12"/>
      <c r="X2659" s="9" t="str">
        <f t="array" ref="X2659">IFERROR(INDEX('Адреса общежитий (скрытый)'!$B$2:$B$9, MATCH(W2659, 'Адреса общежитий (скрытый)'!$A$2:$A$9, 0)), "")</f>
        <v/>
      </c>
      <c r="Y2659" s="18"/>
      <c r="Z2659" s="18"/>
      <c r="AA2659" s="18"/>
      <c r="AB2659" s="18"/>
      <c r="AC2659" s="18"/>
    </row>
    <row r="2660" spans="1:29" ht="32.25" hidden="1" customHeight="1">
      <c r="A2660" s="17"/>
      <c r="B2660" s="9" t="s">
        <v>13284</v>
      </c>
      <c r="C2660" s="9" t="s">
        <v>13284</v>
      </c>
      <c r="D2660" s="9" t="s">
        <v>13284</v>
      </c>
      <c r="E2660" s="9" t="s">
        <v>13284</v>
      </c>
      <c r="F2660" s="9" t="s">
        <v>13284</v>
      </c>
      <c r="G2660" s="9" t="s">
        <v>13284</v>
      </c>
      <c r="H2660" s="9" t="s">
        <v>13284</v>
      </c>
      <c r="I2660" s="9" t="s">
        <v>13284</v>
      </c>
      <c r="J2660" s="9" t="s">
        <v>13284</v>
      </c>
      <c r="K2660" s="9" t="s">
        <v>13284</v>
      </c>
      <c r="L2660" s="9" t="s">
        <v>13284</v>
      </c>
      <c r="M2660" s="9" t="s">
        <v>13284</v>
      </c>
      <c r="N2660" s="9" t="s">
        <v>13284</v>
      </c>
      <c r="O2660" s="9" t="s">
        <v>13284</v>
      </c>
      <c r="P2660" s="9" t="s">
        <v>13284</v>
      </c>
      <c r="Q2660" s="9" t="s">
        <v>13284</v>
      </c>
      <c r="R2660" s="9" t="s">
        <v>13284</v>
      </c>
      <c r="S2660" s="9" t="s">
        <v>13284</v>
      </c>
      <c r="T2660" s="9" t="str">
        <f ca="1">IFERROR(IF(AND(VLOOKUP(A2660, 'Актуальное состояние (из общего'!A:C,3,0) = "", A2660 &lt;&gt; ""), "ПРОВЕРИТЬ", VLOOKUP(A2660, 'Актуальное состояние (из общего'!A:C,3,0)), "")</f>
        <v/>
      </c>
      <c r="U2660" s="9" t="s">
        <v>13284</v>
      </c>
      <c r="V2660" s="9" t="s">
        <v>13284</v>
      </c>
      <c r="W2660" s="12"/>
      <c r="X2660" s="9" t="str">
        <f t="array" ref="X2660">IFERROR(INDEX('Адреса общежитий (скрытый)'!$B$2:$B$9, MATCH(W2660, 'Адреса общежитий (скрытый)'!$A$2:$A$9, 0)), "")</f>
        <v/>
      </c>
      <c r="Y2660" s="18"/>
      <c r="Z2660" s="18"/>
      <c r="AA2660" s="18"/>
      <c r="AB2660" s="18"/>
      <c r="AC2660" s="18"/>
    </row>
    <row r="2661" spans="1:29" ht="32.25" hidden="1" customHeight="1">
      <c r="A2661" s="17"/>
      <c r="B2661" s="9" t="s">
        <v>13284</v>
      </c>
      <c r="C2661" s="9" t="s">
        <v>13284</v>
      </c>
      <c r="D2661" s="9" t="s">
        <v>13284</v>
      </c>
      <c r="E2661" s="9" t="s">
        <v>13284</v>
      </c>
      <c r="F2661" s="9" t="s">
        <v>13284</v>
      </c>
      <c r="G2661" s="9" t="s">
        <v>13284</v>
      </c>
      <c r="H2661" s="9" t="s">
        <v>13284</v>
      </c>
      <c r="I2661" s="9" t="s">
        <v>13284</v>
      </c>
      <c r="J2661" s="9" t="s">
        <v>13284</v>
      </c>
      <c r="K2661" s="9" t="s">
        <v>13284</v>
      </c>
      <c r="L2661" s="9" t="s">
        <v>13284</v>
      </c>
      <c r="M2661" s="9" t="s">
        <v>13284</v>
      </c>
      <c r="N2661" s="9" t="s">
        <v>13284</v>
      </c>
      <c r="O2661" s="9" t="s">
        <v>13284</v>
      </c>
      <c r="P2661" s="9" t="s">
        <v>13284</v>
      </c>
      <c r="Q2661" s="9" t="s">
        <v>13284</v>
      </c>
      <c r="R2661" s="9" t="s">
        <v>13284</v>
      </c>
      <c r="S2661" s="9" t="s">
        <v>13284</v>
      </c>
      <c r="T2661" s="9" t="str">
        <f ca="1">IFERROR(IF(AND(VLOOKUP(A2661, 'Актуальное состояние (из общего'!A:C,3,0) = "", A2661 &lt;&gt; ""), "ПРОВЕРИТЬ", VLOOKUP(A2661, 'Актуальное состояние (из общего'!A:C,3,0)), "")</f>
        <v/>
      </c>
      <c r="U2661" s="9" t="s">
        <v>13284</v>
      </c>
      <c r="V2661" s="9" t="s">
        <v>13284</v>
      </c>
      <c r="W2661" s="12"/>
      <c r="X2661" s="9" t="str">
        <f t="array" ref="X2661">IFERROR(INDEX('Адреса общежитий (скрытый)'!$B$2:$B$9, MATCH(W2661, 'Адреса общежитий (скрытый)'!$A$2:$A$9, 0)), "")</f>
        <v/>
      </c>
      <c r="Y2661" s="18"/>
      <c r="Z2661" s="18"/>
      <c r="AA2661" s="18"/>
      <c r="AB2661" s="18"/>
      <c r="AC2661" s="18"/>
    </row>
    <row r="2662" spans="1:29" ht="32.25" hidden="1" customHeight="1">
      <c r="A2662" s="17"/>
      <c r="B2662" s="9" t="s">
        <v>13284</v>
      </c>
      <c r="C2662" s="9" t="s">
        <v>13284</v>
      </c>
      <c r="D2662" s="9" t="s">
        <v>13284</v>
      </c>
      <c r="E2662" s="9" t="s">
        <v>13284</v>
      </c>
      <c r="F2662" s="9" t="s">
        <v>13284</v>
      </c>
      <c r="G2662" s="9" t="s">
        <v>13284</v>
      </c>
      <c r="H2662" s="9" t="s">
        <v>13284</v>
      </c>
      <c r="I2662" s="9" t="s">
        <v>13284</v>
      </c>
      <c r="J2662" s="9" t="s">
        <v>13284</v>
      </c>
      <c r="K2662" s="9" t="s">
        <v>13284</v>
      </c>
      <c r="L2662" s="9" t="s">
        <v>13284</v>
      </c>
      <c r="M2662" s="9" t="s">
        <v>13284</v>
      </c>
      <c r="N2662" s="9" t="s">
        <v>13284</v>
      </c>
      <c r="O2662" s="9" t="s">
        <v>13284</v>
      </c>
      <c r="P2662" s="9" t="s">
        <v>13284</v>
      </c>
      <c r="Q2662" s="9" t="s">
        <v>13284</v>
      </c>
      <c r="R2662" s="9" t="s">
        <v>13284</v>
      </c>
      <c r="S2662" s="9" t="s">
        <v>13284</v>
      </c>
      <c r="T2662" s="9" t="str">
        <f ca="1">IFERROR(IF(AND(VLOOKUP(A2662, 'Актуальное состояние (из общего'!A:C,3,0) = "", A2662 &lt;&gt; ""), "ПРОВЕРИТЬ", VLOOKUP(A2662, 'Актуальное состояние (из общего'!A:C,3,0)), "")</f>
        <v/>
      </c>
      <c r="U2662" s="9" t="s">
        <v>13284</v>
      </c>
      <c r="V2662" s="9" t="s">
        <v>13284</v>
      </c>
      <c r="W2662" s="12"/>
      <c r="X2662" s="9" t="str">
        <f t="array" ref="X2662">IFERROR(INDEX('Адреса общежитий (скрытый)'!$B$2:$B$9, MATCH(W2662, 'Адреса общежитий (скрытый)'!$A$2:$A$9, 0)), "")</f>
        <v/>
      </c>
      <c r="Y2662" s="18"/>
      <c r="Z2662" s="18"/>
      <c r="AA2662" s="18"/>
      <c r="AB2662" s="18"/>
      <c r="AC2662" s="18"/>
    </row>
    <row r="2663" spans="1:29" ht="32.25" hidden="1" customHeight="1">
      <c r="A2663" s="17"/>
      <c r="B2663" s="9" t="s">
        <v>13284</v>
      </c>
      <c r="C2663" s="9" t="s">
        <v>13284</v>
      </c>
      <c r="D2663" s="9" t="s">
        <v>13284</v>
      </c>
      <c r="E2663" s="9" t="s">
        <v>13284</v>
      </c>
      <c r="F2663" s="9" t="s">
        <v>13284</v>
      </c>
      <c r="G2663" s="9" t="s">
        <v>13284</v>
      </c>
      <c r="H2663" s="9" t="s">
        <v>13284</v>
      </c>
      <c r="I2663" s="9" t="s">
        <v>13284</v>
      </c>
      <c r="J2663" s="9" t="s">
        <v>13284</v>
      </c>
      <c r="K2663" s="9" t="s">
        <v>13284</v>
      </c>
      <c r="L2663" s="9" t="s">
        <v>13284</v>
      </c>
      <c r="M2663" s="9" t="s">
        <v>13284</v>
      </c>
      <c r="N2663" s="9" t="s">
        <v>13284</v>
      </c>
      <c r="O2663" s="9" t="s">
        <v>13284</v>
      </c>
      <c r="P2663" s="9" t="s">
        <v>13284</v>
      </c>
      <c r="Q2663" s="9" t="s">
        <v>13284</v>
      </c>
      <c r="R2663" s="9" t="s">
        <v>13284</v>
      </c>
      <c r="S2663" s="9" t="s">
        <v>13284</v>
      </c>
      <c r="T2663" s="9" t="str">
        <f ca="1">IFERROR(IF(AND(VLOOKUP(A2663, 'Актуальное состояние (из общего'!A:C,3,0) = "", A2663 &lt;&gt; ""), "ПРОВЕРИТЬ", VLOOKUP(A2663, 'Актуальное состояние (из общего'!A:C,3,0)), "")</f>
        <v/>
      </c>
      <c r="U2663" s="9" t="s">
        <v>13284</v>
      </c>
      <c r="V2663" s="9" t="s">
        <v>13284</v>
      </c>
      <c r="W2663" s="12"/>
      <c r="X2663" s="9" t="str">
        <f t="array" ref="X2663">IFERROR(INDEX('Адреса общежитий (скрытый)'!$B$2:$B$9, MATCH(W2663, 'Адреса общежитий (скрытый)'!$A$2:$A$9, 0)), "")</f>
        <v/>
      </c>
      <c r="Y2663" s="18"/>
      <c r="Z2663" s="18"/>
      <c r="AA2663" s="18"/>
      <c r="AB2663" s="18"/>
      <c r="AC2663" s="18"/>
    </row>
    <row r="2664" spans="1:29" ht="32.25" hidden="1" customHeight="1">
      <c r="A2664" s="17"/>
      <c r="B2664" s="9" t="s">
        <v>13284</v>
      </c>
      <c r="C2664" s="9" t="s">
        <v>13284</v>
      </c>
      <c r="D2664" s="9" t="s">
        <v>13284</v>
      </c>
      <c r="E2664" s="9" t="s">
        <v>13284</v>
      </c>
      <c r="F2664" s="9" t="s">
        <v>13284</v>
      </c>
      <c r="G2664" s="9" t="s">
        <v>13284</v>
      </c>
      <c r="H2664" s="9" t="s">
        <v>13284</v>
      </c>
      <c r="I2664" s="9" t="s">
        <v>13284</v>
      </c>
      <c r="J2664" s="9" t="s">
        <v>13284</v>
      </c>
      <c r="K2664" s="9" t="s">
        <v>13284</v>
      </c>
      <c r="L2664" s="9" t="s">
        <v>13284</v>
      </c>
      <c r="M2664" s="9" t="s">
        <v>13284</v>
      </c>
      <c r="N2664" s="9" t="s">
        <v>13284</v>
      </c>
      <c r="O2664" s="9" t="s">
        <v>13284</v>
      </c>
      <c r="P2664" s="9" t="s">
        <v>13284</v>
      </c>
      <c r="Q2664" s="9" t="s">
        <v>13284</v>
      </c>
      <c r="R2664" s="9" t="s">
        <v>13284</v>
      </c>
      <c r="S2664" s="9" t="s">
        <v>13284</v>
      </c>
      <c r="T2664" s="9" t="str">
        <f ca="1">IFERROR(IF(AND(VLOOKUP(A2664, 'Актуальное состояние (из общего'!A:C,3,0) = "", A2664 &lt;&gt; ""), "ПРОВЕРИТЬ", VLOOKUP(A2664, 'Актуальное состояние (из общего'!A:C,3,0)), "")</f>
        <v/>
      </c>
      <c r="U2664" s="9" t="s">
        <v>13284</v>
      </c>
      <c r="V2664" s="9" t="s">
        <v>13284</v>
      </c>
      <c r="W2664" s="12"/>
      <c r="X2664" s="9" t="str">
        <f t="array" ref="X2664">IFERROR(INDEX('Адреса общежитий (скрытый)'!$B$2:$B$9, MATCH(W2664, 'Адреса общежитий (скрытый)'!$A$2:$A$9, 0)), "")</f>
        <v/>
      </c>
      <c r="Y2664" s="18"/>
      <c r="Z2664" s="18"/>
      <c r="AA2664" s="18"/>
      <c r="AB2664" s="18"/>
      <c r="AC2664" s="18"/>
    </row>
    <row r="2665" spans="1:29" ht="32.25" hidden="1" customHeight="1">
      <c r="A2665" s="17"/>
      <c r="B2665" s="9" t="s">
        <v>13284</v>
      </c>
      <c r="C2665" s="9" t="s">
        <v>13284</v>
      </c>
      <c r="D2665" s="9" t="s">
        <v>13284</v>
      </c>
      <c r="E2665" s="9" t="s">
        <v>13284</v>
      </c>
      <c r="F2665" s="9" t="s">
        <v>13284</v>
      </c>
      <c r="G2665" s="9" t="s">
        <v>13284</v>
      </c>
      <c r="H2665" s="9" t="s">
        <v>13284</v>
      </c>
      <c r="I2665" s="9" t="s">
        <v>13284</v>
      </c>
      <c r="J2665" s="9" t="s">
        <v>13284</v>
      </c>
      <c r="K2665" s="9" t="s">
        <v>13284</v>
      </c>
      <c r="L2665" s="9" t="s">
        <v>13284</v>
      </c>
      <c r="M2665" s="9" t="s">
        <v>13284</v>
      </c>
      <c r="N2665" s="9" t="s">
        <v>13284</v>
      </c>
      <c r="O2665" s="9" t="s">
        <v>13284</v>
      </c>
      <c r="P2665" s="9" t="s">
        <v>13284</v>
      </c>
      <c r="Q2665" s="9" t="s">
        <v>13284</v>
      </c>
      <c r="R2665" s="9" t="s">
        <v>13284</v>
      </c>
      <c r="S2665" s="9" t="s">
        <v>13284</v>
      </c>
      <c r="T2665" s="9" t="str">
        <f ca="1">IFERROR(IF(AND(VLOOKUP(A2665, 'Актуальное состояние (из общего'!A:C,3,0) = "", A2665 &lt;&gt; ""), "ПРОВЕРИТЬ", VLOOKUP(A2665, 'Актуальное состояние (из общего'!A:C,3,0)), "")</f>
        <v/>
      </c>
      <c r="U2665" s="9" t="s">
        <v>13284</v>
      </c>
      <c r="V2665" s="9" t="s">
        <v>13284</v>
      </c>
      <c r="W2665" s="12"/>
      <c r="X2665" s="9" t="str">
        <f t="array" ref="X2665">IFERROR(INDEX('Адреса общежитий (скрытый)'!$B$2:$B$9, MATCH(W2665, 'Адреса общежитий (скрытый)'!$A$2:$A$9, 0)), "")</f>
        <v/>
      </c>
      <c r="Y2665" s="18"/>
      <c r="Z2665" s="18"/>
      <c r="AA2665" s="18"/>
      <c r="AB2665" s="18"/>
      <c r="AC2665" s="18"/>
    </row>
    <row r="2666" spans="1:29" ht="32.25" hidden="1" customHeight="1">
      <c r="A2666" s="17"/>
      <c r="B2666" s="9" t="s">
        <v>13284</v>
      </c>
      <c r="C2666" s="9" t="s">
        <v>13284</v>
      </c>
      <c r="D2666" s="9" t="s">
        <v>13284</v>
      </c>
      <c r="E2666" s="9" t="s">
        <v>13284</v>
      </c>
      <c r="F2666" s="9" t="s">
        <v>13284</v>
      </c>
      <c r="G2666" s="9" t="s">
        <v>13284</v>
      </c>
      <c r="H2666" s="9" t="s">
        <v>13284</v>
      </c>
      <c r="I2666" s="9" t="s">
        <v>13284</v>
      </c>
      <c r="J2666" s="9" t="s">
        <v>13284</v>
      </c>
      <c r="K2666" s="9" t="s">
        <v>13284</v>
      </c>
      <c r="L2666" s="9" t="s">
        <v>13284</v>
      </c>
      <c r="M2666" s="9" t="s">
        <v>13284</v>
      </c>
      <c r="N2666" s="9" t="s">
        <v>13284</v>
      </c>
      <c r="O2666" s="9" t="s">
        <v>13284</v>
      </c>
      <c r="P2666" s="9" t="s">
        <v>13284</v>
      </c>
      <c r="Q2666" s="9" t="s">
        <v>13284</v>
      </c>
      <c r="R2666" s="9" t="s">
        <v>13284</v>
      </c>
      <c r="S2666" s="9" t="s">
        <v>13284</v>
      </c>
      <c r="T2666" s="9" t="str">
        <f ca="1">IFERROR(IF(AND(VLOOKUP(A2666, 'Актуальное состояние (из общего'!A:C,3,0) = "", A2666 &lt;&gt; ""), "ПРОВЕРИТЬ", VLOOKUP(A2666, 'Актуальное состояние (из общего'!A:C,3,0)), "")</f>
        <v/>
      </c>
      <c r="U2666" s="9" t="s">
        <v>13284</v>
      </c>
      <c r="V2666" s="9" t="s">
        <v>13284</v>
      </c>
      <c r="W2666" s="12"/>
      <c r="X2666" s="9" t="str">
        <f t="array" ref="X2666">IFERROR(INDEX('Адреса общежитий (скрытый)'!$B$2:$B$9, MATCH(W2666, 'Адреса общежитий (скрытый)'!$A$2:$A$9, 0)), "")</f>
        <v/>
      </c>
      <c r="Y2666" s="18"/>
      <c r="Z2666" s="18"/>
      <c r="AA2666" s="18"/>
      <c r="AB2666" s="18"/>
      <c r="AC2666" s="18"/>
    </row>
    <row r="2667" spans="1:29" ht="32.25" hidden="1" customHeight="1">
      <c r="A2667" s="17"/>
      <c r="B2667" s="9" t="s">
        <v>13284</v>
      </c>
      <c r="C2667" s="9" t="s">
        <v>13284</v>
      </c>
      <c r="D2667" s="9" t="s">
        <v>13284</v>
      </c>
      <c r="E2667" s="9" t="s">
        <v>13284</v>
      </c>
      <c r="F2667" s="9" t="s">
        <v>13284</v>
      </c>
      <c r="G2667" s="9" t="s">
        <v>13284</v>
      </c>
      <c r="H2667" s="9" t="s">
        <v>13284</v>
      </c>
      <c r="I2667" s="9" t="s">
        <v>13284</v>
      </c>
      <c r="J2667" s="9" t="s">
        <v>13284</v>
      </c>
      <c r="K2667" s="9" t="s">
        <v>13284</v>
      </c>
      <c r="L2667" s="9" t="s">
        <v>13284</v>
      </c>
      <c r="M2667" s="9" t="s">
        <v>13284</v>
      </c>
      <c r="N2667" s="9" t="s">
        <v>13284</v>
      </c>
      <c r="O2667" s="9" t="s">
        <v>13284</v>
      </c>
      <c r="P2667" s="9" t="s">
        <v>13284</v>
      </c>
      <c r="Q2667" s="9" t="s">
        <v>13284</v>
      </c>
      <c r="R2667" s="9" t="s">
        <v>13284</v>
      </c>
      <c r="S2667" s="9" t="s">
        <v>13284</v>
      </c>
      <c r="T2667" s="9" t="str">
        <f ca="1">IFERROR(IF(AND(VLOOKUP(A2667, 'Актуальное состояние (из общего'!A:C,3,0) = "", A2667 &lt;&gt; ""), "ПРОВЕРИТЬ", VLOOKUP(A2667, 'Актуальное состояние (из общего'!A:C,3,0)), "")</f>
        <v/>
      </c>
      <c r="U2667" s="9" t="s">
        <v>13284</v>
      </c>
      <c r="V2667" s="9" t="s">
        <v>13284</v>
      </c>
      <c r="W2667" s="12"/>
      <c r="X2667" s="9" t="str">
        <f t="array" ref="X2667">IFERROR(INDEX('Адреса общежитий (скрытый)'!$B$2:$B$9, MATCH(W2667, 'Адреса общежитий (скрытый)'!$A$2:$A$9, 0)), "")</f>
        <v/>
      </c>
      <c r="Y2667" s="18"/>
      <c r="Z2667" s="18"/>
      <c r="AA2667" s="18"/>
      <c r="AB2667" s="18"/>
      <c r="AC2667" s="18"/>
    </row>
    <row r="2668" spans="1:29" ht="32.25" hidden="1" customHeight="1">
      <c r="A2668" s="17"/>
      <c r="B2668" s="9" t="s">
        <v>13284</v>
      </c>
      <c r="C2668" s="9" t="s">
        <v>13284</v>
      </c>
      <c r="D2668" s="9" t="s">
        <v>13284</v>
      </c>
      <c r="E2668" s="9" t="s">
        <v>13284</v>
      </c>
      <c r="F2668" s="9" t="s">
        <v>13284</v>
      </c>
      <c r="G2668" s="9" t="s">
        <v>13284</v>
      </c>
      <c r="H2668" s="9" t="s">
        <v>13284</v>
      </c>
      <c r="I2668" s="9" t="s">
        <v>13284</v>
      </c>
      <c r="J2668" s="9" t="s">
        <v>13284</v>
      </c>
      <c r="K2668" s="9" t="s">
        <v>13284</v>
      </c>
      <c r="L2668" s="9" t="s">
        <v>13284</v>
      </c>
      <c r="M2668" s="9" t="s">
        <v>13284</v>
      </c>
      <c r="N2668" s="9" t="s">
        <v>13284</v>
      </c>
      <c r="O2668" s="9" t="s">
        <v>13284</v>
      </c>
      <c r="P2668" s="9" t="s">
        <v>13284</v>
      </c>
      <c r="Q2668" s="9" t="s">
        <v>13284</v>
      </c>
      <c r="R2668" s="9" t="s">
        <v>13284</v>
      </c>
      <c r="S2668" s="9" t="s">
        <v>13284</v>
      </c>
      <c r="T2668" s="9" t="str">
        <f ca="1">IFERROR(IF(AND(VLOOKUP(A2668, 'Актуальное состояние (из общего'!A:C,3,0) = "", A2668 &lt;&gt; ""), "ПРОВЕРИТЬ", VLOOKUP(A2668, 'Актуальное состояние (из общего'!A:C,3,0)), "")</f>
        <v/>
      </c>
      <c r="U2668" s="9" t="s">
        <v>13284</v>
      </c>
      <c r="V2668" s="9" t="s">
        <v>13284</v>
      </c>
      <c r="W2668" s="12"/>
      <c r="X2668" s="9" t="str">
        <f t="array" ref="X2668">IFERROR(INDEX('Адреса общежитий (скрытый)'!$B$2:$B$9, MATCH(W2668, 'Адреса общежитий (скрытый)'!$A$2:$A$9, 0)), "")</f>
        <v/>
      </c>
      <c r="Y2668" s="18"/>
      <c r="Z2668" s="18"/>
      <c r="AA2668" s="18"/>
      <c r="AB2668" s="18"/>
      <c r="AC2668" s="18"/>
    </row>
    <row r="2669" spans="1:29" ht="32.25" hidden="1" customHeight="1">
      <c r="A2669" s="17"/>
      <c r="B2669" s="9" t="s">
        <v>13284</v>
      </c>
      <c r="C2669" s="9" t="s">
        <v>13284</v>
      </c>
      <c r="D2669" s="9" t="s">
        <v>13284</v>
      </c>
      <c r="E2669" s="9" t="s">
        <v>13284</v>
      </c>
      <c r="F2669" s="9" t="s">
        <v>13284</v>
      </c>
      <c r="G2669" s="9" t="s">
        <v>13284</v>
      </c>
      <c r="H2669" s="9" t="s">
        <v>13284</v>
      </c>
      <c r="I2669" s="9" t="s">
        <v>13284</v>
      </c>
      <c r="J2669" s="9" t="s">
        <v>13284</v>
      </c>
      <c r="K2669" s="9" t="s">
        <v>13284</v>
      </c>
      <c r="L2669" s="9" t="s">
        <v>13284</v>
      </c>
      <c r="M2669" s="9" t="s">
        <v>13284</v>
      </c>
      <c r="N2669" s="9" t="s">
        <v>13284</v>
      </c>
      <c r="O2669" s="9" t="s">
        <v>13284</v>
      </c>
      <c r="P2669" s="9" t="s">
        <v>13284</v>
      </c>
      <c r="Q2669" s="9" t="s">
        <v>13284</v>
      </c>
      <c r="R2669" s="9" t="s">
        <v>13284</v>
      </c>
      <c r="S2669" s="9" t="s">
        <v>13284</v>
      </c>
      <c r="T2669" s="9" t="str">
        <f ca="1">IFERROR(IF(AND(VLOOKUP(A2669, 'Актуальное состояние (из общего'!A:C,3,0) = "", A2669 &lt;&gt; ""), "ПРОВЕРИТЬ", VLOOKUP(A2669, 'Актуальное состояние (из общего'!A:C,3,0)), "")</f>
        <v/>
      </c>
      <c r="U2669" s="9" t="s">
        <v>13284</v>
      </c>
      <c r="V2669" s="9" t="s">
        <v>13284</v>
      </c>
      <c r="W2669" s="12"/>
      <c r="X2669" s="9" t="str">
        <f t="array" ref="X2669">IFERROR(INDEX('Адреса общежитий (скрытый)'!$B$2:$B$9, MATCH(W2669, 'Адреса общежитий (скрытый)'!$A$2:$A$9, 0)), "")</f>
        <v/>
      </c>
      <c r="Y2669" s="18"/>
      <c r="Z2669" s="18"/>
      <c r="AA2669" s="18"/>
      <c r="AB2669" s="18"/>
      <c r="AC2669" s="18"/>
    </row>
    <row r="2670" spans="1:29" ht="32.25" hidden="1" customHeight="1">
      <c r="A2670" s="17"/>
      <c r="B2670" s="9" t="s">
        <v>13284</v>
      </c>
      <c r="C2670" s="9" t="s">
        <v>13284</v>
      </c>
      <c r="D2670" s="9" t="s">
        <v>13284</v>
      </c>
      <c r="E2670" s="9" t="s">
        <v>13284</v>
      </c>
      <c r="F2670" s="9" t="s">
        <v>13284</v>
      </c>
      <c r="G2670" s="9" t="s">
        <v>13284</v>
      </c>
      <c r="H2670" s="9" t="s">
        <v>13284</v>
      </c>
      <c r="I2670" s="9" t="s">
        <v>13284</v>
      </c>
      <c r="J2670" s="9" t="s">
        <v>13284</v>
      </c>
      <c r="K2670" s="9" t="s">
        <v>13284</v>
      </c>
      <c r="L2670" s="9" t="s">
        <v>13284</v>
      </c>
      <c r="M2670" s="9" t="s">
        <v>13284</v>
      </c>
      <c r="N2670" s="9" t="s">
        <v>13284</v>
      </c>
      <c r="O2670" s="9" t="s">
        <v>13284</v>
      </c>
      <c r="P2670" s="9" t="s">
        <v>13284</v>
      </c>
      <c r="Q2670" s="9" t="s">
        <v>13284</v>
      </c>
      <c r="R2670" s="9" t="s">
        <v>13284</v>
      </c>
      <c r="S2670" s="9" t="s">
        <v>13284</v>
      </c>
      <c r="T2670" s="9" t="str">
        <f ca="1">IFERROR(IF(AND(VLOOKUP(A2670, 'Актуальное состояние (из общего'!A:C,3,0) = "", A2670 &lt;&gt; ""), "ПРОВЕРИТЬ", VLOOKUP(A2670, 'Актуальное состояние (из общего'!A:C,3,0)), "")</f>
        <v/>
      </c>
      <c r="U2670" s="9" t="s">
        <v>13284</v>
      </c>
      <c r="V2670" s="9" t="s">
        <v>13284</v>
      </c>
      <c r="W2670" s="12"/>
      <c r="X2670" s="9" t="str">
        <f t="array" ref="X2670">IFERROR(INDEX('Адреса общежитий (скрытый)'!$B$2:$B$9, MATCH(W2670, 'Адреса общежитий (скрытый)'!$A$2:$A$9, 0)), "")</f>
        <v/>
      </c>
      <c r="Y2670" s="18"/>
      <c r="Z2670" s="18"/>
      <c r="AA2670" s="18"/>
      <c r="AB2670" s="18"/>
      <c r="AC2670" s="18"/>
    </row>
    <row r="2671" spans="1:29" ht="32.25" hidden="1" customHeight="1">
      <c r="A2671" s="17"/>
      <c r="B2671" s="9" t="s">
        <v>13284</v>
      </c>
      <c r="C2671" s="9" t="s">
        <v>13284</v>
      </c>
      <c r="D2671" s="9" t="s">
        <v>13284</v>
      </c>
      <c r="E2671" s="9" t="s">
        <v>13284</v>
      </c>
      <c r="F2671" s="9" t="s">
        <v>13284</v>
      </c>
      <c r="G2671" s="9" t="s">
        <v>13284</v>
      </c>
      <c r="H2671" s="9" t="s">
        <v>13284</v>
      </c>
      <c r="I2671" s="9" t="s">
        <v>13284</v>
      </c>
      <c r="J2671" s="9" t="s">
        <v>13284</v>
      </c>
      <c r="K2671" s="9" t="s">
        <v>13284</v>
      </c>
      <c r="L2671" s="9" t="s">
        <v>13284</v>
      </c>
      <c r="M2671" s="9" t="s">
        <v>13284</v>
      </c>
      <c r="N2671" s="9" t="s">
        <v>13284</v>
      </c>
      <c r="O2671" s="9" t="s">
        <v>13284</v>
      </c>
      <c r="P2671" s="9" t="s">
        <v>13284</v>
      </c>
      <c r="Q2671" s="9" t="s">
        <v>13284</v>
      </c>
      <c r="R2671" s="9" t="s">
        <v>13284</v>
      </c>
      <c r="S2671" s="9" t="s">
        <v>13284</v>
      </c>
      <c r="T2671" s="9" t="str">
        <f ca="1">IFERROR(IF(AND(VLOOKUP(A2671, 'Актуальное состояние (из общего'!A:C,3,0) = "", A2671 &lt;&gt; ""), "ПРОВЕРИТЬ", VLOOKUP(A2671, 'Актуальное состояние (из общего'!A:C,3,0)), "")</f>
        <v/>
      </c>
      <c r="U2671" s="9" t="s">
        <v>13284</v>
      </c>
      <c r="V2671" s="9" t="s">
        <v>13284</v>
      </c>
      <c r="W2671" s="12"/>
      <c r="X2671" s="9" t="str">
        <f t="array" ref="X2671">IFERROR(INDEX('Адреса общежитий (скрытый)'!$B$2:$B$9, MATCH(W2671, 'Адреса общежитий (скрытый)'!$A$2:$A$9, 0)), "")</f>
        <v/>
      </c>
      <c r="Y2671" s="18"/>
      <c r="Z2671" s="18"/>
      <c r="AA2671" s="18"/>
      <c r="AB2671" s="18"/>
      <c r="AC2671" s="18"/>
    </row>
    <row r="2672" spans="1:29" ht="32.25" hidden="1" customHeight="1">
      <c r="A2672" s="17"/>
      <c r="B2672" s="9" t="s">
        <v>13284</v>
      </c>
      <c r="C2672" s="9" t="s">
        <v>13284</v>
      </c>
      <c r="D2672" s="9" t="s">
        <v>13284</v>
      </c>
      <c r="E2672" s="9" t="s">
        <v>13284</v>
      </c>
      <c r="F2672" s="9" t="s">
        <v>13284</v>
      </c>
      <c r="G2672" s="9" t="s">
        <v>13284</v>
      </c>
      <c r="H2672" s="9" t="s">
        <v>13284</v>
      </c>
      <c r="I2672" s="9" t="s">
        <v>13284</v>
      </c>
      <c r="J2672" s="9" t="s">
        <v>13284</v>
      </c>
      <c r="K2672" s="9" t="s">
        <v>13284</v>
      </c>
      <c r="L2672" s="9" t="s">
        <v>13284</v>
      </c>
      <c r="M2672" s="9" t="s">
        <v>13284</v>
      </c>
      <c r="N2672" s="9" t="s">
        <v>13284</v>
      </c>
      <c r="O2672" s="9" t="s">
        <v>13284</v>
      </c>
      <c r="P2672" s="9" t="s">
        <v>13284</v>
      </c>
      <c r="Q2672" s="9" t="s">
        <v>13284</v>
      </c>
      <c r="R2672" s="9" t="s">
        <v>13284</v>
      </c>
      <c r="S2672" s="9" t="s">
        <v>13284</v>
      </c>
      <c r="T2672" s="9" t="str">
        <f ca="1">IFERROR(IF(AND(VLOOKUP(A2672, 'Актуальное состояние (из общего'!A:C,3,0) = "", A2672 &lt;&gt; ""), "ПРОВЕРИТЬ", VLOOKUP(A2672, 'Актуальное состояние (из общего'!A:C,3,0)), "")</f>
        <v/>
      </c>
      <c r="U2672" s="9" t="s">
        <v>13284</v>
      </c>
      <c r="V2672" s="9" t="s">
        <v>13284</v>
      </c>
      <c r="W2672" s="12"/>
      <c r="X2672" s="9" t="str">
        <f t="array" ref="X2672">IFERROR(INDEX('Адреса общежитий (скрытый)'!$B$2:$B$9, MATCH(W2672, 'Адреса общежитий (скрытый)'!$A$2:$A$9, 0)), "")</f>
        <v/>
      </c>
      <c r="Y2672" s="18"/>
      <c r="Z2672" s="18"/>
      <c r="AA2672" s="18"/>
      <c r="AB2672" s="18"/>
      <c r="AC2672" s="18"/>
    </row>
    <row r="2673" spans="1:29" ht="32.25" hidden="1" customHeight="1">
      <c r="A2673" s="17"/>
      <c r="B2673" s="9" t="s">
        <v>13284</v>
      </c>
      <c r="C2673" s="9" t="s">
        <v>13284</v>
      </c>
      <c r="D2673" s="9" t="s">
        <v>13284</v>
      </c>
      <c r="E2673" s="9" t="s">
        <v>13284</v>
      </c>
      <c r="F2673" s="9" t="s">
        <v>13284</v>
      </c>
      <c r="G2673" s="9" t="s">
        <v>13284</v>
      </c>
      <c r="H2673" s="9" t="s">
        <v>13284</v>
      </c>
      <c r="I2673" s="9" t="s">
        <v>13284</v>
      </c>
      <c r="J2673" s="9" t="s">
        <v>13284</v>
      </c>
      <c r="K2673" s="9" t="s">
        <v>13284</v>
      </c>
      <c r="L2673" s="9" t="s">
        <v>13284</v>
      </c>
      <c r="M2673" s="9" t="s">
        <v>13284</v>
      </c>
      <c r="N2673" s="9" t="s">
        <v>13284</v>
      </c>
      <c r="O2673" s="9" t="s">
        <v>13284</v>
      </c>
      <c r="P2673" s="9" t="s">
        <v>13284</v>
      </c>
      <c r="Q2673" s="9" t="s">
        <v>13284</v>
      </c>
      <c r="R2673" s="9" t="s">
        <v>13284</v>
      </c>
      <c r="S2673" s="9" t="s">
        <v>13284</v>
      </c>
      <c r="T2673" s="9" t="str">
        <f ca="1">IFERROR(IF(AND(VLOOKUP(A2673, 'Актуальное состояние (из общего'!A:C,3,0) = "", A2673 &lt;&gt; ""), "ПРОВЕРИТЬ", VLOOKUP(A2673, 'Актуальное состояние (из общего'!A:C,3,0)), "")</f>
        <v/>
      </c>
      <c r="U2673" s="9" t="s">
        <v>13284</v>
      </c>
      <c r="V2673" s="9" t="s">
        <v>13284</v>
      </c>
      <c r="W2673" s="12"/>
      <c r="X2673" s="9" t="str">
        <f t="array" ref="X2673">IFERROR(INDEX('Адреса общежитий (скрытый)'!$B$2:$B$9, MATCH(W2673, 'Адреса общежитий (скрытый)'!$A$2:$A$9, 0)), "")</f>
        <v/>
      </c>
      <c r="Y2673" s="18"/>
      <c r="Z2673" s="18"/>
      <c r="AA2673" s="18"/>
      <c r="AB2673" s="18"/>
      <c r="AC2673" s="18"/>
    </row>
    <row r="2674" spans="1:29" ht="32.25" hidden="1" customHeight="1">
      <c r="A2674" s="17"/>
      <c r="B2674" s="9" t="s">
        <v>13284</v>
      </c>
      <c r="C2674" s="9" t="s">
        <v>13284</v>
      </c>
      <c r="D2674" s="9" t="s">
        <v>13284</v>
      </c>
      <c r="E2674" s="9" t="s">
        <v>13284</v>
      </c>
      <c r="F2674" s="9" t="s">
        <v>13284</v>
      </c>
      <c r="G2674" s="9" t="s">
        <v>13284</v>
      </c>
      <c r="H2674" s="9" t="s">
        <v>13284</v>
      </c>
      <c r="I2674" s="9" t="s">
        <v>13284</v>
      </c>
      <c r="J2674" s="9" t="s">
        <v>13284</v>
      </c>
      <c r="K2674" s="9" t="s">
        <v>13284</v>
      </c>
      <c r="L2674" s="9" t="s">
        <v>13284</v>
      </c>
      <c r="M2674" s="9" t="s">
        <v>13284</v>
      </c>
      <c r="N2674" s="9" t="s">
        <v>13284</v>
      </c>
      <c r="O2674" s="9" t="s">
        <v>13284</v>
      </c>
      <c r="P2674" s="9" t="s">
        <v>13284</v>
      </c>
      <c r="Q2674" s="9" t="s">
        <v>13284</v>
      </c>
      <c r="R2674" s="9" t="s">
        <v>13284</v>
      </c>
      <c r="S2674" s="9" t="s">
        <v>13284</v>
      </c>
      <c r="T2674" s="9" t="str">
        <f ca="1">IFERROR(IF(AND(VLOOKUP(A2674, 'Актуальное состояние (из общего'!A:C,3,0) = "", A2674 &lt;&gt; ""), "ПРОВЕРИТЬ", VLOOKUP(A2674, 'Актуальное состояние (из общего'!A:C,3,0)), "")</f>
        <v/>
      </c>
      <c r="U2674" s="9" t="s">
        <v>13284</v>
      </c>
      <c r="V2674" s="9" t="s">
        <v>13284</v>
      </c>
      <c r="W2674" s="12"/>
      <c r="X2674" s="9" t="str">
        <f t="array" ref="X2674">IFERROR(INDEX('Адреса общежитий (скрытый)'!$B$2:$B$9, MATCH(W2674, 'Адреса общежитий (скрытый)'!$A$2:$A$9, 0)), "")</f>
        <v/>
      </c>
      <c r="Y2674" s="18"/>
      <c r="Z2674" s="18"/>
      <c r="AA2674" s="18"/>
      <c r="AB2674" s="18"/>
      <c r="AC2674" s="18"/>
    </row>
    <row r="2675" spans="1:29" ht="32.25" hidden="1" customHeight="1">
      <c r="A2675" s="17"/>
      <c r="B2675" s="9" t="s">
        <v>13284</v>
      </c>
      <c r="C2675" s="9" t="s">
        <v>13284</v>
      </c>
      <c r="D2675" s="9" t="s">
        <v>13284</v>
      </c>
      <c r="E2675" s="9" t="s">
        <v>13284</v>
      </c>
      <c r="F2675" s="9" t="s">
        <v>13284</v>
      </c>
      <c r="G2675" s="9" t="s">
        <v>13284</v>
      </c>
      <c r="H2675" s="9" t="s">
        <v>13284</v>
      </c>
      <c r="I2675" s="9" t="s">
        <v>13284</v>
      </c>
      <c r="J2675" s="9" t="s">
        <v>13284</v>
      </c>
      <c r="K2675" s="9" t="s">
        <v>13284</v>
      </c>
      <c r="L2675" s="9" t="s">
        <v>13284</v>
      </c>
      <c r="M2675" s="9" t="s">
        <v>13284</v>
      </c>
      <c r="N2675" s="9" t="s">
        <v>13284</v>
      </c>
      <c r="O2675" s="9" t="s">
        <v>13284</v>
      </c>
      <c r="P2675" s="9" t="s">
        <v>13284</v>
      </c>
      <c r="Q2675" s="9" t="s">
        <v>13284</v>
      </c>
      <c r="R2675" s="9" t="s">
        <v>13284</v>
      </c>
      <c r="S2675" s="9" t="s">
        <v>13284</v>
      </c>
      <c r="T2675" s="9" t="str">
        <f ca="1">IFERROR(IF(AND(VLOOKUP(A2675, 'Актуальное состояние (из общего'!A:C,3,0) = "", A2675 &lt;&gt; ""), "ПРОВЕРИТЬ", VLOOKUP(A2675, 'Актуальное состояние (из общего'!A:C,3,0)), "")</f>
        <v/>
      </c>
      <c r="U2675" s="9" t="s">
        <v>13284</v>
      </c>
      <c r="V2675" s="9" t="s">
        <v>13284</v>
      </c>
      <c r="W2675" s="12"/>
      <c r="X2675" s="9" t="str">
        <f t="array" ref="X2675">IFERROR(INDEX('Адреса общежитий (скрытый)'!$B$2:$B$9, MATCH(W2675, 'Адреса общежитий (скрытый)'!$A$2:$A$9, 0)), "")</f>
        <v/>
      </c>
      <c r="Y2675" s="18"/>
      <c r="Z2675" s="18"/>
      <c r="AA2675" s="18"/>
      <c r="AB2675" s="18"/>
      <c r="AC2675" s="18"/>
    </row>
    <row r="2676" spans="1:29" ht="32.25" hidden="1" customHeight="1">
      <c r="A2676" s="17"/>
      <c r="B2676" s="9" t="s">
        <v>13284</v>
      </c>
      <c r="C2676" s="9" t="s">
        <v>13284</v>
      </c>
      <c r="D2676" s="9" t="s">
        <v>13284</v>
      </c>
      <c r="E2676" s="9" t="s">
        <v>13284</v>
      </c>
      <c r="F2676" s="9" t="s">
        <v>13284</v>
      </c>
      <c r="G2676" s="9" t="s">
        <v>13284</v>
      </c>
      <c r="H2676" s="9" t="s">
        <v>13284</v>
      </c>
      <c r="I2676" s="9" t="s">
        <v>13284</v>
      </c>
      <c r="J2676" s="9" t="s">
        <v>13284</v>
      </c>
      <c r="K2676" s="9" t="s">
        <v>13284</v>
      </c>
      <c r="L2676" s="9" t="s">
        <v>13284</v>
      </c>
      <c r="M2676" s="9" t="s">
        <v>13284</v>
      </c>
      <c r="N2676" s="9" t="s">
        <v>13284</v>
      </c>
      <c r="O2676" s="9" t="s">
        <v>13284</v>
      </c>
      <c r="P2676" s="9" t="s">
        <v>13284</v>
      </c>
      <c r="Q2676" s="9" t="s">
        <v>13284</v>
      </c>
      <c r="R2676" s="9" t="s">
        <v>13284</v>
      </c>
      <c r="S2676" s="9" t="s">
        <v>13284</v>
      </c>
      <c r="T2676" s="9" t="str">
        <f ca="1">IFERROR(IF(AND(VLOOKUP(A2676, 'Актуальное состояние (из общего'!A:C,3,0) = "", A2676 &lt;&gt; ""), "ПРОВЕРИТЬ", VLOOKUP(A2676, 'Актуальное состояние (из общего'!A:C,3,0)), "")</f>
        <v/>
      </c>
      <c r="U2676" s="9" t="s">
        <v>13284</v>
      </c>
      <c r="V2676" s="9" t="s">
        <v>13284</v>
      </c>
      <c r="W2676" s="12"/>
      <c r="X2676" s="9" t="str">
        <f t="array" ref="X2676">IFERROR(INDEX('Адреса общежитий (скрытый)'!$B$2:$B$9, MATCH(W2676, 'Адреса общежитий (скрытый)'!$A$2:$A$9, 0)), "")</f>
        <v/>
      </c>
      <c r="Y2676" s="18"/>
      <c r="Z2676" s="18"/>
      <c r="AA2676" s="18"/>
      <c r="AB2676" s="18"/>
      <c r="AC2676" s="18"/>
    </row>
    <row r="2677" spans="1:29" ht="32.25" hidden="1" customHeight="1">
      <c r="A2677" s="17"/>
      <c r="B2677" s="9" t="s">
        <v>13284</v>
      </c>
      <c r="C2677" s="9" t="s">
        <v>13284</v>
      </c>
      <c r="D2677" s="9" t="s">
        <v>13284</v>
      </c>
      <c r="E2677" s="9" t="s">
        <v>13284</v>
      </c>
      <c r="F2677" s="9" t="s">
        <v>13284</v>
      </c>
      <c r="G2677" s="9" t="s">
        <v>13284</v>
      </c>
      <c r="H2677" s="9" t="s">
        <v>13284</v>
      </c>
      <c r="I2677" s="9" t="s">
        <v>13284</v>
      </c>
      <c r="J2677" s="9" t="s">
        <v>13284</v>
      </c>
      <c r="K2677" s="9" t="s">
        <v>13284</v>
      </c>
      <c r="L2677" s="9" t="s">
        <v>13284</v>
      </c>
      <c r="M2677" s="9" t="s">
        <v>13284</v>
      </c>
      <c r="N2677" s="9" t="s">
        <v>13284</v>
      </c>
      <c r="O2677" s="9" t="s">
        <v>13284</v>
      </c>
      <c r="P2677" s="9" t="s">
        <v>13284</v>
      </c>
      <c r="Q2677" s="9" t="s">
        <v>13284</v>
      </c>
      <c r="R2677" s="9" t="s">
        <v>13284</v>
      </c>
      <c r="S2677" s="9" t="s">
        <v>13284</v>
      </c>
      <c r="T2677" s="9" t="str">
        <f ca="1">IFERROR(IF(AND(VLOOKUP(A2677, 'Актуальное состояние (из общего'!A:C,3,0) = "", A2677 &lt;&gt; ""), "ПРОВЕРИТЬ", VLOOKUP(A2677, 'Актуальное состояние (из общего'!A:C,3,0)), "")</f>
        <v/>
      </c>
      <c r="U2677" s="9" t="s">
        <v>13284</v>
      </c>
      <c r="V2677" s="9" t="s">
        <v>13284</v>
      </c>
      <c r="W2677" s="12"/>
      <c r="X2677" s="9" t="str">
        <f t="array" ref="X2677">IFERROR(INDEX('Адреса общежитий (скрытый)'!$B$2:$B$9, MATCH(W2677, 'Адреса общежитий (скрытый)'!$A$2:$A$9, 0)), "")</f>
        <v/>
      </c>
      <c r="Y2677" s="18"/>
      <c r="Z2677" s="18"/>
      <c r="AA2677" s="18"/>
      <c r="AB2677" s="18"/>
      <c r="AC2677" s="18"/>
    </row>
    <row r="2678" spans="1:29" ht="32.25" hidden="1" customHeight="1">
      <c r="A2678" s="17"/>
      <c r="B2678" s="9" t="s">
        <v>13284</v>
      </c>
      <c r="C2678" s="9" t="s">
        <v>13284</v>
      </c>
      <c r="D2678" s="9" t="s">
        <v>13284</v>
      </c>
      <c r="E2678" s="9" t="s">
        <v>13284</v>
      </c>
      <c r="F2678" s="9" t="s">
        <v>13284</v>
      </c>
      <c r="G2678" s="9" t="s">
        <v>13284</v>
      </c>
      <c r="H2678" s="9" t="s">
        <v>13284</v>
      </c>
      <c r="I2678" s="9" t="s">
        <v>13284</v>
      </c>
      <c r="J2678" s="9" t="s">
        <v>13284</v>
      </c>
      <c r="K2678" s="9" t="s">
        <v>13284</v>
      </c>
      <c r="L2678" s="9" t="s">
        <v>13284</v>
      </c>
      <c r="M2678" s="9" t="s">
        <v>13284</v>
      </c>
      <c r="N2678" s="9" t="s">
        <v>13284</v>
      </c>
      <c r="O2678" s="9" t="s">
        <v>13284</v>
      </c>
      <c r="P2678" s="9" t="s">
        <v>13284</v>
      </c>
      <c r="Q2678" s="9" t="s">
        <v>13284</v>
      </c>
      <c r="R2678" s="9" t="s">
        <v>13284</v>
      </c>
      <c r="S2678" s="9" t="s">
        <v>13284</v>
      </c>
      <c r="T2678" s="9" t="str">
        <f ca="1">IFERROR(IF(AND(VLOOKUP(A2678, 'Актуальное состояние (из общего'!A:C,3,0) = "", A2678 &lt;&gt; ""), "ПРОВЕРИТЬ", VLOOKUP(A2678, 'Актуальное состояние (из общего'!A:C,3,0)), "")</f>
        <v/>
      </c>
      <c r="U2678" s="9" t="s">
        <v>13284</v>
      </c>
      <c r="V2678" s="9" t="s">
        <v>13284</v>
      </c>
      <c r="W2678" s="12"/>
      <c r="X2678" s="9" t="str">
        <f t="array" ref="X2678">IFERROR(INDEX('Адреса общежитий (скрытый)'!$B$2:$B$9, MATCH(W2678, 'Адреса общежитий (скрытый)'!$A$2:$A$9, 0)), "")</f>
        <v/>
      </c>
      <c r="Y2678" s="18"/>
      <c r="Z2678" s="18"/>
      <c r="AA2678" s="18"/>
      <c r="AB2678" s="18"/>
      <c r="AC2678" s="18"/>
    </row>
    <row r="2679" spans="1:29" ht="32.25" hidden="1" customHeight="1">
      <c r="A2679" s="17"/>
      <c r="B2679" s="9" t="s">
        <v>13284</v>
      </c>
      <c r="C2679" s="9" t="s">
        <v>13284</v>
      </c>
      <c r="D2679" s="9" t="s">
        <v>13284</v>
      </c>
      <c r="E2679" s="9" t="s">
        <v>13284</v>
      </c>
      <c r="F2679" s="9" t="s">
        <v>13284</v>
      </c>
      <c r="G2679" s="9" t="s">
        <v>13284</v>
      </c>
      <c r="H2679" s="9" t="s">
        <v>13284</v>
      </c>
      <c r="I2679" s="9" t="s">
        <v>13284</v>
      </c>
      <c r="J2679" s="9" t="s">
        <v>13284</v>
      </c>
      <c r="K2679" s="9" t="s">
        <v>13284</v>
      </c>
      <c r="L2679" s="9" t="s">
        <v>13284</v>
      </c>
      <c r="M2679" s="9" t="s">
        <v>13284</v>
      </c>
      <c r="N2679" s="9" t="s">
        <v>13284</v>
      </c>
      <c r="O2679" s="9" t="s">
        <v>13284</v>
      </c>
      <c r="P2679" s="9" t="s">
        <v>13284</v>
      </c>
      <c r="Q2679" s="9" t="s">
        <v>13284</v>
      </c>
      <c r="R2679" s="9" t="s">
        <v>13284</v>
      </c>
      <c r="S2679" s="9" t="s">
        <v>13284</v>
      </c>
      <c r="T2679" s="9" t="str">
        <f ca="1">IFERROR(IF(AND(VLOOKUP(A2679, 'Актуальное состояние (из общего'!A:C,3,0) = "", A2679 &lt;&gt; ""), "ПРОВЕРИТЬ", VLOOKUP(A2679, 'Актуальное состояние (из общего'!A:C,3,0)), "")</f>
        <v/>
      </c>
      <c r="U2679" s="9" t="s">
        <v>13284</v>
      </c>
      <c r="V2679" s="9" t="s">
        <v>13284</v>
      </c>
      <c r="W2679" s="12"/>
      <c r="X2679" s="9" t="str">
        <f t="array" ref="X2679">IFERROR(INDEX('Адреса общежитий (скрытый)'!$B$2:$B$9, MATCH(W2679, 'Адреса общежитий (скрытый)'!$A$2:$A$9, 0)), "")</f>
        <v/>
      </c>
      <c r="Y2679" s="18"/>
      <c r="Z2679" s="18"/>
      <c r="AA2679" s="18"/>
      <c r="AB2679" s="18"/>
      <c r="AC2679" s="18"/>
    </row>
    <row r="2680" spans="1:29" ht="32.25" hidden="1" customHeight="1">
      <c r="A2680" s="17"/>
      <c r="B2680" s="9" t="s">
        <v>13284</v>
      </c>
      <c r="C2680" s="9" t="s">
        <v>13284</v>
      </c>
      <c r="D2680" s="9" t="s">
        <v>13284</v>
      </c>
      <c r="E2680" s="9" t="s">
        <v>13284</v>
      </c>
      <c r="F2680" s="9" t="s">
        <v>13284</v>
      </c>
      <c r="G2680" s="9" t="s">
        <v>13284</v>
      </c>
      <c r="H2680" s="9" t="s">
        <v>13284</v>
      </c>
      <c r="I2680" s="9" t="s">
        <v>13284</v>
      </c>
      <c r="J2680" s="9" t="s">
        <v>13284</v>
      </c>
      <c r="K2680" s="9" t="s">
        <v>13284</v>
      </c>
      <c r="L2680" s="9" t="s">
        <v>13284</v>
      </c>
      <c r="M2680" s="9" t="s">
        <v>13284</v>
      </c>
      <c r="N2680" s="9" t="s">
        <v>13284</v>
      </c>
      <c r="O2680" s="9" t="s">
        <v>13284</v>
      </c>
      <c r="P2680" s="9" t="s">
        <v>13284</v>
      </c>
      <c r="Q2680" s="9" t="s">
        <v>13284</v>
      </c>
      <c r="R2680" s="9" t="s">
        <v>13284</v>
      </c>
      <c r="S2680" s="9" t="s">
        <v>13284</v>
      </c>
      <c r="T2680" s="9" t="str">
        <f ca="1">IFERROR(IF(AND(VLOOKUP(A2680, 'Актуальное состояние (из общего'!A:C,3,0) = "", A2680 &lt;&gt; ""), "ПРОВЕРИТЬ", VLOOKUP(A2680, 'Актуальное состояние (из общего'!A:C,3,0)), "")</f>
        <v/>
      </c>
      <c r="U2680" s="9" t="s">
        <v>13284</v>
      </c>
      <c r="V2680" s="9" t="s">
        <v>13284</v>
      </c>
      <c r="W2680" s="12"/>
      <c r="X2680" s="9" t="str">
        <f t="array" ref="X2680">IFERROR(INDEX('Адреса общежитий (скрытый)'!$B$2:$B$9, MATCH(W2680, 'Адреса общежитий (скрытый)'!$A$2:$A$9, 0)), "")</f>
        <v/>
      </c>
      <c r="Y2680" s="18"/>
      <c r="Z2680" s="18"/>
      <c r="AA2680" s="18"/>
      <c r="AB2680" s="18"/>
      <c r="AC2680" s="18"/>
    </row>
    <row r="2681" spans="1:29" ht="32.25" hidden="1" customHeight="1">
      <c r="A2681" s="17"/>
      <c r="B2681" s="9" t="s">
        <v>13284</v>
      </c>
      <c r="C2681" s="9" t="s">
        <v>13284</v>
      </c>
      <c r="D2681" s="9" t="s">
        <v>13284</v>
      </c>
      <c r="E2681" s="9" t="s">
        <v>13284</v>
      </c>
      <c r="F2681" s="9" t="s">
        <v>13284</v>
      </c>
      <c r="G2681" s="9" t="s">
        <v>13284</v>
      </c>
      <c r="H2681" s="9" t="s">
        <v>13284</v>
      </c>
      <c r="I2681" s="9" t="s">
        <v>13284</v>
      </c>
      <c r="J2681" s="9" t="s">
        <v>13284</v>
      </c>
      <c r="K2681" s="9" t="s">
        <v>13284</v>
      </c>
      <c r="L2681" s="9" t="s">
        <v>13284</v>
      </c>
      <c r="M2681" s="9" t="s">
        <v>13284</v>
      </c>
      <c r="N2681" s="9" t="s">
        <v>13284</v>
      </c>
      <c r="O2681" s="9" t="s">
        <v>13284</v>
      </c>
      <c r="P2681" s="9" t="s">
        <v>13284</v>
      </c>
      <c r="Q2681" s="9" t="s">
        <v>13284</v>
      </c>
      <c r="R2681" s="9" t="s">
        <v>13284</v>
      </c>
      <c r="S2681" s="9" t="s">
        <v>13284</v>
      </c>
      <c r="T2681" s="9" t="str">
        <f ca="1">IFERROR(IF(AND(VLOOKUP(A2681, 'Актуальное состояние (из общего'!A:C,3,0) = "", A2681 &lt;&gt; ""), "ПРОВЕРИТЬ", VLOOKUP(A2681, 'Актуальное состояние (из общего'!A:C,3,0)), "")</f>
        <v/>
      </c>
      <c r="U2681" s="9" t="s">
        <v>13284</v>
      </c>
      <c r="V2681" s="9" t="s">
        <v>13284</v>
      </c>
      <c r="W2681" s="12"/>
      <c r="X2681" s="9" t="str">
        <f t="array" ref="X2681">IFERROR(INDEX('Адреса общежитий (скрытый)'!$B$2:$B$9, MATCH(W2681, 'Адреса общежитий (скрытый)'!$A$2:$A$9, 0)), "")</f>
        <v/>
      </c>
      <c r="Y2681" s="18"/>
      <c r="Z2681" s="18"/>
      <c r="AA2681" s="18"/>
      <c r="AB2681" s="18"/>
      <c r="AC2681" s="18"/>
    </row>
    <row r="2682" spans="1:29" ht="32.25" hidden="1" customHeight="1">
      <c r="A2682" s="17"/>
      <c r="B2682" s="9" t="s">
        <v>13284</v>
      </c>
      <c r="C2682" s="9" t="s">
        <v>13284</v>
      </c>
      <c r="D2682" s="9" t="s">
        <v>13284</v>
      </c>
      <c r="E2682" s="9" t="s">
        <v>13284</v>
      </c>
      <c r="F2682" s="9" t="s">
        <v>13284</v>
      </c>
      <c r="G2682" s="9" t="s">
        <v>13284</v>
      </c>
      <c r="H2682" s="9" t="s">
        <v>13284</v>
      </c>
      <c r="I2682" s="9" t="s">
        <v>13284</v>
      </c>
      <c r="J2682" s="9" t="s">
        <v>13284</v>
      </c>
      <c r="K2682" s="9" t="s">
        <v>13284</v>
      </c>
      <c r="L2682" s="9" t="s">
        <v>13284</v>
      </c>
      <c r="M2682" s="9" t="s">
        <v>13284</v>
      </c>
      <c r="N2682" s="9" t="s">
        <v>13284</v>
      </c>
      <c r="O2682" s="9" t="s">
        <v>13284</v>
      </c>
      <c r="P2682" s="9" t="s">
        <v>13284</v>
      </c>
      <c r="Q2682" s="9" t="s">
        <v>13284</v>
      </c>
      <c r="R2682" s="9" t="s">
        <v>13284</v>
      </c>
      <c r="S2682" s="9" t="s">
        <v>13284</v>
      </c>
      <c r="T2682" s="9" t="str">
        <f ca="1">IFERROR(IF(AND(VLOOKUP(A2682, 'Актуальное состояние (из общего'!A:C,3,0) = "", A2682 &lt;&gt; ""), "ПРОВЕРИТЬ", VLOOKUP(A2682, 'Актуальное состояние (из общего'!A:C,3,0)), "")</f>
        <v/>
      </c>
      <c r="U2682" s="9" t="s">
        <v>13284</v>
      </c>
      <c r="V2682" s="9" t="s">
        <v>13284</v>
      </c>
      <c r="W2682" s="12"/>
      <c r="X2682" s="9" t="str">
        <f t="array" ref="X2682">IFERROR(INDEX('Адреса общежитий (скрытый)'!$B$2:$B$9, MATCH(W2682, 'Адреса общежитий (скрытый)'!$A$2:$A$9, 0)), "")</f>
        <v/>
      </c>
      <c r="Y2682" s="18"/>
      <c r="Z2682" s="18"/>
      <c r="AA2682" s="18"/>
      <c r="AB2682" s="18"/>
      <c r="AC2682" s="18"/>
    </row>
    <row r="2683" spans="1:29" ht="32.25" hidden="1" customHeight="1">
      <c r="A2683" s="17"/>
      <c r="B2683" s="9" t="s">
        <v>13284</v>
      </c>
      <c r="C2683" s="9" t="s">
        <v>13284</v>
      </c>
      <c r="D2683" s="9" t="s">
        <v>13284</v>
      </c>
      <c r="E2683" s="9" t="s">
        <v>13284</v>
      </c>
      <c r="F2683" s="9" t="s">
        <v>13284</v>
      </c>
      <c r="G2683" s="9" t="s">
        <v>13284</v>
      </c>
      <c r="H2683" s="9" t="s">
        <v>13284</v>
      </c>
      <c r="I2683" s="9" t="s">
        <v>13284</v>
      </c>
      <c r="J2683" s="9" t="s">
        <v>13284</v>
      </c>
      <c r="K2683" s="9" t="s">
        <v>13284</v>
      </c>
      <c r="L2683" s="9" t="s">
        <v>13284</v>
      </c>
      <c r="M2683" s="9" t="s">
        <v>13284</v>
      </c>
      <c r="N2683" s="9" t="s">
        <v>13284</v>
      </c>
      <c r="O2683" s="9" t="s">
        <v>13284</v>
      </c>
      <c r="P2683" s="9" t="s">
        <v>13284</v>
      </c>
      <c r="Q2683" s="9" t="s">
        <v>13284</v>
      </c>
      <c r="R2683" s="9" t="s">
        <v>13284</v>
      </c>
      <c r="S2683" s="9" t="s">
        <v>13284</v>
      </c>
      <c r="T2683" s="9" t="str">
        <f ca="1">IFERROR(IF(AND(VLOOKUP(A2683, 'Актуальное состояние (из общего'!A:C,3,0) = "", A2683 &lt;&gt; ""), "ПРОВЕРИТЬ", VLOOKUP(A2683, 'Актуальное состояние (из общего'!A:C,3,0)), "")</f>
        <v/>
      </c>
      <c r="U2683" s="9" t="s">
        <v>13284</v>
      </c>
      <c r="V2683" s="9" t="s">
        <v>13284</v>
      </c>
      <c r="W2683" s="12"/>
      <c r="X2683" s="9" t="str">
        <f t="array" ref="X2683">IFERROR(INDEX('Адреса общежитий (скрытый)'!$B$2:$B$9, MATCH(W2683, 'Адреса общежитий (скрытый)'!$A$2:$A$9, 0)), "")</f>
        <v/>
      </c>
      <c r="Y2683" s="18"/>
      <c r="Z2683" s="18"/>
      <c r="AA2683" s="18"/>
      <c r="AB2683" s="18"/>
      <c r="AC2683" s="18"/>
    </row>
    <row r="2684" spans="1:29" ht="32.25" hidden="1" customHeight="1">
      <c r="A2684" s="17"/>
      <c r="B2684" s="9" t="s">
        <v>13284</v>
      </c>
      <c r="C2684" s="9" t="s">
        <v>13284</v>
      </c>
      <c r="D2684" s="9" t="s">
        <v>13284</v>
      </c>
      <c r="E2684" s="9" t="s">
        <v>13284</v>
      </c>
      <c r="F2684" s="9" t="s">
        <v>13284</v>
      </c>
      <c r="G2684" s="9" t="s">
        <v>13284</v>
      </c>
      <c r="H2684" s="9" t="s">
        <v>13284</v>
      </c>
      <c r="I2684" s="9" t="s">
        <v>13284</v>
      </c>
      <c r="J2684" s="9" t="s">
        <v>13284</v>
      </c>
      <c r="K2684" s="9" t="s">
        <v>13284</v>
      </c>
      <c r="L2684" s="9" t="s">
        <v>13284</v>
      </c>
      <c r="M2684" s="9" t="s">
        <v>13284</v>
      </c>
      <c r="N2684" s="9" t="s">
        <v>13284</v>
      </c>
      <c r="O2684" s="9" t="s">
        <v>13284</v>
      </c>
      <c r="P2684" s="9" t="s">
        <v>13284</v>
      </c>
      <c r="Q2684" s="9" t="s">
        <v>13284</v>
      </c>
      <c r="R2684" s="9" t="s">
        <v>13284</v>
      </c>
      <c r="S2684" s="9" t="s">
        <v>13284</v>
      </c>
      <c r="T2684" s="9" t="str">
        <f ca="1">IFERROR(IF(AND(VLOOKUP(A2684, 'Актуальное состояние (из общего'!A:C,3,0) = "", A2684 &lt;&gt; ""), "ПРОВЕРИТЬ", VLOOKUP(A2684, 'Актуальное состояние (из общего'!A:C,3,0)), "")</f>
        <v/>
      </c>
      <c r="U2684" s="9" t="s">
        <v>13284</v>
      </c>
      <c r="V2684" s="9" t="s">
        <v>13284</v>
      </c>
      <c r="W2684" s="12"/>
      <c r="X2684" s="9" t="str">
        <f t="array" ref="X2684">IFERROR(INDEX('Адреса общежитий (скрытый)'!$B$2:$B$9, MATCH(W2684, 'Адреса общежитий (скрытый)'!$A$2:$A$9, 0)), "")</f>
        <v/>
      </c>
      <c r="Y2684" s="18"/>
      <c r="Z2684" s="18"/>
      <c r="AA2684" s="18"/>
      <c r="AB2684" s="18"/>
      <c r="AC2684" s="18"/>
    </row>
    <row r="2685" spans="1:29" ht="32.25" hidden="1" customHeight="1">
      <c r="A2685" s="17"/>
      <c r="B2685" s="9" t="s">
        <v>13284</v>
      </c>
      <c r="C2685" s="9" t="s">
        <v>13284</v>
      </c>
      <c r="D2685" s="9" t="s">
        <v>13284</v>
      </c>
      <c r="E2685" s="9" t="s">
        <v>13284</v>
      </c>
      <c r="F2685" s="9" t="s">
        <v>13284</v>
      </c>
      <c r="G2685" s="9" t="s">
        <v>13284</v>
      </c>
      <c r="H2685" s="9" t="s">
        <v>13284</v>
      </c>
      <c r="I2685" s="9" t="s">
        <v>13284</v>
      </c>
      <c r="J2685" s="9" t="s">
        <v>13284</v>
      </c>
      <c r="K2685" s="9" t="s">
        <v>13284</v>
      </c>
      <c r="L2685" s="9" t="s">
        <v>13284</v>
      </c>
      <c r="M2685" s="9" t="s">
        <v>13284</v>
      </c>
      <c r="N2685" s="9" t="s">
        <v>13284</v>
      </c>
      <c r="O2685" s="9" t="s">
        <v>13284</v>
      </c>
      <c r="P2685" s="9" t="s">
        <v>13284</v>
      </c>
      <c r="Q2685" s="9" t="s">
        <v>13284</v>
      </c>
      <c r="R2685" s="9" t="s">
        <v>13284</v>
      </c>
      <c r="S2685" s="9" t="s">
        <v>13284</v>
      </c>
      <c r="T2685" s="9" t="str">
        <f ca="1">IFERROR(IF(AND(VLOOKUP(A2685, 'Актуальное состояние (из общего'!A:C,3,0) = "", A2685 &lt;&gt; ""), "ПРОВЕРИТЬ", VLOOKUP(A2685, 'Актуальное состояние (из общего'!A:C,3,0)), "")</f>
        <v/>
      </c>
      <c r="U2685" s="9" t="s">
        <v>13284</v>
      </c>
      <c r="V2685" s="9" t="s">
        <v>13284</v>
      </c>
      <c r="W2685" s="12"/>
      <c r="X2685" s="9" t="str">
        <f t="array" ref="X2685">IFERROR(INDEX('Адреса общежитий (скрытый)'!$B$2:$B$9, MATCH(W2685, 'Адреса общежитий (скрытый)'!$A$2:$A$9, 0)), "")</f>
        <v/>
      </c>
      <c r="Y2685" s="18"/>
      <c r="Z2685" s="18"/>
      <c r="AA2685" s="18"/>
      <c r="AB2685" s="18"/>
      <c r="AC2685" s="18"/>
    </row>
    <row r="2686" spans="1:29" ht="32.25" hidden="1" customHeight="1">
      <c r="A2686" s="17"/>
      <c r="B2686" s="9" t="s">
        <v>13284</v>
      </c>
      <c r="C2686" s="9" t="s">
        <v>13284</v>
      </c>
      <c r="D2686" s="9" t="s">
        <v>13284</v>
      </c>
      <c r="E2686" s="9" t="s">
        <v>13284</v>
      </c>
      <c r="F2686" s="9" t="s">
        <v>13284</v>
      </c>
      <c r="G2686" s="9" t="s">
        <v>13284</v>
      </c>
      <c r="H2686" s="9" t="s">
        <v>13284</v>
      </c>
      <c r="I2686" s="9" t="s">
        <v>13284</v>
      </c>
      <c r="J2686" s="9" t="s">
        <v>13284</v>
      </c>
      <c r="K2686" s="9" t="s">
        <v>13284</v>
      </c>
      <c r="L2686" s="9" t="s">
        <v>13284</v>
      </c>
      <c r="M2686" s="9" t="s">
        <v>13284</v>
      </c>
      <c r="N2686" s="9" t="s">
        <v>13284</v>
      </c>
      <c r="O2686" s="9" t="s">
        <v>13284</v>
      </c>
      <c r="P2686" s="9" t="s">
        <v>13284</v>
      </c>
      <c r="Q2686" s="9" t="s">
        <v>13284</v>
      </c>
      <c r="R2686" s="9" t="s">
        <v>13284</v>
      </c>
      <c r="S2686" s="9" t="s">
        <v>13284</v>
      </c>
      <c r="T2686" s="9" t="str">
        <f ca="1">IFERROR(IF(AND(VLOOKUP(A2686, 'Актуальное состояние (из общего'!A:C,3,0) = "", A2686 &lt;&gt; ""), "ПРОВЕРИТЬ", VLOOKUP(A2686, 'Актуальное состояние (из общего'!A:C,3,0)), "")</f>
        <v/>
      </c>
      <c r="U2686" s="9" t="s">
        <v>13284</v>
      </c>
      <c r="V2686" s="9" t="s">
        <v>13284</v>
      </c>
      <c r="W2686" s="12"/>
      <c r="X2686" s="9" t="str">
        <f t="array" ref="X2686">IFERROR(INDEX('Адреса общежитий (скрытый)'!$B$2:$B$9, MATCH(W2686, 'Адреса общежитий (скрытый)'!$A$2:$A$9, 0)), "")</f>
        <v/>
      </c>
      <c r="Y2686" s="18"/>
      <c r="Z2686" s="18"/>
      <c r="AA2686" s="18"/>
      <c r="AB2686" s="18"/>
      <c r="AC2686" s="18"/>
    </row>
    <row r="2687" spans="1:29" ht="32.25" hidden="1" customHeight="1">
      <c r="A2687" s="17"/>
      <c r="B2687" s="9" t="s">
        <v>13284</v>
      </c>
      <c r="C2687" s="9" t="s">
        <v>13284</v>
      </c>
      <c r="D2687" s="9" t="s">
        <v>13284</v>
      </c>
      <c r="E2687" s="9" t="s">
        <v>13284</v>
      </c>
      <c r="F2687" s="9" t="s">
        <v>13284</v>
      </c>
      <c r="G2687" s="9" t="s">
        <v>13284</v>
      </c>
      <c r="H2687" s="9" t="s">
        <v>13284</v>
      </c>
      <c r="I2687" s="9" t="s">
        <v>13284</v>
      </c>
      <c r="J2687" s="9" t="s">
        <v>13284</v>
      </c>
      <c r="K2687" s="9" t="s">
        <v>13284</v>
      </c>
      <c r="L2687" s="9" t="s">
        <v>13284</v>
      </c>
      <c r="M2687" s="9" t="s">
        <v>13284</v>
      </c>
      <c r="N2687" s="9" t="s">
        <v>13284</v>
      </c>
      <c r="O2687" s="9" t="s">
        <v>13284</v>
      </c>
      <c r="P2687" s="9" t="s">
        <v>13284</v>
      </c>
      <c r="Q2687" s="9" t="s">
        <v>13284</v>
      </c>
      <c r="R2687" s="9" t="s">
        <v>13284</v>
      </c>
      <c r="S2687" s="9" t="s">
        <v>13284</v>
      </c>
      <c r="T2687" s="9" t="str">
        <f ca="1">IFERROR(IF(AND(VLOOKUP(A2687, 'Актуальное состояние (из общего'!A:C,3,0) = "", A2687 &lt;&gt; ""), "ПРОВЕРИТЬ", VLOOKUP(A2687, 'Актуальное состояние (из общего'!A:C,3,0)), "")</f>
        <v/>
      </c>
      <c r="U2687" s="9" t="s">
        <v>13284</v>
      </c>
      <c r="V2687" s="9" t="s">
        <v>13284</v>
      </c>
      <c r="W2687" s="12"/>
      <c r="X2687" s="9" t="str">
        <f t="array" ref="X2687">IFERROR(INDEX('Адреса общежитий (скрытый)'!$B$2:$B$9, MATCH(W2687, 'Адреса общежитий (скрытый)'!$A$2:$A$9, 0)), "")</f>
        <v/>
      </c>
      <c r="Y2687" s="18"/>
      <c r="Z2687" s="18"/>
      <c r="AA2687" s="18"/>
      <c r="AB2687" s="18"/>
      <c r="AC2687" s="18"/>
    </row>
    <row r="2688" spans="1:29" ht="32.25" hidden="1" customHeight="1">
      <c r="A2688" s="17"/>
      <c r="B2688" s="9" t="s">
        <v>13284</v>
      </c>
      <c r="C2688" s="9" t="s">
        <v>13284</v>
      </c>
      <c r="D2688" s="9" t="s">
        <v>13284</v>
      </c>
      <c r="E2688" s="9" t="s">
        <v>13284</v>
      </c>
      <c r="F2688" s="9" t="s">
        <v>13284</v>
      </c>
      <c r="G2688" s="9" t="s">
        <v>13284</v>
      </c>
      <c r="H2688" s="9" t="s">
        <v>13284</v>
      </c>
      <c r="I2688" s="9" t="s">
        <v>13284</v>
      </c>
      <c r="J2688" s="9" t="s">
        <v>13284</v>
      </c>
      <c r="K2688" s="9" t="s">
        <v>13284</v>
      </c>
      <c r="L2688" s="9" t="s">
        <v>13284</v>
      </c>
      <c r="M2688" s="9" t="s">
        <v>13284</v>
      </c>
      <c r="N2688" s="9" t="s">
        <v>13284</v>
      </c>
      <c r="O2688" s="9" t="s">
        <v>13284</v>
      </c>
      <c r="P2688" s="9" t="s">
        <v>13284</v>
      </c>
      <c r="Q2688" s="9" t="s">
        <v>13284</v>
      </c>
      <c r="R2688" s="9" t="s">
        <v>13284</v>
      </c>
      <c r="S2688" s="9" t="s">
        <v>13284</v>
      </c>
      <c r="T2688" s="9" t="str">
        <f ca="1">IFERROR(IF(AND(VLOOKUP(A2688, 'Актуальное состояние (из общего'!A:C,3,0) = "", A2688 &lt;&gt; ""), "ПРОВЕРИТЬ", VLOOKUP(A2688, 'Актуальное состояние (из общего'!A:C,3,0)), "")</f>
        <v/>
      </c>
      <c r="U2688" s="9" t="s">
        <v>13284</v>
      </c>
      <c r="V2688" s="9" t="s">
        <v>13284</v>
      </c>
      <c r="W2688" s="12"/>
      <c r="X2688" s="9" t="str">
        <f t="array" ref="X2688">IFERROR(INDEX('Адреса общежитий (скрытый)'!$B$2:$B$9, MATCH(W2688, 'Адреса общежитий (скрытый)'!$A$2:$A$9, 0)), "")</f>
        <v/>
      </c>
      <c r="Y2688" s="18"/>
      <c r="Z2688" s="18"/>
      <c r="AA2688" s="18"/>
      <c r="AB2688" s="18"/>
      <c r="AC2688" s="18"/>
    </row>
    <row r="2689" spans="1:29" ht="32.25" hidden="1" customHeight="1">
      <c r="A2689" s="17"/>
      <c r="B2689" s="9" t="s">
        <v>13284</v>
      </c>
      <c r="C2689" s="9" t="s">
        <v>13284</v>
      </c>
      <c r="D2689" s="9" t="s">
        <v>13284</v>
      </c>
      <c r="E2689" s="9" t="s">
        <v>13284</v>
      </c>
      <c r="F2689" s="9" t="s">
        <v>13284</v>
      </c>
      <c r="G2689" s="9" t="s">
        <v>13284</v>
      </c>
      <c r="H2689" s="9" t="s">
        <v>13284</v>
      </c>
      <c r="I2689" s="9" t="s">
        <v>13284</v>
      </c>
      <c r="J2689" s="9" t="s">
        <v>13284</v>
      </c>
      <c r="K2689" s="9" t="s">
        <v>13284</v>
      </c>
      <c r="L2689" s="9" t="s">
        <v>13284</v>
      </c>
      <c r="M2689" s="9" t="s">
        <v>13284</v>
      </c>
      <c r="N2689" s="9" t="s">
        <v>13284</v>
      </c>
      <c r="O2689" s="9" t="s">
        <v>13284</v>
      </c>
      <c r="P2689" s="9" t="s">
        <v>13284</v>
      </c>
      <c r="Q2689" s="9" t="s">
        <v>13284</v>
      </c>
      <c r="R2689" s="9" t="s">
        <v>13284</v>
      </c>
      <c r="S2689" s="9" t="s">
        <v>13284</v>
      </c>
      <c r="T2689" s="9" t="str">
        <f ca="1">IFERROR(IF(AND(VLOOKUP(A2689, 'Актуальное состояние (из общего'!A:C,3,0) = "", A2689 &lt;&gt; ""), "ПРОВЕРИТЬ", VLOOKUP(A2689, 'Актуальное состояние (из общего'!A:C,3,0)), "")</f>
        <v/>
      </c>
      <c r="U2689" s="9" t="s">
        <v>13284</v>
      </c>
      <c r="V2689" s="9" t="s">
        <v>13284</v>
      </c>
      <c r="W2689" s="12"/>
      <c r="X2689" s="9" t="str">
        <f t="array" ref="X2689">IFERROR(INDEX('Адреса общежитий (скрытый)'!$B$2:$B$9, MATCH(W2689, 'Адреса общежитий (скрытый)'!$A$2:$A$9, 0)), "")</f>
        <v/>
      </c>
      <c r="Y2689" s="18"/>
      <c r="Z2689" s="18"/>
      <c r="AA2689" s="18"/>
      <c r="AB2689" s="18"/>
      <c r="AC2689" s="18"/>
    </row>
    <row r="2690" spans="1:29" ht="32.25" hidden="1" customHeight="1">
      <c r="A2690" s="17"/>
      <c r="B2690" s="9" t="s">
        <v>13284</v>
      </c>
      <c r="C2690" s="9" t="s">
        <v>13284</v>
      </c>
      <c r="D2690" s="9" t="s">
        <v>13284</v>
      </c>
      <c r="E2690" s="9" t="s">
        <v>13284</v>
      </c>
      <c r="F2690" s="9" t="s">
        <v>13284</v>
      </c>
      <c r="G2690" s="9" t="s">
        <v>13284</v>
      </c>
      <c r="H2690" s="9" t="s">
        <v>13284</v>
      </c>
      <c r="I2690" s="9" t="s">
        <v>13284</v>
      </c>
      <c r="J2690" s="9" t="s">
        <v>13284</v>
      </c>
      <c r="K2690" s="9" t="s">
        <v>13284</v>
      </c>
      <c r="L2690" s="9" t="s">
        <v>13284</v>
      </c>
      <c r="M2690" s="9" t="s">
        <v>13284</v>
      </c>
      <c r="N2690" s="9" t="s">
        <v>13284</v>
      </c>
      <c r="O2690" s="9" t="s">
        <v>13284</v>
      </c>
      <c r="P2690" s="9" t="s">
        <v>13284</v>
      </c>
      <c r="Q2690" s="9" t="s">
        <v>13284</v>
      </c>
      <c r="R2690" s="9" t="s">
        <v>13284</v>
      </c>
      <c r="S2690" s="9" t="s">
        <v>13284</v>
      </c>
      <c r="T2690" s="9" t="str">
        <f ca="1">IFERROR(IF(AND(VLOOKUP(A2690, 'Актуальное состояние (из общего'!A:C,3,0) = "", A2690 &lt;&gt; ""), "ПРОВЕРИТЬ", VLOOKUP(A2690, 'Актуальное состояние (из общего'!A:C,3,0)), "")</f>
        <v/>
      </c>
      <c r="U2690" s="9" t="s">
        <v>13284</v>
      </c>
      <c r="V2690" s="9" t="s">
        <v>13284</v>
      </c>
      <c r="W2690" s="12"/>
      <c r="X2690" s="9" t="str">
        <f t="array" ref="X2690">IFERROR(INDEX('Адреса общежитий (скрытый)'!$B$2:$B$9, MATCH(W2690, 'Адреса общежитий (скрытый)'!$A$2:$A$9, 0)), "")</f>
        <v/>
      </c>
      <c r="Y2690" s="18"/>
      <c r="Z2690" s="18"/>
      <c r="AA2690" s="18"/>
      <c r="AB2690" s="18"/>
      <c r="AC2690" s="18"/>
    </row>
    <row r="2691" spans="1:29" ht="32.25" hidden="1" customHeight="1">
      <c r="A2691" s="17"/>
      <c r="B2691" s="9" t="s">
        <v>13284</v>
      </c>
      <c r="C2691" s="9" t="s">
        <v>13284</v>
      </c>
      <c r="D2691" s="9" t="s">
        <v>13284</v>
      </c>
      <c r="E2691" s="9" t="s">
        <v>13284</v>
      </c>
      <c r="F2691" s="9" t="s">
        <v>13284</v>
      </c>
      <c r="G2691" s="9" t="s">
        <v>13284</v>
      </c>
      <c r="H2691" s="9" t="s">
        <v>13284</v>
      </c>
      <c r="I2691" s="9" t="s">
        <v>13284</v>
      </c>
      <c r="J2691" s="9" t="s">
        <v>13284</v>
      </c>
      <c r="K2691" s="9" t="s">
        <v>13284</v>
      </c>
      <c r="L2691" s="9" t="s">
        <v>13284</v>
      </c>
      <c r="M2691" s="9" t="s">
        <v>13284</v>
      </c>
      <c r="N2691" s="9" t="s">
        <v>13284</v>
      </c>
      <c r="O2691" s="9" t="s">
        <v>13284</v>
      </c>
      <c r="P2691" s="9" t="s">
        <v>13284</v>
      </c>
      <c r="Q2691" s="9" t="s">
        <v>13284</v>
      </c>
      <c r="R2691" s="9" t="s">
        <v>13284</v>
      </c>
      <c r="S2691" s="9" t="s">
        <v>13284</v>
      </c>
      <c r="T2691" s="9" t="str">
        <f ca="1">IFERROR(IF(AND(VLOOKUP(A2691, 'Актуальное состояние (из общего'!A:C,3,0) = "", A2691 &lt;&gt; ""), "ПРОВЕРИТЬ", VLOOKUP(A2691, 'Актуальное состояние (из общего'!A:C,3,0)), "")</f>
        <v/>
      </c>
      <c r="U2691" s="9" t="s">
        <v>13284</v>
      </c>
      <c r="V2691" s="9" t="s">
        <v>13284</v>
      </c>
      <c r="W2691" s="12"/>
      <c r="X2691" s="9" t="str">
        <f t="array" ref="X2691">IFERROR(INDEX('Адреса общежитий (скрытый)'!$B$2:$B$9, MATCH(W2691, 'Адреса общежитий (скрытый)'!$A$2:$A$9, 0)), "")</f>
        <v/>
      </c>
      <c r="Y2691" s="18"/>
      <c r="Z2691" s="18"/>
      <c r="AA2691" s="18"/>
      <c r="AB2691" s="18"/>
      <c r="AC2691" s="18"/>
    </row>
    <row r="2692" spans="1:29" ht="32.25" hidden="1" customHeight="1">
      <c r="A2692" s="17"/>
      <c r="B2692" s="9" t="s">
        <v>13284</v>
      </c>
      <c r="C2692" s="9" t="s">
        <v>13284</v>
      </c>
      <c r="D2692" s="9" t="s">
        <v>13284</v>
      </c>
      <c r="E2692" s="9" t="s">
        <v>13284</v>
      </c>
      <c r="F2692" s="9" t="s">
        <v>13284</v>
      </c>
      <c r="G2692" s="9" t="s">
        <v>13284</v>
      </c>
      <c r="H2692" s="9" t="s">
        <v>13284</v>
      </c>
      <c r="I2692" s="9" t="s">
        <v>13284</v>
      </c>
      <c r="J2692" s="9" t="s">
        <v>13284</v>
      </c>
      <c r="K2692" s="9" t="s">
        <v>13284</v>
      </c>
      <c r="L2692" s="9" t="s">
        <v>13284</v>
      </c>
      <c r="M2692" s="9" t="s">
        <v>13284</v>
      </c>
      <c r="N2692" s="9" t="s">
        <v>13284</v>
      </c>
      <c r="O2692" s="9" t="s">
        <v>13284</v>
      </c>
      <c r="P2692" s="9" t="s">
        <v>13284</v>
      </c>
      <c r="Q2692" s="9" t="s">
        <v>13284</v>
      </c>
      <c r="R2692" s="9" t="s">
        <v>13284</v>
      </c>
      <c r="S2692" s="9" t="s">
        <v>13284</v>
      </c>
      <c r="T2692" s="9" t="str">
        <f ca="1">IFERROR(IF(AND(VLOOKUP(A2692, 'Актуальное состояние (из общего'!A:C,3,0) = "", A2692 &lt;&gt; ""), "ПРОВЕРИТЬ", VLOOKUP(A2692, 'Актуальное состояние (из общего'!A:C,3,0)), "")</f>
        <v/>
      </c>
      <c r="U2692" s="9" t="s">
        <v>13284</v>
      </c>
      <c r="V2692" s="9" t="s">
        <v>13284</v>
      </c>
      <c r="W2692" s="12"/>
      <c r="X2692" s="9" t="str">
        <f t="array" ref="X2692">IFERROR(INDEX('Адреса общежитий (скрытый)'!$B$2:$B$9, MATCH(W2692, 'Адреса общежитий (скрытый)'!$A$2:$A$9, 0)), "")</f>
        <v/>
      </c>
      <c r="Y2692" s="18"/>
      <c r="Z2692" s="18"/>
      <c r="AA2692" s="18"/>
      <c r="AB2692" s="18"/>
      <c r="AC2692" s="18"/>
    </row>
    <row r="2693" spans="1:29" ht="32.25" hidden="1" customHeight="1">
      <c r="A2693" s="17"/>
      <c r="B2693" s="9" t="s">
        <v>13284</v>
      </c>
      <c r="C2693" s="9" t="s">
        <v>13284</v>
      </c>
      <c r="D2693" s="9" t="s">
        <v>13284</v>
      </c>
      <c r="E2693" s="9" t="s">
        <v>13284</v>
      </c>
      <c r="F2693" s="9" t="s">
        <v>13284</v>
      </c>
      <c r="G2693" s="9" t="s">
        <v>13284</v>
      </c>
      <c r="H2693" s="9" t="s">
        <v>13284</v>
      </c>
      <c r="I2693" s="9" t="s">
        <v>13284</v>
      </c>
      <c r="J2693" s="9" t="s">
        <v>13284</v>
      </c>
      <c r="K2693" s="9" t="s">
        <v>13284</v>
      </c>
      <c r="L2693" s="9" t="s">
        <v>13284</v>
      </c>
      <c r="M2693" s="9" t="s">
        <v>13284</v>
      </c>
      <c r="N2693" s="9" t="s">
        <v>13284</v>
      </c>
      <c r="O2693" s="9" t="s">
        <v>13284</v>
      </c>
      <c r="P2693" s="9" t="s">
        <v>13284</v>
      </c>
      <c r="Q2693" s="9" t="s">
        <v>13284</v>
      </c>
      <c r="R2693" s="9" t="s">
        <v>13284</v>
      </c>
      <c r="S2693" s="9" t="s">
        <v>13284</v>
      </c>
      <c r="T2693" s="9" t="str">
        <f ca="1">IFERROR(IF(AND(VLOOKUP(A2693, 'Актуальное состояние (из общего'!A:C,3,0) = "", A2693 &lt;&gt; ""), "ПРОВЕРИТЬ", VLOOKUP(A2693, 'Актуальное состояние (из общего'!A:C,3,0)), "")</f>
        <v/>
      </c>
      <c r="U2693" s="9" t="s">
        <v>13284</v>
      </c>
      <c r="V2693" s="9" t="s">
        <v>13284</v>
      </c>
      <c r="W2693" s="12"/>
      <c r="X2693" s="9" t="str">
        <f t="array" ref="X2693">IFERROR(INDEX('Адреса общежитий (скрытый)'!$B$2:$B$9, MATCH(W2693, 'Адреса общежитий (скрытый)'!$A$2:$A$9, 0)), "")</f>
        <v/>
      </c>
      <c r="Y2693" s="18"/>
      <c r="Z2693" s="18"/>
      <c r="AA2693" s="18"/>
      <c r="AB2693" s="18"/>
      <c r="AC2693" s="18"/>
    </row>
    <row r="2694" spans="1:29" ht="32.25" hidden="1" customHeight="1">
      <c r="A2694" s="17"/>
      <c r="B2694" s="9" t="s">
        <v>13284</v>
      </c>
      <c r="C2694" s="9" t="s">
        <v>13284</v>
      </c>
      <c r="D2694" s="9" t="s">
        <v>13284</v>
      </c>
      <c r="E2694" s="9" t="s">
        <v>13284</v>
      </c>
      <c r="F2694" s="9" t="s">
        <v>13284</v>
      </c>
      <c r="G2694" s="9" t="s">
        <v>13284</v>
      </c>
      <c r="H2694" s="9" t="s">
        <v>13284</v>
      </c>
      <c r="I2694" s="9" t="s">
        <v>13284</v>
      </c>
      <c r="J2694" s="9" t="s">
        <v>13284</v>
      </c>
      <c r="K2694" s="9" t="s">
        <v>13284</v>
      </c>
      <c r="L2694" s="9" t="s">
        <v>13284</v>
      </c>
      <c r="M2694" s="9" t="s">
        <v>13284</v>
      </c>
      <c r="N2694" s="9" t="s">
        <v>13284</v>
      </c>
      <c r="O2694" s="9" t="s">
        <v>13284</v>
      </c>
      <c r="P2694" s="9" t="s">
        <v>13284</v>
      </c>
      <c r="Q2694" s="9" t="s">
        <v>13284</v>
      </c>
      <c r="R2694" s="9" t="s">
        <v>13284</v>
      </c>
      <c r="S2694" s="9" t="s">
        <v>13284</v>
      </c>
      <c r="T2694" s="9" t="str">
        <f ca="1">IFERROR(IF(AND(VLOOKUP(A2694, 'Актуальное состояние (из общего'!A:C,3,0) = "", A2694 &lt;&gt; ""), "ПРОВЕРИТЬ", VLOOKUP(A2694, 'Актуальное состояние (из общего'!A:C,3,0)), "")</f>
        <v/>
      </c>
      <c r="U2694" s="9" t="s">
        <v>13284</v>
      </c>
      <c r="V2694" s="9" t="s">
        <v>13284</v>
      </c>
      <c r="W2694" s="12"/>
      <c r="X2694" s="9" t="str">
        <f t="array" ref="X2694">IFERROR(INDEX('Адреса общежитий (скрытый)'!$B$2:$B$9, MATCH(W2694, 'Адреса общежитий (скрытый)'!$A$2:$A$9, 0)), "")</f>
        <v/>
      </c>
      <c r="Y2694" s="18"/>
      <c r="Z2694" s="18"/>
      <c r="AA2694" s="18"/>
      <c r="AB2694" s="18"/>
      <c r="AC2694" s="18"/>
    </row>
    <row r="2695" spans="1:29" ht="32.25" hidden="1" customHeight="1">
      <c r="A2695" s="17"/>
      <c r="B2695" s="9" t="s">
        <v>13284</v>
      </c>
      <c r="C2695" s="9" t="s">
        <v>13284</v>
      </c>
      <c r="D2695" s="9" t="s">
        <v>13284</v>
      </c>
      <c r="E2695" s="9" t="s">
        <v>13284</v>
      </c>
      <c r="F2695" s="9" t="s">
        <v>13284</v>
      </c>
      <c r="G2695" s="9" t="s">
        <v>13284</v>
      </c>
      <c r="H2695" s="9" t="s">
        <v>13284</v>
      </c>
      <c r="I2695" s="9" t="s">
        <v>13284</v>
      </c>
      <c r="J2695" s="9" t="s">
        <v>13284</v>
      </c>
      <c r="K2695" s="9" t="s">
        <v>13284</v>
      </c>
      <c r="L2695" s="9" t="s">
        <v>13284</v>
      </c>
      <c r="M2695" s="9" t="s">
        <v>13284</v>
      </c>
      <c r="N2695" s="9" t="s">
        <v>13284</v>
      </c>
      <c r="O2695" s="9" t="s">
        <v>13284</v>
      </c>
      <c r="P2695" s="9" t="s">
        <v>13284</v>
      </c>
      <c r="Q2695" s="9" t="s">
        <v>13284</v>
      </c>
      <c r="R2695" s="9" t="s">
        <v>13284</v>
      </c>
      <c r="S2695" s="9" t="s">
        <v>13284</v>
      </c>
      <c r="T2695" s="9" t="str">
        <f ca="1">IFERROR(IF(AND(VLOOKUP(A2695, 'Актуальное состояние (из общего'!A:C,3,0) = "", A2695 &lt;&gt; ""), "ПРОВЕРИТЬ", VLOOKUP(A2695, 'Актуальное состояние (из общего'!A:C,3,0)), "")</f>
        <v/>
      </c>
      <c r="U2695" s="9" t="s">
        <v>13284</v>
      </c>
      <c r="V2695" s="9" t="s">
        <v>13284</v>
      </c>
      <c r="W2695" s="12"/>
      <c r="X2695" s="9" t="str">
        <f t="array" ref="X2695">IFERROR(INDEX('Адреса общежитий (скрытый)'!$B$2:$B$9, MATCH(W2695, 'Адреса общежитий (скрытый)'!$A$2:$A$9, 0)), "")</f>
        <v/>
      </c>
      <c r="Y2695" s="18"/>
      <c r="Z2695" s="18"/>
      <c r="AA2695" s="18"/>
      <c r="AB2695" s="18"/>
      <c r="AC2695" s="18"/>
    </row>
    <row r="2696" spans="1:29" ht="32.25" hidden="1" customHeight="1">
      <c r="A2696" s="17"/>
      <c r="B2696" s="9" t="s">
        <v>13284</v>
      </c>
      <c r="C2696" s="9" t="s">
        <v>13284</v>
      </c>
      <c r="D2696" s="9" t="s">
        <v>13284</v>
      </c>
      <c r="E2696" s="9" t="s">
        <v>13284</v>
      </c>
      <c r="F2696" s="9" t="s">
        <v>13284</v>
      </c>
      <c r="G2696" s="9" t="s">
        <v>13284</v>
      </c>
      <c r="H2696" s="9" t="s">
        <v>13284</v>
      </c>
      <c r="I2696" s="9" t="s">
        <v>13284</v>
      </c>
      <c r="J2696" s="9" t="s">
        <v>13284</v>
      </c>
      <c r="K2696" s="9" t="s">
        <v>13284</v>
      </c>
      <c r="L2696" s="9" t="s">
        <v>13284</v>
      </c>
      <c r="M2696" s="9" t="s">
        <v>13284</v>
      </c>
      <c r="N2696" s="9" t="s">
        <v>13284</v>
      </c>
      <c r="O2696" s="9" t="s">
        <v>13284</v>
      </c>
      <c r="P2696" s="9" t="s">
        <v>13284</v>
      </c>
      <c r="Q2696" s="9" t="s">
        <v>13284</v>
      </c>
      <c r="R2696" s="9" t="s">
        <v>13284</v>
      </c>
      <c r="S2696" s="9" t="s">
        <v>13284</v>
      </c>
      <c r="T2696" s="9" t="str">
        <f ca="1">IFERROR(IF(AND(VLOOKUP(A2696, 'Актуальное состояние (из общего'!A:C,3,0) = "", A2696 &lt;&gt; ""), "ПРОВЕРИТЬ", VLOOKUP(A2696, 'Актуальное состояние (из общего'!A:C,3,0)), "")</f>
        <v/>
      </c>
      <c r="U2696" s="9" t="s">
        <v>13284</v>
      </c>
      <c r="V2696" s="9" t="s">
        <v>13284</v>
      </c>
      <c r="W2696" s="12"/>
      <c r="X2696" s="9" t="str">
        <f t="array" ref="X2696">IFERROR(INDEX('Адреса общежитий (скрытый)'!$B$2:$B$9, MATCH(W2696, 'Адреса общежитий (скрытый)'!$A$2:$A$9, 0)), "")</f>
        <v/>
      </c>
      <c r="Y2696" s="18"/>
      <c r="Z2696" s="18"/>
      <c r="AA2696" s="18"/>
      <c r="AB2696" s="18"/>
      <c r="AC2696" s="18"/>
    </row>
    <row r="2697" spans="1:29" ht="32.25" hidden="1" customHeight="1">
      <c r="A2697" s="17"/>
      <c r="B2697" s="9" t="s">
        <v>13284</v>
      </c>
      <c r="C2697" s="9" t="s">
        <v>13284</v>
      </c>
      <c r="D2697" s="9" t="s">
        <v>13284</v>
      </c>
      <c r="E2697" s="9" t="s">
        <v>13284</v>
      </c>
      <c r="F2697" s="9" t="s">
        <v>13284</v>
      </c>
      <c r="G2697" s="9" t="s">
        <v>13284</v>
      </c>
      <c r="H2697" s="9" t="s">
        <v>13284</v>
      </c>
      <c r="I2697" s="9" t="s">
        <v>13284</v>
      </c>
      <c r="J2697" s="9" t="s">
        <v>13284</v>
      </c>
      <c r="K2697" s="9" t="s">
        <v>13284</v>
      </c>
      <c r="L2697" s="9" t="s">
        <v>13284</v>
      </c>
      <c r="M2697" s="9" t="s">
        <v>13284</v>
      </c>
      <c r="N2697" s="9" t="s">
        <v>13284</v>
      </c>
      <c r="O2697" s="9" t="s">
        <v>13284</v>
      </c>
      <c r="P2697" s="9" t="s">
        <v>13284</v>
      </c>
      <c r="Q2697" s="9" t="s">
        <v>13284</v>
      </c>
      <c r="R2697" s="9" t="s">
        <v>13284</v>
      </c>
      <c r="S2697" s="9" t="s">
        <v>13284</v>
      </c>
      <c r="T2697" s="9" t="str">
        <f ca="1">IFERROR(IF(AND(VLOOKUP(A2697, 'Актуальное состояние (из общего'!A:C,3,0) = "", A2697 &lt;&gt; ""), "ПРОВЕРИТЬ", VLOOKUP(A2697, 'Актуальное состояние (из общего'!A:C,3,0)), "")</f>
        <v/>
      </c>
      <c r="U2697" s="9" t="s">
        <v>13284</v>
      </c>
      <c r="V2697" s="9" t="s">
        <v>13284</v>
      </c>
      <c r="W2697" s="12"/>
      <c r="X2697" s="9" t="str">
        <f t="array" ref="X2697">IFERROR(INDEX('Адреса общежитий (скрытый)'!$B$2:$B$9, MATCH(W2697, 'Адреса общежитий (скрытый)'!$A$2:$A$9, 0)), "")</f>
        <v/>
      </c>
      <c r="Y2697" s="18"/>
      <c r="Z2697" s="18"/>
      <c r="AA2697" s="18"/>
      <c r="AB2697" s="18"/>
      <c r="AC2697" s="18"/>
    </row>
    <row r="2698" spans="1:29" ht="32.25" hidden="1" customHeight="1">
      <c r="A2698" s="17"/>
      <c r="B2698" s="9" t="s">
        <v>13284</v>
      </c>
      <c r="C2698" s="9" t="s">
        <v>13284</v>
      </c>
      <c r="D2698" s="9" t="s">
        <v>13284</v>
      </c>
      <c r="E2698" s="9" t="s">
        <v>13284</v>
      </c>
      <c r="F2698" s="9" t="s">
        <v>13284</v>
      </c>
      <c r="G2698" s="9" t="s">
        <v>13284</v>
      </c>
      <c r="H2698" s="9" t="s">
        <v>13284</v>
      </c>
      <c r="I2698" s="9" t="s">
        <v>13284</v>
      </c>
      <c r="J2698" s="9" t="s">
        <v>13284</v>
      </c>
      <c r="K2698" s="9" t="s">
        <v>13284</v>
      </c>
      <c r="L2698" s="9" t="s">
        <v>13284</v>
      </c>
      <c r="M2698" s="9" t="s">
        <v>13284</v>
      </c>
      <c r="N2698" s="9" t="s">
        <v>13284</v>
      </c>
      <c r="O2698" s="9" t="s">
        <v>13284</v>
      </c>
      <c r="P2698" s="9" t="s">
        <v>13284</v>
      </c>
      <c r="Q2698" s="9" t="s">
        <v>13284</v>
      </c>
      <c r="R2698" s="9" t="s">
        <v>13284</v>
      </c>
      <c r="S2698" s="9" t="s">
        <v>13284</v>
      </c>
      <c r="T2698" s="9" t="str">
        <f ca="1">IFERROR(IF(AND(VLOOKUP(A2698, 'Актуальное состояние (из общего'!A:C,3,0) = "", A2698 &lt;&gt; ""), "ПРОВЕРИТЬ", VLOOKUP(A2698, 'Актуальное состояние (из общего'!A:C,3,0)), "")</f>
        <v/>
      </c>
      <c r="U2698" s="9" t="s">
        <v>13284</v>
      </c>
      <c r="V2698" s="9" t="s">
        <v>13284</v>
      </c>
      <c r="W2698" s="12"/>
      <c r="X2698" s="9" t="str">
        <f t="array" ref="X2698">IFERROR(INDEX('Адреса общежитий (скрытый)'!$B$2:$B$9, MATCH(W2698, 'Адреса общежитий (скрытый)'!$A$2:$A$9, 0)), "")</f>
        <v/>
      </c>
      <c r="Y2698" s="18"/>
      <c r="Z2698" s="18"/>
      <c r="AA2698" s="18"/>
      <c r="AB2698" s="18"/>
      <c r="AC2698" s="18"/>
    </row>
    <row r="2699" spans="1:29" ht="32.25" hidden="1" customHeight="1">
      <c r="A2699" s="17"/>
      <c r="B2699" s="9" t="s">
        <v>13284</v>
      </c>
      <c r="C2699" s="9" t="s">
        <v>13284</v>
      </c>
      <c r="D2699" s="9" t="s">
        <v>13284</v>
      </c>
      <c r="E2699" s="9" t="s">
        <v>13284</v>
      </c>
      <c r="F2699" s="9" t="s">
        <v>13284</v>
      </c>
      <c r="G2699" s="9" t="s">
        <v>13284</v>
      </c>
      <c r="H2699" s="9" t="s">
        <v>13284</v>
      </c>
      <c r="I2699" s="9" t="s">
        <v>13284</v>
      </c>
      <c r="J2699" s="9" t="s">
        <v>13284</v>
      </c>
      <c r="K2699" s="9" t="s">
        <v>13284</v>
      </c>
      <c r="L2699" s="9" t="s">
        <v>13284</v>
      </c>
      <c r="M2699" s="9" t="s">
        <v>13284</v>
      </c>
      <c r="N2699" s="9" t="s">
        <v>13284</v>
      </c>
      <c r="O2699" s="9" t="s">
        <v>13284</v>
      </c>
      <c r="P2699" s="9" t="s">
        <v>13284</v>
      </c>
      <c r="Q2699" s="9" t="s">
        <v>13284</v>
      </c>
      <c r="R2699" s="9" t="s">
        <v>13284</v>
      </c>
      <c r="S2699" s="9" t="s">
        <v>13284</v>
      </c>
      <c r="T2699" s="9" t="str">
        <f ca="1">IFERROR(IF(AND(VLOOKUP(A2699, 'Актуальное состояние (из общего'!A:C,3,0) = "", A2699 &lt;&gt; ""), "ПРОВЕРИТЬ", VLOOKUP(A2699, 'Актуальное состояние (из общего'!A:C,3,0)), "")</f>
        <v/>
      </c>
      <c r="U2699" s="9" t="s">
        <v>13284</v>
      </c>
      <c r="V2699" s="9" t="s">
        <v>13284</v>
      </c>
      <c r="W2699" s="12"/>
      <c r="X2699" s="9" t="str">
        <f t="array" ref="X2699">IFERROR(INDEX('Адреса общежитий (скрытый)'!$B$2:$B$9, MATCH(W2699, 'Адреса общежитий (скрытый)'!$A$2:$A$9, 0)), "")</f>
        <v/>
      </c>
      <c r="Y2699" s="18"/>
      <c r="Z2699" s="18"/>
      <c r="AA2699" s="18"/>
      <c r="AB2699" s="18"/>
      <c r="AC2699" s="18"/>
    </row>
    <row r="2700" spans="1:29" ht="32.25" hidden="1" customHeight="1">
      <c r="A2700" s="17"/>
      <c r="B2700" s="9" t="s">
        <v>13284</v>
      </c>
      <c r="C2700" s="9" t="s">
        <v>13284</v>
      </c>
      <c r="D2700" s="9" t="s">
        <v>13284</v>
      </c>
      <c r="E2700" s="9" t="s">
        <v>13284</v>
      </c>
      <c r="F2700" s="9" t="s">
        <v>13284</v>
      </c>
      <c r="G2700" s="9" t="s">
        <v>13284</v>
      </c>
      <c r="H2700" s="9" t="s">
        <v>13284</v>
      </c>
      <c r="I2700" s="9" t="s">
        <v>13284</v>
      </c>
      <c r="J2700" s="9" t="s">
        <v>13284</v>
      </c>
      <c r="K2700" s="9" t="s">
        <v>13284</v>
      </c>
      <c r="L2700" s="9" t="s">
        <v>13284</v>
      </c>
      <c r="M2700" s="9" t="s">
        <v>13284</v>
      </c>
      <c r="N2700" s="9" t="s">
        <v>13284</v>
      </c>
      <c r="O2700" s="9" t="s">
        <v>13284</v>
      </c>
      <c r="P2700" s="9" t="s">
        <v>13284</v>
      </c>
      <c r="Q2700" s="9" t="s">
        <v>13284</v>
      </c>
      <c r="R2700" s="9" t="s">
        <v>13284</v>
      </c>
      <c r="S2700" s="9" t="s">
        <v>13284</v>
      </c>
      <c r="T2700" s="9" t="str">
        <f ca="1">IFERROR(IF(AND(VLOOKUP(A2700, 'Актуальное состояние (из общего'!A:C,3,0) = "", A2700 &lt;&gt; ""), "ПРОВЕРИТЬ", VLOOKUP(A2700, 'Актуальное состояние (из общего'!A:C,3,0)), "")</f>
        <v/>
      </c>
      <c r="U2700" s="9" t="s">
        <v>13284</v>
      </c>
      <c r="V2700" s="9" t="s">
        <v>13284</v>
      </c>
      <c r="W2700" s="12"/>
      <c r="X2700" s="9" t="str">
        <f t="array" ref="X2700">IFERROR(INDEX('Адреса общежитий (скрытый)'!$B$2:$B$9, MATCH(W2700, 'Адреса общежитий (скрытый)'!$A$2:$A$9, 0)), "")</f>
        <v/>
      </c>
      <c r="Y2700" s="18"/>
      <c r="Z2700" s="18"/>
      <c r="AA2700" s="18"/>
      <c r="AB2700" s="18"/>
      <c r="AC2700" s="18"/>
    </row>
    <row r="2701" spans="1:29" ht="32.25" hidden="1" customHeight="1">
      <c r="A2701" s="17"/>
      <c r="B2701" s="9" t="s">
        <v>13284</v>
      </c>
      <c r="C2701" s="9" t="s">
        <v>13284</v>
      </c>
      <c r="D2701" s="9" t="s">
        <v>13284</v>
      </c>
      <c r="E2701" s="9" t="s">
        <v>13284</v>
      </c>
      <c r="F2701" s="9" t="s">
        <v>13284</v>
      </c>
      <c r="G2701" s="9" t="s">
        <v>13284</v>
      </c>
      <c r="H2701" s="9" t="s">
        <v>13284</v>
      </c>
      <c r="I2701" s="9" t="s">
        <v>13284</v>
      </c>
      <c r="J2701" s="9" t="s">
        <v>13284</v>
      </c>
      <c r="K2701" s="9" t="s">
        <v>13284</v>
      </c>
      <c r="L2701" s="9" t="s">
        <v>13284</v>
      </c>
      <c r="M2701" s="9" t="s">
        <v>13284</v>
      </c>
      <c r="N2701" s="9" t="s">
        <v>13284</v>
      </c>
      <c r="O2701" s="9" t="s">
        <v>13284</v>
      </c>
      <c r="P2701" s="9" t="s">
        <v>13284</v>
      </c>
      <c r="Q2701" s="9" t="s">
        <v>13284</v>
      </c>
      <c r="R2701" s="9" t="s">
        <v>13284</v>
      </c>
      <c r="S2701" s="9" t="s">
        <v>13284</v>
      </c>
      <c r="T2701" s="9" t="str">
        <f ca="1">IFERROR(IF(AND(VLOOKUP(A2701, 'Актуальное состояние (из общего'!A:C,3,0) = "", A2701 &lt;&gt; ""), "ПРОВЕРИТЬ", VLOOKUP(A2701, 'Актуальное состояние (из общего'!A:C,3,0)), "")</f>
        <v/>
      </c>
      <c r="U2701" s="9" t="s">
        <v>13284</v>
      </c>
      <c r="V2701" s="9" t="s">
        <v>13284</v>
      </c>
      <c r="W2701" s="12"/>
      <c r="X2701" s="9" t="str">
        <f t="array" ref="X2701">IFERROR(INDEX('Адреса общежитий (скрытый)'!$B$2:$B$9, MATCH(W2701, 'Адреса общежитий (скрытый)'!$A$2:$A$9, 0)), "")</f>
        <v/>
      </c>
      <c r="Y2701" s="18"/>
      <c r="Z2701" s="18"/>
      <c r="AA2701" s="18"/>
      <c r="AB2701" s="18"/>
      <c r="AC2701" s="18"/>
    </row>
    <row r="2702" spans="1:29" ht="32.25" hidden="1" customHeight="1">
      <c r="A2702" s="17"/>
      <c r="B2702" s="9" t="s">
        <v>13284</v>
      </c>
      <c r="C2702" s="9" t="s">
        <v>13284</v>
      </c>
      <c r="D2702" s="9" t="s">
        <v>13284</v>
      </c>
      <c r="E2702" s="9" t="s">
        <v>13284</v>
      </c>
      <c r="F2702" s="9" t="s">
        <v>13284</v>
      </c>
      <c r="G2702" s="9" t="s">
        <v>13284</v>
      </c>
      <c r="H2702" s="9" t="s">
        <v>13284</v>
      </c>
      <c r="I2702" s="9" t="s">
        <v>13284</v>
      </c>
      <c r="J2702" s="9" t="s">
        <v>13284</v>
      </c>
      <c r="K2702" s="9" t="s">
        <v>13284</v>
      </c>
      <c r="L2702" s="9" t="s">
        <v>13284</v>
      </c>
      <c r="M2702" s="9" t="s">
        <v>13284</v>
      </c>
      <c r="N2702" s="9" t="s">
        <v>13284</v>
      </c>
      <c r="O2702" s="9" t="s">
        <v>13284</v>
      </c>
      <c r="P2702" s="9" t="s">
        <v>13284</v>
      </c>
      <c r="Q2702" s="9" t="s">
        <v>13284</v>
      </c>
      <c r="R2702" s="9" t="s">
        <v>13284</v>
      </c>
      <c r="S2702" s="9" t="s">
        <v>13284</v>
      </c>
      <c r="T2702" s="9" t="str">
        <f ca="1">IFERROR(IF(AND(VLOOKUP(A2702, 'Актуальное состояние (из общего'!A:C,3,0) = "", A2702 &lt;&gt; ""), "ПРОВЕРИТЬ", VLOOKUP(A2702, 'Актуальное состояние (из общего'!A:C,3,0)), "")</f>
        <v/>
      </c>
      <c r="U2702" s="9" t="s">
        <v>13284</v>
      </c>
      <c r="V2702" s="9" t="s">
        <v>13284</v>
      </c>
      <c r="W2702" s="12"/>
      <c r="X2702" s="9" t="str">
        <f t="array" ref="X2702">IFERROR(INDEX('Адреса общежитий (скрытый)'!$B$2:$B$9, MATCH(W2702, 'Адреса общежитий (скрытый)'!$A$2:$A$9, 0)), "")</f>
        <v/>
      </c>
      <c r="Y2702" s="18"/>
      <c r="Z2702" s="18"/>
      <c r="AA2702" s="18"/>
      <c r="AB2702" s="18"/>
      <c r="AC2702" s="18"/>
    </row>
    <row r="2703" spans="1:29" ht="32.25" hidden="1" customHeight="1">
      <c r="A2703" s="17"/>
      <c r="B2703" s="9" t="s">
        <v>13284</v>
      </c>
      <c r="C2703" s="9" t="s">
        <v>13284</v>
      </c>
      <c r="D2703" s="9" t="s">
        <v>13284</v>
      </c>
      <c r="E2703" s="9" t="s">
        <v>13284</v>
      </c>
      <c r="F2703" s="9" t="s">
        <v>13284</v>
      </c>
      <c r="G2703" s="9" t="s">
        <v>13284</v>
      </c>
      <c r="H2703" s="9" t="s">
        <v>13284</v>
      </c>
      <c r="I2703" s="9" t="s">
        <v>13284</v>
      </c>
      <c r="J2703" s="9" t="s">
        <v>13284</v>
      </c>
      <c r="K2703" s="9" t="s">
        <v>13284</v>
      </c>
      <c r="L2703" s="9" t="s">
        <v>13284</v>
      </c>
      <c r="M2703" s="9" t="s">
        <v>13284</v>
      </c>
      <c r="N2703" s="9" t="s">
        <v>13284</v>
      </c>
      <c r="O2703" s="9" t="s">
        <v>13284</v>
      </c>
      <c r="P2703" s="9" t="s">
        <v>13284</v>
      </c>
      <c r="Q2703" s="9" t="s">
        <v>13284</v>
      </c>
      <c r="R2703" s="9" t="s">
        <v>13284</v>
      </c>
      <c r="S2703" s="9" t="s">
        <v>13284</v>
      </c>
      <c r="T2703" s="9" t="str">
        <f ca="1">IFERROR(IF(AND(VLOOKUP(A2703, 'Актуальное состояние (из общего'!A:C,3,0) = "", A2703 &lt;&gt; ""), "ПРОВЕРИТЬ", VLOOKUP(A2703, 'Актуальное состояние (из общего'!A:C,3,0)), "")</f>
        <v/>
      </c>
      <c r="U2703" s="9" t="s">
        <v>13284</v>
      </c>
      <c r="V2703" s="9" t="s">
        <v>13284</v>
      </c>
      <c r="W2703" s="12"/>
      <c r="X2703" s="9" t="str">
        <f t="array" ref="X2703">IFERROR(INDEX('Адреса общежитий (скрытый)'!$B$2:$B$9, MATCH(W2703, 'Адреса общежитий (скрытый)'!$A$2:$A$9, 0)), "")</f>
        <v/>
      </c>
      <c r="Y2703" s="18"/>
      <c r="Z2703" s="18"/>
      <c r="AA2703" s="18"/>
      <c r="AB2703" s="18"/>
      <c r="AC2703" s="18"/>
    </row>
    <row r="2704" spans="1:29" ht="32.25" hidden="1" customHeight="1">
      <c r="A2704" s="17"/>
      <c r="B2704" s="9" t="s">
        <v>13284</v>
      </c>
      <c r="C2704" s="9" t="s">
        <v>13284</v>
      </c>
      <c r="D2704" s="9" t="s">
        <v>13284</v>
      </c>
      <c r="E2704" s="9" t="s">
        <v>13284</v>
      </c>
      <c r="F2704" s="9" t="s">
        <v>13284</v>
      </c>
      <c r="G2704" s="9" t="s">
        <v>13284</v>
      </c>
      <c r="H2704" s="9" t="s">
        <v>13284</v>
      </c>
      <c r="I2704" s="9" t="s">
        <v>13284</v>
      </c>
      <c r="J2704" s="9" t="s">
        <v>13284</v>
      </c>
      <c r="K2704" s="9" t="s">
        <v>13284</v>
      </c>
      <c r="L2704" s="9" t="s">
        <v>13284</v>
      </c>
      <c r="M2704" s="9" t="s">
        <v>13284</v>
      </c>
      <c r="N2704" s="9" t="s">
        <v>13284</v>
      </c>
      <c r="O2704" s="9" t="s">
        <v>13284</v>
      </c>
      <c r="P2704" s="9" t="s">
        <v>13284</v>
      </c>
      <c r="Q2704" s="9" t="s">
        <v>13284</v>
      </c>
      <c r="R2704" s="9" t="s">
        <v>13284</v>
      </c>
      <c r="S2704" s="9" t="s">
        <v>13284</v>
      </c>
      <c r="T2704" s="9" t="str">
        <f ca="1">IFERROR(IF(AND(VLOOKUP(A2704, 'Актуальное состояние (из общего'!A:C,3,0) = "", A2704 &lt;&gt; ""), "ПРОВЕРИТЬ", VLOOKUP(A2704, 'Актуальное состояние (из общего'!A:C,3,0)), "")</f>
        <v/>
      </c>
      <c r="U2704" s="9" t="s">
        <v>13284</v>
      </c>
      <c r="V2704" s="9" t="s">
        <v>13284</v>
      </c>
      <c r="W2704" s="12"/>
      <c r="X2704" s="9" t="str">
        <f t="array" ref="X2704">IFERROR(INDEX('Адреса общежитий (скрытый)'!$B$2:$B$9, MATCH(W2704, 'Адреса общежитий (скрытый)'!$A$2:$A$9, 0)), "")</f>
        <v/>
      </c>
      <c r="Y2704" s="18"/>
      <c r="Z2704" s="18"/>
      <c r="AA2704" s="18"/>
      <c r="AB2704" s="18"/>
      <c r="AC2704" s="18"/>
    </row>
    <row r="2705" spans="1:29" ht="32.25" hidden="1" customHeight="1">
      <c r="A2705" s="17"/>
      <c r="B2705" s="9" t="s">
        <v>13284</v>
      </c>
      <c r="C2705" s="9" t="s">
        <v>13284</v>
      </c>
      <c r="D2705" s="9" t="s">
        <v>13284</v>
      </c>
      <c r="E2705" s="9" t="s">
        <v>13284</v>
      </c>
      <c r="F2705" s="9" t="s">
        <v>13284</v>
      </c>
      <c r="G2705" s="9" t="s">
        <v>13284</v>
      </c>
      <c r="H2705" s="9" t="s">
        <v>13284</v>
      </c>
      <c r="I2705" s="9" t="s">
        <v>13284</v>
      </c>
      <c r="J2705" s="9" t="s">
        <v>13284</v>
      </c>
      <c r="K2705" s="9" t="s">
        <v>13284</v>
      </c>
      <c r="L2705" s="9" t="s">
        <v>13284</v>
      </c>
      <c r="M2705" s="9" t="s">
        <v>13284</v>
      </c>
      <c r="N2705" s="9" t="s">
        <v>13284</v>
      </c>
      <c r="O2705" s="9" t="s">
        <v>13284</v>
      </c>
      <c r="P2705" s="9" t="s">
        <v>13284</v>
      </c>
      <c r="Q2705" s="9" t="s">
        <v>13284</v>
      </c>
      <c r="R2705" s="9" t="s">
        <v>13284</v>
      </c>
      <c r="S2705" s="9" t="s">
        <v>13284</v>
      </c>
      <c r="T2705" s="9" t="str">
        <f ca="1">IFERROR(IF(AND(VLOOKUP(A2705, 'Актуальное состояние (из общего'!A:C,3,0) = "", A2705 &lt;&gt; ""), "ПРОВЕРИТЬ", VLOOKUP(A2705, 'Актуальное состояние (из общего'!A:C,3,0)), "")</f>
        <v/>
      </c>
      <c r="U2705" s="9" t="s">
        <v>13284</v>
      </c>
      <c r="V2705" s="9" t="s">
        <v>13284</v>
      </c>
      <c r="W2705" s="12"/>
      <c r="X2705" s="9" t="str">
        <f t="array" ref="X2705">IFERROR(INDEX('Адреса общежитий (скрытый)'!$B$2:$B$9, MATCH(W2705, 'Адреса общежитий (скрытый)'!$A$2:$A$9, 0)), "")</f>
        <v/>
      </c>
      <c r="Y2705" s="18"/>
      <c r="Z2705" s="18"/>
      <c r="AA2705" s="18"/>
      <c r="AB2705" s="18"/>
      <c r="AC2705" s="18"/>
    </row>
    <row r="2706" spans="1:29" ht="32.25" hidden="1" customHeight="1">
      <c r="A2706" s="17"/>
      <c r="B2706" s="9" t="s">
        <v>13284</v>
      </c>
      <c r="C2706" s="9" t="s">
        <v>13284</v>
      </c>
      <c r="D2706" s="9" t="s">
        <v>13284</v>
      </c>
      <c r="E2706" s="9" t="s">
        <v>13284</v>
      </c>
      <c r="F2706" s="9" t="s">
        <v>13284</v>
      </c>
      <c r="G2706" s="9" t="s">
        <v>13284</v>
      </c>
      <c r="H2706" s="9" t="s">
        <v>13284</v>
      </c>
      <c r="I2706" s="9" t="s">
        <v>13284</v>
      </c>
      <c r="J2706" s="9" t="s">
        <v>13284</v>
      </c>
      <c r="K2706" s="9" t="s">
        <v>13284</v>
      </c>
      <c r="L2706" s="9" t="s">
        <v>13284</v>
      </c>
      <c r="M2706" s="9" t="s">
        <v>13284</v>
      </c>
      <c r="N2706" s="9" t="s">
        <v>13284</v>
      </c>
      <c r="O2706" s="9" t="s">
        <v>13284</v>
      </c>
      <c r="P2706" s="9" t="s">
        <v>13284</v>
      </c>
      <c r="Q2706" s="9" t="s">
        <v>13284</v>
      </c>
      <c r="R2706" s="9" t="s">
        <v>13284</v>
      </c>
      <c r="S2706" s="9" t="s">
        <v>13284</v>
      </c>
      <c r="T2706" s="9" t="str">
        <f ca="1">IFERROR(IF(AND(VLOOKUP(A2706, 'Актуальное состояние (из общего'!A:C,3,0) = "", A2706 &lt;&gt; ""), "ПРОВЕРИТЬ", VLOOKUP(A2706, 'Актуальное состояние (из общего'!A:C,3,0)), "")</f>
        <v/>
      </c>
      <c r="U2706" s="9" t="s">
        <v>13284</v>
      </c>
      <c r="V2706" s="9" t="s">
        <v>13284</v>
      </c>
      <c r="W2706" s="12"/>
      <c r="X2706" s="9" t="str">
        <f t="array" ref="X2706">IFERROR(INDEX('Адреса общежитий (скрытый)'!$B$2:$B$9, MATCH(W2706, 'Адреса общежитий (скрытый)'!$A$2:$A$9, 0)), "")</f>
        <v/>
      </c>
      <c r="Y2706" s="18"/>
      <c r="Z2706" s="18"/>
      <c r="AA2706" s="18"/>
      <c r="AB2706" s="18"/>
      <c r="AC2706" s="18"/>
    </row>
    <row r="2707" spans="1:29" ht="32.25" hidden="1" customHeight="1">
      <c r="A2707" s="17"/>
      <c r="B2707" s="9" t="s">
        <v>13284</v>
      </c>
      <c r="C2707" s="9" t="s">
        <v>13284</v>
      </c>
      <c r="D2707" s="9" t="s">
        <v>13284</v>
      </c>
      <c r="E2707" s="9" t="s">
        <v>13284</v>
      </c>
      <c r="F2707" s="9" t="s">
        <v>13284</v>
      </c>
      <c r="G2707" s="9" t="s">
        <v>13284</v>
      </c>
      <c r="H2707" s="9" t="s">
        <v>13284</v>
      </c>
      <c r="I2707" s="9" t="s">
        <v>13284</v>
      </c>
      <c r="J2707" s="9" t="s">
        <v>13284</v>
      </c>
      <c r="K2707" s="9" t="s">
        <v>13284</v>
      </c>
      <c r="L2707" s="9" t="s">
        <v>13284</v>
      </c>
      <c r="M2707" s="9" t="s">
        <v>13284</v>
      </c>
      <c r="N2707" s="9" t="s">
        <v>13284</v>
      </c>
      <c r="O2707" s="9" t="s">
        <v>13284</v>
      </c>
      <c r="P2707" s="9" t="s">
        <v>13284</v>
      </c>
      <c r="Q2707" s="9" t="s">
        <v>13284</v>
      </c>
      <c r="R2707" s="9" t="s">
        <v>13284</v>
      </c>
      <c r="S2707" s="9" t="s">
        <v>13284</v>
      </c>
      <c r="T2707" s="9" t="str">
        <f ca="1">IFERROR(IF(AND(VLOOKUP(A2707, 'Актуальное состояние (из общего'!A:C,3,0) = "", A2707 &lt;&gt; ""), "ПРОВЕРИТЬ", VLOOKUP(A2707, 'Актуальное состояние (из общего'!A:C,3,0)), "")</f>
        <v/>
      </c>
      <c r="U2707" s="9" t="s">
        <v>13284</v>
      </c>
      <c r="V2707" s="9" t="s">
        <v>13284</v>
      </c>
      <c r="W2707" s="12"/>
      <c r="X2707" s="9" t="str">
        <f t="array" ref="X2707">IFERROR(INDEX('Адреса общежитий (скрытый)'!$B$2:$B$9, MATCH(W2707, 'Адреса общежитий (скрытый)'!$A$2:$A$9, 0)), "")</f>
        <v/>
      </c>
      <c r="Y2707" s="18"/>
      <c r="Z2707" s="18"/>
      <c r="AA2707" s="18"/>
      <c r="AB2707" s="18"/>
      <c r="AC2707" s="18"/>
    </row>
    <row r="2708" spans="1:29" ht="32.25" hidden="1" customHeight="1">
      <c r="A2708" s="17"/>
      <c r="B2708" s="9" t="s">
        <v>13284</v>
      </c>
      <c r="C2708" s="9" t="s">
        <v>13284</v>
      </c>
      <c r="D2708" s="9" t="s">
        <v>13284</v>
      </c>
      <c r="E2708" s="9" t="s">
        <v>13284</v>
      </c>
      <c r="F2708" s="9" t="s">
        <v>13284</v>
      </c>
      <c r="G2708" s="9" t="s">
        <v>13284</v>
      </c>
      <c r="H2708" s="9" t="s">
        <v>13284</v>
      </c>
      <c r="I2708" s="9" t="s">
        <v>13284</v>
      </c>
      <c r="J2708" s="9" t="s">
        <v>13284</v>
      </c>
      <c r="K2708" s="9" t="s">
        <v>13284</v>
      </c>
      <c r="L2708" s="9" t="s">
        <v>13284</v>
      </c>
      <c r="M2708" s="9" t="s">
        <v>13284</v>
      </c>
      <c r="N2708" s="9" t="s">
        <v>13284</v>
      </c>
      <c r="O2708" s="9" t="s">
        <v>13284</v>
      </c>
      <c r="P2708" s="9" t="s">
        <v>13284</v>
      </c>
      <c r="Q2708" s="9" t="s">
        <v>13284</v>
      </c>
      <c r="R2708" s="9" t="s">
        <v>13284</v>
      </c>
      <c r="S2708" s="9" t="s">
        <v>13284</v>
      </c>
      <c r="T2708" s="9" t="str">
        <f ca="1">IFERROR(IF(AND(VLOOKUP(A2708, 'Актуальное состояние (из общего'!A:C,3,0) = "", A2708 &lt;&gt; ""), "ПРОВЕРИТЬ", VLOOKUP(A2708, 'Актуальное состояние (из общего'!A:C,3,0)), "")</f>
        <v/>
      </c>
      <c r="U2708" s="9" t="s">
        <v>13284</v>
      </c>
      <c r="V2708" s="9" t="s">
        <v>13284</v>
      </c>
      <c r="W2708" s="12"/>
      <c r="X2708" s="9" t="str">
        <f t="array" ref="X2708">IFERROR(INDEX('Адреса общежитий (скрытый)'!$B$2:$B$9, MATCH(W2708, 'Адреса общежитий (скрытый)'!$A$2:$A$9, 0)), "")</f>
        <v/>
      </c>
      <c r="Y2708" s="18"/>
      <c r="Z2708" s="18"/>
      <c r="AA2708" s="18"/>
      <c r="AB2708" s="18"/>
      <c r="AC2708" s="18"/>
    </row>
    <row r="2709" spans="1:29" ht="32.25" hidden="1" customHeight="1">
      <c r="A2709" s="17"/>
      <c r="B2709" s="9" t="s">
        <v>13284</v>
      </c>
      <c r="C2709" s="9" t="s">
        <v>13284</v>
      </c>
      <c r="D2709" s="9" t="s">
        <v>13284</v>
      </c>
      <c r="E2709" s="9" t="s">
        <v>13284</v>
      </c>
      <c r="F2709" s="9" t="s">
        <v>13284</v>
      </c>
      <c r="G2709" s="9" t="s">
        <v>13284</v>
      </c>
      <c r="H2709" s="9" t="s">
        <v>13284</v>
      </c>
      <c r="I2709" s="9" t="s">
        <v>13284</v>
      </c>
      <c r="J2709" s="9" t="s">
        <v>13284</v>
      </c>
      <c r="K2709" s="9" t="s">
        <v>13284</v>
      </c>
      <c r="L2709" s="9" t="s">
        <v>13284</v>
      </c>
      <c r="M2709" s="9" t="s">
        <v>13284</v>
      </c>
      <c r="N2709" s="9" t="s">
        <v>13284</v>
      </c>
      <c r="O2709" s="9" t="s">
        <v>13284</v>
      </c>
      <c r="P2709" s="9" t="s">
        <v>13284</v>
      </c>
      <c r="Q2709" s="9" t="s">
        <v>13284</v>
      </c>
      <c r="R2709" s="9" t="s">
        <v>13284</v>
      </c>
      <c r="S2709" s="9" t="s">
        <v>13284</v>
      </c>
      <c r="T2709" s="9" t="str">
        <f ca="1">IFERROR(IF(AND(VLOOKUP(A2709, 'Актуальное состояние (из общего'!A:C,3,0) = "", A2709 &lt;&gt; ""), "ПРОВЕРИТЬ", VLOOKUP(A2709, 'Актуальное состояние (из общего'!A:C,3,0)), "")</f>
        <v/>
      </c>
      <c r="U2709" s="9" t="s">
        <v>13284</v>
      </c>
      <c r="V2709" s="9" t="s">
        <v>13284</v>
      </c>
      <c r="W2709" s="12"/>
      <c r="X2709" s="9" t="str">
        <f t="array" ref="X2709">IFERROR(INDEX('Адреса общежитий (скрытый)'!$B$2:$B$9, MATCH(W2709, 'Адреса общежитий (скрытый)'!$A$2:$A$9, 0)), "")</f>
        <v/>
      </c>
      <c r="Y2709" s="18"/>
      <c r="Z2709" s="18"/>
      <c r="AA2709" s="18"/>
      <c r="AB2709" s="18"/>
      <c r="AC2709" s="18"/>
    </row>
    <row r="2710" spans="1:29" ht="32.25" hidden="1" customHeight="1">
      <c r="A2710" s="17"/>
      <c r="B2710" s="9" t="s">
        <v>13284</v>
      </c>
      <c r="C2710" s="9" t="s">
        <v>13284</v>
      </c>
      <c r="D2710" s="9" t="s">
        <v>13284</v>
      </c>
      <c r="E2710" s="9" t="s">
        <v>13284</v>
      </c>
      <c r="F2710" s="9" t="s">
        <v>13284</v>
      </c>
      <c r="G2710" s="9" t="s">
        <v>13284</v>
      </c>
      <c r="H2710" s="9" t="s">
        <v>13284</v>
      </c>
      <c r="I2710" s="9" t="s">
        <v>13284</v>
      </c>
      <c r="J2710" s="9" t="s">
        <v>13284</v>
      </c>
      <c r="K2710" s="9" t="s">
        <v>13284</v>
      </c>
      <c r="L2710" s="9" t="s">
        <v>13284</v>
      </c>
      <c r="M2710" s="9" t="s">
        <v>13284</v>
      </c>
      <c r="N2710" s="9" t="s">
        <v>13284</v>
      </c>
      <c r="O2710" s="9" t="s">
        <v>13284</v>
      </c>
      <c r="P2710" s="9" t="s">
        <v>13284</v>
      </c>
      <c r="Q2710" s="9" t="s">
        <v>13284</v>
      </c>
      <c r="R2710" s="9" t="s">
        <v>13284</v>
      </c>
      <c r="S2710" s="9" t="s">
        <v>13284</v>
      </c>
      <c r="T2710" s="9" t="str">
        <f ca="1">IFERROR(IF(AND(VLOOKUP(A2710, 'Актуальное состояние (из общего'!A:C,3,0) = "", A2710 &lt;&gt; ""), "ПРОВЕРИТЬ", VLOOKUP(A2710, 'Актуальное состояние (из общего'!A:C,3,0)), "")</f>
        <v/>
      </c>
      <c r="U2710" s="9" t="s">
        <v>13284</v>
      </c>
      <c r="V2710" s="9" t="s">
        <v>13284</v>
      </c>
      <c r="W2710" s="12"/>
      <c r="X2710" s="9" t="str">
        <f t="array" ref="X2710">IFERROR(INDEX('Адреса общежитий (скрытый)'!$B$2:$B$9, MATCH(W2710, 'Адреса общежитий (скрытый)'!$A$2:$A$9, 0)), "")</f>
        <v/>
      </c>
      <c r="Y2710" s="18"/>
      <c r="Z2710" s="18"/>
      <c r="AA2710" s="18"/>
      <c r="AB2710" s="18"/>
      <c r="AC2710" s="18"/>
    </row>
    <row r="2711" spans="1:29" ht="32.25" hidden="1" customHeight="1">
      <c r="A2711" s="17"/>
      <c r="B2711" s="9" t="s">
        <v>13284</v>
      </c>
      <c r="C2711" s="9" t="s">
        <v>13284</v>
      </c>
      <c r="D2711" s="9" t="s">
        <v>13284</v>
      </c>
      <c r="E2711" s="9" t="s">
        <v>13284</v>
      </c>
      <c r="F2711" s="9" t="s">
        <v>13284</v>
      </c>
      <c r="G2711" s="9" t="s">
        <v>13284</v>
      </c>
      <c r="H2711" s="9" t="s">
        <v>13284</v>
      </c>
      <c r="I2711" s="9" t="s">
        <v>13284</v>
      </c>
      <c r="J2711" s="9" t="s">
        <v>13284</v>
      </c>
      <c r="K2711" s="9" t="s">
        <v>13284</v>
      </c>
      <c r="L2711" s="9" t="s">
        <v>13284</v>
      </c>
      <c r="M2711" s="9" t="s">
        <v>13284</v>
      </c>
      <c r="N2711" s="9" t="s">
        <v>13284</v>
      </c>
      <c r="O2711" s="9" t="s">
        <v>13284</v>
      </c>
      <c r="P2711" s="9" t="s">
        <v>13284</v>
      </c>
      <c r="Q2711" s="9" t="s">
        <v>13284</v>
      </c>
      <c r="R2711" s="9" t="s">
        <v>13284</v>
      </c>
      <c r="S2711" s="9" t="s">
        <v>13284</v>
      </c>
      <c r="T2711" s="9" t="str">
        <f ca="1">IFERROR(IF(AND(VLOOKUP(A2711, 'Актуальное состояние (из общего'!A:C,3,0) = "", A2711 &lt;&gt; ""), "ПРОВЕРИТЬ", VLOOKUP(A2711, 'Актуальное состояние (из общего'!A:C,3,0)), "")</f>
        <v/>
      </c>
      <c r="U2711" s="9" t="s">
        <v>13284</v>
      </c>
      <c r="V2711" s="9" t="s">
        <v>13284</v>
      </c>
      <c r="W2711" s="12"/>
      <c r="X2711" s="9" t="str">
        <f t="array" ref="X2711">IFERROR(INDEX('Адреса общежитий (скрытый)'!$B$2:$B$9, MATCH(W2711, 'Адреса общежитий (скрытый)'!$A$2:$A$9, 0)), "")</f>
        <v/>
      </c>
      <c r="Y2711" s="18"/>
      <c r="Z2711" s="18"/>
      <c r="AA2711" s="18"/>
      <c r="AB2711" s="18"/>
      <c r="AC2711" s="18"/>
    </row>
    <row r="2712" spans="1:29" ht="32.25" hidden="1" customHeight="1">
      <c r="A2712" s="17"/>
      <c r="B2712" s="9" t="s">
        <v>13284</v>
      </c>
      <c r="C2712" s="9" t="s">
        <v>13284</v>
      </c>
      <c r="D2712" s="9" t="s">
        <v>13284</v>
      </c>
      <c r="E2712" s="9" t="s">
        <v>13284</v>
      </c>
      <c r="F2712" s="9" t="s">
        <v>13284</v>
      </c>
      <c r="G2712" s="9" t="s">
        <v>13284</v>
      </c>
      <c r="H2712" s="9" t="s">
        <v>13284</v>
      </c>
      <c r="I2712" s="9" t="s">
        <v>13284</v>
      </c>
      <c r="J2712" s="9" t="s">
        <v>13284</v>
      </c>
      <c r="K2712" s="9" t="s">
        <v>13284</v>
      </c>
      <c r="L2712" s="9" t="s">
        <v>13284</v>
      </c>
      <c r="M2712" s="9" t="s">
        <v>13284</v>
      </c>
      <c r="N2712" s="9" t="s">
        <v>13284</v>
      </c>
      <c r="O2712" s="9" t="s">
        <v>13284</v>
      </c>
      <c r="P2712" s="9" t="s">
        <v>13284</v>
      </c>
      <c r="Q2712" s="9" t="s">
        <v>13284</v>
      </c>
      <c r="R2712" s="9" t="s">
        <v>13284</v>
      </c>
      <c r="S2712" s="9" t="s">
        <v>13284</v>
      </c>
      <c r="T2712" s="9" t="str">
        <f ca="1">IFERROR(IF(AND(VLOOKUP(A2712, 'Актуальное состояние (из общего'!A:C,3,0) = "", A2712 &lt;&gt; ""), "ПРОВЕРИТЬ", VLOOKUP(A2712, 'Актуальное состояние (из общего'!A:C,3,0)), "")</f>
        <v/>
      </c>
      <c r="U2712" s="9" t="s">
        <v>13284</v>
      </c>
      <c r="V2712" s="9" t="s">
        <v>13284</v>
      </c>
      <c r="W2712" s="12"/>
      <c r="X2712" s="9" t="str">
        <f t="array" ref="X2712">IFERROR(INDEX('Адреса общежитий (скрытый)'!$B$2:$B$9, MATCH(W2712, 'Адреса общежитий (скрытый)'!$A$2:$A$9, 0)), "")</f>
        <v/>
      </c>
      <c r="Y2712" s="18"/>
      <c r="Z2712" s="18"/>
      <c r="AA2712" s="18"/>
      <c r="AB2712" s="18"/>
      <c r="AC2712" s="18"/>
    </row>
    <row r="2713" spans="1:29" ht="32.25" hidden="1" customHeight="1">
      <c r="A2713" s="17"/>
      <c r="B2713" s="9" t="s">
        <v>13284</v>
      </c>
      <c r="C2713" s="9" t="s">
        <v>13284</v>
      </c>
      <c r="D2713" s="9" t="s">
        <v>13284</v>
      </c>
      <c r="E2713" s="9" t="s">
        <v>13284</v>
      </c>
      <c r="F2713" s="9" t="s">
        <v>13284</v>
      </c>
      <c r="G2713" s="9" t="s">
        <v>13284</v>
      </c>
      <c r="H2713" s="9" t="s">
        <v>13284</v>
      </c>
      <c r="I2713" s="9" t="s">
        <v>13284</v>
      </c>
      <c r="J2713" s="9" t="s">
        <v>13284</v>
      </c>
      <c r="K2713" s="9" t="s">
        <v>13284</v>
      </c>
      <c r="L2713" s="9" t="s">
        <v>13284</v>
      </c>
      <c r="M2713" s="9" t="s">
        <v>13284</v>
      </c>
      <c r="N2713" s="9" t="s">
        <v>13284</v>
      </c>
      <c r="O2713" s="9" t="s">
        <v>13284</v>
      </c>
      <c r="P2713" s="9" t="s">
        <v>13284</v>
      </c>
      <c r="Q2713" s="9" t="s">
        <v>13284</v>
      </c>
      <c r="R2713" s="9" t="s">
        <v>13284</v>
      </c>
      <c r="S2713" s="9" t="s">
        <v>13284</v>
      </c>
      <c r="T2713" s="9" t="str">
        <f ca="1">IFERROR(IF(AND(VLOOKUP(A2713, 'Актуальное состояние (из общего'!A:C,3,0) = "", A2713 &lt;&gt; ""), "ПРОВЕРИТЬ", VLOOKUP(A2713, 'Актуальное состояние (из общего'!A:C,3,0)), "")</f>
        <v/>
      </c>
      <c r="U2713" s="9" t="s">
        <v>13284</v>
      </c>
      <c r="V2713" s="9" t="s">
        <v>13284</v>
      </c>
      <c r="W2713" s="12"/>
      <c r="X2713" s="9" t="str">
        <f t="array" ref="X2713">IFERROR(INDEX('Адреса общежитий (скрытый)'!$B$2:$B$9, MATCH(W2713, 'Адреса общежитий (скрытый)'!$A$2:$A$9, 0)), "")</f>
        <v/>
      </c>
      <c r="Y2713" s="18"/>
      <c r="Z2713" s="18"/>
      <c r="AA2713" s="18"/>
      <c r="AB2713" s="18"/>
      <c r="AC2713" s="18"/>
    </row>
    <row r="2714" spans="1:29" ht="32.25" hidden="1" customHeight="1">
      <c r="A2714" s="17"/>
      <c r="B2714" s="9" t="s">
        <v>13284</v>
      </c>
      <c r="C2714" s="9" t="s">
        <v>13284</v>
      </c>
      <c r="D2714" s="9" t="s">
        <v>13284</v>
      </c>
      <c r="E2714" s="9" t="s">
        <v>13284</v>
      </c>
      <c r="F2714" s="9" t="s">
        <v>13284</v>
      </c>
      <c r="G2714" s="9" t="s">
        <v>13284</v>
      </c>
      <c r="H2714" s="9" t="s">
        <v>13284</v>
      </c>
      <c r="I2714" s="9" t="s">
        <v>13284</v>
      </c>
      <c r="J2714" s="9" t="s">
        <v>13284</v>
      </c>
      <c r="K2714" s="9" t="s">
        <v>13284</v>
      </c>
      <c r="L2714" s="9" t="s">
        <v>13284</v>
      </c>
      <c r="M2714" s="9" t="s">
        <v>13284</v>
      </c>
      <c r="N2714" s="9" t="s">
        <v>13284</v>
      </c>
      <c r="O2714" s="9" t="s">
        <v>13284</v>
      </c>
      <c r="P2714" s="9" t="s">
        <v>13284</v>
      </c>
      <c r="Q2714" s="9" t="s">
        <v>13284</v>
      </c>
      <c r="R2714" s="9" t="s">
        <v>13284</v>
      </c>
      <c r="S2714" s="9" t="s">
        <v>13284</v>
      </c>
      <c r="T2714" s="9" t="str">
        <f ca="1">IFERROR(IF(AND(VLOOKUP(A2714, 'Актуальное состояние (из общего'!A:C,3,0) = "", A2714 &lt;&gt; ""), "ПРОВЕРИТЬ", VLOOKUP(A2714, 'Актуальное состояние (из общего'!A:C,3,0)), "")</f>
        <v/>
      </c>
      <c r="U2714" s="9" t="s">
        <v>13284</v>
      </c>
      <c r="V2714" s="9" t="s">
        <v>13284</v>
      </c>
      <c r="W2714" s="12"/>
      <c r="X2714" s="9" t="str">
        <f t="array" ref="X2714">IFERROR(INDEX('Адреса общежитий (скрытый)'!$B$2:$B$9, MATCH(W2714, 'Адреса общежитий (скрытый)'!$A$2:$A$9, 0)), "")</f>
        <v/>
      </c>
      <c r="Y2714" s="18"/>
      <c r="Z2714" s="18"/>
      <c r="AA2714" s="18"/>
      <c r="AB2714" s="18"/>
      <c r="AC2714" s="18"/>
    </row>
    <row r="2715" spans="1:29" ht="32.25" hidden="1" customHeight="1">
      <c r="A2715" s="17"/>
      <c r="B2715" s="9" t="s">
        <v>13284</v>
      </c>
      <c r="C2715" s="9" t="s">
        <v>13284</v>
      </c>
      <c r="D2715" s="9" t="s">
        <v>13284</v>
      </c>
      <c r="E2715" s="9" t="s">
        <v>13284</v>
      </c>
      <c r="F2715" s="9" t="s">
        <v>13284</v>
      </c>
      <c r="G2715" s="9" t="s">
        <v>13284</v>
      </c>
      <c r="H2715" s="9" t="s">
        <v>13284</v>
      </c>
      <c r="I2715" s="9" t="s">
        <v>13284</v>
      </c>
      <c r="J2715" s="9" t="s">
        <v>13284</v>
      </c>
      <c r="K2715" s="9" t="s">
        <v>13284</v>
      </c>
      <c r="L2715" s="9" t="s">
        <v>13284</v>
      </c>
      <c r="M2715" s="9" t="s">
        <v>13284</v>
      </c>
      <c r="N2715" s="9" t="s">
        <v>13284</v>
      </c>
      <c r="O2715" s="9" t="s">
        <v>13284</v>
      </c>
      <c r="P2715" s="9" t="s">
        <v>13284</v>
      </c>
      <c r="Q2715" s="9" t="s">
        <v>13284</v>
      </c>
      <c r="R2715" s="9" t="s">
        <v>13284</v>
      </c>
      <c r="S2715" s="9" t="s">
        <v>13284</v>
      </c>
      <c r="T2715" s="9" t="str">
        <f ca="1">IFERROR(IF(AND(VLOOKUP(A2715, 'Актуальное состояние (из общего'!A:C,3,0) = "", A2715 &lt;&gt; ""), "ПРОВЕРИТЬ", VLOOKUP(A2715, 'Актуальное состояние (из общего'!A:C,3,0)), "")</f>
        <v/>
      </c>
      <c r="U2715" s="9" t="s">
        <v>13284</v>
      </c>
      <c r="V2715" s="9" t="s">
        <v>13284</v>
      </c>
      <c r="W2715" s="12"/>
      <c r="X2715" s="9" t="str">
        <f t="array" ref="X2715">IFERROR(INDEX('Адреса общежитий (скрытый)'!$B$2:$B$9, MATCH(W2715, 'Адреса общежитий (скрытый)'!$A$2:$A$9, 0)), "")</f>
        <v/>
      </c>
      <c r="Y2715" s="18"/>
      <c r="Z2715" s="18"/>
      <c r="AA2715" s="18"/>
      <c r="AB2715" s="18"/>
      <c r="AC2715" s="18"/>
    </row>
    <row r="2716" spans="1:29" ht="32.25" hidden="1" customHeight="1">
      <c r="A2716" s="17"/>
      <c r="B2716" s="9" t="s">
        <v>13284</v>
      </c>
      <c r="C2716" s="9" t="s">
        <v>13284</v>
      </c>
      <c r="D2716" s="9" t="s">
        <v>13284</v>
      </c>
      <c r="E2716" s="9" t="s">
        <v>13284</v>
      </c>
      <c r="F2716" s="9" t="s">
        <v>13284</v>
      </c>
      <c r="G2716" s="9" t="s">
        <v>13284</v>
      </c>
      <c r="H2716" s="9" t="s">
        <v>13284</v>
      </c>
      <c r="I2716" s="9" t="s">
        <v>13284</v>
      </c>
      <c r="J2716" s="9" t="s">
        <v>13284</v>
      </c>
      <c r="K2716" s="9" t="s">
        <v>13284</v>
      </c>
      <c r="L2716" s="9" t="s">
        <v>13284</v>
      </c>
      <c r="M2716" s="9" t="s">
        <v>13284</v>
      </c>
      <c r="N2716" s="9" t="s">
        <v>13284</v>
      </c>
      <c r="O2716" s="9" t="s">
        <v>13284</v>
      </c>
      <c r="P2716" s="9" t="s">
        <v>13284</v>
      </c>
      <c r="Q2716" s="9" t="s">
        <v>13284</v>
      </c>
      <c r="R2716" s="9" t="s">
        <v>13284</v>
      </c>
      <c r="S2716" s="9" t="s">
        <v>13284</v>
      </c>
      <c r="T2716" s="9" t="str">
        <f ca="1">IFERROR(IF(AND(VLOOKUP(A2716, 'Актуальное состояние (из общего'!A:C,3,0) = "", A2716 &lt;&gt; ""), "ПРОВЕРИТЬ", VLOOKUP(A2716, 'Актуальное состояние (из общего'!A:C,3,0)), "")</f>
        <v/>
      </c>
      <c r="U2716" s="9" t="s">
        <v>13284</v>
      </c>
      <c r="V2716" s="9" t="s">
        <v>13284</v>
      </c>
      <c r="W2716" s="12"/>
      <c r="X2716" s="9" t="str">
        <f t="array" ref="X2716">IFERROR(INDEX('Адреса общежитий (скрытый)'!$B$2:$B$9, MATCH(W2716, 'Адреса общежитий (скрытый)'!$A$2:$A$9, 0)), "")</f>
        <v/>
      </c>
      <c r="Y2716" s="18"/>
      <c r="Z2716" s="18"/>
      <c r="AA2716" s="18"/>
      <c r="AB2716" s="18"/>
      <c r="AC2716" s="18"/>
    </row>
    <row r="2717" spans="1:29" ht="32.25" hidden="1" customHeight="1">
      <c r="A2717" s="17"/>
      <c r="B2717" s="9" t="s">
        <v>13284</v>
      </c>
      <c r="C2717" s="9" t="s">
        <v>13284</v>
      </c>
      <c r="D2717" s="9" t="s">
        <v>13284</v>
      </c>
      <c r="E2717" s="9" t="s">
        <v>13284</v>
      </c>
      <c r="F2717" s="9" t="s">
        <v>13284</v>
      </c>
      <c r="G2717" s="9" t="s">
        <v>13284</v>
      </c>
      <c r="H2717" s="9" t="s">
        <v>13284</v>
      </c>
      <c r="I2717" s="9" t="s">
        <v>13284</v>
      </c>
      <c r="J2717" s="9" t="s">
        <v>13284</v>
      </c>
      <c r="K2717" s="9" t="s">
        <v>13284</v>
      </c>
      <c r="L2717" s="9" t="s">
        <v>13284</v>
      </c>
      <c r="M2717" s="9" t="s">
        <v>13284</v>
      </c>
      <c r="N2717" s="9" t="s">
        <v>13284</v>
      </c>
      <c r="O2717" s="9" t="s">
        <v>13284</v>
      </c>
      <c r="P2717" s="9" t="s">
        <v>13284</v>
      </c>
      <c r="Q2717" s="9" t="s">
        <v>13284</v>
      </c>
      <c r="R2717" s="9" t="s">
        <v>13284</v>
      </c>
      <c r="S2717" s="9" t="s">
        <v>13284</v>
      </c>
      <c r="T2717" s="9" t="str">
        <f ca="1">IFERROR(IF(AND(VLOOKUP(A2717, 'Актуальное состояние (из общего'!A:C,3,0) = "", A2717 &lt;&gt; ""), "ПРОВЕРИТЬ", VLOOKUP(A2717, 'Актуальное состояние (из общего'!A:C,3,0)), "")</f>
        <v/>
      </c>
      <c r="U2717" s="9" t="s">
        <v>13284</v>
      </c>
      <c r="V2717" s="9" t="s">
        <v>13284</v>
      </c>
      <c r="W2717" s="12"/>
      <c r="X2717" s="9" t="str">
        <f t="array" ref="X2717">IFERROR(INDEX('Адреса общежитий (скрытый)'!$B$2:$B$9, MATCH(W2717, 'Адреса общежитий (скрытый)'!$A$2:$A$9, 0)), "")</f>
        <v/>
      </c>
      <c r="Y2717" s="18"/>
      <c r="Z2717" s="18"/>
      <c r="AA2717" s="18"/>
      <c r="AB2717" s="18"/>
      <c r="AC2717" s="18"/>
    </row>
    <row r="2718" spans="1:29" ht="32.25" hidden="1" customHeight="1">
      <c r="A2718" s="17"/>
      <c r="B2718" s="9" t="s">
        <v>13284</v>
      </c>
      <c r="C2718" s="9" t="s">
        <v>13284</v>
      </c>
      <c r="D2718" s="9" t="s">
        <v>13284</v>
      </c>
      <c r="E2718" s="9" t="s">
        <v>13284</v>
      </c>
      <c r="F2718" s="9" t="s">
        <v>13284</v>
      </c>
      <c r="G2718" s="9" t="s">
        <v>13284</v>
      </c>
      <c r="H2718" s="9" t="s">
        <v>13284</v>
      </c>
      <c r="I2718" s="9" t="s">
        <v>13284</v>
      </c>
      <c r="J2718" s="9" t="s">
        <v>13284</v>
      </c>
      <c r="K2718" s="9" t="s">
        <v>13284</v>
      </c>
      <c r="L2718" s="9" t="s">
        <v>13284</v>
      </c>
      <c r="M2718" s="9" t="s">
        <v>13284</v>
      </c>
      <c r="N2718" s="9" t="s">
        <v>13284</v>
      </c>
      <c r="O2718" s="9" t="s">
        <v>13284</v>
      </c>
      <c r="P2718" s="9" t="s">
        <v>13284</v>
      </c>
      <c r="Q2718" s="9" t="s">
        <v>13284</v>
      </c>
      <c r="R2718" s="9" t="s">
        <v>13284</v>
      </c>
      <c r="S2718" s="9" t="s">
        <v>13284</v>
      </c>
      <c r="T2718" s="9" t="str">
        <f ca="1">IFERROR(IF(AND(VLOOKUP(A2718, 'Актуальное состояние (из общего'!A:C,3,0) = "", A2718 &lt;&gt; ""), "ПРОВЕРИТЬ", VLOOKUP(A2718, 'Актуальное состояние (из общего'!A:C,3,0)), "")</f>
        <v/>
      </c>
      <c r="U2718" s="9" t="s">
        <v>13284</v>
      </c>
      <c r="V2718" s="9" t="s">
        <v>13284</v>
      </c>
      <c r="W2718" s="12"/>
      <c r="X2718" s="9" t="str">
        <f t="array" ref="X2718">IFERROR(INDEX('Адреса общежитий (скрытый)'!$B$2:$B$9, MATCH(W2718, 'Адреса общежитий (скрытый)'!$A$2:$A$9, 0)), "")</f>
        <v/>
      </c>
      <c r="Y2718" s="18"/>
      <c r="Z2718" s="18"/>
      <c r="AA2718" s="18"/>
      <c r="AB2718" s="18"/>
      <c r="AC2718" s="18"/>
    </row>
    <row r="2719" spans="1:29" ht="32.25" hidden="1" customHeight="1">
      <c r="A2719" s="17"/>
      <c r="B2719" s="9" t="s">
        <v>13284</v>
      </c>
      <c r="C2719" s="9" t="s">
        <v>13284</v>
      </c>
      <c r="D2719" s="9" t="s">
        <v>13284</v>
      </c>
      <c r="E2719" s="9" t="s">
        <v>13284</v>
      </c>
      <c r="F2719" s="9" t="s">
        <v>13284</v>
      </c>
      <c r="G2719" s="9" t="s">
        <v>13284</v>
      </c>
      <c r="H2719" s="9" t="s">
        <v>13284</v>
      </c>
      <c r="I2719" s="9" t="s">
        <v>13284</v>
      </c>
      <c r="J2719" s="9" t="s">
        <v>13284</v>
      </c>
      <c r="K2719" s="9" t="s">
        <v>13284</v>
      </c>
      <c r="L2719" s="9" t="s">
        <v>13284</v>
      </c>
      <c r="M2719" s="9" t="s">
        <v>13284</v>
      </c>
      <c r="N2719" s="9" t="s">
        <v>13284</v>
      </c>
      <c r="O2719" s="9" t="s">
        <v>13284</v>
      </c>
      <c r="P2719" s="9" t="s">
        <v>13284</v>
      </c>
      <c r="Q2719" s="9" t="s">
        <v>13284</v>
      </c>
      <c r="R2719" s="9" t="s">
        <v>13284</v>
      </c>
      <c r="S2719" s="9" t="s">
        <v>13284</v>
      </c>
      <c r="T2719" s="9" t="str">
        <f ca="1">IFERROR(IF(AND(VLOOKUP(A2719, 'Актуальное состояние (из общего'!A:C,3,0) = "", A2719 &lt;&gt; ""), "ПРОВЕРИТЬ", VLOOKUP(A2719, 'Актуальное состояние (из общего'!A:C,3,0)), "")</f>
        <v/>
      </c>
      <c r="U2719" s="9" t="s">
        <v>13284</v>
      </c>
      <c r="V2719" s="9" t="s">
        <v>13284</v>
      </c>
      <c r="W2719" s="12"/>
      <c r="X2719" s="9" t="str">
        <f t="array" ref="X2719">IFERROR(INDEX('Адреса общежитий (скрытый)'!$B$2:$B$9, MATCH(W2719, 'Адреса общежитий (скрытый)'!$A$2:$A$9, 0)), "")</f>
        <v/>
      </c>
      <c r="Y2719" s="18"/>
      <c r="Z2719" s="18"/>
      <c r="AA2719" s="18"/>
      <c r="AB2719" s="18"/>
      <c r="AC2719" s="18"/>
    </row>
    <row r="2720" spans="1:29" ht="32.25" hidden="1" customHeight="1">
      <c r="A2720" s="17"/>
      <c r="B2720" s="9" t="s">
        <v>13284</v>
      </c>
      <c r="C2720" s="9" t="s">
        <v>13284</v>
      </c>
      <c r="D2720" s="9" t="s">
        <v>13284</v>
      </c>
      <c r="E2720" s="9" t="s">
        <v>13284</v>
      </c>
      <c r="F2720" s="9" t="s">
        <v>13284</v>
      </c>
      <c r="G2720" s="9" t="s">
        <v>13284</v>
      </c>
      <c r="H2720" s="9" t="s">
        <v>13284</v>
      </c>
      <c r="I2720" s="9" t="s">
        <v>13284</v>
      </c>
      <c r="J2720" s="9" t="s">
        <v>13284</v>
      </c>
      <c r="K2720" s="9" t="s">
        <v>13284</v>
      </c>
      <c r="L2720" s="9" t="s">
        <v>13284</v>
      </c>
      <c r="M2720" s="9" t="s">
        <v>13284</v>
      </c>
      <c r="N2720" s="9" t="s">
        <v>13284</v>
      </c>
      <c r="O2720" s="9" t="s">
        <v>13284</v>
      </c>
      <c r="P2720" s="9" t="s">
        <v>13284</v>
      </c>
      <c r="Q2720" s="9" t="s">
        <v>13284</v>
      </c>
      <c r="R2720" s="9" t="s">
        <v>13284</v>
      </c>
      <c r="S2720" s="9" t="s">
        <v>13284</v>
      </c>
      <c r="T2720" s="9" t="str">
        <f ca="1">IFERROR(IF(AND(VLOOKUP(A2720, 'Актуальное состояние (из общего'!A:C,3,0) = "", A2720 &lt;&gt; ""), "ПРОВЕРИТЬ", VLOOKUP(A2720, 'Актуальное состояние (из общего'!A:C,3,0)), "")</f>
        <v/>
      </c>
      <c r="U2720" s="9" t="s">
        <v>13284</v>
      </c>
      <c r="V2720" s="9" t="s">
        <v>13284</v>
      </c>
      <c r="W2720" s="12"/>
      <c r="X2720" s="9" t="str">
        <f t="array" ref="X2720">IFERROR(INDEX('Адреса общежитий (скрытый)'!$B$2:$B$9, MATCH(W2720, 'Адреса общежитий (скрытый)'!$A$2:$A$9, 0)), "")</f>
        <v/>
      </c>
      <c r="Y2720" s="18"/>
      <c r="Z2720" s="18"/>
      <c r="AA2720" s="18"/>
      <c r="AB2720" s="18"/>
      <c r="AC2720" s="18"/>
    </row>
    <row r="2721" spans="1:29" ht="32.25" hidden="1" customHeight="1">
      <c r="A2721" s="17"/>
      <c r="B2721" s="9" t="s">
        <v>13284</v>
      </c>
      <c r="C2721" s="9" t="s">
        <v>13284</v>
      </c>
      <c r="D2721" s="9" t="s">
        <v>13284</v>
      </c>
      <c r="E2721" s="9" t="s">
        <v>13284</v>
      </c>
      <c r="F2721" s="9" t="s">
        <v>13284</v>
      </c>
      <c r="G2721" s="9" t="s">
        <v>13284</v>
      </c>
      <c r="H2721" s="9" t="s">
        <v>13284</v>
      </c>
      <c r="I2721" s="9" t="s">
        <v>13284</v>
      </c>
      <c r="J2721" s="9" t="s">
        <v>13284</v>
      </c>
      <c r="K2721" s="9" t="s">
        <v>13284</v>
      </c>
      <c r="L2721" s="9" t="s">
        <v>13284</v>
      </c>
      <c r="M2721" s="9" t="s">
        <v>13284</v>
      </c>
      <c r="N2721" s="9" t="s">
        <v>13284</v>
      </c>
      <c r="O2721" s="9" t="s">
        <v>13284</v>
      </c>
      <c r="P2721" s="9" t="s">
        <v>13284</v>
      </c>
      <c r="Q2721" s="9" t="s">
        <v>13284</v>
      </c>
      <c r="R2721" s="9" t="s">
        <v>13284</v>
      </c>
      <c r="S2721" s="9" t="s">
        <v>13284</v>
      </c>
      <c r="T2721" s="9" t="str">
        <f ca="1">IFERROR(IF(AND(VLOOKUP(A2721, 'Актуальное состояние (из общего'!A:C,3,0) = "", A2721 &lt;&gt; ""), "ПРОВЕРИТЬ", VLOOKUP(A2721, 'Актуальное состояние (из общего'!A:C,3,0)), "")</f>
        <v/>
      </c>
      <c r="U2721" s="9" t="s">
        <v>13284</v>
      </c>
      <c r="V2721" s="9" t="s">
        <v>13284</v>
      </c>
      <c r="W2721" s="12"/>
      <c r="X2721" s="9" t="str">
        <f t="array" ref="X2721">IFERROR(INDEX('Адреса общежитий (скрытый)'!$B$2:$B$9, MATCH(W2721, 'Адреса общежитий (скрытый)'!$A$2:$A$9, 0)), "")</f>
        <v/>
      </c>
      <c r="Y2721" s="18"/>
      <c r="Z2721" s="18"/>
      <c r="AA2721" s="18"/>
      <c r="AB2721" s="18"/>
      <c r="AC2721" s="18"/>
    </row>
    <row r="2722" spans="1:29" ht="32.25" hidden="1" customHeight="1">
      <c r="A2722" s="17"/>
      <c r="B2722" s="9" t="s">
        <v>13284</v>
      </c>
      <c r="C2722" s="9" t="s">
        <v>13284</v>
      </c>
      <c r="D2722" s="9" t="s">
        <v>13284</v>
      </c>
      <c r="E2722" s="9" t="s">
        <v>13284</v>
      </c>
      <c r="F2722" s="9" t="s">
        <v>13284</v>
      </c>
      <c r="G2722" s="9" t="s">
        <v>13284</v>
      </c>
      <c r="H2722" s="9" t="s">
        <v>13284</v>
      </c>
      <c r="I2722" s="9" t="s">
        <v>13284</v>
      </c>
      <c r="J2722" s="9" t="s">
        <v>13284</v>
      </c>
      <c r="K2722" s="9" t="s">
        <v>13284</v>
      </c>
      <c r="L2722" s="9" t="s">
        <v>13284</v>
      </c>
      <c r="M2722" s="9" t="s">
        <v>13284</v>
      </c>
      <c r="N2722" s="9" t="s">
        <v>13284</v>
      </c>
      <c r="O2722" s="9" t="s">
        <v>13284</v>
      </c>
      <c r="P2722" s="9" t="s">
        <v>13284</v>
      </c>
      <c r="Q2722" s="9" t="s">
        <v>13284</v>
      </c>
      <c r="R2722" s="9" t="s">
        <v>13284</v>
      </c>
      <c r="S2722" s="9" t="s">
        <v>13284</v>
      </c>
      <c r="T2722" s="9" t="str">
        <f ca="1">IFERROR(IF(AND(VLOOKUP(A2722, 'Актуальное состояние (из общего'!A:C,3,0) = "", A2722 &lt;&gt; ""), "ПРОВЕРИТЬ", VLOOKUP(A2722, 'Актуальное состояние (из общего'!A:C,3,0)), "")</f>
        <v/>
      </c>
      <c r="U2722" s="9" t="s">
        <v>13284</v>
      </c>
      <c r="V2722" s="9" t="s">
        <v>13284</v>
      </c>
      <c r="W2722" s="12"/>
      <c r="X2722" s="9" t="str">
        <f t="array" ref="X2722">IFERROR(INDEX('Адреса общежитий (скрытый)'!$B$2:$B$9, MATCH(W2722, 'Адреса общежитий (скрытый)'!$A$2:$A$9, 0)), "")</f>
        <v/>
      </c>
      <c r="Y2722" s="18"/>
      <c r="Z2722" s="18"/>
      <c r="AA2722" s="18"/>
      <c r="AB2722" s="18"/>
      <c r="AC2722" s="18"/>
    </row>
    <row r="2723" spans="1:29" ht="32.25" hidden="1" customHeight="1">
      <c r="A2723" s="17"/>
      <c r="B2723" s="9" t="s">
        <v>13284</v>
      </c>
      <c r="C2723" s="9" t="s">
        <v>13284</v>
      </c>
      <c r="D2723" s="9" t="s">
        <v>13284</v>
      </c>
      <c r="E2723" s="9" t="s">
        <v>13284</v>
      </c>
      <c r="F2723" s="9" t="s">
        <v>13284</v>
      </c>
      <c r="G2723" s="9" t="s">
        <v>13284</v>
      </c>
      <c r="H2723" s="9" t="s">
        <v>13284</v>
      </c>
      <c r="I2723" s="9" t="s">
        <v>13284</v>
      </c>
      <c r="J2723" s="9" t="s">
        <v>13284</v>
      </c>
      <c r="K2723" s="9" t="s">
        <v>13284</v>
      </c>
      <c r="L2723" s="9" t="s">
        <v>13284</v>
      </c>
      <c r="M2723" s="9" t="s">
        <v>13284</v>
      </c>
      <c r="N2723" s="9" t="s">
        <v>13284</v>
      </c>
      <c r="O2723" s="9" t="s">
        <v>13284</v>
      </c>
      <c r="P2723" s="9" t="s">
        <v>13284</v>
      </c>
      <c r="Q2723" s="9" t="s">
        <v>13284</v>
      </c>
      <c r="R2723" s="9" t="s">
        <v>13284</v>
      </c>
      <c r="S2723" s="9" t="s">
        <v>13284</v>
      </c>
      <c r="T2723" s="9" t="str">
        <f ca="1">IFERROR(IF(AND(VLOOKUP(A2723, 'Актуальное состояние (из общего'!A:C,3,0) = "", A2723 &lt;&gt; ""), "ПРОВЕРИТЬ", VLOOKUP(A2723, 'Актуальное состояние (из общего'!A:C,3,0)), "")</f>
        <v/>
      </c>
      <c r="U2723" s="9" t="s">
        <v>13284</v>
      </c>
      <c r="V2723" s="9" t="s">
        <v>13284</v>
      </c>
      <c r="W2723" s="12"/>
      <c r="X2723" s="9" t="str">
        <f t="array" ref="X2723">IFERROR(INDEX('Адреса общежитий (скрытый)'!$B$2:$B$9, MATCH(W2723, 'Адреса общежитий (скрытый)'!$A$2:$A$9, 0)), "")</f>
        <v/>
      </c>
      <c r="Y2723" s="18"/>
      <c r="Z2723" s="18"/>
      <c r="AA2723" s="18"/>
      <c r="AB2723" s="18"/>
      <c r="AC2723" s="18"/>
    </row>
    <row r="2724" spans="1:29" ht="32.25" hidden="1" customHeight="1">
      <c r="A2724" s="17"/>
      <c r="B2724" s="9" t="s">
        <v>13284</v>
      </c>
      <c r="C2724" s="9" t="s">
        <v>13284</v>
      </c>
      <c r="D2724" s="9" t="s">
        <v>13284</v>
      </c>
      <c r="E2724" s="9" t="s">
        <v>13284</v>
      </c>
      <c r="F2724" s="9" t="s">
        <v>13284</v>
      </c>
      <c r="G2724" s="9" t="s">
        <v>13284</v>
      </c>
      <c r="H2724" s="9" t="s">
        <v>13284</v>
      </c>
      <c r="I2724" s="9" t="s">
        <v>13284</v>
      </c>
      <c r="J2724" s="9" t="s">
        <v>13284</v>
      </c>
      <c r="K2724" s="9" t="s">
        <v>13284</v>
      </c>
      <c r="L2724" s="9" t="s">
        <v>13284</v>
      </c>
      <c r="M2724" s="9" t="s">
        <v>13284</v>
      </c>
      <c r="N2724" s="9" t="s">
        <v>13284</v>
      </c>
      <c r="O2724" s="9" t="s">
        <v>13284</v>
      </c>
      <c r="P2724" s="9" t="s">
        <v>13284</v>
      </c>
      <c r="Q2724" s="9" t="s">
        <v>13284</v>
      </c>
      <c r="R2724" s="9" t="s">
        <v>13284</v>
      </c>
      <c r="S2724" s="9" t="s">
        <v>13284</v>
      </c>
      <c r="T2724" s="9" t="str">
        <f ca="1">IFERROR(IF(AND(VLOOKUP(A2724, 'Актуальное состояние (из общего'!A:C,3,0) = "", A2724 &lt;&gt; ""), "ПРОВЕРИТЬ", VLOOKUP(A2724, 'Актуальное состояние (из общего'!A:C,3,0)), "")</f>
        <v/>
      </c>
      <c r="U2724" s="9" t="s">
        <v>13284</v>
      </c>
      <c r="V2724" s="9" t="s">
        <v>13284</v>
      </c>
      <c r="W2724" s="12"/>
      <c r="X2724" s="9" t="str">
        <f t="array" ref="X2724">IFERROR(INDEX('Адреса общежитий (скрытый)'!$B$2:$B$9, MATCH(W2724, 'Адреса общежитий (скрытый)'!$A$2:$A$9, 0)), "")</f>
        <v/>
      </c>
      <c r="Y2724" s="18"/>
      <c r="Z2724" s="18"/>
      <c r="AA2724" s="18"/>
      <c r="AB2724" s="18"/>
      <c r="AC2724" s="18"/>
    </row>
    <row r="2725" spans="1:29" ht="32.25" hidden="1" customHeight="1">
      <c r="A2725" s="17"/>
      <c r="B2725" s="9" t="s">
        <v>13284</v>
      </c>
      <c r="C2725" s="9" t="s">
        <v>13284</v>
      </c>
      <c r="D2725" s="9" t="s">
        <v>13284</v>
      </c>
      <c r="E2725" s="9" t="s">
        <v>13284</v>
      </c>
      <c r="F2725" s="9" t="s">
        <v>13284</v>
      </c>
      <c r="G2725" s="9" t="s">
        <v>13284</v>
      </c>
      <c r="H2725" s="9" t="s">
        <v>13284</v>
      </c>
      <c r="I2725" s="9" t="s">
        <v>13284</v>
      </c>
      <c r="J2725" s="9" t="s">
        <v>13284</v>
      </c>
      <c r="K2725" s="9" t="s">
        <v>13284</v>
      </c>
      <c r="L2725" s="9" t="s">
        <v>13284</v>
      </c>
      <c r="M2725" s="9" t="s">
        <v>13284</v>
      </c>
      <c r="N2725" s="9" t="s">
        <v>13284</v>
      </c>
      <c r="O2725" s="9" t="s">
        <v>13284</v>
      </c>
      <c r="P2725" s="9" t="s">
        <v>13284</v>
      </c>
      <c r="Q2725" s="9" t="s">
        <v>13284</v>
      </c>
      <c r="R2725" s="9" t="s">
        <v>13284</v>
      </c>
      <c r="S2725" s="9" t="s">
        <v>13284</v>
      </c>
      <c r="T2725" s="9" t="str">
        <f ca="1">IFERROR(IF(AND(VLOOKUP(A2725, 'Актуальное состояние (из общего'!A:C,3,0) = "", A2725 &lt;&gt; ""), "ПРОВЕРИТЬ", VLOOKUP(A2725, 'Актуальное состояние (из общего'!A:C,3,0)), "")</f>
        <v/>
      </c>
      <c r="U2725" s="9" t="s">
        <v>13284</v>
      </c>
      <c r="V2725" s="9" t="s">
        <v>13284</v>
      </c>
      <c r="W2725" s="12"/>
      <c r="X2725" s="9" t="str">
        <f t="array" ref="X2725">IFERROR(INDEX('Адреса общежитий (скрытый)'!$B$2:$B$9, MATCH(W2725, 'Адреса общежитий (скрытый)'!$A$2:$A$9, 0)), "")</f>
        <v/>
      </c>
      <c r="Y2725" s="18"/>
      <c r="Z2725" s="18"/>
      <c r="AA2725" s="18"/>
      <c r="AB2725" s="18"/>
      <c r="AC2725" s="18"/>
    </row>
    <row r="2726" spans="1:29" ht="32.25" hidden="1" customHeight="1">
      <c r="A2726" s="17"/>
      <c r="B2726" s="9" t="s">
        <v>13284</v>
      </c>
      <c r="C2726" s="9" t="s">
        <v>13284</v>
      </c>
      <c r="D2726" s="9" t="s">
        <v>13284</v>
      </c>
      <c r="E2726" s="9" t="s">
        <v>13284</v>
      </c>
      <c r="F2726" s="9" t="s">
        <v>13284</v>
      </c>
      <c r="G2726" s="9" t="s">
        <v>13284</v>
      </c>
      <c r="H2726" s="9" t="s">
        <v>13284</v>
      </c>
      <c r="I2726" s="9" t="s">
        <v>13284</v>
      </c>
      <c r="J2726" s="9" t="s">
        <v>13284</v>
      </c>
      <c r="K2726" s="9" t="s">
        <v>13284</v>
      </c>
      <c r="L2726" s="9" t="s">
        <v>13284</v>
      </c>
      <c r="M2726" s="9" t="s">
        <v>13284</v>
      </c>
      <c r="N2726" s="9" t="s">
        <v>13284</v>
      </c>
      <c r="O2726" s="9" t="s">
        <v>13284</v>
      </c>
      <c r="P2726" s="9" t="s">
        <v>13284</v>
      </c>
      <c r="Q2726" s="9" t="s">
        <v>13284</v>
      </c>
      <c r="R2726" s="9" t="s">
        <v>13284</v>
      </c>
      <c r="S2726" s="9" t="s">
        <v>13284</v>
      </c>
      <c r="T2726" s="9" t="str">
        <f ca="1">IFERROR(IF(AND(VLOOKUP(A2726, 'Актуальное состояние (из общего'!A:C,3,0) = "", A2726 &lt;&gt; ""), "ПРОВЕРИТЬ", VLOOKUP(A2726, 'Актуальное состояние (из общего'!A:C,3,0)), "")</f>
        <v/>
      </c>
      <c r="U2726" s="9" t="s">
        <v>13284</v>
      </c>
      <c r="V2726" s="9" t="s">
        <v>13284</v>
      </c>
      <c r="W2726" s="12"/>
      <c r="X2726" s="9" t="str">
        <f t="array" ref="X2726">IFERROR(INDEX('Адреса общежитий (скрытый)'!$B$2:$B$9, MATCH(W2726, 'Адреса общежитий (скрытый)'!$A$2:$A$9, 0)), "")</f>
        <v/>
      </c>
      <c r="Y2726" s="18"/>
      <c r="Z2726" s="18"/>
      <c r="AA2726" s="18"/>
      <c r="AB2726" s="18"/>
      <c r="AC2726" s="18"/>
    </row>
    <row r="2727" spans="1:29" ht="32.25" hidden="1" customHeight="1">
      <c r="A2727" s="17"/>
      <c r="B2727" s="9" t="s">
        <v>13284</v>
      </c>
      <c r="C2727" s="9" t="s">
        <v>13284</v>
      </c>
      <c r="D2727" s="9" t="s">
        <v>13284</v>
      </c>
      <c r="E2727" s="9" t="s">
        <v>13284</v>
      </c>
      <c r="F2727" s="9" t="s">
        <v>13284</v>
      </c>
      <c r="G2727" s="9" t="s">
        <v>13284</v>
      </c>
      <c r="H2727" s="9" t="s">
        <v>13284</v>
      </c>
      <c r="I2727" s="9" t="s">
        <v>13284</v>
      </c>
      <c r="J2727" s="9" t="s">
        <v>13284</v>
      </c>
      <c r="K2727" s="9" t="s">
        <v>13284</v>
      </c>
      <c r="L2727" s="9" t="s">
        <v>13284</v>
      </c>
      <c r="M2727" s="9" t="s">
        <v>13284</v>
      </c>
      <c r="N2727" s="9" t="s">
        <v>13284</v>
      </c>
      <c r="O2727" s="9" t="s">
        <v>13284</v>
      </c>
      <c r="P2727" s="9" t="s">
        <v>13284</v>
      </c>
      <c r="Q2727" s="9" t="s">
        <v>13284</v>
      </c>
      <c r="R2727" s="9" t="s">
        <v>13284</v>
      </c>
      <c r="S2727" s="9" t="s">
        <v>13284</v>
      </c>
      <c r="T2727" s="9" t="str">
        <f ca="1">IFERROR(IF(AND(VLOOKUP(A2727, 'Актуальное состояние (из общего'!A:C,3,0) = "", A2727 &lt;&gt; ""), "ПРОВЕРИТЬ", VLOOKUP(A2727, 'Актуальное состояние (из общего'!A:C,3,0)), "")</f>
        <v/>
      </c>
      <c r="U2727" s="9" t="s">
        <v>13284</v>
      </c>
      <c r="V2727" s="9" t="s">
        <v>13284</v>
      </c>
      <c r="W2727" s="12"/>
      <c r="X2727" s="9" t="str">
        <f t="array" ref="X2727">IFERROR(INDEX('Адреса общежитий (скрытый)'!$B$2:$B$9, MATCH(W2727, 'Адреса общежитий (скрытый)'!$A$2:$A$9, 0)), "")</f>
        <v/>
      </c>
      <c r="Y2727" s="18"/>
      <c r="Z2727" s="18"/>
      <c r="AA2727" s="18"/>
      <c r="AB2727" s="18"/>
      <c r="AC2727" s="18"/>
    </row>
    <row r="2728" spans="1:29" ht="32.25" hidden="1" customHeight="1">
      <c r="A2728" s="17"/>
      <c r="B2728" s="9" t="s">
        <v>13284</v>
      </c>
      <c r="C2728" s="9" t="s">
        <v>13284</v>
      </c>
      <c r="D2728" s="9" t="s">
        <v>13284</v>
      </c>
      <c r="E2728" s="9" t="s">
        <v>13284</v>
      </c>
      <c r="F2728" s="9" t="s">
        <v>13284</v>
      </c>
      <c r="G2728" s="9" t="s">
        <v>13284</v>
      </c>
      <c r="H2728" s="9" t="s">
        <v>13284</v>
      </c>
      <c r="I2728" s="9" t="s">
        <v>13284</v>
      </c>
      <c r="J2728" s="9" t="s">
        <v>13284</v>
      </c>
      <c r="K2728" s="9" t="s">
        <v>13284</v>
      </c>
      <c r="L2728" s="9" t="s">
        <v>13284</v>
      </c>
      <c r="M2728" s="9" t="s">
        <v>13284</v>
      </c>
      <c r="N2728" s="9" t="s">
        <v>13284</v>
      </c>
      <c r="O2728" s="9" t="s">
        <v>13284</v>
      </c>
      <c r="P2728" s="9" t="s">
        <v>13284</v>
      </c>
      <c r="Q2728" s="9" t="s">
        <v>13284</v>
      </c>
      <c r="R2728" s="9" t="s">
        <v>13284</v>
      </c>
      <c r="S2728" s="9" t="s">
        <v>13284</v>
      </c>
      <c r="T2728" s="9" t="str">
        <f ca="1">IFERROR(IF(AND(VLOOKUP(A2728, 'Актуальное состояние (из общего'!A:C,3,0) = "", A2728 &lt;&gt; ""), "ПРОВЕРИТЬ", VLOOKUP(A2728, 'Актуальное состояние (из общего'!A:C,3,0)), "")</f>
        <v/>
      </c>
      <c r="U2728" s="9" t="s">
        <v>13284</v>
      </c>
      <c r="V2728" s="9" t="s">
        <v>13284</v>
      </c>
      <c r="W2728" s="12"/>
      <c r="X2728" s="9" t="str">
        <f t="array" ref="X2728">IFERROR(INDEX('Адреса общежитий (скрытый)'!$B$2:$B$9, MATCH(W2728, 'Адреса общежитий (скрытый)'!$A$2:$A$9, 0)), "")</f>
        <v/>
      </c>
      <c r="Y2728" s="18"/>
      <c r="Z2728" s="18"/>
      <c r="AA2728" s="18"/>
      <c r="AB2728" s="18"/>
      <c r="AC2728" s="18"/>
    </row>
    <row r="2729" spans="1:29" ht="32.25" hidden="1" customHeight="1">
      <c r="A2729" s="17"/>
      <c r="B2729" s="9" t="s">
        <v>13284</v>
      </c>
      <c r="C2729" s="9" t="s">
        <v>13284</v>
      </c>
      <c r="D2729" s="9" t="s">
        <v>13284</v>
      </c>
      <c r="E2729" s="9" t="s">
        <v>13284</v>
      </c>
      <c r="F2729" s="9" t="s">
        <v>13284</v>
      </c>
      <c r="G2729" s="9" t="s">
        <v>13284</v>
      </c>
      <c r="H2729" s="9" t="s">
        <v>13284</v>
      </c>
      <c r="I2729" s="9" t="s">
        <v>13284</v>
      </c>
      <c r="J2729" s="9" t="s">
        <v>13284</v>
      </c>
      <c r="K2729" s="9" t="s">
        <v>13284</v>
      </c>
      <c r="L2729" s="9" t="s">
        <v>13284</v>
      </c>
      <c r="M2729" s="9" t="s">
        <v>13284</v>
      </c>
      <c r="N2729" s="9" t="s">
        <v>13284</v>
      </c>
      <c r="O2729" s="9" t="s">
        <v>13284</v>
      </c>
      <c r="P2729" s="9" t="s">
        <v>13284</v>
      </c>
      <c r="Q2729" s="9" t="s">
        <v>13284</v>
      </c>
      <c r="R2729" s="9" t="s">
        <v>13284</v>
      </c>
      <c r="S2729" s="9" t="s">
        <v>13284</v>
      </c>
      <c r="T2729" s="9" t="str">
        <f ca="1">IFERROR(IF(AND(VLOOKUP(A2729, 'Актуальное состояние (из общего'!A:C,3,0) = "", A2729 &lt;&gt; ""), "ПРОВЕРИТЬ", VLOOKUP(A2729, 'Актуальное состояние (из общего'!A:C,3,0)), "")</f>
        <v/>
      </c>
      <c r="U2729" s="9" t="s">
        <v>13284</v>
      </c>
      <c r="V2729" s="9" t="s">
        <v>13284</v>
      </c>
      <c r="W2729" s="12"/>
      <c r="X2729" s="9" t="str">
        <f t="array" ref="X2729">IFERROR(INDEX('Адреса общежитий (скрытый)'!$B$2:$B$9, MATCH(W2729, 'Адреса общежитий (скрытый)'!$A$2:$A$9, 0)), "")</f>
        <v/>
      </c>
      <c r="Y2729" s="18"/>
      <c r="Z2729" s="18"/>
      <c r="AA2729" s="18"/>
      <c r="AB2729" s="18"/>
      <c r="AC2729" s="18"/>
    </row>
    <row r="2730" spans="1:29" ht="32.25" hidden="1" customHeight="1">
      <c r="A2730" s="17"/>
      <c r="B2730" s="9" t="s">
        <v>13284</v>
      </c>
      <c r="C2730" s="9" t="s">
        <v>13284</v>
      </c>
      <c r="D2730" s="9" t="s">
        <v>13284</v>
      </c>
      <c r="E2730" s="9" t="s">
        <v>13284</v>
      </c>
      <c r="F2730" s="9" t="s">
        <v>13284</v>
      </c>
      <c r="G2730" s="9" t="s">
        <v>13284</v>
      </c>
      <c r="H2730" s="9" t="s">
        <v>13284</v>
      </c>
      <c r="I2730" s="9" t="s">
        <v>13284</v>
      </c>
      <c r="J2730" s="9" t="s">
        <v>13284</v>
      </c>
      <c r="K2730" s="9" t="s">
        <v>13284</v>
      </c>
      <c r="L2730" s="9" t="s">
        <v>13284</v>
      </c>
      <c r="M2730" s="9" t="s">
        <v>13284</v>
      </c>
      <c r="N2730" s="9" t="s">
        <v>13284</v>
      </c>
      <c r="O2730" s="9" t="s">
        <v>13284</v>
      </c>
      <c r="P2730" s="9" t="s">
        <v>13284</v>
      </c>
      <c r="Q2730" s="9" t="s">
        <v>13284</v>
      </c>
      <c r="R2730" s="9" t="s">
        <v>13284</v>
      </c>
      <c r="S2730" s="9" t="s">
        <v>13284</v>
      </c>
      <c r="T2730" s="9" t="str">
        <f ca="1">IFERROR(IF(AND(VLOOKUP(A2730, 'Актуальное состояние (из общего'!A:C,3,0) = "", A2730 &lt;&gt; ""), "ПРОВЕРИТЬ", VLOOKUP(A2730, 'Актуальное состояние (из общего'!A:C,3,0)), "")</f>
        <v/>
      </c>
      <c r="U2730" s="9" t="s">
        <v>13284</v>
      </c>
      <c r="V2730" s="9" t="s">
        <v>13284</v>
      </c>
      <c r="W2730" s="12"/>
      <c r="X2730" s="9" t="str">
        <f t="array" ref="X2730">IFERROR(INDEX('Адреса общежитий (скрытый)'!$B$2:$B$9, MATCH(W2730, 'Адреса общежитий (скрытый)'!$A$2:$A$9, 0)), "")</f>
        <v/>
      </c>
      <c r="Y2730" s="18"/>
      <c r="Z2730" s="18"/>
      <c r="AA2730" s="18"/>
      <c r="AB2730" s="18"/>
      <c r="AC2730" s="18"/>
    </row>
    <row r="2731" spans="1:29" ht="32.25" hidden="1" customHeight="1">
      <c r="A2731" s="17"/>
      <c r="B2731" s="9" t="s">
        <v>13284</v>
      </c>
      <c r="C2731" s="9" t="s">
        <v>13284</v>
      </c>
      <c r="D2731" s="9" t="s">
        <v>13284</v>
      </c>
      <c r="E2731" s="9" t="s">
        <v>13284</v>
      </c>
      <c r="F2731" s="9" t="s">
        <v>13284</v>
      </c>
      <c r="G2731" s="9" t="s">
        <v>13284</v>
      </c>
      <c r="H2731" s="9" t="s">
        <v>13284</v>
      </c>
      <c r="I2731" s="9" t="s">
        <v>13284</v>
      </c>
      <c r="J2731" s="9" t="s">
        <v>13284</v>
      </c>
      <c r="K2731" s="9" t="s">
        <v>13284</v>
      </c>
      <c r="L2731" s="9" t="s">
        <v>13284</v>
      </c>
      <c r="M2731" s="9" t="s">
        <v>13284</v>
      </c>
      <c r="N2731" s="9" t="s">
        <v>13284</v>
      </c>
      <c r="O2731" s="9" t="s">
        <v>13284</v>
      </c>
      <c r="P2731" s="9" t="s">
        <v>13284</v>
      </c>
      <c r="Q2731" s="9" t="s">
        <v>13284</v>
      </c>
      <c r="R2731" s="9" t="s">
        <v>13284</v>
      </c>
      <c r="S2731" s="9" t="s">
        <v>13284</v>
      </c>
      <c r="T2731" s="9" t="str">
        <f ca="1">IFERROR(IF(AND(VLOOKUP(A2731, 'Актуальное состояние (из общего'!A:C,3,0) = "", A2731 &lt;&gt; ""), "ПРОВЕРИТЬ", VLOOKUP(A2731, 'Актуальное состояние (из общего'!A:C,3,0)), "")</f>
        <v/>
      </c>
      <c r="U2731" s="9" t="s">
        <v>13284</v>
      </c>
      <c r="V2731" s="9" t="s">
        <v>13284</v>
      </c>
      <c r="W2731" s="12"/>
      <c r="X2731" s="9" t="str">
        <f t="array" ref="X2731">IFERROR(INDEX('Адреса общежитий (скрытый)'!$B$2:$B$9, MATCH(W2731, 'Адреса общежитий (скрытый)'!$A$2:$A$9, 0)), "")</f>
        <v/>
      </c>
      <c r="Y2731" s="18"/>
      <c r="Z2731" s="18"/>
      <c r="AA2731" s="18"/>
      <c r="AB2731" s="18"/>
      <c r="AC2731" s="18"/>
    </row>
    <row r="2732" spans="1:29" ht="32.25" hidden="1" customHeight="1">
      <c r="A2732" s="17"/>
      <c r="B2732" s="9" t="s">
        <v>13284</v>
      </c>
      <c r="C2732" s="9" t="s">
        <v>13284</v>
      </c>
      <c r="D2732" s="9" t="s">
        <v>13284</v>
      </c>
      <c r="E2732" s="9" t="s">
        <v>13284</v>
      </c>
      <c r="F2732" s="9" t="s">
        <v>13284</v>
      </c>
      <c r="G2732" s="9" t="s">
        <v>13284</v>
      </c>
      <c r="H2732" s="9" t="s">
        <v>13284</v>
      </c>
      <c r="I2732" s="9" t="s">
        <v>13284</v>
      </c>
      <c r="J2732" s="9" t="s">
        <v>13284</v>
      </c>
      <c r="K2732" s="9" t="s">
        <v>13284</v>
      </c>
      <c r="L2732" s="9" t="s">
        <v>13284</v>
      </c>
      <c r="M2732" s="9" t="s">
        <v>13284</v>
      </c>
      <c r="N2732" s="9" t="s">
        <v>13284</v>
      </c>
      <c r="O2732" s="9" t="s">
        <v>13284</v>
      </c>
      <c r="P2732" s="9" t="s">
        <v>13284</v>
      </c>
      <c r="Q2732" s="9" t="s">
        <v>13284</v>
      </c>
      <c r="R2732" s="9" t="s">
        <v>13284</v>
      </c>
      <c r="S2732" s="9" t="s">
        <v>13284</v>
      </c>
      <c r="T2732" s="9" t="str">
        <f ca="1">IFERROR(IF(AND(VLOOKUP(A2732, 'Актуальное состояние (из общего'!A:C,3,0) = "", A2732 &lt;&gt; ""), "ПРОВЕРИТЬ", VLOOKUP(A2732, 'Актуальное состояние (из общего'!A:C,3,0)), "")</f>
        <v/>
      </c>
      <c r="U2732" s="9" t="s">
        <v>13284</v>
      </c>
      <c r="V2732" s="9" t="s">
        <v>13284</v>
      </c>
      <c r="W2732" s="12"/>
      <c r="X2732" s="9" t="str">
        <f t="array" ref="X2732">IFERROR(INDEX('Адреса общежитий (скрытый)'!$B$2:$B$9, MATCH(W2732, 'Адреса общежитий (скрытый)'!$A$2:$A$9, 0)), "")</f>
        <v/>
      </c>
      <c r="Y2732" s="18"/>
      <c r="Z2732" s="18"/>
      <c r="AA2732" s="18"/>
      <c r="AB2732" s="18"/>
      <c r="AC2732" s="18"/>
    </row>
    <row r="2733" spans="1:29" ht="32.25" hidden="1" customHeight="1">
      <c r="A2733" s="17"/>
      <c r="B2733" s="9" t="s">
        <v>13284</v>
      </c>
      <c r="C2733" s="9" t="s">
        <v>13284</v>
      </c>
      <c r="D2733" s="9" t="s">
        <v>13284</v>
      </c>
      <c r="E2733" s="9" t="s">
        <v>13284</v>
      </c>
      <c r="F2733" s="9" t="s">
        <v>13284</v>
      </c>
      <c r="G2733" s="9" t="s">
        <v>13284</v>
      </c>
      <c r="H2733" s="9" t="s">
        <v>13284</v>
      </c>
      <c r="I2733" s="9" t="s">
        <v>13284</v>
      </c>
      <c r="J2733" s="9" t="s">
        <v>13284</v>
      </c>
      <c r="K2733" s="9" t="s">
        <v>13284</v>
      </c>
      <c r="L2733" s="9" t="s">
        <v>13284</v>
      </c>
      <c r="M2733" s="9" t="s">
        <v>13284</v>
      </c>
      <c r="N2733" s="9" t="s">
        <v>13284</v>
      </c>
      <c r="O2733" s="9" t="s">
        <v>13284</v>
      </c>
      <c r="P2733" s="9" t="s">
        <v>13284</v>
      </c>
      <c r="Q2733" s="9" t="s">
        <v>13284</v>
      </c>
      <c r="R2733" s="9" t="s">
        <v>13284</v>
      </c>
      <c r="S2733" s="9" t="s">
        <v>13284</v>
      </c>
      <c r="T2733" s="9" t="str">
        <f ca="1">IFERROR(IF(AND(VLOOKUP(A2733, 'Актуальное состояние (из общего'!A:C,3,0) = "", A2733 &lt;&gt; ""), "ПРОВЕРИТЬ", VLOOKUP(A2733, 'Актуальное состояние (из общего'!A:C,3,0)), "")</f>
        <v/>
      </c>
      <c r="U2733" s="9" t="s">
        <v>13284</v>
      </c>
      <c r="V2733" s="9" t="s">
        <v>13284</v>
      </c>
      <c r="W2733" s="12"/>
      <c r="X2733" s="9" t="str">
        <f t="array" ref="X2733">IFERROR(INDEX('Адреса общежитий (скрытый)'!$B$2:$B$9, MATCH(W2733, 'Адреса общежитий (скрытый)'!$A$2:$A$9, 0)), "")</f>
        <v/>
      </c>
      <c r="Y2733" s="18"/>
      <c r="Z2733" s="18"/>
      <c r="AA2733" s="18"/>
      <c r="AB2733" s="18"/>
      <c r="AC2733" s="18"/>
    </row>
    <row r="2734" spans="1:29" ht="32.25" hidden="1" customHeight="1">
      <c r="A2734" s="17"/>
      <c r="B2734" s="9" t="s">
        <v>13284</v>
      </c>
      <c r="C2734" s="9" t="s">
        <v>13284</v>
      </c>
      <c r="D2734" s="9" t="s">
        <v>13284</v>
      </c>
      <c r="E2734" s="9" t="s">
        <v>13284</v>
      </c>
      <c r="F2734" s="9" t="s">
        <v>13284</v>
      </c>
      <c r="G2734" s="9" t="s">
        <v>13284</v>
      </c>
      <c r="H2734" s="9" t="s">
        <v>13284</v>
      </c>
      <c r="I2734" s="9" t="s">
        <v>13284</v>
      </c>
      <c r="J2734" s="9" t="s">
        <v>13284</v>
      </c>
      <c r="K2734" s="9" t="s">
        <v>13284</v>
      </c>
      <c r="L2734" s="9" t="s">
        <v>13284</v>
      </c>
      <c r="M2734" s="9" t="s">
        <v>13284</v>
      </c>
      <c r="N2734" s="9" t="s">
        <v>13284</v>
      </c>
      <c r="O2734" s="9" t="s">
        <v>13284</v>
      </c>
      <c r="P2734" s="9" t="s">
        <v>13284</v>
      </c>
      <c r="Q2734" s="9" t="s">
        <v>13284</v>
      </c>
      <c r="R2734" s="9" t="s">
        <v>13284</v>
      </c>
      <c r="S2734" s="9" t="s">
        <v>13284</v>
      </c>
      <c r="T2734" s="9" t="str">
        <f ca="1">IFERROR(IF(AND(VLOOKUP(A2734, 'Актуальное состояние (из общего'!A:C,3,0) = "", A2734 &lt;&gt; ""), "ПРОВЕРИТЬ", VLOOKUP(A2734, 'Актуальное состояние (из общего'!A:C,3,0)), "")</f>
        <v/>
      </c>
      <c r="U2734" s="9" t="s">
        <v>13284</v>
      </c>
      <c r="V2734" s="9" t="s">
        <v>13284</v>
      </c>
      <c r="W2734" s="12"/>
      <c r="X2734" s="9" t="str">
        <f t="array" ref="X2734">IFERROR(INDEX('Адреса общежитий (скрытый)'!$B$2:$B$9, MATCH(W2734, 'Адреса общежитий (скрытый)'!$A$2:$A$9, 0)), "")</f>
        <v/>
      </c>
      <c r="Y2734" s="18"/>
      <c r="Z2734" s="18"/>
      <c r="AA2734" s="18"/>
      <c r="AB2734" s="18"/>
      <c r="AC2734" s="18"/>
    </row>
    <row r="2735" spans="1:29" ht="32.25" hidden="1" customHeight="1">
      <c r="A2735" s="17"/>
      <c r="B2735" s="9" t="s">
        <v>13284</v>
      </c>
      <c r="C2735" s="9" t="s">
        <v>13284</v>
      </c>
      <c r="D2735" s="9" t="s">
        <v>13284</v>
      </c>
      <c r="E2735" s="9" t="s">
        <v>13284</v>
      </c>
      <c r="F2735" s="9" t="s">
        <v>13284</v>
      </c>
      <c r="G2735" s="9" t="s">
        <v>13284</v>
      </c>
      <c r="H2735" s="9" t="s">
        <v>13284</v>
      </c>
      <c r="I2735" s="9" t="s">
        <v>13284</v>
      </c>
      <c r="J2735" s="9" t="s">
        <v>13284</v>
      </c>
      <c r="K2735" s="9" t="s">
        <v>13284</v>
      </c>
      <c r="L2735" s="9" t="s">
        <v>13284</v>
      </c>
      <c r="M2735" s="9" t="s">
        <v>13284</v>
      </c>
      <c r="N2735" s="9" t="s">
        <v>13284</v>
      </c>
      <c r="O2735" s="9" t="s">
        <v>13284</v>
      </c>
      <c r="P2735" s="9" t="s">
        <v>13284</v>
      </c>
      <c r="Q2735" s="9" t="s">
        <v>13284</v>
      </c>
      <c r="R2735" s="9" t="s">
        <v>13284</v>
      </c>
      <c r="S2735" s="9" t="s">
        <v>13284</v>
      </c>
      <c r="T2735" s="9" t="str">
        <f ca="1">IFERROR(IF(AND(VLOOKUP(A2735, 'Актуальное состояние (из общего'!A:C,3,0) = "", A2735 &lt;&gt; ""), "ПРОВЕРИТЬ", VLOOKUP(A2735, 'Актуальное состояние (из общего'!A:C,3,0)), "")</f>
        <v/>
      </c>
      <c r="U2735" s="9" t="s">
        <v>13284</v>
      </c>
      <c r="V2735" s="9" t="s">
        <v>13284</v>
      </c>
      <c r="W2735" s="12"/>
      <c r="X2735" s="9" t="str">
        <f t="array" ref="X2735">IFERROR(INDEX('Адреса общежитий (скрытый)'!$B$2:$B$9, MATCH(W2735, 'Адреса общежитий (скрытый)'!$A$2:$A$9, 0)), "")</f>
        <v/>
      </c>
      <c r="Y2735" s="18"/>
      <c r="Z2735" s="18"/>
      <c r="AA2735" s="18"/>
      <c r="AB2735" s="18"/>
      <c r="AC2735" s="18"/>
    </row>
    <row r="2736" spans="1:29" ht="32.25" hidden="1" customHeight="1">
      <c r="A2736" s="17"/>
      <c r="B2736" s="9" t="s">
        <v>13284</v>
      </c>
      <c r="C2736" s="9" t="s">
        <v>13284</v>
      </c>
      <c r="D2736" s="9" t="s">
        <v>13284</v>
      </c>
      <c r="E2736" s="9" t="s">
        <v>13284</v>
      </c>
      <c r="F2736" s="9" t="s">
        <v>13284</v>
      </c>
      <c r="G2736" s="9" t="s">
        <v>13284</v>
      </c>
      <c r="H2736" s="9" t="s">
        <v>13284</v>
      </c>
      <c r="I2736" s="9" t="s">
        <v>13284</v>
      </c>
      <c r="J2736" s="9" t="s">
        <v>13284</v>
      </c>
      <c r="K2736" s="9" t="s">
        <v>13284</v>
      </c>
      <c r="L2736" s="9" t="s">
        <v>13284</v>
      </c>
      <c r="M2736" s="9" t="s">
        <v>13284</v>
      </c>
      <c r="N2736" s="9" t="s">
        <v>13284</v>
      </c>
      <c r="O2736" s="9" t="s">
        <v>13284</v>
      </c>
      <c r="P2736" s="9" t="s">
        <v>13284</v>
      </c>
      <c r="Q2736" s="9" t="s">
        <v>13284</v>
      </c>
      <c r="R2736" s="9" t="s">
        <v>13284</v>
      </c>
      <c r="S2736" s="9" t="s">
        <v>13284</v>
      </c>
      <c r="T2736" s="9" t="str">
        <f ca="1">IFERROR(IF(AND(VLOOKUP(A2736, 'Актуальное состояние (из общего'!A:C,3,0) = "", A2736 &lt;&gt; ""), "ПРОВЕРИТЬ", VLOOKUP(A2736, 'Актуальное состояние (из общего'!A:C,3,0)), "")</f>
        <v/>
      </c>
      <c r="U2736" s="9" t="s">
        <v>13284</v>
      </c>
      <c r="V2736" s="9" t="s">
        <v>13284</v>
      </c>
      <c r="W2736" s="12"/>
      <c r="X2736" s="9" t="str">
        <f t="array" ref="X2736">IFERROR(INDEX('Адреса общежитий (скрытый)'!$B$2:$B$9, MATCH(W2736, 'Адреса общежитий (скрытый)'!$A$2:$A$9, 0)), "")</f>
        <v/>
      </c>
      <c r="Y2736" s="18"/>
      <c r="Z2736" s="18"/>
      <c r="AA2736" s="18"/>
      <c r="AB2736" s="18"/>
      <c r="AC2736" s="18"/>
    </row>
    <row r="2737" spans="1:29" ht="32.25" hidden="1" customHeight="1">
      <c r="A2737" s="17"/>
      <c r="B2737" s="9" t="s">
        <v>13284</v>
      </c>
      <c r="C2737" s="9" t="s">
        <v>13284</v>
      </c>
      <c r="D2737" s="9" t="s">
        <v>13284</v>
      </c>
      <c r="E2737" s="9" t="s">
        <v>13284</v>
      </c>
      <c r="F2737" s="9" t="s">
        <v>13284</v>
      </c>
      <c r="G2737" s="9" t="s">
        <v>13284</v>
      </c>
      <c r="H2737" s="9" t="s">
        <v>13284</v>
      </c>
      <c r="I2737" s="9" t="s">
        <v>13284</v>
      </c>
      <c r="J2737" s="9" t="s">
        <v>13284</v>
      </c>
      <c r="K2737" s="9" t="s">
        <v>13284</v>
      </c>
      <c r="L2737" s="9" t="s">
        <v>13284</v>
      </c>
      <c r="M2737" s="9" t="s">
        <v>13284</v>
      </c>
      <c r="N2737" s="9" t="s">
        <v>13284</v>
      </c>
      <c r="O2737" s="9" t="s">
        <v>13284</v>
      </c>
      <c r="P2737" s="9" t="s">
        <v>13284</v>
      </c>
      <c r="Q2737" s="9" t="s">
        <v>13284</v>
      </c>
      <c r="R2737" s="9" t="s">
        <v>13284</v>
      </c>
      <c r="S2737" s="9" t="s">
        <v>13284</v>
      </c>
      <c r="T2737" s="9" t="str">
        <f ca="1">IFERROR(IF(AND(VLOOKUP(A2737, 'Актуальное состояние (из общего'!A:C,3,0) = "", A2737 &lt;&gt; ""), "ПРОВЕРИТЬ", VLOOKUP(A2737, 'Актуальное состояние (из общего'!A:C,3,0)), "")</f>
        <v/>
      </c>
      <c r="U2737" s="9" t="s">
        <v>13284</v>
      </c>
      <c r="V2737" s="9" t="s">
        <v>13284</v>
      </c>
      <c r="W2737" s="12"/>
      <c r="X2737" s="9" t="str">
        <f t="array" ref="X2737">IFERROR(INDEX('Адреса общежитий (скрытый)'!$B$2:$B$9, MATCH(W2737, 'Адреса общежитий (скрытый)'!$A$2:$A$9, 0)), "")</f>
        <v/>
      </c>
      <c r="Y2737" s="18"/>
      <c r="Z2737" s="18"/>
      <c r="AA2737" s="18"/>
      <c r="AB2737" s="18"/>
      <c r="AC2737" s="18"/>
    </row>
    <row r="2738" spans="1:29" ht="32.25" hidden="1" customHeight="1">
      <c r="A2738" s="17"/>
      <c r="B2738" s="9" t="s">
        <v>13284</v>
      </c>
      <c r="C2738" s="9" t="s">
        <v>13284</v>
      </c>
      <c r="D2738" s="9" t="s">
        <v>13284</v>
      </c>
      <c r="E2738" s="9" t="s">
        <v>13284</v>
      </c>
      <c r="F2738" s="9" t="s">
        <v>13284</v>
      </c>
      <c r="G2738" s="9" t="s">
        <v>13284</v>
      </c>
      <c r="H2738" s="9" t="s">
        <v>13284</v>
      </c>
      <c r="I2738" s="9" t="s">
        <v>13284</v>
      </c>
      <c r="J2738" s="9" t="s">
        <v>13284</v>
      </c>
      <c r="K2738" s="9" t="s">
        <v>13284</v>
      </c>
      <c r="L2738" s="9" t="s">
        <v>13284</v>
      </c>
      <c r="M2738" s="9" t="s">
        <v>13284</v>
      </c>
      <c r="N2738" s="9" t="s">
        <v>13284</v>
      </c>
      <c r="O2738" s="9" t="s">
        <v>13284</v>
      </c>
      <c r="P2738" s="9" t="s">
        <v>13284</v>
      </c>
      <c r="Q2738" s="9" t="s">
        <v>13284</v>
      </c>
      <c r="R2738" s="9" t="s">
        <v>13284</v>
      </c>
      <c r="S2738" s="9" t="s">
        <v>13284</v>
      </c>
      <c r="T2738" s="9" t="str">
        <f ca="1">IFERROR(IF(AND(VLOOKUP(A2738, 'Актуальное состояние (из общего'!A:C,3,0) = "", A2738 &lt;&gt; ""), "ПРОВЕРИТЬ", VLOOKUP(A2738, 'Актуальное состояние (из общего'!A:C,3,0)), "")</f>
        <v/>
      </c>
      <c r="U2738" s="9" t="s">
        <v>13284</v>
      </c>
      <c r="V2738" s="9" t="s">
        <v>13284</v>
      </c>
      <c r="W2738" s="12"/>
      <c r="X2738" s="9" t="str">
        <f t="array" ref="X2738">IFERROR(INDEX('Адреса общежитий (скрытый)'!$B$2:$B$9, MATCH(W2738, 'Адреса общежитий (скрытый)'!$A$2:$A$9, 0)), "")</f>
        <v/>
      </c>
      <c r="Y2738" s="18"/>
      <c r="Z2738" s="18"/>
      <c r="AA2738" s="18"/>
      <c r="AB2738" s="18"/>
      <c r="AC2738" s="18"/>
    </row>
    <row r="2739" spans="1:29" ht="32.25" hidden="1" customHeight="1">
      <c r="A2739" s="17"/>
      <c r="B2739" s="9" t="s">
        <v>13284</v>
      </c>
      <c r="C2739" s="9" t="s">
        <v>13284</v>
      </c>
      <c r="D2739" s="9" t="s">
        <v>13284</v>
      </c>
      <c r="E2739" s="9" t="s">
        <v>13284</v>
      </c>
      <c r="F2739" s="9" t="s">
        <v>13284</v>
      </c>
      <c r="G2739" s="9" t="s">
        <v>13284</v>
      </c>
      <c r="H2739" s="9" t="s">
        <v>13284</v>
      </c>
      <c r="I2739" s="9" t="s">
        <v>13284</v>
      </c>
      <c r="J2739" s="9" t="s">
        <v>13284</v>
      </c>
      <c r="K2739" s="9" t="s">
        <v>13284</v>
      </c>
      <c r="L2739" s="9" t="s">
        <v>13284</v>
      </c>
      <c r="M2739" s="9" t="s">
        <v>13284</v>
      </c>
      <c r="N2739" s="9" t="s">
        <v>13284</v>
      </c>
      <c r="O2739" s="9" t="s">
        <v>13284</v>
      </c>
      <c r="P2739" s="9" t="s">
        <v>13284</v>
      </c>
      <c r="Q2739" s="9" t="s">
        <v>13284</v>
      </c>
      <c r="R2739" s="9" t="s">
        <v>13284</v>
      </c>
      <c r="S2739" s="9" t="s">
        <v>13284</v>
      </c>
      <c r="T2739" s="9" t="str">
        <f ca="1">IFERROR(IF(AND(VLOOKUP(A2739, 'Актуальное состояние (из общего'!A:C,3,0) = "", A2739 &lt;&gt; ""), "ПРОВЕРИТЬ", VLOOKUP(A2739, 'Актуальное состояние (из общего'!A:C,3,0)), "")</f>
        <v/>
      </c>
      <c r="U2739" s="9" t="s">
        <v>13284</v>
      </c>
      <c r="V2739" s="9" t="s">
        <v>13284</v>
      </c>
      <c r="W2739" s="12"/>
      <c r="X2739" s="9" t="str">
        <f t="array" ref="X2739">IFERROR(INDEX('Адреса общежитий (скрытый)'!$B$2:$B$9, MATCH(W2739, 'Адреса общежитий (скрытый)'!$A$2:$A$9, 0)), "")</f>
        <v/>
      </c>
      <c r="Y2739" s="18"/>
      <c r="Z2739" s="18"/>
      <c r="AA2739" s="18"/>
      <c r="AB2739" s="18"/>
      <c r="AC2739" s="18"/>
    </row>
    <row r="2740" spans="1:29" ht="32.25" hidden="1" customHeight="1">
      <c r="A2740" s="17"/>
      <c r="B2740" s="9" t="s">
        <v>13284</v>
      </c>
      <c r="C2740" s="9" t="s">
        <v>13284</v>
      </c>
      <c r="D2740" s="9" t="s">
        <v>13284</v>
      </c>
      <c r="E2740" s="9" t="s">
        <v>13284</v>
      </c>
      <c r="F2740" s="9" t="s">
        <v>13284</v>
      </c>
      <c r="G2740" s="9" t="s">
        <v>13284</v>
      </c>
      <c r="H2740" s="9" t="s">
        <v>13284</v>
      </c>
      <c r="I2740" s="9" t="s">
        <v>13284</v>
      </c>
      <c r="J2740" s="9" t="s">
        <v>13284</v>
      </c>
      <c r="K2740" s="9" t="s">
        <v>13284</v>
      </c>
      <c r="L2740" s="9" t="s">
        <v>13284</v>
      </c>
      <c r="M2740" s="9" t="s">
        <v>13284</v>
      </c>
      <c r="N2740" s="9" t="s">
        <v>13284</v>
      </c>
      <c r="O2740" s="9" t="s">
        <v>13284</v>
      </c>
      <c r="P2740" s="9" t="s">
        <v>13284</v>
      </c>
      <c r="Q2740" s="9" t="s">
        <v>13284</v>
      </c>
      <c r="R2740" s="9" t="s">
        <v>13284</v>
      </c>
      <c r="S2740" s="9" t="s">
        <v>13284</v>
      </c>
      <c r="T2740" s="9" t="str">
        <f ca="1">IFERROR(IF(AND(VLOOKUP(A2740, 'Актуальное состояние (из общего'!A:C,3,0) = "", A2740 &lt;&gt; ""), "ПРОВЕРИТЬ", VLOOKUP(A2740, 'Актуальное состояние (из общего'!A:C,3,0)), "")</f>
        <v/>
      </c>
      <c r="U2740" s="9" t="s">
        <v>13284</v>
      </c>
      <c r="V2740" s="9" t="s">
        <v>13284</v>
      </c>
      <c r="W2740" s="12"/>
      <c r="X2740" s="9" t="str">
        <f t="array" ref="X2740">IFERROR(INDEX('Адреса общежитий (скрытый)'!$B$2:$B$9, MATCH(W2740, 'Адреса общежитий (скрытый)'!$A$2:$A$9, 0)), "")</f>
        <v/>
      </c>
      <c r="Y2740" s="18"/>
      <c r="Z2740" s="18"/>
      <c r="AA2740" s="18"/>
      <c r="AB2740" s="18"/>
      <c r="AC2740" s="18"/>
    </row>
    <row r="2741" spans="1:29" ht="32.25" hidden="1" customHeight="1">
      <c r="A2741" s="17"/>
      <c r="B2741" s="9" t="s">
        <v>13284</v>
      </c>
      <c r="C2741" s="9" t="s">
        <v>13284</v>
      </c>
      <c r="D2741" s="9" t="s">
        <v>13284</v>
      </c>
      <c r="E2741" s="9" t="s">
        <v>13284</v>
      </c>
      <c r="F2741" s="9" t="s">
        <v>13284</v>
      </c>
      <c r="G2741" s="9" t="s">
        <v>13284</v>
      </c>
      <c r="H2741" s="9" t="s">
        <v>13284</v>
      </c>
      <c r="I2741" s="9" t="s">
        <v>13284</v>
      </c>
      <c r="J2741" s="9" t="s">
        <v>13284</v>
      </c>
      <c r="K2741" s="9" t="s">
        <v>13284</v>
      </c>
      <c r="L2741" s="9" t="s">
        <v>13284</v>
      </c>
      <c r="M2741" s="9" t="s">
        <v>13284</v>
      </c>
      <c r="N2741" s="9" t="s">
        <v>13284</v>
      </c>
      <c r="O2741" s="9" t="s">
        <v>13284</v>
      </c>
      <c r="P2741" s="9" t="s">
        <v>13284</v>
      </c>
      <c r="Q2741" s="9" t="s">
        <v>13284</v>
      </c>
      <c r="R2741" s="9" t="s">
        <v>13284</v>
      </c>
      <c r="S2741" s="9" t="s">
        <v>13284</v>
      </c>
      <c r="T2741" s="9" t="str">
        <f ca="1">IFERROR(IF(AND(VLOOKUP(A2741, 'Актуальное состояние (из общего'!A:C,3,0) = "", A2741 &lt;&gt; ""), "ПРОВЕРИТЬ", VLOOKUP(A2741, 'Актуальное состояние (из общего'!A:C,3,0)), "")</f>
        <v/>
      </c>
      <c r="U2741" s="9" t="s">
        <v>13284</v>
      </c>
      <c r="V2741" s="9" t="s">
        <v>13284</v>
      </c>
      <c r="W2741" s="12"/>
      <c r="X2741" s="9" t="str">
        <f t="array" ref="X2741">IFERROR(INDEX('Адреса общежитий (скрытый)'!$B$2:$B$9, MATCH(W2741, 'Адреса общежитий (скрытый)'!$A$2:$A$9, 0)), "")</f>
        <v/>
      </c>
      <c r="Y2741" s="18"/>
      <c r="Z2741" s="18"/>
      <c r="AA2741" s="18"/>
      <c r="AB2741" s="18"/>
      <c r="AC2741" s="18"/>
    </row>
    <row r="2742" spans="1:29" ht="32.25" hidden="1" customHeight="1">
      <c r="A2742" s="17"/>
      <c r="B2742" s="9" t="s">
        <v>13284</v>
      </c>
      <c r="C2742" s="9" t="s">
        <v>13284</v>
      </c>
      <c r="D2742" s="9" t="s">
        <v>13284</v>
      </c>
      <c r="E2742" s="9" t="s">
        <v>13284</v>
      </c>
      <c r="F2742" s="9" t="s">
        <v>13284</v>
      </c>
      <c r="G2742" s="9" t="s">
        <v>13284</v>
      </c>
      <c r="H2742" s="9" t="s">
        <v>13284</v>
      </c>
      <c r="I2742" s="9" t="s">
        <v>13284</v>
      </c>
      <c r="J2742" s="9" t="s">
        <v>13284</v>
      </c>
      <c r="K2742" s="9" t="s">
        <v>13284</v>
      </c>
      <c r="L2742" s="9" t="s">
        <v>13284</v>
      </c>
      <c r="M2742" s="9" t="s">
        <v>13284</v>
      </c>
      <c r="N2742" s="9" t="s">
        <v>13284</v>
      </c>
      <c r="O2742" s="9" t="s">
        <v>13284</v>
      </c>
      <c r="P2742" s="9" t="s">
        <v>13284</v>
      </c>
      <c r="Q2742" s="9" t="s">
        <v>13284</v>
      </c>
      <c r="R2742" s="9" t="s">
        <v>13284</v>
      </c>
      <c r="S2742" s="9" t="s">
        <v>13284</v>
      </c>
      <c r="T2742" s="9" t="str">
        <f ca="1">IFERROR(IF(AND(VLOOKUP(A2742, 'Актуальное состояние (из общего'!A:C,3,0) = "", A2742 &lt;&gt; ""), "ПРОВЕРИТЬ", VLOOKUP(A2742, 'Актуальное состояние (из общего'!A:C,3,0)), "")</f>
        <v/>
      </c>
      <c r="U2742" s="9" t="s">
        <v>13284</v>
      </c>
      <c r="V2742" s="9" t="s">
        <v>13284</v>
      </c>
      <c r="W2742" s="12"/>
      <c r="X2742" s="9" t="str">
        <f t="array" ref="X2742">IFERROR(INDEX('Адреса общежитий (скрытый)'!$B$2:$B$9, MATCH(W2742, 'Адреса общежитий (скрытый)'!$A$2:$A$9, 0)), "")</f>
        <v/>
      </c>
      <c r="Y2742" s="18"/>
      <c r="Z2742" s="18"/>
      <c r="AA2742" s="18"/>
      <c r="AB2742" s="18"/>
      <c r="AC2742" s="18"/>
    </row>
    <row r="2743" spans="1:29" ht="32.25" hidden="1" customHeight="1">
      <c r="A2743" s="17"/>
      <c r="B2743" s="9" t="s">
        <v>13284</v>
      </c>
      <c r="C2743" s="9" t="s">
        <v>13284</v>
      </c>
      <c r="D2743" s="9" t="s">
        <v>13284</v>
      </c>
      <c r="E2743" s="9" t="s">
        <v>13284</v>
      </c>
      <c r="F2743" s="9" t="s">
        <v>13284</v>
      </c>
      <c r="G2743" s="9" t="s">
        <v>13284</v>
      </c>
      <c r="H2743" s="9" t="s">
        <v>13284</v>
      </c>
      <c r="I2743" s="9" t="s">
        <v>13284</v>
      </c>
      <c r="J2743" s="9" t="s">
        <v>13284</v>
      </c>
      <c r="K2743" s="9" t="s">
        <v>13284</v>
      </c>
      <c r="L2743" s="9" t="s">
        <v>13284</v>
      </c>
      <c r="M2743" s="9" t="s">
        <v>13284</v>
      </c>
      <c r="N2743" s="9" t="s">
        <v>13284</v>
      </c>
      <c r="O2743" s="9" t="s">
        <v>13284</v>
      </c>
      <c r="P2743" s="9" t="s">
        <v>13284</v>
      </c>
      <c r="Q2743" s="9" t="s">
        <v>13284</v>
      </c>
      <c r="R2743" s="9" t="s">
        <v>13284</v>
      </c>
      <c r="S2743" s="9" t="s">
        <v>13284</v>
      </c>
      <c r="T2743" s="9" t="str">
        <f ca="1">IFERROR(IF(AND(VLOOKUP(A2743, 'Актуальное состояние (из общего'!A:C,3,0) = "", A2743 &lt;&gt; ""), "ПРОВЕРИТЬ", VLOOKUP(A2743, 'Актуальное состояние (из общего'!A:C,3,0)), "")</f>
        <v/>
      </c>
      <c r="U2743" s="9" t="s">
        <v>13284</v>
      </c>
      <c r="V2743" s="9" t="s">
        <v>13284</v>
      </c>
      <c r="W2743" s="12"/>
      <c r="X2743" s="9" t="str">
        <f t="array" ref="X2743">IFERROR(INDEX('Адреса общежитий (скрытый)'!$B$2:$B$9, MATCH(W2743, 'Адреса общежитий (скрытый)'!$A$2:$A$9, 0)), "")</f>
        <v/>
      </c>
      <c r="Y2743" s="18"/>
      <c r="Z2743" s="18"/>
      <c r="AA2743" s="18"/>
      <c r="AB2743" s="18"/>
      <c r="AC2743" s="18"/>
    </row>
    <row r="2744" spans="1:29" ht="32.25" hidden="1" customHeight="1">
      <c r="A2744" s="17"/>
      <c r="B2744" s="9" t="s">
        <v>13284</v>
      </c>
      <c r="C2744" s="9" t="s">
        <v>13284</v>
      </c>
      <c r="D2744" s="9" t="s">
        <v>13284</v>
      </c>
      <c r="E2744" s="9" t="s">
        <v>13284</v>
      </c>
      <c r="F2744" s="9" t="s">
        <v>13284</v>
      </c>
      <c r="G2744" s="9" t="s">
        <v>13284</v>
      </c>
      <c r="H2744" s="9" t="s">
        <v>13284</v>
      </c>
      <c r="I2744" s="9" t="s">
        <v>13284</v>
      </c>
      <c r="J2744" s="9" t="s">
        <v>13284</v>
      </c>
      <c r="K2744" s="9" t="s">
        <v>13284</v>
      </c>
      <c r="L2744" s="9" t="s">
        <v>13284</v>
      </c>
      <c r="M2744" s="9" t="s">
        <v>13284</v>
      </c>
      <c r="N2744" s="9" t="s">
        <v>13284</v>
      </c>
      <c r="O2744" s="9" t="s">
        <v>13284</v>
      </c>
      <c r="P2744" s="9" t="s">
        <v>13284</v>
      </c>
      <c r="Q2744" s="9" t="s">
        <v>13284</v>
      </c>
      <c r="R2744" s="9" t="s">
        <v>13284</v>
      </c>
      <c r="S2744" s="9" t="s">
        <v>13284</v>
      </c>
      <c r="T2744" s="9" t="str">
        <f ca="1">IFERROR(IF(AND(VLOOKUP(A2744, 'Актуальное состояние (из общего'!A:C,3,0) = "", A2744 &lt;&gt; ""), "ПРОВЕРИТЬ", VLOOKUP(A2744, 'Актуальное состояние (из общего'!A:C,3,0)), "")</f>
        <v/>
      </c>
      <c r="U2744" s="9" t="s">
        <v>13284</v>
      </c>
      <c r="V2744" s="9" t="s">
        <v>13284</v>
      </c>
      <c r="W2744" s="12"/>
      <c r="X2744" s="9" t="str">
        <f t="array" ref="X2744">IFERROR(INDEX('Адреса общежитий (скрытый)'!$B$2:$B$9, MATCH(W2744, 'Адреса общежитий (скрытый)'!$A$2:$A$9, 0)), "")</f>
        <v/>
      </c>
      <c r="Y2744" s="18"/>
      <c r="Z2744" s="18"/>
      <c r="AA2744" s="18"/>
      <c r="AB2744" s="18"/>
      <c r="AC2744" s="18"/>
    </row>
    <row r="2745" spans="1:29" ht="32.25" hidden="1" customHeight="1">
      <c r="A2745" s="17"/>
      <c r="B2745" s="9" t="s">
        <v>13284</v>
      </c>
      <c r="C2745" s="9" t="s">
        <v>13284</v>
      </c>
      <c r="D2745" s="9" t="s">
        <v>13284</v>
      </c>
      <c r="E2745" s="9" t="s">
        <v>13284</v>
      </c>
      <c r="F2745" s="9" t="s">
        <v>13284</v>
      </c>
      <c r="G2745" s="9" t="s">
        <v>13284</v>
      </c>
      <c r="H2745" s="9" t="s">
        <v>13284</v>
      </c>
      <c r="I2745" s="9" t="s">
        <v>13284</v>
      </c>
      <c r="J2745" s="9" t="s">
        <v>13284</v>
      </c>
      <c r="K2745" s="9" t="s">
        <v>13284</v>
      </c>
      <c r="L2745" s="9" t="s">
        <v>13284</v>
      </c>
      <c r="M2745" s="9" t="s">
        <v>13284</v>
      </c>
      <c r="N2745" s="9" t="s">
        <v>13284</v>
      </c>
      <c r="O2745" s="9" t="s">
        <v>13284</v>
      </c>
      <c r="P2745" s="9" t="s">
        <v>13284</v>
      </c>
      <c r="Q2745" s="9" t="s">
        <v>13284</v>
      </c>
      <c r="R2745" s="9" t="s">
        <v>13284</v>
      </c>
      <c r="S2745" s="9" t="s">
        <v>13284</v>
      </c>
      <c r="T2745" s="9" t="str">
        <f ca="1">IFERROR(IF(AND(VLOOKUP(A2745, 'Актуальное состояние (из общего'!A:C,3,0) = "", A2745 &lt;&gt; ""), "ПРОВЕРИТЬ", VLOOKUP(A2745, 'Актуальное состояние (из общего'!A:C,3,0)), "")</f>
        <v/>
      </c>
      <c r="U2745" s="9" t="s">
        <v>13284</v>
      </c>
      <c r="V2745" s="9" t="s">
        <v>13284</v>
      </c>
      <c r="W2745" s="12"/>
      <c r="X2745" s="9" t="str">
        <f t="array" ref="X2745">IFERROR(INDEX('Адреса общежитий (скрытый)'!$B$2:$B$9, MATCH(W2745, 'Адреса общежитий (скрытый)'!$A$2:$A$9, 0)), "")</f>
        <v/>
      </c>
      <c r="Y2745" s="18"/>
      <c r="Z2745" s="18"/>
      <c r="AA2745" s="18"/>
      <c r="AB2745" s="18"/>
      <c r="AC2745" s="18"/>
    </row>
    <row r="2746" spans="1:29" ht="32.25" hidden="1" customHeight="1">
      <c r="A2746" s="17"/>
      <c r="B2746" s="9" t="s">
        <v>13284</v>
      </c>
      <c r="C2746" s="9" t="s">
        <v>13284</v>
      </c>
      <c r="D2746" s="9" t="s">
        <v>13284</v>
      </c>
      <c r="E2746" s="9" t="s">
        <v>13284</v>
      </c>
      <c r="F2746" s="9" t="s">
        <v>13284</v>
      </c>
      <c r="G2746" s="9" t="s">
        <v>13284</v>
      </c>
      <c r="H2746" s="9" t="s">
        <v>13284</v>
      </c>
      <c r="I2746" s="9" t="s">
        <v>13284</v>
      </c>
      <c r="J2746" s="9" t="s">
        <v>13284</v>
      </c>
      <c r="K2746" s="9" t="s">
        <v>13284</v>
      </c>
      <c r="L2746" s="9" t="s">
        <v>13284</v>
      </c>
      <c r="M2746" s="9" t="s">
        <v>13284</v>
      </c>
      <c r="N2746" s="9" t="s">
        <v>13284</v>
      </c>
      <c r="O2746" s="9" t="s">
        <v>13284</v>
      </c>
      <c r="P2746" s="9" t="s">
        <v>13284</v>
      </c>
      <c r="Q2746" s="9" t="s">
        <v>13284</v>
      </c>
      <c r="R2746" s="9" t="s">
        <v>13284</v>
      </c>
      <c r="S2746" s="9" t="s">
        <v>13284</v>
      </c>
      <c r="T2746" s="9" t="str">
        <f ca="1">IFERROR(IF(AND(VLOOKUP(A2746, 'Актуальное состояние (из общего'!A:C,3,0) = "", A2746 &lt;&gt; ""), "ПРОВЕРИТЬ", VLOOKUP(A2746, 'Актуальное состояние (из общего'!A:C,3,0)), "")</f>
        <v/>
      </c>
      <c r="U2746" s="9" t="s">
        <v>13284</v>
      </c>
      <c r="V2746" s="9" t="s">
        <v>13284</v>
      </c>
      <c r="W2746" s="12"/>
      <c r="X2746" s="9" t="str">
        <f t="array" ref="X2746">IFERROR(INDEX('Адреса общежитий (скрытый)'!$B$2:$B$9, MATCH(W2746, 'Адреса общежитий (скрытый)'!$A$2:$A$9, 0)), "")</f>
        <v/>
      </c>
      <c r="Y2746" s="18"/>
      <c r="Z2746" s="18"/>
      <c r="AA2746" s="18"/>
      <c r="AB2746" s="18"/>
      <c r="AC2746" s="18"/>
    </row>
    <row r="2747" spans="1:29" ht="32.25" hidden="1" customHeight="1">
      <c r="A2747" s="17"/>
      <c r="B2747" s="9" t="s">
        <v>13284</v>
      </c>
      <c r="C2747" s="9" t="s">
        <v>13284</v>
      </c>
      <c r="D2747" s="9" t="s">
        <v>13284</v>
      </c>
      <c r="E2747" s="9" t="s">
        <v>13284</v>
      </c>
      <c r="F2747" s="9" t="s">
        <v>13284</v>
      </c>
      <c r="G2747" s="9" t="s">
        <v>13284</v>
      </c>
      <c r="H2747" s="9" t="s">
        <v>13284</v>
      </c>
      <c r="I2747" s="9" t="s">
        <v>13284</v>
      </c>
      <c r="J2747" s="9" t="s">
        <v>13284</v>
      </c>
      <c r="K2747" s="9" t="s">
        <v>13284</v>
      </c>
      <c r="L2747" s="9" t="s">
        <v>13284</v>
      </c>
      <c r="M2747" s="9" t="s">
        <v>13284</v>
      </c>
      <c r="N2747" s="9" t="s">
        <v>13284</v>
      </c>
      <c r="O2747" s="9" t="s">
        <v>13284</v>
      </c>
      <c r="P2747" s="9" t="s">
        <v>13284</v>
      </c>
      <c r="Q2747" s="9" t="s">
        <v>13284</v>
      </c>
      <c r="R2747" s="9" t="s">
        <v>13284</v>
      </c>
      <c r="S2747" s="9" t="s">
        <v>13284</v>
      </c>
      <c r="T2747" s="9" t="str">
        <f ca="1">IFERROR(IF(AND(VLOOKUP(A2747, 'Актуальное состояние (из общего'!A:C,3,0) = "", A2747 &lt;&gt; ""), "ПРОВЕРИТЬ", VLOOKUP(A2747, 'Актуальное состояние (из общего'!A:C,3,0)), "")</f>
        <v/>
      </c>
      <c r="U2747" s="9" t="s">
        <v>13284</v>
      </c>
      <c r="V2747" s="9" t="s">
        <v>13284</v>
      </c>
      <c r="W2747" s="12"/>
      <c r="X2747" s="9" t="str">
        <f t="array" ref="X2747">IFERROR(INDEX('Адреса общежитий (скрытый)'!$B$2:$B$9, MATCH(W2747, 'Адреса общежитий (скрытый)'!$A$2:$A$9, 0)), "")</f>
        <v/>
      </c>
      <c r="Y2747" s="18"/>
      <c r="Z2747" s="18"/>
      <c r="AA2747" s="18"/>
      <c r="AB2747" s="18"/>
      <c r="AC2747" s="18"/>
    </row>
    <row r="2748" spans="1:29" ht="32.25" hidden="1" customHeight="1">
      <c r="A2748" s="17"/>
      <c r="B2748" s="9" t="s">
        <v>13284</v>
      </c>
      <c r="C2748" s="9" t="s">
        <v>13284</v>
      </c>
      <c r="D2748" s="9" t="s">
        <v>13284</v>
      </c>
      <c r="E2748" s="9" t="s">
        <v>13284</v>
      </c>
      <c r="F2748" s="9" t="s">
        <v>13284</v>
      </c>
      <c r="G2748" s="9" t="s">
        <v>13284</v>
      </c>
      <c r="H2748" s="9" t="s">
        <v>13284</v>
      </c>
      <c r="I2748" s="9" t="s">
        <v>13284</v>
      </c>
      <c r="J2748" s="9" t="s">
        <v>13284</v>
      </c>
      <c r="K2748" s="9" t="s">
        <v>13284</v>
      </c>
      <c r="L2748" s="9" t="s">
        <v>13284</v>
      </c>
      <c r="M2748" s="9" t="s">
        <v>13284</v>
      </c>
      <c r="N2748" s="9" t="s">
        <v>13284</v>
      </c>
      <c r="O2748" s="9" t="s">
        <v>13284</v>
      </c>
      <c r="P2748" s="9" t="s">
        <v>13284</v>
      </c>
      <c r="Q2748" s="9" t="s">
        <v>13284</v>
      </c>
      <c r="R2748" s="9" t="s">
        <v>13284</v>
      </c>
      <c r="S2748" s="9" t="s">
        <v>13284</v>
      </c>
      <c r="T2748" s="9" t="str">
        <f ca="1">IFERROR(IF(AND(VLOOKUP(A2748, 'Актуальное состояние (из общего'!A:C,3,0) = "", A2748 &lt;&gt; ""), "ПРОВЕРИТЬ", VLOOKUP(A2748, 'Актуальное состояние (из общего'!A:C,3,0)), "")</f>
        <v/>
      </c>
      <c r="U2748" s="9" t="s">
        <v>13284</v>
      </c>
      <c r="V2748" s="9" t="s">
        <v>13284</v>
      </c>
      <c r="W2748" s="12"/>
      <c r="X2748" s="9" t="str">
        <f t="array" ref="X2748">IFERROR(INDEX('Адреса общежитий (скрытый)'!$B$2:$B$9, MATCH(W2748, 'Адреса общежитий (скрытый)'!$A$2:$A$9, 0)), "")</f>
        <v/>
      </c>
      <c r="Y2748" s="18"/>
      <c r="Z2748" s="18"/>
      <c r="AA2748" s="18"/>
      <c r="AB2748" s="18"/>
      <c r="AC2748" s="18"/>
    </row>
    <row r="2749" spans="1:29" ht="32.25" hidden="1" customHeight="1">
      <c r="A2749" s="17"/>
      <c r="B2749" s="9" t="s">
        <v>13284</v>
      </c>
      <c r="C2749" s="9" t="s">
        <v>13284</v>
      </c>
      <c r="D2749" s="9" t="s">
        <v>13284</v>
      </c>
      <c r="E2749" s="9" t="s">
        <v>13284</v>
      </c>
      <c r="F2749" s="9" t="s">
        <v>13284</v>
      </c>
      <c r="G2749" s="9" t="s">
        <v>13284</v>
      </c>
      <c r="H2749" s="9" t="s">
        <v>13284</v>
      </c>
      <c r="I2749" s="9" t="s">
        <v>13284</v>
      </c>
      <c r="J2749" s="9" t="s">
        <v>13284</v>
      </c>
      <c r="K2749" s="9" t="s">
        <v>13284</v>
      </c>
      <c r="L2749" s="9" t="s">
        <v>13284</v>
      </c>
      <c r="M2749" s="9" t="s">
        <v>13284</v>
      </c>
      <c r="N2749" s="9" t="s">
        <v>13284</v>
      </c>
      <c r="O2749" s="9" t="s">
        <v>13284</v>
      </c>
      <c r="P2749" s="9" t="s">
        <v>13284</v>
      </c>
      <c r="Q2749" s="9" t="s">
        <v>13284</v>
      </c>
      <c r="R2749" s="9" t="s">
        <v>13284</v>
      </c>
      <c r="S2749" s="9" t="s">
        <v>13284</v>
      </c>
      <c r="T2749" s="9" t="str">
        <f ca="1">IFERROR(IF(AND(VLOOKUP(A2749, 'Актуальное состояние (из общего'!A:C,3,0) = "", A2749 &lt;&gt; ""), "ПРОВЕРИТЬ", VLOOKUP(A2749, 'Актуальное состояние (из общего'!A:C,3,0)), "")</f>
        <v/>
      </c>
      <c r="U2749" s="9" t="s">
        <v>13284</v>
      </c>
      <c r="V2749" s="9" t="s">
        <v>13284</v>
      </c>
      <c r="W2749" s="12"/>
      <c r="X2749" s="9" t="str">
        <f t="array" ref="X2749">IFERROR(INDEX('Адреса общежитий (скрытый)'!$B$2:$B$9, MATCH(W2749, 'Адреса общежитий (скрытый)'!$A$2:$A$9, 0)), "")</f>
        <v/>
      </c>
      <c r="Y2749" s="18"/>
      <c r="Z2749" s="18"/>
      <c r="AA2749" s="18"/>
      <c r="AB2749" s="18"/>
      <c r="AC2749" s="18"/>
    </row>
    <row r="2750" spans="1:29" ht="32.25" hidden="1" customHeight="1">
      <c r="A2750" s="17"/>
      <c r="B2750" s="9" t="s">
        <v>13284</v>
      </c>
      <c r="C2750" s="9" t="s">
        <v>13284</v>
      </c>
      <c r="D2750" s="9" t="s">
        <v>13284</v>
      </c>
      <c r="E2750" s="9" t="s">
        <v>13284</v>
      </c>
      <c r="F2750" s="9" t="s">
        <v>13284</v>
      </c>
      <c r="G2750" s="9" t="s">
        <v>13284</v>
      </c>
      <c r="H2750" s="9" t="s">
        <v>13284</v>
      </c>
      <c r="I2750" s="9" t="s">
        <v>13284</v>
      </c>
      <c r="J2750" s="9" t="s">
        <v>13284</v>
      </c>
      <c r="K2750" s="9" t="s">
        <v>13284</v>
      </c>
      <c r="L2750" s="9" t="s">
        <v>13284</v>
      </c>
      <c r="M2750" s="9" t="s">
        <v>13284</v>
      </c>
      <c r="N2750" s="9" t="s">
        <v>13284</v>
      </c>
      <c r="O2750" s="9" t="s">
        <v>13284</v>
      </c>
      <c r="P2750" s="9" t="s">
        <v>13284</v>
      </c>
      <c r="Q2750" s="9" t="s">
        <v>13284</v>
      </c>
      <c r="R2750" s="9" t="s">
        <v>13284</v>
      </c>
      <c r="S2750" s="9" t="s">
        <v>13284</v>
      </c>
      <c r="T2750" s="9" t="str">
        <f ca="1">IFERROR(IF(AND(VLOOKUP(A2750, 'Актуальное состояние (из общего'!A:C,3,0) = "", A2750 &lt;&gt; ""), "ПРОВЕРИТЬ", VLOOKUP(A2750, 'Актуальное состояние (из общего'!A:C,3,0)), "")</f>
        <v/>
      </c>
      <c r="U2750" s="9" t="s">
        <v>13284</v>
      </c>
      <c r="V2750" s="9" t="s">
        <v>13284</v>
      </c>
      <c r="W2750" s="12"/>
      <c r="X2750" s="9" t="str">
        <f t="array" ref="X2750">IFERROR(INDEX('Адреса общежитий (скрытый)'!$B$2:$B$9, MATCH(W2750, 'Адреса общежитий (скрытый)'!$A$2:$A$9, 0)), "")</f>
        <v/>
      </c>
      <c r="Y2750" s="18"/>
      <c r="Z2750" s="18"/>
      <c r="AA2750" s="18"/>
      <c r="AB2750" s="18"/>
      <c r="AC2750" s="18"/>
    </row>
    <row r="2751" spans="1:29" ht="32.25" hidden="1" customHeight="1">
      <c r="A2751" s="17"/>
      <c r="B2751" s="9" t="s">
        <v>13284</v>
      </c>
      <c r="C2751" s="9" t="s">
        <v>13284</v>
      </c>
      <c r="D2751" s="9" t="s">
        <v>13284</v>
      </c>
      <c r="E2751" s="9" t="s">
        <v>13284</v>
      </c>
      <c r="F2751" s="9" t="s">
        <v>13284</v>
      </c>
      <c r="G2751" s="9" t="s">
        <v>13284</v>
      </c>
      <c r="H2751" s="9" t="s">
        <v>13284</v>
      </c>
      <c r="I2751" s="9" t="s">
        <v>13284</v>
      </c>
      <c r="J2751" s="9" t="s">
        <v>13284</v>
      </c>
      <c r="K2751" s="9" t="s">
        <v>13284</v>
      </c>
      <c r="L2751" s="9" t="s">
        <v>13284</v>
      </c>
      <c r="M2751" s="9" t="s">
        <v>13284</v>
      </c>
      <c r="N2751" s="9" t="s">
        <v>13284</v>
      </c>
      <c r="O2751" s="9" t="s">
        <v>13284</v>
      </c>
      <c r="P2751" s="9" t="s">
        <v>13284</v>
      </c>
      <c r="Q2751" s="9" t="s">
        <v>13284</v>
      </c>
      <c r="R2751" s="9" t="s">
        <v>13284</v>
      </c>
      <c r="S2751" s="9" t="s">
        <v>13284</v>
      </c>
      <c r="T2751" s="9" t="str">
        <f ca="1">IFERROR(IF(AND(VLOOKUP(A2751, 'Актуальное состояние (из общего'!A:C,3,0) = "", A2751 &lt;&gt; ""), "ПРОВЕРИТЬ", VLOOKUP(A2751, 'Актуальное состояние (из общего'!A:C,3,0)), "")</f>
        <v/>
      </c>
      <c r="U2751" s="9" t="s">
        <v>13284</v>
      </c>
      <c r="V2751" s="9" t="s">
        <v>13284</v>
      </c>
      <c r="W2751" s="12"/>
      <c r="X2751" s="9" t="str">
        <f t="array" ref="X2751">IFERROR(INDEX('Адреса общежитий (скрытый)'!$B$2:$B$9, MATCH(W2751, 'Адреса общежитий (скрытый)'!$A$2:$A$9, 0)), "")</f>
        <v/>
      </c>
      <c r="Y2751" s="18"/>
      <c r="Z2751" s="18"/>
      <c r="AA2751" s="18"/>
      <c r="AB2751" s="18"/>
      <c r="AC2751" s="18"/>
    </row>
    <row r="2752" spans="1:29" ht="32.25" hidden="1" customHeight="1">
      <c r="A2752" s="17"/>
      <c r="B2752" s="9" t="s">
        <v>13284</v>
      </c>
      <c r="C2752" s="9" t="s">
        <v>13284</v>
      </c>
      <c r="D2752" s="9" t="s">
        <v>13284</v>
      </c>
      <c r="E2752" s="9" t="s">
        <v>13284</v>
      </c>
      <c r="F2752" s="9" t="s">
        <v>13284</v>
      </c>
      <c r="G2752" s="9" t="s">
        <v>13284</v>
      </c>
      <c r="H2752" s="9" t="s">
        <v>13284</v>
      </c>
      <c r="I2752" s="9" t="s">
        <v>13284</v>
      </c>
      <c r="J2752" s="9" t="s">
        <v>13284</v>
      </c>
      <c r="K2752" s="9" t="s">
        <v>13284</v>
      </c>
      <c r="L2752" s="9" t="s">
        <v>13284</v>
      </c>
      <c r="M2752" s="9" t="s">
        <v>13284</v>
      </c>
      <c r="N2752" s="9" t="s">
        <v>13284</v>
      </c>
      <c r="O2752" s="9" t="s">
        <v>13284</v>
      </c>
      <c r="P2752" s="9" t="s">
        <v>13284</v>
      </c>
      <c r="Q2752" s="9" t="s">
        <v>13284</v>
      </c>
      <c r="R2752" s="9" t="s">
        <v>13284</v>
      </c>
      <c r="S2752" s="9" t="s">
        <v>13284</v>
      </c>
      <c r="T2752" s="9" t="str">
        <f ca="1">IFERROR(IF(AND(VLOOKUP(A2752, 'Актуальное состояние (из общего'!A:C,3,0) = "", A2752 &lt;&gt; ""), "ПРОВЕРИТЬ", VLOOKUP(A2752, 'Актуальное состояние (из общего'!A:C,3,0)), "")</f>
        <v/>
      </c>
      <c r="U2752" s="9" t="s">
        <v>13284</v>
      </c>
      <c r="V2752" s="9" t="s">
        <v>13284</v>
      </c>
      <c r="W2752" s="12"/>
      <c r="X2752" s="9" t="str">
        <f t="array" ref="X2752">IFERROR(INDEX('Адреса общежитий (скрытый)'!$B$2:$B$9, MATCH(W2752, 'Адреса общежитий (скрытый)'!$A$2:$A$9, 0)), "")</f>
        <v/>
      </c>
      <c r="Y2752" s="18"/>
      <c r="Z2752" s="18"/>
      <c r="AA2752" s="18"/>
      <c r="AB2752" s="18"/>
      <c r="AC2752" s="18"/>
    </row>
    <row r="2753" spans="1:29" ht="32.25" hidden="1" customHeight="1">
      <c r="A2753" s="17"/>
      <c r="B2753" s="9" t="s">
        <v>13284</v>
      </c>
      <c r="C2753" s="9" t="s">
        <v>13284</v>
      </c>
      <c r="D2753" s="9" t="s">
        <v>13284</v>
      </c>
      <c r="E2753" s="9" t="s">
        <v>13284</v>
      </c>
      <c r="F2753" s="9" t="s">
        <v>13284</v>
      </c>
      <c r="G2753" s="9" t="s">
        <v>13284</v>
      </c>
      <c r="H2753" s="9" t="s">
        <v>13284</v>
      </c>
      <c r="I2753" s="9" t="s">
        <v>13284</v>
      </c>
      <c r="J2753" s="9" t="s">
        <v>13284</v>
      </c>
      <c r="K2753" s="9" t="s">
        <v>13284</v>
      </c>
      <c r="L2753" s="9" t="s">
        <v>13284</v>
      </c>
      <c r="M2753" s="9" t="s">
        <v>13284</v>
      </c>
      <c r="N2753" s="9" t="s">
        <v>13284</v>
      </c>
      <c r="O2753" s="9" t="s">
        <v>13284</v>
      </c>
      <c r="P2753" s="9" t="s">
        <v>13284</v>
      </c>
      <c r="Q2753" s="9" t="s">
        <v>13284</v>
      </c>
      <c r="R2753" s="9" t="s">
        <v>13284</v>
      </c>
      <c r="S2753" s="9" t="s">
        <v>13284</v>
      </c>
      <c r="T2753" s="9" t="str">
        <f ca="1">IFERROR(IF(AND(VLOOKUP(A2753, 'Актуальное состояние (из общего'!A:C,3,0) = "", A2753 &lt;&gt; ""), "ПРОВЕРИТЬ", VLOOKUP(A2753, 'Актуальное состояние (из общего'!A:C,3,0)), "")</f>
        <v/>
      </c>
      <c r="U2753" s="9" t="s">
        <v>13284</v>
      </c>
      <c r="V2753" s="9" t="s">
        <v>13284</v>
      </c>
      <c r="W2753" s="12"/>
      <c r="X2753" s="9" t="str">
        <f t="array" ref="X2753">IFERROR(INDEX('Адреса общежитий (скрытый)'!$B$2:$B$9, MATCH(W2753, 'Адреса общежитий (скрытый)'!$A$2:$A$9, 0)), "")</f>
        <v/>
      </c>
      <c r="Y2753" s="18"/>
      <c r="Z2753" s="18"/>
      <c r="AA2753" s="18"/>
      <c r="AB2753" s="18"/>
      <c r="AC2753" s="18"/>
    </row>
    <row r="2754" spans="1:29" ht="32.25" hidden="1" customHeight="1">
      <c r="A2754" s="17"/>
      <c r="B2754" s="9" t="s">
        <v>13284</v>
      </c>
      <c r="C2754" s="9" t="s">
        <v>13284</v>
      </c>
      <c r="D2754" s="9" t="s">
        <v>13284</v>
      </c>
      <c r="E2754" s="9" t="s">
        <v>13284</v>
      </c>
      <c r="F2754" s="9" t="s">
        <v>13284</v>
      </c>
      <c r="G2754" s="9" t="s">
        <v>13284</v>
      </c>
      <c r="H2754" s="9" t="s">
        <v>13284</v>
      </c>
      <c r="I2754" s="9" t="s">
        <v>13284</v>
      </c>
      <c r="J2754" s="9" t="s">
        <v>13284</v>
      </c>
      <c r="K2754" s="9" t="s">
        <v>13284</v>
      </c>
      <c r="L2754" s="9" t="s">
        <v>13284</v>
      </c>
      <c r="M2754" s="9" t="s">
        <v>13284</v>
      </c>
      <c r="N2754" s="9" t="s">
        <v>13284</v>
      </c>
      <c r="O2754" s="9" t="s">
        <v>13284</v>
      </c>
      <c r="P2754" s="9" t="s">
        <v>13284</v>
      </c>
      <c r="Q2754" s="9" t="s">
        <v>13284</v>
      </c>
      <c r="R2754" s="9" t="s">
        <v>13284</v>
      </c>
      <c r="S2754" s="9" t="s">
        <v>13284</v>
      </c>
      <c r="T2754" s="9" t="str">
        <f ca="1">IFERROR(IF(AND(VLOOKUP(A2754, 'Актуальное состояние (из общего'!A:C,3,0) = "", A2754 &lt;&gt; ""), "ПРОВЕРИТЬ", VLOOKUP(A2754, 'Актуальное состояние (из общего'!A:C,3,0)), "")</f>
        <v/>
      </c>
      <c r="U2754" s="9" t="s">
        <v>13284</v>
      </c>
      <c r="V2754" s="9" t="s">
        <v>13284</v>
      </c>
      <c r="W2754" s="12"/>
      <c r="X2754" s="9" t="str">
        <f t="array" ref="X2754">IFERROR(INDEX('Адреса общежитий (скрытый)'!$B$2:$B$9, MATCH(W2754, 'Адреса общежитий (скрытый)'!$A$2:$A$9, 0)), "")</f>
        <v/>
      </c>
      <c r="Y2754" s="18"/>
      <c r="Z2754" s="18"/>
      <c r="AA2754" s="18"/>
      <c r="AB2754" s="18"/>
      <c r="AC2754" s="18"/>
    </row>
    <row r="2755" spans="1:29" ht="32.25" hidden="1" customHeight="1">
      <c r="A2755" s="17"/>
      <c r="B2755" s="9" t="s">
        <v>13284</v>
      </c>
      <c r="C2755" s="9" t="s">
        <v>13284</v>
      </c>
      <c r="D2755" s="9" t="s">
        <v>13284</v>
      </c>
      <c r="E2755" s="9" t="s">
        <v>13284</v>
      </c>
      <c r="F2755" s="9" t="s">
        <v>13284</v>
      </c>
      <c r="G2755" s="9" t="s">
        <v>13284</v>
      </c>
      <c r="H2755" s="9" t="s">
        <v>13284</v>
      </c>
      <c r="I2755" s="9" t="s">
        <v>13284</v>
      </c>
      <c r="J2755" s="9" t="s">
        <v>13284</v>
      </c>
      <c r="K2755" s="9" t="s">
        <v>13284</v>
      </c>
      <c r="L2755" s="9" t="s">
        <v>13284</v>
      </c>
      <c r="M2755" s="9" t="s">
        <v>13284</v>
      </c>
      <c r="N2755" s="9" t="s">
        <v>13284</v>
      </c>
      <c r="O2755" s="9" t="s">
        <v>13284</v>
      </c>
      <c r="P2755" s="9" t="s">
        <v>13284</v>
      </c>
      <c r="Q2755" s="9" t="s">
        <v>13284</v>
      </c>
      <c r="R2755" s="9" t="s">
        <v>13284</v>
      </c>
      <c r="S2755" s="9" t="s">
        <v>13284</v>
      </c>
      <c r="T2755" s="9" t="str">
        <f ca="1">IFERROR(IF(AND(VLOOKUP(A2755, 'Актуальное состояние (из общего'!A:C,3,0) = "", A2755 &lt;&gt; ""), "ПРОВЕРИТЬ", VLOOKUP(A2755, 'Актуальное состояние (из общего'!A:C,3,0)), "")</f>
        <v/>
      </c>
      <c r="U2755" s="9" t="s">
        <v>13284</v>
      </c>
      <c r="V2755" s="9" t="s">
        <v>13284</v>
      </c>
      <c r="W2755" s="12"/>
      <c r="X2755" s="9" t="str">
        <f t="array" ref="X2755">IFERROR(INDEX('Адреса общежитий (скрытый)'!$B$2:$B$9, MATCH(W2755, 'Адреса общежитий (скрытый)'!$A$2:$A$9, 0)), "")</f>
        <v/>
      </c>
      <c r="Y2755" s="18"/>
      <c r="Z2755" s="18"/>
      <c r="AA2755" s="18"/>
      <c r="AB2755" s="18"/>
      <c r="AC2755" s="18"/>
    </row>
    <row r="2756" spans="1:29" ht="32.25" hidden="1" customHeight="1">
      <c r="A2756" s="17"/>
      <c r="B2756" s="9" t="s">
        <v>13284</v>
      </c>
      <c r="C2756" s="9" t="s">
        <v>13284</v>
      </c>
      <c r="D2756" s="9" t="s">
        <v>13284</v>
      </c>
      <c r="E2756" s="9" t="s">
        <v>13284</v>
      </c>
      <c r="F2756" s="9" t="s">
        <v>13284</v>
      </c>
      <c r="G2756" s="9" t="s">
        <v>13284</v>
      </c>
      <c r="H2756" s="9" t="s">
        <v>13284</v>
      </c>
      <c r="I2756" s="9" t="s">
        <v>13284</v>
      </c>
      <c r="J2756" s="9" t="s">
        <v>13284</v>
      </c>
      <c r="K2756" s="9" t="s">
        <v>13284</v>
      </c>
      <c r="L2756" s="9" t="s">
        <v>13284</v>
      </c>
      <c r="M2756" s="9" t="s">
        <v>13284</v>
      </c>
      <c r="N2756" s="9" t="s">
        <v>13284</v>
      </c>
      <c r="O2756" s="9" t="s">
        <v>13284</v>
      </c>
      <c r="P2756" s="9" t="s">
        <v>13284</v>
      </c>
      <c r="Q2756" s="9" t="s">
        <v>13284</v>
      </c>
      <c r="R2756" s="9" t="s">
        <v>13284</v>
      </c>
      <c r="S2756" s="9" t="s">
        <v>13284</v>
      </c>
      <c r="T2756" s="9" t="str">
        <f ca="1">IFERROR(IF(AND(VLOOKUP(A2756, 'Актуальное состояние (из общего'!A:C,3,0) = "", A2756 &lt;&gt; ""), "ПРОВЕРИТЬ", VLOOKUP(A2756, 'Актуальное состояние (из общего'!A:C,3,0)), "")</f>
        <v/>
      </c>
      <c r="U2756" s="9" t="s">
        <v>13284</v>
      </c>
      <c r="V2756" s="9" t="s">
        <v>13284</v>
      </c>
      <c r="W2756" s="12"/>
      <c r="X2756" s="9" t="str">
        <f t="array" ref="X2756">IFERROR(INDEX('Адреса общежитий (скрытый)'!$B$2:$B$9, MATCH(W2756, 'Адреса общежитий (скрытый)'!$A$2:$A$9, 0)), "")</f>
        <v/>
      </c>
      <c r="Y2756" s="18"/>
      <c r="Z2756" s="18"/>
      <c r="AA2756" s="18"/>
      <c r="AB2756" s="18"/>
      <c r="AC2756" s="18"/>
    </row>
    <row r="2757" spans="1:29" ht="32.25" hidden="1" customHeight="1">
      <c r="A2757" s="17"/>
      <c r="B2757" s="9" t="s">
        <v>13284</v>
      </c>
      <c r="C2757" s="9" t="s">
        <v>13284</v>
      </c>
      <c r="D2757" s="9" t="s">
        <v>13284</v>
      </c>
      <c r="E2757" s="9" t="s">
        <v>13284</v>
      </c>
      <c r="F2757" s="9" t="s">
        <v>13284</v>
      </c>
      <c r="G2757" s="9" t="s">
        <v>13284</v>
      </c>
      <c r="H2757" s="9" t="s">
        <v>13284</v>
      </c>
      <c r="I2757" s="9" t="s">
        <v>13284</v>
      </c>
      <c r="J2757" s="9" t="s">
        <v>13284</v>
      </c>
      <c r="K2757" s="9" t="s">
        <v>13284</v>
      </c>
      <c r="L2757" s="9" t="s">
        <v>13284</v>
      </c>
      <c r="M2757" s="9" t="s">
        <v>13284</v>
      </c>
      <c r="N2757" s="9" t="s">
        <v>13284</v>
      </c>
      <c r="O2757" s="9" t="s">
        <v>13284</v>
      </c>
      <c r="P2757" s="9" t="s">
        <v>13284</v>
      </c>
      <c r="Q2757" s="9" t="s">
        <v>13284</v>
      </c>
      <c r="R2757" s="9" t="s">
        <v>13284</v>
      </c>
      <c r="S2757" s="9" t="s">
        <v>13284</v>
      </c>
      <c r="T2757" s="9" t="str">
        <f ca="1">IFERROR(IF(AND(VLOOKUP(A2757, 'Актуальное состояние (из общего'!A:C,3,0) = "", A2757 &lt;&gt; ""), "ПРОВЕРИТЬ", VLOOKUP(A2757, 'Актуальное состояние (из общего'!A:C,3,0)), "")</f>
        <v/>
      </c>
      <c r="U2757" s="9" t="s">
        <v>13284</v>
      </c>
      <c r="V2757" s="9" t="s">
        <v>13284</v>
      </c>
      <c r="W2757" s="12"/>
      <c r="X2757" s="9" t="str">
        <f t="array" ref="X2757">IFERROR(INDEX('Адреса общежитий (скрытый)'!$B$2:$B$9, MATCH(W2757, 'Адреса общежитий (скрытый)'!$A$2:$A$9, 0)), "")</f>
        <v/>
      </c>
      <c r="Y2757" s="18"/>
      <c r="Z2757" s="18"/>
      <c r="AA2757" s="18"/>
      <c r="AB2757" s="18"/>
      <c r="AC2757" s="18"/>
    </row>
    <row r="2758" spans="1:29" ht="32.25" hidden="1" customHeight="1">
      <c r="A2758" s="17"/>
      <c r="B2758" s="9" t="s">
        <v>13284</v>
      </c>
      <c r="C2758" s="9" t="s">
        <v>13284</v>
      </c>
      <c r="D2758" s="9" t="s">
        <v>13284</v>
      </c>
      <c r="E2758" s="9" t="s">
        <v>13284</v>
      </c>
      <c r="F2758" s="9" t="s">
        <v>13284</v>
      </c>
      <c r="G2758" s="9" t="s">
        <v>13284</v>
      </c>
      <c r="H2758" s="9" t="s">
        <v>13284</v>
      </c>
      <c r="I2758" s="9" t="s">
        <v>13284</v>
      </c>
      <c r="J2758" s="9" t="s">
        <v>13284</v>
      </c>
      <c r="K2758" s="9" t="s">
        <v>13284</v>
      </c>
      <c r="L2758" s="9" t="s">
        <v>13284</v>
      </c>
      <c r="M2758" s="9" t="s">
        <v>13284</v>
      </c>
      <c r="N2758" s="9" t="s">
        <v>13284</v>
      </c>
      <c r="O2758" s="9" t="s">
        <v>13284</v>
      </c>
      <c r="P2758" s="9" t="s">
        <v>13284</v>
      </c>
      <c r="Q2758" s="9" t="s">
        <v>13284</v>
      </c>
      <c r="R2758" s="9" t="s">
        <v>13284</v>
      </c>
      <c r="S2758" s="9" t="s">
        <v>13284</v>
      </c>
      <c r="T2758" s="9" t="str">
        <f ca="1">IFERROR(IF(AND(VLOOKUP(A2758, 'Актуальное состояние (из общего'!A:C,3,0) = "", A2758 &lt;&gt; ""), "ПРОВЕРИТЬ", VLOOKUP(A2758, 'Актуальное состояние (из общего'!A:C,3,0)), "")</f>
        <v/>
      </c>
      <c r="U2758" s="9" t="s">
        <v>13284</v>
      </c>
      <c r="V2758" s="9" t="s">
        <v>13284</v>
      </c>
      <c r="W2758" s="12"/>
      <c r="X2758" s="9" t="str">
        <f t="array" ref="X2758">IFERROR(INDEX('Адреса общежитий (скрытый)'!$B$2:$B$9, MATCH(W2758, 'Адреса общежитий (скрытый)'!$A$2:$A$9, 0)), "")</f>
        <v/>
      </c>
      <c r="Y2758" s="18"/>
      <c r="Z2758" s="18"/>
      <c r="AA2758" s="18"/>
      <c r="AB2758" s="18"/>
      <c r="AC2758" s="18"/>
    </row>
    <row r="2759" spans="1:29" ht="32.25" hidden="1" customHeight="1">
      <c r="A2759" s="17"/>
      <c r="B2759" s="9" t="s">
        <v>13284</v>
      </c>
      <c r="C2759" s="9" t="s">
        <v>13284</v>
      </c>
      <c r="D2759" s="9" t="s">
        <v>13284</v>
      </c>
      <c r="E2759" s="9" t="s">
        <v>13284</v>
      </c>
      <c r="F2759" s="9" t="s">
        <v>13284</v>
      </c>
      <c r="G2759" s="9" t="s">
        <v>13284</v>
      </c>
      <c r="H2759" s="9" t="s">
        <v>13284</v>
      </c>
      <c r="I2759" s="9" t="s">
        <v>13284</v>
      </c>
      <c r="J2759" s="9" t="s">
        <v>13284</v>
      </c>
      <c r="K2759" s="9" t="s">
        <v>13284</v>
      </c>
      <c r="L2759" s="9" t="s">
        <v>13284</v>
      </c>
      <c r="M2759" s="9" t="s">
        <v>13284</v>
      </c>
      <c r="N2759" s="9" t="s">
        <v>13284</v>
      </c>
      <c r="O2759" s="9" t="s">
        <v>13284</v>
      </c>
      <c r="P2759" s="9" t="s">
        <v>13284</v>
      </c>
      <c r="Q2759" s="9" t="s">
        <v>13284</v>
      </c>
      <c r="R2759" s="9" t="s">
        <v>13284</v>
      </c>
      <c r="S2759" s="9" t="s">
        <v>13284</v>
      </c>
      <c r="T2759" s="9" t="str">
        <f ca="1">IFERROR(IF(AND(VLOOKUP(A2759, 'Актуальное состояние (из общего'!A:C,3,0) = "", A2759 &lt;&gt; ""), "ПРОВЕРИТЬ", VLOOKUP(A2759, 'Актуальное состояние (из общего'!A:C,3,0)), "")</f>
        <v/>
      </c>
      <c r="U2759" s="9" t="s">
        <v>13284</v>
      </c>
      <c r="V2759" s="9" t="s">
        <v>13284</v>
      </c>
      <c r="W2759" s="12"/>
      <c r="X2759" s="9" t="str">
        <f t="array" ref="X2759">IFERROR(INDEX('Адреса общежитий (скрытый)'!$B$2:$B$9, MATCH(W2759, 'Адреса общежитий (скрытый)'!$A$2:$A$9, 0)), "")</f>
        <v/>
      </c>
      <c r="Y2759" s="18"/>
      <c r="Z2759" s="18"/>
      <c r="AA2759" s="18"/>
      <c r="AB2759" s="18"/>
      <c r="AC2759" s="18"/>
    </row>
    <row r="2760" spans="1:29" ht="32.25" hidden="1" customHeight="1">
      <c r="A2760" s="17"/>
      <c r="B2760" s="9" t="s">
        <v>13284</v>
      </c>
      <c r="C2760" s="9" t="s">
        <v>13284</v>
      </c>
      <c r="D2760" s="9" t="s">
        <v>13284</v>
      </c>
      <c r="E2760" s="9" t="s">
        <v>13284</v>
      </c>
      <c r="F2760" s="9" t="s">
        <v>13284</v>
      </c>
      <c r="G2760" s="9" t="s">
        <v>13284</v>
      </c>
      <c r="H2760" s="9" t="s">
        <v>13284</v>
      </c>
      <c r="I2760" s="9" t="s">
        <v>13284</v>
      </c>
      <c r="J2760" s="9" t="s">
        <v>13284</v>
      </c>
      <c r="K2760" s="9" t="s">
        <v>13284</v>
      </c>
      <c r="L2760" s="9" t="s">
        <v>13284</v>
      </c>
      <c r="M2760" s="9" t="s">
        <v>13284</v>
      </c>
      <c r="N2760" s="9" t="s">
        <v>13284</v>
      </c>
      <c r="O2760" s="9" t="s">
        <v>13284</v>
      </c>
      <c r="P2760" s="9" t="s">
        <v>13284</v>
      </c>
      <c r="Q2760" s="9" t="s">
        <v>13284</v>
      </c>
      <c r="R2760" s="9" t="s">
        <v>13284</v>
      </c>
      <c r="S2760" s="9" t="s">
        <v>13284</v>
      </c>
      <c r="T2760" s="9" t="str">
        <f ca="1">IFERROR(IF(AND(VLOOKUP(A2760, 'Актуальное состояние (из общего'!A:C,3,0) = "", A2760 &lt;&gt; ""), "ПРОВЕРИТЬ", VLOOKUP(A2760, 'Актуальное состояние (из общего'!A:C,3,0)), "")</f>
        <v/>
      </c>
      <c r="U2760" s="9" t="s">
        <v>13284</v>
      </c>
      <c r="V2760" s="9" t="s">
        <v>13284</v>
      </c>
      <c r="W2760" s="12"/>
      <c r="X2760" s="9" t="str">
        <f t="array" ref="X2760">IFERROR(INDEX('Адреса общежитий (скрытый)'!$B$2:$B$9, MATCH(W2760, 'Адреса общежитий (скрытый)'!$A$2:$A$9, 0)), "")</f>
        <v/>
      </c>
      <c r="Y2760" s="18"/>
      <c r="Z2760" s="18"/>
      <c r="AA2760" s="18"/>
      <c r="AB2760" s="18"/>
      <c r="AC2760" s="18"/>
    </row>
    <row r="2761" spans="1:29" ht="32.25" hidden="1" customHeight="1">
      <c r="A2761" s="17"/>
      <c r="B2761" s="9" t="s">
        <v>13284</v>
      </c>
      <c r="C2761" s="9" t="s">
        <v>13284</v>
      </c>
      <c r="D2761" s="9" t="s">
        <v>13284</v>
      </c>
      <c r="E2761" s="9" t="s">
        <v>13284</v>
      </c>
      <c r="F2761" s="9" t="s">
        <v>13284</v>
      </c>
      <c r="G2761" s="9" t="s">
        <v>13284</v>
      </c>
      <c r="H2761" s="9" t="s">
        <v>13284</v>
      </c>
      <c r="I2761" s="9" t="s">
        <v>13284</v>
      </c>
      <c r="J2761" s="9" t="s">
        <v>13284</v>
      </c>
      <c r="K2761" s="9" t="s">
        <v>13284</v>
      </c>
      <c r="L2761" s="9" t="s">
        <v>13284</v>
      </c>
      <c r="M2761" s="9" t="s">
        <v>13284</v>
      </c>
      <c r="N2761" s="9" t="s">
        <v>13284</v>
      </c>
      <c r="O2761" s="9" t="s">
        <v>13284</v>
      </c>
      <c r="P2761" s="9" t="s">
        <v>13284</v>
      </c>
      <c r="Q2761" s="9" t="s">
        <v>13284</v>
      </c>
      <c r="R2761" s="9" t="s">
        <v>13284</v>
      </c>
      <c r="S2761" s="9" t="s">
        <v>13284</v>
      </c>
      <c r="T2761" s="9" t="str">
        <f ca="1">IFERROR(IF(AND(VLOOKUP(A2761, 'Актуальное состояние (из общего'!A:C,3,0) = "", A2761 &lt;&gt; ""), "ПРОВЕРИТЬ", VLOOKUP(A2761, 'Актуальное состояние (из общего'!A:C,3,0)), "")</f>
        <v/>
      </c>
      <c r="U2761" s="9" t="s">
        <v>13284</v>
      </c>
      <c r="V2761" s="9" t="s">
        <v>13284</v>
      </c>
      <c r="W2761" s="12"/>
      <c r="X2761" s="9" t="str">
        <f t="array" ref="X2761">IFERROR(INDEX('Адреса общежитий (скрытый)'!$B$2:$B$9, MATCH(W2761, 'Адреса общежитий (скрытый)'!$A$2:$A$9, 0)), "")</f>
        <v/>
      </c>
      <c r="Y2761" s="18"/>
      <c r="Z2761" s="18"/>
      <c r="AA2761" s="18"/>
      <c r="AB2761" s="18"/>
      <c r="AC2761" s="18"/>
    </row>
    <row r="2762" spans="1:29" ht="32.25" hidden="1" customHeight="1">
      <c r="A2762" s="17"/>
      <c r="B2762" s="9" t="s">
        <v>13284</v>
      </c>
      <c r="C2762" s="9" t="s">
        <v>13284</v>
      </c>
      <c r="D2762" s="9" t="s">
        <v>13284</v>
      </c>
      <c r="E2762" s="9" t="s">
        <v>13284</v>
      </c>
      <c r="F2762" s="9" t="s">
        <v>13284</v>
      </c>
      <c r="G2762" s="9" t="s">
        <v>13284</v>
      </c>
      <c r="H2762" s="9" t="s">
        <v>13284</v>
      </c>
      <c r="I2762" s="9" t="s">
        <v>13284</v>
      </c>
      <c r="J2762" s="9" t="s">
        <v>13284</v>
      </c>
      <c r="K2762" s="9" t="s">
        <v>13284</v>
      </c>
      <c r="L2762" s="9" t="s">
        <v>13284</v>
      </c>
      <c r="M2762" s="9" t="s">
        <v>13284</v>
      </c>
      <c r="N2762" s="9" t="s">
        <v>13284</v>
      </c>
      <c r="O2762" s="9" t="s">
        <v>13284</v>
      </c>
      <c r="P2762" s="9" t="s">
        <v>13284</v>
      </c>
      <c r="Q2762" s="9" t="s">
        <v>13284</v>
      </c>
      <c r="R2762" s="9" t="s">
        <v>13284</v>
      </c>
      <c r="S2762" s="9" t="s">
        <v>13284</v>
      </c>
      <c r="T2762" s="9" t="str">
        <f ca="1">IFERROR(IF(AND(VLOOKUP(A2762, 'Актуальное состояние (из общего'!A:C,3,0) = "", A2762 &lt;&gt; ""), "ПРОВЕРИТЬ", VLOOKUP(A2762, 'Актуальное состояние (из общего'!A:C,3,0)), "")</f>
        <v/>
      </c>
      <c r="U2762" s="9" t="s">
        <v>13284</v>
      </c>
      <c r="V2762" s="9" t="s">
        <v>13284</v>
      </c>
      <c r="W2762" s="12"/>
      <c r="X2762" s="9" t="str">
        <f t="array" ref="X2762">IFERROR(INDEX('Адреса общежитий (скрытый)'!$B$2:$B$9, MATCH(W2762, 'Адреса общежитий (скрытый)'!$A$2:$A$9, 0)), "")</f>
        <v/>
      </c>
      <c r="Y2762" s="18"/>
      <c r="Z2762" s="18"/>
      <c r="AA2762" s="18"/>
      <c r="AB2762" s="18"/>
      <c r="AC2762" s="18"/>
    </row>
    <row r="2763" spans="1:29" ht="32.25" hidden="1" customHeight="1">
      <c r="A2763" s="17"/>
      <c r="B2763" s="9" t="s">
        <v>13284</v>
      </c>
      <c r="C2763" s="9" t="s">
        <v>13284</v>
      </c>
      <c r="D2763" s="9" t="s">
        <v>13284</v>
      </c>
      <c r="E2763" s="9" t="s">
        <v>13284</v>
      </c>
      <c r="F2763" s="9" t="s">
        <v>13284</v>
      </c>
      <c r="G2763" s="9" t="s">
        <v>13284</v>
      </c>
      <c r="H2763" s="9" t="s">
        <v>13284</v>
      </c>
      <c r="I2763" s="9" t="s">
        <v>13284</v>
      </c>
      <c r="J2763" s="9" t="s">
        <v>13284</v>
      </c>
      <c r="K2763" s="9" t="s">
        <v>13284</v>
      </c>
      <c r="L2763" s="9" t="s">
        <v>13284</v>
      </c>
      <c r="M2763" s="9" t="s">
        <v>13284</v>
      </c>
      <c r="N2763" s="9" t="s">
        <v>13284</v>
      </c>
      <c r="O2763" s="9" t="s">
        <v>13284</v>
      </c>
      <c r="P2763" s="9" t="s">
        <v>13284</v>
      </c>
      <c r="Q2763" s="9" t="s">
        <v>13284</v>
      </c>
      <c r="R2763" s="9" t="s">
        <v>13284</v>
      </c>
      <c r="S2763" s="9" t="s">
        <v>13284</v>
      </c>
      <c r="T2763" s="9" t="str">
        <f ca="1">IFERROR(IF(AND(VLOOKUP(A2763, 'Актуальное состояние (из общего'!A:C,3,0) = "", A2763 &lt;&gt; ""), "ПРОВЕРИТЬ", VLOOKUP(A2763, 'Актуальное состояние (из общего'!A:C,3,0)), "")</f>
        <v/>
      </c>
      <c r="U2763" s="9" t="s">
        <v>13284</v>
      </c>
      <c r="V2763" s="9" t="s">
        <v>13284</v>
      </c>
      <c r="W2763" s="12"/>
      <c r="X2763" s="9" t="str">
        <f t="array" ref="X2763">IFERROR(INDEX('Адреса общежитий (скрытый)'!$B$2:$B$9, MATCH(W2763, 'Адреса общежитий (скрытый)'!$A$2:$A$9, 0)), "")</f>
        <v/>
      </c>
      <c r="Y2763" s="18"/>
      <c r="Z2763" s="18"/>
      <c r="AA2763" s="18"/>
      <c r="AB2763" s="18"/>
      <c r="AC2763" s="18"/>
    </row>
    <row r="2764" spans="1:29" ht="32.25" hidden="1" customHeight="1">
      <c r="A2764" s="17"/>
      <c r="B2764" s="9" t="s">
        <v>13284</v>
      </c>
      <c r="C2764" s="9" t="s">
        <v>13284</v>
      </c>
      <c r="D2764" s="9" t="s">
        <v>13284</v>
      </c>
      <c r="E2764" s="9" t="s">
        <v>13284</v>
      </c>
      <c r="F2764" s="9" t="s">
        <v>13284</v>
      </c>
      <c r="G2764" s="9" t="s">
        <v>13284</v>
      </c>
      <c r="H2764" s="9" t="s">
        <v>13284</v>
      </c>
      <c r="I2764" s="9" t="s">
        <v>13284</v>
      </c>
      <c r="J2764" s="9" t="s">
        <v>13284</v>
      </c>
      <c r="K2764" s="9" t="s">
        <v>13284</v>
      </c>
      <c r="L2764" s="9" t="s">
        <v>13284</v>
      </c>
      <c r="M2764" s="9" t="s">
        <v>13284</v>
      </c>
      <c r="N2764" s="9" t="s">
        <v>13284</v>
      </c>
      <c r="O2764" s="9" t="s">
        <v>13284</v>
      </c>
      <c r="P2764" s="9" t="s">
        <v>13284</v>
      </c>
      <c r="Q2764" s="9" t="s">
        <v>13284</v>
      </c>
      <c r="R2764" s="9" t="s">
        <v>13284</v>
      </c>
      <c r="S2764" s="9" t="s">
        <v>13284</v>
      </c>
      <c r="T2764" s="9" t="str">
        <f ca="1">IFERROR(IF(AND(VLOOKUP(A2764, 'Актуальное состояние (из общего'!A:C,3,0) = "", A2764 &lt;&gt; ""), "ПРОВЕРИТЬ", VLOOKUP(A2764, 'Актуальное состояние (из общего'!A:C,3,0)), "")</f>
        <v/>
      </c>
      <c r="U2764" s="9" t="s">
        <v>13284</v>
      </c>
      <c r="V2764" s="9" t="s">
        <v>13284</v>
      </c>
      <c r="W2764" s="12"/>
      <c r="X2764" s="9" t="str">
        <f t="array" ref="X2764">IFERROR(INDEX('Адреса общежитий (скрытый)'!$B$2:$B$9, MATCH(W2764, 'Адреса общежитий (скрытый)'!$A$2:$A$9, 0)), "")</f>
        <v/>
      </c>
      <c r="Y2764" s="18"/>
      <c r="Z2764" s="18"/>
      <c r="AA2764" s="18"/>
      <c r="AB2764" s="18"/>
      <c r="AC2764" s="18"/>
    </row>
    <row r="2765" spans="1:29" ht="32.25" hidden="1" customHeight="1">
      <c r="A2765" s="17"/>
      <c r="B2765" s="9" t="s">
        <v>13284</v>
      </c>
      <c r="C2765" s="9" t="s">
        <v>13284</v>
      </c>
      <c r="D2765" s="9" t="s">
        <v>13284</v>
      </c>
      <c r="E2765" s="9" t="s">
        <v>13284</v>
      </c>
      <c r="F2765" s="9" t="s">
        <v>13284</v>
      </c>
      <c r="G2765" s="9" t="s">
        <v>13284</v>
      </c>
      <c r="H2765" s="9" t="s">
        <v>13284</v>
      </c>
      <c r="I2765" s="9" t="s">
        <v>13284</v>
      </c>
      <c r="J2765" s="9" t="s">
        <v>13284</v>
      </c>
      <c r="K2765" s="9" t="s">
        <v>13284</v>
      </c>
      <c r="L2765" s="9" t="s">
        <v>13284</v>
      </c>
      <c r="M2765" s="9" t="s">
        <v>13284</v>
      </c>
      <c r="N2765" s="9" t="s">
        <v>13284</v>
      </c>
      <c r="O2765" s="9" t="s">
        <v>13284</v>
      </c>
      <c r="P2765" s="9" t="s">
        <v>13284</v>
      </c>
      <c r="Q2765" s="9" t="s">
        <v>13284</v>
      </c>
      <c r="R2765" s="9" t="s">
        <v>13284</v>
      </c>
      <c r="S2765" s="9" t="s">
        <v>13284</v>
      </c>
      <c r="T2765" s="9" t="str">
        <f ca="1">IFERROR(IF(AND(VLOOKUP(A2765, 'Актуальное состояние (из общего'!A:C,3,0) = "", A2765 &lt;&gt; ""), "ПРОВЕРИТЬ", VLOOKUP(A2765, 'Актуальное состояние (из общего'!A:C,3,0)), "")</f>
        <v/>
      </c>
      <c r="U2765" s="9" t="s">
        <v>13284</v>
      </c>
      <c r="V2765" s="9" t="s">
        <v>13284</v>
      </c>
      <c r="W2765" s="12"/>
      <c r="X2765" s="9" t="str">
        <f t="array" ref="X2765">IFERROR(INDEX('Адреса общежитий (скрытый)'!$B$2:$B$9, MATCH(W2765, 'Адреса общежитий (скрытый)'!$A$2:$A$9, 0)), "")</f>
        <v/>
      </c>
      <c r="Y2765" s="18"/>
      <c r="Z2765" s="18"/>
      <c r="AA2765" s="18"/>
      <c r="AB2765" s="18"/>
      <c r="AC2765" s="18"/>
    </row>
    <row r="2766" spans="1:29" ht="32.25" hidden="1" customHeight="1">
      <c r="A2766" s="17"/>
      <c r="B2766" s="9" t="s">
        <v>13284</v>
      </c>
      <c r="C2766" s="9" t="s">
        <v>13284</v>
      </c>
      <c r="D2766" s="9" t="s">
        <v>13284</v>
      </c>
      <c r="E2766" s="9" t="s">
        <v>13284</v>
      </c>
      <c r="F2766" s="9" t="s">
        <v>13284</v>
      </c>
      <c r="G2766" s="9" t="s">
        <v>13284</v>
      </c>
      <c r="H2766" s="9" t="s">
        <v>13284</v>
      </c>
      <c r="I2766" s="9" t="s">
        <v>13284</v>
      </c>
      <c r="J2766" s="9" t="s">
        <v>13284</v>
      </c>
      <c r="K2766" s="9" t="s">
        <v>13284</v>
      </c>
      <c r="L2766" s="9" t="s">
        <v>13284</v>
      </c>
      <c r="M2766" s="9" t="s">
        <v>13284</v>
      </c>
      <c r="N2766" s="9" t="s">
        <v>13284</v>
      </c>
      <c r="O2766" s="9" t="s">
        <v>13284</v>
      </c>
      <c r="P2766" s="9" t="s">
        <v>13284</v>
      </c>
      <c r="Q2766" s="9" t="s">
        <v>13284</v>
      </c>
      <c r="R2766" s="9" t="s">
        <v>13284</v>
      </c>
      <c r="S2766" s="9" t="s">
        <v>13284</v>
      </c>
      <c r="T2766" s="9" t="str">
        <f ca="1">IFERROR(IF(AND(VLOOKUP(A2766, 'Актуальное состояние (из общего'!A:C,3,0) = "", A2766 &lt;&gt; ""), "ПРОВЕРИТЬ", VLOOKUP(A2766, 'Актуальное состояние (из общего'!A:C,3,0)), "")</f>
        <v/>
      </c>
      <c r="U2766" s="9" t="s">
        <v>13284</v>
      </c>
      <c r="V2766" s="9" t="s">
        <v>13284</v>
      </c>
      <c r="W2766" s="12"/>
      <c r="X2766" s="9" t="str">
        <f t="array" ref="X2766">IFERROR(INDEX('Адреса общежитий (скрытый)'!$B$2:$B$9, MATCH(W2766, 'Адреса общежитий (скрытый)'!$A$2:$A$9, 0)), "")</f>
        <v/>
      </c>
      <c r="Y2766" s="18"/>
      <c r="Z2766" s="18"/>
      <c r="AA2766" s="18"/>
      <c r="AB2766" s="18"/>
      <c r="AC2766" s="18"/>
    </row>
    <row r="2767" spans="1:29" ht="32.25" hidden="1" customHeight="1">
      <c r="A2767" s="17"/>
      <c r="B2767" s="9" t="s">
        <v>13284</v>
      </c>
      <c r="C2767" s="9" t="s">
        <v>13284</v>
      </c>
      <c r="D2767" s="9" t="s">
        <v>13284</v>
      </c>
      <c r="E2767" s="9" t="s">
        <v>13284</v>
      </c>
      <c r="F2767" s="9" t="s">
        <v>13284</v>
      </c>
      <c r="G2767" s="9" t="s">
        <v>13284</v>
      </c>
      <c r="H2767" s="9" t="s">
        <v>13284</v>
      </c>
      <c r="I2767" s="9" t="s">
        <v>13284</v>
      </c>
      <c r="J2767" s="9" t="s">
        <v>13284</v>
      </c>
      <c r="K2767" s="9" t="s">
        <v>13284</v>
      </c>
      <c r="L2767" s="9" t="s">
        <v>13284</v>
      </c>
      <c r="M2767" s="9" t="s">
        <v>13284</v>
      </c>
      <c r="N2767" s="9" t="s">
        <v>13284</v>
      </c>
      <c r="O2767" s="9" t="s">
        <v>13284</v>
      </c>
      <c r="P2767" s="9" t="s">
        <v>13284</v>
      </c>
      <c r="Q2767" s="9" t="s">
        <v>13284</v>
      </c>
      <c r="R2767" s="9" t="s">
        <v>13284</v>
      </c>
      <c r="S2767" s="9" t="s">
        <v>13284</v>
      </c>
      <c r="T2767" s="9" t="str">
        <f ca="1">IFERROR(IF(AND(VLOOKUP(A2767, 'Актуальное состояние (из общего'!A:C,3,0) = "", A2767 &lt;&gt; ""), "ПРОВЕРИТЬ", VLOOKUP(A2767, 'Актуальное состояние (из общего'!A:C,3,0)), "")</f>
        <v/>
      </c>
      <c r="U2767" s="9" t="s">
        <v>13284</v>
      </c>
      <c r="V2767" s="9" t="s">
        <v>13284</v>
      </c>
      <c r="W2767" s="12"/>
      <c r="X2767" s="9" t="str">
        <f t="array" ref="X2767">IFERROR(INDEX('Адреса общежитий (скрытый)'!$B$2:$B$9, MATCH(W2767, 'Адреса общежитий (скрытый)'!$A$2:$A$9, 0)), "")</f>
        <v/>
      </c>
      <c r="Y2767" s="18"/>
      <c r="Z2767" s="18"/>
      <c r="AA2767" s="18"/>
      <c r="AB2767" s="18"/>
      <c r="AC2767" s="18"/>
    </row>
    <row r="2768" spans="1:29" ht="32.25" hidden="1" customHeight="1">
      <c r="A2768" s="17"/>
      <c r="B2768" s="9" t="s">
        <v>13284</v>
      </c>
      <c r="C2768" s="9" t="s">
        <v>13284</v>
      </c>
      <c r="D2768" s="9" t="s">
        <v>13284</v>
      </c>
      <c r="E2768" s="9" t="s">
        <v>13284</v>
      </c>
      <c r="F2768" s="9" t="s">
        <v>13284</v>
      </c>
      <c r="G2768" s="9" t="s">
        <v>13284</v>
      </c>
      <c r="H2768" s="9" t="s">
        <v>13284</v>
      </c>
      <c r="I2768" s="9" t="s">
        <v>13284</v>
      </c>
      <c r="J2768" s="9" t="s">
        <v>13284</v>
      </c>
      <c r="K2768" s="9" t="s">
        <v>13284</v>
      </c>
      <c r="L2768" s="9" t="s">
        <v>13284</v>
      </c>
      <c r="M2768" s="9" t="s">
        <v>13284</v>
      </c>
      <c r="N2768" s="9" t="s">
        <v>13284</v>
      </c>
      <c r="O2768" s="9" t="s">
        <v>13284</v>
      </c>
      <c r="P2768" s="9" t="s">
        <v>13284</v>
      </c>
      <c r="Q2768" s="9" t="s">
        <v>13284</v>
      </c>
      <c r="R2768" s="9" t="s">
        <v>13284</v>
      </c>
      <c r="S2768" s="9" t="s">
        <v>13284</v>
      </c>
      <c r="T2768" s="9" t="str">
        <f ca="1">IFERROR(IF(AND(VLOOKUP(A2768, 'Актуальное состояние (из общего'!A:C,3,0) = "", A2768 &lt;&gt; ""), "ПРОВЕРИТЬ", VLOOKUP(A2768, 'Актуальное состояние (из общего'!A:C,3,0)), "")</f>
        <v/>
      </c>
      <c r="U2768" s="9" t="s">
        <v>13284</v>
      </c>
      <c r="V2768" s="9" t="s">
        <v>13284</v>
      </c>
      <c r="W2768" s="12"/>
      <c r="X2768" s="9" t="str">
        <f t="array" ref="X2768">IFERROR(INDEX('Адреса общежитий (скрытый)'!$B$2:$B$9, MATCH(W2768, 'Адреса общежитий (скрытый)'!$A$2:$A$9, 0)), "")</f>
        <v/>
      </c>
      <c r="Y2768" s="18"/>
      <c r="Z2768" s="18"/>
      <c r="AA2768" s="18"/>
      <c r="AB2768" s="18"/>
      <c r="AC2768" s="18"/>
    </row>
    <row r="2769" spans="1:29" ht="32.25" hidden="1" customHeight="1">
      <c r="A2769" s="17"/>
      <c r="B2769" s="9" t="s">
        <v>13284</v>
      </c>
      <c r="C2769" s="9" t="s">
        <v>13284</v>
      </c>
      <c r="D2769" s="9" t="s">
        <v>13284</v>
      </c>
      <c r="E2769" s="9" t="s">
        <v>13284</v>
      </c>
      <c r="F2769" s="9" t="s">
        <v>13284</v>
      </c>
      <c r="G2769" s="9" t="s">
        <v>13284</v>
      </c>
      <c r="H2769" s="9" t="s">
        <v>13284</v>
      </c>
      <c r="I2769" s="9" t="s">
        <v>13284</v>
      </c>
      <c r="J2769" s="9" t="s">
        <v>13284</v>
      </c>
      <c r="K2769" s="9" t="s">
        <v>13284</v>
      </c>
      <c r="L2769" s="9" t="s">
        <v>13284</v>
      </c>
      <c r="M2769" s="9" t="s">
        <v>13284</v>
      </c>
      <c r="N2769" s="9" t="s">
        <v>13284</v>
      </c>
      <c r="O2769" s="9" t="s">
        <v>13284</v>
      </c>
      <c r="P2769" s="9" t="s">
        <v>13284</v>
      </c>
      <c r="Q2769" s="9" t="s">
        <v>13284</v>
      </c>
      <c r="R2769" s="9" t="s">
        <v>13284</v>
      </c>
      <c r="S2769" s="9" t="s">
        <v>13284</v>
      </c>
      <c r="T2769" s="9" t="str">
        <f ca="1">IFERROR(IF(AND(VLOOKUP(A2769, 'Актуальное состояние (из общего'!A:C,3,0) = "", A2769 &lt;&gt; ""), "ПРОВЕРИТЬ", VLOOKUP(A2769, 'Актуальное состояние (из общего'!A:C,3,0)), "")</f>
        <v/>
      </c>
      <c r="U2769" s="9" t="s">
        <v>13284</v>
      </c>
      <c r="V2769" s="9" t="s">
        <v>13284</v>
      </c>
      <c r="W2769" s="12"/>
      <c r="X2769" s="9" t="str">
        <f t="array" ref="X2769">IFERROR(INDEX('Адреса общежитий (скрытый)'!$B$2:$B$9, MATCH(W2769, 'Адреса общежитий (скрытый)'!$A$2:$A$9, 0)), "")</f>
        <v/>
      </c>
      <c r="Y2769" s="18"/>
      <c r="Z2769" s="18"/>
      <c r="AA2769" s="18"/>
      <c r="AB2769" s="18"/>
      <c r="AC2769" s="18"/>
    </row>
    <row r="2770" spans="1:29" ht="32.25" hidden="1" customHeight="1">
      <c r="A2770" s="17"/>
      <c r="B2770" s="9" t="s">
        <v>13284</v>
      </c>
      <c r="C2770" s="9" t="s">
        <v>13284</v>
      </c>
      <c r="D2770" s="9" t="s">
        <v>13284</v>
      </c>
      <c r="E2770" s="9" t="s">
        <v>13284</v>
      </c>
      <c r="F2770" s="9" t="s">
        <v>13284</v>
      </c>
      <c r="G2770" s="9" t="s">
        <v>13284</v>
      </c>
      <c r="H2770" s="9" t="s">
        <v>13284</v>
      </c>
      <c r="I2770" s="9" t="s">
        <v>13284</v>
      </c>
      <c r="J2770" s="9" t="s">
        <v>13284</v>
      </c>
      <c r="K2770" s="9" t="s">
        <v>13284</v>
      </c>
      <c r="L2770" s="9" t="s">
        <v>13284</v>
      </c>
      <c r="M2770" s="9" t="s">
        <v>13284</v>
      </c>
      <c r="N2770" s="9" t="s">
        <v>13284</v>
      </c>
      <c r="O2770" s="9" t="s">
        <v>13284</v>
      </c>
      <c r="P2770" s="9" t="s">
        <v>13284</v>
      </c>
      <c r="Q2770" s="9" t="s">
        <v>13284</v>
      </c>
      <c r="R2770" s="9" t="s">
        <v>13284</v>
      </c>
      <c r="S2770" s="9" t="s">
        <v>13284</v>
      </c>
      <c r="T2770" s="9" t="str">
        <f ca="1">IFERROR(IF(AND(VLOOKUP(A2770, 'Актуальное состояние (из общего'!A:C,3,0) = "", A2770 &lt;&gt; ""), "ПРОВЕРИТЬ", VLOOKUP(A2770, 'Актуальное состояние (из общего'!A:C,3,0)), "")</f>
        <v/>
      </c>
      <c r="U2770" s="9" t="s">
        <v>13284</v>
      </c>
      <c r="V2770" s="9" t="s">
        <v>13284</v>
      </c>
      <c r="W2770" s="12"/>
      <c r="X2770" s="9" t="str">
        <f t="array" ref="X2770">IFERROR(INDEX('Адреса общежитий (скрытый)'!$B$2:$B$9, MATCH(W2770, 'Адреса общежитий (скрытый)'!$A$2:$A$9, 0)), "")</f>
        <v/>
      </c>
      <c r="Y2770" s="18"/>
      <c r="Z2770" s="18"/>
      <c r="AA2770" s="18"/>
      <c r="AB2770" s="18"/>
      <c r="AC2770" s="18"/>
    </row>
    <row r="2771" spans="1:29" ht="32.25" hidden="1" customHeight="1">
      <c r="A2771" s="17"/>
      <c r="B2771" s="9" t="s">
        <v>13284</v>
      </c>
      <c r="C2771" s="9" t="s">
        <v>13284</v>
      </c>
      <c r="D2771" s="9" t="s">
        <v>13284</v>
      </c>
      <c r="E2771" s="9" t="s">
        <v>13284</v>
      </c>
      <c r="F2771" s="9" t="s">
        <v>13284</v>
      </c>
      <c r="G2771" s="9" t="s">
        <v>13284</v>
      </c>
      <c r="H2771" s="9" t="s">
        <v>13284</v>
      </c>
      <c r="I2771" s="9" t="s">
        <v>13284</v>
      </c>
      <c r="J2771" s="9" t="s">
        <v>13284</v>
      </c>
      <c r="K2771" s="9" t="s">
        <v>13284</v>
      </c>
      <c r="L2771" s="9" t="s">
        <v>13284</v>
      </c>
      <c r="M2771" s="9" t="s">
        <v>13284</v>
      </c>
      <c r="N2771" s="9" t="s">
        <v>13284</v>
      </c>
      <c r="O2771" s="9" t="s">
        <v>13284</v>
      </c>
      <c r="P2771" s="9" t="s">
        <v>13284</v>
      </c>
      <c r="Q2771" s="9" t="s">
        <v>13284</v>
      </c>
      <c r="R2771" s="9" t="s">
        <v>13284</v>
      </c>
      <c r="S2771" s="9" t="s">
        <v>13284</v>
      </c>
      <c r="T2771" s="9" t="str">
        <f ca="1">IFERROR(IF(AND(VLOOKUP(A2771, 'Актуальное состояние (из общего'!A:C,3,0) = "", A2771 &lt;&gt; ""), "ПРОВЕРИТЬ", VLOOKUP(A2771, 'Актуальное состояние (из общего'!A:C,3,0)), "")</f>
        <v/>
      </c>
      <c r="U2771" s="9" t="s">
        <v>13284</v>
      </c>
      <c r="V2771" s="9" t="s">
        <v>13284</v>
      </c>
      <c r="W2771" s="12"/>
      <c r="X2771" s="9" t="str">
        <f t="array" ref="X2771">IFERROR(INDEX('Адреса общежитий (скрытый)'!$B$2:$B$9, MATCH(W2771, 'Адреса общежитий (скрытый)'!$A$2:$A$9, 0)), "")</f>
        <v/>
      </c>
      <c r="Y2771" s="18"/>
      <c r="Z2771" s="18"/>
      <c r="AA2771" s="18"/>
      <c r="AB2771" s="18"/>
      <c r="AC2771" s="18"/>
    </row>
    <row r="2772" spans="1:29" ht="32.25" hidden="1" customHeight="1">
      <c r="A2772" s="17"/>
      <c r="B2772" s="9" t="s">
        <v>13284</v>
      </c>
      <c r="C2772" s="9" t="s">
        <v>13284</v>
      </c>
      <c r="D2772" s="9" t="s">
        <v>13284</v>
      </c>
      <c r="E2772" s="9" t="s">
        <v>13284</v>
      </c>
      <c r="F2772" s="9" t="s">
        <v>13284</v>
      </c>
      <c r="G2772" s="9" t="s">
        <v>13284</v>
      </c>
      <c r="H2772" s="9" t="s">
        <v>13284</v>
      </c>
      <c r="I2772" s="9" t="s">
        <v>13284</v>
      </c>
      <c r="J2772" s="9" t="s">
        <v>13284</v>
      </c>
      <c r="K2772" s="9" t="s">
        <v>13284</v>
      </c>
      <c r="L2772" s="9" t="s">
        <v>13284</v>
      </c>
      <c r="M2772" s="9" t="s">
        <v>13284</v>
      </c>
      <c r="N2772" s="9" t="s">
        <v>13284</v>
      </c>
      <c r="O2772" s="9" t="s">
        <v>13284</v>
      </c>
      <c r="P2772" s="9" t="s">
        <v>13284</v>
      </c>
      <c r="Q2772" s="9" t="s">
        <v>13284</v>
      </c>
      <c r="R2772" s="9" t="s">
        <v>13284</v>
      </c>
      <c r="S2772" s="9" t="s">
        <v>13284</v>
      </c>
      <c r="T2772" s="9" t="str">
        <f ca="1">IFERROR(IF(AND(VLOOKUP(A2772, 'Актуальное состояние (из общего'!A:C,3,0) = "", A2772 &lt;&gt; ""), "ПРОВЕРИТЬ", VLOOKUP(A2772, 'Актуальное состояние (из общего'!A:C,3,0)), "")</f>
        <v/>
      </c>
      <c r="U2772" s="9" t="s">
        <v>13284</v>
      </c>
      <c r="V2772" s="9" t="s">
        <v>13284</v>
      </c>
      <c r="W2772" s="12"/>
      <c r="X2772" s="9" t="str">
        <f t="array" ref="X2772">IFERROR(INDEX('Адреса общежитий (скрытый)'!$B$2:$B$9, MATCH(W2772, 'Адреса общежитий (скрытый)'!$A$2:$A$9, 0)), "")</f>
        <v/>
      </c>
      <c r="Y2772" s="18"/>
      <c r="Z2772" s="18"/>
      <c r="AA2772" s="18"/>
      <c r="AB2772" s="18"/>
      <c r="AC2772" s="18"/>
    </row>
    <row r="2773" spans="1:29" ht="32.25" hidden="1" customHeight="1">
      <c r="A2773" s="17"/>
      <c r="B2773" s="9" t="s">
        <v>13284</v>
      </c>
      <c r="C2773" s="9" t="s">
        <v>13284</v>
      </c>
      <c r="D2773" s="9" t="s">
        <v>13284</v>
      </c>
      <c r="E2773" s="9" t="s">
        <v>13284</v>
      </c>
      <c r="F2773" s="9" t="s">
        <v>13284</v>
      </c>
      <c r="G2773" s="9" t="s">
        <v>13284</v>
      </c>
      <c r="H2773" s="9" t="s">
        <v>13284</v>
      </c>
      <c r="I2773" s="9" t="s">
        <v>13284</v>
      </c>
      <c r="J2773" s="9" t="s">
        <v>13284</v>
      </c>
      <c r="K2773" s="9" t="s">
        <v>13284</v>
      </c>
      <c r="L2773" s="9" t="s">
        <v>13284</v>
      </c>
      <c r="M2773" s="9" t="s">
        <v>13284</v>
      </c>
      <c r="N2773" s="9" t="s">
        <v>13284</v>
      </c>
      <c r="O2773" s="9" t="s">
        <v>13284</v>
      </c>
      <c r="P2773" s="9" t="s">
        <v>13284</v>
      </c>
      <c r="Q2773" s="9" t="s">
        <v>13284</v>
      </c>
      <c r="R2773" s="9" t="s">
        <v>13284</v>
      </c>
      <c r="S2773" s="9" t="s">
        <v>13284</v>
      </c>
      <c r="T2773" s="9" t="str">
        <f ca="1">IFERROR(IF(AND(VLOOKUP(A2773, 'Актуальное состояние (из общего'!A:C,3,0) = "", A2773 &lt;&gt; ""), "ПРОВЕРИТЬ", VLOOKUP(A2773, 'Актуальное состояние (из общего'!A:C,3,0)), "")</f>
        <v/>
      </c>
      <c r="U2773" s="9" t="s">
        <v>13284</v>
      </c>
      <c r="V2773" s="9" t="s">
        <v>13284</v>
      </c>
      <c r="W2773" s="12"/>
      <c r="X2773" s="9" t="str">
        <f t="array" ref="X2773">IFERROR(INDEX('Адреса общежитий (скрытый)'!$B$2:$B$9, MATCH(W2773, 'Адреса общежитий (скрытый)'!$A$2:$A$9, 0)), "")</f>
        <v/>
      </c>
      <c r="Y2773" s="18"/>
      <c r="Z2773" s="18"/>
      <c r="AA2773" s="18"/>
      <c r="AB2773" s="18"/>
      <c r="AC2773" s="18"/>
    </row>
    <row r="2774" spans="1:29" ht="32.25" hidden="1" customHeight="1">
      <c r="A2774" s="17"/>
      <c r="B2774" s="9" t="s">
        <v>13284</v>
      </c>
      <c r="C2774" s="9" t="s">
        <v>13284</v>
      </c>
      <c r="D2774" s="9" t="s">
        <v>13284</v>
      </c>
      <c r="E2774" s="9" t="s">
        <v>13284</v>
      </c>
      <c r="F2774" s="9" t="s">
        <v>13284</v>
      </c>
      <c r="G2774" s="9" t="s">
        <v>13284</v>
      </c>
      <c r="H2774" s="9" t="s">
        <v>13284</v>
      </c>
      <c r="I2774" s="9" t="s">
        <v>13284</v>
      </c>
      <c r="J2774" s="9" t="s">
        <v>13284</v>
      </c>
      <c r="K2774" s="9" t="s">
        <v>13284</v>
      </c>
      <c r="L2774" s="9" t="s">
        <v>13284</v>
      </c>
      <c r="M2774" s="9" t="s">
        <v>13284</v>
      </c>
      <c r="N2774" s="9" t="s">
        <v>13284</v>
      </c>
      <c r="O2774" s="9" t="s">
        <v>13284</v>
      </c>
      <c r="P2774" s="9" t="s">
        <v>13284</v>
      </c>
      <c r="Q2774" s="9" t="s">
        <v>13284</v>
      </c>
      <c r="R2774" s="9" t="s">
        <v>13284</v>
      </c>
      <c r="S2774" s="9" t="s">
        <v>13284</v>
      </c>
      <c r="T2774" s="9" t="str">
        <f ca="1">IFERROR(IF(AND(VLOOKUP(A2774, 'Актуальное состояние (из общего'!A:C,3,0) = "", A2774 &lt;&gt; ""), "ПРОВЕРИТЬ", VLOOKUP(A2774, 'Актуальное состояние (из общего'!A:C,3,0)), "")</f>
        <v/>
      </c>
      <c r="U2774" s="9" t="s">
        <v>13284</v>
      </c>
      <c r="V2774" s="9" t="s">
        <v>13284</v>
      </c>
      <c r="W2774" s="12"/>
      <c r="X2774" s="9" t="str">
        <f t="array" ref="X2774">IFERROR(INDEX('Адреса общежитий (скрытый)'!$B$2:$B$9, MATCH(W2774, 'Адреса общежитий (скрытый)'!$A$2:$A$9, 0)), "")</f>
        <v/>
      </c>
      <c r="Y2774" s="18"/>
      <c r="Z2774" s="18"/>
      <c r="AA2774" s="18"/>
      <c r="AB2774" s="18"/>
      <c r="AC2774" s="18"/>
    </row>
    <row r="2775" spans="1:29" ht="32.25" hidden="1" customHeight="1">
      <c r="A2775" s="17"/>
      <c r="B2775" s="9" t="s">
        <v>13284</v>
      </c>
      <c r="C2775" s="9" t="s">
        <v>13284</v>
      </c>
      <c r="D2775" s="9" t="s">
        <v>13284</v>
      </c>
      <c r="E2775" s="9" t="s">
        <v>13284</v>
      </c>
      <c r="F2775" s="9" t="s">
        <v>13284</v>
      </c>
      <c r="G2775" s="9" t="s">
        <v>13284</v>
      </c>
      <c r="H2775" s="9" t="s">
        <v>13284</v>
      </c>
      <c r="I2775" s="9" t="s">
        <v>13284</v>
      </c>
      <c r="J2775" s="9" t="s">
        <v>13284</v>
      </c>
      <c r="K2775" s="9" t="s">
        <v>13284</v>
      </c>
      <c r="L2775" s="9" t="s">
        <v>13284</v>
      </c>
      <c r="M2775" s="9" t="s">
        <v>13284</v>
      </c>
      <c r="N2775" s="9" t="s">
        <v>13284</v>
      </c>
      <c r="O2775" s="9" t="s">
        <v>13284</v>
      </c>
      <c r="P2775" s="9" t="s">
        <v>13284</v>
      </c>
      <c r="Q2775" s="9" t="s">
        <v>13284</v>
      </c>
      <c r="R2775" s="9" t="s">
        <v>13284</v>
      </c>
      <c r="S2775" s="9" t="s">
        <v>13284</v>
      </c>
      <c r="T2775" s="9" t="str">
        <f ca="1">IFERROR(IF(AND(VLOOKUP(A2775, 'Актуальное состояние (из общего'!A:C,3,0) = "", A2775 &lt;&gt; ""), "ПРОВЕРИТЬ", VLOOKUP(A2775, 'Актуальное состояние (из общего'!A:C,3,0)), "")</f>
        <v/>
      </c>
      <c r="U2775" s="9" t="s">
        <v>13284</v>
      </c>
      <c r="V2775" s="9" t="s">
        <v>13284</v>
      </c>
      <c r="W2775" s="12"/>
      <c r="X2775" s="9" t="str">
        <f t="array" ref="X2775">IFERROR(INDEX('Адреса общежитий (скрытый)'!$B$2:$B$9, MATCH(W2775, 'Адреса общежитий (скрытый)'!$A$2:$A$9, 0)), "")</f>
        <v/>
      </c>
      <c r="Y2775" s="18"/>
      <c r="Z2775" s="18"/>
      <c r="AA2775" s="18"/>
      <c r="AB2775" s="18"/>
      <c r="AC2775" s="18"/>
    </row>
    <row r="2776" spans="1:29" ht="32.25" hidden="1" customHeight="1">
      <c r="A2776" s="17"/>
      <c r="B2776" s="9" t="s">
        <v>13284</v>
      </c>
      <c r="C2776" s="9" t="s">
        <v>13284</v>
      </c>
      <c r="D2776" s="9" t="s">
        <v>13284</v>
      </c>
      <c r="E2776" s="9" t="s">
        <v>13284</v>
      </c>
      <c r="F2776" s="9" t="s">
        <v>13284</v>
      </c>
      <c r="G2776" s="9" t="s">
        <v>13284</v>
      </c>
      <c r="H2776" s="9" t="s">
        <v>13284</v>
      </c>
      <c r="I2776" s="9" t="s">
        <v>13284</v>
      </c>
      <c r="J2776" s="9" t="s">
        <v>13284</v>
      </c>
      <c r="K2776" s="9" t="s">
        <v>13284</v>
      </c>
      <c r="L2776" s="9" t="s">
        <v>13284</v>
      </c>
      <c r="M2776" s="9" t="s">
        <v>13284</v>
      </c>
      <c r="N2776" s="9" t="s">
        <v>13284</v>
      </c>
      <c r="O2776" s="9" t="s">
        <v>13284</v>
      </c>
      <c r="P2776" s="9" t="s">
        <v>13284</v>
      </c>
      <c r="Q2776" s="9" t="s">
        <v>13284</v>
      </c>
      <c r="R2776" s="9" t="s">
        <v>13284</v>
      </c>
      <c r="S2776" s="9" t="s">
        <v>13284</v>
      </c>
      <c r="T2776" s="9" t="str">
        <f ca="1">IFERROR(IF(AND(VLOOKUP(A2776, 'Актуальное состояние (из общего'!A:C,3,0) = "", A2776 &lt;&gt; ""), "ПРОВЕРИТЬ", VLOOKUP(A2776, 'Актуальное состояние (из общего'!A:C,3,0)), "")</f>
        <v/>
      </c>
      <c r="U2776" s="9" t="s">
        <v>13284</v>
      </c>
      <c r="V2776" s="9" t="s">
        <v>13284</v>
      </c>
      <c r="W2776" s="12"/>
      <c r="X2776" s="9" t="str">
        <f t="array" ref="X2776">IFERROR(INDEX('Адреса общежитий (скрытый)'!$B$2:$B$9, MATCH(W2776, 'Адреса общежитий (скрытый)'!$A$2:$A$9, 0)), "")</f>
        <v/>
      </c>
      <c r="Y2776" s="18"/>
      <c r="Z2776" s="18"/>
      <c r="AA2776" s="18"/>
      <c r="AB2776" s="18"/>
      <c r="AC2776" s="18"/>
    </row>
    <row r="2777" spans="1:29" ht="32.25" hidden="1" customHeight="1">
      <c r="A2777" s="17"/>
      <c r="B2777" s="9" t="s">
        <v>13284</v>
      </c>
      <c r="C2777" s="9" t="s">
        <v>13284</v>
      </c>
      <c r="D2777" s="9" t="s">
        <v>13284</v>
      </c>
      <c r="E2777" s="9" t="s">
        <v>13284</v>
      </c>
      <c r="F2777" s="9" t="s">
        <v>13284</v>
      </c>
      <c r="G2777" s="9" t="s">
        <v>13284</v>
      </c>
      <c r="H2777" s="9" t="s">
        <v>13284</v>
      </c>
      <c r="I2777" s="9" t="s">
        <v>13284</v>
      </c>
      <c r="J2777" s="9" t="s">
        <v>13284</v>
      </c>
      <c r="K2777" s="9" t="s">
        <v>13284</v>
      </c>
      <c r="L2777" s="9" t="s">
        <v>13284</v>
      </c>
      <c r="M2777" s="9" t="s">
        <v>13284</v>
      </c>
      <c r="N2777" s="9" t="s">
        <v>13284</v>
      </c>
      <c r="O2777" s="9" t="s">
        <v>13284</v>
      </c>
      <c r="P2777" s="9" t="s">
        <v>13284</v>
      </c>
      <c r="Q2777" s="9" t="s">
        <v>13284</v>
      </c>
      <c r="R2777" s="9" t="s">
        <v>13284</v>
      </c>
      <c r="S2777" s="9" t="s">
        <v>13284</v>
      </c>
      <c r="T2777" s="9" t="str">
        <f ca="1">IFERROR(IF(AND(VLOOKUP(A2777, 'Актуальное состояние (из общего'!A:C,3,0) = "", A2777 &lt;&gt; ""), "ПРОВЕРИТЬ", VLOOKUP(A2777, 'Актуальное состояние (из общего'!A:C,3,0)), "")</f>
        <v/>
      </c>
      <c r="U2777" s="9" t="s">
        <v>13284</v>
      </c>
      <c r="V2777" s="9" t="s">
        <v>13284</v>
      </c>
      <c r="W2777" s="12"/>
      <c r="X2777" s="9" t="str">
        <f t="array" ref="X2777">IFERROR(INDEX('Адреса общежитий (скрытый)'!$B$2:$B$9, MATCH(W2777, 'Адреса общежитий (скрытый)'!$A$2:$A$9, 0)), "")</f>
        <v/>
      </c>
      <c r="Y2777" s="18"/>
      <c r="Z2777" s="18"/>
      <c r="AA2777" s="18"/>
      <c r="AB2777" s="18"/>
      <c r="AC2777" s="18"/>
    </row>
    <row r="2778" spans="1:29" ht="32.25" hidden="1" customHeight="1">
      <c r="A2778" s="17"/>
      <c r="B2778" s="9" t="s">
        <v>13284</v>
      </c>
      <c r="C2778" s="9" t="s">
        <v>13284</v>
      </c>
      <c r="D2778" s="9" t="s">
        <v>13284</v>
      </c>
      <c r="E2778" s="9" t="s">
        <v>13284</v>
      </c>
      <c r="F2778" s="9" t="s">
        <v>13284</v>
      </c>
      <c r="G2778" s="9" t="s">
        <v>13284</v>
      </c>
      <c r="H2778" s="9" t="s">
        <v>13284</v>
      </c>
      <c r="I2778" s="9" t="s">
        <v>13284</v>
      </c>
      <c r="J2778" s="9" t="s">
        <v>13284</v>
      </c>
      <c r="K2778" s="9" t="s">
        <v>13284</v>
      </c>
      <c r="L2778" s="9" t="s">
        <v>13284</v>
      </c>
      <c r="M2778" s="9" t="s">
        <v>13284</v>
      </c>
      <c r="N2778" s="9" t="s">
        <v>13284</v>
      </c>
      <c r="O2778" s="9" t="s">
        <v>13284</v>
      </c>
      <c r="P2778" s="9" t="s">
        <v>13284</v>
      </c>
      <c r="Q2778" s="9" t="s">
        <v>13284</v>
      </c>
      <c r="R2778" s="9" t="s">
        <v>13284</v>
      </c>
      <c r="S2778" s="9" t="s">
        <v>13284</v>
      </c>
      <c r="T2778" s="9" t="str">
        <f ca="1">IFERROR(IF(AND(VLOOKUP(A2778, 'Актуальное состояние (из общего'!A:C,3,0) = "", A2778 &lt;&gt; ""), "ПРОВЕРИТЬ", VLOOKUP(A2778, 'Актуальное состояние (из общего'!A:C,3,0)), "")</f>
        <v/>
      </c>
      <c r="U2778" s="9" t="s">
        <v>13284</v>
      </c>
      <c r="V2778" s="9" t="s">
        <v>13284</v>
      </c>
      <c r="W2778" s="12"/>
      <c r="X2778" s="9" t="str">
        <f t="array" ref="X2778">IFERROR(INDEX('Адреса общежитий (скрытый)'!$B$2:$B$9, MATCH(W2778, 'Адреса общежитий (скрытый)'!$A$2:$A$9, 0)), "")</f>
        <v/>
      </c>
      <c r="Y2778" s="18"/>
      <c r="Z2778" s="18"/>
      <c r="AA2778" s="18"/>
      <c r="AB2778" s="18"/>
      <c r="AC2778" s="18"/>
    </row>
    <row r="2779" spans="1:29" ht="32.25" hidden="1" customHeight="1">
      <c r="A2779" s="17"/>
      <c r="B2779" s="9" t="s">
        <v>13284</v>
      </c>
      <c r="C2779" s="9" t="s">
        <v>13284</v>
      </c>
      <c r="D2779" s="9" t="s">
        <v>13284</v>
      </c>
      <c r="E2779" s="9" t="s">
        <v>13284</v>
      </c>
      <c r="F2779" s="9" t="s">
        <v>13284</v>
      </c>
      <c r="G2779" s="9" t="s">
        <v>13284</v>
      </c>
      <c r="H2779" s="9" t="s">
        <v>13284</v>
      </c>
      <c r="I2779" s="9" t="s">
        <v>13284</v>
      </c>
      <c r="J2779" s="9" t="s">
        <v>13284</v>
      </c>
      <c r="K2779" s="9" t="s">
        <v>13284</v>
      </c>
      <c r="L2779" s="9" t="s">
        <v>13284</v>
      </c>
      <c r="M2779" s="9" t="s">
        <v>13284</v>
      </c>
      <c r="N2779" s="9" t="s">
        <v>13284</v>
      </c>
      <c r="O2779" s="9" t="s">
        <v>13284</v>
      </c>
      <c r="P2779" s="9" t="s">
        <v>13284</v>
      </c>
      <c r="Q2779" s="9" t="s">
        <v>13284</v>
      </c>
      <c r="R2779" s="9" t="s">
        <v>13284</v>
      </c>
      <c r="S2779" s="9" t="s">
        <v>13284</v>
      </c>
      <c r="T2779" s="9" t="str">
        <f ca="1">IFERROR(IF(AND(VLOOKUP(A2779, 'Актуальное состояние (из общего'!A:C,3,0) = "", A2779 &lt;&gt; ""), "ПРОВЕРИТЬ", VLOOKUP(A2779, 'Актуальное состояние (из общего'!A:C,3,0)), "")</f>
        <v/>
      </c>
      <c r="U2779" s="9" t="s">
        <v>13284</v>
      </c>
      <c r="V2779" s="9" t="s">
        <v>13284</v>
      </c>
      <c r="W2779" s="12"/>
      <c r="X2779" s="9" t="str">
        <f t="array" ref="X2779">IFERROR(INDEX('Адреса общежитий (скрытый)'!$B$2:$B$9, MATCH(W2779, 'Адреса общежитий (скрытый)'!$A$2:$A$9, 0)), "")</f>
        <v/>
      </c>
      <c r="Y2779" s="18"/>
      <c r="Z2779" s="18"/>
      <c r="AA2779" s="18"/>
      <c r="AB2779" s="18"/>
      <c r="AC2779" s="18"/>
    </row>
    <row r="2780" spans="1:29" ht="32.25" hidden="1" customHeight="1">
      <c r="A2780" s="17"/>
      <c r="B2780" s="9" t="s">
        <v>13284</v>
      </c>
      <c r="C2780" s="9" t="s">
        <v>13284</v>
      </c>
      <c r="D2780" s="9" t="s">
        <v>13284</v>
      </c>
      <c r="E2780" s="9" t="s">
        <v>13284</v>
      </c>
      <c r="F2780" s="9" t="s">
        <v>13284</v>
      </c>
      <c r="G2780" s="9" t="s">
        <v>13284</v>
      </c>
      <c r="H2780" s="9" t="s">
        <v>13284</v>
      </c>
      <c r="I2780" s="9" t="s">
        <v>13284</v>
      </c>
      <c r="J2780" s="9" t="s">
        <v>13284</v>
      </c>
      <c r="K2780" s="9" t="s">
        <v>13284</v>
      </c>
      <c r="L2780" s="9" t="s">
        <v>13284</v>
      </c>
      <c r="M2780" s="9" t="s">
        <v>13284</v>
      </c>
      <c r="N2780" s="9" t="s">
        <v>13284</v>
      </c>
      <c r="O2780" s="9" t="s">
        <v>13284</v>
      </c>
      <c r="P2780" s="9" t="s">
        <v>13284</v>
      </c>
      <c r="Q2780" s="9" t="s">
        <v>13284</v>
      </c>
      <c r="R2780" s="9" t="s">
        <v>13284</v>
      </c>
      <c r="S2780" s="9" t="s">
        <v>13284</v>
      </c>
      <c r="T2780" s="9" t="str">
        <f ca="1">IFERROR(IF(AND(VLOOKUP(A2780, 'Актуальное состояние (из общего'!A:C,3,0) = "", A2780 &lt;&gt; ""), "ПРОВЕРИТЬ", VLOOKUP(A2780, 'Актуальное состояние (из общего'!A:C,3,0)), "")</f>
        <v/>
      </c>
      <c r="U2780" s="9" t="s">
        <v>13284</v>
      </c>
      <c r="V2780" s="9" t="s">
        <v>13284</v>
      </c>
      <c r="W2780" s="12"/>
      <c r="X2780" s="9" t="str">
        <f t="array" ref="X2780">IFERROR(INDEX('Адреса общежитий (скрытый)'!$B$2:$B$9, MATCH(W2780, 'Адреса общежитий (скрытый)'!$A$2:$A$9, 0)), "")</f>
        <v/>
      </c>
      <c r="Y2780" s="18"/>
      <c r="Z2780" s="18"/>
      <c r="AA2780" s="18"/>
      <c r="AB2780" s="18"/>
      <c r="AC2780" s="18"/>
    </row>
    <row r="2781" spans="1:29" ht="32.25" hidden="1" customHeight="1">
      <c r="A2781" s="17"/>
      <c r="B2781" s="9" t="s">
        <v>13284</v>
      </c>
      <c r="C2781" s="9" t="s">
        <v>13284</v>
      </c>
      <c r="D2781" s="9" t="s">
        <v>13284</v>
      </c>
      <c r="E2781" s="9" t="s">
        <v>13284</v>
      </c>
      <c r="F2781" s="9" t="s">
        <v>13284</v>
      </c>
      <c r="G2781" s="9" t="s">
        <v>13284</v>
      </c>
      <c r="H2781" s="9" t="s">
        <v>13284</v>
      </c>
      <c r="I2781" s="9" t="s">
        <v>13284</v>
      </c>
      <c r="J2781" s="9" t="s">
        <v>13284</v>
      </c>
      <c r="K2781" s="9" t="s">
        <v>13284</v>
      </c>
      <c r="L2781" s="9" t="s">
        <v>13284</v>
      </c>
      <c r="M2781" s="9" t="s">
        <v>13284</v>
      </c>
      <c r="N2781" s="9" t="s">
        <v>13284</v>
      </c>
      <c r="O2781" s="9" t="s">
        <v>13284</v>
      </c>
      <c r="P2781" s="9" t="s">
        <v>13284</v>
      </c>
      <c r="Q2781" s="9" t="s">
        <v>13284</v>
      </c>
      <c r="R2781" s="9" t="s">
        <v>13284</v>
      </c>
      <c r="S2781" s="9" t="s">
        <v>13284</v>
      </c>
      <c r="T2781" s="9" t="str">
        <f ca="1">IFERROR(IF(AND(VLOOKUP(A2781, 'Актуальное состояние (из общего'!A:C,3,0) = "", A2781 &lt;&gt; ""), "ПРОВЕРИТЬ", VLOOKUP(A2781, 'Актуальное состояние (из общего'!A:C,3,0)), "")</f>
        <v/>
      </c>
      <c r="U2781" s="9" t="s">
        <v>13284</v>
      </c>
      <c r="V2781" s="9" t="s">
        <v>13284</v>
      </c>
      <c r="W2781" s="12"/>
      <c r="X2781" s="9" t="str">
        <f t="array" ref="X2781">IFERROR(INDEX('Адреса общежитий (скрытый)'!$B$2:$B$9, MATCH(W2781, 'Адреса общежитий (скрытый)'!$A$2:$A$9, 0)), "")</f>
        <v/>
      </c>
      <c r="Y2781" s="18"/>
      <c r="Z2781" s="18"/>
      <c r="AA2781" s="18"/>
      <c r="AB2781" s="18"/>
      <c r="AC2781" s="18"/>
    </row>
    <row r="2782" spans="1:29" ht="32.25" hidden="1" customHeight="1">
      <c r="A2782" s="17"/>
      <c r="B2782" s="9" t="s">
        <v>13284</v>
      </c>
      <c r="C2782" s="9" t="s">
        <v>13284</v>
      </c>
      <c r="D2782" s="9" t="s">
        <v>13284</v>
      </c>
      <c r="E2782" s="9" t="s">
        <v>13284</v>
      </c>
      <c r="F2782" s="9" t="s">
        <v>13284</v>
      </c>
      <c r="G2782" s="9" t="s">
        <v>13284</v>
      </c>
      <c r="H2782" s="9" t="s">
        <v>13284</v>
      </c>
      <c r="I2782" s="9" t="s">
        <v>13284</v>
      </c>
      <c r="J2782" s="9" t="s">
        <v>13284</v>
      </c>
      <c r="K2782" s="9" t="s">
        <v>13284</v>
      </c>
      <c r="L2782" s="9" t="s">
        <v>13284</v>
      </c>
      <c r="M2782" s="9" t="s">
        <v>13284</v>
      </c>
      <c r="N2782" s="9" t="s">
        <v>13284</v>
      </c>
      <c r="O2782" s="9" t="s">
        <v>13284</v>
      </c>
      <c r="P2782" s="9" t="s">
        <v>13284</v>
      </c>
      <c r="Q2782" s="9" t="s">
        <v>13284</v>
      </c>
      <c r="R2782" s="9" t="s">
        <v>13284</v>
      </c>
      <c r="S2782" s="9" t="s">
        <v>13284</v>
      </c>
      <c r="T2782" s="9" t="str">
        <f ca="1">IFERROR(IF(AND(VLOOKUP(A2782, 'Актуальное состояние (из общего'!A:C,3,0) = "", A2782 &lt;&gt; ""), "ПРОВЕРИТЬ", VLOOKUP(A2782, 'Актуальное состояние (из общего'!A:C,3,0)), "")</f>
        <v/>
      </c>
      <c r="U2782" s="9" t="s">
        <v>13284</v>
      </c>
      <c r="V2782" s="9" t="s">
        <v>13284</v>
      </c>
      <c r="W2782" s="12"/>
      <c r="X2782" s="9" t="str">
        <f t="array" ref="X2782">IFERROR(INDEX('Адреса общежитий (скрытый)'!$B$2:$B$9, MATCH(W2782, 'Адреса общежитий (скрытый)'!$A$2:$A$9, 0)), "")</f>
        <v/>
      </c>
      <c r="Y2782" s="18"/>
      <c r="Z2782" s="18"/>
      <c r="AA2782" s="18"/>
      <c r="AB2782" s="18"/>
      <c r="AC2782" s="18"/>
    </row>
    <row r="2783" spans="1:29" ht="32.25" hidden="1" customHeight="1">
      <c r="A2783" s="17"/>
      <c r="B2783" s="9" t="s">
        <v>13284</v>
      </c>
      <c r="C2783" s="9" t="s">
        <v>13284</v>
      </c>
      <c r="D2783" s="9" t="s">
        <v>13284</v>
      </c>
      <c r="E2783" s="9" t="s">
        <v>13284</v>
      </c>
      <c r="F2783" s="9" t="s">
        <v>13284</v>
      </c>
      <c r="G2783" s="9" t="s">
        <v>13284</v>
      </c>
      <c r="H2783" s="9" t="s">
        <v>13284</v>
      </c>
      <c r="I2783" s="9" t="s">
        <v>13284</v>
      </c>
      <c r="J2783" s="9" t="s">
        <v>13284</v>
      </c>
      <c r="K2783" s="9" t="s">
        <v>13284</v>
      </c>
      <c r="L2783" s="9" t="s">
        <v>13284</v>
      </c>
      <c r="M2783" s="9" t="s">
        <v>13284</v>
      </c>
      <c r="N2783" s="9" t="s">
        <v>13284</v>
      </c>
      <c r="O2783" s="9" t="s">
        <v>13284</v>
      </c>
      <c r="P2783" s="9" t="s">
        <v>13284</v>
      </c>
      <c r="Q2783" s="9" t="s">
        <v>13284</v>
      </c>
      <c r="R2783" s="9" t="s">
        <v>13284</v>
      </c>
      <c r="S2783" s="9" t="s">
        <v>13284</v>
      </c>
      <c r="T2783" s="9" t="str">
        <f ca="1">IFERROR(IF(AND(VLOOKUP(A2783, 'Актуальное состояние (из общего'!A:C,3,0) = "", A2783 &lt;&gt; ""), "ПРОВЕРИТЬ", VLOOKUP(A2783, 'Актуальное состояние (из общего'!A:C,3,0)), "")</f>
        <v/>
      </c>
      <c r="U2783" s="9" t="s">
        <v>13284</v>
      </c>
      <c r="V2783" s="9" t="s">
        <v>13284</v>
      </c>
      <c r="W2783" s="12"/>
      <c r="X2783" s="9" t="str">
        <f t="array" ref="X2783">IFERROR(INDEX('Адреса общежитий (скрытый)'!$B$2:$B$9, MATCH(W2783, 'Адреса общежитий (скрытый)'!$A$2:$A$9, 0)), "")</f>
        <v/>
      </c>
      <c r="Y2783" s="18"/>
      <c r="Z2783" s="18"/>
      <c r="AA2783" s="18"/>
      <c r="AB2783" s="18"/>
      <c r="AC2783" s="18"/>
    </row>
    <row r="2784" spans="1:29" ht="32.25" hidden="1" customHeight="1">
      <c r="A2784" s="17"/>
      <c r="B2784" s="9" t="s">
        <v>13284</v>
      </c>
      <c r="C2784" s="9" t="s">
        <v>13284</v>
      </c>
      <c r="D2784" s="9" t="s">
        <v>13284</v>
      </c>
      <c r="E2784" s="9" t="s">
        <v>13284</v>
      </c>
      <c r="F2784" s="9" t="s">
        <v>13284</v>
      </c>
      <c r="G2784" s="9" t="s">
        <v>13284</v>
      </c>
      <c r="H2784" s="9" t="s">
        <v>13284</v>
      </c>
      <c r="I2784" s="9" t="s">
        <v>13284</v>
      </c>
      <c r="J2784" s="9" t="s">
        <v>13284</v>
      </c>
      <c r="K2784" s="9" t="s">
        <v>13284</v>
      </c>
      <c r="L2784" s="9" t="s">
        <v>13284</v>
      </c>
      <c r="M2784" s="9" t="s">
        <v>13284</v>
      </c>
      <c r="N2784" s="9" t="s">
        <v>13284</v>
      </c>
      <c r="O2784" s="9" t="s">
        <v>13284</v>
      </c>
      <c r="P2784" s="9" t="s">
        <v>13284</v>
      </c>
      <c r="Q2784" s="9" t="s">
        <v>13284</v>
      </c>
      <c r="R2784" s="9" t="s">
        <v>13284</v>
      </c>
      <c r="S2784" s="9" t="s">
        <v>13284</v>
      </c>
      <c r="T2784" s="9" t="str">
        <f ca="1">IFERROR(IF(AND(VLOOKUP(A2784, 'Актуальное состояние (из общего'!A:C,3,0) = "", A2784 &lt;&gt; ""), "ПРОВЕРИТЬ", VLOOKUP(A2784, 'Актуальное состояние (из общего'!A:C,3,0)), "")</f>
        <v/>
      </c>
      <c r="U2784" s="9" t="s">
        <v>13284</v>
      </c>
      <c r="V2784" s="9" t="s">
        <v>13284</v>
      </c>
      <c r="W2784" s="12"/>
      <c r="X2784" s="9" t="str">
        <f t="array" ref="X2784">IFERROR(INDEX('Адреса общежитий (скрытый)'!$B$2:$B$9, MATCH(W2784, 'Адреса общежитий (скрытый)'!$A$2:$A$9, 0)), "")</f>
        <v/>
      </c>
      <c r="Y2784" s="18"/>
      <c r="Z2784" s="18"/>
      <c r="AA2784" s="18"/>
      <c r="AB2784" s="18"/>
      <c r="AC2784" s="18"/>
    </row>
    <row r="2785" spans="1:29" ht="32.25" hidden="1" customHeight="1">
      <c r="A2785" s="17"/>
      <c r="B2785" s="9" t="s">
        <v>13284</v>
      </c>
      <c r="C2785" s="9" t="s">
        <v>13284</v>
      </c>
      <c r="D2785" s="9" t="s">
        <v>13284</v>
      </c>
      <c r="E2785" s="9" t="s">
        <v>13284</v>
      </c>
      <c r="F2785" s="9" t="s">
        <v>13284</v>
      </c>
      <c r="G2785" s="9" t="s">
        <v>13284</v>
      </c>
      <c r="H2785" s="9" t="s">
        <v>13284</v>
      </c>
      <c r="I2785" s="9" t="s">
        <v>13284</v>
      </c>
      <c r="J2785" s="9" t="s">
        <v>13284</v>
      </c>
      <c r="K2785" s="9" t="s">
        <v>13284</v>
      </c>
      <c r="L2785" s="9" t="s">
        <v>13284</v>
      </c>
      <c r="M2785" s="9" t="s">
        <v>13284</v>
      </c>
      <c r="N2785" s="9" t="s">
        <v>13284</v>
      </c>
      <c r="O2785" s="9" t="s">
        <v>13284</v>
      </c>
      <c r="P2785" s="9" t="s">
        <v>13284</v>
      </c>
      <c r="Q2785" s="9" t="s">
        <v>13284</v>
      </c>
      <c r="R2785" s="9" t="s">
        <v>13284</v>
      </c>
      <c r="S2785" s="9" t="s">
        <v>13284</v>
      </c>
      <c r="T2785" s="9" t="str">
        <f ca="1">IFERROR(IF(AND(VLOOKUP(A2785, 'Актуальное состояние (из общего'!A:C,3,0) = "", A2785 &lt;&gt; ""), "ПРОВЕРИТЬ", VLOOKUP(A2785, 'Актуальное состояние (из общего'!A:C,3,0)), "")</f>
        <v/>
      </c>
      <c r="U2785" s="9" t="s">
        <v>13284</v>
      </c>
      <c r="V2785" s="9" t="s">
        <v>13284</v>
      </c>
      <c r="W2785" s="12"/>
      <c r="X2785" s="9" t="str">
        <f t="array" ref="X2785">IFERROR(INDEX('Адреса общежитий (скрытый)'!$B$2:$B$9, MATCH(W2785, 'Адреса общежитий (скрытый)'!$A$2:$A$9, 0)), "")</f>
        <v/>
      </c>
      <c r="Y2785" s="18"/>
      <c r="Z2785" s="18"/>
      <c r="AA2785" s="18"/>
      <c r="AB2785" s="18"/>
      <c r="AC2785" s="18"/>
    </row>
    <row r="2786" spans="1:29" ht="32.25" hidden="1" customHeight="1">
      <c r="A2786" s="17"/>
      <c r="B2786" s="9" t="s">
        <v>13284</v>
      </c>
      <c r="C2786" s="9" t="s">
        <v>13284</v>
      </c>
      <c r="D2786" s="9" t="s">
        <v>13284</v>
      </c>
      <c r="E2786" s="9" t="s">
        <v>13284</v>
      </c>
      <c r="F2786" s="9" t="s">
        <v>13284</v>
      </c>
      <c r="G2786" s="9" t="s">
        <v>13284</v>
      </c>
      <c r="H2786" s="9" t="s">
        <v>13284</v>
      </c>
      <c r="I2786" s="9" t="s">
        <v>13284</v>
      </c>
      <c r="J2786" s="9" t="s">
        <v>13284</v>
      </c>
      <c r="K2786" s="9" t="s">
        <v>13284</v>
      </c>
      <c r="L2786" s="9" t="s">
        <v>13284</v>
      </c>
      <c r="M2786" s="9" t="s">
        <v>13284</v>
      </c>
      <c r="N2786" s="9" t="s">
        <v>13284</v>
      </c>
      <c r="O2786" s="9" t="s">
        <v>13284</v>
      </c>
      <c r="P2786" s="9" t="s">
        <v>13284</v>
      </c>
      <c r="Q2786" s="9" t="s">
        <v>13284</v>
      </c>
      <c r="R2786" s="9" t="s">
        <v>13284</v>
      </c>
      <c r="S2786" s="9" t="s">
        <v>13284</v>
      </c>
      <c r="T2786" s="9" t="str">
        <f ca="1">IFERROR(IF(AND(VLOOKUP(A2786, 'Актуальное состояние (из общего'!A:C,3,0) = "", A2786 &lt;&gt; ""), "ПРОВЕРИТЬ", VLOOKUP(A2786, 'Актуальное состояние (из общего'!A:C,3,0)), "")</f>
        <v/>
      </c>
      <c r="U2786" s="9" t="s">
        <v>13284</v>
      </c>
      <c r="V2786" s="9" t="s">
        <v>13284</v>
      </c>
      <c r="W2786" s="12"/>
      <c r="X2786" s="9" t="str">
        <f t="array" ref="X2786">IFERROR(INDEX('Адреса общежитий (скрытый)'!$B$2:$B$9, MATCH(W2786, 'Адреса общежитий (скрытый)'!$A$2:$A$9, 0)), "")</f>
        <v/>
      </c>
      <c r="Y2786" s="18"/>
      <c r="Z2786" s="18"/>
      <c r="AA2786" s="18"/>
      <c r="AB2786" s="18"/>
      <c r="AC2786" s="18"/>
    </row>
    <row r="2787" spans="1:29" ht="32.25" hidden="1" customHeight="1">
      <c r="A2787" s="17"/>
      <c r="B2787" s="9" t="s">
        <v>13284</v>
      </c>
      <c r="C2787" s="9" t="s">
        <v>13284</v>
      </c>
      <c r="D2787" s="9" t="s">
        <v>13284</v>
      </c>
      <c r="E2787" s="9" t="s">
        <v>13284</v>
      </c>
      <c r="F2787" s="9" t="s">
        <v>13284</v>
      </c>
      <c r="G2787" s="9" t="s">
        <v>13284</v>
      </c>
      <c r="H2787" s="9" t="s">
        <v>13284</v>
      </c>
      <c r="I2787" s="9" t="s">
        <v>13284</v>
      </c>
      <c r="J2787" s="9" t="s">
        <v>13284</v>
      </c>
      <c r="K2787" s="9" t="s">
        <v>13284</v>
      </c>
      <c r="L2787" s="9" t="s">
        <v>13284</v>
      </c>
      <c r="M2787" s="9" t="s">
        <v>13284</v>
      </c>
      <c r="N2787" s="9" t="s">
        <v>13284</v>
      </c>
      <c r="O2787" s="9" t="s">
        <v>13284</v>
      </c>
      <c r="P2787" s="9" t="s">
        <v>13284</v>
      </c>
      <c r="Q2787" s="9" t="s">
        <v>13284</v>
      </c>
      <c r="R2787" s="9" t="s">
        <v>13284</v>
      </c>
      <c r="S2787" s="9" t="s">
        <v>13284</v>
      </c>
      <c r="T2787" s="9" t="str">
        <f ca="1">IFERROR(IF(AND(VLOOKUP(A2787, 'Актуальное состояние (из общего'!A:C,3,0) = "", A2787 &lt;&gt; ""), "ПРОВЕРИТЬ", VLOOKUP(A2787, 'Актуальное состояние (из общего'!A:C,3,0)), "")</f>
        <v/>
      </c>
      <c r="U2787" s="9" t="s">
        <v>13284</v>
      </c>
      <c r="V2787" s="9" t="s">
        <v>13284</v>
      </c>
      <c r="W2787" s="12"/>
      <c r="X2787" s="9" t="str">
        <f t="array" ref="X2787">IFERROR(INDEX('Адреса общежитий (скрытый)'!$B$2:$B$9, MATCH(W2787, 'Адреса общежитий (скрытый)'!$A$2:$A$9, 0)), "")</f>
        <v/>
      </c>
      <c r="Y2787" s="18"/>
      <c r="Z2787" s="18"/>
      <c r="AA2787" s="18"/>
      <c r="AB2787" s="18"/>
      <c r="AC2787" s="18"/>
    </row>
    <row r="2788" spans="1:29" ht="32.25" hidden="1" customHeight="1">
      <c r="A2788" s="17"/>
      <c r="B2788" s="9" t="s">
        <v>13284</v>
      </c>
      <c r="C2788" s="9" t="s">
        <v>13284</v>
      </c>
      <c r="D2788" s="9" t="s">
        <v>13284</v>
      </c>
      <c r="E2788" s="9" t="s">
        <v>13284</v>
      </c>
      <c r="F2788" s="9" t="s">
        <v>13284</v>
      </c>
      <c r="G2788" s="9" t="s">
        <v>13284</v>
      </c>
      <c r="H2788" s="9" t="s">
        <v>13284</v>
      </c>
      <c r="I2788" s="9" t="s">
        <v>13284</v>
      </c>
      <c r="J2788" s="9" t="s">
        <v>13284</v>
      </c>
      <c r="K2788" s="9" t="s">
        <v>13284</v>
      </c>
      <c r="L2788" s="9" t="s">
        <v>13284</v>
      </c>
      <c r="M2788" s="9" t="s">
        <v>13284</v>
      </c>
      <c r="N2788" s="9" t="s">
        <v>13284</v>
      </c>
      <c r="O2788" s="9" t="s">
        <v>13284</v>
      </c>
      <c r="P2788" s="9" t="s">
        <v>13284</v>
      </c>
      <c r="Q2788" s="9" t="s">
        <v>13284</v>
      </c>
      <c r="R2788" s="9" t="s">
        <v>13284</v>
      </c>
      <c r="S2788" s="9" t="s">
        <v>13284</v>
      </c>
      <c r="T2788" s="9" t="str">
        <f ca="1">IFERROR(IF(AND(VLOOKUP(A2788, 'Актуальное состояние (из общего'!A:C,3,0) = "", A2788 &lt;&gt; ""), "ПРОВЕРИТЬ", VLOOKUP(A2788, 'Актуальное состояние (из общего'!A:C,3,0)), "")</f>
        <v/>
      </c>
      <c r="U2788" s="9" t="s">
        <v>13284</v>
      </c>
      <c r="V2788" s="9" t="s">
        <v>13284</v>
      </c>
      <c r="W2788" s="12"/>
      <c r="X2788" s="9" t="str">
        <f t="array" ref="X2788">IFERROR(INDEX('Адреса общежитий (скрытый)'!$B$2:$B$9, MATCH(W2788, 'Адреса общежитий (скрытый)'!$A$2:$A$9, 0)), "")</f>
        <v/>
      </c>
      <c r="Y2788" s="18"/>
      <c r="Z2788" s="18"/>
      <c r="AA2788" s="18"/>
      <c r="AB2788" s="18"/>
      <c r="AC2788" s="18"/>
    </row>
    <row r="2789" spans="1:29" ht="32.25" hidden="1" customHeight="1">
      <c r="A2789" s="17"/>
      <c r="B2789" s="9" t="s">
        <v>13284</v>
      </c>
      <c r="C2789" s="9" t="s">
        <v>13284</v>
      </c>
      <c r="D2789" s="9" t="s">
        <v>13284</v>
      </c>
      <c r="E2789" s="9" t="s">
        <v>13284</v>
      </c>
      <c r="F2789" s="9" t="s">
        <v>13284</v>
      </c>
      <c r="G2789" s="9" t="s">
        <v>13284</v>
      </c>
      <c r="H2789" s="9" t="s">
        <v>13284</v>
      </c>
      <c r="I2789" s="9" t="s">
        <v>13284</v>
      </c>
      <c r="J2789" s="9" t="s">
        <v>13284</v>
      </c>
      <c r="K2789" s="9" t="s">
        <v>13284</v>
      </c>
      <c r="L2789" s="9" t="s">
        <v>13284</v>
      </c>
      <c r="M2789" s="9" t="s">
        <v>13284</v>
      </c>
      <c r="N2789" s="9" t="s">
        <v>13284</v>
      </c>
      <c r="O2789" s="9" t="s">
        <v>13284</v>
      </c>
      <c r="P2789" s="9" t="s">
        <v>13284</v>
      </c>
      <c r="Q2789" s="9" t="s">
        <v>13284</v>
      </c>
      <c r="R2789" s="9" t="s">
        <v>13284</v>
      </c>
      <c r="S2789" s="9" t="s">
        <v>13284</v>
      </c>
      <c r="T2789" s="9" t="str">
        <f ca="1">IFERROR(IF(AND(VLOOKUP(A2789, 'Актуальное состояние (из общего'!A:C,3,0) = "", A2789 &lt;&gt; ""), "ПРОВЕРИТЬ", VLOOKUP(A2789, 'Актуальное состояние (из общего'!A:C,3,0)), "")</f>
        <v/>
      </c>
      <c r="U2789" s="9" t="s">
        <v>13284</v>
      </c>
      <c r="V2789" s="9" t="s">
        <v>13284</v>
      </c>
      <c r="W2789" s="12"/>
      <c r="X2789" s="9" t="str">
        <f t="array" ref="X2789">IFERROR(INDEX('Адреса общежитий (скрытый)'!$B$2:$B$9, MATCH(W2789, 'Адреса общежитий (скрытый)'!$A$2:$A$9, 0)), "")</f>
        <v/>
      </c>
      <c r="Y2789" s="18"/>
      <c r="Z2789" s="18"/>
      <c r="AA2789" s="18"/>
      <c r="AB2789" s="18"/>
      <c r="AC2789" s="18"/>
    </row>
    <row r="2790" spans="1:29" ht="32.25" hidden="1" customHeight="1">
      <c r="A2790" s="17"/>
      <c r="B2790" s="9" t="s">
        <v>13284</v>
      </c>
      <c r="C2790" s="9" t="s">
        <v>13284</v>
      </c>
      <c r="D2790" s="9" t="s">
        <v>13284</v>
      </c>
      <c r="E2790" s="9" t="s">
        <v>13284</v>
      </c>
      <c r="F2790" s="9" t="s">
        <v>13284</v>
      </c>
      <c r="G2790" s="9" t="s">
        <v>13284</v>
      </c>
      <c r="H2790" s="9" t="s">
        <v>13284</v>
      </c>
      <c r="I2790" s="9" t="s">
        <v>13284</v>
      </c>
      <c r="J2790" s="9" t="s">
        <v>13284</v>
      </c>
      <c r="K2790" s="9" t="s">
        <v>13284</v>
      </c>
      <c r="L2790" s="9" t="s">
        <v>13284</v>
      </c>
      <c r="M2790" s="9" t="s">
        <v>13284</v>
      </c>
      <c r="N2790" s="9" t="s">
        <v>13284</v>
      </c>
      <c r="O2790" s="9" t="s">
        <v>13284</v>
      </c>
      <c r="P2790" s="9" t="s">
        <v>13284</v>
      </c>
      <c r="Q2790" s="9" t="s">
        <v>13284</v>
      </c>
      <c r="R2790" s="9" t="s">
        <v>13284</v>
      </c>
      <c r="S2790" s="9" t="s">
        <v>13284</v>
      </c>
      <c r="T2790" s="9" t="str">
        <f ca="1">IFERROR(IF(AND(VLOOKUP(A2790, 'Актуальное состояние (из общего'!A:C,3,0) = "", A2790 &lt;&gt; ""), "ПРОВЕРИТЬ", VLOOKUP(A2790, 'Актуальное состояние (из общего'!A:C,3,0)), "")</f>
        <v/>
      </c>
      <c r="U2790" s="9" t="s">
        <v>13284</v>
      </c>
      <c r="V2790" s="9" t="s">
        <v>13284</v>
      </c>
      <c r="W2790" s="12"/>
      <c r="X2790" s="9" t="str">
        <f t="array" ref="X2790">IFERROR(INDEX('Адреса общежитий (скрытый)'!$B$2:$B$9, MATCH(W2790, 'Адреса общежитий (скрытый)'!$A$2:$A$9, 0)), "")</f>
        <v/>
      </c>
      <c r="Y2790" s="18"/>
      <c r="Z2790" s="18"/>
      <c r="AA2790" s="18"/>
      <c r="AB2790" s="18"/>
      <c r="AC2790" s="18"/>
    </row>
    <row r="2791" spans="1:29" ht="32.25" hidden="1" customHeight="1">
      <c r="A2791" s="17"/>
      <c r="B2791" s="9" t="s">
        <v>13284</v>
      </c>
      <c r="C2791" s="9" t="s">
        <v>13284</v>
      </c>
      <c r="D2791" s="9" t="s">
        <v>13284</v>
      </c>
      <c r="E2791" s="9" t="s">
        <v>13284</v>
      </c>
      <c r="F2791" s="9" t="s">
        <v>13284</v>
      </c>
      <c r="G2791" s="9" t="s">
        <v>13284</v>
      </c>
      <c r="H2791" s="9" t="s">
        <v>13284</v>
      </c>
      <c r="I2791" s="9" t="s">
        <v>13284</v>
      </c>
      <c r="J2791" s="9" t="s">
        <v>13284</v>
      </c>
      <c r="K2791" s="9" t="s">
        <v>13284</v>
      </c>
      <c r="L2791" s="9" t="s">
        <v>13284</v>
      </c>
      <c r="M2791" s="9" t="s">
        <v>13284</v>
      </c>
      <c r="N2791" s="9" t="s">
        <v>13284</v>
      </c>
      <c r="O2791" s="9" t="s">
        <v>13284</v>
      </c>
      <c r="P2791" s="9" t="s">
        <v>13284</v>
      </c>
      <c r="Q2791" s="9" t="s">
        <v>13284</v>
      </c>
      <c r="R2791" s="9" t="s">
        <v>13284</v>
      </c>
      <c r="S2791" s="9" t="s">
        <v>13284</v>
      </c>
      <c r="T2791" s="9" t="str">
        <f ca="1">IFERROR(IF(AND(VLOOKUP(A2791, 'Актуальное состояние (из общего'!A:C,3,0) = "", A2791 &lt;&gt; ""), "ПРОВЕРИТЬ", VLOOKUP(A2791, 'Актуальное состояние (из общего'!A:C,3,0)), "")</f>
        <v/>
      </c>
      <c r="U2791" s="9" t="s">
        <v>13284</v>
      </c>
      <c r="V2791" s="9" t="s">
        <v>13284</v>
      </c>
      <c r="W2791" s="12"/>
      <c r="X2791" s="9" t="str">
        <f t="array" ref="X2791">IFERROR(INDEX('Адреса общежитий (скрытый)'!$B$2:$B$9, MATCH(W2791, 'Адреса общежитий (скрытый)'!$A$2:$A$9, 0)), "")</f>
        <v/>
      </c>
      <c r="Y2791" s="18"/>
      <c r="Z2791" s="18"/>
      <c r="AA2791" s="18"/>
      <c r="AB2791" s="18"/>
      <c r="AC2791" s="18"/>
    </row>
    <row r="2792" spans="1:29" ht="32.25" hidden="1" customHeight="1">
      <c r="A2792" s="17"/>
      <c r="B2792" s="9" t="s">
        <v>13284</v>
      </c>
      <c r="C2792" s="9" t="s">
        <v>13284</v>
      </c>
      <c r="D2792" s="9" t="s">
        <v>13284</v>
      </c>
      <c r="E2792" s="9" t="s">
        <v>13284</v>
      </c>
      <c r="F2792" s="9" t="s">
        <v>13284</v>
      </c>
      <c r="G2792" s="9" t="s">
        <v>13284</v>
      </c>
      <c r="H2792" s="9" t="s">
        <v>13284</v>
      </c>
      <c r="I2792" s="9" t="s">
        <v>13284</v>
      </c>
      <c r="J2792" s="9" t="s">
        <v>13284</v>
      </c>
      <c r="K2792" s="9" t="s">
        <v>13284</v>
      </c>
      <c r="L2792" s="9" t="s">
        <v>13284</v>
      </c>
      <c r="M2792" s="9" t="s">
        <v>13284</v>
      </c>
      <c r="N2792" s="9" t="s">
        <v>13284</v>
      </c>
      <c r="O2792" s="9" t="s">
        <v>13284</v>
      </c>
      <c r="P2792" s="9" t="s">
        <v>13284</v>
      </c>
      <c r="Q2792" s="9" t="s">
        <v>13284</v>
      </c>
      <c r="R2792" s="9" t="s">
        <v>13284</v>
      </c>
      <c r="S2792" s="9" t="s">
        <v>13284</v>
      </c>
      <c r="T2792" s="9" t="str">
        <f ca="1">IFERROR(IF(AND(VLOOKUP(A2792, 'Актуальное состояние (из общего'!A:C,3,0) = "", A2792 &lt;&gt; ""), "ПРОВЕРИТЬ", VLOOKUP(A2792, 'Актуальное состояние (из общего'!A:C,3,0)), "")</f>
        <v/>
      </c>
      <c r="U2792" s="9" t="s">
        <v>13284</v>
      </c>
      <c r="V2792" s="9" t="s">
        <v>13284</v>
      </c>
      <c r="W2792" s="12"/>
      <c r="X2792" s="9" t="str">
        <f t="array" ref="X2792">IFERROR(INDEX('Адреса общежитий (скрытый)'!$B$2:$B$9, MATCH(W2792, 'Адреса общежитий (скрытый)'!$A$2:$A$9, 0)), "")</f>
        <v/>
      </c>
      <c r="Y2792" s="18"/>
      <c r="Z2792" s="18"/>
      <c r="AA2792" s="18"/>
      <c r="AB2792" s="18"/>
      <c r="AC2792" s="18"/>
    </row>
    <row r="2793" spans="1:29" ht="32.25" hidden="1" customHeight="1">
      <c r="A2793" s="17"/>
      <c r="B2793" s="9" t="s">
        <v>13284</v>
      </c>
      <c r="C2793" s="9" t="s">
        <v>13284</v>
      </c>
      <c r="D2793" s="9" t="s">
        <v>13284</v>
      </c>
      <c r="E2793" s="9" t="s">
        <v>13284</v>
      </c>
      <c r="F2793" s="9" t="s">
        <v>13284</v>
      </c>
      <c r="G2793" s="9" t="s">
        <v>13284</v>
      </c>
      <c r="H2793" s="9" t="s">
        <v>13284</v>
      </c>
      <c r="I2793" s="9" t="s">
        <v>13284</v>
      </c>
      <c r="J2793" s="9" t="s">
        <v>13284</v>
      </c>
      <c r="K2793" s="9" t="s">
        <v>13284</v>
      </c>
      <c r="L2793" s="9" t="s">
        <v>13284</v>
      </c>
      <c r="M2793" s="9" t="s">
        <v>13284</v>
      </c>
      <c r="N2793" s="9" t="s">
        <v>13284</v>
      </c>
      <c r="O2793" s="9" t="s">
        <v>13284</v>
      </c>
      <c r="P2793" s="9" t="s">
        <v>13284</v>
      </c>
      <c r="Q2793" s="9" t="s">
        <v>13284</v>
      </c>
      <c r="R2793" s="9" t="s">
        <v>13284</v>
      </c>
      <c r="S2793" s="9" t="s">
        <v>13284</v>
      </c>
      <c r="T2793" s="9" t="str">
        <f ca="1">IFERROR(IF(AND(VLOOKUP(A2793, 'Актуальное состояние (из общего'!A:C,3,0) = "", A2793 &lt;&gt; ""), "ПРОВЕРИТЬ", VLOOKUP(A2793, 'Актуальное состояние (из общего'!A:C,3,0)), "")</f>
        <v/>
      </c>
      <c r="U2793" s="9" t="s">
        <v>13284</v>
      </c>
      <c r="V2793" s="9" t="s">
        <v>13284</v>
      </c>
      <c r="W2793" s="12"/>
      <c r="X2793" s="9" t="str">
        <f t="array" ref="X2793">IFERROR(INDEX('Адреса общежитий (скрытый)'!$B$2:$B$9, MATCH(W2793, 'Адреса общежитий (скрытый)'!$A$2:$A$9, 0)), "")</f>
        <v/>
      </c>
      <c r="Y2793" s="18"/>
      <c r="Z2793" s="18"/>
      <c r="AA2793" s="18"/>
      <c r="AB2793" s="18"/>
      <c r="AC2793" s="18"/>
    </row>
    <row r="2794" spans="1:29" ht="32.25" hidden="1" customHeight="1">
      <c r="A2794" s="17"/>
      <c r="B2794" s="9" t="s">
        <v>13284</v>
      </c>
      <c r="C2794" s="9" t="s">
        <v>13284</v>
      </c>
      <c r="D2794" s="9" t="s">
        <v>13284</v>
      </c>
      <c r="E2794" s="9" t="s">
        <v>13284</v>
      </c>
      <c r="F2794" s="9" t="s">
        <v>13284</v>
      </c>
      <c r="G2794" s="9" t="s">
        <v>13284</v>
      </c>
      <c r="H2794" s="9" t="s">
        <v>13284</v>
      </c>
      <c r="I2794" s="9" t="s">
        <v>13284</v>
      </c>
      <c r="J2794" s="9" t="s">
        <v>13284</v>
      </c>
      <c r="K2794" s="9" t="s">
        <v>13284</v>
      </c>
      <c r="L2794" s="9" t="s">
        <v>13284</v>
      </c>
      <c r="M2794" s="9" t="s">
        <v>13284</v>
      </c>
      <c r="N2794" s="9" t="s">
        <v>13284</v>
      </c>
      <c r="O2794" s="9" t="s">
        <v>13284</v>
      </c>
      <c r="P2794" s="9" t="s">
        <v>13284</v>
      </c>
      <c r="Q2794" s="9" t="s">
        <v>13284</v>
      </c>
      <c r="R2794" s="9" t="s">
        <v>13284</v>
      </c>
      <c r="S2794" s="9" t="s">
        <v>13284</v>
      </c>
      <c r="T2794" s="9" t="str">
        <f ca="1">IFERROR(IF(AND(VLOOKUP(A2794, 'Актуальное состояние (из общего'!A:C,3,0) = "", A2794 &lt;&gt; ""), "ПРОВЕРИТЬ", VLOOKUP(A2794, 'Актуальное состояние (из общего'!A:C,3,0)), "")</f>
        <v/>
      </c>
      <c r="U2794" s="9" t="s">
        <v>13284</v>
      </c>
      <c r="V2794" s="9" t="s">
        <v>13284</v>
      </c>
      <c r="W2794" s="12"/>
      <c r="X2794" s="9" t="str">
        <f t="array" ref="X2794">IFERROR(INDEX('Адреса общежитий (скрытый)'!$B$2:$B$9, MATCH(W2794, 'Адреса общежитий (скрытый)'!$A$2:$A$9, 0)), "")</f>
        <v/>
      </c>
      <c r="Y2794" s="18"/>
      <c r="Z2794" s="18"/>
      <c r="AA2794" s="18"/>
      <c r="AB2794" s="18"/>
      <c r="AC2794" s="18"/>
    </row>
    <row r="2795" spans="1:29" ht="32.25" hidden="1" customHeight="1">
      <c r="A2795" s="17"/>
      <c r="B2795" s="9" t="s">
        <v>13284</v>
      </c>
      <c r="C2795" s="9" t="s">
        <v>13284</v>
      </c>
      <c r="D2795" s="9" t="s">
        <v>13284</v>
      </c>
      <c r="E2795" s="9" t="s">
        <v>13284</v>
      </c>
      <c r="F2795" s="9" t="s">
        <v>13284</v>
      </c>
      <c r="G2795" s="9" t="s">
        <v>13284</v>
      </c>
      <c r="H2795" s="9" t="s">
        <v>13284</v>
      </c>
      <c r="I2795" s="9" t="s">
        <v>13284</v>
      </c>
      <c r="J2795" s="9" t="s">
        <v>13284</v>
      </c>
      <c r="K2795" s="9" t="s">
        <v>13284</v>
      </c>
      <c r="L2795" s="9" t="s">
        <v>13284</v>
      </c>
      <c r="M2795" s="9" t="s">
        <v>13284</v>
      </c>
      <c r="N2795" s="9" t="s">
        <v>13284</v>
      </c>
      <c r="O2795" s="9" t="s">
        <v>13284</v>
      </c>
      <c r="P2795" s="9" t="s">
        <v>13284</v>
      </c>
      <c r="Q2795" s="9" t="s">
        <v>13284</v>
      </c>
      <c r="R2795" s="9" t="s">
        <v>13284</v>
      </c>
      <c r="S2795" s="9" t="s">
        <v>13284</v>
      </c>
      <c r="T2795" s="9" t="str">
        <f ca="1">IFERROR(IF(AND(VLOOKUP(A2795, 'Актуальное состояние (из общего'!A:C,3,0) = "", A2795 &lt;&gt; ""), "ПРОВЕРИТЬ", VLOOKUP(A2795, 'Актуальное состояние (из общего'!A:C,3,0)), "")</f>
        <v/>
      </c>
      <c r="U2795" s="9" t="s">
        <v>13284</v>
      </c>
      <c r="V2795" s="9" t="s">
        <v>13284</v>
      </c>
      <c r="W2795" s="12"/>
      <c r="X2795" s="9" t="str">
        <f t="array" ref="X2795">IFERROR(INDEX('Адреса общежитий (скрытый)'!$B$2:$B$9, MATCH(W2795, 'Адреса общежитий (скрытый)'!$A$2:$A$9, 0)), "")</f>
        <v/>
      </c>
      <c r="Y2795" s="18"/>
      <c r="Z2795" s="18"/>
      <c r="AA2795" s="18"/>
      <c r="AB2795" s="18"/>
      <c r="AC2795" s="18"/>
    </row>
    <row r="2796" spans="1:29" ht="32.25" hidden="1" customHeight="1">
      <c r="A2796" s="17"/>
      <c r="B2796" s="9" t="s">
        <v>13284</v>
      </c>
      <c r="C2796" s="9" t="s">
        <v>13284</v>
      </c>
      <c r="D2796" s="9" t="s">
        <v>13284</v>
      </c>
      <c r="E2796" s="9" t="s">
        <v>13284</v>
      </c>
      <c r="F2796" s="9" t="s">
        <v>13284</v>
      </c>
      <c r="G2796" s="9" t="s">
        <v>13284</v>
      </c>
      <c r="H2796" s="9" t="s">
        <v>13284</v>
      </c>
      <c r="I2796" s="9" t="s">
        <v>13284</v>
      </c>
      <c r="J2796" s="9" t="s">
        <v>13284</v>
      </c>
      <c r="K2796" s="9" t="s">
        <v>13284</v>
      </c>
      <c r="L2796" s="9" t="s">
        <v>13284</v>
      </c>
      <c r="M2796" s="9" t="s">
        <v>13284</v>
      </c>
      <c r="N2796" s="9" t="s">
        <v>13284</v>
      </c>
      <c r="O2796" s="9" t="s">
        <v>13284</v>
      </c>
      <c r="P2796" s="9" t="s">
        <v>13284</v>
      </c>
      <c r="Q2796" s="9" t="s">
        <v>13284</v>
      </c>
      <c r="R2796" s="9" t="s">
        <v>13284</v>
      </c>
      <c r="S2796" s="9" t="s">
        <v>13284</v>
      </c>
      <c r="T2796" s="9" t="str">
        <f ca="1">IFERROR(IF(AND(VLOOKUP(A2796, 'Актуальное состояние (из общего'!A:C,3,0) = "", A2796 &lt;&gt; ""), "ПРОВЕРИТЬ", VLOOKUP(A2796, 'Актуальное состояние (из общего'!A:C,3,0)), "")</f>
        <v/>
      </c>
      <c r="U2796" s="9" t="s">
        <v>13284</v>
      </c>
      <c r="V2796" s="9" t="s">
        <v>13284</v>
      </c>
      <c r="W2796" s="12"/>
      <c r="X2796" s="9" t="str">
        <f t="array" ref="X2796">IFERROR(INDEX('Адреса общежитий (скрытый)'!$B$2:$B$9, MATCH(W2796, 'Адреса общежитий (скрытый)'!$A$2:$A$9, 0)), "")</f>
        <v/>
      </c>
      <c r="Y2796" s="18"/>
      <c r="Z2796" s="18"/>
      <c r="AA2796" s="18"/>
      <c r="AB2796" s="18"/>
      <c r="AC2796" s="18"/>
    </row>
    <row r="2797" spans="1:29" ht="32.25" hidden="1" customHeight="1">
      <c r="A2797" s="17"/>
      <c r="B2797" s="9" t="s">
        <v>13284</v>
      </c>
      <c r="C2797" s="9" t="s">
        <v>13284</v>
      </c>
      <c r="D2797" s="9" t="s">
        <v>13284</v>
      </c>
      <c r="E2797" s="9" t="s">
        <v>13284</v>
      </c>
      <c r="F2797" s="9" t="s">
        <v>13284</v>
      </c>
      <c r="G2797" s="9" t="s">
        <v>13284</v>
      </c>
      <c r="H2797" s="9" t="s">
        <v>13284</v>
      </c>
      <c r="I2797" s="9" t="s">
        <v>13284</v>
      </c>
      <c r="J2797" s="9" t="s">
        <v>13284</v>
      </c>
      <c r="K2797" s="9" t="s">
        <v>13284</v>
      </c>
      <c r="L2797" s="9" t="s">
        <v>13284</v>
      </c>
      <c r="M2797" s="9" t="s">
        <v>13284</v>
      </c>
      <c r="N2797" s="9" t="s">
        <v>13284</v>
      </c>
      <c r="O2797" s="9" t="s">
        <v>13284</v>
      </c>
      <c r="P2797" s="9" t="s">
        <v>13284</v>
      </c>
      <c r="Q2797" s="9" t="s">
        <v>13284</v>
      </c>
      <c r="R2797" s="9" t="s">
        <v>13284</v>
      </c>
      <c r="S2797" s="9" t="s">
        <v>13284</v>
      </c>
      <c r="T2797" s="9" t="str">
        <f ca="1">IFERROR(IF(AND(VLOOKUP(A2797, 'Актуальное состояние (из общего'!A:C,3,0) = "", A2797 &lt;&gt; ""), "ПРОВЕРИТЬ", VLOOKUP(A2797, 'Актуальное состояние (из общего'!A:C,3,0)), "")</f>
        <v/>
      </c>
      <c r="U2797" s="9" t="s">
        <v>13284</v>
      </c>
      <c r="V2797" s="9" t="s">
        <v>13284</v>
      </c>
      <c r="W2797" s="12"/>
      <c r="X2797" s="9" t="str">
        <f t="array" ref="X2797">IFERROR(INDEX('Адреса общежитий (скрытый)'!$B$2:$B$9, MATCH(W2797, 'Адреса общежитий (скрытый)'!$A$2:$A$9, 0)), "")</f>
        <v/>
      </c>
      <c r="Y2797" s="18"/>
      <c r="Z2797" s="18"/>
      <c r="AA2797" s="18"/>
      <c r="AB2797" s="18"/>
      <c r="AC2797" s="18"/>
    </row>
    <row r="2798" spans="1:29" ht="32.25" hidden="1" customHeight="1">
      <c r="A2798" s="17"/>
      <c r="B2798" s="9" t="s">
        <v>13284</v>
      </c>
      <c r="C2798" s="9" t="s">
        <v>13284</v>
      </c>
      <c r="D2798" s="9" t="s">
        <v>13284</v>
      </c>
      <c r="E2798" s="9" t="s">
        <v>13284</v>
      </c>
      <c r="F2798" s="9" t="s">
        <v>13284</v>
      </c>
      <c r="G2798" s="9" t="s">
        <v>13284</v>
      </c>
      <c r="H2798" s="9" t="s">
        <v>13284</v>
      </c>
      <c r="I2798" s="9" t="s">
        <v>13284</v>
      </c>
      <c r="J2798" s="9" t="s">
        <v>13284</v>
      </c>
      <c r="K2798" s="9" t="s">
        <v>13284</v>
      </c>
      <c r="L2798" s="9" t="s">
        <v>13284</v>
      </c>
      <c r="M2798" s="9" t="s">
        <v>13284</v>
      </c>
      <c r="N2798" s="9" t="s">
        <v>13284</v>
      </c>
      <c r="O2798" s="9" t="s">
        <v>13284</v>
      </c>
      <c r="P2798" s="9" t="s">
        <v>13284</v>
      </c>
      <c r="Q2798" s="9" t="s">
        <v>13284</v>
      </c>
      <c r="R2798" s="9" t="s">
        <v>13284</v>
      </c>
      <c r="S2798" s="9" t="s">
        <v>13284</v>
      </c>
      <c r="T2798" s="9" t="str">
        <f ca="1">IFERROR(IF(AND(VLOOKUP(A2798, 'Актуальное состояние (из общего'!A:C,3,0) = "", A2798 &lt;&gt; ""), "ПРОВЕРИТЬ", VLOOKUP(A2798, 'Актуальное состояние (из общего'!A:C,3,0)), "")</f>
        <v/>
      </c>
      <c r="U2798" s="9" t="s">
        <v>13284</v>
      </c>
      <c r="V2798" s="9" t="s">
        <v>13284</v>
      </c>
      <c r="W2798" s="12"/>
      <c r="X2798" s="9" t="str">
        <f t="array" ref="X2798">IFERROR(INDEX('Адреса общежитий (скрытый)'!$B$2:$B$9, MATCH(W2798, 'Адреса общежитий (скрытый)'!$A$2:$A$9, 0)), "")</f>
        <v/>
      </c>
      <c r="Y2798" s="18"/>
      <c r="Z2798" s="18"/>
      <c r="AA2798" s="18"/>
      <c r="AB2798" s="18"/>
      <c r="AC2798" s="18"/>
    </row>
    <row r="2799" spans="1:29" ht="32.25" hidden="1" customHeight="1">
      <c r="A2799" s="17"/>
      <c r="B2799" s="9" t="s">
        <v>13284</v>
      </c>
      <c r="C2799" s="9" t="s">
        <v>13284</v>
      </c>
      <c r="D2799" s="9" t="s">
        <v>13284</v>
      </c>
      <c r="E2799" s="9" t="s">
        <v>13284</v>
      </c>
      <c r="F2799" s="9" t="s">
        <v>13284</v>
      </c>
      <c r="G2799" s="9" t="s">
        <v>13284</v>
      </c>
      <c r="H2799" s="9" t="s">
        <v>13284</v>
      </c>
      <c r="I2799" s="9" t="s">
        <v>13284</v>
      </c>
      <c r="J2799" s="9" t="s">
        <v>13284</v>
      </c>
      <c r="K2799" s="9" t="s">
        <v>13284</v>
      </c>
      <c r="L2799" s="9" t="s">
        <v>13284</v>
      </c>
      <c r="M2799" s="9" t="s">
        <v>13284</v>
      </c>
      <c r="N2799" s="9" t="s">
        <v>13284</v>
      </c>
      <c r="O2799" s="9" t="s">
        <v>13284</v>
      </c>
      <c r="P2799" s="9" t="s">
        <v>13284</v>
      </c>
      <c r="Q2799" s="9" t="s">
        <v>13284</v>
      </c>
      <c r="R2799" s="9" t="s">
        <v>13284</v>
      </c>
      <c r="S2799" s="9" t="s">
        <v>13284</v>
      </c>
      <c r="T2799" s="9" t="str">
        <f ca="1">IFERROR(IF(AND(VLOOKUP(A2799, 'Актуальное состояние (из общего'!A:C,3,0) = "", A2799 &lt;&gt; ""), "ПРОВЕРИТЬ", VLOOKUP(A2799, 'Актуальное состояние (из общего'!A:C,3,0)), "")</f>
        <v/>
      </c>
      <c r="U2799" s="9" t="s">
        <v>13284</v>
      </c>
      <c r="V2799" s="9" t="s">
        <v>13284</v>
      </c>
      <c r="W2799" s="12"/>
      <c r="X2799" s="9" t="str">
        <f t="array" ref="X2799">IFERROR(INDEX('Адреса общежитий (скрытый)'!$B$2:$B$9, MATCH(W2799, 'Адреса общежитий (скрытый)'!$A$2:$A$9, 0)), "")</f>
        <v/>
      </c>
      <c r="Y2799" s="18"/>
      <c r="Z2799" s="18"/>
      <c r="AA2799" s="18"/>
      <c r="AB2799" s="18"/>
      <c r="AC2799" s="18"/>
    </row>
    <row r="2800" spans="1:29" ht="32.25" hidden="1" customHeight="1">
      <c r="A2800" s="17"/>
      <c r="B2800" s="9" t="s">
        <v>13284</v>
      </c>
      <c r="C2800" s="9" t="s">
        <v>13284</v>
      </c>
      <c r="D2800" s="9" t="s">
        <v>13284</v>
      </c>
      <c r="E2800" s="9" t="s">
        <v>13284</v>
      </c>
      <c r="F2800" s="9" t="s">
        <v>13284</v>
      </c>
      <c r="G2800" s="9" t="s">
        <v>13284</v>
      </c>
      <c r="H2800" s="9" t="s">
        <v>13284</v>
      </c>
      <c r="I2800" s="9" t="s">
        <v>13284</v>
      </c>
      <c r="J2800" s="9" t="s">
        <v>13284</v>
      </c>
      <c r="K2800" s="9" t="s">
        <v>13284</v>
      </c>
      <c r="L2800" s="9" t="s">
        <v>13284</v>
      </c>
      <c r="M2800" s="9" t="s">
        <v>13284</v>
      </c>
      <c r="N2800" s="9" t="s">
        <v>13284</v>
      </c>
      <c r="O2800" s="9" t="s">
        <v>13284</v>
      </c>
      <c r="P2800" s="9" t="s">
        <v>13284</v>
      </c>
      <c r="Q2800" s="9" t="s">
        <v>13284</v>
      </c>
      <c r="R2800" s="9" t="s">
        <v>13284</v>
      </c>
      <c r="S2800" s="9" t="s">
        <v>13284</v>
      </c>
      <c r="T2800" s="9" t="str">
        <f ca="1">IFERROR(IF(AND(VLOOKUP(A2800, 'Актуальное состояние (из общего'!A:C,3,0) = "", A2800 &lt;&gt; ""), "ПРОВЕРИТЬ", VLOOKUP(A2800, 'Актуальное состояние (из общего'!A:C,3,0)), "")</f>
        <v/>
      </c>
      <c r="U2800" s="9" t="s">
        <v>13284</v>
      </c>
      <c r="V2800" s="9" t="s">
        <v>13284</v>
      </c>
      <c r="W2800" s="12"/>
      <c r="X2800" s="9" t="str">
        <f t="array" ref="X2800">IFERROR(INDEX('Адреса общежитий (скрытый)'!$B$2:$B$9, MATCH(W2800, 'Адреса общежитий (скрытый)'!$A$2:$A$9, 0)), "")</f>
        <v/>
      </c>
      <c r="Y2800" s="18"/>
      <c r="Z2800" s="18"/>
      <c r="AA2800" s="18"/>
      <c r="AB2800" s="18"/>
      <c r="AC2800" s="18"/>
    </row>
    <row r="2801" spans="1:29" ht="32.25" hidden="1" customHeight="1">
      <c r="A2801" s="17"/>
      <c r="B2801" s="9" t="s">
        <v>13284</v>
      </c>
      <c r="C2801" s="9" t="s">
        <v>13284</v>
      </c>
      <c r="D2801" s="9" t="s">
        <v>13284</v>
      </c>
      <c r="E2801" s="9" t="s">
        <v>13284</v>
      </c>
      <c r="F2801" s="9" t="s">
        <v>13284</v>
      </c>
      <c r="G2801" s="9" t="s">
        <v>13284</v>
      </c>
      <c r="H2801" s="9" t="s">
        <v>13284</v>
      </c>
      <c r="I2801" s="9" t="s">
        <v>13284</v>
      </c>
      <c r="J2801" s="9" t="s">
        <v>13284</v>
      </c>
      <c r="K2801" s="9" t="s">
        <v>13284</v>
      </c>
      <c r="L2801" s="9" t="s">
        <v>13284</v>
      </c>
      <c r="M2801" s="9" t="s">
        <v>13284</v>
      </c>
      <c r="N2801" s="9" t="s">
        <v>13284</v>
      </c>
      <c r="O2801" s="9" t="s">
        <v>13284</v>
      </c>
      <c r="P2801" s="9" t="s">
        <v>13284</v>
      </c>
      <c r="Q2801" s="9" t="s">
        <v>13284</v>
      </c>
      <c r="R2801" s="9" t="s">
        <v>13284</v>
      </c>
      <c r="S2801" s="9" t="s">
        <v>13284</v>
      </c>
      <c r="T2801" s="9" t="str">
        <f ca="1">IFERROR(IF(AND(VLOOKUP(A2801, 'Актуальное состояние (из общего'!A:C,3,0) = "", A2801 &lt;&gt; ""), "ПРОВЕРИТЬ", VLOOKUP(A2801, 'Актуальное состояние (из общего'!A:C,3,0)), "")</f>
        <v/>
      </c>
      <c r="U2801" s="9" t="s">
        <v>13284</v>
      </c>
      <c r="V2801" s="9" t="s">
        <v>13284</v>
      </c>
      <c r="W2801" s="12"/>
      <c r="X2801" s="9" t="str">
        <f t="array" ref="X2801">IFERROR(INDEX('Адреса общежитий (скрытый)'!$B$2:$B$9, MATCH(W2801, 'Адреса общежитий (скрытый)'!$A$2:$A$9, 0)), "")</f>
        <v/>
      </c>
      <c r="Y2801" s="18"/>
      <c r="Z2801" s="18"/>
      <c r="AA2801" s="18"/>
      <c r="AB2801" s="18"/>
      <c r="AC2801" s="18"/>
    </row>
    <row r="2802" spans="1:29" ht="32.25" hidden="1" customHeight="1">
      <c r="A2802" s="17"/>
      <c r="B2802" s="9" t="s">
        <v>13284</v>
      </c>
      <c r="C2802" s="9" t="s">
        <v>13284</v>
      </c>
      <c r="D2802" s="9" t="s">
        <v>13284</v>
      </c>
      <c r="E2802" s="9" t="s">
        <v>13284</v>
      </c>
      <c r="F2802" s="9" t="s">
        <v>13284</v>
      </c>
      <c r="G2802" s="9" t="s">
        <v>13284</v>
      </c>
      <c r="H2802" s="9" t="s">
        <v>13284</v>
      </c>
      <c r="I2802" s="9" t="s">
        <v>13284</v>
      </c>
      <c r="J2802" s="9" t="s">
        <v>13284</v>
      </c>
      <c r="K2802" s="9" t="s">
        <v>13284</v>
      </c>
      <c r="L2802" s="9" t="s">
        <v>13284</v>
      </c>
      <c r="M2802" s="9" t="s">
        <v>13284</v>
      </c>
      <c r="N2802" s="9" t="s">
        <v>13284</v>
      </c>
      <c r="O2802" s="9" t="s">
        <v>13284</v>
      </c>
      <c r="P2802" s="9" t="s">
        <v>13284</v>
      </c>
      <c r="Q2802" s="9" t="s">
        <v>13284</v>
      </c>
      <c r="R2802" s="9" t="s">
        <v>13284</v>
      </c>
      <c r="S2802" s="9" t="s">
        <v>13284</v>
      </c>
      <c r="T2802" s="9" t="str">
        <f ca="1">IFERROR(IF(AND(VLOOKUP(A2802, 'Актуальное состояние (из общего'!A:C,3,0) = "", A2802 &lt;&gt; ""), "ПРОВЕРИТЬ", VLOOKUP(A2802, 'Актуальное состояние (из общего'!A:C,3,0)), "")</f>
        <v/>
      </c>
      <c r="U2802" s="9" t="s">
        <v>13284</v>
      </c>
      <c r="V2802" s="9" t="s">
        <v>13284</v>
      </c>
      <c r="W2802" s="12"/>
      <c r="X2802" s="9" t="str">
        <f t="array" ref="X2802">IFERROR(INDEX('Адреса общежитий (скрытый)'!$B$2:$B$9, MATCH(W2802, 'Адреса общежитий (скрытый)'!$A$2:$A$9, 0)), "")</f>
        <v/>
      </c>
      <c r="Y2802" s="18"/>
      <c r="Z2802" s="18"/>
      <c r="AA2802" s="18"/>
      <c r="AB2802" s="18"/>
      <c r="AC2802" s="18"/>
    </row>
    <row r="2803" spans="1:29" ht="32.25" hidden="1" customHeight="1">
      <c r="A2803" s="17"/>
      <c r="B2803" s="9" t="s">
        <v>13284</v>
      </c>
      <c r="C2803" s="9" t="s">
        <v>13284</v>
      </c>
      <c r="D2803" s="9" t="s">
        <v>13284</v>
      </c>
      <c r="E2803" s="9" t="s">
        <v>13284</v>
      </c>
      <c r="F2803" s="9" t="s">
        <v>13284</v>
      </c>
      <c r="G2803" s="9" t="s">
        <v>13284</v>
      </c>
      <c r="H2803" s="9" t="s">
        <v>13284</v>
      </c>
      <c r="I2803" s="9" t="s">
        <v>13284</v>
      </c>
      <c r="J2803" s="9" t="s">
        <v>13284</v>
      </c>
      <c r="K2803" s="9" t="s">
        <v>13284</v>
      </c>
      <c r="L2803" s="9" t="s">
        <v>13284</v>
      </c>
      <c r="M2803" s="9" t="s">
        <v>13284</v>
      </c>
      <c r="N2803" s="9" t="s">
        <v>13284</v>
      </c>
      <c r="O2803" s="9" t="s">
        <v>13284</v>
      </c>
      <c r="P2803" s="9" t="s">
        <v>13284</v>
      </c>
      <c r="Q2803" s="9" t="s">
        <v>13284</v>
      </c>
      <c r="R2803" s="9" t="s">
        <v>13284</v>
      </c>
      <c r="S2803" s="9" t="s">
        <v>13284</v>
      </c>
      <c r="T2803" s="9" t="str">
        <f ca="1">IFERROR(IF(AND(VLOOKUP(A2803, 'Актуальное состояние (из общего'!A:C,3,0) = "", A2803 &lt;&gt; ""), "ПРОВЕРИТЬ", VLOOKUP(A2803, 'Актуальное состояние (из общего'!A:C,3,0)), "")</f>
        <v/>
      </c>
      <c r="U2803" s="9" t="s">
        <v>13284</v>
      </c>
      <c r="V2803" s="9" t="s">
        <v>13284</v>
      </c>
      <c r="W2803" s="12"/>
      <c r="X2803" s="9" t="str">
        <f t="array" ref="X2803">IFERROR(INDEX('Адреса общежитий (скрытый)'!$B$2:$B$9, MATCH(W2803, 'Адреса общежитий (скрытый)'!$A$2:$A$9, 0)), "")</f>
        <v/>
      </c>
      <c r="Y2803" s="18"/>
      <c r="Z2803" s="18"/>
      <c r="AA2803" s="18"/>
      <c r="AB2803" s="18"/>
      <c r="AC2803" s="18"/>
    </row>
    <row r="2804" spans="1:29" ht="32.25" hidden="1" customHeight="1">
      <c r="A2804" s="17"/>
      <c r="B2804" s="9" t="s">
        <v>13284</v>
      </c>
      <c r="C2804" s="9" t="s">
        <v>13284</v>
      </c>
      <c r="D2804" s="9" t="s">
        <v>13284</v>
      </c>
      <c r="E2804" s="9" t="s">
        <v>13284</v>
      </c>
      <c r="F2804" s="9" t="s">
        <v>13284</v>
      </c>
      <c r="G2804" s="9" t="s">
        <v>13284</v>
      </c>
      <c r="H2804" s="9" t="s">
        <v>13284</v>
      </c>
      <c r="I2804" s="9" t="s">
        <v>13284</v>
      </c>
      <c r="J2804" s="9" t="s">
        <v>13284</v>
      </c>
      <c r="K2804" s="9" t="s">
        <v>13284</v>
      </c>
      <c r="L2804" s="9" t="s">
        <v>13284</v>
      </c>
      <c r="M2804" s="9" t="s">
        <v>13284</v>
      </c>
      <c r="N2804" s="9" t="s">
        <v>13284</v>
      </c>
      <c r="O2804" s="9" t="s">
        <v>13284</v>
      </c>
      <c r="P2804" s="9" t="s">
        <v>13284</v>
      </c>
      <c r="Q2804" s="9" t="s">
        <v>13284</v>
      </c>
      <c r="R2804" s="9" t="s">
        <v>13284</v>
      </c>
      <c r="S2804" s="9" t="s">
        <v>13284</v>
      </c>
      <c r="T2804" s="9" t="str">
        <f ca="1">IFERROR(IF(AND(VLOOKUP(A2804, 'Актуальное состояние (из общего'!A:C,3,0) = "", A2804 &lt;&gt; ""), "ПРОВЕРИТЬ", VLOOKUP(A2804, 'Актуальное состояние (из общего'!A:C,3,0)), "")</f>
        <v/>
      </c>
      <c r="U2804" s="9" t="s">
        <v>13284</v>
      </c>
      <c r="V2804" s="9" t="s">
        <v>13284</v>
      </c>
      <c r="W2804" s="12"/>
      <c r="X2804" s="9" t="str">
        <f t="array" ref="X2804">IFERROR(INDEX('Адреса общежитий (скрытый)'!$B$2:$B$9, MATCH(W2804, 'Адреса общежитий (скрытый)'!$A$2:$A$9, 0)), "")</f>
        <v/>
      </c>
      <c r="Y2804" s="18"/>
      <c r="Z2804" s="18"/>
      <c r="AA2804" s="18"/>
      <c r="AB2804" s="18"/>
      <c r="AC2804" s="18"/>
    </row>
    <row r="2805" spans="1:29" ht="32.25" hidden="1" customHeight="1">
      <c r="A2805" s="17"/>
      <c r="B2805" s="9" t="s">
        <v>13284</v>
      </c>
      <c r="C2805" s="9" t="s">
        <v>13284</v>
      </c>
      <c r="D2805" s="9" t="s">
        <v>13284</v>
      </c>
      <c r="E2805" s="9" t="s">
        <v>13284</v>
      </c>
      <c r="F2805" s="9" t="s">
        <v>13284</v>
      </c>
      <c r="G2805" s="9" t="s">
        <v>13284</v>
      </c>
      <c r="H2805" s="9" t="s">
        <v>13284</v>
      </c>
      <c r="I2805" s="9" t="s">
        <v>13284</v>
      </c>
      <c r="J2805" s="9" t="s">
        <v>13284</v>
      </c>
      <c r="K2805" s="9" t="s">
        <v>13284</v>
      </c>
      <c r="L2805" s="9" t="s">
        <v>13284</v>
      </c>
      <c r="M2805" s="9" t="s">
        <v>13284</v>
      </c>
      <c r="N2805" s="9" t="s">
        <v>13284</v>
      </c>
      <c r="O2805" s="9" t="s">
        <v>13284</v>
      </c>
      <c r="P2805" s="9" t="s">
        <v>13284</v>
      </c>
      <c r="Q2805" s="9" t="s">
        <v>13284</v>
      </c>
      <c r="R2805" s="9" t="s">
        <v>13284</v>
      </c>
      <c r="S2805" s="9" t="s">
        <v>13284</v>
      </c>
      <c r="T2805" s="9" t="str">
        <f ca="1">IFERROR(IF(AND(VLOOKUP(A2805, 'Актуальное состояние (из общего'!A:C,3,0) = "", A2805 &lt;&gt; ""), "ПРОВЕРИТЬ", VLOOKUP(A2805, 'Актуальное состояние (из общего'!A:C,3,0)), "")</f>
        <v/>
      </c>
      <c r="U2805" s="9" t="s">
        <v>13284</v>
      </c>
      <c r="V2805" s="9" t="s">
        <v>13284</v>
      </c>
      <c r="W2805" s="12"/>
      <c r="X2805" s="9" t="str">
        <f t="array" ref="X2805">IFERROR(INDEX('Адреса общежитий (скрытый)'!$B$2:$B$9, MATCH(W2805, 'Адреса общежитий (скрытый)'!$A$2:$A$9, 0)), "")</f>
        <v/>
      </c>
      <c r="Y2805" s="18"/>
      <c r="Z2805" s="18"/>
      <c r="AA2805" s="18"/>
      <c r="AB2805" s="18"/>
      <c r="AC2805" s="18"/>
    </row>
    <row r="2806" spans="1:29" ht="32.25" hidden="1" customHeight="1">
      <c r="A2806" s="17"/>
      <c r="B2806" s="9" t="s">
        <v>13284</v>
      </c>
      <c r="C2806" s="9" t="s">
        <v>13284</v>
      </c>
      <c r="D2806" s="9" t="s">
        <v>13284</v>
      </c>
      <c r="E2806" s="9" t="s">
        <v>13284</v>
      </c>
      <c r="F2806" s="9" t="s">
        <v>13284</v>
      </c>
      <c r="G2806" s="9" t="s">
        <v>13284</v>
      </c>
      <c r="H2806" s="9" t="s">
        <v>13284</v>
      </c>
      <c r="I2806" s="9" t="s">
        <v>13284</v>
      </c>
      <c r="J2806" s="9" t="s">
        <v>13284</v>
      </c>
      <c r="K2806" s="9" t="s">
        <v>13284</v>
      </c>
      <c r="L2806" s="9" t="s">
        <v>13284</v>
      </c>
      <c r="M2806" s="9" t="s">
        <v>13284</v>
      </c>
      <c r="N2806" s="9" t="s">
        <v>13284</v>
      </c>
      <c r="O2806" s="9" t="s">
        <v>13284</v>
      </c>
      <c r="P2806" s="9" t="s">
        <v>13284</v>
      </c>
      <c r="Q2806" s="9" t="s">
        <v>13284</v>
      </c>
      <c r="R2806" s="9" t="s">
        <v>13284</v>
      </c>
      <c r="S2806" s="9" t="s">
        <v>13284</v>
      </c>
      <c r="T2806" s="9" t="str">
        <f ca="1">IFERROR(IF(AND(VLOOKUP(A2806, 'Актуальное состояние (из общего'!A:C,3,0) = "", A2806 &lt;&gt; ""), "ПРОВЕРИТЬ", VLOOKUP(A2806, 'Актуальное состояние (из общего'!A:C,3,0)), "")</f>
        <v/>
      </c>
      <c r="U2806" s="9" t="s">
        <v>13284</v>
      </c>
      <c r="V2806" s="9" t="s">
        <v>13284</v>
      </c>
      <c r="W2806" s="12"/>
      <c r="X2806" s="9" t="str">
        <f t="array" ref="X2806">IFERROR(INDEX('Адреса общежитий (скрытый)'!$B$2:$B$9, MATCH(W2806, 'Адреса общежитий (скрытый)'!$A$2:$A$9, 0)), "")</f>
        <v/>
      </c>
      <c r="Y2806" s="18"/>
      <c r="Z2806" s="18"/>
      <c r="AA2806" s="18"/>
      <c r="AB2806" s="18"/>
      <c r="AC2806" s="18"/>
    </row>
    <row r="2807" spans="1:29" ht="32.25" hidden="1" customHeight="1">
      <c r="A2807" s="17"/>
      <c r="B2807" s="9" t="s">
        <v>13284</v>
      </c>
      <c r="C2807" s="9" t="s">
        <v>13284</v>
      </c>
      <c r="D2807" s="9" t="s">
        <v>13284</v>
      </c>
      <c r="E2807" s="9" t="s">
        <v>13284</v>
      </c>
      <c r="F2807" s="9" t="s">
        <v>13284</v>
      </c>
      <c r="G2807" s="9" t="s">
        <v>13284</v>
      </c>
      <c r="H2807" s="9" t="s">
        <v>13284</v>
      </c>
      <c r="I2807" s="9" t="s">
        <v>13284</v>
      </c>
      <c r="J2807" s="9" t="s">
        <v>13284</v>
      </c>
      <c r="K2807" s="9" t="s">
        <v>13284</v>
      </c>
      <c r="L2807" s="9" t="s">
        <v>13284</v>
      </c>
      <c r="M2807" s="9" t="s">
        <v>13284</v>
      </c>
      <c r="N2807" s="9" t="s">
        <v>13284</v>
      </c>
      <c r="O2807" s="9" t="s">
        <v>13284</v>
      </c>
      <c r="P2807" s="9" t="s">
        <v>13284</v>
      </c>
      <c r="Q2807" s="9" t="s">
        <v>13284</v>
      </c>
      <c r="R2807" s="9" t="s">
        <v>13284</v>
      </c>
      <c r="S2807" s="9" t="s">
        <v>13284</v>
      </c>
      <c r="T2807" s="9" t="str">
        <f ca="1">IFERROR(IF(AND(VLOOKUP(A2807, 'Актуальное состояние (из общего'!A:C,3,0) = "", A2807 &lt;&gt; ""), "ПРОВЕРИТЬ", VLOOKUP(A2807, 'Актуальное состояние (из общего'!A:C,3,0)), "")</f>
        <v/>
      </c>
      <c r="U2807" s="9" t="s">
        <v>13284</v>
      </c>
      <c r="V2807" s="9" t="s">
        <v>13284</v>
      </c>
      <c r="W2807" s="12"/>
      <c r="X2807" s="9" t="str">
        <f t="array" ref="X2807">IFERROR(INDEX('Адреса общежитий (скрытый)'!$B$2:$B$9, MATCH(W2807, 'Адреса общежитий (скрытый)'!$A$2:$A$9, 0)), "")</f>
        <v/>
      </c>
      <c r="Y2807" s="18"/>
      <c r="Z2807" s="18"/>
      <c r="AA2807" s="18"/>
      <c r="AB2807" s="18"/>
      <c r="AC2807" s="18"/>
    </row>
    <row r="2808" spans="1:29" ht="32.25" hidden="1" customHeight="1">
      <c r="A2808" s="17"/>
      <c r="B2808" s="9" t="s">
        <v>13284</v>
      </c>
      <c r="C2808" s="9" t="s">
        <v>13284</v>
      </c>
      <c r="D2808" s="9" t="s">
        <v>13284</v>
      </c>
      <c r="E2808" s="9" t="s">
        <v>13284</v>
      </c>
      <c r="F2808" s="9" t="s">
        <v>13284</v>
      </c>
      <c r="G2808" s="9" t="s">
        <v>13284</v>
      </c>
      <c r="H2808" s="9" t="s">
        <v>13284</v>
      </c>
      <c r="I2808" s="9" t="s">
        <v>13284</v>
      </c>
      <c r="J2808" s="9" t="s">
        <v>13284</v>
      </c>
      <c r="K2808" s="9" t="s">
        <v>13284</v>
      </c>
      <c r="L2808" s="9" t="s">
        <v>13284</v>
      </c>
      <c r="M2808" s="9" t="s">
        <v>13284</v>
      </c>
      <c r="N2808" s="9" t="s">
        <v>13284</v>
      </c>
      <c r="O2808" s="9" t="s">
        <v>13284</v>
      </c>
      <c r="P2808" s="9" t="s">
        <v>13284</v>
      </c>
      <c r="Q2808" s="9" t="s">
        <v>13284</v>
      </c>
      <c r="R2808" s="9" t="s">
        <v>13284</v>
      </c>
      <c r="S2808" s="9" t="s">
        <v>13284</v>
      </c>
      <c r="T2808" s="9" t="str">
        <f ca="1">IFERROR(IF(AND(VLOOKUP(A2808, 'Актуальное состояние (из общего'!A:C,3,0) = "", A2808 &lt;&gt; ""), "ПРОВЕРИТЬ", VLOOKUP(A2808, 'Актуальное состояние (из общего'!A:C,3,0)), "")</f>
        <v/>
      </c>
      <c r="U2808" s="9" t="s">
        <v>13284</v>
      </c>
      <c r="V2808" s="9" t="s">
        <v>13284</v>
      </c>
      <c r="W2808" s="12"/>
      <c r="X2808" s="9" t="str">
        <f t="array" ref="X2808">IFERROR(INDEX('Адреса общежитий (скрытый)'!$B$2:$B$9, MATCH(W2808, 'Адреса общежитий (скрытый)'!$A$2:$A$9, 0)), "")</f>
        <v/>
      </c>
      <c r="Y2808" s="18"/>
      <c r="Z2808" s="18"/>
      <c r="AA2808" s="18"/>
      <c r="AB2808" s="18"/>
      <c r="AC2808" s="18"/>
    </row>
    <row r="2809" spans="1:29" ht="32.25" hidden="1" customHeight="1">
      <c r="A2809" s="17"/>
      <c r="B2809" s="9" t="s">
        <v>13284</v>
      </c>
      <c r="C2809" s="9" t="s">
        <v>13284</v>
      </c>
      <c r="D2809" s="9" t="s">
        <v>13284</v>
      </c>
      <c r="E2809" s="9" t="s">
        <v>13284</v>
      </c>
      <c r="F2809" s="9" t="s">
        <v>13284</v>
      </c>
      <c r="G2809" s="9" t="s">
        <v>13284</v>
      </c>
      <c r="H2809" s="9" t="s">
        <v>13284</v>
      </c>
      <c r="I2809" s="9" t="s">
        <v>13284</v>
      </c>
      <c r="J2809" s="9" t="s">
        <v>13284</v>
      </c>
      <c r="K2809" s="9" t="s">
        <v>13284</v>
      </c>
      <c r="L2809" s="9" t="s">
        <v>13284</v>
      </c>
      <c r="M2809" s="9" t="s">
        <v>13284</v>
      </c>
      <c r="N2809" s="9" t="s">
        <v>13284</v>
      </c>
      <c r="O2809" s="9" t="s">
        <v>13284</v>
      </c>
      <c r="P2809" s="9" t="s">
        <v>13284</v>
      </c>
      <c r="Q2809" s="9" t="s">
        <v>13284</v>
      </c>
      <c r="R2809" s="9" t="s">
        <v>13284</v>
      </c>
      <c r="S2809" s="9" t="s">
        <v>13284</v>
      </c>
      <c r="T2809" s="9" t="str">
        <f ca="1">IFERROR(IF(AND(VLOOKUP(A2809, 'Актуальное состояние (из общего'!A:C,3,0) = "", A2809 &lt;&gt; ""), "ПРОВЕРИТЬ", VLOOKUP(A2809, 'Актуальное состояние (из общего'!A:C,3,0)), "")</f>
        <v/>
      </c>
      <c r="U2809" s="9" t="s">
        <v>13284</v>
      </c>
      <c r="V2809" s="9" t="s">
        <v>13284</v>
      </c>
      <c r="W2809" s="12"/>
      <c r="X2809" s="9" t="str">
        <f t="array" ref="X2809">IFERROR(INDEX('Адреса общежитий (скрытый)'!$B$2:$B$9, MATCH(W2809, 'Адреса общежитий (скрытый)'!$A$2:$A$9, 0)), "")</f>
        <v/>
      </c>
      <c r="Y2809" s="18"/>
      <c r="Z2809" s="18"/>
      <c r="AA2809" s="18"/>
      <c r="AB2809" s="18"/>
      <c r="AC2809" s="18"/>
    </row>
    <row r="2810" spans="1:29" ht="32.25" hidden="1" customHeight="1">
      <c r="A2810" s="17"/>
      <c r="B2810" s="9" t="s">
        <v>13284</v>
      </c>
      <c r="C2810" s="9" t="s">
        <v>13284</v>
      </c>
      <c r="D2810" s="9" t="s">
        <v>13284</v>
      </c>
      <c r="E2810" s="9" t="s">
        <v>13284</v>
      </c>
      <c r="F2810" s="9" t="s">
        <v>13284</v>
      </c>
      <c r="G2810" s="9" t="s">
        <v>13284</v>
      </c>
      <c r="H2810" s="9" t="s">
        <v>13284</v>
      </c>
      <c r="I2810" s="9" t="s">
        <v>13284</v>
      </c>
      <c r="J2810" s="9" t="s">
        <v>13284</v>
      </c>
      <c r="K2810" s="9" t="s">
        <v>13284</v>
      </c>
      <c r="L2810" s="9" t="s">
        <v>13284</v>
      </c>
      <c r="M2810" s="9" t="s">
        <v>13284</v>
      </c>
      <c r="N2810" s="9" t="s">
        <v>13284</v>
      </c>
      <c r="O2810" s="9" t="s">
        <v>13284</v>
      </c>
      <c r="P2810" s="9" t="s">
        <v>13284</v>
      </c>
      <c r="Q2810" s="9" t="s">
        <v>13284</v>
      </c>
      <c r="R2810" s="9" t="s">
        <v>13284</v>
      </c>
      <c r="S2810" s="9" t="s">
        <v>13284</v>
      </c>
      <c r="T2810" s="9" t="str">
        <f ca="1">IFERROR(IF(AND(VLOOKUP(A2810, 'Актуальное состояние (из общего'!A:C,3,0) = "", A2810 &lt;&gt; ""), "ПРОВЕРИТЬ", VLOOKUP(A2810, 'Актуальное состояние (из общего'!A:C,3,0)), "")</f>
        <v/>
      </c>
      <c r="U2810" s="9" t="s">
        <v>13284</v>
      </c>
      <c r="V2810" s="9" t="s">
        <v>13284</v>
      </c>
      <c r="W2810" s="12"/>
      <c r="X2810" s="9" t="str">
        <f t="array" ref="X2810">IFERROR(INDEX('Адреса общежитий (скрытый)'!$B$2:$B$9, MATCH(W2810, 'Адреса общежитий (скрытый)'!$A$2:$A$9, 0)), "")</f>
        <v/>
      </c>
      <c r="Y2810" s="18"/>
      <c r="Z2810" s="18"/>
      <c r="AA2810" s="18"/>
      <c r="AB2810" s="18"/>
      <c r="AC2810" s="18"/>
    </row>
    <row r="2811" spans="1:29" ht="32.25" hidden="1" customHeight="1">
      <c r="A2811" s="17"/>
      <c r="B2811" s="9" t="s">
        <v>13284</v>
      </c>
      <c r="C2811" s="9" t="s">
        <v>13284</v>
      </c>
      <c r="D2811" s="9" t="s">
        <v>13284</v>
      </c>
      <c r="E2811" s="9" t="s">
        <v>13284</v>
      </c>
      <c r="F2811" s="9" t="s">
        <v>13284</v>
      </c>
      <c r="G2811" s="9" t="s">
        <v>13284</v>
      </c>
      <c r="H2811" s="9" t="s">
        <v>13284</v>
      </c>
      <c r="I2811" s="9" t="s">
        <v>13284</v>
      </c>
      <c r="J2811" s="9" t="s">
        <v>13284</v>
      </c>
      <c r="K2811" s="9" t="s">
        <v>13284</v>
      </c>
      <c r="L2811" s="9" t="s">
        <v>13284</v>
      </c>
      <c r="M2811" s="9" t="s">
        <v>13284</v>
      </c>
      <c r="N2811" s="9" t="s">
        <v>13284</v>
      </c>
      <c r="O2811" s="9" t="s">
        <v>13284</v>
      </c>
      <c r="P2811" s="9" t="s">
        <v>13284</v>
      </c>
      <c r="Q2811" s="9" t="s">
        <v>13284</v>
      </c>
      <c r="R2811" s="9" t="s">
        <v>13284</v>
      </c>
      <c r="S2811" s="9" t="s">
        <v>13284</v>
      </c>
      <c r="T2811" s="9" t="str">
        <f ca="1">IFERROR(IF(AND(VLOOKUP(A2811, 'Актуальное состояние (из общего'!A:C,3,0) = "", A2811 &lt;&gt; ""), "ПРОВЕРИТЬ", VLOOKUP(A2811, 'Актуальное состояние (из общего'!A:C,3,0)), "")</f>
        <v/>
      </c>
      <c r="U2811" s="9" t="s">
        <v>13284</v>
      </c>
      <c r="V2811" s="9" t="s">
        <v>13284</v>
      </c>
      <c r="W2811" s="12"/>
      <c r="X2811" s="9" t="str">
        <f t="array" ref="X2811">IFERROR(INDEX('Адреса общежитий (скрытый)'!$B$2:$B$9, MATCH(W2811, 'Адреса общежитий (скрытый)'!$A$2:$A$9, 0)), "")</f>
        <v/>
      </c>
      <c r="Y2811" s="18"/>
      <c r="Z2811" s="18"/>
      <c r="AA2811" s="18"/>
      <c r="AB2811" s="18"/>
      <c r="AC2811" s="18"/>
    </row>
    <row r="2812" spans="1:29" ht="32.25" hidden="1" customHeight="1">
      <c r="A2812" s="17"/>
      <c r="B2812" s="9" t="s">
        <v>13284</v>
      </c>
      <c r="C2812" s="9" t="s">
        <v>13284</v>
      </c>
      <c r="D2812" s="9" t="s">
        <v>13284</v>
      </c>
      <c r="E2812" s="9" t="s">
        <v>13284</v>
      </c>
      <c r="F2812" s="9" t="s">
        <v>13284</v>
      </c>
      <c r="G2812" s="9" t="s">
        <v>13284</v>
      </c>
      <c r="H2812" s="9" t="s">
        <v>13284</v>
      </c>
      <c r="I2812" s="9" t="s">
        <v>13284</v>
      </c>
      <c r="J2812" s="9" t="s">
        <v>13284</v>
      </c>
      <c r="K2812" s="9" t="s">
        <v>13284</v>
      </c>
      <c r="L2812" s="9" t="s">
        <v>13284</v>
      </c>
      <c r="M2812" s="9" t="s">
        <v>13284</v>
      </c>
      <c r="N2812" s="9" t="s">
        <v>13284</v>
      </c>
      <c r="O2812" s="9" t="s">
        <v>13284</v>
      </c>
      <c r="P2812" s="9" t="s">
        <v>13284</v>
      </c>
      <c r="Q2812" s="9" t="s">
        <v>13284</v>
      </c>
      <c r="R2812" s="9" t="s">
        <v>13284</v>
      </c>
      <c r="S2812" s="9" t="s">
        <v>13284</v>
      </c>
      <c r="T2812" s="9" t="str">
        <f ca="1">IFERROR(IF(AND(VLOOKUP(A2812, 'Актуальное состояние (из общего'!A:C,3,0) = "", A2812 &lt;&gt; ""), "ПРОВЕРИТЬ", VLOOKUP(A2812, 'Актуальное состояние (из общего'!A:C,3,0)), "")</f>
        <v/>
      </c>
      <c r="U2812" s="9" t="s">
        <v>13284</v>
      </c>
      <c r="V2812" s="9" t="s">
        <v>13284</v>
      </c>
      <c r="W2812" s="12"/>
      <c r="X2812" s="9" t="str">
        <f t="array" ref="X2812">IFERROR(INDEX('Адреса общежитий (скрытый)'!$B$2:$B$9, MATCH(W2812, 'Адреса общежитий (скрытый)'!$A$2:$A$9, 0)), "")</f>
        <v/>
      </c>
      <c r="Y2812" s="18"/>
      <c r="Z2812" s="18"/>
      <c r="AA2812" s="18"/>
      <c r="AB2812" s="18"/>
      <c r="AC2812" s="18"/>
    </row>
    <row r="2813" spans="1:29" ht="32.25" hidden="1" customHeight="1">
      <c r="A2813" s="17"/>
      <c r="B2813" s="9" t="s">
        <v>13284</v>
      </c>
      <c r="C2813" s="9" t="s">
        <v>13284</v>
      </c>
      <c r="D2813" s="9" t="s">
        <v>13284</v>
      </c>
      <c r="E2813" s="9" t="s">
        <v>13284</v>
      </c>
      <c r="F2813" s="9" t="s">
        <v>13284</v>
      </c>
      <c r="G2813" s="9" t="s">
        <v>13284</v>
      </c>
      <c r="H2813" s="9" t="s">
        <v>13284</v>
      </c>
      <c r="I2813" s="9" t="s">
        <v>13284</v>
      </c>
      <c r="J2813" s="9" t="s">
        <v>13284</v>
      </c>
      <c r="K2813" s="9" t="s">
        <v>13284</v>
      </c>
      <c r="L2813" s="9" t="s">
        <v>13284</v>
      </c>
      <c r="M2813" s="9" t="s">
        <v>13284</v>
      </c>
      <c r="N2813" s="9" t="s">
        <v>13284</v>
      </c>
      <c r="O2813" s="9" t="s">
        <v>13284</v>
      </c>
      <c r="P2813" s="9" t="s">
        <v>13284</v>
      </c>
      <c r="Q2813" s="9" t="s">
        <v>13284</v>
      </c>
      <c r="R2813" s="9" t="s">
        <v>13284</v>
      </c>
      <c r="S2813" s="9" t="s">
        <v>13284</v>
      </c>
      <c r="T2813" s="9" t="str">
        <f ca="1">IFERROR(IF(AND(VLOOKUP(A2813, 'Актуальное состояние (из общего'!A:C,3,0) = "", A2813 &lt;&gt; ""), "ПРОВЕРИТЬ", VLOOKUP(A2813, 'Актуальное состояние (из общего'!A:C,3,0)), "")</f>
        <v/>
      </c>
      <c r="U2813" s="9" t="s">
        <v>13284</v>
      </c>
      <c r="V2813" s="9" t="s">
        <v>13284</v>
      </c>
      <c r="W2813" s="12"/>
      <c r="X2813" s="9" t="str">
        <f t="array" ref="X2813">IFERROR(INDEX('Адреса общежитий (скрытый)'!$B$2:$B$9, MATCH(W2813, 'Адреса общежитий (скрытый)'!$A$2:$A$9, 0)), "")</f>
        <v/>
      </c>
      <c r="Y2813" s="18"/>
      <c r="Z2813" s="18"/>
      <c r="AA2813" s="18"/>
      <c r="AB2813" s="18"/>
      <c r="AC2813" s="18"/>
    </row>
    <row r="2814" spans="1:29" ht="32.25" hidden="1" customHeight="1">
      <c r="A2814" s="17"/>
      <c r="B2814" s="9" t="s">
        <v>13284</v>
      </c>
      <c r="C2814" s="9" t="s">
        <v>13284</v>
      </c>
      <c r="D2814" s="9" t="s">
        <v>13284</v>
      </c>
      <c r="E2814" s="9" t="s">
        <v>13284</v>
      </c>
      <c r="F2814" s="9" t="s">
        <v>13284</v>
      </c>
      <c r="G2814" s="9" t="s">
        <v>13284</v>
      </c>
      <c r="H2814" s="9" t="s">
        <v>13284</v>
      </c>
      <c r="I2814" s="9" t="s">
        <v>13284</v>
      </c>
      <c r="J2814" s="9" t="s">
        <v>13284</v>
      </c>
      <c r="K2814" s="9" t="s">
        <v>13284</v>
      </c>
      <c r="L2814" s="9" t="s">
        <v>13284</v>
      </c>
      <c r="M2814" s="9" t="s">
        <v>13284</v>
      </c>
      <c r="N2814" s="9" t="s">
        <v>13284</v>
      </c>
      <c r="O2814" s="9" t="s">
        <v>13284</v>
      </c>
      <c r="P2814" s="9" t="s">
        <v>13284</v>
      </c>
      <c r="Q2814" s="9" t="s">
        <v>13284</v>
      </c>
      <c r="R2814" s="9" t="s">
        <v>13284</v>
      </c>
      <c r="S2814" s="9" t="s">
        <v>13284</v>
      </c>
      <c r="T2814" s="9" t="str">
        <f ca="1">IFERROR(IF(AND(VLOOKUP(A2814, 'Актуальное состояние (из общего'!A:C,3,0) = "", A2814 &lt;&gt; ""), "ПРОВЕРИТЬ", VLOOKUP(A2814, 'Актуальное состояние (из общего'!A:C,3,0)), "")</f>
        <v/>
      </c>
      <c r="U2814" s="9" t="s">
        <v>13284</v>
      </c>
      <c r="V2814" s="9" t="s">
        <v>13284</v>
      </c>
      <c r="W2814" s="12"/>
      <c r="X2814" s="9" t="str">
        <f t="array" ref="X2814">IFERROR(INDEX('Адреса общежитий (скрытый)'!$B$2:$B$9, MATCH(W2814, 'Адреса общежитий (скрытый)'!$A$2:$A$9, 0)), "")</f>
        <v/>
      </c>
      <c r="Y2814" s="18"/>
      <c r="Z2814" s="18"/>
      <c r="AA2814" s="18"/>
      <c r="AB2814" s="18"/>
      <c r="AC2814" s="18"/>
    </row>
    <row r="2815" spans="1:29" ht="32.25" hidden="1" customHeight="1">
      <c r="A2815" s="17"/>
      <c r="B2815" s="9" t="s">
        <v>13284</v>
      </c>
      <c r="C2815" s="9" t="s">
        <v>13284</v>
      </c>
      <c r="D2815" s="9" t="s">
        <v>13284</v>
      </c>
      <c r="E2815" s="9" t="s">
        <v>13284</v>
      </c>
      <c r="F2815" s="9" t="s">
        <v>13284</v>
      </c>
      <c r="G2815" s="9" t="s">
        <v>13284</v>
      </c>
      <c r="H2815" s="9" t="s">
        <v>13284</v>
      </c>
      <c r="I2815" s="9" t="s">
        <v>13284</v>
      </c>
      <c r="J2815" s="9" t="s">
        <v>13284</v>
      </c>
      <c r="K2815" s="9" t="s">
        <v>13284</v>
      </c>
      <c r="L2815" s="9" t="s">
        <v>13284</v>
      </c>
      <c r="M2815" s="9" t="s">
        <v>13284</v>
      </c>
      <c r="N2815" s="9" t="s">
        <v>13284</v>
      </c>
      <c r="O2815" s="9" t="s">
        <v>13284</v>
      </c>
      <c r="P2815" s="9" t="s">
        <v>13284</v>
      </c>
      <c r="Q2815" s="9" t="s">
        <v>13284</v>
      </c>
      <c r="R2815" s="9" t="s">
        <v>13284</v>
      </c>
      <c r="S2815" s="9" t="s">
        <v>13284</v>
      </c>
      <c r="T2815" s="9" t="str">
        <f ca="1">IFERROR(IF(AND(VLOOKUP(A2815, 'Актуальное состояние (из общего'!A:C,3,0) = "", A2815 &lt;&gt; ""), "ПРОВЕРИТЬ", VLOOKUP(A2815, 'Актуальное состояние (из общего'!A:C,3,0)), "")</f>
        <v/>
      </c>
      <c r="U2815" s="9" t="s">
        <v>13284</v>
      </c>
      <c r="V2815" s="9" t="s">
        <v>13284</v>
      </c>
      <c r="W2815" s="12"/>
      <c r="X2815" s="9" t="str">
        <f t="array" ref="X2815">IFERROR(INDEX('Адреса общежитий (скрытый)'!$B$2:$B$9, MATCH(W2815, 'Адреса общежитий (скрытый)'!$A$2:$A$9, 0)), "")</f>
        <v/>
      </c>
      <c r="Y2815" s="18"/>
      <c r="Z2815" s="18"/>
      <c r="AA2815" s="18"/>
      <c r="AB2815" s="18"/>
      <c r="AC2815" s="18"/>
    </row>
    <row r="2816" spans="1:29" ht="32.25" hidden="1" customHeight="1">
      <c r="A2816" s="17"/>
      <c r="B2816" s="9" t="s">
        <v>13284</v>
      </c>
      <c r="C2816" s="9" t="s">
        <v>13284</v>
      </c>
      <c r="D2816" s="9" t="s">
        <v>13284</v>
      </c>
      <c r="E2816" s="9" t="s">
        <v>13284</v>
      </c>
      <c r="F2816" s="9" t="s">
        <v>13284</v>
      </c>
      <c r="G2816" s="9" t="s">
        <v>13284</v>
      </c>
      <c r="H2816" s="9" t="s">
        <v>13284</v>
      </c>
      <c r="I2816" s="9" t="s">
        <v>13284</v>
      </c>
      <c r="J2816" s="9" t="s">
        <v>13284</v>
      </c>
      <c r="K2816" s="9" t="s">
        <v>13284</v>
      </c>
      <c r="L2816" s="9" t="s">
        <v>13284</v>
      </c>
      <c r="M2816" s="9" t="s">
        <v>13284</v>
      </c>
      <c r="N2816" s="9" t="s">
        <v>13284</v>
      </c>
      <c r="O2816" s="9" t="s">
        <v>13284</v>
      </c>
      <c r="P2816" s="9" t="s">
        <v>13284</v>
      </c>
      <c r="Q2816" s="9" t="s">
        <v>13284</v>
      </c>
      <c r="R2816" s="9" t="s">
        <v>13284</v>
      </c>
      <c r="S2816" s="9" t="s">
        <v>13284</v>
      </c>
      <c r="T2816" s="9" t="str">
        <f ca="1">IFERROR(IF(AND(VLOOKUP(A2816, 'Актуальное состояние (из общего'!A:C,3,0) = "", A2816 &lt;&gt; ""), "ПРОВЕРИТЬ", VLOOKUP(A2816, 'Актуальное состояние (из общего'!A:C,3,0)), "")</f>
        <v/>
      </c>
      <c r="U2816" s="9" t="s">
        <v>13284</v>
      </c>
      <c r="V2816" s="9" t="s">
        <v>13284</v>
      </c>
      <c r="W2816" s="12"/>
      <c r="X2816" s="9" t="str">
        <f t="array" ref="X2816">IFERROR(INDEX('Адреса общежитий (скрытый)'!$B$2:$B$9, MATCH(W2816, 'Адреса общежитий (скрытый)'!$A$2:$A$9, 0)), "")</f>
        <v/>
      </c>
      <c r="Y2816" s="18"/>
      <c r="Z2816" s="18"/>
      <c r="AA2816" s="18"/>
      <c r="AB2816" s="18"/>
      <c r="AC2816" s="18"/>
    </row>
    <row r="2817" spans="1:29" ht="32.25" hidden="1" customHeight="1">
      <c r="A2817" s="17"/>
      <c r="B2817" s="9" t="s">
        <v>13284</v>
      </c>
      <c r="C2817" s="9" t="s">
        <v>13284</v>
      </c>
      <c r="D2817" s="9" t="s">
        <v>13284</v>
      </c>
      <c r="E2817" s="9" t="s">
        <v>13284</v>
      </c>
      <c r="F2817" s="9" t="s">
        <v>13284</v>
      </c>
      <c r="G2817" s="9" t="s">
        <v>13284</v>
      </c>
      <c r="H2817" s="9" t="s">
        <v>13284</v>
      </c>
      <c r="I2817" s="9" t="s">
        <v>13284</v>
      </c>
      <c r="J2817" s="9" t="s">
        <v>13284</v>
      </c>
      <c r="K2817" s="9" t="s">
        <v>13284</v>
      </c>
      <c r="L2817" s="9" t="s">
        <v>13284</v>
      </c>
      <c r="M2817" s="9" t="s">
        <v>13284</v>
      </c>
      <c r="N2817" s="9" t="s">
        <v>13284</v>
      </c>
      <c r="O2817" s="9" t="s">
        <v>13284</v>
      </c>
      <c r="P2817" s="9" t="s">
        <v>13284</v>
      </c>
      <c r="Q2817" s="9" t="s">
        <v>13284</v>
      </c>
      <c r="R2817" s="9" t="s">
        <v>13284</v>
      </c>
      <c r="S2817" s="9" t="s">
        <v>13284</v>
      </c>
      <c r="T2817" s="9" t="str">
        <f ca="1">IFERROR(IF(AND(VLOOKUP(A2817, 'Актуальное состояние (из общего'!A:C,3,0) = "", A2817 &lt;&gt; ""), "ПРОВЕРИТЬ", VLOOKUP(A2817, 'Актуальное состояние (из общего'!A:C,3,0)), "")</f>
        <v/>
      </c>
      <c r="U2817" s="9" t="s">
        <v>13284</v>
      </c>
      <c r="V2817" s="9" t="s">
        <v>13284</v>
      </c>
      <c r="W2817" s="12"/>
      <c r="X2817" s="9" t="str">
        <f t="array" ref="X2817">IFERROR(INDEX('Адреса общежитий (скрытый)'!$B$2:$B$9, MATCH(W2817, 'Адреса общежитий (скрытый)'!$A$2:$A$9, 0)), "")</f>
        <v/>
      </c>
      <c r="Y2817" s="18"/>
      <c r="Z2817" s="18"/>
      <c r="AA2817" s="18"/>
      <c r="AB2817" s="18"/>
      <c r="AC2817" s="18"/>
    </row>
    <row r="2818" spans="1:29" ht="32.25" hidden="1" customHeight="1">
      <c r="A2818" s="17"/>
      <c r="B2818" s="9" t="s">
        <v>13284</v>
      </c>
      <c r="C2818" s="9" t="s">
        <v>13284</v>
      </c>
      <c r="D2818" s="9" t="s">
        <v>13284</v>
      </c>
      <c r="E2818" s="9" t="s">
        <v>13284</v>
      </c>
      <c r="F2818" s="9" t="s">
        <v>13284</v>
      </c>
      <c r="G2818" s="9" t="s">
        <v>13284</v>
      </c>
      <c r="H2818" s="9" t="s">
        <v>13284</v>
      </c>
      <c r="I2818" s="9" t="s">
        <v>13284</v>
      </c>
      <c r="J2818" s="9" t="s">
        <v>13284</v>
      </c>
      <c r="K2818" s="9" t="s">
        <v>13284</v>
      </c>
      <c r="L2818" s="9" t="s">
        <v>13284</v>
      </c>
      <c r="M2818" s="9" t="s">
        <v>13284</v>
      </c>
      <c r="N2818" s="9" t="s">
        <v>13284</v>
      </c>
      <c r="O2818" s="9" t="s">
        <v>13284</v>
      </c>
      <c r="P2818" s="9" t="s">
        <v>13284</v>
      </c>
      <c r="Q2818" s="9" t="s">
        <v>13284</v>
      </c>
      <c r="R2818" s="9" t="s">
        <v>13284</v>
      </c>
      <c r="S2818" s="9" t="s">
        <v>13284</v>
      </c>
      <c r="T2818" s="9" t="str">
        <f ca="1">IFERROR(IF(AND(VLOOKUP(A2818, 'Актуальное состояние (из общего'!A:C,3,0) = "", A2818 &lt;&gt; ""), "ПРОВЕРИТЬ", VLOOKUP(A2818, 'Актуальное состояние (из общего'!A:C,3,0)), "")</f>
        <v/>
      </c>
      <c r="U2818" s="9" t="s">
        <v>13284</v>
      </c>
      <c r="V2818" s="9" t="s">
        <v>13284</v>
      </c>
      <c r="W2818" s="12"/>
      <c r="X2818" s="9" t="str">
        <f t="array" ref="X2818">IFERROR(INDEX('Адреса общежитий (скрытый)'!$B$2:$B$9, MATCH(W2818, 'Адреса общежитий (скрытый)'!$A$2:$A$9, 0)), "")</f>
        <v/>
      </c>
      <c r="Y2818" s="18"/>
      <c r="Z2818" s="18"/>
      <c r="AA2818" s="18"/>
      <c r="AB2818" s="18"/>
      <c r="AC2818" s="18"/>
    </row>
    <row r="2819" spans="1:29" ht="32.25" hidden="1" customHeight="1">
      <c r="A2819" s="17"/>
      <c r="B2819" s="9" t="s">
        <v>13284</v>
      </c>
      <c r="C2819" s="9" t="s">
        <v>13284</v>
      </c>
      <c r="D2819" s="9" t="s">
        <v>13284</v>
      </c>
      <c r="E2819" s="9" t="s">
        <v>13284</v>
      </c>
      <c r="F2819" s="9" t="s">
        <v>13284</v>
      </c>
      <c r="G2819" s="9" t="s">
        <v>13284</v>
      </c>
      <c r="H2819" s="9" t="s">
        <v>13284</v>
      </c>
      <c r="I2819" s="9" t="s">
        <v>13284</v>
      </c>
      <c r="J2819" s="9" t="s">
        <v>13284</v>
      </c>
      <c r="K2819" s="9" t="s">
        <v>13284</v>
      </c>
      <c r="L2819" s="9" t="s">
        <v>13284</v>
      </c>
      <c r="M2819" s="9" t="s">
        <v>13284</v>
      </c>
      <c r="N2819" s="9" t="s">
        <v>13284</v>
      </c>
      <c r="O2819" s="9" t="s">
        <v>13284</v>
      </c>
      <c r="P2819" s="9" t="s">
        <v>13284</v>
      </c>
      <c r="Q2819" s="9" t="s">
        <v>13284</v>
      </c>
      <c r="R2819" s="9" t="s">
        <v>13284</v>
      </c>
      <c r="S2819" s="9" t="s">
        <v>13284</v>
      </c>
      <c r="T2819" s="9" t="str">
        <f ca="1">IFERROR(IF(AND(VLOOKUP(A2819, 'Актуальное состояние (из общего'!A:C,3,0) = "", A2819 &lt;&gt; ""), "ПРОВЕРИТЬ", VLOOKUP(A2819, 'Актуальное состояние (из общего'!A:C,3,0)), "")</f>
        <v/>
      </c>
      <c r="U2819" s="9" t="s">
        <v>13284</v>
      </c>
      <c r="V2819" s="9" t="s">
        <v>13284</v>
      </c>
      <c r="W2819" s="12"/>
      <c r="X2819" s="9" t="str">
        <f t="array" ref="X2819">IFERROR(INDEX('Адреса общежитий (скрытый)'!$B$2:$B$9, MATCH(W2819, 'Адреса общежитий (скрытый)'!$A$2:$A$9, 0)), "")</f>
        <v/>
      </c>
      <c r="Y2819" s="18"/>
      <c r="Z2819" s="18"/>
      <c r="AA2819" s="18"/>
      <c r="AB2819" s="18"/>
      <c r="AC2819" s="18"/>
    </row>
    <row r="2820" spans="1:29" ht="32.25" hidden="1" customHeight="1">
      <c r="A2820" s="17"/>
      <c r="B2820" s="9" t="s">
        <v>13284</v>
      </c>
      <c r="C2820" s="9" t="s">
        <v>13284</v>
      </c>
      <c r="D2820" s="9" t="s">
        <v>13284</v>
      </c>
      <c r="E2820" s="9" t="s">
        <v>13284</v>
      </c>
      <c r="F2820" s="9" t="s">
        <v>13284</v>
      </c>
      <c r="G2820" s="9" t="s">
        <v>13284</v>
      </c>
      <c r="H2820" s="9" t="s">
        <v>13284</v>
      </c>
      <c r="I2820" s="9" t="s">
        <v>13284</v>
      </c>
      <c r="J2820" s="9" t="s">
        <v>13284</v>
      </c>
      <c r="K2820" s="9" t="s">
        <v>13284</v>
      </c>
      <c r="L2820" s="9" t="s">
        <v>13284</v>
      </c>
      <c r="M2820" s="9" t="s">
        <v>13284</v>
      </c>
      <c r="N2820" s="9" t="s">
        <v>13284</v>
      </c>
      <c r="O2820" s="9" t="s">
        <v>13284</v>
      </c>
      <c r="P2820" s="9" t="s">
        <v>13284</v>
      </c>
      <c r="Q2820" s="9" t="s">
        <v>13284</v>
      </c>
      <c r="R2820" s="9" t="s">
        <v>13284</v>
      </c>
      <c r="S2820" s="9" t="s">
        <v>13284</v>
      </c>
      <c r="T2820" s="9" t="str">
        <f ca="1">IFERROR(IF(AND(VLOOKUP(A2820, 'Актуальное состояние (из общего'!A:C,3,0) = "", A2820 &lt;&gt; ""), "ПРОВЕРИТЬ", VLOOKUP(A2820, 'Актуальное состояние (из общего'!A:C,3,0)), "")</f>
        <v/>
      </c>
      <c r="U2820" s="9" t="s">
        <v>13284</v>
      </c>
      <c r="V2820" s="9" t="s">
        <v>13284</v>
      </c>
      <c r="W2820" s="12"/>
      <c r="X2820" s="9" t="str">
        <f t="array" ref="X2820">IFERROR(INDEX('Адреса общежитий (скрытый)'!$B$2:$B$9, MATCH(W2820, 'Адреса общежитий (скрытый)'!$A$2:$A$9, 0)), "")</f>
        <v/>
      </c>
      <c r="Y2820" s="18"/>
      <c r="Z2820" s="18"/>
      <c r="AA2820" s="18"/>
      <c r="AB2820" s="18"/>
      <c r="AC2820" s="18"/>
    </row>
    <row r="2821" spans="1:29" ht="32.25" hidden="1" customHeight="1">
      <c r="A2821" s="17"/>
      <c r="B2821" s="9" t="s">
        <v>13284</v>
      </c>
      <c r="C2821" s="9" t="s">
        <v>13284</v>
      </c>
      <c r="D2821" s="9" t="s">
        <v>13284</v>
      </c>
      <c r="E2821" s="9" t="s">
        <v>13284</v>
      </c>
      <c r="F2821" s="9" t="s">
        <v>13284</v>
      </c>
      <c r="G2821" s="9" t="s">
        <v>13284</v>
      </c>
      <c r="H2821" s="9" t="s">
        <v>13284</v>
      </c>
      <c r="I2821" s="9" t="s">
        <v>13284</v>
      </c>
      <c r="J2821" s="9" t="s">
        <v>13284</v>
      </c>
      <c r="K2821" s="9" t="s">
        <v>13284</v>
      </c>
      <c r="L2821" s="9" t="s">
        <v>13284</v>
      </c>
      <c r="M2821" s="9" t="s">
        <v>13284</v>
      </c>
      <c r="N2821" s="9" t="s">
        <v>13284</v>
      </c>
      <c r="O2821" s="9" t="s">
        <v>13284</v>
      </c>
      <c r="P2821" s="9" t="s">
        <v>13284</v>
      </c>
      <c r="Q2821" s="9" t="s">
        <v>13284</v>
      </c>
      <c r="R2821" s="9" t="s">
        <v>13284</v>
      </c>
      <c r="S2821" s="9" t="s">
        <v>13284</v>
      </c>
      <c r="T2821" s="9" t="str">
        <f ca="1">IFERROR(IF(AND(VLOOKUP(A2821, 'Актуальное состояние (из общего'!A:C,3,0) = "", A2821 &lt;&gt; ""), "ПРОВЕРИТЬ", VLOOKUP(A2821, 'Актуальное состояние (из общего'!A:C,3,0)), "")</f>
        <v/>
      </c>
      <c r="U2821" s="9" t="s">
        <v>13284</v>
      </c>
      <c r="V2821" s="9" t="s">
        <v>13284</v>
      </c>
      <c r="W2821" s="12"/>
      <c r="X2821" s="9" t="str">
        <f t="array" ref="X2821">IFERROR(INDEX('Адреса общежитий (скрытый)'!$B$2:$B$9, MATCH(W2821, 'Адреса общежитий (скрытый)'!$A$2:$A$9, 0)), "")</f>
        <v/>
      </c>
      <c r="Y2821" s="18"/>
      <c r="Z2821" s="18"/>
      <c r="AA2821" s="18"/>
      <c r="AB2821" s="18"/>
      <c r="AC2821" s="18"/>
    </row>
    <row r="2822" spans="1:29" ht="32.25" hidden="1" customHeight="1">
      <c r="A2822" s="17"/>
      <c r="B2822" s="9" t="s">
        <v>13284</v>
      </c>
      <c r="C2822" s="9" t="s">
        <v>13284</v>
      </c>
      <c r="D2822" s="9" t="s">
        <v>13284</v>
      </c>
      <c r="E2822" s="9" t="s">
        <v>13284</v>
      </c>
      <c r="F2822" s="9" t="s">
        <v>13284</v>
      </c>
      <c r="G2822" s="9" t="s">
        <v>13284</v>
      </c>
      <c r="H2822" s="9" t="s">
        <v>13284</v>
      </c>
      <c r="I2822" s="9" t="s">
        <v>13284</v>
      </c>
      <c r="J2822" s="9" t="s">
        <v>13284</v>
      </c>
      <c r="K2822" s="9" t="s">
        <v>13284</v>
      </c>
      <c r="L2822" s="9" t="s">
        <v>13284</v>
      </c>
      <c r="M2822" s="9" t="s">
        <v>13284</v>
      </c>
      <c r="N2822" s="9" t="s">
        <v>13284</v>
      </c>
      <c r="O2822" s="9" t="s">
        <v>13284</v>
      </c>
      <c r="P2822" s="9" t="s">
        <v>13284</v>
      </c>
      <c r="Q2822" s="9" t="s">
        <v>13284</v>
      </c>
      <c r="R2822" s="9" t="s">
        <v>13284</v>
      </c>
      <c r="S2822" s="9" t="s">
        <v>13284</v>
      </c>
      <c r="T2822" s="9" t="str">
        <f ca="1">IFERROR(IF(AND(VLOOKUP(A2822, 'Актуальное состояние (из общего'!A:C,3,0) = "", A2822 &lt;&gt; ""), "ПРОВЕРИТЬ", VLOOKUP(A2822, 'Актуальное состояние (из общего'!A:C,3,0)), "")</f>
        <v/>
      </c>
      <c r="U2822" s="9" t="s">
        <v>13284</v>
      </c>
      <c r="V2822" s="9" t="s">
        <v>13284</v>
      </c>
      <c r="W2822" s="12"/>
      <c r="X2822" s="9" t="str">
        <f t="array" ref="X2822">IFERROR(INDEX('Адреса общежитий (скрытый)'!$B$2:$B$9, MATCH(W2822, 'Адреса общежитий (скрытый)'!$A$2:$A$9, 0)), "")</f>
        <v/>
      </c>
      <c r="Y2822" s="18"/>
      <c r="Z2822" s="18"/>
      <c r="AA2822" s="18"/>
      <c r="AB2822" s="18"/>
      <c r="AC2822" s="18"/>
    </row>
    <row r="2823" spans="1:29" ht="32.25" hidden="1" customHeight="1">
      <c r="A2823" s="17"/>
      <c r="B2823" s="9" t="s">
        <v>13284</v>
      </c>
      <c r="C2823" s="9" t="s">
        <v>13284</v>
      </c>
      <c r="D2823" s="9" t="s">
        <v>13284</v>
      </c>
      <c r="E2823" s="9" t="s">
        <v>13284</v>
      </c>
      <c r="F2823" s="9" t="s">
        <v>13284</v>
      </c>
      <c r="G2823" s="9" t="s">
        <v>13284</v>
      </c>
      <c r="H2823" s="9" t="s">
        <v>13284</v>
      </c>
      <c r="I2823" s="9" t="s">
        <v>13284</v>
      </c>
      <c r="J2823" s="9" t="s">
        <v>13284</v>
      </c>
      <c r="K2823" s="9" t="s">
        <v>13284</v>
      </c>
      <c r="L2823" s="9" t="s">
        <v>13284</v>
      </c>
      <c r="M2823" s="9" t="s">
        <v>13284</v>
      </c>
      <c r="N2823" s="9" t="s">
        <v>13284</v>
      </c>
      <c r="O2823" s="9" t="s">
        <v>13284</v>
      </c>
      <c r="P2823" s="9" t="s">
        <v>13284</v>
      </c>
      <c r="Q2823" s="9" t="s">
        <v>13284</v>
      </c>
      <c r="R2823" s="9" t="s">
        <v>13284</v>
      </c>
      <c r="S2823" s="9" t="s">
        <v>13284</v>
      </c>
      <c r="T2823" s="9" t="str">
        <f ca="1">IFERROR(IF(AND(VLOOKUP(A2823, 'Актуальное состояние (из общего'!A:C,3,0) = "", A2823 &lt;&gt; ""), "ПРОВЕРИТЬ", VLOOKUP(A2823, 'Актуальное состояние (из общего'!A:C,3,0)), "")</f>
        <v/>
      </c>
      <c r="U2823" s="9" t="s">
        <v>13284</v>
      </c>
      <c r="V2823" s="9" t="s">
        <v>13284</v>
      </c>
      <c r="W2823" s="12"/>
      <c r="X2823" s="9" t="str">
        <f t="array" ref="X2823">IFERROR(INDEX('Адреса общежитий (скрытый)'!$B$2:$B$9, MATCH(W2823, 'Адреса общежитий (скрытый)'!$A$2:$A$9, 0)), "")</f>
        <v/>
      </c>
      <c r="Y2823" s="18"/>
      <c r="Z2823" s="18"/>
      <c r="AA2823" s="18"/>
      <c r="AB2823" s="18"/>
      <c r="AC2823" s="18"/>
    </row>
    <row r="2824" spans="1:29" ht="32.25" hidden="1" customHeight="1">
      <c r="A2824" s="17"/>
      <c r="B2824" s="9" t="s">
        <v>13284</v>
      </c>
      <c r="C2824" s="9" t="s">
        <v>13284</v>
      </c>
      <c r="D2824" s="9" t="s">
        <v>13284</v>
      </c>
      <c r="E2824" s="9" t="s">
        <v>13284</v>
      </c>
      <c r="F2824" s="9" t="s">
        <v>13284</v>
      </c>
      <c r="G2824" s="9" t="s">
        <v>13284</v>
      </c>
      <c r="H2824" s="9" t="s">
        <v>13284</v>
      </c>
      <c r="I2824" s="9" t="s">
        <v>13284</v>
      </c>
      <c r="J2824" s="9" t="s">
        <v>13284</v>
      </c>
      <c r="K2824" s="9" t="s">
        <v>13284</v>
      </c>
      <c r="L2824" s="9" t="s">
        <v>13284</v>
      </c>
      <c r="M2824" s="9" t="s">
        <v>13284</v>
      </c>
      <c r="N2824" s="9" t="s">
        <v>13284</v>
      </c>
      <c r="O2824" s="9" t="s">
        <v>13284</v>
      </c>
      <c r="P2824" s="9" t="s">
        <v>13284</v>
      </c>
      <c r="Q2824" s="9" t="s">
        <v>13284</v>
      </c>
      <c r="R2824" s="9" t="s">
        <v>13284</v>
      </c>
      <c r="S2824" s="9" t="s">
        <v>13284</v>
      </c>
      <c r="T2824" s="9" t="str">
        <f ca="1">IFERROR(IF(AND(VLOOKUP(A2824, 'Актуальное состояние (из общего'!A:C,3,0) = "", A2824 &lt;&gt; ""), "ПРОВЕРИТЬ", VLOOKUP(A2824, 'Актуальное состояние (из общего'!A:C,3,0)), "")</f>
        <v/>
      </c>
      <c r="U2824" s="9" t="s">
        <v>13284</v>
      </c>
      <c r="V2824" s="9" t="s">
        <v>13284</v>
      </c>
      <c r="W2824" s="12"/>
      <c r="X2824" s="9" t="str">
        <f t="array" ref="X2824">IFERROR(INDEX('Адреса общежитий (скрытый)'!$B$2:$B$9, MATCH(W2824, 'Адреса общежитий (скрытый)'!$A$2:$A$9, 0)), "")</f>
        <v/>
      </c>
      <c r="Y2824" s="18"/>
      <c r="Z2824" s="18"/>
      <c r="AA2824" s="18"/>
      <c r="AB2824" s="18"/>
      <c r="AC2824" s="18"/>
    </row>
    <row r="2825" spans="1:29" ht="32.25" hidden="1" customHeight="1">
      <c r="A2825" s="17"/>
      <c r="B2825" s="9" t="s">
        <v>13284</v>
      </c>
      <c r="C2825" s="9" t="s">
        <v>13284</v>
      </c>
      <c r="D2825" s="9" t="s">
        <v>13284</v>
      </c>
      <c r="E2825" s="9" t="s">
        <v>13284</v>
      </c>
      <c r="F2825" s="9" t="s">
        <v>13284</v>
      </c>
      <c r="G2825" s="9" t="s">
        <v>13284</v>
      </c>
      <c r="H2825" s="9" t="s">
        <v>13284</v>
      </c>
      <c r="I2825" s="9" t="s">
        <v>13284</v>
      </c>
      <c r="J2825" s="9" t="s">
        <v>13284</v>
      </c>
      <c r="K2825" s="9" t="s">
        <v>13284</v>
      </c>
      <c r="L2825" s="9" t="s">
        <v>13284</v>
      </c>
      <c r="M2825" s="9" t="s">
        <v>13284</v>
      </c>
      <c r="N2825" s="9" t="s">
        <v>13284</v>
      </c>
      <c r="O2825" s="9" t="s">
        <v>13284</v>
      </c>
      <c r="P2825" s="9" t="s">
        <v>13284</v>
      </c>
      <c r="Q2825" s="9" t="s">
        <v>13284</v>
      </c>
      <c r="R2825" s="9" t="s">
        <v>13284</v>
      </c>
      <c r="S2825" s="9" t="s">
        <v>13284</v>
      </c>
      <c r="T2825" s="9" t="str">
        <f ca="1">IFERROR(IF(AND(VLOOKUP(A2825, 'Актуальное состояние (из общего'!A:C,3,0) = "", A2825 &lt;&gt; ""), "ПРОВЕРИТЬ", VLOOKUP(A2825, 'Актуальное состояние (из общего'!A:C,3,0)), "")</f>
        <v/>
      </c>
      <c r="U2825" s="9" t="s">
        <v>13284</v>
      </c>
      <c r="V2825" s="9" t="s">
        <v>13284</v>
      </c>
      <c r="W2825" s="12"/>
      <c r="X2825" s="9" t="str">
        <f t="array" ref="X2825">IFERROR(INDEX('Адреса общежитий (скрытый)'!$B$2:$B$9, MATCH(W2825, 'Адреса общежитий (скрытый)'!$A$2:$A$9, 0)), "")</f>
        <v/>
      </c>
      <c r="Y2825" s="18"/>
      <c r="Z2825" s="18"/>
      <c r="AA2825" s="18"/>
      <c r="AB2825" s="18"/>
      <c r="AC2825" s="18"/>
    </row>
    <row r="2826" spans="1:29" ht="32.25" hidden="1" customHeight="1">
      <c r="A2826" s="17"/>
      <c r="B2826" s="9" t="s">
        <v>13284</v>
      </c>
      <c r="C2826" s="9" t="s">
        <v>13284</v>
      </c>
      <c r="D2826" s="9" t="s">
        <v>13284</v>
      </c>
      <c r="E2826" s="9" t="s">
        <v>13284</v>
      </c>
      <c r="F2826" s="9" t="s">
        <v>13284</v>
      </c>
      <c r="G2826" s="9" t="s">
        <v>13284</v>
      </c>
      <c r="H2826" s="9" t="s">
        <v>13284</v>
      </c>
      <c r="I2826" s="9" t="s">
        <v>13284</v>
      </c>
      <c r="J2826" s="9" t="s">
        <v>13284</v>
      </c>
      <c r="K2826" s="9" t="s">
        <v>13284</v>
      </c>
      <c r="L2826" s="9" t="s">
        <v>13284</v>
      </c>
      <c r="M2826" s="9" t="s">
        <v>13284</v>
      </c>
      <c r="N2826" s="9" t="s">
        <v>13284</v>
      </c>
      <c r="O2826" s="9" t="s">
        <v>13284</v>
      </c>
      <c r="P2826" s="9" t="s">
        <v>13284</v>
      </c>
      <c r="Q2826" s="9" t="s">
        <v>13284</v>
      </c>
      <c r="R2826" s="9" t="s">
        <v>13284</v>
      </c>
      <c r="S2826" s="9" t="s">
        <v>13284</v>
      </c>
      <c r="T2826" s="9" t="str">
        <f ca="1">IFERROR(IF(AND(VLOOKUP(A2826, 'Актуальное состояние (из общего'!A:C,3,0) = "", A2826 &lt;&gt; ""), "ПРОВЕРИТЬ", VLOOKUP(A2826, 'Актуальное состояние (из общего'!A:C,3,0)), "")</f>
        <v/>
      </c>
      <c r="U2826" s="9" t="s">
        <v>13284</v>
      </c>
      <c r="V2826" s="9" t="s">
        <v>13284</v>
      </c>
      <c r="W2826" s="12"/>
      <c r="X2826" s="9" t="str">
        <f t="array" ref="X2826">IFERROR(INDEX('Адреса общежитий (скрытый)'!$B$2:$B$9, MATCH(W2826, 'Адреса общежитий (скрытый)'!$A$2:$A$9, 0)), "")</f>
        <v/>
      </c>
      <c r="Y2826" s="18"/>
      <c r="Z2826" s="18"/>
      <c r="AA2826" s="18"/>
      <c r="AB2826" s="18"/>
      <c r="AC2826" s="18"/>
    </row>
    <row r="2827" spans="1:29" ht="32.25" hidden="1" customHeight="1">
      <c r="A2827" s="17"/>
      <c r="B2827" s="9" t="s">
        <v>13284</v>
      </c>
      <c r="C2827" s="9" t="s">
        <v>13284</v>
      </c>
      <c r="D2827" s="9" t="s">
        <v>13284</v>
      </c>
      <c r="E2827" s="9" t="s">
        <v>13284</v>
      </c>
      <c r="F2827" s="9" t="s">
        <v>13284</v>
      </c>
      <c r="G2827" s="9" t="s">
        <v>13284</v>
      </c>
      <c r="H2827" s="9" t="s">
        <v>13284</v>
      </c>
      <c r="I2827" s="9" t="s">
        <v>13284</v>
      </c>
      <c r="J2827" s="9" t="s">
        <v>13284</v>
      </c>
      <c r="K2827" s="9" t="s">
        <v>13284</v>
      </c>
      <c r="L2827" s="9" t="s">
        <v>13284</v>
      </c>
      <c r="M2827" s="9" t="s">
        <v>13284</v>
      </c>
      <c r="N2827" s="9" t="s">
        <v>13284</v>
      </c>
      <c r="O2827" s="9" t="s">
        <v>13284</v>
      </c>
      <c r="P2827" s="9" t="s">
        <v>13284</v>
      </c>
      <c r="Q2827" s="9" t="s">
        <v>13284</v>
      </c>
      <c r="R2827" s="9" t="s">
        <v>13284</v>
      </c>
      <c r="S2827" s="9" t="s">
        <v>13284</v>
      </c>
      <c r="T2827" s="9" t="str">
        <f ca="1">IFERROR(IF(AND(VLOOKUP(A2827, 'Актуальное состояние (из общего'!A:C,3,0) = "", A2827 &lt;&gt; ""), "ПРОВЕРИТЬ", VLOOKUP(A2827, 'Актуальное состояние (из общего'!A:C,3,0)), "")</f>
        <v/>
      </c>
      <c r="U2827" s="9" t="s">
        <v>13284</v>
      </c>
      <c r="V2827" s="9" t="s">
        <v>13284</v>
      </c>
      <c r="W2827" s="12"/>
      <c r="X2827" s="9" t="str">
        <f t="array" ref="X2827">IFERROR(INDEX('Адреса общежитий (скрытый)'!$B$2:$B$9, MATCH(W2827, 'Адреса общежитий (скрытый)'!$A$2:$A$9, 0)), "")</f>
        <v/>
      </c>
      <c r="Y2827" s="18"/>
      <c r="Z2827" s="18"/>
      <c r="AA2827" s="18"/>
      <c r="AB2827" s="18"/>
      <c r="AC2827" s="18"/>
    </row>
    <row r="2828" spans="1:29" ht="32.25" hidden="1" customHeight="1">
      <c r="A2828" s="17"/>
      <c r="B2828" s="9" t="s">
        <v>13284</v>
      </c>
      <c r="C2828" s="9" t="s">
        <v>13284</v>
      </c>
      <c r="D2828" s="9" t="s">
        <v>13284</v>
      </c>
      <c r="E2828" s="9" t="s">
        <v>13284</v>
      </c>
      <c r="F2828" s="9" t="s">
        <v>13284</v>
      </c>
      <c r="G2828" s="9" t="s">
        <v>13284</v>
      </c>
      <c r="H2828" s="9" t="s">
        <v>13284</v>
      </c>
      <c r="I2828" s="9" t="s">
        <v>13284</v>
      </c>
      <c r="J2828" s="9" t="s">
        <v>13284</v>
      </c>
      <c r="K2828" s="9" t="s">
        <v>13284</v>
      </c>
      <c r="L2828" s="9" t="s">
        <v>13284</v>
      </c>
      <c r="M2828" s="9" t="s">
        <v>13284</v>
      </c>
      <c r="N2828" s="9" t="s">
        <v>13284</v>
      </c>
      <c r="O2828" s="9" t="s">
        <v>13284</v>
      </c>
      <c r="P2828" s="9" t="s">
        <v>13284</v>
      </c>
      <c r="Q2828" s="9" t="s">
        <v>13284</v>
      </c>
      <c r="R2828" s="9" t="s">
        <v>13284</v>
      </c>
      <c r="S2828" s="9" t="s">
        <v>13284</v>
      </c>
      <c r="T2828" s="9" t="str">
        <f ca="1">IFERROR(IF(AND(VLOOKUP(A2828, 'Актуальное состояние (из общего'!A:C,3,0) = "", A2828 &lt;&gt; ""), "ПРОВЕРИТЬ", VLOOKUP(A2828, 'Актуальное состояние (из общего'!A:C,3,0)), "")</f>
        <v/>
      </c>
      <c r="U2828" s="9" t="s">
        <v>13284</v>
      </c>
      <c r="V2828" s="9" t="s">
        <v>13284</v>
      </c>
      <c r="W2828" s="12"/>
      <c r="X2828" s="9" t="str">
        <f t="array" ref="X2828">IFERROR(INDEX('Адреса общежитий (скрытый)'!$B$2:$B$9, MATCH(W2828, 'Адреса общежитий (скрытый)'!$A$2:$A$9, 0)), "")</f>
        <v/>
      </c>
      <c r="Y2828" s="18"/>
      <c r="Z2828" s="18"/>
      <c r="AA2828" s="18"/>
      <c r="AB2828" s="18"/>
      <c r="AC2828" s="18"/>
    </row>
    <row r="2829" spans="1:29" ht="32.25" hidden="1" customHeight="1">
      <c r="A2829" s="17"/>
      <c r="B2829" s="9" t="s">
        <v>13284</v>
      </c>
      <c r="C2829" s="9" t="s">
        <v>13284</v>
      </c>
      <c r="D2829" s="9" t="s">
        <v>13284</v>
      </c>
      <c r="E2829" s="9" t="s">
        <v>13284</v>
      </c>
      <c r="F2829" s="9" t="s">
        <v>13284</v>
      </c>
      <c r="G2829" s="9" t="s">
        <v>13284</v>
      </c>
      <c r="H2829" s="9" t="s">
        <v>13284</v>
      </c>
      <c r="I2829" s="9" t="s">
        <v>13284</v>
      </c>
      <c r="J2829" s="9" t="s">
        <v>13284</v>
      </c>
      <c r="K2829" s="9" t="s">
        <v>13284</v>
      </c>
      <c r="L2829" s="9" t="s">
        <v>13284</v>
      </c>
      <c r="M2829" s="9" t="s">
        <v>13284</v>
      </c>
      <c r="N2829" s="9" t="s">
        <v>13284</v>
      </c>
      <c r="O2829" s="9" t="s">
        <v>13284</v>
      </c>
      <c r="P2829" s="9" t="s">
        <v>13284</v>
      </c>
      <c r="Q2829" s="9" t="s">
        <v>13284</v>
      </c>
      <c r="R2829" s="9" t="s">
        <v>13284</v>
      </c>
      <c r="S2829" s="9" t="s">
        <v>13284</v>
      </c>
      <c r="T2829" s="9" t="str">
        <f ca="1">IFERROR(IF(AND(VLOOKUP(A2829, 'Актуальное состояние (из общего'!A:C,3,0) = "", A2829 &lt;&gt; ""), "ПРОВЕРИТЬ", VLOOKUP(A2829, 'Актуальное состояние (из общего'!A:C,3,0)), "")</f>
        <v/>
      </c>
      <c r="U2829" s="9" t="s">
        <v>13284</v>
      </c>
      <c r="V2829" s="9" t="s">
        <v>13284</v>
      </c>
      <c r="W2829" s="12"/>
      <c r="X2829" s="9" t="str">
        <f t="array" ref="X2829">IFERROR(INDEX('Адреса общежитий (скрытый)'!$B$2:$B$9, MATCH(W2829, 'Адреса общежитий (скрытый)'!$A$2:$A$9, 0)), "")</f>
        <v/>
      </c>
      <c r="Y2829" s="18"/>
      <c r="Z2829" s="18"/>
      <c r="AA2829" s="18"/>
      <c r="AB2829" s="18"/>
      <c r="AC2829" s="18"/>
    </row>
    <row r="2830" spans="1:29" ht="32.25" hidden="1" customHeight="1">
      <c r="A2830" s="17"/>
      <c r="B2830" s="9" t="s">
        <v>13284</v>
      </c>
      <c r="C2830" s="9" t="s">
        <v>13284</v>
      </c>
      <c r="D2830" s="9" t="s">
        <v>13284</v>
      </c>
      <c r="E2830" s="9" t="s">
        <v>13284</v>
      </c>
      <c r="F2830" s="9" t="s">
        <v>13284</v>
      </c>
      <c r="G2830" s="9" t="s">
        <v>13284</v>
      </c>
      <c r="H2830" s="9" t="s">
        <v>13284</v>
      </c>
      <c r="I2830" s="9" t="s">
        <v>13284</v>
      </c>
      <c r="J2830" s="9" t="s">
        <v>13284</v>
      </c>
      <c r="K2830" s="9" t="s">
        <v>13284</v>
      </c>
      <c r="L2830" s="9" t="s">
        <v>13284</v>
      </c>
      <c r="M2830" s="9" t="s">
        <v>13284</v>
      </c>
      <c r="N2830" s="9" t="s">
        <v>13284</v>
      </c>
      <c r="O2830" s="9" t="s">
        <v>13284</v>
      </c>
      <c r="P2830" s="9" t="s">
        <v>13284</v>
      </c>
      <c r="Q2830" s="9" t="s">
        <v>13284</v>
      </c>
      <c r="R2830" s="9" t="s">
        <v>13284</v>
      </c>
      <c r="S2830" s="9" t="s">
        <v>13284</v>
      </c>
      <c r="T2830" s="9" t="str">
        <f ca="1">IFERROR(IF(AND(VLOOKUP(A2830, 'Актуальное состояние (из общего'!A:C,3,0) = "", A2830 &lt;&gt; ""), "ПРОВЕРИТЬ", VLOOKUP(A2830, 'Актуальное состояние (из общего'!A:C,3,0)), "")</f>
        <v/>
      </c>
      <c r="U2830" s="9" t="s">
        <v>13284</v>
      </c>
      <c r="V2830" s="9" t="s">
        <v>13284</v>
      </c>
      <c r="W2830" s="12"/>
      <c r="X2830" s="9" t="str">
        <f t="array" ref="X2830">IFERROR(INDEX('Адреса общежитий (скрытый)'!$B$2:$B$9, MATCH(W2830, 'Адреса общежитий (скрытый)'!$A$2:$A$9, 0)), "")</f>
        <v/>
      </c>
      <c r="Y2830" s="18"/>
      <c r="Z2830" s="18"/>
      <c r="AA2830" s="18"/>
      <c r="AB2830" s="18"/>
      <c r="AC2830" s="18"/>
    </row>
    <row r="2831" spans="1:29" ht="32.25" hidden="1" customHeight="1">
      <c r="A2831" s="17"/>
      <c r="B2831" s="9" t="s">
        <v>13284</v>
      </c>
      <c r="C2831" s="9" t="s">
        <v>13284</v>
      </c>
      <c r="D2831" s="9" t="s">
        <v>13284</v>
      </c>
      <c r="E2831" s="9" t="s">
        <v>13284</v>
      </c>
      <c r="F2831" s="9" t="s">
        <v>13284</v>
      </c>
      <c r="G2831" s="9" t="s">
        <v>13284</v>
      </c>
      <c r="H2831" s="9" t="s">
        <v>13284</v>
      </c>
      <c r="I2831" s="9" t="s">
        <v>13284</v>
      </c>
      <c r="J2831" s="9" t="s">
        <v>13284</v>
      </c>
      <c r="K2831" s="9" t="s">
        <v>13284</v>
      </c>
      <c r="L2831" s="9" t="s">
        <v>13284</v>
      </c>
      <c r="M2831" s="9" t="s">
        <v>13284</v>
      </c>
      <c r="N2831" s="9" t="s">
        <v>13284</v>
      </c>
      <c r="O2831" s="9" t="s">
        <v>13284</v>
      </c>
      <c r="P2831" s="9" t="s">
        <v>13284</v>
      </c>
      <c r="Q2831" s="9" t="s">
        <v>13284</v>
      </c>
      <c r="R2831" s="9" t="s">
        <v>13284</v>
      </c>
      <c r="S2831" s="9" t="s">
        <v>13284</v>
      </c>
      <c r="T2831" s="9" t="str">
        <f ca="1">IFERROR(IF(AND(VLOOKUP(A2831, 'Актуальное состояние (из общего'!A:C,3,0) = "", A2831 &lt;&gt; ""), "ПРОВЕРИТЬ", VLOOKUP(A2831, 'Актуальное состояние (из общего'!A:C,3,0)), "")</f>
        <v/>
      </c>
      <c r="U2831" s="9" t="s">
        <v>13284</v>
      </c>
      <c r="V2831" s="9" t="s">
        <v>13284</v>
      </c>
      <c r="W2831" s="12"/>
      <c r="X2831" s="9" t="str">
        <f t="array" ref="X2831">IFERROR(INDEX('Адреса общежитий (скрытый)'!$B$2:$B$9, MATCH(W2831, 'Адреса общежитий (скрытый)'!$A$2:$A$9, 0)), "")</f>
        <v/>
      </c>
      <c r="Y2831" s="18"/>
      <c r="Z2831" s="18"/>
      <c r="AA2831" s="18"/>
      <c r="AB2831" s="18"/>
      <c r="AC2831" s="18"/>
    </row>
    <row r="2832" spans="1:29" ht="32.25" hidden="1" customHeight="1">
      <c r="A2832" s="17"/>
      <c r="B2832" s="9" t="s">
        <v>13284</v>
      </c>
      <c r="C2832" s="9" t="s">
        <v>13284</v>
      </c>
      <c r="D2832" s="9" t="s">
        <v>13284</v>
      </c>
      <c r="E2832" s="9" t="s">
        <v>13284</v>
      </c>
      <c r="F2832" s="9" t="s">
        <v>13284</v>
      </c>
      <c r="G2832" s="9" t="s">
        <v>13284</v>
      </c>
      <c r="H2832" s="9" t="s">
        <v>13284</v>
      </c>
      <c r="I2832" s="9" t="s">
        <v>13284</v>
      </c>
      <c r="J2832" s="9" t="s">
        <v>13284</v>
      </c>
      <c r="K2832" s="9" t="s">
        <v>13284</v>
      </c>
      <c r="L2832" s="9" t="s">
        <v>13284</v>
      </c>
      <c r="M2832" s="9" t="s">
        <v>13284</v>
      </c>
      <c r="N2832" s="9" t="s">
        <v>13284</v>
      </c>
      <c r="O2832" s="9" t="s">
        <v>13284</v>
      </c>
      <c r="P2832" s="9" t="s">
        <v>13284</v>
      </c>
      <c r="Q2832" s="9" t="s">
        <v>13284</v>
      </c>
      <c r="R2832" s="9" t="s">
        <v>13284</v>
      </c>
      <c r="S2832" s="9" t="s">
        <v>13284</v>
      </c>
      <c r="T2832" s="9" t="str">
        <f ca="1">IFERROR(IF(AND(VLOOKUP(A2832, 'Актуальное состояние (из общего'!A:C,3,0) = "", A2832 &lt;&gt; ""), "ПРОВЕРИТЬ", VLOOKUP(A2832, 'Актуальное состояние (из общего'!A:C,3,0)), "")</f>
        <v/>
      </c>
      <c r="U2832" s="9" t="s">
        <v>13284</v>
      </c>
      <c r="V2832" s="9" t="s">
        <v>13284</v>
      </c>
      <c r="W2832" s="12"/>
      <c r="X2832" s="9" t="str">
        <f t="array" ref="X2832">IFERROR(INDEX('Адреса общежитий (скрытый)'!$B$2:$B$9, MATCH(W2832, 'Адреса общежитий (скрытый)'!$A$2:$A$9, 0)), "")</f>
        <v/>
      </c>
      <c r="Y2832" s="18"/>
      <c r="Z2832" s="18"/>
      <c r="AA2832" s="18"/>
      <c r="AB2832" s="18"/>
      <c r="AC2832" s="18"/>
    </row>
    <row r="2833" spans="1:29" ht="32.25" hidden="1" customHeight="1">
      <c r="A2833" s="17"/>
      <c r="B2833" s="9" t="s">
        <v>13284</v>
      </c>
      <c r="C2833" s="9" t="s">
        <v>13284</v>
      </c>
      <c r="D2833" s="9" t="s">
        <v>13284</v>
      </c>
      <c r="E2833" s="9" t="s">
        <v>13284</v>
      </c>
      <c r="F2833" s="9" t="s">
        <v>13284</v>
      </c>
      <c r="G2833" s="9" t="s">
        <v>13284</v>
      </c>
      <c r="H2833" s="9" t="s">
        <v>13284</v>
      </c>
      <c r="I2833" s="9" t="s">
        <v>13284</v>
      </c>
      <c r="J2833" s="9" t="s">
        <v>13284</v>
      </c>
      <c r="K2833" s="9" t="s">
        <v>13284</v>
      </c>
      <c r="L2833" s="9" t="s">
        <v>13284</v>
      </c>
      <c r="M2833" s="9" t="s">
        <v>13284</v>
      </c>
      <c r="N2833" s="9" t="s">
        <v>13284</v>
      </c>
      <c r="O2833" s="9" t="s">
        <v>13284</v>
      </c>
      <c r="P2833" s="9" t="s">
        <v>13284</v>
      </c>
      <c r="Q2833" s="9" t="s">
        <v>13284</v>
      </c>
      <c r="R2833" s="9" t="s">
        <v>13284</v>
      </c>
      <c r="S2833" s="9" t="s">
        <v>13284</v>
      </c>
      <c r="T2833" s="9" t="str">
        <f ca="1">IFERROR(IF(AND(VLOOKUP(A2833, 'Актуальное состояние (из общего'!A:C,3,0) = "", A2833 &lt;&gt; ""), "ПРОВЕРИТЬ", VLOOKUP(A2833, 'Актуальное состояние (из общего'!A:C,3,0)), "")</f>
        <v/>
      </c>
      <c r="U2833" s="9" t="s">
        <v>13284</v>
      </c>
      <c r="V2833" s="9" t="s">
        <v>13284</v>
      </c>
      <c r="W2833" s="12"/>
      <c r="X2833" s="9" t="str">
        <f t="array" ref="X2833">IFERROR(INDEX('Адреса общежитий (скрытый)'!$B$2:$B$9, MATCH(W2833, 'Адреса общежитий (скрытый)'!$A$2:$A$9, 0)), "")</f>
        <v/>
      </c>
      <c r="Y2833" s="18"/>
      <c r="Z2833" s="18"/>
      <c r="AA2833" s="18"/>
      <c r="AB2833" s="18"/>
      <c r="AC2833" s="18"/>
    </row>
    <row r="2834" spans="1:29" ht="32.25" hidden="1" customHeight="1">
      <c r="A2834" s="17"/>
      <c r="B2834" s="9" t="s">
        <v>13284</v>
      </c>
      <c r="C2834" s="9" t="s">
        <v>13284</v>
      </c>
      <c r="D2834" s="9" t="s">
        <v>13284</v>
      </c>
      <c r="E2834" s="9" t="s">
        <v>13284</v>
      </c>
      <c r="F2834" s="9" t="s">
        <v>13284</v>
      </c>
      <c r="G2834" s="9" t="s">
        <v>13284</v>
      </c>
      <c r="H2834" s="9" t="s">
        <v>13284</v>
      </c>
      <c r="I2834" s="9" t="s">
        <v>13284</v>
      </c>
      <c r="J2834" s="9" t="s">
        <v>13284</v>
      </c>
      <c r="K2834" s="9" t="s">
        <v>13284</v>
      </c>
      <c r="L2834" s="9" t="s">
        <v>13284</v>
      </c>
      <c r="M2834" s="9" t="s">
        <v>13284</v>
      </c>
      <c r="N2834" s="9" t="s">
        <v>13284</v>
      </c>
      <c r="O2834" s="9" t="s">
        <v>13284</v>
      </c>
      <c r="P2834" s="9" t="s">
        <v>13284</v>
      </c>
      <c r="Q2834" s="9" t="s">
        <v>13284</v>
      </c>
      <c r="R2834" s="9" t="s">
        <v>13284</v>
      </c>
      <c r="S2834" s="9" t="s">
        <v>13284</v>
      </c>
      <c r="T2834" s="9" t="str">
        <f ca="1">IFERROR(IF(AND(VLOOKUP(A2834, 'Актуальное состояние (из общего'!A:C,3,0) = "", A2834 &lt;&gt; ""), "ПРОВЕРИТЬ", VLOOKUP(A2834, 'Актуальное состояние (из общего'!A:C,3,0)), "")</f>
        <v/>
      </c>
      <c r="U2834" s="9" t="s">
        <v>13284</v>
      </c>
      <c r="V2834" s="9" t="s">
        <v>13284</v>
      </c>
      <c r="W2834" s="12"/>
      <c r="X2834" s="9" t="str">
        <f t="array" ref="X2834">IFERROR(INDEX('Адреса общежитий (скрытый)'!$B$2:$B$9, MATCH(W2834, 'Адреса общежитий (скрытый)'!$A$2:$A$9, 0)), "")</f>
        <v/>
      </c>
      <c r="Y2834" s="18"/>
      <c r="Z2834" s="18"/>
      <c r="AA2834" s="18"/>
      <c r="AB2834" s="18"/>
      <c r="AC2834" s="18"/>
    </row>
    <row r="2835" spans="1:29" ht="32.25" hidden="1" customHeight="1">
      <c r="A2835" s="17"/>
      <c r="B2835" s="9" t="s">
        <v>13284</v>
      </c>
      <c r="C2835" s="9" t="s">
        <v>13284</v>
      </c>
      <c r="D2835" s="9" t="s">
        <v>13284</v>
      </c>
      <c r="E2835" s="9" t="s">
        <v>13284</v>
      </c>
      <c r="F2835" s="9" t="s">
        <v>13284</v>
      </c>
      <c r="G2835" s="9" t="s">
        <v>13284</v>
      </c>
      <c r="H2835" s="9" t="s">
        <v>13284</v>
      </c>
      <c r="I2835" s="9" t="s">
        <v>13284</v>
      </c>
      <c r="J2835" s="9" t="s">
        <v>13284</v>
      </c>
      <c r="K2835" s="9" t="s">
        <v>13284</v>
      </c>
      <c r="L2835" s="9" t="s">
        <v>13284</v>
      </c>
      <c r="M2835" s="9" t="s">
        <v>13284</v>
      </c>
      <c r="N2835" s="9" t="s">
        <v>13284</v>
      </c>
      <c r="O2835" s="9" t="s">
        <v>13284</v>
      </c>
      <c r="P2835" s="9" t="s">
        <v>13284</v>
      </c>
      <c r="Q2835" s="9" t="s">
        <v>13284</v>
      </c>
      <c r="R2835" s="9" t="s">
        <v>13284</v>
      </c>
      <c r="S2835" s="9" t="s">
        <v>13284</v>
      </c>
      <c r="T2835" s="9" t="str">
        <f ca="1">IFERROR(IF(AND(VLOOKUP(A2835, 'Актуальное состояние (из общего'!A:C,3,0) = "", A2835 &lt;&gt; ""), "ПРОВЕРИТЬ", VLOOKUP(A2835, 'Актуальное состояние (из общего'!A:C,3,0)), "")</f>
        <v/>
      </c>
      <c r="U2835" s="9" t="s">
        <v>13284</v>
      </c>
      <c r="V2835" s="9" t="s">
        <v>13284</v>
      </c>
      <c r="W2835" s="12"/>
      <c r="X2835" s="9" t="str">
        <f t="array" ref="X2835">IFERROR(INDEX('Адреса общежитий (скрытый)'!$B$2:$B$9, MATCH(W2835, 'Адреса общежитий (скрытый)'!$A$2:$A$9, 0)), "")</f>
        <v/>
      </c>
      <c r="Y2835" s="18"/>
      <c r="Z2835" s="18"/>
      <c r="AA2835" s="18"/>
      <c r="AB2835" s="18"/>
      <c r="AC2835" s="18"/>
    </row>
    <row r="2836" spans="1:29" ht="32.25" hidden="1" customHeight="1">
      <c r="A2836" s="17"/>
      <c r="B2836" s="9" t="s">
        <v>13284</v>
      </c>
      <c r="C2836" s="9" t="s">
        <v>13284</v>
      </c>
      <c r="D2836" s="9" t="s">
        <v>13284</v>
      </c>
      <c r="E2836" s="9" t="s">
        <v>13284</v>
      </c>
      <c r="F2836" s="9" t="s">
        <v>13284</v>
      </c>
      <c r="G2836" s="9" t="s">
        <v>13284</v>
      </c>
      <c r="H2836" s="9" t="s">
        <v>13284</v>
      </c>
      <c r="I2836" s="9" t="s">
        <v>13284</v>
      </c>
      <c r="J2836" s="9" t="s">
        <v>13284</v>
      </c>
      <c r="K2836" s="9" t="s">
        <v>13284</v>
      </c>
      <c r="L2836" s="9" t="s">
        <v>13284</v>
      </c>
      <c r="M2836" s="9" t="s">
        <v>13284</v>
      </c>
      <c r="N2836" s="9" t="s">
        <v>13284</v>
      </c>
      <c r="O2836" s="9" t="s">
        <v>13284</v>
      </c>
      <c r="P2836" s="9" t="s">
        <v>13284</v>
      </c>
      <c r="Q2836" s="9" t="s">
        <v>13284</v>
      </c>
      <c r="R2836" s="9" t="s">
        <v>13284</v>
      </c>
      <c r="S2836" s="9" t="s">
        <v>13284</v>
      </c>
      <c r="T2836" s="9" t="str">
        <f ca="1">IFERROR(IF(AND(VLOOKUP(A2836, 'Актуальное состояние (из общего'!A:C,3,0) = "", A2836 &lt;&gt; ""), "ПРОВЕРИТЬ", VLOOKUP(A2836, 'Актуальное состояние (из общего'!A:C,3,0)), "")</f>
        <v/>
      </c>
      <c r="U2836" s="9" t="s">
        <v>13284</v>
      </c>
      <c r="V2836" s="9" t="s">
        <v>13284</v>
      </c>
      <c r="W2836" s="12"/>
      <c r="X2836" s="9" t="str">
        <f t="array" ref="X2836">IFERROR(INDEX('Адреса общежитий (скрытый)'!$B$2:$B$9, MATCH(W2836, 'Адреса общежитий (скрытый)'!$A$2:$A$9, 0)), "")</f>
        <v/>
      </c>
      <c r="Y2836" s="18"/>
      <c r="Z2836" s="18"/>
      <c r="AA2836" s="18"/>
      <c r="AB2836" s="18"/>
      <c r="AC2836" s="18"/>
    </row>
    <row r="2837" spans="1:29" ht="32.25" hidden="1" customHeight="1">
      <c r="A2837" s="17"/>
      <c r="B2837" s="9" t="s">
        <v>13284</v>
      </c>
      <c r="C2837" s="9" t="s">
        <v>13284</v>
      </c>
      <c r="D2837" s="9" t="s">
        <v>13284</v>
      </c>
      <c r="E2837" s="9" t="s">
        <v>13284</v>
      </c>
      <c r="F2837" s="9" t="s">
        <v>13284</v>
      </c>
      <c r="G2837" s="9" t="s">
        <v>13284</v>
      </c>
      <c r="H2837" s="9" t="s">
        <v>13284</v>
      </c>
      <c r="I2837" s="9" t="s">
        <v>13284</v>
      </c>
      <c r="J2837" s="9" t="s">
        <v>13284</v>
      </c>
      <c r="K2837" s="9" t="s">
        <v>13284</v>
      </c>
      <c r="L2837" s="9" t="s">
        <v>13284</v>
      </c>
      <c r="M2837" s="9" t="s">
        <v>13284</v>
      </c>
      <c r="N2837" s="9" t="s">
        <v>13284</v>
      </c>
      <c r="O2837" s="9" t="s">
        <v>13284</v>
      </c>
      <c r="P2837" s="9" t="s">
        <v>13284</v>
      </c>
      <c r="Q2837" s="9" t="s">
        <v>13284</v>
      </c>
      <c r="R2837" s="9" t="s">
        <v>13284</v>
      </c>
      <c r="S2837" s="9" t="s">
        <v>13284</v>
      </c>
      <c r="T2837" s="9" t="str">
        <f ca="1">IFERROR(IF(AND(VLOOKUP(A2837, 'Актуальное состояние (из общего'!A:C,3,0) = "", A2837 &lt;&gt; ""), "ПРОВЕРИТЬ", VLOOKUP(A2837, 'Актуальное состояние (из общего'!A:C,3,0)), "")</f>
        <v/>
      </c>
      <c r="U2837" s="9" t="s">
        <v>13284</v>
      </c>
      <c r="V2837" s="9" t="s">
        <v>13284</v>
      </c>
      <c r="W2837" s="12"/>
      <c r="X2837" s="9" t="str">
        <f t="array" ref="X2837">IFERROR(INDEX('Адреса общежитий (скрытый)'!$B$2:$B$9, MATCH(W2837, 'Адреса общежитий (скрытый)'!$A$2:$A$9, 0)), "")</f>
        <v/>
      </c>
      <c r="Y2837" s="18"/>
      <c r="Z2837" s="18"/>
      <c r="AA2837" s="18"/>
      <c r="AB2837" s="18"/>
      <c r="AC2837" s="18"/>
    </row>
    <row r="2838" spans="1:29" ht="32.25" hidden="1" customHeight="1">
      <c r="A2838" s="17"/>
      <c r="B2838" s="9" t="s">
        <v>13284</v>
      </c>
      <c r="C2838" s="9" t="s">
        <v>13284</v>
      </c>
      <c r="D2838" s="9" t="s">
        <v>13284</v>
      </c>
      <c r="E2838" s="9" t="s">
        <v>13284</v>
      </c>
      <c r="F2838" s="9" t="s">
        <v>13284</v>
      </c>
      <c r="G2838" s="9" t="s">
        <v>13284</v>
      </c>
      <c r="H2838" s="9" t="s">
        <v>13284</v>
      </c>
      <c r="I2838" s="9" t="s">
        <v>13284</v>
      </c>
      <c r="J2838" s="9" t="s">
        <v>13284</v>
      </c>
      <c r="K2838" s="9" t="s">
        <v>13284</v>
      </c>
      <c r="L2838" s="9" t="s">
        <v>13284</v>
      </c>
      <c r="M2838" s="9" t="s">
        <v>13284</v>
      </c>
      <c r="N2838" s="9" t="s">
        <v>13284</v>
      </c>
      <c r="O2838" s="9" t="s">
        <v>13284</v>
      </c>
      <c r="P2838" s="9" t="s">
        <v>13284</v>
      </c>
      <c r="Q2838" s="9" t="s">
        <v>13284</v>
      </c>
      <c r="R2838" s="9" t="s">
        <v>13284</v>
      </c>
      <c r="S2838" s="9" t="s">
        <v>13284</v>
      </c>
      <c r="T2838" s="9" t="str">
        <f ca="1">IFERROR(IF(AND(VLOOKUP(A2838, 'Актуальное состояние (из общего'!A:C,3,0) = "", A2838 &lt;&gt; ""), "ПРОВЕРИТЬ", VLOOKUP(A2838, 'Актуальное состояние (из общего'!A:C,3,0)), "")</f>
        <v/>
      </c>
      <c r="U2838" s="9" t="s">
        <v>13284</v>
      </c>
      <c r="V2838" s="9" t="s">
        <v>13284</v>
      </c>
      <c r="W2838" s="12"/>
      <c r="X2838" s="9" t="str">
        <f t="array" ref="X2838">IFERROR(INDEX('Адреса общежитий (скрытый)'!$B$2:$B$9, MATCH(W2838, 'Адреса общежитий (скрытый)'!$A$2:$A$9, 0)), "")</f>
        <v/>
      </c>
      <c r="Y2838" s="18"/>
      <c r="Z2838" s="18"/>
      <c r="AA2838" s="18"/>
      <c r="AB2838" s="18"/>
      <c r="AC2838" s="18"/>
    </row>
    <row r="2839" spans="1:29" ht="32.25" hidden="1" customHeight="1">
      <c r="A2839" s="17"/>
      <c r="B2839" s="9" t="s">
        <v>13284</v>
      </c>
      <c r="C2839" s="9" t="s">
        <v>13284</v>
      </c>
      <c r="D2839" s="9" t="s">
        <v>13284</v>
      </c>
      <c r="E2839" s="9" t="s">
        <v>13284</v>
      </c>
      <c r="F2839" s="9" t="s">
        <v>13284</v>
      </c>
      <c r="G2839" s="9" t="s">
        <v>13284</v>
      </c>
      <c r="H2839" s="9" t="s">
        <v>13284</v>
      </c>
      <c r="I2839" s="9" t="s">
        <v>13284</v>
      </c>
      <c r="J2839" s="9" t="s">
        <v>13284</v>
      </c>
      <c r="K2839" s="9" t="s">
        <v>13284</v>
      </c>
      <c r="L2839" s="9" t="s">
        <v>13284</v>
      </c>
      <c r="M2839" s="9" t="s">
        <v>13284</v>
      </c>
      <c r="N2839" s="9" t="s">
        <v>13284</v>
      </c>
      <c r="O2839" s="9" t="s">
        <v>13284</v>
      </c>
      <c r="P2839" s="9" t="s">
        <v>13284</v>
      </c>
      <c r="Q2839" s="9" t="s">
        <v>13284</v>
      </c>
      <c r="R2839" s="9" t="s">
        <v>13284</v>
      </c>
      <c r="S2839" s="9" t="s">
        <v>13284</v>
      </c>
      <c r="T2839" s="9" t="str">
        <f ca="1">IFERROR(IF(AND(VLOOKUP(A2839, 'Актуальное состояние (из общего'!A:C,3,0) = "", A2839 &lt;&gt; ""), "ПРОВЕРИТЬ", VLOOKUP(A2839, 'Актуальное состояние (из общего'!A:C,3,0)), "")</f>
        <v/>
      </c>
      <c r="U2839" s="9" t="s">
        <v>13284</v>
      </c>
      <c r="V2839" s="9" t="s">
        <v>13284</v>
      </c>
      <c r="W2839" s="12"/>
      <c r="X2839" s="9" t="str">
        <f t="array" ref="X2839">IFERROR(INDEX('Адреса общежитий (скрытый)'!$B$2:$B$9, MATCH(W2839, 'Адреса общежитий (скрытый)'!$A$2:$A$9, 0)), "")</f>
        <v/>
      </c>
      <c r="Y2839" s="18"/>
      <c r="Z2839" s="18"/>
      <c r="AA2839" s="18"/>
      <c r="AB2839" s="18"/>
      <c r="AC2839" s="18"/>
    </row>
    <row r="2840" spans="1:29" ht="32.25" hidden="1" customHeight="1">
      <c r="A2840" s="17"/>
      <c r="B2840" s="9" t="s">
        <v>13284</v>
      </c>
      <c r="C2840" s="9" t="s">
        <v>13284</v>
      </c>
      <c r="D2840" s="9" t="s">
        <v>13284</v>
      </c>
      <c r="E2840" s="9" t="s">
        <v>13284</v>
      </c>
      <c r="F2840" s="9" t="s">
        <v>13284</v>
      </c>
      <c r="G2840" s="9" t="s">
        <v>13284</v>
      </c>
      <c r="H2840" s="9" t="s">
        <v>13284</v>
      </c>
      <c r="I2840" s="9" t="s">
        <v>13284</v>
      </c>
      <c r="J2840" s="9" t="s">
        <v>13284</v>
      </c>
      <c r="K2840" s="9" t="s">
        <v>13284</v>
      </c>
      <c r="L2840" s="9" t="s">
        <v>13284</v>
      </c>
      <c r="M2840" s="9" t="s">
        <v>13284</v>
      </c>
      <c r="N2840" s="9" t="s">
        <v>13284</v>
      </c>
      <c r="O2840" s="9" t="s">
        <v>13284</v>
      </c>
      <c r="P2840" s="9" t="s">
        <v>13284</v>
      </c>
      <c r="Q2840" s="9" t="s">
        <v>13284</v>
      </c>
      <c r="R2840" s="9" t="s">
        <v>13284</v>
      </c>
      <c r="S2840" s="9" t="s">
        <v>13284</v>
      </c>
      <c r="T2840" s="9" t="str">
        <f ca="1">IFERROR(IF(AND(VLOOKUP(A2840, 'Актуальное состояние (из общего'!A:C,3,0) = "", A2840 &lt;&gt; ""), "ПРОВЕРИТЬ", VLOOKUP(A2840, 'Актуальное состояние (из общего'!A:C,3,0)), "")</f>
        <v/>
      </c>
      <c r="U2840" s="9" t="s">
        <v>13284</v>
      </c>
      <c r="V2840" s="9" t="s">
        <v>13284</v>
      </c>
      <c r="W2840" s="12"/>
      <c r="X2840" s="9" t="str">
        <f t="array" ref="X2840">IFERROR(INDEX('Адреса общежитий (скрытый)'!$B$2:$B$9, MATCH(W2840, 'Адреса общежитий (скрытый)'!$A$2:$A$9, 0)), "")</f>
        <v/>
      </c>
      <c r="Y2840" s="18"/>
      <c r="Z2840" s="18"/>
      <c r="AA2840" s="18"/>
      <c r="AB2840" s="18"/>
      <c r="AC2840" s="18"/>
    </row>
    <row r="2841" spans="1:29" ht="32.25" hidden="1" customHeight="1">
      <c r="A2841" s="17"/>
      <c r="B2841" s="9" t="s">
        <v>13284</v>
      </c>
      <c r="C2841" s="9" t="s">
        <v>13284</v>
      </c>
      <c r="D2841" s="9" t="s">
        <v>13284</v>
      </c>
      <c r="E2841" s="9" t="s">
        <v>13284</v>
      </c>
      <c r="F2841" s="9" t="s">
        <v>13284</v>
      </c>
      <c r="G2841" s="9" t="s">
        <v>13284</v>
      </c>
      <c r="H2841" s="9" t="s">
        <v>13284</v>
      </c>
      <c r="I2841" s="9" t="s">
        <v>13284</v>
      </c>
      <c r="J2841" s="9" t="s">
        <v>13284</v>
      </c>
      <c r="K2841" s="9" t="s">
        <v>13284</v>
      </c>
      <c r="L2841" s="9" t="s">
        <v>13284</v>
      </c>
      <c r="M2841" s="9" t="s">
        <v>13284</v>
      </c>
      <c r="N2841" s="9" t="s">
        <v>13284</v>
      </c>
      <c r="O2841" s="9" t="s">
        <v>13284</v>
      </c>
      <c r="P2841" s="9" t="s">
        <v>13284</v>
      </c>
      <c r="Q2841" s="9" t="s">
        <v>13284</v>
      </c>
      <c r="R2841" s="9" t="s">
        <v>13284</v>
      </c>
      <c r="S2841" s="9" t="s">
        <v>13284</v>
      </c>
      <c r="T2841" s="9" t="str">
        <f ca="1">IFERROR(IF(AND(VLOOKUP(A2841, 'Актуальное состояние (из общего'!A:C,3,0) = "", A2841 &lt;&gt; ""), "ПРОВЕРИТЬ", VLOOKUP(A2841, 'Актуальное состояние (из общего'!A:C,3,0)), "")</f>
        <v/>
      </c>
      <c r="U2841" s="9" t="s">
        <v>13284</v>
      </c>
      <c r="V2841" s="9" t="s">
        <v>13284</v>
      </c>
      <c r="W2841" s="12"/>
      <c r="X2841" s="9" t="str">
        <f t="array" ref="X2841">IFERROR(INDEX('Адреса общежитий (скрытый)'!$B$2:$B$9, MATCH(W2841, 'Адреса общежитий (скрытый)'!$A$2:$A$9, 0)), "")</f>
        <v/>
      </c>
      <c r="Y2841" s="18"/>
      <c r="Z2841" s="18"/>
      <c r="AA2841" s="18"/>
      <c r="AB2841" s="18"/>
      <c r="AC2841" s="18"/>
    </row>
    <row r="2842" spans="1:29" ht="32.25" hidden="1" customHeight="1">
      <c r="A2842" s="17"/>
      <c r="B2842" s="9" t="s">
        <v>13284</v>
      </c>
      <c r="C2842" s="9" t="s">
        <v>13284</v>
      </c>
      <c r="D2842" s="9" t="s">
        <v>13284</v>
      </c>
      <c r="E2842" s="9" t="s">
        <v>13284</v>
      </c>
      <c r="F2842" s="9" t="s">
        <v>13284</v>
      </c>
      <c r="G2842" s="9" t="s">
        <v>13284</v>
      </c>
      <c r="H2842" s="9" t="s">
        <v>13284</v>
      </c>
      <c r="I2842" s="9" t="s">
        <v>13284</v>
      </c>
      <c r="J2842" s="9" t="s">
        <v>13284</v>
      </c>
      <c r="K2842" s="9" t="s">
        <v>13284</v>
      </c>
      <c r="L2842" s="9" t="s">
        <v>13284</v>
      </c>
      <c r="M2842" s="9" t="s">
        <v>13284</v>
      </c>
      <c r="N2842" s="9" t="s">
        <v>13284</v>
      </c>
      <c r="O2842" s="9" t="s">
        <v>13284</v>
      </c>
      <c r="P2842" s="9" t="s">
        <v>13284</v>
      </c>
      <c r="Q2842" s="9" t="s">
        <v>13284</v>
      </c>
      <c r="R2842" s="9" t="s">
        <v>13284</v>
      </c>
      <c r="S2842" s="9" t="s">
        <v>13284</v>
      </c>
      <c r="T2842" s="9" t="str">
        <f ca="1">IFERROR(IF(AND(VLOOKUP(A2842, 'Актуальное состояние (из общего'!A:C,3,0) = "", A2842 &lt;&gt; ""), "ПРОВЕРИТЬ", VLOOKUP(A2842, 'Актуальное состояние (из общего'!A:C,3,0)), "")</f>
        <v/>
      </c>
      <c r="U2842" s="9" t="s">
        <v>13284</v>
      </c>
      <c r="V2842" s="9" t="s">
        <v>13284</v>
      </c>
      <c r="W2842" s="12"/>
      <c r="X2842" s="9" t="str">
        <f t="array" ref="X2842">IFERROR(INDEX('Адреса общежитий (скрытый)'!$B$2:$B$9, MATCH(W2842, 'Адреса общежитий (скрытый)'!$A$2:$A$9, 0)), "")</f>
        <v/>
      </c>
      <c r="Y2842" s="18"/>
      <c r="Z2842" s="18"/>
      <c r="AA2842" s="18"/>
      <c r="AB2842" s="18"/>
      <c r="AC2842" s="18"/>
    </row>
    <row r="2843" spans="1:29" ht="32.25" hidden="1" customHeight="1">
      <c r="A2843" s="17"/>
      <c r="B2843" s="9" t="s">
        <v>13284</v>
      </c>
      <c r="C2843" s="9" t="s">
        <v>13284</v>
      </c>
      <c r="D2843" s="9" t="s">
        <v>13284</v>
      </c>
      <c r="E2843" s="9" t="s">
        <v>13284</v>
      </c>
      <c r="F2843" s="9" t="s">
        <v>13284</v>
      </c>
      <c r="G2843" s="9" t="s">
        <v>13284</v>
      </c>
      <c r="H2843" s="9" t="s">
        <v>13284</v>
      </c>
      <c r="I2843" s="9" t="s">
        <v>13284</v>
      </c>
      <c r="J2843" s="9" t="s">
        <v>13284</v>
      </c>
      <c r="K2843" s="9" t="s">
        <v>13284</v>
      </c>
      <c r="L2843" s="9" t="s">
        <v>13284</v>
      </c>
      <c r="M2843" s="9" t="s">
        <v>13284</v>
      </c>
      <c r="N2843" s="9" t="s">
        <v>13284</v>
      </c>
      <c r="O2843" s="9" t="s">
        <v>13284</v>
      </c>
      <c r="P2843" s="9" t="s">
        <v>13284</v>
      </c>
      <c r="Q2843" s="9" t="s">
        <v>13284</v>
      </c>
      <c r="R2843" s="9" t="s">
        <v>13284</v>
      </c>
      <c r="S2843" s="9" t="s">
        <v>13284</v>
      </c>
      <c r="T2843" s="9" t="str">
        <f ca="1">IFERROR(IF(AND(VLOOKUP(A2843, 'Актуальное состояние (из общего'!A:C,3,0) = "", A2843 &lt;&gt; ""), "ПРОВЕРИТЬ", VLOOKUP(A2843, 'Актуальное состояние (из общего'!A:C,3,0)), "")</f>
        <v/>
      </c>
      <c r="U2843" s="9" t="s">
        <v>13284</v>
      </c>
      <c r="V2843" s="9" t="s">
        <v>13284</v>
      </c>
      <c r="W2843" s="12"/>
      <c r="X2843" s="9" t="str">
        <f t="array" ref="X2843">IFERROR(INDEX('Адреса общежитий (скрытый)'!$B$2:$B$9, MATCH(W2843, 'Адреса общежитий (скрытый)'!$A$2:$A$9, 0)), "")</f>
        <v/>
      </c>
      <c r="Y2843" s="18"/>
      <c r="Z2843" s="18"/>
      <c r="AA2843" s="18"/>
      <c r="AB2843" s="18"/>
      <c r="AC2843" s="18"/>
    </row>
    <row r="2844" spans="1:29" ht="32.25" hidden="1" customHeight="1">
      <c r="A2844" s="17"/>
      <c r="B2844" s="9" t="s">
        <v>13284</v>
      </c>
      <c r="C2844" s="9" t="s">
        <v>13284</v>
      </c>
      <c r="D2844" s="9" t="s">
        <v>13284</v>
      </c>
      <c r="E2844" s="9" t="s">
        <v>13284</v>
      </c>
      <c r="F2844" s="9" t="s">
        <v>13284</v>
      </c>
      <c r="G2844" s="9" t="s">
        <v>13284</v>
      </c>
      <c r="H2844" s="9" t="s">
        <v>13284</v>
      </c>
      <c r="I2844" s="9" t="s">
        <v>13284</v>
      </c>
      <c r="J2844" s="9" t="s">
        <v>13284</v>
      </c>
      <c r="K2844" s="9" t="s">
        <v>13284</v>
      </c>
      <c r="L2844" s="9" t="s">
        <v>13284</v>
      </c>
      <c r="M2844" s="9" t="s">
        <v>13284</v>
      </c>
      <c r="N2844" s="9" t="s">
        <v>13284</v>
      </c>
      <c r="O2844" s="9" t="s">
        <v>13284</v>
      </c>
      <c r="P2844" s="9" t="s">
        <v>13284</v>
      </c>
      <c r="Q2844" s="9" t="s">
        <v>13284</v>
      </c>
      <c r="R2844" s="9" t="s">
        <v>13284</v>
      </c>
      <c r="S2844" s="9" t="s">
        <v>13284</v>
      </c>
      <c r="T2844" s="9" t="str">
        <f ca="1">IFERROR(IF(AND(VLOOKUP(A2844, 'Актуальное состояние (из общего'!A:C,3,0) = "", A2844 &lt;&gt; ""), "ПРОВЕРИТЬ", VLOOKUP(A2844, 'Актуальное состояние (из общего'!A:C,3,0)), "")</f>
        <v/>
      </c>
      <c r="U2844" s="9" t="s">
        <v>13284</v>
      </c>
      <c r="V2844" s="9" t="s">
        <v>13284</v>
      </c>
      <c r="W2844" s="12"/>
      <c r="X2844" s="9" t="str">
        <f t="array" ref="X2844">IFERROR(INDEX('Адреса общежитий (скрытый)'!$B$2:$B$9, MATCH(W2844, 'Адреса общежитий (скрытый)'!$A$2:$A$9, 0)), "")</f>
        <v/>
      </c>
      <c r="Y2844" s="18"/>
      <c r="Z2844" s="18"/>
      <c r="AA2844" s="18"/>
      <c r="AB2844" s="18"/>
      <c r="AC2844" s="18"/>
    </row>
    <row r="2845" spans="1:29" ht="32.25" hidden="1" customHeight="1">
      <c r="A2845" s="17"/>
      <c r="B2845" s="9" t="s">
        <v>13284</v>
      </c>
      <c r="C2845" s="9" t="s">
        <v>13284</v>
      </c>
      <c r="D2845" s="9" t="s">
        <v>13284</v>
      </c>
      <c r="E2845" s="9" t="s">
        <v>13284</v>
      </c>
      <c r="F2845" s="9" t="s">
        <v>13284</v>
      </c>
      <c r="G2845" s="9" t="s">
        <v>13284</v>
      </c>
      <c r="H2845" s="9" t="s">
        <v>13284</v>
      </c>
      <c r="I2845" s="9" t="s">
        <v>13284</v>
      </c>
      <c r="J2845" s="9" t="s">
        <v>13284</v>
      </c>
      <c r="K2845" s="9" t="s">
        <v>13284</v>
      </c>
      <c r="L2845" s="9" t="s">
        <v>13284</v>
      </c>
      <c r="M2845" s="9" t="s">
        <v>13284</v>
      </c>
      <c r="N2845" s="9" t="s">
        <v>13284</v>
      </c>
      <c r="O2845" s="9" t="s">
        <v>13284</v>
      </c>
      <c r="P2845" s="9" t="s">
        <v>13284</v>
      </c>
      <c r="Q2845" s="9" t="s">
        <v>13284</v>
      </c>
      <c r="R2845" s="9" t="s">
        <v>13284</v>
      </c>
      <c r="S2845" s="9" t="s">
        <v>13284</v>
      </c>
      <c r="T2845" s="9" t="str">
        <f ca="1">IFERROR(IF(AND(VLOOKUP(A2845, 'Актуальное состояние (из общего'!A:C,3,0) = "", A2845 &lt;&gt; ""), "ПРОВЕРИТЬ", VLOOKUP(A2845, 'Актуальное состояние (из общего'!A:C,3,0)), "")</f>
        <v/>
      </c>
      <c r="U2845" s="9" t="s">
        <v>13284</v>
      </c>
      <c r="V2845" s="9" t="s">
        <v>13284</v>
      </c>
      <c r="W2845" s="12"/>
      <c r="X2845" s="9" t="str">
        <f t="array" ref="X2845">IFERROR(INDEX('Адреса общежитий (скрытый)'!$B$2:$B$9, MATCH(W2845, 'Адреса общежитий (скрытый)'!$A$2:$A$9, 0)), "")</f>
        <v/>
      </c>
      <c r="Y2845" s="18"/>
      <c r="Z2845" s="18"/>
      <c r="AA2845" s="18"/>
      <c r="AB2845" s="18"/>
      <c r="AC2845" s="18"/>
    </row>
    <row r="2846" spans="1:29" ht="32.25" hidden="1" customHeight="1">
      <c r="A2846" s="17"/>
      <c r="B2846" s="9" t="s">
        <v>13284</v>
      </c>
      <c r="C2846" s="9" t="s">
        <v>13284</v>
      </c>
      <c r="D2846" s="9" t="s">
        <v>13284</v>
      </c>
      <c r="E2846" s="9" t="s">
        <v>13284</v>
      </c>
      <c r="F2846" s="9" t="s">
        <v>13284</v>
      </c>
      <c r="G2846" s="9" t="s">
        <v>13284</v>
      </c>
      <c r="H2846" s="9" t="s">
        <v>13284</v>
      </c>
      <c r="I2846" s="9" t="s">
        <v>13284</v>
      </c>
      <c r="J2846" s="9" t="s">
        <v>13284</v>
      </c>
      <c r="K2846" s="9" t="s">
        <v>13284</v>
      </c>
      <c r="L2846" s="9" t="s">
        <v>13284</v>
      </c>
      <c r="M2846" s="9" t="s">
        <v>13284</v>
      </c>
      <c r="N2846" s="9" t="s">
        <v>13284</v>
      </c>
      <c r="O2846" s="9" t="s">
        <v>13284</v>
      </c>
      <c r="P2846" s="9" t="s">
        <v>13284</v>
      </c>
      <c r="Q2846" s="9" t="s">
        <v>13284</v>
      </c>
      <c r="R2846" s="9" t="s">
        <v>13284</v>
      </c>
      <c r="S2846" s="9" t="s">
        <v>13284</v>
      </c>
      <c r="T2846" s="9" t="str">
        <f ca="1">IFERROR(IF(AND(VLOOKUP(A2846, 'Актуальное состояние (из общего'!A:C,3,0) = "", A2846 &lt;&gt; ""), "ПРОВЕРИТЬ", VLOOKUP(A2846, 'Актуальное состояние (из общего'!A:C,3,0)), "")</f>
        <v/>
      </c>
      <c r="U2846" s="9" t="s">
        <v>13284</v>
      </c>
      <c r="V2846" s="9" t="s">
        <v>13284</v>
      </c>
      <c r="W2846" s="12"/>
      <c r="X2846" s="9" t="str">
        <f t="array" ref="X2846">IFERROR(INDEX('Адреса общежитий (скрытый)'!$B$2:$B$9, MATCH(W2846, 'Адреса общежитий (скрытый)'!$A$2:$A$9, 0)), "")</f>
        <v/>
      </c>
      <c r="Y2846" s="18"/>
      <c r="Z2846" s="18"/>
      <c r="AA2846" s="18"/>
      <c r="AB2846" s="18"/>
      <c r="AC2846" s="18"/>
    </row>
    <row r="2847" spans="1:29" ht="32.25" hidden="1" customHeight="1">
      <c r="A2847" s="17"/>
      <c r="B2847" s="9" t="s">
        <v>13284</v>
      </c>
      <c r="C2847" s="9" t="s">
        <v>13284</v>
      </c>
      <c r="D2847" s="9" t="s">
        <v>13284</v>
      </c>
      <c r="E2847" s="9" t="s">
        <v>13284</v>
      </c>
      <c r="F2847" s="9" t="s">
        <v>13284</v>
      </c>
      <c r="G2847" s="9" t="s">
        <v>13284</v>
      </c>
      <c r="H2847" s="9" t="s">
        <v>13284</v>
      </c>
      <c r="I2847" s="9" t="s">
        <v>13284</v>
      </c>
      <c r="J2847" s="9" t="s">
        <v>13284</v>
      </c>
      <c r="K2847" s="9" t="s">
        <v>13284</v>
      </c>
      <c r="L2847" s="9" t="s">
        <v>13284</v>
      </c>
      <c r="M2847" s="9" t="s">
        <v>13284</v>
      </c>
      <c r="N2847" s="9" t="s">
        <v>13284</v>
      </c>
      <c r="O2847" s="9" t="s">
        <v>13284</v>
      </c>
      <c r="P2847" s="9" t="s">
        <v>13284</v>
      </c>
      <c r="Q2847" s="9" t="s">
        <v>13284</v>
      </c>
      <c r="R2847" s="9" t="s">
        <v>13284</v>
      </c>
      <c r="S2847" s="9" t="s">
        <v>13284</v>
      </c>
      <c r="T2847" s="9" t="str">
        <f ca="1">IFERROR(IF(AND(VLOOKUP(A2847, 'Актуальное состояние (из общего'!A:C,3,0) = "", A2847 &lt;&gt; ""), "ПРОВЕРИТЬ", VLOOKUP(A2847, 'Актуальное состояние (из общего'!A:C,3,0)), "")</f>
        <v/>
      </c>
      <c r="U2847" s="9" t="s">
        <v>13284</v>
      </c>
      <c r="V2847" s="9" t="s">
        <v>13284</v>
      </c>
      <c r="W2847" s="12"/>
      <c r="X2847" s="9" t="str">
        <f t="array" ref="X2847">IFERROR(INDEX('Адреса общежитий (скрытый)'!$B$2:$B$9, MATCH(W2847, 'Адреса общежитий (скрытый)'!$A$2:$A$9, 0)), "")</f>
        <v/>
      </c>
      <c r="Y2847" s="18"/>
      <c r="Z2847" s="18"/>
      <c r="AA2847" s="18"/>
      <c r="AB2847" s="18"/>
      <c r="AC2847" s="18"/>
    </row>
    <row r="2848" spans="1:29" ht="32.25" hidden="1" customHeight="1">
      <c r="A2848" s="17"/>
      <c r="B2848" s="9" t="s">
        <v>13284</v>
      </c>
      <c r="C2848" s="9" t="s">
        <v>13284</v>
      </c>
      <c r="D2848" s="9" t="s">
        <v>13284</v>
      </c>
      <c r="E2848" s="9" t="s">
        <v>13284</v>
      </c>
      <c r="F2848" s="9" t="s">
        <v>13284</v>
      </c>
      <c r="G2848" s="9" t="s">
        <v>13284</v>
      </c>
      <c r="H2848" s="9" t="s">
        <v>13284</v>
      </c>
      <c r="I2848" s="9" t="s">
        <v>13284</v>
      </c>
      <c r="J2848" s="9" t="s">
        <v>13284</v>
      </c>
      <c r="K2848" s="9" t="s">
        <v>13284</v>
      </c>
      <c r="L2848" s="9" t="s">
        <v>13284</v>
      </c>
      <c r="M2848" s="9" t="s">
        <v>13284</v>
      </c>
      <c r="N2848" s="9" t="s">
        <v>13284</v>
      </c>
      <c r="O2848" s="9" t="s">
        <v>13284</v>
      </c>
      <c r="P2848" s="9" t="s">
        <v>13284</v>
      </c>
      <c r="Q2848" s="9" t="s">
        <v>13284</v>
      </c>
      <c r="R2848" s="9" t="s">
        <v>13284</v>
      </c>
      <c r="S2848" s="9" t="s">
        <v>13284</v>
      </c>
      <c r="T2848" s="9" t="str">
        <f ca="1">IFERROR(IF(AND(VLOOKUP(A2848, 'Актуальное состояние (из общего'!A:C,3,0) = "", A2848 &lt;&gt; ""), "ПРОВЕРИТЬ", VLOOKUP(A2848, 'Актуальное состояние (из общего'!A:C,3,0)), "")</f>
        <v/>
      </c>
      <c r="U2848" s="9" t="s">
        <v>13284</v>
      </c>
      <c r="V2848" s="9" t="s">
        <v>13284</v>
      </c>
      <c r="W2848" s="12"/>
      <c r="X2848" s="9" t="str">
        <f t="array" ref="X2848">IFERROR(INDEX('Адреса общежитий (скрытый)'!$B$2:$B$9, MATCH(W2848, 'Адреса общежитий (скрытый)'!$A$2:$A$9, 0)), "")</f>
        <v/>
      </c>
      <c r="Y2848" s="18"/>
      <c r="Z2848" s="18"/>
      <c r="AA2848" s="18"/>
      <c r="AB2848" s="18"/>
      <c r="AC2848" s="18"/>
    </row>
    <row r="2849" spans="1:29" ht="32.25" hidden="1" customHeight="1">
      <c r="A2849" s="17"/>
      <c r="B2849" s="9" t="s">
        <v>13284</v>
      </c>
      <c r="C2849" s="9" t="s">
        <v>13284</v>
      </c>
      <c r="D2849" s="9" t="s">
        <v>13284</v>
      </c>
      <c r="E2849" s="9" t="s">
        <v>13284</v>
      </c>
      <c r="F2849" s="9" t="s">
        <v>13284</v>
      </c>
      <c r="G2849" s="9" t="s">
        <v>13284</v>
      </c>
      <c r="H2849" s="9" t="s">
        <v>13284</v>
      </c>
      <c r="I2849" s="9" t="s">
        <v>13284</v>
      </c>
      <c r="J2849" s="9" t="s">
        <v>13284</v>
      </c>
      <c r="K2849" s="9" t="s">
        <v>13284</v>
      </c>
      <c r="L2849" s="9" t="s">
        <v>13284</v>
      </c>
      <c r="M2849" s="9" t="s">
        <v>13284</v>
      </c>
      <c r="N2849" s="9" t="s">
        <v>13284</v>
      </c>
      <c r="O2849" s="9" t="s">
        <v>13284</v>
      </c>
      <c r="P2849" s="9" t="s">
        <v>13284</v>
      </c>
      <c r="Q2849" s="9" t="s">
        <v>13284</v>
      </c>
      <c r="R2849" s="9" t="s">
        <v>13284</v>
      </c>
      <c r="S2849" s="9" t="s">
        <v>13284</v>
      </c>
      <c r="T2849" s="9" t="str">
        <f ca="1">IFERROR(IF(AND(VLOOKUP(A2849, 'Актуальное состояние (из общего'!A:C,3,0) = "", A2849 &lt;&gt; ""), "ПРОВЕРИТЬ", VLOOKUP(A2849, 'Актуальное состояние (из общего'!A:C,3,0)), "")</f>
        <v/>
      </c>
      <c r="U2849" s="9" t="s">
        <v>13284</v>
      </c>
      <c r="V2849" s="9" t="s">
        <v>13284</v>
      </c>
      <c r="W2849" s="12"/>
      <c r="X2849" s="9" t="str">
        <f t="array" ref="X2849">IFERROR(INDEX('Адреса общежитий (скрытый)'!$B$2:$B$9, MATCH(W2849, 'Адреса общежитий (скрытый)'!$A$2:$A$9, 0)), "")</f>
        <v/>
      </c>
      <c r="Y2849" s="18"/>
      <c r="Z2849" s="18"/>
      <c r="AA2849" s="18"/>
      <c r="AB2849" s="18"/>
      <c r="AC2849" s="18"/>
    </row>
    <row r="2850" spans="1:29" ht="32.25" hidden="1" customHeight="1">
      <c r="A2850" s="17"/>
      <c r="B2850" s="9" t="s">
        <v>13284</v>
      </c>
      <c r="C2850" s="9" t="s">
        <v>13284</v>
      </c>
      <c r="D2850" s="9" t="s">
        <v>13284</v>
      </c>
      <c r="E2850" s="9" t="s">
        <v>13284</v>
      </c>
      <c r="F2850" s="9" t="s">
        <v>13284</v>
      </c>
      <c r="G2850" s="9" t="s">
        <v>13284</v>
      </c>
      <c r="H2850" s="9" t="s">
        <v>13284</v>
      </c>
      <c r="I2850" s="9" t="s">
        <v>13284</v>
      </c>
      <c r="J2850" s="9" t="s">
        <v>13284</v>
      </c>
      <c r="K2850" s="9" t="s">
        <v>13284</v>
      </c>
      <c r="L2850" s="9" t="s">
        <v>13284</v>
      </c>
      <c r="M2850" s="9" t="s">
        <v>13284</v>
      </c>
      <c r="N2850" s="9" t="s">
        <v>13284</v>
      </c>
      <c r="O2850" s="9" t="s">
        <v>13284</v>
      </c>
      <c r="P2850" s="9" t="s">
        <v>13284</v>
      </c>
      <c r="Q2850" s="9" t="s">
        <v>13284</v>
      </c>
      <c r="R2850" s="9" t="s">
        <v>13284</v>
      </c>
      <c r="S2850" s="9" t="s">
        <v>13284</v>
      </c>
      <c r="T2850" s="9" t="str">
        <f ca="1">IFERROR(IF(AND(VLOOKUP(A2850, 'Актуальное состояние (из общего'!A:C,3,0) = "", A2850 &lt;&gt; ""), "ПРОВЕРИТЬ", VLOOKUP(A2850, 'Актуальное состояние (из общего'!A:C,3,0)), "")</f>
        <v/>
      </c>
      <c r="U2850" s="9" t="s">
        <v>13284</v>
      </c>
      <c r="V2850" s="9" t="s">
        <v>13284</v>
      </c>
      <c r="W2850" s="12"/>
      <c r="X2850" s="9" t="str">
        <f t="array" ref="X2850">IFERROR(INDEX('Адреса общежитий (скрытый)'!$B$2:$B$9, MATCH(W2850, 'Адреса общежитий (скрытый)'!$A$2:$A$9, 0)), "")</f>
        <v/>
      </c>
      <c r="Y2850" s="18"/>
      <c r="Z2850" s="18"/>
      <c r="AA2850" s="18"/>
      <c r="AB2850" s="18"/>
      <c r="AC2850" s="18"/>
    </row>
    <row r="2851" spans="1:29" ht="32.25" hidden="1" customHeight="1">
      <c r="A2851" s="17"/>
      <c r="B2851" s="9" t="s">
        <v>13284</v>
      </c>
      <c r="C2851" s="9" t="s">
        <v>13284</v>
      </c>
      <c r="D2851" s="9" t="s">
        <v>13284</v>
      </c>
      <c r="E2851" s="9" t="s">
        <v>13284</v>
      </c>
      <c r="F2851" s="9" t="s">
        <v>13284</v>
      </c>
      <c r="G2851" s="9" t="s">
        <v>13284</v>
      </c>
      <c r="H2851" s="9" t="s">
        <v>13284</v>
      </c>
      <c r="I2851" s="9" t="s">
        <v>13284</v>
      </c>
      <c r="J2851" s="9" t="s">
        <v>13284</v>
      </c>
      <c r="K2851" s="9" t="s">
        <v>13284</v>
      </c>
      <c r="L2851" s="9" t="s">
        <v>13284</v>
      </c>
      <c r="M2851" s="9" t="s">
        <v>13284</v>
      </c>
      <c r="N2851" s="9" t="s">
        <v>13284</v>
      </c>
      <c r="O2851" s="9" t="s">
        <v>13284</v>
      </c>
      <c r="P2851" s="9" t="s">
        <v>13284</v>
      </c>
      <c r="Q2851" s="9" t="s">
        <v>13284</v>
      </c>
      <c r="R2851" s="9" t="s">
        <v>13284</v>
      </c>
      <c r="S2851" s="9" t="s">
        <v>13284</v>
      </c>
      <c r="T2851" s="9" t="str">
        <f ca="1">IFERROR(IF(AND(VLOOKUP(A2851, 'Актуальное состояние (из общего'!A:C,3,0) = "", A2851 &lt;&gt; ""), "ПРОВЕРИТЬ", VLOOKUP(A2851, 'Актуальное состояние (из общего'!A:C,3,0)), "")</f>
        <v/>
      </c>
      <c r="U2851" s="9" t="s">
        <v>13284</v>
      </c>
      <c r="V2851" s="9" t="s">
        <v>13284</v>
      </c>
      <c r="W2851" s="12"/>
      <c r="X2851" s="9" t="str">
        <f t="array" ref="X2851">IFERROR(INDEX('Адреса общежитий (скрытый)'!$B$2:$B$9, MATCH(W2851, 'Адреса общежитий (скрытый)'!$A$2:$A$9, 0)), "")</f>
        <v/>
      </c>
      <c r="Y2851" s="18"/>
      <c r="Z2851" s="18"/>
      <c r="AA2851" s="18"/>
      <c r="AB2851" s="18"/>
      <c r="AC2851" s="18"/>
    </row>
    <row r="2852" spans="1:29" ht="32.25" hidden="1" customHeight="1">
      <c r="A2852" s="17"/>
      <c r="B2852" s="9" t="s">
        <v>13284</v>
      </c>
      <c r="C2852" s="9" t="s">
        <v>13284</v>
      </c>
      <c r="D2852" s="9" t="s">
        <v>13284</v>
      </c>
      <c r="E2852" s="9" t="s">
        <v>13284</v>
      </c>
      <c r="F2852" s="9" t="s">
        <v>13284</v>
      </c>
      <c r="G2852" s="9" t="s">
        <v>13284</v>
      </c>
      <c r="H2852" s="9" t="s">
        <v>13284</v>
      </c>
      <c r="I2852" s="9" t="s">
        <v>13284</v>
      </c>
      <c r="J2852" s="9" t="s">
        <v>13284</v>
      </c>
      <c r="K2852" s="9" t="s">
        <v>13284</v>
      </c>
      <c r="L2852" s="9" t="s">
        <v>13284</v>
      </c>
      <c r="M2852" s="9" t="s">
        <v>13284</v>
      </c>
      <c r="N2852" s="9" t="s">
        <v>13284</v>
      </c>
      <c r="O2852" s="9" t="s">
        <v>13284</v>
      </c>
      <c r="P2852" s="9" t="s">
        <v>13284</v>
      </c>
      <c r="Q2852" s="9" t="s">
        <v>13284</v>
      </c>
      <c r="R2852" s="9" t="s">
        <v>13284</v>
      </c>
      <c r="S2852" s="9" t="s">
        <v>13284</v>
      </c>
      <c r="T2852" s="9" t="str">
        <f ca="1">IFERROR(IF(AND(VLOOKUP(A2852, 'Актуальное состояние (из общего'!A:C,3,0) = "", A2852 &lt;&gt; ""), "ПРОВЕРИТЬ", VLOOKUP(A2852, 'Актуальное состояние (из общего'!A:C,3,0)), "")</f>
        <v/>
      </c>
      <c r="U2852" s="9" t="s">
        <v>13284</v>
      </c>
      <c r="V2852" s="9" t="s">
        <v>13284</v>
      </c>
      <c r="W2852" s="12"/>
      <c r="X2852" s="9" t="str">
        <f t="array" ref="X2852">IFERROR(INDEX('Адреса общежитий (скрытый)'!$B$2:$B$9, MATCH(W2852, 'Адреса общежитий (скрытый)'!$A$2:$A$9, 0)), "")</f>
        <v/>
      </c>
      <c r="Y2852" s="18"/>
      <c r="Z2852" s="18"/>
      <c r="AA2852" s="18"/>
      <c r="AB2852" s="18"/>
      <c r="AC2852" s="18"/>
    </row>
    <row r="2853" spans="1:29" ht="32.25" hidden="1" customHeight="1">
      <c r="A2853" s="17"/>
      <c r="B2853" s="9" t="s">
        <v>13284</v>
      </c>
      <c r="C2853" s="9" t="s">
        <v>13284</v>
      </c>
      <c r="D2853" s="9" t="s">
        <v>13284</v>
      </c>
      <c r="E2853" s="9" t="s">
        <v>13284</v>
      </c>
      <c r="F2853" s="9" t="s">
        <v>13284</v>
      </c>
      <c r="G2853" s="9" t="s">
        <v>13284</v>
      </c>
      <c r="H2853" s="9" t="s">
        <v>13284</v>
      </c>
      <c r="I2853" s="9" t="s">
        <v>13284</v>
      </c>
      <c r="J2853" s="9" t="s">
        <v>13284</v>
      </c>
      <c r="K2853" s="9" t="s">
        <v>13284</v>
      </c>
      <c r="L2853" s="9" t="s">
        <v>13284</v>
      </c>
      <c r="M2853" s="9" t="s">
        <v>13284</v>
      </c>
      <c r="N2853" s="9" t="s">
        <v>13284</v>
      </c>
      <c r="O2853" s="9" t="s">
        <v>13284</v>
      </c>
      <c r="P2853" s="9" t="s">
        <v>13284</v>
      </c>
      <c r="Q2853" s="9" t="s">
        <v>13284</v>
      </c>
      <c r="R2853" s="9" t="s">
        <v>13284</v>
      </c>
      <c r="S2853" s="9" t="s">
        <v>13284</v>
      </c>
      <c r="T2853" s="9" t="str">
        <f ca="1">IFERROR(IF(AND(VLOOKUP(A2853, 'Актуальное состояние (из общего'!A:C,3,0) = "", A2853 &lt;&gt; ""), "ПРОВЕРИТЬ", VLOOKUP(A2853, 'Актуальное состояние (из общего'!A:C,3,0)), "")</f>
        <v/>
      </c>
      <c r="U2853" s="9" t="s">
        <v>13284</v>
      </c>
      <c r="V2853" s="9" t="s">
        <v>13284</v>
      </c>
      <c r="W2853" s="12"/>
      <c r="X2853" s="9" t="str">
        <f t="array" ref="X2853">IFERROR(INDEX('Адреса общежитий (скрытый)'!$B$2:$B$9, MATCH(W2853, 'Адреса общежитий (скрытый)'!$A$2:$A$9, 0)), "")</f>
        <v/>
      </c>
      <c r="Y2853" s="18"/>
      <c r="Z2853" s="18"/>
      <c r="AA2853" s="18"/>
      <c r="AB2853" s="18"/>
      <c r="AC2853" s="18"/>
    </row>
    <row r="2854" spans="1:29" ht="32.25" hidden="1" customHeight="1">
      <c r="A2854" s="17"/>
      <c r="B2854" s="9" t="s">
        <v>13284</v>
      </c>
      <c r="C2854" s="9" t="s">
        <v>13284</v>
      </c>
      <c r="D2854" s="9" t="s">
        <v>13284</v>
      </c>
      <c r="E2854" s="9" t="s">
        <v>13284</v>
      </c>
      <c r="F2854" s="9" t="s">
        <v>13284</v>
      </c>
      <c r="G2854" s="9" t="s">
        <v>13284</v>
      </c>
      <c r="H2854" s="9" t="s">
        <v>13284</v>
      </c>
      <c r="I2854" s="9" t="s">
        <v>13284</v>
      </c>
      <c r="J2854" s="9" t="s">
        <v>13284</v>
      </c>
      <c r="K2854" s="9" t="s">
        <v>13284</v>
      </c>
      <c r="L2854" s="9" t="s">
        <v>13284</v>
      </c>
      <c r="M2854" s="9" t="s">
        <v>13284</v>
      </c>
      <c r="N2854" s="9" t="s">
        <v>13284</v>
      </c>
      <c r="O2854" s="9" t="s">
        <v>13284</v>
      </c>
      <c r="P2854" s="9" t="s">
        <v>13284</v>
      </c>
      <c r="Q2854" s="9" t="s">
        <v>13284</v>
      </c>
      <c r="R2854" s="9" t="s">
        <v>13284</v>
      </c>
      <c r="S2854" s="9" t="s">
        <v>13284</v>
      </c>
      <c r="T2854" s="9" t="str">
        <f ca="1">IFERROR(IF(AND(VLOOKUP(A2854, 'Актуальное состояние (из общего'!A:C,3,0) = "", A2854 &lt;&gt; ""), "ПРОВЕРИТЬ", VLOOKUP(A2854, 'Актуальное состояние (из общего'!A:C,3,0)), "")</f>
        <v/>
      </c>
      <c r="U2854" s="9" t="s">
        <v>13284</v>
      </c>
      <c r="V2854" s="9" t="s">
        <v>13284</v>
      </c>
      <c r="W2854" s="12"/>
      <c r="X2854" s="9" t="str">
        <f t="array" ref="X2854">IFERROR(INDEX('Адреса общежитий (скрытый)'!$B$2:$B$9, MATCH(W2854, 'Адреса общежитий (скрытый)'!$A$2:$A$9, 0)), "")</f>
        <v/>
      </c>
      <c r="Y2854" s="18"/>
      <c r="Z2854" s="18"/>
      <c r="AA2854" s="18"/>
      <c r="AB2854" s="18"/>
      <c r="AC2854" s="18"/>
    </row>
    <row r="2855" spans="1:29" ht="32.25" hidden="1" customHeight="1">
      <c r="A2855" s="17"/>
      <c r="B2855" s="9" t="s">
        <v>13284</v>
      </c>
      <c r="C2855" s="9" t="s">
        <v>13284</v>
      </c>
      <c r="D2855" s="9" t="s">
        <v>13284</v>
      </c>
      <c r="E2855" s="9" t="s">
        <v>13284</v>
      </c>
      <c r="F2855" s="9" t="s">
        <v>13284</v>
      </c>
      <c r="G2855" s="9" t="s">
        <v>13284</v>
      </c>
      <c r="H2855" s="9" t="s">
        <v>13284</v>
      </c>
      <c r="I2855" s="9" t="s">
        <v>13284</v>
      </c>
      <c r="J2855" s="9" t="s">
        <v>13284</v>
      </c>
      <c r="K2855" s="9" t="s">
        <v>13284</v>
      </c>
      <c r="L2855" s="9" t="s">
        <v>13284</v>
      </c>
      <c r="M2855" s="9" t="s">
        <v>13284</v>
      </c>
      <c r="N2855" s="9" t="s">
        <v>13284</v>
      </c>
      <c r="O2855" s="9" t="s">
        <v>13284</v>
      </c>
      <c r="P2855" s="9" t="s">
        <v>13284</v>
      </c>
      <c r="Q2855" s="9" t="s">
        <v>13284</v>
      </c>
      <c r="R2855" s="9" t="s">
        <v>13284</v>
      </c>
      <c r="S2855" s="9" t="s">
        <v>13284</v>
      </c>
      <c r="T2855" s="9" t="str">
        <f ca="1">IFERROR(IF(AND(VLOOKUP(A2855, 'Актуальное состояние (из общего'!A:C,3,0) = "", A2855 &lt;&gt; ""), "ПРОВЕРИТЬ", VLOOKUP(A2855, 'Актуальное состояние (из общего'!A:C,3,0)), "")</f>
        <v/>
      </c>
      <c r="U2855" s="9" t="s">
        <v>13284</v>
      </c>
      <c r="V2855" s="9" t="s">
        <v>13284</v>
      </c>
      <c r="W2855" s="12"/>
      <c r="X2855" s="9" t="str">
        <f t="array" ref="X2855">IFERROR(INDEX('Адреса общежитий (скрытый)'!$B$2:$B$9, MATCH(W2855, 'Адреса общежитий (скрытый)'!$A$2:$A$9, 0)), "")</f>
        <v/>
      </c>
      <c r="Y2855" s="18"/>
      <c r="Z2855" s="18"/>
      <c r="AA2855" s="18"/>
      <c r="AB2855" s="18"/>
      <c r="AC2855" s="18"/>
    </row>
    <row r="2856" spans="1:29" ht="32.25" hidden="1" customHeight="1">
      <c r="A2856" s="17"/>
      <c r="B2856" s="9" t="s">
        <v>13284</v>
      </c>
      <c r="C2856" s="9" t="s">
        <v>13284</v>
      </c>
      <c r="D2856" s="9" t="s">
        <v>13284</v>
      </c>
      <c r="E2856" s="9" t="s">
        <v>13284</v>
      </c>
      <c r="F2856" s="9" t="s">
        <v>13284</v>
      </c>
      <c r="G2856" s="9" t="s">
        <v>13284</v>
      </c>
      <c r="H2856" s="9" t="s">
        <v>13284</v>
      </c>
      <c r="I2856" s="9" t="s">
        <v>13284</v>
      </c>
      <c r="J2856" s="9" t="s">
        <v>13284</v>
      </c>
      <c r="K2856" s="9" t="s">
        <v>13284</v>
      </c>
      <c r="L2856" s="9" t="s">
        <v>13284</v>
      </c>
      <c r="M2856" s="9" t="s">
        <v>13284</v>
      </c>
      <c r="N2856" s="9" t="s">
        <v>13284</v>
      </c>
      <c r="O2856" s="9" t="s">
        <v>13284</v>
      </c>
      <c r="P2856" s="9" t="s">
        <v>13284</v>
      </c>
      <c r="Q2856" s="9" t="s">
        <v>13284</v>
      </c>
      <c r="R2856" s="9" t="s">
        <v>13284</v>
      </c>
      <c r="S2856" s="9" t="s">
        <v>13284</v>
      </c>
      <c r="T2856" s="9" t="str">
        <f ca="1">IFERROR(IF(AND(VLOOKUP(A2856, 'Актуальное состояние (из общего'!A:C,3,0) = "", A2856 &lt;&gt; ""), "ПРОВЕРИТЬ", VLOOKUP(A2856, 'Актуальное состояние (из общего'!A:C,3,0)), "")</f>
        <v/>
      </c>
      <c r="U2856" s="9" t="s">
        <v>13284</v>
      </c>
      <c r="V2856" s="9" t="s">
        <v>13284</v>
      </c>
      <c r="W2856" s="12"/>
      <c r="X2856" s="9" t="str">
        <f t="array" ref="X2856">IFERROR(INDEX('Адреса общежитий (скрытый)'!$B$2:$B$9, MATCH(W2856, 'Адреса общежитий (скрытый)'!$A$2:$A$9, 0)), "")</f>
        <v/>
      </c>
      <c r="Y2856" s="18"/>
      <c r="Z2856" s="18"/>
      <c r="AA2856" s="18"/>
      <c r="AB2856" s="18"/>
      <c r="AC2856" s="18"/>
    </row>
    <row r="2857" spans="1:29" ht="32.25" hidden="1" customHeight="1">
      <c r="A2857" s="17"/>
      <c r="B2857" s="9" t="s">
        <v>13284</v>
      </c>
      <c r="C2857" s="9" t="s">
        <v>13284</v>
      </c>
      <c r="D2857" s="9" t="s">
        <v>13284</v>
      </c>
      <c r="E2857" s="9" t="s">
        <v>13284</v>
      </c>
      <c r="F2857" s="9" t="s">
        <v>13284</v>
      </c>
      <c r="G2857" s="9" t="s">
        <v>13284</v>
      </c>
      <c r="H2857" s="9" t="s">
        <v>13284</v>
      </c>
      <c r="I2857" s="9" t="s">
        <v>13284</v>
      </c>
      <c r="J2857" s="9" t="s">
        <v>13284</v>
      </c>
      <c r="K2857" s="9" t="s">
        <v>13284</v>
      </c>
      <c r="L2857" s="9" t="s">
        <v>13284</v>
      </c>
      <c r="M2857" s="9" t="s">
        <v>13284</v>
      </c>
      <c r="N2857" s="9" t="s">
        <v>13284</v>
      </c>
      <c r="O2857" s="9" t="s">
        <v>13284</v>
      </c>
      <c r="P2857" s="9" t="s">
        <v>13284</v>
      </c>
      <c r="Q2857" s="9" t="s">
        <v>13284</v>
      </c>
      <c r="R2857" s="9" t="s">
        <v>13284</v>
      </c>
      <c r="S2857" s="9" t="s">
        <v>13284</v>
      </c>
      <c r="T2857" s="9" t="str">
        <f ca="1">IFERROR(IF(AND(VLOOKUP(A2857, 'Актуальное состояние (из общего'!A:C,3,0) = "", A2857 &lt;&gt; ""), "ПРОВЕРИТЬ", VLOOKUP(A2857, 'Актуальное состояние (из общего'!A:C,3,0)), "")</f>
        <v/>
      </c>
      <c r="U2857" s="9" t="s">
        <v>13284</v>
      </c>
      <c r="V2857" s="9" t="s">
        <v>13284</v>
      </c>
      <c r="W2857" s="12"/>
      <c r="X2857" s="9" t="str">
        <f t="array" ref="X2857">IFERROR(INDEX('Адреса общежитий (скрытый)'!$B$2:$B$9, MATCH(W2857, 'Адреса общежитий (скрытый)'!$A$2:$A$9, 0)), "")</f>
        <v/>
      </c>
      <c r="Y2857" s="18"/>
      <c r="Z2857" s="18"/>
      <c r="AA2857" s="18"/>
      <c r="AB2857" s="18"/>
      <c r="AC2857" s="18"/>
    </row>
    <row r="2858" spans="1:29" ht="32.25" hidden="1" customHeight="1">
      <c r="A2858" s="17"/>
      <c r="B2858" s="9" t="s">
        <v>13284</v>
      </c>
      <c r="C2858" s="9" t="s">
        <v>13284</v>
      </c>
      <c r="D2858" s="9" t="s">
        <v>13284</v>
      </c>
      <c r="E2858" s="9" t="s">
        <v>13284</v>
      </c>
      <c r="F2858" s="9" t="s">
        <v>13284</v>
      </c>
      <c r="G2858" s="9" t="s">
        <v>13284</v>
      </c>
      <c r="H2858" s="9" t="s">
        <v>13284</v>
      </c>
      <c r="I2858" s="9" t="s">
        <v>13284</v>
      </c>
      <c r="J2858" s="9" t="s">
        <v>13284</v>
      </c>
      <c r="K2858" s="9" t="s">
        <v>13284</v>
      </c>
      <c r="L2858" s="9" t="s">
        <v>13284</v>
      </c>
      <c r="M2858" s="9" t="s">
        <v>13284</v>
      </c>
      <c r="N2858" s="9" t="s">
        <v>13284</v>
      </c>
      <c r="O2858" s="9" t="s">
        <v>13284</v>
      </c>
      <c r="P2858" s="9" t="s">
        <v>13284</v>
      </c>
      <c r="Q2858" s="9" t="s">
        <v>13284</v>
      </c>
      <c r="R2858" s="9" t="s">
        <v>13284</v>
      </c>
      <c r="S2858" s="9" t="s">
        <v>13284</v>
      </c>
      <c r="T2858" s="9" t="str">
        <f ca="1">IFERROR(IF(AND(VLOOKUP(A2858, 'Актуальное состояние (из общего'!A:C,3,0) = "", A2858 &lt;&gt; ""), "ПРОВЕРИТЬ", VLOOKUP(A2858, 'Актуальное состояние (из общего'!A:C,3,0)), "")</f>
        <v/>
      </c>
      <c r="U2858" s="9" t="s">
        <v>13284</v>
      </c>
      <c r="V2858" s="9" t="s">
        <v>13284</v>
      </c>
      <c r="W2858" s="12"/>
      <c r="X2858" s="9" t="str">
        <f t="array" ref="X2858">IFERROR(INDEX('Адреса общежитий (скрытый)'!$B$2:$B$9, MATCH(W2858, 'Адреса общежитий (скрытый)'!$A$2:$A$9, 0)), "")</f>
        <v/>
      </c>
      <c r="Y2858" s="18"/>
      <c r="Z2858" s="18"/>
      <c r="AA2858" s="18"/>
      <c r="AB2858" s="18"/>
      <c r="AC2858" s="18"/>
    </row>
    <row r="2859" spans="1:29" ht="32.25" hidden="1" customHeight="1">
      <c r="A2859" s="17"/>
      <c r="B2859" s="9" t="s">
        <v>13284</v>
      </c>
      <c r="C2859" s="9" t="s">
        <v>13284</v>
      </c>
      <c r="D2859" s="9" t="s">
        <v>13284</v>
      </c>
      <c r="E2859" s="9" t="s">
        <v>13284</v>
      </c>
      <c r="F2859" s="9" t="s">
        <v>13284</v>
      </c>
      <c r="G2859" s="9" t="s">
        <v>13284</v>
      </c>
      <c r="H2859" s="9" t="s">
        <v>13284</v>
      </c>
      <c r="I2859" s="9" t="s">
        <v>13284</v>
      </c>
      <c r="J2859" s="9" t="s">
        <v>13284</v>
      </c>
      <c r="K2859" s="9" t="s">
        <v>13284</v>
      </c>
      <c r="L2859" s="9" t="s">
        <v>13284</v>
      </c>
      <c r="M2859" s="9" t="s">
        <v>13284</v>
      </c>
      <c r="N2859" s="9" t="s">
        <v>13284</v>
      </c>
      <c r="O2859" s="9" t="s">
        <v>13284</v>
      </c>
      <c r="P2859" s="9" t="s">
        <v>13284</v>
      </c>
      <c r="Q2859" s="9" t="s">
        <v>13284</v>
      </c>
      <c r="R2859" s="9" t="s">
        <v>13284</v>
      </c>
      <c r="S2859" s="9" t="s">
        <v>13284</v>
      </c>
      <c r="T2859" s="9" t="str">
        <f ca="1">IFERROR(IF(AND(VLOOKUP(A2859, 'Актуальное состояние (из общего'!A:C,3,0) = "", A2859 &lt;&gt; ""), "ПРОВЕРИТЬ", VLOOKUP(A2859, 'Актуальное состояние (из общего'!A:C,3,0)), "")</f>
        <v/>
      </c>
      <c r="U2859" s="9" t="s">
        <v>13284</v>
      </c>
      <c r="V2859" s="9" t="s">
        <v>13284</v>
      </c>
      <c r="W2859" s="12"/>
      <c r="X2859" s="9" t="str">
        <f t="array" ref="X2859">IFERROR(INDEX('Адреса общежитий (скрытый)'!$B$2:$B$9, MATCH(W2859, 'Адреса общежитий (скрытый)'!$A$2:$A$9, 0)), "")</f>
        <v/>
      </c>
      <c r="Y2859" s="18"/>
      <c r="Z2859" s="18"/>
      <c r="AA2859" s="18"/>
      <c r="AB2859" s="18"/>
      <c r="AC2859" s="18"/>
    </row>
    <row r="2860" spans="1:29" ht="32.25" hidden="1" customHeight="1">
      <c r="A2860" s="17"/>
      <c r="B2860" s="9" t="s">
        <v>13284</v>
      </c>
      <c r="C2860" s="9" t="s">
        <v>13284</v>
      </c>
      <c r="D2860" s="9" t="s">
        <v>13284</v>
      </c>
      <c r="E2860" s="9" t="s">
        <v>13284</v>
      </c>
      <c r="F2860" s="9" t="s">
        <v>13284</v>
      </c>
      <c r="G2860" s="9" t="s">
        <v>13284</v>
      </c>
      <c r="H2860" s="9" t="s">
        <v>13284</v>
      </c>
      <c r="I2860" s="9" t="s">
        <v>13284</v>
      </c>
      <c r="J2860" s="9" t="s">
        <v>13284</v>
      </c>
      <c r="K2860" s="9" t="s">
        <v>13284</v>
      </c>
      <c r="L2860" s="9" t="s">
        <v>13284</v>
      </c>
      <c r="M2860" s="9" t="s">
        <v>13284</v>
      </c>
      <c r="N2860" s="9" t="s">
        <v>13284</v>
      </c>
      <c r="O2860" s="9" t="s">
        <v>13284</v>
      </c>
      <c r="P2860" s="9" t="s">
        <v>13284</v>
      </c>
      <c r="Q2860" s="9" t="s">
        <v>13284</v>
      </c>
      <c r="R2860" s="9" t="s">
        <v>13284</v>
      </c>
      <c r="S2860" s="9" t="s">
        <v>13284</v>
      </c>
      <c r="T2860" s="9" t="str">
        <f ca="1">IFERROR(IF(AND(VLOOKUP(A2860, 'Актуальное состояние (из общего'!A:C,3,0) = "", A2860 &lt;&gt; ""), "ПРОВЕРИТЬ", VLOOKUP(A2860, 'Актуальное состояние (из общего'!A:C,3,0)), "")</f>
        <v/>
      </c>
      <c r="U2860" s="9" t="s">
        <v>13284</v>
      </c>
      <c r="V2860" s="9" t="s">
        <v>13284</v>
      </c>
      <c r="W2860" s="12"/>
      <c r="X2860" s="9" t="str">
        <f t="array" ref="X2860">IFERROR(INDEX('Адреса общежитий (скрытый)'!$B$2:$B$9, MATCH(W2860, 'Адреса общежитий (скрытый)'!$A$2:$A$9, 0)), "")</f>
        <v/>
      </c>
      <c r="Y2860" s="18"/>
      <c r="Z2860" s="18"/>
      <c r="AA2860" s="18"/>
      <c r="AB2860" s="18"/>
      <c r="AC2860" s="18"/>
    </row>
    <row r="2861" spans="1:29" ht="32.25" hidden="1" customHeight="1">
      <c r="A2861" s="17"/>
      <c r="B2861" s="9" t="s">
        <v>13284</v>
      </c>
      <c r="C2861" s="9" t="s">
        <v>13284</v>
      </c>
      <c r="D2861" s="9" t="s">
        <v>13284</v>
      </c>
      <c r="E2861" s="9" t="s">
        <v>13284</v>
      </c>
      <c r="F2861" s="9" t="s">
        <v>13284</v>
      </c>
      <c r="G2861" s="9" t="s">
        <v>13284</v>
      </c>
      <c r="H2861" s="9" t="s">
        <v>13284</v>
      </c>
      <c r="I2861" s="9" t="s">
        <v>13284</v>
      </c>
      <c r="J2861" s="9" t="s">
        <v>13284</v>
      </c>
      <c r="K2861" s="9" t="s">
        <v>13284</v>
      </c>
      <c r="L2861" s="9" t="s">
        <v>13284</v>
      </c>
      <c r="M2861" s="9" t="s">
        <v>13284</v>
      </c>
      <c r="N2861" s="9" t="s">
        <v>13284</v>
      </c>
      <c r="O2861" s="9" t="s">
        <v>13284</v>
      </c>
      <c r="P2861" s="9" t="s">
        <v>13284</v>
      </c>
      <c r="Q2861" s="9" t="s">
        <v>13284</v>
      </c>
      <c r="R2861" s="9" t="s">
        <v>13284</v>
      </c>
      <c r="S2861" s="9" t="s">
        <v>13284</v>
      </c>
      <c r="T2861" s="9" t="str">
        <f ca="1">IFERROR(IF(AND(VLOOKUP(A2861, 'Актуальное состояние (из общего'!A:C,3,0) = "", A2861 &lt;&gt; ""), "ПРОВЕРИТЬ", VLOOKUP(A2861, 'Актуальное состояние (из общего'!A:C,3,0)), "")</f>
        <v/>
      </c>
      <c r="U2861" s="9" t="s">
        <v>13284</v>
      </c>
      <c r="V2861" s="9" t="s">
        <v>13284</v>
      </c>
      <c r="W2861" s="12"/>
      <c r="X2861" s="9" t="str">
        <f t="array" ref="X2861">IFERROR(INDEX('Адреса общежитий (скрытый)'!$B$2:$B$9, MATCH(W2861, 'Адреса общежитий (скрытый)'!$A$2:$A$9, 0)), "")</f>
        <v/>
      </c>
      <c r="Y2861" s="18"/>
      <c r="Z2861" s="18"/>
      <c r="AA2861" s="18"/>
      <c r="AB2861" s="18"/>
      <c r="AC2861" s="18"/>
    </row>
    <row r="2862" spans="1:29" ht="32.25" hidden="1" customHeight="1">
      <c r="A2862" s="17"/>
      <c r="B2862" s="9" t="s">
        <v>13284</v>
      </c>
      <c r="C2862" s="9" t="s">
        <v>13284</v>
      </c>
      <c r="D2862" s="9" t="s">
        <v>13284</v>
      </c>
      <c r="E2862" s="9" t="s">
        <v>13284</v>
      </c>
      <c r="F2862" s="9" t="s">
        <v>13284</v>
      </c>
      <c r="G2862" s="9" t="s">
        <v>13284</v>
      </c>
      <c r="H2862" s="9" t="s">
        <v>13284</v>
      </c>
      <c r="I2862" s="9" t="s">
        <v>13284</v>
      </c>
      <c r="J2862" s="9" t="s">
        <v>13284</v>
      </c>
      <c r="K2862" s="9" t="s">
        <v>13284</v>
      </c>
      <c r="L2862" s="9" t="s">
        <v>13284</v>
      </c>
      <c r="M2862" s="9" t="s">
        <v>13284</v>
      </c>
      <c r="N2862" s="9" t="s">
        <v>13284</v>
      </c>
      <c r="O2862" s="9" t="s">
        <v>13284</v>
      </c>
      <c r="P2862" s="9" t="s">
        <v>13284</v>
      </c>
      <c r="Q2862" s="9" t="s">
        <v>13284</v>
      </c>
      <c r="R2862" s="9" t="s">
        <v>13284</v>
      </c>
      <c r="S2862" s="9" t="s">
        <v>13284</v>
      </c>
      <c r="T2862" s="9" t="str">
        <f ca="1">IFERROR(IF(AND(VLOOKUP(A2862, 'Актуальное состояние (из общего'!A:C,3,0) = "", A2862 &lt;&gt; ""), "ПРОВЕРИТЬ", VLOOKUP(A2862, 'Актуальное состояние (из общего'!A:C,3,0)), "")</f>
        <v/>
      </c>
      <c r="U2862" s="9" t="s">
        <v>13284</v>
      </c>
      <c r="V2862" s="9" t="s">
        <v>13284</v>
      </c>
      <c r="W2862" s="12"/>
      <c r="X2862" s="9" t="str">
        <f t="array" ref="X2862">IFERROR(INDEX('Адреса общежитий (скрытый)'!$B$2:$B$9, MATCH(W2862, 'Адреса общежитий (скрытый)'!$A$2:$A$9, 0)), "")</f>
        <v/>
      </c>
      <c r="Y2862" s="18"/>
      <c r="Z2862" s="18"/>
      <c r="AA2862" s="18"/>
      <c r="AB2862" s="18"/>
      <c r="AC2862" s="18"/>
    </row>
    <row r="2863" spans="1:29" ht="32.25" hidden="1" customHeight="1">
      <c r="A2863" s="17"/>
      <c r="B2863" s="9" t="s">
        <v>13284</v>
      </c>
      <c r="C2863" s="9" t="s">
        <v>13284</v>
      </c>
      <c r="D2863" s="9" t="s">
        <v>13284</v>
      </c>
      <c r="E2863" s="9" t="s">
        <v>13284</v>
      </c>
      <c r="F2863" s="9" t="s">
        <v>13284</v>
      </c>
      <c r="G2863" s="9" t="s">
        <v>13284</v>
      </c>
      <c r="H2863" s="9" t="s">
        <v>13284</v>
      </c>
      <c r="I2863" s="9" t="s">
        <v>13284</v>
      </c>
      <c r="J2863" s="9" t="s">
        <v>13284</v>
      </c>
      <c r="K2863" s="9" t="s">
        <v>13284</v>
      </c>
      <c r="L2863" s="9" t="s">
        <v>13284</v>
      </c>
      <c r="M2863" s="9" t="s">
        <v>13284</v>
      </c>
      <c r="N2863" s="9" t="s">
        <v>13284</v>
      </c>
      <c r="O2863" s="9" t="s">
        <v>13284</v>
      </c>
      <c r="P2863" s="9" t="s">
        <v>13284</v>
      </c>
      <c r="Q2863" s="9" t="s">
        <v>13284</v>
      </c>
      <c r="R2863" s="9" t="s">
        <v>13284</v>
      </c>
      <c r="S2863" s="9" t="s">
        <v>13284</v>
      </c>
      <c r="T2863" s="9" t="str">
        <f ca="1">IFERROR(IF(AND(VLOOKUP(A2863, 'Актуальное состояние (из общего'!A:C,3,0) = "", A2863 &lt;&gt; ""), "ПРОВЕРИТЬ", VLOOKUP(A2863, 'Актуальное состояние (из общего'!A:C,3,0)), "")</f>
        <v/>
      </c>
      <c r="U2863" s="9" t="s">
        <v>13284</v>
      </c>
      <c r="V2863" s="9" t="s">
        <v>13284</v>
      </c>
      <c r="W2863" s="12"/>
      <c r="X2863" s="9" t="str">
        <f t="array" ref="X2863">IFERROR(INDEX('Адреса общежитий (скрытый)'!$B$2:$B$9, MATCH(W2863, 'Адреса общежитий (скрытый)'!$A$2:$A$9, 0)), "")</f>
        <v/>
      </c>
      <c r="Y2863" s="18"/>
      <c r="Z2863" s="18"/>
      <c r="AA2863" s="18"/>
      <c r="AB2863" s="18"/>
      <c r="AC2863" s="18"/>
    </row>
    <row r="2864" spans="1:29" ht="32.25" hidden="1" customHeight="1">
      <c r="A2864" s="17"/>
      <c r="B2864" s="9" t="s">
        <v>13284</v>
      </c>
      <c r="C2864" s="9" t="s">
        <v>13284</v>
      </c>
      <c r="D2864" s="9" t="s">
        <v>13284</v>
      </c>
      <c r="E2864" s="9" t="s">
        <v>13284</v>
      </c>
      <c r="F2864" s="9" t="s">
        <v>13284</v>
      </c>
      <c r="G2864" s="9" t="s">
        <v>13284</v>
      </c>
      <c r="H2864" s="9" t="s">
        <v>13284</v>
      </c>
      <c r="I2864" s="9" t="s">
        <v>13284</v>
      </c>
      <c r="J2864" s="9" t="s">
        <v>13284</v>
      </c>
      <c r="K2864" s="9" t="s">
        <v>13284</v>
      </c>
      <c r="L2864" s="9" t="s">
        <v>13284</v>
      </c>
      <c r="M2864" s="9" t="s">
        <v>13284</v>
      </c>
      <c r="N2864" s="9" t="s">
        <v>13284</v>
      </c>
      <c r="O2864" s="9" t="s">
        <v>13284</v>
      </c>
      <c r="P2864" s="9" t="s">
        <v>13284</v>
      </c>
      <c r="Q2864" s="9" t="s">
        <v>13284</v>
      </c>
      <c r="R2864" s="9" t="s">
        <v>13284</v>
      </c>
      <c r="S2864" s="9" t="s">
        <v>13284</v>
      </c>
      <c r="T2864" s="9" t="str">
        <f ca="1">IFERROR(IF(AND(VLOOKUP(A2864, 'Актуальное состояние (из общего'!A:C,3,0) = "", A2864 &lt;&gt; ""), "ПРОВЕРИТЬ", VLOOKUP(A2864, 'Актуальное состояние (из общего'!A:C,3,0)), "")</f>
        <v/>
      </c>
      <c r="U2864" s="9" t="s">
        <v>13284</v>
      </c>
      <c r="V2864" s="9" t="s">
        <v>13284</v>
      </c>
      <c r="W2864" s="12"/>
      <c r="X2864" s="9" t="str">
        <f t="array" ref="X2864">IFERROR(INDEX('Адреса общежитий (скрытый)'!$B$2:$B$9, MATCH(W2864, 'Адреса общежитий (скрытый)'!$A$2:$A$9, 0)), "")</f>
        <v/>
      </c>
      <c r="Y2864" s="18"/>
      <c r="Z2864" s="18"/>
      <c r="AA2864" s="18"/>
      <c r="AB2864" s="18"/>
      <c r="AC2864" s="18"/>
    </row>
    <row r="2865" spans="1:29" ht="32.25" hidden="1" customHeight="1">
      <c r="A2865" s="17"/>
      <c r="B2865" s="9" t="s">
        <v>13284</v>
      </c>
      <c r="C2865" s="9" t="s">
        <v>13284</v>
      </c>
      <c r="D2865" s="9" t="s">
        <v>13284</v>
      </c>
      <c r="E2865" s="9" t="s">
        <v>13284</v>
      </c>
      <c r="F2865" s="9" t="s">
        <v>13284</v>
      </c>
      <c r="G2865" s="9" t="s">
        <v>13284</v>
      </c>
      <c r="H2865" s="9" t="s">
        <v>13284</v>
      </c>
      <c r="I2865" s="9" t="s">
        <v>13284</v>
      </c>
      <c r="J2865" s="9" t="s">
        <v>13284</v>
      </c>
      <c r="K2865" s="9" t="s">
        <v>13284</v>
      </c>
      <c r="L2865" s="9" t="s">
        <v>13284</v>
      </c>
      <c r="M2865" s="9" t="s">
        <v>13284</v>
      </c>
      <c r="N2865" s="9" t="s">
        <v>13284</v>
      </c>
      <c r="O2865" s="9" t="s">
        <v>13284</v>
      </c>
      <c r="P2865" s="9" t="s">
        <v>13284</v>
      </c>
      <c r="Q2865" s="9" t="s">
        <v>13284</v>
      </c>
      <c r="R2865" s="9" t="s">
        <v>13284</v>
      </c>
      <c r="S2865" s="9" t="s">
        <v>13284</v>
      </c>
      <c r="T2865" s="9" t="str">
        <f ca="1">IFERROR(IF(AND(VLOOKUP(A2865, 'Актуальное состояние (из общего'!A:C,3,0) = "", A2865 &lt;&gt; ""), "ПРОВЕРИТЬ", VLOOKUP(A2865, 'Актуальное состояние (из общего'!A:C,3,0)), "")</f>
        <v/>
      </c>
      <c r="U2865" s="9" t="s">
        <v>13284</v>
      </c>
      <c r="V2865" s="9" t="s">
        <v>13284</v>
      </c>
      <c r="W2865" s="12"/>
      <c r="X2865" s="9" t="str">
        <f t="array" ref="X2865">IFERROR(INDEX('Адреса общежитий (скрытый)'!$B$2:$B$9, MATCH(W2865, 'Адреса общежитий (скрытый)'!$A$2:$A$9, 0)), "")</f>
        <v/>
      </c>
      <c r="Y2865" s="18"/>
      <c r="Z2865" s="18"/>
      <c r="AA2865" s="18"/>
      <c r="AB2865" s="18"/>
      <c r="AC2865" s="18"/>
    </row>
    <row r="2866" spans="1:29" ht="32.25" hidden="1" customHeight="1">
      <c r="A2866" s="17"/>
      <c r="B2866" s="9" t="s">
        <v>13284</v>
      </c>
      <c r="C2866" s="9" t="s">
        <v>13284</v>
      </c>
      <c r="D2866" s="9" t="s">
        <v>13284</v>
      </c>
      <c r="E2866" s="9" t="s">
        <v>13284</v>
      </c>
      <c r="F2866" s="9" t="s">
        <v>13284</v>
      </c>
      <c r="G2866" s="9" t="s">
        <v>13284</v>
      </c>
      <c r="H2866" s="9" t="s">
        <v>13284</v>
      </c>
      <c r="I2866" s="9" t="s">
        <v>13284</v>
      </c>
      <c r="J2866" s="9" t="s">
        <v>13284</v>
      </c>
      <c r="K2866" s="9" t="s">
        <v>13284</v>
      </c>
      <c r="L2866" s="9" t="s">
        <v>13284</v>
      </c>
      <c r="M2866" s="9" t="s">
        <v>13284</v>
      </c>
      <c r="N2866" s="9" t="s">
        <v>13284</v>
      </c>
      <c r="O2866" s="9" t="s">
        <v>13284</v>
      </c>
      <c r="P2866" s="9" t="s">
        <v>13284</v>
      </c>
      <c r="Q2866" s="9" t="s">
        <v>13284</v>
      </c>
      <c r="R2866" s="9" t="s">
        <v>13284</v>
      </c>
      <c r="S2866" s="9" t="s">
        <v>13284</v>
      </c>
      <c r="T2866" s="9" t="str">
        <f ca="1">IFERROR(IF(AND(VLOOKUP(A2866, 'Актуальное состояние (из общего'!A:C,3,0) = "", A2866 &lt;&gt; ""), "ПРОВЕРИТЬ", VLOOKUP(A2866, 'Актуальное состояние (из общего'!A:C,3,0)), "")</f>
        <v/>
      </c>
      <c r="U2866" s="9" t="s">
        <v>13284</v>
      </c>
      <c r="V2866" s="9" t="s">
        <v>13284</v>
      </c>
      <c r="W2866" s="12"/>
      <c r="X2866" s="9" t="str">
        <f t="array" ref="X2866">IFERROR(INDEX('Адреса общежитий (скрытый)'!$B$2:$B$9, MATCH(W2866, 'Адреса общежитий (скрытый)'!$A$2:$A$9, 0)), "")</f>
        <v/>
      </c>
      <c r="Y2866" s="18"/>
      <c r="Z2866" s="18"/>
      <c r="AA2866" s="18"/>
      <c r="AB2866" s="18"/>
      <c r="AC2866" s="18"/>
    </row>
    <row r="2867" spans="1:29" ht="32.25" hidden="1" customHeight="1">
      <c r="A2867" s="17"/>
      <c r="B2867" s="9" t="s">
        <v>13284</v>
      </c>
      <c r="C2867" s="9" t="s">
        <v>13284</v>
      </c>
      <c r="D2867" s="9" t="s">
        <v>13284</v>
      </c>
      <c r="E2867" s="9" t="s">
        <v>13284</v>
      </c>
      <c r="F2867" s="9" t="s">
        <v>13284</v>
      </c>
      <c r="G2867" s="9" t="s">
        <v>13284</v>
      </c>
      <c r="H2867" s="9" t="s">
        <v>13284</v>
      </c>
      <c r="I2867" s="9" t="s">
        <v>13284</v>
      </c>
      <c r="J2867" s="9" t="s">
        <v>13284</v>
      </c>
      <c r="K2867" s="9" t="s">
        <v>13284</v>
      </c>
      <c r="L2867" s="9" t="s">
        <v>13284</v>
      </c>
      <c r="M2867" s="9" t="s">
        <v>13284</v>
      </c>
      <c r="N2867" s="9" t="s">
        <v>13284</v>
      </c>
      <c r="O2867" s="9" t="s">
        <v>13284</v>
      </c>
      <c r="P2867" s="9" t="s">
        <v>13284</v>
      </c>
      <c r="Q2867" s="9" t="s">
        <v>13284</v>
      </c>
      <c r="R2867" s="9" t="s">
        <v>13284</v>
      </c>
      <c r="S2867" s="9" t="s">
        <v>13284</v>
      </c>
      <c r="T2867" s="9" t="str">
        <f ca="1">IFERROR(IF(AND(VLOOKUP(A2867, 'Актуальное состояние (из общего'!A:C,3,0) = "", A2867 &lt;&gt; ""), "ПРОВЕРИТЬ", VLOOKUP(A2867, 'Актуальное состояние (из общего'!A:C,3,0)), "")</f>
        <v/>
      </c>
      <c r="U2867" s="9" t="s">
        <v>13284</v>
      </c>
      <c r="V2867" s="9" t="s">
        <v>13284</v>
      </c>
      <c r="W2867" s="12"/>
      <c r="X2867" s="9" t="str">
        <f t="array" ref="X2867">IFERROR(INDEX('Адреса общежитий (скрытый)'!$B$2:$B$9, MATCH(W2867, 'Адреса общежитий (скрытый)'!$A$2:$A$9, 0)), "")</f>
        <v/>
      </c>
      <c r="Y2867" s="18"/>
      <c r="Z2867" s="18"/>
      <c r="AA2867" s="18"/>
      <c r="AB2867" s="18"/>
      <c r="AC2867" s="18"/>
    </row>
    <row r="2868" spans="1:29" ht="32.25" hidden="1" customHeight="1">
      <c r="A2868" s="17"/>
      <c r="B2868" s="9" t="s">
        <v>13284</v>
      </c>
      <c r="C2868" s="9" t="s">
        <v>13284</v>
      </c>
      <c r="D2868" s="9" t="s">
        <v>13284</v>
      </c>
      <c r="E2868" s="9" t="s">
        <v>13284</v>
      </c>
      <c r="F2868" s="9" t="s">
        <v>13284</v>
      </c>
      <c r="G2868" s="9" t="s">
        <v>13284</v>
      </c>
      <c r="H2868" s="9" t="s">
        <v>13284</v>
      </c>
      <c r="I2868" s="9" t="s">
        <v>13284</v>
      </c>
      <c r="J2868" s="9" t="s">
        <v>13284</v>
      </c>
      <c r="K2868" s="9" t="s">
        <v>13284</v>
      </c>
      <c r="L2868" s="9" t="s">
        <v>13284</v>
      </c>
      <c r="M2868" s="9" t="s">
        <v>13284</v>
      </c>
      <c r="N2868" s="9" t="s">
        <v>13284</v>
      </c>
      <c r="O2868" s="9" t="s">
        <v>13284</v>
      </c>
      <c r="P2868" s="9" t="s">
        <v>13284</v>
      </c>
      <c r="Q2868" s="9" t="s">
        <v>13284</v>
      </c>
      <c r="R2868" s="9" t="s">
        <v>13284</v>
      </c>
      <c r="S2868" s="9" t="s">
        <v>13284</v>
      </c>
      <c r="T2868" s="9" t="str">
        <f ca="1">IFERROR(IF(AND(VLOOKUP(A2868, 'Актуальное состояние (из общего'!A:C,3,0) = "", A2868 &lt;&gt; ""), "ПРОВЕРИТЬ", VLOOKUP(A2868, 'Актуальное состояние (из общего'!A:C,3,0)), "")</f>
        <v/>
      </c>
      <c r="U2868" s="9" t="s">
        <v>13284</v>
      </c>
      <c r="V2868" s="9" t="s">
        <v>13284</v>
      </c>
      <c r="W2868" s="12"/>
      <c r="X2868" s="9" t="str">
        <f t="array" ref="X2868">IFERROR(INDEX('Адреса общежитий (скрытый)'!$B$2:$B$9, MATCH(W2868, 'Адреса общежитий (скрытый)'!$A$2:$A$9, 0)), "")</f>
        <v/>
      </c>
      <c r="Y2868" s="18"/>
      <c r="Z2868" s="18"/>
      <c r="AA2868" s="18"/>
      <c r="AB2868" s="18"/>
      <c r="AC2868" s="18"/>
    </row>
    <row r="2869" spans="1:29" ht="32.25" hidden="1" customHeight="1">
      <c r="A2869" s="17"/>
      <c r="B2869" s="9" t="s">
        <v>13284</v>
      </c>
      <c r="C2869" s="9" t="s">
        <v>13284</v>
      </c>
      <c r="D2869" s="9" t="s">
        <v>13284</v>
      </c>
      <c r="E2869" s="9" t="s">
        <v>13284</v>
      </c>
      <c r="F2869" s="9" t="s">
        <v>13284</v>
      </c>
      <c r="G2869" s="9" t="s">
        <v>13284</v>
      </c>
      <c r="H2869" s="9" t="s">
        <v>13284</v>
      </c>
      <c r="I2869" s="9" t="s">
        <v>13284</v>
      </c>
      <c r="J2869" s="9" t="s">
        <v>13284</v>
      </c>
      <c r="K2869" s="9" t="s">
        <v>13284</v>
      </c>
      <c r="L2869" s="9" t="s">
        <v>13284</v>
      </c>
      <c r="M2869" s="9" t="s">
        <v>13284</v>
      </c>
      <c r="N2869" s="9" t="s">
        <v>13284</v>
      </c>
      <c r="O2869" s="9" t="s">
        <v>13284</v>
      </c>
      <c r="P2869" s="9" t="s">
        <v>13284</v>
      </c>
      <c r="Q2869" s="9" t="s">
        <v>13284</v>
      </c>
      <c r="R2869" s="9" t="s">
        <v>13284</v>
      </c>
      <c r="S2869" s="9" t="s">
        <v>13284</v>
      </c>
      <c r="T2869" s="9" t="str">
        <f ca="1">IFERROR(IF(AND(VLOOKUP(A2869, 'Актуальное состояние (из общего'!A:C,3,0) = "", A2869 &lt;&gt; ""), "ПРОВЕРИТЬ", VLOOKUP(A2869, 'Актуальное состояние (из общего'!A:C,3,0)), "")</f>
        <v/>
      </c>
      <c r="U2869" s="9" t="s">
        <v>13284</v>
      </c>
      <c r="V2869" s="9" t="s">
        <v>13284</v>
      </c>
      <c r="W2869" s="12"/>
      <c r="X2869" s="9" t="str">
        <f t="array" ref="X2869">IFERROR(INDEX('Адреса общежитий (скрытый)'!$B$2:$B$9, MATCH(W2869, 'Адреса общежитий (скрытый)'!$A$2:$A$9, 0)), "")</f>
        <v/>
      </c>
      <c r="Y2869" s="18"/>
      <c r="Z2869" s="18"/>
      <c r="AA2869" s="18"/>
      <c r="AB2869" s="18"/>
      <c r="AC2869" s="18"/>
    </row>
    <row r="2870" spans="1:29" ht="32.25" hidden="1" customHeight="1">
      <c r="A2870" s="17"/>
      <c r="B2870" s="9" t="s">
        <v>13284</v>
      </c>
      <c r="C2870" s="9" t="s">
        <v>13284</v>
      </c>
      <c r="D2870" s="9" t="s">
        <v>13284</v>
      </c>
      <c r="E2870" s="9" t="s">
        <v>13284</v>
      </c>
      <c r="F2870" s="9" t="s">
        <v>13284</v>
      </c>
      <c r="G2870" s="9" t="s">
        <v>13284</v>
      </c>
      <c r="H2870" s="9" t="s">
        <v>13284</v>
      </c>
      <c r="I2870" s="9" t="s">
        <v>13284</v>
      </c>
      <c r="J2870" s="9" t="s">
        <v>13284</v>
      </c>
      <c r="K2870" s="9" t="s">
        <v>13284</v>
      </c>
      <c r="L2870" s="9" t="s">
        <v>13284</v>
      </c>
      <c r="M2870" s="9" t="s">
        <v>13284</v>
      </c>
      <c r="N2870" s="9" t="s">
        <v>13284</v>
      </c>
      <c r="O2870" s="9" t="s">
        <v>13284</v>
      </c>
      <c r="P2870" s="9" t="s">
        <v>13284</v>
      </c>
      <c r="Q2870" s="9" t="s">
        <v>13284</v>
      </c>
      <c r="R2870" s="9" t="s">
        <v>13284</v>
      </c>
      <c r="S2870" s="9" t="s">
        <v>13284</v>
      </c>
      <c r="T2870" s="9" t="str">
        <f ca="1">IFERROR(IF(AND(VLOOKUP(A2870, 'Актуальное состояние (из общего'!A:C,3,0) = "", A2870 &lt;&gt; ""), "ПРОВЕРИТЬ", VLOOKUP(A2870, 'Актуальное состояние (из общего'!A:C,3,0)), "")</f>
        <v/>
      </c>
      <c r="U2870" s="9" t="s">
        <v>13284</v>
      </c>
      <c r="V2870" s="9" t="s">
        <v>13284</v>
      </c>
      <c r="W2870" s="12"/>
      <c r="X2870" s="9" t="str">
        <f t="array" ref="X2870">IFERROR(INDEX('Адреса общежитий (скрытый)'!$B$2:$B$9, MATCH(W2870, 'Адреса общежитий (скрытый)'!$A$2:$A$9, 0)), "")</f>
        <v/>
      </c>
      <c r="Y2870" s="18"/>
      <c r="Z2870" s="18"/>
      <c r="AA2870" s="18"/>
      <c r="AB2870" s="18"/>
      <c r="AC2870" s="18"/>
    </row>
    <row r="2871" spans="1:29" ht="32.25" hidden="1" customHeight="1">
      <c r="A2871" s="17"/>
      <c r="B2871" s="9" t="s">
        <v>13284</v>
      </c>
      <c r="C2871" s="9" t="s">
        <v>13284</v>
      </c>
      <c r="D2871" s="9" t="s">
        <v>13284</v>
      </c>
      <c r="E2871" s="9" t="s">
        <v>13284</v>
      </c>
      <c r="F2871" s="9" t="s">
        <v>13284</v>
      </c>
      <c r="G2871" s="9" t="s">
        <v>13284</v>
      </c>
      <c r="H2871" s="9" t="s">
        <v>13284</v>
      </c>
      <c r="I2871" s="9" t="s">
        <v>13284</v>
      </c>
      <c r="J2871" s="9" t="s">
        <v>13284</v>
      </c>
      <c r="K2871" s="9" t="s">
        <v>13284</v>
      </c>
      <c r="L2871" s="9" t="s">
        <v>13284</v>
      </c>
      <c r="M2871" s="9" t="s">
        <v>13284</v>
      </c>
      <c r="N2871" s="9" t="s">
        <v>13284</v>
      </c>
      <c r="O2871" s="9" t="s">
        <v>13284</v>
      </c>
      <c r="P2871" s="9" t="s">
        <v>13284</v>
      </c>
      <c r="Q2871" s="9" t="s">
        <v>13284</v>
      </c>
      <c r="R2871" s="9" t="s">
        <v>13284</v>
      </c>
      <c r="S2871" s="9" t="s">
        <v>13284</v>
      </c>
      <c r="T2871" s="9" t="str">
        <f ca="1">IFERROR(IF(AND(VLOOKUP(A2871, 'Актуальное состояние (из общего'!A:C,3,0) = "", A2871 &lt;&gt; ""), "ПРОВЕРИТЬ", VLOOKUP(A2871, 'Актуальное состояние (из общего'!A:C,3,0)), "")</f>
        <v/>
      </c>
      <c r="U2871" s="9" t="s">
        <v>13284</v>
      </c>
      <c r="V2871" s="9" t="s">
        <v>13284</v>
      </c>
      <c r="W2871" s="12"/>
      <c r="X2871" s="9" t="str">
        <f t="array" ref="X2871">IFERROR(INDEX('Адреса общежитий (скрытый)'!$B$2:$B$9, MATCH(W2871, 'Адреса общежитий (скрытый)'!$A$2:$A$9, 0)), "")</f>
        <v/>
      </c>
      <c r="Y2871" s="18"/>
      <c r="Z2871" s="18"/>
      <c r="AA2871" s="18"/>
      <c r="AB2871" s="18"/>
      <c r="AC2871" s="18"/>
    </row>
    <row r="2872" spans="1:29" ht="32.25" hidden="1" customHeight="1">
      <c r="A2872" s="17"/>
      <c r="B2872" s="9" t="s">
        <v>13284</v>
      </c>
      <c r="C2872" s="9" t="s">
        <v>13284</v>
      </c>
      <c r="D2872" s="9" t="s">
        <v>13284</v>
      </c>
      <c r="E2872" s="9" t="s">
        <v>13284</v>
      </c>
      <c r="F2872" s="9" t="s">
        <v>13284</v>
      </c>
      <c r="G2872" s="9" t="s">
        <v>13284</v>
      </c>
      <c r="H2872" s="9" t="s">
        <v>13284</v>
      </c>
      <c r="I2872" s="9" t="s">
        <v>13284</v>
      </c>
      <c r="J2872" s="9" t="s">
        <v>13284</v>
      </c>
      <c r="K2872" s="9" t="s">
        <v>13284</v>
      </c>
      <c r="L2872" s="9" t="s">
        <v>13284</v>
      </c>
      <c r="M2872" s="9" t="s">
        <v>13284</v>
      </c>
      <c r="N2872" s="9" t="s">
        <v>13284</v>
      </c>
      <c r="O2872" s="9" t="s">
        <v>13284</v>
      </c>
      <c r="P2872" s="9" t="s">
        <v>13284</v>
      </c>
      <c r="Q2872" s="9" t="s">
        <v>13284</v>
      </c>
      <c r="R2872" s="9" t="s">
        <v>13284</v>
      </c>
      <c r="S2872" s="9" t="s">
        <v>13284</v>
      </c>
      <c r="T2872" s="9" t="str">
        <f ca="1">IFERROR(IF(AND(VLOOKUP(A2872, 'Актуальное состояние (из общего'!A:C,3,0) = "", A2872 &lt;&gt; ""), "ПРОВЕРИТЬ", VLOOKUP(A2872, 'Актуальное состояние (из общего'!A:C,3,0)), "")</f>
        <v/>
      </c>
      <c r="U2872" s="9" t="s">
        <v>13284</v>
      </c>
      <c r="V2872" s="9" t="s">
        <v>13284</v>
      </c>
      <c r="W2872" s="12"/>
      <c r="X2872" s="9" t="str">
        <f t="array" ref="X2872">IFERROR(INDEX('Адреса общежитий (скрытый)'!$B$2:$B$9, MATCH(W2872, 'Адреса общежитий (скрытый)'!$A$2:$A$9, 0)), "")</f>
        <v/>
      </c>
      <c r="Y2872" s="18"/>
      <c r="Z2872" s="18"/>
      <c r="AA2872" s="18"/>
      <c r="AB2872" s="18"/>
      <c r="AC2872" s="18"/>
    </row>
    <row r="2873" spans="1:29" ht="32.25" hidden="1" customHeight="1">
      <c r="A2873" s="17"/>
      <c r="B2873" s="9" t="s">
        <v>13284</v>
      </c>
      <c r="C2873" s="9" t="s">
        <v>13284</v>
      </c>
      <c r="D2873" s="9" t="s">
        <v>13284</v>
      </c>
      <c r="E2873" s="9" t="s">
        <v>13284</v>
      </c>
      <c r="F2873" s="9" t="s">
        <v>13284</v>
      </c>
      <c r="G2873" s="9" t="s">
        <v>13284</v>
      </c>
      <c r="H2873" s="9" t="s">
        <v>13284</v>
      </c>
      <c r="I2873" s="9" t="s">
        <v>13284</v>
      </c>
      <c r="J2873" s="9" t="s">
        <v>13284</v>
      </c>
      <c r="K2873" s="9" t="s">
        <v>13284</v>
      </c>
      <c r="L2873" s="9" t="s">
        <v>13284</v>
      </c>
      <c r="M2873" s="9" t="s">
        <v>13284</v>
      </c>
      <c r="N2873" s="9" t="s">
        <v>13284</v>
      </c>
      <c r="O2873" s="9" t="s">
        <v>13284</v>
      </c>
      <c r="P2873" s="9" t="s">
        <v>13284</v>
      </c>
      <c r="Q2873" s="9" t="s">
        <v>13284</v>
      </c>
      <c r="R2873" s="9" t="s">
        <v>13284</v>
      </c>
      <c r="S2873" s="9" t="s">
        <v>13284</v>
      </c>
      <c r="T2873" s="9" t="str">
        <f ca="1">IFERROR(IF(AND(VLOOKUP(A2873, 'Актуальное состояние (из общего'!A:C,3,0) = "", A2873 &lt;&gt; ""), "ПРОВЕРИТЬ", VLOOKUP(A2873, 'Актуальное состояние (из общего'!A:C,3,0)), "")</f>
        <v/>
      </c>
      <c r="U2873" s="9" t="s">
        <v>13284</v>
      </c>
      <c r="V2873" s="9" t="s">
        <v>13284</v>
      </c>
      <c r="W2873" s="12"/>
      <c r="X2873" s="9" t="str">
        <f t="array" ref="X2873">IFERROR(INDEX('Адреса общежитий (скрытый)'!$B$2:$B$9, MATCH(W2873, 'Адреса общежитий (скрытый)'!$A$2:$A$9, 0)), "")</f>
        <v/>
      </c>
      <c r="Y2873" s="18"/>
      <c r="Z2873" s="18"/>
      <c r="AA2873" s="18"/>
      <c r="AB2873" s="18"/>
      <c r="AC2873" s="18"/>
    </row>
    <row r="2874" spans="1:29" ht="32.25" hidden="1" customHeight="1">
      <c r="A2874" s="17"/>
      <c r="B2874" s="9" t="s">
        <v>13284</v>
      </c>
      <c r="C2874" s="9" t="s">
        <v>13284</v>
      </c>
      <c r="D2874" s="9" t="s">
        <v>13284</v>
      </c>
      <c r="E2874" s="9" t="s">
        <v>13284</v>
      </c>
      <c r="F2874" s="9" t="s">
        <v>13284</v>
      </c>
      <c r="G2874" s="9" t="s">
        <v>13284</v>
      </c>
      <c r="H2874" s="9" t="s">
        <v>13284</v>
      </c>
      <c r="I2874" s="9" t="s">
        <v>13284</v>
      </c>
      <c r="J2874" s="9" t="s">
        <v>13284</v>
      </c>
      <c r="K2874" s="9" t="s">
        <v>13284</v>
      </c>
      <c r="L2874" s="9" t="s">
        <v>13284</v>
      </c>
      <c r="M2874" s="9" t="s">
        <v>13284</v>
      </c>
      <c r="N2874" s="9" t="s">
        <v>13284</v>
      </c>
      <c r="O2874" s="9" t="s">
        <v>13284</v>
      </c>
      <c r="P2874" s="9" t="s">
        <v>13284</v>
      </c>
      <c r="Q2874" s="9" t="s">
        <v>13284</v>
      </c>
      <c r="R2874" s="9" t="s">
        <v>13284</v>
      </c>
      <c r="S2874" s="9" t="s">
        <v>13284</v>
      </c>
      <c r="T2874" s="9" t="str">
        <f ca="1">IFERROR(IF(AND(VLOOKUP(A2874, 'Актуальное состояние (из общего'!A:C,3,0) = "", A2874 &lt;&gt; ""), "ПРОВЕРИТЬ", VLOOKUP(A2874, 'Актуальное состояние (из общего'!A:C,3,0)), "")</f>
        <v/>
      </c>
      <c r="U2874" s="9" t="s">
        <v>13284</v>
      </c>
      <c r="V2874" s="9" t="s">
        <v>13284</v>
      </c>
      <c r="W2874" s="12"/>
      <c r="X2874" s="9" t="str">
        <f t="array" ref="X2874">IFERROR(INDEX('Адреса общежитий (скрытый)'!$B$2:$B$9, MATCH(W2874, 'Адреса общежитий (скрытый)'!$A$2:$A$9, 0)), "")</f>
        <v/>
      </c>
      <c r="Y2874" s="18"/>
      <c r="Z2874" s="18"/>
      <c r="AA2874" s="18"/>
      <c r="AB2874" s="18"/>
      <c r="AC2874" s="18"/>
    </row>
    <row r="2875" spans="1:29" ht="32.25" hidden="1" customHeight="1">
      <c r="A2875" s="17"/>
      <c r="B2875" s="9" t="s">
        <v>13284</v>
      </c>
      <c r="C2875" s="9" t="s">
        <v>13284</v>
      </c>
      <c r="D2875" s="9" t="s">
        <v>13284</v>
      </c>
      <c r="E2875" s="9" t="s">
        <v>13284</v>
      </c>
      <c r="F2875" s="9" t="s">
        <v>13284</v>
      </c>
      <c r="G2875" s="9" t="s">
        <v>13284</v>
      </c>
      <c r="H2875" s="9" t="s">
        <v>13284</v>
      </c>
      <c r="I2875" s="9" t="s">
        <v>13284</v>
      </c>
      <c r="J2875" s="9" t="s">
        <v>13284</v>
      </c>
      <c r="K2875" s="9" t="s">
        <v>13284</v>
      </c>
      <c r="L2875" s="9" t="s">
        <v>13284</v>
      </c>
      <c r="M2875" s="9" t="s">
        <v>13284</v>
      </c>
      <c r="N2875" s="9" t="s">
        <v>13284</v>
      </c>
      <c r="O2875" s="9" t="s">
        <v>13284</v>
      </c>
      <c r="P2875" s="9" t="s">
        <v>13284</v>
      </c>
      <c r="Q2875" s="9" t="s">
        <v>13284</v>
      </c>
      <c r="R2875" s="9" t="s">
        <v>13284</v>
      </c>
      <c r="S2875" s="9" t="s">
        <v>13284</v>
      </c>
      <c r="T2875" s="9" t="str">
        <f ca="1">IFERROR(IF(AND(VLOOKUP(A2875, 'Актуальное состояние (из общего'!A:C,3,0) = "", A2875 &lt;&gt; ""), "ПРОВЕРИТЬ", VLOOKUP(A2875, 'Актуальное состояние (из общего'!A:C,3,0)), "")</f>
        <v/>
      </c>
      <c r="U2875" s="9" t="s">
        <v>13284</v>
      </c>
      <c r="V2875" s="9" t="s">
        <v>13284</v>
      </c>
      <c r="W2875" s="12"/>
      <c r="X2875" s="9" t="str">
        <f t="array" ref="X2875">IFERROR(INDEX('Адреса общежитий (скрытый)'!$B$2:$B$9, MATCH(W2875, 'Адреса общежитий (скрытый)'!$A$2:$A$9, 0)), "")</f>
        <v/>
      </c>
      <c r="Y2875" s="18"/>
      <c r="Z2875" s="18"/>
      <c r="AA2875" s="18"/>
      <c r="AB2875" s="18"/>
      <c r="AC2875" s="18"/>
    </row>
    <row r="2876" spans="1:29" ht="32.25" hidden="1" customHeight="1">
      <c r="A2876" s="17"/>
      <c r="B2876" s="9" t="s">
        <v>13284</v>
      </c>
      <c r="C2876" s="9" t="s">
        <v>13284</v>
      </c>
      <c r="D2876" s="9" t="s">
        <v>13284</v>
      </c>
      <c r="E2876" s="9" t="s">
        <v>13284</v>
      </c>
      <c r="F2876" s="9" t="s">
        <v>13284</v>
      </c>
      <c r="G2876" s="9" t="s">
        <v>13284</v>
      </c>
      <c r="H2876" s="9" t="s">
        <v>13284</v>
      </c>
      <c r="I2876" s="9" t="s">
        <v>13284</v>
      </c>
      <c r="J2876" s="9" t="s">
        <v>13284</v>
      </c>
      <c r="K2876" s="9" t="s">
        <v>13284</v>
      </c>
      <c r="L2876" s="9" t="s">
        <v>13284</v>
      </c>
      <c r="M2876" s="9" t="s">
        <v>13284</v>
      </c>
      <c r="N2876" s="9" t="s">
        <v>13284</v>
      </c>
      <c r="O2876" s="9" t="s">
        <v>13284</v>
      </c>
      <c r="P2876" s="9" t="s">
        <v>13284</v>
      </c>
      <c r="Q2876" s="9" t="s">
        <v>13284</v>
      </c>
      <c r="R2876" s="9" t="s">
        <v>13284</v>
      </c>
      <c r="S2876" s="9" t="s">
        <v>13284</v>
      </c>
      <c r="T2876" s="9" t="str">
        <f ca="1">IFERROR(IF(AND(VLOOKUP(A2876, 'Актуальное состояние (из общего'!A:C,3,0) = "", A2876 &lt;&gt; ""), "ПРОВЕРИТЬ", VLOOKUP(A2876, 'Актуальное состояние (из общего'!A:C,3,0)), "")</f>
        <v/>
      </c>
      <c r="U2876" s="9" t="s">
        <v>13284</v>
      </c>
      <c r="V2876" s="9" t="s">
        <v>13284</v>
      </c>
      <c r="W2876" s="12"/>
      <c r="X2876" s="9" t="str">
        <f t="array" ref="X2876">IFERROR(INDEX('Адреса общежитий (скрытый)'!$B$2:$B$9, MATCH(W2876, 'Адреса общежитий (скрытый)'!$A$2:$A$9, 0)), "")</f>
        <v/>
      </c>
      <c r="Y2876" s="18"/>
      <c r="Z2876" s="18"/>
      <c r="AA2876" s="18"/>
      <c r="AB2876" s="18"/>
      <c r="AC2876" s="18"/>
    </row>
    <row r="2877" spans="1:29" ht="32.25" hidden="1" customHeight="1">
      <c r="A2877" s="17"/>
      <c r="B2877" s="9" t="s">
        <v>13284</v>
      </c>
      <c r="C2877" s="9" t="s">
        <v>13284</v>
      </c>
      <c r="D2877" s="9" t="s">
        <v>13284</v>
      </c>
      <c r="E2877" s="9" t="s">
        <v>13284</v>
      </c>
      <c r="F2877" s="9" t="s">
        <v>13284</v>
      </c>
      <c r="G2877" s="9" t="s">
        <v>13284</v>
      </c>
      <c r="H2877" s="9" t="s">
        <v>13284</v>
      </c>
      <c r="I2877" s="9" t="s">
        <v>13284</v>
      </c>
      <c r="J2877" s="9" t="s">
        <v>13284</v>
      </c>
      <c r="K2877" s="9" t="s">
        <v>13284</v>
      </c>
      <c r="L2877" s="9" t="s">
        <v>13284</v>
      </c>
      <c r="M2877" s="9" t="s">
        <v>13284</v>
      </c>
      <c r="N2877" s="9" t="s">
        <v>13284</v>
      </c>
      <c r="O2877" s="9" t="s">
        <v>13284</v>
      </c>
      <c r="P2877" s="9" t="s">
        <v>13284</v>
      </c>
      <c r="Q2877" s="9" t="s">
        <v>13284</v>
      </c>
      <c r="R2877" s="9" t="s">
        <v>13284</v>
      </c>
      <c r="S2877" s="9" t="s">
        <v>13284</v>
      </c>
      <c r="T2877" s="9" t="str">
        <f ca="1">IFERROR(IF(AND(VLOOKUP(A2877, 'Актуальное состояние (из общего'!A:C,3,0) = "", A2877 &lt;&gt; ""), "ПРОВЕРИТЬ", VLOOKUP(A2877, 'Актуальное состояние (из общего'!A:C,3,0)), "")</f>
        <v/>
      </c>
      <c r="U2877" s="9" t="s">
        <v>13284</v>
      </c>
      <c r="V2877" s="9" t="s">
        <v>13284</v>
      </c>
      <c r="W2877" s="12"/>
      <c r="X2877" s="9" t="str">
        <f t="array" ref="X2877">IFERROR(INDEX('Адреса общежитий (скрытый)'!$B$2:$B$9, MATCH(W2877, 'Адреса общежитий (скрытый)'!$A$2:$A$9, 0)), "")</f>
        <v/>
      </c>
      <c r="Y2877" s="18"/>
      <c r="Z2877" s="18"/>
      <c r="AA2877" s="18"/>
      <c r="AB2877" s="18"/>
      <c r="AC2877" s="18"/>
    </row>
    <row r="2878" spans="1:29" ht="32.25" hidden="1" customHeight="1">
      <c r="A2878" s="17"/>
      <c r="B2878" s="9" t="s">
        <v>13284</v>
      </c>
      <c r="C2878" s="9" t="s">
        <v>13284</v>
      </c>
      <c r="D2878" s="9" t="s">
        <v>13284</v>
      </c>
      <c r="E2878" s="9" t="s">
        <v>13284</v>
      </c>
      <c r="F2878" s="9" t="s">
        <v>13284</v>
      </c>
      <c r="G2878" s="9" t="s">
        <v>13284</v>
      </c>
      <c r="H2878" s="9" t="s">
        <v>13284</v>
      </c>
      <c r="I2878" s="9" t="s">
        <v>13284</v>
      </c>
      <c r="J2878" s="9" t="s">
        <v>13284</v>
      </c>
      <c r="K2878" s="9" t="s">
        <v>13284</v>
      </c>
      <c r="L2878" s="9" t="s">
        <v>13284</v>
      </c>
      <c r="M2878" s="9" t="s">
        <v>13284</v>
      </c>
      <c r="N2878" s="9" t="s">
        <v>13284</v>
      </c>
      <c r="O2878" s="9" t="s">
        <v>13284</v>
      </c>
      <c r="P2878" s="9" t="s">
        <v>13284</v>
      </c>
      <c r="Q2878" s="9" t="s">
        <v>13284</v>
      </c>
      <c r="R2878" s="9" t="s">
        <v>13284</v>
      </c>
      <c r="S2878" s="9" t="s">
        <v>13284</v>
      </c>
      <c r="T2878" s="9" t="str">
        <f ca="1">IFERROR(IF(AND(VLOOKUP(A2878, 'Актуальное состояние (из общего'!A:C,3,0) = "", A2878 &lt;&gt; ""), "ПРОВЕРИТЬ", VLOOKUP(A2878, 'Актуальное состояние (из общего'!A:C,3,0)), "")</f>
        <v/>
      </c>
      <c r="U2878" s="9" t="s">
        <v>13284</v>
      </c>
      <c r="V2878" s="9" t="s">
        <v>13284</v>
      </c>
      <c r="W2878" s="12"/>
      <c r="X2878" s="9" t="str">
        <f t="array" ref="X2878">IFERROR(INDEX('Адреса общежитий (скрытый)'!$B$2:$B$9, MATCH(W2878, 'Адреса общежитий (скрытый)'!$A$2:$A$9, 0)), "")</f>
        <v/>
      </c>
      <c r="Y2878" s="18"/>
      <c r="Z2878" s="18"/>
      <c r="AA2878" s="18"/>
      <c r="AB2878" s="18"/>
      <c r="AC2878" s="18"/>
    </row>
    <row r="2879" spans="1:29" ht="32.25" hidden="1" customHeight="1">
      <c r="A2879" s="17"/>
      <c r="B2879" s="9" t="s">
        <v>13284</v>
      </c>
      <c r="C2879" s="9" t="s">
        <v>13284</v>
      </c>
      <c r="D2879" s="9" t="s">
        <v>13284</v>
      </c>
      <c r="E2879" s="9" t="s">
        <v>13284</v>
      </c>
      <c r="F2879" s="9" t="s">
        <v>13284</v>
      </c>
      <c r="G2879" s="9" t="s">
        <v>13284</v>
      </c>
      <c r="H2879" s="9" t="s">
        <v>13284</v>
      </c>
      <c r="I2879" s="9" t="s">
        <v>13284</v>
      </c>
      <c r="J2879" s="9" t="s">
        <v>13284</v>
      </c>
      <c r="K2879" s="9" t="s">
        <v>13284</v>
      </c>
      <c r="L2879" s="9" t="s">
        <v>13284</v>
      </c>
      <c r="M2879" s="9" t="s">
        <v>13284</v>
      </c>
      <c r="N2879" s="9" t="s">
        <v>13284</v>
      </c>
      <c r="O2879" s="9" t="s">
        <v>13284</v>
      </c>
      <c r="P2879" s="9" t="s">
        <v>13284</v>
      </c>
      <c r="Q2879" s="9" t="s">
        <v>13284</v>
      </c>
      <c r="R2879" s="9" t="s">
        <v>13284</v>
      </c>
      <c r="S2879" s="9" t="s">
        <v>13284</v>
      </c>
      <c r="T2879" s="9" t="str">
        <f ca="1">IFERROR(IF(AND(VLOOKUP(A2879, 'Актуальное состояние (из общего'!A:C,3,0) = "", A2879 &lt;&gt; ""), "ПРОВЕРИТЬ", VLOOKUP(A2879, 'Актуальное состояние (из общего'!A:C,3,0)), "")</f>
        <v/>
      </c>
      <c r="U2879" s="9" t="s">
        <v>13284</v>
      </c>
      <c r="V2879" s="9" t="s">
        <v>13284</v>
      </c>
      <c r="W2879" s="12"/>
      <c r="X2879" s="9" t="str">
        <f t="array" ref="X2879">IFERROR(INDEX('Адреса общежитий (скрытый)'!$B$2:$B$9, MATCH(W2879, 'Адреса общежитий (скрытый)'!$A$2:$A$9, 0)), "")</f>
        <v/>
      </c>
      <c r="Y2879" s="18"/>
      <c r="Z2879" s="18"/>
      <c r="AA2879" s="18"/>
      <c r="AB2879" s="18"/>
      <c r="AC2879" s="18"/>
    </row>
    <row r="2880" spans="1:29" ht="32.25" hidden="1" customHeight="1">
      <c r="A2880" s="17"/>
      <c r="B2880" s="9" t="s">
        <v>13284</v>
      </c>
      <c r="C2880" s="9" t="s">
        <v>13284</v>
      </c>
      <c r="D2880" s="9" t="s">
        <v>13284</v>
      </c>
      <c r="E2880" s="9" t="s">
        <v>13284</v>
      </c>
      <c r="F2880" s="9" t="s">
        <v>13284</v>
      </c>
      <c r="G2880" s="9" t="s">
        <v>13284</v>
      </c>
      <c r="H2880" s="9" t="s">
        <v>13284</v>
      </c>
      <c r="I2880" s="9" t="s">
        <v>13284</v>
      </c>
      <c r="J2880" s="9" t="s">
        <v>13284</v>
      </c>
      <c r="K2880" s="9" t="s">
        <v>13284</v>
      </c>
      <c r="L2880" s="9" t="s">
        <v>13284</v>
      </c>
      <c r="M2880" s="9" t="s">
        <v>13284</v>
      </c>
      <c r="N2880" s="9" t="s">
        <v>13284</v>
      </c>
      <c r="O2880" s="9" t="s">
        <v>13284</v>
      </c>
      <c r="P2880" s="9" t="s">
        <v>13284</v>
      </c>
      <c r="Q2880" s="9" t="s">
        <v>13284</v>
      </c>
      <c r="R2880" s="9" t="s">
        <v>13284</v>
      </c>
      <c r="S2880" s="9" t="s">
        <v>13284</v>
      </c>
      <c r="T2880" s="9" t="str">
        <f ca="1">IFERROR(IF(AND(VLOOKUP(A2880, 'Актуальное состояние (из общего'!A:C,3,0) = "", A2880 &lt;&gt; ""), "ПРОВЕРИТЬ", VLOOKUP(A2880, 'Актуальное состояние (из общего'!A:C,3,0)), "")</f>
        <v/>
      </c>
      <c r="U2880" s="9" t="s">
        <v>13284</v>
      </c>
      <c r="V2880" s="9" t="s">
        <v>13284</v>
      </c>
      <c r="W2880" s="12"/>
      <c r="X2880" s="9" t="str">
        <f t="array" ref="X2880">IFERROR(INDEX('Адреса общежитий (скрытый)'!$B$2:$B$9, MATCH(W2880, 'Адреса общежитий (скрытый)'!$A$2:$A$9, 0)), "")</f>
        <v/>
      </c>
      <c r="Y2880" s="18"/>
      <c r="Z2880" s="18"/>
      <c r="AA2880" s="18"/>
      <c r="AB2880" s="18"/>
      <c r="AC2880" s="18"/>
    </row>
    <row r="2881" spans="1:29" ht="32.25" hidden="1" customHeight="1">
      <c r="A2881" s="17"/>
      <c r="B2881" s="9" t="s">
        <v>13284</v>
      </c>
      <c r="C2881" s="9" t="s">
        <v>13284</v>
      </c>
      <c r="D2881" s="9" t="s">
        <v>13284</v>
      </c>
      <c r="E2881" s="9" t="s">
        <v>13284</v>
      </c>
      <c r="F2881" s="9" t="s">
        <v>13284</v>
      </c>
      <c r="G2881" s="9" t="s">
        <v>13284</v>
      </c>
      <c r="H2881" s="9" t="s">
        <v>13284</v>
      </c>
      <c r="I2881" s="9" t="s">
        <v>13284</v>
      </c>
      <c r="J2881" s="9" t="s">
        <v>13284</v>
      </c>
      <c r="K2881" s="9" t="s">
        <v>13284</v>
      </c>
      <c r="L2881" s="9" t="s">
        <v>13284</v>
      </c>
      <c r="M2881" s="9" t="s">
        <v>13284</v>
      </c>
      <c r="N2881" s="9" t="s">
        <v>13284</v>
      </c>
      <c r="O2881" s="9" t="s">
        <v>13284</v>
      </c>
      <c r="P2881" s="9" t="s">
        <v>13284</v>
      </c>
      <c r="Q2881" s="9" t="s">
        <v>13284</v>
      </c>
      <c r="R2881" s="9" t="s">
        <v>13284</v>
      </c>
      <c r="S2881" s="9" t="s">
        <v>13284</v>
      </c>
      <c r="T2881" s="9" t="str">
        <f ca="1">IFERROR(IF(AND(VLOOKUP(A2881, 'Актуальное состояние (из общего'!A:C,3,0) = "", A2881 &lt;&gt; ""), "ПРОВЕРИТЬ", VLOOKUP(A2881, 'Актуальное состояние (из общего'!A:C,3,0)), "")</f>
        <v/>
      </c>
      <c r="U2881" s="9" t="s">
        <v>13284</v>
      </c>
      <c r="V2881" s="9" t="s">
        <v>13284</v>
      </c>
      <c r="W2881" s="12"/>
      <c r="X2881" s="9" t="str">
        <f t="array" ref="X2881">IFERROR(INDEX('Адреса общежитий (скрытый)'!$B$2:$B$9, MATCH(W2881, 'Адреса общежитий (скрытый)'!$A$2:$A$9, 0)), "")</f>
        <v/>
      </c>
      <c r="Y2881" s="18"/>
      <c r="Z2881" s="18"/>
      <c r="AA2881" s="18"/>
      <c r="AB2881" s="18"/>
      <c r="AC2881" s="18"/>
    </row>
    <row r="2882" spans="1:29" ht="32.25" hidden="1" customHeight="1">
      <c r="A2882" s="17"/>
      <c r="B2882" s="9" t="s">
        <v>13284</v>
      </c>
      <c r="C2882" s="9" t="s">
        <v>13284</v>
      </c>
      <c r="D2882" s="9" t="s">
        <v>13284</v>
      </c>
      <c r="E2882" s="9" t="s">
        <v>13284</v>
      </c>
      <c r="F2882" s="9" t="s">
        <v>13284</v>
      </c>
      <c r="G2882" s="9" t="s">
        <v>13284</v>
      </c>
      <c r="H2882" s="9" t="s">
        <v>13284</v>
      </c>
      <c r="I2882" s="9" t="s">
        <v>13284</v>
      </c>
      <c r="J2882" s="9" t="s">
        <v>13284</v>
      </c>
      <c r="K2882" s="9" t="s">
        <v>13284</v>
      </c>
      <c r="L2882" s="9" t="s">
        <v>13284</v>
      </c>
      <c r="M2882" s="9" t="s">
        <v>13284</v>
      </c>
      <c r="N2882" s="9" t="s">
        <v>13284</v>
      </c>
      <c r="O2882" s="9" t="s">
        <v>13284</v>
      </c>
      <c r="P2882" s="9" t="s">
        <v>13284</v>
      </c>
      <c r="Q2882" s="9" t="s">
        <v>13284</v>
      </c>
      <c r="R2882" s="9" t="s">
        <v>13284</v>
      </c>
      <c r="S2882" s="9" t="s">
        <v>13284</v>
      </c>
      <c r="T2882" s="9" t="str">
        <f ca="1">IFERROR(IF(AND(VLOOKUP(A2882, 'Актуальное состояние (из общего'!A:C,3,0) = "", A2882 &lt;&gt; ""), "ПРОВЕРИТЬ", VLOOKUP(A2882, 'Актуальное состояние (из общего'!A:C,3,0)), "")</f>
        <v/>
      </c>
      <c r="U2882" s="9" t="s">
        <v>13284</v>
      </c>
      <c r="V2882" s="9" t="s">
        <v>13284</v>
      </c>
      <c r="W2882" s="12"/>
      <c r="X2882" s="9" t="str">
        <f t="array" ref="X2882">IFERROR(INDEX('Адреса общежитий (скрытый)'!$B$2:$B$9, MATCH(W2882, 'Адреса общежитий (скрытый)'!$A$2:$A$9, 0)), "")</f>
        <v/>
      </c>
      <c r="Y2882" s="18"/>
      <c r="Z2882" s="18"/>
      <c r="AA2882" s="18"/>
      <c r="AB2882" s="18"/>
      <c r="AC2882" s="18"/>
    </row>
    <row r="2883" spans="1:29" ht="32.25" hidden="1" customHeight="1">
      <c r="A2883" s="17"/>
      <c r="B2883" s="9" t="s">
        <v>13284</v>
      </c>
      <c r="C2883" s="9" t="s">
        <v>13284</v>
      </c>
      <c r="D2883" s="9" t="s">
        <v>13284</v>
      </c>
      <c r="E2883" s="9" t="s">
        <v>13284</v>
      </c>
      <c r="F2883" s="9" t="s">
        <v>13284</v>
      </c>
      <c r="G2883" s="9" t="s">
        <v>13284</v>
      </c>
      <c r="H2883" s="9" t="s">
        <v>13284</v>
      </c>
      <c r="I2883" s="9" t="s">
        <v>13284</v>
      </c>
      <c r="J2883" s="9" t="s">
        <v>13284</v>
      </c>
      <c r="K2883" s="9" t="s">
        <v>13284</v>
      </c>
      <c r="L2883" s="9" t="s">
        <v>13284</v>
      </c>
      <c r="M2883" s="9" t="s">
        <v>13284</v>
      </c>
      <c r="N2883" s="9" t="s">
        <v>13284</v>
      </c>
      <c r="O2883" s="9" t="s">
        <v>13284</v>
      </c>
      <c r="P2883" s="9" t="s">
        <v>13284</v>
      </c>
      <c r="Q2883" s="9" t="s">
        <v>13284</v>
      </c>
      <c r="R2883" s="9" t="s">
        <v>13284</v>
      </c>
      <c r="S2883" s="9" t="s">
        <v>13284</v>
      </c>
      <c r="T2883" s="9" t="str">
        <f ca="1">IFERROR(IF(AND(VLOOKUP(A2883, 'Актуальное состояние (из общего'!A:C,3,0) = "", A2883 &lt;&gt; ""), "ПРОВЕРИТЬ", VLOOKUP(A2883, 'Актуальное состояние (из общего'!A:C,3,0)), "")</f>
        <v/>
      </c>
      <c r="U2883" s="9" t="s">
        <v>13284</v>
      </c>
      <c r="V2883" s="9" t="s">
        <v>13284</v>
      </c>
      <c r="W2883" s="12"/>
      <c r="X2883" s="9" t="str">
        <f t="array" ref="X2883">IFERROR(INDEX('Адреса общежитий (скрытый)'!$B$2:$B$9, MATCH(W2883, 'Адреса общежитий (скрытый)'!$A$2:$A$9, 0)), "")</f>
        <v/>
      </c>
      <c r="Y2883" s="18"/>
      <c r="Z2883" s="18"/>
      <c r="AA2883" s="18"/>
      <c r="AB2883" s="18"/>
      <c r="AC2883" s="18"/>
    </row>
    <row r="2884" spans="1:29" ht="32.25" hidden="1" customHeight="1">
      <c r="A2884" s="17"/>
      <c r="B2884" s="9" t="s">
        <v>13284</v>
      </c>
      <c r="C2884" s="9" t="s">
        <v>13284</v>
      </c>
      <c r="D2884" s="9" t="s">
        <v>13284</v>
      </c>
      <c r="E2884" s="9" t="s">
        <v>13284</v>
      </c>
      <c r="F2884" s="9" t="s">
        <v>13284</v>
      </c>
      <c r="G2884" s="9" t="s">
        <v>13284</v>
      </c>
      <c r="H2884" s="9" t="s">
        <v>13284</v>
      </c>
      <c r="I2884" s="9" t="s">
        <v>13284</v>
      </c>
      <c r="J2884" s="9" t="s">
        <v>13284</v>
      </c>
      <c r="K2884" s="9" t="s">
        <v>13284</v>
      </c>
      <c r="L2884" s="9" t="s">
        <v>13284</v>
      </c>
      <c r="M2884" s="9" t="s">
        <v>13284</v>
      </c>
      <c r="N2884" s="9" t="s">
        <v>13284</v>
      </c>
      <c r="O2884" s="9" t="s">
        <v>13284</v>
      </c>
      <c r="P2884" s="9" t="s">
        <v>13284</v>
      </c>
      <c r="Q2884" s="9" t="s">
        <v>13284</v>
      </c>
      <c r="R2884" s="9" t="s">
        <v>13284</v>
      </c>
      <c r="S2884" s="9" t="s">
        <v>13284</v>
      </c>
      <c r="T2884" s="9" t="str">
        <f ca="1">IFERROR(IF(AND(VLOOKUP(A2884, 'Актуальное состояние (из общего'!A:C,3,0) = "", A2884 &lt;&gt; ""), "ПРОВЕРИТЬ", VLOOKUP(A2884, 'Актуальное состояние (из общего'!A:C,3,0)), "")</f>
        <v/>
      </c>
      <c r="U2884" s="9" t="s">
        <v>13284</v>
      </c>
      <c r="V2884" s="9" t="s">
        <v>13284</v>
      </c>
      <c r="W2884" s="12"/>
      <c r="X2884" s="9" t="str">
        <f t="array" ref="X2884">IFERROR(INDEX('Адреса общежитий (скрытый)'!$B$2:$B$9, MATCH(W2884, 'Адреса общежитий (скрытый)'!$A$2:$A$9, 0)), "")</f>
        <v/>
      </c>
      <c r="Y2884" s="18"/>
      <c r="Z2884" s="18"/>
      <c r="AA2884" s="18"/>
      <c r="AB2884" s="18"/>
      <c r="AC2884" s="18"/>
    </row>
    <row r="2885" spans="1:29" ht="32.25" hidden="1" customHeight="1">
      <c r="A2885" s="17"/>
      <c r="B2885" s="9" t="s">
        <v>13284</v>
      </c>
      <c r="C2885" s="9" t="s">
        <v>13284</v>
      </c>
      <c r="D2885" s="9" t="s">
        <v>13284</v>
      </c>
      <c r="E2885" s="9" t="s">
        <v>13284</v>
      </c>
      <c r="F2885" s="9" t="s">
        <v>13284</v>
      </c>
      <c r="G2885" s="9" t="s">
        <v>13284</v>
      </c>
      <c r="H2885" s="9" t="s">
        <v>13284</v>
      </c>
      <c r="I2885" s="9" t="s">
        <v>13284</v>
      </c>
      <c r="J2885" s="9" t="s">
        <v>13284</v>
      </c>
      <c r="K2885" s="9" t="s">
        <v>13284</v>
      </c>
      <c r="L2885" s="9" t="s">
        <v>13284</v>
      </c>
      <c r="M2885" s="9" t="s">
        <v>13284</v>
      </c>
      <c r="N2885" s="9" t="s">
        <v>13284</v>
      </c>
      <c r="O2885" s="9" t="s">
        <v>13284</v>
      </c>
      <c r="P2885" s="9" t="s">
        <v>13284</v>
      </c>
      <c r="Q2885" s="9" t="s">
        <v>13284</v>
      </c>
      <c r="R2885" s="9" t="s">
        <v>13284</v>
      </c>
      <c r="S2885" s="9" t="s">
        <v>13284</v>
      </c>
      <c r="T2885" s="9" t="str">
        <f ca="1">IFERROR(IF(AND(VLOOKUP(A2885, 'Актуальное состояние (из общего'!A:C,3,0) = "", A2885 &lt;&gt; ""), "ПРОВЕРИТЬ", VLOOKUP(A2885, 'Актуальное состояние (из общего'!A:C,3,0)), "")</f>
        <v/>
      </c>
      <c r="U2885" s="9" t="s">
        <v>13284</v>
      </c>
      <c r="V2885" s="9" t="s">
        <v>13284</v>
      </c>
      <c r="W2885" s="12"/>
      <c r="X2885" s="9" t="str">
        <f t="array" ref="X2885">IFERROR(INDEX('Адреса общежитий (скрытый)'!$B$2:$B$9, MATCH(W2885, 'Адреса общежитий (скрытый)'!$A$2:$A$9, 0)), "")</f>
        <v/>
      </c>
      <c r="Y2885" s="18"/>
      <c r="Z2885" s="18"/>
      <c r="AA2885" s="18"/>
      <c r="AB2885" s="18"/>
      <c r="AC2885" s="18"/>
    </row>
    <row r="2886" spans="1:29" ht="32.25" hidden="1" customHeight="1">
      <c r="A2886" s="17"/>
      <c r="B2886" s="9" t="s">
        <v>13284</v>
      </c>
      <c r="C2886" s="9" t="s">
        <v>13284</v>
      </c>
      <c r="D2886" s="9" t="s">
        <v>13284</v>
      </c>
      <c r="E2886" s="9" t="s">
        <v>13284</v>
      </c>
      <c r="F2886" s="9" t="s">
        <v>13284</v>
      </c>
      <c r="G2886" s="9" t="s">
        <v>13284</v>
      </c>
      <c r="H2886" s="9" t="s">
        <v>13284</v>
      </c>
      <c r="I2886" s="9" t="s">
        <v>13284</v>
      </c>
      <c r="J2886" s="9" t="s">
        <v>13284</v>
      </c>
      <c r="K2886" s="9" t="s">
        <v>13284</v>
      </c>
      <c r="L2886" s="9" t="s">
        <v>13284</v>
      </c>
      <c r="M2886" s="9" t="s">
        <v>13284</v>
      </c>
      <c r="N2886" s="9" t="s">
        <v>13284</v>
      </c>
      <c r="O2886" s="9" t="s">
        <v>13284</v>
      </c>
      <c r="P2886" s="9" t="s">
        <v>13284</v>
      </c>
      <c r="Q2886" s="9" t="s">
        <v>13284</v>
      </c>
      <c r="R2886" s="9" t="s">
        <v>13284</v>
      </c>
      <c r="S2886" s="9" t="s">
        <v>13284</v>
      </c>
      <c r="T2886" s="9" t="str">
        <f ca="1">IFERROR(IF(AND(VLOOKUP(A2886, 'Актуальное состояние (из общего'!A:C,3,0) = "", A2886 &lt;&gt; ""), "ПРОВЕРИТЬ", VLOOKUP(A2886, 'Актуальное состояние (из общего'!A:C,3,0)), "")</f>
        <v/>
      </c>
      <c r="U2886" s="9" t="s">
        <v>13284</v>
      </c>
      <c r="V2886" s="9" t="s">
        <v>13284</v>
      </c>
      <c r="W2886" s="12"/>
      <c r="X2886" s="9" t="str">
        <f t="array" ref="X2886">IFERROR(INDEX('Адреса общежитий (скрытый)'!$B$2:$B$9, MATCH(W2886, 'Адреса общежитий (скрытый)'!$A$2:$A$9, 0)), "")</f>
        <v/>
      </c>
      <c r="Y2886" s="18"/>
      <c r="Z2886" s="18"/>
      <c r="AA2886" s="18"/>
      <c r="AB2886" s="18"/>
      <c r="AC2886" s="18"/>
    </row>
    <row r="2887" spans="1:29" ht="32.25" hidden="1" customHeight="1">
      <c r="A2887" s="17"/>
      <c r="B2887" s="9" t="s">
        <v>13284</v>
      </c>
      <c r="C2887" s="9" t="s">
        <v>13284</v>
      </c>
      <c r="D2887" s="9" t="s">
        <v>13284</v>
      </c>
      <c r="E2887" s="9" t="s">
        <v>13284</v>
      </c>
      <c r="F2887" s="9" t="s">
        <v>13284</v>
      </c>
      <c r="G2887" s="9" t="s">
        <v>13284</v>
      </c>
      <c r="H2887" s="9" t="s">
        <v>13284</v>
      </c>
      <c r="I2887" s="9" t="s">
        <v>13284</v>
      </c>
      <c r="J2887" s="9" t="s">
        <v>13284</v>
      </c>
      <c r="K2887" s="9" t="s">
        <v>13284</v>
      </c>
      <c r="L2887" s="9" t="s">
        <v>13284</v>
      </c>
      <c r="M2887" s="9" t="s">
        <v>13284</v>
      </c>
      <c r="N2887" s="9" t="s">
        <v>13284</v>
      </c>
      <c r="O2887" s="9" t="s">
        <v>13284</v>
      </c>
      <c r="P2887" s="9" t="s">
        <v>13284</v>
      </c>
      <c r="Q2887" s="9" t="s">
        <v>13284</v>
      </c>
      <c r="R2887" s="9" t="s">
        <v>13284</v>
      </c>
      <c r="S2887" s="9" t="s">
        <v>13284</v>
      </c>
      <c r="T2887" s="9" t="str">
        <f ca="1">IFERROR(IF(AND(VLOOKUP(A2887, 'Актуальное состояние (из общего'!A:C,3,0) = "", A2887 &lt;&gt; ""), "ПРОВЕРИТЬ", VLOOKUP(A2887, 'Актуальное состояние (из общего'!A:C,3,0)), "")</f>
        <v/>
      </c>
      <c r="U2887" s="9" t="s">
        <v>13284</v>
      </c>
      <c r="V2887" s="9" t="s">
        <v>13284</v>
      </c>
      <c r="W2887" s="12"/>
      <c r="X2887" s="9" t="str">
        <f t="array" ref="X2887">IFERROR(INDEX('Адреса общежитий (скрытый)'!$B$2:$B$9, MATCH(W2887, 'Адреса общежитий (скрытый)'!$A$2:$A$9, 0)), "")</f>
        <v/>
      </c>
      <c r="Y2887" s="18"/>
      <c r="Z2887" s="18"/>
      <c r="AA2887" s="18"/>
      <c r="AB2887" s="18"/>
      <c r="AC2887" s="18"/>
    </row>
    <row r="2888" spans="1:29" ht="32.25" hidden="1" customHeight="1">
      <c r="A2888" s="17"/>
      <c r="B2888" s="9" t="s">
        <v>13284</v>
      </c>
      <c r="C2888" s="9" t="s">
        <v>13284</v>
      </c>
      <c r="D2888" s="9" t="s">
        <v>13284</v>
      </c>
      <c r="E2888" s="9" t="s">
        <v>13284</v>
      </c>
      <c r="F2888" s="9" t="s">
        <v>13284</v>
      </c>
      <c r="G2888" s="9" t="s">
        <v>13284</v>
      </c>
      <c r="H2888" s="9" t="s">
        <v>13284</v>
      </c>
      <c r="I2888" s="9" t="s">
        <v>13284</v>
      </c>
      <c r="J2888" s="9" t="s">
        <v>13284</v>
      </c>
      <c r="K2888" s="9" t="s">
        <v>13284</v>
      </c>
      <c r="L2888" s="9" t="s">
        <v>13284</v>
      </c>
      <c r="M2888" s="9" t="s">
        <v>13284</v>
      </c>
      <c r="N2888" s="9" t="s">
        <v>13284</v>
      </c>
      <c r="O2888" s="9" t="s">
        <v>13284</v>
      </c>
      <c r="P2888" s="9" t="s">
        <v>13284</v>
      </c>
      <c r="Q2888" s="9" t="s">
        <v>13284</v>
      </c>
      <c r="R2888" s="9" t="s">
        <v>13284</v>
      </c>
      <c r="S2888" s="9" t="s">
        <v>13284</v>
      </c>
      <c r="T2888" s="9" t="str">
        <f ca="1">IFERROR(IF(AND(VLOOKUP(A2888, 'Актуальное состояние (из общего'!A:C,3,0) = "", A2888 &lt;&gt; ""), "ПРОВЕРИТЬ", VLOOKUP(A2888, 'Актуальное состояние (из общего'!A:C,3,0)), "")</f>
        <v/>
      </c>
      <c r="U2888" s="9" t="s">
        <v>13284</v>
      </c>
      <c r="V2888" s="9" t="s">
        <v>13284</v>
      </c>
      <c r="W2888" s="12"/>
      <c r="X2888" s="9" t="str">
        <f t="array" ref="X2888">IFERROR(INDEX('Адреса общежитий (скрытый)'!$B$2:$B$9, MATCH(W2888, 'Адреса общежитий (скрытый)'!$A$2:$A$9, 0)), "")</f>
        <v/>
      </c>
      <c r="Y2888" s="18"/>
      <c r="Z2888" s="18"/>
      <c r="AA2888" s="18"/>
      <c r="AB2888" s="18"/>
      <c r="AC2888" s="18"/>
    </row>
    <row r="2889" spans="1:29" ht="32.25" hidden="1" customHeight="1">
      <c r="A2889" s="17"/>
      <c r="B2889" s="9" t="s">
        <v>13284</v>
      </c>
      <c r="C2889" s="9" t="s">
        <v>13284</v>
      </c>
      <c r="D2889" s="9" t="s">
        <v>13284</v>
      </c>
      <c r="E2889" s="9" t="s">
        <v>13284</v>
      </c>
      <c r="F2889" s="9" t="s">
        <v>13284</v>
      </c>
      <c r="G2889" s="9" t="s">
        <v>13284</v>
      </c>
      <c r="H2889" s="9" t="s">
        <v>13284</v>
      </c>
      <c r="I2889" s="9" t="s">
        <v>13284</v>
      </c>
      <c r="J2889" s="9" t="s">
        <v>13284</v>
      </c>
      <c r="K2889" s="9" t="s">
        <v>13284</v>
      </c>
      <c r="L2889" s="9" t="s">
        <v>13284</v>
      </c>
      <c r="M2889" s="9" t="s">
        <v>13284</v>
      </c>
      <c r="N2889" s="9" t="s">
        <v>13284</v>
      </c>
      <c r="O2889" s="9" t="s">
        <v>13284</v>
      </c>
      <c r="P2889" s="9" t="s">
        <v>13284</v>
      </c>
      <c r="Q2889" s="9" t="s">
        <v>13284</v>
      </c>
      <c r="R2889" s="9" t="s">
        <v>13284</v>
      </c>
      <c r="S2889" s="9" t="s">
        <v>13284</v>
      </c>
      <c r="T2889" s="9" t="str">
        <f ca="1">IFERROR(IF(AND(VLOOKUP(A2889, 'Актуальное состояние (из общего'!A:C,3,0) = "", A2889 &lt;&gt; ""), "ПРОВЕРИТЬ", VLOOKUP(A2889, 'Актуальное состояние (из общего'!A:C,3,0)), "")</f>
        <v/>
      </c>
      <c r="U2889" s="9" t="s">
        <v>13284</v>
      </c>
      <c r="V2889" s="9" t="s">
        <v>13284</v>
      </c>
      <c r="W2889" s="12"/>
      <c r="X2889" s="9" t="str">
        <f t="array" ref="X2889">IFERROR(INDEX('Адреса общежитий (скрытый)'!$B$2:$B$9, MATCH(W2889, 'Адреса общежитий (скрытый)'!$A$2:$A$9, 0)), "")</f>
        <v/>
      </c>
      <c r="Y2889" s="18"/>
      <c r="Z2889" s="18"/>
      <c r="AA2889" s="18"/>
      <c r="AB2889" s="18"/>
      <c r="AC2889" s="18"/>
    </row>
    <row r="2890" spans="1:29" ht="32.25" hidden="1" customHeight="1">
      <c r="A2890" s="17"/>
      <c r="B2890" s="9" t="s">
        <v>13284</v>
      </c>
      <c r="C2890" s="9" t="s">
        <v>13284</v>
      </c>
      <c r="D2890" s="9" t="s">
        <v>13284</v>
      </c>
      <c r="E2890" s="9" t="s">
        <v>13284</v>
      </c>
      <c r="F2890" s="9" t="s">
        <v>13284</v>
      </c>
      <c r="G2890" s="9" t="s">
        <v>13284</v>
      </c>
      <c r="H2890" s="9" t="s">
        <v>13284</v>
      </c>
      <c r="I2890" s="9" t="s">
        <v>13284</v>
      </c>
      <c r="J2890" s="9" t="s">
        <v>13284</v>
      </c>
      <c r="K2890" s="9" t="s">
        <v>13284</v>
      </c>
      <c r="L2890" s="9" t="s">
        <v>13284</v>
      </c>
      <c r="M2890" s="9" t="s">
        <v>13284</v>
      </c>
      <c r="N2890" s="9" t="s">
        <v>13284</v>
      </c>
      <c r="O2890" s="9" t="s">
        <v>13284</v>
      </c>
      <c r="P2890" s="9" t="s">
        <v>13284</v>
      </c>
      <c r="Q2890" s="9" t="s">
        <v>13284</v>
      </c>
      <c r="R2890" s="9" t="s">
        <v>13284</v>
      </c>
      <c r="S2890" s="9" t="s">
        <v>13284</v>
      </c>
      <c r="T2890" s="9" t="str">
        <f ca="1">IFERROR(IF(AND(VLOOKUP(A2890, 'Актуальное состояние (из общего'!A:C,3,0) = "", A2890 &lt;&gt; ""), "ПРОВЕРИТЬ", VLOOKUP(A2890, 'Актуальное состояние (из общего'!A:C,3,0)), "")</f>
        <v/>
      </c>
      <c r="U2890" s="9" t="s">
        <v>13284</v>
      </c>
      <c r="V2890" s="9" t="s">
        <v>13284</v>
      </c>
      <c r="W2890" s="12"/>
      <c r="X2890" s="9" t="str">
        <f t="array" ref="X2890">IFERROR(INDEX('Адреса общежитий (скрытый)'!$B$2:$B$9, MATCH(W2890, 'Адреса общежитий (скрытый)'!$A$2:$A$9, 0)), "")</f>
        <v/>
      </c>
      <c r="Y2890" s="18"/>
      <c r="Z2890" s="18"/>
      <c r="AA2890" s="18"/>
      <c r="AB2890" s="18"/>
      <c r="AC2890" s="18"/>
    </row>
    <row r="2891" spans="1:29" ht="32.25" hidden="1" customHeight="1">
      <c r="A2891" s="17"/>
      <c r="B2891" s="9" t="s">
        <v>13284</v>
      </c>
      <c r="C2891" s="9" t="s">
        <v>13284</v>
      </c>
      <c r="D2891" s="9" t="s">
        <v>13284</v>
      </c>
      <c r="E2891" s="9" t="s">
        <v>13284</v>
      </c>
      <c r="F2891" s="9" t="s">
        <v>13284</v>
      </c>
      <c r="G2891" s="9" t="s">
        <v>13284</v>
      </c>
      <c r="H2891" s="9" t="s">
        <v>13284</v>
      </c>
      <c r="I2891" s="9" t="s">
        <v>13284</v>
      </c>
      <c r="J2891" s="9" t="s">
        <v>13284</v>
      </c>
      <c r="K2891" s="9" t="s">
        <v>13284</v>
      </c>
      <c r="L2891" s="9" t="s">
        <v>13284</v>
      </c>
      <c r="M2891" s="9" t="s">
        <v>13284</v>
      </c>
      <c r="N2891" s="9" t="s">
        <v>13284</v>
      </c>
      <c r="O2891" s="9" t="s">
        <v>13284</v>
      </c>
      <c r="P2891" s="9" t="s">
        <v>13284</v>
      </c>
      <c r="Q2891" s="9" t="s">
        <v>13284</v>
      </c>
      <c r="R2891" s="9" t="s">
        <v>13284</v>
      </c>
      <c r="S2891" s="9" t="s">
        <v>13284</v>
      </c>
      <c r="T2891" s="9" t="str">
        <f ca="1">IFERROR(IF(AND(VLOOKUP(A2891, 'Актуальное состояние (из общего'!A:C,3,0) = "", A2891 &lt;&gt; ""), "ПРОВЕРИТЬ", VLOOKUP(A2891, 'Актуальное состояние (из общего'!A:C,3,0)), "")</f>
        <v/>
      </c>
      <c r="U2891" s="9" t="s">
        <v>13284</v>
      </c>
      <c r="V2891" s="9" t="s">
        <v>13284</v>
      </c>
      <c r="W2891" s="12"/>
      <c r="X2891" s="9" t="str">
        <f t="array" ref="X2891">IFERROR(INDEX('Адреса общежитий (скрытый)'!$B$2:$B$9, MATCH(W2891, 'Адреса общежитий (скрытый)'!$A$2:$A$9, 0)), "")</f>
        <v/>
      </c>
      <c r="Y2891" s="18"/>
      <c r="Z2891" s="18"/>
      <c r="AA2891" s="18"/>
      <c r="AB2891" s="18"/>
      <c r="AC2891" s="18"/>
    </row>
    <row r="2892" spans="1:29" ht="32.25" hidden="1" customHeight="1">
      <c r="A2892" s="17"/>
      <c r="B2892" s="9" t="s">
        <v>13284</v>
      </c>
      <c r="C2892" s="9" t="s">
        <v>13284</v>
      </c>
      <c r="D2892" s="9" t="s">
        <v>13284</v>
      </c>
      <c r="E2892" s="9" t="s">
        <v>13284</v>
      </c>
      <c r="F2892" s="9" t="s">
        <v>13284</v>
      </c>
      <c r="G2892" s="9" t="s">
        <v>13284</v>
      </c>
      <c r="H2892" s="9" t="s">
        <v>13284</v>
      </c>
      <c r="I2892" s="9" t="s">
        <v>13284</v>
      </c>
      <c r="J2892" s="9" t="s">
        <v>13284</v>
      </c>
      <c r="K2892" s="9" t="s">
        <v>13284</v>
      </c>
      <c r="L2892" s="9" t="s">
        <v>13284</v>
      </c>
      <c r="M2892" s="9" t="s">
        <v>13284</v>
      </c>
      <c r="N2892" s="9" t="s">
        <v>13284</v>
      </c>
      <c r="O2892" s="9" t="s">
        <v>13284</v>
      </c>
      <c r="P2892" s="9" t="s">
        <v>13284</v>
      </c>
      <c r="Q2892" s="9" t="s">
        <v>13284</v>
      </c>
      <c r="R2892" s="9" t="s">
        <v>13284</v>
      </c>
      <c r="S2892" s="9" t="s">
        <v>13284</v>
      </c>
      <c r="T2892" s="9" t="str">
        <f ca="1">IFERROR(IF(AND(VLOOKUP(A2892, 'Актуальное состояние (из общего'!A:C,3,0) = "", A2892 &lt;&gt; ""), "ПРОВЕРИТЬ", VLOOKUP(A2892, 'Актуальное состояние (из общего'!A:C,3,0)), "")</f>
        <v/>
      </c>
      <c r="U2892" s="9" t="s">
        <v>13284</v>
      </c>
      <c r="V2892" s="9" t="s">
        <v>13284</v>
      </c>
      <c r="W2892" s="12"/>
      <c r="X2892" s="9" t="str">
        <f t="array" ref="X2892">IFERROR(INDEX('Адреса общежитий (скрытый)'!$B$2:$B$9, MATCH(W2892, 'Адреса общежитий (скрытый)'!$A$2:$A$9, 0)), "")</f>
        <v/>
      </c>
      <c r="Y2892" s="18"/>
      <c r="Z2892" s="18"/>
      <c r="AA2892" s="18"/>
      <c r="AB2892" s="18"/>
      <c r="AC2892" s="18"/>
    </row>
    <row r="2893" spans="1:29" ht="32.25" hidden="1" customHeight="1">
      <c r="A2893" s="17"/>
      <c r="B2893" s="9" t="s">
        <v>13284</v>
      </c>
      <c r="C2893" s="9" t="s">
        <v>13284</v>
      </c>
      <c r="D2893" s="9" t="s">
        <v>13284</v>
      </c>
      <c r="E2893" s="9" t="s">
        <v>13284</v>
      </c>
      <c r="F2893" s="9" t="s">
        <v>13284</v>
      </c>
      <c r="G2893" s="9" t="s">
        <v>13284</v>
      </c>
      <c r="H2893" s="9" t="s">
        <v>13284</v>
      </c>
      <c r="I2893" s="9" t="s">
        <v>13284</v>
      </c>
      <c r="J2893" s="9" t="s">
        <v>13284</v>
      </c>
      <c r="K2893" s="9" t="s">
        <v>13284</v>
      </c>
      <c r="L2893" s="9" t="s">
        <v>13284</v>
      </c>
      <c r="M2893" s="9" t="s">
        <v>13284</v>
      </c>
      <c r="N2893" s="9" t="s">
        <v>13284</v>
      </c>
      <c r="O2893" s="9" t="s">
        <v>13284</v>
      </c>
      <c r="P2893" s="9" t="s">
        <v>13284</v>
      </c>
      <c r="Q2893" s="9" t="s">
        <v>13284</v>
      </c>
      <c r="R2893" s="9" t="s">
        <v>13284</v>
      </c>
      <c r="S2893" s="9" t="s">
        <v>13284</v>
      </c>
      <c r="T2893" s="9" t="str">
        <f ca="1">IFERROR(IF(AND(VLOOKUP(A2893, 'Актуальное состояние (из общего'!A:C,3,0) = "", A2893 &lt;&gt; ""), "ПРОВЕРИТЬ", VLOOKUP(A2893, 'Актуальное состояние (из общего'!A:C,3,0)), "")</f>
        <v/>
      </c>
      <c r="U2893" s="9" t="s">
        <v>13284</v>
      </c>
      <c r="V2893" s="9" t="s">
        <v>13284</v>
      </c>
      <c r="W2893" s="12"/>
      <c r="X2893" s="9" t="str">
        <f t="array" ref="X2893">IFERROR(INDEX('Адреса общежитий (скрытый)'!$B$2:$B$9, MATCH(W2893, 'Адреса общежитий (скрытый)'!$A$2:$A$9, 0)), "")</f>
        <v/>
      </c>
      <c r="Y2893" s="18"/>
      <c r="Z2893" s="18"/>
      <c r="AA2893" s="18"/>
      <c r="AB2893" s="18"/>
      <c r="AC2893" s="18"/>
    </row>
    <row r="2894" spans="1:29" ht="32.25" hidden="1" customHeight="1">
      <c r="A2894" s="17"/>
      <c r="B2894" s="9" t="s">
        <v>13284</v>
      </c>
      <c r="C2894" s="9" t="s">
        <v>13284</v>
      </c>
      <c r="D2894" s="9" t="s">
        <v>13284</v>
      </c>
      <c r="E2894" s="9" t="s">
        <v>13284</v>
      </c>
      <c r="F2894" s="9" t="s">
        <v>13284</v>
      </c>
      <c r="G2894" s="9" t="s">
        <v>13284</v>
      </c>
      <c r="H2894" s="9" t="s">
        <v>13284</v>
      </c>
      <c r="I2894" s="9" t="s">
        <v>13284</v>
      </c>
      <c r="J2894" s="9" t="s">
        <v>13284</v>
      </c>
      <c r="K2894" s="9" t="s">
        <v>13284</v>
      </c>
      <c r="L2894" s="9" t="s">
        <v>13284</v>
      </c>
      <c r="M2894" s="9" t="s">
        <v>13284</v>
      </c>
      <c r="N2894" s="9" t="s">
        <v>13284</v>
      </c>
      <c r="O2894" s="9" t="s">
        <v>13284</v>
      </c>
      <c r="P2894" s="9" t="s">
        <v>13284</v>
      </c>
      <c r="Q2894" s="9" t="s">
        <v>13284</v>
      </c>
      <c r="R2894" s="9" t="s">
        <v>13284</v>
      </c>
      <c r="S2894" s="9" t="s">
        <v>13284</v>
      </c>
      <c r="T2894" s="9" t="str">
        <f ca="1">IFERROR(IF(AND(VLOOKUP(A2894, 'Актуальное состояние (из общего'!A:C,3,0) = "", A2894 &lt;&gt; ""), "ПРОВЕРИТЬ", VLOOKUP(A2894, 'Актуальное состояние (из общего'!A:C,3,0)), "")</f>
        <v/>
      </c>
      <c r="U2894" s="9" t="s">
        <v>13284</v>
      </c>
      <c r="V2894" s="9" t="s">
        <v>13284</v>
      </c>
      <c r="W2894" s="12"/>
      <c r="X2894" s="9" t="str">
        <f t="array" ref="X2894">IFERROR(INDEX('Адреса общежитий (скрытый)'!$B$2:$B$9, MATCH(W2894, 'Адреса общежитий (скрытый)'!$A$2:$A$9, 0)), "")</f>
        <v/>
      </c>
      <c r="Y2894" s="18"/>
      <c r="Z2894" s="18"/>
      <c r="AA2894" s="18"/>
      <c r="AB2894" s="18"/>
      <c r="AC2894" s="18"/>
    </row>
    <row r="2895" spans="1:29" ht="32.25" hidden="1" customHeight="1">
      <c r="A2895" s="17"/>
      <c r="B2895" s="9" t="s">
        <v>13284</v>
      </c>
      <c r="C2895" s="9" t="s">
        <v>13284</v>
      </c>
      <c r="D2895" s="9" t="s">
        <v>13284</v>
      </c>
      <c r="E2895" s="9" t="s">
        <v>13284</v>
      </c>
      <c r="F2895" s="9" t="s">
        <v>13284</v>
      </c>
      <c r="G2895" s="9" t="s">
        <v>13284</v>
      </c>
      <c r="H2895" s="9" t="s">
        <v>13284</v>
      </c>
      <c r="I2895" s="9" t="s">
        <v>13284</v>
      </c>
      <c r="J2895" s="9" t="s">
        <v>13284</v>
      </c>
      <c r="K2895" s="9" t="s">
        <v>13284</v>
      </c>
      <c r="L2895" s="9" t="s">
        <v>13284</v>
      </c>
      <c r="M2895" s="9" t="s">
        <v>13284</v>
      </c>
      <c r="N2895" s="9" t="s">
        <v>13284</v>
      </c>
      <c r="O2895" s="9" t="s">
        <v>13284</v>
      </c>
      <c r="P2895" s="9" t="s">
        <v>13284</v>
      </c>
      <c r="Q2895" s="9" t="s">
        <v>13284</v>
      </c>
      <c r="R2895" s="9" t="s">
        <v>13284</v>
      </c>
      <c r="S2895" s="9" t="s">
        <v>13284</v>
      </c>
      <c r="T2895" s="9" t="str">
        <f ca="1">IFERROR(IF(AND(VLOOKUP(A2895, 'Актуальное состояние (из общего'!A:C,3,0) = "", A2895 &lt;&gt; ""), "ПРОВЕРИТЬ", VLOOKUP(A2895, 'Актуальное состояние (из общего'!A:C,3,0)), "")</f>
        <v/>
      </c>
      <c r="U2895" s="9" t="s">
        <v>13284</v>
      </c>
      <c r="V2895" s="9" t="s">
        <v>13284</v>
      </c>
      <c r="W2895" s="12"/>
      <c r="X2895" s="9" t="str">
        <f t="array" ref="X2895">IFERROR(INDEX('Адреса общежитий (скрытый)'!$B$2:$B$9, MATCH(W2895, 'Адреса общежитий (скрытый)'!$A$2:$A$9, 0)), "")</f>
        <v/>
      </c>
      <c r="Y2895" s="18"/>
      <c r="Z2895" s="18"/>
      <c r="AA2895" s="18"/>
      <c r="AB2895" s="18"/>
      <c r="AC2895" s="18"/>
    </row>
    <row r="2896" spans="1:29" ht="32.25" hidden="1" customHeight="1">
      <c r="A2896" s="17"/>
      <c r="B2896" s="9" t="s">
        <v>13284</v>
      </c>
      <c r="C2896" s="9" t="s">
        <v>13284</v>
      </c>
      <c r="D2896" s="9" t="s">
        <v>13284</v>
      </c>
      <c r="E2896" s="9" t="s">
        <v>13284</v>
      </c>
      <c r="F2896" s="9" t="s">
        <v>13284</v>
      </c>
      <c r="G2896" s="9" t="s">
        <v>13284</v>
      </c>
      <c r="H2896" s="9" t="s">
        <v>13284</v>
      </c>
      <c r="I2896" s="9" t="s">
        <v>13284</v>
      </c>
      <c r="J2896" s="9" t="s">
        <v>13284</v>
      </c>
      <c r="K2896" s="9" t="s">
        <v>13284</v>
      </c>
      <c r="L2896" s="9" t="s">
        <v>13284</v>
      </c>
      <c r="M2896" s="9" t="s">
        <v>13284</v>
      </c>
      <c r="N2896" s="9" t="s">
        <v>13284</v>
      </c>
      <c r="O2896" s="9" t="s">
        <v>13284</v>
      </c>
      <c r="P2896" s="9" t="s">
        <v>13284</v>
      </c>
      <c r="Q2896" s="9" t="s">
        <v>13284</v>
      </c>
      <c r="R2896" s="9" t="s">
        <v>13284</v>
      </c>
      <c r="S2896" s="9" t="s">
        <v>13284</v>
      </c>
      <c r="T2896" s="9" t="str">
        <f ca="1">IFERROR(IF(AND(VLOOKUP(A2896, 'Актуальное состояние (из общего'!A:C,3,0) = "", A2896 &lt;&gt; ""), "ПРОВЕРИТЬ", VLOOKUP(A2896, 'Актуальное состояние (из общего'!A:C,3,0)), "")</f>
        <v/>
      </c>
      <c r="U2896" s="9" t="s">
        <v>13284</v>
      </c>
      <c r="V2896" s="9" t="s">
        <v>13284</v>
      </c>
      <c r="W2896" s="12"/>
      <c r="X2896" s="9" t="str">
        <f t="array" ref="X2896">IFERROR(INDEX('Адреса общежитий (скрытый)'!$B$2:$B$9, MATCH(W2896, 'Адреса общежитий (скрытый)'!$A$2:$A$9, 0)), "")</f>
        <v/>
      </c>
      <c r="Y2896" s="18"/>
      <c r="Z2896" s="18"/>
      <c r="AA2896" s="18"/>
      <c r="AB2896" s="18"/>
      <c r="AC2896" s="18"/>
    </row>
    <row r="2897" spans="1:29" ht="32.25" hidden="1" customHeight="1">
      <c r="A2897" s="17"/>
      <c r="B2897" s="9" t="s">
        <v>13284</v>
      </c>
      <c r="C2897" s="9" t="s">
        <v>13284</v>
      </c>
      <c r="D2897" s="9" t="s">
        <v>13284</v>
      </c>
      <c r="E2897" s="9" t="s">
        <v>13284</v>
      </c>
      <c r="F2897" s="9" t="s">
        <v>13284</v>
      </c>
      <c r="G2897" s="9" t="s">
        <v>13284</v>
      </c>
      <c r="H2897" s="9" t="s">
        <v>13284</v>
      </c>
      <c r="I2897" s="9" t="s">
        <v>13284</v>
      </c>
      <c r="J2897" s="9" t="s">
        <v>13284</v>
      </c>
      <c r="K2897" s="9" t="s">
        <v>13284</v>
      </c>
      <c r="L2897" s="9" t="s">
        <v>13284</v>
      </c>
      <c r="M2897" s="9" t="s">
        <v>13284</v>
      </c>
      <c r="N2897" s="9" t="s">
        <v>13284</v>
      </c>
      <c r="O2897" s="9" t="s">
        <v>13284</v>
      </c>
      <c r="P2897" s="9" t="s">
        <v>13284</v>
      </c>
      <c r="Q2897" s="9" t="s">
        <v>13284</v>
      </c>
      <c r="R2897" s="9" t="s">
        <v>13284</v>
      </c>
      <c r="S2897" s="9" t="s">
        <v>13284</v>
      </c>
      <c r="T2897" s="9" t="str">
        <f ca="1">IFERROR(IF(AND(VLOOKUP(A2897, 'Актуальное состояние (из общего'!A:C,3,0) = "", A2897 &lt;&gt; ""), "ПРОВЕРИТЬ", VLOOKUP(A2897, 'Актуальное состояние (из общего'!A:C,3,0)), "")</f>
        <v/>
      </c>
      <c r="U2897" s="9" t="s">
        <v>13284</v>
      </c>
      <c r="V2897" s="9" t="s">
        <v>13284</v>
      </c>
      <c r="W2897" s="12"/>
      <c r="X2897" s="9" t="str">
        <f t="array" ref="X2897">IFERROR(INDEX('Адреса общежитий (скрытый)'!$B$2:$B$9, MATCH(W2897, 'Адреса общежитий (скрытый)'!$A$2:$A$9, 0)), "")</f>
        <v/>
      </c>
      <c r="Y2897" s="18"/>
      <c r="Z2897" s="18"/>
      <c r="AA2897" s="18"/>
      <c r="AB2897" s="18"/>
      <c r="AC2897" s="18"/>
    </row>
    <row r="2898" spans="1:29" ht="32.25" hidden="1" customHeight="1">
      <c r="A2898" s="17"/>
      <c r="B2898" s="9" t="s">
        <v>13284</v>
      </c>
      <c r="C2898" s="9" t="s">
        <v>13284</v>
      </c>
      <c r="D2898" s="9" t="s">
        <v>13284</v>
      </c>
      <c r="E2898" s="9" t="s">
        <v>13284</v>
      </c>
      <c r="F2898" s="9" t="s">
        <v>13284</v>
      </c>
      <c r="G2898" s="9" t="s">
        <v>13284</v>
      </c>
      <c r="H2898" s="9" t="s">
        <v>13284</v>
      </c>
      <c r="I2898" s="9" t="s">
        <v>13284</v>
      </c>
      <c r="J2898" s="9" t="s">
        <v>13284</v>
      </c>
      <c r="K2898" s="9" t="s">
        <v>13284</v>
      </c>
      <c r="L2898" s="9" t="s">
        <v>13284</v>
      </c>
      <c r="M2898" s="9" t="s">
        <v>13284</v>
      </c>
      <c r="N2898" s="9" t="s">
        <v>13284</v>
      </c>
      <c r="O2898" s="9" t="s">
        <v>13284</v>
      </c>
      <c r="P2898" s="9" t="s">
        <v>13284</v>
      </c>
      <c r="Q2898" s="9" t="s">
        <v>13284</v>
      </c>
      <c r="R2898" s="9" t="s">
        <v>13284</v>
      </c>
      <c r="S2898" s="9" t="s">
        <v>13284</v>
      </c>
      <c r="T2898" s="9" t="str">
        <f ca="1">IFERROR(IF(AND(VLOOKUP(A2898, 'Актуальное состояние (из общего'!A:C,3,0) = "", A2898 &lt;&gt; ""), "ПРОВЕРИТЬ", VLOOKUP(A2898, 'Актуальное состояние (из общего'!A:C,3,0)), "")</f>
        <v/>
      </c>
      <c r="U2898" s="9" t="s">
        <v>13284</v>
      </c>
      <c r="V2898" s="9" t="s">
        <v>13284</v>
      </c>
      <c r="W2898" s="12"/>
      <c r="X2898" s="9" t="str">
        <f t="array" ref="X2898">IFERROR(INDEX('Адреса общежитий (скрытый)'!$B$2:$B$9, MATCH(W2898, 'Адреса общежитий (скрытый)'!$A$2:$A$9, 0)), "")</f>
        <v/>
      </c>
      <c r="Y2898" s="18"/>
      <c r="Z2898" s="18"/>
      <c r="AA2898" s="18"/>
      <c r="AB2898" s="18"/>
      <c r="AC2898" s="18"/>
    </row>
    <row r="2899" spans="1:29" ht="32.25" hidden="1" customHeight="1">
      <c r="A2899" s="17"/>
      <c r="B2899" s="9" t="s">
        <v>13284</v>
      </c>
      <c r="C2899" s="9" t="s">
        <v>13284</v>
      </c>
      <c r="D2899" s="9" t="s">
        <v>13284</v>
      </c>
      <c r="E2899" s="9" t="s">
        <v>13284</v>
      </c>
      <c r="F2899" s="9" t="s">
        <v>13284</v>
      </c>
      <c r="G2899" s="9" t="s">
        <v>13284</v>
      </c>
      <c r="H2899" s="9" t="s">
        <v>13284</v>
      </c>
      <c r="I2899" s="9" t="s">
        <v>13284</v>
      </c>
      <c r="J2899" s="9" t="s">
        <v>13284</v>
      </c>
      <c r="K2899" s="9" t="s">
        <v>13284</v>
      </c>
      <c r="L2899" s="9" t="s">
        <v>13284</v>
      </c>
      <c r="M2899" s="9" t="s">
        <v>13284</v>
      </c>
      <c r="N2899" s="9" t="s">
        <v>13284</v>
      </c>
      <c r="O2899" s="9" t="s">
        <v>13284</v>
      </c>
      <c r="P2899" s="9" t="s">
        <v>13284</v>
      </c>
      <c r="Q2899" s="9" t="s">
        <v>13284</v>
      </c>
      <c r="R2899" s="9" t="s">
        <v>13284</v>
      </c>
      <c r="S2899" s="9" t="s">
        <v>13284</v>
      </c>
      <c r="T2899" s="9" t="str">
        <f ca="1">IFERROR(IF(AND(VLOOKUP(A2899, 'Актуальное состояние (из общего'!A:C,3,0) = "", A2899 &lt;&gt; ""), "ПРОВЕРИТЬ", VLOOKUP(A2899, 'Актуальное состояние (из общего'!A:C,3,0)), "")</f>
        <v/>
      </c>
      <c r="U2899" s="9" t="s">
        <v>13284</v>
      </c>
      <c r="V2899" s="9" t="s">
        <v>13284</v>
      </c>
      <c r="W2899" s="12"/>
      <c r="X2899" s="9" t="str">
        <f t="array" ref="X2899">IFERROR(INDEX('Адреса общежитий (скрытый)'!$B$2:$B$9, MATCH(W2899, 'Адреса общежитий (скрытый)'!$A$2:$A$9, 0)), "")</f>
        <v/>
      </c>
      <c r="Y2899" s="18"/>
      <c r="Z2899" s="18"/>
      <c r="AA2899" s="18"/>
      <c r="AB2899" s="18"/>
      <c r="AC2899" s="18"/>
    </row>
    <row r="2900" spans="1:29" ht="32.25" hidden="1" customHeight="1">
      <c r="A2900" s="17"/>
      <c r="B2900" s="9" t="s">
        <v>13284</v>
      </c>
      <c r="C2900" s="9" t="s">
        <v>13284</v>
      </c>
      <c r="D2900" s="9" t="s">
        <v>13284</v>
      </c>
      <c r="E2900" s="9" t="s">
        <v>13284</v>
      </c>
      <c r="F2900" s="9" t="s">
        <v>13284</v>
      </c>
      <c r="G2900" s="9" t="s">
        <v>13284</v>
      </c>
      <c r="H2900" s="9" t="s">
        <v>13284</v>
      </c>
      <c r="I2900" s="9" t="s">
        <v>13284</v>
      </c>
      <c r="J2900" s="9" t="s">
        <v>13284</v>
      </c>
      <c r="K2900" s="9" t="s">
        <v>13284</v>
      </c>
      <c r="L2900" s="9" t="s">
        <v>13284</v>
      </c>
      <c r="M2900" s="9" t="s">
        <v>13284</v>
      </c>
      <c r="N2900" s="9" t="s">
        <v>13284</v>
      </c>
      <c r="O2900" s="9" t="s">
        <v>13284</v>
      </c>
      <c r="P2900" s="9" t="s">
        <v>13284</v>
      </c>
      <c r="Q2900" s="9" t="s">
        <v>13284</v>
      </c>
      <c r="R2900" s="9" t="s">
        <v>13284</v>
      </c>
      <c r="S2900" s="9" t="s">
        <v>13284</v>
      </c>
      <c r="T2900" s="9" t="str">
        <f ca="1">IFERROR(IF(AND(VLOOKUP(A2900, 'Актуальное состояние (из общего'!A:C,3,0) = "", A2900 &lt;&gt; ""), "ПРОВЕРИТЬ", VLOOKUP(A2900, 'Актуальное состояние (из общего'!A:C,3,0)), "")</f>
        <v/>
      </c>
      <c r="U2900" s="9" t="s">
        <v>13284</v>
      </c>
      <c r="V2900" s="9" t="s">
        <v>13284</v>
      </c>
      <c r="W2900" s="12"/>
      <c r="X2900" s="9" t="str">
        <f t="array" ref="X2900">IFERROR(INDEX('Адреса общежитий (скрытый)'!$B$2:$B$9, MATCH(W2900, 'Адреса общежитий (скрытый)'!$A$2:$A$9, 0)), "")</f>
        <v/>
      </c>
      <c r="Y2900" s="18"/>
      <c r="Z2900" s="18"/>
      <c r="AA2900" s="18"/>
      <c r="AB2900" s="18"/>
      <c r="AC2900" s="18"/>
    </row>
    <row r="2901" spans="1:29" ht="32.25" hidden="1" customHeight="1">
      <c r="A2901" s="17"/>
      <c r="B2901" s="9" t="s">
        <v>13284</v>
      </c>
      <c r="C2901" s="9" t="s">
        <v>13284</v>
      </c>
      <c r="D2901" s="9" t="s">
        <v>13284</v>
      </c>
      <c r="E2901" s="9" t="s">
        <v>13284</v>
      </c>
      <c r="F2901" s="9" t="s">
        <v>13284</v>
      </c>
      <c r="G2901" s="9" t="s">
        <v>13284</v>
      </c>
      <c r="H2901" s="9" t="s">
        <v>13284</v>
      </c>
      <c r="I2901" s="9" t="s">
        <v>13284</v>
      </c>
      <c r="J2901" s="9" t="s">
        <v>13284</v>
      </c>
      <c r="K2901" s="9" t="s">
        <v>13284</v>
      </c>
      <c r="L2901" s="9" t="s">
        <v>13284</v>
      </c>
      <c r="M2901" s="9" t="s">
        <v>13284</v>
      </c>
      <c r="N2901" s="9" t="s">
        <v>13284</v>
      </c>
      <c r="O2901" s="9" t="s">
        <v>13284</v>
      </c>
      <c r="P2901" s="9" t="s">
        <v>13284</v>
      </c>
      <c r="Q2901" s="9" t="s">
        <v>13284</v>
      </c>
      <c r="R2901" s="9" t="s">
        <v>13284</v>
      </c>
      <c r="S2901" s="9" t="s">
        <v>13284</v>
      </c>
      <c r="T2901" s="9" t="str">
        <f ca="1">IFERROR(IF(AND(VLOOKUP(A2901, 'Актуальное состояние (из общего'!A:C,3,0) = "", A2901 &lt;&gt; ""), "ПРОВЕРИТЬ", VLOOKUP(A2901, 'Актуальное состояние (из общего'!A:C,3,0)), "")</f>
        <v/>
      </c>
      <c r="U2901" s="9" t="s">
        <v>13284</v>
      </c>
      <c r="V2901" s="9" t="s">
        <v>13284</v>
      </c>
      <c r="W2901" s="12"/>
      <c r="X2901" s="9" t="str">
        <f t="array" ref="X2901">IFERROR(INDEX('Адреса общежитий (скрытый)'!$B$2:$B$9, MATCH(W2901, 'Адреса общежитий (скрытый)'!$A$2:$A$9, 0)), "")</f>
        <v/>
      </c>
      <c r="Y2901" s="18"/>
      <c r="Z2901" s="18"/>
      <c r="AA2901" s="18"/>
      <c r="AB2901" s="18"/>
      <c r="AC2901" s="18"/>
    </row>
    <row r="2902" spans="1:29" ht="32.25" hidden="1" customHeight="1">
      <c r="A2902" s="17"/>
      <c r="B2902" s="9" t="s">
        <v>13284</v>
      </c>
      <c r="C2902" s="9" t="s">
        <v>13284</v>
      </c>
      <c r="D2902" s="9" t="s">
        <v>13284</v>
      </c>
      <c r="E2902" s="9" t="s">
        <v>13284</v>
      </c>
      <c r="F2902" s="9" t="s">
        <v>13284</v>
      </c>
      <c r="G2902" s="9" t="s">
        <v>13284</v>
      </c>
      <c r="H2902" s="9" t="s">
        <v>13284</v>
      </c>
      <c r="I2902" s="9" t="s">
        <v>13284</v>
      </c>
      <c r="J2902" s="9" t="s">
        <v>13284</v>
      </c>
      <c r="K2902" s="9" t="s">
        <v>13284</v>
      </c>
      <c r="L2902" s="9" t="s">
        <v>13284</v>
      </c>
      <c r="M2902" s="9" t="s">
        <v>13284</v>
      </c>
      <c r="N2902" s="9" t="s">
        <v>13284</v>
      </c>
      <c r="O2902" s="9" t="s">
        <v>13284</v>
      </c>
      <c r="P2902" s="9" t="s">
        <v>13284</v>
      </c>
      <c r="Q2902" s="9" t="s">
        <v>13284</v>
      </c>
      <c r="R2902" s="9" t="s">
        <v>13284</v>
      </c>
      <c r="S2902" s="9" t="s">
        <v>13284</v>
      </c>
      <c r="T2902" s="9" t="str">
        <f ca="1">IFERROR(IF(AND(VLOOKUP(A2902, 'Актуальное состояние (из общего'!A:C,3,0) = "", A2902 &lt;&gt; ""), "ПРОВЕРИТЬ", VLOOKUP(A2902, 'Актуальное состояние (из общего'!A:C,3,0)), "")</f>
        <v/>
      </c>
      <c r="U2902" s="9" t="s">
        <v>13284</v>
      </c>
      <c r="V2902" s="9" t="s">
        <v>13284</v>
      </c>
      <c r="W2902" s="12"/>
      <c r="X2902" s="9" t="str">
        <f t="array" ref="X2902">IFERROR(INDEX('Адреса общежитий (скрытый)'!$B$2:$B$9, MATCH(W2902, 'Адреса общежитий (скрытый)'!$A$2:$A$9, 0)), "")</f>
        <v/>
      </c>
      <c r="Y2902" s="18"/>
      <c r="Z2902" s="18"/>
      <c r="AA2902" s="18"/>
      <c r="AB2902" s="18"/>
      <c r="AC2902" s="18"/>
    </row>
    <row r="2903" spans="1:29" ht="32.25" hidden="1" customHeight="1">
      <c r="A2903" s="17"/>
      <c r="B2903" s="9" t="s">
        <v>13284</v>
      </c>
      <c r="C2903" s="9" t="s">
        <v>13284</v>
      </c>
      <c r="D2903" s="9" t="s">
        <v>13284</v>
      </c>
      <c r="E2903" s="9" t="s">
        <v>13284</v>
      </c>
      <c r="F2903" s="9" t="s">
        <v>13284</v>
      </c>
      <c r="G2903" s="9" t="s">
        <v>13284</v>
      </c>
      <c r="H2903" s="9" t="s">
        <v>13284</v>
      </c>
      <c r="I2903" s="9" t="s">
        <v>13284</v>
      </c>
      <c r="J2903" s="9" t="s">
        <v>13284</v>
      </c>
      <c r="K2903" s="9" t="s">
        <v>13284</v>
      </c>
      <c r="L2903" s="9" t="s">
        <v>13284</v>
      </c>
      <c r="M2903" s="9" t="s">
        <v>13284</v>
      </c>
      <c r="N2903" s="9" t="s">
        <v>13284</v>
      </c>
      <c r="O2903" s="9" t="s">
        <v>13284</v>
      </c>
      <c r="P2903" s="9" t="s">
        <v>13284</v>
      </c>
      <c r="Q2903" s="9" t="s">
        <v>13284</v>
      </c>
      <c r="R2903" s="9" t="s">
        <v>13284</v>
      </c>
      <c r="S2903" s="9" t="s">
        <v>13284</v>
      </c>
      <c r="T2903" s="9" t="str">
        <f ca="1">IFERROR(IF(AND(VLOOKUP(A2903, 'Актуальное состояние (из общего'!A:C,3,0) = "", A2903 &lt;&gt; ""), "ПРОВЕРИТЬ", VLOOKUP(A2903, 'Актуальное состояние (из общего'!A:C,3,0)), "")</f>
        <v/>
      </c>
      <c r="U2903" s="9" t="s">
        <v>13284</v>
      </c>
      <c r="V2903" s="9" t="s">
        <v>13284</v>
      </c>
      <c r="W2903" s="12"/>
      <c r="X2903" s="9" t="str">
        <f t="array" ref="X2903">IFERROR(INDEX('Адреса общежитий (скрытый)'!$B$2:$B$9, MATCH(W2903, 'Адреса общежитий (скрытый)'!$A$2:$A$9, 0)), "")</f>
        <v/>
      </c>
      <c r="Y2903" s="18"/>
      <c r="Z2903" s="18"/>
      <c r="AA2903" s="18"/>
      <c r="AB2903" s="18"/>
      <c r="AC2903" s="18"/>
    </row>
    <row r="2904" spans="1:29" ht="32.25" hidden="1" customHeight="1">
      <c r="A2904" s="17"/>
      <c r="B2904" s="9" t="s">
        <v>13284</v>
      </c>
      <c r="C2904" s="9" t="s">
        <v>13284</v>
      </c>
      <c r="D2904" s="9" t="s">
        <v>13284</v>
      </c>
      <c r="E2904" s="9" t="s">
        <v>13284</v>
      </c>
      <c r="F2904" s="9" t="s">
        <v>13284</v>
      </c>
      <c r="G2904" s="9" t="s">
        <v>13284</v>
      </c>
      <c r="H2904" s="9" t="s">
        <v>13284</v>
      </c>
      <c r="I2904" s="9" t="s">
        <v>13284</v>
      </c>
      <c r="J2904" s="9" t="s">
        <v>13284</v>
      </c>
      <c r="K2904" s="9" t="s">
        <v>13284</v>
      </c>
      <c r="L2904" s="9" t="s">
        <v>13284</v>
      </c>
      <c r="M2904" s="9" t="s">
        <v>13284</v>
      </c>
      <c r="N2904" s="9" t="s">
        <v>13284</v>
      </c>
      <c r="O2904" s="9" t="s">
        <v>13284</v>
      </c>
      <c r="P2904" s="9" t="s">
        <v>13284</v>
      </c>
      <c r="Q2904" s="9" t="s">
        <v>13284</v>
      </c>
      <c r="R2904" s="9" t="s">
        <v>13284</v>
      </c>
      <c r="S2904" s="9" t="s">
        <v>13284</v>
      </c>
      <c r="T2904" s="9" t="str">
        <f ca="1">IFERROR(IF(AND(VLOOKUP(A2904, 'Актуальное состояние (из общего'!A:C,3,0) = "", A2904 &lt;&gt; ""), "ПРОВЕРИТЬ", VLOOKUP(A2904, 'Актуальное состояние (из общего'!A:C,3,0)), "")</f>
        <v/>
      </c>
      <c r="U2904" s="9" t="s">
        <v>13284</v>
      </c>
      <c r="V2904" s="9" t="s">
        <v>13284</v>
      </c>
      <c r="W2904" s="12"/>
      <c r="X2904" s="9" t="str">
        <f t="array" ref="X2904">IFERROR(INDEX('Адреса общежитий (скрытый)'!$B$2:$B$9, MATCH(W2904, 'Адреса общежитий (скрытый)'!$A$2:$A$9, 0)), "")</f>
        <v/>
      </c>
      <c r="Y2904" s="18"/>
      <c r="Z2904" s="18"/>
      <c r="AA2904" s="18"/>
      <c r="AB2904" s="18"/>
      <c r="AC2904" s="18"/>
    </row>
    <row r="2905" spans="1:29" ht="32.25" hidden="1" customHeight="1">
      <c r="A2905" s="17"/>
      <c r="B2905" s="9" t="s">
        <v>13284</v>
      </c>
      <c r="C2905" s="9" t="s">
        <v>13284</v>
      </c>
      <c r="D2905" s="9" t="s">
        <v>13284</v>
      </c>
      <c r="E2905" s="9" t="s">
        <v>13284</v>
      </c>
      <c r="F2905" s="9" t="s">
        <v>13284</v>
      </c>
      <c r="G2905" s="9" t="s">
        <v>13284</v>
      </c>
      <c r="H2905" s="9" t="s">
        <v>13284</v>
      </c>
      <c r="I2905" s="9" t="s">
        <v>13284</v>
      </c>
      <c r="J2905" s="9" t="s">
        <v>13284</v>
      </c>
      <c r="K2905" s="9" t="s">
        <v>13284</v>
      </c>
      <c r="L2905" s="9" t="s">
        <v>13284</v>
      </c>
      <c r="M2905" s="9" t="s">
        <v>13284</v>
      </c>
      <c r="N2905" s="9" t="s">
        <v>13284</v>
      </c>
      <c r="O2905" s="9" t="s">
        <v>13284</v>
      </c>
      <c r="P2905" s="9" t="s">
        <v>13284</v>
      </c>
      <c r="Q2905" s="9" t="s">
        <v>13284</v>
      </c>
      <c r="R2905" s="9" t="s">
        <v>13284</v>
      </c>
      <c r="S2905" s="9" t="s">
        <v>13284</v>
      </c>
      <c r="T2905" s="9" t="str">
        <f ca="1">IFERROR(IF(AND(VLOOKUP(A2905, 'Актуальное состояние (из общего'!A:C,3,0) = "", A2905 &lt;&gt; ""), "ПРОВЕРИТЬ", VLOOKUP(A2905, 'Актуальное состояние (из общего'!A:C,3,0)), "")</f>
        <v/>
      </c>
      <c r="U2905" s="9" t="s">
        <v>13284</v>
      </c>
      <c r="V2905" s="9" t="s">
        <v>13284</v>
      </c>
      <c r="W2905" s="12"/>
      <c r="X2905" s="9" t="str">
        <f t="array" ref="X2905">IFERROR(INDEX('Адреса общежитий (скрытый)'!$B$2:$B$9, MATCH(W2905, 'Адреса общежитий (скрытый)'!$A$2:$A$9, 0)), "")</f>
        <v/>
      </c>
      <c r="Y2905" s="18"/>
      <c r="Z2905" s="18"/>
      <c r="AA2905" s="18"/>
      <c r="AB2905" s="18"/>
      <c r="AC2905" s="18"/>
    </row>
    <row r="2906" spans="1:29" ht="32.25" hidden="1" customHeight="1">
      <c r="A2906" s="17"/>
      <c r="B2906" s="9" t="s">
        <v>13284</v>
      </c>
      <c r="C2906" s="9" t="s">
        <v>13284</v>
      </c>
      <c r="D2906" s="9" t="s">
        <v>13284</v>
      </c>
      <c r="E2906" s="9" t="s">
        <v>13284</v>
      </c>
      <c r="F2906" s="9" t="s">
        <v>13284</v>
      </c>
      <c r="G2906" s="9" t="s">
        <v>13284</v>
      </c>
      <c r="H2906" s="9" t="s">
        <v>13284</v>
      </c>
      <c r="I2906" s="9" t="s">
        <v>13284</v>
      </c>
      <c r="J2906" s="9" t="s">
        <v>13284</v>
      </c>
      <c r="K2906" s="9" t="s">
        <v>13284</v>
      </c>
      <c r="L2906" s="9" t="s">
        <v>13284</v>
      </c>
      <c r="M2906" s="9" t="s">
        <v>13284</v>
      </c>
      <c r="N2906" s="9" t="s">
        <v>13284</v>
      </c>
      <c r="O2906" s="9" t="s">
        <v>13284</v>
      </c>
      <c r="P2906" s="9" t="s">
        <v>13284</v>
      </c>
      <c r="Q2906" s="9" t="s">
        <v>13284</v>
      </c>
      <c r="R2906" s="9" t="s">
        <v>13284</v>
      </c>
      <c r="S2906" s="9" t="s">
        <v>13284</v>
      </c>
      <c r="T2906" s="9" t="str">
        <f ca="1">IFERROR(IF(AND(VLOOKUP(A2906, 'Актуальное состояние (из общего'!A:C,3,0) = "", A2906 &lt;&gt; ""), "ПРОВЕРИТЬ", VLOOKUP(A2906, 'Актуальное состояние (из общего'!A:C,3,0)), "")</f>
        <v/>
      </c>
      <c r="U2906" s="9" t="s">
        <v>13284</v>
      </c>
      <c r="V2906" s="9" t="s">
        <v>13284</v>
      </c>
      <c r="W2906" s="12"/>
      <c r="X2906" s="9" t="str">
        <f t="array" ref="X2906">IFERROR(INDEX('Адреса общежитий (скрытый)'!$B$2:$B$9, MATCH(W2906, 'Адреса общежитий (скрытый)'!$A$2:$A$9, 0)), "")</f>
        <v/>
      </c>
      <c r="Y2906" s="18"/>
      <c r="Z2906" s="18"/>
      <c r="AA2906" s="18"/>
      <c r="AB2906" s="18"/>
      <c r="AC2906" s="18"/>
    </row>
    <row r="2907" spans="1:29" ht="32.25" hidden="1" customHeight="1">
      <c r="A2907" s="17"/>
      <c r="B2907" s="9" t="s">
        <v>13284</v>
      </c>
      <c r="C2907" s="9" t="s">
        <v>13284</v>
      </c>
      <c r="D2907" s="9" t="s">
        <v>13284</v>
      </c>
      <c r="E2907" s="9" t="s">
        <v>13284</v>
      </c>
      <c r="F2907" s="9" t="s">
        <v>13284</v>
      </c>
      <c r="G2907" s="9" t="s">
        <v>13284</v>
      </c>
      <c r="H2907" s="9" t="s">
        <v>13284</v>
      </c>
      <c r="I2907" s="9" t="s">
        <v>13284</v>
      </c>
      <c r="J2907" s="9" t="s">
        <v>13284</v>
      </c>
      <c r="K2907" s="9" t="s">
        <v>13284</v>
      </c>
      <c r="L2907" s="9" t="s">
        <v>13284</v>
      </c>
      <c r="M2907" s="9" t="s">
        <v>13284</v>
      </c>
      <c r="N2907" s="9" t="s">
        <v>13284</v>
      </c>
      <c r="O2907" s="9" t="s">
        <v>13284</v>
      </c>
      <c r="P2907" s="9" t="s">
        <v>13284</v>
      </c>
      <c r="Q2907" s="9" t="s">
        <v>13284</v>
      </c>
      <c r="R2907" s="9" t="s">
        <v>13284</v>
      </c>
      <c r="S2907" s="9" t="s">
        <v>13284</v>
      </c>
      <c r="T2907" s="9" t="str">
        <f ca="1">IFERROR(IF(AND(VLOOKUP(A2907, 'Актуальное состояние (из общего'!A:C,3,0) = "", A2907 &lt;&gt; ""), "ПРОВЕРИТЬ", VLOOKUP(A2907, 'Актуальное состояние (из общего'!A:C,3,0)), "")</f>
        <v/>
      </c>
      <c r="U2907" s="9" t="s">
        <v>13284</v>
      </c>
      <c r="V2907" s="9" t="s">
        <v>13284</v>
      </c>
      <c r="W2907" s="12"/>
      <c r="X2907" s="9" t="str">
        <f t="array" ref="X2907">IFERROR(INDEX('Адреса общежитий (скрытый)'!$B$2:$B$9, MATCH(W2907, 'Адреса общежитий (скрытый)'!$A$2:$A$9, 0)), "")</f>
        <v/>
      </c>
      <c r="Y2907" s="18"/>
      <c r="Z2907" s="18"/>
      <c r="AA2907" s="18"/>
      <c r="AB2907" s="18"/>
      <c r="AC2907" s="18"/>
    </row>
    <row r="2908" spans="1:29" ht="32.25" hidden="1" customHeight="1">
      <c r="A2908" s="17"/>
      <c r="B2908" s="9" t="s">
        <v>13284</v>
      </c>
      <c r="C2908" s="9" t="s">
        <v>13284</v>
      </c>
      <c r="D2908" s="9" t="s">
        <v>13284</v>
      </c>
      <c r="E2908" s="9" t="s">
        <v>13284</v>
      </c>
      <c r="F2908" s="9" t="s">
        <v>13284</v>
      </c>
      <c r="G2908" s="9" t="s">
        <v>13284</v>
      </c>
      <c r="H2908" s="9" t="s">
        <v>13284</v>
      </c>
      <c r="I2908" s="9" t="s">
        <v>13284</v>
      </c>
      <c r="J2908" s="9" t="s">
        <v>13284</v>
      </c>
      <c r="K2908" s="9" t="s">
        <v>13284</v>
      </c>
      <c r="L2908" s="9" t="s">
        <v>13284</v>
      </c>
      <c r="M2908" s="9" t="s">
        <v>13284</v>
      </c>
      <c r="N2908" s="9" t="s">
        <v>13284</v>
      </c>
      <c r="O2908" s="9" t="s">
        <v>13284</v>
      </c>
      <c r="P2908" s="9" t="s">
        <v>13284</v>
      </c>
      <c r="Q2908" s="9" t="s">
        <v>13284</v>
      </c>
      <c r="R2908" s="9" t="s">
        <v>13284</v>
      </c>
      <c r="S2908" s="9" t="s">
        <v>13284</v>
      </c>
      <c r="T2908" s="9" t="str">
        <f ca="1">IFERROR(IF(AND(VLOOKUP(A2908, 'Актуальное состояние (из общего'!A:C,3,0) = "", A2908 &lt;&gt; ""), "ПРОВЕРИТЬ", VLOOKUP(A2908, 'Актуальное состояние (из общего'!A:C,3,0)), "")</f>
        <v/>
      </c>
      <c r="U2908" s="9" t="s">
        <v>13284</v>
      </c>
      <c r="V2908" s="9" t="s">
        <v>13284</v>
      </c>
      <c r="W2908" s="12"/>
      <c r="X2908" s="9" t="str">
        <f t="array" ref="X2908">IFERROR(INDEX('Адреса общежитий (скрытый)'!$B$2:$B$9, MATCH(W2908, 'Адреса общежитий (скрытый)'!$A$2:$A$9, 0)), "")</f>
        <v/>
      </c>
      <c r="Y2908" s="18"/>
      <c r="Z2908" s="18"/>
      <c r="AA2908" s="18"/>
      <c r="AB2908" s="18"/>
      <c r="AC2908" s="18"/>
    </row>
    <row r="2909" spans="1:29" ht="32.25" hidden="1" customHeight="1">
      <c r="A2909" s="17"/>
      <c r="B2909" s="9" t="s">
        <v>13284</v>
      </c>
      <c r="C2909" s="9" t="s">
        <v>13284</v>
      </c>
      <c r="D2909" s="9" t="s">
        <v>13284</v>
      </c>
      <c r="E2909" s="9" t="s">
        <v>13284</v>
      </c>
      <c r="F2909" s="9" t="s">
        <v>13284</v>
      </c>
      <c r="G2909" s="9" t="s">
        <v>13284</v>
      </c>
      <c r="H2909" s="9" t="s">
        <v>13284</v>
      </c>
      <c r="I2909" s="9" t="s">
        <v>13284</v>
      </c>
      <c r="J2909" s="9" t="s">
        <v>13284</v>
      </c>
      <c r="K2909" s="9" t="s">
        <v>13284</v>
      </c>
      <c r="L2909" s="9" t="s">
        <v>13284</v>
      </c>
      <c r="M2909" s="9" t="s">
        <v>13284</v>
      </c>
      <c r="N2909" s="9" t="s">
        <v>13284</v>
      </c>
      <c r="O2909" s="9" t="s">
        <v>13284</v>
      </c>
      <c r="P2909" s="9" t="s">
        <v>13284</v>
      </c>
      <c r="Q2909" s="9" t="s">
        <v>13284</v>
      </c>
      <c r="R2909" s="9" t="s">
        <v>13284</v>
      </c>
      <c r="S2909" s="9" t="s">
        <v>13284</v>
      </c>
      <c r="T2909" s="9" t="str">
        <f ca="1">IFERROR(IF(AND(VLOOKUP(A2909, 'Актуальное состояние (из общего'!A:C,3,0) = "", A2909 &lt;&gt; ""), "ПРОВЕРИТЬ", VLOOKUP(A2909, 'Актуальное состояние (из общего'!A:C,3,0)), "")</f>
        <v/>
      </c>
      <c r="U2909" s="9" t="s">
        <v>13284</v>
      </c>
      <c r="V2909" s="9" t="s">
        <v>13284</v>
      </c>
      <c r="W2909" s="12"/>
      <c r="X2909" s="9" t="str">
        <f t="array" ref="X2909">IFERROR(INDEX('Адреса общежитий (скрытый)'!$B$2:$B$9, MATCH(W2909, 'Адреса общежитий (скрытый)'!$A$2:$A$9, 0)), "")</f>
        <v/>
      </c>
      <c r="Y2909" s="18"/>
      <c r="Z2909" s="18"/>
      <c r="AA2909" s="18"/>
      <c r="AB2909" s="18"/>
      <c r="AC2909" s="18"/>
    </row>
    <row r="2910" spans="1:29" ht="32.25" hidden="1" customHeight="1">
      <c r="A2910" s="17"/>
      <c r="B2910" s="9" t="s">
        <v>13284</v>
      </c>
      <c r="C2910" s="9" t="s">
        <v>13284</v>
      </c>
      <c r="D2910" s="9" t="s">
        <v>13284</v>
      </c>
      <c r="E2910" s="9" t="s">
        <v>13284</v>
      </c>
      <c r="F2910" s="9" t="s">
        <v>13284</v>
      </c>
      <c r="G2910" s="9" t="s">
        <v>13284</v>
      </c>
      <c r="H2910" s="9" t="s">
        <v>13284</v>
      </c>
      <c r="I2910" s="9" t="s">
        <v>13284</v>
      </c>
      <c r="J2910" s="9" t="s">
        <v>13284</v>
      </c>
      <c r="K2910" s="9" t="s">
        <v>13284</v>
      </c>
      <c r="L2910" s="9" t="s">
        <v>13284</v>
      </c>
      <c r="M2910" s="9" t="s">
        <v>13284</v>
      </c>
      <c r="N2910" s="9" t="s">
        <v>13284</v>
      </c>
      <c r="O2910" s="9" t="s">
        <v>13284</v>
      </c>
      <c r="P2910" s="9" t="s">
        <v>13284</v>
      </c>
      <c r="Q2910" s="9" t="s">
        <v>13284</v>
      </c>
      <c r="R2910" s="9" t="s">
        <v>13284</v>
      </c>
      <c r="S2910" s="9" t="s">
        <v>13284</v>
      </c>
      <c r="T2910" s="9" t="str">
        <f ca="1">IFERROR(IF(AND(VLOOKUP(A2910, 'Актуальное состояние (из общего'!A:C,3,0) = "", A2910 &lt;&gt; ""), "ПРОВЕРИТЬ", VLOOKUP(A2910, 'Актуальное состояние (из общего'!A:C,3,0)), "")</f>
        <v/>
      </c>
      <c r="U2910" s="9" t="s">
        <v>13284</v>
      </c>
      <c r="V2910" s="9" t="s">
        <v>13284</v>
      </c>
      <c r="W2910" s="12"/>
      <c r="X2910" s="9" t="str">
        <f t="array" ref="X2910">IFERROR(INDEX('Адреса общежитий (скрытый)'!$B$2:$B$9, MATCH(W2910, 'Адреса общежитий (скрытый)'!$A$2:$A$9, 0)), "")</f>
        <v/>
      </c>
      <c r="Y2910" s="18"/>
      <c r="Z2910" s="18"/>
      <c r="AA2910" s="18"/>
      <c r="AB2910" s="18"/>
      <c r="AC2910" s="18"/>
    </row>
    <row r="2911" spans="1:29" ht="32.25" hidden="1" customHeight="1">
      <c r="A2911" s="17"/>
      <c r="B2911" s="9" t="s">
        <v>13284</v>
      </c>
      <c r="C2911" s="9" t="s">
        <v>13284</v>
      </c>
      <c r="D2911" s="9" t="s">
        <v>13284</v>
      </c>
      <c r="E2911" s="9" t="s">
        <v>13284</v>
      </c>
      <c r="F2911" s="9" t="s">
        <v>13284</v>
      </c>
      <c r="G2911" s="9" t="s">
        <v>13284</v>
      </c>
      <c r="H2911" s="9" t="s">
        <v>13284</v>
      </c>
      <c r="I2911" s="9" t="s">
        <v>13284</v>
      </c>
      <c r="J2911" s="9" t="s">
        <v>13284</v>
      </c>
      <c r="K2911" s="9" t="s">
        <v>13284</v>
      </c>
      <c r="L2911" s="9" t="s">
        <v>13284</v>
      </c>
      <c r="M2911" s="9" t="s">
        <v>13284</v>
      </c>
      <c r="N2911" s="9" t="s">
        <v>13284</v>
      </c>
      <c r="O2911" s="9" t="s">
        <v>13284</v>
      </c>
      <c r="P2911" s="9" t="s">
        <v>13284</v>
      </c>
      <c r="Q2911" s="9" t="s">
        <v>13284</v>
      </c>
      <c r="R2911" s="9" t="s">
        <v>13284</v>
      </c>
      <c r="S2911" s="9" t="s">
        <v>13284</v>
      </c>
      <c r="T2911" s="9" t="str">
        <f ca="1">IFERROR(IF(AND(VLOOKUP(A2911, 'Актуальное состояние (из общего'!A:C,3,0) = "", A2911 &lt;&gt; ""), "ПРОВЕРИТЬ", VLOOKUP(A2911, 'Актуальное состояние (из общего'!A:C,3,0)), "")</f>
        <v/>
      </c>
      <c r="U2911" s="9" t="s">
        <v>13284</v>
      </c>
      <c r="V2911" s="9" t="s">
        <v>13284</v>
      </c>
      <c r="W2911" s="12"/>
      <c r="X2911" s="9" t="str">
        <f t="array" ref="X2911">IFERROR(INDEX('Адреса общежитий (скрытый)'!$B$2:$B$9, MATCH(W2911, 'Адреса общежитий (скрытый)'!$A$2:$A$9, 0)), "")</f>
        <v/>
      </c>
      <c r="Y2911" s="18"/>
      <c r="Z2911" s="18"/>
      <c r="AA2911" s="18"/>
      <c r="AB2911" s="18"/>
      <c r="AC2911" s="18"/>
    </row>
    <row r="2912" spans="1:29" ht="32.25" hidden="1" customHeight="1">
      <c r="A2912" s="17"/>
      <c r="B2912" s="9" t="s">
        <v>13284</v>
      </c>
      <c r="C2912" s="9" t="s">
        <v>13284</v>
      </c>
      <c r="D2912" s="9" t="s">
        <v>13284</v>
      </c>
      <c r="E2912" s="9" t="s">
        <v>13284</v>
      </c>
      <c r="F2912" s="9" t="s">
        <v>13284</v>
      </c>
      <c r="G2912" s="9" t="s">
        <v>13284</v>
      </c>
      <c r="H2912" s="9" t="s">
        <v>13284</v>
      </c>
      <c r="I2912" s="9" t="s">
        <v>13284</v>
      </c>
      <c r="J2912" s="9" t="s">
        <v>13284</v>
      </c>
      <c r="K2912" s="9" t="s">
        <v>13284</v>
      </c>
      <c r="L2912" s="9" t="s">
        <v>13284</v>
      </c>
      <c r="M2912" s="9" t="s">
        <v>13284</v>
      </c>
      <c r="N2912" s="9" t="s">
        <v>13284</v>
      </c>
      <c r="O2912" s="9" t="s">
        <v>13284</v>
      </c>
      <c r="P2912" s="9" t="s">
        <v>13284</v>
      </c>
      <c r="Q2912" s="9" t="s">
        <v>13284</v>
      </c>
      <c r="R2912" s="9" t="s">
        <v>13284</v>
      </c>
      <c r="S2912" s="9" t="s">
        <v>13284</v>
      </c>
      <c r="T2912" s="9" t="str">
        <f ca="1">IFERROR(IF(AND(VLOOKUP(A2912, 'Актуальное состояние (из общего'!A:C,3,0) = "", A2912 &lt;&gt; ""), "ПРОВЕРИТЬ", VLOOKUP(A2912, 'Актуальное состояние (из общего'!A:C,3,0)), "")</f>
        <v/>
      </c>
      <c r="U2912" s="9" t="s">
        <v>13284</v>
      </c>
      <c r="V2912" s="9" t="s">
        <v>13284</v>
      </c>
      <c r="W2912" s="12"/>
      <c r="X2912" s="9" t="str">
        <f t="array" ref="X2912">IFERROR(INDEX('Адреса общежитий (скрытый)'!$B$2:$B$9, MATCH(W2912, 'Адреса общежитий (скрытый)'!$A$2:$A$9, 0)), "")</f>
        <v/>
      </c>
      <c r="Y2912" s="18"/>
      <c r="Z2912" s="18"/>
      <c r="AA2912" s="18"/>
      <c r="AB2912" s="18"/>
      <c r="AC2912" s="18"/>
    </row>
    <row r="2913" spans="1:29" ht="32.25" hidden="1" customHeight="1">
      <c r="A2913" s="17"/>
      <c r="B2913" s="9" t="s">
        <v>13284</v>
      </c>
      <c r="C2913" s="9" t="s">
        <v>13284</v>
      </c>
      <c r="D2913" s="9" t="s">
        <v>13284</v>
      </c>
      <c r="E2913" s="9" t="s">
        <v>13284</v>
      </c>
      <c r="F2913" s="9" t="s">
        <v>13284</v>
      </c>
      <c r="G2913" s="9" t="s">
        <v>13284</v>
      </c>
      <c r="H2913" s="9" t="s">
        <v>13284</v>
      </c>
      <c r="I2913" s="9" t="s">
        <v>13284</v>
      </c>
      <c r="J2913" s="9" t="s">
        <v>13284</v>
      </c>
      <c r="K2913" s="9" t="s">
        <v>13284</v>
      </c>
      <c r="L2913" s="9" t="s">
        <v>13284</v>
      </c>
      <c r="M2913" s="9" t="s">
        <v>13284</v>
      </c>
      <c r="N2913" s="9" t="s">
        <v>13284</v>
      </c>
      <c r="O2913" s="9" t="s">
        <v>13284</v>
      </c>
      <c r="P2913" s="9" t="s">
        <v>13284</v>
      </c>
      <c r="Q2913" s="9" t="s">
        <v>13284</v>
      </c>
      <c r="R2913" s="9" t="s">
        <v>13284</v>
      </c>
      <c r="S2913" s="9" t="s">
        <v>13284</v>
      </c>
      <c r="T2913" s="9" t="str">
        <f ca="1">IFERROR(IF(AND(VLOOKUP(A2913, 'Актуальное состояние (из общего'!A:C,3,0) = "", A2913 &lt;&gt; ""), "ПРОВЕРИТЬ", VLOOKUP(A2913, 'Актуальное состояние (из общего'!A:C,3,0)), "")</f>
        <v/>
      </c>
      <c r="U2913" s="9" t="s">
        <v>13284</v>
      </c>
      <c r="V2913" s="9" t="s">
        <v>13284</v>
      </c>
      <c r="W2913" s="12"/>
      <c r="X2913" s="9" t="str">
        <f t="array" ref="X2913">IFERROR(INDEX('Адреса общежитий (скрытый)'!$B$2:$B$9, MATCH(W2913, 'Адреса общежитий (скрытый)'!$A$2:$A$9, 0)), "")</f>
        <v/>
      </c>
      <c r="Y2913" s="18"/>
      <c r="Z2913" s="18"/>
      <c r="AA2913" s="18"/>
      <c r="AB2913" s="18"/>
      <c r="AC2913" s="18"/>
    </row>
    <row r="2914" spans="1:29" ht="32.25" hidden="1" customHeight="1">
      <c r="A2914" s="17"/>
      <c r="B2914" s="9" t="s">
        <v>13284</v>
      </c>
      <c r="C2914" s="9" t="s">
        <v>13284</v>
      </c>
      <c r="D2914" s="9" t="s">
        <v>13284</v>
      </c>
      <c r="E2914" s="9" t="s">
        <v>13284</v>
      </c>
      <c r="F2914" s="9" t="s">
        <v>13284</v>
      </c>
      <c r="G2914" s="9" t="s">
        <v>13284</v>
      </c>
      <c r="H2914" s="9" t="s">
        <v>13284</v>
      </c>
      <c r="I2914" s="9" t="s">
        <v>13284</v>
      </c>
      <c r="J2914" s="9" t="s">
        <v>13284</v>
      </c>
      <c r="K2914" s="9" t="s">
        <v>13284</v>
      </c>
      <c r="L2914" s="9" t="s">
        <v>13284</v>
      </c>
      <c r="M2914" s="9" t="s">
        <v>13284</v>
      </c>
      <c r="N2914" s="9" t="s">
        <v>13284</v>
      </c>
      <c r="O2914" s="9" t="s">
        <v>13284</v>
      </c>
      <c r="P2914" s="9" t="s">
        <v>13284</v>
      </c>
      <c r="Q2914" s="9" t="s">
        <v>13284</v>
      </c>
      <c r="R2914" s="9" t="s">
        <v>13284</v>
      </c>
      <c r="S2914" s="9" t="s">
        <v>13284</v>
      </c>
      <c r="T2914" s="9" t="str">
        <f ca="1">IFERROR(IF(AND(VLOOKUP(A2914, 'Актуальное состояние (из общего'!A:C,3,0) = "", A2914 &lt;&gt; ""), "ПРОВЕРИТЬ", VLOOKUP(A2914, 'Актуальное состояние (из общего'!A:C,3,0)), "")</f>
        <v/>
      </c>
      <c r="U2914" s="9" t="s">
        <v>13284</v>
      </c>
      <c r="V2914" s="9" t="s">
        <v>13284</v>
      </c>
      <c r="W2914" s="12"/>
      <c r="X2914" s="9" t="str">
        <f t="array" ref="X2914">IFERROR(INDEX('Адреса общежитий (скрытый)'!$B$2:$B$9, MATCH(W2914, 'Адреса общежитий (скрытый)'!$A$2:$A$9, 0)), "")</f>
        <v/>
      </c>
      <c r="Y2914" s="18"/>
      <c r="Z2914" s="18"/>
      <c r="AA2914" s="18"/>
      <c r="AB2914" s="18"/>
      <c r="AC2914" s="18"/>
    </row>
    <row r="2915" spans="1:29" ht="32.25" hidden="1" customHeight="1">
      <c r="A2915" s="17"/>
      <c r="B2915" s="9" t="s">
        <v>13284</v>
      </c>
      <c r="C2915" s="9" t="s">
        <v>13284</v>
      </c>
      <c r="D2915" s="9" t="s">
        <v>13284</v>
      </c>
      <c r="E2915" s="9" t="s">
        <v>13284</v>
      </c>
      <c r="F2915" s="9" t="s">
        <v>13284</v>
      </c>
      <c r="G2915" s="9" t="s">
        <v>13284</v>
      </c>
      <c r="H2915" s="9" t="s">
        <v>13284</v>
      </c>
      <c r="I2915" s="9" t="s">
        <v>13284</v>
      </c>
      <c r="J2915" s="9" t="s">
        <v>13284</v>
      </c>
      <c r="K2915" s="9" t="s">
        <v>13284</v>
      </c>
      <c r="L2915" s="9" t="s">
        <v>13284</v>
      </c>
      <c r="M2915" s="9" t="s">
        <v>13284</v>
      </c>
      <c r="N2915" s="9" t="s">
        <v>13284</v>
      </c>
      <c r="O2915" s="9" t="s">
        <v>13284</v>
      </c>
      <c r="P2915" s="9" t="s">
        <v>13284</v>
      </c>
      <c r="Q2915" s="9" t="s">
        <v>13284</v>
      </c>
      <c r="R2915" s="9" t="s">
        <v>13284</v>
      </c>
      <c r="S2915" s="9" t="s">
        <v>13284</v>
      </c>
      <c r="T2915" s="9" t="str">
        <f ca="1">IFERROR(IF(AND(VLOOKUP(A2915, 'Актуальное состояние (из общего'!A:C,3,0) = "", A2915 &lt;&gt; ""), "ПРОВЕРИТЬ", VLOOKUP(A2915, 'Актуальное состояние (из общего'!A:C,3,0)), "")</f>
        <v/>
      </c>
      <c r="U2915" s="9" t="s">
        <v>13284</v>
      </c>
      <c r="V2915" s="9" t="s">
        <v>13284</v>
      </c>
      <c r="W2915" s="12"/>
      <c r="X2915" s="9" t="str">
        <f t="array" ref="X2915">IFERROR(INDEX('Адреса общежитий (скрытый)'!$B$2:$B$9, MATCH(W2915, 'Адреса общежитий (скрытый)'!$A$2:$A$9, 0)), "")</f>
        <v/>
      </c>
      <c r="Y2915" s="18"/>
      <c r="Z2915" s="18"/>
      <c r="AA2915" s="18"/>
      <c r="AB2915" s="18"/>
      <c r="AC2915" s="18"/>
    </row>
    <row r="2916" spans="1:29" ht="32.25" hidden="1" customHeight="1">
      <c r="A2916" s="17"/>
      <c r="B2916" s="9" t="s">
        <v>13284</v>
      </c>
      <c r="C2916" s="9" t="s">
        <v>13284</v>
      </c>
      <c r="D2916" s="9" t="s">
        <v>13284</v>
      </c>
      <c r="E2916" s="9" t="s">
        <v>13284</v>
      </c>
      <c r="F2916" s="9" t="s">
        <v>13284</v>
      </c>
      <c r="G2916" s="9" t="s">
        <v>13284</v>
      </c>
      <c r="H2916" s="9" t="s">
        <v>13284</v>
      </c>
      <c r="I2916" s="9" t="s">
        <v>13284</v>
      </c>
      <c r="J2916" s="9" t="s">
        <v>13284</v>
      </c>
      <c r="K2916" s="9" t="s">
        <v>13284</v>
      </c>
      <c r="L2916" s="9" t="s">
        <v>13284</v>
      </c>
      <c r="M2916" s="9" t="s">
        <v>13284</v>
      </c>
      <c r="N2916" s="9" t="s">
        <v>13284</v>
      </c>
      <c r="O2916" s="9" t="s">
        <v>13284</v>
      </c>
      <c r="P2916" s="9" t="s">
        <v>13284</v>
      </c>
      <c r="Q2916" s="9" t="s">
        <v>13284</v>
      </c>
      <c r="R2916" s="9" t="s">
        <v>13284</v>
      </c>
      <c r="S2916" s="9" t="s">
        <v>13284</v>
      </c>
      <c r="T2916" s="9" t="str">
        <f ca="1">IFERROR(IF(AND(VLOOKUP(A2916, 'Актуальное состояние (из общего'!A:C,3,0) = "", A2916 &lt;&gt; ""), "ПРОВЕРИТЬ", VLOOKUP(A2916, 'Актуальное состояние (из общего'!A:C,3,0)), "")</f>
        <v/>
      </c>
      <c r="U2916" s="9" t="s">
        <v>13284</v>
      </c>
      <c r="V2916" s="9" t="s">
        <v>13284</v>
      </c>
      <c r="W2916" s="12"/>
      <c r="X2916" s="9" t="str">
        <f t="array" ref="X2916">IFERROR(INDEX('Адреса общежитий (скрытый)'!$B$2:$B$9, MATCH(W2916, 'Адреса общежитий (скрытый)'!$A$2:$A$9, 0)), "")</f>
        <v/>
      </c>
      <c r="Y2916" s="18"/>
      <c r="Z2916" s="18"/>
      <c r="AA2916" s="18"/>
      <c r="AB2916" s="18"/>
      <c r="AC2916" s="18"/>
    </row>
    <row r="2917" spans="1:29" ht="32.25" hidden="1" customHeight="1">
      <c r="A2917" s="17"/>
      <c r="B2917" s="9" t="s">
        <v>13284</v>
      </c>
      <c r="C2917" s="9" t="s">
        <v>13284</v>
      </c>
      <c r="D2917" s="9" t="s">
        <v>13284</v>
      </c>
      <c r="E2917" s="9" t="s">
        <v>13284</v>
      </c>
      <c r="F2917" s="9" t="s">
        <v>13284</v>
      </c>
      <c r="G2917" s="9" t="s">
        <v>13284</v>
      </c>
      <c r="H2917" s="9" t="s">
        <v>13284</v>
      </c>
      <c r="I2917" s="9" t="s">
        <v>13284</v>
      </c>
      <c r="J2917" s="9" t="s">
        <v>13284</v>
      </c>
      <c r="K2917" s="9" t="s">
        <v>13284</v>
      </c>
      <c r="L2917" s="9" t="s">
        <v>13284</v>
      </c>
      <c r="M2917" s="9" t="s">
        <v>13284</v>
      </c>
      <c r="N2917" s="9" t="s">
        <v>13284</v>
      </c>
      <c r="O2917" s="9" t="s">
        <v>13284</v>
      </c>
      <c r="P2917" s="9" t="s">
        <v>13284</v>
      </c>
      <c r="Q2917" s="9" t="s">
        <v>13284</v>
      </c>
      <c r="R2917" s="9" t="s">
        <v>13284</v>
      </c>
      <c r="S2917" s="9" t="s">
        <v>13284</v>
      </c>
      <c r="T2917" s="9" t="str">
        <f ca="1">IFERROR(IF(AND(VLOOKUP(A2917, 'Актуальное состояние (из общего'!A:C,3,0) = "", A2917 &lt;&gt; ""), "ПРОВЕРИТЬ", VLOOKUP(A2917, 'Актуальное состояние (из общего'!A:C,3,0)), "")</f>
        <v/>
      </c>
      <c r="U2917" s="9" t="s">
        <v>13284</v>
      </c>
      <c r="V2917" s="9" t="s">
        <v>13284</v>
      </c>
      <c r="W2917" s="12"/>
      <c r="X2917" s="9" t="str">
        <f t="array" ref="X2917">IFERROR(INDEX('Адреса общежитий (скрытый)'!$B$2:$B$9, MATCH(W2917, 'Адреса общежитий (скрытый)'!$A$2:$A$9, 0)), "")</f>
        <v/>
      </c>
      <c r="Y2917" s="18"/>
      <c r="Z2917" s="18"/>
      <c r="AA2917" s="18"/>
      <c r="AB2917" s="18"/>
      <c r="AC2917" s="18"/>
    </row>
    <row r="2918" spans="1:29" ht="32.25" hidden="1" customHeight="1">
      <c r="A2918" s="17"/>
      <c r="B2918" s="9" t="s">
        <v>13284</v>
      </c>
      <c r="C2918" s="9" t="s">
        <v>13284</v>
      </c>
      <c r="D2918" s="9" t="s">
        <v>13284</v>
      </c>
      <c r="E2918" s="9" t="s">
        <v>13284</v>
      </c>
      <c r="F2918" s="9" t="s">
        <v>13284</v>
      </c>
      <c r="G2918" s="9" t="s">
        <v>13284</v>
      </c>
      <c r="H2918" s="9" t="s">
        <v>13284</v>
      </c>
      <c r="I2918" s="9" t="s">
        <v>13284</v>
      </c>
      <c r="J2918" s="9" t="s">
        <v>13284</v>
      </c>
      <c r="K2918" s="9" t="s">
        <v>13284</v>
      </c>
      <c r="L2918" s="9" t="s">
        <v>13284</v>
      </c>
      <c r="M2918" s="9" t="s">
        <v>13284</v>
      </c>
      <c r="N2918" s="9" t="s">
        <v>13284</v>
      </c>
      <c r="O2918" s="9" t="s">
        <v>13284</v>
      </c>
      <c r="P2918" s="9" t="s">
        <v>13284</v>
      </c>
      <c r="Q2918" s="9" t="s">
        <v>13284</v>
      </c>
      <c r="R2918" s="9" t="s">
        <v>13284</v>
      </c>
      <c r="S2918" s="9" t="s">
        <v>13284</v>
      </c>
      <c r="T2918" s="9" t="str">
        <f ca="1">IFERROR(IF(AND(VLOOKUP(A2918, 'Актуальное состояние (из общего'!A:C,3,0) = "", A2918 &lt;&gt; ""), "ПРОВЕРИТЬ", VLOOKUP(A2918, 'Актуальное состояние (из общего'!A:C,3,0)), "")</f>
        <v/>
      </c>
      <c r="U2918" s="9" t="s">
        <v>13284</v>
      </c>
      <c r="V2918" s="9" t="s">
        <v>13284</v>
      </c>
      <c r="W2918" s="12"/>
      <c r="X2918" s="9" t="str">
        <f t="array" ref="X2918">IFERROR(INDEX('Адреса общежитий (скрытый)'!$B$2:$B$9, MATCH(W2918, 'Адреса общежитий (скрытый)'!$A$2:$A$9, 0)), "")</f>
        <v/>
      </c>
      <c r="Y2918" s="18"/>
      <c r="Z2918" s="18"/>
      <c r="AA2918" s="18"/>
      <c r="AB2918" s="18"/>
      <c r="AC2918" s="18"/>
    </row>
    <row r="2919" spans="1:29" ht="32.25" hidden="1" customHeight="1">
      <c r="A2919" s="17"/>
      <c r="B2919" s="9" t="s">
        <v>13284</v>
      </c>
      <c r="C2919" s="9" t="s">
        <v>13284</v>
      </c>
      <c r="D2919" s="9" t="s">
        <v>13284</v>
      </c>
      <c r="E2919" s="9" t="s">
        <v>13284</v>
      </c>
      <c r="F2919" s="9" t="s">
        <v>13284</v>
      </c>
      <c r="G2919" s="9" t="s">
        <v>13284</v>
      </c>
      <c r="H2919" s="9" t="s">
        <v>13284</v>
      </c>
      <c r="I2919" s="9" t="s">
        <v>13284</v>
      </c>
      <c r="J2919" s="9" t="s">
        <v>13284</v>
      </c>
      <c r="K2919" s="9" t="s">
        <v>13284</v>
      </c>
      <c r="L2919" s="9" t="s">
        <v>13284</v>
      </c>
      <c r="M2919" s="9" t="s">
        <v>13284</v>
      </c>
      <c r="N2919" s="9" t="s">
        <v>13284</v>
      </c>
      <c r="O2919" s="9" t="s">
        <v>13284</v>
      </c>
      <c r="P2919" s="9" t="s">
        <v>13284</v>
      </c>
      <c r="Q2919" s="9" t="s">
        <v>13284</v>
      </c>
      <c r="R2919" s="9" t="s">
        <v>13284</v>
      </c>
      <c r="S2919" s="9" t="s">
        <v>13284</v>
      </c>
      <c r="T2919" s="9" t="str">
        <f ca="1">IFERROR(IF(AND(VLOOKUP(A2919, 'Актуальное состояние (из общего'!A:C,3,0) = "", A2919 &lt;&gt; ""), "ПРОВЕРИТЬ", VLOOKUP(A2919, 'Актуальное состояние (из общего'!A:C,3,0)), "")</f>
        <v/>
      </c>
      <c r="U2919" s="9" t="s">
        <v>13284</v>
      </c>
      <c r="V2919" s="9" t="s">
        <v>13284</v>
      </c>
      <c r="W2919" s="12"/>
      <c r="X2919" s="9" t="str">
        <f t="array" ref="X2919">IFERROR(INDEX('Адреса общежитий (скрытый)'!$B$2:$B$9, MATCH(W2919, 'Адреса общежитий (скрытый)'!$A$2:$A$9, 0)), "")</f>
        <v/>
      </c>
      <c r="Y2919" s="18"/>
      <c r="Z2919" s="18"/>
      <c r="AA2919" s="18"/>
      <c r="AB2919" s="18"/>
      <c r="AC2919" s="18"/>
    </row>
    <row r="2920" spans="1:29" ht="32.25" hidden="1" customHeight="1">
      <c r="A2920" s="17"/>
      <c r="B2920" s="9" t="s">
        <v>13284</v>
      </c>
      <c r="C2920" s="9" t="s">
        <v>13284</v>
      </c>
      <c r="D2920" s="9" t="s">
        <v>13284</v>
      </c>
      <c r="E2920" s="9" t="s">
        <v>13284</v>
      </c>
      <c r="F2920" s="9" t="s">
        <v>13284</v>
      </c>
      <c r="G2920" s="9" t="s">
        <v>13284</v>
      </c>
      <c r="H2920" s="9" t="s">
        <v>13284</v>
      </c>
      <c r="I2920" s="9" t="s">
        <v>13284</v>
      </c>
      <c r="J2920" s="9" t="s">
        <v>13284</v>
      </c>
      <c r="K2920" s="9" t="s">
        <v>13284</v>
      </c>
      <c r="L2920" s="9" t="s">
        <v>13284</v>
      </c>
      <c r="M2920" s="9" t="s">
        <v>13284</v>
      </c>
      <c r="N2920" s="9" t="s">
        <v>13284</v>
      </c>
      <c r="O2920" s="9" t="s">
        <v>13284</v>
      </c>
      <c r="P2920" s="9" t="s">
        <v>13284</v>
      </c>
      <c r="Q2920" s="9" t="s">
        <v>13284</v>
      </c>
      <c r="R2920" s="9" t="s">
        <v>13284</v>
      </c>
      <c r="S2920" s="9" t="s">
        <v>13284</v>
      </c>
      <c r="T2920" s="9" t="str">
        <f ca="1">IFERROR(IF(AND(VLOOKUP(A2920, 'Актуальное состояние (из общего'!A:C,3,0) = "", A2920 &lt;&gt; ""), "ПРОВЕРИТЬ", VLOOKUP(A2920, 'Актуальное состояние (из общего'!A:C,3,0)), "")</f>
        <v/>
      </c>
      <c r="U2920" s="9" t="s">
        <v>13284</v>
      </c>
      <c r="V2920" s="9" t="s">
        <v>13284</v>
      </c>
      <c r="W2920" s="12"/>
      <c r="X2920" s="9" t="str">
        <f t="array" ref="X2920">IFERROR(INDEX('Адреса общежитий (скрытый)'!$B$2:$B$9, MATCH(W2920, 'Адреса общежитий (скрытый)'!$A$2:$A$9, 0)), "")</f>
        <v/>
      </c>
      <c r="Y2920" s="18"/>
      <c r="Z2920" s="18"/>
      <c r="AA2920" s="18"/>
      <c r="AB2920" s="18"/>
      <c r="AC2920" s="18"/>
    </row>
    <row r="2921" spans="1:29" ht="32.25" hidden="1" customHeight="1">
      <c r="A2921" s="17"/>
      <c r="B2921" s="9" t="s">
        <v>13284</v>
      </c>
      <c r="C2921" s="9" t="s">
        <v>13284</v>
      </c>
      <c r="D2921" s="9" t="s">
        <v>13284</v>
      </c>
      <c r="E2921" s="9" t="s">
        <v>13284</v>
      </c>
      <c r="F2921" s="9" t="s">
        <v>13284</v>
      </c>
      <c r="G2921" s="9" t="s">
        <v>13284</v>
      </c>
      <c r="H2921" s="9" t="s">
        <v>13284</v>
      </c>
      <c r="I2921" s="9" t="s">
        <v>13284</v>
      </c>
      <c r="J2921" s="9" t="s">
        <v>13284</v>
      </c>
      <c r="K2921" s="9" t="s">
        <v>13284</v>
      </c>
      <c r="L2921" s="9" t="s">
        <v>13284</v>
      </c>
      <c r="M2921" s="9" t="s">
        <v>13284</v>
      </c>
      <c r="N2921" s="9" t="s">
        <v>13284</v>
      </c>
      <c r="O2921" s="9" t="s">
        <v>13284</v>
      </c>
      <c r="P2921" s="9" t="s">
        <v>13284</v>
      </c>
      <c r="Q2921" s="9" t="s">
        <v>13284</v>
      </c>
      <c r="R2921" s="9" t="s">
        <v>13284</v>
      </c>
      <c r="S2921" s="9" t="s">
        <v>13284</v>
      </c>
      <c r="T2921" s="9" t="str">
        <f ca="1">IFERROR(IF(AND(VLOOKUP(A2921, 'Актуальное состояние (из общего'!A:C,3,0) = "", A2921 &lt;&gt; ""), "ПРОВЕРИТЬ", VLOOKUP(A2921, 'Актуальное состояние (из общего'!A:C,3,0)), "")</f>
        <v/>
      </c>
      <c r="U2921" s="9" t="s">
        <v>13284</v>
      </c>
      <c r="V2921" s="9" t="s">
        <v>13284</v>
      </c>
      <c r="W2921" s="12"/>
      <c r="X2921" s="9" t="str">
        <f t="array" ref="X2921">IFERROR(INDEX('Адреса общежитий (скрытый)'!$B$2:$B$9, MATCH(W2921, 'Адреса общежитий (скрытый)'!$A$2:$A$9, 0)), "")</f>
        <v/>
      </c>
      <c r="Y2921" s="18"/>
      <c r="Z2921" s="18"/>
      <c r="AA2921" s="18"/>
      <c r="AB2921" s="18"/>
      <c r="AC2921" s="18"/>
    </row>
    <row r="2922" spans="1:29" ht="32.25" hidden="1" customHeight="1">
      <c r="A2922" s="17"/>
      <c r="B2922" s="9" t="s">
        <v>13284</v>
      </c>
      <c r="C2922" s="9" t="s">
        <v>13284</v>
      </c>
      <c r="D2922" s="9" t="s">
        <v>13284</v>
      </c>
      <c r="E2922" s="9" t="s">
        <v>13284</v>
      </c>
      <c r="F2922" s="9" t="s">
        <v>13284</v>
      </c>
      <c r="G2922" s="9" t="s">
        <v>13284</v>
      </c>
      <c r="H2922" s="9" t="s">
        <v>13284</v>
      </c>
      <c r="I2922" s="9" t="s">
        <v>13284</v>
      </c>
      <c r="J2922" s="9" t="s">
        <v>13284</v>
      </c>
      <c r="K2922" s="9" t="s">
        <v>13284</v>
      </c>
      <c r="L2922" s="9" t="s">
        <v>13284</v>
      </c>
      <c r="M2922" s="9" t="s">
        <v>13284</v>
      </c>
      <c r="N2922" s="9" t="s">
        <v>13284</v>
      </c>
      <c r="O2922" s="9" t="s">
        <v>13284</v>
      </c>
      <c r="P2922" s="9" t="s">
        <v>13284</v>
      </c>
      <c r="Q2922" s="9" t="s">
        <v>13284</v>
      </c>
      <c r="R2922" s="9" t="s">
        <v>13284</v>
      </c>
      <c r="S2922" s="9" t="s">
        <v>13284</v>
      </c>
      <c r="T2922" s="9" t="str">
        <f ca="1">IFERROR(IF(AND(VLOOKUP(A2922, 'Актуальное состояние (из общего'!A:C,3,0) = "", A2922 &lt;&gt; ""), "ПРОВЕРИТЬ", VLOOKUP(A2922, 'Актуальное состояние (из общего'!A:C,3,0)), "")</f>
        <v/>
      </c>
      <c r="U2922" s="9" t="s">
        <v>13284</v>
      </c>
      <c r="V2922" s="9" t="s">
        <v>13284</v>
      </c>
      <c r="W2922" s="12"/>
      <c r="X2922" s="9" t="str">
        <f t="array" ref="X2922">IFERROR(INDEX('Адреса общежитий (скрытый)'!$B$2:$B$9, MATCH(W2922, 'Адреса общежитий (скрытый)'!$A$2:$A$9, 0)), "")</f>
        <v/>
      </c>
      <c r="Y2922" s="18"/>
      <c r="Z2922" s="18"/>
      <c r="AA2922" s="18"/>
      <c r="AB2922" s="18"/>
      <c r="AC2922" s="18"/>
    </row>
    <row r="2923" spans="1:29" ht="32.25" hidden="1" customHeight="1">
      <c r="A2923" s="17"/>
      <c r="B2923" s="9" t="s">
        <v>13284</v>
      </c>
      <c r="C2923" s="9" t="s">
        <v>13284</v>
      </c>
      <c r="D2923" s="9" t="s">
        <v>13284</v>
      </c>
      <c r="E2923" s="9" t="s">
        <v>13284</v>
      </c>
      <c r="F2923" s="9" t="s">
        <v>13284</v>
      </c>
      <c r="G2923" s="9" t="s">
        <v>13284</v>
      </c>
      <c r="H2923" s="9" t="s">
        <v>13284</v>
      </c>
      <c r="I2923" s="9" t="s">
        <v>13284</v>
      </c>
      <c r="J2923" s="9" t="s">
        <v>13284</v>
      </c>
      <c r="K2923" s="9" t="s">
        <v>13284</v>
      </c>
      <c r="L2923" s="9" t="s">
        <v>13284</v>
      </c>
      <c r="M2923" s="9" t="s">
        <v>13284</v>
      </c>
      <c r="N2923" s="9" t="s">
        <v>13284</v>
      </c>
      <c r="O2923" s="9" t="s">
        <v>13284</v>
      </c>
      <c r="P2923" s="9" t="s">
        <v>13284</v>
      </c>
      <c r="Q2923" s="9" t="s">
        <v>13284</v>
      </c>
      <c r="R2923" s="9" t="s">
        <v>13284</v>
      </c>
      <c r="S2923" s="9" t="s">
        <v>13284</v>
      </c>
      <c r="T2923" s="9" t="str">
        <f ca="1">IFERROR(IF(AND(VLOOKUP(A2923, 'Актуальное состояние (из общего'!A:C,3,0) = "", A2923 &lt;&gt; ""), "ПРОВЕРИТЬ", VLOOKUP(A2923, 'Актуальное состояние (из общего'!A:C,3,0)), "")</f>
        <v/>
      </c>
      <c r="U2923" s="9" t="s">
        <v>13284</v>
      </c>
      <c r="V2923" s="9" t="s">
        <v>13284</v>
      </c>
      <c r="W2923" s="12"/>
      <c r="X2923" s="9" t="str">
        <f t="array" ref="X2923">IFERROR(INDEX('Адреса общежитий (скрытый)'!$B$2:$B$9, MATCH(W2923, 'Адреса общежитий (скрытый)'!$A$2:$A$9, 0)), "")</f>
        <v/>
      </c>
      <c r="Y2923" s="18"/>
      <c r="Z2923" s="18"/>
      <c r="AA2923" s="18"/>
      <c r="AB2923" s="18"/>
      <c r="AC2923" s="18"/>
    </row>
    <row r="2924" spans="1:29" ht="32.25" hidden="1" customHeight="1">
      <c r="A2924" s="17"/>
      <c r="B2924" s="9" t="s">
        <v>13284</v>
      </c>
      <c r="C2924" s="9" t="s">
        <v>13284</v>
      </c>
      <c r="D2924" s="9" t="s">
        <v>13284</v>
      </c>
      <c r="E2924" s="9" t="s">
        <v>13284</v>
      </c>
      <c r="F2924" s="9" t="s">
        <v>13284</v>
      </c>
      <c r="G2924" s="9" t="s">
        <v>13284</v>
      </c>
      <c r="H2924" s="9" t="s">
        <v>13284</v>
      </c>
      <c r="I2924" s="9" t="s">
        <v>13284</v>
      </c>
      <c r="J2924" s="9" t="s">
        <v>13284</v>
      </c>
      <c r="K2924" s="9" t="s">
        <v>13284</v>
      </c>
      <c r="L2924" s="9" t="s">
        <v>13284</v>
      </c>
      <c r="M2924" s="9" t="s">
        <v>13284</v>
      </c>
      <c r="N2924" s="9" t="s">
        <v>13284</v>
      </c>
      <c r="O2924" s="9" t="s">
        <v>13284</v>
      </c>
      <c r="P2924" s="9" t="s">
        <v>13284</v>
      </c>
      <c r="Q2924" s="9" t="s">
        <v>13284</v>
      </c>
      <c r="R2924" s="9" t="s">
        <v>13284</v>
      </c>
      <c r="S2924" s="9" t="s">
        <v>13284</v>
      </c>
      <c r="T2924" s="9" t="str">
        <f ca="1">IFERROR(IF(AND(VLOOKUP(A2924, 'Актуальное состояние (из общего'!A:C,3,0) = "", A2924 &lt;&gt; ""), "ПРОВЕРИТЬ", VLOOKUP(A2924, 'Актуальное состояние (из общего'!A:C,3,0)), "")</f>
        <v/>
      </c>
      <c r="U2924" s="9" t="s">
        <v>13284</v>
      </c>
      <c r="V2924" s="9" t="s">
        <v>13284</v>
      </c>
      <c r="W2924" s="12"/>
      <c r="X2924" s="9" t="str">
        <f t="array" ref="X2924">IFERROR(INDEX('Адреса общежитий (скрытый)'!$B$2:$B$9, MATCH(W2924, 'Адреса общежитий (скрытый)'!$A$2:$A$9, 0)), "")</f>
        <v/>
      </c>
      <c r="Y2924" s="18"/>
      <c r="Z2924" s="18"/>
      <c r="AA2924" s="18"/>
      <c r="AB2924" s="18"/>
      <c r="AC2924" s="18"/>
    </row>
    <row r="2925" spans="1:29" ht="32.25" hidden="1" customHeight="1">
      <c r="A2925" s="17"/>
      <c r="B2925" s="9" t="s">
        <v>13284</v>
      </c>
      <c r="C2925" s="9" t="s">
        <v>13284</v>
      </c>
      <c r="D2925" s="9" t="s">
        <v>13284</v>
      </c>
      <c r="E2925" s="9" t="s">
        <v>13284</v>
      </c>
      <c r="F2925" s="9" t="s">
        <v>13284</v>
      </c>
      <c r="G2925" s="9" t="s">
        <v>13284</v>
      </c>
      <c r="H2925" s="9" t="s">
        <v>13284</v>
      </c>
      <c r="I2925" s="9" t="s">
        <v>13284</v>
      </c>
      <c r="J2925" s="9" t="s">
        <v>13284</v>
      </c>
      <c r="K2925" s="9" t="s">
        <v>13284</v>
      </c>
      <c r="L2925" s="9" t="s">
        <v>13284</v>
      </c>
      <c r="M2925" s="9" t="s">
        <v>13284</v>
      </c>
      <c r="N2925" s="9" t="s">
        <v>13284</v>
      </c>
      <c r="O2925" s="9" t="s">
        <v>13284</v>
      </c>
      <c r="P2925" s="9" t="s">
        <v>13284</v>
      </c>
      <c r="Q2925" s="9" t="s">
        <v>13284</v>
      </c>
      <c r="R2925" s="9" t="s">
        <v>13284</v>
      </c>
      <c r="S2925" s="9" t="s">
        <v>13284</v>
      </c>
      <c r="T2925" s="9" t="str">
        <f ca="1">IFERROR(IF(AND(VLOOKUP(A2925, 'Актуальное состояние (из общего'!A:C,3,0) = "", A2925 &lt;&gt; ""), "ПРОВЕРИТЬ", VLOOKUP(A2925, 'Актуальное состояние (из общего'!A:C,3,0)), "")</f>
        <v/>
      </c>
      <c r="U2925" s="9" t="s">
        <v>13284</v>
      </c>
      <c r="V2925" s="9" t="s">
        <v>13284</v>
      </c>
      <c r="W2925" s="12"/>
      <c r="X2925" s="9" t="str">
        <f t="array" ref="X2925">IFERROR(INDEX('Адреса общежитий (скрытый)'!$B$2:$B$9, MATCH(W2925, 'Адреса общежитий (скрытый)'!$A$2:$A$9, 0)), "")</f>
        <v/>
      </c>
      <c r="Y2925" s="18"/>
      <c r="Z2925" s="18"/>
      <c r="AA2925" s="18"/>
      <c r="AB2925" s="18"/>
      <c r="AC2925" s="18"/>
    </row>
    <row r="2926" spans="1:29" ht="32.25" hidden="1" customHeight="1">
      <c r="A2926" s="17"/>
      <c r="B2926" s="9" t="s">
        <v>13284</v>
      </c>
      <c r="C2926" s="9" t="s">
        <v>13284</v>
      </c>
      <c r="D2926" s="9" t="s">
        <v>13284</v>
      </c>
      <c r="E2926" s="9" t="s">
        <v>13284</v>
      </c>
      <c r="F2926" s="9" t="s">
        <v>13284</v>
      </c>
      <c r="G2926" s="9" t="s">
        <v>13284</v>
      </c>
      <c r="H2926" s="9" t="s">
        <v>13284</v>
      </c>
      <c r="I2926" s="9" t="s">
        <v>13284</v>
      </c>
      <c r="J2926" s="9" t="s">
        <v>13284</v>
      </c>
      <c r="K2926" s="9" t="s">
        <v>13284</v>
      </c>
      <c r="L2926" s="9" t="s">
        <v>13284</v>
      </c>
      <c r="M2926" s="9" t="s">
        <v>13284</v>
      </c>
      <c r="N2926" s="9" t="s">
        <v>13284</v>
      </c>
      <c r="O2926" s="9" t="s">
        <v>13284</v>
      </c>
      <c r="P2926" s="9" t="s">
        <v>13284</v>
      </c>
      <c r="Q2926" s="9" t="s">
        <v>13284</v>
      </c>
      <c r="R2926" s="9" t="s">
        <v>13284</v>
      </c>
      <c r="S2926" s="9" t="s">
        <v>13284</v>
      </c>
      <c r="T2926" s="9" t="str">
        <f ca="1">IFERROR(IF(AND(VLOOKUP(A2926, 'Актуальное состояние (из общего'!A:C,3,0) = "", A2926 &lt;&gt; ""), "ПРОВЕРИТЬ", VLOOKUP(A2926, 'Актуальное состояние (из общего'!A:C,3,0)), "")</f>
        <v/>
      </c>
      <c r="U2926" s="9" t="s">
        <v>13284</v>
      </c>
      <c r="V2926" s="9" t="s">
        <v>13284</v>
      </c>
      <c r="W2926" s="12"/>
      <c r="X2926" s="9" t="str">
        <f t="array" ref="X2926">IFERROR(INDEX('Адреса общежитий (скрытый)'!$B$2:$B$9, MATCH(W2926, 'Адреса общежитий (скрытый)'!$A$2:$A$9, 0)), "")</f>
        <v/>
      </c>
      <c r="Y2926" s="18"/>
      <c r="Z2926" s="18"/>
      <c r="AA2926" s="18"/>
      <c r="AB2926" s="18"/>
      <c r="AC2926" s="18"/>
    </row>
    <row r="2927" spans="1:29" ht="32.25" hidden="1" customHeight="1">
      <c r="A2927" s="17"/>
      <c r="B2927" s="9" t="s">
        <v>13284</v>
      </c>
      <c r="C2927" s="9" t="s">
        <v>13284</v>
      </c>
      <c r="D2927" s="9" t="s">
        <v>13284</v>
      </c>
      <c r="E2927" s="9" t="s">
        <v>13284</v>
      </c>
      <c r="F2927" s="9" t="s">
        <v>13284</v>
      </c>
      <c r="G2927" s="9" t="s">
        <v>13284</v>
      </c>
      <c r="H2927" s="9" t="s">
        <v>13284</v>
      </c>
      <c r="I2927" s="9" t="s">
        <v>13284</v>
      </c>
      <c r="J2927" s="9" t="s">
        <v>13284</v>
      </c>
      <c r="K2927" s="9" t="s">
        <v>13284</v>
      </c>
      <c r="L2927" s="9" t="s">
        <v>13284</v>
      </c>
      <c r="M2927" s="9" t="s">
        <v>13284</v>
      </c>
      <c r="N2927" s="9" t="s">
        <v>13284</v>
      </c>
      <c r="O2927" s="9" t="s">
        <v>13284</v>
      </c>
      <c r="P2927" s="9" t="s">
        <v>13284</v>
      </c>
      <c r="Q2927" s="9" t="s">
        <v>13284</v>
      </c>
      <c r="R2927" s="9" t="s">
        <v>13284</v>
      </c>
      <c r="S2927" s="9" t="s">
        <v>13284</v>
      </c>
      <c r="T2927" s="9" t="str">
        <f ca="1">IFERROR(IF(AND(VLOOKUP(A2927, 'Актуальное состояние (из общего'!A:C,3,0) = "", A2927 &lt;&gt; ""), "ПРОВЕРИТЬ", VLOOKUP(A2927, 'Актуальное состояние (из общего'!A:C,3,0)), "")</f>
        <v/>
      </c>
      <c r="U2927" s="9" t="s">
        <v>13284</v>
      </c>
      <c r="V2927" s="9" t="s">
        <v>13284</v>
      </c>
      <c r="W2927" s="12"/>
      <c r="X2927" s="9" t="str">
        <f t="array" ref="X2927">IFERROR(INDEX('Адреса общежитий (скрытый)'!$B$2:$B$9, MATCH(W2927, 'Адреса общежитий (скрытый)'!$A$2:$A$9, 0)), "")</f>
        <v/>
      </c>
      <c r="Y2927" s="18"/>
      <c r="Z2927" s="18"/>
      <c r="AA2927" s="18"/>
      <c r="AB2927" s="18"/>
      <c r="AC2927" s="18"/>
    </row>
    <row r="2928" spans="1:29" ht="32.25" hidden="1" customHeight="1">
      <c r="A2928" s="17"/>
      <c r="B2928" s="9" t="s">
        <v>13284</v>
      </c>
      <c r="C2928" s="9" t="s">
        <v>13284</v>
      </c>
      <c r="D2928" s="9" t="s">
        <v>13284</v>
      </c>
      <c r="E2928" s="9" t="s">
        <v>13284</v>
      </c>
      <c r="F2928" s="9" t="s">
        <v>13284</v>
      </c>
      <c r="G2928" s="9" t="s">
        <v>13284</v>
      </c>
      <c r="H2928" s="9" t="s">
        <v>13284</v>
      </c>
      <c r="I2928" s="9" t="s">
        <v>13284</v>
      </c>
      <c r="J2928" s="9" t="s">
        <v>13284</v>
      </c>
      <c r="K2928" s="9" t="s">
        <v>13284</v>
      </c>
      <c r="L2928" s="9" t="s">
        <v>13284</v>
      </c>
      <c r="M2928" s="9" t="s">
        <v>13284</v>
      </c>
      <c r="N2928" s="9" t="s">
        <v>13284</v>
      </c>
      <c r="O2928" s="9" t="s">
        <v>13284</v>
      </c>
      <c r="P2928" s="9" t="s">
        <v>13284</v>
      </c>
      <c r="Q2928" s="9" t="s">
        <v>13284</v>
      </c>
      <c r="R2928" s="9" t="s">
        <v>13284</v>
      </c>
      <c r="S2928" s="9" t="s">
        <v>13284</v>
      </c>
      <c r="T2928" s="9" t="str">
        <f ca="1">IFERROR(IF(AND(VLOOKUP(A2928, 'Актуальное состояние (из общего'!A:C,3,0) = "", A2928 &lt;&gt; ""), "ПРОВЕРИТЬ", VLOOKUP(A2928, 'Актуальное состояние (из общего'!A:C,3,0)), "")</f>
        <v/>
      </c>
      <c r="U2928" s="9" t="s">
        <v>13284</v>
      </c>
      <c r="V2928" s="9" t="s">
        <v>13284</v>
      </c>
      <c r="W2928" s="12"/>
      <c r="X2928" s="9" t="str">
        <f t="array" ref="X2928">IFERROR(INDEX('Адреса общежитий (скрытый)'!$B$2:$B$9, MATCH(W2928, 'Адреса общежитий (скрытый)'!$A$2:$A$9, 0)), "")</f>
        <v/>
      </c>
      <c r="Y2928" s="18"/>
      <c r="Z2928" s="18"/>
      <c r="AA2928" s="18"/>
      <c r="AB2928" s="18"/>
      <c r="AC2928" s="18"/>
    </row>
    <row r="2929" spans="1:29" ht="32.25" hidden="1" customHeight="1">
      <c r="A2929" s="17"/>
      <c r="B2929" s="9" t="s">
        <v>13284</v>
      </c>
      <c r="C2929" s="9" t="s">
        <v>13284</v>
      </c>
      <c r="D2929" s="9" t="s">
        <v>13284</v>
      </c>
      <c r="E2929" s="9" t="s">
        <v>13284</v>
      </c>
      <c r="F2929" s="9" t="s">
        <v>13284</v>
      </c>
      <c r="G2929" s="9" t="s">
        <v>13284</v>
      </c>
      <c r="H2929" s="9" t="s">
        <v>13284</v>
      </c>
      <c r="I2929" s="9" t="s">
        <v>13284</v>
      </c>
      <c r="J2929" s="9" t="s">
        <v>13284</v>
      </c>
      <c r="K2929" s="9" t="s">
        <v>13284</v>
      </c>
      <c r="L2929" s="9" t="s">
        <v>13284</v>
      </c>
      <c r="M2929" s="9" t="s">
        <v>13284</v>
      </c>
      <c r="N2929" s="9" t="s">
        <v>13284</v>
      </c>
      <c r="O2929" s="9" t="s">
        <v>13284</v>
      </c>
      <c r="P2929" s="9" t="s">
        <v>13284</v>
      </c>
      <c r="Q2929" s="9" t="s">
        <v>13284</v>
      </c>
      <c r="R2929" s="9" t="s">
        <v>13284</v>
      </c>
      <c r="S2929" s="9" t="s">
        <v>13284</v>
      </c>
      <c r="T2929" s="9" t="str">
        <f ca="1">IFERROR(IF(AND(VLOOKUP(A2929, 'Актуальное состояние (из общего'!A:C,3,0) = "", A2929 &lt;&gt; ""), "ПРОВЕРИТЬ", VLOOKUP(A2929, 'Актуальное состояние (из общего'!A:C,3,0)), "")</f>
        <v/>
      </c>
      <c r="U2929" s="9" t="s">
        <v>13284</v>
      </c>
      <c r="V2929" s="9" t="s">
        <v>13284</v>
      </c>
      <c r="W2929" s="12"/>
      <c r="X2929" s="9" t="str">
        <f t="array" ref="X2929">IFERROR(INDEX('Адреса общежитий (скрытый)'!$B$2:$B$9, MATCH(W2929, 'Адреса общежитий (скрытый)'!$A$2:$A$9, 0)), "")</f>
        <v/>
      </c>
      <c r="Y2929" s="18"/>
      <c r="Z2929" s="18"/>
      <c r="AA2929" s="18"/>
      <c r="AB2929" s="18"/>
      <c r="AC2929" s="18"/>
    </row>
    <row r="2930" spans="1:29" ht="32.25" hidden="1" customHeight="1">
      <c r="A2930" s="17"/>
      <c r="B2930" s="9" t="s">
        <v>13284</v>
      </c>
      <c r="C2930" s="9" t="s">
        <v>13284</v>
      </c>
      <c r="D2930" s="9" t="s">
        <v>13284</v>
      </c>
      <c r="E2930" s="9" t="s">
        <v>13284</v>
      </c>
      <c r="F2930" s="9" t="s">
        <v>13284</v>
      </c>
      <c r="G2930" s="9" t="s">
        <v>13284</v>
      </c>
      <c r="H2930" s="9" t="s">
        <v>13284</v>
      </c>
      <c r="I2930" s="9" t="s">
        <v>13284</v>
      </c>
      <c r="J2930" s="9" t="s">
        <v>13284</v>
      </c>
      <c r="K2930" s="9" t="s">
        <v>13284</v>
      </c>
      <c r="L2930" s="9" t="s">
        <v>13284</v>
      </c>
      <c r="M2930" s="9" t="s">
        <v>13284</v>
      </c>
      <c r="N2930" s="9" t="s">
        <v>13284</v>
      </c>
      <c r="O2930" s="9" t="s">
        <v>13284</v>
      </c>
      <c r="P2930" s="9" t="s">
        <v>13284</v>
      </c>
      <c r="Q2930" s="9" t="s">
        <v>13284</v>
      </c>
      <c r="R2930" s="9" t="s">
        <v>13284</v>
      </c>
      <c r="S2930" s="9" t="s">
        <v>13284</v>
      </c>
      <c r="T2930" s="9" t="str">
        <f ca="1">IFERROR(IF(AND(VLOOKUP(A2930, 'Актуальное состояние (из общего'!A:C,3,0) = "", A2930 &lt;&gt; ""), "ПРОВЕРИТЬ", VLOOKUP(A2930, 'Актуальное состояние (из общего'!A:C,3,0)), "")</f>
        <v/>
      </c>
      <c r="U2930" s="9" t="s">
        <v>13284</v>
      </c>
      <c r="V2930" s="9" t="s">
        <v>13284</v>
      </c>
      <c r="W2930" s="12"/>
      <c r="X2930" s="9" t="str">
        <f t="array" ref="X2930">IFERROR(INDEX('Адреса общежитий (скрытый)'!$B$2:$B$9, MATCH(W2930, 'Адреса общежитий (скрытый)'!$A$2:$A$9, 0)), "")</f>
        <v/>
      </c>
      <c r="Y2930" s="18"/>
      <c r="Z2930" s="18"/>
      <c r="AA2930" s="18"/>
      <c r="AB2930" s="18"/>
      <c r="AC2930" s="18"/>
    </row>
    <row r="2931" spans="1:29" ht="32.25" hidden="1" customHeight="1">
      <c r="A2931" s="17"/>
      <c r="B2931" s="9" t="s">
        <v>13284</v>
      </c>
      <c r="C2931" s="9" t="s">
        <v>13284</v>
      </c>
      <c r="D2931" s="9" t="s">
        <v>13284</v>
      </c>
      <c r="E2931" s="9" t="s">
        <v>13284</v>
      </c>
      <c r="F2931" s="9" t="s">
        <v>13284</v>
      </c>
      <c r="G2931" s="9" t="s">
        <v>13284</v>
      </c>
      <c r="H2931" s="9" t="s">
        <v>13284</v>
      </c>
      <c r="I2931" s="9" t="s">
        <v>13284</v>
      </c>
      <c r="J2931" s="9" t="s">
        <v>13284</v>
      </c>
      <c r="K2931" s="9" t="s">
        <v>13284</v>
      </c>
      <c r="L2931" s="9" t="s">
        <v>13284</v>
      </c>
      <c r="M2931" s="9" t="s">
        <v>13284</v>
      </c>
      <c r="N2931" s="9" t="s">
        <v>13284</v>
      </c>
      <c r="O2931" s="9" t="s">
        <v>13284</v>
      </c>
      <c r="P2931" s="9" t="s">
        <v>13284</v>
      </c>
      <c r="Q2931" s="9" t="s">
        <v>13284</v>
      </c>
      <c r="R2931" s="9" t="s">
        <v>13284</v>
      </c>
      <c r="S2931" s="9" t="s">
        <v>13284</v>
      </c>
      <c r="T2931" s="9" t="str">
        <f ca="1">IFERROR(IF(AND(VLOOKUP(A2931, 'Актуальное состояние (из общего'!A:C,3,0) = "", A2931 &lt;&gt; ""), "ПРОВЕРИТЬ", VLOOKUP(A2931, 'Актуальное состояние (из общего'!A:C,3,0)), "")</f>
        <v/>
      </c>
      <c r="U2931" s="9" t="s">
        <v>13284</v>
      </c>
      <c r="V2931" s="9" t="s">
        <v>13284</v>
      </c>
      <c r="W2931" s="12"/>
      <c r="X2931" s="9" t="str">
        <f t="array" ref="X2931">IFERROR(INDEX('Адреса общежитий (скрытый)'!$B$2:$B$9, MATCH(W2931, 'Адреса общежитий (скрытый)'!$A$2:$A$9, 0)), "")</f>
        <v/>
      </c>
      <c r="Y2931" s="18"/>
      <c r="Z2931" s="18"/>
      <c r="AA2931" s="18"/>
      <c r="AB2931" s="18"/>
      <c r="AC2931" s="18"/>
    </row>
    <row r="2932" spans="1:29" ht="32.25" hidden="1" customHeight="1">
      <c r="A2932" s="17"/>
      <c r="B2932" s="9" t="s">
        <v>13284</v>
      </c>
      <c r="C2932" s="9" t="s">
        <v>13284</v>
      </c>
      <c r="D2932" s="9" t="s">
        <v>13284</v>
      </c>
      <c r="E2932" s="9" t="s">
        <v>13284</v>
      </c>
      <c r="F2932" s="9" t="s">
        <v>13284</v>
      </c>
      <c r="G2932" s="9" t="s">
        <v>13284</v>
      </c>
      <c r="H2932" s="9" t="s">
        <v>13284</v>
      </c>
      <c r="I2932" s="9" t="s">
        <v>13284</v>
      </c>
      <c r="J2932" s="9" t="s">
        <v>13284</v>
      </c>
      <c r="K2932" s="9" t="s">
        <v>13284</v>
      </c>
      <c r="L2932" s="9" t="s">
        <v>13284</v>
      </c>
      <c r="M2932" s="9" t="s">
        <v>13284</v>
      </c>
      <c r="N2932" s="9" t="s">
        <v>13284</v>
      </c>
      <c r="O2932" s="9" t="s">
        <v>13284</v>
      </c>
      <c r="P2932" s="9" t="s">
        <v>13284</v>
      </c>
      <c r="Q2932" s="9" t="s">
        <v>13284</v>
      </c>
      <c r="R2932" s="9" t="s">
        <v>13284</v>
      </c>
      <c r="S2932" s="9" t="s">
        <v>13284</v>
      </c>
      <c r="T2932" s="9" t="str">
        <f ca="1">IFERROR(IF(AND(VLOOKUP(A2932, 'Актуальное состояние (из общего'!A:C,3,0) = "", A2932 &lt;&gt; ""), "ПРОВЕРИТЬ", VLOOKUP(A2932, 'Актуальное состояние (из общего'!A:C,3,0)), "")</f>
        <v/>
      </c>
      <c r="U2932" s="9" t="s">
        <v>13284</v>
      </c>
      <c r="V2932" s="9" t="s">
        <v>13284</v>
      </c>
      <c r="W2932" s="12"/>
      <c r="X2932" s="9" t="str">
        <f t="array" ref="X2932">IFERROR(INDEX('Адреса общежитий (скрытый)'!$B$2:$B$9, MATCH(W2932, 'Адреса общежитий (скрытый)'!$A$2:$A$9, 0)), "")</f>
        <v/>
      </c>
      <c r="Y2932" s="18"/>
      <c r="Z2932" s="18"/>
      <c r="AA2932" s="18"/>
      <c r="AB2932" s="18"/>
      <c r="AC2932" s="18"/>
    </row>
    <row r="2933" spans="1:29" ht="32.25" hidden="1" customHeight="1">
      <c r="A2933" s="17"/>
      <c r="B2933" s="9" t="s">
        <v>13284</v>
      </c>
      <c r="C2933" s="9" t="s">
        <v>13284</v>
      </c>
      <c r="D2933" s="9" t="s">
        <v>13284</v>
      </c>
      <c r="E2933" s="9" t="s">
        <v>13284</v>
      </c>
      <c r="F2933" s="9" t="s">
        <v>13284</v>
      </c>
      <c r="G2933" s="9" t="s">
        <v>13284</v>
      </c>
      <c r="H2933" s="9" t="s">
        <v>13284</v>
      </c>
      <c r="I2933" s="9" t="s">
        <v>13284</v>
      </c>
      <c r="J2933" s="9" t="s">
        <v>13284</v>
      </c>
      <c r="K2933" s="9" t="s">
        <v>13284</v>
      </c>
      <c r="L2933" s="9" t="s">
        <v>13284</v>
      </c>
      <c r="M2933" s="9" t="s">
        <v>13284</v>
      </c>
      <c r="N2933" s="9" t="s">
        <v>13284</v>
      </c>
      <c r="O2933" s="9" t="s">
        <v>13284</v>
      </c>
      <c r="P2933" s="9" t="s">
        <v>13284</v>
      </c>
      <c r="Q2933" s="9" t="s">
        <v>13284</v>
      </c>
      <c r="R2933" s="9" t="s">
        <v>13284</v>
      </c>
      <c r="S2933" s="9" t="s">
        <v>13284</v>
      </c>
      <c r="T2933" s="9" t="str">
        <f ca="1">IFERROR(IF(AND(VLOOKUP(A2933, 'Актуальное состояние (из общего'!A:C,3,0) = "", A2933 &lt;&gt; ""), "ПРОВЕРИТЬ", VLOOKUP(A2933, 'Актуальное состояние (из общего'!A:C,3,0)), "")</f>
        <v/>
      </c>
      <c r="U2933" s="9" t="s">
        <v>13284</v>
      </c>
      <c r="V2933" s="9" t="s">
        <v>13284</v>
      </c>
      <c r="W2933" s="12"/>
      <c r="X2933" s="9" t="str">
        <f t="array" ref="X2933">IFERROR(INDEX('Адреса общежитий (скрытый)'!$B$2:$B$9, MATCH(W2933, 'Адреса общежитий (скрытый)'!$A$2:$A$9, 0)), "")</f>
        <v/>
      </c>
      <c r="Y2933" s="18"/>
      <c r="Z2933" s="18"/>
      <c r="AA2933" s="18"/>
      <c r="AB2933" s="18"/>
      <c r="AC2933" s="18"/>
    </row>
    <row r="2934" spans="1:29" ht="32.25" hidden="1" customHeight="1">
      <c r="A2934" s="17"/>
      <c r="B2934" s="9" t="s">
        <v>13284</v>
      </c>
      <c r="C2934" s="9" t="s">
        <v>13284</v>
      </c>
      <c r="D2934" s="9" t="s">
        <v>13284</v>
      </c>
      <c r="E2934" s="9" t="s">
        <v>13284</v>
      </c>
      <c r="F2934" s="9" t="s">
        <v>13284</v>
      </c>
      <c r="G2934" s="9" t="s">
        <v>13284</v>
      </c>
      <c r="H2934" s="9" t="s">
        <v>13284</v>
      </c>
      <c r="I2934" s="9" t="s">
        <v>13284</v>
      </c>
      <c r="J2934" s="9" t="s">
        <v>13284</v>
      </c>
      <c r="K2934" s="9" t="s">
        <v>13284</v>
      </c>
      <c r="L2934" s="9" t="s">
        <v>13284</v>
      </c>
      <c r="M2934" s="9" t="s">
        <v>13284</v>
      </c>
      <c r="N2934" s="9" t="s">
        <v>13284</v>
      </c>
      <c r="O2934" s="9" t="s">
        <v>13284</v>
      </c>
      <c r="P2934" s="9" t="s">
        <v>13284</v>
      </c>
      <c r="Q2934" s="9" t="s">
        <v>13284</v>
      </c>
      <c r="R2934" s="9" t="s">
        <v>13284</v>
      </c>
      <c r="S2934" s="9" t="s">
        <v>13284</v>
      </c>
      <c r="T2934" s="9" t="str">
        <f ca="1">IFERROR(IF(AND(VLOOKUP(A2934, 'Актуальное состояние (из общего'!A:C,3,0) = "", A2934 &lt;&gt; ""), "ПРОВЕРИТЬ", VLOOKUP(A2934, 'Актуальное состояние (из общего'!A:C,3,0)), "")</f>
        <v/>
      </c>
      <c r="U2934" s="9" t="s">
        <v>13284</v>
      </c>
      <c r="V2934" s="9" t="s">
        <v>13284</v>
      </c>
      <c r="W2934" s="12"/>
      <c r="X2934" s="9" t="str">
        <f t="array" ref="X2934">IFERROR(INDEX('Адреса общежитий (скрытый)'!$B$2:$B$9, MATCH(W2934, 'Адреса общежитий (скрытый)'!$A$2:$A$9, 0)), "")</f>
        <v/>
      </c>
      <c r="Y2934" s="18"/>
      <c r="Z2934" s="18"/>
      <c r="AA2934" s="18"/>
      <c r="AB2934" s="18"/>
      <c r="AC2934" s="18"/>
    </row>
    <row r="2935" spans="1:29" ht="32.25" hidden="1" customHeight="1">
      <c r="A2935" s="17"/>
      <c r="B2935" s="9" t="s">
        <v>13284</v>
      </c>
      <c r="C2935" s="9" t="s">
        <v>13284</v>
      </c>
      <c r="D2935" s="9" t="s">
        <v>13284</v>
      </c>
      <c r="E2935" s="9" t="s">
        <v>13284</v>
      </c>
      <c r="F2935" s="9" t="s">
        <v>13284</v>
      </c>
      <c r="G2935" s="9" t="s">
        <v>13284</v>
      </c>
      <c r="H2935" s="9" t="s">
        <v>13284</v>
      </c>
      <c r="I2935" s="9" t="s">
        <v>13284</v>
      </c>
      <c r="J2935" s="9" t="s">
        <v>13284</v>
      </c>
      <c r="K2935" s="9" t="s">
        <v>13284</v>
      </c>
      <c r="L2935" s="9" t="s">
        <v>13284</v>
      </c>
      <c r="M2935" s="9" t="s">
        <v>13284</v>
      </c>
      <c r="N2935" s="9" t="s">
        <v>13284</v>
      </c>
      <c r="O2935" s="9" t="s">
        <v>13284</v>
      </c>
      <c r="P2935" s="9" t="s">
        <v>13284</v>
      </c>
      <c r="Q2935" s="9" t="s">
        <v>13284</v>
      </c>
      <c r="R2935" s="9" t="s">
        <v>13284</v>
      </c>
      <c r="S2935" s="9" t="s">
        <v>13284</v>
      </c>
      <c r="T2935" s="9" t="str">
        <f ca="1">IFERROR(IF(AND(VLOOKUP(A2935, 'Актуальное состояние (из общего'!A:C,3,0) = "", A2935 &lt;&gt; ""), "ПРОВЕРИТЬ", VLOOKUP(A2935, 'Актуальное состояние (из общего'!A:C,3,0)), "")</f>
        <v/>
      </c>
      <c r="U2935" s="9" t="s">
        <v>13284</v>
      </c>
      <c r="V2935" s="9" t="s">
        <v>13284</v>
      </c>
      <c r="W2935" s="12"/>
      <c r="X2935" s="9" t="str">
        <f t="array" ref="X2935">IFERROR(INDEX('Адреса общежитий (скрытый)'!$B$2:$B$9, MATCH(W2935, 'Адреса общежитий (скрытый)'!$A$2:$A$9, 0)), "")</f>
        <v/>
      </c>
      <c r="Y2935" s="18"/>
      <c r="Z2935" s="18"/>
      <c r="AA2935" s="18"/>
      <c r="AB2935" s="18"/>
      <c r="AC2935" s="18"/>
    </row>
    <row r="2936" spans="1:29" ht="32.25" hidden="1" customHeight="1">
      <c r="A2936" s="17"/>
      <c r="B2936" s="9" t="s">
        <v>13284</v>
      </c>
      <c r="C2936" s="9" t="s">
        <v>13284</v>
      </c>
      <c r="D2936" s="9" t="s">
        <v>13284</v>
      </c>
      <c r="E2936" s="9" t="s">
        <v>13284</v>
      </c>
      <c r="F2936" s="9" t="s">
        <v>13284</v>
      </c>
      <c r="G2936" s="9" t="s">
        <v>13284</v>
      </c>
      <c r="H2936" s="9" t="s">
        <v>13284</v>
      </c>
      <c r="I2936" s="9" t="s">
        <v>13284</v>
      </c>
      <c r="J2936" s="9" t="s">
        <v>13284</v>
      </c>
      <c r="K2936" s="9" t="s">
        <v>13284</v>
      </c>
      <c r="L2936" s="9" t="s">
        <v>13284</v>
      </c>
      <c r="M2936" s="9" t="s">
        <v>13284</v>
      </c>
      <c r="N2936" s="9" t="s">
        <v>13284</v>
      </c>
      <c r="O2936" s="9" t="s">
        <v>13284</v>
      </c>
      <c r="P2936" s="9" t="s">
        <v>13284</v>
      </c>
      <c r="Q2936" s="9" t="s">
        <v>13284</v>
      </c>
      <c r="R2936" s="9" t="s">
        <v>13284</v>
      </c>
      <c r="S2936" s="9" t="s">
        <v>13284</v>
      </c>
      <c r="T2936" s="9" t="str">
        <f ca="1">IFERROR(IF(AND(VLOOKUP(A2936, 'Актуальное состояние (из общего'!A:C,3,0) = "", A2936 &lt;&gt; ""), "ПРОВЕРИТЬ", VLOOKUP(A2936, 'Актуальное состояние (из общего'!A:C,3,0)), "")</f>
        <v/>
      </c>
      <c r="U2936" s="9" t="s">
        <v>13284</v>
      </c>
      <c r="V2936" s="9" t="s">
        <v>13284</v>
      </c>
      <c r="W2936" s="12"/>
      <c r="X2936" s="9" t="str">
        <f t="array" ref="X2936">IFERROR(INDEX('Адреса общежитий (скрытый)'!$B$2:$B$9, MATCH(W2936, 'Адреса общежитий (скрытый)'!$A$2:$A$9, 0)), "")</f>
        <v/>
      </c>
      <c r="Y2936" s="18"/>
      <c r="Z2936" s="18"/>
      <c r="AA2936" s="18"/>
      <c r="AB2936" s="18"/>
      <c r="AC2936" s="18"/>
    </row>
    <row r="2937" spans="1:29" ht="32.25" hidden="1" customHeight="1">
      <c r="A2937" s="17"/>
      <c r="B2937" s="9" t="s">
        <v>13284</v>
      </c>
      <c r="C2937" s="9" t="s">
        <v>13284</v>
      </c>
      <c r="D2937" s="9" t="s">
        <v>13284</v>
      </c>
      <c r="E2937" s="9" t="s">
        <v>13284</v>
      </c>
      <c r="F2937" s="9" t="s">
        <v>13284</v>
      </c>
      <c r="G2937" s="9" t="s">
        <v>13284</v>
      </c>
      <c r="H2937" s="9" t="s">
        <v>13284</v>
      </c>
      <c r="I2937" s="9" t="s">
        <v>13284</v>
      </c>
      <c r="J2937" s="9" t="s">
        <v>13284</v>
      </c>
      <c r="K2937" s="9" t="s">
        <v>13284</v>
      </c>
      <c r="L2937" s="9" t="s">
        <v>13284</v>
      </c>
      <c r="M2937" s="9" t="s">
        <v>13284</v>
      </c>
      <c r="N2937" s="9" t="s">
        <v>13284</v>
      </c>
      <c r="O2937" s="9" t="s">
        <v>13284</v>
      </c>
      <c r="P2937" s="9" t="s">
        <v>13284</v>
      </c>
      <c r="Q2937" s="9" t="s">
        <v>13284</v>
      </c>
      <c r="R2937" s="9" t="s">
        <v>13284</v>
      </c>
      <c r="S2937" s="9" t="s">
        <v>13284</v>
      </c>
      <c r="T2937" s="9" t="str">
        <f ca="1">IFERROR(IF(AND(VLOOKUP(A2937, 'Актуальное состояние (из общего'!A:C,3,0) = "", A2937 &lt;&gt; ""), "ПРОВЕРИТЬ", VLOOKUP(A2937, 'Актуальное состояние (из общего'!A:C,3,0)), "")</f>
        <v/>
      </c>
      <c r="U2937" s="9" t="s">
        <v>13284</v>
      </c>
      <c r="V2937" s="9" t="s">
        <v>13284</v>
      </c>
      <c r="W2937" s="12"/>
      <c r="X2937" s="9" t="str">
        <f t="array" ref="X2937">IFERROR(INDEX('Адреса общежитий (скрытый)'!$B$2:$B$9, MATCH(W2937, 'Адреса общежитий (скрытый)'!$A$2:$A$9, 0)), "")</f>
        <v/>
      </c>
      <c r="Y2937" s="18"/>
      <c r="Z2937" s="18"/>
      <c r="AA2937" s="18"/>
      <c r="AB2937" s="18"/>
      <c r="AC2937" s="18"/>
    </row>
    <row r="2938" spans="1:29" ht="32.25" hidden="1" customHeight="1">
      <c r="A2938" s="17"/>
      <c r="B2938" s="9" t="s">
        <v>13284</v>
      </c>
      <c r="C2938" s="9" t="s">
        <v>13284</v>
      </c>
      <c r="D2938" s="9" t="s">
        <v>13284</v>
      </c>
      <c r="E2938" s="9" t="s">
        <v>13284</v>
      </c>
      <c r="F2938" s="9" t="s">
        <v>13284</v>
      </c>
      <c r="G2938" s="9" t="s">
        <v>13284</v>
      </c>
      <c r="H2938" s="9" t="s">
        <v>13284</v>
      </c>
      <c r="I2938" s="9" t="s">
        <v>13284</v>
      </c>
      <c r="J2938" s="9" t="s">
        <v>13284</v>
      </c>
      <c r="K2938" s="9" t="s">
        <v>13284</v>
      </c>
      <c r="L2938" s="9" t="s">
        <v>13284</v>
      </c>
      <c r="M2938" s="9" t="s">
        <v>13284</v>
      </c>
      <c r="N2938" s="9" t="s">
        <v>13284</v>
      </c>
      <c r="O2938" s="9" t="s">
        <v>13284</v>
      </c>
      <c r="P2938" s="9" t="s">
        <v>13284</v>
      </c>
      <c r="Q2938" s="9" t="s">
        <v>13284</v>
      </c>
      <c r="R2938" s="9" t="s">
        <v>13284</v>
      </c>
      <c r="S2938" s="9" t="s">
        <v>13284</v>
      </c>
      <c r="T2938" s="9" t="str">
        <f ca="1">IFERROR(IF(AND(VLOOKUP(A2938, 'Актуальное состояние (из общего'!A:C,3,0) = "", A2938 &lt;&gt; ""), "ПРОВЕРИТЬ", VLOOKUP(A2938, 'Актуальное состояние (из общего'!A:C,3,0)), "")</f>
        <v/>
      </c>
      <c r="U2938" s="9" t="s">
        <v>13284</v>
      </c>
      <c r="V2938" s="9" t="s">
        <v>13284</v>
      </c>
      <c r="W2938" s="12"/>
      <c r="X2938" s="9" t="str">
        <f t="array" ref="X2938">IFERROR(INDEX('Адреса общежитий (скрытый)'!$B$2:$B$9, MATCH(W2938, 'Адреса общежитий (скрытый)'!$A$2:$A$9, 0)), "")</f>
        <v/>
      </c>
      <c r="Y2938" s="18"/>
      <c r="Z2938" s="18"/>
      <c r="AA2938" s="18"/>
      <c r="AB2938" s="18"/>
      <c r="AC2938" s="18"/>
    </row>
    <row r="2939" spans="1:29" ht="32.25" hidden="1" customHeight="1">
      <c r="A2939" s="17"/>
      <c r="B2939" s="9" t="s">
        <v>13284</v>
      </c>
      <c r="C2939" s="9" t="s">
        <v>13284</v>
      </c>
      <c r="D2939" s="9" t="s">
        <v>13284</v>
      </c>
      <c r="E2939" s="9" t="s">
        <v>13284</v>
      </c>
      <c r="F2939" s="9" t="s">
        <v>13284</v>
      </c>
      <c r="G2939" s="9" t="s">
        <v>13284</v>
      </c>
      <c r="H2939" s="9" t="s">
        <v>13284</v>
      </c>
      <c r="I2939" s="9" t="s">
        <v>13284</v>
      </c>
      <c r="J2939" s="9" t="s">
        <v>13284</v>
      </c>
      <c r="K2939" s="9" t="s">
        <v>13284</v>
      </c>
      <c r="L2939" s="9" t="s">
        <v>13284</v>
      </c>
      <c r="M2939" s="9" t="s">
        <v>13284</v>
      </c>
      <c r="N2939" s="9" t="s">
        <v>13284</v>
      </c>
      <c r="O2939" s="9" t="s">
        <v>13284</v>
      </c>
      <c r="P2939" s="9" t="s">
        <v>13284</v>
      </c>
      <c r="Q2939" s="9" t="s">
        <v>13284</v>
      </c>
      <c r="R2939" s="9" t="s">
        <v>13284</v>
      </c>
      <c r="S2939" s="9" t="s">
        <v>13284</v>
      </c>
      <c r="T2939" s="9" t="str">
        <f ca="1">IFERROR(IF(AND(VLOOKUP(A2939, 'Актуальное состояние (из общего'!A:C,3,0) = "", A2939 &lt;&gt; ""), "ПРОВЕРИТЬ", VLOOKUP(A2939, 'Актуальное состояние (из общего'!A:C,3,0)), "")</f>
        <v/>
      </c>
      <c r="U2939" s="9" t="s">
        <v>13284</v>
      </c>
      <c r="V2939" s="9" t="s">
        <v>13284</v>
      </c>
      <c r="W2939" s="12"/>
      <c r="X2939" s="9" t="str">
        <f t="array" ref="X2939">IFERROR(INDEX('Адреса общежитий (скрытый)'!$B$2:$B$9, MATCH(W2939, 'Адреса общежитий (скрытый)'!$A$2:$A$9, 0)), "")</f>
        <v/>
      </c>
      <c r="Y2939" s="18"/>
      <c r="Z2939" s="18"/>
      <c r="AA2939" s="18"/>
      <c r="AB2939" s="18"/>
      <c r="AC2939" s="18"/>
    </row>
    <row r="2940" spans="1:29" ht="32.25" hidden="1" customHeight="1">
      <c r="A2940" s="17"/>
      <c r="B2940" s="9" t="s">
        <v>13284</v>
      </c>
      <c r="C2940" s="9" t="s">
        <v>13284</v>
      </c>
      <c r="D2940" s="9" t="s">
        <v>13284</v>
      </c>
      <c r="E2940" s="9" t="s">
        <v>13284</v>
      </c>
      <c r="F2940" s="9" t="s">
        <v>13284</v>
      </c>
      <c r="G2940" s="9" t="s">
        <v>13284</v>
      </c>
      <c r="H2940" s="9" t="s">
        <v>13284</v>
      </c>
      <c r="I2940" s="9" t="s">
        <v>13284</v>
      </c>
      <c r="J2940" s="9" t="s">
        <v>13284</v>
      </c>
      <c r="K2940" s="9" t="s">
        <v>13284</v>
      </c>
      <c r="L2940" s="9" t="s">
        <v>13284</v>
      </c>
      <c r="M2940" s="9" t="s">
        <v>13284</v>
      </c>
      <c r="N2940" s="9" t="s">
        <v>13284</v>
      </c>
      <c r="O2940" s="9" t="s">
        <v>13284</v>
      </c>
      <c r="P2940" s="9" t="s">
        <v>13284</v>
      </c>
      <c r="Q2940" s="9" t="s">
        <v>13284</v>
      </c>
      <c r="R2940" s="9" t="s">
        <v>13284</v>
      </c>
      <c r="S2940" s="9" t="s">
        <v>13284</v>
      </c>
      <c r="T2940" s="9" t="str">
        <f ca="1">IFERROR(IF(AND(VLOOKUP(A2940, 'Актуальное состояние (из общего'!A:C,3,0) = "", A2940 &lt;&gt; ""), "ПРОВЕРИТЬ", VLOOKUP(A2940, 'Актуальное состояние (из общего'!A:C,3,0)), "")</f>
        <v/>
      </c>
      <c r="U2940" s="9" t="s">
        <v>13284</v>
      </c>
      <c r="V2940" s="9" t="s">
        <v>13284</v>
      </c>
      <c r="W2940" s="12"/>
      <c r="X2940" s="9" t="str">
        <f t="array" ref="X2940">IFERROR(INDEX('Адреса общежитий (скрытый)'!$B$2:$B$9, MATCH(W2940, 'Адреса общежитий (скрытый)'!$A$2:$A$9, 0)), "")</f>
        <v/>
      </c>
      <c r="Y2940" s="18"/>
      <c r="Z2940" s="18"/>
      <c r="AA2940" s="18"/>
      <c r="AB2940" s="18"/>
      <c r="AC2940" s="18"/>
    </row>
    <row r="2941" spans="1:29" ht="32.25" hidden="1" customHeight="1">
      <c r="A2941" s="17"/>
      <c r="B2941" s="9" t="s">
        <v>13284</v>
      </c>
      <c r="C2941" s="9" t="s">
        <v>13284</v>
      </c>
      <c r="D2941" s="9" t="s">
        <v>13284</v>
      </c>
      <c r="E2941" s="9" t="s">
        <v>13284</v>
      </c>
      <c r="F2941" s="9" t="s">
        <v>13284</v>
      </c>
      <c r="G2941" s="9" t="s">
        <v>13284</v>
      </c>
      <c r="H2941" s="9" t="s">
        <v>13284</v>
      </c>
      <c r="I2941" s="9" t="s">
        <v>13284</v>
      </c>
      <c r="J2941" s="9" t="s">
        <v>13284</v>
      </c>
      <c r="K2941" s="9" t="s">
        <v>13284</v>
      </c>
      <c r="L2941" s="9" t="s">
        <v>13284</v>
      </c>
      <c r="M2941" s="9" t="s">
        <v>13284</v>
      </c>
      <c r="N2941" s="9" t="s">
        <v>13284</v>
      </c>
      <c r="O2941" s="9" t="s">
        <v>13284</v>
      </c>
      <c r="P2941" s="9" t="s">
        <v>13284</v>
      </c>
      <c r="Q2941" s="9" t="s">
        <v>13284</v>
      </c>
      <c r="R2941" s="9" t="s">
        <v>13284</v>
      </c>
      <c r="S2941" s="9" t="s">
        <v>13284</v>
      </c>
      <c r="T2941" s="9" t="str">
        <f ca="1">IFERROR(IF(AND(VLOOKUP(A2941, 'Актуальное состояние (из общего'!A:C,3,0) = "", A2941 &lt;&gt; ""), "ПРОВЕРИТЬ", VLOOKUP(A2941, 'Актуальное состояние (из общего'!A:C,3,0)), "")</f>
        <v/>
      </c>
      <c r="U2941" s="9" t="s">
        <v>13284</v>
      </c>
      <c r="V2941" s="9" t="s">
        <v>13284</v>
      </c>
      <c r="W2941" s="12"/>
      <c r="X2941" s="9" t="str">
        <f t="array" ref="X2941">IFERROR(INDEX('Адреса общежитий (скрытый)'!$B$2:$B$9, MATCH(W2941, 'Адреса общежитий (скрытый)'!$A$2:$A$9, 0)), "")</f>
        <v/>
      </c>
      <c r="Y2941" s="18"/>
      <c r="Z2941" s="18"/>
      <c r="AA2941" s="18"/>
      <c r="AB2941" s="18"/>
      <c r="AC2941" s="18"/>
    </row>
    <row r="2942" spans="1:29" ht="32.25" hidden="1" customHeight="1">
      <c r="A2942" s="17"/>
      <c r="B2942" s="9" t="s">
        <v>13284</v>
      </c>
      <c r="C2942" s="9" t="s">
        <v>13284</v>
      </c>
      <c r="D2942" s="9" t="s">
        <v>13284</v>
      </c>
      <c r="E2942" s="9" t="s">
        <v>13284</v>
      </c>
      <c r="F2942" s="9" t="s">
        <v>13284</v>
      </c>
      <c r="G2942" s="9" t="s">
        <v>13284</v>
      </c>
      <c r="H2942" s="9" t="s">
        <v>13284</v>
      </c>
      <c r="I2942" s="9" t="s">
        <v>13284</v>
      </c>
      <c r="J2942" s="9" t="s">
        <v>13284</v>
      </c>
      <c r="K2942" s="9" t="s">
        <v>13284</v>
      </c>
      <c r="L2942" s="9" t="s">
        <v>13284</v>
      </c>
      <c r="M2942" s="9" t="s">
        <v>13284</v>
      </c>
      <c r="N2942" s="9" t="s">
        <v>13284</v>
      </c>
      <c r="O2942" s="9" t="s">
        <v>13284</v>
      </c>
      <c r="P2942" s="9" t="s">
        <v>13284</v>
      </c>
      <c r="Q2942" s="9" t="s">
        <v>13284</v>
      </c>
      <c r="R2942" s="9" t="s">
        <v>13284</v>
      </c>
      <c r="S2942" s="9" t="s">
        <v>13284</v>
      </c>
      <c r="T2942" s="9" t="str">
        <f ca="1">IFERROR(IF(AND(VLOOKUP(A2942, 'Актуальное состояние (из общего'!A:C,3,0) = "", A2942 &lt;&gt; ""), "ПРОВЕРИТЬ", VLOOKUP(A2942, 'Актуальное состояние (из общего'!A:C,3,0)), "")</f>
        <v/>
      </c>
      <c r="U2942" s="9" t="s">
        <v>13284</v>
      </c>
      <c r="V2942" s="9" t="s">
        <v>13284</v>
      </c>
      <c r="W2942" s="12"/>
      <c r="X2942" s="9" t="str">
        <f t="array" ref="X2942">IFERROR(INDEX('Адреса общежитий (скрытый)'!$B$2:$B$9, MATCH(W2942, 'Адреса общежитий (скрытый)'!$A$2:$A$9, 0)), "")</f>
        <v/>
      </c>
      <c r="Y2942" s="18"/>
      <c r="Z2942" s="18"/>
      <c r="AA2942" s="18"/>
      <c r="AB2942" s="18"/>
      <c r="AC2942" s="18"/>
    </row>
    <row r="2943" spans="1:29" ht="32.25" hidden="1" customHeight="1">
      <c r="A2943" s="17"/>
      <c r="B2943" s="9" t="s">
        <v>13284</v>
      </c>
      <c r="C2943" s="9" t="s">
        <v>13284</v>
      </c>
      <c r="D2943" s="9" t="s">
        <v>13284</v>
      </c>
      <c r="E2943" s="9" t="s">
        <v>13284</v>
      </c>
      <c r="F2943" s="9" t="s">
        <v>13284</v>
      </c>
      <c r="G2943" s="9" t="s">
        <v>13284</v>
      </c>
      <c r="H2943" s="9" t="s">
        <v>13284</v>
      </c>
      <c r="I2943" s="9" t="s">
        <v>13284</v>
      </c>
      <c r="J2943" s="9" t="s">
        <v>13284</v>
      </c>
      <c r="K2943" s="9" t="s">
        <v>13284</v>
      </c>
      <c r="L2943" s="9" t="s">
        <v>13284</v>
      </c>
      <c r="M2943" s="9" t="s">
        <v>13284</v>
      </c>
      <c r="N2943" s="9" t="s">
        <v>13284</v>
      </c>
      <c r="O2943" s="9" t="s">
        <v>13284</v>
      </c>
      <c r="P2943" s="9" t="s">
        <v>13284</v>
      </c>
      <c r="Q2943" s="9" t="s">
        <v>13284</v>
      </c>
      <c r="R2943" s="9" t="s">
        <v>13284</v>
      </c>
      <c r="S2943" s="9" t="s">
        <v>13284</v>
      </c>
      <c r="T2943" s="9" t="str">
        <f ca="1">IFERROR(IF(AND(VLOOKUP(A2943, 'Актуальное состояние (из общего'!A:C,3,0) = "", A2943 &lt;&gt; ""), "ПРОВЕРИТЬ", VLOOKUP(A2943, 'Актуальное состояние (из общего'!A:C,3,0)), "")</f>
        <v/>
      </c>
      <c r="U2943" s="9" t="s">
        <v>13284</v>
      </c>
      <c r="V2943" s="9" t="s">
        <v>13284</v>
      </c>
      <c r="W2943" s="12"/>
      <c r="X2943" s="9" t="str">
        <f t="array" ref="X2943">IFERROR(INDEX('Адреса общежитий (скрытый)'!$B$2:$B$9, MATCH(W2943, 'Адреса общежитий (скрытый)'!$A$2:$A$9, 0)), "")</f>
        <v/>
      </c>
      <c r="Y2943" s="18"/>
      <c r="Z2943" s="18"/>
      <c r="AA2943" s="18"/>
      <c r="AB2943" s="18"/>
      <c r="AC2943" s="18"/>
    </row>
    <row r="2944" spans="1:29" ht="32.25" hidden="1" customHeight="1">
      <c r="A2944" s="17"/>
      <c r="B2944" s="9" t="s">
        <v>13284</v>
      </c>
      <c r="C2944" s="9" t="s">
        <v>13284</v>
      </c>
      <c r="D2944" s="9" t="s">
        <v>13284</v>
      </c>
      <c r="E2944" s="9" t="s">
        <v>13284</v>
      </c>
      <c r="F2944" s="9" t="s">
        <v>13284</v>
      </c>
      <c r="G2944" s="9" t="s">
        <v>13284</v>
      </c>
      <c r="H2944" s="9" t="s">
        <v>13284</v>
      </c>
      <c r="I2944" s="9" t="s">
        <v>13284</v>
      </c>
      <c r="J2944" s="9" t="s">
        <v>13284</v>
      </c>
      <c r="K2944" s="9" t="s">
        <v>13284</v>
      </c>
      <c r="L2944" s="9" t="s">
        <v>13284</v>
      </c>
      <c r="M2944" s="9" t="s">
        <v>13284</v>
      </c>
      <c r="N2944" s="9" t="s">
        <v>13284</v>
      </c>
      <c r="O2944" s="9" t="s">
        <v>13284</v>
      </c>
      <c r="P2944" s="9" t="s">
        <v>13284</v>
      </c>
      <c r="Q2944" s="9" t="s">
        <v>13284</v>
      </c>
      <c r="R2944" s="9" t="s">
        <v>13284</v>
      </c>
      <c r="S2944" s="9" t="s">
        <v>13284</v>
      </c>
      <c r="T2944" s="9" t="str">
        <f ca="1">IFERROR(IF(AND(VLOOKUP(A2944, 'Актуальное состояние (из общего'!A:C,3,0) = "", A2944 &lt;&gt; ""), "ПРОВЕРИТЬ", VLOOKUP(A2944, 'Актуальное состояние (из общего'!A:C,3,0)), "")</f>
        <v/>
      </c>
      <c r="U2944" s="9" t="s">
        <v>13284</v>
      </c>
      <c r="V2944" s="9" t="s">
        <v>13284</v>
      </c>
      <c r="W2944" s="12"/>
      <c r="X2944" s="9" t="str">
        <f t="array" ref="X2944">IFERROR(INDEX('Адреса общежитий (скрытый)'!$B$2:$B$9, MATCH(W2944, 'Адреса общежитий (скрытый)'!$A$2:$A$9, 0)), "")</f>
        <v/>
      </c>
      <c r="Y2944" s="18"/>
      <c r="Z2944" s="18"/>
      <c r="AA2944" s="18"/>
      <c r="AB2944" s="18"/>
      <c r="AC2944" s="18"/>
    </row>
    <row r="2945" spans="1:29" ht="32.25" hidden="1" customHeight="1">
      <c r="A2945" s="17"/>
      <c r="B2945" s="9" t="s">
        <v>13284</v>
      </c>
      <c r="C2945" s="9" t="s">
        <v>13284</v>
      </c>
      <c r="D2945" s="9" t="s">
        <v>13284</v>
      </c>
      <c r="E2945" s="9" t="s">
        <v>13284</v>
      </c>
      <c r="F2945" s="9" t="s">
        <v>13284</v>
      </c>
      <c r="G2945" s="9" t="s">
        <v>13284</v>
      </c>
      <c r="H2945" s="9" t="s">
        <v>13284</v>
      </c>
      <c r="I2945" s="9" t="s">
        <v>13284</v>
      </c>
      <c r="J2945" s="9" t="s">
        <v>13284</v>
      </c>
      <c r="K2945" s="9" t="s">
        <v>13284</v>
      </c>
      <c r="L2945" s="9" t="s">
        <v>13284</v>
      </c>
      <c r="M2945" s="9" t="s">
        <v>13284</v>
      </c>
      <c r="N2945" s="9" t="s">
        <v>13284</v>
      </c>
      <c r="O2945" s="9" t="s">
        <v>13284</v>
      </c>
      <c r="P2945" s="9" t="s">
        <v>13284</v>
      </c>
      <c r="Q2945" s="9" t="s">
        <v>13284</v>
      </c>
      <c r="R2945" s="9" t="s">
        <v>13284</v>
      </c>
      <c r="S2945" s="9" t="s">
        <v>13284</v>
      </c>
      <c r="T2945" s="9" t="str">
        <f ca="1">IFERROR(IF(AND(VLOOKUP(A2945, 'Актуальное состояние (из общего'!A:C,3,0) = "", A2945 &lt;&gt; ""), "ПРОВЕРИТЬ", VLOOKUP(A2945, 'Актуальное состояние (из общего'!A:C,3,0)), "")</f>
        <v/>
      </c>
      <c r="U2945" s="9" t="s">
        <v>13284</v>
      </c>
      <c r="V2945" s="9" t="s">
        <v>13284</v>
      </c>
      <c r="W2945" s="12"/>
      <c r="X2945" s="9" t="str">
        <f t="array" ref="X2945">IFERROR(INDEX('Адреса общежитий (скрытый)'!$B$2:$B$9, MATCH(W2945, 'Адреса общежитий (скрытый)'!$A$2:$A$9, 0)), "")</f>
        <v/>
      </c>
      <c r="Y2945" s="18"/>
      <c r="Z2945" s="18"/>
      <c r="AA2945" s="18"/>
      <c r="AB2945" s="18"/>
      <c r="AC2945" s="18"/>
    </row>
    <row r="2946" spans="1:29" ht="32.25" hidden="1" customHeight="1">
      <c r="A2946" s="17"/>
      <c r="B2946" s="9" t="s">
        <v>13284</v>
      </c>
      <c r="C2946" s="9" t="s">
        <v>13284</v>
      </c>
      <c r="D2946" s="9" t="s">
        <v>13284</v>
      </c>
      <c r="E2946" s="9" t="s">
        <v>13284</v>
      </c>
      <c r="F2946" s="9" t="s">
        <v>13284</v>
      </c>
      <c r="G2946" s="9" t="s">
        <v>13284</v>
      </c>
      <c r="H2946" s="9" t="s">
        <v>13284</v>
      </c>
      <c r="I2946" s="9" t="s">
        <v>13284</v>
      </c>
      <c r="J2946" s="9" t="s">
        <v>13284</v>
      </c>
      <c r="K2946" s="9" t="s">
        <v>13284</v>
      </c>
      <c r="L2946" s="9" t="s">
        <v>13284</v>
      </c>
      <c r="M2946" s="9" t="s">
        <v>13284</v>
      </c>
      <c r="N2946" s="9" t="s">
        <v>13284</v>
      </c>
      <c r="O2946" s="9" t="s">
        <v>13284</v>
      </c>
      <c r="P2946" s="9" t="s">
        <v>13284</v>
      </c>
      <c r="Q2946" s="9" t="s">
        <v>13284</v>
      </c>
      <c r="R2946" s="9" t="s">
        <v>13284</v>
      </c>
      <c r="S2946" s="9" t="s">
        <v>13284</v>
      </c>
      <c r="T2946" s="9" t="str">
        <f ca="1">IFERROR(IF(AND(VLOOKUP(A2946, 'Актуальное состояние (из общего'!A:C,3,0) = "", A2946 &lt;&gt; ""), "ПРОВЕРИТЬ", VLOOKUP(A2946, 'Актуальное состояние (из общего'!A:C,3,0)), "")</f>
        <v/>
      </c>
      <c r="U2946" s="9" t="s">
        <v>13284</v>
      </c>
      <c r="V2946" s="9" t="s">
        <v>13284</v>
      </c>
      <c r="W2946" s="12"/>
      <c r="X2946" s="9" t="str">
        <f t="array" ref="X2946">IFERROR(INDEX('Адреса общежитий (скрытый)'!$B$2:$B$9, MATCH(W2946, 'Адреса общежитий (скрытый)'!$A$2:$A$9, 0)), "")</f>
        <v/>
      </c>
      <c r="Y2946" s="18"/>
      <c r="Z2946" s="18"/>
      <c r="AA2946" s="18"/>
      <c r="AB2946" s="18"/>
      <c r="AC2946" s="18"/>
    </row>
    <row r="2947" spans="1:29" ht="32.25" hidden="1" customHeight="1">
      <c r="A2947" s="17"/>
      <c r="B2947" s="9" t="s">
        <v>13284</v>
      </c>
      <c r="C2947" s="9" t="s">
        <v>13284</v>
      </c>
      <c r="D2947" s="9" t="s">
        <v>13284</v>
      </c>
      <c r="E2947" s="9" t="s">
        <v>13284</v>
      </c>
      <c r="F2947" s="9" t="s">
        <v>13284</v>
      </c>
      <c r="G2947" s="9" t="s">
        <v>13284</v>
      </c>
      <c r="H2947" s="9" t="s">
        <v>13284</v>
      </c>
      <c r="I2947" s="9" t="s">
        <v>13284</v>
      </c>
      <c r="J2947" s="9" t="s">
        <v>13284</v>
      </c>
      <c r="K2947" s="9" t="s">
        <v>13284</v>
      </c>
      <c r="L2947" s="9" t="s">
        <v>13284</v>
      </c>
      <c r="M2947" s="9" t="s">
        <v>13284</v>
      </c>
      <c r="N2947" s="9" t="s">
        <v>13284</v>
      </c>
      <c r="O2947" s="9" t="s">
        <v>13284</v>
      </c>
      <c r="P2947" s="9" t="s">
        <v>13284</v>
      </c>
      <c r="Q2947" s="9" t="s">
        <v>13284</v>
      </c>
      <c r="R2947" s="9" t="s">
        <v>13284</v>
      </c>
      <c r="S2947" s="9" t="s">
        <v>13284</v>
      </c>
      <c r="T2947" s="9" t="str">
        <f ca="1">IFERROR(IF(AND(VLOOKUP(A2947, 'Актуальное состояние (из общего'!A:C,3,0) = "", A2947 &lt;&gt; ""), "ПРОВЕРИТЬ", VLOOKUP(A2947, 'Актуальное состояние (из общего'!A:C,3,0)), "")</f>
        <v/>
      </c>
      <c r="U2947" s="9" t="s">
        <v>13284</v>
      </c>
      <c r="V2947" s="9" t="s">
        <v>13284</v>
      </c>
      <c r="W2947" s="12"/>
      <c r="X2947" s="9" t="str">
        <f t="array" ref="X2947">IFERROR(INDEX('Адреса общежитий (скрытый)'!$B$2:$B$9, MATCH(W2947, 'Адреса общежитий (скрытый)'!$A$2:$A$9, 0)), "")</f>
        <v/>
      </c>
      <c r="Y2947" s="18"/>
      <c r="Z2947" s="18"/>
      <c r="AA2947" s="18"/>
      <c r="AB2947" s="18"/>
      <c r="AC2947" s="18"/>
    </row>
    <row r="2948" spans="1:29" ht="32.25" hidden="1" customHeight="1">
      <c r="A2948" s="17"/>
      <c r="B2948" s="9" t="s">
        <v>13284</v>
      </c>
      <c r="C2948" s="9" t="s">
        <v>13284</v>
      </c>
      <c r="D2948" s="9" t="s">
        <v>13284</v>
      </c>
      <c r="E2948" s="9" t="s">
        <v>13284</v>
      </c>
      <c r="F2948" s="9" t="s">
        <v>13284</v>
      </c>
      <c r="G2948" s="9" t="s">
        <v>13284</v>
      </c>
      <c r="H2948" s="9" t="s">
        <v>13284</v>
      </c>
      <c r="I2948" s="9" t="s">
        <v>13284</v>
      </c>
      <c r="J2948" s="9" t="s">
        <v>13284</v>
      </c>
      <c r="K2948" s="9" t="s">
        <v>13284</v>
      </c>
      <c r="L2948" s="9" t="s">
        <v>13284</v>
      </c>
      <c r="M2948" s="9" t="s">
        <v>13284</v>
      </c>
      <c r="N2948" s="9" t="s">
        <v>13284</v>
      </c>
      <c r="O2948" s="9" t="s">
        <v>13284</v>
      </c>
      <c r="P2948" s="9" t="s">
        <v>13284</v>
      </c>
      <c r="Q2948" s="9" t="s">
        <v>13284</v>
      </c>
      <c r="R2948" s="9" t="s">
        <v>13284</v>
      </c>
      <c r="S2948" s="9" t="s">
        <v>13284</v>
      </c>
      <c r="T2948" s="9" t="str">
        <f ca="1">IFERROR(IF(AND(VLOOKUP(A2948, 'Актуальное состояние (из общего'!A:C,3,0) = "", A2948 &lt;&gt; ""), "ПРОВЕРИТЬ", VLOOKUP(A2948, 'Актуальное состояние (из общего'!A:C,3,0)), "")</f>
        <v/>
      </c>
      <c r="U2948" s="9" t="s">
        <v>13284</v>
      </c>
      <c r="V2948" s="9" t="s">
        <v>13284</v>
      </c>
      <c r="W2948" s="12"/>
      <c r="X2948" s="9" t="str">
        <f t="array" ref="X2948">IFERROR(INDEX('Адреса общежитий (скрытый)'!$B$2:$B$9, MATCH(W2948, 'Адреса общежитий (скрытый)'!$A$2:$A$9, 0)), "")</f>
        <v/>
      </c>
      <c r="Y2948" s="18"/>
      <c r="Z2948" s="18"/>
      <c r="AA2948" s="18"/>
      <c r="AB2948" s="18"/>
      <c r="AC2948" s="18"/>
    </row>
    <row r="2949" spans="1:29" ht="32.25" hidden="1" customHeight="1">
      <c r="A2949" s="17"/>
      <c r="B2949" s="9" t="s">
        <v>13284</v>
      </c>
      <c r="C2949" s="9" t="s">
        <v>13284</v>
      </c>
      <c r="D2949" s="9" t="s">
        <v>13284</v>
      </c>
      <c r="E2949" s="9" t="s">
        <v>13284</v>
      </c>
      <c r="F2949" s="9" t="s">
        <v>13284</v>
      </c>
      <c r="G2949" s="9" t="s">
        <v>13284</v>
      </c>
      <c r="H2949" s="9" t="s">
        <v>13284</v>
      </c>
      <c r="I2949" s="9" t="s">
        <v>13284</v>
      </c>
      <c r="J2949" s="9" t="s">
        <v>13284</v>
      </c>
      <c r="K2949" s="9" t="s">
        <v>13284</v>
      </c>
      <c r="L2949" s="9" t="s">
        <v>13284</v>
      </c>
      <c r="M2949" s="9" t="s">
        <v>13284</v>
      </c>
      <c r="N2949" s="9" t="s">
        <v>13284</v>
      </c>
      <c r="O2949" s="9" t="s">
        <v>13284</v>
      </c>
      <c r="P2949" s="9" t="s">
        <v>13284</v>
      </c>
      <c r="Q2949" s="9" t="s">
        <v>13284</v>
      </c>
      <c r="R2949" s="9" t="s">
        <v>13284</v>
      </c>
      <c r="S2949" s="9" t="s">
        <v>13284</v>
      </c>
      <c r="T2949" s="9" t="str">
        <f ca="1">IFERROR(IF(AND(VLOOKUP(A2949, 'Актуальное состояние (из общего'!A:C,3,0) = "", A2949 &lt;&gt; ""), "ПРОВЕРИТЬ", VLOOKUP(A2949, 'Актуальное состояние (из общего'!A:C,3,0)), "")</f>
        <v/>
      </c>
      <c r="U2949" s="9" t="s">
        <v>13284</v>
      </c>
      <c r="V2949" s="9" t="s">
        <v>13284</v>
      </c>
      <c r="W2949" s="12"/>
      <c r="X2949" s="9" t="str">
        <f t="array" ref="X2949">IFERROR(INDEX('Адреса общежитий (скрытый)'!$B$2:$B$9, MATCH(W2949, 'Адреса общежитий (скрытый)'!$A$2:$A$9, 0)), "")</f>
        <v/>
      </c>
      <c r="Y2949" s="18"/>
      <c r="Z2949" s="18"/>
      <c r="AA2949" s="18"/>
      <c r="AB2949" s="18"/>
      <c r="AC2949" s="18"/>
    </row>
    <row r="2950" spans="1:29" ht="32.25" hidden="1" customHeight="1">
      <c r="A2950" s="17"/>
      <c r="B2950" s="9" t="s">
        <v>13284</v>
      </c>
      <c r="C2950" s="9" t="s">
        <v>13284</v>
      </c>
      <c r="D2950" s="9" t="s">
        <v>13284</v>
      </c>
      <c r="E2950" s="9" t="s">
        <v>13284</v>
      </c>
      <c r="F2950" s="9" t="s">
        <v>13284</v>
      </c>
      <c r="G2950" s="9" t="s">
        <v>13284</v>
      </c>
      <c r="H2950" s="9" t="s">
        <v>13284</v>
      </c>
      <c r="I2950" s="9" t="s">
        <v>13284</v>
      </c>
      <c r="J2950" s="9" t="s">
        <v>13284</v>
      </c>
      <c r="K2950" s="9" t="s">
        <v>13284</v>
      </c>
      <c r="L2950" s="9" t="s">
        <v>13284</v>
      </c>
      <c r="M2950" s="9" t="s">
        <v>13284</v>
      </c>
      <c r="N2950" s="9" t="s">
        <v>13284</v>
      </c>
      <c r="O2950" s="9" t="s">
        <v>13284</v>
      </c>
      <c r="P2950" s="9" t="s">
        <v>13284</v>
      </c>
      <c r="Q2950" s="9" t="s">
        <v>13284</v>
      </c>
      <c r="R2950" s="9" t="s">
        <v>13284</v>
      </c>
      <c r="S2950" s="9" t="s">
        <v>13284</v>
      </c>
      <c r="T2950" s="9" t="str">
        <f ca="1">IFERROR(IF(AND(VLOOKUP(A2950, 'Актуальное состояние (из общего'!A:C,3,0) = "", A2950 &lt;&gt; ""), "ПРОВЕРИТЬ", VLOOKUP(A2950, 'Актуальное состояние (из общего'!A:C,3,0)), "")</f>
        <v/>
      </c>
      <c r="U2950" s="9" t="s">
        <v>13284</v>
      </c>
      <c r="V2950" s="9" t="s">
        <v>13284</v>
      </c>
      <c r="W2950" s="12"/>
      <c r="X2950" s="9" t="str">
        <f t="array" ref="X2950">IFERROR(INDEX('Адреса общежитий (скрытый)'!$B$2:$B$9, MATCH(W2950, 'Адреса общежитий (скрытый)'!$A$2:$A$9, 0)), "")</f>
        <v/>
      </c>
      <c r="Y2950" s="18"/>
      <c r="Z2950" s="18"/>
      <c r="AA2950" s="18"/>
      <c r="AB2950" s="18"/>
      <c r="AC2950" s="18"/>
    </row>
    <row r="2951" spans="1:29" ht="32.25" hidden="1" customHeight="1">
      <c r="A2951" s="17"/>
      <c r="B2951" s="9" t="s">
        <v>13284</v>
      </c>
      <c r="C2951" s="9" t="s">
        <v>13284</v>
      </c>
      <c r="D2951" s="9" t="s">
        <v>13284</v>
      </c>
      <c r="E2951" s="9" t="s">
        <v>13284</v>
      </c>
      <c r="F2951" s="9" t="s">
        <v>13284</v>
      </c>
      <c r="G2951" s="9" t="s">
        <v>13284</v>
      </c>
      <c r="H2951" s="9" t="s">
        <v>13284</v>
      </c>
      <c r="I2951" s="9" t="s">
        <v>13284</v>
      </c>
      <c r="J2951" s="9" t="s">
        <v>13284</v>
      </c>
      <c r="K2951" s="9" t="s">
        <v>13284</v>
      </c>
      <c r="L2951" s="9" t="s">
        <v>13284</v>
      </c>
      <c r="M2951" s="9" t="s">
        <v>13284</v>
      </c>
      <c r="N2951" s="9" t="s">
        <v>13284</v>
      </c>
      <c r="O2951" s="9" t="s">
        <v>13284</v>
      </c>
      <c r="P2951" s="9" t="s">
        <v>13284</v>
      </c>
      <c r="Q2951" s="9" t="s">
        <v>13284</v>
      </c>
      <c r="R2951" s="9" t="s">
        <v>13284</v>
      </c>
      <c r="S2951" s="9" t="s">
        <v>13284</v>
      </c>
      <c r="T2951" s="9" t="str">
        <f ca="1">IFERROR(IF(AND(VLOOKUP(A2951, 'Актуальное состояние (из общего'!A:C,3,0) = "", A2951 &lt;&gt; ""), "ПРОВЕРИТЬ", VLOOKUP(A2951, 'Актуальное состояние (из общего'!A:C,3,0)), "")</f>
        <v/>
      </c>
      <c r="U2951" s="9" t="s">
        <v>13284</v>
      </c>
      <c r="V2951" s="9" t="s">
        <v>13284</v>
      </c>
      <c r="W2951" s="12"/>
      <c r="X2951" s="9" t="str">
        <f t="array" ref="X2951">IFERROR(INDEX('Адреса общежитий (скрытый)'!$B$2:$B$9, MATCH(W2951, 'Адреса общежитий (скрытый)'!$A$2:$A$9, 0)), "")</f>
        <v/>
      </c>
      <c r="Y2951" s="18"/>
      <c r="Z2951" s="18"/>
      <c r="AA2951" s="18"/>
      <c r="AB2951" s="18"/>
      <c r="AC2951" s="18"/>
    </row>
    <row r="2952" spans="1:29" ht="32.25" hidden="1" customHeight="1">
      <c r="A2952" s="17"/>
      <c r="B2952" s="9" t="s">
        <v>13284</v>
      </c>
      <c r="C2952" s="9" t="s">
        <v>13284</v>
      </c>
      <c r="D2952" s="9" t="s">
        <v>13284</v>
      </c>
      <c r="E2952" s="9" t="s">
        <v>13284</v>
      </c>
      <c r="F2952" s="9" t="s">
        <v>13284</v>
      </c>
      <c r="G2952" s="9" t="s">
        <v>13284</v>
      </c>
      <c r="H2952" s="9" t="s">
        <v>13284</v>
      </c>
      <c r="I2952" s="9" t="s">
        <v>13284</v>
      </c>
      <c r="J2952" s="9" t="s">
        <v>13284</v>
      </c>
      <c r="K2952" s="9" t="s">
        <v>13284</v>
      </c>
      <c r="L2952" s="9" t="s">
        <v>13284</v>
      </c>
      <c r="M2952" s="9" t="s">
        <v>13284</v>
      </c>
      <c r="N2952" s="9" t="s">
        <v>13284</v>
      </c>
      <c r="O2952" s="9" t="s">
        <v>13284</v>
      </c>
      <c r="P2952" s="9" t="s">
        <v>13284</v>
      </c>
      <c r="Q2952" s="9" t="s">
        <v>13284</v>
      </c>
      <c r="R2952" s="9" t="s">
        <v>13284</v>
      </c>
      <c r="S2952" s="9" t="s">
        <v>13284</v>
      </c>
      <c r="T2952" s="9" t="str">
        <f ca="1">IFERROR(IF(AND(VLOOKUP(A2952, 'Актуальное состояние (из общего'!A:C,3,0) = "", A2952 &lt;&gt; ""), "ПРОВЕРИТЬ", VLOOKUP(A2952, 'Актуальное состояние (из общего'!A:C,3,0)), "")</f>
        <v/>
      </c>
      <c r="U2952" s="9" t="s">
        <v>13284</v>
      </c>
      <c r="V2952" s="9" t="s">
        <v>13284</v>
      </c>
      <c r="W2952" s="12"/>
      <c r="X2952" s="9" t="str">
        <f t="array" ref="X2952">IFERROR(INDEX('Адреса общежитий (скрытый)'!$B$2:$B$9, MATCH(W2952, 'Адреса общежитий (скрытый)'!$A$2:$A$9, 0)), "")</f>
        <v/>
      </c>
      <c r="Y2952" s="18"/>
      <c r="Z2952" s="18"/>
      <c r="AA2952" s="18"/>
      <c r="AB2952" s="18"/>
      <c r="AC2952" s="18"/>
    </row>
    <row r="2953" spans="1:29" ht="32.25" hidden="1" customHeight="1">
      <c r="A2953" s="17"/>
      <c r="B2953" s="9" t="s">
        <v>13284</v>
      </c>
      <c r="C2953" s="9" t="s">
        <v>13284</v>
      </c>
      <c r="D2953" s="9" t="s">
        <v>13284</v>
      </c>
      <c r="E2953" s="9" t="s">
        <v>13284</v>
      </c>
      <c r="F2953" s="9" t="s">
        <v>13284</v>
      </c>
      <c r="G2953" s="9" t="s">
        <v>13284</v>
      </c>
      <c r="H2953" s="9" t="s">
        <v>13284</v>
      </c>
      <c r="I2953" s="9" t="s">
        <v>13284</v>
      </c>
      <c r="J2953" s="9" t="s">
        <v>13284</v>
      </c>
      <c r="K2953" s="9" t="s">
        <v>13284</v>
      </c>
      <c r="L2953" s="9" t="s">
        <v>13284</v>
      </c>
      <c r="M2953" s="9" t="s">
        <v>13284</v>
      </c>
      <c r="N2953" s="9" t="s">
        <v>13284</v>
      </c>
      <c r="O2953" s="9" t="s">
        <v>13284</v>
      </c>
      <c r="P2953" s="9" t="s">
        <v>13284</v>
      </c>
      <c r="Q2953" s="9" t="s">
        <v>13284</v>
      </c>
      <c r="R2953" s="9" t="s">
        <v>13284</v>
      </c>
      <c r="S2953" s="9" t="s">
        <v>13284</v>
      </c>
      <c r="T2953" s="9" t="str">
        <f ca="1">IFERROR(IF(AND(VLOOKUP(A2953, 'Актуальное состояние (из общего'!A:C,3,0) = "", A2953 &lt;&gt; ""), "ПРОВЕРИТЬ", VLOOKUP(A2953, 'Актуальное состояние (из общего'!A:C,3,0)), "")</f>
        <v/>
      </c>
      <c r="U2953" s="9" t="s">
        <v>13284</v>
      </c>
      <c r="V2953" s="9" t="s">
        <v>13284</v>
      </c>
      <c r="W2953" s="12"/>
      <c r="X2953" s="9" t="str">
        <f t="array" ref="X2953">IFERROR(INDEX('Адреса общежитий (скрытый)'!$B$2:$B$9, MATCH(W2953, 'Адреса общежитий (скрытый)'!$A$2:$A$9, 0)), "")</f>
        <v/>
      </c>
      <c r="Y2953" s="18"/>
      <c r="Z2953" s="18"/>
      <c r="AA2953" s="18"/>
      <c r="AB2953" s="18"/>
      <c r="AC2953" s="18"/>
    </row>
    <row r="2954" spans="1:29" ht="32.25" hidden="1" customHeight="1">
      <c r="A2954" s="17"/>
      <c r="B2954" s="9" t="s">
        <v>13284</v>
      </c>
      <c r="C2954" s="9" t="s">
        <v>13284</v>
      </c>
      <c r="D2954" s="9" t="s">
        <v>13284</v>
      </c>
      <c r="E2954" s="9" t="s">
        <v>13284</v>
      </c>
      <c r="F2954" s="9" t="s">
        <v>13284</v>
      </c>
      <c r="G2954" s="9" t="s">
        <v>13284</v>
      </c>
      <c r="H2954" s="9" t="s">
        <v>13284</v>
      </c>
      <c r="I2954" s="9" t="s">
        <v>13284</v>
      </c>
      <c r="J2954" s="9" t="s">
        <v>13284</v>
      </c>
      <c r="K2954" s="9" t="s">
        <v>13284</v>
      </c>
      <c r="L2954" s="9" t="s">
        <v>13284</v>
      </c>
      <c r="M2954" s="9" t="s">
        <v>13284</v>
      </c>
      <c r="N2954" s="9" t="s">
        <v>13284</v>
      </c>
      <c r="O2954" s="9" t="s">
        <v>13284</v>
      </c>
      <c r="P2954" s="9" t="s">
        <v>13284</v>
      </c>
      <c r="Q2954" s="9" t="s">
        <v>13284</v>
      </c>
      <c r="R2954" s="9" t="s">
        <v>13284</v>
      </c>
      <c r="S2954" s="9" t="s">
        <v>13284</v>
      </c>
      <c r="T2954" s="9" t="str">
        <f ca="1">IFERROR(IF(AND(VLOOKUP(A2954, 'Актуальное состояние (из общего'!A:C,3,0) = "", A2954 &lt;&gt; ""), "ПРОВЕРИТЬ", VLOOKUP(A2954, 'Актуальное состояние (из общего'!A:C,3,0)), "")</f>
        <v/>
      </c>
      <c r="U2954" s="9" t="s">
        <v>13284</v>
      </c>
      <c r="V2954" s="9" t="s">
        <v>13284</v>
      </c>
      <c r="W2954" s="12"/>
      <c r="X2954" s="9" t="str">
        <f t="array" ref="X2954">IFERROR(INDEX('Адреса общежитий (скрытый)'!$B$2:$B$9, MATCH(W2954, 'Адреса общежитий (скрытый)'!$A$2:$A$9, 0)), "")</f>
        <v/>
      </c>
      <c r="Y2954" s="18"/>
      <c r="Z2954" s="18"/>
      <c r="AA2954" s="18"/>
      <c r="AB2954" s="18"/>
      <c r="AC2954" s="18"/>
    </row>
    <row r="2955" spans="1:29" ht="32.25" hidden="1" customHeight="1">
      <c r="A2955" s="17"/>
      <c r="B2955" s="9" t="s">
        <v>13284</v>
      </c>
      <c r="C2955" s="9" t="s">
        <v>13284</v>
      </c>
      <c r="D2955" s="9" t="s">
        <v>13284</v>
      </c>
      <c r="E2955" s="9" t="s">
        <v>13284</v>
      </c>
      <c r="F2955" s="9" t="s">
        <v>13284</v>
      </c>
      <c r="G2955" s="9" t="s">
        <v>13284</v>
      </c>
      <c r="H2955" s="9" t="s">
        <v>13284</v>
      </c>
      <c r="I2955" s="9" t="s">
        <v>13284</v>
      </c>
      <c r="J2955" s="9" t="s">
        <v>13284</v>
      </c>
      <c r="K2955" s="9" t="s">
        <v>13284</v>
      </c>
      <c r="L2955" s="9" t="s">
        <v>13284</v>
      </c>
      <c r="M2955" s="9" t="s">
        <v>13284</v>
      </c>
      <c r="N2955" s="9" t="s">
        <v>13284</v>
      </c>
      <c r="O2955" s="9" t="s">
        <v>13284</v>
      </c>
      <c r="P2955" s="9" t="s">
        <v>13284</v>
      </c>
      <c r="Q2955" s="9" t="s">
        <v>13284</v>
      </c>
      <c r="R2955" s="9" t="s">
        <v>13284</v>
      </c>
      <c r="S2955" s="9" t="s">
        <v>13284</v>
      </c>
      <c r="T2955" s="9" t="str">
        <f ca="1">IFERROR(IF(AND(VLOOKUP(A2955, 'Актуальное состояние (из общего'!A:C,3,0) = "", A2955 &lt;&gt; ""), "ПРОВЕРИТЬ", VLOOKUP(A2955, 'Актуальное состояние (из общего'!A:C,3,0)), "")</f>
        <v/>
      </c>
      <c r="U2955" s="9" t="s">
        <v>13284</v>
      </c>
      <c r="V2955" s="9" t="s">
        <v>13284</v>
      </c>
      <c r="W2955" s="12"/>
      <c r="X2955" s="9" t="str">
        <f t="array" ref="X2955">IFERROR(INDEX('Адреса общежитий (скрытый)'!$B$2:$B$9, MATCH(W2955, 'Адреса общежитий (скрытый)'!$A$2:$A$9, 0)), "")</f>
        <v/>
      </c>
      <c r="Y2955" s="18"/>
      <c r="Z2955" s="18"/>
      <c r="AA2955" s="18"/>
      <c r="AB2955" s="18"/>
      <c r="AC2955" s="18"/>
    </row>
    <row r="2956" spans="1:29" ht="32.25" hidden="1" customHeight="1">
      <c r="A2956" s="17"/>
      <c r="B2956" s="9" t="s">
        <v>13284</v>
      </c>
      <c r="C2956" s="9" t="s">
        <v>13284</v>
      </c>
      <c r="D2956" s="9" t="s">
        <v>13284</v>
      </c>
      <c r="E2956" s="9" t="s">
        <v>13284</v>
      </c>
      <c r="F2956" s="9" t="s">
        <v>13284</v>
      </c>
      <c r="G2956" s="9" t="s">
        <v>13284</v>
      </c>
      <c r="H2956" s="9" t="s">
        <v>13284</v>
      </c>
      <c r="I2956" s="9" t="s">
        <v>13284</v>
      </c>
      <c r="J2956" s="9" t="s">
        <v>13284</v>
      </c>
      <c r="K2956" s="9" t="s">
        <v>13284</v>
      </c>
      <c r="L2956" s="9" t="s">
        <v>13284</v>
      </c>
      <c r="M2956" s="9" t="s">
        <v>13284</v>
      </c>
      <c r="N2956" s="9" t="s">
        <v>13284</v>
      </c>
      <c r="O2956" s="9" t="s">
        <v>13284</v>
      </c>
      <c r="P2956" s="9" t="s">
        <v>13284</v>
      </c>
      <c r="Q2956" s="9" t="s">
        <v>13284</v>
      </c>
      <c r="R2956" s="9" t="s">
        <v>13284</v>
      </c>
      <c r="S2956" s="9" t="s">
        <v>13284</v>
      </c>
      <c r="T2956" s="9" t="str">
        <f ca="1">IFERROR(IF(AND(VLOOKUP(A2956, 'Актуальное состояние (из общего'!A:C,3,0) = "", A2956 &lt;&gt; ""), "ПРОВЕРИТЬ", VLOOKUP(A2956, 'Актуальное состояние (из общего'!A:C,3,0)), "")</f>
        <v/>
      </c>
      <c r="U2956" s="9" t="s">
        <v>13284</v>
      </c>
      <c r="V2956" s="9" t="s">
        <v>13284</v>
      </c>
      <c r="W2956" s="12"/>
      <c r="X2956" s="9" t="str">
        <f t="array" ref="X2956">IFERROR(INDEX('Адреса общежитий (скрытый)'!$B$2:$B$9, MATCH(W2956, 'Адреса общежитий (скрытый)'!$A$2:$A$9, 0)), "")</f>
        <v/>
      </c>
      <c r="Y2956" s="18"/>
      <c r="Z2956" s="18"/>
      <c r="AA2956" s="18"/>
      <c r="AB2956" s="18"/>
      <c r="AC2956" s="18"/>
    </row>
    <row r="2957" spans="1:29" ht="32.25" hidden="1" customHeight="1">
      <c r="A2957" s="17"/>
      <c r="B2957" s="9" t="s">
        <v>13284</v>
      </c>
      <c r="C2957" s="9" t="s">
        <v>13284</v>
      </c>
      <c r="D2957" s="9" t="s">
        <v>13284</v>
      </c>
      <c r="E2957" s="9" t="s">
        <v>13284</v>
      </c>
      <c r="F2957" s="9" t="s">
        <v>13284</v>
      </c>
      <c r="G2957" s="9" t="s">
        <v>13284</v>
      </c>
      <c r="H2957" s="9" t="s">
        <v>13284</v>
      </c>
      <c r="I2957" s="9" t="s">
        <v>13284</v>
      </c>
      <c r="J2957" s="9" t="s">
        <v>13284</v>
      </c>
      <c r="K2957" s="9" t="s">
        <v>13284</v>
      </c>
      <c r="L2957" s="9" t="s">
        <v>13284</v>
      </c>
      <c r="M2957" s="9" t="s">
        <v>13284</v>
      </c>
      <c r="N2957" s="9" t="s">
        <v>13284</v>
      </c>
      <c r="O2957" s="9" t="s">
        <v>13284</v>
      </c>
      <c r="P2957" s="9" t="s">
        <v>13284</v>
      </c>
      <c r="Q2957" s="9" t="s">
        <v>13284</v>
      </c>
      <c r="R2957" s="9" t="s">
        <v>13284</v>
      </c>
      <c r="S2957" s="9" t="s">
        <v>13284</v>
      </c>
      <c r="T2957" s="9" t="str">
        <f ca="1">IFERROR(IF(AND(VLOOKUP(A2957, 'Актуальное состояние (из общего'!A:C,3,0) = "", A2957 &lt;&gt; ""), "ПРОВЕРИТЬ", VLOOKUP(A2957, 'Актуальное состояние (из общего'!A:C,3,0)), "")</f>
        <v/>
      </c>
      <c r="U2957" s="9" t="s">
        <v>13284</v>
      </c>
      <c r="V2957" s="9" t="s">
        <v>13284</v>
      </c>
      <c r="W2957" s="12"/>
      <c r="X2957" s="9" t="str">
        <f t="array" ref="X2957">IFERROR(INDEX('Адреса общежитий (скрытый)'!$B$2:$B$9, MATCH(W2957, 'Адреса общежитий (скрытый)'!$A$2:$A$9, 0)), "")</f>
        <v/>
      </c>
      <c r="Y2957" s="18"/>
      <c r="Z2957" s="18"/>
      <c r="AA2957" s="18"/>
      <c r="AB2957" s="18"/>
      <c r="AC2957" s="18"/>
    </row>
    <row r="2958" spans="1:29" ht="32.25" hidden="1" customHeight="1">
      <c r="A2958" s="17"/>
      <c r="B2958" s="9" t="s">
        <v>13284</v>
      </c>
      <c r="C2958" s="9" t="s">
        <v>13284</v>
      </c>
      <c r="D2958" s="9" t="s">
        <v>13284</v>
      </c>
      <c r="E2958" s="9" t="s">
        <v>13284</v>
      </c>
      <c r="F2958" s="9" t="s">
        <v>13284</v>
      </c>
      <c r="G2958" s="9" t="s">
        <v>13284</v>
      </c>
      <c r="H2958" s="9" t="s">
        <v>13284</v>
      </c>
      <c r="I2958" s="9" t="s">
        <v>13284</v>
      </c>
      <c r="J2958" s="9" t="s">
        <v>13284</v>
      </c>
      <c r="K2958" s="9" t="s">
        <v>13284</v>
      </c>
      <c r="L2958" s="9" t="s">
        <v>13284</v>
      </c>
      <c r="M2958" s="9" t="s">
        <v>13284</v>
      </c>
      <c r="N2958" s="9" t="s">
        <v>13284</v>
      </c>
      <c r="O2958" s="9" t="s">
        <v>13284</v>
      </c>
      <c r="P2958" s="9" t="s">
        <v>13284</v>
      </c>
      <c r="Q2958" s="9" t="s">
        <v>13284</v>
      </c>
      <c r="R2958" s="9" t="s">
        <v>13284</v>
      </c>
      <c r="S2958" s="9" t="s">
        <v>13284</v>
      </c>
      <c r="T2958" s="9" t="str">
        <f ca="1">IFERROR(IF(AND(VLOOKUP(A2958, 'Актуальное состояние (из общего'!A:C,3,0) = "", A2958 &lt;&gt; ""), "ПРОВЕРИТЬ", VLOOKUP(A2958, 'Актуальное состояние (из общего'!A:C,3,0)), "")</f>
        <v/>
      </c>
      <c r="U2958" s="9" t="s">
        <v>13284</v>
      </c>
      <c r="V2958" s="9" t="s">
        <v>13284</v>
      </c>
      <c r="W2958" s="12"/>
      <c r="X2958" s="9" t="str">
        <f t="array" ref="X2958">IFERROR(INDEX('Адреса общежитий (скрытый)'!$B$2:$B$9, MATCH(W2958, 'Адреса общежитий (скрытый)'!$A$2:$A$9, 0)), "")</f>
        <v/>
      </c>
      <c r="Y2958" s="18"/>
      <c r="Z2958" s="18"/>
      <c r="AA2958" s="18"/>
      <c r="AB2958" s="18"/>
      <c r="AC2958" s="18"/>
    </row>
    <row r="2959" spans="1:29" ht="32.25" hidden="1" customHeight="1">
      <c r="A2959" s="17"/>
      <c r="B2959" s="9" t="s">
        <v>13284</v>
      </c>
      <c r="C2959" s="9" t="s">
        <v>13284</v>
      </c>
      <c r="D2959" s="9" t="s">
        <v>13284</v>
      </c>
      <c r="E2959" s="9" t="s">
        <v>13284</v>
      </c>
      <c r="F2959" s="9" t="s">
        <v>13284</v>
      </c>
      <c r="G2959" s="9" t="s">
        <v>13284</v>
      </c>
      <c r="H2959" s="9" t="s">
        <v>13284</v>
      </c>
      <c r="I2959" s="9" t="s">
        <v>13284</v>
      </c>
      <c r="J2959" s="9" t="s">
        <v>13284</v>
      </c>
      <c r="K2959" s="9" t="s">
        <v>13284</v>
      </c>
      <c r="L2959" s="9" t="s">
        <v>13284</v>
      </c>
      <c r="M2959" s="9" t="s">
        <v>13284</v>
      </c>
      <c r="N2959" s="9" t="s">
        <v>13284</v>
      </c>
      <c r="O2959" s="9" t="s">
        <v>13284</v>
      </c>
      <c r="P2959" s="9" t="s">
        <v>13284</v>
      </c>
      <c r="Q2959" s="9" t="s">
        <v>13284</v>
      </c>
      <c r="R2959" s="9" t="s">
        <v>13284</v>
      </c>
      <c r="S2959" s="9" t="s">
        <v>13284</v>
      </c>
      <c r="T2959" s="9" t="str">
        <f ca="1">IFERROR(IF(AND(VLOOKUP(A2959, 'Актуальное состояние (из общего'!A:C,3,0) = "", A2959 &lt;&gt; ""), "ПРОВЕРИТЬ", VLOOKUP(A2959, 'Актуальное состояние (из общего'!A:C,3,0)), "")</f>
        <v/>
      </c>
      <c r="U2959" s="9" t="s">
        <v>13284</v>
      </c>
      <c r="V2959" s="9" t="s">
        <v>13284</v>
      </c>
      <c r="W2959" s="12"/>
      <c r="X2959" s="9" t="str">
        <f t="array" ref="X2959">IFERROR(INDEX('Адреса общежитий (скрытый)'!$B$2:$B$9, MATCH(W2959, 'Адреса общежитий (скрытый)'!$A$2:$A$9, 0)), "")</f>
        <v/>
      </c>
      <c r="Y2959" s="18"/>
      <c r="Z2959" s="18"/>
      <c r="AA2959" s="18"/>
      <c r="AB2959" s="18"/>
      <c r="AC2959" s="18"/>
    </row>
    <row r="2960" spans="1:29" ht="32.25" hidden="1" customHeight="1">
      <c r="A2960" s="17"/>
      <c r="B2960" s="9" t="s">
        <v>13284</v>
      </c>
      <c r="C2960" s="9" t="s">
        <v>13284</v>
      </c>
      <c r="D2960" s="9" t="s">
        <v>13284</v>
      </c>
      <c r="E2960" s="9" t="s">
        <v>13284</v>
      </c>
      <c r="F2960" s="9" t="s">
        <v>13284</v>
      </c>
      <c r="G2960" s="9" t="s">
        <v>13284</v>
      </c>
      <c r="H2960" s="9" t="s">
        <v>13284</v>
      </c>
      <c r="I2960" s="9" t="s">
        <v>13284</v>
      </c>
      <c r="J2960" s="9" t="s">
        <v>13284</v>
      </c>
      <c r="K2960" s="9" t="s">
        <v>13284</v>
      </c>
      <c r="L2960" s="9" t="s">
        <v>13284</v>
      </c>
      <c r="M2960" s="9" t="s">
        <v>13284</v>
      </c>
      <c r="N2960" s="9" t="s">
        <v>13284</v>
      </c>
      <c r="O2960" s="9" t="s">
        <v>13284</v>
      </c>
      <c r="P2960" s="9" t="s">
        <v>13284</v>
      </c>
      <c r="Q2960" s="9" t="s">
        <v>13284</v>
      </c>
      <c r="R2960" s="9" t="s">
        <v>13284</v>
      </c>
      <c r="S2960" s="9" t="s">
        <v>13284</v>
      </c>
      <c r="T2960" s="9" t="str">
        <f ca="1">IFERROR(IF(AND(VLOOKUP(A2960, 'Актуальное состояние (из общего'!A:C,3,0) = "", A2960 &lt;&gt; ""), "ПРОВЕРИТЬ", VLOOKUP(A2960, 'Актуальное состояние (из общего'!A:C,3,0)), "")</f>
        <v/>
      </c>
      <c r="U2960" s="9" t="s">
        <v>13284</v>
      </c>
      <c r="V2960" s="9" t="s">
        <v>13284</v>
      </c>
      <c r="W2960" s="12"/>
      <c r="X2960" s="9" t="str">
        <f t="array" ref="X2960">IFERROR(INDEX('Адреса общежитий (скрытый)'!$B$2:$B$9, MATCH(W2960, 'Адреса общежитий (скрытый)'!$A$2:$A$9, 0)), "")</f>
        <v/>
      </c>
      <c r="Y2960" s="18"/>
      <c r="Z2960" s="18"/>
      <c r="AA2960" s="18"/>
      <c r="AB2960" s="18"/>
      <c r="AC2960" s="18"/>
    </row>
    <row r="2961" spans="1:29" ht="32.25" hidden="1" customHeight="1">
      <c r="A2961" s="17"/>
      <c r="B2961" s="9" t="s">
        <v>13284</v>
      </c>
      <c r="C2961" s="9" t="s">
        <v>13284</v>
      </c>
      <c r="D2961" s="9" t="s">
        <v>13284</v>
      </c>
      <c r="E2961" s="9" t="s">
        <v>13284</v>
      </c>
      <c r="F2961" s="9" t="s">
        <v>13284</v>
      </c>
      <c r="G2961" s="9" t="s">
        <v>13284</v>
      </c>
      <c r="H2961" s="9" t="s">
        <v>13284</v>
      </c>
      <c r="I2961" s="9" t="s">
        <v>13284</v>
      </c>
      <c r="J2961" s="9" t="s">
        <v>13284</v>
      </c>
      <c r="K2961" s="9" t="s">
        <v>13284</v>
      </c>
      <c r="L2961" s="9" t="s">
        <v>13284</v>
      </c>
      <c r="M2961" s="9" t="s">
        <v>13284</v>
      </c>
      <c r="N2961" s="9" t="s">
        <v>13284</v>
      </c>
      <c r="O2961" s="9" t="s">
        <v>13284</v>
      </c>
      <c r="P2961" s="9" t="s">
        <v>13284</v>
      </c>
      <c r="Q2961" s="9" t="s">
        <v>13284</v>
      </c>
      <c r="R2961" s="9" t="s">
        <v>13284</v>
      </c>
      <c r="S2961" s="9" t="s">
        <v>13284</v>
      </c>
      <c r="T2961" s="9" t="str">
        <f ca="1">IFERROR(IF(AND(VLOOKUP(A2961, 'Актуальное состояние (из общего'!A:C,3,0) = "", A2961 &lt;&gt; ""), "ПРОВЕРИТЬ", VLOOKUP(A2961, 'Актуальное состояние (из общего'!A:C,3,0)), "")</f>
        <v/>
      </c>
      <c r="U2961" s="9" t="s">
        <v>13284</v>
      </c>
      <c r="V2961" s="9" t="s">
        <v>13284</v>
      </c>
      <c r="W2961" s="12"/>
      <c r="X2961" s="9" t="str">
        <f t="array" ref="X2961">IFERROR(INDEX('Адреса общежитий (скрытый)'!$B$2:$B$9, MATCH(W2961, 'Адреса общежитий (скрытый)'!$A$2:$A$9, 0)), "")</f>
        <v/>
      </c>
      <c r="Y2961" s="18"/>
      <c r="Z2961" s="18"/>
      <c r="AA2961" s="18"/>
      <c r="AB2961" s="18"/>
      <c r="AC2961" s="18"/>
    </row>
    <row r="2962" spans="1:29" ht="32.25" hidden="1" customHeight="1">
      <c r="A2962" s="17"/>
      <c r="B2962" s="9" t="s">
        <v>13284</v>
      </c>
      <c r="C2962" s="9" t="s">
        <v>13284</v>
      </c>
      <c r="D2962" s="9" t="s">
        <v>13284</v>
      </c>
      <c r="E2962" s="9" t="s">
        <v>13284</v>
      </c>
      <c r="F2962" s="9" t="s">
        <v>13284</v>
      </c>
      <c r="G2962" s="9" t="s">
        <v>13284</v>
      </c>
      <c r="H2962" s="9" t="s">
        <v>13284</v>
      </c>
      <c r="I2962" s="9" t="s">
        <v>13284</v>
      </c>
      <c r="J2962" s="9" t="s">
        <v>13284</v>
      </c>
      <c r="K2962" s="9" t="s">
        <v>13284</v>
      </c>
      <c r="L2962" s="9" t="s">
        <v>13284</v>
      </c>
      <c r="M2962" s="9" t="s">
        <v>13284</v>
      </c>
      <c r="N2962" s="9" t="s">
        <v>13284</v>
      </c>
      <c r="O2962" s="9" t="s">
        <v>13284</v>
      </c>
      <c r="P2962" s="9" t="s">
        <v>13284</v>
      </c>
      <c r="Q2962" s="9" t="s">
        <v>13284</v>
      </c>
      <c r="R2962" s="9" t="s">
        <v>13284</v>
      </c>
      <c r="S2962" s="9" t="s">
        <v>13284</v>
      </c>
      <c r="T2962" s="9" t="str">
        <f ca="1">IFERROR(IF(AND(VLOOKUP(A2962, 'Актуальное состояние (из общего'!A:C,3,0) = "", A2962 &lt;&gt; ""), "ПРОВЕРИТЬ", VLOOKUP(A2962, 'Актуальное состояние (из общего'!A:C,3,0)), "")</f>
        <v/>
      </c>
      <c r="U2962" s="9" t="s">
        <v>13284</v>
      </c>
      <c r="V2962" s="9" t="s">
        <v>13284</v>
      </c>
      <c r="W2962" s="12"/>
      <c r="X2962" s="9" t="str">
        <f t="array" ref="X2962">IFERROR(INDEX('Адреса общежитий (скрытый)'!$B$2:$B$9, MATCH(W2962, 'Адреса общежитий (скрытый)'!$A$2:$A$9, 0)), "")</f>
        <v/>
      </c>
      <c r="Y2962" s="18"/>
      <c r="Z2962" s="18"/>
      <c r="AA2962" s="18"/>
      <c r="AB2962" s="18"/>
      <c r="AC2962" s="18"/>
    </row>
    <row r="2963" spans="1:29" ht="32.25" hidden="1" customHeight="1">
      <c r="A2963" s="17"/>
      <c r="B2963" s="9" t="s">
        <v>13284</v>
      </c>
      <c r="C2963" s="9" t="s">
        <v>13284</v>
      </c>
      <c r="D2963" s="9" t="s">
        <v>13284</v>
      </c>
      <c r="E2963" s="9" t="s">
        <v>13284</v>
      </c>
      <c r="F2963" s="9" t="s">
        <v>13284</v>
      </c>
      <c r="G2963" s="9" t="s">
        <v>13284</v>
      </c>
      <c r="H2963" s="9" t="s">
        <v>13284</v>
      </c>
      <c r="I2963" s="9" t="s">
        <v>13284</v>
      </c>
      <c r="J2963" s="9" t="s">
        <v>13284</v>
      </c>
      <c r="K2963" s="9" t="s">
        <v>13284</v>
      </c>
      <c r="L2963" s="9" t="s">
        <v>13284</v>
      </c>
      <c r="M2963" s="9" t="s">
        <v>13284</v>
      </c>
      <c r="N2963" s="9" t="s">
        <v>13284</v>
      </c>
      <c r="O2963" s="9" t="s">
        <v>13284</v>
      </c>
      <c r="P2963" s="9" t="s">
        <v>13284</v>
      </c>
      <c r="Q2963" s="9" t="s">
        <v>13284</v>
      </c>
      <c r="R2963" s="9" t="s">
        <v>13284</v>
      </c>
      <c r="S2963" s="9" t="s">
        <v>13284</v>
      </c>
      <c r="T2963" s="9" t="str">
        <f ca="1">IFERROR(IF(AND(VLOOKUP(A2963, 'Актуальное состояние (из общего'!A:C,3,0) = "", A2963 &lt;&gt; ""), "ПРОВЕРИТЬ", VLOOKUP(A2963, 'Актуальное состояние (из общего'!A:C,3,0)), "")</f>
        <v/>
      </c>
      <c r="U2963" s="9" t="s">
        <v>13284</v>
      </c>
      <c r="V2963" s="9" t="s">
        <v>13284</v>
      </c>
      <c r="W2963" s="12"/>
      <c r="X2963" s="9" t="str">
        <f t="array" ref="X2963">IFERROR(INDEX('Адреса общежитий (скрытый)'!$B$2:$B$9, MATCH(W2963, 'Адреса общежитий (скрытый)'!$A$2:$A$9, 0)), "")</f>
        <v/>
      </c>
      <c r="Y2963" s="18"/>
      <c r="Z2963" s="18"/>
      <c r="AA2963" s="18"/>
      <c r="AB2963" s="18"/>
      <c r="AC2963" s="18"/>
    </row>
    <row r="2964" spans="1:29" ht="32.25" hidden="1" customHeight="1">
      <c r="A2964" s="17"/>
      <c r="B2964" s="9" t="s">
        <v>13284</v>
      </c>
      <c r="C2964" s="9" t="s">
        <v>13284</v>
      </c>
      <c r="D2964" s="9" t="s">
        <v>13284</v>
      </c>
      <c r="E2964" s="9" t="s">
        <v>13284</v>
      </c>
      <c r="F2964" s="9" t="s">
        <v>13284</v>
      </c>
      <c r="G2964" s="9" t="s">
        <v>13284</v>
      </c>
      <c r="H2964" s="9" t="s">
        <v>13284</v>
      </c>
      <c r="I2964" s="9" t="s">
        <v>13284</v>
      </c>
      <c r="J2964" s="9" t="s">
        <v>13284</v>
      </c>
      <c r="K2964" s="9" t="s">
        <v>13284</v>
      </c>
      <c r="L2964" s="9" t="s">
        <v>13284</v>
      </c>
      <c r="M2964" s="9" t="s">
        <v>13284</v>
      </c>
      <c r="N2964" s="9" t="s">
        <v>13284</v>
      </c>
      <c r="O2964" s="9" t="s">
        <v>13284</v>
      </c>
      <c r="P2964" s="9" t="s">
        <v>13284</v>
      </c>
      <c r="Q2964" s="9" t="s">
        <v>13284</v>
      </c>
      <c r="R2964" s="9" t="s">
        <v>13284</v>
      </c>
      <c r="S2964" s="9" t="s">
        <v>13284</v>
      </c>
      <c r="T2964" s="9" t="str">
        <f ca="1">IFERROR(IF(AND(VLOOKUP(A2964, 'Актуальное состояние (из общего'!A:C,3,0) = "", A2964 &lt;&gt; ""), "ПРОВЕРИТЬ", VLOOKUP(A2964, 'Актуальное состояние (из общего'!A:C,3,0)), "")</f>
        <v/>
      </c>
      <c r="U2964" s="9" t="s">
        <v>13284</v>
      </c>
      <c r="V2964" s="9" t="s">
        <v>13284</v>
      </c>
      <c r="W2964" s="12"/>
      <c r="X2964" s="9" t="str">
        <f t="array" ref="X2964">IFERROR(INDEX('Адреса общежитий (скрытый)'!$B$2:$B$9, MATCH(W2964, 'Адреса общежитий (скрытый)'!$A$2:$A$9, 0)), "")</f>
        <v/>
      </c>
      <c r="Y2964" s="18"/>
      <c r="Z2964" s="18"/>
      <c r="AA2964" s="18"/>
      <c r="AB2964" s="18"/>
      <c r="AC2964" s="18"/>
    </row>
    <row r="2965" spans="1:29" ht="32.25" hidden="1" customHeight="1">
      <c r="A2965" s="17"/>
      <c r="B2965" s="9" t="s">
        <v>13284</v>
      </c>
      <c r="C2965" s="9" t="s">
        <v>13284</v>
      </c>
      <c r="D2965" s="9" t="s">
        <v>13284</v>
      </c>
      <c r="E2965" s="9" t="s">
        <v>13284</v>
      </c>
      <c r="F2965" s="9" t="s">
        <v>13284</v>
      </c>
      <c r="G2965" s="9" t="s">
        <v>13284</v>
      </c>
      <c r="H2965" s="9" t="s">
        <v>13284</v>
      </c>
      <c r="I2965" s="9" t="s">
        <v>13284</v>
      </c>
      <c r="J2965" s="9" t="s">
        <v>13284</v>
      </c>
      <c r="K2965" s="9" t="s">
        <v>13284</v>
      </c>
      <c r="L2965" s="9" t="s">
        <v>13284</v>
      </c>
      <c r="M2965" s="9" t="s">
        <v>13284</v>
      </c>
      <c r="N2965" s="9" t="s">
        <v>13284</v>
      </c>
      <c r="O2965" s="9" t="s">
        <v>13284</v>
      </c>
      <c r="P2965" s="9" t="s">
        <v>13284</v>
      </c>
      <c r="Q2965" s="9" t="s">
        <v>13284</v>
      </c>
      <c r="R2965" s="9" t="s">
        <v>13284</v>
      </c>
      <c r="S2965" s="9" t="s">
        <v>13284</v>
      </c>
      <c r="T2965" s="9" t="str">
        <f ca="1">IFERROR(IF(AND(VLOOKUP(A2965, 'Актуальное состояние (из общего'!A:C,3,0) = "", A2965 &lt;&gt; ""), "ПРОВЕРИТЬ", VLOOKUP(A2965, 'Актуальное состояние (из общего'!A:C,3,0)), "")</f>
        <v/>
      </c>
      <c r="U2965" s="9" t="s">
        <v>13284</v>
      </c>
      <c r="V2965" s="9" t="s">
        <v>13284</v>
      </c>
      <c r="W2965" s="12"/>
      <c r="X2965" s="9" t="str">
        <f t="array" ref="X2965">IFERROR(INDEX('Адреса общежитий (скрытый)'!$B$2:$B$9, MATCH(W2965, 'Адреса общежитий (скрытый)'!$A$2:$A$9, 0)), "")</f>
        <v/>
      </c>
      <c r="Y2965" s="18"/>
      <c r="Z2965" s="18"/>
      <c r="AA2965" s="18"/>
      <c r="AB2965" s="18"/>
      <c r="AC2965" s="18"/>
    </row>
    <row r="2966" spans="1:29" ht="32.25" hidden="1" customHeight="1">
      <c r="A2966" s="17"/>
      <c r="B2966" s="9" t="s">
        <v>13284</v>
      </c>
      <c r="C2966" s="9" t="s">
        <v>13284</v>
      </c>
      <c r="D2966" s="9" t="s">
        <v>13284</v>
      </c>
      <c r="E2966" s="9" t="s">
        <v>13284</v>
      </c>
      <c r="F2966" s="9" t="s">
        <v>13284</v>
      </c>
      <c r="G2966" s="9" t="s">
        <v>13284</v>
      </c>
      <c r="H2966" s="9" t="s">
        <v>13284</v>
      </c>
      <c r="I2966" s="9" t="s">
        <v>13284</v>
      </c>
      <c r="J2966" s="9" t="s">
        <v>13284</v>
      </c>
      <c r="K2966" s="9" t="s">
        <v>13284</v>
      </c>
      <c r="L2966" s="9" t="s">
        <v>13284</v>
      </c>
      <c r="M2966" s="9" t="s">
        <v>13284</v>
      </c>
      <c r="N2966" s="9" t="s">
        <v>13284</v>
      </c>
      <c r="O2966" s="9" t="s">
        <v>13284</v>
      </c>
      <c r="P2966" s="9" t="s">
        <v>13284</v>
      </c>
      <c r="Q2966" s="9" t="s">
        <v>13284</v>
      </c>
      <c r="R2966" s="9" t="s">
        <v>13284</v>
      </c>
      <c r="S2966" s="9" t="s">
        <v>13284</v>
      </c>
      <c r="T2966" s="9" t="str">
        <f ca="1">IFERROR(IF(AND(VLOOKUP(A2966, 'Актуальное состояние (из общего'!A:C,3,0) = "", A2966 &lt;&gt; ""), "ПРОВЕРИТЬ", VLOOKUP(A2966, 'Актуальное состояние (из общего'!A:C,3,0)), "")</f>
        <v/>
      </c>
      <c r="U2966" s="9" t="s">
        <v>13284</v>
      </c>
      <c r="V2966" s="9" t="s">
        <v>13284</v>
      </c>
      <c r="W2966" s="12"/>
      <c r="X2966" s="9" t="str">
        <f t="array" ref="X2966">IFERROR(INDEX('Адреса общежитий (скрытый)'!$B$2:$B$9, MATCH(W2966, 'Адреса общежитий (скрытый)'!$A$2:$A$9, 0)), "")</f>
        <v/>
      </c>
      <c r="Y2966" s="18"/>
      <c r="Z2966" s="18"/>
      <c r="AA2966" s="18"/>
      <c r="AB2966" s="18"/>
      <c r="AC2966" s="18"/>
    </row>
    <row r="2967" spans="1:29" ht="32.25" hidden="1" customHeight="1">
      <c r="A2967" s="17"/>
      <c r="B2967" s="9" t="s">
        <v>13284</v>
      </c>
      <c r="C2967" s="9" t="s">
        <v>13284</v>
      </c>
      <c r="D2967" s="9" t="s">
        <v>13284</v>
      </c>
      <c r="E2967" s="9" t="s">
        <v>13284</v>
      </c>
      <c r="F2967" s="9" t="s">
        <v>13284</v>
      </c>
      <c r="G2967" s="9" t="s">
        <v>13284</v>
      </c>
      <c r="H2967" s="9" t="s">
        <v>13284</v>
      </c>
      <c r="I2967" s="9" t="s">
        <v>13284</v>
      </c>
      <c r="J2967" s="9" t="s">
        <v>13284</v>
      </c>
      <c r="K2967" s="9" t="s">
        <v>13284</v>
      </c>
      <c r="L2967" s="9" t="s">
        <v>13284</v>
      </c>
      <c r="M2967" s="9" t="s">
        <v>13284</v>
      </c>
      <c r="N2967" s="9" t="s">
        <v>13284</v>
      </c>
      <c r="O2967" s="9" t="s">
        <v>13284</v>
      </c>
      <c r="P2967" s="9" t="s">
        <v>13284</v>
      </c>
      <c r="Q2967" s="9" t="s">
        <v>13284</v>
      </c>
      <c r="R2967" s="9" t="s">
        <v>13284</v>
      </c>
      <c r="S2967" s="9" t="s">
        <v>13284</v>
      </c>
      <c r="T2967" s="9" t="str">
        <f ca="1">IFERROR(IF(AND(VLOOKUP(A2967, 'Актуальное состояние (из общего'!A:C,3,0) = "", A2967 &lt;&gt; ""), "ПРОВЕРИТЬ", VLOOKUP(A2967, 'Актуальное состояние (из общего'!A:C,3,0)), "")</f>
        <v/>
      </c>
      <c r="U2967" s="9" t="s">
        <v>13284</v>
      </c>
      <c r="V2967" s="9" t="s">
        <v>13284</v>
      </c>
      <c r="W2967" s="12"/>
      <c r="X2967" s="9" t="str">
        <f t="array" ref="X2967">IFERROR(INDEX('Адреса общежитий (скрытый)'!$B$2:$B$9, MATCH(W2967, 'Адреса общежитий (скрытый)'!$A$2:$A$9, 0)), "")</f>
        <v/>
      </c>
      <c r="Y2967" s="18"/>
      <c r="Z2967" s="18"/>
      <c r="AA2967" s="18"/>
      <c r="AB2967" s="18"/>
      <c r="AC2967" s="18"/>
    </row>
    <row r="2968" spans="1:29" ht="32.25" hidden="1" customHeight="1">
      <c r="A2968" s="17"/>
      <c r="B2968" s="9" t="s">
        <v>13284</v>
      </c>
      <c r="C2968" s="9" t="s">
        <v>13284</v>
      </c>
      <c r="D2968" s="9" t="s">
        <v>13284</v>
      </c>
      <c r="E2968" s="9" t="s">
        <v>13284</v>
      </c>
      <c r="F2968" s="9" t="s">
        <v>13284</v>
      </c>
      <c r="G2968" s="9" t="s">
        <v>13284</v>
      </c>
      <c r="H2968" s="9" t="s">
        <v>13284</v>
      </c>
      <c r="I2968" s="9" t="s">
        <v>13284</v>
      </c>
      <c r="J2968" s="9" t="s">
        <v>13284</v>
      </c>
      <c r="K2968" s="9" t="s">
        <v>13284</v>
      </c>
      <c r="L2968" s="9" t="s">
        <v>13284</v>
      </c>
      <c r="M2968" s="9" t="s">
        <v>13284</v>
      </c>
      <c r="N2968" s="9" t="s">
        <v>13284</v>
      </c>
      <c r="O2968" s="9" t="s">
        <v>13284</v>
      </c>
      <c r="P2968" s="9" t="s">
        <v>13284</v>
      </c>
      <c r="Q2968" s="9" t="s">
        <v>13284</v>
      </c>
      <c r="R2968" s="9" t="s">
        <v>13284</v>
      </c>
      <c r="S2968" s="9" t="s">
        <v>13284</v>
      </c>
      <c r="T2968" s="9" t="str">
        <f ca="1">IFERROR(IF(AND(VLOOKUP(A2968, 'Актуальное состояние (из общего'!A:C,3,0) = "", A2968 &lt;&gt; ""), "ПРОВЕРИТЬ", VLOOKUP(A2968, 'Актуальное состояние (из общего'!A:C,3,0)), "")</f>
        <v/>
      </c>
      <c r="U2968" s="9" t="s">
        <v>13284</v>
      </c>
      <c r="V2968" s="9" t="s">
        <v>13284</v>
      </c>
      <c r="W2968" s="12"/>
      <c r="X2968" s="9" t="str">
        <f t="array" ref="X2968">IFERROR(INDEX('Адреса общежитий (скрытый)'!$B$2:$B$9, MATCH(W2968, 'Адреса общежитий (скрытый)'!$A$2:$A$9, 0)), "")</f>
        <v/>
      </c>
      <c r="Y2968" s="18"/>
      <c r="Z2968" s="18"/>
      <c r="AA2968" s="18"/>
      <c r="AB2968" s="18"/>
      <c r="AC2968" s="18"/>
    </row>
    <row r="2969" spans="1:29" ht="32.25" hidden="1" customHeight="1">
      <c r="A2969" s="17"/>
      <c r="B2969" s="9" t="s">
        <v>13284</v>
      </c>
      <c r="C2969" s="9" t="s">
        <v>13284</v>
      </c>
      <c r="D2969" s="9" t="s">
        <v>13284</v>
      </c>
      <c r="E2969" s="9" t="s">
        <v>13284</v>
      </c>
      <c r="F2969" s="9" t="s">
        <v>13284</v>
      </c>
      <c r="G2969" s="9" t="s">
        <v>13284</v>
      </c>
      <c r="H2969" s="9" t="s">
        <v>13284</v>
      </c>
      <c r="I2969" s="9" t="s">
        <v>13284</v>
      </c>
      <c r="J2969" s="9" t="s">
        <v>13284</v>
      </c>
      <c r="K2969" s="9" t="s">
        <v>13284</v>
      </c>
      <c r="L2969" s="9" t="s">
        <v>13284</v>
      </c>
      <c r="M2969" s="9" t="s">
        <v>13284</v>
      </c>
      <c r="N2969" s="9" t="s">
        <v>13284</v>
      </c>
      <c r="O2969" s="9" t="s">
        <v>13284</v>
      </c>
      <c r="P2969" s="9" t="s">
        <v>13284</v>
      </c>
      <c r="Q2969" s="9" t="s">
        <v>13284</v>
      </c>
      <c r="R2969" s="9" t="s">
        <v>13284</v>
      </c>
      <c r="S2969" s="9" t="s">
        <v>13284</v>
      </c>
      <c r="T2969" s="9" t="str">
        <f ca="1">IFERROR(IF(AND(VLOOKUP(A2969, 'Актуальное состояние (из общего'!A:C,3,0) = "", A2969 &lt;&gt; ""), "ПРОВЕРИТЬ", VLOOKUP(A2969, 'Актуальное состояние (из общего'!A:C,3,0)), "")</f>
        <v/>
      </c>
      <c r="U2969" s="9" t="s">
        <v>13284</v>
      </c>
      <c r="V2969" s="9" t="s">
        <v>13284</v>
      </c>
      <c r="W2969" s="12"/>
      <c r="X2969" s="9" t="str">
        <f t="array" ref="X2969">IFERROR(INDEX('Адреса общежитий (скрытый)'!$B$2:$B$9, MATCH(W2969, 'Адреса общежитий (скрытый)'!$A$2:$A$9, 0)), "")</f>
        <v/>
      </c>
      <c r="Y2969" s="18"/>
      <c r="Z2969" s="18"/>
      <c r="AA2969" s="18"/>
      <c r="AB2969" s="18"/>
      <c r="AC2969" s="18"/>
    </row>
    <row r="2970" spans="1:29" ht="32.25" hidden="1" customHeight="1">
      <c r="A2970" s="17"/>
      <c r="B2970" s="9" t="s">
        <v>13284</v>
      </c>
      <c r="C2970" s="9" t="s">
        <v>13284</v>
      </c>
      <c r="D2970" s="9" t="s">
        <v>13284</v>
      </c>
      <c r="E2970" s="9" t="s">
        <v>13284</v>
      </c>
      <c r="F2970" s="9" t="s">
        <v>13284</v>
      </c>
      <c r="G2970" s="9" t="s">
        <v>13284</v>
      </c>
      <c r="H2970" s="9" t="s">
        <v>13284</v>
      </c>
      <c r="I2970" s="9" t="s">
        <v>13284</v>
      </c>
      <c r="J2970" s="9" t="s">
        <v>13284</v>
      </c>
      <c r="K2970" s="9" t="s">
        <v>13284</v>
      </c>
      <c r="L2970" s="9" t="s">
        <v>13284</v>
      </c>
      <c r="M2970" s="9" t="s">
        <v>13284</v>
      </c>
      <c r="N2970" s="9" t="s">
        <v>13284</v>
      </c>
      <c r="O2970" s="9" t="s">
        <v>13284</v>
      </c>
      <c r="P2970" s="9" t="s">
        <v>13284</v>
      </c>
      <c r="Q2970" s="9" t="s">
        <v>13284</v>
      </c>
      <c r="R2970" s="9" t="s">
        <v>13284</v>
      </c>
      <c r="S2970" s="9" t="s">
        <v>13284</v>
      </c>
      <c r="T2970" s="9" t="str">
        <f ca="1">IFERROR(IF(AND(VLOOKUP(A2970, 'Актуальное состояние (из общего'!A:C,3,0) = "", A2970 &lt;&gt; ""), "ПРОВЕРИТЬ", VLOOKUP(A2970, 'Актуальное состояние (из общего'!A:C,3,0)), "")</f>
        <v/>
      </c>
      <c r="U2970" s="9" t="s">
        <v>13284</v>
      </c>
      <c r="V2970" s="9" t="s">
        <v>13284</v>
      </c>
      <c r="W2970" s="12"/>
      <c r="X2970" s="9" t="str">
        <f t="array" ref="X2970">IFERROR(INDEX('Адреса общежитий (скрытый)'!$B$2:$B$9, MATCH(W2970, 'Адреса общежитий (скрытый)'!$A$2:$A$9, 0)), "")</f>
        <v/>
      </c>
      <c r="Y2970" s="18"/>
      <c r="Z2970" s="18"/>
      <c r="AA2970" s="18"/>
      <c r="AB2970" s="18"/>
      <c r="AC2970" s="18"/>
    </row>
    <row r="2971" spans="1:29" ht="32.25" hidden="1" customHeight="1">
      <c r="A2971" s="17"/>
      <c r="B2971" s="9" t="s">
        <v>13284</v>
      </c>
      <c r="C2971" s="9" t="s">
        <v>13284</v>
      </c>
      <c r="D2971" s="9" t="s">
        <v>13284</v>
      </c>
      <c r="E2971" s="9" t="s">
        <v>13284</v>
      </c>
      <c r="F2971" s="9" t="s">
        <v>13284</v>
      </c>
      <c r="G2971" s="9" t="s">
        <v>13284</v>
      </c>
      <c r="H2971" s="9" t="s">
        <v>13284</v>
      </c>
      <c r="I2971" s="9" t="s">
        <v>13284</v>
      </c>
      <c r="J2971" s="9" t="s">
        <v>13284</v>
      </c>
      <c r="K2971" s="9" t="s">
        <v>13284</v>
      </c>
      <c r="L2971" s="9" t="s">
        <v>13284</v>
      </c>
      <c r="M2971" s="9" t="s">
        <v>13284</v>
      </c>
      <c r="N2971" s="9" t="s">
        <v>13284</v>
      </c>
      <c r="O2971" s="9" t="s">
        <v>13284</v>
      </c>
      <c r="P2971" s="9" t="s">
        <v>13284</v>
      </c>
      <c r="Q2971" s="9" t="s">
        <v>13284</v>
      </c>
      <c r="R2971" s="9" t="s">
        <v>13284</v>
      </c>
      <c r="S2971" s="9" t="s">
        <v>13284</v>
      </c>
      <c r="T2971" s="9" t="str">
        <f ca="1">IFERROR(IF(AND(VLOOKUP(A2971, 'Актуальное состояние (из общего'!A:C,3,0) = "", A2971 &lt;&gt; ""), "ПРОВЕРИТЬ", VLOOKUP(A2971, 'Актуальное состояние (из общего'!A:C,3,0)), "")</f>
        <v/>
      </c>
      <c r="U2971" s="9" t="s">
        <v>13284</v>
      </c>
      <c r="V2971" s="9" t="s">
        <v>13284</v>
      </c>
      <c r="W2971" s="12"/>
      <c r="X2971" s="9" t="str">
        <f t="array" ref="X2971">IFERROR(INDEX('Адреса общежитий (скрытый)'!$B$2:$B$9, MATCH(W2971, 'Адреса общежитий (скрытый)'!$A$2:$A$9, 0)), "")</f>
        <v/>
      </c>
      <c r="Y2971" s="18"/>
      <c r="Z2971" s="18"/>
      <c r="AA2971" s="18"/>
      <c r="AB2971" s="18"/>
      <c r="AC2971" s="18"/>
    </row>
    <row r="2972" spans="1:29" ht="32.25" hidden="1" customHeight="1">
      <c r="A2972" s="17"/>
      <c r="B2972" s="9" t="s">
        <v>13284</v>
      </c>
      <c r="C2972" s="9" t="s">
        <v>13284</v>
      </c>
      <c r="D2972" s="9" t="s">
        <v>13284</v>
      </c>
      <c r="E2972" s="9" t="s">
        <v>13284</v>
      </c>
      <c r="F2972" s="9" t="s">
        <v>13284</v>
      </c>
      <c r="G2972" s="9" t="s">
        <v>13284</v>
      </c>
      <c r="H2972" s="9" t="s">
        <v>13284</v>
      </c>
      <c r="I2972" s="9" t="s">
        <v>13284</v>
      </c>
      <c r="J2972" s="9" t="s">
        <v>13284</v>
      </c>
      <c r="K2972" s="9" t="s">
        <v>13284</v>
      </c>
      <c r="L2972" s="9" t="s">
        <v>13284</v>
      </c>
      <c r="M2972" s="9" t="s">
        <v>13284</v>
      </c>
      <c r="N2972" s="9" t="s">
        <v>13284</v>
      </c>
      <c r="O2972" s="9" t="s">
        <v>13284</v>
      </c>
      <c r="P2972" s="9" t="s">
        <v>13284</v>
      </c>
      <c r="Q2972" s="9" t="s">
        <v>13284</v>
      </c>
      <c r="R2972" s="9" t="s">
        <v>13284</v>
      </c>
      <c r="S2972" s="9" t="s">
        <v>13284</v>
      </c>
      <c r="T2972" s="9" t="str">
        <f ca="1">IFERROR(IF(AND(VLOOKUP(A2972, 'Актуальное состояние (из общего'!A:C,3,0) = "", A2972 &lt;&gt; ""), "ПРОВЕРИТЬ", VLOOKUP(A2972, 'Актуальное состояние (из общего'!A:C,3,0)), "")</f>
        <v/>
      </c>
      <c r="U2972" s="9" t="s">
        <v>13284</v>
      </c>
      <c r="V2972" s="9" t="s">
        <v>13284</v>
      </c>
      <c r="W2972" s="12"/>
      <c r="X2972" s="9" t="str">
        <f t="array" ref="X2972">IFERROR(INDEX('Адреса общежитий (скрытый)'!$B$2:$B$9, MATCH(W2972, 'Адреса общежитий (скрытый)'!$A$2:$A$9, 0)), "")</f>
        <v/>
      </c>
      <c r="Y2972" s="18"/>
      <c r="Z2972" s="18"/>
      <c r="AA2972" s="18"/>
      <c r="AB2972" s="18"/>
      <c r="AC2972" s="18"/>
    </row>
    <row r="2973" spans="1:29" ht="32.25" hidden="1" customHeight="1">
      <c r="A2973" s="17"/>
      <c r="B2973" s="9" t="s">
        <v>13284</v>
      </c>
      <c r="C2973" s="9" t="s">
        <v>13284</v>
      </c>
      <c r="D2973" s="9" t="s">
        <v>13284</v>
      </c>
      <c r="E2973" s="9" t="s">
        <v>13284</v>
      </c>
      <c r="F2973" s="9" t="s">
        <v>13284</v>
      </c>
      <c r="G2973" s="9" t="s">
        <v>13284</v>
      </c>
      <c r="H2973" s="9" t="s">
        <v>13284</v>
      </c>
      <c r="I2973" s="9" t="s">
        <v>13284</v>
      </c>
      <c r="J2973" s="9" t="s">
        <v>13284</v>
      </c>
      <c r="K2973" s="9" t="s">
        <v>13284</v>
      </c>
      <c r="L2973" s="9" t="s">
        <v>13284</v>
      </c>
      <c r="M2973" s="9" t="s">
        <v>13284</v>
      </c>
      <c r="N2973" s="9" t="s">
        <v>13284</v>
      </c>
      <c r="O2973" s="9" t="s">
        <v>13284</v>
      </c>
      <c r="P2973" s="9" t="s">
        <v>13284</v>
      </c>
      <c r="Q2973" s="9" t="s">
        <v>13284</v>
      </c>
      <c r="R2973" s="9" t="s">
        <v>13284</v>
      </c>
      <c r="S2973" s="9" t="s">
        <v>13284</v>
      </c>
      <c r="T2973" s="9" t="str">
        <f ca="1">IFERROR(IF(AND(VLOOKUP(A2973, 'Актуальное состояние (из общего'!A:C,3,0) = "", A2973 &lt;&gt; ""), "ПРОВЕРИТЬ", VLOOKUP(A2973, 'Актуальное состояние (из общего'!A:C,3,0)), "")</f>
        <v/>
      </c>
      <c r="U2973" s="9" t="s">
        <v>13284</v>
      </c>
      <c r="V2973" s="9" t="s">
        <v>13284</v>
      </c>
      <c r="W2973" s="12"/>
      <c r="X2973" s="9" t="str">
        <f t="array" ref="X2973">IFERROR(INDEX('Адреса общежитий (скрытый)'!$B$2:$B$9, MATCH(W2973, 'Адреса общежитий (скрытый)'!$A$2:$A$9, 0)), "")</f>
        <v/>
      </c>
      <c r="Y2973" s="18"/>
      <c r="Z2973" s="18"/>
      <c r="AA2973" s="18"/>
      <c r="AB2973" s="18"/>
      <c r="AC2973" s="18"/>
    </row>
    <row r="2974" spans="1:29" ht="32.25" hidden="1" customHeight="1">
      <c r="A2974" s="17"/>
      <c r="B2974" s="9" t="s">
        <v>13284</v>
      </c>
      <c r="C2974" s="9" t="s">
        <v>13284</v>
      </c>
      <c r="D2974" s="9" t="s">
        <v>13284</v>
      </c>
      <c r="E2974" s="9" t="s">
        <v>13284</v>
      </c>
      <c r="F2974" s="9" t="s">
        <v>13284</v>
      </c>
      <c r="G2974" s="9" t="s">
        <v>13284</v>
      </c>
      <c r="H2974" s="9" t="s">
        <v>13284</v>
      </c>
      <c r="I2974" s="9" t="s">
        <v>13284</v>
      </c>
      <c r="J2974" s="9" t="s">
        <v>13284</v>
      </c>
      <c r="K2974" s="9" t="s">
        <v>13284</v>
      </c>
      <c r="L2974" s="9" t="s">
        <v>13284</v>
      </c>
      <c r="M2974" s="9" t="s">
        <v>13284</v>
      </c>
      <c r="N2974" s="9" t="s">
        <v>13284</v>
      </c>
      <c r="O2974" s="9" t="s">
        <v>13284</v>
      </c>
      <c r="P2974" s="9" t="s">
        <v>13284</v>
      </c>
      <c r="Q2974" s="9" t="s">
        <v>13284</v>
      </c>
      <c r="R2974" s="9" t="s">
        <v>13284</v>
      </c>
      <c r="S2974" s="9" t="s">
        <v>13284</v>
      </c>
      <c r="T2974" s="9" t="str">
        <f ca="1">IFERROR(IF(AND(VLOOKUP(A2974, 'Актуальное состояние (из общего'!A:C,3,0) = "", A2974 &lt;&gt; ""), "ПРОВЕРИТЬ", VLOOKUP(A2974, 'Актуальное состояние (из общего'!A:C,3,0)), "")</f>
        <v/>
      </c>
      <c r="U2974" s="9" t="s">
        <v>13284</v>
      </c>
      <c r="V2974" s="9" t="s">
        <v>13284</v>
      </c>
      <c r="W2974" s="12"/>
      <c r="X2974" s="9" t="str">
        <f t="array" ref="X2974">IFERROR(INDEX('Адреса общежитий (скрытый)'!$B$2:$B$9, MATCH(W2974, 'Адреса общежитий (скрытый)'!$A$2:$A$9, 0)), "")</f>
        <v/>
      </c>
      <c r="Y2974" s="18"/>
      <c r="Z2974" s="18"/>
      <c r="AA2974" s="18"/>
      <c r="AB2974" s="18"/>
      <c r="AC2974" s="18"/>
    </row>
    <row r="2975" spans="1:29" ht="32.25" hidden="1" customHeight="1">
      <c r="A2975" s="17"/>
      <c r="B2975" s="9" t="s">
        <v>13284</v>
      </c>
      <c r="C2975" s="9" t="s">
        <v>13284</v>
      </c>
      <c r="D2975" s="9" t="s">
        <v>13284</v>
      </c>
      <c r="E2975" s="9" t="s">
        <v>13284</v>
      </c>
      <c r="F2975" s="9" t="s">
        <v>13284</v>
      </c>
      <c r="G2975" s="9" t="s">
        <v>13284</v>
      </c>
      <c r="H2975" s="9" t="s">
        <v>13284</v>
      </c>
      <c r="I2975" s="9" t="s">
        <v>13284</v>
      </c>
      <c r="J2975" s="9" t="s">
        <v>13284</v>
      </c>
      <c r="K2975" s="9" t="s">
        <v>13284</v>
      </c>
      <c r="L2975" s="9" t="s">
        <v>13284</v>
      </c>
      <c r="M2975" s="9" t="s">
        <v>13284</v>
      </c>
      <c r="N2975" s="9" t="s">
        <v>13284</v>
      </c>
      <c r="O2975" s="9" t="s">
        <v>13284</v>
      </c>
      <c r="P2975" s="9" t="s">
        <v>13284</v>
      </c>
      <c r="Q2975" s="9" t="s">
        <v>13284</v>
      </c>
      <c r="R2975" s="9" t="s">
        <v>13284</v>
      </c>
      <c r="S2975" s="9" t="s">
        <v>13284</v>
      </c>
      <c r="T2975" s="9" t="str">
        <f ca="1">IFERROR(IF(AND(VLOOKUP(A2975, 'Актуальное состояние (из общего'!A:C,3,0) = "", A2975 &lt;&gt; ""), "ПРОВЕРИТЬ", VLOOKUP(A2975, 'Актуальное состояние (из общего'!A:C,3,0)), "")</f>
        <v/>
      </c>
      <c r="U2975" s="9" t="s">
        <v>13284</v>
      </c>
      <c r="V2975" s="9" t="s">
        <v>13284</v>
      </c>
      <c r="W2975" s="12"/>
      <c r="X2975" s="9" t="str">
        <f t="array" ref="X2975">IFERROR(INDEX('Адреса общежитий (скрытый)'!$B$2:$B$9, MATCH(W2975, 'Адреса общежитий (скрытый)'!$A$2:$A$9, 0)), "")</f>
        <v/>
      </c>
      <c r="Y2975" s="18"/>
      <c r="Z2975" s="18"/>
      <c r="AA2975" s="18"/>
      <c r="AB2975" s="18"/>
      <c r="AC2975" s="18"/>
    </row>
    <row r="2976" spans="1:29" ht="32.25" hidden="1" customHeight="1">
      <c r="A2976" s="17"/>
      <c r="B2976" s="9" t="s">
        <v>13284</v>
      </c>
      <c r="C2976" s="9" t="s">
        <v>13284</v>
      </c>
      <c r="D2976" s="9" t="s">
        <v>13284</v>
      </c>
      <c r="E2976" s="9" t="s">
        <v>13284</v>
      </c>
      <c r="F2976" s="9" t="s">
        <v>13284</v>
      </c>
      <c r="G2976" s="9" t="s">
        <v>13284</v>
      </c>
      <c r="H2976" s="9" t="s">
        <v>13284</v>
      </c>
      <c r="I2976" s="9" t="s">
        <v>13284</v>
      </c>
      <c r="J2976" s="9" t="s">
        <v>13284</v>
      </c>
      <c r="K2976" s="9" t="s">
        <v>13284</v>
      </c>
      <c r="L2976" s="9" t="s">
        <v>13284</v>
      </c>
      <c r="M2976" s="9" t="s">
        <v>13284</v>
      </c>
      <c r="N2976" s="9" t="s">
        <v>13284</v>
      </c>
      <c r="O2976" s="9" t="s">
        <v>13284</v>
      </c>
      <c r="P2976" s="9" t="s">
        <v>13284</v>
      </c>
      <c r="Q2976" s="9" t="s">
        <v>13284</v>
      </c>
      <c r="R2976" s="9" t="s">
        <v>13284</v>
      </c>
      <c r="S2976" s="9" t="s">
        <v>13284</v>
      </c>
      <c r="T2976" s="9" t="str">
        <f ca="1">IFERROR(IF(AND(VLOOKUP(A2976, 'Актуальное состояние (из общего'!A:C,3,0) = "", A2976 &lt;&gt; ""), "ПРОВЕРИТЬ", VLOOKUP(A2976, 'Актуальное состояние (из общего'!A:C,3,0)), "")</f>
        <v/>
      </c>
      <c r="U2976" s="9" t="s">
        <v>13284</v>
      </c>
      <c r="V2976" s="9" t="s">
        <v>13284</v>
      </c>
      <c r="W2976" s="12"/>
      <c r="X2976" s="9" t="str">
        <f t="array" ref="X2976">IFERROR(INDEX('Адреса общежитий (скрытый)'!$B$2:$B$9, MATCH(W2976, 'Адреса общежитий (скрытый)'!$A$2:$A$9, 0)), "")</f>
        <v/>
      </c>
      <c r="Y2976" s="18"/>
      <c r="Z2976" s="18"/>
      <c r="AA2976" s="18"/>
      <c r="AB2976" s="18"/>
      <c r="AC2976" s="18"/>
    </row>
    <row r="2977" spans="1:29" ht="32.25" hidden="1" customHeight="1">
      <c r="A2977" s="17"/>
      <c r="B2977" s="9" t="s">
        <v>13284</v>
      </c>
      <c r="C2977" s="9" t="s">
        <v>13284</v>
      </c>
      <c r="D2977" s="9" t="s">
        <v>13284</v>
      </c>
      <c r="E2977" s="9" t="s">
        <v>13284</v>
      </c>
      <c r="F2977" s="9" t="s">
        <v>13284</v>
      </c>
      <c r="G2977" s="9" t="s">
        <v>13284</v>
      </c>
      <c r="H2977" s="9" t="s">
        <v>13284</v>
      </c>
      <c r="I2977" s="9" t="s">
        <v>13284</v>
      </c>
      <c r="J2977" s="9" t="s">
        <v>13284</v>
      </c>
      <c r="K2977" s="9" t="s">
        <v>13284</v>
      </c>
      <c r="L2977" s="9" t="s">
        <v>13284</v>
      </c>
      <c r="M2977" s="9" t="s">
        <v>13284</v>
      </c>
      <c r="N2977" s="9" t="s">
        <v>13284</v>
      </c>
      <c r="O2977" s="9" t="s">
        <v>13284</v>
      </c>
      <c r="P2977" s="9" t="s">
        <v>13284</v>
      </c>
      <c r="Q2977" s="9" t="s">
        <v>13284</v>
      </c>
      <c r="R2977" s="9" t="s">
        <v>13284</v>
      </c>
      <c r="S2977" s="9" t="s">
        <v>13284</v>
      </c>
      <c r="T2977" s="9" t="str">
        <f ca="1">IFERROR(IF(AND(VLOOKUP(A2977, 'Актуальное состояние (из общего'!A:C,3,0) = "", A2977 &lt;&gt; ""), "ПРОВЕРИТЬ", VLOOKUP(A2977, 'Актуальное состояние (из общего'!A:C,3,0)), "")</f>
        <v/>
      </c>
      <c r="U2977" s="9" t="s">
        <v>13284</v>
      </c>
      <c r="V2977" s="9" t="s">
        <v>13284</v>
      </c>
      <c r="W2977" s="12"/>
      <c r="X2977" s="9" t="str">
        <f t="array" ref="X2977">IFERROR(INDEX('Адреса общежитий (скрытый)'!$B$2:$B$9, MATCH(W2977, 'Адреса общежитий (скрытый)'!$A$2:$A$9, 0)), "")</f>
        <v/>
      </c>
      <c r="Y2977" s="18"/>
      <c r="Z2977" s="18"/>
      <c r="AA2977" s="18"/>
      <c r="AB2977" s="18"/>
      <c r="AC2977" s="18"/>
    </row>
    <row r="2978" spans="1:29" ht="32.25" hidden="1" customHeight="1">
      <c r="A2978" s="17"/>
      <c r="B2978" s="9" t="s">
        <v>13284</v>
      </c>
      <c r="C2978" s="9" t="s">
        <v>13284</v>
      </c>
      <c r="D2978" s="9" t="s">
        <v>13284</v>
      </c>
      <c r="E2978" s="9" t="s">
        <v>13284</v>
      </c>
      <c r="F2978" s="9" t="s">
        <v>13284</v>
      </c>
      <c r="G2978" s="9" t="s">
        <v>13284</v>
      </c>
      <c r="H2978" s="9" t="s">
        <v>13284</v>
      </c>
      <c r="I2978" s="9" t="s">
        <v>13284</v>
      </c>
      <c r="J2978" s="9" t="s">
        <v>13284</v>
      </c>
      <c r="K2978" s="9" t="s">
        <v>13284</v>
      </c>
      <c r="L2978" s="9" t="s">
        <v>13284</v>
      </c>
      <c r="M2978" s="9" t="s">
        <v>13284</v>
      </c>
      <c r="N2978" s="9" t="s">
        <v>13284</v>
      </c>
      <c r="O2978" s="9" t="s">
        <v>13284</v>
      </c>
      <c r="P2978" s="9" t="s">
        <v>13284</v>
      </c>
      <c r="Q2978" s="9" t="s">
        <v>13284</v>
      </c>
      <c r="R2978" s="9" t="s">
        <v>13284</v>
      </c>
      <c r="S2978" s="9" t="s">
        <v>13284</v>
      </c>
      <c r="T2978" s="9" t="str">
        <f ca="1">IFERROR(IF(AND(VLOOKUP(A2978, 'Актуальное состояние (из общего'!A:C,3,0) = "", A2978 &lt;&gt; ""), "ПРОВЕРИТЬ", VLOOKUP(A2978, 'Актуальное состояние (из общего'!A:C,3,0)), "")</f>
        <v/>
      </c>
      <c r="U2978" s="9" t="s">
        <v>13284</v>
      </c>
      <c r="V2978" s="9" t="s">
        <v>13284</v>
      </c>
      <c r="W2978" s="12"/>
      <c r="X2978" s="9" t="str">
        <f t="array" ref="X2978">IFERROR(INDEX('Адреса общежитий (скрытый)'!$B$2:$B$9, MATCH(W2978, 'Адреса общежитий (скрытый)'!$A$2:$A$9, 0)), "")</f>
        <v/>
      </c>
      <c r="Y2978" s="18"/>
      <c r="Z2978" s="18"/>
      <c r="AA2978" s="18"/>
      <c r="AB2978" s="18"/>
      <c r="AC2978" s="18"/>
    </row>
    <row r="2979" spans="1:29" ht="32.25" hidden="1" customHeight="1">
      <c r="A2979" s="17"/>
      <c r="B2979" s="9" t="s">
        <v>13284</v>
      </c>
      <c r="C2979" s="9" t="s">
        <v>13284</v>
      </c>
      <c r="D2979" s="9" t="s">
        <v>13284</v>
      </c>
      <c r="E2979" s="9" t="s">
        <v>13284</v>
      </c>
      <c r="F2979" s="9" t="s">
        <v>13284</v>
      </c>
      <c r="G2979" s="9" t="s">
        <v>13284</v>
      </c>
      <c r="H2979" s="9" t="s">
        <v>13284</v>
      </c>
      <c r="I2979" s="9" t="s">
        <v>13284</v>
      </c>
      <c r="J2979" s="9" t="s">
        <v>13284</v>
      </c>
      <c r="K2979" s="9" t="s">
        <v>13284</v>
      </c>
      <c r="L2979" s="9" t="s">
        <v>13284</v>
      </c>
      <c r="M2979" s="9" t="s">
        <v>13284</v>
      </c>
      <c r="N2979" s="9" t="s">
        <v>13284</v>
      </c>
      <c r="O2979" s="9" t="s">
        <v>13284</v>
      </c>
      <c r="P2979" s="9" t="s">
        <v>13284</v>
      </c>
      <c r="Q2979" s="9" t="s">
        <v>13284</v>
      </c>
      <c r="R2979" s="9" t="s">
        <v>13284</v>
      </c>
      <c r="S2979" s="9" t="s">
        <v>13284</v>
      </c>
      <c r="T2979" s="9" t="str">
        <f ca="1">IFERROR(IF(AND(VLOOKUP(A2979, 'Актуальное состояние (из общего'!A:C,3,0) = "", A2979 &lt;&gt; ""), "ПРОВЕРИТЬ", VLOOKUP(A2979, 'Актуальное состояние (из общего'!A:C,3,0)), "")</f>
        <v/>
      </c>
      <c r="U2979" s="9" t="s">
        <v>13284</v>
      </c>
      <c r="V2979" s="9" t="s">
        <v>13284</v>
      </c>
      <c r="W2979" s="12"/>
      <c r="X2979" s="9" t="str">
        <f t="array" ref="X2979">IFERROR(INDEX('Адреса общежитий (скрытый)'!$B$2:$B$9, MATCH(W2979, 'Адреса общежитий (скрытый)'!$A$2:$A$9, 0)), "")</f>
        <v/>
      </c>
      <c r="Y2979" s="18"/>
      <c r="Z2979" s="18"/>
      <c r="AA2979" s="18"/>
      <c r="AB2979" s="18"/>
      <c r="AC2979" s="18"/>
    </row>
    <row r="2980" spans="1:29" ht="32.25" hidden="1" customHeight="1">
      <c r="A2980" s="17"/>
      <c r="B2980" s="9" t="s">
        <v>13284</v>
      </c>
      <c r="C2980" s="9" t="s">
        <v>13284</v>
      </c>
      <c r="D2980" s="9" t="s">
        <v>13284</v>
      </c>
      <c r="E2980" s="9" t="s">
        <v>13284</v>
      </c>
      <c r="F2980" s="9" t="s">
        <v>13284</v>
      </c>
      <c r="G2980" s="9" t="s">
        <v>13284</v>
      </c>
      <c r="H2980" s="9" t="s">
        <v>13284</v>
      </c>
      <c r="I2980" s="9" t="s">
        <v>13284</v>
      </c>
      <c r="J2980" s="9" t="s">
        <v>13284</v>
      </c>
      <c r="K2980" s="9" t="s">
        <v>13284</v>
      </c>
      <c r="L2980" s="9" t="s">
        <v>13284</v>
      </c>
      <c r="M2980" s="9" t="s">
        <v>13284</v>
      </c>
      <c r="N2980" s="9" t="s">
        <v>13284</v>
      </c>
      <c r="O2980" s="9" t="s">
        <v>13284</v>
      </c>
      <c r="P2980" s="9" t="s">
        <v>13284</v>
      </c>
      <c r="Q2980" s="9" t="s">
        <v>13284</v>
      </c>
      <c r="R2980" s="9" t="s">
        <v>13284</v>
      </c>
      <c r="S2980" s="9" t="s">
        <v>13284</v>
      </c>
      <c r="T2980" s="9" t="str">
        <f ca="1">IFERROR(IF(AND(VLOOKUP(A2980, 'Актуальное состояние (из общего'!A:C,3,0) = "", A2980 &lt;&gt; ""), "ПРОВЕРИТЬ", VLOOKUP(A2980, 'Актуальное состояние (из общего'!A:C,3,0)), "")</f>
        <v/>
      </c>
      <c r="U2980" s="9" t="s">
        <v>13284</v>
      </c>
      <c r="V2980" s="9" t="s">
        <v>13284</v>
      </c>
      <c r="W2980" s="12"/>
      <c r="X2980" s="9" t="str">
        <f t="array" ref="X2980">IFERROR(INDEX('Адреса общежитий (скрытый)'!$B$2:$B$9, MATCH(W2980, 'Адреса общежитий (скрытый)'!$A$2:$A$9, 0)), "")</f>
        <v/>
      </c>
      <c r="Y2980" s="18"/>
      <c r="Z2980" s="18"/>
      <c r="AA2980" s="18"/>
      <c r="AB2980" s="18"/>
      <c r="AC2980" s="18"/>
    </row>
    <row r="2981" spans="1:29" ht="32.25" hidden="1" customHeight="1">
      <c r="A2981" s="17"/>
      <c r="B2981" s="9" t="s">
        <v>13284</v>
      </c>
      <c r="C2981" s="9" t="s">
        <v>13284</v>
      </c>
      <c r="D2981" s="9" t="s">
        <v>13284</v>
      </c>
      <c r="E2981" s="9" t="s">
        <v>13284</v>
      </c>
      <c r="F2981" s="9" t="s">
        <v>13284</v>
      </c>
      <c r="G2981" s="9" t="s">
        <v>13284</v>
      </c>
      <c r="H2981" s="9" t="s">
        <v>13284</v>
      </c>
      <c r="I2981" s="9" t="s">
        <v>13284</v>
      </c>
      <c r="J2981" s="9" t="s">
        <v>13284</v>
      </c>
      <c r="K2981" s="9" t="s">
        <v>13284</v>
      </c>
      <c r="L2981" s="9" t="s">
        <v>13284</v>
      </c>
      <c r="M2981" s="9" t="s">
        <v>13284</v>
      </c>
      <c r="N2981" s="9" t="s">
        <v>13284</v>
      </c>
      <c r="O2981" s="9" t="s">
        <v>13284</v>
      </c>
      <c r="P2981" s="9" t="s">
        <v>13284</v>
      </c>
      <c r="Q2981" s="9" t="s">
        <v>13284</v>
      </c>
      <c r="R2981" s="9" t="s">
        <v>13284</v>
      </c>
      <c r="S2981" s="9" t="s">
        <v>13284</v>
      </c>
      <c r="T2981" s="9" t="str">
        <f ca="1">IFERROR(IF(AND(VLOOKUP(A2981, 'Актуальное состояние (из общего'!A:C,3,0) = "", A2981 &lt;&gt; ""), "ПРОВЕРИТЬ", VLOOKUP(A2981, 'Актуальное состояние (из общего'!A:C,3,0)), "")</f>
        <v/>
      </c>
      <c r="U2981" s="9" t="s">
        <v>13284</v>
      </c>
      <c r="V2981" s="9" t="s">
        <v>13284</v>
      </c>
      <c r="W2981" s="12"/>
      <c r="X2981" s="9" t="str">
        <f t="array" ref="X2981">IFERROR(INDEX('Адреса общежитий (скрытый)'!$B$2:$B$9, MATCH(W2981, 'Адреса общежитий (скрытый)'!$A$2:$A$9, 0)), "")</f>
        <v/>
      </c>
      <c r="Y2981" s="18"/>
      <c r="Z2981" s="18"/>
      <c r="AA2981" s="18"/>
      <c r="AB2981" s="18"/>
      <c r="AC2981" s="18"/>
    </row>
    <row r="2982" spans="1:29" ht="32.25" hidden="1" customHeight="1">
      <c r="A2982" s="17"/>
      <c r="B2982" s="9" t="s">
        <v>13284</v>
      </c>
      <c r="C2982" s="9" t="s">
        <v>13284</v>
      </c>
      <c r="D2982" s="9" t="s">
        <v>13284</v>
      </c>
      <c r="E2982" s="9" t="s">
        <v>13284</v>
      </c>
      <c r="F2982" s="9" t="s">
        <v>13284</v>
      </c>
      <c r="G2982" s="9" t="s">
        <v>13284</v>
      </c>
      <c r="H2982" s="9" t="s">
        <v>13284</v>
      </c>
      <c r="I2982" s="9" t="s">
        <v>13284</v>
      </c>
      <c r="J2982" s="9" t="s">
        <v>13284</v>
      </c>
      <c r="K2982" s="9" t="s">
        <v>13284</v>
      </c>
      <c r="L2982" s="9" t="s">
        <v>13284</v>
      </c>
      <c r="M2982" s="9" t="s">
        <v>13284</v>
      </c>
      <c r="N2982" s="9" t="s">
        <v>13284</v>
      </c>
      <c r="O2982" s="9" t="s">
        <v>13284</v>
      </c>
      <c r="P2982" s="9" t="s">
        <v>13284</v>
      </c>
      <c r="Q2982" s="9" t="s">
        <v>13284</v>
      </c>
      <c r="R2982" s="9" t="s">
        <v>13284</v>
      </c>
      <c r="S2982" s="9" t="s">
        <v>13284</v>
      </c>
      <c r="T2982" s="9" t="str">
        <f ca="1">IFERROR(IF(AND(VLOOKUP(A2982, 'Актуальное состояние (из общего'!A:C,3,0) = "", A2982 &lt;&gt; ""), "ПРОВЕРИТЬ", VLOOKUP(A2982, 'Актуальное состояние (из общего'!A:C,3,0)), "")</f>
        <v/>
      </c>
      <c r="U2982" s="9" t="s">
        <v>13284</v>
      </c>
      <c r="V2982" s="9" t="s">
        <v>13284</v>
      </c>
      <c r="W2982" s="12"/>
      <c r="X2982" s="9" t="str">
        <f t="array" ref="X2982">IFERROR(INDEX('Адреса общежитий (скрытый)'!$B$2:$B$9, MATCH(W2982, 'Адреса общежитий (скрытый)'!$A$2:$A$9, 0)), "")</f>
        <v/>
      </c>
      <c r="Y2982" s="18"/>
      <c r="Z2982" s="18"/>
      <c r="AA2982" s="18"/>
      <c r="AB2982" s="18"/>
      <c r="AC2982" s="18"/>
    </row>
    <row r="2983" spans="1:29" ht="32.25" hidden="1" customHeight="1">
      <c r="A2983" s="17"/>
      <c r="B2983" s="9" t="s">
        <v>13284</v>
      </c>
      <c r="C2983" s="9" t="s">
        <v>13284</v>
      </c>
      <c r="D2983" s="9" t="s">
        <v>13284</v>
      </c>
      <c r="E2983" s="9" t="s">
        <v>13284</v>
      </c>
      <c r="F2983" s="9" t="s">
        <v>13284</v>
      </c>
      <c r="G2983" s="9" t="s">
        <v>13284</v>
      </c>
      <c r="H2983" s="9" t="s">
        <v>13284</v>
      </c>
      <c r="I2983" s="9" t="s">
        <v>13284</v>
      </c>
      <c r="J2983" s="9" t="s">
        <v>13284</v>
      </c>
      <c r="K2983" s="9" t="s">
        <v>13284</v>
      </c>
      <c r="L2983" s="9" t="s">
        <v>13284</v>
      </c>
      <c r="M2983" s="9" t="s">
        <v>13284</v>
      </c>
      <c r="N2983" s="9" t="s">
        <v>13284</v>
      </c>
      <c r="O2983" s="9" t="s">
        <v>13284</v>
      </c>
      <c r="P2983" s="9" t="s">
        <v>13284</v>
      </c>
      <c r="Q2983" s="9" t="s">
        <v>13284</v>
      </c>
      <c r="R2983" s="9" t="s">
        <v>13284</v>
      </c>
      <c r="S2983" s="9" t="s">
        <v>13284</v>
      </c>
      <c r="T2983" s="9" t="str">
        <f ca="1">IFERROR(IF(AND(VLOOKUP(A2983, 'Актуальное состояние (из общего'!A:C,3,0) = "", A2983 &lt;&gt; ""), "ПРОВЕРИТЬ", VLOOKUP(A2983, 'Актуальное состояние (из общего'!A:C,3,0)), "")</f>
        <v/>
      </c>
      <c r="U2983" s="9" t="s">
        <v>13284</v>
      </c>
      <c r="V2983" s="9" t="s">
        <v>13284</v>
      </c>
      <c r="W2983" s="12"/>
      <c r="X2983" s="9" t="str">
        <f t="array" ref="X2983">IFERROR(INDEX('Адреса общежитий (скрытый)'!$B$2:$B$9, MATCH(W2983, 'Адреса общежитий (скрытый)'!$A$2:$A$9, 0)), "")</f>
        <v/>
      </c>
      <c r="Y2983" s="18"/>
      <c r="Z2983" s="18"/>
      <c r="AA2983" s="18"/>
      <c r="AB2983" s="18"/>
      <c r="AC2983" s="18"/>
    </row>
    <row r="2984" spans="1:29" ht="32.25" hidden="1" customHeight="1">
      <c r="A2984" s="17"/>
      <c r="B2984" s="9" t="s">
        <v>13284</v>
      </c>
      <c r="C2984" s="9" t="s">
        <v>13284</v>
      </c>
      <c r="D2984" s="9" t="s">
        <v>13284</v>
      </c>
      <c r="E2984" s="9" t="s">
        <v>13284</v>
      </c>
      <c r="F2984" s="9" t="s">
        <v>13284</v>
      </c>
      <c r="G2984" s="9" t="s">
        <v>13284</v>
      </c>
      <c r="H2984" s="9" t="s">
        <v>13284</v>
      </c>
      <c r="I2984" s="9" t="s">
        <v>13284</v>
      </c>
      <c r="J2984" s="9" t="s">
        <v>13284</v>
      </c>
      <c r="K2984" s="9" t="s">
        <v>13284</v>
      </c>
      <c r="L2984" s="9" t="s">
        <v>13284</v>
      </c>
      <c r="M2984" s="9" t="s">
        <v>13284</v>
      </c>
      <c r="N2984" s="9" t="s">
        <v>13284</v>
      </c>
      <c r="O2984" s="9" t="s">
        <v>13284</v>
      </c>
      <c r="P2984" s="9" t="s">
        <v>13284</v>
      </c>
      <c r="Q2984" s="9" t="s">
        <v>13284</v>
      </c>
      <c r="R2984" s="9" t="s">
        <v>13284</v>
      </c>
      <c r="S2984" s="9" t="s">
        <v>13284</v>
      </c>
      <c r="T2984" s="9" t="str">
        <f ca="1">IFERROR(IF(AND(VLOOKUP(A2984, 'Актуальное состояние (из общего'!A:C,3,0) = "", A2984 &lt;&gt; ""), "ПРОВЕРИТЬ", VLOOKUP(A2984, 'Актуальное состояние (из общего'!A:C,3,0)), "")</f>
        <v/>
      </c>
      <c r="U2984" s="9" t="s">
        <v>13284</v>
      </c>
      <c r="V2984" s="9" t="s">
        <v>13284</v>
      </c>
      <c r="W2984" s="12"/>
      <c r="X2984" s="9" t="str">
        <f t="array" ref="X2984">IFERROR(INDEX('Адреса общежитий (скрытый)'!$B$2:$B$9, MATCH(W2984, 'Адреса общежитий (скрытый)'!$A$2:$A$9, 0)), "")</f>
        <v/>
      </c>
      <c r="Y2984" s="18"/>
      <c r="Z2984" s="18"/>
      <c r="AA2984" s="18"/>
      <c r="AB2984" s="18"/>
      <c r="AC2984" s="18"/>
    </row>
    <row r="2985" spans="1:29" ht="32.25" hidden="1" customHeight="1">
      <c r="A2985" s="17"/>
      <c r="B2985" s="9" t="s">
        <v>13284</v>
      </c>
      <c r="C2985" s="9" t="s">
        <v>13284</v>
      </c>
      <c r="D2985" s="9" t="s">
        <v>13284</v>
      </c>
      <c r="E2985" s="9" t="s">
        <v>13284</v>
      </c>
      <c r="F2985" s="9" t="s">
        <v>13284</v>
      </c>
      <c r="G2985" s="9" t="s">
        <v>13284</v>
      </c>
      <c r="H2985" s="9" t="s">
        <v>13284</v>
      </c>
      <c r="I2985" s="9" t="s">
        <v>13284</v>
      </c>
      <c r="J2985" s="9" t="s">
        <v>13284</v>
      </c>
      <c r="K2985" s="9" t="s">
        <v>13284</v>
      </c>
      <c r="L2985" s="9" t="s">
        <v>13284</v>
      </c>
      <c r="M2985" s="9" t="s">
        <v>13284</v>
      </c>
      <c r="N2985" s="9" t="s">
        <v>13284</v>
      </c>
      <c r="O2985" s="9" t="s">
        <v>13284</v>
      </c>
      <c r="P2985" s="9" t="s">
        <v>13284</v>
      </c>
      <c r="Q2985" s="9" t="s">
        <v>13284</v>
      </c>
      <c r="R2985" s="9" t="s">
        <v>13284</v>
      </c>
      <c r="S2985" s="9" t="s">
        <v>13284</v>
      </c>
      <c r="T2985" s="9" t="str">
        <f ca="1">IFERROR(IF(AND(VLOOKUP(A2985, 'Актуальное состояние (из общего'!A:C,3,0) = "", A2985 &lt;&gt; ""), "ПРОВЕРИТЬ", VLOOKUP(A2985, 'Актуальное состояние (из общего'!A:C,3,0)), "")</f>
        <v/>
      </c>
      <c r="U2985" s="9" t="s">
        <v>13284</v>
      </c>
      <c r="V2985" s="9" t="s">
        <v>13284</v>
      </c>
      <c r="W2985" s="12"/>
      <c r="X2985" s="9" t="str">
        <f t="array" ref="X2985">IFERROR(INDEX('Адреса общежитий (скрытый)'!$B$2:$B$9, MATCH(W2985, 'Адреса общежитий (скрытый)'!$A$2:$A$9, 0)), "")</f>
        <v/>
      </c>
      <c r="Y2985" s="18"/>
      <c r="Z2985" s="18"/>
      <c r="AA2985" s="18"/>
      <c r="AB2985" s="18"/>
      <c r="AC2985" s="18"/>
    </row>
    <row r="2986" spans="1:29" ht="32.25" hidden="1" customHeight="1">
      <c r="A2986" s="17"/>
      <c r="B2986" s="9" t="s">
        <v>13284</v>
      </c>
      <c r="C2986" s="9" t="s">
        <v>13284</v>
      </c>
      <c r="D2986" s="9" t="s">
        <v>13284</v>
      </c>
      <c r="E2986" s="9" t="s">
        <v>13284</v>
      </c>
      <c r="F2986" s="9" t="s">
        <v>13284</v>
      </c>
      <c r="G2986" s="9" t="s">
        <v>13284</v>
      </c>
      <c r="H2986" s="9" t="s">
        <v>13284</v>
      </c>
      <c r="I2986" s="9" t="s">
        <v>13284</v>
      </c>
      <c r="J2986" s="9" t="s">
        <v>13284</v>
      </c>
      <c r="K2986" s="9" t="s">
        <v>13284</v>
      </c>
      <c r="L2986" s="9" t="s">
        <v>13284</v>
      </c>
      <c r="M2986" s="9" t="s">
        <v>13284</v>
      </c>
      <c r="N2986" s="9" t="s">
        <v>13284</v>
      </c>
      <c r="O2986" s="9" t="s">
        <v>13284</v>
      </c>
      <c r="P2986" s="9" t="s">
        <v>13284</v>
      </c>
      <c r="Q2986" s="9" t="s">
        <v>13284</v>
      </c>
      <c r="R2986" s="9" t="s">
        <v>13284</v>
      </c>
      <c r="S2986" s="9" t="s">
        <v>13284</v>
      </c>
      <c r="T2986" s="9" t="str">
        <f ca="1">IFERROR(IF(AND(VLOOKUP(A2986, 'Актуальное состояние (из общего'!A:C,3,0) = "", A2986 &lt;&gt; ""), "ПРОВЕРИТЬ", VLOOKUP(A2986, 'Актуальное состояние (из общего'!A:C,3,0)), "")</f>
        <v/>
      </c>
      <c r="U2986" s="9" t="s">
        <v>13284</v>
      </c>
      <c r="V2986" s="9" t="s">
        <v>13284</v>
      </c>
      <c r="W2986" s="12"/>
      <c r="X2986" s="9" t="str">
        <f t="array" ref="X2986">IFERROR(INDEX('Адреса общежитий (скрытый)'!$B$2:$B$9, MATCH(W2986, 'Адреса общежитий (скрытый)'!$A$2:$A$9, 0)), "")</f>
        <v/>
      </c>
      <c r="Y2986" s="18"/>
      <c r="Z2986" s="18"/>
      <c r="AA2986" s="18"/>
      <c r="AB2986" s="18"/>
      <c r="AC2986" s="18"/>
    </row>
    <row r="2987" spans="1:29" ht="32.25" hidden="1" customHeight="1">
      <c r="A2987" s="17"/>
      <c r="B2987" s="9" t="s">
        <v>13284</v>
      </c>
      <c r="C2987" s="9" t="s">
        <v>13284</v>
      </c>
      <c r="D2987" s="9" t="s">
        <v>13284</v>
      </c>
      <c r="E2987" s="9" t="s">
        <v>13284</v>
      </c>
      <c r="F2987" s="9" t="s">
        <v>13284</v>
      </c>
      <c r="G2987" s="9" t="s">
        <v>13284</v>
      </c>
      <c r="H2987" s="9" t="s">
        <v>13284</v>
      </c>
      <c r="I2987" s="9" t="s">
        <v>13284</v>
      </c>
      <c r="J2987" s="9" t="s">
        <v>13284</v>
      </c>
      <c r="K2987" s="9" t="s">
        <v>13284</v>
      </c>
      <c r="L2987" s="9" t="s">
        <v>13284</v>
      </c>
      <c r="M2987" s="9" t="s">
        <v>13284</v>
      </c>
      <c r="N2987" s="9" t="s">
        <v>13284</v>
      </c>
      <c r="O2987" s="9" t="s">
        <v>13284</v>
      </c>
      <c r="P2987" s="9" t="s">
        <v>13284</v>
      </c>
      <c r="Q2987" s="9" t="s">
        <v>13284</v>
      </c>
      <c r="R2987" s="9" t="s">
        <v>13284</v>
      </c>
      <c r="S2987" s="9" t="s">
        <v>13284</v>
      </c>
      <c r="T2987" s="9" t="str">
        <f ca="1">IFERROR(IF(AND(VLOOKUP(A2987, 'Актуальное состояние (из общего'!A:C,3,0) = "", A2987 &lt;&gt; ""), "ПРОВЕРИТЬ", VLOOKUP(A2987, 'Актуальное состояние (из общего'!A:C,3,0)), "")</f>
        <v/>
      </c>
      <c r="U2987" s="9" t="s">
        <v>13284</v>
      </c>
      <c r="V2987" s="9" t="s">
        <v>13284</v>
      </c>
      <c r="W2987" s="12"/>
      <c r="X2987" s="9" t="str">
        <f t="array" ref="X2987">IFERROR(INDEX('Адреса общежитий (скрытый)'!$B$2:$B$9, MATCH(W2987, 'Адреса общежитий (скрытый)'!$A$2:$A$9, 0)), "")</f>
        <v/>
      </c>
      <c r="Y2987" s="18"/>
      <c r="Z2987" s="18"/>
      <c r="AA2987" s="18"/>
      <c r="AB2987" s="18"/>
      <c r="AC2987" s="18"/>
    </row>
    <row r="2988" spans="1:29" ht="32.25" hidden="1" customHeight="1">
      <c r="A2988" s="17"/>
      <c r="B2988" s="9" t="s">
        <v>13284</v>
      </c>
      <c r="C2988" s="9" t="s">
        <v>13284</v>
      </c>
      <c r="D2988" s="9" t="s">
        <v>13284</v>
      </c>
      <c r="E2988" s="9" t="s">
        <v>13284</v>
      </c>
      <c r="F2988" s="9" t="s">
        <v>13284</v>
      </c>
      <c r="G2988" s="9" t="s">
        <v>13284</v>
      </c>
      <c r="H2988" s="9" t="s">
        <v>13284</v>
      </c>
      <c r="I2988" s="9" t="s">
        <v>13284</v>
      </c>
      <c r="J2988" s="9" t="s">
        <v>13284</v>
      </c>
      <c r="K2988" s="9" t="s">
        <v>13284</v>
      </c>
      <c r="L2988" s="9" t="s">
        <v>13284</v>
      </c>
      <c r="M2988" s="9" t="s">
        <v>13284</v>
      </c>
      <c r="N2988" s="9" t="s">
        <v>13284</v>
      </c>
      <c r="O2988" s="9" t="s">
        <v>13284</v>
      </c>
      <c r="P2988" s="9" t="s">
        <v>13284</v>
      </c>
      <c r="Q2988" s="9" t="s">
        <v>13284</v>
      </c>
      <c r="R2988" s="9" t="s">
        <v>13284</v>
      </c>
      <c r="S2988" s="9" t="s">
        <v>13284</v>
      </c>
      <c r="T2988" s="9" t="str">
        <f ca="1">IFERROR(IF(AND(VLOOKUP(A2988, 'Актуальное состояние (из общего'!A:C,3,0) = "", A2988 &lt;&gt; ""), "ПРОВЕРИТЬ", VLOOKUP(A2988, 'Актуальное состояние (из общего'!A:C,3,0)), "")</f>
        <v/>
      </c>
      <c r="U2988" s="9" t="s">
        <v>13284</v>
      </c>
      <c r="V2988" s="9" t="s">
        <v>13284</v>
      </c>
      <c r="W2988" s="12"/>
      <c r="X2988" s="9" t="str">
        <f t="array" ref="X2988">IFERROR(INDEX('Адреса общежитий (скрытый)'!$B$2:$B$9, MATCH(W2988, 'Адреса общежитий (скрытый)'!$A$2:$A$9, 0)), "")</f>
        <v/>
      </c>
      <c r="Y2988" s="18"/>
      <c r="Z2988" s="18"/>
      <c r="AA2988" s="18"/>
      <c r="AB2988" s="18"/>
      <c r="AC2988" s="18"/>
    </row>
    <row r="2989" spans="1:29" ht="32.25" hidden="1" customHeight="1">
      <c r="A2989" s="17"/>
      <c r="B2989" s="9" t="s">
        <v>13284</v>
      </c>
      <c r="C2989" s="9" t="s">
        <v>13284</v>
      </c>
      <c r="D2989" s="9" t="s">
        <v>13284</v>
      </c>
      <c r="E2989" s="9" t="s">
        <v>13284</v>
      </c>
      <c r="F2989" s="9" t="s">
        <v>13284</v>
      </c>
      <c r="G2989" s="9" t="s">
        <v>13284</v>
      </c>
      <c r="H2989" s="9" t="s">
        <v>13284</v>
      </c>
      <c r="I2989" s="9" t="s">
        <v>13284</v>
      </c>
      <c r="J2989" s="9" t="s">
        <v>13284</v>
      </c>
      <c r="K2989" s="9" t="s">
        <v>13284</v>
      </c>
      <c r="L2989" s="9" t="s">
        <v>13284</v>
      </c>
      <c r="M2989" s="9" t="s">
        <v>13284</v>
      </c>
      <c r="N2989" s="9" t="s">
        <v>13284</v>
      </c>
      <c r="O2989" s="9" t="s">
        <v>13284</v>
      </c>
      <c r="P2989" s="9" t="s">
        <v>13284</v>
      </c>
      <c r="Q2989" s="9" t="s">
        <v>13284</v>
      </c>
      <c r="R2989" s="9" t="s">
        <v>13284</v>
      </c>
      <c r="S2989" s="9" t="s">
        <v>13284</v>
      </c>
      <c r="T2989" s="9" t="str">
        <f ca="1">IFERROR(IF(AND(VLOOKUP(A2989, 'Актуальное состояние (из общего'!A:C,3,0) = "", A2989 &lt;&gt; ""), "ПРОВЕРИТЬ", VLOOKUP(A2989, 'Актуальное состояние (из общего'!A:C,3,0)), "")</f>
        <v/>
      </c>
      <c r="U2989" s="9" t="s">
        <v>13284</v>
      </c>
      <c r="V2989" s="9" t="s">
        <v>13284</v>
      </c>
      <c r="W2989" s="12"/>
      <c r="X2989" s="9" t="str">
        <f t="array" ref="X2989">IFERROR(INDEX('Адреса общежитий (скрытый)'!$B$2:$B$9, MATCH(W2989, 'Адреса общежитий (скрытый)'!$A$2:$A$9, 0)), "")</f>
        <v/>
      </c>
      <c r="Y2989" s="18"/>
      <c r="Z2989" s="18"/>
      <c r="AA2989" s="18"/>
      <c r="AB2989" s="18"/>
      <c r="AC2989" s="18"/>
    </row>
    <row r="2990" spans="1:29" ht="32.25" hidden="1" customHeight="1">
      <c r="A2990" s="17"/>
      <c r="B2990" s="9" t="s">
        <v>13284</v>
      </c>
      <c r="C2990" s="9" t="s">
        <v>13284</v>
      </c>
      <c r="D2990" s="9" t="s">
        <v>13284</v>
      </c>
      <c r="E2990" s="9" t="s">
        <v>13284</v>
      </c>
      <c r="F2990" s="9" t="s">
        <v>13284</v>
      </c>
      <c r="G2990" s="9" t="s">
        <v>13284</v>
      </c>
      <c r="H2990" s="9" t="s">
        <v>13284</v>
      </c>
      <c r="I2990" s="9" t="s">
        <v>13284</v>
      </c>
      <c r="J2990" s="9" t="s">
        <v>13284</v>
      </c>
      <c r="K2990" s="9" t="s">
        <v>13284</v>
      </c>
      <c r="L2990" s="9" t="s">
        <v>13284</v>
      </c>
      <c r="M2990" s="9" t="s">
        <v>13284</v>
      </c>
      <c r="N2990" s="9" t="s">
        <v>13284</v>
      </c>
      <c r="O2990" s="9" t="s">
        <v>13284</v>
      </c>
      <c r="P2990" s="9" t="s">
        <v>13284</v>
      </c>
      <c r="Q2990" s="9" t="s">
        <v>13284</v>
      </c>
      <c r="R2990" s="9" t="s">
        <v>13284</v>
      </c>
      <c r="S2990" s="9" t="s">
        <v>13284</v>
      </c>
      <c r="T2990" s="9" t="str">
        <f ca="1">IFERROR(IF(AND(VLOOKUP(A2990, 'Актуальное состояние (из общего'!A:C,3,0) = "", A2990 &lt;&gt; ""), "ПРОВЕРИТЬ", VLOOKUP(A2990, 'Актуальное состояние (из общего'!A:C,3,0)), "")</f>
        <v/>
      </c>
      <c r="U2990" s="9" t="s">
        <v>13284</v>
      </c>
      <c r="V2990" s="9" t="s">
        <v>13284</v>
      </c>
      <c r="W2990" s="12"/>
      <c r="X2990" s="9" t="str">
        <f t="array" ref="X2990">IFERROR(INDEX('Адреса общежитий (скрытый)'!$B$2:$B$9, MATCH(W2990, 'Адреса общежитий (скрытый)'!$A$2:$A$9, 0)), "")</f>
        <v/>
      </c>
      <c r="Y2990" s="18"/>
      <c r="Z2990" s="18"/>
      <c r="AA2990" s="18"/>
      <c r="AB2990" s="18"/>
      <c r="AC2990" s="18"/>
    </row>
    <row r="2991" spans="1:29" ht="32.25" hidden="1" customHeight="1">
      <c r="A2991" s="17"/>
      <c r="B2991" s="9" t="s">
        <v>13284</v>
      </c>
      <c r="C2991" s="9" t="s">
        <v>13284</v>
      </c>
      <c r="D2991" s="9" t="s">
        <v>13284</v>
      </c>
      <c r="E2991" s="9" t="s">
        <v>13284</v>
      </c>
      <c r="F2991" s="9" t="s">
        <v>13284</v>
      </c>
      <c r="G2991" s="9" t="s">
        <v>13284</v>
      </c>
      <c r="H2991" s="9" t="s">
        <v>13284</v>
      </c>
      <c r="I2991" s="9" t="s">
        <v>13284</v>
      </c>
      <c r="J2991" s="9" t="s">
        <v>13284</v>
      </c>
      <c r="K2991" s="9" t="s">
        <v>13284</v>
      </c>
      <c r="L2991" s="9" t="s">
        <v>13284</v>
      </c>
      <c r="M2991" s="9" t="s">
        <v>13284</v>
      </c>
      <c r="N2991" s="9" t="s">
        <v>13284</v>
      </c>
      <c r="O2991" s="9" t="s">
        <v>13284</v>
      </c>
      <c r="P2991" s="9" t="s">
        <v>13284</v>
      </c>
      <c r="Q2991" s="9" t="s">
        <v>13284</v>
      </c>
      <c r="R2991" s="9" t="s">
        <v>13284</v>
      </c>
      <c r="S2991" s="9" t="s">
        <v>13284</v>
      </c>
      <c r="T2991" s="9" t="str">
        <f ca="1">IFERROR(IF(AND(VLOOKUP(A2991, 'Актуальное состояние (из общего'!A:C,3,0) = "", A2991 &lt;&gt; ""), "ПРОВЕРИТЬ", VLOOKUP(A2991, 'Актуальное состояние (из общего'!A:C,3,0)), "")</f>
        <v/>
      </c>
      <c r="U2991" s="9" t="s">
        <v>13284</v>
      </c>
      <c r="V2991" s="9" t="s">
        <v>13284</v>
      </c>
      <c r="W2991" s="12"/>
      <c r="X2991" s="9" t="str">
        <f t="array" ref="X2991">IFERROR(INDEX('Адреса общежитий (скрытый)'!$B$2:$B$9, MATCH(W2991, 'Адреса общежитий (скрытый)'!$A$2:$A$9, 0)), "")</f>
        <v/>
      </c>
      <c r="Y2991" s="18"/>
      <c r="Z2991" s="18"/>
      <c r="AA2991" s="18"/>
      <c r="AB2991" s="18"/>
      <c r="AC2991" s="18"/>
    </row>
    <row r="2992" spans="1:29" ht="32.25" hidden="1" customHeight="1">
      <c r="A2992" s="17"/>
      <c r="B2992" s="9" t="s">
        <v>13284</v>
      </c>
      <c r="C2992" s="9" t="s">
        <v>13284</v>
      </c>
      <c r="D2992" s="9" t="s">
        <v>13284</v>
      </c>
      <c r="E2992" s="9" t="s">
        <v>13284</v>
      </c>
      <c r="F2992" s="9" t="s">
        <v>13284</v>
      </c>
      <c r="G2992" s="9" t="s">
        <v>13284</v>
      </c>
      <c r="H2992" s="9" t="s">
        <v>13284</v>
      </c>
      <c r="I2992" s="9" t="s">
        <v>13284</v>
      </c>
      <c r="J2992" s="9" t="s">
        <v>13284</v>
      </c>
      <c r="K2992" s="9" t="s">
        <v>13284</v>
      </c>
      <c r="L2992" s="9" t="s">
        <v>13284</v>
      </c>
      <c r="M2992" s="9" t="s">
        <v>13284</v>
      </c>
      <c r="N2992" s="9" t="s">
        <v>13284</v>
      </c>
      <c r="O2992" s="9" t="s">
        <v>13284</v>
      </c>
      <c r="P2992" s="9" t="s">
        <v>13284</v>
      </c>
      <c r="Q2992" s="9" t="s">
        <v>13284</v>
      </c>
      <c r="R2992" s="9" t="s">
        <v>13284</v>
      </c>
      <c r="S2992" s="9" t="s">
        <v>13284</v>
      </c>
      <c r="T2992" s="9" t="str">
        <f ca="1">IFERROR(IF(AND(VLOOKUP(A2992, 'Актуальное состояние (из общего'!A:C,3,0) = "", A2992 &lt;&gt; ""), "ПРОВЕРИТЬ", VLOOKUP(A2992, 'Актуальное состояние (из общего'!A:C,3,0)), "")</f>
        <v/>
      </c>
      <c r="U2992" s="9" t="s">
        <v>13284</v>
      </c>
      <c r="V2992" s="9" t="s">
        <v>13284</v>
      </c>
      <c r="W2992" s="12"/>
      <c r="X2992" s="9" t="str">
        <f t="array" ref="X2992">IFERROR(INDEX('Адреса общежитий (скрытый)'!$B$2:$B$9, MATCH(W2992, 'Адреса общежитий (скрытый)'!$A$2:$A$9, 0)), "")</f>
        <v/>
      </c>
      <c r="Y2992" s="18"/>
      <c r="Z2992" s="18"/>
      <c r="AA2992" s="18"/>
      <c r="AB2992" s="18"/>
      <c r="AC2992" s="18"/>
    </row>
    <row r="2993" spans="1:29" ht="32.25" hidden="1" customHeight="1">
      <c r="A2993" s="17"/>
      <c r="B2993" s="9" t="s">
        <v>13284</v>
      </c>
      <c r="C2993" s="9" t="s">
        <v>13284</v>
      </c>
      <c r="D2993" s="9" t="s">
        <v>13284</v>
      </c>
      <c r="E2993" s="9" t="s">
        <v>13284</v>
      </c>
      <c r="F2993" s="9" t="s">
        <v>13284</v>
      </c>
      <c r="G2993" s="9" t="s">
        <v>13284</v>
      </c>
      <c r="H2993" s="9" t="s">
        <v>13284</v>
      </c>
      <c r="I2993" s="9" t="s">
        <v>13284</v>
      </c>
      <c r="J2993" s="9" t="s">
        <v>13284</v>
      </c>
      <c r="K2993" s="9" t="s">
        <v>13284</v>
      </c>
      <c r="L2993" s="9" t="s">
        <v>13284</v>
      </c>
      <c r="M2993" s="9" t="s">
        <v>13284</v>
      </c>
      <c r="N2993" s="9" t="s">
        <v>13284</v>
      </c>
      <c r="O2993" s="9" t="s">
        <v>13284</v>
      </c>
      <c r="P2993" s="9" t="s">
        <v>13284</v>
      </c>
      <c r="Q2993" s="9" t="s">
        <v>13284</v>
      </c>
      <c r="R2993" s="9" t="s">
        <v>13284</v>
      </c>
      <c r="S2993" s="9" t="s">
        <v>13284</v>
      </c>
      <c r="T2993" s="9" t="str">
        <f ca="1">IFERROR(IF(AND(VLOOKUP(A2993, 'Актуальное состояние (из общего'!A:C,3,0) = "", A2993 &lt;&gt; ""), "ПРОВЕРИТЬ", VLOOKUP(A2993, 'Актуальное состояние (из общего'!A:C,3,0)), "")</f>
        <v/>
      </c>
      <c r="U2993" s="9" t="s">
        <v>13284</v>
      </c>
      <c r="V2993" s="9" t="s">
        <v>13284</v>
      </c>
      <c r="W2993" s="12"/>
      <c r="X2993" s="9" t="str">
        <f t="array" ref="X2993">IFERROR(INDEX('Адреса общежитий (скрытый)'!$B$2:$B$9, MATCH(W2993, 'Адреса общежитий (скрытый)'!$A$2:$A$9, 0)), "")</f>
        <v/>
      </c>
      <c r="Y2993" s="18"/>
      <c r="Z2993" s="18"/>
      <c r="AA2993" s="18"/>
      <c r="AB2993" s="18"/>
      <c r="AC2993" s="18"/>
    </row>
    <row r="2994" spans="1:29" ht="32.25" hidden="1" customHeight="1">
      <c r="A2994" s="17"/>
      <c r="B2994" s="9" t="s">
        <v>13284</v>
      </c>
      <c r="C2994" s="9" t="s">
        <v>13284</v>
      </c>
      <c r="D2994" s="9" t="s">
        <v>13284</v>
      </c>
      <c r="E2994" s="9" t="s">
        <v>13284</v>
      </c>
      <c r="F2994" s="9" t="s">
        <v>13284</v>
      </c>
      <c r="G2994" s="9" t="s">
        <v>13284</v>
      </c>
      <c r="H2994" s="9" t="s">
        <v>13284</v>
      </c>
      <c r="I2994" s="9" t="s">
        <v>13284</v>
      </c>
      <c r="J2994" s="9" t="s">
        <v>13284</v>
      </c>
      <c r="K2994" s="9" t="s">
        <v>13284</v>
      </c>
      <c r="L2994" s="9" t="s">
        <v>13284</v>
      </c>
      <c r="M2994" s="9" t="s">
        <v>13284</v>
      </c>
      <c r="N2994" s="9" t="s">
        <v>13284</v>
      </c>
      <c r="O2994" s="9" t="s">
        <v>13284</v>
      </c>
      <c r="P2994" s="9" t="s">
        <v>13284</v>
      </c>
      <c r="Q2994" s="9" t="s">
        <v>13284</v>
      </c>
      <c r="R2994" s="9" t="s">
        <v>13284</v>
      </c>
      <c r="S2994" s="9" t="s">
        <v>13284</v>
      </c>
      <c r="T2994" s="9" t="str">
        <f ca="1">IFERROR(IF(AND(VLOOKUP(A2994, 'Актуальное состояние (из общего'!A:C,3,0) = "", A2994 &lt;&gt; ""), "ПРОВЕРИТЬ", VLOOKUP(A2994, 'Актуальное состояние (из общего'!A:C,3,0)), "")</f>
        <v/>
      </c>
      <c r="U2994" s="9" t="s">
        <v>13284</v>
      </c>
      <c r="V2994" s="9" t="s">
        <v>13284</v>
      </c>
      <c r="W2994" s="12"/>
      <c r="X2994" s="9" t="str">
        <f t="array" ref="X2994">IFERROR(INDEX('Адреса общежитий (скрытый)'!$B$2:$B$9, MATCH(W2994, 'Адреса общежитий (скрытый)'!$A$2:$A$9, 0)), "")</f>
        <v/>
      </c>
      <c r="Y2994" s="18"/>
      <c r="Z2994" s="18"/>
      <c r="AA2994" s="18"/>
      <c r="AB2994" s="18"/>
      <c r="AC2994" s="18"/>
    </row>
    <row r="2995" spans="1:29" ht="32.25" hidden="1" customHeight="1">
      <c r="A2995" s="17"/>
      <c r="B2995" s="9" t="s">
        <v>13284</v>
      </c>
      <c r="C2995" s="9" t="s">
        <v>13284</v>
      </c>
      <c r="D2995" s="9" t="s">
        <v>13284</v>
      </c>
      <c r="E2995" s="9" t="s">
        <v>13284</v>
      </c>
      <c r="F2995" s="9" t="s">
        <v>13284</v>
      </c>
      <c r="G2995" s="9" t="s">
        <v>13284</v>
      </c>
      <c r="H2995" s="9" t="s">
        <v>13284</v>
      </c>
      <c r="I2995" s="9" t="s">
        <v>13284</v>
      </c>
      <c r="J2995" s="9" t="s">
        <v>13284</v>
      </c>
      <c r="K2995" s="9" t="s">
        <v>13284</v>
      </c>
      <c r="L2995" s="9" t="s">
        <v>13284</v>
      </c>
      <c r="M2995" s="9" t="s">
        <v>13284</v>
      </c>
      <c r="N2995" s="9" t="s">
        <v>13284</v>
      </c>
      <c r="O2995" s="9" t="s">
        <v>13284</v>
      </c>
      <c r="P2995" s="9" t="s">
        <v>13284</v>
      </c>
      <c r="Q2995" s="9" t="s">
        <v>13284</v>
      </c>
      <c r="R2995" s="9" t="s">
        <v>13284</v>
      </c>
      <c r="S2995" s="9" t="s">
        <v>13284</v>
      </c>
      <c r="T2995" s="9" t="str">
        <f ca="1">IFERROR(IF(AND(VLOOKUP(A2995, 'Актуальное состояние (из общего'!A:C,3,0) = "", A2995 &lt;&gt; ""), "ПРОВЕРИТЬ", VLOOKUP(A2995, 'Актуальное состояние (из общего'!A:C,3,0)), "")</f>
        <v/>
      </c>
      <c r="U2995" s="9" t="s">
        <v>13284</v>
      </c>
      <c r="V2995" s="9" t="s">
        <v>13284</v>
      </c>
      <c r="W2995" s="12"/>
      <c r="X2995" s="9" t="str">
        <f t="array" ref="X2995">IFERROR(INDEX('Адреса общежитий (скрытый)'!$B$2:$B$9, MATCH(W2995, 'Адреса общежитий (скрытый)'!$A$2:$A$9, 0)), "")</f>
        <v/>
      </c>
      <c r="Y2995" s="18"/>
      <c r="Z2995" s="18"/>
      <c r="AA2995" s="18"/>
      <c r="AB2995" s="18"/>
      <c r="AC2995" s="18"/>
    </row>
    <row r="2996" spans="1:29" ht="32.25" hidden="1" customHeight="1">
      <c r="A2996" s="17"/>
      <c r="B2996" s="9" t="s">
        <v>13284</v>
      </c>
      <c r="C2996" s="9" t="s">
        <v>13284</v>
      </c>
      <c r="D2996" s="9" t="s">
        <v>13284</v>
      </c>
      <c r="E2996" s="9" t="s">
        <v>13284</v>
      </c>
      <c r="F2996" s="9" t="s">
        <v>13284</v>
      </c>
      <c r="G2996" s="9" t="s">
        <v>13284</v>
      </c>
      <c r="H2996" s="9" t="s">
        <v>13284</v>
      </c>
      <c r="I2996" s="9" t="s">
        <v>13284</v>
      </c>
      <c r="J2996" s="9" t="s">
        <v>13284</v>
      </c>
      <c r="K2996" s="9" t="s">
        <v>13284</v>
      </c>
      <c r="L2996" s="9" t="s">
        <v>13284</v>
      </c>
      <c r="M2996" s="9" t="s">
        <v>13284</v>
      </c>
      <c r="N2996" s="9" t="s">
        <v>13284</v>
      </c>
      <c r="O2996" s="9" t="s">
        <v>13284</v>
      </c>
      <c r="P2996" s="9" t="s">
        <v>13284</v>
      </c>
      <c r="Q2996" s="9" t="s">
        <v>13284</v>
      </c>
      <c r="R2996" s="9" t="s">
        <v>13284</v>
      </c>
      <c r="S2996" s="9" t="s">
        <v>13284</v>
      </c>
      <c r="T2996" s="9" t="str">
        <f ca="1">IFERROR(IF(AND(VLOOKUP(A2996, 'Актуальное состояние (из общего'!A:C,3,0) = "", A2996 &lt;&gt; ""), "ПРОВЕРИТЬ", VLOOKUP(A2996, 'Актуальное состояние (из общего'!A:C,3,0)), "")</f>
        <v/>
      </c>
      <c r="U2996" s="9" t="s">
        <v>13284</v>
      </c>
      <c r="V2996" s="9" t="s">
        <v>13284</v>
      </c>
      <c r="W2996" s="12"/>
      <c r="X2996" s="9" t="str">
        <f t="array" ref="X2996">IFERROR(INDEX('Адреса общежитий (скрытый)'!$B$2:$B$9, MATCH(W2996, 'Адреса общежитий (скрытый)'!$A$2:$A$9, 0)), "")</f>
        <v/>
      </c>
      <c r="Y2996" s="18"/>
      <c r="Z2996" s="18"/>
      <c r="AA2996" s="18"/>
      <c r="AB2996" s="18"/>
      <c r="AC2996" s="18"/>
    </row>
    <row r="2997" spans="1:29" ht="32.25" hidden="1" customHeight="1">
      <c r="A2997" s="17"/>
      <c r="B2997" s="9" t="s">
        <v>13284</v>
      </c>
      <c r="C2997" s="9" t="s">
        <v>13284</v>
      </c>
      <c r="D2997" s="9" t="s">
        <v>13284</v>
      </c>
      <c r="E2997" s="9" t="s">
        <v>13284</v>
      </c>
      <c r="F2997" s="9" t="s">
        <v>13284</v>
      </c>
      <c r="G2997" s="9" t="s">
        <v>13284</v>
      </c>
      <c r="H2997" s="9" t="s">
        <v>13284</v>
      </c>
      <c r="I2997" s="9" t="s">
        <v>13284</v>
      </c>
      <c r="J2997" s="9" t="s">
        <v>13284</v>
      </c>
      <c r="K2997" s="9" t="s">
        <v>13284</v>
      </c>
      <c r="L2997" s="9" t="s">
        <v>13284</v>
      </c>
      <c r="M2997" s="9" t="s">
        <v>13284</v>
      </c>
      <c r="N2997" s="9" t="s">
        <v>13284</v>
      </c>
      <c r="O2997" s="9" t="s">
        <v>13284</v>
      </c>
      <c r="P2997" s="9" t="s">
        <v>13284</v>
      </c>
      <c r="Q2997" s="9" t="s">
        <v>13284</v>
      </c>
      <c r="R2997" s="9" t="s">
        <v>13284</v>
      </c>
      <c r="S2997" s="9" t="s">
        <v>13284</v>
      </c>
      <c r="T2997" s="9" t="str">
        <f ca="1">IFERROR(IF(AND(VLOOKUP(A2997, 'Актуальное состояние (из общего'!A:C,3,0) = "", A2997 &lt;&gt; ""), "ПРОВЕРИТЬ", VLOOKUP(A2997, 'Актуальное состояние (из общего'!A:C,3,0)), "")</f>
        <v/>
      </c>
      <c r="U2997" s="9" t="s">
        <v>13284</v>
      </c>
      <c r="V2997" s="9" t="s">
        <v>13284</v>
      </c>
      <c r="W2997" s="12"/>
      <c r="X2997" s="9" t="str">
        <f t="array" ref="X2997">IFERROR(INDEX('Адреса общежитий (скрытый)'!$B$2:$B$9, MATCH(W2997, 'Адреса общежитий (скрытый)'!$A$2:$A$9, 0)), "")</f>
        <v/>
      </c>
      <c r="Y2997" s="18"/>
      <c r="Z2997" s="18"/>
      <c r="AA2997" s="18"/>
      <c r="AB2997" s="18"/>
      <c r="AC2997" s="18"/>
    </row>
    <row r="2998" spans="1:29" ht="32.25" hidden="1" customHeight="1">
      <c r="A2998" s="17"/>
      <c r="B2998" s="9" t="s">
        <v>13284</v>
      </c>
      <c r="C2998" s="9" t="s">
        <v>13284</v>
      </c>
      <c r="D2998" s="9" t="s">
        <v>13284</v>
      </c>
      <c r="E2998" s="9" t="s">
        <v>13284</v>
      </c>
      <c r="F2998" s="9" t="s">
        <v>13284</v>
      </c>
      <c r="G2998" s="9" t="s">
        <v>13284</v>
      </c>
      <c r="H2998" s="9" t="s">
        <v>13284</v>
      </c>
      <c r="I2998" s="9" t="s">
        <v>13284</v>
      </c>
      <c r="J2998" s="9" t="s">
        <v>13284</v>
      </c>
      <c r="K2998" s="9" t="s">
        <v>13284</v>
      </c>
      <c r="L2998" s="9" t="s">
        <v>13284</v>
      </c>
      <c r="M2998" s="9" t="s">
        <v>13284</v>
      </c>
      <c r="N2998" s="9" t="s">
        <v>13284</v>
      </c>
      <c r="O2998" s="9" t="s">
        <v>13284</v>
      </c>
      <c r="P2998" s="9" t="s">
        <v>13284</v>
      </c>
      <c r="Q2998" s="9" t="s">
        <v>13284</v>
      </c>
      <c r="R2998" s="9" t="s">
        <v>13284</v>
      </c>
      <c r="S2998" s="9" t="s">
        <v>13284</v>
      </c>
      <c r="T2998" s="9" t="str">
        <f ca="1">IFERROR(IF(AND(VLOOKUP(A2998, 'Актуальное состояние (из общего'!A:C,3,0) = "", A2998 &lt;&gt; ""), "ПРОВЕРИТЬ", VLOOKUP(A2998, 'Актуальное состояние (из общего'!A:C,3,0)), "")</f>
        <v/>
      </c>
      <c r="U2998" s="9" t="s">
        <v>13284</v>
      </c>
      <c r="V2998" s="9" t="s">
        <v>13284</v>
      </c>
      <c r="W2998" s="12"/>
      <c r="X2998" s="9" t="str">
        <f t="array" ref="X2998">IFERROR(INDEX('Адреса общежитий (скрытый)'!$B$2:$B$9, MATCH(W2998, 'Адреса общежитий (скрытый)'!$A$2:$A$9, 0)), "")</f>
        <v/>
      </c>
      <c r="Y2998" s="18"/>
      <c r="Z2998" s="18"/>
      <c r="AA2998" s="18"/>
      <c r="AB2998" s="18"/>
      <c r="AC2998" s="18"/>
    </row>
    <row r="2999" spans="1:29" ht="32.25" hidden="1" customHeight="1">
      <c r="A2999" s="17"/>
      <c r="B2999" s="9" t="s">
        <v>13284</v>
      </c>
      <c r="C2999" s="9" t="s">
        <v>13284</v>
      </c>
      <c r="D2999" s="9" t="s">
        <v>13284</v>
      </c>
      <c r="E2999" s="9" t="s">
        <v>13284</v>
      </c>
      <c r="F2999" s="9" t="s">
        <v>13284</v>
      </c>
      <c r="G2999" s="9" t="s">
        <v>13284</v>
      </c>
      <c r="H2999" s="9" t="s">
        <v>13284</v>
      </c>
      <c r="I2999" s="9" t="s">
        <v>13284</v>
      </c>
      <c r="J2999" s="9" t="s">
        <v>13284</v>
      </c>
      <c r="K2999" s="9" t="s">
        <v>13284</v>
      </c>
      <c r="L2999" s="9" t="s">
        <v>13284</v>
      </c>
      <c r="M2999" s="9" t="s">
        <v>13284</v>
      </c>
      <c r="N2999" s="9" t="s">
        <v>13284</v>
      </c>
      <c r="O2999" s="9" t="s">
        <v>13284</v>
      </c>
      <c r="P2999" s="9" t="s">
        <v>13284</v>
      </c>
      <c r="Q2999" s="9" t="s">
        <v>13284</v>
      </c>
      <c r="R2999" s="9" t="s">
        <v>13284</v>
      </c>
      <c r="S2999" s="9" t="s">
        <v>13284</v>
      </c>
      <c r="T2999" s="9" t="str">
        <f ca="1">IFERROR(IF(AND(VLOOKUP(A2999, 'Актуальное состояние (из общего'!A:C,3,0) = "", A2999 &lt;&gt; ""), "ПРОВЕРИТЬ", VLOOKUP(A2999, 'Актуальное состояние (из общего'!A:C,3,0)), "")</f>
        <v/>
      </c>
      <c r="U2999" s="9" t="s">
        <v>13284</v>
      </c>
      <c r="V2999" s="9" t="s">
        <v>13284</v>
      </c>
      <c r="W2999" s="12"/>
      <c r="X2999" s="9" t="str">
        <f t="array" ref="X2999">IFERROR(INDEX('Адреса общежитий (скрытый)'!$B$2:$B$9, MATCH(W2999, 'Адреса общежитий (скрытый)'!$A$2:$A$9, 0)), "")</f>
        <v/>
      </c>
      <c r="Y2999" s="18"/>
      <c r="Z2999" s="18"/>
      <c r="AA2999" s="18"/>
      <c r="AB2999" s="18"/>
      <c r="AC2999" s="18"/>
    </row>
    <row r="3000" spans="1:29" ht="32.25" hidden="1" customHeight="1">
      <c r="A3000" s="17"/>
      <c r="B3000" s="9" t="s">
        <v>13284</v>
      </c>
      <c r="C3000" s="9" t="s">
        <v>13284</v>
      </c>
      <c r="D3000" s="9" t="s">
        <v>13284</v>
      </c>
      <c r="E3000" s="9" t="s">
        <v>13284</v>
      </c>
      <c r="F3000" s="9" t="s">
        <v>13284</v>
      </c>
      <c r="G3000" s="9" t="s">
        <v>13284</v>
      </c>
      <c r="H3000" s="9" t="s">
        <v>13284</v>
      </c>
      <c r="I3000" s="9" t="s">
        <v>13284</v>
      </c>
      <c r="J3000" s="9" t="s">
        <v>13284</v>
      </c>
      <c r="K3000" s="9" t="s">
        <v>13284</v>
      </c>
      <c r="L3000" s="9" t="s">
        <v>13284</v>
      </c>
      <c r="M3000" s="9" t="s">
        <v>13284</v>
      </c>
      <c r="N3000" s="9" t="s">
        <v>13284</v>
      </c>
      <c r="O3000" s="9" t="s">
        <v>13284</v>
      </c>
      <c r="P3000" s="9" t="s">
        <v>13284</v>
      </c>
      <c r="Q3000" s="9" t="s">
        <v>13284</v>
      </c>
      <c r="R3000" s="9" t="s">
        <v>13284</v>
      </c>
      <c r="S3000" s="9" t="s">
        <v>13284</v>
      </c>
      <c r="T3000" s="9" t="str">
        <f ca="1">IFERROR(IF(AND(VLOOKUP(A3000, 'Актуальное состояние (из общего'!A:C,3,0) = "", A3000 &lt;&gt; ""), "ПРОВЕРИТЬ", VLOOKUP(A3000, 'Актуальное состояние (из общего'!A:C,3,0)), "")</f>
        <v/>
      </c>
      <c r="U3000" s="9" t="s">
        <v>13284</v>
      </c>
      <c r="V3000" s="9" t="s">
        <v>13284</v>
      </c>
      <c r="W3000" s="12"/>
      <c r="X3000" s="9" t="str">
        <f t="array" ref="X3000">IFERROR(INDEX('Адреса общежитий (скрытый)'!$B$2:$B$9, MATCH(W3000, 'Адреса общежитий (скрытый)'!$A$2:$A$9, 0)), "")</f>
        <v/>
      </c>
      <c r="Y3000" s="18"/>
      <c r="Z3000" s="18"/>
      <c r="AA3000" s="18"/>
      <c r="AB3000" s="18"/>
      <c r="AC3000" s="18"/>
    </row>
    <row r="3001" spans="1:29" ht="32.25" hidden="1" customHeight="1">
      <c r="A3001" s="17"/>
      <c r="B3001" s="9" t="s">
        <v>13284</v>
      </c>
      <c r="C3001" s="9" t="s">
        <v>13284</v>
      </c>
      <c r="D3001" s="9" t="s">
        <v>13284</v>
      </c>
      <c r="E3001" s="9" t="s">
        <v>13284</v>
      </c>
      <c r="F3001" s="9" t="s">
        <v>13284</v>
      </c>
      <c r="G3001" s="9" t="s">
        <v>13284</v>
      </c>
      <c r="H3001" s="9" t="s">
        <v>13284</v>
      </c>
      <c r="I3001" s="9" t="s">
        <v>13284</v>
      </c>
      <c r="J3001" s="9" t="s">
        <v>13284</v>
      </c>
      <c r="K3001" s="9" t="s">
        <v>13284</v>
      </c>
      <c r="L3001" s="9" t="s">
        <v>13284</v>
      </c>
      <c r="M3001" s="9" t="s">
        <v>13284</v>
      </c>
      <c r="N3001" s="9" t="s">
        <v>13284</v>
      </c>
      <c r="O3001" s="9" t="s">
        <v>13284</v>
      </c>
      <c r="P3001" s="9" t="s">
        <v>13284</v>
      </c>
      <c r="Q3001" s="9" t="s">
        <v>13284</v>
      </c>
      <c r="R3001" s="9" t="s">
        <v>13284</v>
      </c>
      <c r="S3001" s="9" t="s">
        <v>13284</v>
      </c>
      <c r="T3001" s="9" t="str">
        <f ca="1">IFERROR(IF(AND(VLOOKUP(A3001, 'Актуальное состояние (из общего'!A:C,3,0) = "", A3001 &lt;&gt; ""), "ПРОВЕРИТЬ", VLOOKUP(A3001, 'Актуальное состояние (из общего'!A:C,3,0)), "")</f>
        <v/>
      </c>
      <c r="U3001" s="9" t="s">
        <v>13284</v>
      </c>
      <c r="V3001" s="9" t="s">
        <v>13284</v>
      </c>
      <c r="W3001" s="12"/>
      <c r="X3001" s="9" t="str">
        <f t="array" ref="X3001">IFERROR(INDEX('Адреса общежитий (скрытый)'!$B$2:$B$9, MATCH(W3001, 'Адреса общежитий (скрытый)'!$A$2:$A$9, 0)), "")</f>
        <v/>
      </c>
      <c r="Y3001" s="18"/>
      <c r="Z3001" s="18"/>
      <c r="AA3001" s="18"/>
      <c r="AB3001" s="18"/>
      <c r="AC3001" s="18"/>
    </row>
    <row r="3002" spans="1:29" ht="32.25" hidden="1" customHeight="1">
      <c r="A3002" s="17"/>
      <c r="B3002" s="9" t="s">
        <v>13284</v>
      </c>
      <c r="C3002" s="9" t="s">
        <v>13284</v>
      </c>
      <c r="D3002" s="9" t="s">
        <v>13284</v>
      </c>
      <c r="E3002" s="9" t="s">
        <v>13284</v>
      </c>
      <c r="F3002" s="9" t="s">
        <v>13284</v>
      </c>
      <c r="G3002" s="9" t="s">
        <v>13284</v>
      </c>
      <c r="H3002" s="9" t="s">
        <v>13284</v>
      </c>
      <c r="I3002" s="9" t="s">
        <v>13284</v>
      </c>
      <c r="J3002" s="9" t="s">
        <v>13284</v>
      </c>
      <c r="K3002" s="9" t="s">
        <v>13284</v>
      </c>
      <c r="L3002" s="9" t="s">
        <v>13284</v>
      </c>
      <c r="M3002" s="9" t="s">
        <v>13284</v>
      </c>
      <c r="N3002" s="9" t="s">
        <v>13284</v>
      </c>
      <c r="O3002" s="9" t="s">
        <v>13284</v>
      </c>
      <c r="P3002" s="9" t="s">
        <v>13284</v>
      </c>
      <c r="Q3002" s="9" t="s">
        <v>13284</v>
      </c>
      <c r="R3002" s="9" t="s">
        <v>13284</v>
      </c>
      <c r="S3002" s="9" t="s">
        <v>13284</v>
      </c>
      <c r="T3002" s="9" t="str">
        <f ca="1">IFERROR(IF(AND(VLOOKUP(A3002, 'Актуальное состояние (из общего'!A:C,3,0) = "", A3002 &lt;&gt; ""), "ПРОВЕРИТЬ", VLOOKUP(A3002, 'Актуальное состояние (из общего'!A:C,3,0)), "")</f>
        <v/>
      </c>
      <c r="U3002" s="9" t="s">
        <v>13284</v>
      </c>
      <c r="V3002" s="9" t="s">
        <v>13284</v>
      </c>
      <c r="W3002" s="12"/>
      <c r="X3002" s="9" t="str">
        <f t="array" ref="X3002">IFERROR(INDEX('Адреса общежитий (скрытый)'!$B$2:$B$9, MATCH(W3002, 'Адреса общежитий (скрытый)'!$A$2:$A$9, 0)), "")</f>
        <v/>
      </c>
      <c r="Y3002" s="18"/>
      <c r="Z3002" s="18"/>
      <c r="AA3002" s="18"/>
      <c r="AB3002" s="18"/>
      <c r="AC3002" s="18"/>
    </row>
    <row r="3003" spans="1:29" ht="32.25" hidden="1" customHeight="1">
      <c r="A3003" s="17"/>
      <c r="B3003" s="9" t="s">
        <v>13284</v>
      </c>
      <c r="C3003" s="9" t="s">
        <v>13284</v>
      </c>
      <c r="D3003" s="9" t="s">
        <v>13284</v>
      </c>
      <c r="E3003" s="9" t="s">
        <v>13284</v>
      </c>
      <c r="F3003" s="9" t="s">
        <v>13284</v>
      </c>
      <c r="G3003" s="9" t="s">
        <v>13284</v>
      </c>
      <c r="H3003" s="9" t="s">
        <v>13284</v>
      </c>
      <c r="I3003" s="9" t="s">
        <v>13284</v>
      </c>
      <c r="J3003" s="9" t="s">
        <v>13284</v>
      </c>
      <c r="K3003" s="9" t="s">
        <v>13284</v>
      </c>
      <c r="L3003" s="9" t="s">
        <v>13284</v>
      </c>
      <c r="M3003" s="9" t="s">
        <v>13284</v>
      </c>
      <c r="N3003" s="9" t="s">
        <v>13284</v>
      </c>
      <c r="O3003" s="9" t="s">
        <v>13284</v>
      </c>
      <c r="P3003" s="9" t="s">
        <v>13284</v>
      </c>
      <c r="Q3003" s="9" t="s">
        <v>13284</v>
      </c>
      <c r="R3003" s="9" t="s">
        <v>13284</v>
      </c>
      <c r="S3003" s="9" t="s">
        <v>13284</v>
      </c>
      <c r="T3003" s="9" t="str">
        <f ca="1">IFERROR(IF(AND(VLOOKUP(A3003, 'Актуальное состояние (из общего'!A:C,3,0) = "", A3003 &lt;&gt; ""), "ПРОВЕРИТЬ", VLOOKUP(A3003, 'Актуальное состояние (из общего'!A:C,3,0)), "")</f>
        <v/>
      </c>
      <c r="U3003" s="9" t="s">
        <v>13284</v>
      </c>
      <c r="V3003" s="9" t="s">
        <v>13284</v>
      </c>
      <c r="W3003" s="12"/>
      <c r="X3003" s="9" t="str">
        <f t="array" ref="X3003">IFERROR(INDEX('Адреса общежитий (скрытый)'!$B$2:$B$9, MATCH(W3003, 'Адреса общежитий (скрытый)'!$A$2:$A$9, 0)), "")</f>
        <v/>
      </c>
      <c r="Y3003" s="18"/>
      <c r="Z3003" s="18"/>
      <c r="AA3003" s="18"/>
      <c r="AB3003" s="18"/>
      <c r="AC3003" s="18"/>
    </row>
    <row r="3004" spans="1:29" ht="32.25" hidden="1" customHeight="1">
      <c r="A3004" s="17"/>
      <c r="B3004" s="9" t="s">
        <v>13284</v>
      </c>
      <c r="C3004" s="9" t="s">
        <v>13284</v>
      </c>
      <c r="D3004" s="9" t="s">
        <v>13284</v>
      </c>
      <c r="E3004" s="9" t="s">
        <v>13284</v>
      </c>
      <c r="F3004" s="9" t="s">
        <v>13284</v>
      </c>
      <c r="G3004" s="9" t="s">
        <v>13284</v>
      </c>
      <c r="H3004" s="9" t="s">
        <v>13284</v>
      </c>
      <c r="I3004" s="9" t="s">
        <v>13284</v>
      </c>
      <c r="J3004" s="9" t="s">
        <v>13284</v>
      </c>
      <c r="K3004" s="9" t="s">
        <v>13284</v>
      </c>
      <c r="L3004" s="9" t="s">
        <v>13284</v>
      </c>
      <c r="M3004" s="9" t="s">
        <v>13284</v>
      </c>
      <c r="N3004" s="9" t="s">
        <v>13284</v>
      </c>
      <c r="O3004" s="9" t="s">
        <v>13284</v>
      </c>
      <c r="P3004" s="9" t="s">
        <v>13284</v>
      </c>
      <c r="Q3004" s="9" t="s">
        <v>13284</v>
      </c>
      <c r="R3004" s="9" t="s">
        <v>13284</v>
      </c>
      <c r="S3004" s="9" t="s">
        <v>13284</v>
      </c>
      <c r="T3004" s="9" t="str">
        <f ca="1">IFERROR(IF(AND(VLOOKUP(A3004, 'Актуальное состояние (из общего'!A:C,3,0) = "", A3004 &lt;&gt; ""), "ПРОВЕРИТЬ", VLOOKUP(A3004, 'Актуальное состояние (из общего'!A:C,3,0)), "")</f>
        <v/>
      </c>
      <c r="U3004" s="9" t="s">
        <v>13284</v>
      </c>
      <c r="V3004" s="9" t="s">
        <v>13284</v>
      </c>
      <c r="W3004" s="12"/>
      <c r="X3004" s="9" t="str">
        <f t="array" ref="X3004">IFERROR(INDEX('Адреса общежитий (скрытый)'!$B$2:$B$9, MATCH(W3004, 'Адреса общежитий (скрытый)'!$A$2:$A$9, 0)), "")</f>
        <v/>
      </c>
      <c r="Y3004" s="18"/>
      <c r="Z3004" s="18"/>
      <c r="AA3004" s="18"/>
      <c r="AB3004" s="18"/>
      <c r="AC3004" s="18"/>
    </row>
    <row r="3005" spans="1:29" ht="32.25" hidden="1" customHeight="1">
      <c r="A3005" s="17"/>
      <c r="B3005" s="9" t="s">
        <v>13284</v>
      </c>
      <c r="C3005" s="9" t="s">
        <v>13284</v>
      </c>
      <c r="D3005" s="9" t="s">
        <v>13284</v>
      </c>
      <c r="E3005" s="9" t="s">
        <v>13284</v>
      </c>
      <c r="F3005" s="9" t="s">
        <v>13284</v>
      </c>
      <c r="G3005" s="9" t="s">
        <v>13284</v>
      </c>
      <c r="H3005" s="9" t="s">
        <v>13284</v>
      </c>
      <c r="I3005" s="9" t="s">
        <v>13284</v>
      </c>
      <c r="J3005" s="9" t="s">
        <v>13284</v>
      </c>
      <c r="K3005" s="9" t="s">
        <v>13284</v>
      </c>
      <c r="L3005" s="9" t="s">
        <v>13284</v>
      </c>
      <c r="M3005" s="9" t="s">
        <v>13284</v>
      </c>
      <c r="N3005" s="9" t="s">
        <v>13284</v>
      </c>
      <c r="O3005" s="9" t="s">
        <v>13284</v>
      </c>
      <c r="P3005" s="9" t="s">
        <v>13284</v>
      </c>
      <c r="Q3005" s="9" t="s">
        <v>13284</v>
      </c>
      <c r="R3005" s="9" t="s">
        <v>13284</v>
      </c>
      <c r="S3005" s="9" t="s">
        <v>13284</v>
      </c>
      <c r="T3005" s="9" t="str">
        <f ca="1">IFERROR(IF(AND(VLOOKUP(A3005, 'Актуальное состояние (из общего'!A:C,3,0) = "", A3005 &lt;&gt; ""), "ПРОВЕРИТЬ", VLOOKUP(A3005, 'Актуальное состояние (из общего'!A:C,3,0)), "")</f>
        <v/>
      </c>
      <c r="U3005" s="9" t="s">
        <v>13284</v>
      </c>
      <c r="V3005" s="9" t="s">
        <v>13284</v>
      </c>
      <c r="W3005" s="12"/>
      <c r="X3005" s="9" t="str">
        <f t="array" ref="X3005">IFERROR(INDEX('Адреса общежитий (скрытый)'!$B$2:$B$9, MATCH(W3005, 'Адреса общежитий (скрытый)'!$A$2:$A$9, 0)), "")</f>
        <v/>
      </c>
      <c r="Y3005" s="18"/>
      <c r="Z3005" s="18"/>
      <c r="AA3005" s="18"/>
      <c r="AB3005" s="18"/>
      <c r="AC3005" s="18"/>
    </row>
    <row r="3006" spans="1:29" ht="32.25" hidden="1" customHeight="1">
      <c r="A3006" s="17"/>
      <c r="B3006" s="9" t="s">
        <v>13284</v>
      </c>
      <c r="C3006" s="9" t="s">
        <v>13284</v>
      </c>
      <c r="D3006" s="9" t="s">
        <v>13284</v>
      </c>
      <c r="E3006" s="9" t="s">
        <v>13284</v>
      </c>
      <c r="F3006" s="9" t="s">
        <v>13284</v>
      </c>
      <c r="G3006" s="9" t="s">
        <v>13284</v>
      </c>
      <c r="H3006" s="9" t="s">
        <v>13284</v>
      </c>
      <c r="I3006" s="9" t="s">
        <v>13284</v>
      </c>
      <c r="J3006" s="9" t="s">
        <v>13284</v>
      </c>
      <c r="K3006" s="9" t="s">
        <v>13284</v>
      </c>
      <c r="L3006" s="9" t="s">
        <v>13284</v>
      </c>
      <c r="M3006" s="9" t="s">
        <v>13284</v>
      </c>
      <c r="N3006" s="9" t="s">
        <v>13284</v>
      </c>
      <c r="O3006" s="9" t="s">
        <v>13284</v>
      </c>
      <c r="P3006" s="9" t="s">
        <v>13284</v>
      </c>
      <c r="Q3006" s="9" t="s">
        <v>13284</v>
      </c>
      <c r="R3006" s="9" t="s">
        <v>13284</v>
      </c>
      <c r="S3006" s="9" t="s">
        <v>13284</v>
      </c>
      <c r="T3006" s="9" t="str">
        <f ca="1">IFERROR(IF(AND(VLOOKUP(A3006, 'Актуальное состояние (из общего'!A:C,3,0) = "", A3006 &lt;&gt; ""), "ПРОВЕРИТЬ", VLOOKUP(A3006, 'Актуальное состояние (из общего'!A:C,3,0)), "")</f>
        <v/>
      </c>
      <c r="U3006" s="9" t="s">
        <v>13284</v>
      </c>
      <c r="V3006" s="9" t="s">
        <v>13284</v>
      </c>
      <c r="W3006" s="12"/>
      <c r="X3006" s="9" t="str">
        <f t="array" ref="X3006">IFERROR(INDEX('Адреса общежитий (скрытый)'!$B$2:$B$9, MATCH(W3006, 'Адреса общежитий (скрытый)'!$A$2:$A$9, 0)), "")</f>
        <v/>
      </c>
      <c r="Y3006" s="18"/>
      <c r="Z3006" s="18"/>
      <c r="AA3006" s="18"/>
      <c r="AB3006" s="18"/>
      <c r="AC3006" s="18"/>
    </row>
    <row r="3007" spans="1:29" ht="32.25" hidden="1" customHeight="1">
      <c r="A3007" s="17"/>
      <c r="B3007" s="9" t="s">
        <v>13284</v>
      </c>
      <c r="C3007" s="9" t="s">
        <v>13284</v>
      </c>
      <c r="D3007" s="9" t="s">
        <v>13284</v>
      </c>
      <c r="E3007" s="9" t="s">
        <v>13284</v>
      </c>
      <c r="F3007" s="9" t="s">
        <v>13284</v>
      </c>
      <c r="G3007" s="9" t="s">
        <v>13284</v>
      </c>
      <c r="H3007" s="9" t="s">
        <v>13284</v>
      </c>
      <c r="I3007" s="9" t="s">
        <v>13284</v>
      </c>
      <c r="J3007" s="9" t="s">
        <v>13284</v>
      </c>
      <c r="K3007" s="9" t="s">
        <v>13284</v>
      </c>
      <c r="L3007" s="9" t="s">
        <v>13284</v>
      </c>
      <c r="M3007" s="9" t="s">
        <v>13284</v>
      </c>
      <c r="N3007" s="9" t="s">
        <v>13284</v>
      </c>
      <c r="O3007" s="9" t="s">
        <v>13284</v>
      </c>
      <c r="P3007" s="9" t="s">
        <v>13284</v>
      </c>
      <c r="Q3007" s="9" t="s">
        <v>13284</v>
      </c>
      <c r="R3007" s="9" t="s">
        <v>13284</v>
      </c>
      <c r="S3007" s="9" t="s">
        <v>13284</v>
      </c>
      <c r="T3007" s="9" t="str">
        <f ca="1">IFERROR(IF(AND(VLOOKUP(A3007, 'Актуальное состояние (из общего'!A:C,3,0) = "", A3007 &lt;&gt; ""), "ПРОВЕРИТЬ", VLOOKUP(A3007, 'Актуальное состояние (из общего'!A:C,3,0)), "")</f>
        <v/>
      </c>
      <c r="U3007" s="9" t="s">
        <v>13284</v>
      </c>
      <c r="V3007" s="9" t="s">
        <v>13284</v>
      </c>
      <c r="W3007" s="12"/>
      <c r="X3007" s="9" t="str">
        <f t="array" ref="X3007">IFERROR(INDEX('Адреса общежитий (скрытый)'!$B$2:$B$9, MATCH(W3007, 'Адреса общежитий (скрытый)'!$A$2:$A$9, 0)), "")</f>
        <v/>
      </c>
      <c r="Y3007" s="18"/>
      <c r="Z3007" s="18"/>
      <c r="AA3007" s="18"/>
      <c r="AB3007" s="18"/>
      <c r="AC3007" s="18"/>
    </row>
    <row r="3008" spans="1:29" ht="32.25" hidden="1" customHeight="1">
      <c r="A3008" s="17"/>
      <c r="B3008" s="9" t="s">
        <v>13284</v>
      </c>
      <c r="C3008" s="9" t="s">
        <v>13284</v>
      </c>
      <c r="D3008" s="9" t="s">
        <v>13284</v>
      </c>
      <c r="E3008" s="9" t="s">
        <v>13284</v>
      </c>
      <c r="F3008" s="9" t="s">
        <v>13284</v>
      </c>
      <c r="G3008" s="9" t="s">
        <v>13284</v>
      </c>
      <c r="H3008" s="9" t="s">
        <v>13284</v>
      </c>
      <c r="I3008" s="9" t="s">
        <v>13284</v>
      </c>
      <c r="J3008" s="9" t="s">
        <v>13284</v>
      </c>
      <c r="K3008" s="9" t="s">
        <v>13284</v>
      </c>
      <c r="L3008" s="9" t="s">
        <v>13284</v>
      </c>
      <c r="M3008" s="9" t="s">
        <v>13284</v>
      </c>
      <c r="N3008" s="9" t="s">
        <v>13284</v>
      </c>
      <c r="O3008" s="9" t="s">
        <v>13284</v>
      </c>
      <c r="P3008" s="9" t="s">
        <v>13284</v>
      </c>
      <c r="Q3008" s="9" t="s">
        <v>13284</v>
      </c>
      <c r="R3008" s="9" t="s">
        <v>13284</v>
      </c>
      <c r="S3008" s="9" t="s">
        <v>13284</v>
      </c>
      <c r="T3008" s="9" t="str">
        <f ca="1">IFERROR(IF(AND(VLOOKUP(A3008, 'Актуальное состояние (из общего'!A:C,3,0) = "", A3008 &lt;&gt; ""), "ПРОВЕРИТЬ", VLOOKUP(A3008, 'Актуальное состояние (из общего'!A:C,3,0)), "")</f>
        <v/>
      </c>
      <c r="U3008" s="9" t="s">
        <v>13284</v>
      </c>
      <c r="V3008" s="9" t="s">
        <v>13284</v>
      </c>
      <c r="W3008" s="12"/>
      <c r="X3008" s="9" t="str">
        <f t="array" ref="X3008">IFERROR(INDEX('Адреса общежитий (скрытый)'!$B$2:$B$9, MATCH(W3008, 'Адреса общежитий (скрытый)'!$A$2:$A$9, 0)), "")</f>
        <v/>
      </c>
      <c r="Y3008" s="18"/>
      <c r="Z3008" s="18"/>
      <c r="AA3008" s="18"/>
      <c r="AB3008" s="18"/>
      <c r="AC3008" s="18"/>
    </row>
    <row r="3009" spans="1:29" ht="32.25" hidden="1" customHeight="1">
      <c r="A3009" s="17"/>
      <c r="B3009" s="9" t="s">
        <v>13284</v>
      </c>
      <c r="C3009" s="9" t="s">
        <v>13284</v>
      </c>
      <c r="D3009" s="9" t="s">
        <v>13284</v>
      </c>
      <c r="E3009" s="9" t="s">
        <v>13284</v>
      </c>
      <c r="F3009" s="9" t="s">
        <v>13284</v>
      </c>
      <c r="G3009" s="9" t="s">
        <v>13284</v>
      </c>
      <c r="H3009" s="9" t="s">
        <v>13284</v>
      </c>
      <c r="I3009" s="9" t="s">
        <v>13284</v>
      </c>
      <c r="J3009" s="9" t="s">
        <v>13284</v>
      </c>
      <c r="K3009" s="9" t="s">
        <v>13284</v>
      </c>
      <c r="L3009" s="9" t="s">
        <v>13284</v>
      </c>
      <c r="M3009" s="9" t="s">
        <v>13284</v>
      </c>
      <c r="N3009" s="9" t="s">
        <v>13284</v>
      </c>
      <c r="O3009" s="9" t="s">
        <v>13284</v>
      </c>
      <c r="P3009" s="9" t="s">
        <v>13284</v>
      </c>
      <c r="Q3009" s="9" t="s">
        <v>13284</v>
      </c>
      <c r="R3009" s="9" t="s">
        <v>13284</v>
      </c>
      <c r="S3009" s="9" t="s">
        <v>13284</v>
      </c>
      <c r="T3009" s="9" t="str">
        <f ca="1">IFERROR(IF(AND(VLOOKUP(A3009, 'Актуальное состояние (из общего'!A:C,3,0) = "", A3009 &lt;&gt; ""), "ПРОВЕРИТЬ", VLOOKUP(A3009, 'Актуальное состояние (из общего'!A:C,3,0)), "")</f>
        <v/>
      </c>
      <c r="U3009" s="9" t="s">
        <v>13284</v>
      </c>
      <c r="V3009" s="9" t="s">
        <v>13284</v>
      </c>
      <c r="W3009" s="12"/>
      <c r="X3009" s="9" t="str">
        <f t="array" ref="X3009">IFERROR(INDEX('Адреса общежитий (скрытый)'!$B$2:$B$9, MATCH(W3009, 'Адреса общежитий (скрытый)'!$A$2:$A$9, 0)), "")</f>
        <v/>
      </c>
      <c r="Y3009" s="18"/>
      <c r="Z3009" s="18"/>
      <c r="AA3009" s="18"/>
      <c r="AB3009" s="18"/>
      <c r="AC3009" s="18"/>
    </row>
    <row r="3010" spans="1:29" ht="32.25" hidden="1" customHeight="1">
      <c r="A3010" s="17"/>
      <c r="B3010" s="9" t="s">
        <v>13284</v>
      </c>
      <c r="C3010" s="9" t="s">
        <v>13284</v>
      </c>
      <c r="D3010" s="9" t="s">
        <v>13284</v>
      </c>
      <c r="E3010" s="9" t="s">
        <v>13284</v>
      </c>
      <c r="F3010" s="9" t="s">
        <v>13284</v>
      </c>
      <c r="G3010" s="9" t="s">
        <v>13284</v>
      </c>
      <c r="H3010" s="9" t="s">
        <v>13284</v>
      </c>
      <c r="I3010" s="9" t="s">
        <v>13284</v>
      </c>
      <c r="J3010" s="9" t="s">
        <v>13284</v>
      </c>
      <c r="K3010" s="9" t="s">
        <v>13284</v>
      </c>
      <c r="L3010" s="9" t="s">
        <v>13284</v>
      </c>
      <c r="M3010" s="9" t="s">
        <v>13284</v>
      </c>
      <c r="N3010" s="9" t="s">
        <v>13284</v>
      </c>
      <c r="O3010" s="9" t="s">
        <v>13284</v>
      </c>
      <c r="P3010" s="9" t="s">
        <v>13284</v>
      </c>
      <c r="Q3010" s="9" t="s">
        <v>13284</v>
      </c>
      <c r="R3010" s="9" t="s">
        <v>13284</v>
      </c>
      <c r="S3010" s="9" t="s">
        <v>13284</v>
      </c>
      <c r="T3010" s="9" t="str">
        <f ca="1">IFERROR(IF(AND(VLOOKUP(A3010, 'Актуальное состояние (из общего'!A:C,3,0) = "", A3010 &lt;&gt; ""), "ПРОВЕРИТЬ", VLOOKUP(A3010, 'Актуальное состояние (из общего'!A:C,3,0)), "")</f>
        <v/>
      </c>
      <c r="U3010" s="9" t="s">
        <v>13284</v>
      </c>
      <c r="V3010" s="9" t="s">
        <v>13284</v>
      </c>
      <c r="W3010" s="12"/>
      <c r="X3010" s="9" t="str">
        <f t="array" ref="X3010">IFERROR(INDEX('Адреса общежитий (скрытый)'!$B$2:$B$9, MATCH(W3010, 'Адреса общежитий (скрытый)'!$A$2:$A$9, 0)), "")</f>
        <v/>
      </c>
      <c r="Y3010" s="18"/>
      <c r="Z3010" s="18"/>
      <c r="AA3010" s="18"/>
      <c r="AB3010" s="18"/>
      <c r="AC3010" s="18"/>
    </row>
    <row r="3011" spans="1:29" ht="32.25" hidden="1" customHeight="1">
      <c r="A3011" s="17"/>
      <c r="B3011" s="9" t="s">
        <v>13284</v>
      </c>
      <c r="C3011" s="9" t="s">
        <v>13284</v>
      </c>
      <c r="D3011" s="9" t="s">
        <v>13284</v>
      </c>
      <c r="E3011" s="9" t="s">
        <v>13284</v>
      </c>
      <c r="F3011" s="9" t="s">
        <v>13284</v>
      </c>
      <c r="G3011" s="9" t="s">
        <v>13284</v>
      </c>
      <c r="H3011" s="9" t="s">
        <v>13284</v>
      </c>
      <c r="I3011" s="9" t="s">
        <v>13284</v>
      </c>
      <c r="J3011" s="9" t="s">
        <v>13284</v>
      </c>
      <c r="K3011" s="9" t="s">
        <v>13284</v>
      </c>
      <c r="L3011" s="9" t="s">
        <v>13284</v>
      </c>
      <c r="M3011" s="9" t="s">
        <v>13284</v>
      </c>
      <c r="N3011" s="9" t="s">
        <v>13284</v>
      </c>
      <c r="O3011" s="9" t="s">
        <v>13284</v>
      </c>
      <c r="P3011" s="9" t="s">
        <v>13284</v>
      </c>
      <c r="Q3011" s="9" t="s">
        <v>13284</v>
      </c>
      <c r="R3011" s="9" t="s">
        <v>13284</v>
      </c>
      <c r="S3011" s="9" t="s">
        <v>13284</v>
      </c>
      <c r="T3011" s="9" t="str">
        <f ca="1">IFERROR(IF(AND(VLOOKUP(A3011, 'Актуальное состояние (из общего'!A:C,3,0) = "", A3011 &lt;&gt; ""), "ПРОВЕРИТЬ", VLOOKUP(A3011, 'Актуальное состояние (из общего'!A:C,3,0)), "")</f>
        <v/>
      </c>
      <c r="U3011" s="9" t="s">
        <v>13284</v>
      </c>
      <c r="V3011" s="9" t="s">
        <v>13284</v>
      </c>
      <c r="W3011" s="12"/>
      <c r="X3011" s="9" t="str">
        <f t="array" ref="X3011">IFERROR(INDEX('Адреса общежитий (скрытый)'!$B$2:$B$9, MATCH(W3011, 'Адреса общежитий (скрытый)'!$A$2:$A$9, 0)), "")</f>
        <v/>
      </c>
      <c r="Y3011" s="18"/>
      <c r="Z3011" s="18"/>
      <c r="AA3011" s="18"/>
      <c r="AB3011" s="18"/>
      <c r="AC3011" s="18"/>
    </row>
    <row r="3012" spans="1:29" ht="32.25" hidden="1" customHeight="1">
      <c r="A3012" s="17"/>
      <c r="B3012" s="9" t="s">
        <v>13284</v>
      </c>
      <c r="C3012" s="9" t="s">
        <v>13284</v>
      </c>
      <c r="D3012" s="9" t="s">
        <v>13284</v>
      </c>
      <c r="E3012" s="9" t="s">
        <v>13284</v>
      </c>
      <c r="F3012" s="9" t="s">
        <v>13284</v>
      </c>
      <c r="G3012" s="9" t="s">
        <v>13284</v>
      </c>
      <c r="H3012" s="9" t="s">
        <v>13284</v>
      </c>
      <c r="I3012" s="9" t="s">
        <v>13284</v>
      </c>
      <c r="J3012" s="9" t="s">
        <v>13284</v>
      </c>
      <c r="K3012" s="9" t="s">
        <v>13284</v>
      </c>
      <c r="L3012" s="9" t="s">
        <v>13284</v>
      </c>
      <c r="M3012" s="9" t="s">
        <v>13284</v>
      </c>
      <c r="N3012" s="9" t="s">
        <v>13284</v>
      </c>
      <c r="O3012" s="9" t="s">
        <v>13284</v>
      </c>
      <c r="P3012" s="9" t="s">
        <v>13284</v>
      </c>
      <c r="Q3012" s="9" t="s">
        <v>13284</v>
      </c>
      <c r="R3012" s="9" t="s">
        <v>13284</v>
      </c>
      <c r="S3012" s="9" t="s">
        <v>13284</v>
      </c>
      <c r="T3012" s="9" t="str">
        <f ca="1">IFERROR(IF(AND(VLOOKUP(A3012, 'Актуальное состояние (из общего'!A:C,3,0) = "", A3012 &lt;&gt; ""), "ПРОВЕРИТЬ", VLOOKUP(A3012, 'Актуальное состояние (из общего'!A:C,3,0)), "")</f>
        <v/>
      </c>
      <c r="U3012" s="9" t="s">
        <v>13284</v>
      </c>
      <c r="V3012" s="9" t="s">
        <v>13284</v>
      </c>
      <c r="W3012" s="12"/>
      <c r="X3012" s="9" t="str">
        <f t="array" ref="X3012">IFERROR(INDEX('Адреса общежитий (скрытый)'!$B$2:$B$9, MATCH(W3012, 'Адреса общежитий (скрытый)'!$A$2:$A$9, 0)), "")</f>
        <v/>
      </c>
      <c r="Y3012" s="18"/>
      <c r="Z3012" s="18"/>
      <c r="AA3012" s="18"/>
      <c r="AB3012" s="18"/>
      <c r="AC3012" s="18"/>
    </row>
    <row r="3013" spans="1:29" ht="32.25" hidden="1" customHeight="1">
      <c r="A3013" s="17"/>
      <c r="B3013" s="9" t="s">
        <v>13284</v>
      </c>
      <c r="C3013" s="9" t="s">
        <v>13284</v>
      </c>
      <c r="D3013" s="9" t="s">
        <v>13284</v>
      </c>
      <c r="E3013" s="9" t="s">
        <v>13284</v>
      </c>
      <c r="F3013" s="9" t="s">
        <v>13284</v>
      </c>
      <c r="G3013" s="9" t="s">
        <v>13284</v>
      </c>
      <c r="H3013" s="9" t="s">
        <v>13284</v>
      </c>
      <c r="I3013" s="9" t="s">
        <v>13284</v>
      </c>
      <c r="J3013" s="9" t="s">
        <v>13284</v>
      </c>
      <c r="K3013" s="9" t="s">
        <v>13284</v>
      </c>
      <c r="L3013" s="9" t="s">
        <v>13284</v>
      </c>
      <c r="M3013" s="9" t="s">
        <v>13284</v>
      </c>
      <c r="N3013" s="9" t="s">
        <v>13284</v>
      </c>
      <c r="O3013" s="9" t="s">
        <v>13284</v>
      </c>
      <c r="P3013" s="9" t="s">
        <v>13284</v>
      </c>
      <c r="Q3013" s="9" t="s">
        <v>13284</v>
      </c>
      <c r="R3013" s="9" t="s">
        <v>13284</v>
      </c>
      <c r="S3013" s="9" t="s">
        <v>13284</v>
      </c>
      <c r="T3013" s="9" t="str">
        <f ca="1">IFERROR(IF(AND(VLOOKUP(A3013, 'Актуальное состояние (из общего'!A:C,3,0) = "", A3013 &lt;&gt; ""), "ПРОВЕРИТЬ", VLOOKUP(A3013, 'Актуальное состояние (из общего'!A:C,3,0)), "")</f>
        <v/>
      </c>
      <c r="U3013" s="9" t="s">
        <v>13284</v>
      </c>
      <c r="V3013" s="9" t="s">
        <v>13284</v>
      </c>
      <c r="W3013" s="12"/>
      <c r="X3013" s="9" t="str">
        <f t="array" ref="X3013">IFERROR(INDEX('Адреса общежитий (скрытый)'!$B$2:$B$9, MATCH(W3013, 'Адреса общежитий (скрытый)'!$A$2:$A$9, 0)), "")</f>
        <v/>
      </c>
      <c r="Y3013" s="18"/>
      <c r="Z3013" s="18"/>
      <c r="AA3013" s="18"/>
      <c r="AB3013" s="18"/>
      <c r="AC3013" s="18"/>
    </row>
    <row r="3014" spans="1:29" ht="32.25" hidden="1" customHeight="1">
      <c r="A3014" s="17"/>
      <c r="B3014" s="9" t="s">
        <v>13284</v>
      </c>
      <c r="C3014" s="9" t="s">
        <v>13284</v>
      </c>
      <c r="D3014" s="9" t="s">
        <v>13284</v>
      </c>
      <c r="E3014" s="9" t="s">
        <v>13284</v>
      </c>
      <c r="F3014" s="9" t="s">
        <v>13284</v>
      </c>
      <c r="G3014" s="9" t="s">
        <v>13284</v>
      </c>
      <c r="H3014" s="9" t="s">
        <v>13284</v>
      </c>
      <c r="I3014" s="9" t="s">
        <v>13284</v>
      </c>
      <c r="J3014" s="9" t="s">
        <v>13284</v>
      </c>
      <c r="K3014" s="9" t="s">
        <v>13284</v>
      </c>
      <c r="L3014" s="9" t="s">
        <v>13284</v>
      </c>
      <c r="M3014" s="9" t="s">
        <v>13284</v>
      </c>
      <c r="N3014" s="9" t="s">
        <v>13284</v>
      </c>
      <c r="O3014" s="9" t="s">
        <v>13284</v>
      </c>
      <c r="P3014" s="9" t="s">
        <v>13284</v>
      </c>
      <c r="Q3014" s="9" t="s">
        <v>13284</v>
      </c>
      <c r="R3014" s="9" t="s">
        <v>13284</v>
      </c>
      <c r="S3014" s="9" t="s">
        <v>13284</v>
      </c>
      <c r="T3014" s="9" t="str">
        <f ca="1">IFERROR(IF(AND(VLOOKUP(A3014, 'Актуальное состояние (из общего'!A:C,3,0) = "", A3014 &lt;&gt; ""), "ПРОВЕРИТЬ", VLOOKUP(A3014, 'Актуальное состояние (из общего'!A:C,3,0)), "")</f>
        <v/>
      </c>
      <c r="U3014" s="9" t="s">
        <v>13284</v>
      </c>
      <c r="V3014" s="9" t="s">
        <v>13284</v>
      </c>
      <c r="W3014" s="12"/>
      <c r="X3014" s="9" t="str">
        <f t="array" ref="X3014">IFERROR(INDEX('Адреса общежитий (скрытый)'!$B$2:$B$9, MATCH(W3014, 'Адреса общежитий (скрытый)'!$A$2:$A$9, 0)), "")</f>
        <v/>
      </c>
      <c r="Y3014" s="18"/>
      <c r="Z3014" s="18"/>
      <c r="AA3014" s="18"/>
      <c r="AB3014" s="18"/>
      <c r="AC3014" s="18"/>
    </row>
    <row r="3015" spans="1:29" ht="32.25" hidden="1" customHeight="1">
      <c r="A3015" s="17"/>
      <c r="B3015" s="9" t="s">
        <v>13284</v>
      </c>
      <c r="C3015" s="9" t="s">
        <v>13284</v>
      </c>
      <c r="D3015" s="9" t="s">
        <v>13284</v>
      </c>
      <c r="E3015" s="9" t="s">
        <v>13284</v>
      </c>
      <c r="F3015" s="9" t="s">
        <v>13284</v>
      </c>
      <c r="G3015" s="9" t="s">
        <v>13284</v>
      </c>
      <c r="H3015" s="9" t="s">
        <v>13284</v>
      </c>
      <c r="I3015" s="9" t="s">
        <v>13284</v>
      </c>
      <c r="J3015" s="9" t="s">
        <v>13284</v>
      </c>
      <c r="K3015" s="9" t="s">
        <v>13284</v>
      </c>
      <c r="L3015" s="9" t="s">
        <v>13284</v>
      </c>
      <c r="M3015" s="9" t="s">
        <v>13284</v>
      </c>
      <c r="N3015" s="9" t="s">
        <v>13284</v>
      </c>
      <c r="O3015" s="9" t="s">
        <v>13284</v>
      </c>
      <c r="P3015" s="9" t="s">
        <v>13284</v>
      </c>
      <c r="Q3015" s="9" t="s">
        <v>13284</v>
      </c>
      <c r="R3015" s="9" t="s">
        <v>13284</v>
      </c>
      <c r="S3015" s="9" t="s">
        <v>13284</v>
      </c>
      <c r="T3015" s="9" t="str">
        <f ca="1">IFERROR(IF(AND(VLOOKUP(A3015, 'Актуальное состояние (из общего'!A:C,3,0) = "", A3015 &lt;&gt; ""), "ПРОВЕРИТЬ", VLOOKUP(A3015, 'Актуальное состояние (из общего'!A:C,3,0)), "")</f>
        <v/>
      </c>
      <c r="U3015" s="9" t="s">
        <v>13284</v>
      </c>
      <c r="V3015" s="9" t="s">
        <v>13284</v>
      </c>
      <c r="W3015" s="12"/>
      <c r="X3015" s="9" t="str">
        <f t="array" ref="X3015">IFERROR(INDEX('Адреса общежитий (скрытый)'!$B$2:$B$9, MATCH(W3015, 'Адреса общежитий (скрытый)'!$A$2:$A$9, 0)), "")</f>
        <v/>
      </c>
      <c r="Y3015" s="18"/>
      <c r="Z3015" s="18"/>
      <c r="AA3015" s="18"/>
      <c r="AB3015" s="18"/>
      <c r="AC3015" s="18"/>
    </row>
    <row r="3016" spans="1:29" ht="32.25" hidden="1" customHeight="1">
      <c r="A3016" s="17"/>
      <c r="B3016" s="9" t="s">
        <v>13284</v>
      </c>
      <c r="C3016" s="9" t="s">
        <v>13284</v>
      </c>
      <c r="D3016" s="9" t="s">
        <v>13284</v>
      </c>
      <c r="E3016" s="9" t="s">
        <v>13284</v>
      </c>
      <c r="F3016" s="9" t="s">
        <v>13284</v>
      </c>
      <c r="G3016" s="9" t="s">
        <v>13284</v>
      </c>
      <c r="H3016" s="9" t="s">
        <v>13284</v>
      </c>
      <c r="I3016" s="9" t="s">
        <v>13284</v>
      </c>
      <c r="J3016" s="9" t="s">
        <v>13284</v>
      </c>
      <c r="K3016" s="9" t="s">
        <v>13284</v>
      </c>
      <c r="L3016" s="9" t="s">
        <v>13284</v>
      </c>
      <c r="M3016" s="9" t="s">
        <v>13284</v>
      </c>
      <c r="N3016" s="9" t="s">
        <v>13284</v>
      </c>
      <c r="O3016" s="9" t="s">
        <v>13284</v>
      </c>
      <c r="P3016" s="9" t="s">
        <v>13284</v>
      </c>
      <c r="Q3016" s="9" t="s">
        <v>13284</v>
      </c>
      <c r="R3016" s="9" t="s">
        <v>13284</v>
      </c>
      <c r="S3016" s="9" t="s">
        <v>13284</v>
      </c>
      <c r="T3016" s="9" t="str">
        <f ca="1">IFERROR(IF(AND(VLOOKUP(A3016, 'Актуальное состояние (из общего'!A:C,3,0) = "", A3016 &lt;&gt; ""), "ПРОВЕРИТЬ", VLOOKUP(A3016, 'Актуальное состояние (из общего'!A:C,3,0)), "")</f>
        <v/>
      </c>
      <c r="U3016" s="9" t="s">
        <v>13284</v>
      </c>
      <c r="V3016" s="9" t="s">
        <v>13284</v>
      </c>
      <c r="W3016" s="12"/>
      <c r="X3016" s="9" t="str">
        <f t="array" ref="X3016">IFERROR(INDEX('Адреса общежитий (скрытый)'!$B$2:$B$9, MATCH(W3016, 'Адреса общежитий (скрытый)'!$A$2:$A$9, 0)), "")</f>
        <v/>
      </c>
      <c r="Y3016" s="18"/>
      <c r="Z3016" s="18"/>
      <c r="AA3016" s="18"/>
      <c r="AB3016" s="18"/>
      <c r="AC3016" s="18"/>
    </row>
    <row r="3017" spans="1:29" ht="32.25" hidden="1" customHeight="1">
      <c r="A3017" s="17"/>
      <c r="B3017" s="9" t="s">
        <v>13284</v>
      </c>
      <c r="C3017" s="9" t="s">
        <v>13284</v>
      </c>
      <c r="D3017" s="9" t="s">
        <v>13284</v>
      </c>
      <c r="E3017" s="9" t="s">
        <v>13284</v>
      </c>
      <c r="F3017" s="9" t="s">
        <v>13284</v>
      </c>
      <c r="G3017" s="9" t="s">
        <v>13284</v>
      </c>
      <c r="H3017" s="9" t="s">
        <v>13284</v>
      </c>
      <c r="I3017" s="9" t="s">
        <v>13284</v>
      </c>
      <c r="J3017" s="9" t="s">
        <v>13284</v>
      </c>
      <c r="K3017" s="9" t="s">
        <v>13284</v>
      </c>
      <c r="L3017" s="9" t="s">
        <v>13284</v>
      </c>
      <c r="M3017" s="9" t="s">
        <v>13284</v>
      </c>
      <c r="N3017" s="9" t="s">
        <v>13284</v>
      </c>
      <c r="O3017" s="9" t="s">
        <v>13284</v>
      </c>
      <c r="P3017" s="9" t="s">
        <v>13284</v>
      </c>
      <c r="Q3017" s="9" t="s">
        <v>13284</v>
      </c>
      <c r="R3017" s="9" t="s">
        <v>13284</v>
      </c>
      <c r="S3017" s="9" t="s">
        <v>13284</v>
      </c>
      <c r="T3017" s="9" t="str">
        <f ca="1">IFERROR(IF(AND(VLOOKUP(A3017, 'Актуальное состояние (из общего'!A:C,3,0) = "", A3017 &lt;&gt; ""), "ПРОВЕРИТЬ", VLOOKUP(A3017, 'Актуальное состояние (из общего'!A:C,3,0)), "")</f>
        <v/>
      </c>
      <c r="U3017" s="9" t="s">
        <v>13284</v>
      </c>
      <c r="V3017" s="9" t="s">
        <v>13284</v>
      </c>
      <c r="W3017" s="12"/>
      <c r="X3017" s="9" t="str">
        <f t="array" ref="X3017">IFERROR(INDEX('Адреса общежитий (скрытый)'!$B$2:$B$9, MATCH(W3017, 'Адреса общежитий (скрытый)'!$A$2:$A$9, 0)), "")</f>
        <v/>
      </c>
      <c r="Y3017" s="18"/>
      <c r="Z3017" s="18"/>
      <c r="AA3017" s="18"/>
      <c r="AB3017" s="18"/>
      <c r="AC3017" s="18"/>
    </row>
    <row r="3018" spans="1:29" ht="32.25" hidden="1" customHeight="1">
      <c r="A3018" s="17"/>
      <c r="B3018" s="9" t="s">
        <v>13284</v>
      </c>
      <c r="C3018" s="9" t="s">
        <v>13284</v>
      </c>
      <c r="D3018" s="9" t="s">
        <v>13284</v>
      </c>
      <c r="E3018" s="9" t="s">
        <v>13284</v>
      </c>
      <c r="F3018" s="9" t="s">
        <v>13284</v>
      </c>
      <c r="G3018" s="9" t="s">
        <v>13284</v>
      </c>
      <c r="H3018" s="9" t="s">
        <v>13284</v>
      </c>
      <c r="I3018" s="9" t="s">
        <v>13284</v>
      </c>
      <c r="J3018" s="9" t="s">
        <v>13284</v>
      </c>
      <c r="K3018" s="9" t="s">
        <v>13284</v>
      </c>
      <c r="L3018" s="9" t="s">
        <v>13284</v>
      </c>
      <c r="M3018" s="9" t="s">
        <v>13284</v>
      </c>
      <c r="N3018" s="9" t="s">
        <v>13284</v>
      </c>
      <c r="O3018" s="9" t="s">
        <v>13284</v>
      </c>
      <c r="P3018" s="9" t="s">
        <v>13284</v>
      </c>
      <c r="Q3018" s="9" t="s">
        <v>13284</v>
      </c>
      <c r="R3018" s="9" t="s">
        <v>13284</v>
      </c>
      <c r="S3018" s="9" t="s">
        <v>13284</v>
      </c>
      <c r="T3018" s="9" t="str">
        <f ca="1">IFERROR(IF(AND(VLOOKUP(A3018, 'Актуальное состояние (из общего'!A:C,3,0) = "", A3018 &lt;&gt; ""), "ПРОВЕРИТЬ", VLOOKUP(A3018, 'Актуальное состояние (из общего'!A:C,3,0)), "")</f>
        <v/>
      </c>
      <c r="U3018" s="9" t="s">
        <v>13284</v>
      </c>
      <c r="V3018" s="9" t="s">
        <v>13284</v>
      </c>
      <c r="W3018" s="12"/>
      <c r="X3018" s="9" t="str">
        <f t="array" ref="X3018">IFERROR(INDEX('Адреса общежитий (скрытый)'!$B$2:$B$9, MATCH(W3018, 'Адреса общежитий (скрытый)'!$A$2:$A$9, 0)), "")</f>
        <v/>
      </c>
      <c r="Y3018" s="18"/>
      <c r="Z3018" s="18"/>
      <c r="AA3018" s="18"/>
      <c r="AB3018" s="18"/>
      <c r="AC3018" s="18"/>
    </row>
    <row r="3019" spans="1:29" ht="32.25" hidden="1" customHeight="1">
      <c r="A3019" s="17"/>
      <c r="B3019" s="9" t="s">
        <v>13284</v>
      </c>
      <c r="C3019" s="9" t="s">
        <v>13284</v>
      </c>
      <c r="D3019" s="9" t="s">
        <v>13284</v>
      </c>
      <c r="E3019" s="9" t="s">
        <v>13284</v>
      </c>
      <c r="F3019" s="9" t="s">
        <v>13284</v>
      </c>
      <c r="G3019" s="9" t="s">
        <v>13284</v>
      </c>
      <c r="H3019" s="9" t="s">
        <v>13284</v>
      </c>
      <c r="I3019" s="9" t="s">
        <v>13284</v>
      </c>
      <c r="J3019" s="9" t="s">
        <v>13284</v>
      </c>
      <c r="K3019" s="9" t="s">
        <v>13284</v>
      </c>
      <c r="L3019" s="9" t="s">
        <v>13284</v>
      </c>
      <c r="M3019" s="9" t="s">
        <v>13284</v>
      </c>
      <c r="N3019" s="9" t="s">
        <v>13284</v>
      </c>
      <c r="O3019" s="9" t="s">
        <v>13284</v>
      </c>
      <c r="P3019" s="9" t="s">
        <v>13284</v>
      </c>
      <c r="Q3019" s="9" t="s">
        <v>13284</v>
      </c>
      <c r="R3019" s="9" t="s">
        <v>13284</v>
      </c>
      <c r="S3019" s="9" t="s">
        <v>13284</v>
      </c>
      <c r="T3019" s="9" t="str">
        <f ca="1">IFERROR(IF(AND(VLOOKUP(A3019, 'Актуальное состояние (из общего'!A:C,3,0) = "", A3019 &lt;&gt; ""), "ПРОВЕРИТЬ", VLOOKUP(A3019, 'Актуальное состояние (из общего'!A:C,3,0)), "")</f>
        <v/>
      </c>
      <c r="U3019" s="9" t="s">
        <v>13284</v>
      </c>
      <c r="V3019" s="9" t="s">
        <v>13284</v>
      </c>
      <c r="W3019" s="12"/>
      <c r="X3019" s="9" t="str">
        <f t="array" ref="X3019">IFERROR(INDEX('Адреса общежитий (скрытый)'!$B$2:$B$9, MATCH(W3019, 'Адреса общежитий (скрытый)'!$A$2:$A$9, 0)), "")</f>
        <v/>
      </c>
      <c r="Y3019" s="18"/>
      <c r="Z3019" s="18"/>
      <c r="AA3019" s="18"/>
      <c r="AB3019" s="18"/>
      <c r="AC3019" s="18"/>
    </row>
    <row r="3020" spans="1:29" ht="32.25" hidden="1" customHeight="1">
      <c r="A3020" s="17"/>
      <c r="B3020" s="9" t="s">
        <v>13284</v>
      </c>
      <c r="C3020" s="9" t="s">
        <v>13284</v>
      </c>
      <c r="D3020" s="9" t="s">
        <v>13284</v>
      </c>
      <c r="E3020" s="9" t="s">
        <v>13284</v>
      </c>
      <c r="F3020" s="9" t="s">
        <v>13284</v>
      </c>
      <c r="G3020" s="9" t="s">
        <v>13284</v>
      </c>
      <c r="H3020" s="9" t="s">
        <v>13284</v>
      </c>
      <c r="I3020" s="9" t="s">
        <v>13284</v>
      </c>
      <c r="J3020" s="9" t="s">
        <v>13284</v>
      </c>
      <c r="K3020" s="9" t="s">
        <v>13284</v>
      </c>
      <c r="L3020" s="9" t="s">
        <v>13284</v>
      </c>
      <c r="M3020" s="9" t="s">
        <v>13284</v>
      </c>
      <c r="N3020" s="9" t="s">
        <v>13284</v>
      </c>
      <c r="O3020" s="9" t="s">
        <v>13284</v>
      </c>
      <c r="P3020" s="9" t="s">
        <v>13284</v>
      </c>
      <c r="Q3020" s="9" t="s">
        <v>13284</v>
      </c>
      <c r="R3020" s="9" t="s">
        <v>13284</v>
      </c>
      <c r="S3020" s="9" t="s">
        <v>13284</v>
      </c>
      <c r="T3020" s="9" t="str">
        <f ca="1">IFERROR(IF(AND(VLOOKUP(A3020, 'Актуальное состояние (из общего'!A:C,3,0) = "", A3020 &lt;&gt; ""), "ПРОВЕРИТЬ", VLOOKUP(A3020, 'Актуальное состояние (из общего'!A:C,3,0)), "")</f>
        <v/>
      </c>
      <c r="U3020" s="9" t="s">
        <v>13284</v>
      </c>
      <c r="V3020" s="9" t="s">
        <v>13284</v>
      </c>
      <c r="W3020" s="12"/>
      <c r="X3020" s="9" t="str">
        <f t="array" ref="X3020">IFERROR(INDEX('Адреса общежитий (скрытый)'!$B$2:$B$9, MATCH(W3020, 'Адреса общежитий (скрытый)'!$A$2:$A$9, 0)), "")</f>
        <v/>
      </c>
      <c r="Y3020" s="18"/>
      <c r="Z3020" s="18"/>
      <c r="AA3020" s="18"/>
      <c r="AB3020" s="18"/>
      <c r="AC3020" s="18"/>
    </row>
    <row r="3021" spans="1:29" ht="32.25" hidden="1" customHeight="1">
      <c r="A3021" s="17"/>
      <c r="B3021" s="9" t="s">
        <v>13284</v>
      </c>
      <c r="C3021" s="9" t="s">
        <v>13284</v>
      </c>
      <c r="D3021" s="9" t="s">
        <v>13284</v>
      </c>
      <c r="E3021" s="9" t="s">
        <v>13284</v>
      </c>
      <c r="F3021" s="9" t="s">
        <v>13284</v>
      </c>
      <c r="G3021" s="9" t="s">
        <v>13284</v>
      </c>
      <c r="H3021" s="9" t="s">
        <v>13284</v>
      </c>
      <c r="I3021" s="9" t="s">
        <v>13284</v>
      </c>
      <c r="J3021" s="9" t="s">
        <v>13284</v>
      </c>
      <c r="K3021" s="9" t="s">
        <v>13284</v>
      </c>
      <c r="L3021" s="9" t="s">
        <v>13284</v>
      </c>
      <c r="M3021" s="9" t="s">
        <v>13284</v>
      </c>
      <c r="N3021" s="9" t="s">
        <v>13284</v>
      </c>
      <c r="O3021" s="9" t="s">
        <v>13284</v>
      </c>
      <c r="P3021" s="9" t="s">
        <v>13284</v>
      </c>
      <c r="Q3021" s="9" t="s">
        <v>13284</v>
      </c>
      <c r="R3021" s="9" t="s">
        <v>13284</v>
      </c>
      <c r="S3021" s="9" t="s">
        <v>13284</v>
      </c>
      <c r="T3021" s="9" t="str">
        <f ca="1">IFERROR(IF(AND(VLOOKUP(A3021, 'Актуальное состояние (из общего'!A:C,3,0) = "", A3021 &lt;&gt; ""), "ПРОВЕРИТЬ", VLOOKUP(A3021, 'Актуальное состояние (из общего'!A:C,3,0)), "")</f>
        <v/>
      </c>
      <c r="U3021" s="9" t="s">
        <v>13284</v>
      </c>
      <c r="V3021" s="9" t="s">
        <v>13284</v>
      </c>
      <c r="W3021" s="12"/>
      <c r="X3021" s="9" t="str">
        <f t="array" ref="X3021">IFERROR(INDEX('Адреса общежитий (скрытый)'!$B$2:$B$9, MATCH(W3021, 'Адреса общежитий (скрытый)'!$A$2:$A$9, 0)), "")</f>
        <v/>
      </c>
      <c r="Y3021" s="18"/>
      <c r="Z3021" s="18"/>
      <c r="AA3021" s="18"/>
      <c r="AB3021" s="18"/>
      <c r="AC3021" s="18"/>
    </row>
    <row r="3022" spans="1:29" ht="32.25" hidden="1" customHeight="1">
      <c r="A3022" s="17"/>
      <c r="B3022" s="9" t="s">
        <v>13284</v>
      </c>
      <c r="C3022" s="9" t="s">
        <v>13284</v>
      </c>
      <c r="D3022" s="9" t="s">
        <v>13284</v>
      </c>
      <c r="E3022" s="9" t="s">
        <v>13284</v>
      </c>
      <c r="F3022" s="9" t="s">
        <v>13284</v>
      </c>
      <c r="G3022" s="9" t="s">
        <v>13284</v>
      </c>
      <c r="H3022" s="9" t="s">
        <v>13284</v>
      </c>
      <c r="I3022" s="9" t="s">
        <v>13284</v>
      </c>
      <c r="J3022" s="9" t="s">
        <v>13284</v>
      </c>
      <c r="K3022" s="9" t="s">
        <v>13284</v>
      </c>
      <c r="L3022" s="9" t="s">
        <v>13284</v>
      </c>
      <c r="M3022" s="9" t="s">
        <v>13284</v>
      </c>
      <c r="N3022" s="9" t="s">
        <v>13284</v>
      </c>
      <c r="O3022" s="9" t="s">
        <v>13284</v>
      </c>
      <c r="P3022" s="9" t="s">
        <v>13284</v>
      </c>
      <c r="Q3022" s="9" t="s">
        <v>13284</v>
      </c>
      <c r="R3022" s="9" t="s">
        <v>13284</v>
      </c>
      <c r="S3022" s="9" t="s">
        <v>13284</v>
      </c>
      <c r="T3022" s="9" t="str">
        <f ca="1">IFERROR(IF(AND(VLOOKUP(A3022, 'Актуальное состояние (из общего'!A:C,3,0) = "", A3022 &lt;&gt; ""), "ПРОВЕРИТЬ", VLOOKUP(A3022, 'Актуальное состояние (из общего'!A:C,3,0)), "")</f>
        <v/>
      </c>
      <c r="U3022" s="9" t="s">
        <v>13284</v>
      </c>
      <c r="V3022" s="9" t="s">
        <v>13284</v>
      </c>
      <c r="W3022" s="12"/>
      <c r="X3022" s="9" t="str">
        <f t="array" ref="X3022">IFERROR(INDEX('Адреса общежитий (скрытый)'!$B$2:$B$9, MATCH(W3022, 'Адреса общежитий (скрытый)'!$A$2:$A$9, 0)), "")</f>
        <v/>
      </c>
      <c r="Y3022" s="18"/>
      <c r="Z3022" s="18"/>
      <c r="AA3022" s="18"/>
      <c r="AB3022" s="18"/>
      <c r="AC3022" s="18"/>
    </row>
    <row r="3023" spans="1:29" ht="32.25" hidden="1" customHeight="1">
      <c r="A3023" s="17"/>
      <c r="B3023" s="9" t="s">
        <v>13284</v>
      </c>
      <c r="C3023" s="9" t="s">
        <v>13284</v>
      </c>
      <c r="D3023" s="9" t="s">
        <v>13284</v>
      </c>
      <c r="E3023" s="9" t="s">
        <v>13284</v>
      </c>
      <c r="F3023" s="9" t="s">
        <v>13284</v>
      </c>
      <c r="G3023" s="9" t="s">
        <v>13284</v>
      </c>
      <c r="H3023" s="9" t="s">
        <v>13284</v>
      </c>
      <c r="I3023" s="9" t="s">
        <v>13284</v>
      </c>
      <c r="J3023" s="9" t="s">
        <v>13284</v>
      </c>
      <c r="K3023" s="9" t="s">
        <v>13284</v>
      </c>
      <c r="L3023" s="9" t="s">
        <v>13284</v>
      </c>
      <c r="M3023" s="9" t="s">
        <v>13284</v>
      </c>
      <c r="N3023" s="9" t="s">
        <v>13284</v>
      </c>
      <c r="O3023" s="9" t="s">
        <v>13284</v>
      </c>
      <c r="P3023" s="9" t="s">
        <v>13284</v>
      </c>
      <c r="Q3023" s="9" t="s">
        <v>13284</v>
      </c>
      <c r="R3023" s="9" t="s">
        <v>13284</v>
      </c>
      <c r="S3023" s="9" t="s">
        <v>13284</v>
      </c>
      <c r="T3023" s="9" t="str">
        <f ca="1">IFERROR(IF(AND(VLOOKUP(A3023, 'Актуальное состояние (из общего'!A:C,3,0) = "", A3023 &lt;&gt; ""), "ПРОВЕРИТЬ", VLOOKUP(A3023, 'Актуальное состояние (из общего'!A:C,3,0)), "")</f>
        <v/>
      </c>
      <c r="U3023" s="9" t="s">
        <v>13284</v>
      </c>
      <c r="V3023" s="9" t="s">
        <v>13284</v>
      </c>
      <c r="W3023" s="12"/>
      <c r="X3023" s="9" t="str">
        <f t="array" ref="X3023">IFERROR(INDEX('Адреса общежитий (скрытый)'!$B$2:$B$9, MATCH(W3023, 'Адреса общежитий (скрытый)'!$A$2:$A$9, 0)), "")</f>
        <v/>
      </c>
      <c r="Y3023" s="18"/>
      <c r="Z3023" s="18"/>
      <c r="AA3023" s="18"/>
      <c r="AB3023" s="18"/>
      <c r="AC3023" s="18"/>
    </row>
    <row r="3024" spans="1:29" ht="32.25" hidden="1" customHeight="1">
      <c r="A3024" s="17"/>
      <c r="B3024" s="9" t="s">
        <v>13284</v>
      </c>
      <c r="C3024" s="9" t="s">
        <v>13284</v>
      </c>
      <c r="D3024" s="9" t="s">
        <v>13284</v>
      </c>
      <c r="E3024" s="9" t="s">
        <v>13284</v>
      </c>
      <c r="F3024" s="9" t="s">
        <v>13284</v>
      </c>
      <c r="G3024" s="9" t="s">
        <v>13284</v>
      </c>
      <c r="H3024" s="9" t="s">
        <v>13284</v>
      </c>
      <c r="I3024" s="9" t="s">
        <v>13284</v>
      </c>
      <c r="J3024" s="9" t="s">
        <v>13284</v>
      </c>
      <c r="K3024" s="9" t="s">
        <v>13284</v>
      </c>
      <c r="L3024" s="9" t="s">
        <v>13284</v>
      </c>
      <c r="M3024" s="9" t="s">
        <v>13284</v>
      </c>
      <c r="N3024" s="9" t="s">
        <v>13284</v>
      </c>
      <c r="O3024" s="9" t="s">
        <v>13284</v>
      </c>
      <c r="P3024" s="9" t="s">
        <v>13284</v>
      </c>
      <c r="Q3024" s="9" t="s">
        <v>13284</v>
      </c>
      <c r="R3024" s="9" t="s">
        <v>13284</v>
      </c>
      <c r="S3024" s="9" t="s">
        <v>13284</v>
      </c>
      <c r="T3024" s="9" t="str">
        <f ca="1">IFERROR(IF(AND(VLOOKUP(A3024, 'Актуальное состояние (из общего'!A:C,3,0) = "", A3024 &lt;&gt; ""), "ПРОВЕРИТЬ", VLOOKUP(A3024, 'Актуальное состояние (из общего'!A:C,3,0)), "")</f>
        <v/>
      </c>
      <c r="U3024" s="9" t="s">
        <v>13284</v>
      </c>
      <c r="V3024" s="9" t="s">
        <v>13284</v>
      </c>
      <c r="W3024" s="12"/>
      <c r="X3024" s="9" t="str">
        <f t="array" ref="X3024">IFERROR(INDEX('Адреса общежитий (скрытый)'!$B$2:$B$9, MATCH(W3024, 'Адреса общежитий (скрытый)'!$A$2:$A$9, 0)), "")</f>
        <v/>
      </c>
      <c r="Y3024" s="18"/>
      <c r="Z3024" s="18"/>
      <c r="AA3024" s="18"/>
      <c r="AB3024" s="18"/>
      <c r="AC3024" s="18"/>
    </row>
    <row r="3025" spans="1:29" ht="32.25" hidden="1" customHeight="1">
      <c r="A3025" s="17"/>
      <c r="B3025" s="9" t="s">
        <v>13284</v>
      </c>
      <c r="C3025" s="9" t="s">
        <v>13284</v>
      </c>
      <c r="D3025" s="9" t="s">
        <v>13284</v>
      </c>
      <c r="E3025" s="9" t="s">
        <v>13284</v>
      </c>
      <c r="F3025" s="9" t="s">
        <v>13284</v>
      </c>
      <c r="G3025" s="9" t="s">
        <v>13284</v>
      </c>
      <c r="H3025" s="9" t="s">
        <v>13284</v>
      </c>
      <c r="I3025" s="9" t="s">
        <v>13284</v>
      </c>
      <c r="J3025" s="9" t="s">
        <v>13284</v>
      </c>
      <c r="K3025" s="9" t="s">
        <v>13284</v>
      </c>
      <c r="L3025" s="9" t="s">
        <v>13284</v>
      </c>
      <c r="M3025" s="9" t="s">
        <v>13284</v>
      </c>
      <c r="N3025" s="9" t="s">
        <v>13284</v>
      </c>
      <c r="O3025" s="9" t="s">
        <v>13284</v>
      </c>
      <c r="P3025" s="9" t="s">
        <v>13284</v>
      </c>
      <c r="Q3025" s="9" t="s">
        <v>13284</v>
      </c>
      <c r="R3025" s="9" t="s">
        <v>13284</v>
      </c>
      <c r="S3025" s="9" t="s">
        <v>13284</v>
      </c>
      <c r="T3025" s="9" t="str">
        <f ca="1">IFERROR(IF(AND(VLOOKUP(A3025, 'Актуальное состояние (из общего'!A:C,3,0) = "", A3025 &lt;&gt; ""), "ПРОВЕРИТЬ", VLOOKUP(A3025, 'Актуальное состояние (из общего'!A:C,3,0)), "")</f>
        <v/>
      </c>
      <c r="U3025" s="9" t="s">
        <v>13284</v>
      </c>
      <c r="V3025" s="9" t="s">
        <v>13284</v>
      </c>
      <c r="W3025" s="12"/>
      <c r="X3025" s="9" t="str">
        <f t="array" ref="X3025">IFERROR(INDEX('Адреса общежитий (скрытый)'!$B$2:$B$9, MATCH(W3025, 'Адреса общежитий (скрытый)'!$A$2:$A$9, 0)), "")</f>
        <v/>
      </c>
      <c r="Y3025" s="18"/>
      <c r="Z3025" s="18"/>
      <c r="AA3025" s="18"/>
      <c r="AB3025" s="18"/>
      <c r="AC3025" s="18"/>
    </row>
    <row r="3026" spans="1:29" ht="32.25" hidden="1" customHeight="1">
      <c r="A3026" s="17"/>
      <c r="B3026" s="9" t="s">
        <v>13284</v>
      </c>
      <c r="C3026" s="9" t="s">
        <v>13284</v>
      </c>
      <c r="D3026" s="9" t="s">
        <v>13284</v>
      </c>
      <c r="E3026" s="9" t="s">
        <v>13284</v>
      </c>
      <c r="F3026" s="9" t="s">
        <v>13284</v>
      </c>
      <c r="G3026" s="9" t="s">
        <v>13284</v>
      </c>
      <c r="H3026" s="9" t="s">
        <v>13284</v>
      </c>
      <c r="I3026" s="9" t="s">
        <v>13284</v>
      </c>
      <c r="J3026" s="9" t="s">
        <v>13284</v>
      </c>
      <c r="K3026" s="9" t="s">
        <v>13284</v>
      </c>
      <c r="L3026" s="9" t="s">
        <v>13284</v>
      </c>
      <c r="M3026" s="9" t="s">
        <v>13284</v>
      </c>
      <c r="N3026" s="9" t="s">
        <v>13284</v>
      </c>
      <c r="O3026" s="9" t="s">
        <v>13284</v>
      </c>
      <c r="P3026" s="9" t="s">
        <v>13284</v>
      </c>
      <c r="Q3026" s="9" t="s">
        <v>13284</v>
      </c>
      <c r="R3026" s="9" t="s">
        <v>13284</v>
      </c>
      <c r="S3026" s="9" t="s">
        <v>13284</v>
      </c>
      <c r="T3026" s="9" t="str">
        <f ca="1">IFERROR(IF(AND(VLOOKUP(A3026, 'Актуальное состояние (из общего'!A:C,3,0) = "", A3026 &lt;&gt; ""), "ПРОВЕРИТЬ", VLOOKUP(A3026, 'Актуальное состояние (из общего'!A:C,3,0)), "")</f>
        <v/>
      </c>
      <c r="U3026" s="9" t="s">
        <v>13284</v>
      </c>
      <c r="V3026" s="9" t="s">
        <v>13284</v>
      </c>
      <c r="W3026" s="12"/>
      <c r="X3026" s="9" t="str">
        <f t="array" ref="X3026">IFERROR(INDEX('Адреса общежитий (скрытый)'!$B$2:$B$9, MATCH(W3026, 'Адреса общежитий (скрытый)'!$A$2:$A$9, 0)), "")</f>
        <v/>
      </c>
      <c r="Y3026" s="18"/>
      <c r="Z3026" s="18"/>
      <c r="AA3026" s="18"/>
      <c r="AB3026" s="18"/>
      <c r="AC3026" s="18"/>
    </row>
    <row r="3027" spans="1:29" ht="32.25" hidden="1" customHeight="1">
      <c r="A3027" s="17"/>
      <c r="B3027" s="9" t="s">
        <v>13284</v>
      </c>
      <c r="C3027" s="9" t="s">
        <v>13284</v>
      </c>
      <c r="D3027" s="9" t="s">
        <v>13284</v>
      </c>
      <c r="E3027" s="9" t="s">
        <v>13284</v>
      </c>
      <c r="F3027" s="9" t="s">
        <v>13284</v>
      </c>
      <c r="G3027" s="9" t="s">
        <v>13284</v>
      </c>
      <c r="H3027" s="9" t="s">
        <v>13284</v>
      </c>
      <c r="I3027" s="9" t="s">
        <v>13284</v>
      </c>
      <c r="J3027" s="9" t="s">
        <v>13284</v>
      </c>
      <c r="K3027" s="9" t="s">
        <v>13284</v>
      </c>
      <c r="L3027" s="9" t="s">
        <v>13284</v>
      </c>
      <c r="M3027" s="9" t="s">
        <v>13284</v>
      </c>
      <c r="N3027" s="9" t="s">
        <v>13284</v>
      </c>
      <c r="O3027" s="9" t="s">
        <v>13284</v>
      </c>
      <c r="P3027" s="9" t="s">
        <v>13284</v>
      </c>
      <c r="Q3027" s="9" t="s">
        <v>13284</v>
      </c>
      <c r="R3027" s="9" t="s">
        <v>13284</v>
      </c>
      <c r="S3027" s="9" t="s">
        <v>13284</v>
      </c>
      <c r="T3027" s="9" t="str">
        <f ca="1">IFERROR(IF(AND(VLOOKUP(A3027, 'Актуальное состояние (из общего'!A:C,3,0) = "", A3027 &lt;&gt; ""), "ПРОВЕРИТЬ", VLOOKUP(A3027, 'Актуальное состояние (из общего'!A:C,3,0)), "")</f>
        <v/>
      </c>
      <c r="U3027" s="9" t="s">
        <v>13284</v>
      </c>
      <c r="V3027" s="9" t="s">
        <v>13284</v>
      </c>
      <c r="W3027" s="12"/>
      <c r="X3027" s="9" t="str">
        <f t="array" ref="X3027">IFERROR(INDEX('Адреса общежитий (скрытый)'!$B$2:$B$9, MATCH(W3027, 'Адреса общежитий (скрытый)'!$A$2:$A$9, 0)), "")</f>
        <v/>
      </c>
      <c r="Y3027" s="18"/>
      <c r="Z3027" s="18"/>
      <c r="AA3027" s="18"/>
      <c r="AB3027" s="18"/>
      <c r="AC3027" s="18"/>
    </row>
    <row r="3028" spans="1:29" ht="32.25" hidden="1" customHeight="1">
      <c r="A3028" s="17"/>
      <c r="B3028" s="9" t="s">
        <v>13284</v>
      </c>
      <c r="C3028" s="9" t="s">
        <v>13284</v>
      </c>
      <c r="D3028" s="9" t="s">
        <v>13284</v>
      </c>
      <c r="E3028" s="9" t="s">
        <v>13284</v>
      </c>
      <c r="F3028" s="9" t="s">
        <v>13284</v>
      </c>
      <c r="G3028" s="9" t="s">
        <v>13284</v>
      </c>
      <c r="H3028" s="9" t="s">
        <v>13284</v>
      </c>
      <c r="I3028" s="9" t="s">
        <v>13284</v>
      </c>
      <c r="J3028" s="9" t="s">
        <v>13284</v>
      </c>
      <c r="K3028" s="9" t="s">
        <v>13284</v>
      </c>
      <c r="L3028" s="9" t="s">
        <v>13284</v>
      </c>
      <c r="M3028" s="9" t="s">
        <v>13284</v>
      </c>
      <c r="N3028" s="9" t="s">
        <v>13284</v>
      </c>
      <c r="O3028" s="9" t="s">
        <v>13284</v>
      </c>
      <c r="P3028" s="9" t="s">
        <v>13284</v>
      </c>
      <c r="Q3028" s="9" t="s">
        <v>13284</v>
      </c>
      <c r="R3028" s="9" t="s">
        <v>13284</v>
      </c>
      <c r="S3028" s="9" t="s">
        <v>13284</v>
      </c>
      <c r="T3028" s="9" t="str">
        <f ca="1">IFERROR(IF(AND(VLOOKUP(A3028, 'Актуальное состояние (из общего'!A:C,3,0) = "", A3028 &lt;&gt; ""), "ПРОВЕРИТЬ", VLOOKUP(A3028, 'Актуальное состояние (из общего'!A:C,3,0)), "")</f>
        <v/>
      </c>
      <c r="U3028" s="9" t="s">
        <v>13284</v>
      </c>
      <c r="V3028" s="9" t="s">
        <v>13284</v>
      </c>
      <c r="W3028" s="12"/>
      <c r="X3028" s="9" t="str">
        <f t="array" ref="X3028">IFERROR(INDEX('Адреса общежитий (скрытый)'!$B$2:$B$9, MATCH(W3028, 'Адреса общежитий (скрытый)'!$A$2:$A$9, 0)), "")</f>
        <v/>
      </c>
      <c r="Y3028" s="18"/>
      <c r="Z3028" s="18"/>
      <c r="AA3028" s="18"/>
      <c r="AB3028" s="18"/>
      <c r="AC3028" s="18"/>
    </row>
    <row r="3029" spans="1:29" ht="32.25" hidden="1" customHeight="1">
      <c r="A3029" s="17"/>
      <c r="B3029" s="9" t="s">
        <v>13284</v>
      </c>
      <c r="C3029" s="9" t="s">
        <v>13284</v>
      </c>
      <c r="D3029" s="9" t="s">
        <v>13284</v>
      </c>
      <c r="E3029" s="9" t="s">
        <v>13284</v>
      </c>
      <c r="F3029" s="9" t="s">
        <v>13284</v>
      </c>
      <c r="G3029" s="9" t="s">
        <v>13284</v>
      </c>
      <c r="H3029" s="9" t="s">
        <v>13284</v>
      </c>
      <c r="I3029" s="9" t="s">
        <v>13284</v>
      </c>
      <c r="J3029" s="9" t="s">
        <v>13284</v>
      </c>
      <c r="K3029" s="9" t="s">
        <v>13284</v>
      </c>
      <c r="L3029" s="9" t="s">
        <v>13284</v>
      </c>
      <c r="M3029" s="9" t="s">
        <v>13284</v>
      </c>
      <c r="N3029" s="9" t="s">
        <v>13284</v>
      </c>
      <c r="O3029" s="9" t="s">
        <v>13284</v>
      </c>
      <c r="P3029" s="9" t="s">
        <v>13284</v>
      </c>
      <c r="Q3029" s="9" t="s">
        <v>13284</v>
      </c>
      <c r="R3029" s="9" t="s">
        <v>13284</v>
      </c>
      <c r="S3029" s="9" t="s">
        <v>13284</v>
      </c>
      <c r="T3029" s="9" t="str">
        <f ca="1">IFERROR(IF(AND(VLOOKUP(A3029, 'Актуальное состояние (из общего'!A:C,3,0) = "", A3029 &lt;&gt; ""), "ПРОВЕРИТЬ", VLOOKUP(A3029, 'Актуальное состояние (из общего'!A:C,3,0)), "")</f>
        <v/>
      </c>
      <c r="U3029" s="9" t="s">
        <v>13284</v>
      </c>
      <c r="V3029" s="9" t="s">
        <v>13284</v>
      </c>
      <c r="W3029" s="12"/>
      <c r="X3029" s="9" t="str">
        <f t="array" ref="X3029">IFERROR(INDEX('Адреса общежитий (скрытый)'!$B$2:$B$9, MATCH(W3029, 'Адреса общежитий (скрытый)'!$A$2:$A$9, 0)), "")</f>
        <v/>
      </c>
      <c r="Y3029" s="18"/>
      <c r="Z3029" s="18"/>
      <c r="AA3029" s="18"/>
      <c r="AB3029" s="18"/>
      <c r="AC3029" s="18"/>
    </row>
    <row r="3030" spans="1:29" ht="32.25" hidden="1" customHeight="1">
      <c r="A3030" s="17"/>
      <c r="B3030" s="9" t="s">
        <v>13284</v>
      </c>
      <c r="C3030" s="9" t="s">
        <v>13284</v>
      </c>
      <c r="D3030" s="9" t="s">
        <v>13284</v>
      </c>
      <c r="E3030" s="9" t="s">
        <v>13284</v>
      </c>
      <c r="F3030" s="9" t="s">
        <v>13284</v>
      </c>
      <c r="G3030" s="9" t="s">
        <v>13284</v>
      </c>
      <c r="H3030" s="9" t="s">
        <v>13284</v>
      </c>
      <c r="I3030" s="9" t="s">
        <v>13284</v>
      </c>
      <c r="J3030" s="9" t="s">
        <v>13284</v>
      </c>
      <c r="K3030" s="9" t="s">
        <v>13284</v>
      </c>
      <c r="L3030" s="9" t="s">
        <v>13284</v>
      </c>
      <c r="M3030" s="9" t="s">
        <v>13284</v>
      </c>
      <c r="N3030" s="9" t="s">
        <v>13284</v>
      </c>
      <c r="O3030" s="9" t="s">
        <v>13284</v>
      </c>
      <c r="P3030" s="9" t="s">
        <v>13284</v>
      </c>
      <c r="Q3030" s="9" t="s">
        <v>13284</v>
      </c>
      <c r="R3030" s="9" t="s">
        <v>13284</v>
      </c>
      <c r="S3030" s="9" t="s">
        <v>13284</v>
      </c>
      <c r="T3030" s="9" t="str">
        <f ca="1">IFERROR(IF(AND(VLOOKUP(A3030, 'Актуальное состояние (из общего'!A:C,3,0) = "", A3030 &lt;&gt; ""), "ПРОВЕРИТЬ", VLOOKUP(A3030, 'Актуальное состояние (из общего'!A:C,3,0)), "")</f>
        <v/>
      </c>
      <c r="U3030" s="9" t="s">
        <v>13284</v>
      </c>
      <c r="V3030" s="9" t="s">
        <v>13284</v>
      </c>
      <c r="W3030" s="12"/>
      <c r="X3030" s="9" t="str">
        <f t="array" ref="X3030">IFERROR(INDEX('Адреса общежитий (скрытый)'!$B$2:$B$9, MATCH(W3030, 'Адреса общежитий (скрытый)'!$A$2:$A$9, 0)), "")</f>
        <v/>
      </c>
      <c r="Y3030" s="18"/>
      <c r="Z3030" s="18"/>
      <c r="AA3030" s="18"/>
      <c r="AB3030" s="18"/>
      <c r="AC3030" s="18"/>
    </row>
    <row r="3031" spans="1:29" ht="32.25" hidden="1" customHeight="1">
      <c r="A3031" s="17"/>
      <c r="B3031" s="9" t="s">
        <v>13284</v>
      </c>
      <c r="C3031" s="9" t="s">
        <v>13284</v>
      </c>
      <c r="D3031" s="9" t="s">
        <v>13284</v>
      </c>
      <c r="E3031" s="9" t="s">
        <v>13284</v>
      </c>
      <c r="F3031" s="9" t="s">
        <v>13284</v>
      </c>
      <c r="G3031" s="9" t="s">
        <v>13284</v>
      </c>
      <c r="H3031" s="9" t="s">
        <v>13284</v>
      </c>
      <c r="I3031" s="9" t="s">
        <v>13284</v>
      </c>
      <c r="J3031" s="9" t="s">
        <v>13284</v>
      </c>
      <c r="K3031" s="9" t="s">
        <v>13284</v>
      </c>
      <c r="L3031" s="9" t="s">
        <v>13284</v>
      </c>
      <c r="M3031" s="9" t="s">
        <v>13284</v>
      </c>
      <c r="N3031" s="9" t="s">
        <v>13284</v>
      </c>
      <c r="O3031" s="9" t="s">
        <v>13284</v>
      </c>
      <c r="P3031" s="9" t="s">
        <v>13284</v>
      </c>
      <c r="Q3031" s="9" t="s">
        <v>13284</v>
      </c>
      <c r="R3031" s="9" t="s">
        <v>13284</v>
      </c>
      <c r="S3031" s="9" t="s">
        <v>13284</v>
      </c>
      <c r="T3031" s="9" t="str">
        <f ca="1">IFERROR(IF(AND(VLOOKUP(A3031, 'Актуальное состояние (из общего'!A:C,3,0) = "", A3031 &lt;&gt; ""), "ПРОВЕРИТЬ", VLOOKUP(A3031, 'Актуальное состояние (из общего'!A:C,3,0)), "")</f>
        <v/>
      </c>
      <c r="U3031" s="9" t="s">
        <v>13284</v>
      </c>
      <c r="V3031" s="9" t="s">
        <v>13284</v>
      </c>
      <c r="W3031" s="12"/>
      <c r="X3031" s="9" t="str">
        <f t="array" ref="X3031">IFERROR(INDEX('Адреса общежитий (скрытый)'!$B$2:$B$9, MATCH(W3031, 'Адреса общежитий (скрытый)'!$A$2:$A$9, 0)), "")</f>
        <v/>
      </c>
      <c r="Y3031" s="18"/>
      <c r="Z3031" s="18"/>
      <c r="AA3031" s="18"/>
      <c r="AB3031" s="18"/>
      <c r="AC3031" s="18"/>
    </row>
    <row r="3032" spans="1:29" ht="32.25" hidden="1" customHeight="1">
      <c r="A3032" s="17"/>
      <c r="B3032" s="9" t="s">
        <v>13284</v>
      </c>
      <c r="C3032" s="9" t="s">
        <v>13284</v>
      </c>
      <c r="D3032" s="9" t="s">
        <v>13284</v>
      </c>
      <c r="E3032" s="9" t="s">
        <v>13284</v>
      </c>
      <c r="F3032" s="9" t="s">
        <v>13284</v>
      </c>
      <c r="G3032" s="9" t="s">
        <v>13284</v>
      </c>
      <c r="H3032" s="9" t="s">
        <v>13284</v>
      </c>
      <c r="I3032" s="9" t="s">
        <v>13284</v>
      </c>
      <c r="J3032" s="9" t="s">
        <v>13284</v>
      </c>
      <c r="K3032" s="9" t="s">
        <v>13284</v>
      </c>
      <c r="L3032" s="9" t="s">
        <v>13284</v>
      </c>
      <c r="M3032" s="9" t="s">
        <v>13284</v>
      </c>
      <c r="N3032" s="9" t="s">
        <v>13284</v>
      </c>
      <c r="O3032" s="9" t="s">
        <v>13284</v>
      </c>
      <c r="P3032" s="9" t="s">
        <v>13284</v>
      </c>
      <c r="Q3032" s="9" t="s">
        <v>13284</v>
      </c>
      <c r="R3032" s="9" t="s">
        <v>13284</v>
      </c>
      <c r="S3032" s="9" t="s">
        <v>13284</v>
      </c>
      <c r="T3032" s="9" t="str">
        <f ca="1">IFERROR(IF(AND(VLOOKUP(A3032, 'Актуальное состояние (из общего'!A:C,3,0) = "", A3032 &lt;&gt; ""), "ПРОВЕРИТЬ", VLOOKUP(A3032, 'Актуальное состояние (из общего'!A:C,3,0)), "")</f>
        <v/>
      </c>
      <c r="U3032" s="9" t="s">
        <v>13284</v>
      </c>
      <c r="V3032" s="9" t="s">
        <v>13284</v>
      </c>
      <c r="W3032" s="12"/>
      <c r="X3032" s="9" t="str">
        <f t="array" ref="X3032">IFERROR(INDEX('Адреса общежитий (скрытый)'!$B$2:$B$9, MATCH(W3032, 'Адреса общежитий (скрытый)'!$A$2:$A$9, 0)), "")</f>
        <v/>
      </c>
      <c r="Y3032" s="18"/>
      <c r="Z3032" s="18"/>
      <c r="AA3032" s="18"/>
      <c r="AB3032" s="18"/>
      <c r="AC3032" s="18"/>
    </row>
    <row r="3033" spans="1:29" ht="32.25" hidden="1" customHeight="1">
      <c r="A3033" s="17"/>
      <c r="B3033" s="9" t="s">
        <v>13284</v>
      </c>
      <c r="C3033" s="9" t="s">
        <v>13284</v>
      </c>
      <c r="D3033" s="9" t="s">
        <v>13284</v>
      </c>
      <c r="E3033" s="9" t="s">
        <v>13284</v>
      </c>
      <c r="F3033" s="9" t="s">
        <v>13284</v>
      </c>
      <c r="G3033" s="9" t="s">
        <v>13284</v>
      </c>
      <c r="H3033" s="9" t="s">
        <v>13284</v>
      </c>
      <c r="I3033" s="9" t="s">
        <v>13284</v>
      </c>
      <c r="J3033" s="9" t="s">
        <v>13284</v>
      </c>
      <c r="K3033" s="9" t="s">
        <v>13284</v>
      </c>
      <c r="L3033" s="9" t="s">
        <v>13284</v>
      </c>
      <c r="M3033" s="9" t="s">
        <v>13284</v>
      </c>
      <c r="N3033" s="9" t="s">
        <v>13284</v>
      </c>
      <c r="O3033" s="9" t="s">
        <v>13284</v>
      </c>
      <c r="P3033" s="9" t="s">
        <v>13284</v>
      </c>
      <c r="Q3033" s="9" t="s">
        <v>13284</v>
      </c>
      <c r="R3033" s="9" t="s">
        <v>13284</v>
      </c>
      <c r="S3033" s="9" t="s">
        <v>13284</v>
      </c>
      <c r="T3033" s="9" t="str">
        <f ca="1">IFERROR(IF(AND(VLOOKUP(A3033, 'Актуальное состояние (из общего'!A:C,3,0) = "", A3033 &lt;&gt; ""), "ПРОВЕРИТЬ", VLOOKUP(A3033, 'Актуальное состояние (из общего'!A:C,3,0)), "")</f>
        <v/>
      </c>
      <c r="U3033" s="9" t="s">
        <v>13284</v>
      </c>
      <c r="V3033" s="9" t="s">
        <v>13284</v>
      </c>
      <c r="W3033" s="12"/>
      <c r="X3033" s="9" t="str">
        <f t="array" ref="X3033">IFERROR(INDEX('Адреса общежитий (скрытый)'!$B$2:$B$9, MATCH(W3033, 'Адреса общежитий (скрытый)'!$A$2:$A$9, 0)), "")</f>
        <v/>
      </c>
      <c r="Y3033" s="18"/>
      <c r="Z3033" s="18"/>
      <c r="AA3033" s="18"/>
      <c r="AB3033" s="18"/>
      <c r="AC3033" s="18"/>
    </row>
    <row r="3034" spans="1:29" ht="32.25" hidden="1" customHeight="1">
      <c r="A3034" s="17"/>
      <c r="B3034" s="9" t="s">
        <v>13284</v>
      </c>
      <c r="C3034" s="9" t="s">
        <v>13284</v>
      </c>
      <c r="D3034" s="9" t="s">
        <v>13284</v>
      </c>
      <c r="E3034" s="9" t="s">
        <v>13284</v>
      </c>
      <c r="F3034" s="9" t="s">
        <v>13284</v>
      </c>
      <c r="G3034" s="9" t="s">
        <v>13284</v>
      </c>
      <c r="H3034" s="9" t="s">
        <v>13284</v>
      </c>
      <c r="I3034" s="9" t="s">
        <v>13284</v>
      </c>
      <c r="J3034" s="9" t="s">
        <v>13284</v>
      </c>
      <c r="K3034" s="9" t="s">
        <v>13284</v>
      </c>
      <c r="L3034" s="9" t="s">
        <v>13284</v>
      </c>
      <c r="M3034" s="9" t="s">
        <v>13284</v>
      </c>
      <c r="N3034" s="9" t="s">
        <v>13284</v>
      </c>
      <c r="O3034" s="9" t="s">
        <v>13284</v>
      </c>
      <c r="P3034" s="9" t="s">
        <v>13284</v>
      </c>
      <c r="Q3034" s="9" t="s">
        <v>13284</v>
      </c>
      <c r="R3034" s="9" t="s">
        <v>13284</v>
      </c>
      <c r="S3034" s="9" t="s">
        <v>13284</v>
      </c>
      <c r="T3034" s="9" t="str">
        <f ca="1">IFERROR(IF(AND(VLOOKUP(A3034, 'Актуальное состояние (из общего'!A:C,3,0) = "", A3034 &lt;&gt; ""), "ПРОВЕРИТЬ", VLOOKUP(A3034, 'Актуальное состояние (из общего'!A:C,3,0)), "")</f>
        <v/>
      </c>
      <c r="U3034" s="9" t="s">
        <v>13284</v>
      </c>
      <c r="V3034" s="9" t="s">
        <v>13284</v>
      </c>
      <c r="W3034" s="12"/>
      <c r="X3034" s="9" t="str">
        <f t="array" ref="X3034">IFERROR(INDEX('Адреса общежитий (скрытый)'!$B$2:$B$9, MATCH(W3034, 'Адреса общежитий (скрытый)'!$A$2:$A$9, 0)), "")</f>
        <v/>
      </c>
      <c r="Y3034" s="18"/>
      <c r="Z3034" s="18"/>
      <c r="AA3034" s="18"/>
      <c r="AB3034" s="18"/>
      <c r="AC3034" s="18"/>
    </row>
    <row r="3035" spans="1:29" ht="32.25" hidden="1" customHeight="1">
      <c r="A3035" s="17"/>
      <c r="B3035" s="9" t="s">
        <v>13284</v>
      </c>
      <c r="C3035" s="9" t="s">
        <v>13284</v>
      </c>
      <c r="D3035" s="9" t="s">
        <v>13284</v>
      </c>
      <c r="E3035" s="9" t="s">
        <v>13284</v>
      </c>
      <c r="F3035" s="9" t="s">
        <v>13284</v>
      </c>
      <c r="G3035" s="9" t="s">
        <v>13284</v>
      </c>
      <c r="H3035" s="9" t="s">
        <v>13284</v>
      </c>
      <c r="I3035" s="9" t="s">
        <v>13284</v>
      </c>
      <c r="J3035" s="9" t="s">
        <v>13284</v>
      </c>
      <c r="K3035" s="9" t="s">
        <v>13284</v>
      </c>
      <c r="L3035" s="9" t="s">
        <v>13284</v>
      </c>
      <c r="M3035" s="9" t="s">
        <v>13284</v>
      </c>
      <c r="N3035" s="9" t="s">
        <v>13284</v>
      </c>
      <c r="O3035" s="9" t="s">
        <v>13284</v>
      </c>
      <c r="P3035" s="9" t="s">
        <v>13284</v>
      </c>
      <c r="Q3035" s="9" t="s">
        <v>13284</v>
      </c>
      <c r="R3035" s="9" t="s">
        <v>13284</v>
      </c>
      <c r="S3035" s="9" t="s">
        <v>13284</v>
      </c>
      <c r="T3035" s="9" t="str">
        <f ca="1">IFERROR(IF(AND(VLOOKUP(A3035, 'Актуальное состояние (из общего'!A:C,3,0) = "", A3035 &lt;&gt; ""), "ПРОВЕРИТЬ", VLOOKUP(A3035, 'Актуальное состояние (из общего'!A:C,3,0)), "")</f>
        <v/>
      </c>
      <c r="U3035" s="9" t="s">
        <v>13284</v>
      </c>
      <c r="V3035" s="9" t="s">
        <v>13284</v>
      </c>
      <c r="W3035" s="12"/>
      <c r="X3035" s="9" t="str">
        <f t="array" ref="X3035">IFERROR(INDEX('Адреса общежитий (скрытый)'!$B$2:$B$9, MATCH(W3035, 'Адреса общежитий (скрытый)'!$A$2:$A$9, 0)), "")</f>
        <v/>
      </c>
      <c r="Y3035" s="18"/>
      <c r="Z3035" s="18"/>
      <c r="AA3035" s="18"/>
      <c r="AB3035" s="18"/>
      <c r="AC3035" s="18"/>
    </row>
    <row r="3036" spans="1:29" ht="32.25" hidden="1" customHeight="1">
      <c r="A3036" s="17"/>
      <c r="B3036" s="9" t="s">
        <v>13284</v>
      </c>
      <c r="C3036" s="9" t="s">
        <v>13284</v>
      </c>
      <c r="D3036" s="9" t="s">
        <v>13284</v>
      </c>
      <c r="E3036" s="9" t="s">
        <v>13284</v>
      </c>
      <c r="F3036" s="9" t="s">
        <v>13284</v>
      </c>
      <c r="G3036" s="9" t="s">
        <v>13284</v>
      </c>
      <c r="H3036" s="9" t="s">
        <v>13284</v>
      </c>
      <c r="I3036" s="9" t="s">
        <v>13284</v>
      </c>
      <c r="J3036" s="9" t="s">
        <v>13284</v>
      </c>
      <c r="K3036" s="9" t="s">
        <v>13284</v>
      </c>
      <c r="L3036" s="9" t="s">
        <v>13284</v>
      </c>
      <c r="M3036" s="9" t="s">
        <v>13284</v>
      </c>
      <c r="N3036" s="9" t="s">
        <v>13284</v>
      </c>
      <c r="O3036" s="9" t="s">
        <v>13284</v>
      </c>
      <c r="P3036" s="9" t="s">
        <v>13284</v>
      </c>
      <c r="Q3036" s="9" t="s">
        <v>13284</v>
      </c>
      <c r="R3036" s="9" t="s">
        <v>13284</v>
      </c>
      <c r="S3036" s="9" t="s">
        <v>13284</v>
      </c>
      <c r="T3036" s="9" t="str">
        <f ca="1">IFERROR(IF(AND(VLOOKUP(A3036, 'Актуальное состояние (из общего'!A:C,3,0) = "", A3036 &lt;&gt; ""), "ПРОВЕРИТЬ", VLOOKUP(A3036, 'Актуальное состояние (из общего'!A:C,3,0)), "")</f>
        <v/>
      </c>
      <c r="U3036" s="9" t="s">
        <v>13284</v>
      </c>
      <c r="V3036" s="9" t="s">
        <v>13284</v>
      </c>
      <c r="W3036" s="12"/>
      <c r="X3036" s="9" t="str">
        <f t="array" ref="X3036">IFERROR(INDEX('Адреса общежитий (скрытый)'!$B$2:$B$9, MATCH(W3036, 'Адреса общежитий (скрытый)'!$A$2:$A$9, 0)), "")</f>
        <v/>
      </c>
      <c r="Y3036" s="18"/>
      <c r="Z3036" s="18"/>
      <c r="AA3036" s="18"/>
      <c r="AB3036" s="18"/>
      <c r="AC3036" s="18"/>
    </row>
    <row r="3037" spans="1:29" ht="32.25" hidden="1" customHeight="1">
      <c r="A3037" s="17"/>
      <c r="B3037" s="9" t="s">
        <v>13284</v>
      </c>
      <c r="C3037" s="9" t="s">
        <v>13284</v>
      </c>
      <c r="D3037" s="9" t="s">
        <v>13284</v>
      </c>
      <c r="E3037" s="9" t="s">
        <v>13284</v>
      </c>
      <c r="F3037" s="9" t="s">
        <v>13284</v>
      </c>
      <c r="G3037" s="9" t="s">
        <v>13284</v>
      </c>
      <c r="H3037" s="9" t="s">
        <v>13284</v>
      </c>
      <c r="I3037" s="9" t="s">
        <v>13284</v>
      </c>
      <c r="J3037" s="9" t="s">
        <v>13284</v>
      </c>
      <c r="K3037" s="9" t="s">
        <v>13284</v>
      </c>
      <c r="L3037" s="9" t="s">
        <v>13284</v>
      </c>
      <c r="M3037" s="9" t="s">
        <v>13284</v>
      </c>
      <c r="N3037" s="9" t="s">
        <v>13284</v>
      </c>
      <c r="O3037" s="9" t="s">
        <v>13284</v>
      </c>
      <c r="P3037" s="9" t="s">
        <v>13284</v>
      </c>
      <c r="Q3037" s="9" t="s">
        <v>13284</v>
      </c>
      <c r="R3037" s="9" t="s">
        <v>13284</v>
      </c>
      <c r="S3037" s="9" t="s">
        <v>13284</v>
      </c>
      <c r="T3037" s="9" t="str">
        <f ca="1">IFERROR(IF(AND(VLOOKUP(A3037, 'Актуальное состояние (из общего'!A:C,3,0) = "", A3037 &lt;&gt; ""), "ПРОВЕРИТЬ", VLOOKUP(A3037, 'Актуальное состояние (из общего'!A:C,3,0)), "")</f>
        <v/>
      </c>
      <c r="U3037" s="9" t="s">
        <v>13284</v>
      </c>
      <c r="V3037" s="9" t="s">
        <v>13284</v>
      </c>
      <c r="W3037" s="12"/>
      <c r="X3037" s="9" t="str">
        <f t="array" ref="X3037">IFERROR(INDEX('Адреса общежитий (скрытый)'!$B$2:$B$9, MATCH(W3037, 'Адреса общежитий (скрытый)'!$A$2:$A$9, 0)), "")</f>
        <v/>
      </c>
      <c r="Y3037" s="18"/>
      <c r="Z3037" s="18"/>
      <c r="AA3037" s="18"/>
      <c r="AB3037" s="18"/>
      <c r="AC3037" s="18"/>
    </row>
    <row r="3038" spans="1:29" ht="32.25" hidden="1" customHeight="1">
      <c r="A3038" s="17"/>
      <c r="B3038" s="9" t="s">
        <v>13284</v>
      </c>
      <c r="C3038" s="9" t="s">
        <v>13284</v>
      </c>
      <c r="D3038" s="9" t="s">
        <v>13284</v>
      </c>
      <c r="E3038" s="9" t="s">
        <v>13284</v>
      </c>
      <c r="F3038" s="9" t="s">
        <v>13284</v>
      </c>
      <c r="G3038" s="9" t="s">
        <v>13284</v>
      </c>
      <c r="H3038" s="9" t="s">
        <v>13284</v>
      </c>
      <c r="I3038" s="9" t="s">
        <v>13284</v>
      </c>
      <c r="J3038" s="9" t="s">
        <v>13284</v>
      </c>
      <c r="K3038" s="9" t="s">
        <v>13284</v>
      </c>
      <c r="L3038" s="9" t="s">
        <v>13284</v>
      </c>
      <c r="M3038" s="9" t="s">
        <v>13284</v>
      </c>
      <c r="N3038" s="9" t="s">
        <v>13284</v>
      </c>
      <c r="O3038" s="9" t="s">
        <v>13284</v>
      </c>
      <c r="P3038" s="9" t="s">
        <v>13284</v>
      </c>
      <c r="Q3038" s="9" t="s">
        <v>13284</v>
      </c>
      <c r="R3038" s="9" t="s">
        <v>13284</v>
      </c>
      <c r="S3038" s="9" t="s">
        <v>13284</v>
      </c>
      <c r="T3038" s="9" t="str">
        <f ca="1">IFERROR(IF(AND(VLOOKUP(A3038, 'Актуальное состояние (из общего'!A:C,3,0) = "", A3038 &lt;&gt; ""), "ПРОВЕРИТЬ", VLOOKUP(A3038, 'Актуальное состояние (из общего'!A:C,3,0)), "")</f>
        <v/>
      </c>
      <c r="U3038" s="9" t="s">
        <v>13284</v>
      </c>
      <c r="V3038" s="9" t="s">
        <v>13284</v>
      </c>
      <c r="W3038" s="12"/>
      <c r="X3038" s="9" t="str">
        <f t="array" ref="X3038">IFERROR(INDEX('Адреса общежитий (скрытый)'!$B$2:$B$9, MATCH(W3038, 'Адреса общежитий (скрытый)'!$A$2:$A$9, 0)), "")</f>
        <v/>
      </c>
      <c r="Y3038" s="18"/>
      <c r="Z3038" s="18"/>
      <c r="AA3038" s="18"/>
      <c r="AB3038" s="18"/>
      <c r="AC3038" s="18"/>
    </row>
    <row r="3039" spans="1:29" ht="32.25" hidden="1" customHeight="1">
      <c r="A3039" s="17"/>
      <c r="B3039" s="9" t="s">
        <v>13284</v>
      </c>
      <c r="C3039" s="9" t="s">
        <v>13284</v>
      </c>
      <c r="D3039" s="9" t="s">
        <v>13284</v>
      </c>
      <c r="E3039" s="9" t="s">
        <v>13284</v>
      </c>
      <c r="F3039" s="9" t="s">
        <v>13284</v>
      </c>
      <c r="G3039" s="9" t="s">
        <v>13284</v>
      </c>
      <c r="H3039" s="9" t="s">
        <v>13284</v>
      </c>
      <c r="I3039" s="9" t="s">
        <v>13284</v>
      </c>
      <c r="J3039" s="9" t="s">
        <v>13284</v>
      </c>
      <c r="K3039" s="9" t="s">
        <v>13284</v>
      </c>
      <c r="L3039" s="9" t="s">
        <v>13284</v>
      </c>
      <c r="M3039" s="9" t="s">
        <v>13284</v>
      </c>
      <c r="N3039" s="9" t="s">
        <v>13284</v>
      </c>
      <c r="O3039" s="9" t="s">
        <v>13284</v>
      </c>
      <c r="P3039" s="9" t="s">
        <v>13284</v>
      </c>
      <c r="Q3039" s="9" t="s">
        <v>13284</v>
      </c>
      <c r="R3039" s="9" t="s">
        <v>13284</v>
      </c>
      <c r="S3039" s="9" t="s">
        <v>13284</v>
      </c>
      <c r="T3039" s="9" t="str">
        <f ca="1">IFERROR(IF(AND(VLOOKUP(A3039, 'Актуальное состояние (из общего'!A:C,3,0) = "", A3039 &lt;&gt; ""), "ПРОВЕРИТЬ", VLOOKUP(A3039, 'Актуальное состояние (из общего'!A:C,3,0)), "")</f>
        <v/>
      </c>
      <c r="U3039" s="9" t="s">
        <v>13284</v>
      </c>
      <c r="V3039" s="9" t="s">
        <v>13284</v>
      </c>
      <c r="W3039" s="12"/>
      <c r="X3039" s="9" t="str">
        <f t="array" ref="X3039">IFERROR(INDEX('Адреса общежитий (скрытый)'!$B$2:$B$9, MATCH(W3039, 'Адреса общежитий (скрытый)'!$A$2:$A$9, 0)), "")</f>
        <v/>
      </c>
      <c r="Y3039" s="18"/>
      <c r="Z3039" s="18"/>
      <c r="AA3039" s="18"/>
      <c r="AB3039" s="18"/>
      <c r="AC3039" s="18"/>
    </row>
    <row r="3040" spans="1:29" ht="32.25" hidden="1" customHeight="1">
      <c r="A3040" s="17"/>
      <c r="B3040" s="9" t="s">
        <v>13284</v>
      </c>
      <c r="C3040" s="9" t="s">
        <v>13284</v>
      </c>
      <c r="D3040" s="9" t="s">
        <v>13284</v>
      </c>
      <c r="E3040" s="9" t="s">
        <v>13284</v>
      </c>
      <c r="F3040" s="9" t="s">
        <v>13284</v>
      </c>
      <c r="G3040" s="9" t="s">
        <v>13284</v>
      </c>
      <c r="H3040" s="9" t="s">
        <v>13284</v>
      </c>
      <c r="I3040" s="9" t="s">
        <v>13284</v>
      </c>
      <c r="J3040" s="9" t="s">
        <v>13284</v>
      </c>
      <c r="K3040" s="9" t="s">
        <v>13284</v>
      </c>
      <c r="L3040" s="9" t="s">
        <v>13284</v>
      </c>
      <c r="M3040" s="9" t="s">
        <v>13284</v>
      </c>
      <c r="N3040" s="9" t="s">
        <v>13284</v>
      </c>
      <c r="O3040" s="9" t="s">
        <v>13284</v>
      </c>
      <c r="P3040" s="9" t="s">
        <v>13284</v>
      </c>
      <c r="Q3040" s="9" t="s">
        <v>13284</v>
      </c>
      <c r="R3040" s="9" t="s">
        <v>13284</v>
      </c>
      <c r="S3040" s="9" t="s">
        <v>13284</v>
      </c>
      <c r="T3040" s="9" t="str">
        <f ca="1">IFERROR(IF(AND(VLOOKUP(A3040, 'Актуальное состояние (из общего'!A:C,3,0) = "", A3040 &lt;&gt; ""), "ПРОВЕРИТЬ", VLOOKUP(A3040, 'Актуальное состояние (из общего'!A:C,3,0)), "")</f>
        <v/>
      </c>
      <c r="U3040" s="9" t="s">
        <v>13284</v>
      </c>
      <c r="V3040" s="9" t="s">
        <v>13284</v>
      </c>
      <c r="W3040" s="12"/>
      <c r="X3040" s="9" t="str">
        <f t="array" ref="X3040">IFERROR(INDEX('Адреса общежитий (скрытый)'!$B$2:$B$9, MATCH(W3040, 'Адреса общежитий (скрытый)'!$A$2:$A$9, 0)), "")</f>
        <v/>
      </c>
      <c r="Y3040" s="18"/>
      <c r="Z3040" s="18"/>
      <c r="AA3040" s="18"/>
      <c r="AB3040" s="18"/>
      <c r="AC3040" s="18"/>
    </row>
    <row r="3041" spans="1:29" ht="32.25" hidden="1" customHeight="1">
      <c r="A3041" s="17"/>
      <c r="B3041" s="9" t="s">
        <v>13284</v>
      </c>
      <c r="C3041" s="9" t="s">
        <v>13284</v>
      </c>
      <c r="D3041" s="9" t="s">
        <v>13284</v>
      </c>
      <c r="E3041" s="9" t="s">
        <v>13284</v>
      </c>
      <c r="F3041" s="9" t="s">
        <v>13284</v>
      </c>
      <c r="G3041" s="9" t="s">
        <v>13284</v>
      </c>
      <c r="H3041" s="9" t="s">
        <v>13284</v>
      </c>
      <c r="I3041" s="9" t="s">
        <v>13284</v>
      </c>
      <c r="J3041" s="9" t="s">
        <v>13284</v>
      </c>
      <c r="K3041" s="9" t="s">
        <v>13284</v>
      </c>
      <c r="L3041" s="9" t="s">
        <v>13284</v>
      </c>
      <c r="M3041" s="9" t="s">
        <v>13284</v>
      </c>
      <c r="N3041" s="9" t="s">
        <v>13284</v>
      </c>
      <c r="O3041" s="9" t="s">
        <v>13284</v>
      </c>
      <c r="P3041" s="9" t="s">
        <v>13284</v>
      </c>
      <c r="Q3041" s="9" t="s">
        <v>13284</v>
      </c>
      <c r="R3041" s="9" t="s">
        <v>13284</v>
      </c>
      <c r="S3041" s="9" t="s">
        <v>13284</v>
      </c>
      <c r="T3041" s="9" t="str">
        <f ca="1">IFERROR(IF(AND(VLOOKUP(A3041, 'Актуальное состояние (из общего'!A:C,3,0) = "", A3041 &lt;&gt; ""), "ПРОВЕРИТЬ", VLOOKUP(A3041, 'Актуальное состояние (из общего'!A:C,3,0)), "")</f>
        <v/>
      </c>
      <c r="U3041" s="9" t="s">
        <v>13284</v>
      </c>
      <c r="V3041" s="9" t="s">
        <v>13284</v>
      </c>
      <c r="W3041" s="12"/>
      <c r="X3041" s="9" t="str">
        <f t="array" ref="X3041">IFERROR(INDEX('Адреса общежитий (скрытый)'!$B$2:$B$9, MATCH(W3041, 'Адреса общежитий (скрытый)'!$A$2:$A$9, 0)), "")</f>
        <v/>
      </c>
      <c r="Y3041" s="18"/>
      <c r="Z3041" s="18"/>
      <c r="AA3041" s="18"/>
      <c r="AB3041" s="18"/>
      <c r="AC3041" s="18"/>
    </row>
    <row r="3042" spans="1:29" ht="32.25" hidden="1" customHeight="1">
      <c r="A3042" s="17"/>
      <c r="B3042" s="9" t="s">
        <v>13284</v>
      </c>
      <c r="C3042" s="9" t="s">
        <v>13284</v>
      </c>
      <c r="D3042" s="9" t="s">
        <v>13284</v>
      </c>
      <c r="E3042" s="9" t="s">
        <v>13284</v>
      </c>
      <c r="F3042" s="9" t="s">
        <v>13284</v>
      </c>
      <c r="G3042" s="9" t="s">
        <v>13284</v>
      </c>
      <c r="H3042" s="9" t="s">
        <v>13284</v>
      </c>
      <c r="I3042" s="9" t="s">
        <v>13284</v>
      </c>
      <c r="J3042" s="9" t="s">
        <v>13284</v>
      </c>
      <c r="K3042" s="9" t="s">
        <v>13284</v>
      </c>
      <c r="L3042" s="9" t="s">
        <v>13284</v>
      </c>
      <c r="M3042" s="9" t="s">
        <v>13284</v>
      </c>
      <c r="N3042" s="9" t="s">
        <v>13284</v>
      </c>
      <c r="O3042" s="9" t="s">
        <v>13284</v>
      </c>
      <c r="P3042" s="9" t="s">
        <v>13284</v>
      </c>
      <c r="Q3042" s="9" t="s">
        <v>13284</v>
      </c>
      <c r="R3042" s="9" t="s">
        <v>13284</v>
      </c>
      <c r="S3042" s="9" t="s">
        <v>13284</v>
      </c>
      <c r="T3042" s="9" t="str">
        <f ca="1">IFERROR(IF(AND(VLOOKUP(A3042, 'Актуальное состояние (из общего'!A:C,3,0) = "", A3042 &lt;&gt; ""), "ПРОВЕРИТЬ", VLOOKUP(A3042, 'Актуальное состояние (из общего'!A:C,3,0)), "")</f>
        <v/>
      </c>
      <c r="U3042" s="9" t="s">
        <v>13284</v>
      </c>
      <c r="V3042" s="9" t="s">
        <v>13284</v>
      </c>
      <c r="W3042" s="12"/>
      <c r="X3042" s="9" t="str">
        <f t="array" ref="X3042">IFERROR(INDEX('Адреса общежитий (скрытый)'!$B$2:$B$9, MATCH(W3042, 'Адреса общежитий (скрытый)'!$A$2:$A$9, 0)), "")</f>
        <v/>
      </c>
      <c r="Y3042" s="18"/>
      <c r="Z3042" s="18"/>
      <c r="AA3042" s="18"/>
      <c r="AB3042" s="18"/>
      <c r="AC3042" s="18"/>
    </row>
    <row r="3043" spans="1:29" ht="32.25" hidden="1" customHeight="1">
      <c r="A3043" s="17"/>
      <c r="B3043" s="9" t="s">
        <v>13284</v>
      </c>
      <c r="C3043" s="9" t="s">
        <v>13284</v>
      </c>
      <c r="D3043" s="9" t="s">
        <v>13284</v>
      </c>
      <c r="E3043" s="9" t="s">
        <v>13284</v>
      </c>
      <c r="F3043" s="9" t="s">
        <v>13284</v>
      </c>
      <c r="G3043" s="9" t="s">
        <v>13284</v>
      </c>
      <c r="H3043" s="9" t="s">
        <v>13284</v>
      </c>
      <c r="I3043" s="9" t="s">
        <v>13284</v>
      </c>
      <c r="J3043" s="9" t="s">
        <v>13284</v>
      </c>
      <c r="K3043" s="9" t="s">
        <v>13284</v>
      </c>
      <c r="L3043" s="9" t="s">
        <v>13284</v>
      </c>
      <c r="M3043" s="9" t="s">
        <v>13284</v>
      </c>
      <c r="N3043" s="9" t="s">
        <v>13284</v>
      </c>
      <c r="O3043" s="9" t="s">
        <v>13284</v>
      </c>
      <c r="P3043" s="9" t="s">
        <v>13284</v>
      </c>
      <c r="Q3043" s="9" t="s">
        <v>13284</v>
      </c>
      <c r="R3043" s="9" t="s">
        <v>13284</v>
      </c>
      <c r="S3043" s="9" t="s">
        <v>13284</v>
      </c>
      <c r="T3043" s="9" t="str">
        <f ca="1">IFERROR(IF(AND(VLOOKUP(A3043, 'Актуальное состояние (из общего'!A:C,3,0) = "", A3043 &lt;&gt; ""), "ПРОВЕРИТЬ", VLOOKUP(A3043, 'Актуальное состояние (из общего'!A:C,3,0)), "")</f>
        <v/>
      </c>
      <c r="U3043" s="9" t="s">
        <v>13284</v>
      </c>
      <c r="V3043" s="9" t="s">
        <v>13284</v>
      </c>
      <c r="W3043" s="12"/>
      <c r="X3043" s="9" t="str">
        <f t="array" ref="X3043">IFERROR(INDEX('Адреса общежитий (скрытый)'!$B$2:$B$9, MATCH(W3043, 'Адреса общежитий (скрытый)'!$A$2:$A$9, 0)), "")</f>
        <v/>
      </c>
      <c r="Y3043" s="18"/>
      <c r="Z3043" s="18"/>
      <c r="AA3043" s="18"/>
      <c r="AB3043" s="18"/>
      <c r="AC3043" s="18"/>
    </row>
    <row r="3044" spans="1:29" ht="32.25" hidden="1" customHeight="1">
      <c r="A3044" s="17"/>
      <c r="B3044" s="9" t="s">
        <v>13284</v>
      </c>
      <c r="C3044" s="9" t="s">
        <v>13284</v>
      </c>
      <c r="D3044" s="9" t="s">
        <v>13284</v>
      </c>
      <c r="E3044" s="9" t="s">
        <v>13284</v>
      </c>
      <c r="F3044" s="9" t="s">
        <v>13284</v>
      </c>
      <c r="G3044" s="9" t="s">
        <v>13284</v>
      </c>
      <c r="H3044" s="9" t="s">
        <v>13284</v>
      </c>
      <c r="I3044" s="9" t="s">
        <v>13284</v>
      </c>
      <c r="J3044" s="9" t="s">
        <v>13284</v>
      </c>
      <c r="K3044" s="9" t="s">
        <v>13284</v>
      </c>
      <c r="L3044" s="9" t="s">
        <v>13284</v>
      </c>
      <c r="M3044" s="9" t="s">
        <v>13284</v>
      </c>
      <c r="N3044" s="9" t="s">
        <v>13284</v>
      </c>
      <c r="O3044" s="9" t="s">
        <v>13284</v>
      </c>
      <c r="P3044" s="9" t="s">
        <v>13284</v>
      </c>
      <c r="Q3044" s="9" t="s">
        <v>13284</v>
      </c>
      <c r="R3044" s="9" t="s">
        <v>13284</v>
      </c>
      <c r="S3044" s="9" t="s">
        <v>13284</v>
      </c>
      <c r="T3044" s="9" t="str">
        <f ca="1">IFERROR(IF(AND(VLOOKUP(A3044, 'Актуальное состояние (из общего'!A:C,3,0) = "", A3044 &lt;&gt; ""), "ПРОВЕРИТЬ", VLOOKUP(A3044, 'Актуальное состояние (из общего'!A:C,3,0)), "")</f>
        <v/>
      </c>
      <c r="U3044" s="9" t="s">
        <v>13284</v>
      </c>
      <c r="V3044" s="9" t="s">
        <v>13284</v>
      </c>
      <c r="W3044" s="12"/>
      <c r="X3044" s="9" t="str">
        <f t="array" ref="X3044">IFERROR(INDEX('Адреса общежитий (скрытый)'!$B$2:$B$9, MATCH(W3044, 'Адреса общежитий (скрытый)'!$A$2:$A$9, 0)), "")</f>
        <v/>
      </c>
      <c r="Y3044" s="18"/>
      <c r="Z3044" s="18"/>
      <c r="AA3044" s="18"/>
      <c r="AB3044" s="18"/>
      <c r="AC3044" s="18"/>
    </row>
    <row r="3045" spans="1:29" ht="32.25" hidden="1" customHeight="1">
      <c r="A3045" s="17"/>
      <c r="B3045" s="9" t="s">
        <v>13284</v>
      </c>
      <c r="C3045" s="9" t="s">
        <v>13284</v>
      </c>
      <c r="D3045" s="9" t="s">
        <v>13284</v>
      </c>
      <c r="E3045" s="9" t="s">
        <v>13284</v>
      </c>
      <c r="F3045" s="9" t="s">
        <v>13284</v>
      </c>
      <c r="G3045" s="9" t="s">
        <v>13284</v>
      </c>
      <c r="H3045" s="9" t="s">
        <v>13284</v>
      </c>
      <c r="I3045" s="9" t="s">
        <v>13284</v>
      </c>
      <c r="J3045" s="9" t="s">
        <v>13284</v>
      </c>
      <c r="K3045" s="9" t="s">
        <v>13284</v>
      </c>
      <c r="L3045" s="9" t="s">
        <v>13284</v>
      </c>
      <c r="M3045" s="9" t="s">
        <v>13284</v>
      </c>
      <c r="N3045" s="9" t="s">
        <v>13284</v>
      </c>
      <c r="O3045" s="9" t="s">
        <v>13284</v>
      </c>
      <c r="P3045" s="9" t="s">
        <v>13284</v>
      </c>
      <c r="Q3045" s="9" t="s">
        <v>13284</v>
      </c>
      <c r="R3045" s="9" t="s">
        <v>13284</v>
      </c>
      <c r="S3045" s="9" t="s">
        <v>13284</v>
      </c>
      <c r="T3045" s="9" t="str">
        <f ca="1">IFERROR(IF(AND(VLOOKUP(A3045, 'Актуальное состояние (из общего'!A:C,3,0) = "", A3045 &lt;&gt; ""), "ПРОВЕРИТЬ", VLOOKUP(A3045, 'Актуальное состояние (из общего'!A:C,3,0)), "")</f>
        <v/>
      </c>
      <c r="U3045" s="9" t="s">
        <v>13284</v>
      </c>
      <c r="V3045" s="9" t="s">
        <v>13284</v>
      </c>
      <c r="W3045" s="12"/>
      <c r="X3045" s="9" t="str">
        <f t="array" ref="X3045">IFERROR(INDEX('Адреса общежитий (скрытый)'!$B$2:$B$9, MATCH(W3045, 'Адреса общежитий (скрытый)'!$A$2:$A$9, 0)), "")</f>
        <v/>
      </c>
      <c r="Y3045" s="18"/>
      <c r="Z3045" s="18"/>
      <c r="AA3045" s="18"/>
      <c r="AB3045" s="18"/>
      <c r="AC3045" s="18"/>
    </row>
    <row r="3046" spans="1:29" ht="32.25" hidden="1" customHeight="1">
      <c r="A3046" s="17"/>
      <c r="B3046" s="9" t="s">
        <v>13284</v>
      </c>
      <c r="C3046" s="9" t="s">
        <v>13284</v>
      </c>
      <c r="D3046" s="9" t="s">
        <v>13284</v>
      </c>
      <c r="E3046" s="9" t="s">
        <v>13284</v>
      </c>
      <c r="F3046" s="9" t="s">
        <v>13284</v>
      </c>
      <c r="G3046" s="9" t="s">
        <v>13284</v>
      </c>
      <c r="H3046" s="9" t="s">
        <v>13284</v>
      </c>
      <c r="I3046" s="9" t="s">
        <v>13284</v>
      </c>
      <c r="J3046" s="9" t="s">
        <v>13284</v>
      </c>
      <c r="K3046" s="9" t="s">
        <v>13284</v>
      </c>
      <c r="L3046" s="9" t="s">
        <v>13284</v>
      </c>
      <c r="M3046" s="9" t="s">
        <v>13284</v>
      </c>
      <c r="N3046" s="9" t="s">
        <v>13284</v>
      </c>
      <c r="O3046" s="9" t="s">
        <v>13284</v>
      </c>
      <c r="P3046" s="9" t="s">
        <v>13284</v>
      </c>
      <c r="Q3046" s="9" t="s">
        <v>13284</v>
      </c>
      <c r="R3046" s="9" t="s">
        <v>13284</v>
      </c>
      <c r="S3046" s="9" t="s">
        <v>13284</v>
      </c>
      <c r="T3046" s="9" t="str">
        <f ca="1">IFERROR(IF(AND(VLOOKUP(A3046, 'Актуальное состояние (из общего'!A:C,3,0) = "", A3046 &lt;&gt; ""), "ПРОВЕРИТЬ", VLOOKUP(A3046, 'Актуальное состояние (из общего'!A:C,3,0)), "")</f>
        <v/>
      </c>
      <c r="U3046" s="9" t="s">
        <v>13284</v>
      </c>
      <c r="V3046" s="9" t="s">
        <v>13284</v>
      </c>
      <c r="W3046" s="12"/>
      <c r="X3046" s="9" t="str">
        <f t="array" ref="X3046">IFERROR(INDEX('Адреса общежитий (скрытый)'!$B$2:$B$9, MATCH(W3046, 'Адреса общежитий (скрытый)'!$A$2:$A$9, 0)), "")</f>
        <v/>
      </c>
      <c r="Y3046" s="18"/>
      <c r="Z3046" s="18"/>
      <c r="AA3046" s="18"/>
      <c r="AB3046" s="18"/>
      <c r="AC3046" s="18"/>
    </row>
    <row r="3047" spans="1:29" ht="32.25" hidden="1" customHeight="1">
      <c r="A3047" s="17"/>
      <c r="B3047" s="9" t="s">
        <v>13284</v>
      </c>
      <c r="C3047" s="9" t="s">
        <v>13284</v>
      </c>
      <c r="D3047" s="9" t="s">
        <v>13284</v>
      </c>
      <c r="E3047" s="9" t="s">
        <v>13284</v>
      </c>
      <c r="F3047" s="9" t="s">
        <v>13284</v>
      </c>
      <c r="G3047" s="9" t="s">
        <v>13284</v>
      </c>
      <c r="H3047" s="9" t="s">
        <v>13284</v>
      </c>
      <c r="I3047" s="9" t="s">
        <v>13284</v>
      </c>
      <c r="J3047" s="9" t="s">
        <v>13284</v>
      </c>
      <c r="K3047" s="9" t="s">
        <v>13284</v>
      </c>
      <c r="L3047" s="9" t="s">
        <v>13284</v>
      </c>
      <c r="M3047" s="9" t="s">
        <v>13284</v>
      </c>
      <c r="N3047" s="9" t="s">
        <v>13284</v>
      </c>
      <c r="O3047" s="9" t="s">
        <v>13284</v>
      </c>
      <c r="P3047" s="9" t="s">
        <v>13284</v>
      </c>
      <c r="Q3047" s="9" t="s">
        <v>13284</v>
      </c>
      <c r="R3047" s="9" t="s">
        <v>13284</v>
      </c>
      <c r="S3047" s="9" t="s">
        <v>13284</v>
      </c>
      <c r="T3047" s="9" t="str">
        <f ca="1">IFERROR(IF(AND(VLOOKUP(A3047, 'Актуальное состояние (из общего'!A:C,3,0) = "", A3047 &lt;&gt; ""), "ПРОВЕРИТЬ", VLOOKUP(A3047, 'Актуальное состояние (из общего'!A:C,3,0)), "")</f>
        <v/>
      </c>
      <c r="U3047" s="9" t="s">
        <v>13284</v>
      </c>
      <c r="V3047" s="9" t="s">
        <v>13284</v>
      </c>
      <c r="W3047" s="12"/>
      <c r="X3047" s="9" t="str">
        <f t="array" ref="X3047">IFERROR(INDEX('Адреса общежитий (скрытый)'!$B$2:$B$9, MATCH(W3047, 'Адреса общежитий (скрытый)'!$A$2:$A$9, 0)), "")</f>
        <v/>
      </c>
      <c r="Y3047" s="18"/>
      <c r="Z3047" s="18"/>
      <c r="AA3047" s="18"/>
      <c r="AB3047" s="18"/>
      <c r="AC3047" s="18"/>
    </row>
    <row r="3048" spans="1:29" ht="32.25" hidden="1" customHeight="1">
      <c r="A3048" s="17"/>
      <c r="B3048" s="9" t="s">
        <v>13284</v>
      </c>
      <c r="C3048" s="9" t="s">
        <v>13284</v>
      </c>
      <c r="D3048" s="9" t="s">
        <v>13284</v>
      </c>
      <c r="E3048" s="9" t="s">
        <v>13284</v>
      </c>
      <c r="F3048" s="9" t="s">
        <v>13284</v>
      </c>
      <c r="G3048" s="9" t="s">
        <v>13284</v>
      </c>
      <c r="H3048" s="9" t="s">
        <v>13284</v>
      </c>
      <c r="I3048" s="9" t="s">
        <v>13284</v>
      </c>
      <c r="J3048" s="9" t="s">
        <v>13284</v>
      </c>
      <c r="K3048" s="9" t="s">
        <v>13284</v>
      </c>
      <c r="L3048" s="9" t="s">
        <v>13284</v>
      </c>
      <c r="M3048" s="9" t="s">
        <v>13284</v>
      </c>
      <c r="N3048" s="9" t="s">
        <v>13284</v>
      </c>
      <c r="O3048" s="9" t="s">
        <v>13284</v>
      </c>
      <c r="P3048" s="9" t="s">
        <v>13284</v>
      </c>
      <c r="Q3048" s="9" t="s">
        <v>13284</v>
      </c>
      <c r="R3048" s="9" t="s">
        <v>13284</v>
      </c>
      <c r="S3048" s="9" t="s">
        <v>13284</v>
      </c>
      <c r="T3048" s="9" t="str">
        <f ca="1">IFERROR(IF(AND(VLOOKUP(A3048, 'Актуальное состояние (из общего'!A:C,3,0) = "", A3048 &lt;&gt; ""), "ПРОВЕРИТЬ", VLOOKUP(A3048, 'Актуальное состояние (из общего'!A:C,3,0)), "")</f>
        <v/>
      </c>
      <c r="U3048" s="9" t="s">
        <v>13284</v>
      </c>
      <c r="V3048" s="9" t="s">
        <v>13284</v>
      </c>
      <c r="W3048" s="12"/>
      <c r="X3048" s="9" t="str">
        <f t="array" ref="X3048">IFERROR(INDEX('Адреса общежитий (скрытый)'!$B$2:$B$9, MATCH(W3048, 'Адреса общежитий (скрытый)'!$A$2:$A$9, 0)), "")</f>
        <v/>
      </c>
      <c r="Y3048" s="18"/>
      <c r="Z3048" s="18"/>
      <c r="AA3048" s="18"/>
      <c r="AB3048" s="18"/>
      <c r="AC3048" s="18"/>
    </row>
    <row r="3049" spans="1:29" ht="32.25" hidden="1" customHeight="1">
      <c r="A3049" s="17"/>
      <c r="B3049" s="9" t="s">
        <v>13284</v>
      </c>
      <c r="C3049" s="9" t="s">
        <v>13284</v>
      </c>
      <c r="D3049" s="9" t="s">
        <v>13284</v>
      </c>
      <c r="E3049" s="9" t="s">
        <v>13284</v>
      </c>
      <c r="F3049" s="9" t="s">
        <v>13284</v>
      </c>
      <c r="G3049" s="9" t="s">
        <v>13284</v>
      </c>
      <c r="H3049" s="9" t="s">
        <v>13284</v>
      </c>
      <c r="I3049" s="9" t="s">
        <v>13284</v>
      </c>
      <c r="J3049" s="9" t="s">
        <v>13284</v>
      </c>
      <c r="K3049" s="9" t="s">
        <v>13284</v>
      </c>
      <c r="L3049" s="9" t="s">
        <v>13284</v>
      </c>
      <c r="M3049" s="9" t="s">
        <v>13284</v>
      </c>
      <c r="N3049" s="9" t="s">
        <v>13284</v>
      </c>
      <c r="O3049" s="9" t="s">
        <v>13284</v>
      </c>
      <c r="P3049" s="9" t="s">
        <v>13284</v>
      </c>
      <c r="Q3049" s="9" t="s">
        <v>13284</v>
      </c>
      <c r="R3049" s="9" t="s">
        <v>13284</v>
      </c>
      <c r="S3049" s="9" t="s">
        <v>13284</v>
      </c>
      <c r="T3049" s="9" t="str">
        <f ca="1">IFERROR(IF(AND(VLOOKUP(A3049, 'Актуальное состояние (из общего'!A:C,3,0) = "", A3049 &lt;&gt; ""), "ПРОВЕРИТЬ", VLOOKUP(A3049, 'Актуальное состояние (из общего'!A:C,3,0)), "")</f>
        <v/>
      </c>
      <c r="U3049" s="9" t="s">
        <v>13284</v>
      </c>
      <c r="V3049" s="9" t="s">
        <v>13284</v>
      </c>
      <c r="W3049" s="12"/>
      <c r="X3049" s="9" t="str">
        <f t="array" ref="X3049">IFERROR(INDEX('Адреса общежитий (скрытый)'!$B$2:$B$9, MATCH(W3049, 'Адреса общежитий (скрытый)'!$A$2:$A$9, 0)), "")</f>
        <v/>
      </c>
      <c r="Y3049" s="18"/>
      <c r="Z3049" s="18"/>
      <c r="AA3049" s="18"/>
      <c r="AB3049" s="18"/>
      <c r="AC3049" s="18"/>
    </row>
    <row r="3050" spans="1:29" ht="32.25" hidden="1" customHeight="1">
      <c r="A3050" s="17"/>
      <c r="B3050" s="9" t="s">
        <v>13284</v>
      </c>
      <c r="C3050" s="9" t="s">
        <v>13284</v>
      </c>
      <c r="D3050" s="9" t="s">
        <v>13284</v>
      </c>
      <c r="E3050" s="9" t="s">
        <v>13284</v>
      </c>
      <c r="F3050" s="9" t="s">
        <v>13284</v>
      </c>
      <c r="G3050" s="9" t="s">
        <v>13284</v>
      </c>
      <c r="H3050" s="9" t="s">
        <v>13284</v>
      </c>
      <c r="I3050" s="9" t="s">
        <v>13284</v>
      </c>
      <c r="J3050" s="9" t="s">
        <v>13284</v>
      </c>
      <c r="K3050" s="9" t="s">
        <v>13284</v>
      </c>
      <c r="L3050" s="9" t="s">
        <v>13284</v>
      </c>
      <c r="M3050" s="9" t="s">
        <v>13284</v>
      </c>
      <c r="N3050" s="9" t="s">
        <v>13284</v>
      </c>
      <c r="O3050" s="9" t="s">
        <v>13284</v>
      </c>
      <c r="P3050" s="9" t="s">
        <v>13284</v>
      </c>
      <c r="Q3050" s="9" t="s">
        <v>13284</v>
      </c>
      <c r="R3050" s="9" t="s">
        <v>13284</v>
      </c>
      <c r="S3050" s="9" t="s">
        <v>13284</v>
      </c>
      <c r="T3050" s="9" t="str">
        <f ca="1">IFERROR(IF(AND(VLOOKUP(A3050, 'Актуальное состояние (из общего'!A:C,3,0) = "", A3050 &lt;&gt; ""), "ПРОВЕРИТЬ", VLOOKUP(A3050, 'Актуальное состояние (из общего'!A:C,3,0)), "")</f>
        <v/>
      </c>
      <c r="U3050" s="9" t="s">
        <v>13284</v>
      </c>
      <c r="V3050" s="9" t="s">
        <v>13284</v>
      </c>
      <c r="W3050" s="12"/>
      <c r="X3050" s="9" t="str">
        <f t="array" ref="X3050">IFERROR(INDEX('Адреса общежитий (скрытый)'!$B$2:$B$9, MATCH(W3050, 'Адреса общежитий (скрытый)'!$A$2:$A$9, 0)), "")</f>
        <v/>
      </c>
      <c r="Y3050" s="18"/>
      <c r="Z3050" s="18"/>
      <c r="AA3050" s="18"/>
      <c r="AB3050" s="18"/>
      <c r="AC3050" s="18"/>
    </row>
    <row r="3051" spans="1:29" ht="32.25" hidden="1" customHeight="1">
      <c r="A3051" s="17"/>
      <c r="B3051" s="9" t="s">
        <v>13284</v>
      </c>
      <c r="C3051" s="9" t="s">
        <v>13284</v>
      </c>
      <c r="D3051" s="9" t="s">
        <v>13284</v>
      </c>
      <c r="E3051" s="9" t="s">
        <v>13284</v>
      </c>
      <c r="F3051" s="9" t="s">
        <v>13284</v>
      </c>
      <c r="G3051" s="9" t="s">
        <v>13284</v>
      </c>
      <c r="H3051" s="9" t="s">
        <v>13284</v>
      </c>
      <c r="I3051" s="9" t="s">
        <v>13284</v>
      </c>
      <c r="J3051" s="9" t="s">
        <v>13284</v>
      </c>
      <c r="K3051" s="9" t="s">
        <v>13284</v>
      </c>
      <c r="L3051" s="9" t="s">
        <v>13284</v>
      </c>
      <c r="M3051" s="9" t="s">
        <v>13284</v>
      </c>
      <c r="N3051" s="9" t="s">
        <v>13284</v>
      </c>
      <c r="O3051" s="9" t="s">
        <v>13284</v>
      </c>
      <c r="P3051" s="9" t="s">
        <v>13284</v>
      </c>
      <c r="Q3051" s="9" t="s">
        <v>13284</v>
      </c>
      <c r="R3051" s="9" t="s">
        <v>13284</v>
      </c>
      <c r="S3051" s="9" t="s">
        <v>13284</v>
      </c>
      <c r="T3051" s="9" t="str">
        <f ca="1">IFERROR(IF(AND(VLOOKUP(A3051, 'Актуальное состояние (из общего'!A:C,3,0) = "", A3051 &lt;&gt; ""), "ПРОВЕРИТЬ", VLOOKUP(A3051, 'Актуальное состояние (из общего'!A:C,3,0)), "")</f>
        <v/>
      </c>
      <c r="U3051" s="9" t="s">
        <v>13284</v>
      </c>
      <c r="V3051" s="9" t="s">
        <v>13284</v>
      </c>
      <c r="W3051" s="12"/>
      <c r="X3051" s="9" t="str">
        <f t="array" ref="X3051">IFERROR(INDEX('Адреса общежитий (скрытый)'!$B$2:$B$9, MATCH(W3051, 'Адреса общежитий (скрытый)'!$A$2:$A$9, 0)), "")</f>
        <v/>
      </c>
      <c r="Y3051" s="18"/>
      <c r="Z3051" s="18"/>
      <c r="AA3051" s="18"/>
      <c r="AB3051" s="18"/>
      <c r="AC3051" s="18"/>
    </row>
    <row r="3052" spans="1:29" ht="32.25" hidden="1" customHeight="1">
      <c r="A3052" s="17"/>
      <c r="B3052" s="9" t="s">
        <v>13284</v>
      </c>
      <c r="C3052" s="9" t="s">
        <v>13284</v>
      </c>
      <c r="D3052" s="9" t="s">
        <v>13284</v>
      </c>
      <c r="E3052" s="9" t="s">
        <v>13284</v>
      </c>
      <c r="F3052" s="9" t="s">
        <v>13284</v>
      </c>
      <c r="G3052" s="9" t="s">
        <v>13284</v>
      </c>
      <c r="H3052" s="9" t="s">
        <v>13284</v>
      </c>
      <c r="I3052" s="9" t="s">
        <v>13284</v>
      </c>
      <c r="J3052" s="9" t="s">
        <v>13284</v>
      </c>
      <c r="K3052" s="9" t="s">
        <v>13284</v>
      </c>
      <c r="L3052" s="9" t="s">
        <v>13284</v>
      </c>
      <c r="M3052" s="9" t="s">
        <v>13284</v>
      </c>
      <c r="N3052" s="9" t="s">
        <v>13284</v>
      </c>
      <c r="O3052" s="9" t="s">
        <v>13284</v>
      </c>
      <c r="P3052" s="9" t="s">
        <v>13284</v>
      </c>
      <c r="Q3052" s="9" t="s">
        <v>13284</v>
      </c>
      <c r="R3052" s="9" t="s">
        <v>13284</v>
      </c>
      <c r="S3052" s="9" t="s">
        <v>13284</v>
      </c>
      <c r="T3052" s="9" t="str">
        <f ca="1">IFERROR(IF(AND(VLOOKUP(A3052, 'Актуальное состояние (из общего'!A:C,3,0) = "", A3052 &lt;&gt; ""), "ПРОВЕРИТЬ", VLOOKUP(A3052, 'Актуальное состояние (из общего'!A:C,3,0)), "")</f>
        <v/>
      </c>
      <c r="U3052" s="9" t="s">
        <v>13284</v>
      </c>
      <c r="V3052" s="9" t="s">
        <v>13284</v>
      </c>
      <c r="W3052" s="12"/>
      <c r="X3052" s="9" t="str">
        <f t="array" ref="X3052">IFERROR(INDEX('Адреса общежитий (скрытый)'!$B$2:$B$9, MATCH(W3052, 'Адреса общежитий (скрытый)'!$A$2:$A$9, 0)), "")</f>
        <v/>
      </c>
      <c r="Y3052" s="18"/>
      <c r="Z3052" s="18"/>
      <c r="AA3052" s="18"/>
      <c r="AB3052" s="18"/>
      <c r="AC3052" s="18"/>
    </row>
    <row r="3053" spans="1:29" ht="32.25" hidden="1" customHeight="1">
      <c r="A3053" s="17"/>
      <c r="B3053" s="9" t="s">
        <v>13284</v>
      </c>
      <c r="C3053" s="9" t="s">
        <v>13284</v>
      </c>
      <c r="D3053" s="9" t="s">
        <v>13284</v>
      </c>
      <c r="E3053" s="9" t="s">
        <v>13284</v>
      </c>
      <c r="F3053" s="9" t="s">
        <v>13284</v>
      </c>
      <c r="G3053" s="9" t="s">
        <v>13284</v>
      </c>
      <c r="H3053" s="9" t="s">
        <v>13284</v>
      </c>
      <c r="I3053" s="9" t="s">
        <v>13284</v>
      </c>
      <c r="J3053" s="9" t="s">
        <v>13284</v>
      </c>
      <c r="K3053" s="9" t="s">
        <v>13284</v>
      </c>
      <c r="L3053" s="9" t="s">
        <v>13284</v>
      </c>
      <c r="M3053" s="9" t="s">
        <v>13284</v>
      </c>
      <c r="N3053" s="9" t="s">
        <v>13284</v>
      </c>
      <c r="O3053" s="9" t="s">
        <v>13284</v>
      </c>
      <c r="P3053" s="9" t="s">
        <v>13284</v>
      </c>
      <c r="Q3053" s="9" t="s">
        <v>13284</v>
      </c>
      <c r="R3053" s="9" t="s">
        <v>13284</v>
      </c>
      <c r="S3053" s="9" t="s">
        <v>13284</v>
      </c>
      <c r="T3053" s="9" t="str">
        <f ca="1">IFERROR(IF(AND(VLOOKUP(A3053, 'Актуальное состояние (из общего'!A:C,3,0) = "", A3053 &lt;&gt; ""), "ПРОВЕРИТЬ", VLOOKUP(A3053, 'Актуальное состояние (из общего'!A:C,3,0)), "")</f>
        <v/>
      </c>
      <c r="U3053" s="9" t="s">
        <v>13284</v>
      </c>
      <c r="V3053" s="9" t="s">
        <v>13284</v>
      </c>
      <c r="W3053" s="12"/>
      <c r="X3053" s="9" t="str">
        <f t="array" ref="X3053">IFERROR(INDEX('Адреса общежитий (скрытый)'!$B$2:$B$9, MATCH(W3053, 'Адреса общежитий (скрытый)'!$A$2:$A$9, 0)), "")</f>
        <v/>
      </c>
      <c r="Y3053" s="18"/>
      <c r="Z3053" s="18"/>
      <c r="AA3053" s="18"/>
      <c r="AB3053" s="18"/>
      <c r="AC3053" s="18"/>
    </row>
    <row r="3054" spans="1:29" ht="32.25" hidden="1" customHeight="1">
      <c r="A3054" s="17"/>
      <c r="B3054" s="9" t="s">
        <v>13284</v>
      </c>
      <c r="C3054" s="9" t="s">
        <v>13284</v>
      </c>
      <c r="D3054" s="9" t="s">
        <v>13284</v>
      </c>
      <c r="E3054" s="9" t="s">
        <v>13284</v>
      </c>
      <c r="F3054" s="9" t="s">
        <v>13284</v>
      </c>
      <c r="G3054" s="9" t="s">
        <v>13284</v>
      </c>
      <c r="H3054" s="9" t="s">
        <v>13284</v>
      </c>
      <c r="I3054" s="9" t="s">
        <v>13284</v>
      </c>
      <c r="J3054" s="9" t="s">
        <v>13284</v>
      </c>
      <c r="K3054" s="9" t="s">
        <v>13284</v>
      </c>
      <c r="L3054" s="9" t="s">
        <v>13284</v>
      </c>
      <c r="M3054" s="9" t="s">
        <v>13284</v>
      </c>
      <c r="N3054" s="9" t="s">
        <v>13284</v>
      </c>
      <c r="O3054" s="9" t="s">
        <v>13284</v>
      </c>
      <c r="P3054" s="9" t="s">
        <v>13284</v>
      </c>
      <c r="Q3054" s="9" t="s">
        <v>13284</v>
      </c>
      <c r="R3054" s="9" t="s">
        <v>13284</v>
      </c>
      <c r="S3054" s="9" t="s">
        <v>13284</v>
      </c>
      <c r="T3054" s="9" t="str">
        <f ca="1">IFERROR(IF(AND(VLOOKUP(A3054, 'Актуальное состояние (из общего'!A:C,3,0) = "", A3054 &lt;&gt; ""), "ПРОВЕРИТЬ", VLOOKUP(A3054, 'Актуальное состояние (из общего'!A:C,3,0)), "")</f>
        <v/>
      </c>
      <c r="U3054" s="9" t="s">
        <v>13284</v>
      </c>
      <c r="V3054" s="9" t="s">
        <v>13284</v>
      </c>
      <c r="W3054" s="12"/>
      <c r="X3054" s="9" t="str">
        <f t="array" ref="X3054">IFERROR(INDEX('Адреса общежитий (скрытый)'!$B$2:$B$9, MATCH(W3054, 'Адреса общежитий (скрытый)'!$A$2:$A$9, 0)), "")</f>
        <v/>
      </c>
      <c r="Y3054" s="18"/>
      <c r="Z3054" s="18"/>
      <c r="AA3054" s="18"/>
      <c r="AB3054" s="18"/>
      <c r="AC3054" s="18"/>
    </row>
    <row r="3055" spans="1:29" ht="32.25" hidden="1" customHeight="1">
      <c r="A3055" s="17"/>
      <c r="B3055" s="9" t="s">
        <v>13284</v>
      </c>
      <c r="C3055" s="9" t="s">
        <v>13284</v>
      </c>
      <c r="D3055" s="9" t="s">
        <v>13284</v>
      </c>
      <c r="E3055" s="9" t="s">
        <v>13284</v>
      </c>
      <c r="F3055" s="9" t="s">
        <v>13284</v>
      </c>
      <c r="G3055" s="9" t="s">
        <v>13284</v>
      </c>
      <c r="H3055" s="9" t="s">
        <v>13284</v>
      </c>
      <c r="I3055" s="9" t="s">
        <v>13284</v>
      </c>
      <c r="J3055" s="9" t="s">
        <v>13284</v>
      </c>
      <c r="K3055" s="9" t="s">
        <v>13284</v>
      </c>
      <c r="L3055" s="9" t="s">
        <v>13284</v>
      </c>
      <c r="M3055" s="9" t="s">
        <v>13284</v>
      </c>
      <c r="N3055" s="9" t="s">
        <v>13284</v>
      </c>
      <c r="O3055" s="9" t="s">
        <v>13284</v>
      </c>
      <c r="P3055" s="9" t="s">
        <v>13284</v>
      </c>
      <c r="Q3055" s="9" t="s">
        <v>13284</v>
      </c>
      <c r="R3055" s="9" t="s">
        <v>13284</v>
      </c>
      <c r="S3055" s="9" t="s">
        <v>13284</v>
      </c>
      <c r="T3055" s="9" t="str">
        <f ca="1">IFERROR(IF(AND(VLOOKUP(A3055, 'Актуальное состояние (из общего'!A:C,3,0) = "", A3055 &lt;&gt; ""), "ПРОВЕРИТЬ", VLOOKUP(A3055, 'Актуальное состояние (из общего'!A:C,3,0)), "")</f>
        <v/>
      </c>
      <c r="U3055" s="9" t="s">
        <v>13284</v>
      </c>
      <c r="V3055" s="9" t="s">
        <v>13284</v>
      </c>
      <c r="W3055" s="12"/>
      <c r="X3055" s="9" t="str">
        <f t="array" ref="X3055">IFERROR(INDEX('Адреса общежитий (скрытый)'!$B$2:$B$9, MATCH(W3055, 'Адреса общежитий (скрытый)'!$A$2:$A$9, 0)), "")</f>
        <v/>
      </c>
      <c r="Y3055" s="18"/>
      <c r="Z3055" s="18"/>
      <c r="AA3055" s="18"/>
      <c r="AB3055" s="18"/>
      <c r="AC3055" s="18"/>
    </row>
    <row r="3056" spans="1:29" ht="32.25" hidden="1" customHeight="1">
      <c r="A3056" s="17"/>
      <c r="B3056" s="9" t="s">
        <v>13284</v>
      </c>
      <c r="C3056" s="9" t="s">
        <v>13284</v>
      </c>
      <c r="D3056" s="9" t="s">
        <v>13284</v>
      </c>
      <c r="E3056" s="9" t="s">
        <v>13284</v>
      </c>
      <c r="F3056" s="9" t="s">
        <v>13284</v>
      </c>
      <c r="G3056" s="9" t="s">
        <v>13284</v>
      </c>
      <c r="H3056" s="9" t="s">
        <v>13284</v>
      </c>
      <c r="I3056" s="9" t="s">
        <v>13284</v>
      </c>
      <c r="J3056" s="9" t="s">
        <v>13284</v>
      </c>
      <c r="K3056" s="9" t="s">
        <v>13284</v>
      </c>
      <c r="L3056" s="9" t="s">
        <v>13284</v>
      </c>
      <c r="M3056" s="9" t="s">
        <v>13284</v>
      </c>
      <c r="N3056" s="9" t="s">
        <v>13284</v>
      </c>
      <c r="O3056" s="9" t="s">
        <v>13284</v>
      </c>
      <c r="P3056" s="9" t="s">
        <v>13284</v>
      </c>
      <c r="Q3056" s="9" t="s">
        <v>13284</v>
      </c>
      <c r="R3056" s="9" t="s">
        <v>13284</v>
      </c>
      <c r="S3056" s="9" t="s">
        <v>13284</v>
      </c>
      <c r="T3056" s="9" t="str">
        <f ca="1">IFERROR(IF(AND(VLOOKUP(A3056, 'Актуальное состояние (из общего'!A:C,3,0) = "", A3056 &lt;&gt; ""), "ПРОВЕРИТЬ", VLOOKUP(A3056, 'Актуальное состояние (из общего'!A:C,3,0)), "")</f>
        <v/>
      </c>
      <c r="U3056" s="9" t="s">
        <v>13284</v>
      </c>
      <c r="V3056" s="9" t="s">
        <v>13284</v>
      </c>
      <c r="W3056" s="12"/>
      <c r="X3056" s="9" t="str">
        <f t="array" ref="X3056">IFERROR(INDEX('Адреса общежитий (скрытый)'!$B$2:$B$9, MATCH(W3056, 'Адреса общежитий (скрытый)'!$A$2:$A$9, 0)), "")</f>
        <v/>
      </c>
      <c r="Y3056" s="18"/>
      <c r="Z3056" s="18"/>
      <c r="AA3056" s="18"/>
      <c r="AB3056" s="18"/>
      <c r="AC3056" s="18"/>
    </row>
    <row r="3057" spans="1:29" ht="32.25" hidden="1" customHeight="1">
      <c r="A3057" s="17"/>
      <c r="B3057" s="9" t="s">
        <v>13284</v>
      </c>
      <c r="C3057" s="9" t="s">
        <v>13284</v>
      </c>
      <c r="D3057" s="9" t="s">
        <v>13284</v>
      </c>
      <c r="E3057" s="9" t="s">
        <v>13284</v>
      </c>
      <c r="F3057" s="9" t="s">
        <v>13284</v>
      </c>
      <c r="G3057" s="9" t="s">
        <v>13284</v>
      </c>
      <c r="H3057" s="9" t="s">
        <v>13284</v>
      </c>
      <c r="I3057" s="9" t="s">
        <v>13284</v>
      </c>
      <c r="J3057" s="9" t="s">
        <v>13284</v>
      </c>
      <c r="K3057" s="9" t="s">
        <v>13284</v>
      </c>
      <c r="L3057" s="9" t="s">
        <v>13284</v>
      </c>
      <c r="M3057" s="9" t="s">
        <v>13284</v>
      </c>
      <c r="N3057" s="9" t="s">
        <v>13284</v>
      </c>
      <c r="O3057" s="9" t="s">
        <v>13284</v>
      </c>
      <c r="P3057" s="9" t="s">
        <v>13284</v>
      </c>
      <c r="Q3057" s="9" t="s">
        <v>13284</v>
      </c>
      <c r="R3057" s="9" t="s">
        <v>13284</v>
      </c>
      <c r="S3057" s="9" t="s">
        <v>13284</v>
      </c>
      <c r="T3057" s="9" t="str">
        <f ca="1">IFERROR(IF(AND(VLOOKUP(A3057, 'Актуальное состояние (из общего'!A:C,3,0) = "", A3057 &lt;&gt; ""), "ПРОВЕРИТЬ", VLOOKUP(A3057, 'Актуальное состояние (из общего'!A:C,3,0)), "")</f>
        <v/>
      </c>
      <c r="U3057" s="9" t="s">
        <v>13284</v>
      </c>
      <c r="V3057" s="9" t="s">
        <v>13284</v>
      </c>
      <c r="W3057" s="12"/>
      <c r="X3057" s="9" t="str">
        <f t="array" ref="X3057">IFERROR(INDEX('Адреса общежитий (скрытый)'!$B$2:$B$9, MATCH(W3057, 'Адреса общежитий (скрытый)'!$A$2:$A$9, 0)), "")</f>
        <v/>
      </c>
      <c r="Y3057" s="18"/>
      <c r="Z3057" s="18"/>
      <c r="AA3057" s="18"/>
      <c r="AB3057" s="18"/>
      <c r="AC3057" s="18"/>
    </row>
    <row r="3058" spans="1:29" ht="32.25" hidden="1" customHeight="1">
      <c r="A3058" s="17"/>
      <c r="B3058" s="9" t="s">
        <v>13284</v>
      </c>
      <c r="C3058" s="9" t="s">
        <v>13284</v>
      </c>
      <c r="D3058" s="9" t="s">
        <v>13284</v>
      </c>
      <c r="E3058" s="9" t="s">
        <v>13284</v>
      </c>
      <c r="F3058" s="9" t="s">
        <v>13284</v>
      </c>
      <c r="G3058" s="9" t="s">
        <v>13284</v>
      </c>
      <c r="H3058" s="9" t="s">
        <v>13284</v>
      </c>
      <c r="I3058" s="9" t="s">
        <v>13284</v>
      </c>
      <c r="J3058" s="9" t="s">
        <v>13284</v>
      </c>
      <c r="K3058" s="9" t="s">
        <v>13284</v>
      </c>
      <c r="L3058" s="9" t="s">
        <v>13284</v>
      </c>
      <c r="M3058" s="9" t="s">
        <v>13284</v>
      </c>
      <c r="N3058" s="9" t="s">
        <v>13284</v>
      </c>
      <c r="O3058" s="9" t="s">
        <v>13284</v>
      </c>
      <c r="P3058" s="9" t="s">
        <v>13284</v>
      </c>
      <c r="Q3058" s="9" t="s">
        <v>13284</v>
      </c>
      <c r="R3058" s="9" t="s">
        <v>13284</v>
      </c>
      <c r="S3058" s="9" t="s">
        <v>13284</v>
      </c>
      <c r="T3058" s="9" t="str">
        <f ca="1">IFERROR(IF(AND(VLOOKUP(A3058, 'Актуальное состояние (из общего'!A:C,3,0) = "", A3058 &lt;&gt; ""), "ПРОВЕРИТЬ", VLOOKUP(A3058, 'Актуальное состояние (из общего'!A:C,3,0)), "")</f>
        <v/>
      </c>
      <c r="U3058" s="9" t="s">
        <v>13284</v>
      </c>
      <c r="V3058" s="9" t="s">
        <v>13284</v>
      </c>
      <c r="W3058" s="12"/>
      <c r="X3058" s="9" t="str">
        <f t="array" ref="X3058">IFERROR(INDEX('Адреса общежитий (скрытый)'!$B$2:$B$9, MATCH(W3058, 'Адреса общежитий (скрытый)'!$A$2:$A$9, 0)), "")</f>
        <v/>
      </c>
      <c r="Y3058" s="18"/>
      <c r="Z3058" s="18"/>
      <c r="AA3058" s="18"/>
      <c r="AB3058" s="18"/>
      <c r="AC3058" s="18"/>
    </row>
    <row r="3059" spans="1:29" ht="32.25" hidden="1" customHeight="1">
      <c r="A3059" s="17"/>
      <c r="B3059" s="9" t="s">
        <v>13284</v>
      </c>
      <c r="C3059" s="9" t="s">
        <v>13284</v>
      </c>
      <c r="D3059" s="9" t="s">
        <v>13284</v>
      </c>
      <c r="E3059" s="9" t="s">
        <v>13284</v>
      </c>
      <c r="F3059" s="9" t="s">
        <v>13284</v>
      </c>
      <c r="G3059" s="9" t="s">
        <v>13284</v>
      </c>
      <c r="H3059" s="9" t="s">
        <v>13284</v>
      </c>
      <c r="I3059" s="9" t="s">
        <v>13284</v>
      </c>
      <c r="J3059" s="9" t="s">
        <v>13284</v>
      </c>
      <c r="K3059" s="9" t="s">
        <v>13284</v>
      </c>
      <c r="L3059" s="9" t="s">
        <v>13284</v>
      </c>
      <c r="M3059" s="9" t="s">
        <v>13284</v>
      </c>
      <c r="N3059" s="9" t="s">
        <v>13284</v>
      </c>
      <c r="O3059" s="9" t="s">
        <v>13284</v>
      </c>
      <c r="P3059" s="9" t="s">
        <v>13284</v>
      </c>
      <c r="Q3059" s="9" t="s">
        <v>13284</v>
      </c>
      <c r="R3059" s="9" t="s">
        <v>13284</v>
      </c>
      <c r="S3059" s="9" t="s">
        <v>13284</v>
      </c>
      <c r="T3059" s="9" t="str">
        <f ca="1">IFERROR(IF(AND(VLOOKUP(A3059, 'Актуальное состояние (из общего'!A:C,3,0) = "", A3059 &lt;&gt; ""), "ПРОВЕРИТЬ", VLOOKUP(A3059, 'Актуальное состояние (из общего'!A:C,3,0)), "")</f>
        <v/>
      </c>
      <c r="U3059" s="9" t="s">
        <v>13284</v>
      </c>
      <c r="V3059" s="9" t="s">
        <v>13284</v>
      </c>
      <c r="W3059" s="12"/>
      <c r="X3059" s="9" t="str">
        <f t="array" ref="X3059">IFERROR(INDEX('Адреса общежитий (скрытый)'!$B$2:$B$9, MATCH(W3059, 'Адреса общежитий (скрытый)'!$A$2:$A$9, 0)), "")</f>
        <v/>
      </c>
      <c r="Y3059" s="18"/>
      <c r="Z3059" s="18"/>
      <c r="AA3059" s="18"/>
      <c r="AB3059" s="18"/>
      <c r="AC3059" s="18"/>
    </row>
    <row r="3060" spans="1:29" ht="32.25" hidden="1" customHeight="1">
      <c r="A3060" s="17"/>
      <c r="B3060" s="9" t="s">
        <v>13284</v>
      </c>
      <c r="C3060" s="9" t="s">
        <v>13284</v>
      </c>
      <c r="D3060" s="9" t="s">
        <v>13284</v>
      </c>
      <c r="E3060" s="9" t="s">
        <v>13284</v>
      </c>
      <c r="F3060" s="9" t="s">
        <v>13284</v>
      </c>
      <c r="G3060" s="9" t="s">
        <v>13284</v>
      </c>
      <c r="H3060" s="9" t="s">
        <v>13284</v>
      </c>
      <c r="I3060" s="9" t="s">
        <v>13284</v>
      </c>
      <c r="J3060" s="9" t="s">
        <v>13284</v>
      </c>
      <c r="K3060" s="9" t="s">
        <v>13284</v>
      </c>
      <c r="L3060" s="9" t="s">
        <v>13284</v>
      </c>
      <c r="M3060" s="9" t="s">
        <v>13284</v>
      </c>
      <c r="N3060" s="9" t="s">
        <v>13284</v>
      </c>
      <c r="O3060" s="9" t="s">
        <v>13284</v>
      </c>
      <c r="P3060" s="9" t="s">
        <v>13284</v>
      </c>
      <c r="Q3060" s="9" t="s">
        <v>13284</v>
      </c>
      <c r="R3060" s="9" t="s">
        <v>13284</v>
      </c>
      <c r="S3060" s="9" t="s">
        <v>13284</v>
      </c>
      <c r="T3060" s="9" t="str">
        <f ca="1">IFERROR(IF(AND(VLOOKUP(A3060, 'Актуальное состояние (из общего'!A:C,3,0) = "", A3060 &lt;&gt; ""), "ПРОВЕРИТЬ", VLOOKUP(A3060, 'Актуальное состояние (из общего'!A:C,3,0)), "")</f>
        <v/>
      </c>
      <c r="U3060" s="9" t="s">
        <v>13284</v>
      </c>
      <c r="V3060" s="9" t="s">
        <v>13284</v>
      </c>
      <c r="W3060" s="12"/>
      <c r="X3060" s="9" t="str">
        <f t="array" ref="X3060">IFERROR(INDEX('Адреса общежитий (скрытый)'!$B$2:$B$9, MATCH(W3060, 'Адреса общежитий (скрытый)'!$A$2:$A$9, 0)), "")</f>
        <v/>
      </c>
      <c r="Y3060" s="18"/>
      <c r="Z3060" s="18"/>
      <c r="AA3060" s="18"/>
      <c r="AB3060" s="18"/>
      <c r="AC3060" s="18"/>
    </row>
    <row r="3061" spans="1:29" ht="32.25" hidden="1" customHeight="1">
      <c r="A3061" s="17"/>
      <c r="B3061" s="9" t="s">
        <v>13284</v>
      </c>
      <c r="C3061" s="9" t="s">
        <v>13284</v>
      </c>
      <c r="D3061" s="9" t="s">
        <v>13284</v>
      </c>
      <c r="E3061" s="9" t="s">
        <v>13284</v>
      </c>
      <c r="F3061" s="9" t="s">
        <v>13284</v>
      </c>
      <c r="G3061" s="9" t="s">
        <v>13284</v>
      </c>
      <c r="H3061" s="9" t="s">
        <v>13284</v>
      </c>
      <c r="I3061" s="9" t="s">
        <v>13284</v>
      </c>
      <c r="J3061" s="9" t="s">
        <v>13284</v>
      </c>
      <c r="K3061" s="9" t="s">
        <v>13284</v>
      </c>
      <c r="L3061" s="9" t="s">
        <v>13284</v>
      </c>
      <c r="M3061" s="9" t="s">
        <v>13284</v>
      </c>
      <c r="N3061" s="9" t="s">
        <v>13284</v>
      </c>
      <c r="O3061" s="9" t="s">
        <v>13284</v>
      </c>
      <c r="P3061" s="9" t="s">
        <v>13284</v>
      </c>
      <c r="Q3061" s="9" t="s">
        <v>13284</v>
      </c>
      <c r="R3061" s="9" t="s">
        <v>13284</v>
      </c>
      <c r="S3061" s="9" t="s">
        <v>13284</v>
      </c>
      <c r="T3061" s="9" t="str">
        <f ca="1">IFERROR(IF(AND(VLOOKUP(A3061, 'Актуальное состояние (из общего'!A:C,3,0) = "", A3061 &lt;&gt; ""), "ПРОВЕРИТЬ", VLOOKUP(A3061, 'Актуальное состояние (из общего'!A:C,3,0)), "")</f>
        <v/>
      </c>
      <c r="U3061" s="9" t="s">
        <v>13284</v>
      </c>
      <c r="V3061" s="9" t="s">
        <v>13284</v>
      </c>
      <c r="W3061" s="12"/>
      <c r="X3061" s="9" t="str">
        <f t="array" ref="X3061">IFERROR(INDEX('Адреса общежитий (скрытый)'!$B$2:$B$9, MATCH(W3061, 'Адреса общежитий (скрытый)'!$A$2:$A$9, 0)), "")</f>
        <v/>
      </c>
      <c r="Y3061" s="18"/>
      <c r="Z3061" s="18"/>
      <c r="AA3061" s="18"/>
      <c r="AB3061" s="18"/>
      <c r="AC3061" s="18"/>
    </row>
    <row r="3062" spans="1:29" ht="32.25" hidden="1" customHeight="1">
      <c r="A3062" s="17"/>
      <c r="B3062" s="9" t="s">
        <v>13284</v>
      </c>
      <c r="C3062" s="9" t="s">
        <v>13284</v>
      </c>
      <c r="D3062" s="9" t="s">
        <v>13284</v>
      </c>
      <c r="E3062" s="9" t="s">
        <v>13284</v>
      </c>
      <c r="F3062" s="9" t="s">
        <v>13284</v>
      </c>
      <c r="G3062" s="9" t="s">
        <v>13284</v>
      </c>
      <c r="H3062" s="9" t="s">
        <v>13284</v>
      </c>
      <c r="I3062" s="9" t="s">
        <v>13284</v>
      </c>
      <c r="J3062" s="9" t="s">
        <v>13284</v>
      </c>
      <c r="K3062" s="9" t="s">
        <v>13284</v>
      </c>
      <c r="L3062" s="9" t="s">
        <v>13284</v>
      </c>
      <c r="M3062" s="9" t="s">
        <v>13284</v>
      </c>
      <c r="N3062" s="9" t="s">
        <v>13284</v>
      </c>
      <c r="O3062" s="9" t="s">
        <v>13284</v>
      </c>
      <c r="P3062" s="9" t="s">
        <v>13284</v>
      </c>
      <c r="Q3062" s="9" t="s">
        <v>13284</v>
      </c>
      <c r="R3062" s="9" t="s">
        <v>13284</v>
      </c>
      <c r="S3062" s="9" t="s">
        <v>13284</v>
      </c>
      <c r="T3062" s="9" t="str">
        <f ca="1">IFERROR(IF(AND(VLOOKUP(A3062, 'Актуальное состояние (из общего'!A:C,3,0) = "", A3062 &lt;&gt; ""), "ПРОВЕРИТЬ", VLOOKUP(A3062, 'Актуальное состояние (из общего'!A:C,3,0)), "")</f>
        <v/>
      </c>
      <c r="U3062" s="9" t="s">
        <v>13284</v>
      </c>
      <c r="V3062" s="9" t="s">
        <v>13284</v>
      </c>
      <c r="W3062" s="12"/>
      <c r="X3062" s="9" t="str">
        <f t="array" ref="X3062">IFERROR(INDEX('Адреса общежитий (скрытый)'!$B$2:$B$9, MATCH(W3062, 'Адреса общежитий (скрытый)'!$A$2:$A$9, 0)), "")</f>
        <v/>
      </c>
      <c r="Y3062" s="18"/>
      <c r="Z3062" s="18"/>
      <c r="AA3062" s="18"/>
      <c r="AB3062" s="18"/>
      <c r="AC3062" s="18"/>
    </row>
    <row r="3063" spans="1:29" ht="32.25" hidden="1" customHeight="1">
      <c r="A3063" s="17"/>
      <c r="B3063" s="9" t="s">
        <v>13284</v>
      </c>
      <c r="C3063" s="9" t="s">
        <v>13284</v>
      </c>
      <c r="D3063" s="9" t="s">
        <v>13284</v>
      </c>
      <c r="E3063" s="9" t="s">
        <v>13284</v>
      </c>
      <c r="F3063" s="9" t="s">
        <v>13284</v>
      </c>
      <c r="G3063" s="9" t="s">
        <v>13284</v>
      </c>
      <c r="H3063" s="9" t="s">
        <v>13284</v>
      </c>
      <c r="I3063" s="9" t="s">
        <v>13284</v>
      </c>
      <c r="J3063" s="9" t="s">
        <v>13284</v>
      </c>
      <c r="K3063" s="9" t="s">
        <v>13284</v>
      </c>
      <c r="L3063" s="9" t="s">
        <v>13284</v>
      </c>
      <c r="M3063" s="9" t="s">
        <v>13284</v>
      </c>
      <c r="N3063" s="9" t="s">
        <v>13284</v>
      </c>
      <c r="O3063" s="9" t="s">
        <v>13284</v>
      </c>
      <c r="P3063" s="9" t="s">
        <v>13284</v>
      </c>
      <c r="Q3063" s="9" t="s">
        <v>13284</v>
      </c>
      <c r="R3063" s="9" t="s">
        <v>13284</v>
      </c>
      <c r="S3063" s="9" t="s">
        <v>13284</v>
      </c>
      <c r="T3063" s="9" t="str">
        <f ca="1">IFERROR(IF(AND(VLOOKUP(A3063, 'Актуальное состояние (из общего'!A:C,3,0) = "", A3063 &lt;&gt; ""), "ПРОВЕРИТЬ", VLOOKUP(A3063, 'Актуальное состояние (из общего'!A:C,3,0)), "")</f>
        <v/>
      </c>
      <c r="U3063" s="9" t="s">
        <v>13284</v>
      </c>
      <c r="V3063" s="9" t="s">
        <v>13284</v>
      </c>
      <c r="W3063" s="12"/>
      <c r="X3063" s="9" t="str">
        <f t="array" ref="X3063">IFERROR(INDEX('Адреса общежитий (скрытый)'!$B$2:$B$9, MATCH(W3063, 'Адреса общежитий (скрытый)'!$A$2:$A$9, 0)), "")</f>
        <v/>
      </c>
      <c r="Y3063" s="18"/>
      <c r="Z3063" s="18"/>
      <c r="AA3063" s="18"/>
      <c r="AB3063" s="18"/>
      <c r="AC3063" s="18"/>
    </row>
    <row r="3064" spans="1:29" ht="32.25" hidden="1" customHeight="1">
      <c r="A3064" s="17"/>
      <c r="B3064" s="9" t="s">
        <v>13284</v>
      </c>
      <c r="C3064" s="9" t="s">
        <v>13284</v>
      </c>
      <c r="D3064" s="9" t="s">
        <v>13284</v>
      </c>
      <c r="E3064" s="9" t="s">
        <v>13284</v>
      </c>
      <c r="F3064" s="9" t="s">
        <v>13284</v>
      </c>
      <c r="G3064" s="9" t="s">
        <v>13284</v>
      </c>
      <c r="H3064" s="9" t="s">
        <v>13284</v>
      </c>
      <c r="I3064" s="9" t="s">
        <v>13284</v>
      </c>
      <c r="J3064" s="9" t="s">
        <v>13284</v>
      </c>
      <c r="K3064" s="9" t="s">
        <v>13284</v>
      </c>
      <c r="L3064" s="9" t="s">
        <v>13284</v>
      </c>
      <c r="M3064" s="9" t="s">
        <v>13284</v>
      </c>
      <c r="N3064" s="9" t="s">
        <v>13284</v>
      </c>
      <c r="O3064" s="9" t="s">
        <v>13284</v>
      </c>
      <c r="P3064" s="9" t="s">
        <v>13284</v>
      </c>
      <c r="Q3064" s="9" t="s">
        <v>13284</v>
      </c>
      <c r="R3064" s="9" t="s">
        <v>13284</v>
      </c>
      <c r="S3064" s="9" t="s">
        <v>13284</v>
      </c>
      <c r="T3064" s="9" t="str">
        <f ca="1">IFERROR(IF(AND(VLOOKUP(A3064, 'Актуальное состояние (из общего'!A:C,3,0) = "", A3064 &lt;&gt; ""), "ПРОВЕРИТЬ", VLOOKUP(A3064, 'Актуальное состояние (из общего'!A:C,3,0)), "")</f>
        <v/>
      </c>
      <c r="U3064" s="9" t="s">
        <v>13284</v>
      </c>
      <c r="V3064" s="9" t="s">
        <v>13284</v>
      </c>
      <c r="W3064" s="12"/>
      <c r="X3064" s="9" t="str">
        <f t="array" ref="X3064">IFERROR(INDEX('Адреса общежитий (скрытый)'!$B$2:$B$9, MATCH(W3064, 'Адреса общежитий (скрытый)'!$A$2:$A$9, 0)), "")</f>
        <v/>
      </c>
      <c r="Y3064" s="18"/>
      <c r="Z3064" s="18"/>
      <c r="AA3064" s="18"/>
      <c r="AB3064" s="18"/>
      <c r="AC3064" s="18"/>
    </row>
    <row r="3065" spans="1:29" ht="32.25" hidden="1" customHeight="1">
      <c r="A3065" s="17"/>
      <c r="B3065" s="9" t="s">
        <v>13284</v>
      </c>
      <c r="C3065" s="9" t="s">
        <v>13284</v>
      </c>
      <c r="D3065" s="9" t="s">
        <v>13284</v>
      </c>
      <c r="E3065" s="9" t="s">
        <v>13284</v>
      </c>
      <c r="F3065" s="9" t="s">
        <v>13284</v>
      </c>
      <c r="G3065" s="9" t="s">
        <v>13284</v>
      </c>
      <c r="H3065" s="9" t="s">
        <v>13284</v>
      </c>
      <c r="I3065" s="9" t="s">
        <v>13284</v>
      </c>
      <c r="J3065" s="9" t="s">
        <v>13284</v>
      </c>
      <c r="K3065" s="9" t="s">
        <v>13284</v>
      </c>
      <c r="L3065" s="9" t="s">
        <v>13284</v>
      </c>
      <c r="M3065" s="9" t="s">
        <v>13284</v>
      </c>
      <c r="N3065" s="9" t="s">
        <v>13284</v>
      </c>
      <c r="O3065" s="9" t="s">
        <v>13284</v>
      </c>
      <c r="P3065" s="9" t="s">
        <v>13284</v>
      </c>
      <c r="Q3065" s="9" t="s">
        <v>13284</v>
      </c>
      <c r="R3065" s="9" t="s">
        <v>13284</v>
      </c>
      <c r="S3065" s="9" t="s">
        <v>13284</v>
      </c>
      <c r="T3065" s="9" t="str">
        <f ca="1">IFERROR(IF(AND(VLOOKUP(A3065, 'Актуальное состояние (из общего'!A:C,3,0) = "", A3065 &lt;&gt; ""), "ПРОВЕРИТЬ", VLOOKUP(A3065, 'Актуальное состояние (из общего'!A:C,3,0)), "")</f>
        <v/>
      </c>
      <c r="U3065" s="9" t="s">
        <v>13284</v>
      </c>
      <c r="V3065" s="9" t="s">
        <v>13284</v>
      </c>
      <c r="W3065" s="12"/>
      <c r="X3065" s="9" t="str">
        <f t="array" ref="X3065">IFERROR(INDEX('Адреса общежитий (скрытый)'!$B$2:$B$9, MATCH(W3065, 'Адреса общежитий (скрытый)'!$A$2:$A$9, 0)), "")</f>
        <v/>
      </c>
      <c r="Y3065" s="18"/>
      <c r="Z3065" s="18"/>
      <c r="AA3065" s="18"/>
      <c r="AB3065" s="18"/>
      <c r="AC3065" s="18"/>
    </row>
    <row r="3066" spans="1:29" ht="32.25" hidden="1" customHeight="1">
      <c r="A3066" s="17"/>
      <c r="B3066" s="9" t="s">
        <v>13284</v>
      </c>
      <c r="C3066" s="9" t="s">
        <v>13284</v>
      </c>
      <c r="D3066" s="9" t="s">
        <v>13284</v>
      </c>
      <c r="E3066" s="9" t="s">
        <v>13284</v>
      </c>
      <c r="F3066" s="9" t="s">
        <v>13284</v>
      </c>
      <c r="G3066" s="9" t="s">
        <v>13284</v>
      </c>
      <c r="H3066" s="9" t="s">
        <v>13284</v>
      </c>
      <c r="I3066" s="9" t="s">
        <v>13284</v>
      </c>
      <c r="J3066" s="9" t="s">
        <v>13284</v>
      </c>
      <c r="K3066" s="9" t="s">
        <v>13284</v>
      </c>
      <c r="L3066" s="9" t="s">
        <v>13284</v>
      </c>
      <c r="M3066" s="9" t="s">
        <v>13284</v>
      </c>
      <c r="N3066" s="9" t="s">
        <v>13284</v>
      </c>
      <c r="O3066" s="9" t="s">
        <v>13284</v>
      </c>
      <c r="P3066" s="9" t="s">
        <v>13284</v>
      </c>
      <c r="Q3066" s="9" t="s">
        <v>13284</v>
      </c>
      <c r="R3066" s="9" t="s">
        <v>13284</v>
      </c>
      <c r="S3066" s="9" t="s">
        <v>13284</v>
      </c>
      <c r="T3066" s="9" t="str">
        <f ca="1">IFERROR(IF(AND(VLOOKUP(A3066, 'Актуальное состояние (из общего'!A:C,3,0) = "", A3066 &lt;&gt; ""), "ПРОВЕРИТЬ", VLOOKUP(A3066, 'Актуальное состояние (из общего'!A:C,3,0)), "")</f>
        <v/>
      </c>
      <c r="U3066" s="9" t="s">
        <v>13284</v>
      </c>
      <c r="V3066" s="9" t="s">
        <v>13284</v>
      </c>
      <c r="W3066" s="12"/>
      <c r="X3066" s="9" t="str">
        <f t="array" ref="X3066">IFERROR(INDEX('Адреса общежитий (скрытый)'!$B$2:$B$9, MATCH(W3066, 'Адреса общежитий (скрытый)'!$A$2:$A$9, 0)), "")</f>
        <v/>
      </c>
      <c r="Y3066" s="18"/>
      <c r="Z3066" s="18"/>
      <c r="AA3066" s="18"/>
      <c r="AB3066" s="18"/>
      <c r="AC3066" s="18"/>
    </row>
    <row r="3067" spans="1:29" ht="32.25" hidden="1" customHeight="1">
      <c r="A3067" s="17"/>
      <c r="B3067" s="9" t="s">
        <v>13284</v>
      </c>
      <c r="C3067" s="9" t="s">
        <v>13284</v>
      </c>
      <c r="D3067" s="9" t="s">
        <v>13284</v>
      </c>
      <c r="E3067" s="9" t="s">
        <v>13284</v>
      </c>
      <c r="F3067" s="9" t="s">
        <v>13284</v>
      </c>
      <c r="G3067" s="9" t="s">
        <v>13284</v>
      </c>
      <c r="H3067" s="9" t="s">
        <v>13284</v>
      </c>
      <c r="I3067" s="9" t="s">
        <v>13284</v>
      </c>
      <c r="J3067" s="9" t="s">
        <v>13284</v>
      </c>
      <c r="K3067" s="9" t="s">
        <v>13284</v>
      </c>
      <c r="L3067" s="9" t="s">
        <v>13284</v>
      </c>
      <c r="M3067" s="9" t="s">
        <v>13284</v>
      </c>
      <c r="N3067" s="9" t="s">
        <v>13284</v>
      </c>
      <c r="O3067" s="9" t="s">
        <v>13284</v>
      </c>
      <c r="P3067" s="9" t="s">
        <v>13284</v>
      </c>
      <c r="Q3067" s="9" t="s">
        <v>13284</v>
      </c>
      <c r="R3067" s="9" t="s">
        <v>13284</v>
      </c>
      <c r="S3067" s="9" t="s">
        <v>13284</v>
      </c>
      <c r="T3067" s="9" t="str">
        <f ca="1">IFERROR(IF(AND(VLOOKUP(A3067, 'Актуальное состояние (из общего'!A:C,3,0) = "", A3067 &lt;&gt; ""), "ПРОВЕРИТЬ", VLOOKUP(A3067, 'Актуальное состояние (из общего'!A:C,3,0)), "")</f>
        <v/>
      </c>
      <c r="U3067" s="9" t="s">
        <v>13284</v>
      </c>
      <c r="V3067" s="9" t="s">
        <v>13284</v>
      </c>
      <c r="W3067" s="12"/>
      <c r="X3067" s="9" t="str">
        <f t="array" ref="X3067">IFERROR(INDEX('Адреса общежитий (скрытый)'!$B$2:$B$9, MATCH(W3067, 'Адреса общежитий (скрытый)'!$A$2:$A$9, 0)), "")</f>
        <v/>
      </c>
      <c r="Y3067" s="18"/>
      <c r="Z3067" s="18"/>
      <c r="AA3067" s="18"/>
      <c r="AB3067" s="18"/>
      <c r="AC3067" s="18"/>
    </row>
    <row r="3068" spans="1:29" ht="32.25" hidden="1" customHeight="1">
      <c r="A3068" s="17"/>
      <c r="B3068" s="9" t="s">
        <v>13284</v>
      </c>
      <c r="C3068" s="9" t="s">
        <v>13284</v>
      </c>
      <c r="D3068" s="9" t="s">
        <v>13284</v>
      </c>
      <c r="E3068" s="9" t="s">
        <v>13284</v>
      </c>
      <c r="F3068" s="9" t="s">
        <v>13284</v>
      </c>
      <c r="G3068" s="9" t="s">
        <v>13284</v>
      </c>
      <c r="H3068" s="9" t="s">
        <v>13284</v>
      </c>
      <c r="I3068" s="9" t="s">
        <v>13284</v>
      </c>
      <c r="J3068" s="9" t="s">
        <v>13284</v>
      </c>
      <c r="K3068" s="9" t="s">
        <v>13284</v>
      </c>
      <c r="L3068" s="9" t="s">
        <v>13284</v>
      </c>
      <c r="M3068" s="9" t="s">
        <v>13284</v>
      </c>
      <c r="N3068" s="9" t="s">
        <v>13284</v>
      </c>
      <c r="O3068" s="9" t="s">
        <v>13284</v>
      </c>
      <c r="P3068" s="9" t="s">
        <v>13284</v>
      </c>
      <c r="Q3068" s="9" t="s">
        <v>13284</v>
      </c>
      <c r="R3068" s="9" t="s">
        <v>13284</v>
      </c>
      <c r="S3068" s="9" t="s">
        <v>13284</v>
      </c>
      <c r="T3068" s="9" t="str">
        <f ca="1">IFERROR(IF(AND(VLOOKUP(A3068, 'Актуальное состояние (из общего'!A:C,3,0) = "", A3068 &lt;&gt; ""), "ПРОВЕРИТЬ", VLOOKUP(A3068, 'Актуальное состояние (из общего'!A:C,3,0)), "")</f>
        <v/>
      </c>
      <c r="U3068" s="9" t="s">
        <v>13284</v>
      </c>
      <c r="V3068" s="9" t="s">
        <v>13284</v>
      </c>
      <c r="W3068" s="12"/>
      <c r="X3068" s="9" t="str">
        <f t="array" ref="X3068">IFERROR(INDEX('Адреса общежитий (скрытый)'!$B$2:$B$9, MATCH(W3068, 'Адреса общежитий (скрытый)'!$A$2:$A$9, 0)), "")</f>
        <v/>
      </c>
      <c r="Y3068" s="18"/>
      <c r="Z3068" s="18"/>
      <c r="AA3068" s="18"/>
      <c r="AB3068" s="18"/>
      <c r="AC3068" s="18"/>
    </row>
    <row r="3069" spans="1:29" ht="32.25" hidden="1" customHeight="1">
      <c r="A3069" s="17"/>
      <c r="B3069" s="9" t="s">
        <v>13284</v>
      </c>
      <c r="C3069" s="9" t="s">
        <v>13284</v>
      </c>
      <c r="D3069" s="9" t="s">
        <v>13284</v>
      </c>
      <c r="E3069" s="9" t="s">
        <v>13284</v>
      </c>
      <c r="F3069" s="9" t="s">
        <v>13284</v>
      </c>
      <c r="G3069" s="9" t="s">
        <v>13284</v>
      </c>
      <c r="H3069" s="9" t="s">
        <v>13284</v>
      </c>
      <c r="I3069" s="9" t="s">
        <v>13284</v>
      </c>
      <c r="J3069" s="9" t="s">
        <v>13284</v>
      </c>
      <c r="K3069" s="9" t="s">
        <v>13284</v>
      </c>
      <c r="L3069" s="9" t="s">
        <v>13284</v>
      </c>
      <c r="M3069" s="9" t="s">
        <v>13284</v>
      </c>
      <c r="N3069" s="9" t="s">
        <v>13284</v>
      </c>
      <c r="O3069" s="9" t="s">
        <v>13284</v>
      </c>
      <c r="P3069" s="9" t="s">
        <v>13284</v>
      </c>
      <c r="Q3069" s="9" t="s">
        <v>13284</v>
      </c>
      <c r="R3069" s="9" t="s">
        <v>13284</v>
      </c>
      <c r="S3069" s="9" t="s">
        <v>13284</v>
      </c>
      <c r="T3069" s="9" t="str">
        <f ca="1">IFERROR(IF(AND(VLOOKUP(A3069, 'Актуальное состояние (из общего'!A:C,3,0) = "", A3069 &lt;&gt; ""), "ПРОВЕРИТЬ", VLOOKUP(A3069, 'Актуальное состояние (из общего'!A:C,3,0)), "")</f>
        <v/>
      </c>
      <c r="U3069" s="9" t="s">
        <v>13284</v>
      </c>
      <c r="V3069" s="9" t="s">
        <v>13284</v>
      </c>
      <c r="W3069" s="12"/>
      <c r="X3069" s="9" t="str">
        <f t="array" ref="X3069">IFERROR(INDEX('Адреса общежитий (скрытый)'!$B$2:$B$9, MATCH(W3069, 'Адреса общежитий (скрытый)'!$A$2:$A$9, 0)), "")</f>
        <v/>
      </c>
      <c r="Y3069" s="18"/>
      <c r="Z3069" s="18"/>
      <c r="AA3069" s="18"/>
      <c r="AB3069" s="18"/>
      <c r="AC3069" s="18"/>
    </row>
    <row r="3070" spans="1:29" ht="32.25" hidden="1" customHeight="1">
      <c r="A3070" s="17"/>
      <c r="B3070" s="9" t="s">
        <v>13284</v>
      </c>
      <c r="C3070" s="9" t="s">
        <v>13284</v>
      </c>
      <c r="D3070" s="9" t="s">
        <v>13284</v>
      </c>
      <c r="E3070" s="9" t="s">
        <v>13284</v>
      </c>
      <c r="F3070" s="9" t="s">
        <v>13284</v>
      </c>
      <c r="G3070" s="9" t="s">
        <v>13284</v>
      </c>
      <c r="H3070" s="9" t="s">
        <v>13284</v>
      </c>
      <c r="I3070" s="9" t="s">
        <v>13284</v>
      </c>
      <c r="J3070" s="9" t="s">
        <v>13284</v>
      </c>
      <c r="K3070" s="9" t="s">
        <v>13284</v>
      </c>
      <c r="L3070" s="9" t="s">
        <v>13284</v>
      </c>
      <c r="M3070" s="9" t="s">
        <v>13284</v>
      </c>
      <c r="N3070" s="9" t="s">
        <v>13284</v>
      </c>
      <c r="O3070" s="9" t="s">
        <v>13284</v>
      </c>
      <c r="P3070" s="9" t="s">
        <v>13284</v>
      </c>
      <c r="Q3070" s="9" t="s">
        <v>13284</v>
      </c>
      <c r="R3070" s="9" t="s">
        <v>13284</v>
      </c>
      <c r="S3070" s="9" t="s">
        <v>13284</v>
      </c>
      <c r="T3070" s="9" t="str">
        <f ca="1">IFERROR(IF(AND(VLOOKUP(A3070, 'Актуальное состояние (из общего'!A:C,3,0) = "", A3070 &lt;&gt; ""), "ПРОВЕРИТЬ", VLOOKUP(A3070, 'Актуальное состояние (из общего'!A:C,3,0)), "")</f>
        <v/>
      </c>
      <c r="U3070" s="9" t="s">
        <v>13284</v>
      </c>
      <c r="V3070" s="9" t="s">
        <v>13284</v>
      </c>
      <c r="W3070" s="12"/>
      <c r="X3070" s="9" t="str">
        <f t="array" ref="X3070">IFERROR(INDEX('Адреса общежитий (скрытый)'!$B$2:$B$9, MATCH(W3070, 'Адреса общежитий (скрытый)'!$A$2:$A$9, 0)), "")</f>
        <v/>
      </c>
      <c r="Y3070" s="18"/>
      <c r="Z3070" s="18"/>
      <c r="AA3070" s="18"/>
      <c r="AB3070" s="18"/>
      <c r="AC3070" s="18"/>
    </row>
    <row r="3071" spans="1:29" ht="32.25" hidden="1" customHeight="1">
      <c r="A3071" s="17"/>
      <c r="B3071" s="9" t="s">
        <v>13284</v>
      </c>
      <c r="C3071" s="9" t="s">
        <v>13284</v>
      </c>
      <c r="D3071" s="9" t="s">
        <v>13284</v>
      </c>
      <c r="E3071" s="9" t="s">
        <v>13284</v>
      </c>
      <c r="F3071" s="9" t="s">
        <v>13284</v>
      </c>
      <c r="G3071" s="9" t="s">
        <v>13284</v>
      </c>
      <c r="H3071" s="9" t="s">
        <v>13284</v>
      </c>
      <c r="I3071" s="9" t="s">
        <v>13284</v>
      </c>
      <c r="J3071" s="9" t="s">
        <v>13284</v>
      </c>
      <c r="K3071" s="9" t="s">
        <v>13284</v>
      </c>
      <c r="L3071" s="9" t="s">
        <v>13284</v>
      </c>
      <c r="M3071" s="9" t="s">
        <v>13284</v>
      </c>
      <c r="N3071" s="9" t="s">
        <v>13284</v>
      </c>
      <c r="O3071" s="9" t="s">
        <v>13284</v>
      </c>
      <c r="P3071" s="9" t="s">
        <v>13284</v>
      </c>
      <c r="Q3071" s="9" t="s">
        <v>13284</v>
      </c>
      <c r="R3071" s="9" t="s">
        <v>13284</v>
      </c>
      <c r="S3071" s="9" t="s">
        <v>13284</v>
      </c>
      <c r="T3071" s="9" t="str">
        <f ca="1">IFERROR(IF(AND(VLOOKUP(A3071, 'Актуальное состояние (из общего'!A:C,3,0) = "", A3071 &lt;&gt; ""), "ПРОВЕРИТЬ", VLOOKUP(A3071, 'Актуальное состояние (из общего'!A:C,3,0)), "")</f>
        <v/>
      </c>
      <c r="U3071" s="9" t="s">
        <v>13284</v>
      </c>
      <c r="V3071" s="9" t="s">
        <v>13284</v>
      </c>
      <c r="W3071" s="12"/>
      <c r="X3071" s="9" t="str">
        <f t="array" ref="X3071">IFERROR(INDEX('Адреса общежитий (скрытый)'!$B$2:$B$9, MATCH(W3071, 'Адреса общежитий (скрытый)'!$A$2:$A$9, 0)), "")</f>
        <v/>
      </c>
      <c r="Y3071" s="18"/>
      <c r="Z3071" s="18"/>
      <c r="AA3071" s="18"/>
      <c r="AB3071" s="18"/>
      <c r="AC3071" s="18"/>
    </row>
    <row r="3072" spans="1:29" ht="32.25" hidden="1" customHeight="1">
      <c r="A3072" s="17"/>
      <c r="B3072" s="9" t="s">
        <v>13284</v>
      </c>
      <c r="C3072" s="9" t="s">
        <v>13284</v>
      </c>
      <c r="D3072" s="9" t="s">
        <v>13284</v>
      </c>
      <c r="E3072" s="9" t="s">
        <v>13284</v>
      </c>
      <c r="F3072" s="9" t="s">
        <v>13284</v>
      </c>
      <c r="G3072" s="9" t="s">
        <v>13284</v>
      </c>
      <c r="H3072" s="9" t="s">
        <v>13284</v>
      </c>
      <c r="I3072" s="9" t="s">
        <v>13284</v>
      </c>
      <c r="J3072" s="9" t="s">
        <v>13284</v>
      </c>
      <c r="K3072" s="9" t="s">
        <v>13284</v>
      </c>
      <c r="L3072" s="9" t="s">
        <v>13284</v>
      </c>
      <c r="M3072" s="9" t="s">
        <v>13284</v>
      </c>
      <c r="N3072" s="9" t="s">
        <v>13284</v>
      </c>
      <c r="O3072" s="9" t="s">
        <v>13284</v>
      </c>
      <c r="P3072" s="9" t="s">
        <v>13284</v>
      </c>
      <c r="Q3072" s="9" t="s">
        <v>13284</v>
      </c>
      <c r="R3072" s="9" t="s">
        <v>13284</v>
      </c>
      <c r="S3072" s="9" t="s">
        <v>13284</v>
      </c>
      <c r="T3072" s="9" t="str">
        <f ca="1">IFERROR(IF(AND(VLOOKUP(A3072, 'Актуальное состояние (из общего'!A:C,3,0) = "", A3072 &lt;&gt; ""), "ПРОВЕРИТЬ", VLOOKUP(A3072, 'Актуальное состояние (из общего'!A:C,3,0)), "")</f>
        <v/>
      </c>
      <c r="U3072" s="9" t="s">
        <v>13284</v>
      </c>
      <c r="V3072" s="9" t="s">
        <v>13284</v>
      </c>
      <c r="W3072" s="12"/>
      <c r="X3072" s="9" t="str">
        <f t="array" ref="X3072">IFERROR(INDEX('Адреса общежитий (скрытый)'!$B$2:$B$9, MATCH(W3072, 'Адреса общежитий (скрытый)'!$A$2:$A$9, 0)), "")</f>
        <v/>
      </c>
      <c r="Y3072" s="18"/>
      <c r="Z3072" s="18"/>
      <c r="AA3072" s="18"/>
      <c r="AB3072" s="18"/>
      <c r="AC3072" s="18"/>
    </row>
    <row r="3073" spans="1:29" ht="32.25" hidden="1" customHeight="1">
      <c r="A3073" s="17"/>
      <c r="B3073" s="9" t="s">
        <v>13284</v>
      </c>
      <c r="C3073" s="9" t="s">
        <v>13284</v>
      </c>
      <c r="D3073" s="9" t="s">
        <v>13284</v>
      </c>
      <c r="E3073" s="9" t="s">
        <v>13284</v>
      </c>
      <c r="F3073" s="9" t="s">
        <v>13284</v>
      </c>
      <c r="G3073" s="9" t="s">
        <v>13284</v>
      </c>
      <c r="H3073" s="9" t="s">
        <v>13284</v>
      </c>
      <c r="I3073" s="9" t="s">
        <v>13284</v>
      </c>
      <c r="J3073" s="9" t="s">
        <v>13284</v>
      </c>
      <c r="K3073" s="9" t="s">
        <v>13284</v>
      </c>
      <c r="L3073" s="9" t="s">
        <v>13284</v>
      </c>
      <c r="M3073" s="9" t="s">
        <v>13284</v>
      </c>
      <c r="N3073" s="9" t="s">
        <v>13284</v>
      </c>
      <c r="O3073" s="9" t="s">
        <v>13284</v>
      </c>
      <c r="P3073" s="9" t="s">
        <v>13284</v>
      </c>
      <c r="Q3073" s="9" t="s">
        <v>13284</v>
      </c>
      <c r="R3073" s="9" t="s">
        <v>13284</v>
      </c>
      <c r="S3073" s="9" t="s">
        <v>13284</v>
      </c>
      <c r="T3073" s="9" t="str">
        <f ca="1">IFERROR(IF(AND(VLOOKUP(A3073, 'Актуальное состояние (из общего'!A:C,3,0) = "", A3073 &lt;&gt; ""), "ПРОВЕРИТЬ", VLOOKUP(A3073, 'Актуальное состояние (из общего'!A:C,3,0)), "")</f>
        <v/>
      </c>
      <c r="U3073" s="9" t="s">
        <v>13284</v>
      </c>
      <c r="V3073" s="9" t="s">
        <v>13284</v>
      </c>
      <c r="W3073" s="12"/>
      <c r="X3073" s="9" t="str">
        <f t="array" ref="X3073">IFERROR(INDEX('Адреса общежитий (скрытый)'!$B$2:$B$9, MATCH(W3073, 'Адреса общежитий (скрытый)'!$A$2:$A$9, 0)), "")</f>
        <v/>
      </c>
      <c r="Y3073" s="18"/>
      <c r="Z3073" s="18"/>
      <c r="AA3073" s="18"/>
      <c r="AB3073" s="18"/>
      <c r="AC3073" s="18"/>
    </row>
    <row r="3074" spans="1:29" ht="32.25" hidden="1" customHeight="1">
      <c r="A3074" s="17"/>
      <c r="B3074" s="9" t="s">
        <v>13284</v>
      </c>
      <c r="C3074" s="9" t="s">
        <v>13284</v>
      </c>
      <c r="D3074" s="9" t="s">
        <v>13284</v>
      </c>
      <c r="E3074" s="9" t="s">
        <v>13284</v>
      </c>
      <c r="F3074" s="9" t="s">
        <v>13284</v>
      </c>
      <c r="G3074" s="9" t="s">
        <v>13284</v>
      </c>
      <c r="H3074" s="9" t="s">
        <v>13284</v>
      </c>
      <c r="I3074" s="9" t="s">
        <v>13284</v>
      </c>
      <c r="J3074" s="9" t="s">
        <v>13284</v>
      </c>
      <c r="K3074" s="9" t="s">
        <v>13284</v>
      </c>
      <c r="L3074" s="9" t="s">
        <v>13284</v>
      </c>
      <c r="M3074" s="9" t="s">
        <v>13284</v>
      </c>
      <c r="N3074" s="9" t="s">
        <v>13284</v>
      </c>
      <c r="O3074" s="9" t="s">
        <v>13284</v>
      </c>
      <c r="P3074" s="9" t="s">
        <v>13284</v>
      </c>
      <c r="Q3074" s="9" t="s">
        <v>13284</v>
      </c>
      <c r="R3074" s="9" t="s">
        <v>13284</v>
      </c>
      <c r="S3074" s="9" t="s">
        <v>13284</v>
      </c>
      <c r="T3074" s="9" t="str">
        <f ca="1">IFERROR(IF(AND(VLOOKUP(A3074, 'Актуальное состояние (из общего'!A:C,3,0) = "", A3074 &lt;&gt; ""), "ПРОВЕРИТЬ", VLOOKUP(A3074, 'Актуальное состояние (из общего'!A:C,3,0)), "")</f>
        <v/>
      </c>
      <c r="U3074" s="9" t="s">
        <v>13284</v>
      </c>
      <c r="V3074" s="9" t="s">
        <v>13284</v>
      </c>
      <c r="W3074" s="12"/>
      <c r="X3074" s="9" t="str">
        <f t="array" ref="X3074">IFERROR(INDEX('Адреса общежитий (скрытый)'!$B$2:$B$9, MATCH(W3074, 'Адреса общежитий (скрытый)'!$A$2:$A$9, 0)), "")</f>
        <v/>
      </c>
      <c r="Y3074" s="18"/>
      <c r="Z3074" s="18"/>
      <c r="AA3074" s="18"/>
      <c r="AB3074" s="18"/>
      <c r="AC3074" s="18"/>
    </row>
    <row r="3075" spans="1:29" ht="32.25" hidden="1" customHeight="1">
      <c r="A3075" s="17"/>
      <c r="B3075" s="9" t="s">
        <v>13284</v>
      </c>
      <c r="C3075" s="9" t="s">
        <v>13284</v>
      </c>
      <c r="D3075" s="9" t="s">
        <v>13284</v>
      </c>
      <c r="E3075" s="9" t="s">
        <v>13284</v>
      </c>
      <c r="F3075" s="9" t="s">
        <v>13284</v>
      </c>
      <c r="G3075" s="9" t="s">
        <v>13284</v>
      </c>
      <c r="H3075" s="9" t="s">
        <v>13284</v>
      </c>
      <c r="I3075" s="9" t="s">
        <v>13284</v>
      </c>
      <c r="J3075" s="9" t="s">
        <v>13284</v>
      </c>
      <c r="K3075" s="9" t="s">
        <v>13284</v>
      </c>
      <c r="L3075" s="9" t="s">
        <v>13284</v>
      </c>
      <c r="M3075" s="9" t="s">
        <v>13284</v>
      </c>
      <c r="N3075" s="9" t="s">
        <v>13284</v>
      </c>
      <c r="O3075" s="9" t="s">
        <v>13284</v>
      </c>
      <c r="P3075" s="9" t="s">
        <v>13284</v>
      </c>
      <c r="Q3075" s="9" t="s">
        <v>13284</v>
      </c>
      <c r="R3075" s="9" t="s">
        <v>13284</v>
      </c>
      <c r="S3075" s="9" t="s">
        <v>13284</v>
      </c>
      <c r="T3075" s="9" t="str">
        <f ca="1">IFERROR(IF(AND(VLOOKUP(A3075, 'Актуальное состояние (из общего'!A:C,3,0) = "", A3075 &lt;&gt; ""), "ПРОВЕРИТЬ", VLOOKUP(A3075, 'Актуальное состояние (из общего'!A:C,3,0)), "")</f>
        <v/>
      </c>
      <c r="U3075" s="9" t="s">
        <v>13284</v>
      </c>
      <c r="V3075" s="9" t="s">
        <v>13284</v>
      </c>
      <c r="W3075" s="12"/>
      <c r="X3075" s="9" t="str">
        <f t="array" ref="X3075">IFERROR(INDEX('Адреса общежитий (скрытый)'!$B$2:$B$9, MATCH(W3075, 'Адреса общежитий (скрытый)'!$A$2:$A$9, 0)), "")</f>
        <v/>
      </c>
      <c r="Y3075" s="18"/>
      <c r="Z3075" s="18"/>
      <c r="AA3075" s="18"/>
      <c r="AB3075" s="18"/>
      <c r="AC3075" s="18"/>
    </row>
    <row r="3076" spans="1:29" ht="32.25" hidden="1" customHeight="1">
      <c r="A3076" s="17"/>
      <c r="B3076" s="9" t="s">
        <v>13284</v>
      </c>
      <c r="C3076" s="9" t="s">
        <v>13284</v>
      </c>
      <c r="D3076" s="9" t="s">
        <v>13284</v>
      </c>
      <c r="E3076" s="9" t="s">
        <v>13284</v>
      </c>
      <c r="F3076" s="9" t="s">
        <v>13284</v>
      </c>
      <c r="G3076" s="9" t="s">
        <v>13284</v>
      </c>
      <c r="H3076" s="9" t="s">
        <v>13284</v>
      </c>
      <c r="I3076" s="9" t="s">
        <v>13284</v>
      </c>
      <c r="J3076" s="9" t="s">
        <v>13284</v>
      </c>
      <c r="K3076" s="9" t="s">
        <v>13284</v>
      </c>
      <c r="L3076" s="9" t="s">
        <v>13284</v>
      </c>
      <c r="M3076" s="9" t="s">
        <v>13284</v>
      </c>
      <c r="N3076" s="9" t="s">
        <v>13284</v>
      </c>
      <c r="O3076" s="9" t="s">
        <v>13284</v>
      </c>
      <c r="P3076" s="9" t="s">
        <v>13284</v>
      </c>
      <c r="Q3076" s="9" t="s">
        <v>13284</v>
      </c>
      <c r="R3076" s="9" t="s">
        <v>13284</v>
      </c>
      <c r="S3076" s="9" t="s">
        <v>13284</v>
      </c>
      <c r="T3076" s="9" t="str">
        <f ca="1">IFERROR(IF(AND(VLOOKUP(A3076, 'Актуальное состояние (из общего'!A:C,3,0) = "", A3076 &lt;&gt; ""), "ПРОВЕРИТЬ", VLOOKUP(A3076, 'Актуальное состояние (из общего'!A:C,3,0)), "")</f>
        <v/>
      </c>
      <c r="U3076" s="9" t="s">
        <v>13284</v>
      </c>
      <c r="V3076" s="9" t="s">
        <v>13284</v>
      </c>
      <c r="W3076" s="12"/>
      <c r="X3076" s="9" t="str">
        <f t="array" ref="X3076">IFERROR(INDEX('Адреса общежитий (скрытый)'!$B$2:$B$9, MATCH(W3076, 'Адреса общежитий (скрытый)'!$A$2:$A$9, 0)), "")</f>
        <v/>
      </c>
      <c r="Y3076" s="18"/>
      <c r="Z3076" s="18"/>
      <c r="AA3076" s="18"/>
      <c r="AB3076" s="18"/>
      <c r="AC3076" s="18"/>
    </row>
    <row r="3077" spans="1:29" ht="32.25" hidden="1" customHeight="1">
      <c r="A3077" s="17"/>
      <c r="B3077" s="9" t="s">
        <v>13284</v>
      </c>
      <c r="C3077" s="9" t="s">
        <v>13284</v>
      </c>
      <c r="D3077" s="9" t="s">
        <v>13284</v>
      </c>
      <c r="E3077" s="9" t="s">
        <v>13284</v>
      </c>
      <c r="F3077" s="9" t="s">
        <v>13284</v>
      </c>
      <c r="G3077" s="9" t="s">
        <v>13284</v>
      </c>
      <c r="H3077" s="9" t="s">
        <v>13284</v>
      </c>
      <c r="I3077" s="9" t="s">
        <v>13284</v>
      </c>
      <c r="J3077" s="9" t="s">
        <v>13284</v>
      </c>
      <c r="K3077" s="9" t="s">
        <v>13284</v>
      </c>
      <c r="L3077" s="9" t="s">
        <v>13284</v>
      </c>
      <c r="M3077" s="9" t="s">
        <v>13284</v>
      </c>
      <c r="N3077" s="9" t="s">
        <v>13284</v>
      </c>
      <c r="O3077" s="9" t="s">
        <v>13284</v>
      </c>
      <c r="P3077" s="9" t="s">
        <v>13284</v>
      </c>
      <c r="Q3077" s="9" t="s">
        <v>13284</v>
      </c>
      <c r="R3077" s="9" t="s">
        <v>13284</v>
      </c>
      <c r="S3077" s="9" t="s">
        <v>13284</v>
      </c>
      <c r="T3077" s="9" t="str">
        <f ca="1">IFERROR(IF(AND(VLOOKUP(A3077, 'Актуальное состояние (из общего'!A:C,3,0) = "", A3077 &lt;&gt; ""), "ПРОВЕРИТЬ", VLOOKUP(A3077, 'Актуальное состояние (из общего'!A:C,3,0)), "")</f>
        <v/>
      </c>
      <c r="U3077" s="9" t="s">
        <v>13284</v>
      </c>
      <c r="V3077" s="9" t="s">
        <v>13284</v>
      </c>
      <c r="W3077" s="12"/>
      <c r="X3077" s="9" t="str">
        <f t="array" ref="X3077">IFERROR(INDEX('Адреса общежитий (скрытый)'!$B$2:$B$9, MATCH(W3077, 'Адреса общежитий (скрытый)'!$A$2:$A$9, 0)), "")</f>
        <v/>
      </c>
      <c r="Y3077" s="18"/>
      <c r="Z3077" s="18"/>
      <c r="AA3077" s="18"/>
      <c r="AB3077" s="18"/>
      <c r="AC3077" s="18"/>
    </row>
    <row r="3078" spans="1:29" ht="32.25" hidden="1" customHeight="1">
      <c r="A3078" s="17"/>
      <c r="B3078" s="9" t="s">
        <v>13284</v>
      </c>
      <c r="C3078" s="9" t="s">
        <v>13284</v>
      </c>
      <c r="D3078" s="9" t="s">
        <v>13284</v>
      </c>
      <c r="E3078" s="9" t="s">
        <v>13284</v>
      </c>
      <c r="F3078" s="9" t="s">
        <v>13284</v>
      </c>
      <c r="G3078" s="9" t="s">
        <v>13284</v>
      </c>
      <c r="H3078" s="9" t="s">
        <v>13284</v>
      </c>
      <c r="I3078" s="9" t="s">
        <v>13284</v>
      </c>
      <c r="J3078" s="9" t="s">
        <v>13284</v>
      </c>
      <c r="K3078" s="9" t="s">
        <v>13284</v>
      </c>
      <c r="L3078" s="9" t="s">
        <v>13284</v>
      </c>
      <c r="M3078" s="9" t="s">
        <v>13284</v>
      </c>
      <c r="N3078" s="9" t="s">
        <v>13284</v>
      </c>
      <c r="O3078" s="9" t="s">
        <v>13284</v>
      </c>
      <c r="P3078" s="9" t="s">
        <v>13284</v>
      </c>
      <c r="Q3078" s="9" t="s">
        <v>13284</v>
      </c>
      <c r="R3078" s="9" t="s">
        <v>13284</v>
      </c>
      <c r="S3078" s="9" t="s">
        <v>13284</v>
      </c>
      <c r="T3078" s="9" t="str">
        <f ca="1">IFERROR(IF(AND(VLOOKUP(A3078, 'Актуальное состояние (из общего'!A:C,3,0) = "", A3078 &lt;&gt; ""), "ПРОВЕРИТЬ", VLOOKUP(A3078, 'Актуальное состояние (из общего'!A:C,3,0)), "")</f>
        <v/>
      </c>
      <c r="U3078" s="9" t="s">
        <v>13284</v>
      </c>
      <c r="V3078" s="9" t="s">
        <v>13284</v>
      </c>
      <c r="W3078" s="12"/>
      <c r="X3078" s="9" t="str">
        <f t="array" ref="X3078">IFERROR(INDEX('Адреса общежитий (скрытый)'!$B$2:$B$9, MATCH(W3078, 'Адреса общежитий (скрытый)'!$A$2:$A$9, 0)), "")</f>
        <v/>
      </c>
      <c r="Y3078" s="18"/>
      <c r="Z3078" s="18"/>
      <c r="AA3078" s="18"/>
      <c r="AB3078" s="18"/>
      <c r="AC3078" s="18"/>
    </row>
    <row r="3079" spans="1:29" ht="32.25" hidden="1" customHeight="1">
      <c r="A3079" s="17"/>
      <c r="B3079" s="9" t="s">
        <v>13284</v>
      </c>
      <c r="C3079" s="9" t="s">
        <v>13284</v>
      </c>
      <c r="D3079" s="9" t="s">
        <v>13284</v>
      </c>
      <c r="E3079" s="9" t="s">
        <v>13284</v>
      </c>
      <c r="F3079" s="9" t="s">
        <v>13284</v>
      </c>
      <c r="G3079" s="9" t="s">
        <v>13284</v>
      </c>
      <c r="H3079" s="9" t="s">
        <v>13284</v>
      </c>
      <c r="I3079" s="9" t="s">
        <v>13284</v>
      </c>
      <c r="J3079" s="9" t="s">
        <v>13284</v>
      </c>
      <c r="K3079" s="9" t="s">
        <v>13284</v>
      </c>
      <c r="L3079" s="9" t="s">
        <v>13284</v>
      </c>
      <c r="M3079" s="9" t="s">
        <v>13284</v>
      </c>
      <c r="N3079" s="9" t="s">
        <v>13284</v>
      </c>
      <c r="O3079" s="9" t="s">
        <v>13284</v>
      </c>
      <c r="P3079" s="9" t="s">
        <v>13284</v>
      </c>
      <c r="Q3079" s="9" t="s">
        <v>13284</v>
      </c>
      <c r="R3079" s="9" t="s">
        <v>13284</v>
      </c>
      <c r="S3079" s="9" t="s">
        <v>13284</v>
      </c>
      <c r="T3079" s="9" t="str">
        <f ca="1">IFERROR(IF(AND(VLOOKUP(A3079, 'Актуальное состояние (из общего'!A:C,3,0) = "", A3079 &lt;&gt; ""), "ПРОВЕРИТЬ", VLOOKUP(A3079, 'Актуальное состояние (из общего'!A:C,3,0)), "")</f>
        <v/>
      </c>
      <c r="U3079" s="9" t="s">
        <v>13284</v>
      </c>
      <c r="V3079" s="9" t="s">
        <v>13284</v>
      </c>
      <c r="W3079" s="12"/>
      <c r="X3079" s="9" t="str">
        <f t="array" ref="X3079">IFERROR(INDEX('Адреса общежитий (скрытый)'!$B$2:$B$9, MATCH(W3079, 'Адреса общежитий (скрытый)'!$A$2:$A$9, 0)), "")</f>
        <v/>
      </c>
      <c r="Y3079" s="18"/>
      <c r="Z3079" s="18"/>
      <c r="AA3079" s="18"/>
      <c r="AB3079" s="18"/>
      <c r="AC3079" s="18"/>
    </row>
    <row r="3080" spans="1:29" ht="32.25" hidden="1" customHeight="1">
      <c r="A3080" s="17"/>
      <c r="B3080" s="9" t="s">
        <v>13284</v>
      </c>
      <c r="C3080" s="9" t="s">
        <v>13284</v>
      </c>
      <c r="D3080" s="9" t="s">
        <v>13284</v>
      </c>
      <c r="E3080" s="9" t="s">
        <v>13284</v>
      </c>
      <c r="F3080" s="9" t="s">
        <v>13284</v>
      </c>
      <c r="G3080" s="9" t="s">
        <v>13284</v>
      </c>
      <c r="H3080" s="9" t="s">
        <v>13284</v>
      </c>
      <c r="I3080" s="9" t="s">
        <v>13284</v>
      </c>
      <c r="J3080" s="9" t="s">
        <v>13284</v>
      </c>
      <c r="K3080" s="9" t="s">
        <v>13284</v>
      </c>
      <c r="L3080" s="9" t="s">
        <v>13284</v>
      </c>
      <c r="M3080" s="9" t="s">
        <v>13284</v>
      </c>
      <c r="N3080" s="9" t="s">
        <v>13284</v>
      </c>
      <c r="O3080" s="9" t="s">
        <v>13284</v>
      </c>
      <c r="P3080" s="9" t="s">
        <v>13284</v>
      </c>
      <c r="Q3080" s="9" t="s">
        <v>13284</v>
      </c>
      <c r="R3080" s="9" t="s">
        <v>13284</v>
      </c>
      <c r="S3080" s="9" t="s">
        <v>13284</v>
      </c>
      <c r="T3080" s="9" t="str">
        <f ca="1">IFERROR(IF(AND(VLOOKUP(A3080, 'Актуальное состояние (из общего'!A:C,3,0) = "", A3080 &lt;&gt; ""), "ПРОВЕРИТЬ", VLOOKUP(A3080, 'Актуальное состояние (из общего'!A:C,3,0)), "")</f>
        <v/>
      </c>
      <c r="U3080" s="9" t="s">
        <v>13284</v>
      </c>
      <c r="V3080" s="9" t="s">
        <v>13284</v>
      </c>
      <c r="W3080" s="12"/>
      <c r="X3080" s="9" t="str">
        <f t="array" ref="X3080">IFERROR(INDEX('Адреса общежитий (скрытый)'!$B$2:$B$9, MATCH(W3080, 'Адреса общежитий (скрытый)'!$A$2:$A$9, 0)), "")</f>
        <v/>
      </c>
      <c r="Y3080" s="18"/>
      <c r="Z3080" s="18"/>
      <c r="AA3080" s="18"/>
      <c r="AB3080" s="18"/>
      <c r="AC3080" s="18"/>
    </row>
    <row r="3081" spans="1:29" ht="32.25" hidden="1" customHeight="1">
      <c r="A3081" s="17"/>
      <c r="B3081" s="9" t="s">
        <v>13284</v>
      </c>
      <c r="C3081" s="9" t="s">
        <v>13284</v>
      </c>
      <c r="D3081" s="9" t="s">
        <v>13284</v>
      </c>
      <c r="E3081" s="9" t="s">
        <v>13284</v>
      </c>
      <c r="F3081" s="9" t="s">
        <v>13284</v>
      </c>
      <c r="G3081" s="9" t="s">
        <v>13284</v>
      </c>
      <c r="H3081" s="9" t="s">
        <v>13284</v>
      </c>
      <c r="I3081" s="9" t="s">
        <v>13284</v>
      </c>
      <c r="J3081" s="9" t="s">
        <v>13284</v>
      </c>
      <c r="K3081" s="9" t="s">
        <v>13284</v>
      </c>
      <c r="L3081" s="9" t="s">
        <v>13284</v>
      </c>
      <c r="M3081" s="9" t="s">
        <v>13284</v>
      </c>
      <c r="N3081" s="9" t="s">
        <v>13284</v>
      </c>
      <c r="O3081" s="9" t="s">
        <v>13284</v>
      </c>
      <c r="P3081" s="9" t="s">
        <v>13284</v>
      </c>
      <c r="Q3081" s="9" t="s">
        <v>13284</v>
      </c>
      <c r="R3081" s="9" t="s">
        <v>13284</v>
      </c>
      <c r="S3081" s="9" t="s">
        <v>13284</v>
      </c>
      <c r="T3081" s="9" t="str">
        <f ca="1">IFERROR(IF(AND(VLOOKUP(A3081, 'Актуальное состояние (из общего'!A:C,3,0) = "", A3081 &lt;&gt; ""), "ПРОВЕРИТЬ", VLOOKUP(A3081, 'Актуальное состояние (из общего'!A:C,3,0)), "")</f>
        <v/>
      </c>
      <c r="U3081" s="9" t="s">
        <v>13284</v>
      </c>
      <c r="V3081" s="9" t="s">
        <v>13284</v>
      </c>
      <c r="W3081" s="12"/>
      <c r="X3081" s="9" t="str">
        <f t="array" ref="X3081">IFERROR(INDEX('Адреса общежитий (скрытый)'!$B$2:$B$9, MATCH(W3081, 'Адреса общежитий (скрытый)'!$A$2:$A$9, 0)), "")</f>
        <v/>
      </c>
      <c r="Y3081" s="18"/>
      <c r="Z3081" s="18"/>
      <c r="AA3081" s="18"/>
      <c r="AB3081" s="18"/>
      <c r="AC3081" s="18"/>
    </row>
    <row r="3082" spans="1:29" ht="32.25" hidden="1" customHeight="1">
      <c r="A3082" s="17"/>
      <c r="B3082" s="9" t="s">
        <v>13284</v>
      </c>
      <c r="C3082" s="9" t="s">
        <v>13284</v>
      </c>
      <c r="D3082" s="9" t="s">
        <v>13284</v>
      </c>
      <c r="E3082" s="9" t="s">
        <v>13284</v>
      </c>
      <c r="F3082" s="9" t="s">
        <v>13284</v>
      </c>
      <c r="G3082" s="9" t="s">
        <v>13284</v>
      </c>
      <c r="H3082" s="9" t="s">
        <v>13284</v>
      </c>
      <c r="I3082" s="9" t="s">
        <v>13284</v>
      </c>
      <c r="J3082" s="9" t="s">
        <v>13284</v>
      </c>
      <c r="K3082" s="9" t="s">
        <v>13284</v>
      </c>
      <c r="L3082" s="9" t="s">
        <v>13284</v>
      </c>
      <c r="M3082" s="9" t="s">
        <v>13284</v>
      </c>
      <c r="N3082" s="9" t="s">
        <v>13284</v>
      </c>
      <c r="O3082" s="9" t="s">
        <v>13284</v>
      </c>
      <c r="P3082" s="9" t="s">
        <v>13284</v>
      </c>
      <c r="Q3082" s="9" t="s">
        <v>13284</v>
      </c>
      <c r="R3082" s="9" t="s">
        <v>13284</v>
      </c>
      <c r="S3082" s="9" t="s">
        <v>13284</v>
      </c>
      <c r="T3082" s="9" t="str">
        <f ca="1">IFERROR(IF(AND(VLOOKUP(A3082, 'Актуальное состояние (из общего'!A:C,3,0) = "", A3082 &lt;&gt; ""), "ПРОВЕРИТЬ", VLOOKUP(A3082, 'Актуальное состояние (из общего'!A:C,3,0)), "")</f>
        <v/>
      </c>
      <c r="U3082" s="9" t="s">
        <v>13284</v>
      </c>
      <c r="V3082" s="9" t="s">
        <v>13284</v>
      </c>
      <c r="W3082" s="12"/>
      <c r="X3082" s="9" t="str">
        <f t="array" ref="X3082">IFERROR(INDEX('Адреса общежитий (скрытый)'!$B$2:$B$9, MATCH(W3082, 'Адреса общежитий (скрытый)'!$A$2:$A$9, 0)), "")</f>
        <v/>
      </c>
      <c r="Y3082" s="18"/>
      <c r="Z3082" s="18"/>
      <c r="AA3082" s="18"/>
      <c r="AB3082" s="18"/>
      <c r="AC3082" s="18"/>
    </row>
    <row r="3083" spans="1:29" ht="32.25" hidden="1" customHeight="1">
      <c r="A3083" s="17"/>
      <c r="B3083" s="9" t="s">
        <v>13284</v>
      </c>
      <c r="C3083" s="9" t="s">
        <v>13284</v>
      </c>
      <c r="D3083" s="9" t="s">
        <v>13284</v>
      </c>
      <c r="E3083" s="9" t="s">
        <v>13284</v>
      </c>
      <c r="F3083" s="9" t="s">
        <v>13284</v>
      </c>
      <c r="G3083" s="9" t="s">
        <v>13284</v>
      </c>
      <c r="H3083" s="9" t="s">
        <v>13284</v>
      </c>
      <c r="I3083" s="9" t="s">
        <v>13284</v>
      </c>
      <c r="J3083" s="9" t="s">
        <v>13284</v>
      </c>
      <c r="K3083" s="9" t="s">
        <v>13284</v>
      </c>
      <c r="L3083" s="9" t="s">
        <v>13284</v>
      </c>
      <c r="M3083" s="9" t="s">
        <v>13284</v>
      </c>
      <c r="N3083" s="9" t="s">
        <v>13284</v>
      </c>
      <c r="O3083" s="9" t="s">
        <v>13284</v>
      </c>
      <c r="P3083" s="9" t="s">
        <v>13284</v>
      </c>
      <c r="Q3083" s="9" t="s">
        <v>13284</v>
      </c>
      <c r="R3083" s="9" t="s">
        <v>13284</v>
      </c>
      <c r="S3083" s="9" t="s">
        <v>13284</v>
      </c>
      <c r="T3083" s="9" t="str">
        <f ca="1">IFERROR(IF(AND(VLOOKUP(A3083, 'Актуальное состояние (из общего'!A:C,3,0) = "", A3083 &lt;&gt; ""), "ПРОВЕРИТЬ", VLOOKUP(A3083, 'Актуальное состояние (из общего'!A:C,3,0)), "")</f>
        <v/>
      </c>
      <c r="U3083" s="9" t="s">
        <v>13284</v>
      </c>
      <c r="V3083" s="9" t="s">
        <v>13284</v>
      </c>
      <c r="W3083" s="12"/>
      <c r="X3083" s="9" t="str">
        <f t="array" ref="X3083">IFERROR(INDEX('Адреса общежитий (скрытый)'!$B$2:$B$9, MATCH(W3083, 'Адреса общежитий (скрытый)'!$A$2:$A$9, 0)), "")</f>
        <v/>
      </c>
      <c r="Y3083" s="18"/>
      <c r="Z3083" s="18"/>
      <c r="AA3083" s="18"/>
      <c r="AB3083" s="18"/>
      <c r="AC3083" s="18"/>
    </row>
    <row r="3084" spans="1:29" ht="32.25" hidden="1" customHeight="1">
      <c r="A3084" s="17"/>
      <c r="B3084" s="9" t="s">
        <v>13284</v>
      </c>
      <c r="C3084" s="9" t="s">
        <v>13284</v>
      </c>
      <c r="D3084" s="9" t="s">
        <v>13284</v>
      </c>
      <c r="E3084" s="9" t="s">
        <v>13284</v>
      </c>
      <c r="F3084" s="9" t="s">
        <v>13284</v>
      </c>
      <c r="G3084" s="9" t="s">
        <v>13284</v>
      </c>
      <c r="H3084" s="9" t="s">
        <v>13284</v>
      </c>
      <c r="I3084" s="9" t="s">
        <v>13284</v>
      </c>
      <c r="J3084" s="9" t="s">
        <v>13284</v>
      </c>
      <c r="K3084" s="9" t="s">
        <v>13284</v>
      </c>
      <c r="L3084" s="9" t="s">
        <v>13284</v>
      </c>
      <c r="M3084" s="9" t="s">
        <v>13284</v>
      </c>
      <c r="N3084" s="9" t="s">
        <v>13284</v>
      </c>
      <c r="O3084" s="9" t="s">
        <v>13284</v>
      </c>
      <c r="P3084" s="9" t="s">
        <v>13284</v>
      </c>
      <c r="Q3084" s="9" t="s">
        <v>13284</v>
      </c>
      <c r="R3084" s="9" t="s">
        <v>13284</v>
      </c>
      <c r="S3084" s="9" t="s">
        <v>13284</v>
      </c>
      <c r="T3084" s="9" t="str">
        <f ca="1">IFERROR(IF(AND(VLOOKUP(A3084, 'Актуальное состояние (из общего'!A:C,3,0) = "", A3084 &lt;&gt; ""), "ПРОВЕРИТЬ", VLOOKUP(A3084, 'Актуальное состояние (из общего'!A:C,3,0)), "")</f>
        <v/>
      </c>
      <c r="U3084" s="9" t="s">
        <v>13284</v>
      </c>
      <c r="V3084" s="9" t="s">
        <v>13284</v>
      </c>
      <c r="W3084" s="12"/>
      <c r="X3084" s="9" t="str">
        <f t="array" ref="X3084">IFERROR(INDEX('Адреса общежитий (скрытый)'!$B$2:$B$9, MATCH(W3084, 'Адреса общежитий (скрытый)'!$A$2:$A$9, 0)), "")</f>
        <v/>
      </c>
      <c r="Y3084" s="18"/>
      <c r="Z3084" s="18"/>
      <c r="AA3084" s="18"/>
      <c r="AB3084" s="18"/>
      <c r="AC3084" s="18"/>
    </row>
    <row r="3085" spans="1:29" ht="32.25" hidden="1" customHeight="1">
      <c r="A3085" s="17"/>
      <c r="B3085" s="9" t="s">
        <v>13284</v>
      </c>
      <c r="C3085" s="9" t="s">
        <v>13284</v>
      </c>
      <c r="D3085" s="9" t="s">
        <v>13284</v>
      </c>
      <c r="E3085" s="9" t="s">
        <v>13284</v>
      </c>
      <c r="F3085" s="9" t="s">
        <v>13284</v>
      </c>
      <c r="G3085" s="9" t="s">
        <v>13284</v>
      </c>
      <c r="H3085" s="9" t="s">
        <v>13284</v>
      </c>
      <c r="I3085" s="9" t="s">
        <v>13284</v>
      </c>
      <c r="J3085" s="9" t="s">
        <v>13284</v>
      </c>
      <c r="K3085" s="9" t="s">
        <v>13284</v>
      </c>
      <c r="L3085" s="9" t="s">
        <v>13284</v>
      </c>
      <c r="M3085" s="9" t="s">
        <v>13284</v>
      </c>
      <c r="N3085" s="9" t="s">
        <v>13284</v>
      </c>
      <c r="O3085" s="9" t="s">
        <v>13284</v>
      </c>
      <c r="P3085" s="9" t="s">
        <v>13284</v>
      </c>
      <c r="Q3085" s="9" t="s">
        <v>13284</v>
      </c>
      <c r="R3085" s="9" t="s">
        <v>13284</v>
      </c>
      <c r="S3085" s="9" t="s">
        <v>13284</v>
      </c>
      <c r="T3085" s="9" t="str">
        <f ca="1">IFERROR(IF(AND(VLOOKUP(A3085, 'Актуальное состояние (из общего'!A:C,3,0) = "", A3085 &lt;&gt; ""), "ПРОВЕРИТЬ", VLOOKUP(A3085, 'Актуальное состояние (из общего'!A:C,3,0)), "")</f>
        <v/>
      </c>
      <c r="U3085" s="9" t="s">
        <v>13284</v>
      </c>
      <c r="V3085" s="9" t="s">
        <v>13284</v>
      </c>
      <c r="W3085" s="12"/>
      <c r="X3085" s="9" t="str">
        <f t="array" ref="X3085">IFERROR(INDEX('Адреса общежитий (скрытый)'!$B$2:$B$9, MATCH(W3085, 'Адреса общежитий (скрытый)'!$A$2:$A$9, 0)), "")</f>
        <v/>
      </c>
      <c r="Y3085" s="18"/>
      <c r="Z3085" s="18"/>
      <c r="AA3085" s="18"/>
      <c r="AB3085" s="18"/>
      <c r="AC3085" s="18"/>
    </row>
    <row r="3086" spans="1:29" ht="32.25" hidden="1" customHeight="1">
      <c r="A3086" s="17"/>
      <c r="B3086" s="9" t="s">
        <v>13284</v>
      </c>
      <c r="C3086" s="9" t="s">
        <v>13284</v>
      </c>
      <c r="D3086" s="9" t="s">
        <v>13284</v>
      </c>
      <c r="E3086" s="9" t="s">
        <v>13284</v>
      </c>
      <c r="F3086" s="9" t="s">
        <v>13284</v>
      </c>
      <c r="G3086" s="9" t="s">
        <v>13284</v>
      </c>
      <c r="H3086" s="9" t="s">
        <v>13284</v>
      </c>
      <c r="I3086" s="9" t="s">
        <v>13284</v>
      </c>
      <c r="J3086" s="9" t="s">
        <v>13284</v>
      </c>
      <c r="K3086" s="9" t="s">
        <v>13284</v>
      </c>
      <c r="L3086" s="9" t="s">
        <v>13284</v>
      </c>
      <c r="M3086" s="9" t="s">
        <v>13284</v>
      </c>
      <c r="N3086" s="9" t="s">
        <v>13284</v>
      </c>
      <c r="O3086" s="9" t="s">
        <v>13284</v>
      </c>
      <c r="P3086" s="9" t="s">
        <v>13284</v>
      </c>
      <c r="Q3086" s="9" t="s">
        <v>13284</v>
      </c>
      <c r="R3086" s="9" t="s">
        <v>13284</v>
      </c>
      <c r="S3086" s="9" t="s">
        <v>13284</v>
      </c>
      <c r="T3086" s="9" t="str">
        <f ca="1">IFERROR(IF(AND(VLOOKUP(A3086, 'Актуальное состояние (из общего'!A:C,3,0) = "", A3086 &lt;&gt; ""), "ПРОВЕРИТЬ", VLOOKUP(A3086, 'Актуальное состояние (из общего'!A:C,3,0)), "")</f>
        <v/>
      </c>
      <c r="U3086" s="9" t="s">
        <v>13284</v>
      </c>
      <c r="V3086" s="9" t="s">
        <v>13284</v>
      </c>
      <c r="W3086" s="12"/>
      <c r="X3086" s="9" t="str">
        <f t="array" ref="X3086">IFERROR(INDEX('Адреса общежитий (скрытый)'!$B$2:$B$9, MATCH(W3086, 'Адреса общежитий (скрытый)'!$A$2:$A$9, 0)), "")</f>
        <v/>
      </c>
      <c r="Y3086" s="18"/>
      <c r="Z3086" s="18"/>
      <c r="AA3086" s="18"/>
      <c r="AB3086" s="18"/>
      <c r="AC3086" s="18"/>
    </row>
    <row r="3087" spans="1:29" ht="32.25" hidden="1" customHeight="1">
      <c r="A3087" s="17"/>
      <c r="B3087" s="9" t="s">
        <v>13284</v>
      </c>
      <c r="C3087" s="9" t="s">
        <v>13284</v>
      </c>
      <c r="D3087" s="9" t="s">
        <v>13284</v>
      </c>
      <c r="E3087" s="9" t="s">
        <v>13284</v>
      </c>
      <c r="F3087" s="9" t="s">
        <v>13284</v>
      </c>
      <c r="G3087" s="9" t="s">
        <v>13284</v>
      </c>
      <c r="H3087" s="9" t="s">
        <v>13284</v>
      </c>
      <c r="I3087" s="9" t="s">
        <v>13284</v>
      </c>
      <c r="J3087" s="9" t="s">
        <v>13284</v>
      </c>
      <c r="K3087" s="9" t="s">
        <v>13284</v>
      </c>
      <c r="L3087" s="9" t="s">
        <v>13284</v>
      </c>
      <c r="M3087" s="9" t="s">
        <v>13284</v>
      </c>
      <c r="N3087" s="9" t="s">
        <v>13284</v>
      </c>
      <c r="O3087" s="9" t="s">
        <v>13284</v>
      </c>
      <c r="P3087" s="9" t="s">
        <v>13284</v>
      </c>
      <c r="Q3087" s="9" t="s">
        <v>13284</v>
      </c>
      <c r="R3087" s="9" t="s">
        <v>13284</v>
      </c>
      <c r="S3087" s="9" t="s">
        <v>13284</v>
      </c>
      <c r="T3087" s="9" t="str">
        <f ca="1">IFERROR(IF(AND(VLOOKUP(A3087, 'Актуальное состояние (из общего'!A:C,3,0) = "", A3087 &lt;&gt; ""), "ПРОВЕРИТЬ", VLOOKUP(A3087, 'Актуальное состояние (из общего'!A:C,3,0)), "")</f>
        <v/>
      </c>
      <c r="U3087" s="9" t="s">
        <v>13284</v>
      </c>
      <c r="V3087" s="9" t="s">
        <v>13284</v>
      </c>
      <c r="W3087" s="12"/>
      <c r="X3087" s="9" t="str">
        <f t="array" ref="X3087">IFERROR(INDEX('Адреса общежитий (скрытый)'!$B$2:$B$9, MATCH(W3087, 'Адреса общежитий (скрытый)'!$A$2:$A$9, 0)), "")</f>
        <v/>
      </c>
      <c r="Y3087" s="18"/>
      <c r="Z3087" s="18"/>
      <c r="AA3087" s="18"/>
      <c r="AB3087" s="18"/>
      <c r="AC3087" s="18"/>
    </row>
    <row r="3088" spans="1:29" ht="32.25" hidden="1" customHeight="1">
      <c r="A3088" s="17"/>
      <c r="B3088" s="9" t="s">
        <v>13284</v>
      </c>
      <c r="C3088" s="9" t="s">
        <v>13284</v>
      </c>
      <c r="D3088" s="9" t="s">
        <v>13284</v>
      </c>
      <c r="E3088" s="9" t="s">
        <v>13284</v>
      </c>
      <c r="F3088" s="9" t="s">
        <v>13284</v>
      </c>
      <c r="G3088" s="9" t="s">
        <v>13284</v>
      </c>
      <c r="H3088" s="9" t="s">
        <v>13284</v>
      </c>
      <c r="I3088" s="9" t="s">
        <v>13284</v>
      </c>
      <c r="J3088" s="9" t="s">
        <v>13284</v>
      </c>
      <c r="K3088" s="9" t="s">
        <v>13284</v>
      </c>
      <c r="L3088" s="9" t="s">
        <v>13284</v>
      </c>
      <c r="M3088" s="9" t="s">
        <v>13284</v>
      </c>
      <c r="N3088" s="9" t="s">
        <v>13284</v>
      </c>
      <c r="O3088" s="9" t="s">
        <v>13284</v>
      </c>
      <c r="P3088" s="9" t="s">
        <v>13284</v>
      </c>
      <c r="Q3088" s="9" t="s">
        <v>13284</v>
      </c>
      <c r="R3088" s="9" t="s">
        <v>13284</v>
      </c>
      <c r="S3088" s="9" t="s">
        <v>13284</v>
      </c>
      <c r="T3088" s="9" t="str">
        <f ca="1">IFERROR(IF(AND(VLOOKUP(A3088, 'Актуальное состояние (из общего'!A:C,3,0) = "", A3088 &lt;&gt; ""), "ПРОВЕРИТЬ", VLOOKUP(A3088, 'Актуальное состояние (из общего'!A:C,3,0)), "")</f>
        <v/>
      </c>
      <c r="U3088" s="9" t="s">
        <v>13284</v>
      </c>
      <c r="V3088" s="9" t="s">
        <v>13284</v>
      </c>
      <c r="W3088" s="12"/>
      <c r="X3088" s="9" t="str">
        <f t="array" ref="X3088">IFERROR(INDEX('Адреса общежитий (скрытый)'!$B$2:$B$9, MATCH(W3088, 'Адреса общежитий (скрытый)'!$A$2:$A$9, 0)), "")</f>
        <v/>
      </c>
      <c r="Y3088" s="18"/>
      <c r="Z3088" s="18"/>
      <c r="AA3088" s="18"/>
      <c r="AB3088" s="18"/>
      <c r="AC3088" s="18"/>
    </row>
    <row r="3089" spans="1:29" ht="32.25" hidden="1" customHeight="1">
      <c r="A3089" s="17"/>
      <c r="B3089" s="9" t="s">
        <v>13284</v>
      </c>
      <c r="C3089" s="9" t="s">
        <v>13284</v>
      </c>
      <c r="D3089" s="9" t="s">
        <v>13284</v>
      </c>
      <c r="E3089" s="9" t="s">
        <v>13284</v>
      </c>
      <c r="F3089" s="9" t="s">
        <v>13284</v>
      </c>
      <c r="G3089" s="9" t="s">
        <v>13284</v>
      </c>
      <c r="H3089" s="9" t="s">
        <v>13284</v>
      </c>
      <c r="I3089" s="9" t="s">
        <v>13284</v>
      </c>
      <c r="J3089" s="9" t="s">
        <v>13284</v>
      </c>
      <c r="K3089" s="9" t="s">
        <v>13284</v>
      </c>
      <c r="L3089" s="9" t="s">
        <v>13284</v>
      </c>
      <c r="M3089" s="9" t="s">
        <v>13284</v>
      </c>
      <c r="N3089" s="9" t="s">
        <v>13284</v>
      </c>
      <c r="O3089" s="9" t="s">
        <v>13284</v>
      </c>
      <c r="P3089" s="9" t="s">
        <v>13284</v>
      </c>
      <c r="Q3089" s="9" t="s">
        <v>13284</v>
      </c>
      <c r="R3089" s="9" t="s">
        <v>13284</v>
      </c>
      <c r="S3089" s="9" t="s">
        <v>13284</v>
      </c>
      <c r="T3089" s="9" t="str">
        <f ca="1">IFERROR(IF(AND(VLOOKUP(A3089, 'Актуальное состояние (из общего'!A:C,3,0) = "", A3089 &lt;&gt; ""), "ПРОВЕРИТЬ", VLOOKUP(A3089, 'Актуальное состояние (из общего'!A:C,3,0)), "")</f>
        <v/>
      </c>
      <c r="U3089" s="9" t="s">
        <v>13284</v>
      </c>
      <c r="V3089" s="9" t="s">
        <v>13284</v>
      </c>
      <c r="W3089" s="12"/>
      <c r="X3089" s="9" t="str">
        <f t="array" ref="X3089">IFERROR(INDEX('Адреса общежитий (скрытый)'!$B$2:$B$9, MATCH(W3089, 'Адреса общежитий (скрытый)'!$A$2:$A$9, 0)), "")</f>
        <v/>
      </c>
      <c r="Y3089" s="18"/>
      <c r="Z3089" s="18"/>
      <c r="AA3089" s="18"/>
      <c r="AB3089" s="18"/>
      <c r="AC3089" s="18"/>
    </row>
    <row r="3090" spans="1:29" ht="32.25" hidden="1" customHeight="1">
      <c r="A3090" s="17"/>
      <c r="B3090" s="9" t="s">
        <v>13284</v>
      </c>
      <c r="C3090" s="9" t="s">
        <v>13284</v>
      </c>
      <c r="D3090" s="9" t="s">
        <v>13284</v>
      </c>
      <c r="E3090" s="9" t="s">
        <v>13284</v>
      </c>
      <c r="F3090" s="9" t="s">
        <v>13284</v>
      </c>
      <c r="G3090" s="9" t="s">
        <v>13284</v>
      </c>
      <c r="H3090" s="9" t="s">
        <v>13284</v>
      </c>
      <c r="I3090" s="9" t="s">
        <v>13284</v>
      </c>
      <c r="J3090" s="9" t="s">
        <v>13284</v>
      </c>
      <c r="K3090" s="9" t="s">
        <v>13284</v>
      </c>
      <c r="L3090" s="9" t="s">
        <v>13284</v>
      </c>
      <c r="M3090" s="9" t="s">
        <v>13284</v>
      </c>
      <c r="N3090" s="9" t="s">
        <v>13284</v>
      </c>
      <c r="O3090" s="9" t="s">
        <v>13284</v>
      </c>
      <c r="P3090" s="9" t="s">
        <v>13284</v>
      </c>
      <c r="Q3090" s="9" t="s">
        <v>13284</v>
      </c>
      <c r="R3090" s="9" t="s">
        <v>13284</v>
      </c>
      <c r="S3090" s="9" t="s">
        <v>13284</v>
      </c>
      <c r="T3090" s="9" t="str">
        <f ca="1">IFERROR(IF(AND(VLOOKUP(A3090, 'Актуальное состояние (из общего'!A:C,3,0) = "", A3090 &lt;&gt; ""), "ПРОВЕРИТЬ", VLOOKUP(A3090, 'Актуальное состояние (из общего'!A:C,3,0)), "")</f>
        <v/>
      </c>
      <c r="U3090" s="9" t="s">
        <v>13284</v>
      </c>
      <c r="V3090" s="9" t="s">
        <v>13284</v>
      </c>
      <c r="W3090" s="12"/>
      <c r="X3090" s="9" t="str">
        <f t="array" ref="X3090">IFERROR(INDEX('Адреса общежитий (скрытый)'!$B$2:$B$9, MATCH(W3090, 'Адреса общежитий (скрытый)'!$A$2:$A$9, 0)), "")</f>
        <v/>
      </c>
      <c r="Y3090" s="18"/>
      <c r="Z3090" s="18"/>
      <c r="AA3090" s="18"/>
      <c r="AB3090" s="18"/>
      <c r="AC3090" s="18"/>
    </row>
    <row r="3091" spans="1:29" ht="32.25" hidden="1" customHeight="1">
      <c r="A3091" s="17"/>
      <c r="B3091" s="9" t="s">
        <v>13284</v>
      </c>
      <c r="C3091" s="9" t="s">
        <v>13284</v>
      </c>
      <c r="D3091" s="9" t="s">
        <v>13284</v>
      </c>
      <c r="E3091" s="9" t="s">
        <v>13284</v>
      </c>
      <c r="F3091" s="9" t="s">
        <v>13284</v>
      </c>
      <c r="G3091" s="9" t="s">
        <v>13284</v>
      </c>
      <c r="H3091" s="9" t="s">
        <v>13284</v>
      </c>
      <c r="I3091" s="9" t="s">
        <v>13284</v>
      </c>
      <c r="J3091" s="9" t="s">
        <v>13284</v>
      </c>
      <c r="K3091" s="9" t="s">
        <v>13284</v>
      </c>
      <c r="L3091" s="9" t="s">
        <v>13284</v>
      </c>
      <c r="M3091" s="9" t="s">
        <v>13284</v>
      </c>
      <c r="N3091" s="9" t="s">
        <v>13284</v>
      </c>
      <c r="O3091" s="9" t="s">
        <v>13284</v>
      </c>
      <c r="P3091" s="9" t="s">
        <v>13284</v>
      </c>
      <c r="Q3091" s="9" t="s">
        <v>13284</v>
      </c>
      <c r="R3091" s="9" t="s">
        <v>13284</v>
      </c>
      <c r="S3091" s="9" t="s">
        <v>13284</v>
      </c>
      <c r="T3091" s="9" t="str">
        <f ca="1">IFERROR(IF(AND(VLOOKUP(A3091, 'Актуальное состояние (из общего'!A:C,3,0) = "", A3091 &lt;&gt; ""), "ПРОВЕРИТЬ", VLOOKUP(A3091, 'Актуальное состояние (из общего'!A:C,3,0)), "")</f>
        <v/>
      </c>
      <c r="U3091" s="9" t="s">
        <v>13284</v>
      </c>
      <c r="V3091" s="9" t="s">
        <v>13284</v>
      </c>
      <c r="W3091" s="12"/>
      <c r="X3091" s="9" t="str">
        <f t="array" ref="X3091">IFERROR(INDEX('Адреса общежитий (скрытый)'!$B$2:$B$9, MATCH(W3091, 'Адреса общежитий (скрытый)'!$A$2:$A$9, 0)), "")</f>
        <v/>
      </c>
      <c r="Y3091" s="18"/>
      <c r="Z3091" s="18"/>
      <c r="AA3091" s="18"/>
      <c r="AB3091" s="18"/>
      <c r="AC3091" s="18"/>
    </row>
    <row r="3092" spans="1:29" ht="32.25" hidden="1" customHeight="1">
      <c r="A3092" s="17"/>
      <c r="B3092" s="9" t="s">
        <v>13284</v>
      </c>
      <c r="C3092" s="9" t="s">
        <v>13284</v>
      </c>
      <c r="D3092" s="9" t="s">
        <v>13284</v>
      </c>
      <c r="E3092" s="9" t="s">
        <v>13284</v>
      </c>
      <c r="F3092" s="9" t="s">
        <v>13284</v>
      </c>
      <c r="G3092" s="9" t="s">
        <v>13284</v>
      </c>
      <c r="H3092" s="9" t="s">
        <v>13284</v>
      </c>
      <c r="I3092" s="9" t="s">
        <v>13284</v>
      </c>
      <c r="J3092" s="9" t="s">
        <v>13284</v>
      </c>
      <c r="K3092" s="9" t="s">
        <v>13284</v>
      </c>
      <c r="L3092" s="9" t="s">
        <v>13284</v>
      </c>
      <c r="M3092" s="9" t="s">
        <v>13284</v>
      </c>
      <c r="N3092" s="9" t="s">
        <v>13284</v>
      </c>
      <c r="O3092" s="9" t="s">
        <v>13284</v>
      </c>
      <c r="P3092" s="9" t="s">
        <v>13284</v>
      </c>
      <c r="Q3092" s="9" t="s">
        <v>13284</v>
      </c>
      <c r="R3092" s="9" t="s">
        <v>13284</v>
      </c>
      <c r="S3092" s="9" t="s">
        <v>13284</v>
      </c>
      <c r="T3092" s="9" t="str">
        <f ca="1">IFERROR(IF(AND(VLOOKUP(A3092, 'Актуальное состояние (из общего'!A:C,3,0) = "", A3092 &lt;&gt; ""), "ПРОВЕРИТЬ", VLOOKUP(A3092, 'Актуальное состояние (из общего'!A:C,3,0)), "")</f>
        <v/>
      </c>
      <c r="U3092" s="9" t="s">
        <v>13284</v>
      </c>
      <c r="V3092" s="9" t="s">
        <v>13284</v>
      </c>
      <c r="W3092" s="12"/>
      <c r="X3092" s="9" t="str">
        <f t="array" ref="X3092">IFERROR(INDEX('Адреса общежитий (скрытый)'!$B$2:$B$9, MATCH(W3092, 'Адреса общежитий (скрытый)'!$A$2:$A$9, 0)), "")</f>
        <v/>
      </c>
      <c r="Y3092" s="18"/>
      <c r="Z3092" s="18"/>
      <c r="AA3092" s="18"/>
      <c r="AB3092" s="18"/>
      <c r="AC3092" s="18"/>
    </row>
    <row r="3093" spans="1:29" ht="32.25" hidden="1" customHeight="1">
      <c r="A3093" s="17"/>
      <c r="B3093" s="9" t="s">
        <v>13284</v>
      </c>
      <c r="C3093" s="9" t="s">
        <v>13284</v>
      </c>
      <c r="D3093" s="9" t="s">
        <v>13284</v>
      </c>
      <c r="E3093" s="9" t="s">
        <v>13284</v>
      </c>
      <c r="F3093" s="9" t="s">
        <v>13284</v>
      </c>
      <c r="G3093" s="9" t="s">
        <v>13284</v>
      </c>
      <c r="H3093" s="9" t="s">
        <v>13284</v>
      </c>
      <c r="I3093" s="9" t="s">
        <v>13284</v>
      </c>
      <c r="J3093" s="9" t="s">
        <v>13284</v>
      </c>
      <c r="K3093" s="9" t="s">
        <v>13284</v>
      </c>
      <c r="L3093" s="9" t="s">
        <v>13284</v>
      </c>
      <c r="M3093" s="9" t="s">
        <v>13284</v>
      </c>
      <c r="N3093" s="9" t="s">
        <v>13284</v>
      </c>
      <c r="O3093" s="9" t="s">
        <v>13284</v>
      </c>
      <c r="P3093" s="9" t="s">
        <v>13284</v>
      </c>
      <c r="Q3093" s="9" t="s">
        <v>13284</v>
      </c>
      <c r="R3093" s="9" t="s">
        <v>13284</v>
      </c>
      <c r="S3093" s="9" t="s">
        <v>13284</v>
      </c>
      <c r="T3093" s="9" t="str">
        <f ca="1">IFERROR(IF(AND(VLOOKUP(A3093, 'Актуальное состояние (из общего'!A:C,3,0) = "", A3093 &lt;&gt; ""), "ПРОВЕРИТЬ", VLOOKUP(A3093, 'Актуальное состояние (из общего'!A:C,3,0)), "")</f>
        <v/>
      </c>
      <c r="U3093" s="9" t="s">
        <v>13284</v>
      </c>
      <c r="V3093" s="9" t="s">
        <v>13284</v>
      </c>
      <c r="W3093" s="12"/>
      <c r="X3093" s="9" t="str">
        <f t="array" ref="X3093">IFERROR(INDEX('Адреса общежитий (скрытый)'!$B$2:$B$9, MATCH(W3093, 'Адреса общежитий (скрытый)'!$A$2:$A$9, 0)), "")</f>
        <v/>
      </c>
      <c r="Y3093" s="18"/>
      <c r="Z3093" s="18"/>
      <c r="AA3093" s="18"/>
      <c r="AB3093" s="18"/>
      <c r="AC3093" s="18"/>
    </row>
    <row r="3094" spans="1:29" ht="32.25" hidden="1" customHeight="1">
      <c r="A3094" s="17"/>
      <c r="B3094" s="9" t="s">
        <v>13284</v>
      </c>
      <c r="C3094" s="9" t="s">
        <v>13284</v>
      </c>
      <c r="D3094" s="9" t="s">
        <v>13284</v>
      </c>
      <c r="E3094" s="9" t="s">
        <v>13284</v>
      </c>
      <c r="F3094" s="9" t="s">
        <v>13284</v>
      </c>
      <c r="G3094" s="9" t="s">
        <v>13284</v>
      </c>
      <c r="H3094" s="9" t="s">
        <v>13284</v>
      </c>
      <c r="I3094" s="9" t="s">
        <v>13284</v>
      </c>
      <c r="J3094" s="9" t="s">
        <v>13284</v>
      </c>
      <c r="K3094" s="9" t="s">
        <v>13284</v>
      </c>
      <c r="L3094" s="9" t="s">
        <v>13284</v>
      </c>
      <c r="M3094" s="9" t="s">
        <v>13284</v>
      </c>
      <c r="N3094" s="9" t="s">
        <v>13284</v>
      </c>
      <c r="O3094" s="9" t="s">
        <v>13284</v>
      </c>
      <c r="P3094" s="9" t="s">
        <v>13284</v>
      </c>
      <c r="Q3094" s="9" t="s">
        <v>13284</v>
      </c>
      <c r="R3094" s="9" t="s">
        <v>13284</v>
      </c>
      <c r="S3094" s="9" t="s">
        <v>13284</v>
      </c>
      <c r="T3094" s="9" t="str">
        <f ca="1">IFERROR(IF(AND(VLOOKUP(A3094, 'Актуальное состояние (из общего'!A:C,3,0) = "", A3094 &lt;&gt; ""), "ПРОВЕРИТЬ", VLOOKUP(A3094, 'Актуальное состояние (из общего'!A:C,3,0)), "")</f>
        <v/>
      </c>
      <c r="U3094" s="9" t="s">
        <v>13284</v>
      </c>
      <c r="V3094" s="9" t="s">
        <v>13284</v>
      </c>
      <c r="W3094" s="12"/>
      <c r="X3094" s="9" t="str">
        <f t="array" ref="X3094">IFERROR(INDEX('Адреса общежитий (скрытый)'!$B$2:$B$9, MATCH(W3094, 'Адреса общежитий (скрытый)'!$A$2:$A$9, 0)), "")</f>
        <v/>
      </c>
      <c r="Y3094" s="18"/>
      <c r="Z3094" s="18"/>
      <c r="AA3094" s="18"/>
      <c r="AB3094" s="18"/>
      <c r="AC3094" s="18"/>
    </row>
    <row r="3095" spans="1:29" ht="32.25" hidden="1" customHeight="1">
      <c r="A3095" s="17"/>
      <c r="B3095" s="9" t="s">
        <v>13284</v>
      </c>
      <c r="C3095" s="9" t="s">
        <v>13284</v>
      </c>
      <c r="D3095" s="9" t="s">
        <v>13284</v>
      </c>
      <c r="E3095" s="9" t="s">
        <v>13284</v>
      </c>
      <c r="F3095" s="9" t="s">
        <v>13284</v>
      </c>
      <c r="G3095" s="9" t="s">
        <v>13284</v>
      </c>
      <c r="H3095" s="9" t="s">
        <v>13284</v>
      </c>
      <c r="I3095" s="9" t="s">
        <v>13284</v>
      </c>
      <c r="J3095" s="9" t="s">
        <v>13284</v>
      </c>
      <c r="K3095" s="9" t="s">
        <v>13284</v>
      </c>
      <c r="L3095" s="9" t="s">
        <v>13284</v>
      </c>
      <c r="M3095" s="9" t="s">
        <v>13284</v>
      </c>
      <c r="N3095" s="9" t="s">
        <v>13284</v>
      </c>
      <c r="O3095" s="9" t="s">
        <v>13284</v>
      </c>
      <c r="P3095" s="9" t="s">
        <v>13284</v>
      </c>
      <c r="Q3095" s="9" t="s">
        <v>13284</v>
      </c>
      <c r="R3095" s="9" t="s">
        <v>13284</v>
      </c>
      <c r="S3095" s="9" t="s">
        <v>13284</v>
      </c>
      <c r="T3095" s="9" t="str">
        <f ca="1">IFERROR(IF(AND(VLOOKUP(A3095, 'Актуальное состояние (из общего'!A:C,3,0) = "", A3095 &lt;&gt; ""), "ПРОВЕРИТЬ", VLOOKUP(A3095, 'Актуальное состояние (из общего'!A:C,3,0)), "")</f>
        <v/>
      </c>
      <c r="U3095" s="9" t="s">
        <v>13284</v>
      </c>
      <c r="V3095" s="9" t="s">
        <v>13284</v>
      </c>
      <c r="W3095" s="12"/>
      <c r="X3095" s="9" t="str">
        <f t="array" ref="X3095">IFERROR(INDEX('Адреса общежитий (скрытый)'!$B$2:$B$9, MATCH(W3095, 'Адреса общежитий (скрытый)'!$A$2:$A$9, 0)), "")</f>
        <v/>
      </c>
      <c r="Y3095" s="18"/>
      <c r="Z3095" s="18"/>
      <c r="AA3095" s="18"/>
      <c r="AB3095" s="18"/>
      <c r="AC3095" s="18"/>
    </row>
    <row r="3096" spans="1:29" ht="32.25" hidden="1" customHeight="1">
      <c r="A3096" s="17"/>
      <c r="B3096" s="9" t="s">
        <v>13284</v>
      </c>
      <c r="C3096" s="9" t="s">
        <v>13284</v>
      </c>
      <c r="D3096" s="9" t="s">
        <v>13284</v>
      </c>
      <c r="E3096" s="9" t="s">
        <v>13284</v>
      </c>
      <c r="F3096" s="9" t="s">
        <v>13284</v>
      </c>
      <c r="G3096" s="9" t="s">
        <v>13284</v>
      </c>
      <c r="H3096" s="9" t="s">
        <v>13284</v>
      </c>
      <c r="I3096" s="9" t="s">
        <v>13284</v>
      </c>
      <c r="J3096" s="9" t="s">
        <v>13284</v>
      </c>
      <c r="K3096" s="9" t="s">
        <v>13284</v>
      </c>
      <c r="L3096" s="9" t="s">
        <v>13284</v>
      </c>
      <c r="M3096" s="9" t="s">
        <v>13284</v>
      </c>
      <c r="N3096" s="9" t="s">
        <v>13284</v>
      </c>
      <c r="O3096" s="9" t="s">
        <v>13284</v>
      </c>
      <c r="P3096" s="9" t="s">
        <v>13284</v>
      </c>
      <c r="Q3096" s="9" t="s">
        <v>13284</v>
      </c>
      <c r="R3096" s="9" t="s">
        <v>13284</v>
      </c>
      <c r="S3096" s="9" t="s">
        <v>13284</v>
      </c>
      <c r="T3096" s="9" t="str">
        <f ca="1">IFERROR(IF(AND(VLOOKUP(A3096, 'Актуальное состояние (из общего'!A:C,3,0) = "", A3096 &lt;&gt; ""), "ПРОВЕРИТЬ", VLOOKUP(A3096, 'Актуальное состояние (из общего'!A:C,3,0)), "")</f>
        <v/>
      </c>
      <c r="U3096" s="9" t="s">
        <v>13284</v>
      </c>
      <c r="V3096" s="9" t="s">
        <v>13284</v>
      </c>
      <c r="W3096" s="12"/>
      <c r="X3096" s="9" t="str">
        <f t="array" ref="X3096">IFERROR(INDEX('Адреса общежитий (скрытый)'!$B$2:$B$9, MATCH(W3096, 'Адреса общежитий (скрытый)'!$A$2:$A$9, 0)), "")</f>
        <v/>
      </c>
      <c r="Y3096" s="18"/>
      <c r="Z3096" s="18"/>
      <c r="AA3096" s="18"/>
      <c r="AB3096" s="18"/>
      <c r="AC3096" s="18"/>
    </row>
    <row r="3097" spans="1:29" ht="32.25" hidden="1" customHeight="1">
      <c r="A3097" s="17"/>
      <c r="B3097" s="9" t="s">
        <v>13284</v>
      </c>
      <c r="C3097" s="9" t="s">
        <v>13284</v>
      </c>
      <c r="D3097" s="9" t="s">
        <v>13284</v>
      </c>
      <c r="E3097" s="9" t="s">
        <v>13284</v>
      </c>
      <c r="F3097" s="9" t="s">
        <v>13284</v>
      </c>
      <c r="G3097" s="9" t="s">
        <v>13284</v>
      </c>
      <c r="H3097" s="9" t="s">
        <v>13284</v>
      </c>
      <c r="I3097" s="9" t="s">
        <v>13284</v>
      </c>
      <c r="J3097" s="9" t="s">
        <v>13284</v>
      </c>
      <c r="K3097" s="9" t="s">
        <v>13284</v>
      </c>
      <c r="L3097" s="9" t="s">
        <v>13284</v>
      </c>
      <c r="M3097" s="9" t="s">
        <v>13284</v>
      </c>
      <c r="N3097" s="9" t="s">
        <v>13284</v>
      </c>
      <c r="O3097" s="9" t="s">
        <v>13284</v>
      </c>
      <c r="P3097" s="9" t="s">
        <v>13284</v>
      </c>
      <c r="Q3097" s="9" t="s">
        <v>13284</v>
      </c>
      <c r="R3097" s="9" t="s">
        <v>13284</v>
      </c>
      <c r="S3097" s="9" t="s">
        <v>13284</v>
      </c>
      <c r="T3097" s="9" t="str">
        <f ca="1">IFERROR(IF(AND(VLOOKUP(A3097, 'Актуальное состояние (из общего'!A:C,3,0) = "", A3097 &lt;&gt; ""), "ПРОВЕРИТЬ", VLOOKUP(A3097, 'Актуальное состояние (из общего'!A:C,3,0)), "")</f>
        <v/>
      </c>
      <c r="U3097" s="9" t="s">
        <v>13284</v>
      </c>
      <c r="V3097" s="9" t="s">
        <v>13284</v>
      </c>
      <c r="W3097" s="12"/>
      <c r="X3097" s="9" t="str">
        <f t="array" ref="X3097">IFERROR(INDEX('Адреса общежитий (скрытый)'!$B$2:$B$9, MATCH(W3097, 'Адреса общежитий (скрытый)'!$A$2:$A$9, 0)), "")</f>
        <v/>
      </c>
      <c r="Y3097" s="18"/>
      <c r="Z3097" s="18"/>
      <c r="AA3097" s="18"/>
      <c r="AB3097" s="18"/>
      <c r="AC3097" s="18"/>
    </row>
    <row r="3098" spans="1:29" ht="32.25" hidden="1" customHeight="1">
      <c r="A3098" s="17"/>
      <c r="B3098" s="9" t="s">
        <v>13284</v>
      </c>
      <c r="C3098" s="9" t="s">
        <v>13284</v>
      </c>
      <c r="D3098" s="9" t="s">
        <v>13284</v>
      </c>
      <c r="E3098" s="9" t="s">
        <v>13284</v>
      </c>
      <c r="F3098" s="9" t="s">
        <v>13284</v>
      </c>
      <c r="G3098" s="9" t="s">
        <v>13284</v>
      </c>
      <c r="H3098" s="9" t="s">
        <v>13284</v>
      </c>
      <c r="I3098" s="9" t="s">
        <v>13284</v>
      </c>
      <c r="J3098" s="9" t="s">
        <v>13284</v>
      </c>
      <c r="K3098" s="9" t="s">
        <v>13284</v>
      </c>
      <c r="L3098" s="9" t="s">
        <v>13284</v>
      </c>
      <c r="M3098" s="9" t="s">
        <v>13284</v>
      </c>
      <c r="N3098" s="9" t="s">
        <v>13284</v>
      </c>
      <c r="O3098" s="9" t="s">
        <v>13284</v>
      </c>
      <c r="P3098" s="9" t="s">
        <v>13284</v>
      </c>
      <c r="Q3098" s="9" t="s">
        <v>13284</v>
      </c>
      <c r="R3098" s="9" t="s">
        <v>13284</v>
      </c>
      <c r="S3098" s="9" t="s">
        <v>13284</v>
      </c>
      <c r="T3098" s="9" t="str">
        <f ca="1">IFERROR(IF(AND(VLOOKUP(A3098, 'Актуальное состояние (из общего'!A:C,3,0) = "", A3098 &lt;&gt; ""), "ПРОВЕРИТЬ", VLOOKUP(A3098, 'Актуальное состояние (из общего'!A:C,3,0)), "")</f>
        <v/>
      </c>
      <c r="U3098" s="9" t="s">
        <v>13284</v>
      </c>
      <c r="V3098" s="9" t="s">
        <v>13284</v>
      </c>
      <c r="W3098" s="12"/>
      <c r="X3098" s="9" t="str">
        <f t="array" ref="X3098">IFERROR(INDEX('Адреса общежитий (скрытый)'!$B$2:$B$9, MATCH(W3098, 'Адреса общежитий (скрытый)'!$A$2:$A$9, 0)), "")</f>
        <v/>
      </c>
      <c r="Y3098" s="18"/>
      <c r="Z3098" s="18"/>
      <c r="AA3098" s="18"/>
      <c r="AB3098" s="18"/>
      <c r="AC3098" s="18"/>
    </row>
    <row r="3099" spans="1:29" ht="32.25" hidden="1" customHeight="1">
      <c r="A3099" s="17"/>
      <c r="B3099" s="9" t="s">
        <v>13284</v>
      </c>
      <c r="C3099" s="9" t="s">
        <v>13284</v>
      </c>
      <c r="D3099" s="9" t="s">
        <v>13284</v>
      </c>
      <c r="E3099" s="9" t="s">
        <v>13284</v>
      </c>
      <c r="F3099" s="9" t="s">
        <v>13284</v>
      </c>
      <c r="G3099" s="9" t="s">
        <v>13284</v>
      </c>
      <c r="H3099" s="9" t="s">
        <v>13284</v>
      </c>
      <c r="I3099" s="9" t="s">
        <v>13284</v>
      </c>
      <c r="J3099" s="9" t="s">
        <v>13284</v>
      </c>
      <c r="K3099" s="9" t="s">
        <v>13284</v>
      </c>
      <c r="L3099" s="9" t="s">
        <v>13284</v>
      </c>
      <c r="M3099" s="9" t="s">
        <v>13284</v>
      </c>
      <c r="N3099" s="9" t="s">
        <v>13284</v>
      </c>
      <c r="O3099" s="9" t="s">
        <v>13284</v>
      </c>
      <c r="P3099" s="9" t="s">
        <v>13284</v>
      </c>
      <c r="Q3099" s="9" t="s">
        <v>13284</v>
      </c>
      <c r="R3099" s="9" t="s">
        <v>13284</v>
      </c>
      <c r="S3099" s="9" t="s">
        <v>13284</v>
      </c>
      <c r="T3099" s="9" t="str">
        <f ca="1">IFERROR(IF(AND(VLOOKUP(A3099, 'Актуальное состояние (из общего'!A:C,3,0) = "", A3099 &lt;&gt; ""), "ПРОВЕРИТЬ", VLOOKUP(A3099, 'Актуальное состояние (из общего'!A:C,3,0)), "")</f>
        <v/>
      </c>
      <c r="U3099" s="9" t="s">
        <v>13284</v>
      </c>
      <c r="V3099" s="9" t="s">
        <v>13284</v>
      </c>
      <c r="W3099" s="12"/>
      <c r="X3099" s="9" t="str">
        <f t="array" ref="X3099">IFERROR(INDEX('Адреса общежитий (скрытый)'!$B$2:$B$9, MATCH(W3099, 'Адреса общежитий (скрытый)'!$A$2:$A$9, 0)), "")</f>
        <v/>
      </c>
      <c r="Y3099" s="18"/>
      <c r="Z3099" s="18"/>
      <c r="AA3099" s="18"/>
      <c r="AB3099" s="18"/>
      <c r="AC3099" s="18"/>
    </row>
    <row r="3100" spans="1:29" ht="32.25" hidden="1" customHeight="1">
      <c r="A3100" s="17"/>
      <c r="B3100" s="9" t="s">
        <v>13284</v>
      </c>
      <c r="C3100" s="9" t="s">
        <v>13284</v>
      </c>
      <c r="D3100" s="9" t="s">
        <v>13284</v>
      </c>
      <c r="E3100" s="9" t="s">
        <v>13284</v>
      </c>
      <c r="F3100" s="9" t="s">
        <v>13284</v>
      </c>
      <c r="G3100" s="9" t="s">
        <v>13284</v>
      </c>
      <c r="H3100" s="9" t="s">
        <v>13284</v>
      </c>
      <c r="I3100" s="9" t="s">
        <v>13284</v>
      </c>
      <c r="J3100" s="9" t="s">
        <v>13284</v>
      </c>
      <c r="K3100" s="9" t="s">
        <v>13284</v>
      </c>
      <c r="L3100" s="9" t="s">
        <v>13284</v>
      </c>
      <c r="M3100" s="9" t="s">
        <v>13284</v>
      </c>
      <c r="N3100" s="9" t="s">
        <v>13284</v>
      </c>
      <c r="O3100" s="9" t="s">
        <v>13284</v>
      </c>
      <c r="P3100" s="9" t="s">
        <v>13284</v>
      </c>
      <c r="Q3100" s="9" t="s">
        <v>13284</v>
      </c>
      <c r="R3100" s="9" t="s">
        <v>13284</v>
      </c>
      <c r="S3100" s="9" t="s">
        <v>13284</v>
      </c>
      <c r="T3100" s="9" t="str">
        <f ca="1">IFERROR(IF(AND(VLOOKUP(A3100, 'Актуальное состояние (из общего'!A:C,3,0) = "", A3100 &lt;&gt; ""), "ПРОВЕРИТЬ", VLOOKUP(A3100, 'Актуальное состояние (из общего'!A:C,3,0)), "")</f>
        <v/>
      </c>
      <c r="U3100" s="9" t="s">
        <v>13284</v>
      </c>
      <c r="V3100" s="9" t="s">
        <v>13284</v>
      </c>
      <c r="W3100" s="12"/>
      <c r="X3100" s="9" t="str">
        <f t="array" ref="X3100">IFERROR(INDEX('Адреса общежитий (скрытый)'!$B$2:$B$9, MATCH(W3100, 'Адреса общежитий (скрытый)'!$A$2:$A$9, 0)), "")</f>
        <v/>
      </c>
      <c r="Y3100" s="18"/>
      <c r="Z3100" s="18"/>
      <c r="AA3100" s="18"/>
      <c r="AB3100" s="18"/>
      <c r="AC3100" s="18"/>
    </row>
    <row r="3101" spans="1:29" ht="32.25" hidden="1" customHeight="1">
      <c r="A3101" s="17"/>
      <c r="B3101" s="9" t="s">
        <v>13284</v>
      </c>
      <c r="C3101" s="9" t="s">
        <v>13284</v>
      </c>
      <c r="D3101" s="9" t="s">
        <v>13284</v>
      </c>
      <c r="E3101" s="9" t="s">
        <v>13284</v>
      </c>
      <c r="F3101" s="9" t="s">
        <v>13284</v>
      </c>
      <c r="G3101" s="9" t="s">
        <v>13284</v>
      </c>
      <c r="H3101" s="9" t="s">
        <v>13284</v>
      </c>
      <c r="I3101" s="9" t="s">
        <v>13284</v>
      </c>
      <c r="J3101" s="9" t="s">
        <v>13284</v>
      </c>
      <c r="K3101" s="9" t="s">
        <v>13284</v>
      </c>
      <c r="L3101" s="9" t="s">
        <v>13284</v>
      </c>
      <c r="M3101" s="9" t="s">
        <v>13284</v>
      </c>
      <c r="N3101" s="9" t="s">
        <v>13284</v>
      </c>
      <c r="O3101" s="9" t="s">
        <v>13284</v>
      </c>
      <c r="P3101" s="9" t="s">
        <v>13284</v>
      </c>
      <c r="Q3101" s="9" t="s">
        <v>13284</v>
      </c>
      <c r="R3101" s="9" t="s">
        <v>13284</v>
      </c>
      <c r="S3101" s="9" t="s">
        <v>13284</v>
      </c>
      <c r="T3101" s="9" t="str">
        <f ca="1">IFERROR(IF(AND(VLOOKUP(A3101, 'Актуальное состояние (из общего'!A:C,3,0) = "", A3101 &lt;&gt; ""), "ПРОВЕРИТЬ", VLOOKUP(A3101, 'Актуальное состояние (из общего'!A:C,3,0)), "")</f>
        <v/>
      </c>
      <c r="U3101" s="9" t="s">
        <v>13284</v>
      </c>
      <c r="V3101" s="9" t="s">
        <v>13284</v>
      </c>
      <c r="W3101" s="12"/>
      <c r="X3101" s="9" t="str">
        <f t="array" ref="X3101">IFERROR(INDEX('Адреса общежитий (скрытый)'!$B$2:$B$9, MATCH(W3101, 'Адреса общежитий (скрытый)'!$A$2:$A$9, 0)), "")</f>
        <v/>
      </c>
      <c r="Y3101" s="18"/>
      <c r="Z3101" s="18"/>
      <c r="AA3101" s="18"/>
      <c r="AB3101" s="18"/>
      <c r="AC3101" s="18"/>
    </row>
    <row r="3102" spans="1:29" ht="32.25" hidden="1" customHeight="1">
      <c r="A3102" s="17"/>
      <c r="B3102" s="9" t="s">
        <v>13284</v>
      </c>
      <c r="C3102" s="9" t="s">
        <v>13284</v>
      </c>
      <c r="D3102" s="9" t="s">
        <v>13284</v>
      </c>
      <c r="E3102" s="9" t="s">
        <v>13284</v>
      </c>
      <c r="F3102" s="9" t="s">
        <v>13284</v>
      </c>
      <c r="G3102" s="9" t="s">
        <v>13284</v>
      </c>
      <c r="H3102" s="9" t="s">
        <v>13284</v>
      </c>
      <c r="I3102" s="9" t="s">
        <v>13284</v>
      </c>
      <c r="J3102" s="9" t="s">
        <v>13284</v>
      </c>
      <c r="K3102" s="9" t="s">
        <v>13284</v>
      </c>
      <c r="L3102" s="9" t="s">
        <v>13284</v>
      </c>
      <c r="M3102" s="9" t="s">
        <v>13284</v>
      </c>
      <c r="N3102" s="9" t="s">
        <v>13284</v>
      </c>
      <c r="O3102" s="9" t="s">
        <v>13284</v>
      </c>
      <c r="P3102" s="9" t="s">
        <v>13284</v>
      </c>
      <c r="Q3102" s="9" t="s">
        <v>13284</v>
      </c>
      <c r="R3102" s="9" t="s">
        <v>13284</v>
      </c>
      <c r="S3102" s="9" t="s">
        <v>13284</v>
      </c>
      <c r="T3102" s="9" t="str">
        <f ca="1">IFERROR(IF(AND(VLOOKUP(A3102, 'Актуальное состояние (из общего'!A:C,3,0) = "", A3102 &lt;&gt; ""), "ПРОВЕРИТЬ", VLOOKUP(A3102, 'Актуальное состояние (из общего'!A:C,3,0)), "")</f>
        <v/>
      </c>
      <c r="U3102" s="9" t="s">
        <v>13284</v>
      </c>
      <c r="V3102" s="9" t="s">
        <v>13284</v>
      </c>
      <c r="W3102" s="12"/>
      <c r="X3102" s="9" t="str">
        <f t="array" ref="X3102">IFERROR(INDEX('Адреса общежитий (скрытый)'!$B$2:$B$9, MATCH(W3102, 'Адреса общежитий (скрытый)'!$A$2:$A$9, 0)), "")</f>
        <v/>
      </c>
      <c r="Y3102" s="18"/>
      <c r="Z3102" s="18"/>
      <c r="AA3102" s="18"/>
      <c r="AB3102" s="18"/>
      <c r="AC3102" s="18"/>
    </row>
    <row r="3103" spans="1:29" ht="32.25" hidden="1" customHeight="1">
      <c r="A3103" s="17"/>
      <c r="B3103" s="9" t="s">
        <v>13284</v>
      </c>
      <c r="C3103" s="9" t="s">
        <v>13284</v>
      </c>
      <c r="D3103" s="9" t="s">
        <v>13284</v>
      </c>
      <c r="E3103" s="9" t="s">
        <v>13284</v>
      </c>
      <c r="F3103" s="9" t="s">
        <v>13284</v>
      </c>
      <c r="G3103" s="9" t="s">
        <v>13284</v>
      </c>
      <c r="H3103" s="9" t="s">
        <v>13284</v>
      </c>
      <c r="I3103" s="9" t="s">
        <v>13284</v>
      </c>
      <c r="J3103" s="9" t="s">
        <v>13284</v>
      </c>
      <c r="K3103" s="9" t="s">
        <v>13284</v>
      </c>
      <c r="L3103" s="9" t="s">
        <v>13284</v>
      </c>
      <c r="M3103" s="9" t="s">
        <v>13284</v>
      </c>
      <c r="N3103" s="9" t="s">
        <v>13284</v>
      </c>
      <c r="O3103" s="9" t="s">
        <v>13284</v>
      </c>
      <c r="P3103" s="9" t="s">
        <v>13284</v>
      </c>
      <c r="Q3103" s="9" t="s">
        <v>13284</v>
      </c>
      <c r="R3103" s="9" t="s">
        <v>13284</v>
      </c>
      <c r="S3103" s="9" t="s">
        <v>13284</v>
      </c>
      <c r="T3103" s="9" t="str">
        <f ca="1">IFERROR(IF(AND(VLOOKUP(A3103, 'Актуальное состояние (из общего'!A:C,3,0) = "", A3103 &lt;&gt; ""), "ПРОВЕРИТЬ", VLOOKUP(A3103, 'Актуальное состояние (из общего'!A:C,3,0)), "")</f>
        <v/>
      </c>
      <c r="U3103" s="9" t="s">
        <v>13284</v>
      </c>
      <c r="V3103" s="9" t="s">
        <v>13284</v>
      </c>
      <c r="W3103" s="12"/>
      <c r="X3103" s="9" t="str">
        <f t="array" ref="X3103">IFERROR(INDEX('Адреса общежитий (скрытый)'!$B$2:$B$9, MATCH(W3103, 'Адреса общежитий (скрытый)'!$A$2:$A$9, 0)), "")</f>
        <v/>
      </c>
      <c r="Y3103" s="18"/>
      <c r="Z3103" s="18"/>
      <c r="AA3103" s="18"/>
      <c r="AB3103" s="18"/>
      <c r="AC3103" s="18"/>
    </row>
    <row r="3104" spans="1:29" ht="32.25" hidden="1" customHeight="1">
      <c r="A3104" s="17"/>
      <c r="B3104" s="9" t="s">
        <v>13284</v>
      </c>
      <c r="C3104" s="9" t="s">
        <v>13284</v>
      </c>
      <c r="D3104" s="9" t="s">
        <v>13284</v>
      </c>
      <c r="E3104" s="9" t="s">
        <v>13284</v>
      </c>
      <c r="F3104" s="9" t="s">
        <v>13284</v>
      </c>
      <c r="G3104" s="9" t="s">
        <v>13284</v>
      </c>
      <c r="H3104" s="9" t="s">
        <v>13284</v>
      </c>
      <c r="I3104" s="9" t="s">
        <v>13284</v>
      </c>
      <c r="J3104" s="9" t="s">
        <v>13284</v>
      </c>
      <c r="K3104" s="9" t="s">
        <v>13284</v>
      </c>
      <c r="L3104" s="9" t="s">
        <v>13284</v>
      </c>
      <c r="M3104" s="9" t="s">
        <v>13284</v>
      </c>
      <c r="N3104" s="9" t="s">
        <v>13284</v>
      </c>
      <c r="O3104" s="9" t="s">
        <v>13284</v>
      </c>
      <c r="P3104" s="9" t="s">
        <v>13284</v>
      </c>
      <c r="Q3104" s="9" t="s">
        <v>13284</v>
      </c>
      <c r="R3104" s="9" t="s">
        <v>13284</v>
      </c>
      <c r="S3104" s="9" t="s">
        <v>13284</v>
      </c>
      <c r="T3104" s="9" t="str">
        <f ca="1">IFERROR(IF(AND(VLOOKUP(A3104, 'Актуальное состояние (из общего'!A:C,3,0) = "", A3104 &lt;&gt; ""), "ПРОВЕРИТЬ", VLOOKUP(A3104, 'Актуальное состояние (из общего'!A:C,3,0)), "")</f>
        <v/>
      </c>
      <c r="U3104" s="9" t="s">
        <v>13284</v>
      </c>
      <c r="V3104" s="9" t="s">
        <v>13284</v>
      </c>
      <c r="W3104" s="12"/>
      <c r="X3104" s="9" t="str">
        <f t="array" ref="X3104">IFERROR(INDEX('Адреса общежитий (скрытый)'!$B$2:$B$9, MATCH(W3104, 'Адреса общежитий (скрытый)'!$A$2:$A$9, 0)), "")</f>
        <v/>
      </c>
      <c r="Y3104" s="18"/>
      <c r="Z3104" s="18"/>
      <c r="AA3104" s="18"/>
      <c r="AB3104" s="18"/>
      <c r="AC3104" s="18"/>
    </row>
    <row r="3105" spans="1:29" ht="32.25" hidden="1" customHeight="1">
      <c r="A3105" s="17"/>
      <c r="B3105" s="9" t="s">
        <v>13284</v>
      </c>
      <c r="C3105" s="9" t="s">
        <v>13284</v>
      </c>
      <c r="D3105" s="9" t="s">
        <v>13284</v>
      </c>
      <c r="E3105" s="9" t="s">
        <v>13284</v>
      </c>
      <c r="F3105" s="9" t="s">
        <v>13284</v>
      </c>
      <c r="G3105" s="9" t="s">
        <v>13284</v>
      </c>
      <c r="H3105" s="9" t="s">
        <v>13284</v>
      </c>
      <c r="I3105" s="9" t="s">
        <v>13284</v>
      </c>
      <c r="J3105" s="9" t="s">
        <v>13284</v>
      </c>
      <c r="K3105" s="9" t="s">
        <v>13284</v>
      </c>
      <c r="L3105" s="9" t="s">
        <v>13284</v>
      </c>
      <c r="M3105" s="9" t="s">
        <v>13284</v>
      </c>
      <c r="N3105" s="9" t="s">
        <v>13284</v>
      </c>
      <c r="O3105" s="9" t="s">
        <v>13284</v>
      </c>
      <c r="P3105" s="9" t="s">
        <v>13284</v>
      </c>
      <c r="Q3105" s="9" t="s">
        <v>13284</v>
      </c>
      <c r="R3105" s="9" t="s">
        <v>13284</v>
      </c>
      <c r="S3105" s="9" t="s">
        <v>13284</v>
      </c>
      <c r="T3105" s="9" t="str">
        <f ca="1">IFERROR(IF(AND(VLOOKUP(A3105, 'Актуальное состояние (из общего'!A:C,3,0) = "", A3105 &lt;&gt; ""), "ПРОВЕРИТЬ", VLOOKUP(A3105, 'Актуальное состояние (из общего'!A:C,3,0)), "")</f>
        <v/>
      </c>
      <c r="U3105" s="9" t="s">
        <v>13284</v>
      </c>
      <c r="V3105" s="9" t="s">
        <v>13284</v>
      </c>
      <c r="W3105" s="12"/>
      <c r="X3105" s="9" t="str">
        <f t="array" ref="X3105">IFERROR(INDEX('Адреса общежитий (скрытый)'!$B$2:$B$9, MATCH(W3105, 'Адреса общежитий (скрытый)'!$A$2:$A$9, 0)), "")</f>
        <v/>
      </c>
      <c r="Y3105" s="18"/>
      <c r="Z3105" s="18"/>
      <c r="AA3105" s="18"/>
      <c r="AB3105" s="18"/>
      <c r="AC3105" s="18"/>
    </row>
    <row r="3106" spans="1:29" ht="32.25" hidden="1" customHeight="1">
      <c r="A3106" s="17"/>
      <c r="B3106" s="9" t="s">
        <v>13284</v>
      </c>
      <c r="C3106" s="9" t="s">
        <v>13284</v>
      </c>
      <c r="D3106" s="9" t="s">
        <v>13284</v>
      </c>
      <c r="E3106" s="9" t="s">
        <v>13284</v>
      </c>
      <c r="F3106" s="9" t="s">
        <v>13284</v>
      </c>
      <c r="G3106" s="9" t="s">
        <v>13284</v>
      </c>
      <c r="H3106" s="9" t="s">
        <v>13284</v>
      </c>
      <c r="I3106" s="9" t="s">
        <v>13284</v>
      </c>
      <c r="J3106" s="9" t="s">
        <v>13284</v>
      </c>
      <c r="K3106" s="9" t="s">
        <v>13284</v>
      </c>
      <c r="L3106" s="9" t="s">
        <v>13284</v>
      </c>
      <c r="M3106" s="9" t="s">
        <v>13284</v>
      </c>
      <c r="N3106" s="9" t="s">
        <v>13284</v>
      </c>
      <c r="O3106" s="9" t="s">
        <v>13284</v>
      </c>
      <c r="P3106" s="9" t="s">
        <v>13284</v>
      </c>
      <c r="Q3106" s="9" t="s">
        <v>13284</v>
      </c>
      <c r="R3106" s="9" t="s">
        <v>13284</v>
      </c>
      <c r="S3106" s="9" t="s">
        <v>13284</v>
      </c>
      <c r="T3106" s="9" t="str">
        <f ca="1">IFERROR(IF(AND(VLOOKUP(A3106, 'Актуальное состояние (из общего'!A:C,3,0) = "", A3106 &lt;&gt; ""), "ПРОВЕРИТЬ", VLOOKUP(A3106, 'Актуальное состояние (из общего'!A:C,3,0)), "")</f>
        <v/>
      </c>
      <c r="U3106" s="9" t="s">
        <v>13284</v>
      </c>
      <c r="V3106" s="9" t="s">
        <v>13284</v>
      </c>
      <c r="W3106" s="12"/>
      <c r="X3106" s="9" t="str">
        <f t="array" ref="X3106">IFERROR(INDEX('Адреса общежитий (скрытый)'!$B$2:$B$9, MATCH(W3106, 'Адреса общежитий (скрытый)'!$A$2:$A$9, 0)), "")</f>
        <v/>
      </c>
      <c r="Y3106" s="18"/>
      <c r="Z3106" s="18"/>
      <c r="AA3106" s="18"/>
      <c r="AB3106" s="18"/>
      <c r="AC3106" s="18"/>
    </row>
    <row r="3107" spans="1:29" ht="32.25" hidden="1" customHeight="1">
      <c r="A3107" s="17"/>
      <c r="B3107" s="9" t="s">
        <v>13284</v>
      </c>
      <c r="C3107" s="9" t="s">
        <v>13284</v>
      </c>
      <c r="D3107" s="9" t="s">
        <v>13284</v>
      </c>
      <c r="E3107" s="9" t="s">
        <v>13284</v>
      </c>
      <c r="F3107" s="9" t="s">
        <v>13284</v>
      </c>
      <c r="G3107" s="9" t="s">
        <v>13284</v>
      </c>
      <c r="H3107" s="9" t="s">
        <v>13284</v>
      </c>
      <c r="I3107" s="9" t="s">
        <v>13284</v>
      </c>
      <c r="J3107" s="9" t="s">
        <v>13284</v>
      </c>
      <c r="K3107" s="9" t="s">
        <v>13284</v>
      </c>
      <c r="L3107" s="9" t="s">
        <v>13284</v>
      </c>
      <c r="M3107" s="9" t="s">
        <v>13284</v>
      </c>
      <c r="N3107" s="9" t="s">
        <v>13284</v>
      </c>
      <c r="O3107" s="9" t="s">
        <v>13284</v>
      </c>
      <c r="P3107" s="9" t="s">
        <v>13284</v>
      </c>
      <c r="Q3107" s="9" t="s">
        <v>13284</v>
      </c>
      <c r="R3107" s="9" t="s">
        <v>13284</v>
      </c>
      <c r="S3107" s="9" t="s">
        <v>13284</v>
      </c>
      <c r="T3107" s="9" t="str">
        <f ca="1">IFERROR(IF(AND(VLOOKUP(A3107, 'Актуальное состояние (из общего'!A:C,3,0) = "", A3107 &lt;&gt; ""), "ПРОВЕРИТЬ", VLOOKUP(A3107, 'Актуальное состояние (из общего'!A:C,3,0)), "")</f>
        <v/>
      </c>
      <c r="U3107" s="9" t="s">
        <v>13284</v>
      </c>
      <c r="V3107" s="9" t="s">
        <v>13284</v>
      </c>
      <c r="W3107" s="12"/>
      <c r="X3107" s="9" t="str">
        <f t="array" ref="X3107">IFERROR(INDEX('Адреса общежитий (скрытый)'!$B$2:$B$9, MATCH(W3107, 'Адреса общежитий (скрытый)'!$A$2:$A$9, 0)), "")</f>
        <v/>
      </c>
      <c r="Y3107" s="18"/>
      <c r="Z3107" s="18"/>
      <c r="AA3107" s="18"/>
      <c r="AB3107" s="18"/>
      <c r="AC3107" s="18"/>
    </row>
    <row r="3108" spans="1:29" ht="32.25" hidden="1" customHeight="1">
      <c r="A3108" s="17"/>
      <c r="B3108" s="9" t="s">
        <v>13284</v>
      </c>
      <c r="C3108" s="9" t="s">
        <v>13284</v>
      </c>
      <c r="D3108" s="9" t="s">
        <v>13284</v>
      </c>
      <c r="E3108" s="9" t="s">
        <v>13284</v>
      </c>
      <c r="F3108" s="9" t="s">
        <v>13284</v>
      </c>
      <c r="G3108" s="9" t="s">
        <v>13284</v>
      </c>
      <c r="H3108" s="9" t="s">
        <v>13284</v>
      </c>
      <c r="I3108" s="9" t="s">
        <v>13284</v>
      </c>
      <c r="J3108" s="9" t="s">
        <v>13284</v>
      </c>
      <c r="K3108" s="9" t="s">
        <v>13284</v>
      </c>
      <c r="L3108" s="9" t="s">
        <v>13284</v>
      </c>
      <c r="M3108" s="9" t="s">
        <v>13284</v>
      </c>
      <c r="N3108" s="9" t="s">
        <v>13284</v>
      </c>
      <c r="O3108" s="9" t="s">
        <v>13284</v>
      </c>
      <c r="P3108" s="9" t="s">
        <v>13284</v>
      </c>
      <c r="Q3108" s="9" t="s">
        <v>13284</v>
      </c>
      <c r="R3108" s="9" t="s">
        <v>13284</v>
      </c>
      <c r="S3108" s="9" t="s">
        <v>13284</v>
      </c>
      <c r="T3108" s="9" t="str">
        <f ca="1">IFERROR(IF(AND(VLOOKUP(A3108, 'Актуальное состояние (из общего'!A:C,3,0) = "", A3108 &lt;&gt; ""), "ПРОВЕРИТЬ", VLOOKUP(A3108, 'Актуальное состояние (из общего'!A:C,3,0)), "")</f>
        <v/>
      </c>
      <c r="U3108" s="9" t="s">
        <v>13284</v>
      </c>
      <c r="V3108" s="9" t="s">
        <v>13284</v>
      </c>
      <c r="W3108" s="12"/>
      <c r="X3108" s="9" t="str">
        <f t="array" ref="X3108">IFERROR(INDEX('Адреса общежитий (скрытый)'!$B$2:$B$9, MATCH(W3108, 'Адреса общежитий (скрытый)'!$A$2:$A$9, 0)), "")</f>
        <v/>
      </c>
      <c r="Y3108" s="18"/>
      <c r="Z3108" s="18"/>
      <c r="AA3108" s="18"/>
      <c r="AB3108" s="18"/>
      <c r="AC3108" s="18"/>
    </row>
    <row r="3109" spans="1:29" ht="32.25" hidden="1" customHeight="1">
      <c r="A3109" s="17"/>
      <c r="B3109" s="9" t="s">
        <v>13284</v>
      </c>
      <c r="C3109" s="9" t="s">
        <v>13284</v>
      </c>
      <c r="D3109" s="9" t="s">
        <v>13284</v>
      </c>
      <c r="E3109" s="9" t="s">
        <v>13284</v>
      </c>
      <c r="F3109" s="9" t="s">
        <v>13284</v>
      </c>
      <c r="G3109" s="9" t="s">
        <v>13284</v>
      </c>
      <c r="H3109" s="9" t="s">
        <v>13284</v>
      </c>
      <c r="I3109" s="9" t="s">
        <v>13284</v>
      </c>
      <c r="J3109" s="9" t="s">
        <v>13284</v>
      </c>
      <c r="K3109" s="9" t="s">
        <v>13284</v>
      </c>
      <c r="L3109" s="9" t="s">
        <v>13284</v>
      </c>
      <c r="M3109" s="9" t="s">
        <v>13284</v>
      </c>
      <c r="N3109" s="9" t="s">
        <v>13284</v>
      </c>
      <c r="O3109" s="9" t="s">
        <v>13284</v>
      </c>
      <c r="P3109" s="9" t="s">
        <v>13284</v>
      </c>
      <c r="Q3109" s="9" t="s">
        <v>13284</v>
      </c>
      <c r="R3109" s="9" t="s">
        <v>13284</v>
      </c>
      <c r="S3109" s="9" t="s">
        <v>13284</v>
      </c>
      <c r="T3109" s="9" t="str">
        <f ca="1">IFERROR(IF(AND(VLOOKUP(A3109, 'Актуальное состояние (из общего'!A:C,3,0) = "", A3109 &lt;&gt; ""), "ПРОВЕРИТЬ", VLOOKUP(A3109, 'Актуальное состояние (из общего'!A:C,3,0)), "")</f>
        <v/>
      </c>
      <c r="U3109" s="9" t="s">
        <v>13284</v>
      </c>
      <c r="V3109" s="9" t="s">
        <v>13284</v>
      </c>
      <c r="W3109" s="12"/>
      <c r="X3109" s="9" t="str">
        <f t="array" ref="X3109">IFERROR(INDEX('Адреса общежитий (скрытый)'!$B$2:$B$9, MATCH(W3109, 'Адреса общежитий (скрытый)'!$A$2:$A$9, 0)), "")</f>
        <v/>
      </c>
      <c r="Y3109" s="18"/>
      <c r="Z3109" s="18"/>
      <c r="AA3109" s="18"/>
      <c r="AB3109" s="18"/>
      <c r="AC3109" s="18"/>
    </row>
    <row r="3110" spans="1:29" ht="32.25" hidden="1" customHeight="1">
      <c r="A3110" s="17"/>
      <c r="B3110" s="9" t="s">
        <v>13284</v>
      </c>
      <c r="C3110" s="9" t="s">
        <v>13284</v>
      </c>
      <c r="D3110" s="9" t="s">
        <v>13284</v>
      </c>
      <c r="E3110" s="9" t="s">
        <v>13284</v>
      </c>
      <c r="F3110" s="9" t="s">
        <v>13284</v>
      </c>
      <c r="G3110" s="9" t="s">
        <v>13284</v>
      </c>
      <c r="H3110" s="9" t="s">
        <v>13284</v>
      </c>
      <c r="I3110" s="9" t="s">
        <v>13284</v>
      </c>
      <c r="J3110" s="9" t="s">
        <v>13284</v>
      </c>
      <c r="K3110" s="9" t="s">
        <v>13284</v>
      </c>
      <c r="L3110" s="9" t="s">
        <v>13284</v>
      </c>
      <c r="M3110" s="9" t="s">
        <v>13284</v>
      </c>
      <c r="N3110" s="9" t="s">
        <v>13284</v>
      </c>
      <c r="O3110" s="9" t="s">
        <v>13284</v>
      </c>
      <c r="P3110" s="9" t="s">
        <v>13284</v>
      </c>
      <c r="Q3110" s="9" t="s">
        <v>13284</v>
      </c>
      <c r="R3110" s="9" t="s">
        <v>13284</v>
      </c>
      <c r="S3110" s="9" t="s">
        <v>13284</v>
      </c>
      <c r="T3110" s="9" t="str">
        <f ca="1">IFERROR(IF(AND(VLOOKUP(A3110, 'Актуальное состояние (из общего'!A:C,3,0) = "", A3110 &lt;&gt; ""), "ПРОВЕРИТЬ", VLOOKUP(A3110, 'Актуальное состояние (из общего'!A:C,3,0)), "")</f>
        <v/>
      </c>
      <c r="U3110" s="9" t="s">
        <v>13284</v>
      </c>
      <c r="V3110" s="9" t="s">
        <v>13284</v>
      </c>
      <c r="W3110" s="12"/>
      <c r="X3110" s="9" t="str">
        <f t="array" ref="X3110">IFERROR(INDEX('Адреса общежитий (скрытый)'!$B$2:$B$9, MATCH(W3110, 'Адреса общежитий (скрытый)'!$A$2:$A$9, 0)), "")</f>
        <v/>
      </c>
      <c r="Y3110" s="18"/>
      <c r="Z3110" s="18"/>
      <c r="AA3110" s="18"/>
      <c r="AB3110" s="18"/>
      <c r="AC3110" s="18"/>
    </row>
    <row r="3111" spans="1:29" ht="32.25" hidden="1" customHeight="1">
      <c r="A3111" s="17"/>
      <c r="B3111" s="9" t="s">
        <v>13284</v>
      </c>
      <c r="C3111" s="9" t="s">
        <v>13284</v>
      </c>
      <c r="D3111" s="9" t="s">
        <v>13284</v>
      </c>
      <c r="E3111" s="9" t="s">
        <v>13284</v>
      </c>
      <c r="F3111" s="9" t="s">
        <v>13284</v>
      </c>
      <c r="G3111" s="9" t="s">
        <v>13284</v>
      </c>
      <c r="H3111" s="9" t="s">
        <v>13284</v>
      </c>
      <c r="I3111" s="9" t="s">
        <v>13284</v>
      </c>
      <c r="J3111" s="9" t="s">
        <v>13284</v>
      </c>
      <c r="K3111" s="9" t="s">
        <v>13284</v>
      </c>
      <c r="L3111" s="9" t="s">
        <v>13284</v>
      </c>
      <c r="M3111" s="9" t="s">
        <v>13284</v>
      </c>
      <c r="N3111" s="9" t="s">
        <v>13284</v>
      </c>
      <c r="O3111" s="9" t="s">
        <v>13284</v>
      </c>
      <c r="P3111" s="9" t="s">
        <v>13284</v>
      </c>
      <c r="Q3111" s="9" t="s">
        <v>13284</v>
      </c>
      <c r="R3111" s="9" t="s">
        <v>13284</v>
      </c>
      <c r="S3111" s="9" t="s">
        <v>13284</v>
      </c>
      <c r="T3111" s="9" t="str">
        <f ca="1">IFERROR(IF(AND(VLOOKUP(A3111, 'Актуальное состояние (из общего'!A:C,3,0) = "", A3111 &lt;&gt; ""), "ПРОВЕРИТЬ", VLOOKUP(A3111, 'Актуальное состояние (из общего'!A:C,3,0)), "")</f>
        <v/>
      </c>
      <c r="U3111" s="9" t="s">
        <v>13284</v>
      </c>
      <c r="V3111" s="9" t="s">
        <v>13284</v>
      </c>
      <c r="W3111" s="12"/>
      <c r="X3111" s="9" t="str">
        <f t="array" ref="X3111">IFERROR(INDEX('Адреса общежитий (скрытый)'!$B$2:$B$9, MATCH(W3111, 'Адреса общежитий (скрытый)'!$A$2:$A$9, 0)), "")</f>
        <v/>
      </c>
      <c r="Y3111" s="18"/>
      <c r="Z3111" s="18"/>
      <c r="AA3111" s="18"/>
      <c r="AB3111" s="18"/>
      <c r="AC3111" s="18"/>
    </row>
    <row r="3112" spans="1:29" ht="32.25" hidden="1" customHeight="1">
      <c r="A3112" s="17"/>
      <c r="B3112" s="9" t="s">
        <v>13284</v>
      </c>
      <c r="C3112" s="9" t="s">
        <v>13284</v>
      </c>
      <c r="D3112" s="9" t="s">
        <v>13284</v>
      </c>
      <c r="E3112" s="9" t="s">
        <v>13284</v>
      </c>
      <c r="F3112" s="9" t="s">
        <v>13284</v>
      </c>
      <c r="G3112" s="9" t="s">
        <v>13284</v>
      </c>
      <c r="H3112" s="9" t="s">
        <v>13284</v>
      </c>
      <c r="I3112" s="9" t="s">
        <v>13284</v>
      </c>
      <c r="J3112" s="9" t="s">
        <v>13284</v>
      </c>
      <c r="K3112" s="9" t="s">
        <v>13284</v>
      </c>
      <c r="L3112" s="9" t="s">
        <v>13284</v>
      </c>
      <c r="M3112" s="9" t="s">
        <v>13284</v>
      </c>
      <c r="N3112" s="9" t="s">
        <v>13284</v>
      </c>
      <c r="O3112" s="9" t="s">
        <v>13284</v>
      </c>
      <c r="P3112" s="9" t="s">
        <v>13284</v>
      </c>
      <c r="Q3112" s="9" t="s">
        <v>13284</v>
      </c>
      <c r="R3112" s="9" t="s">
        <v>13284</v>
      </c>
      <c r="S3112" s="9" t="s">
        <v>13284</v>
      </c>
      <c r="T3112" s="9" t="str">
        <f ca="1">IFERROR(IF(AND(VLOOKUP(A3112, 'Актуальное состояние (из общего'!A:C,3,0) = "", A3112 &lt;&gt; ""), "ПРОВЕРИТЬ", VLOOKUP(A3112, 'Актуальное состояние (из общего'!A:C,3,0)), "")</f>
        <v/>
      </c>
      <c r="U3112" s="9" t="s">
        <v>13284</v>
      </c>
      <c r="V3112" s="9" t="s">
        <v>13284</v>
      </c>
      <c r="W3112" s="12"/>
      <c r="X3112" s="9" t="str">
        <f t="array" ref="X3112">IFERROR(INDEX('Адреса общежитий (скрытый)'!$B$2:$B$9, MATCH(W3112, 'Адреса общежитий (скрытый)'!$A$2:$A$9, 0)), "")</f>
        <v/>
      </c>
      <c r="Y3112" s="18"/>
      <c r="Z3112" s="18"/>
      <c r="AA3112" s="18"/>
      <c r="AB3112" s="18"/>
      <c r="AC3112" s="18"/>
    </row>
    <row r="3113" spans="1:29" ht="32.25" hidden="1" customHeight="1">
      <c r="A3113" s="17"/>
      <c r="B3113" s="9" t="s">
        <v>13284</v>
      </c>
      <c r="C3113" s="9" t="s">
        <v>13284</v>
      </c>
      <c r="D3113" s="9" t="s">
        <v>13284</v>
      </c>
      <c r="E3113" s="9" t="s">
        <v>13284</v>
      </c>
      <c r="F3113" s="9" t="s">
        <v>13284</v>
      </c>
      <c r="G3113" s="9" t="s">
        <v>13284</v>
      </c>
      <c r="H3113" s="9" t="s">
        <v>13284</v>
      </c>
      <c r="I3113" s="9" t="s">
        <v>13284</v>
      </c>
      <c r="J3113" s="9" t="s">
        <v>13284</v>
      </c>
      <c r="K3113" s="9" t="s">
        <v>13284</v>
      </c>
      <c r="L3113" s="9" t="s">
        <v>13284</v>
      </c>
      <c r="M3113" s="9" t="s">
        <v>13284</v>
      </c>
      <c r="N3113" s="9" t="s">
        <v>13284</v>
      </c>
      <c r="O3113" s="9" t="s">
        <v>13284</v>
      </c>
      <c r="P3113" s="9" t="s">
        <v>13284</v>
      </c>
      <c r="Q3113" s="9" t="s">
        <v>13284</v>
      </c>
      <c r="R3113" s="9" t="s">
        <v>13284</v>
      </c>
      <c r="S3113" s="9" t="s">
        <v>13284</v>
      </c>
      <c r="T3113" s="9" t="str">
        <f ca="1">IFERROR(IF(AND(VLOOKUP(A3113, 'Актуальное состояние (из общего'!A:C,3,0) = "", A3113 &lt;&gt; ""), "ПРОВЕРИТЬ", VLOOKUP(A3113, 'Актуальное состояние (из общего'!A:C,3,0)), "")</f>
        <v/>
      </c>
      <c r="U3113" s="9" t="s">
        <v>13284</v>
      </c>
      <c r="V3113" s="9" t="s">
        <v>13284</v>
      </c>
      <c r="W3113" s="12"/>
      <c r="X3113" s="9" t="str">
        <f t="array" ref="X3113">IFERROR(INDEX('Адреса общежитий (скрытый)'!$B$2:$B$9, MATCH(W3113, 'Адреса общежитий (скрытый)'!$A$2:$A$9, 0)), "")</f>
        <v/>
      </c>
      <c r="Y3113" s="18"/>
      <c r="Z3113" s="18"/>
      <c r="AA3113" s="18"/>
      <c r="AB3113" s="18"/>
      <c r="AC3113" s="18"/>
    </row>
    <row r="3114" spans="1:29" ht="32.25" hidden="1" customHeight="1">
      <c r="A3114" s="17"/>
      <c r="B3114" s="9" t="s">
        <v>13284</v>
      </c>
      <c r="C3114" s="9" t="s">
        <v>13284</v>
      </c>
      <c r="D3114" s="9" t="s">
        <v>13284</v>
      </c>
      <c r="E3114" s="9" t="s">
        <v>13284</v>
      </c>
      <c r="F3114" s="9" t="s">
        <v>13284</v>
      </c>
      <c r="G3114" s="9" t="s">
        <v>13284</v>
      </c>
      <c r="H3114" s="9" t="s">
        <v>13284</v>
      </c>
      <c r="I3114" s="9" t="s">
        <v>13284</v>
      </c>
      <c r="J3114" s="9" t="s">
        <v>13284</v>
      </c>
      <c r="K3114" s="9" t="s">
        <v>13284</v>
      </c>
      <c r="L3114" s="9" t="s">
        <v>13284</v>
      </c>
      <c r="M3114" s="9" t="s">
        <v>13284</v>
      </c>
      <c r="N3114" s="9" t="s">
        <v>13284</v>
      </c>
      <c r="O3114" s="9" t="s">
        <v>13284</v>
      </c>
      <c r="P3114" s="9" t="s">
        <v>13284</v>
      </c>
      <c r="Q3114" s="9" t="s">
        <v>13284</v>
      </c>
      <c r="R3114" s="9" t="s">
        <v>13284</v>
      </c>
      <c r="S3114" s="9" t="s">
        <v>13284</v>
      </c>
      <c r="T3114" s="9" t="str">
        <f ca="1">IFERROR(IF(AND(VLOOKUP(A3114, 'Актуальное состояние (из общего'!A:C,3,0) = "", A3114 &lt;&gt; ""), "ПРОВЕРИТЬ", VLOOKUP(A3114, 'Актуальное состояние (из общего'!A:C,3,0)), "")</f>
        <v/>
      </c>
      <c r="U3114" s="9" t="s">
        <v>13284</v>
      </c>
      <c r="V3114" s="9" t="s">
        <v>13284</v>
      </c>
      <c r="W3114" s="12"/>
      <c r="X3114" s="9" t="str">
        <f t="array" ref="X3114">IFERROR(INDEX('Адреса общежитий (скрытый)'!$B$2:$B$9, MATCH(W3114, 'Адреса общежитий (скрытый)'!$A$2:$A$9, 0)), "")</f>
        <v/>
      </c>
      <c r="Y3114" s="18"/>
      <c r="Z3114" s="18"/>
      <c r="AA3114" s="18"/>
      <c r="AB3114" s="18"/>
      <c r="AC3114" s="18"/>
    </row>
    <row r="3115" spans="1:29" ht="32.25" hidden="1" customHeight="1">
      <c r="A3115" s="17"/>
      <c r="B3115" s="9" t="s">
        <v>13284</v>
      </c>
      <c r="C3115" s="9" t="s">
        <v>13284</v>
      </c>
      <c r="D3115" s="9" t="s">
        <v>13284</v>
      </c>
      <c r="E3115" s="9" t="s">
        <v>13284</v>
      </c>
      <c r="F3115" s="9" t="s">
        <v>13284</v>
      </c>
      <c r="G3115" s="9" t="s">
        <v>13284</v>
      </c>
      <c r="H3115" s="9" t="s">
        <v>13284</v>
      </c>
      <c r="I3115" s="9" t="s">
        <v>13284</v>
      </c>
      <c r="J3115" s="9" t="s">
        <v>13284</v>
      </c>
      <c r="K3115" s="9" t="s">
        <v>13284</v>
      </c>
      <c r="L3115" s="9" t="s">
        <v>13284</v>
      </c>
      <c r="M3115" s="9" t="s">
        <v>13284</v>
      </c>
      <c r="N3115" s="9" t="s">
        <v>13284</v>
      </c>
      <c r="O3115" s="9" t="s">
        <v>13284</v>
      </c>
      <c r="P3115" s="9" t="s">
        <v>13284</v>
      </c>
      <c r="Q3115" s="9" t="s">
        <v>13284</v>
      </c>
      <c r="R3115" s="9" t="s">
        <v>13284</v>
      </c>
      <c r="S3115" s="9" t="s">
        <v>13284</v>
      </c>
      <c r="T3115" s="9" t="str">
        <f ca="1">IFERROR(IF(AND(VLOOKUP(A3115, 'Актуальное состояние (из общего'!A:C,3,0) = "", A3115 &lt;&gt; ""), "ПРОВЕРИТЬ", VLOOKUP(A3115, 'Актуальное состояние (из общего'!A:C,3,0)), "")</f>
        <v/>
      </c>
      <c r="U3115" s="9" t="s">
        <v>13284</v>
      </c>
      <c r="V3115" s="9" t="s">
        <v>13284</v>
      </c>
      <c r="W3115" s="12"/>
      <c r="X3115" s="9" t="str">
        <f t="array" ref="X3115">IFERROR(INDEX('Адреса общежитий (скрытый)'!$B$2:$B$9, MATCH(W3115, 'Адреса общежитий (скрытый)'!$A$2:$A$9, 0)), "")</f>
        <v/>
      </c>
      <c r="Y3115" s="18"/>
      <c r="Z3115" s="18"/>
      <c r="AA3115" s="18"/>
      <c r="AB3115" s="18"/>
      <c r="AC3115" s="18"/>
    </row>
    <row r="3116" spans="1:29" ht="32.25" hidden="1" customHeight="1">
      <c r="A3116" s="17"/>
      <c r="B3116" s="9" t="s">
        <v>13284</v>
      </c>
      <c r="C3116" s="9" t="s">
        <v>13284</v>
      </c>
      <c r="D3116" s="9" t="s">
        <v>13284</v>
      </c>
      <c r="E3116" s="9" t="s">
        <v>13284</v>
      </c>
      <c r="F3116" s="9" t="s">
        <v>13284</v>
      </c>
      <c r="G3116" s="9" t="s">
        <v>13284</v>
      </c>
      <c r="H3116" s="9" t="s">
        <v>13284</v>
      </c>
      <c r="I3116" s="9" t="s">
        <v>13284</v>
      </c>
      <c r="J3116" s="9" t="s">
        <v>13284</v>
      </c>
      <c r="K3116" s="9" t="s">
        <v>13284</v>
      </c>
      <c r="L3116" s="9" t="s">
        <v>13284</v>
      </c>
      <c r="M3116" s="9" t="s">
        <v>13284</v>
      </c>
      <c r="N3116" s="9" t="s">
        <v>13284</v>
      </c>
      <c r="O3116" s="9" t="s">
        <v>13284</v>
      </c>
      <c r="P3116" s="9" t="s">
        <v>13284</v>
      </c>
      <c r="Q3116" s="9" t="s">
        <v>13284</v>
      </c>
      <c r="R3116" s="9" t="s">
        <v>13284</v>
      </c>
      <c r="S3116" s="9" t="s">
        <v>13284</v>
      </c>
      <c r="T3116" s="9" t="str">
        <f ca="1">IFERROR(IF(AND(VLOOKUP(A3116, 'Актуальное состояние (из общего'!A:C,3,0) = "", A3116 &lt;&gt; ""), "ПРОВЕРИТЬ", VLOOKUP(A3116, 'Актуальное состояние (из общего'!A:C,3,0)), "")</f>
        <v/>
      </c>
      <c r="U3116" s="9" t="s">
        <v>13284</v>
      </c>
      <c r="V3116" s="9" t="s">
        <v>13284</v>
      </c>
      <c r="W3116" s="12"/>
      <c r="X3116" s="9" t="str">
        <f t="array" ref="X3116">IFERROR(INDEX('Адреса общежитий (скрытый)'!$B$2:$B$9, MATCH(W3116, 'Адреса общежитий (скрытый)'!$A$2:$A$9, 0)), "")</f>
        <v/>
      </c>
      <c r="Y3116" s="18"/>
      <c r="Z3116" s="18"/>
      <c r="AA3116" s="18"/>
      <c r="AB3116" s="18"/>
      <c r="AC3116" s="18"/>
    </row>
    <row r="3117" spans="1:29" ht="32.25" hidden="1" customHeight="1">
      <c r="A3117" s="17"/>
      <c r="B3117" s="9" t="s">
        <v>13284</v>
      </c>
      <c r="C3117" s="9" t="s">
        <v>13284</v>
      </c>
      <c r="D3117" s="9" t="s">
        <v>13284</v>
      </c>
      <c r="E3117" s="9" t="s">
        <v>13284</v>
      </c>
      <c r="F3117" s="9" t="s">
        <v>13284</v>
      </c>
      <c r="G3117" s="9" t="s">
        <v>13284</v>
      </c>
      <c r="H3117" s="9" t="s">
        <v>13284</v>
      </c>
      <c r="I3117" s="9" t="s">
        <v>13284</v>
      </c>
      <c r="J3117" s="9" t="s">
        <v>13284</v>
      </c>
      <c r="K3117" s="9" t="s">
        <v>13284</v>
      </c>
      <c r="L3117" s="9" t="s">
        <v>13284</v>
      </c>
      <c r="M3117" s="9" t="s">
        <v>13284</v>
      </c>
      <c r="N3117" s="9" t="s">
        <v>13284</v>
      </c>
      <c r="O3117" s="9" t="s">
        <v>13284</v>
      </c>
      <c r="P3117" s="9" t="s">
        <v>13284</v>
      </c>
      <c r="Q3117" s="9" t="s">
        <v>13284</v>
      </c>
      <c r="R3117" s="9" t="s">
        <v>13284</v>
      </c>
      <c r="S3117" s="9" t="s">
        <v>13284</v>
      </c>
      <c r="T3117" s="9" t="str">
        <f ca="1">IFERROR(IF(AND(VLOOKUP(A3117, 'Актуальное состояние (из общего'!A:C,3,0) = "", A3117 &lt;&gt; ""), "ПРОВЕРИТЬ", VLOOKUP(A3117, 'Актуальное состояние (из общего'!A:C,3,0)), "")</f>
        <v/>
      </c>
      <c r="U3117" s="9" t="s">
        <v>13284</v>
      </c>
      <c r="V3117" s="9" t="s">
        <v>13284</v>
      </c>
      <c r="W3117" s="12"/>
      <c r="X3117" s="9" t="str">
        <f t="array" ref="X3117">IFERROR(INDEX('Адреса общежитий (скрытый)'!$B$2:$B$9, MATCH(W3117, 'Адреса общежитий (скрытый)'!$A$2:$A$9, 0)), "")</f>
        <v/>
      </c>
      <c r="Y3117" s="18"/>
      <c r="Z3117" s="18"/>
      <c r="AA3117" s="18"/>
      <c r="AB3117" s="18"/>
      <c r="AC3117" s="18"/>
    </row>
    <row r="3118" spans="1:29" ht="32.25" hidden="1" customHeight="1">
      <c r="A3118" s="17"/>
      <c r="B3118" s="9" t="s">
        <v>13284</v>
      </c>
      <c r="C3118" s="9" t="s">
        <v>13284</v>
      </c>
      <c r="D3118" s="9" t="s">
        <v>13284</v>
      </c>
      <c r="E3118" s="9" t="s">
        <v>13284</v>
      </c>
      <c r="F3118" s="9" t="s">
        <v>13284</v>
      </c>
      <c r="G3118" s="9" t="s">
        <v>13284</v>
      </c>
      <c r="H3118" s="9" t="s">
        <v>13284</v>
      </c>
      <c r="I3118" s="9" t="s">
        <v>13284</v>
      </c>
      <c r="J3118" s="9" t="s">
        <v>13284</v>
      </c>
      <c r="K3118" s="9" t="s">
        <v>13284</v>
      </c>
      <c r="L3118" s="9" t="s">
        <v>13284</v>
      </c>
      <c r="M3118" s="9" t="s">
        <v>13284</v>
      </c>
      <c r="N3118" s="9" t="s">
        <v>13284</v>
      </c>
      <c r="O3118" s="9" t="s">
        <v>13284</v>
      </c>
      <c r="P3118" s="9" t="s">
        <v>13284</v>
      </c>
      <c r="Q3118" s="9" t="s">
        <v>13284</v>
      </c>
      <c r="R3118" s="9" t="s">
        <v>13284</v>
      </c>
      <c r="S3118" s="9" t="s">
        <v>13284</v>
      </c>
      <c r="T3118" s="9" t="str">
        <f ca="1">IFERROR(IF(AND(VLOOKUP(A3118, 'Актуальное состояние (из общего'!A:C,3,0) = "", A3118 &lt;&gt; ""), "ПРОВЕРИТЬ", VLOOKUP(A3118, 'Актуальное состояние (из общего'!A:C,3,0)), "")</f>
        <v/>
      </c>
      <c r="U3118" s="9" t="s">
        <v>13284</v>
      </c>
      <c r="V3118" s="9" t="s">
        <v>13284</v>
      </c>
      <c r="W3118" s="12"/>
      <c r="X3118" s="9" t="str">
        <f t="array" ref="X3118">IFERROR(INDEX('Адреса общежитий (скрытый)'!$B$2:$B$9, MATCH(W3118, 'Адреса общежитий (скрытый)'!$A$2:$A$9, 0)), "")</f>
        <v/>
      </c>
      <c r="Y3118" s="18"/>
      <c r="Z3118" s="18"/>
      <c r="AA3118" s="18"/>
      <c r="AB3118" s="18"/>
      <c r="AC3118" s="18"/>
    </row>
    <row r="3119" spans="1:29" ht="32.25" hidden="1" customHeight="1">
      <c r="A3119" s="17"/>
      <c r="B3119" s="9" t="s">
        <v>13284</v>
      </c>
      <c r="C3119" s="9" t="s">
        <v>13284</v>
      </c>
      <c r="D3119" s="9" t="s">
        <v>13284</v>
      </c>
      <c r="E3119" s="9" t="s">
        <v>13284</v>
      </c>
      <c r="F3119" s="9" t="s">
        <v>13284</v>
      </c>
      <c r="G3119" s="9" t="s">
        <v>13284</v>
      </c>
      <c r="H3119" s="9" t="s">
        <v>13284</v>
      </c>
      <c r="I3119" s="9" t="s">
        <v>13284</v>
      </c>
      <c r="J3119" s="9" t="s">
        <v>13284</v>
      </c>
      <c r="K3119" s="9" t="s">
        <v>13284</v>
      </c>
      <c r="L3119" s="9" t="s">
        <v>13284</v>
      </c>
      <c r="M3119" s="9" t="s">
        <v>13284</v>
      </c>
      <c r="N3119" s="9" t="s">
        <v>13284</v>
      </c>
      <c r="O3119" s="9" t="s">
        <v>13284</v>
      </c>
      <c r="P3119" s="9" t="s">
        <v>13284</v>
      </c>
      <c r="Q3119" s="9" t="s">
        <v>13284</v>
      </c>
      <c r="R3119" s="9" t="s">
        <v>13284</v>
      </c>
      <c r="S3119" s="9" t="s">
        <v>13284</v>
      </c>
      <c r="T3119" s="9" t="str">
        <f ca="1">IFERROR(IF(AND(VLOOKUP(A3119, 'Актуальное состояние (из общего'!A:C,3,0) = "", A3119 &lt;&gt; ""), "ПРОВЕРИТЬ", VLOOKUP(A3119, 'Актуальное состояние (из общего'!A:C,3,0)), "")</f>
        <v/>
      </c>
      <c r="U3119" s="9" t="s">
        <v>13284</v>
      </c>
      <c r="V3119" s="9" t="s">
        <v>13284</v>
      </c>
      <c r="W3119" s="12"/>
      <c r="X3119" s="9" t="str">
        <f t="array" ref="X3119">IFERROR(INDEX('Адреса общежитий (скрытый)'!$B$2:$B$9, MATCH(W3119, 'Адреса общежитий (скрытый)'!$A$2:$A$9, 0)), "")</f>
        <v/>
      </c>
      <c r="Y3119" s="18"/>
      <c r="Z3119" s="18"/>
      <c r="AA3119" s="18"/>
      <c r="AB3119" s="18"/>
      <c r="AC3119" s="18"/>
    </row>
    <row r="3120" spans="1:29" ht="32.25" hidden="1" customHeight="1">
      <c r="A3120" s="17"/>
      <c r="B3120" s="9" t="s">
        <v>13284</v>
      </c>
      <c r="C3120" s="9" t="s">
        <v>13284</v>
      </c>
      <c r="D3120" s="9" t="s">
        <v>13284</v>
      </c>
      <c r="E3120" s="9" t="s">
        <v>13284</v>
      </c>
      <c r="F3120" s="9" t="s">
        <v>13284</v>
      </c>
      <c r="G3120" s="9" t="s">
        <v>13284</v>
      </c>
      <c r="H3120" s="9" t="s">
        <v>13284</v>
      </c>
      <c r="I3120" s="9" t="s">
        <v>13284</v>
      </c>
      <c r="J3120" s="9" t="s">
        <v>13284</v>
      </c>
      <c r="K3120" s="9" t="s">
        <v>13284</v>
      </c>
      <c r="L3120" s="9" t="s">
        <v>13284</v>
      </c>
      <c r="M3120" s="9" t="s">
        <v>13284</v>
      </c>
      <c r="N3120" s="9" t="s">
        <v>13284</v>
      </c>
      <c r="O3120" s="9" t="s">
        <v>13284</v>
      </c>
      <c r="P3120" s="9" t="s">
        <v>13284</v>
      </c>
      <c r="Q3120" s="9" t="s">
        <v>13284</v>
      </c>
      <c r="R3120" s="9" t="s">
        <v>13284</v>
      </c>
      <c r="S3120" s="9" t="s">
        <v>13284</v>
      </c>
      <c r="T3120" s="9" t="str">
        <f ca="1">IFERROR(IF(AND(VLOOKUP(A3120, 'Актуальное состояние (из общего'!A:C,3,0) = "", A3120 &lt;&gt; ""), "ПРОВЕРИТЬ", VLOOKUP(A3120, 'Актуальное состояние (из общего'!A:C,3,0)), "")</f>
        <v/>
      </c>
      <c r="U3120" s="9" t="s">
        <v>13284</v>
      </c>
      <c r="V3120" s="9" t="s">
        <v>13284</v>
      </c>
      <c r="W3120" s="12"/>
      <c r="X3120" s="9" t="str">
        <f t="array" ref="X3120">IFERROR(INDEX('Адреса общежитий (скрытый)'!$B$2:$B$9, MATCH(W3120, 'Адреса общежитий (скрытый)'!$A$2:$A$9, 0)), "")</f>
        <v/>
      </c>
      <c r="Y3120" s="18"/>
      <c r="Z3120" s="18"/>
      <c r="AA3120" s="18"/>
      <c r="AB3120" s="18"/>
      <c r="AC3120" s="18"/>
    </row>
    <row r="3121" spans="1:29" ht="32.25" hidden="1" customHeight="1">
      <c r="A3121" s="17"/>
      <c r="B3121" s="9" t="s">
        <v>13284</v>
      </c>
      <c r="C3121" s="9" t="s">
        <v>13284</v>
      </c>
      <c r="D3121" s="9" t="s">
        <v>13284</v>
      </c>
      <c r="E3121" s="9" t="s">
        <v>13284</v>
      </c>
      <c r="F3121" s="9" t="s">
        <v>13284</v>
      </c>
      <c r="G3121" s="9" t="s">
        <v>13284</v>
      </c>
      <c r="H3121" s="9" t="s">
        <v>13284</v>
      </c>
      <c r="I3121" s="9" t="s">
        <v>13284</v>
      </c>
      <c r="J3121" s="9" t="s">
        <v>13284</v>
      </c>
      <c r="K3121" s="9" t="s">
        <v>13284</v>
      </c>
      <c r="L3121" s="9" t="s">
        <v>13284</v>
      </c>
      <c r="M3121" s="9" t="s">
        <v>13284</v>
      </c>
      <c r="N3121" s="9" t="s">
        <v>13284</v>
      </c>
      <c r="O3121" s="9" t="s">
        <v>13284</v>
      </c>
      <c r="P3121" s="9" t="s">
        <v>13284</v>
      </c>
      <c r="Q3121" s="9" t="s">
        <v>13284</v>
      </c>
      <c r="R3121" s="9" t="s">
        <v>13284</v>
      </c>
      <c r="S3121" s="9" t="s">
        <v>13284</v>
      </c>
      <c r="T3121" s="9" t="str">
        <f ca="1">IFERROR(IF(AND(VLOOKUP(A3121, 'Актуальное состояние (из общего'!A:C,3,0) = "", A3121 &lt;&gt; ""), "ПРОВЕРИТЬ", VLOOKUP(A3121, 'Актуальное состояние (из общего'!A:C,3,0)), "")</f>
        <v/>
      </c>
      <c r="U3121" s="9" t="s">
        <v>13284</v>
      </c>
      <c r="V3121" s="9" t="s">
        <v>13284</v>
      </c>
      <c r="W3121" s="12"/>
      <c r="X3121" s="9" t="str">
        <f t="array" ref="X3121">IFERROR(INDEX('Адреса общежитий (скрытый)'!$B$2:$B$9, MATCH(W3121, 'Адреса общежитий (скрытый)'!$A$2:$A$9, 0)), "")</f>
        <v/>
      </c>
      <c r="Y3121" s="18"/>
      <c r="Z3121" s="18"/>
      <c r="AA3121" s="18"/>
      <c r="AB3121" s="18"/>
      <c r="AC3121" s="18"/>
    </row>
    <row r="3122" spans="1:29" ht="32.25" hidden="1" customHeight="1">
      <c r="A3122" s="17"/>
      <c r="B3122" s="9" t="s">
        <v>13284</v>
      </c>
      <c r="C3122" s="9" t="s">
        <v>13284</v>
      </c>
      <c r="D3122" s="9" t="s">
        <v>13284</v>
      </c>
      <c r="E3122" s="9" t="s">
        <v>13284</v>
      </c>
      <c r="F3122" s="9" t="s">
        <v>13284</v>
      </c>
      <c r="G3122" s="9" t="s">
        <v>13284</v>
      </c>
      <c r="H3122" s="9" t="s">
        <v>13284</v>
      </c>
      <c r="I3122" s="9" t="s">
        <v>13284</v>
      </c>
      <c r="J3122" s="9" t="s">
        <v>13284</v>
      </c>
      <c r="K3122" s="9" t="s">
        <v>13284</v>
      </c>
      <c r="L3122" s="9" t="s">
        <v>13284</v>
      </c>
      <c r="M3122" s="9" t="s">
        <v>13284</v>
      </c>
      <c r="N3122" s="9" t="s">
        <v>13284</v>
      </c>
      <c r="O3122" s="9" t="s">
        <v>13284</v>
      </c>
      <c r="P3122" s="9" t="s">
        <v>13284</v>
      </c>
      <c r="Q3122" s="9" t="s">
        <v>13284</v>
      </c>
      <c r="R3122" s="9" t="s">
        <v>13284</v>
      </c>
      <c r="S3122" s="9" t="s">
        <v>13284</v>
      </c>
      <c r="T3122" s="9" t="str">
        <f ca="1">IFERROR(IF(AND(VLOOKUP(A3122, 'Актуальное состояние (из общего'!A:C,3,0) = "", A3122 &lt;&gt; ""), "ПРОВЕРИТЬ", VLOOKUP(A3122, 'Актуальное состояние (из общего'!A:C,3,0)), "")</f>
        <v/>
      </c>
      <c r="U3122" s="9" t="s">
        <v>13284</v>
      </c>
      <c r="V3122" s="9" t="s">
        <v>13284</v>
      </c>
      <c r="W3122" s="12"/>
      <c r="X3122" s="9" t="str">
        <f t="array" ref="X3122">IFERROR(INDEX('Адреса общежитий (скрытый)'!$B$2:$B$9, MATCH(W3122, 'Адреса общежитий (скрытый)'!$A$2:$A$9, 0)), "")</f>
        <v/>
      </c>
      <c r="Y3122" s="18"/>
      <c r="Z3122" s="18"/>
      <c r="AA3122" s="18"/>
      <c r="AB3122" s="18"/>
      <c r="AC3122" s="18"/>
    </row>
    <row r="3123" spans="1:29" ht="32.25" hidden="1" customHeight="1">
      <c r="A3123" s="17"/>
      <c r="B3123" s="9" t="s">
        <v>13284</v>
      </c>
      <c r="C3123" s="9" t="s">
        <v>13284</v>
      </c>
      <c r="D3123" s="9" t="s">
        <v>13284</v>
      </c>
      <c r="E3123" s="9" t="s">
        <v>13284</v>
      </c>
      <c r="F3123" s="9" t="s">
        <v>13284</v>
      </c>
      <c r="G3123" s="9" t="s">
        <v>13284</v>
      </c>
      <c r="H3123" s="9" t="s">
        <v>13284</v>
      </c>
      <c r="I3123" s="9" t="s">
        <v>13284</v>
      </c>
      <c r="J3123" s="9" t="s">
        <v>13284</v>
      </c>
      <c r="K3123" s="9" t="s">
        <v>13284</v>
      </c>
      <c r="L3123" s="9" t="s">
        <v>13284</v>
      </c>
      <c r="M3123" s="9" t="s">
        <v>13284</v>
      </c>
      <c r="N3123" s="9" t="s">
        <v>13284</v>
      </c>
      <c r="O3123" s="9" t="s">
        <v>13284</v>
      </c>
      <c r="P3123" s="9" t="s">
        <v>13284</v>
      </c>
      <c r="Q3123" s="9" t="s">
        <v>13284</v>
      </c>
      <c r="R3123" s="9" t="s">
        <v>13284</v>
      </c>
      <c r="S3123" s="9" t="s">
        <v>13284</v>
      </c>
      <c r="T3123" s="9" t="str">
        <f ca="1">IFERROR(IF(AND(VLOOKUP(A3123, 'Актуальное состояние (из общего'!A:C,3,0) = "", A3123 &lt;&gt; ""), "ПРОВЕРИТЬ", VLOOKUP(A3123, 'Актуальное состояние (из общего'!A:C,3,0)), "")</f>
        <v/>
      </c>
      <c r="U3123" s="9" t="s">
        <v>13284</v>
      </c>
      <c r="V3123" s="9" t="s">
        <v>13284</v>
      </c>
      <c r="W3123" s="12"/>
      <c r="X3123" s="9" t="str">
        <f t="array" ref="X3123">IFERROR(INDEX('Адреса общежитий (скрытый)'!$B$2:$B$9, MATCH(W3123, 'Адреса общежитий (скрытый)'!$A$2:$A$9, 0)), "")</f>
        <v/>
      </c>
      <c r="Y3123" s="18"/>
      <c r="Z3123" s="18"/>
      <c r="AA3123" s="18"/>
      <c r="AB3123" s="18"/>
      <c r="AC3123" s="18"/>
    </row>
    <row r="3124" spans="1:29" ht="32.25" hidden="1" customHeight="1">
      <c r="A3124" s="17"/>
      <c r="B3124" s="9" t="s">
        <v>13284</v>
      </c>
      <c r="C3124" s="9" t="s">
        <v>13284</v>
      </c>
      <c r="D3124" s="9" t="s">
        <v>13284</v>
      </c>
      <c r="E3124" s="9" t="s">
        <v>13284</v>
      </c>
      <c r="F3124" s="9" t="s">
        <v>13284</v>
      </c>
      <c r="G3124" s="9" t="s">
        <v>13284</v>
      </c>
      <c r="H3124" s="9" t="s">
        <v>13284</v>
      </c>
      <c r="I3124" s="9" t="s">
        <v>13284</v>
      </c>
      <c r="J3124" s="9" t="s">
        <v>13284</v>
      </c>
      <c r="K3124" s="9" t="s">
        <v>13284</v>
      </c>
      <c r="L3124" s="9" t="s">
        <v>13284</v>
      </c>
      <c r="M3124" s="9" t="s">
        <v>13284</v>
      </c>
      <c r="N3124" s="9" t="s">
        <v>13284</v>
      </c>
      <c r="O3124" s="9" t="s">
        <v>13284</v>
      </c>
      <c r="P3124" s="9" t="s">
        <v>13284</v>
      </c>
      <c r="Q3124" s="9" t="s">
        <v>13284</v>
      </c>
      <c r="R3124" s="9" t="s">
        <v>13284</v>
      </c>
      <c r="S3124" s="9" t="s">
        <v>13284</v>
      </c>
      <c r="T3124" s="9" t="str">
        <f ca="1">IFERROR(IF(AND(VLOOKUP(A3124, 'Актуальное состояние (из общего'!A:C,3,0) = "", A3124 &lt;&gt; ""), "ПРОВЕРИТЬ", VLOOKUP(A3124, 'Актуальное состояние (из общего'!A:C,3,0)), "")</f>
        <v/>
      </c>
      <c r="U3124" s="9" t="s">
        <v>13284</v>
      </c>
      <c r="V3124" s="9" t="s">
        <v>13284</v>
      </c>
      <c r="W3124" s="12"/>
      <c r="X3124" s="9" t="str">
        <f t="array" ref="X3124">IFERROR(INDEX('Адреса общежитий (скрытый)'!$B$2:$B$9, MATCH(W3124, 'Адреса общежитий (скрытый)'!$A$2:$A$9, 0)), "")</f>
        <v/>
      </c>
      <c r="Y3124" s="18"/>
      <c r="Z3124" s="18"/>
      <c r="AA3124" s="18"/>
      <c r="AB3124" s="18"/>
      <c r="AC3124" s="18"/>
    </row>
    <row r="3125" spans="1:29" ht="32.25" hidden="1" customHeight="1">
      <c r="A3125" s="17"/>
      <c r="B3125" s="9" t="s">
        <v>13284</v>
      </c>
      <c r="C3125" s="9" t="s">
        <v>13284</v>
      </c>
      <c r="D3125" s="9" t="s">
        <v>13284</v>
      </c>
      <c r="E3125" s="9" t="s">
        <v>13284</v>
      </c>
      <c r="F3125" s="9" t="s">
        <v>13284</v>
      </c>
      <c r="G3125" s="9" t="s">
        <v>13284</v>
      </c>
      <c r="H3125" s="9" t="s">
        <v>13284</v>
      </c>
      <c r="I3125" s="9" t="s">
        <v>13284</v>
      </c>
      <c r="J3125" s="9" t="s">
        <v>13284</v>
      </c>
      <c r="K3125" s="9" t="s">
        <v>13284</v>
      </c>
      <c r="L3125" s="9" t="s">
        <v>13284</v>
      </c>
      <c r="M3125" s="9" t="s">
        <v>13284</v>
      </c>
      <c r="N3125" s="9" t="s">
        <v>13284</v>
      </c>
      <c r="O3125" s="9" t="s">
        <v>13284</v>
      </c>
      <c r="P3125" s="9" t="s">
        <v>13284</v>
      </c>
      <c r="Q3125" s="9" t="s">
        <v>13284</v>
      </c>
      <c r="R3125" s="9" t="s">
        <v>13284</v>
      </c>
      <c r="S3125" s="9" t="s">
        <v>13284</v>
      </c>
      <c r="T3125" s="9" t="str">
        <f ca="1">IFERROR(IF(AND(VLOOKUP(A3125, 'Актуальное состояние (из общего'!A:C,3,0) = "", A3125 &lt;&gt; ""), "ПРОВЕРИТЬ", VLOOKUP(A3125, 'Актуальное состояние (из общего'!A:C,3,0)), "")</f>
        <v/>
      </c>
      <c r="U3125" s="9" t="s">
        <v>13284</v>
      </c>
      <c r="V3125" s="9" t="s">
        <v>13284</v>
      </c>
      <c r="W3125" s="12"/>
      <c r="X3125" s="9" t="str">
        <f t="array" ref="X3125">IFERROR(INDEX('Адреса общежитий (скрытый)'!$B$2:$B$9, MATCH(W3125, 'Адреса общежитий (скрытый)'!$A$2:$A$9, 0)), "")</f>
        <v/>
      </c>
      <c r="Y3125" s="18"/>
      <c r="Z3125" s="18"/>
      <c r="AA3125" s="18"/>
      <c r="AB3125" s="18"/>
      <c r="AC3125" s="18"/>
    </row>
    <row r="3126" spans="1:29" ht="32.25" hidden="1" customHeight="1">
      <c r="A3126" s="17"/>
      <c r="B3126" s="9" t="s">
        <v>13284</v>
      </c>
      <c r="C3126" s="9" t="s">
        <v>13284</v>
      </c>
      <c r="D3126" s="9" t="s">
        <v>13284</v>
      </c>
      <c r="E3126" s="9" t="s">
        <v>13284</v>
      </c>
      <c r="F3126" s="9" t="s">
        <v>13284</v>
      </c>
      <c r="G3126" s="9" t="s">
        <v>13284</v>
      </c>
      <c r="H3126" s="9" t="s">
        <v>13284</v>
      </c>
      <c r="I3126" s="9" t="s">
        <v>13284</v>
      </c>
      <c r="J3126" s="9" t="s">
        <v>13284</v>
      </c>
      <c r="K3126" s="9" t="s">
        <v>13284</v>
      </c>
      <c r="L3126" s="9" t="s">
        <v>13284</v>
      </c>
      <c r="M3126" s="9" t="s">
        <v>13284</v>
      </c>
      <c r="N3126" s="9" t="s">
        <v>13284</v>
      </c>
      <c r="O3126" s="9" t="s">
        <v>13284</v>
      </c>
      <c r="P3126" s="9" t="s">
        <v>13284</v>
      </c>
      <c r="Q3126" s="9" t="s">
        <v>13284</v>
      </c>
      <c r="R3126" s="9" t="s">
        <v>13284</v>
      </c>
      <c r="S3126" s="9" t="s">
        <v>13284</v>
      </c>
      <c r="T3126" s="9" t="str">
        <f ca="1">IFERROR(IF(AND(VLOOKUP(A3126, 'Актуальное состояние (из общего'!A:C,3,0) = "", A3126 &lt;&gt; ""), "ПРОВЕРИТЬ", VLOOKUP(A3126, 'Актуальное состояние (из общего'!A:C,3,0)), "")</f>
        <v/>
      </c>
      <c r="U3126" s="9" t="s">
        <v>13284</v>
      </c>
      <c r="V3126" s="9" t="s">
        <v>13284</v>
      </c>
      <c r="W3126" s="12"/>
      <c r="X3126" s="9" t="str">
        <f t="array" ref="X3126">IFERROR(INDEX('Адреса общежитий (скрытый)'!$B$2:$B$9, MATCH(W3126, 'Адреса общежитий (скрытый)'!$A$2:$A$9, 0)), "")</f>
        <v/>
      </c>
      <c r="Y3126" s="18"/>
      <c r="Z3126" s="18"/>
      <c r="AA3126" s="18"/>
      <c r="AB3126" s="18"/>
      <c r="AC3126" s="18"/>
    </row>
    <row r="3127" spans="1:29" ht="32.25" hidden="1" customHeight="1">
      <c r="A3127" s="17"/>
      <c r="B3127" s="9" t="s">
        <v>13284</v>
      </c>
      <c r="C3127" s="9" t="s">
        <v>13284</v>
      </c>
      <c r="D3127" s="9" t="s">
        <v>13284</v>
      </c>
      <c r="E3127" s="9" t="s">
        <v>13284</v>
      </c>
      <c r="F3127" s="9" t="s">
        <v>13284</v>
      </c>
      <c r="G3127" s="9" t="s">
        <v>13284</v>
      </c>
      <c r="H3127" s="9" t="s">
        <v>13284</v>
      </c>
      <c r="I3127" s="9" t="s">
        <v>13284</v>
      </c>
      <c r="J3127" s="9" t="s">
        <v>13284</v>
      </c>
      <c r="K3127" s="9" t="s">
        <v>13284</v>
      </c>
      <c r="L3127" s="9" t="s">
        <v>13284</v>
      </c>
      <c r="M3127" s="9" t="s">
        <v>13284</v>
      </c>
      <c r="N3127" s="9" t="s">
        <v>13284</v>
      </c>
      <c r="O3127" s="9" t="s">
        <v>13284</v>
      </c>
      <c r="P3127" s="9" t="s">
        <v>13284</v>
      </c>
      <c r="Q3127" s="9" t="s">
        <v>13284</v>
      </c>
      <c r="R3127" s="9" t="s">
        <v>13284</v>
      </c>
      <c r="S3127" s="9" t="s">
        <v>13284</v>
      </c>
      <c r="T3127" s="9" t="str">
        <f ca="1">IFERROR(IF(AND(VLOOKUP(A3127, 'Актуальное состояние (из общего'!A:C,3,0) = "", A3127 &lt;&gt; ""), "ПРОВЕРИТЬ", VLOOKUP(A3127, 'Актуальное состояние (из общего'!A:C,3,0)), "")</f>
        <v/>
      </c>
      <c r="U3127" s="9" t="s">
        <v>13284</v>
      </c>
      <c r="V3127" s="9" t="s">
        <v>13284</v>
      </c>
      <c r="W3127" s="12"/>
      <c r="X3127" s="9" t="str">
        <f t="array" ref="X3127">IFERROR(INDEX('Адреса общежитий (скрытый)'!$B$2:$B$9, MATCH(W3127, 'Адреса общежитий (скрытый)'!$A$2:$A$9, 0)), "")</f>
        <v/>
      </c>
      <c r="Y3127" s="18"/>
      <c r="Z3127" s="18"/>
      <c r="AA3127" s="18"/>
      <c r="AB3127" s="18"/>
      <c r="AC3127" s="18"/>
    </row>
    <row r="3128" spans="1:29" ht="32.25" hidden="1" customHeight="1">
      <c r="A3128" s="17"/>
      <c r="B3128" s="9" t="s">
        <v>13284</v>
      </c>
      <c r="C3128" s="9" t="s">
        <v>13284</v>
      </c>
      <c r="D3128" s="9" t="s">
        <v>13284</v>
      </c>
      <c r="E3128" s="9" t="s">
        <v>13284</v>
      </c>
      <c r="F3128" s="9" t="s">
        <v>13284</v>
      </c>
      <c r="G3128" s="9" t="s">
        <v>13284</v>
      </c>
      <c r="H3128" s="9" t="s">
        <v>13284</v>
      </c>
      <c r="I3128" s="9" t="s">
        <v>13284</v>
      </c>
      <c r="J3128" s="9" t="s">
        <v>13284</v>
      </c>
      <c r="K3128" s="9" t="s">
        <v>13284</v>
      </c>
      <c r="L3128" s="9" t="s">
        <v>13284</v>
      </c>
      <c r="M3128" s="9" t="s">
        <v>13284</v>
      </c>
      <c r="N3128" s="9" t="s">
        <v>13284</v>
      </c>
      <c r="O3128" s="9" t="s">
        <v>13284</v>
      </c>
      <c r="P3128" s="9" t="s">
        <v>13284</v>
      </c>
      <c r="Q3128" s="9" t="s">
        <v>13284</v>
      </c>
      <c r="R3128" s="9" t="s">
        <v>13284</v>
      </c>
      <c r="S3128" s="9" t="s">
        <v>13284</v>
      </c>
      <c r="T3128" s="9" t="str">
        <f ca="1">IFERROR(IF(AND(VLOOKUP(A3128, 'Актуальное состояние (из общего'!A:C,3,0) = "", A3128 &lt;&gt; ""), "ПРОВЕРИТЬ", VLOOKUP(A3128, 'Актуальное состояние (из общего'!A:C,3,0)), "")</f>
        <v/>
      </c>
      <c r="U3128" s="9" t="s">
        <v>13284</v>
      </c>
      <c r="V3128" s="9" t="s">
        <v>13284</v>
      </c>
      <c r="W3128" s="12"/>
      <c r="X3128" s="9" t="str">
        <f t="array" ref="X3128">IFERROR(INDEX('Адреса общежитий (скрытый)'!$B$2:$B$9, MATCH(W3128, 'Адреса общежитий (скрытый)'!$A$2:$A$9, 0)), "")</f>
        <v/>
      </c>
      <c r="Y3128" s="18"/>
      <c r="Z3128" s="18"/>
      <c r="AA3128" s="18"/>
      <c r="AB3128" s="18"/>
      <c r="AC3128" s="18"/>
    </row>
    <row r="3129" spans="1:29" ht="32.25" hidden="1" customHeight="1">
      <c r="A3129" s="17"/>
      <c r="B3129" s="9" t="s">
        <v>13284</v>
      </c>
      <c r="C3129" s="9" t="s">
        <v>13284</v>
      </c>
      <c r="D3129" s="9" t="s">
        <v>13284</v>
      </c>
      <c r="E3129" s="9" t="s">
        <v>13284</v>
      </c>
      <c r="F3129" s="9" t="s">
        <v>13284</v>
      </c>
      <c r="G3129" s="9" t="s">
        <v>13284</v>
      </c>
      <c r="H3129" s="9" t="s">
        <v>13284</v>
      </c>
      <c r="I3129" s="9" t="s">
        <v>13284</v>
      </c>
      <c r="J3129" s="9" t="s">
        <v>13284</v>
      </c>
      <c r="K3129" s="9" t="s">
        <v>13284</v>
      </c>
      <c r="L3129" s="9" t="s">
        <v>13284</v>
      </c>
      <c r="M3129" s="9" t="s">
        <v>13284</v>
      </c>
      <c r="N3129" s="9" t="s">
        <v>13284</v>
      </c>
      <c r="O3129" s="9" t="s">
        <v>13284</v>
      </c>
      <c r="P3129" s="9" t="s">
        <v>13284</v>
      </c>
      <c r="Q3129" s="9" t="s">
        <v>13284</v>
      </c>
      <c r="R3129" s="9" t="s">
        <v>13284</v>
      </c>
      <c r="S3129" s="9" t="s">
        <v>13284</v>
      </c>
      <c r="T3129" s="9" t="str">
        <f ca="1">IFERROR(IF(AND(VLOOKUP(A3129, 'Актуальное состояние (из общего'!A:C,3,0) = "", A3129 &lt;&gt; ""), "ПРОВЕРИТЬ", VLOOKUP(A3129, 'Актуальное состояние (из общего'!A:C,3,0)), "")</f>
        <v/>
      </c>
      <c r="U3129" s="9" t="s">
        <v>13284</v>
      </c>
      <c r="V3129" s="9" t="s">
        <v>13284</v>
      </c>
      <c r="W3129" s="12"/>
      <c r="X3129" s="9" t="str">
        <f t="array" ref="X3129">IFERROR(INDEX('Адреса общежитий (скрытый)'!$B$2:$B$9, MATCH(W3129, 'Адреса общежитий (скрытый)'!$A$2:$A$9, 0)), "")</f>
        <v/>
      </c>
      <c r="Y3129" s="18"/>
      <c r="Z3129" s="18"/>
      <c r="AA3129" s="18"/>
      <c r="AB3129" s="18"/>
      <c r="AC3129" s="18"/>
    </row>
    <row r="3130" spans="1:29" ht="32.25" hidden="1" customHeight="1">
      <c r="A3130" s="17"/>
      <c r="B3130" s="9" t="s">
        <v>13284</v>
      </c>
      <c r="C3130" s="9" t="s">
        <v>13284</v>
      </c>
      <c r="D3130" s="9" t="s">
        <v>13284</v>
      </c>
      <c r="E3130" s="9" t="s">
        <v>13284</v>
      </c>
      <c r="F3130" s="9" t="s">
        <v>13284</v>
      </c>
      <c r="G3130" s="9" t="s">
        <v>13284</v>
      </c>
      <c r="H3130" s="9" t="s">
        <v>13284</v>
      </c>
      <c r="I3130" s="9" t="s">
        <v>13284</v>
      </c>
      <c r="J3130" s="9" t="s">
        <v>13284</v>
      </c>
      <c r="K3130" s="9" t="s">
        <v>13284</v>
      </c>
      <c r="L3130" s="9" t="s">
        <v>13284</v>
      </c>
      <c r="M3130" s="9" t="s">
        <v>13284</v>
      </c>
      <c r="N3130" s="9" t="s">
        <v>13284</v>
      </c>
      <c r="O3130" s="9" t="s">
        <v>13284</v>
      </c>
      <c r="P3130" s="9" t="s">
        <v>13284</v>
      </c>
      <c r="Q3130" s="9" t="s">
        <v>13284</v>
      </c>
      <c r="R3130" s="9" t="s">
        <v>13284</v>
      </c>
      <c r="S3130" s="9" t="s">
        <v>13284</v>
      </c>
      <c r="T3130" s="9" t="str">
        <f ca="1">IFERROR(IF(AND(VLOOKUP(A3130, 'Актуальное состояние (из общего'!A:C,3,0) = "", A3130 &lt;&gt; ""), "ПРОВЕРИТЬ", VLOOKUP(A3130, 'Актуальное состояние (из общего'!A:C,3,0)), "")</f>
        <v/>
      </c>
      <c r="U3130" s="9" t="s">
        <v>13284</v>
      </c>
      <c r="V3130" s="9" t="s">
        <v>13284</v>
      </c>
      <c r="W3130" s="12"/>
      <c r="X3130" s="9" t="str">
        <f t="array" ref="X3130">IFERROR(INDEX('Адреса общежитий (скрытый)'!$B$2:$B$9, MATCH(W3130, 'Адреса общежитий (скрытый)'!$A$2:$A$9, 0)), "")</f>
        <v/>
      </c>
      <c r="Y3130" s="18"/>
      <c r="Z3130" s="18"/>
      <c r="AA3130" s="18"/>
      <c r="AB3130" s="18"/>
      <c r="AC3130" s="18"/>
    </row>
    <row r="3131" spans="1:29" ht="32.25" hidden="1" customHeight="1">
      <c r="A3131" s="17"/>
      <c r="B3131" s="9" t="s">
        <v>13284</v>
      </c>
      <c r="C3131" s="9" t="s">
        <v>13284</v>
      </c>
      <c r="D3131" s="9" t="s">
        <v>13284</v>
      </c>
      <c r="E3131" s="9" t="s">
        <v>13284</v>
      </c>
      <c r="F3131" s="9" t="s">
        <v>13284</v>
      </c>
      <c r="G3131" s="9" t="s">
        <v>13284</v>
      </c>
      <c r="H3131" s="9" t="s">
        <v>13284</v>
      </c>
      <c r="I3131" s="9" t="s">
        <v>13284</v>
      </c>
      <c r="J3131" s="9" t="s">
        <v>13284</v>
      </c>
      <c r="K3131" s="9" t="s">
        <v>13284</v>
      </c>
      <c r="L3131" s="9" t="s">
        <v>13284</v>
      </c>
      <c r="M3131" s="9" t="s">
        <v>13284</v>
      </c>
      <c r="N3131" s="9" t="s">
        <v>13284</v>
      </c>
      <c r="O3131" s="9" t="s">
        <v>13284</v>
      </c>
      <c r="P3131" s="9" t="s">
        <v>13284</v>
      </c>
      <c r="Q3131" s="9" t="s">
        <v>13284</v>
      </c>
      <c r="R3131" s="9" t="s">
        <v>13284</v>
      </c>
      <c r="S3131" s="9" t="s">
        <v>13284</v>
      </c>
      <c r="T3131" s="9" t="str">
        <f ca="1">IFERROR(IF(AND(VLOOKUP(A3131, 'Актуальное состояние (из общего'!A:C,3,0) = "", A3131 &lt;&gt; ""), "ПРОВЕРИТЬ", VLOOKUP(A3131, 'Актуальное состояние (из общего'!A:C,3,0)), "")</f>
        <v/>
      </c>
      <c r="U3131" s="9" t="s">
        <v>13284</v>
      </c>
      <c r="V3131" s="9" t="s">
        <v>13284</v>
      </c>
      <c r="W3131" s="12"/>
      <c r="X3131" s="9" t="str">
        <f t="array" ref="X3131">IFERROR(INDEX('Адреса общежитий (скрытый)'!$B$2:$B$9, MATCH(W3131, 'Адреса общежитий (скрытый)'!$A$2:$A$9, 0)), "")</f>
        <v/>
      </c>
      <c r="Y3131" s="18"/>
      <c r="Z3131" s="18"/>
      <c r="AA3131" s="18"/>
      <c r="AB3131" s="18"/>
      <c r="AC3131" s="18"/>
    </row>
    <row r="3132" spans="1:29" ht="32.25" hidden="1" customHeight="1">
      <c r="A3132" s="17"/>
      <c r="B3132" s="9" t="s">
        <v>13284</v>
      </c>
      <c r="C3132" s="9" t="s">
        <v>13284</v>
      </c>
      <c r="D3132" s="9" t="s">
        <v>13284</v>
      </c>
      <c r="E3132" s="9" t="s">
        <v>13284</v>
      </c>
      <c r="F3132" s="9" t="s">
        <v>13284</v>
      </c>
      <c r="G3132" s="9" t="s">
        <v>13284</v>
      </c>
      <c r="H3132" s="9" t="s">
        <v>13284</v>
      </c>
      <c r="I3132" s="9" t="s">
        <v>13284</v>
      </c>
      <c r="J3132" s="9" t="s">
        <v>13284</v>
      </c>
      <c r="K3132" s="9" t="s">
        <v>13284</v>
      </c>
      <c r="L3132" s="9" t="s">
        <v>13284</v>
      </c>
      <c r="M3132" s="9" t="s">
        <v>13284</v>
      </c>
      <c r="N3132" s="9" t="s">
        <v>13284</v>
      </c>
      <c r="O3132" s="9" t="s">
        <v>13284</v>
      </c>
      <c r="P3132" s="9" t="s">
        <v>13284</v>
      </c>
      <c r="Q3132" s="9" t="s">
        <v>13284</v>
      </c>
      <c r="R3132" s="9" t="s">
        <v>13284</v>
      </c>
      <c r="S3132" s="9" t="s">
        <v>13284</v>
      </c>
      <c r="T3132" s="9" t="str">
        <f ca="1">IFERROR(IF(AND(VLOOKUP(A3132, 'Актуальное состояние (из общего'!A:C,3,0) = "", A3132 &lt;&gt; ""), "ПРОВЕРИТЬ", VLOOKUP(A3132, 'Актуальное состояние (из общего'!A:C,3,0)), "")</f>
        <v/>
      </c>
      <c r="U3132" s="9" t="s">
        <v>13284</v>
      </c>
      <c r="V3132" s="9" t="s">
        <v>13284</v>
      </c>
      <c r="W3132" s="12"/>
      <c r="X3132" s="9" t="str">
        <f t="array" ref="X3132">IFERROR(INDEX('Адреса общежитий (скрытый)'!$B$2:$B$9, MATCH(W3132, 'Адреса общежитий (скрытый)'!$A$2:$A$9, 0)), "")</f>
        <v/>
      </c>
      <c r="Y3132" s="18"/>
      <c r="Z3132" s="18"/>
      <c r="AA3132" s="18"/>
      <c r="AB3132" s="18"/>
      <c r="AC3132" s="18"/>
    </row>
    <row r="3133" spans="1:29" ht="32.25" hidden="1" customHeight="1">
      <c r="A3133" s="17"/>
      <c r="B3133" s="9" t="s">
        <v>13284</v>
      </c>
      <c r="C3133" s="9" t="s">
        <v>13284</v>
      </c>
      <c r="D3133" s="9" t="s">
        <v>13284</v>
      </c>
      <c r="E3133" s="9" t="s">
        <v>13284</v>
      </c>
      <c r="F3133" s="9" t="s">
        <v>13284</v>
      </c>
      <c r="G3133" s="9" t="s">
        <v>13284</v>
      </c>
      <c r="H3133" s="9" t="s">
        <v>13284</v>
      </c>
      <c r="I3133" s="9" t="s">
        <v>13284</v>
      </c>
      <c r="J3133" s="9" t="s">
        <v>13284</v>
      </c>
      <c r="K3133" s="9" t="s">
        <v>13284</v>
      </c>
      <c r="L3133" s="9" t="s">
        <v>13284</v>
      </c>
      <c r="M3133" s="9" t="s">
        <v>13284</v>
      </c>
      <c r="N3133" s="9" t="s">
        <v>13284</v>
      </c>
      <c r="O3133" s="9" t="s">
        <v>13284</v>
      </c>
      <c r="P3133" s="9" t="s">
        <v>13284</v>
      </c>
      <c r="Q3133" s="9" t="s">
        <v>13284</v>
      </c>
      <c r="R3133" s="9" t="s">
        <v>13284</v>
      </c>
      <c r="S3133" s="9" t="s">
        <v>13284</v>
      </c>
      <c r="T3133" s="9" t="str">
        <f ca="1">IFERROR(IF(AND(VLOOKUP(A3133, 'Актуальное состояние (из общего'!A:C,3,0) = "", A3133 &lt;&gt; ""), "ПРОВЕРИТЬ", VLOOKUP(A3133, 'Актуальное состояние (из общего'!A:C,3,0)), "")</f>
        <v/>
      </c>
      <c r="U3133" s="9" t="s">
        <v>13284</v>
      </c>
      <c r="V3133" s="9" t="s">
        <v>13284</v>
      </c>
      <c r="W3133" s="12"/>
      <c r="X3133" s="9" t="str">
        <f t="array" ref="X3133">IFERROR(INDEX('Адреса общежитий (скрытый)'!$B$2:$B$9, MATCH(W3133, 'Адреса общежитий (скрытый)'!$A$2:$A$9, 0)), "")</f>
        <v/>
      </c>
      <c r="Y3133" s="18"/>
      <c r="Z3133" s="18"/>
      <c r="AA3133" s="18"/>
      <c r="AB3133" s="18"/>
      <c r="AC3133" s="18"/>
    </row>
    <row r="3134" spans="1:29" ht="32.25" hidden="1" customHeight="1">
      <c r="A3134" s="17"/>
      <c r="B3134" s="9" t="s">
        <v>13284</v>
      </c>
      <c r="C3134" s="9" t="s">
        <v>13284</v>
      </c>
      <c r="D3134" s="9" t="s">
        <v>13284</v>
      </c>
      <c r="E3134" s="9" t="s">
        <v>13284</v>
      </c>
      <c r="F3134" s="9" t="s">
        <v>13284</v>
      </c>
      <c r="G3134" s="9" t="s">
        <v>13284</v>
      </c>
      <c r="H3134" s="9" t="s">
        <v>13284</v>
      </c>
      <c r="I3134" s="9" t="s">
        <v>13284</v>
      </c>
      <c r="J3134" s="9" t="s">
        <v>13284</v>
      </c>
      <c r="K3134" s="9" t="s">
        <v>13284</v>
      </c>
      <c r="L3134" s="9" t="s">
        <v>13284</v>
      </c>
      <c r="M3134" s="9" t="s">
        <v>13284</v>
      </c>
      <c r="N3134" s="9" t="s">
        <v>13284</v>
      </c>
      <c r="O3134" s="9" t="s">
        <v>13284</v>
      </c>
      <c r="P3134" s="9" t="s">
        <v>13284</v>
      </c>
      <c r="Q3134" s="9" t="s">
        <v>13284</v>
      </c>
      <c r="R3134" s="9" t="s">
        <v>13284</v>
      </c>
      <c r="S3134" s="9" t="s">
        <v>13284</v>
      </c>
      <c r="T3134" s="9" t="str">
        <f ca="1">IFERROR(IF(AND(VLOOKUP(A3134, 'Актуальное состояние (из общего'!A:C,3,0) = "", A3134 &lt;&gt; ""), "ПРОВЕРИТЬ", VLOOKUP(A3134, 'Актуальное состояние (из общего'!A:C,3,0)), "")</f>
        <v/>
      </c>
      <c r="U3134" s="9" t="s">
        <v>13284</v>
      </c>
      <c r="V3134" s="9" t="s">
        <v>13284</v>
      </c>
      <c r="W3134" s="12"/>
      <c r="X3134" s="9" t="str">
        <f t="array" ref="X3134">IFERROR(INDEX('Адреса общежитий (скрытый)'!$B$2:$B$9, MATCH(W3134, 'Адреса общежитий (скрытый)'!$A$2:$A$9, 0)), "")</f>
        <v/>
      </c>
      <c r="Y3134" s="18"/>
      <c r="Z3134" s="18"/>
      <c r="AA3134" s="18"/>
      <c r="AB3134" s="18"/>
      <c r="AC3134" s="18"/>
    </row>
    <row r="3135" spans="1:29" ht="32.25" hidden="1" customHeight="1">
      <c r="A3135" s="17"/>
      <c r="B3135" s="9" t="s">
        <v>13284</v>
      </c>
      <c r="C3135" s="9" t="s">
        <v>13284</v>
      </c>
      <c r="D3135" s="9" t="s">
        <v>13284</v>
      </c>
      <c r="E3135" s="9" t="s">
        <v>13284</v>
      </c>
      <c r="F3135" s="9" t="s">
        <v>13284</v>
      </c>
      <c r="G3135" s="9" t="s">
        <v>13284</v>
      </c>
      <c r="H3135" s="9" t="s">
        <v>13284</v>
      </c>
      <c r="I3135" s="9" t="s">
        <v>13284</v>
      </c>
      <c r="J3135" s="9" t="s">
        <v>13284</v>
      </c>
      <c r="K3135" s="9" t="s">
        <v>13284</v>
      </c>
      <c r="L3135" s="9" t="s">
        <v>13284</v>
      </c>
      <c r="M3135" s="9" t="s">
        <v>13284</v>
      </c>
      <c r="N3135" s="9" t="s">
        <v>13284</v>
      </c>
      <c r="O3135" s="9" t="s">
        <v>13284</v>
      </c>
      <c r="P3135" s="9" t="s">
        <v>13284</v>
      </c>
      <c r="Q3135" s="9" t="s">
        <v>13284</v>
      </c>
      <c r="R3135" s="9" t="s">
        <v>13284</v>
      </c>
      <c r="S3135" s="9" t="s">
        <v>13284</v>
      </c>
      <c r="T3135" s="9" t="str">
        <f ca="1">IFERROR(IF(AND(VLOOKUP(A3135, 'Актуальное состояние (из общего'!A:C,3,0) = "", A3135 &lt;&gt; ""), "ПРОВЕРИТЬ", VLOOKUP(A3135, 'Актуальное состояние (из общего'!A:C,3,0)), "")</f>
        <v/>
      </c>
      <c r="U3135" s="9" t="s">
        <v>13284</v>
      </c>
      <c r="V3135" s="9" t="s">
        <v>13284</v>
      </c>
      <c r="W3135" s="12"/>
      <c r="X3135" s="9" t="str">
        <f t="array" ref="X3135">IFERROR(INDEX('Адреса общежитий (скрытый)'!$B$2:$B$9, MATCH(W3135, 'Адреса общежитий (скрытый)'!$A$2:$A$9, 0)), "")</f>
        <v/>
      </c>
      <c r="Y3135" s="18"/>
      <c r="Z3135" s="18"/>
      <c r="AA3135" s="18"/>
      <c r="AB3135" s="18"/>
      <c r="AC3135" s="18"/>
    </row>
    <row r="3136" spans="1:29" ht="32.25" hidden="1" customHeight="1">
      <c r="A3136" s="17"/>
      <c r="B3136" s="9" t="s">
        <v>13284</v>
      </c>
      <c r="C3136" s="9" t="s">
        <v>13284</v>
      </c>
      <c r="D3136" s="9" t="s">
        <v>13284</v>
      </c>
      <c r="E3136" s="9" t="s">
        <v>13284</v>
      </c>
      <c r="F3136" s="9" t="s">
        <v>13284</v>
      </c>
      <c r="G3136" s="9" t="s">
        <v>13284</v>
      </c>
      <c r="H3136" s="9" t="s">
        <v>13284</v>
      </c>
      <c r="I3136" s="9" t="s">
        <v>13284</v>
      </c>
      <c r="J3136" s="9" t="s">
        <v>13284</v>
      </c>
      <c r="K3136" s="9" t="s">
        <v>13284</v>
      </c>
      <c r="L3136" s="9" t="s">
        <v>13284</v>
      </c>
      <c r="M3136" s="9" t="s">
        <v>13284</v>
      </c>
      <c r="N3136" s="9" t="s">
        <v>13284</v>
      </c>
      <c r="O3136" s="9" t="s">
        <v>13284</v>
      </c>
      <c r="P3136" s="9" t="s">
        <v>13284</v>
      </c>
      <c r="Q3136" s="9" t="s">
        <v>13284</v>
      </c>
      <c r="R3136" s="9" t="s">
        <v>13284</v>
      </c>
      <c r="S3136" s="9" t="s">
        <v>13284</v>
      </c>
      <c r="T3136" s="9" t="str">
        <f ca="1">IFERROR(IF(AND(VLOOKUP(A3136, 'Актуальное состояние (из общего'!A:C,3,0) = "", A3136 &lt;&gt; ""), "ПРОВЕРИТЬ", VLOOKUP(A3136, 'Актуальное состояние (из общего'!A:C,3,0)), "")</f>
        <v/>
      </c>
      <c r="U3136" s="9" t="s">
        <v>13284</v>
      </c>
      <c r="V3136" s="9" t="s">
        <v>13284</v>
      </c>
      <c r="W3136" s="12"/>
      <c r="X3136" s="9" t="str">
        <f t="array" ref="X3136">IFERROR(INDEX('Адреса общежитий (скрытый)'!$B$2:$B$9, MATCH(W3136, 'Адреса общежитий (скрытый)'!$A$2:$A$9, 0)), "")</f>
        <v/>
      </c>
      <c r="Y3136" s="18"/>
      <c r="Z3136" s="18"/>
      <c r="AA3136" s="18"/>
      <c r="AB3136" s="18"/>
      <c r="AC3136" s="18"/>
    </row>
    <row r="3137" spans="1:29" ht="32.25" hidden="1" customHeight="1">
      <c r="A3137" s="17"/>
      <c r="B3137" s="9" t="s">
        <v>13284</v>
      </c>
      <c r="C3137" s="9" t="s">
        <v>13284</v>
      </c>
      <c r="D3137" s="9" t="s">
        <v>13284</v>
      </c>
      <c r="E3137" s="9" t="s">
        <v>13284</v>
      </c>
      <c r="F3137" s="9" t="s">
        <v>13284</v>
      </c>
      <c r="G3137" s="9" t="s">
        <v>13284</v>
      </c>
      <c r="H3137" s="9" t="s">
        <v>13284</v>
      </c>
      <c r="I3137" s="9" t="s">
        <v>13284</v>
      </c>
      <c r="J3137" s="9" t="s">
        <v>13284</v>
      </c>
      <c r="K3137" s="9" t="s">
        <v>13284</v>
      </c>
      <c r="L3137" s="9" t="s">
        <v>13284</v>
      </c>
      <c r="M3137" s="9" t="s">
        <v>13284</v>
      </c>
      <c r="N3137" s="9" t="s">
        <v>13284</v>
      </c>
      <c r="O3137" s="9" t="s">
        <v>13284</v>
      </c>
      <c r="P3137" s="9" t="s">
        <v>13284</v>
      </c>
      <c r="Q3137" s="9" t="s">
        <v>13284</v>
      </c>
      <c r="R3137" s="9" t="s">
        <v>13284</v>
      </c>
      <c r="S3137" s="9" t="s">
        <v>13284</v>
      </c>
      <c r="T3137" s="9" t="str">
        <f ca="1">IFERROR(IF(AND(VLOOKUP(A3137, 'Актуальное состояние (из общего'!A:C,3,0) = "", A3137 &lt;&gt; ""), "ПРОВЕРИТЬ", VLOOKUP(A3137, 'Актуальное состояние (из общего'!A:C,3,0)), "")</f>
        <v/>
      </c>
      <c r="U3137" s="9" t="s">
        <v>13284</v>
      </c>
      <c r="V3137" s="9" t="s">
        <v>13284</v>
      </c>
      <c r="W3137" s="12"/>
      <c r="X3137" s="9" t="str">
        <f t="array" ref="X3137">IFERROR(INDEX('Адреса общежитий (скрытый)'!$B$2:$B$9, MATCH(W3137, 'Адреса общежитий (скрытый)'!$A$2:$A$9, 0)), "")</f>
        <v/>
      </c>
      <c r="Y3137" s="18"/>
      <c r="Z3137" s="18"/>
      <c r="AA3137" s="18"/>
      <c r="AB3137" s="18"/>
      <c r="AC3137" s="18"/>
    </row>
    <row r="3138" spans="1:29" ht="32.25" hidden="1" customHeight="1">
      <c r="A3138" s="17"/>
      <c r="B3138" s="9" t="s">
        <v>13284</v>
      </c>
      <c r="C3138" s="9" t="s">
        <v>13284</v>
      </c>
      <c r="D3138" s="9" t="s">
        <v>13284</v>
      </c>
      <c r="E3138" s="9" t="s">
        <v>13284</v>
      </c>
      <c r="F3138" s="9" t="s">
        <v>13284</v>
      </c>
      <c r="G3138" s="9" t="s">
        <v>13284</v>
      </c>
      <c r="H3138" s="9" t="s">
        <v>13284</v>
      </c>
      <c r="I3138" s="9" t="s">
        <v>13284</v>
      </c>
      <c r="J3138" s="9" t="s">
        <v>13284</v>
      </c>
      <c r="K3138" s="9" t="s">
        <v>13284</v>
      </c>
      <c r="L3138" s="9" t="s">
        <v>13284</v>
      </c>
      <c r="M3138" s="9" t="s">
        <v>13284</v>
      </c>
      <c r="N3138" s="9" t="s">
        <v>13284</v>
      </c>
      <c r="O3138" s="9" t="s">
        <v>13284</v>
      </c>
      <c r="P3138" s="9" t="s">
        <v>13284</v>
      </c>
      <c r="Q3138" s="9" t="s">
        <v>13284</v>
      </c>
      <c r="R3138" s="9" t="s">
        <v>13284</v>
      </c>
      <c r="S3138" s="9" t="s">
        <v>13284</v>
      </c>
      <c r="T3138" s="9" t="str">
        <f ca="1">IFERROR(IF(AND(VLOOKUP(A3138, 'Актуальное состояние (из общего'!A:C,3,0) = "", A3138 &lt;&gt; ""), "ПРОВЕРИТЬ", VLOOKUP(A3138, 'Актуальное состояние (из общего'!A:C,3,0)), "")</f>
        <v/>
      </c>
      <c r="U3138" s="9" t="s">
        <v>13284</v>
      </c>
      <c r="V3138" s="9" t="s">
        <v>13284</v>
      </c>
      <c r="W3138" s="12"/>
      <c r="X3138" s="9" t="str">
        <f t="array" ref="X3138">IFERROR(INDEX('Адреса общежитий (скрытый)'!$B$2:$B$9, MATCH(W3138, 'Адреса общежитий (скрытый)'!$A$2:$A$9, 0)), "")</f>
        <v/>
      </c>
      <c r="Y3138" s="18"/>
      <c r="Z3138" s="18"/>
      <c r="AA3138" s="18"/>
      <c r="AB3138" s="18"/>
      <c r="AC3138" s="18"/>
    </row>
    <row r="3139" spans="1:29" ht="32.25" hidden="1" customHeight="1">
      <c r="A3139" s="17"/>
      <c r="B3139" s="9" t="s">
        <v>13284</v>
      </c>
      <c r="C3139" s="9" t="s">
        <v>13284</v>
      </c>
      <c r="D3139" s="9" t="s">
        <v>13284</v>
      </c>
      <c r="E3139" s="9" t="s">
        <v>13284</v>
      </c>
      <c r="F3139" s="9" t="s">
        <v>13284</v>
      </c>
      <c r="G3139" s="9" t="s">
        <v>13284</v>
      </c>
      <c r="H3139" s="9" t="s">
        <v>13284</v>
      </c>
      <c r="I3139" s="9" t="s">
        <v>13284</v>
      </c>
      <c r="J3139" s="9" t="s">
        <v>13284</v>
      </c>
      <c r="K3139" s="9" t="s">
        <v>13284</v>
      </c>
      <c r="L3139" s="9" t="s">
        <v>13284</v>
      </c>
      <c r="M3139" s="9" t="s">
        <v>13284</v>
      </c>
      <c r="N3139" s="9" t="s">
        <v>13284</v>
      </c>
      <c r="O3139" s="9" t="s">
        <v>13284</v>
      </c>
      <c r="P3139" s="9" t="s">
        <v>13284</v>
      </c>
      <c r="Q3139" s="9" t="s">
        <v>13284</v>
      </c>
      <c r="R3139" s="9" t="s">
        <v>13284</v>
      </c>
      <c r="S3139" s="9" t="s">
        <v>13284</v>
      </c>
      <c r="T3139" s="9" t="str">
        <f ca="1">IFERROR(IF(AND(VLOOKUP(A3139, 'Актуальное состояние (из общего'!A:C,3,0) = "", A3139 &lt;&gt; ""), "ПРОВЕРИТЬ", VLOOKUP(A3139, 'Актуальное состояние (из общего'!A:C,3,0)), "")</f>
        <v/>
      </c>
      <c r="U3139" s="9" t="s">
        <v>13284</v>
      </c>
      <c r="V3139" s="9" t="s">
        <v>13284</v>
      </c>
      <c r="W3139" s="12"/>
      <c r="X3139" s="9" t="str">
        <f t="array" ref="X3139">IFERROR(INDEX('Адреса общежитий (скрытый)'!$B$2:$B$9, MATCH(W3139, 'Адреса общежитий (скрытый)'!$A$2:$A$9, 0)), "")</f>
        <v/>
      </c>
      <c r="Y3139" s="18"/>
      <c r="Z3139" s="18"/>
      <c r="AA3139" s="18"/>
      <c r="AB3139" s="18"/>
      <c r="AC3139" s="18"/>
    </row>
    <row r="3140" spans="1:29" ht="32.25" hidden="1" customHeight="1">
      <c r="A3140" s="17"/>
      <c r="B3140" s="9" t="s">
        <v>13284</v>
      </c>
      <c r="C3140" s="9" t="s">
        <v>13284</v>
      </c>
      <c r="D3140" s="9" t="s">
        <v>13284</v>
      </c>
      <c r="E3140" s="9" t="s">
        <v>13284</v>
      </c>
      <c r="F3140" s="9" t="s">
        <v>13284</v>
      </c>
      <c r="G3140" s="9" t="s">
        <v>13284</v>
      </c>
      <c r="H3140" s="9" t="s">
        <v>13284</v>
      </c>
      <c r="I3140" s="9" t="s">
        <v>13284</v>
      </c>
      <c r="J3140" s="9" t="s">
        <v>13284</v>
      </c>
      <c r="K3140" s="9" t="s">
        <v>13284</v>
      </c>
      <c r="L3140" s="9" t="s">
        <v>13284</v>
      </c>
      <c r="M3140" s="9" t="s">
        <v>13284</v>
      </c>
      <c r="N3140" s="9" t="s">
        <v>13284</v>
      </c>
      <c r="O3140" s="9" t="s">
        <v>13284</v>
      </c>
      <c r="P3140" s="9" t="s">
        <v>13284</v>
      </c>
      <c r="Q3140" s="9" t="s">
        <v>13284</v>
      </c>
      <c r="R3140" s="9" t="s">
        <v>13284</v>
      </c>
      <c r="S3140" s="9" t="s">
        <v>13284</v>
      </c>
      <c r="T3140" s="9" t="str">
        <f ca="1">IFERROR(IF(AND(VLOOKUP(A3140, 'Актуальное состояние (из общего'!A:C,3,0) = "", A3140 &lt;&gt; ""), "ПРОВЕРИТЬ", VLOOKUP(A3140, 'Актуальное состояние (из общего'!A:C,3,0)), "")</f>
        <v/>
      </c>
      <c r="U3140" s="9" t="s">
        <v>13284</v>
      </c>
      <c r="V3140" s="9" t="s">
        <v>13284</v>
      </c>
      <c r="W3140" s="12"/>
      <c r="X3140" s="9" t="str">
        <f t="array" ref="X3140">IFERROR(INDEX('Адреса общежитий (скрытый)'!$B$2:$B$9, MATCH(W3140, 'Адреса общежитий (скрытый)'!$A$2:$A$9, 0)), "")</f>
        <v/>
      </c>
      <c r="Y3140" s="18"/>
      <c r="Z3140" s="18"/>
      <c r="AA3140" s="18"/>
      <c r="AB3140" s="18"/>
      <c r="AC3140" s="18"/>
    </row>
    <row r="3141" spans="1:29" ht="32.25" hidden="1" customHeight="1">
      <c r="A3141" s="17"/>
      <c r="B3141" s="9" t="s">
        <v>13284</v>
      </c>
      <c r="C3141" s="9" t="s">
        <v>13284</v>
      </c>
      <c r="D3141" s="9" t="s">
        <v>13284</v>
      </c>
      <c r="E3141" s="9" t="s">
        <v>13284</v>
      </c>
      <c r="F3141" s="9" t="s">
        <v>13284</v>
      </c>
      <c r="G3141" s="9" t="s">
        <v>13284</v>
      </c>
      <c r="H3141" s="9" t="s">
        <v>13284</v>
      </c>
      <c r="I3141" s="9" t="s">
        <v>13284</v>
      </c>
      <c r="J3141" s="9" t="s">
        <v>13284</v>
      </c>
      <c r="K3141" s="9" t="s">
        <v>13284</v>
      </c>
      <c r="L3141" s="9" t="s">
        <v>13284</v>
      </c>
      <c r="M3141" s="9" t="s">
        <v>13284</v>
      </c>
      <c r="N3141" s="9" t="s">
        <v>13284</v>
      </c>
      <c r="O3141" s="9" t="s">
        <v>13284</v>
      </c>
      <c r="P3141" s="9" t="s">
        <v>13284</v>
      </c>
      <c r="Q3141" s="9" t="s">
        <v>13284</v>
      </c>
      <c r="R3141" s="9" t="s">
        <v>13284</v>
      </c>
      <c r="S3141" s="9" t="s">
        <v>13284</v>
      </c>
      <c r="T3141" s="9" t="str">
        <f ca="1">IFERROR(IF(AND(VLOOKUP(A3141, 'Актуальное состояние (из общего'!A:C,3,0) = "", A3141 &lt;&gt; ""), "ПРОВЕРИТЬ", VLOOKUP(A3141, 'Актуальное состояние (из общего'!A:C,3,0)), "")</f>
        <v/>
      </c>
      <c r="U3141" s="9" t="s">
        <v>13284</v>
      </c>
      <c r="V3141" s="9" t="s">
        <v>13284</v>
      </c>
      <c r="W3141" s="12"/>
      <c r="X3141" s="9" t="str">
        <f t="array" ref="X3141">IFERROR(INDEX('Адреса общежитий (скрытый)'!$B$2:$B$9, MATCH(W3141, 'Адреса общежитий (скрытый)'!$A$2:$A$9, 0)), "")</f>
        <v/>
      </c>
      <c r="Y3141" s="18"/>
      <c r="Z3141" s="18"/>
      <c r="AA3141" s="18"/>
      <c r="AB3141" s="18"/>
      <c r="AC3141" s="18"/>
    </row>
    <row r="3142" spans="1:29" ht="32.25" hidden="1" customHeight="1">
      <c r="A3142" s="17"/>
      <c r="B3142" s="9" t="s">
        <v>13284</v>
      </c>
      <c r="C3142" s="9" t="s">
        <v>13284</v>
      </c>
      <c r="D3142" s="9" t="s">
        <v>13284</v>
      </c>
      <c r="E3142" s="9" t="s">
        <v>13284</v>
      </c>
      <c r="F3142" s="9" t="s">
        <v>13284</v>
      </c>
      <c r="G3142" s="9" t="s">
        <v>13284</v>
      </c>
      <c r="H3142" s="9" t="s">
        <v>13284</v>
      </c>
      <c r="I3142" s="9" t="s">
        <v>13284</v>
      </c>
      <c r="J3142" s="9" t="s">
        <v>13284</v>
      </c>
      <c r="K3142" s="9" t="s">
        <v>13284</v>
      </c>
      <c r="L3142" s="9" t="s">
        <v>13284</v>
      </c>
      <c r="M3142" s="9" t="s">
        <v>13284</v>
      </c>
      <c r="N3142" s="9" t="s">
        <v>13284</v>
      </c>
      <c r="O3142" s="9" t="s">
        <v>13284</v>
      </c>
      <c r="P3142" s="9" t="s">
        <v>13284</v>
      </c>
      <c r="Q3142" s="9" t="s">
        <v>13284</v>
      </c>
      <c r="R3142" s="9" t="s">
        <v>13284</v>
      </c>
      <c r="S3142" s="9" t="s">
        <v>13284</v>
      </c>
      <c r="T3142" s="9" t="str">
        <f ca="1">IFERROR(IF(AND(VLOOKUP(A3142, 'Актуальное состояние (из общего'!A:C,3,0) = "", A3142 &lt;&gt; ""), "ПРОВЕРИТЬ", VLOOKUP(A3142, 'Актуальное состояние (из общего'!A:C,3,0)), "")</f>
        <v/>
      </c>
      <c r="U3142" s="9" t="s">
        <v>13284</v>
      </c>
      <c r="V3142" s="9" t="s">
        <v>13284</v>
      </c>
      <c r="W3142" s="12"/>
      <c r="X3142" s="9" t="str">
        <f t="array" ref="X3142">IFERROR(INDEX('Адреса общежитий (скрытый)'!$B$2:$B$9, MATCH(W3142, 'Адреса общежитий (скрытый)'!$A$2:$A$9, 0)), "")</f>
        <v/>
      </c>
      <c r="Y3142" s="18"/>
      <c r="Z3142" s="18"/>
      <c r="AA3142" s="18"/>
      <c r="AB3142" s="18"/>
      <c r="AC3142" s="18"/>
    </row>
    <row r="3143" spans="1:29" ht="32.25" hidden="1" customHeight="1">
      <c r="A3143" s="17"/>
      <c r="B3143" s="9" t="s">
        <v>13284</v>
      </c>
      <c r="C3143" s="9" t="s">
        <v>13284</v>
      </c>
      <c r="D3143" s="9" t="s">
        <v>13284</v>
      </c>
      <c r="E3143" s="9" t="s">
        <v>13284</v>
      </c>
      <c r="F3143" s="9" t="s">
        <v>13284</v>
      </c>
      <c r="G3143" s="9" t="s">
        <v>13284</v>
      </c>
      <c r="H3143" s="9" t="s">
        <v>13284</v>
      </c>
      <c r="I3143" s="9" t="s">
        <v>13284</v>
      </c>
      <c r="J3143" s="9" t="s">
        <v>13284</v>
      </c>
      <c r="K3143" s="9" t="s">
        <v>13284</v>
      </c>
      <c r="L3143" s="9" t="s">
        <v>13284</v>
      </c>
      <c r="M3143" s="9" t="s">
        <v>13284</v>
      </c>
      <c r="N3143" s="9" t="s">
        <v>13284</v>
      </c>
      <c r="O3143" s="9" t="s">
        <v>13284</v>
      </c>
      <c r="P3143" s="9" t="s">
        <v>13284</v>
      </c>
      <c r="Q3143" s="9" t="s">
        <v>13284</v>
      </c>
      <c r="R3143" s="9" t="s">
        <v>13284</v>
      </c>
      <c r="S3143" s="9" t="s">
        <v>13284</v>
      </c>
      <c r="T3143" s="9" t="str">
        <f ca="1">IFERROR(IF(AND(VLOOKUP(A3143, 'Актуальное состояние (из общего'!A:C,3,0) = "", A3143 &lt;&gt; ""), "ПРОВЕРИТЬ", VLOOKUP(A3143, 'Актуальное состояние (из общего'!A:C,3,0)), "")</f>
        <v/>
      </c>
      <c r="U3143" s="9" t="s">
        <v>13284</v>
      </c>
      <c r="V3143" s="9" t="s">
        <v>13284</v>
      </c>
      <c r="W3143" s="12"/>
      <c r="X3143" s="9" t="str">
        <f t="array" ref="X3143">IFERROR(INDEX('Адреса общежитий (скрытый)'!$B$2:$B$9, MATCH(W3143, 'Адреса общежитий (скрытый)'!$A$2:$A$9, 0)), "")</f>
        <v/>
      </c>
      <c r="Y3143" s="18"/>
      <c r="Z3143" s="18"/>
      <c r="AA3143" s="18"/>
      <c r="AB3143" s="18"/>
      <c r="AC3143" s="18"/>
    </row>
    <row r="3144" spans="1:29" ht="32.25" hidden="1" customHeight="1">
      <c r="A3144" s="17"/>
      <c r="B3144" s="9" t="s">
        <v>13284</v>
      </c>
      <c r="C3144" s="9" t="s">
        <v>13284</v>
      </c>
      <c r="D3144" s="9" t="s">
        <v>13284</v>
      </c>
      <c r="E3144" s="9" t="s">
        <v>13284</v>
      </c>
      <c r="F3144" s="9" t="s">
        <v>13284</v>
      </c>
      <c r="G3144" s="9" t="s">
        <v>13284</v>
      </c>
      <c r="H3144" s="9" t="s">
        <v>13284</v>
      </c>
      <c r="I3144" s="9" t="s">
        <v>13284</v>
      </c>
      <c r="J3144" s="9" t="s">
        <v>13284</v>
      </c>
      <c r="K3144" s="9" t="s">
        <v>13284</v>
      </c>
      <c r="L3144" s="9" t="s">
        <v>13284</v>
      </c>
      <c r="M3144" s="9" t="s">
        <v>13284</v>
      </c>
      <c r="N3144" s="9" t="s">
        <v>13284</v>
      </c>
      <c r="O3144" s="9" t="s">
        <v>13284</v>
      </c>
      <c r="P3144" s="9" t="s">
        <v>13284</v>
      </c>
      <c r="Q3144" s="9" t="s">
        <v>13284</v>
      </c>
      <c r="R3144" s="9" t="s">
        <v>13284</v>
      </c>
      <c r="S3144" s="9" t="s">
        <v>13284</v>
      </c>
      <c r="T3144" s="9" t="str">
        <f ca="1">IFERROR(IF(AND(VLOOKUP(A3144, 'Актуальное состояние (из общего'!A:C,3,0) = "", A3144 &lt;&gt; ""), "ПРОВЕРИТЬ", VLOOKUP(A3144, 'Актуальное состояние (из общего'!A:C,3,0)), "")</f>
        <v/>
      </c>
      <c r="U3144" s="9" t="s">
        <v>13284</v>
      </c>
      <c r="V3144" s="9" t="s">
        <v>13284</v>
      </c>
      <c r="W3144" s="12"/>
      <c r="X3144" s="9" t="str">
        <f t="array" ref="X3144">IFERROR(INDEX('Адреса общежитий (скрытый)'!$B$2:$B$9, MATCH(W3144, 'Адреса общежитий (скрытый)'!$A$2:$A$9, 0)), "")</f>
        <v/>
      </c>
      <c r="Y3144" s="18"/>
      <c r="Z3144" s="18"/>
      <c r="AA3144" s="18"/>
      <c r="AB3144" s="18"/>
      <c r="AC3144" s="18"/>
    </row>
    <row r="3145" spans="1:29" ht="32.25" hidden="1" customHeight="1">
      <c r="A3145" s="17"/>
      <c r="B3145" s="9" t="s">
        <v>13284</v>
      </c>
      <c r="C3145" s="9" t="s">
        <v>13284</v>
      </c>
      <c r="D3145" s="9" t="s">
        <v>13284</v>
      </c>
      <c r="E3145" s="9" t="s">
        <v>13284</v>
      </c>
      <c r="F3145" s="9" t="s">
        <v>13284</v>
      </c>
      <c r="G3145" s="9" t="s">
        <v>13284</v>
      </c>
      <c r="H3145" s="9" t="s">
        <v>13284</v>
      </c>
      <c r="I3145" s="9" t="s">
        <v>13284</v>
      </c>
      <c r="J3145" s="9" t="s">
        <v>13284</v>
      </c>
      <c r="K3145" s="9" t="s">
        <v>13284</v>
      </c>
      <c r="L3145" s="9" t="s">
        <v>13284</v>
      </c>
      <c r="M3145" s="9" t="s">
        <v>13284</v>
      </c>
      <c r="N3145" s="9" t="s">
        <v>13284</v>
      </c>
      <c r="O3145" s="9" t="s">
        <v>13284</v>
      </c>
      <c r="P3145" s="9" t="s">
        <v>13284</v>
      </c>
      <c r="Q3145" s="9" t="s">
        <v>13284</v>
      </c>
      <c r="R3145" s="9" t="s">
        <v>13284</v>
      </c>
      <c r="S3145" s="9" t="s">
        <v>13284</v>
      </c>
      <c r="T3145" s="9" t="str">
        <f ca="1">IFERROR(IF(AND(VLOOKUP(A3145, 'Актуальное состояние (из общего'!A:C,3,0) = "", A3145 &lt;&gt; ""), "ПРОВЕРИТЬ", VLOOKUP(A3145, 'Актуальное состояние (из общего'!A:C,3,0)), "")</f>
        <v/>
      </c>
      <c r="U3145" s="9" t="s">
        <v>13284</v>
      </c>
      <c r="V3145" s="9" t="s">
        <v>13284</v>
      </c>
      <c r="W3145" s="12"/>
      <c r="X3145" s="9" t="str">
        <f t="array" ref="X3145">IFERROR(INDEX('Адреса общежитий (скрытый)'!$B$2:$B$9, MATCH(W3145, 'Адреса общежитий (скрытый)'!$A$2:$A$9, 0)), "")</f>
        <v/>
      </c>
      <c r="Y3145" s="18"/>
      <c r="Z3145" s="18"/>
      <c r="AA3145" s="18"/>
      <c r="AB3145" s="18"/>
      <c r="AC3145" s="18"/>
    </row>
    <row r="3146" spans="1:29" ht="32.25" hidden="1" customHeight="1">
      <c r="A3146" s="17"/>
      <c r="B3146" s="9" t="s">
        <v>13284</v>
      </c>
      <c r="C3146" s="9" t="s">
        <v>13284</v>
      </c>
      <c r="D3146" s="9" t="s">
        <v>13284</v>
      </c>
      <c r="E3146" s="9" t="s">
        <v>13284</v>
      </c>
      <c r="F3146" s="9" t="s">
        <v>13284</v>
      </c>
      <c r="G3146" s="9" t="s">
        <v>13284</v>
      </c>
      <c r="H3146" s="9" t="s">
        <v>13284</v>
      </c>
      <c r="I3146" s="9" t="s">
        <v>13284</v>
      </c>
      <c r="J3146" s="9" t="s">
        <v>13284</v>
      </c>
      <c r="K3146" s="9" t="s">
        <v>13284</v>
      </c>
      <c r="L3146" s="9" t="s">
        <v>13284</v>
      </c>
      <c r="M3146" s="9" t="s">
        <v>13284</v>
      </c>
      <c r="N3146" s="9" t="s">
        <v>13284</v>
      </c>
      <c r="O3146" s="9" t="s">
        <v>13284</v>
      </c>
      <c r="P3146" s="9" t="s">
        <v>13284</v>
      </c>
      <c r="Q3146" s="9" t="s">
        <v>13284</v>
      </c>
      <c r="R3146" s="9" t="s">
        <v>13284</v>
      </c>
      <c r="S3146" s="9" t="s">
        <v>13284</v>
      </c>
      <c r="T3146" s="9" t="str">
        <f ca="1">IFERROR(IF(AND(VLOOKUP(A3146, 'Актуальное состояние (из общего'!A:C,3,0) = "", A3146 &lt;&gt; ""), "ПРОВЕРИТЬ", VLOOKUP(A3146, 'Актуальное состояние (из общего'!A:C,3,0)), "")</f>
        <v/>
      </c>
      <c r="U3146" s="9" t="s">
        <v>13284</v>
      </c>
      <c r="V3146" s="9" t="s">
        <v>13284</v>
      </c>
      <c r="W3146" s="12"/>
      <c r="X3146" s="9" t="str">
        <f t="array" ref="X3146">IFERROR(INDEX('Адреса общежитий (скрытый)'!$B$2:$B$9, MATCH(W3146, 'Адреса общежитий (скрытый)'!$A$2:$A$9, 0)), "")</f>
        <v/>
      </c>
      <c r="Y3146" s="18"/>
      <c r="Z3146" s="18"/>
      <c r="AA3146" s="18"/>
      <c r="AB3146" s="18"/>
      <c r="AC3146" s="18"/>
    </row>
    <row r="3147" spans="1:29" ht="32.25" hidden="1" customHeight="1">
      <c r="A3147" s="17"/>
      <c r="B3147" s="9" t="s">
        <v>13284</v>
      </c>
      <c r="C3147" s="9" t="s">
        <v>13284</v>
      </c>
      <c r="D3147" s="9" t="s">
        <v>13284</v>
      </c>
      <c r="E3147" s="9" t="s">
        <v>13284</v>
      </c>
      <c r="F3147" s="9" t="s">
        <v>13284</v>
      </c>
      <c r="G3147" s="9" t="s">
        <v>13284</v>
      </c>
      <c r="H3147" s="9" t="s">
        <v>13284</v>
      </c>
      <c r="I3147" s="9" t="s">
        <v>13284</v>
      </c>
      <c r="J3147" s="9" t="s">
        <v>13284</v>
      </c>
      <c r="K3147" s="9" t="s">
        <v>13284</v>
      </c>
      <c r="L3147" s="9" t="s">
        <v>13284</v>
      </c>
      <c r="M3147" s="9" t="s">
        <v>13284</v>
      </c>
      <c r="N3147" s="9" t="s">
        <v>13284</v>
      </c>
      <c r="O3147" s="9" t="s">
        <v>13284</v>
      </c>
      <c r="P3147" s="9" t="s">
        <v>13284</v>
      </c>
      <c r="Q3147" s="9" t="s">
        <v>13284</v>
      </c>
      <c r="R3147" s="9" t="s">
        <v>13284</v>
      </c>
      <c r="S3147" s="9" t="s">
        <v>13284</v>
      </c>
      <c r="T3147" s="9" t="str">
        <f ca="1">IFERROR(IF(AND(VLOOKUP(A3147, 'Актуальное состояние (из общего'!A:C,3,0) = "", A3147 &lt;&gt; ""), "ПРОВЕРИТЬ", VLOOKUP(A3147, 'Актуальное состояние (из общего'!A:C,3,0)), "")</f>
        <v/>
      </c>
      <c r="U3147" s="9" t="s">
        <v>13284</v>
      </c>
      <c r="V3147" s="9" t="s">
        <v>13284</v>
      </c>
      <c r="W3147" s="12"/>
      <c r="X3147" s="9" t="str">
        <f t="array" ref="X3147">IFERROR(INDEX('Адреса общежитий (скрытый)'!$B$2:$B$9, MATCH(W3147, 'Адреса общежитий (скрытый)'!$A$2:$A$9, 0)), "")</f>
        <v/>
      </c>
      <c r="Y3147" s="18"/>
      <c r="Z3147" s="18"/>
      <c r="AA3147" s="18"/>
      <c r="AB3147" s="18"/>
      <c r="AC3147" s="18"/>
    </row>
    <row r="3148" spans="1:29" ht="32.25" hidden="1" customHeight="1">
      <c r="A3148" s="17"/>
      <c r="B3148" s="9" t="s">
        <v>13284</v>
      </c>
      <c r="C3148" s="9" t="s">
        <v>13284</v>
      </c>
      <c r="D3148" s="9" t="s">
        <v>13284</v>
      </c>
      <c r="E3148" s="9" t="s">
        <v>13284</v>
      </c>
      <c r="F3148" s="9" t="s">
        <v>13284</v>
      </c>
      <c r="G3148" s="9" t="s">
        <v>13284</v>
      </c>
      <c r="H3148" s="9" t="s">
        <v>13284</v>
      </c>
      <c r="I3148" s="9" t="s">
        <v>13284</v>
      </c>
      <c r="J3148" s="9" t="s">
        <v>13284</v>
      </c>
      <c r="K3148" s="9" t="s">
        <v>13284</v>
      </c>
      <c r="L3148" s="9" t="s">
        <v>13284</v>
      </c>
      <c r="M3148" s="9" t="s">
        <v>13284</v>
      </c>
      <c r="N3148" s="9" t="s">
        <v>13284</v>
      </c>
      <c r="O3148" s="9" t="s">
        <v>13284</v>
      </c>
      <c r="P3148" s="9" t="s">
        <v>13284</v>
      </c>
      <c r="Q3148" s="9" t="s">
        <v>13284</v>
      </c>
      <c r="R3148" s="9" t="s">
        <v>13284</v>
      </c>
      <c r="S3148" s="9" t="s">
        <v>13284</v>
      </c>
      <c r="T3148" s="9" t="str">
        <f ca="1">IFERROR(IF(AND(VLOOKUP(A3148, 'Актуальное состояние (из общего'!A:C,3,0) = "", A3148 &lt;&gt; ""), "ПРОВЕРИТЬ", VLOOKUP(A3148, 'Актуальное состояние (из общего'!A:C,3,0)), "")</f>
        <v/>
      </c>
      <c r="U3148" s="9" t="s">
        <v>13284</v>
      </c>
      <c r="V3148" s="9" t="s">
        <v>13284</v>
      </c>
      <c r="W3148" s="12"/>
      <c r="X3148" s="9" t="str">
        <f t="array" ref="X3148">IFERROR(INDEX('Адреса общежитий (скрытый)'!$B$2:$B$9, MATCH(W3148, 'Адреса общежитий (скрытый)'!$A$2:$A$9, 0)), "")</f>
        <v/>
      </c>
      <c r="Y3148" s="18"/>
      <c r="Z3148" s="18"/>
      <c r="AA3148" s="18"/>
      <c r="AB3148" s="18"/>
      <c r="AC3148" s="18"/>
    </row>
    <row r="3149" spans="1:29" ht="32.25" hidden="1" customHeight="1">
      <c r="A3149" s="17"/>
      <c r="B3149" s="9" t="s">
        <v>13284</v>
      </c>
      <c r="C3149" s="9" t="s">
        <v>13284</v>
      </c>
      <c r="D3149" s="9" t="s">
        <v>13284</v>
      </c>
      <c r="E3149" s="9" t="s">
        <v>13284</v>
      </c>
      <c r="F3149" s="9" t="s">
        <v>13284</v>
      </c>
      <c r="G3149" s="9" t="s">
        <v>13284</v>
      </c>
      <c r="H3149" s="9" t="s">
        <v>13284</v>
      </c>
      <c r="I3149" s="9" t="s">
        <v>13284</v>
      </c>
      <c r="J3149" s="9" t="s">
        <v>13284</v>
      </c>
      <c r="K3149" s="9" t="s">
        <v>13284</v>
      </c>
      <c r="L3149" s="9" t="s">
        <v>13284</v>
      </c>
      <c r="M3149" s="9" t="s">
        <v>13284</v>
      </c>
      <c r="N3149" s="9" t="s">
        <v>13284</v>
      </c>
      <c r="O3149" s="9" t="s">
        <v>13284</v>
      </c>
      <c r="P3149" s="9" t="s">
        <v>13284</v>
      </c>
      <c r="Q3149" s="9" t="s">
        <v>13284</v>
      </c>
      <c r="R3149" s="9" t="s">
        <v>13284</v>
      </c>
      <c r="S3149" s="9" t="s">
        <v>13284</v>
      </c>
      <c r="T3149" s="9" t="str">
        <f ca="1">IFERROR(IF(AND(VLOOKUP(A3149, 'Актуальное состояние (из общего'!A:C,3,0) = "", A3149 &lt;&gt; ""), "ПРОВЕРИТЬ", VLOOKUP(A3149, 'Актуальное состояние (из общего'!A:C,3,0)), "")</f>
        <v/>
      </c>
      <c r="U3149" s="9" t="s">
        <v>13284</v>
      </c>
      <c r="V3149" s="9" t="s">
        <v>13284</v>
      </c>
      <c r="W3149" s="12"/>
      <c r="X3149" s="9" t="str">
        <f t="array" ref="X3149">IFERROR(INDEX('Адреса общежитий (скрытый)'!$B$2:$B$9, MATCH(W3149, 'Адреса общежитий (скрытый)'!$A$2:$A$9, 0)), "")</f>
        <v/>
      </c>
      <c r="Y3149" s="18"/>
      <c r="Z3149" s="18"/>
      <c r="AA3149" s="18"/>
      <c r="AB3149" s="18"/>
      <c r="AC3149" s="18"/>
    </row>
    <row r="3150" spans="1:29" ht="32.25" hidden="1" customHeight="1">
      <c r="A3150" s="17"/>
      <c r="B3150" s="9" t="s">
        <v>13284</v>
      </c>
      <c r="C3150" s="9" t="s">
        <v>13284</v>
      </c>
      <c r="D3150" s="9" t="s">
        <v>13284</v>
      </c>
      <c r="E3150" s="9" t="s">
        <v>13284</v>
      </c>
      <c r="F3150" s="9" t="s">
        <v>13284</v>
      </c>
      <c r="G3150" s="9" t="s">
        <v>13284</v>
      </c>
      <c r="H3150" s="9" t="s">
        <v>13284</v>
      </c>
      <c r="I3150" s="9" t="s">
        <v>13284</v>
      </c>
      <c r="J3150" s="9" t="s">
        <v>13284</v>
      </c>
      <c r="K3150" s="9" t="s">
        <v>13284</v>
      </c>
      <c r="L3150" s="9" t="s">
        <v>13284</v>
      </c>
      <c r="M3150" s="9" t="s">
        <v>13284</v>
      </c>
      <c r="N3150" s="9" t="s">
        <v>13284</v>
      </c>
      <c r="O3150" s="9" t="s">
        <v>13284</v>
      </c>
      <c r="P3150" s="9" t="s">
        <v>13284</v>
      </c>
      <c r="Q3150" s="9" t="s">
        <v>13284</v>
      </c>
      <c r="R3150" s="9" t="s">
        <v>13284</v>
      </c>
      <c r="S3150" s="9" t="s">
        <v>13284</v>
      </c>
      <c r="T3150" s="9" t="str">
        <f ca="1">IFERROR(IF(AND(VLOOKUP(A3150, 'Актуальное состояние (из общего'!A:C,3,0) = "", A3150 &lt;&gt; ""), "ПРОВЕРИТЬ", VLOOKUP(A3150, 'Актуальное состояние (из общего'!A:C,3,0)), "")</f>
        <v/>
      </c>
      <c r="U3150" s="9" t="s">
        <v>13284</v>
      </c>
      <c r="V3150" s="9" t="s">
        <v>13284</v>
      </c>
      <c r="W3150" s="12"/>
      <c r="X3150" s="9" t="str">
        <f t="array" ref="X3150">IFERROR(INDEX('Адреса общежитий (скрытый)'!$B$2:$B$9, MATCH(W3150, 'Адреса общежитий (скрытый)'!$A$2:$A$9, 0)), "")</f>
        <v/>
      </c>
      <c r="Y3150" s="18"/>
      <c r="Z3150" s="18"/>
      <c r="AA3150" s="18"/>
      <c r="AB3150" s="18"/>
      <c r="AC3150" s="18"/>
    </row>
    <row r="3151" spans="1:29" ht="32.25" hidden="1" customHeight="1">
      <c r="A3151" s="17"/>
      <c r="B3151" s="9" t="s">
        <v>13284</v>
      </c>
      <c r="C3151" s="9" t="s">
        <v>13284</v>
      </c>
      <c r="D3151" s="9" t="s">
        <v>13284</v>
      </c>
      <c r="E3151" s="9" t="s">
        <v>13284</v>
      </c>
      <c r="F3151" s="9" t="s">
        <v>13284</v>
      </c>
      <c r="G3151" s="9" t="s">
        <v>13284</v>
      </c>
      <c r="H3151" s="9" t="s">
        <v>13284</v>
      </c>
      <c r="I3151" s="9" t="s">
        <v>13284</v>
      </c>
      <c r="J3151" s="9" t="s">
        <v>13284</v>
      </c>
      <c r="K3151" s="9" t="s">
        <v>13284</v>
      </c>
      <c r="L3151" s="9" t="s">
        <v>13284</v>
      </c>
      <c r="M3151" s="9" t="s">
        <v>13284</v>
      </c>
      <c r="N3151" s="9" t="s">
        <v>13284</v>
      </c>
      <c r="O3151" s="9" t="s">
        <v>13284</v>
      </c>
      <c r="P3151" s="9" t="s">
        <v>13284</v>
      </c>
      <c r="Q3151" s="9" t="s">
        <v>13284</v>
      </c>
      <c r="R3151" s="9" t="s">
        <v>13284</v>
      </c>
      <c r="S3151" s="9" t="s">
        <v>13284</v>
      </c>
      <c r="T3151" s="9" t="str">
        <f ca="1">IFERROR(IF(AND(VLOOKUP(A3151, 'Актуальное состояние (из общего'!A:C,3,0) = "", A3151 &lt;&gt; ""), "ПРОВЕРИТЬ", VLOOKUP(A3151, 'Актуальное состояние (из общего'!A:C,3,0)), "")</f>
        <v/>
      </c>
      <c r="U3151" s="9" t="s">
        <v>13284</v>
      </c>
      <c r="V3151" s="9" t="s">
        <v>13284</v>
      </c>
      <c r="W3151" s="12"/>
      <c r="X3151" s="9" t="str">
        <f t="array" ref="X3151">IFERROR(INDEX('Адреса общежитий (скрытый)'!$B$2:$B$9, MATCH(W3151, 'Адреса общежитий (скрытый)'!$A$2:$A$9, 0)), "")</f>
        <v/>
      </c>
      <c r="Y3151" s="18"/>
      <c r="Z3151" s="18"/>
      <c r="AA3151" s="18"/>
      <c r="AB3151" s="18"/>
      <c r="AC3151" s="18"/>
    </row>
    <row r="3152" spans="1:29" ht="32.25" hidden="1" customHeight="1">
      <c r="A3152" s="17"/>
      <c r="B3152" s="9" t="s">
        <v>13284</v>
      </c>
      <c r="C3152" s="9" t="s">
        <v>13284</v>
      </c>
      <c r="D3152" s="9" t="s">
        <v>13284</v>
      </c>
      <c r="E3152" s="9" t="s">
        <v>13284</v>
      </c>
      <c r="F3152" s="9" t="s">
        <v>13284</v>
      </c>
      <c r="G3152" s="9" t="s">
        <v>13284</v>
      </c>
      <c r="H3152" s="9" t="s">
        <v>13284</v>
      </c>
      <c r="I3152" s="9" t="s">
        <v>13284</v>
      </c>
      <c r="J3152" s="9" t="s">
        <v>13284</v>
      </c>
      <c r="K3152" s="9" t="s">
        <v>13284</v>
      </c>
      <c r="L3152" s="9" t="s">
        <v>13284</v>
      </c>
      <c r="M3152" s="9" t="s">
        <v>13284</v>
      </c>
      <c r="N3152" s="9" t="s">
        <v>13284</v>
      </c>
      <c r="O3152" s="9" t="s">
        <v>13284</v>
      </c>
      <c r="P3152" s="9" t="s">
        <v>13284</v>
      </c>
      <c r="Q3152" s="9" t="s">
        <v>13284</v>
      </c>
      <c r="R3152" s="9" t="s">
        <v>13284</v>
      </c>
      <c r="S3152" s="9" t="s">
        <v>13284</v>
      </c>
      <c r="T3152" s="9" t="str">
        <f ca="1">IFERROR(IF(AND(VLOOKUP(A3152, 'Актуальное состояние (из общего'!A:C,3,0) = "", A3152 &lt;&gt; ""), "ПРОВЕРИТЬ", VLOOKUP(A3152, 'Актуальное состояние (из общего'!A:C,3,0)), "")</f>
        <v/>
      </c>
      <c r="U3152" s="9" t="s">
        <v>13284</v>
      </c>
      <c r="V3152" s="9" t="s">
        <v>13284</v>
      </c>
      <c r="W3152" s="12"/>
      <c r="X3152" s="9" t="str">
        <f t="array" ref="X3152">IFERROR(INDEX('Адреса общежитий (скрытый)'!$B$2:$B$9, MATCH(W3152, 'Адреса общежитий (скрытый)'!$A$2:$A$9, 0)), "")</f>
        <v/>
      </c>
      <c r="Y3152" s="18"/>
      <c r="Z3152" s="18"/>
      <c r="AA3152" s="18"/>
      <c r="AB3152" s="18"/>
      <c r="AC3152" s="18"/>
    </row>
    <row r="3153" spans="1:29" ht="32.25" hidden="1" customHeight="1">
      <c r="A3153" s="17"/>
      <c r="B3153" s="9" t="s">
        <v>13284</v>
      </c>
      <c r="C3153" s="9" t="s">
        <v>13284</v>
      </c>
      <c r="D3153" s="9" t="s">
        <v>13284</v>
      </c>
      <c r="E3153" s="9" t="s">
        <v>13284</v>
      </c>
      <c r="F3153" s="9" t="s">
        <v>13284</v>
      </c>
      <c r="G3153" s="9" t="s">
        <v>13284</v>
      </c>
      <c r="H3153" s="9" t="s">
        <v>13284</v>
      </c>
      <c r="I3153" s="9" t="s">
        <v>13284</v>
      </c>
      <c r="J3153" s="9" t="s">
        <v>13284</v>
      </c>
      <c r="K3153" s="9" t="s">
        <v>13284</v>
      </c>
      <c r="L3153" s="9" t="s">
        <v>13284</v>
      </c>
      <c r="M3153" s="9" t="s">
        <v>13284</v>
      </c>
      <c r="N3153" s="9" t="s">
        <v>13284</v>
      </c>
      <c r="O3153" s="9" t="s">
        <v>13284</v>
      </c>
      <c r="P3153" s="9" t="s">
        <v>13284</v>
      </c>
      <c r="Q3153" s="9" t="s">
        <v>13284</v>
      </c>
      <c r="R3153" s="9" t="s">
        <v>13284</v>
      </c>
      <c r="S3153" s="9" t="s">
        <v>13284</v>
      </c>
      <c r="T3153" s="9" t="str">
        <f ca="1">IFERROR(IF(AND(VLOOKUP(A3153, 'Актуальное состояние (из общего'!A:C,3,0) = "", A3153 &lt;&gt; ""), "ПРОВЕРИТЬ", VLOOKUP(A3153, 'Актуальное состояние (из общего'!A:C,3,0)), "")</f>
        <v/>
      </c>
      <c r="U3153" s="9" t="s">
        <v>13284</v>
      </c>
      <c r="V3153" s="9" t="s">
        <v>13284</v>
      </c>
      <c r="W3153" s="12"/>
      <c r="X3153" s="9" t="str">
        <f t="array" ref="X3153">IFERROR(INDEX('Адреса общежитий (скрытый)'!$B$2:$B$9, MATCH(W3153, 'Адреса общежитий (скрытый)'!$A$2:$A$9, 0)), "")</f>
        <v/>
      </c>
      <c r="Y3153" s="18"/>
      <c r="Z3153" s="18"/>
      <c r="AA3153" s="18"/>
      <c r="AB3153" s="18"/>
      <c r="AC3153" s="18"/>
    </row>
    <row r="3154" spans="1:29" ht="32.25" hidden="1" customHeight="1">
      <c r="A3154" s="17"/>
      <c r="B3154" s="9" t="s">
        <v>13284</v>
      </c>
      <c r="C3154" s="9" t="s">
        <v>13284</v>
      </c>
      <c r="D3154" s="9" t="s">
        <v>13284</v>
      </c>
      <c r="E3154" s="9" t="s">
        <v>13284</v>
      </c>
      <c r="F3154" s="9" t="s">
        <v>13284</v>
      </c>
      <c r="G3154" s="9" t="s">
        <v>13284</v>
      </c>
      <c r="H3154" s="9" t="s">
        <v>13284</v>
      </c>
      <c r="I3154" s="9" t="s">
        <v>13284</v>
      </c>
      <c r="J3154" s="9" t="s">
        <v>13284</v>
      </c>
      <c r="K3154" s="9" t="s">
        <v>13284</v>
      </c>
      <c r="L3154" s="9" t="s">
        <v>13284</v>
      </c>
      <c r="M3154" s="9" t="s">
        <v>13284</v>
      </c>
      <c r="N3154" s="9" t="s">
        <v>13284</v>
      </c>
      <c r="O3154" s="9" t="s">
        <v>13284</v>
      </c>
      <c r="P3154" s="9" t="s">
        <v>13284</v>
      </c>
      <c r="Q3154" s="9" t="s">
        <v>13284</v>
      </c>
      <c r="R3154" s="9" t="s">
        <v>13284</v>
      </c>
      <c r="S3154" s="9" t="s">
        <v>13284</v>
      </c>
      <c r="T3154" s="9" t="str">
        <f ca="1">IFERROR(IF(AND(VLOOKUP(A3154, 'Актуальное состояние (из общего'!A:C,3,0) = "", A3154 &lt;&gt; ""), "ПРОВЕРИТЬ", VLOOKUP(A3154, 'Актуальное состояние (из общего'!A:C,3,0)), "")</f>
        <v/>
      </c>
      <c r="U3154" s="9" t="s">
        <v>13284</v>
      </c>
      <c r="V3154" s="9" t="s">
        <v>13284</v>
      </c>
      <c r="W3154" s="12"/>
      <c r="X3154" s="9" t="str">
        <f t="array" ref="X3154">IFERROR(INDEX('Адреса общежитий (скрытый)'!$B$2:$B$9, MATCH(W3154, 'Адреса общежитий (скрытый)'!$A$2:$A$9, 0)), "")</f>
        <v/>
      </c>
      <c r="Y3154" s="18"/>
      <c r="Z3154" s="18"/>
      <c r="AA3154" s="18"/>
      <c r="AB3154" s="18"/>
      <c r="AC3154" s="18"/>
    </row>
    <row r="3155" spans="1:29" ht="32.25" hidden="1" customHeight="1">
      <c r="A3155" s="17"/>
      <c r="B3155" s="9" t="s">
        <v>13284</v>
      </c>
      <c r="C3155" s="9" t="s">
        <v>13284</v>
      </c>
      <c r="D3155" s="9" t="s">
        <v>13284</v>
      </c>
      <c r="E3155" s="9" t="s">
        <v>13284</v>
      </c>
      <c r="F3155" s="9" t="s">
        <v>13284</v>
      </c>
      <c r="G3155" s="9" t="s">
        <v>13284</v>
      </c>
      <c r="H3155" s="9" t="s">
        <v>13284</v>
      </c>
      <c r="I3155" s="9" t="s">
        <v>13284</v>
      </c>
      <c r="J3155" s="9" t="s">
        <v>13284</v>
      </c>
      <c r="K3155" s="9" t="s">
        <v>13284</v>
      </c>
      <c r="L3155" s="9" t="s">
        <v>13284</v>
      </c>
      <c r="M3155" s="9" t="s">
        <v>13284</v>
      </c>
      <c r="N3155" s="9" t="s">
        <v>13284</v>
      </c>
      <c r="O3155" s="9" t="s">
        <v>13284</v>
      </c>
      <c r="P3155" s="9" t="s">
        <v>13284</v>
      </c>
      <c r="Q3155" s="9" t="s">
        <v>13284</v>
      </c>
      <c r="R3155" s="9" t="s">
        <v>13284</v>
      </c>
      <c r="S3155" s="9" t="s">
        <v>13284</v>
      </c>
      <c r="T3155" s="9" t="str">
        <f ca="1">IFERROR(IF(AND(VLOOKUP(A3155, 'Актуальное состояние (из общего'!A:C,3,0) = "", A3155 &lt;&gt; ""), "ПРОВЕРИТЬ", VLOOKUP(A3155, 'Актуальное состояние (из общего'!A:C,3,0)), "")</f>
        <v/>
      </c>
      <c r="U3155" s="9" t="s">
        <v>13284</v>
      </c>
      <c r="V3155" s="9" t="s">
        <v>13284</v>
      </c>
      <c r="W3155" s="12"/>
      <c r="X3155" s="9" t="str">
        <f t="array" ref="X3155">IFERROR(INDEX('Адреса общежитий (скрытый)'!$B$2:$B$9, MATCH(W3155, 'Адреса общежитий (скрытый)'!$A$2:$A$9, 0)), "")</f>
        <v/>
      </c>
      <c r="Y3155" s="18"/>
      <c r="Z3155" s="18"/>
      <c r="AA3155" s="18"/>
      <c r="AB3155" s="18"/>
      <c r="AC3155" s="18"/>
    </row>
    <row r="3156" spans="1:29" ht="32.25" hidden="1" customHeight="1">
      <c r="A3156" s="17"/>
      <c r="B3156" s="9" t="s">
        <v>13284</v>
      </c>
      <c r="C3156" s="9" t="s">
        <v>13284</v>
      </c>
      <c r="D3156" s="9" t="s">
        <v>13284</v>
      </c>
      <c r="E3156" s="9" t="s">
        <v>13284</v>
      </c>
      <c r="F3156" s="9" t="s">
        <v>13284</v>
      </c>
      <c r="G3156" s="9" t="s">
        <v>13284</v>
      </c>
      <c r="H3156" s="9" t="s">
        <v>13284</v>
      </c>
      <c r="I3156" s="9" t="s">
        <v>13284</v>
      </c>
      <c r="J3156" s="9" t="s">
        <v>13284</v>
      </c>
      <c r="K3156" s="9" t="s">
        <v>13284</v>
      </c>
      <c r="L3156" s="9" t="s">
        <v>13284</v>
      </c>
      <c r="M3156" s="9" t="s">
        <v>13284</v>
      </c>
      <c r="N3156" s="9" t="s">
        <v>13284</v>
      </c>
      <c r="O3156" s="9" t="s">
        <v>13284</v>
      </c>
      <c r="P3156" s="9" t="s">
        <v>13284</v>
      </c>
      <c r="Q3156" s="9" t="s">
        <v>13284</v>
      </c>
      <c r="R3156" s="9" t="s">
        <v>13284</v>
      </c>
      <c r="S3156" s="9" t="s">
        <v>13284</v>
      </c>
      <c r="T3156" s="9" t="str">
        <f ca="1">IFERROR(IF(AND(VLOOKUP(A3156, 'Актуальное состояние (из общего'!A:C,3,0) = "", A3156 &lt;&gt; ""), "ПРОВЕРИТЬ", VLOOKUP(A3156, 'Актуальное состояние (из общего'!A:C,3,0)), "")</f>
        <v/>
      </c>
      <c r="U3156" s="9" t="s">
        <v>13284</v>
      </c>
      <c r="V3156" s="9" t="s">
        <v>13284</v>
      </c>
      <c r="W3156" s="12"/>
      <c r="X3156" s="9" t="str">
        <f t="array" ref="X3156">IFERROR(INDEX('Адреса общежитий (скрытый)'!$B$2:$B$9, MATCH(W3156, 'Адреса общежитий (скрытый)'!$A$2:$A$9, 0)), "")</f>
        <v/>
      </c>
      <c r="Y3156" s="18"/>
      <c r="Z3156" s="18"/>
      <c r="AA3156" s="18"/>
      <c r="AB3156" s="18"/>
      <c r="AC3156" s="18"/>
    </row>
    <row r="3157" spans="1:29" ht="32.25" hidden="1" customHeight="1">
      <c r="A3157" s="17"/>
      <c r="B3157" s="9" t="s">
        <v>13284</v>
      </c>
      <c r="C3157" s="9" t="s">
        <v>13284</v>
      </c>
      <c r="D3157" s="9" t="s">
        <v>13284</v>
      </c>
      <c r="E3157" s="9" t="s">
        <v>13284</v>
      </c>
      <c r="F3157" s="9" t="s">
        <v>13284</v>
      </c>
      <c r="G3157" s="9" t="s">
        <v>13284</v>
      </c>
      <c r="H3157" s="9" t="s">
        <v>13284</v>
      </c>
      <c r="I3157" s="9" t="s">
        <v>13284</v>
      </c>
      <c r="J3157" s="9" t="s">
        <v>13284</v>
      </c>
      <c r="K3157" s="9" t="s">
        <v>13284</v>
      </c>
      <c r="L3157" s="9" t="s">
        <v>13284</v>
      </c>
      <c r="M3157" s="9" t="s">
        <v>13284</v>
      </c>
      <c r="N3157" s="9" t="s">
        <v>13284</v>
      </c>
      <c r="O3157" s="9" t="s">
        <v>13284</v>
      </c>
      <c r="P3157" s="9" t="s">
        <v>13284</v>
      </c>
      <c r="Q3157" s="9" t="s">
        <v>13284</v>
      </c>
      <c r="R3157" s="9" t="s">
        <v>13284</v>
      </c>
      <c r="S3157" s="9" t="s">
        <v>13284</v>
      </c>
      <c r="T3157" s="9" t="str">
        <f ca="1">IFERROR(IF(AND(VLOOKUP(A3157, 'Актуальное состояние (из общего'!A:C,3,0) = "", A3157 &lt;&gt; ""), "ПРОВЕРИТЬ", VLOOKUP(A3157, 'Актуальное состояние (из общего'!A:C,3,0)), "")</f>
        <v/>
      </c>
      <c r="U3157" s="9" t="s">
        <v>13284</v>
      </c>
      <c r="V3157" s="9" t="s">
        <v>13284</v>
      </c>
      <c r="W3157" s="12"/>
      <c r="X3157" s="9" t="str">
        <f t="array" ref="X3157">IFERROR(INDEX('Адреса общежитий (скрытый)'!$B$2:$B$9, MATCH(W3157, 'Адреса общежитий (скрытый)'!$A$2:$A$9, 0)), "")</f>
        <v/>
      </c>
      <c r="Y3157" s="18"/>
      <c r="Z3157" s="18"/>
      <c r="AA3157" s="18"/>
      <c r="AB3157" s="18"/>
      <c r="AC3157" s="18"/>
    </row>
    <row r="3158" spans="1:29" ht="32.25" hidden="1" customHeight="1">
      <c r="A3158" s="17"/>
      <c r="B3158" s="9" t="s">
        <v>13284</v>
      </c>
      <c r="C3158" s="9" t="s">
        <v>13284</v>
      </c>
      <c r="D3158" s="9" t="s">
        <v>13284</v>
      </c>
      <c r="E3158" s="9" t="s">
        <v>13284</v>
      </c>
      <c r="F3158" s="9" t="s">
        <v>13284</v>
      </c>
      <c r="G3158" s="9" t="s">
        <v>13284</v>
      </c>
      <c r="H3158" s="9" t="s">
        <v>13284</v>
      </c>
      <c r="I3158" s="9" t="s">
        <v>13284</v>
      </c>
      <c r="J3158" s="9" t="s">
        <v>13284</v>
      </c>
      <c r="K3158" s="9" t="s">
        <v>13284</v>
      </c>
      <c r="L3158" s="9" t="s">
        <v>13284</v>
      </c>
      <c r="M3158" s="9" t="s">
        <v>13284</v>
      </c>
      <c r="N3158" s="9" t="s">
        <v>13284</v>
      </c>
      <c r="O3158" s="9" t="s">
        <v>13284</v>
      </c>
      <c r="P3158" s="9" t="s">
        <v>13284</v>
      </c>
      <c r="Q3158" s="9" t="s">
        <v>13284</v>
      </c>
      <c r="R3158" s="9" t="s">
        <v>13284</v>
      </c>
      <c r="S3158" s="9" t="s">
        <v>13284</v>
      </c>
      <c r="T3158" s="9" t="str">
        <f ca="1">IFERROR(IF(AND(VLOOKUP(A3158, 'Актуальное состояние (из общего'!A:C,3,0) = "", A3158 &lt;&gt; ""), "ПРОВЕРИТЬ", VLOOKUP(A3158, 'Актуальное состояние (из общего'!A:C,3,0)), "")</f>
        <v/>
      </c>
      <c r="U3158" s="9" t="s">
        <v>13284</v>
      </c>
      <c r="V3158" s="9" t="s">
        <v>13284</v>
      </c>
      <c r="W3158" s="12"/>
      <c r="X3158" s="9" t="str">
        <f t="array" ref="X3158">IFERROR(INDEX('Адреса общежитий (скрытый)'!$B$2:$B$9, MATCH(W3158, 'Адреса общежитий (скрытый)'!$A$2:$A$9, 0)), "")</f>
        <v/>
      </c>
      <c r="Y3158" s="18"/>
      <c r="Z3158" s="18"/>
      <c r="AA3158" s="18"/>
      <c r="AB3158" s="18"/>
      <c r="AC3158" s="18"/>
    </row>
    <row r="3159" spans="1:29" ht="32.25" hidden="1" customHeight="1">
      <c r="A3159" s="17"/>
      <c r="B3159" s="9" t="s">
        <v>13284</v>
      </c>
      <c r="C3159" s="9" t="s">
        <v>13284</v>
      </c>
      <c r="D3159" s="9" t="s">
        <v>13284</v>
      </c>
      <c r="E3159" s="9" t="s">
        <v>13284</v>
      </c>
      <c r="F3159" s="9" t="s">
        <v>13284</v>
      </c>
      <c r="G3159" s="9" t="s">
        <v>13284</v>
      </c>
      <c r="H3159" s="9" t="s">
        <v>13284</v>
      </c>
      <c r="I3159" s="9" t="s">
        <v>13284</v>
      </c>
      <c r="J3159" s="9" t="s">
        <v>13284</v>
      </c>
      <c r="K3159" s="9" t="s">
        <v>13284</v>
      </c>
      <c r="L3159" s="9" t="s">
        <v>13284</v>
      </c>
      <c r="M3159" s="9" t="s">
        <v>13284</v>
      </c>
      <c r="N3159" s="9" t="s">
        <v>13284</v>
      </c>
      <c r="O3159" s="9" t="s">
        <v>13284</v>
      </c>
      <c r="P3159" s="9" t="s">
        <v>13284</v>
      </c>
      <c r="Q3159" s="9" t="s">
        <v>13284</v>
      </c>
      <c r="R3159" s="9" t="s">
        <v>13284</v>
      </c>
      <c r="S3159" s="9" t="s">
        <v>13284</v>
      </c>
      <c r="T3159" s="9" t="str">
        <f ca="1">IFERROR(IF(AND(VLOOKUP(A3159, 'Актуальное состояние (из общего'!A:C,3,0) = "", A3159 &lt;&gt; ""), "ПРОВЕРИТЬ", VLOOKUP(A3159, 'Актуальное состояние (из общего'!A:C,3,0)), "")</f>
        <v/>
      </c>
      <c r="U3159" s="9" t="s">
        <v>13284</v>
      </c>
      <c r="V3159" s="9" t="s">
        <v>13284</v>
      </c>
      <c r="W3159" s="12"/>
      <c r="X3159" s="9" t="str">
        <f t="array" ref="X3159">IFERROR(INDEX('Адреса общежитий (скрытый)'!$B$2:$B$9, MATCH(W3159, 'Адреса общежитий (скрытый)'!$A$2:$A$9, 0)), "")</f>
        <v/>
      </c>
      <c r="Y3159" s="18"/>
      <c r="Z3159" s="18"/>
      <c r="AA3159" s="18"/>
      <c r="AB3159" s="18"/>
      <c r="AC3159" s="18"/>
    </row>
    <row r="3160" spans="1:29" ht="32.25" hidden="1" customHeight="1">
      <c r="A3160" s="17"/>
      <c r="B3160" s="9" t="s">
        <v>13284</v>
      </c>
      <c r="C3160" s="9" t="s">
        <v>13284</v>
      </c>
      <c r="D3160" s="9" t="s">
        <v>13284</v>
      </c>
      <c r="E3160" s="9" t="s">
        <v>13284</v>
      </c>
      <c r="F3160" s="9" t="s">
        <v>13284</v>
      </c>
      <c r="G3160" s="9" t="s">
        <v>13284</v>
      </c>
      <c r="H3160" s="9" t="s">
        <v>13284</v>
      </c>
      <c r="I3160" s="9" t="s">
        <v>13284</v>
      </c>
      <c r="J3160" s="9" t="s">
        <v>13284</v>
      </c>
      <c r="K3160" s="9" t="s">
        <v>13284</v>
      </c>
      <c r="L3160" s="9" t="s">
        <v>13284</v>
      </c>
      <c r="M3160" s="9" t="s">
        <v>13284</v>
      </c>
      <c r="N3160" s="9" t="s">
        <v>13284</v>
      </c>
      <c r="O3160" s="9" t="s">
        <v>13284</v>
      </c>
      <c r="P3160" s="9" t="s">
        <v>13284</v>
      </c>
      <c r="Q3160" s="9" t="s">
        <v>13284</v>
      </c>
      <c r="R3160" s="9" t="s">
        <v>13284</v>
      </c>
      <c r="S3160" s="9" t="s">
        <v>13284</v>
      </c>
      <c r="T3160" s="9" t="str">
        <f ca="1">IFERROR(IF(AND(VLOOKUP(A3160, 'Актуальное состояние (из общего'!A:C,3,0) = "", A3160 &lt;&gt; ""), "ПРОВЕРИТЬ", VLOOKUP(A3160, 'Актуальное состояние (из общего'!A:C,3,0)), "")</f>
        <v/>
      </c>
      <c r="U3160" s="9" t="s">
        <v>13284</v>
      </c>
      <c r="V3160" s="9" t="s">
        <v>13284</v>
      </c>
      <c r="W3160" s="12"/>
      <c r="X3160" s="9" t="str">
        <f t="array" ref="X3160">IFERROR(INDEX('Адреса общежитий (скрытый)'!$B$2:$B$9, MATCH(W3160, 'Адреса общежитий (скрытый)'!$A$2:$A$9, 0)), "")</f>
        <v/>
      </c>
      <c r="Y3160" s="18"/>
      <c r="Z3160" s="18"/>
      <c r="AA3160" s="18"/>
      <c r="AB3160" s="18"/>
      <c r="AC3160" s="18"/>
    </row>
    <row r="3161" spans="1:29" ht="32.25" hidden="1" customHeight="1">
      <c r="A3161" s="17"/>
      <c r="B3161" s="9" t="s">
        <v>13284</v>
      </c>
      <c r="C3161" s="9" t="s">
        <v>13284</v>
      </c>
      <c r="D3161" s="9" t="s">
        <v>13284</v>
      </c>
      <c r="E3161" s="9" t="s">
        <v>13284</v>
      </c>
      <c r="F3161" s="9" t="s">
        <v>13284</v>
      </c>
      <c r="G3161" s="9" t="s">
        <v>13284</v>
      </c>
      <c r="H3161" s="9" t="s">
        <v>13284</v>
      </c>
      <c r="I3161" s="9" t="s">
        <v>13284</v>
      </c>
      <c r="J3161" s="9" t="s">
        <v>13284</v>
      </c>
      <c r="K3161" s="9" t="s">
        <v>13284</v>
      </c>
      <c r="L3161" s="9" t="s">
        <v>13284</v>
      </c>
      <c r="M3161" s="9" t="s">
        <v>13284</v>
      </c>
      <c r="N3161" s="9" t="s">
        <v>13284</v>
      </c>
      <c r="O3161" s="9" t="s">
        <v>13284</v>
      </c>
      <c r="P3161" s="9" t="s">
        <v>13284</v>
      </c>
      <c r="Q3161" s="9" t="s">
        <v>13284</v>
      </c>
      <c r="R3161" s="9" t="s">
        <v>13284</v>
      </c>
      <c r="S3161" s="9" t="s">
        <v>13284</v>
      </c>
      <c r="T3161" s="9" t="str">
        <f ca="1">IFERROR(IF(AND(VLOOKUP(A3161, 'Актуальное состояние (из общего'!A:C,3,0) = "", A3161 &lt;&gt; ""), "ПРОВЕРИТЬ", VLOOKUP(A3161, 'Актуальное состояние (из общего'!A:C,3,0)), "")</f>
        <v/>
      </c>
      <c r="U3161" s="9" t="s">
        <v>13284</v>
      </c>
      <c r="V3161" s="9" t="s">
        <v>13284</v>
      </c>
      <c r="W3161" s="12"/>
      <c r="X3161" s="9" t="str">
        <f t="array" ref="X3161">IFERROR(INDEX('Адреса общежитий (скрытый)'!$B$2:$B$9, MATCH(W3161, 'Адреса общежитий (скрытый)'!$A$2:$A$9, 0)), "")</f>
        <v/>
      </c>
      <c r="Y3161" s="18"/>
      <c r="Z3161" s="18"/>
      <c r="AA3161" s="18"/>
      <c r="AB3161" s="18"/>
      <c r="AC3161" s="18"/>
    </row>
    <row r="3162" spans="1:29" ht="32.25" hidden="1" customHeight="1">
      <c r="A3162" s="17"/>
      <c r="B3162" s="9" t="s">
        <v>13284</v>
      </c>
      <c r="C3162" s="9" t="s">
        <v>13284</v>
      </c>
      <c r="D3162" s="9" t="s">
        <v>13284</v>
      </c>
      <c r="E3162" s="9" t="s">
        <v>13284</v>
      </c>
      <c r="F3162" s="9" t="s">
        <v>13284</v>
      </c>
      <c r="G3162" s="9" t="s">
        <v>13284</v>
      </c>
      <c r="H3162" s="9" t="s">
        <v>13284</v>
      </c>
      <c r="I3162" s="9" t="s">
        <v>13284</v>
      </c>
      <c r="J3162" s="9" t="s">
        <v>13284</v>
      </c>
      <c r="K3162" s="9" t="s">
        <v>13284</v>
      </c>
      <c r="L3162" s="9" t="s">
        <v>13284</v>
      </c>
      <c r="M3162" s="9" t="s">
        <v>13284</v>
      </c>
      <c r="N3162" s="9" t="s">
        <v>13284</v>
      </c>
      <c r="O3162" s="9" t="s">
        <v>13284</v>
      </c>
      <c r="P3162" s="9" t="s">
        <v>13284</v>
      </c>
      <c r="Q3162" s="9" t="s">
        <v>13284</v>
      </c>
      <c r="R3162" s="9" t="s">
        <v>13284</v>
      </c>
      <c r="S3162" s="9" t="s">
        <v>13284</v>
      </c>
      <c r="T3162" s="9" t="str">
        <f ca="1">IFERROR(IF(AND(VLOOKUP(A3162, 'Актуальное состояние (из общего'!A:C,3,0) = "", A3162 &lt;&gt; ""), "ПРОВЕРИТЬ", VLOOKUP(A3162, 'Актуальное состояние (из общего'!A:C,3,0)), "")</f>
        <v/>
      </c>
      <c r="U3162" s="9" t="s">
        <v>13284</v>
      </c>
      <c r="V3162" s="9" t="s">
        <v>13284</v>
      </c>
      <c r="W3162" s="12"/>
      <c r="X3162" s="9" t="str">
        <f t="array" ref="X3162">IFERROR(INDEX('Адреса общежитий (скрытый)'!$B$2:$B$9, MATCH(W3162, 'Адреса общежитий (скрытый)'!$A$2:$A$9, 0)), "")</f>
        <v/>
      </c>
      <c r="Y3162" s="18"/>
      <c r="Z3162" s="18"/>
      <c r="AA3162" s="18"/>
      <c r="AB3162" s="18"/>
      <c r="AC3162" s="18"/>
    </row>
    <row r="3163" spans="1:29" ht="32.25" hidden="1" customHeight="1">
      <c r="A3163" s="17"/>
      <c r="B3163" s="9" t="s">
        <v>13284</v>
      </c>
      <c r="C3163" s="9" t="s">
        <v>13284</v>
      </c>
      <c r="D3163" s="9" t="s">
        <v>13284</v>
      </c>
      <c r="E3163" s="9" t="s">
        <v>13284</v>
      </c>
      <c r="F3163" s="9" t="s">
        <v>13284</v>
      </c>
      <c r="G3163" s="9" t="s">
        <v>13284</v>
      </c>
      <c r="H3163" s="9" t="s">
        <v>13284</v>
      </c>
      <c r="I3163" s="9" t="s">
        <v>13284</v>
      </c>
      <c r="J3163" s="9" t="s">
        <v>13284</v>
      </c>
      <c r="K3163" s="9" t="s">
        <v>13284</v>
      </c>
      <c r="L3163" s="9" t="s">
        <v>13284</v>
      </c>
      <c r="M3163" s="9" t="s">
        <v>13284</v>
      </c>
      <c r="N3163" s="9" t="s">
        <v>13284</v>
      </c>
      <c r="O3163" s="9" t="s">
        <v>13284</v>
      </c>
      <c r="P3163" s="9" t="s">
        <v>13284</v>
      </c>
      <c r="Q3163" s="9" t="s">
        <v>13284</v>
      </c>
      <c r="R3163" s="9" t="s">
        <v>13284</v>
      </c>
      <c r="S3163" s="9" t="s">
        <v>13284</v>
      </c>
      <c r="T3163" s="9" t="str">
        <f ca="1">IFERROR(IF(AND(VLOOKUP(A3163, 'Актуальное состояние (из общего'!A:C,3,0) = "", A3163 &lt;&gt; ""), "ПРОВЕРИТЬ", VLOOKUP(A3163, 'Актуальное состояние (из общего'!A:C,3,0)), "")</f>
        <v/>
      </c>
      <c r="U3163" s="9" t="s">
        <v>13284</v>
      </c>
      <c r="V3163" s="9" t="s">
        <v>13284</v>
      </c>
      <c r="W3163" s="12"/>
      <c r="X3163" s="9" t="str">
        <f t="array" ref="X3163">IFERROR(INDEX('Адреса общежитий (скрытый)'!$B$2:$B$9, MATCH(W3163, 'Адреса общежитий (скрытый)'!$A$2:$A$9, 0)), "")</f>
        <v/>
      </c>
      <c r="Y3163" s="18"/>
      <c r="Z3163" s="18"/>
      <c r="AA3163" s="18"/>
      <c r="AB3163" s="18"/>
      <c r="AC3163" s="18"/>
    </row>
    <row r="3164" spans="1:29" ht="32.25" hidden="1" customHeight="1">
      <c r="A3164" s="17"/>
      <c r="B3164" s="9" t="s">
        <v>13284</v>
      </c>
      <c r="C3164" s="9" t="s">
        <v>13284</v>
      </c>
      <c r="D3164" s="9" t="s">
        <v>13284</v>
      </c>
      <c r="E3164" s="9" t="s">
        <v>13284</v>
      </c>
      <c r="F3164" s="9" t="s">
        <v>13284</v>
      </c>
      <c r="G3164" s="9" t="s">
        <v>13284</v>
      </c>
      <c r="H3164" s="9" t="s">
        <v>13284</v>
      </c>
      <c r="I3164" s="9" t="s">
        <v>13284</v>
      </c>
      <c r="J3164" s="9" t="s">
        <v>13284</v>
      </c>
      <c r="K3164" s="9" t="s">
        <v>13284</v>
      </c>
      <c r="L3164" s="9" t="s">
        <v>13284</v>
      </c>
      <c r="M3164" s="9" t="s">
        <v>13284</v>
      </c>
      <c r="N3164" s="9" t="s">
        <v>13284</v>
      </c>
      <c r="O3164" s="9" t="s">
        <v>13284</v>
      </c>
      <c r="P3164" s="9" t="s">
        <v>13284</v>
      </c>
      <c r="Q3164" s="9" t="s">
        <v>13284</v>
      </c>
      <c r="R3164" s="9" t="s">
        <v>13284</v>
      </c>
      <c r="S3164" s="9" t="s">
        <v>13284</v>
      </c>
      <c r="T3164" s="9" t="str">
        <f ca="1">IFERROR(IF(AND(VLOOKUP(A3164, 'Актуальное состояние (из общего'!A:C,3,0) = "", A3164 &lt;&gt; ""), "ПРОВЕРИТЬ", VLOOKUP(A3164, 'Актуальное состояние (из общего'!A:C,3,0)), "")</f>
        <v/>
      </c>
      <c r="U3164" s="9" t="s">
        <v>13284</v>
      </c>
      <c r="V3164" s="9" t="s">
        <v>13284</v>
      </c>
      <c r="W3164" s="12"/>
      <c r="X3164" s="9" t="str">
        <f t="array" ref="X3164">IFERROR(INDEX('Адреса общежитий (скрытый)'!$B$2:$B$9, MATCH(W3164, 'Адреса общежитий (скрытый)'!$A$2:$A$9, 0)), "")</f>
        <v/>
      </c>
      <c r="Y3164" s="18"/>
      <c r="Z3164" s="18"/>
      <c r="AA3164" s="18"/>
      <c r="AB3164" s="18"/>
      <c r="AC3164" s="18"/>
    </row>
    <row r="3165" spans="1:29" ht="32.25" hidden="1" customHeight="1">
      <c r="A3165" s="17"/>
      <c r="B3165" s="9" t="s">
        <v>13284</v>
      </c>
      <c r="C3165" s="9" t="s">
        <v>13284</v>
      </c>
      <c r="D3165" s="9" t="s">
        <v>13284</v>
      </c>
      <c r="E3165" s="9" t="s">
        <v>13284</v>
      </c>
      <c r="F3165" s="9" t="s">
        <v>13284</v>
      </c>
      <c r="G3165" s="9" t="s">
        <v>13284</v>
      </c>
      <c r="H3165" s="9" t="s">
        <v>13284</v>
      </c>
      <c r="I3165" s="9" t="s">
        <v>13284</v>
      </c>
      <c r="J3165" s="9" t="s">
        <v>13284</v>
      </c>
      <c r="K3165" s="9" t="s">
        <v>13284</v>
      </c>
      <c r="L3165" s="9" t="s">
        <v>13284</v>
      </c>
      <c r="M3165" s="9" t="s">
        <v>13284</v>
      </c>
      <c r="N3165" s="9" t="s">
        <v>13284</v>
      </c>
      <c r="O3165" s="9" t="s">
        <v>13284</v>
      </c>
      <c r="P3165" s="9" t="s">
        <v>13284</v>
      </c>
      <c r="Q3165" s="9" t="s">
        <v>13284</v>
      </c>
      <c r="R3165" s="9" t="s">
        <v>13284</v>
      </c>
      <c r="S3165" s="9" t="s">
        <v>13284</v>
      </c>
      <c r="T3165" s="9" t="str">
        <f ca="1">IFERROR(IF(AND(VLOOKUP(A3165, 'Актуальное состояние (из общего'!A:C,3,0) = "", A3165 &lt;&gt; ""), "ПРОВЕРИТЬ", VLOOKUP(A3165, 'Актуальное состояние (из общего'!A:C,3,0)), "")</f>
        <v/>
      </c>
      <c r="U3165" s="9" t="s">
        <v>13284</v>
      </c>
      <c r="V3165" s="9" t="s">
        <v>13284</v>
      </c>
      <c r="W3165" s="12"/>
      <c r="X3165" s="9" t="str">
        <f t="array" ref="X3165">IFERROR(INDEX('Адреса общежитий (скрытый)'!$B$2:$B$9, MATCH(W3165, 'Адреса общежитий (скрытый)'!$A$2:$A$9, 0)), "")</f>
        <v/>
      </c>
      <c r="Y3165" s="18"/>
      <c r="Z3165" s="18"/>
      <c r="AA3165" s="18"/>
      <c r="AB3165" s="18"/>
      <c r="AC3165" s="18"/>
    </row>
    <row r="3166" spans="1:29" ht="32.25" hidden="1" customHeight="1">
      <c r="A3166" s="17"/>
      <c r="B3166" s="9" t="s">
        <v>13284</v>
      </c>
      <c r="C3166" s="9" t="s">
        <v>13284</v>
      </c>
      <c r="D3166" s="9" t="s">
        <v>13284</v>
      </c>
      <c r="E3166" s="9" t="s">
        <v>13284</v>
      </c>
      <c r="F3166" s="9" t="s">
        <v>13284</v>
      </c>
      <c r="G3166" s="9" t="s">
        <v>13284</v>
      </c>
      <c r="H3166" s="9" t="s">
        <v>13284</v>
      </c>
      <c r="I3166" s="9" t="s">
        <v>13284</v>
      </c>
      <c r="J3166" s="9" t="s">
        <v>13284</v>
      </c>
      <c r="K3166" s="9" t="s">
        <v>13284</v>
      </c>
      <c r="L3166" s="9" t="s">
        <v>13284</v>
      </c>
      <c r="M3166" s="9" t="s">
        <v>13284</v>
      </c>
      <c r="N3166" s="9" t="s">
        <v>13284</v>
      </c>
      <c r="O3166" s="9" t="s">
        <v>13284</v>
      </c>
      <c r="P3166" s="9" t="s">
        <v>13284</v>
      </c>
      <c r="Q3166" s="9" t="s">
        <v>13284</v>
      </c>
      <c r="R3166" s="9" t="s">
        <v>13284</v>
      </c>
      <c r="S3166" s="9" t="s">
        <v>13284</v>
      </c>
      <c r="T3166" s="9" t="str">
        <f ca="1">IFERROR(IF(AND(VLOOKUP(A3166, 'Актуальное состояние (из общего'!A:C,3,0) = "", A3166 &lt;&gt; ""), "ПРОВЕРИТЬ", VLOOKUP(A3166, 'Актуальное состояние (из общего'!A:C,3,0)), "")</f>
        <v/>
      </c>
      <c r="U3166" s="9" t="s">
        <v>13284</v>
      </c>
      <c r="V3166" s="9" t="s">
        <v>13284</v>
      </c>
      <c r="W3166" s="12"/>
      <c r="X3166" s="9" t="str">
        <f t="array" ref="X3166">IFERROR(INDEX('Адреса общежитий (скрытый)'!$B$2:$B$9, MATCH(W3166, 'Адреса общежитий (скрытый)'!$A$2:$A$9, 0)), "")</f>
        <v/>
      </c>
      <c r="Y3166" s="18"/>
      <c r="Z3166" s="18"/>
      <c r="AA3166" s="18"/>
      <c r="AB3166" s="18"/>
      <c r="AC3166" s="18"/>
    </row>
    <row r="3167" spans="1:29" ht="32.25" hidden="1" customHeight="1">
      <c r="A3167" s="17"/>
      <c r="B3167" s="9" t="s">
        <v>13284</v>
      </c>
      <c r="C3167" s="9" t="s">
        <v>13284</v>
      </c>
      <c r="D3167" s="9" t="s">
        <v>13284</v>
      </c>
      <c r="E3167" s="9" t="s">
        <v>13284</v>
      </c>
      <c r="F3167" s="9" t="s">
        <v>13284</v>
      </c>
      <c r="G3167" s="9" t="s">
        <v>13284</v>
      </c>
      <c r="H3167" s="9" t="s">
        <v>13284</v>
      </c>
      <c r="I3167" s="9" t="s">
        <v>13284</v>
      </c>
      <c r="J3167" s="9" t="s">
        <v>13284</v>
      </c>
      <c r="K3167" s="9" t="s">
        <v>13284</v>
      </c>
      <c r="L3167" s="9" t="s">
        <v>13284</v>
      </c>
      <c r="M3167" s="9" t="s">
        <v>13284</v>
      </c>
      <c r="N3167" s="9" t="s">
        <v>13284</v>
      </c>
      <c r="O3167" s="9" t="s">
        <v>13284</v>
      </c>
      <c r="P3167" s="9" t="s">
        <v>13284</v>
      </c>
      <c r="Q3167" s="9" t="s">
        <v>13284</v>
      </c>
      <c r="R3167" s="9" t="s">
        <v>13284</v>
      </c>
      <c r="S3167" s="9" t="s">
        <v>13284</v>
      </c>
      <c r="T3167" s="9" t="str">
        <f ca="1">IFERROR(IF(AND(VLOOKUP(A3167, 'Актуальное состояние (из общего'!A:C,3,0) = "", A3167 &lt;&gt; ""), "ПРОВЕРИТЬ", VLOOKUP(A3167, 'Актуальное состояние (из общего'!A:C,3,0)), "")</f>
        <v/>
      </c>
      <c r="U3167" s="9" t="s">
        <v>13284</v>
      </c>
      <c r="V3167" s="9" t="s">
        <v>13284</v>
      </c>
      <c r="W3167" s="12"/>
      <c r="X3167" s="9" t="str">
        <f t="array" ref="X3167">IFERROR(INDEX('Адреса общежитий (скрытый)'!$B$2:$B$9, MATCH(W3167, 'Адреса общежитий (скрытый)'!$A$2:$A$9, 0)), "")</f>
        <v/>
      </c>
      <c r="Y3167" s="18"/>
      <c r="Z3167" s="18"/>
      <c r="AA3167" s="18"/>
      <c r="AB3167" s="18"/>
      <c r="AC3167" s="18"/>
    </row>
    <row r="3168" spans="1:29" ht="32.25" hidden="1" customHeight="1">
      <c r="A3168" s="17"/>
      <c r="B3168" s="9" t="s">
        <v>13284</v>
      </c>
      <c r="C3168" s="9" t="s">
        <v>13284</v>
      </c>
      <c r="D3168" s="9" t="s">
        <v>13284</v>
      </c>
      <c r="E3168" s="9" t="s">
        <v>13284</v>
      </c>
      <c r="F3168" s="9" t="s">
        <v>13284</v>
      </c>
      <c r="G3168" s="9" t="s">
        <v>13284</v>
      </c>
      <c r="H3168" s="9" t="s">
        <v>13284</v>
      </c>
      <c r="I3168" s="9" t="s">
        <v>13284</v>
      </c>
      <c r="J3168" s="9" t="s">
        <v>13284</v>
      </c>
      <c r="K3168" s="9" t="s">
        <v>13284</v>
      </c>
      <c r="L3168" s="9" t="s">
        <v>13284</v>
      </c>
      <c r="M3168" s="9" t="s">
        <v>13284</v>
      </c>
      <c r="N3168" s="9" t="s">
        <v>13284</v>
      </c>
      <c r="O3168" s="9" t="s">
        <v>13284</v>
      </c>
      <c r="P3168" s="9" t="s">
        <v>13284</v>
      </c>
      <c r="Q3168" s="9" t="s">
        <v>13284</v>
      </c>
      <c r="R3168" s="9" t="s">
        <v>13284</v>
      </c>
      <c r="S3168" s="9" t="s">
        <v>13284</v>
      </c>
      <c r="T3168" s="9" t="str">
        <f ca="1">IFERROR(IF(AND(VLOOKUP(A3168, 'Актуальное состояние (из общего'!A:C,3,0) = "", A3168 &lt;&gt; ""), "ПРОВЕРИТЬ", VLOOKUP(A3168, 'Актуальное состояние (из общего'!A:C,3,0)), "")</f>
        <v/>
      </c>
      <c r="U3168" s="9" t="s">
        <v>13284</v>
      </c>
      <c r="V3168" s="9" t="s">
        <v>13284</v>
      </c>
      <c r="W3168" s="12"/>
      <c r="X3168" s="9" t="str">
        <f t="array" ref="X3168">IFERROR(INDEX('Адреса общежитий (скрытый)'!$B$2:$B$9, MATCH(W3168, 'Адреса общежитий (скрытый)'!$A$2:$A$9, 0)), "")</f>
        <v/>
      </c>
      <c r="Y3168" s="18"/>
      <c r="Z3168" s="18"/>
      <c r="AA3168" s="18"/>
      <c r="AB3168" s="18"/>
      <c r="AC3168" s="18"/>
    </row>
    <row r="3169" spans="1:29" ht="32.25" hidden="1" customHeight="1">
      <c r="A3169" s="17"/>
      <c r="B3169" s="9" t="s">
        <v>13284</v>
      </c>
      <c r="C3169" s="9" t="s">
        <v>13284</v>
      </c>
      <c r="D3169" s="9" t="s">
        <v>13284</v>
      </c>
      <c r="E3169" s="9" t="s">
        <v>13284</v>
      </c>
      <c r="F3169" s="9" t="s">
        <v>13284</v>
      </c>
      <c r="G3169" s="9" t="s">
        <v>13284</v>
      </c>
      <c r="H3169" s="9" t="s">
        <v>13284</v>
      </c>
      <c r="I3169" s="9" t="s">
        <v>13284</v>
      </c>
      <c r="J3169" s="9" t="s">
        <v>13284</v>
      </c>
      <c r="K3169" s="9" t="s">
        <v>13284</v>
      </c>
      <c r="L3169" s="9" t="s">
        <v>13284</v>
      </c>
      <c r="M3169" s="9" t="s">
        <v>13284</v>
      </c>
      <c r="N3169" s="9" t="s">
        <v>13284</v>
      </c>
      <c r="O3169" s="9" t="s">
        <v>13284</v>
      </c>
      <c r="P3169" s="9" t="s">
        <v>13284</v>
      </c>
      <c r="Q3169" s="9" t="s">
        <v>13284</v>
      </c>
      <c r="R3169" s="9" t="s">
        <v>13284</v>
      </c>
      <c r="S3169" s="9" t="s">
        <v>13284</v>
      </c>
      <c r="T3169" s="9" t="str">
        <f ca="1">IFERROR(IF(AND(VLOOKUP(A3169, 'Актуальное состояние (из общего'!A:C,3,0) = "", A3169 &lt;&gt; ""), "ПРОВЕРИТЬ", VLOOKUP(A3169, 'Актуальное состояние (из общего'!A:C,3,0)), "")</f>
        <v/>
      </c>
      <c r="U3169" s="9" t="s">
        <v>13284</v>
      </c>
      <c r="V3169" s="9" t="s">
        <v>13284</v>
      </c>
      <c r="W3169" s="12"/>
      <c r="X3169" s="9" t="str">
        <f t="array" ref="X3169">IFERROR(INDEX('Адреса общежитий (скрытый)'!$B$2:$B$9, MATCH(W3169, 'Адреса общежитий (скрытый)'!$A$2:$A$9, 0)), "")</f>
        <v/>
      </c>
      <c r="Y3169" s="18"/>
      <c r="Z3169" s="18"/>
      <c r="AA3169" s="18"/>
      <c r="AB3169" s="18"/>
      <c r="AC3169" s="18"/>
    </row>
    <row r="3170" spans="1:29" ht="32.25" hidden="1" customHeight="1">
      <c r="A3170" s="17"/>
      <c r="B3170" s="9" t="s">
        <v>13284</v>
      </c>
      <c r="C3170" s="9" t="s">
        <v>13284</v>
      </c>
      <c r="D3170" s="9" t="s">
        <v>13284</v>
      </c>
      <c r="E3170" s="9" t="s">
        <v>13284</v>
      </c>
      <c r="F3170" s="9" t="s">
        <v>13284</v>
      </c>
      <c r="G3170" s="9" t="s">
        <v>13284</v>
      </c>
      <c r="H3170" s="9" t="s">
        <v>13284</v>
      </c>
      <c r="I3170" s="9" t="s">
        <v>13284</v>
      </c>
      <c r="J3170" s="9" t="s">
        <v>13284</v>
      </c>
      <c r="K3170" s="9" t="s">
        <v>13284</v>
      </c>
      <c r="L3170" s="9" t="s">
        <v>13284</v>
      </c>
      <c r="M3170" s="9" t="s">
        <v>13284</v>
      </c>
      <c r="N3170" s="9" t="s">
        <v>13284</v>
      </c>
      <c r="O3170" s="9" t="s">
        <v>13284</v>
      </c>
      <c r="P3170" s="9" t="s">
        <v>13284</v>
      </c>
      <c r="Q3170" s="9" t="s">
        <v>13284</v>
      </c>
      <c r="R3170" s="9" t="s">
        <v>13284</v>
      </c>
      <c r="S3170" s="9" t="s">
        <v>13284</v>
      </c>
      <c r="T3170" s="9" t="str">
        <f ca="1">IFERROR(IF(AND(VLOOKUP(A3170, 'Актуальное состояние (из общего'!A:C,3,0) = "", A3170 &lt;&gt; ""), "ПРОВЕРИТЬ", VLOOKUP(A3170, 'Актуальное состояние (из общего'!A:C,3,0)), "")</f>
        <v/>
      </c>
      <c r="U3170" s="9" t="s">
        <v>13284</v>
      </c>
      <c r="V3170" s="9" t="s">
        <v>13284</v>
      </c>
      <c r="W3170" s="12"/>
      <c r="X3170" s="9" t="str">
        <f t="array" ref="X3170">IFERROR(INDEX('Адреса общежитий (скрытый)'!$B$2:$B$9, MATCH(W3170, 'Адреса общежитий (скрытый)'!$A$2:$A$9, 0)), "")</f>
        <v/>
      </c>
      <c r="Y3170" s="18"/>
      <c r="Z3170" s="18"/>
      <c r="AA3170" s="18"/>
      <c r="AB3170" s="18"/>
      <c r="AC3170" s="18"/>
    </row>
    <row r="3171" spans="1:29" ht="32.25" hidden="1" customHeight="1">
      <c r="A3171" s="17"/>
      <c r="B3171" s="9" t="s">
        <v>13284</v>
      </c>
      <c r="C3171" s="9" t="s">
        <v>13284</v>
      </c>
      <c r="D3171" s="9" t="s">
        <v>13284</v>
      </c>
      <c r="E3171" s="9" t="s">
        <v>13284</v>
      </c>
      <c r="F3171" s="9" t="s">
        <v>13284</v>
      </c>
      <c r="G3171" s="9" t="s">
        <v>13284</v>
      </c>
      <c r="H3171" s="9" t="s">
        <v>13284</v>
      </c>
      <c r="I3171" s="9" t="s">
        <v>13284</v>
      </c>
      <c r="J3171" s="9" t="s">
        <v>13284</v>
      </c>
      <c r="K3171" s="9" t="s">
        <v>13284</v>
      </c>
      <c r="L3171" s="9" t="s">
        <v>13284</v>
      </c>
      <c r="M3171" s="9" t="s">
        <v>13284</v>
      </c>
      <c r="N3171" s="9" t="s">
        <v>13284</v>
      </c>
      <c r="O3171" s="9" t="s">
        <v>13284</v>
      </c>
      <c r="P3171" s="9" t="s">
        <v>13284</v>
      </c>
      <c r="Q3171" s="9" t="s">
        <v>13284</v>
      </c>
      <c r="R3171" s="9" t="s">
        <v>13284</v>
      </c>
      <c r="S3171" s="9" t="s">
        <v>13284</v>
      </c>
      <c r="T3171" s="9" t="str">
        <f ca="1">IFERROR(IF(AND(VLOOKUP(A3171, 'Актуальное состояние (из общего'!A:C,3,0) = "", A3171 &lt;&gt; ""), "ПРОВЕРИТЬ", VLOOKUP(A3171, 'Актуальное состояние (из общего'!A:C,3,0)), "")</f>
        <v/>
      </c>
      <c r="U3171" s="9" t="s">
        <v>13284</v>
      </c>
      <c r="V3171" s="9" t="s">
        <v>13284</v>
      </c>
      <c r="W3171" s="12"/>
      <c r="X3171" s="9" t="str">
        <f t="array" ref="X3171">IFERROR(INDEX('Адреса общежитий (скрытый)'!$B$2:$B$9, MATCH(W3171, 'Адреса общежитий (скрытый)'!$A$2:$A$9, 0)), "")</f>
        <v/>
      </c>
      <c r="Y3171" s="18"/>
      <c r="Z3171" s="18"/>
      <c r="AA3171" s="18"/>
      <c r="AB3171" s="18"/>
      <c r="AC3171" s="18"/>
    </row>
    <row r="3172" spans="1:29" ht="32.25" hidden="1" customHeight="1">
      <c r="A3172" s="17"/>
      <c r="B3172" s="9" t="s">
        <v>13284</v>
      </c>
      <c r="C3172" s="9" t="s">
        <v>13284</v>
      </c>
      <c r="D3172" s="9" t="s">
        <v>13284</v>
      </c>
      <c r="E3172" s="9" t="s">
        <v>13284</v>
      </c>
      <c r="F3172" s="9" t="s">
        <v>13284</v>
      </c>
      <c r="G3172" s="9" t="s">
        <v>13284</v>
      </c>
      <c r="H3172" s="9" t="s">
        <v>13284</v>
      </c>
      <c r="I3172" s="9" t="s">
        <v>13284</v>
      </c>
      <c r="J3172" s="9" t="s">
        <v>13284</v>
      </c>
      <c r="K3172" s="9" t="s">
        <v>13284</v>
      </c>
      <c r="L3172" s="9" t="s">
        <v>13284</v>
      </c>
      <c r="M3172" s="9" t="s">
        <v>13284</v>
      </c>
      <c r="N3172" s="9" t="s">
        <v>13284</v>
      </c>
      <c r="O3172" s="9" t="s">
        <v>13284</v>
      </c>
      <c r="P3172" s="9" t="s">
        <v>13284</v>
      </c>
      <c r="Q3172" s="9" t="s">
        <v>13284</v>
      </c>
      <c r="R3172" s="9" t="s">
        <v>13284</v>
      </c>
      <c r="S3172" s="9" t="s">
        <v>13284</v>
      </c>
      <c r="T3172" s="9" t="str">
        <f ca="1">IFERROR(IF(AND(VLOOKUP(A3172, 'Актуальное состояние (из общего'!A:C,3,0) = "", A3172 &lt;&gt; ""), "ПРОВЕРИТЬ", VLOOKUP(A3172, 'Актуальное состояние (из общего'!A:C,3,0)), "")</f>
        <v/>
      </c>
      <c r="U3172" s="9" t="s">
        <v>13284</v>
      </c>
      <c r="V3172" s="9" t="s">
        <v>13284</v>
      </c>
      <c r="W3172" s="12"/>
      <c r="X3172" s="9" t="str">
        <f t="array" ref="X3172">IFERROR(INDEX('Адреса общежитий (скрытый)'!$B$2:$B$9, MATCH(W3172, 'Адреса общежитий (скрытый)'!$A$2:$A$9, 0)), "")</f>
        <v/>
      </c>
      <c r="Y3172" s="18"/>
      <c r="Z3172" s="18"/>
      <c r="AA3172" s="18"/>
      <c r="AB3172" s="18"/>
      <c r="AC3172" s="18"/>
    </row>
    <row r="3173" spans="1:29" ht="32.25" hidden="1" customHeight="1">
      <c r="A3173" s="17"/>
      <c r="B3173" s="9" t="s">
        <v>13284</v>
      </c>
      <c r="C3173" s="9" t="s">
        <v>13284</v>
      </c>
      <c r="D3173" s="9" t="s">
        <v>13284</v>
      </c>
      <c r="E3173" s="9" t="s">
        <v>13284</v>
      </c>
      <c r="F3173" s="9" t="s">
        <v>13284</v>
      </c>
      <c r="G3173" s="9" t="s">
        <v>13284</v>
      </c>
      <c r="H3173" s="9" t="s">
        <v>13284</v>
      </c>
      <c r="I3173" s="9" t="s">
        <v>13284</v>
      </c>
      <c r="J3173" s="9" t="s">
        <v>13284</v>
      </c>
      <c r="K3173" s="9" t="s">
        <v>13284</v>
      </c>
      <c r="L3173" s="9" t="s">
        <v>13284</v>
      </c>
      <c r="M3173" s="9" t="s">
        <v>13284</v>
      </c>
      <c r="N3173" s="9" t="s">
        <v>13284</v>
      </c>
      <c r="O3173" s="9" t="s">
        <v>13284</v>
      </c>
      <c r="P3173" s="9" t="s">
        <v>13284</v>
      </c>
      <c r="Q3173" s="9" t="s">
        <v>13284</v>
      </c>
      <c r="R3173" s="9" t="s">
        <v>13284</v>
      </c>
      <c r="S3173" s="9" t="s">
        <v>13284</v>
      </c>
      <c r="T3173" s="9" t="str">
        <f ca="1">IFERROR(IF(AND(VLOOKUP(A3173, 'Актуальное состояние (из общего'!A:C,3,0) = "", A3173 &lt;&gt; ""), "ПРОВЕРИТЬ", VLOOKUP(A3173, 'Актуальное состояние (из общего'!A:C,3,0)), "")</f>
        <v/>
      </c>
      <c r="U3173" s="9" t="s">
        <v>13284</v>
      </c>
      <c r="V3173" s="9" t="s">
        <v>13284</v>
      </c>
      <c r="W3173" s="12"/>
      <c r="X3173" s="9" t="str">
        <f t="array" ref="X3173">IFERROR(INDEX('Адреса общежитий (скрытый)'!$B$2:$B$9, MATCH(W3173, 'Адреса общежитий (скрытый)'!$A$2:$A$9, 0)), "")</f>
        <v/>
      </c>
      <c r="Y3173" s="18"/>
      <c r="Z3173" s="18"/>
      <c r="AA3173" s="18"/>
      <c r="AB3173" s="18"/>
      <c r="AC3173" s="18"/>
    </row>
    <row r="3174" spans="1:29" ht="32.25" hidden="1" customHeight="1">
      <c r="A3174" s="17"/>
      <c r="B3174" s="9" t="s">
        <v>13284</v>
      </c>
      <c r="C3174" s="9" t="s">
        <v>13284</v>
      </c>
      <c r="D3174" s="9" t="s">
        <v>13284</v>
      </c>
      <c r="E3174" s="9" t="s">
        <v>13284</v>
      </c>
      <c r="F3174" s="9" t="s">
        <v>13284</v>
      </c>
      <c r="G3174" s="9" t="s">
        <v>13284</v>
      </c>
      <c r="H3174" s="9" t="s">
        <v>13284</v>
      </c>
      <c r="I3174" s="9" t="s">
        <v>13284</v>
      </c>
      <c r="J3174" s="9" t="s">
        <v>13284</v>
      </c>
      <c r="K3174" s="9" t="s">
        <v>13284</v>
      </c>
      <c r="L3174" s="9" t="s">
        <v>13284</v>
      </c>
      <c r="M3174" s="9" t="s">
        <v>13284</v>
      </c>
      <c r="N3174" s="9" t="s">
        <v>13284</v>
      </c>
      <c r="O3174" s="9" t="s">
        <v>13284</v>
      </c>
      <c r="P3174" s="9" t="s">
        <v>13284</v>
      </c>
      <c r="Q3174" s="9" t="s">
        <v>13284</v>
      </c>
      <c r="R3174" s="9" t="s">
        <v>13284</v>
      </c>
      <c r="S3174" s="9" t="s">
        <v>13284</v>
      </c>
      <c r="T3174" s="9" t="str">
        <f ca="1">IFERROR(IF(AND(VLOOKUP(A3174, 'Актуальное состояние (из общего'!A:C,3,0) = "", A3174 &lt;&gt; ""), "ПРОВЕРИТЬ", VLOOKUP(A3174, 'Актуальное состояние (из общего'!A:C,3,0)), "")</f>
        <v/>
      </c>
      <c r="U3174" s="9" t="s">
        <v>13284</v>
      </c>
      <c r="V3174" s="9" t="s">
        <v>13284</v>
      </c>
      <c r="W3174" s="12"/>
      <c r="X3174" s="9" t="str">
        <f t="array" ref="X3174">IFERROR(INDEX('Адреса общежитий (скрытый)'!$B$2:$B$9, MATCH(W3174, 'Адреса общежитий (скрытый)'!$A$2:$A$9, 0)), "")</f>
        <v/>
      </c>
      <c r="Y3174" s="18"/>
      <c r="Z3174" s="18"/>
      <c r="AA3174" s="18"/>
      <c r="AB3174" s="18"/>
      <c r="AC3174" s="18"/>
    </row>
    <row r="3175" spans="1:29" ht="32.25" hidden="1" customHeight="1">
      <c r="A3175" s="17"/>
      <c r="B3175" s="9" t="s">
        <v>13284</v>
      </c>
      <c r="C3175" s="9" t="s">
        <v>13284</v>
      </c>
      <c r="D3175" s="9" t="s">
        <v>13284</v>
      </c>
      <c r="E3175" s="9" t="s">
        <v>13284</v>
      </c>
      <c r="F3175" s="9" t="s">
        <v>13284</v>
      </c>
      <c r="G3175" s="9" t="s">
        <v>13284</v>
      </c>
      <c r="H3175" s="9" t="s">
        <v>13284</v>
      </c>
      <c r="I3175" s="9" t="s">
        <v>13284</v>
      </c>
      <c r="J3175" s="9" t="s">
        <v>13284</v>
      </c>
      <c r="K3175" s="9" t="s">
        <v>13284</v>
      </c>
      <c r="L3175" s="9" t="s">
        <v>13284</v>
      </c>
      <c r="M3175" s="9" t="s">
        <v>13284</v>
      </c>
      <c r="N3175" s="9" t="s">
        <v>13284</v>
      </c>
      <c r="O3175" s="9" t="s">
        <v>13284</v>
      </c>
      <c r="P3175" s="9" t="s">
        <v>13284</v>
      </c>
      <c r="Q3175" s="9" t="s">
        <v>13284</v>
      </c>
      <c r="R3175" s="9" t="s">
        <v>13284</v>
      </c>
      <c r="S3175" s="9" t="s">
        <v>13284</v>
      </c>
      <c r="T3175" s="9" t="str">
        <f ca="1">IFERROR(IF(AND(VLOOKUP(A3175, 'Актуальное состояние (из общего'!A:C,3,0) = "", A3175 &lt;&gt; ""), "ПРОВЕРИТЬ", VLOOKUP(A3175, 'Актуальное состояние (из общего'!A:C,3,0)), "")</f>
        <v/>
      </c>
      <c r="U3175" s="9" t="s">
        <v>13284</v>
      </c>
      <c r="V3175" s="9" t="s">
        <v>13284</v>
      </c>
      <c r="W3175" s="12"/>
      <c r="X3175" s="9" t="str">
        <f t="array" ref="X3175">IFERROR(INDEX('Адреса общежитий (скрытый)'!$B$2:$B$9, MATCH(W3175, 'Адреса общежитий (скрытый)'!$A$2:$A$9, 0)), "")</f>
        <v/>
      </c>
      <c r="Y3175" s="18"/>
      <c r="Z3175" s="18"/>
      <c r="AA3175" s="18"/>
      <c r="AB3175" s="18"/>
      <c r="AC3175" s="18"/>
    </row>
    <row r="3176" spans="1:29" ht="32.25" hidden="1" customHeight="1">
      <c r="A3176" s="17"/>
      <c r="B3176" s="9" t="s">
        <v>13284</v>
      </c>
      <c r="C3176" s="9" t="s">
        <v>13284</v>
      </c>
      <c r="D3176" s="9" t="s">
        <v>13284</v>
      </c>
      <c r="E3176" s="9" t="s">
        <v>13284</v>
      </c>
      <c r="F3176" s="9" t="s">
        <v>13284</v>
      </c>
      <c r="G3176" s="9" t="s">
        <v>13284</v>
      </c>
      <c r="H3176" s="9" t="s">
        <v>13284</v>
      </c>
      <c r="I3176" s="9" t="s">
        <v>13284</v>
      </c>
      <c r="J3176" s="9" t="s">
        <v>13284</v>
      </c>
      <c r="K3176" s="9" t="s">
        <v>13284</v>
      </c>
      <c r="L3176" s="9" t="s">
        <v>13284</v>
      </c>
      <c r="M3176" s="9" t="s">
        <v>13284</v>
      </c>
      <c r="N3176" s="9" t="s">
        <v>13284</v>
      </c>
      <c r="O3176" s="9" t="s">
        <v>13284</v>
      </c>
      <c r="P3176" s="9" t="s">
        <v>13284</v>
      </c>
      <c r="Q3176" s="9" t="s">
        <v>13284</v>
      </c>
      <c r="R3176" s="9" t="s">
        <v>13284</v>
      </c>
      <c r="S3176" s="9" t="s">
        <v>13284</v>
      </c>
      <c r="T3176" s="9" t="str">
        <f ca="1">IFERROR(IF(AND(VLOOKUP(A3176, 'Актуальное состояние (из общего'!A:C,3,0) = "", A3176 &lt;&gt; ""), "ПРОВЕРИТЬ", VLOOKUP(A3176, 'Актуальное состояние (из общего'!A:C,3,0)), "")</f>
        <v/>
      </c>
      <c r="U3176" s="9" t="s">
        <v>13284</v>
      </c>
      <c r="V3176" s="9" t="s">
        <v>13284</v>
      </c>
      <c r="W3176" s="12"/>
      <c r="X3176" s="9" t="str">
        <f t="array" ref="X3176">IFERROR(INDEX('Адреса общежитий (скрытый)'!$B$2:$B$9, MATCH(W3176, 'Адреса общежитий (скрытый)'!$A$2:$A$9, 0)), "")</f>
        <v/>
      </c>
      <c r="Y3176" s="18"/>
      <c r="Z3176" s="18"/>
      <c r="AA3176" s="18"/>
      <c r="AB3176" s="18"/>
      <c r="AC3176" s="18"/>
    </row>
    <row r="3177" spans="1:29" ht="32.25" hidden="1" customHeight="1">
      <c r="A3177" s="17"/>
      <c r="B3177" s="9" t="s">
        <v>13284</v>
      </c>
      <c r="C3177" s="9" t="s">
        <v>13284</v>
      </c>
      <c r="D3177" s="9" t="s">
        <v>13284</v>
      </c>
      <c r="E3177" s="9" t="s">
        <v>13284</v>
      </c>
      <c r="F3177" s="9" t="s">
        <v>13284</v>
      </c>
      <c r="G3177" s="9" t="s">
        <v>13284</v>
      </c>
      <c r="H3177" s="9" t="s">
        <v>13284</v>
      </c>
      <c r="I3177" s="9" t="s">
        <v>13284</v>
      </c>
      <c r="J3177" s="9" t="s">
        <v>13284</v>
      </c>
      <c r="K3177" s="9" t="s">
        <v>13284</v>
      </c>
      <c r="L3177" s="9" t="s">
        <v>13284</v>
      </c>
      <c r="M3177" s="9" t="s">
        <v>13284</v>
      </c>
      <c r="N3177" s="9" t="s">
        <v>13284</v>
      </c>
      <c r="O3177" s="9" t="s">
        <v>13284</v>
      </c>
      <c r="P3177" s="9" t="s">
        <v>13284</v>
      </c>
      <c r="Q3177" s="9" t="s">
        <v>13284</v>
      </c>
      <c r="R3177" s="9" t="s">
        <v>13284</v>
      </c>
      <c r="S3177" s="9" t="s">
        <v>13284</v>
      </c>
      <c r="T3177" s="9" t="str">
        <f ca="1">IFERROR(IF(AND(VLOOKUP(A3177, 'Актуальное состояние (из общего'!A:C,3,0) = "", A3177 &lt;&gt; ""), "ПРОВЕРИТЬ", VLOOKUP(A3177, 'Актуальное состояние (из общего'!A:C,3,0)), "")</f>
        <v/>
      </c>
      <c r="U3177" s="9" t="s">
        <v>13284</v>
      </c>
      <c r="V3177" s="9" t="s">
        <v>13284</v>
      </c>
      <c r="W3177" s="12"/>
      <c r="X3177" s="9" t="str">
        <f t="array" ref="X3177">IFERROR(INDEX('Адреса общежитий (скрытый)'!$B$2:$B$9, MATCH(W3177, 'Адреса общежитий (скрытый)'!$A$2:$A$9, 0)), "")</f>
        <v/>
      </c>
      <c r="Y3177" s="18"/>
      <c r="Z3177" s="18"/>
      <c r="AA3177" s="18"/>
      <c r="AB3177" s="18"/>
      <c r="AC3177" s="18"/>
    </row>
    <row r="3178" spans="1:29" ht="32.25" hidden="1" customHeight="1">
      <c r="A3178" s="17"/>
      <c r="B3178" s="9" t="s">
        <v>13284</v>
      </c>
      <c r="C3178" s="9" t="s">
        <v>13284</v>
      </c>
      <c r="D3178" s="9" t="s">
        <v>13284</v>
      </c>
      <c r="E3178" s="9" t="s">
        <v>13284</v>
      </c>
      <c r="F3178" s="9" t="s">
        <v>13284</v>
      </c>
      <c r="G3178" s="9" t="s">
        <v>13284</v>
      </c>
      <c r="H3178" s="9" t="s">
        <v>13284</v>
      </c>
      <c r="I3178" s="9" t="s">
        <v>13284</v>
      </c>
      <c r="J3178" s="9" t="s">
        <v>13284</v>
      </c>
      <c r="K3178" s="9" t="s">
        <v>13284</v>
      </c>
      <c r="L3178" s="9" t="s">
        <v>13284</v>
      </c>
      <c r="M3178" s="9" t="s">
        <v>13284</v>
      </c>
      <c r="N3178" s="9" t="s">
        <v>13284</v>
      </c>
      <c r="O3178" s="9" t="s">
        <v>13284</v>
      </c>
      <c r="P3178" s="9" t="s">
        <v>13284</v>
      </c>
      <c r="Q3178" s="9" t="s">
        <v>13284</v>
      </c>
      <c r="R3178" s="9" t="s">
        <v>13284</v>
      </c>
      <c r="S3178" s="9" t="s">
        <v>13284</v>
      </c>
      <c r="T3178" s="9" t="str">
        <f ca="1">IFERROR(IF(AND(VLOOKUP(A3178, 'Актуальное состояние (из общего'!A:C,3,0) = "", A3178 &lt;&gt; ""), "ПРОВЕРИТЬ", VLOOKUP(A3178, 'Актуальное состояние (из общего'!A:C,3,0)), "")</f>
        <v/>
      </c>
      <c r="U3178" s="9" t="s">
        <v>13284</v>
      </c>
      <c r="V3178" s="9" t="s">
        <v>13284</v>
      </c>
      <c r="W3178" s="12"/>
      <c r="X3178" s="9" t="str">
        <f t="array" ref="X3178">IFERROR(INDEX('Адреса общежитий (скрытый)'!$B$2:$B$9, MATCH(W3178, 'Адреса общежитий (скрытый)'!$A$2:$A$9, 0)), "")</f>
        <v/>
      </c>
      <c r="Y3178" s="18"/>
      <c r="Z3178" s="18"/>
      <c r="AA3178" s="18"/>
      <c r="AB3178" s="18"/>
      <c r="AC3178" s="18"/>
    </row>
    <row r="3179" spans="1:29" ht="32.25" hidden="1" customHeight="1">
      <c r="A3179" s="17"/>
      <c r="B3179" s="9" t="s">
        <v>13284</v>
      </c>
      <c r="C3179" s="9" t="s">
        <v>13284</v>
      </c>
      <c r="D3179" s="9" t="s">
        <v>13284</v>
      </c>
      <c r="E3179" s="9" t="s">
        <v>13284</v>
      </c>
      <c r="F3179" s="9" t="s">
        <v>13284</v>
      </c>
      <c r="G3179" s="9" t="s">
        <v>13284</v>
      </c>
      <c r="H3179" s="9" t="s">
        <v>13284</v>
      </c>
      <c r="I3179" s="9" t="s">
        <v>13284</v>
      </c>
      <c r="J3179" s="9" t="s">
        <v>13284</v>
      </c>
      <c r="K3179" s="9" t="s">
        <v>13284</v>
      </c>
      <c r="L3179" s="9" t="s">
        <v>13284</v>
      </c>
      <c r="M3179" s="9" t="s">
        <v>13284</v>
      </c>
      <c r="N3179" s="9" t="s">
        <v>13284</v>
      </c>
      <c r="O3179" s="9" t="s">
        <v>13284</v>
      </c>
      <c r="P3179" s="9" t="s">
        <v>13284</v>
      </c>
      <c r="Q3179" s="9" t="s">
        <v>13284</v>
      </c>
      <c r="R3179" s="9" t="s">
        <v>13284</v>
      </c>
      <c r="S3179" s="9" t="s">
        <v>13284</v>
      </c>
      <c r="T3179" s="9" t="str">
        <f ca="1">IFERROR(IF(AND(VLOOKUP(A3179, 'Актуальное состояние (из общего'!A:C,3,0) = "", A3179 &lt;&gt; ""), "ПРОВЕРИТЬ", VLOOKUP(A3179, 'Актуальное состояние (из общего'!A:C,3,0)), "")</f>
        <v/>
      </c>
      <c r="U3179" s="9" t="s">
        <v>13284</v>
      </c>
      <c r="V3179" s="9" t="s">
        <v>13284</v>
      </c>
      <c r="W3179" s="12"/>
      <c r="X3179" s="9" t="str">
        <f t="array" ref="X3179">IFERROR(INDEX('Адреса общежитий (скрытый)'!$B$2:$B$9, MATCH(W3179, 'Адреса общежитий (скрытый)'!$A$2:$A$9, 0)), "")</f>
        <v/>
      </c>
      <c r="Y3179" s="18"/>
      <c r="Z3179" s="18"/>
      <c r="AA3179" s="18"/>
      <c r="AB3179" s="18"/>
      <c r="AC3179" s="18"/>
    </row>
    <row r="3180" spans="1:29" ht="32.25" hidden="1" customHeight="1">
      <c r="A3180" s="17"/>
      <c r="B3180" s="9" t="s">
        <v>13284</v>
      </c>
      <c r="C3180" s="9" t="s">
        <v>13284</v>
      </c>
      <c r="D3180" s="9" t="s">
        <v>13284</v>
      </c>
      <c r="E3180" s="9" t="s">
        <v>13284</v>
      </c>
      <c r="F3180" s="9" t="s">
        <v>13284</v>
      </c>
      <c r="G3180" s="9" t="s">
        <v>13284</v>
      </c>
      <c r="H3180" s="9" t="s">
        <v>13284</v>
      </c>
      <c r="I3180" s="9" t="s">
        <v>13284</v>
      </c>
      <c r="J3180" s="9" t="s">
        <v>13284</v>
      </c>
      <c r="K3180" s="9" t="s">
        <v>13284</v>
      </c>
      <c r="L3180" s="9" t="s">
        <v>13284</v>
      </c>
      <c r="M3180" s="9" t="s">
        <v>13284</v>
      </c>
      <c r="N3180" s="9" t="s">
        <v>13284</v>
      </c>
      <c r="O3180" s="9" t="s">
        <v>13284</v>
      </c>
      <c r="P3180" s="9" t="s">
        <v>13284</v>
      </c>
      <c r="Q3180" s="9" t="s">
        <v>13284</v>
      </c>
      <c r="R3180" s="9" t="s">
        <v>13284</v>
      </c>
      <c r="S3180" s="9" t="s">
        <v>13284</v>
      </c>
      <c r="T3180" s="9" t="str">
        <f ca="1">IFERROR(IF(AND(VLOOKUP(A3180, 'Актуальное состояние (из общего'!A:C,3,0) = "", A3180 &lt;&gt; ""), "ПРОВЕРИТЬ", VLOOKUP(A3180, 'Актуальное состояние (из общего'!A:C,3,0)), "")</f>
        <v/>
      </c>
      <c r="U3180" s="9" t="s">
        <v>13284</v>
      </c>
      <c r="V3180" s="9" t="s">
        <v>13284</v>
      </c>
      <c r="W3180" s="12"/>
      <c r="X3180" s="9" t="str">
        <f t="array" ref="X3180">IFERROR(INDEX('Адреса общежитий (скрытый)'!$B$2:$B$9, MATCH(W3180, 'Адреса общежитий (скрытый)'!$A$2:$A$9, 0)), "")</f>
        <v/>
      </c>
      <c r="Y3180" s="18"/>
      <c r="Z3180" s="18"/>
      <c r="AA3180" s="18"/>
      <c r="AB3180" s="18"/>
      <c r="AC3180" s="18"/>
    </row>
    <row r="3181" spans="1:29" ht="32.25" hidden="1" customHeight="1">
      <c r="A3181" s="17"/>
      <c r="B3181" s="9" t="s">
        <v>13284</v>
      </c>
      <c r="C3181" s="9" t="s">
        <v>13284</v>
      </c>
      <c r="D3181" s="9" t="s">
        <v>13284</v>
      </c>
      <c r="E3181" s="9" t="s">
        <v>13284</v>
      </c>
      <c r="F3181" s="9" t="s">
        <v>13284</v>
      </c>
      <c r="G3181" s="9" t="s">
        <v>13284</v>
      </c>
      <c r="H3181" s="9" t="s">
        <v>13284</v>
      </c>
      <c r="I3181" s="9" t="s">
        <v>13284</v>
      </c>
      <c r="J3181" s="9" t="s">
        <v>13284</v>
      </c>
      <c r="K3181" s="9" t="s">
        <v>13284</v>
      </c>
      <c r="L3181" s="9" t="s">
        <v>13284</v>
      </c>
      <c r="M3181" s="9" t="s">
        <v>13284</v>
      </c>
      <c r="N3181" s="9" t="s">
        <v>13284</v>
      </c>
      <c r="O3181" s="9" t="s">
        <v>13284</v>
      </c>
      <c r="P3181" s="9" t="s">
        <v>13284</v>
      </c>
      <c r="Q3181" s="9" t="s">
        <v>13284</v>
      </c>
      <c r="R3181" s="9" t="s">
        <v>13284</v>
      </c>
      <c r="S3181" s="9" t="s">
        <v>13284</v>
      </c>
      <c r="T3181" s="9" t="str">
        <f ca="1">IFERROR(IF(AND(VLOOKUP(A3181, 'Актуальное состояние (из общего'!A:C,3,0) = "", A3181 &lt;&gt; ""), "ПРОВЕРИТЬ", VLOOKUP(A3181, 'Актуальное состояние (из общего'!A:C,3,0)), "")</f>
        <v/>
      </c>
      <c r="U3181" s="9" t="s">
        <v>13284</v>
      </c>
      <c r="V3181" s="9" t="s">
        <v>13284</v>
      </c>
      <c r="W3181" s="12"/>
      <c r="X3181" s="9" t="str">
        <f t="array" ref="X3181">IFERROR(INDEX('Адреса общежитий (скрытый)'!$B$2:$B$9, MATCH(W3181, 'Адреса общежитий (скрытый)'!$A$2:$A$9, 0)), "")</f>
        <v/>
      </c>
      <c r="Y3181" s="18"/>
      <c r="Z3181" s="18"/>
      <c r="AA3181" s="18"/>
      <c r="AB3181" s="18"/>
      <c r="AC3181" s="18"/>
    </row>
    <row r="3182" spans="1:29" ht="32.25" hidden="1" customHeight="1">
      <c r="A3182" s="17"/>
      <c r="B3182" s="9" t="s">
        <v>13284</v>
      </c>
      <c r="C3182" s="9" t="s">
        <v>13284</v>
      </c>
      <c r="D3182" s="9" t="s">
        <v>13284</v>
      </c>
      <c r="E3182" s="9" t="s">
        <v>13284</v>
      </c>
      <c r="F3182" s="9" t="s">
        <v>13284</v>
      </c>
      <c r="G3182" s="9" t="s">
        <v>13284</v>
      </c>
      <c r="H3182" s="9" t="s">
        <v>13284</v>
      </c>
      <c r="I3182" s="9" t="s">
        <v>13284</v>
      </c>
      <c r="J3182" s="9" t="s">
        <v>13284</v>
      </c>
      <c r="K3182" s="9" t="s">
        <v>13284</v>
      </c>
      <c r="L3182" s="9" t="s">
        <v>13284</v>
      </c>
      <c r="M3182" s="9" t="s">
        <v>13284</v>
      </c>
      <c r="N3182" s="9" t="s">
        <v>13284</v>
      </c>
      <c r="O3182" s="9" t="s">
        <v>13284</v>
      </c>
      <c r="P3182" s="9" t="s">
        <v>13284</v>
      </c>
      <c r="Q3182" s="9" t="s">
        <v>13284</v>
      </c>
      <c r="R3182" s="9" t="s">
        <v>13284</v>
      </c>
      <c r="S3182" s="9" t="s">
        <v>13284</v>
      </c>
      <c r="T3182" s="9" t="str">
        <f ca="1">IFERROR(IF(AND(VLOOKUP(A3182, 'Актуальное состояние (из общего'!A:C,3,0) = "", A3182 &lt;&gt; ""), "ПРОВЕРИТЬ", VLOOKUP(A3182, 'Актуальное состояние (из общего'!A:C,3,0)), "")</f>
        <v/>
      </c>
      <c r="U3182" s="9" t="s">
        <v>13284</v>
      </c>
      <c r="V3182" s="9" t="s">
        <v>13284</v>
      </c>
      <c r="W3182" s="12"/>
      <c r="X3182" s="9" t="str">
        <f t="array" ref="X3182">IFERROR(INDEX('Адреса общежитий (скрытый)'!$B$2:$B$9, MATCH(W3182, 'Адреса общежитий (скрытый)'!$A$2:$A$9, 0)), "")</f>
        <v/>
      </c>
      <c r="Y3182" s="18"/>
      <c r="Z3182" s="18"/>
      <c r="AA3182" s="18"/>
      <c r="AB3182" s="18"/>
      <c r="AC3182" s="18"/>
    </row>
    <row r="3183" spans="1:29" ht="32.25" hidden="1" customHeight="1">
      <c r="A3183" s="17"/>
      <c r="B3183" s="9" t="s">
        <v>13284</v>
      </c>
      <c r="C3183" s="9" t="s">
        <v>13284</v>
      </c>
      <c r="D3183" s="9" t="s">
        <v>13284</v>
      </c>
      <c r="E3183" s="9" t="s">
        <v>13284</v>
      </c>
      <c r="F3183" s="9" t="s">
        <v>13284</v>
      </c>
      <c r="G3183" s="9" t="s">
        <v>13284</v>
      </c>
      <c r="H3183" s="9" t="s">
        <v>13284</v>
      </c>
      <c r="I3183" s="9" t="s">
        <v>13284</v>
      </c>
      <c r="J3183" s="9" t="s">
        <v>13284</v>
      </c>
      <c r="K3183" s="9" t="s">
        <v>13284</v>
      </c>
      <c r="L3183" s="9" t="s">
        <v>13284</v>
      </c>
      <c r="M3183" s="9" t="s">
        <v>13284</v>
      </c>
      <c r="N3183" s="9" t="s">
        <v>13284</v>
      </c>
      <c r="O3183" s="9" t="s">
        <v>13284</v>
      </c>
      <c r="P3183" s="9" t="s">
        <v>13284</v>
      </c>
      <c r="Q3183" s="9" t="s">
        <v>13284</v>
      </c>
      <c r="R3183" s="9" t="s">
        <v>13284</v>
      </c>
      <c r="S3183" s="9" t="s">
        <v>13284</v>
      </c>
      <c r="T3183" s="9" t="str">
        <f ca="1">IFERROR(IF(AND(VLOOKUP(A3183, 'Актуальное состояние (из общего'!A:C,3,0) = "", A3183 &lt;&gt; ""), "ПРОВЕРИТЬ", VLOOKUP(A3183, 'Актуальное состояние (из общего'!A:C,3,0)), "")</f>
        <v/>
      </c>
      <c r="U3183" s="9" t="s">
        <v>13284</v>
      </c>
      <c r="V3183" s="9" t="s">
        <v>13284</v>
      </c>
      <c r="W3183" s="12"/>
      <c r="X3183" s="9" t="str">
        <f t="array" ref="X3183">IFERROR(INDEX('Адреса общежитий (скрытый)'!$B$2:$B$9, MATCH(W3183, 'Адреса общежитий (скрытый)'!$A$2:$A$9, 0)), "")</f>
        <v/>
      </c>
      <c r="Y3183" s="18"/>
      <c r="Z3183" s="18"/>
      <c r="AA3183" s="18"/>
      <c r="AB3183" s="18"/>
      <c r="AC3183" s="18"/>
    </row>
    <row r="3184" spans="1:29" ht="32.25" hidden="1" customHeight="1">
      <c r="A3184" s="17"/>
      <c r="B3184" s="9" t="s">
        <v>13284</v>
      </c>
      <c r="C3184" s="9" t="s">
        <v>13284</v>
      </c>
      <c r="D3184" s="9" t="s">
        <v>13284</v>
      </c>
      <c r="E3184" s="9" t="s">
        <v>13284</v>
      </c>
      <c r="F3184" s="9" t="s">
        <v>13284</v>
      </c>
      <c r="G3184" s="9" t="s">
        <v>13284</v>
      </c>
      <c r="H3184" s="9" t="s">
        <v>13284</v>
      </c>
      <c r="I3184" s="9" t="s">
        <v>13284</v>
      </c>
      <c r="J3184" s="9" t="s">
        <v>13284</v>
      </c>
      <c r="K3184" s="9" t="s">
        <v>13284</v>
      </c>
      <c r="L3184" s="9" t="s">
        <v>13284</v>
      </c>
      <c r="M3184" s="9" t="s">
        <v>13284</v>
      </c>
      <c r="N3184" s="9" t="s">
        <v>13284</v>
      </c>
      <c r="O3184" s="9" t="s">
        <v>13284</v>
      </c>
      <c r="P3184" s="9" t="s">
        <v>13284</v>
      </c>
      <c r="Q3184" s="9" t="s">
        <v>13284</v>
      </c>
      <c r="R3184" s="9" t="s">
        <v>13284</v>
      </c>
      <c r="S3184" s="9" t="s">
        <v>13284</v>
      </c>
      <c r="T3184" s="9" t="str">
        <f ca="1">IFERROR(IF(AND(VLOOKUP(A3184, 'Актуальное состояние (из общего'!A:C,3,0) = "", A3184 &lt;&gt; ""), "ПРОВЕРИТЬ", VLOOKUP(A3184, 'Актуальное состояние (из общего'!A:C,3,0)), "")</f>
        <v/>
      </c>
      <c r="U3184" s="9" t="s">
        <v>13284</v>
      </c>
      <c r="V3184" s="9" t="s">
        <v>13284</v>
      </c>
      <c r="W3184" s="12"/>
      <c r="X3184" s="9" t="str">
        <f t="array" ref="X3184">IFERROR(INDEX('Адреса общежитий (скрытый)'!$B$2:$B$9, MATCH(W3184, 'Адреса общежитий (скрытый)'!$A$2:$A$9, 0)), "")</f>
        <v/>
      </c>
      <c r="Y3184" s="18"/>
      <c r="Z3184" s="18"/>
      <c r="AA3184" s="18"/>
      <c r="AB3184" s="18"/>
      <c r="AC3184" s="18"/>
    </row>
    <row r="3185" spans="1:29" ht="32.25" hidden="1" customHeight="1">
      <c r="A3185" s="17"/>
      <c r="B3185" s="9" t="s">
        <v>13284</v>
      </c>
      <c r="C3185" s="9" t="s">
        <v>13284</v>
      </c>
      <c r="D3185" s="9" t="s">
        <v>13284</v>
      </c>
      <c r="E3185" s="9" t="s">
        <v>13284</v>
      </c>
      <c r="F3185" s="9" t="s">
        <v>13284</v>
      </c>
      <c r="G3185" s="9" t="s">
        <v>13284</v>
      </c>
      <c r="H3185" s="9" t="s">
        <v>13284</v>
      </c>
      <c r="I3185" s="9" t="s">
        <v>13284</v>
      </c>
      <c r="J3185" s="9" t="s">
        <v>13284</v>
      </c>
      <c r="K3185" s="9" t="s">
        <v>13284</v>
      </c>
      <c r="L3185" s="9" t="s">
        <v>13284</v>
      </c>
      <c r="M3185" s="9" t="s">
        <v>13284</v>
      </c>
      <c r="N3185" s="9" t="s">
        <v>13284</v>
      </c>
      <c r="O3185" s="9" t="s">
        <v>13284</v>
      </c>
      <c r="P3185" s="9" t="s">
        <v>13284</v>
      </c>
      <c r="Q3185" s="9" t="s">
        <v>13284</v>
      </c>
      <c r="R3185" s="9" t="s">
        <v>13284</v>
      </c>
      <c r="S3185" s="9" t="s">
        <v>13284</v>
      </c>
      <c r="T3185" s="9" t="str">
        <f ca="1">IFERROR(IF(AND(VLOOKUP(A3185, 'Актуальное состояние (из общего'!A:C,3,0) = "", A3185 &lt;&gt; ""), "ПРОВЕРИТЬ", VLOOKUP(A3185, 'Актуальное состояние (из общего'!A:C,3,0)), "")</f>
        <v/>
      </c>
      <c r="U3185" s="9" t="s">
        <v>13284</v>
      </c>
      <c r="V3185" s="9" t="s">
        <v>13284</v>
      </c>
      <c r="W3185" s="12"/>
      <c r="X3185" s="9" t="str">
        <f t="array" ref="X3185">IFERROR(INDEX('Адреса общежитий (скрытый)'!$B$2:$B$9, MATCH(W3185, 'Адреса общежитий (скрытый)'!$A$2:$A$9, 0)), "")</f>
        <v/>
      </c>
      <c r="Y3185" s="18"/>
      <c r="Z3185" s="18"/>
      <c r="AA3185" s="18"/>
      <c r="AB3185" s="18"/>
      <c r="AC3185" s="18"/>
    </row>
    <row r="3186" spans="1:29" ht="32.25" hidden="1" customHeight="1">
      <c r="A3186" s="17"/>
      <c r="B3186" s="9" t="s">
        <v>13284</v>
      </c>
      <c r="C3186" s="9" t="s">
        <v>13284</v>
      </c>
      <c r="D3186" s="9" t="s">
        <v>13284</v>
      </c>
      <c r="E3186" s="9" t="s">
        <v>13284</v>
      </c>
      <c r="F3186" s="9" t="s">
        <v>13284</v>
      </c>
      <c r="G3186" s="9" t="s">
        <v>13284</v>
      </c>
      <c r="H3186" s="9" t="s">
        <v>13284</v>
      </c>
      <c r="I3186" s="9" t="s">
        <v>13284</v>
      </c>
      <c r="J3186" s="9" t="s">
        <v>13284</v>
      </c>
      <c r="K3186" s="9" t="s">
        <v>13284</v>
      </c>
      <c r="L3186" s="9" t="s">
        <v>13284</v>
      </c>
      <c r="M3186" s="9" t="s">
        <v>13284</v>
      </c>
      <c r="N3186" s="9" t="s">
        <v>13284</v>
      </c>
      <c r="O3186" s="9" t="s">
        <v>13284</v>
      </c>
      <c r="P3186" s="9" t="s">
        <v>13284</v>
      </c>
      <c r="Q3186" s="9" t="s">
        <v>13284</v>
      </c>
      <c r="R3186" s="9" t="s">
        <v>13284</v>
      </c>
      <c r="S3186" s="9" t="s">
        <v>13284</v>
      </c>
      <c r="T3186" s="9" t="str">
        <f ca="1">IFERROR(IF(AND(VLOOKUP(A3186, 'Актуальное состояние (из общего'!A:C,3,0) = "", A3186 &lt;&gt; ""), "ПРОВЕРИТЬ", VLOOKUP(A3186, 'Актуальное состояние (из общего'!A:C,3,0)), "")</f>
        <v/>
      </c>
      <c r="U3186" s="9" t="s">
        <v>13284</v>
      </c>
      <c r="V3186" s="9" t="s">
        <v>13284</v>
      </c>
      <c r="W3186" s="12"/>
      <c r="X3186" s="9" t="str">
        <f t="array" ref="X3186">IFERROR(INDEX('Адреса общежитий (скрытый)'!$B$2:$B$9, MATCH(W3186, 'Адреса общежитий (скрытый)'!$A$2:$A$9, 0)), "")</f>
        <v/>
      </c>
      <c r="Y3186" s="18"/>
      <c r="Z3186" s="18"/>
      <c r="AA3186" s="18"/>
      <c r="AB3186" s="18"/>
      <c r="AC3186" s="18"/>
    </row>
    <row r="3187" spans="1:29" ht="32.25" hidden="1" customHeight="1">
      <c r="A3187" s="17"/>
      <c r="B3187" s="9" t="s">
        <v>13284</v>
      </c>
      <c r="C3187" s="9" t="s">
        <v>13284</v>
      </c>
      <c r="D3187" s="9" t="s">
        <v>13284</v>
      </c>
      <c r="E3187" s="9" t="s">
        <v>13284</v>
      </c>
      <c r="F3187" s="9" t="s">
        <v>13284</v>
      </c>
      <c r="G3187" s="9" t="s">
        <v>13284</v>
      </c>
      <c r="H3187" s="9" t="s">
        <v>13284</v>
      </c>
      <c r="I3187" s="9" t="s">
        <v>13284</v>
      </c>
      <c r="J3187" s="9" t="s">
        <v>13284</v>
      </c>
      <c r="K3187" s="9" t="s">
        <v>13284</v>
      </c>
      <c r="L3187" s="9" t="s">
        <v>13284</v>
      </c>
      <c r="M3187" s="9" t="s">
        <v>13284</v>
      </c>
      <c r="N3187" s="9" t="s">
        <v>13284</v>
      </c>
      <c r="O3187" s="9" t="s">
        <v>13284</v>
      </c>
      <c r="P3187" s="9" t="s">
        <v>13284</v>
      </c>
      <c r="Q3187" s="9" t="s">
        <v>13284</v>
      </c>
      <c r="R3187" s="9" t="s">
        <v>13284</v>
      </c>
      <c r="S3187" s="9" t="s">
        <v>13284</v>
      </c>
      <c r="T3187" s="9" t="str">
        <f ca="1">IFERROR(IF(AND(VLOOKUP(A3187, 'Актуальное состояние (из общего'!A:C,3,0) = "", A3187 &lt;&gt; ""), "ПРОВЕРИТЬ", VLOOKUP(A3187, 'Актуальное состояние (из общего'!A:C,3,0)), "")</f>
        <v/>
      </c>
      <c r="U3187" s="9" t="s">
        <v>13284</v>
      </c>
      <c r="V3187" s="9" t="s">
        <v>13284</v>
      </c>
      <c r="W3187" s="12"/>
      <c r="X3187" s="9" t="str">
        <f t="array" ref="X3187">IFERROR(INDEX('Адреса общежитий (скрытый)'!$B$2:$B$9, MATCH(W3187, 'Адреса общежитий (скрытый)'!$A$2:$A$9, 0)), "")</f>
        <v/>
      </c>
      <c r="Y3187" s="18"/>
      <c r="Z3187" s="18"/>
      <c r="AA3187" s="18"/>
      <c r="AB3187" s="18"/>
      <c r="AC3187" s="18"/>
    </row>
    <row r="3188" spans="1:29" ht="32.25" hidden="1" customHeight="1">
      <c r="A3188" s="17"/>
      <c r="B3188" s="9" t="s">
        <v>13284</v>
      </c>
      <c r="C3188" s="9" t="s">
        <v>13284</v>
      </c>
      <c r="D3188" s="9" t="s">
        <v>13284</v>
      </c>
      <c r="E3188" s="9" t="s">
        <v>13284</v>
      </c>
      <c r="F3188" s="9" t="s">
        <v>13284</v>
      </c>
      <c r="G3188" s="9" t="s">
        <v>13284</v>
      </c>
      <c r="H3188" s="9" t="s">
        <v>13284</v>
      </c>
      <c r="I3188" s="9" t="s">
        <v>13284</v>
      </c>
      <c r="J3188" s="9" t="s">
        <v>13284</v>
      </c>
      <c r="K3188" s="9" t="s">
        <v>13284</v>
      </c>
      <c r="L3188" s="9" t="s">
        <v>13284</v>
      </c>
      <c r="M3188" s="9" t="s">
        <v>13284</v>
      </c>
      <c r="N3188" s="9" t="s">
        <v>13284</v>
      </c>
      <c r="O3188" s="9" t="s">
        <v>13284</v>
      </c>
      <c r="P3188" s="9" t="s">
        <v>13284</v>
      </c>
      <c r="Q3188" s="9" t="s">
        <v>13284</v>
      </c>
      <c r="R3188" s="9" t="s">
        <v>13284</v>
      </c>
      <c r="S3188" s="9" t="s">
        <v>13284</v>
      </c>
      <c r="T3188" s="9" t="str">
        <f ca="1">IFERROR(IF(AND(VLOOKUP(A3188, 'Актуальное состояние (из общего'!A:C,3,0) = "", A3188 &lt;&gt; ""), "ПРОВЕРИТЬ", VLOOKUP(A3188, 'Актуальное состояние (из общего'!A:C,3,0)), "")</f>
        <v/>
      </c>
      <c r="U3188" s="9" t="s">
        <v>13284</v>
      </c>
      <c r="V3188" s="9" t="s">
        <v>13284</v>
      </c>
      <c r="W3188" s="12"/>
      <c r="X3188" s="9" t="str">
        <f t="array" ref="X3188">IFERROR(INDEX('Адреса общежитий (скрытый)'!$B$2:$B$9, MATCH(W3188, 'Адреса общежитий (скрытый)'!$A$2:$A$9, 0)), "")</f>
        <v/>
      </c>
      <c r="Y3188" s="18"/>
      <c r="Z3188" s="18"/>
      <c r="AA3188" s="18"/>
      <c r="AB3188" s="18"/>
      <c r="AC3188" s="18"/>
    </row>
    <row r="3189" spans="1:29" ht="32.25" hidden="1" customHeight="1">
      <c r="A3189" s="17"/>
      <c r="B3189" s="9" t="s">
        <v>13284</v>
      </c>
      <c r="C3189" s="9" t="s">
        <v>13284</v>
      </c>
      <c r="D3189" s="9" t="s">
        <v>13284</v>
      </c>
      <c r="E3189" s="9" t="s">
        <v>13284</v>
      </c>
      <c r="F3189" s="9" t="s">
        <v>13284</v>
      </c>
      <c r="G3189" s="9" t="s">
        <v>13284</v>
      </c>
      <c r="H3189" s="9" t="s">
        <v>13284</v>
      </c>
      <c r="I3189" s="9" t="s">
        <v>13284</v>
      </c>
      <c r="J3189" s="9" t="s">
        <v>13284</v>
      </c>
      <c r="K3189" s="9" t="s">
        <v>13284</v>
      </c>
      <c r="L3189" s="9" t="s">
        <v>13284</v>
      </c>
      <c r="M3189" s="9" t="s">
        <v>13284</v>
      </c>
      <c r="N3189" s="9" t="s">
        <v>13284</v>
      </c>
      <c r="O3189" s="9" t="s">
        <v>13284</v>
      </c>
      <c r="P3189" s="9" t="s">
        <v>13284</v>
      </c>
      <c r="Q3189" s="9" t="s">
        <v>13284</v>
      </c>
      <c r="R3189" s="9" t="s">
        <v>13284</v>
      </c>
      <c r="S3189" s="9" t="s">
        <v>13284</v>
      </c>
      <c r="T3189" s="9" t="str">
        <f ca="1">IFERROR(IF(AND(VLOOKUP(A3189, 'Актуальное состояние (из общего'!A:C,3,0) = "", A3189 &lt;&gt; ""), "ПРОВЕРИТЬ", VLOOKUP(A3189, 'Актуальное состояние (из общего'!A:C,3,0)), "")</f>
        <v/>
      </c>
      <c r="U3189" s="9" t="s">
        <v>13284</v>
      </c>
      <c r="V3189" s="9" t="s">
        <v>13284</v>
      </c>
      <c r="W3189" s="12"/>
      <c r="X3189" s="9" t="str">
        <f t="array" ref="X3189">IFERROR(INDEX('Адреса общежитий (скрытый)'!$B$2:$B$9, MATCH(W3189, 'Адреса общежитий (скрытый)'!$A$2:$A$9, 0)), "")</f>
        <v/>
      </c>
      <c r="Y3189" s="18"/>
      <c r="Z3189" s="18"/>
      <c r="AA3189" s="18"/>
      <c r="AB3189" s="18"/>
      <c r="AC3189" s="18"/>
    </row>
    <row r="3190" spans="1:29" ht="32.25" hidden="1" customHeight="1">
      <c r="A3190" s="17"/>
      <c r="B3190" s="9" t="s">
        <v>13284</v>
      </c>
      <c r="C3190" s="9" t="s">
        <v>13284</v>
      </c>
      <c r="D3190" s="9" t="s">
        <v>13284</v>
      </c>
      <c r="E3190" s="9" t="s">
        <v>13284</v>
      </c>
      <c r="F3190" s="9" t="s">
        <v>13284</v>
      </c>
      <c r="G3190" s="9" t="s">
        <v>13284</v>
      </c>
      <c r="H3190" s="9" t="s">
        <v>13284</v>
      </c>
      <c r="I3190" s="9" t="s">
        <v>13284</v>
      </c>
      <c r="J3190" s="9" t="s">
        <v>13284</v>
      </c>
      <c r="K3190" s="9" t="s">
        <v>13284</v>
      </c>
      <c r="L3190" s="9" t="s">
        <v>13284</v>
      </c>
      <c r="M3190" s="9" t="s">
        <v>13284</v>
      </c>
      <c r="N3190" s="9" t="s">
        <v>13284</v>
      </c>
      <c r="O3190" s="9" t="s">
        <v>13284</v>
      </c>
      <c r="P3190" s="9" t="s">
        <v>13284</v>
      </c>
      <c r="Q3190" s="9" t="s">
        <v>13284</v>
      </c>
      <c r="R3190" s="9" t="s">
        <v>13284</v>
      </c>
      <c r="S3190" s="9" t="s">
        <v>13284</v>
      </c>
      <c r="T3190" s="9" t="str">
        <f ca="1">IFERROR(IF(AND(VLOOKUP(A3190, 'Актуальное состояние (из общего'!A:C,3,0) = "", A3190 &lt;&gt; ""), "ПРОВЕРИТЬ", VLOOKUP(A3190, 'Актуальное состояние (из общего'!A:C,3,0)), "")</f>
        <v/>
      </c>
      <c r="U3190" s="9" t="s">
        <v>13284</v>
      </c>
      <c r="V3190" s="9" t="s">
        <v>13284</v>
      </c>
      <c r="W3190" s="12"/>
      <c r="X3190" s="9" t="str">
        <f t="array" ref="X3190">IFERROR(INDEX('Адреса общежитий (скрытый)'!$B$2:$B$9, MATCH(W3190, 'Адреса общежитий (скрытый)'!$A$2:$A$9, 0)), "")</f>
        <v/>
      </c>
      <c r="Y3190" s="18"/>
      <c r="Z3190" s="18"/>
      <c r="AA3190" s="18"/>
      <c r="AB3190" s="18"/>
      <c r="AC3190" s="18"/>
    </row>
    <row r="3191" spans="1:29" ht="32.25" hidden="1" customHeight="1">
      <c r="A3191" s="17"/>
      <c r="B3191" s="9" t="s">
        <v>13284</v>
      </c>
      <c r="C3191" s="9" t="s">
        <v>13284</v>
      </c>
      <c r="D3191" s="9" t="s">
        <v>13284</v>
      </c>
      <c r="E3191" s="9" t="s">
        <v>13284</v>
      </c>
      <c r="F3191" s="9" t="s">
        <v>13284</v>
      </c>
      <c r="G3191" s="9" t="s">
        <v>13284</v>
      </c>
      <c r="H3191" s="9" t="s">
        <v>13284</v>
      </c>
      <c r="I3191" s="9" t="s">
        <v>13284</v>
      </c>
      <c r="J3191" s="9" t="s">
        <v>13284</v>
      </c>
      <c r="K3191" s="9" t="s">
        <v>13284</v>
      </c>
      <c r="L3191" s="9" t="s">
        <v>13284</v>
      </c>
      <c r="M3191" s="9" t="s">
        <v>13284</v>
      </c>
      <c r="N3191" s="9" t="s">
        <v>13284</v>
      </c>
      <c r="O3191" s="9" t="s">
        <v>13284</v>
      </c>
      <c r="P3191" s="9" t="s">
        <v>13284</v>
      </c>
      <c r="Q3191" s="9" t="s">
        <v>13284</v>
      </c>
      <c r="R3191" s="9" t="s">
        <v>13284</v>
      </c>
      <c r="S3191" s="9" t="s">
        <v>13284</v>
      </c>
      <c r="T3191" s="9" t="str">
        <f ca="1">IFERROR(IF(AND(VLOOKUP(A3191, 'Актуальное состояние (из общего'!A:C,3,0) = "", A3191 &lt;&gt; ""), "ПРОВЕРИТЬ", VLOOKUP(A3191, 'Актуальное состояние (из общего'!A:C,3,0)), "")</f>
        <v/>
      </c>
      <c r="U3191" s="9" t="s">
        <v>13284</v>
      </c>
      <c r="V3191" s="9" t="s">
        <v>13284</v>
      </c>
      <c r="W3191" s="12"/>
      <c r="X3191" s="9" t="str">
        <f t="array" ref="X3191">IFERROR(INDEX('Адреса общежитий (скрытый)'!$B$2:$B$9, MATCH(W3191, 'Адреса общежитий (скрытый)'!$A$2:$A$9, 0)), "")</f>
        <v/>
      </c>
      <c r="Y3191" s="18"/>
      <c r="Z3191" s="18"/>
      <c r="AA3191" s="18"/>
      <c r="AB3191" s="18"/>
      <c r="AC3191" s="18"/>
    </row>
    <row r="3192" spans="1:29" ht="32.25" hidden="1" customHeight="1">
      <c r="A3192" s="17"/>
      <c r="B3192" s="9" t="s">
        <v>13284</v>
      </c>
      <c r="C3192" s="9" t="s">
        <v>13284</v>
      </c>
      <c r="D3192" s="9" t="s">
        <v>13284</v>
      </c>
      <c r="E3192" s="9" t="s">
        <v>13284</v>
      </c>
      <c r="F3192" s="9" t="s">
        <v>13284</v>
      </c>
      <c r="G3192" s="9" t="s">
        <v>13284</v>
      </c>
      <c r="H3192" s="9" t="s">
        <v>13284</v>
      </c>
      <c r="I3192" s="9" t="s">
        <v>13284</v>
      </c>
      <c r="J3192" s="9" t="s">
        <v>13284</v>
      </c>
      <c r="K3192" s="9" t="s">
        <v>13284</v>
      </c>
      <c r="L3192" s="9" t="s">
        <v>13284</v>
      </c>
      <c r="M3192" s="9" t="s">
        <v>13284</v>
      </c>
      <c r="N3192" s="9" t="s">
        <v>13284</v>
      </c>
      <c r="O3192" s="9" t="s">
        <v>13284</v>
      </c>
      <c r="P3192" s="9" t="s">
        <v>13284</v>
      </c>
      <c r="Q3192" s="9" t="s">
        <v>13284</v>
      </c>
      <c r="R3192" s="9" t="s">
        <v>13284</v>
      </c>
      <c r="S3192" s="9" t="s">
        <v>13284</v>
      </c>
      <c r="T3192" s="9" t="str">
        <f ca="1">IFERROR(IF(AND(VLOOKUP(A3192, 'Актуальное состояние (из общего'!A:C,3,0) = "", A3192 &lt;&gt; ""), "ПРОВЕРИТЬ", VLOOKUP(A3192, 'Актуальное состояние (из общего'!A:C,3,0)), "")</f>
        <v/>
      </c>
      <c r="U3192" s="9" t="s">
        <v>13284</v>
      </c>
      <c r="V3192" s="9" t="s">
        <v>13284</v>
      </c>
      <c r="W3192" s="12"/>
      <c r="X3192" s="9" t="str">
        <f t="array" ref="X3192">IFERROR(INDEX('Адреса общежитий (скрытый)'!$B$2:$B$9, MATCH(W3192, 'Адреса общежитий (скрытый)'!$A$2:$A$9, 0)), "")</f>
        <v/>
      </c>
      <c r="Y3192" s="18"/>
      <c r="Z3192" s="18"/>
      <c r="AA3192" s="18"/>
      <c r="AB3192" s="18"/>
      <c r="AC3192" s="18"/>
    </row>
    <row r="3193" spans="1:29" ht="32.25" hidden="1" customHeight="1">
      <c r="A3193" s="17"/>
      <c r="B3193" s="9" t="s">
        <v>13284</v>
      </c>
      <c r="C3193" s="9" t="s">
        <v>13284</v>
      </c>
      <c r="D3193" s="9" t="s">
        <v>13284</v>
      </c>
      <c r="E3193" s="9" t="s">
        <v>13284</v>
      </c>
      <c r="F3193" s="9" t="s">
        <v>13284</v>
      </c>
      <c r="G3193" s="9" t="s">
        <v>13284</v>
      </c>
      <c r="H3193" s="9" t="s">
        <v>13284</v>
      </c>
      <c r="I3193" s="9" t="s">
        <v>13284</v>
      </c>
      <c r="J3193" s="9" t="s">
        <v>13284</v>
      </c>
      <c r="K3193" s="9" t="s">
        <v>13284</v>
      </c>
      <c r="L3193" s="9" t="s">
        <v>13284</v>
      </c>
      <c r="M3193" s="9" t="s">
        <v>13284</v>
      </c>
      <c r="N3193" s="9" t="s">
        <v>13284</v>
      </c>
      <c r="O3193" s="9" t="s">
        <v>13284</v>
      </c>
      <c r="P3193" s="9" t="s">
        <v>13284</v>
      </c>
      <c r="Q3193" s="9" t="s">
        <v>13284</v>
      </c>
      <c r="R3193" s="9" t="s">
        <v>13284</v>
      </c>
      <c r="S3193" s="9" t="s">
        <v>13284</v>
      </c>
      <c r="T3193" s="9" t="str">
        <f ca="1">IFERROR(IF(AND(VLOOKUP(A3193, 'Актуальное состояние (из общего'!A:C,3,0) = "", A3193 &lt;&gt; ""), "ПРОВЕРИТЬ", VLOOKUP(A3193, 'Актуальное состояние (из общего'!A:C,3,0)), "")</f>
        <v/>
      </c>
      <c r="U3193" s="9" t="s">
        <v>13284</v>
      </c>
      <c r="V3193" s="9" t="s">
        <v>13284</v>
      </c>
      <c r="W3193" s="12"/>
      <c r="X3193" s="9" t="str">
        <f t="array" ref="X3193">IFERROR(INDEX('Адреса общежитий (скрытый)'!$B$2:$B$9, MATCH(W3193, 'Адреса общежитий (скрытый)'!$A$2:$A$9, 0)), "")</f>
        <v/>
      </c>
      <c r="Y3193" s="18"/>
      <c r="Z3193" s="18"/>
      <c r="AA3193" s="18"/>
      <c r="AB3193" s="18"/>
      <c r="AC3193" s="18"/>
    </row>
    <row r="3194" spans="1:29" ht="32.25" hidden="1" customHeight="1">
      <c r="A3194" s="17"/>
      <c r="B3194" s="9" t="s">
        <v>13284</v>
      </c>
      <c r="C3194" s="9" t="s">
        <v>13284</v>
      </c>
      <c r="D3194" s="9" t="s">
        <v>13284</v>
      </c>
      <c r="E3194" s="9" t="s">
        <v>13284</v>
      </c>
      <c r="F3194" s="9" t="s">
        <v>13284</v>
      </c>
      <c r="G3194" s="9" t="s">
        <v>13284</v>
      </c>
      <c r="H3194" s="9" t="s">
        <v>13284</v>
      </c>
      <c r="I3194" s="9" t="s">
        <v>13284</v>
      </c>
      <c r="J3194" s="9" t="s">
        <v>13284</v>
      </c>
      <c r="K3194" s="9" t="s">
        <v>13284</v>
      </c>
      <c r="L3194" s="9" t="s">
        <v>13284</v>
      </c>
      <c r="M3194" s="9" t="s">
        <v>13284</v>
      </c>
      <c r="N3194" s="9" t="s">
        <v>13284</v>
      </c>
      <c r="O3194" s="9" t="s">
        <v>13284</v>
      </c>
      <c r="P3194" s="9" t="s">
        <v>13284</v>
      </c>
      <c r="Q3194" s="9" t="s">
        <v>13284</v>
      </c>
      <c r="R3194" s="9" t="s">
        <v>13284</v>
      </c>
      <c r="S3194" s="9" t="s">
        <v>13284</v>
      </c>
      <c r="T3194" s="9" t="str">
        <f ca="1">IFERROR(IF(AND(VLOOKUP(A3194, 'Актуальное состояние (из общего'!A:C,3,0) = "", A3194 &lt;&gt; ""), "ПРОВЕРИТЬ", VLOOKUP(A3194, 'Актуальное состояние (из общего'!A:C,3,0)), "")</f>
        <v/>
      </c>
      <c r="U3194" s="9" t="s">
        <v>13284</v>
      </c>
      <c r="V3194" s="9" t="s">
        <v>13284</v>
      </c>
      <c r="W3194" s="12"/>
      <c r="X3194" s="9" t="str">
        <f t="array" ref="X3194">IFERROR(INDEX('Адреса общежитий (скрытый)'!$B$2:$B$9, MATCH(W3194, 'Адреса общежитий (скрытый)'!$A$2:$A$9, 0)), "")</f>
        <v/>
      </c>
      <c r="Y3194" s="18"/>
      <c r="Z3194" s="18"/>
      <c r="AA3194" s="18"/>
      <c r="AB3194" s="18"/>
      <c r="AC3194" s="18"/>
    </row>
    <row r="3195" spans="1:29" ht="32.25" hidden="1" customHeight="1">
      <c r="A3195" s="17"/>
      <c r="B3195" s="9" t="s">
        <v>13284</v>
      </c>
      <c r="C3195" s="9" t="s">
        <v>13284</v>
      </c>
      <c r="D3195" s="9" t="s">
        <v>13284</v>
      </c>
      <c r="E3195" s="9" t="s">
        <v>13284</v>
      </c>
      <c r="F3195" s="9" t="s">
        <v>13284</v>
      </c>
      <c r="G3195" s="9" t="s">
        <v>13284</v>
      </c>
      <c r="H3195" s="9" t="s">
        <v>13284</v>
      </c>
      <c r="I3195" s="9" t="s">
        <v>13284</v>
      </c>
      <c r="J3195" s="9" t="s">
        <v>13284</v>
      </c>
      <c r="K3195" s="9" t="s">
        <v>13284</v>
      </c>
      <c r="L3195" s="9" t="s">
        <v>13284</v>
      </c>
      <c r="M3195" s="9" t="s">
        <v>13284</v>
      </c>
      <c r="N3195" s="9" t="s">
        <v>13284</v>
      </c>
      <c r="O3195" s="9" t="s">
        <v>13284</v>
      </c>
      <c r="P3195" s="9" t="s">
        <v>13284</v>
      </c>
      <c r="Q3195" s="9" t="s">
        <v>13284</v>
      </c>
      <c r="R3195" s="9" t="s">
        <v>13284</v>
      </c>
      <c r="S3195" s="9" t="s">
        <v>13284</v>
      </c>
      <c r="T3195" s="9" t="str">
        <f ca="1">IFERROR(IF(AND(VLOOKUP(A3195, 'Актуальное состояние (из общего'!A:C,3,0) = "", A3195 &lt;&gt; ""), "ПРОВЕРИТЬ", VLOOKUP(A3195, 'Актуальное состояние (из общего'!A:C,3,0)), "")</f>
        <v/>
      </c>
      <c r="U3195" s="9" t="s">
        <v>13284</v>
      </c>
      <c r="V3195" s="9" t="s">
        <v>13284</v>
      </c>
      <c r="W3195" s="12"/>
      <c r="X3195" s="9" t="str">
        <f t="array" ref="X3195">IFERROR(INDEX('Адреса общежитий (скрытый)'!$B$2:$B$9, MATCH(W3195, 'Адреса общежитий (скрытый)'!$A$2:$A$9, 0)), "")</f>
        <v/>
      </c>
      <c r="Y3195" s="18"/>
      <c r="Z3195" s="18"/>
      <c r="AA3195" s="18"/>
      <c r="AB3195" s="18"/>
      <c r="AC3195" s="18"/>
    </row>
    <row r="3196" spans="1:29" ht="32.25" hidden="1" customHeight="1">
      <c r="A3196" s="17"/>
      <c r="B3196" s="9" t="s">
        <v>13284</v>
      </c>
      <c r="C3196" s="9" t="s">
        <v>13284</v>
      </c>
      <c r="D3196" s="9" t="s">
        <v>13284</v>
      </c>
      <c r="E3196" s="9" t="s">
        <v>13284</v>
      </c>
      <c r="F3196" s="9" t="s">
        <v>13284</v>
      </c>
      <c r="G3196" s="9" t="s">
        <v>13284</v>
      </c>
      <c r="H3196" s="9" t="s">
        <v>13284</v>
      </c>
      <c r="I3196" s="9" t="s">
        <v>13284</v>
      </c>
      <c r="J3196" s="9" t="s">
        <v>13284</v>
      </c>
      <c r="K3196" s="9" t="s">
        <v>13284</v>
      </c>
      <c r="L3196" s="9" t="s">
        <v>13284</v>
      </c>
      <c r="M3196" s="9" t="s">
        <v>13284</v>
      </c>
      <c r="N3196" s="9" t="s">
        <v>13284</v>
      </c>
      <c r="O3196" s="9" t="s">
        <v>13284</v>
      </c>
      <c r="P3196" s="9" t="s">
        <v>13284</v>
      </c>
      <c r="Q3196" s="9" t="s">
        <v>13284</v>
      </c>
      <c r="R3196" s="9" t="s">
        <v>13284</v>
      </c>
      <c r="S3196" s="9" t="s">
        <v>13284</v>
      </c>
      <c r="T3196" s="9" t="str">
        <f ca="1">IFERROR(IF(AND(VLOOKUP(A3196, 'Актуальное состояние (из общего'!A:C,3,0) = "", A3196 &lt;&gt; ""), "ПРОВЕРИТЬ", VLOOKUP(A3196, 'Актуальное состояние (из общего'!A:C,3,0)), "")</f>
        <v/>
      </c>
      <c r="U3196" s="9" t="s">
        <v>13284</v>
      </c>
      <c r="V3196" s="9" t="s">
        <v>13284</v>
      </c>
      <c r="W3196" s="12"/>
      <c r="X3196" s="9" t="str">
        <f t="array" ref="X3196">IFERROR(INDEX('Адреса общежитий (скрытый)'!$B$2:$B$9, MATCH(W3196, 'Адреса общежитий (скрытый)'!$A$2:$A$9, 0)), "")</f>
        <v/>
      </c>
      <c r="Y3196" s="18"/>
      <c r="Z3196" s="18"/>
      <c r="AA3196" s="18"/>
      <c r="AB3196" s="18"/>
      <c r="AC3196" s="18"/>
    </row>
    <row r="3197" spans="1:29" ht="32.25" hidden="1" customHeight="1">
      <c r="A3197" s="17"/>
      <c r="B3197" s="9" t="s">
        <v>13284</v>
      </c>
      <c r="C3197" s="9" t="s">
        <v>13284</v>
      </c>
      <c r="D3197" s="9" t="s">
        <v>13284</v>
      </c>
      <c r="E3197" s="9" t="s">
        <v>13284</v>
      </c>
      <c r="F3197" s="9" t="s">
        <v>13284</v>
      </c>
      <c r="G3197" s="9" t="s">
        <v>13284</v>
      </c>
      <c r="H3197" s="9" t="s">
        <v>13284</v>
      </c>
      <c r="I3197" s="9" t="s">
        <v>13284</v>
      </c>
      <c r="J3197" s="9" t="s">
        <v>13284</v>
      </c>
      <c r="K3197" s="9" t="s">
        <v>13284</v>
      </c>
      <c r="L3197" s="9" t="s">
        <v>13284</v>
      </c>
      <c r="M3197" s="9" t="s">
        <v>13284</v>
      </c>
      <c r="N3197" s="9" t="s">
        <v>13284</v>
      </c>
      <c r="O3197" s="9" t="s">
        <v>13284</v>
      </c>
      <c r="P3197" s="9" t="s">
        <v>13284</v>
      </c>
      <c r="Q3197" s="9" t="s">
        <v>13284</v>
      </c>
      <c r="R3197" s="9" t="s">
        <v>13284</v>
      </c>
      <c r="S3197" s="9" t="s">
        <v>13284</v>
      </c>
      <c r="T3197" s="9" t="str">
        <f ca="1">IFERROR(IF(AND(VLOOKUP(A3197, 'Актуальное состояние (из общего'!A:C,3,0) = "", A3197 &lt;&gt; ""), "ПРОВЕРИТЬ", VLOOKUP(A3197, 'Актуальное состояние (из общего'!A:C,3,0)), "")</f>
        <v/>
      </c>
      <c r="U3197" s="9" t="s">
        <v>13284</v>
      </c>
      <c r="V3197" s="9" t="s">
        <v>13284</v>
      </c>
      <c r="W3197" s="12"/>
      <c r="X3197" s="9" t="str">
        <f t="array" ref="X3197">IFERROR(INDEX('Адреса общежитий (скрытый)'!$B$2:$B$9, MATCH(W3197, 'Адреса общежитий (скрытый)'!$A$2:$A$9, 0)), "")</f>
        <v/>
      </c>
      <c r="Y3197" s="18"/>
      <c r="Z3197" s="18"/>
      <c r="AA3197" s="18"/>
      <c r="AB3197" s="18"/>
      <c r="AC3197" s="18"/>
    </row>
    <row r="3198" spans="1:29" ht="32.25" hidden="1" customHeight="1">
      <c r="A3198" s="17"/>
      <c r="B3198" s="9" t="s">
        <v>13284</v>
      </c>
      <c r="C3198" s="9" t="s">
        <v>13284</v>
      </c>
      <c r="D3198" s="9" t="s">
        <v>13284</v>
      </c>
      <c r="E3198" s="9" t="s">
        <v>13284</v>
      </c>
      <c r="F3198" s="9" t="s">
        <v>13284</v>
      </c>
      <c r="G3198" s="9" t="s">
        <v>13284</v>
      </c>
      <c r="H3198" s="9" t="s">
        <v>13284</v>
      </c>
      <c r="I3198" s="9" t="s">
        <v>13284</v>
      </c>
      <c r="J3198" s="9" t="s">
        <v>13284</v>
      </c>
      <c r="K3198" s="9" t="s">
        <v>13284</v>
      </c>
      <c r="L3198" s="9" t="s">
        <v>13284</v>
      </c>
      <c r="M3198" s="9" t="s">
        <v>13284</v>
      </c>
      <c r="N3198" s="9" t="s">
        <v>13284</v>
      </c>
      <c r="O3198" s="9" t="s">
        <v>13284</v>
      </c>
      <c r="P3198" s="9" t="s">
        <v>13284</v>
      </c>
      <c r="Q3198" s="9" t="s">
        <v>13284</v>
      </c>
      <c r="R3198" s="9" t="s">
        <v>13284</v>
      </c>
      <c r="S3198" s="9" t="s">
        <v>13284</v>
      </c>
      <c r="T3198" s="9" t="str">
        <f ca="1">IFERROR(IF(AND(VLOOKUP(A3198, 'Актуальное состояние (из общего'!A:C,3,0) = "", A3198 &lt;&gt; ""), "ПРОВЕРИТЬ", VLOOKUP(A3198, 'Актуальное состояние (из общего'!A:C,3,0)), "")</f>
        <v/>
      </c>
      <c r="U3198" s="9" t="s">
        <v>13284</v>
      </c>
      <c r="V3198" s="9" t="s">
        <v>13284</v>
      </c>
      <c r="W3198" s="12"/>
      <c r="X3198" s="9" t="str">
        <f t="array" ref="X3198">IFERROR(INDEX('Адреса общежитий (скрытый)'!$B$2:$B$9, MATCH(W3198, 'Адреса общежитий (скрытый)'!$A$2:$A$9, 0)), "")</f>
        <v/>
      </c>
      <c r="Y3198" s="18"/>
      <c r="Z3198" s="18"/>
      <c r="AA3198" s="18"/>
      <c r="AB3198" s="18"/>
      <c r="AC3198" s="18"/>
    </row>
    <row r="3199" spans="1:29" ht="32.25" hidden="1" customHeight="1">
      <c r="A3199" s="17"/>
      <c r="B3199" s="9" t="s">
        <v>13284</v>
      </c>
      <c r="C3199" s="9" t="s">
        <v>13284</v>
      </c>
      <c r="D3199" s="9" t="s">
        <v>13284</v>
      </c>
      <c r="E3199" s="9" t="s">
        <v>13284</v>
      </c>
      <c r="F3199" s="9" t="s">
        <v>13284</v>
      </c>
      <c r="G3199" s="9" t="s">
        <v>13284</v>
      </c>
      <c r="H3199" s="9" t="s">
        <v>13284</v>
      </c>
      <c r="I3199" s="9" t="s">
        <v>13284</v>
      </c>
      <c r="J3199" s="9" t="s">
        <v>13284</v>
      </c>
      <c r="K3199" s="9" t="s">
        <v>13284</v>
      </c>
      <c r="L3199" s="9" t="s">
        <v>13284</v>
      </c>
      <c r="M3199" s="9" t="s">
        <v>13284</v>
      </c>
      <c r="N3199" s="9" t="s">
        <v>13284</v>
      </c>
      <c r="O3199" s="9" t="s">
        <v>13284</v>
      </c>
      <c r="P3199" s="9" t="s">
        <v>13284</v>
      </c>
      <c r="Q3199" s="9" t="s">
        <v>13284</v>
      </c>
      <c r="R3199" s="9" t="s">
        <v>13284</v>
      </c>
      <c r="S3199" s="9" t="s">
        <v>13284</v>
      </c>
      <c r="T3199" s="9" t="str">
        <f ca="1">IFERROR(IF(AND(VLOOKUP(A3199, 'Актуальное состояние (из общего'!A:C,3,0) = "", A3199 &lt;&gt; ""), "ПРОВЕРИТЬ", VLOOKUP(A3199, 'Актуальное состояние (из общего'!A:C,3,0)), "")</f>
        <v/>
      </c>
      <c r="U3199" s="9" t="s">
        <v>13284</v>
      </c>
      <c r="V3199" s="9" t="s">
        <v>13284</v>
      </c>
      <c r="W3199" s="12"/>
      <c r="X3199" s="9" t="str">
        <f t="array" ref="X3199">IFERROR(INDEX('Адреса общежитий (скрытый)'!$B$2:$B$9, MATCH(W3199, 'Адреса общежитий (скрытый)'!$A$2:$A$9, 0)), "")</f>
        <v/>
      </c>
      <c r="Y3199" s="18"/>
      <c r="Z3199" s="18"/>
      <c r="AA3199" s="18"/>
      <c r="AB3199" s="18"/>
      <c r="AC3199" s="18"/>
    </row>
    <row r="3200" spans="1:29" ht="32.25" hidden="1" customHeight="1">
      <c r="A3200" s="17"/>
      <c r="B3200" s="9" t="s">
        <v>13284</v>
      </c>
      <c r="C3200" s="9" t="s">
        <v>13284</v>
      </c>
      <c r="D3200" s="9" t="s">
        <v>13284</v>
      </c>
      <c r="E3200" s="9" t="s">
        <v>13284</v>
      </c>
      <c r="F3200" s="9" t="s">
        <v>13284</v>
      </c>
      <c r="G3200" s="9" t="s">
        <v>13284</v>
      </c>
      <c r="H3200" s="9" t="s">
        <v>13284</v>
      </c>
      <c r="I3200" s="9" t="s">
        <v>13284</v>
      </c>
      <c r="J3200" s="9" t="s">
        <v>13284</v>
      </c>
      <c r="K3200" s="9" t="s">
        <v>13284</v>
      </c>
      <c r="L3200" s="9" t="s">
        <v>13284</v>
      </c>
      <c r="M3200" s="9" t="s">
        <v>13284</v>
      </c>
      <c r="N3200" s="9" t="s">
        <v>13284</v>
      </c>
      <c r="O3200" s="9" t="s">
        <v>13284</v>
      </c>
      <c r="P3200" s="9" t="s">
        <v>13284</v>
      </c>
      <c r="Q3200" s="9" t="s">
        <v>13284</v>
      </c>
      <c r="R3200" s="9" t="s">
        <v>13284</v>
      </c>
      <c r="S3200" s="9" t="s">
        <v>13284</v>
      </c>
      <c r="T3200" s="9" t="str">
        <f ca="1">IFERROR(IF(AND(VLOOKUP(A3200, 'Актуальное состояние (из общего'!A:C,3,0) = "", A3200 &lt;&gt; ""), "ПРОВЕРИТЬ", VLOOKUP(A3200, 'Актуальное состояние (из общего'!A:C,3,0)), "")</f>
        <v/>
      </c>
      <c r="U3200" s="9" t="s">
        <v>13284</v>
      </c>
      <c r="V3200" s="9" t="s">
        <v>13284</v>
      </c>
      <c r="W3200" s="12"/>
      <c r="X3200" s="9" t="str">
        <f t="array" ref="X3200">IFERROR(INDEX('Адреса общежитий (скрытый)'!$B$2:$B$9, MATCH(W3200, 'Адреса общежитий (скрытый)'!$A$2:$A$9, 0)), "")</f>
        <v/>
      </c>
      <c r="Y3200" s="18"/>
      <c r="Z3200" s="18"/>
      <c r="AA3200" s="18"/>
      <c r="AB3200" s="18"/>
      <c r="AC3200" s="18"/>
    </row>
    <row r="3201" spans="1:29" ht="32.25" hidden="1" customHeight="1">
      <c r="A3201" s="17"/>
      <c r="B3201" s="9" t="s">
        <v>13284</v>
      </c>
      <c r="C3201" s="9" t="s">
        <v>13284</v>
      </c>
      <c r="D3201" s="9" t="s">
        <v>13284</v>
      </c>
      <c r="E3201" s="9" t="s">
        <v>13284</v>
      </c>
      <c r="F3201" s="9" t="s">
        <v>13284</v>
      </c>
      <c r="G3201" s="9" t="s">
        <v>13284</v>
      </c>
      <c r="H3201" s="9" t="s">
        <v>13284</v>
      </c>
      <c r="I3201" s="9" t="s">
        <v>13284</v>
      </c>
      <c r="J3201" s="9" t="s">
        <v>13284</v>
      </c>
      <c r="K3201" s="9" t="s">
        <v>13284</v>
      </c>
      <c r="L3201" s="9" t="s">
        <v>13284</v>
      </c>
      <c r="M3201" s="9" t="s">
        <v>13284</v>
      </c>
      <c r="N3201" s="9" t="s">
        <v>13284</v>
      </c>
      <c r="O3201" s="9" t="s">
        <v>13284</v>
      </c>
      <c r="P3201" s="9" t="s">
        <v>13284</v>
      </c>
      <c r="Q3201" s="9" t="s">
        <v>13284</v>
      </c>
      <c r="R3201" s="9" t="s">
        <v>13284</v>
      </c>
      <c r="S3201" s="9" t="s">
        <v>13284</v>
      </c>
      <c r="T3201" s="9" t="str">
        <f ca="1">IFERROR(IF(AND(VLOOKUP(A3201, 'Актуальное состояние (из общего'!A:C,3,0) = "", A3201 &lt;&gt; ""), "ПРОВЕРИТЬ", VLOOKUP(A3201, 'Актуальное состояние (из общего'!A:C,3,0)), "")</f>
        <v/>
      </c>
      <c r="U3201" s="9" t="s">
        <v>13284</v>
      </c>
      <c r="V3201" s="9" t="s">
        <v>13284</v>
      </c>
      <c r="W3201" s="12"/>
      <c r="X3201" s="9" t="str">
        <f t="array" ref="X3201">IFERROR(INDEX('Адреса общежитий (скрытый)'!$B$2:$B$9, MATCH(W3201, 'Адреса общежитий (скрытый)'!$A$2:$A$9, 0)), "")</f>
        <v/>
      </c>
      <c r="Y3201" s="18"/>
      <c r="Z3201" s="18"/>
      <c r="AA3201" s="18"/>
      <c r="AB3201" s="18"/>
      <c r="AC3201" s="18"/>
    </row>
    <row r="3202" spans="1:29" ht="32.25" hidden="1" customHeight="1">
      <c r="A3202" s="17"/>
      <c r="B3202" s="9" t="s">
        <v>13284</v>
      </c>
      <c r="C3202" s="9" t="s">
        <v>13284</v>
      </c>
      <c r="D3202" s="9" t="s">
        <v>13284</v>
      </c>
      <c r="E3202" s="9" t="s">
        <v>13284</v>
      </c>
      <c r="F3202" s="9" t="s">
        <v>13284</v>
      </c>
      <c r="G3202" s="9" t="s">
        <v>13284</v>
      </c>
      <c r="H3202" s="9" t="s">
        <v>13284</v>
      </c>
      <c r="I3202" s="9" t="s">
        <v>13284</v>
      </c>
      <c r="J3202" s="9" t="s">
        <v>13284</v>
      </c>
      <c r="K3202" s="9" t="s">
        <v>13284</v>
      </c>
      <c r="L3202" s="9" t="s">
        <v>13284</v>
      </c>
      <c r="M3202" s="9" t="s">
        <v>13284</v>
      </c>
      <c r="N3202" s="9" t="s">
        <v>13284</v>
      </c>
      <c r="O3202" s="9" t="s">
        <v>13284</v>
      </c>
      <c r="P3202" s="9" t="s">
        <v>13284</v>
      </c>
      <c r="Q3202" s="9" t="s">
        <v>13284</v>
      </c>
      <c r="R3202" s="9" t="s">
        <v>13284</v>
      </c>
      <c r="S3202" s="9" t="s">
        <v>13284</v>
      </c>
      <c r="T3202" s="9" t="str">
        <f ca="1">IFERROR(IF(AND(VLOOKUP(A3202, 'Актуальное состояние (из общего'!A:C,3,0) = "", A3202 &lt;&gt; ""), "ПРОВЕРИТЬ", VLOOKUP(A3202, 'Актуальное состояние (из общего'!A:C,3,0)), "")</f>
        <v/>
      </c>
      <c r="U3202" s="9" t="s">
        <v>13284</v>
      </c>
      <c r="V3202" s="9" t="s">
        <v>13284</v>
      </c>
      <c r="W3202" s="12"/>
      <c r="X3202" s="9" t="str">
        <f t="array" ref="X3202">IFERROR(INDEX('Адреса общежитий (скрытый)'!$B$2:$B$9, MATCH(W3202, 'Адреса общежитий (скрытый)'!$A$2:$A$9, 0)), "")</f>
        <v/>
      </c>
      <c r="Y3202" s="18"/>
      <c r="Z3202" s="18"/>
      <c r="AA3202" s="18"/>
      <c r="AB3202" s="18"/>
      <c r="AC3202" s="18"/>
    </row>
    <row r="3203" spans="1:29" ht="32.25" hidden="1" customHeight="1">
      <c r="A3203" s="17"/>
      <c r="B3203" s="9" t="s">
        <v>13284</v>
      </c>
      <c r="C3203" s="9" t="s">
        <v>13284</v>
      </c>
      <c r="D3203" s="9" t="s">
        <v>13284</v>
      </c>
      <c r="E3203" s="9" t="s">
        <v>13284</v>
      </c>
      <c r="F3203" s="9" t="s">
        <v>13284</v>
      </c>
      <c r="G3203" s="9" t="s">
        <v>13284</v>
      </c>
      <c r="H3203" s="9" t="s">
        <v>13284</v>
      </c>
      <c r="I3203" s="9" t="s">
        <v>13284</v>
      </c>
      <c r="J3203" s="9" t="s">
        <v>13284</v>
      </c>
      <c r="K3203" s="9" t="s">
        <v>13284</v>
      </c>
      <c r="L3203" s="9" t="s">
        <v>13284</v>
      </c>
      <c r="M3203" s="9" t="s">
        <v>13284</v>
      </c>
      <c r="N3203" s="9" t="s">
        <v>13284</v>
      </c>
      <c r="O3203" s="9" t="s">
        <v>13284</v>
      </c>
      <c r="P3203" s="9" t="s">
        <v>13284</v>
      </c>
      <c r="Q3203" s="9" t="s">
        <v>13284</v>
      </c>
      <c r="R3203" s="9" t="s">
        <v>13284</v>
      </c>
      <c r="S3203" s="9" t="s">
        <v>13284</v>
      </c>
      <c r="T3203" s="9" t="str">
        <f ca="1">IFERROR(IF(AND(VLOOKUP(A3203, 'Актуальное состояние (из общего'!A:C,3,0) = "", A3203 &lt;&gt; ""), "ПРОВЕРИТЬ", VLOOKUP(A3203, 'Актуальное состояние (из общего'!A:C,3,0)), "")</f>
        <v/>
      </c>
      <c r="U3203" s="9" t="s">
        <v>13284</v>
      </c>
      <c r="V3203" s="9" t="s">
        <v>13284</v>
      </c>
      <c r="W3203" s="12"/>
      <c r="X3203" s="9" t="str">
        <f t="array" ref="X3203">IFERROR(INDEX('Адреса общежитий (скрытый)'!$B$2:$B$9, MATCH(W3203, 'Адреса общежитий (скрытый)'!$A$2:$A$9, 0)), "")</f>
        <v/>
      </c>
      <c r="Y3203" s="18"/>
      <c r="Z3203" s="18"/>
      <c r="AA3203" s="18"/>
      <c r="AB3203" s="18"/>
      <c r="AC3203" s="18"/>
    </row>
    <row r="3204" spans="1:29" ht="32.25" hidden="1" customHeight="1">
      <c r="A3204" s="17"/>
      <c r="B3204" s="9" t="s">
        <v>13284</v>
      </c>
      <c r="C3204" s="9" t="s">
        <v>13284</v>
      </c>
      <c r="D3204" s="9" t="s">
        <v>13284</v>
      </c>
      <c r="E3204" s="9" t="s">
        <v>13284</v>
      </c>
      <c r="F3204" s="9" t="s">
        <v>13284</v>
      </c>
      <c r="G3204" s="9" t="s">
        <v>13284</v>
      </c>
      <c r="H3204" s="9" t="s">
        <v>13284</v>
      </c>
      <c r="I3204" s="9" t="s">
        <v>13284</v>
      </c>
      <c r="J3204" s="9" t="s">
        <v>13284</v>
      </c>
      <c r="K3204" s="9" t="s">
        <v>13284</v>
      </c>
      <c r="L3204" s="9" t="s">
        <v>13284</v>
      </c>
      <c r="M3204" s="9" t="s">
        <v>13284</v>
      </c>
      <c r="N3204" s="9" t="s">
        <v>13284</v>
      </c>
      <c r="O3204" s="9" t="s">
        <v>13284</v>
      </c>
      <c r="P3204" s="9" t="s">
        <v>13284</v>
      </c>
      <c r="Q3204" s="9" t="s">
        <v>13284</v>
      </c>
      <c r="R3204" s="9" t="s">
        <v>13284</v>
      </c>
      <c r="S3204" s="9" t="s">
        <v>13284</v>
      </c>
      <c r="T3204" s="9" t="str">
        <f ca="1">IFERROR(IF(AND(VLOOKUP(A3204, 'Актуальное состояние (из общего'!A:C,3,0) = "", A3204 &lt;&gt; ""), "ПРОВЕРИТЬ", VLOOKUP(A3204, 'Актуальное состояние (из общего'!A:C,3,0)), "")</f>
        <v/>
      </c>
      <c r="U3204" s="9" t="s">
        <v>13284</v>
      </c>
      <c r="V3204" s="9" t="s">
        <v>13284</v>
      </c>
      <c r="W3204" s="12"/>
      <c r="X3204" s="9" t="str">
        <f t="array" ref="X3204">IFERROR(INDEX('Адреса общежитий (скрытый)'!$B$2:$B$9, MATCH(W3204, 'Адреса общежитий (скрытый)'!$A$2:$A$9, 0)), "")</f>
        <v/>
      </c>
      <c r="Y3204" s="18"/>
      <c r="Z3204" s="18"/>
      <c r="AA3204" s="18"/>
      <c r="AB3204" s="18"/>
      <c r="AC3204" s="18"/>
    </row>
    <row r="3205" spans="1:29" ht="32.25" hidden="1" customHeight="1">
      <c r="A3205" s="17"/>
      <c r="B3205" s="9" t="s">
        <v>13284</v>
      </c>
      <c r="C3205" s="9" t="s">
        <v>13284</v>
      </c>
      <c r="D3205" s="9" t="s">
        <v>13284</v>
      </c>
      <c r="E3205" s="9" t="s">
        <v>13284</v>
      </c>
      <c r="F3205" s="9" t="s">
        <v>13284</v>
      </c>
      <c r="G3205" s="9" t="s">
        <v>13284</v>
      </c>
      <c r="H3205" s="9" t="s">
        <v>13284</v>
      </c>
      <c r="I3205" s="9" t="s">
        <v>13284</v>
      </c>
      <c r="J3205" s="9" t="s">
        <v>13284</v>
      </c>
      <c r="K3205" s="9" t="s">
        <v>13284</v>
      </c>
      <c r="L3205" s="9" t="s">
        <v>13284</v>
      </c>
      <c r="M3205" s="9" t="s">
        <v>13284</v>
      </c>
      <c r="N3205" s="9" t="s">
        <v>13284</v>
      </c>
      <c r="O3205" s="9" t="s">
        <v>13284</v>
      </c>
      <c r="P3205" s="9" t="s">
        <v>13284</v>
      </c>
      <c r="Q3205" s="9" t="s">
        <v>13284</v>
      </c>
      <c r="R3205" s="9" t="s">
        <v>13284</v>
      </c>
      <c r="S3205" s="9" t="s">
        <v>13284</v>
      </c>
      <c r="T3205" s="9" t="str">
        <f ca="1">IFERROR(IF(AND(VLOOKUP(A3205, 'Актуальное состояние (из общего'!A:C,3,0) = "", A3205 &lt;&gt; ""), "ПРОВЕРИТЬ", VLOOKUP(A3205, 'Актуальное состояние (из общего'!A:C,3,0)), "")</f>
        <v/>
      </c>
      <c r="U3205" s="9" t="s">
        <v>13284</v>
      </c>
      <c r="V3205" s="9" t="s">
        <v>13284</v>
      </c>
      <c r="W3205" s="12"/>
      <c r="X3205" s="9" t="str">
        <f t="array" ref="X3205">IFERROR(INDEX('Адреса общежитий (скрытый)'!$B$2:$B$9, MATCH(W3205, 'Адреса общежитий (скрытый)'!$A$2:$A$9, 0)), "")</f>
        <v/>
      </c>
      <c r="Y3205" s="18"/>
      <c r="Z3205" s="18"/>
      <c r="AA3205" s="18"/>
      <c r="AB3205" s="18"/>
      <c r="AC3205" s="18"/>
    </row>
    <row r="3206" spans="1:29" ht="32.25" hidden="1" customHeight="1">
      <c r="A3206" s="17"/>
      <c r="B3206" s="9" t="s">
        <v>13284</v>
      </c>
      <c r="C3206" s="9" t="s">
        <v>13284</v>
      </c>
      <c r="D3206" s="9" t="s">
        <v>13284</v>
      </c>
      <c r="E3206" s="9" t="s">
        <v>13284</v>
      </c>
      <c r="F3206" s="9" t="s">
        <v>13284</v>
      </c>
      <c r="G3206" s="9" t="s">
        <v>13284</v>
      </c>
      <c r="H3206" s="9" t="s">
        <v>13284</v>
      </c>
      <c r="I3206" s="9" t="s">
        <v>13284</v>
      </c>
      <c r="J3206" s="9" t="s">
        <v>13284</v>
      </c>
      <c r="K3206" s="9" t="s">
        <v>13284</v>
      </c>
      <c r="L3206" s="9" t="s">
        <v>13284</v>
      </c>
      <c r="M3206" s="9" t="s">
        <v>13284</v>
      </c>
      <c r="N3206" s="9" t="s">
        <v>13284</v>
      </c>
      <c r="O3206" s="9" t="s">
        <v>13284</v>
      </c>
      <c r="P3206" s="9" t="s">
        <v>13284</v>
      </c>
      <c r="Q3206" s="9" t="s">
        <v>13284</v>
      </c>
      <c r="R3206" s="9" t="s">
        <v>13284</v>
      </c>
      <c r="S3206" s="9" t="s">
        <v>13284</v>
      </c>
      <c r="T3206" s="9" t="str">
        <f ca="1">IFERROR(IF(AND(VLOOKUP(A3206, 'Актуальное состояние (из общего'!A:C,3,0) = "", A3206 &lt;&gt; ""), "ПРОВЕРИТЬ", VLOOKUP(A3206, 'Актуальное состояние (из общего'!A:C,3,0)), "")</f>
        <v/>
      </c>
      <c r="U3206" s="9" t="s">
        <v>13284</v>
      </c>
      <c r="V3206" s="9" t="s">
        <v>13284</v>
      </c>
      <c r="W3206" s="12"/>
      <c r="X3206" s="9" t="str">
        <f t="array" ref="X3206">IFERROR(INDEX('Адреса общежитий (скрытый)'!$B$2:$B$9, MATCH(W3206, 'Адреса общежитий (скрытый)'!$A$2:$A$9, 0)), "")</f>
        <v/>
      </c>
      <c r="Y3206" s="18"/>
      <c r="Z3206" s="18"/>
      <c r="AA3206" s="18"/>
      <c r="AB3206" s="18"/>
      <c r="AC3206" s="18"/>
    </row>
    <row r="3207" spans="1:29" ht="32.25" hidden="1" customHeight="1">
      <c r="A3207" s="17"/>
      <c r="B3207" s="9" t="s">
        <v>13284</v>
      </c>
      <c r="C3207" s="9" t="s">
        <v>13284</v>
      </c>
      <c r="D3207" s="9" t="s">
        <v>13284</v>
      </c>
      <c r="E3207" s="9" t="s">
        <v>13284</v>
      </c>
      <c r="F3207" s="9" t="s">
        <v>13284</v>
      </c>
      <c r="G3207" s="9" t="s">
        <v>13284</v>
      </c>
      <c r="H3207" s="9" t="s">
        <v>13284</v>
      </c>
      <c r="I3207" s="9" t="s">
        <v>13284</v>
      </c>
      <c r="J3207" s="9" t="s">
        <v>13284</v>
      </c>
      <c r="K3207" s="9" t="s">
        <v>13284</v>
      </c>
      <c r="L3207" s="9" t="s">
        <v>13284</v>
      </c>
      <c r="M3207" s="9" t="s">
        <v>13284</v>
      </c>
      <c r="N3207" s="9" t="s">
        <v>13284</v>
      </c>
      <c r="O3207" s="9" t="s">
        <v>13284</v>
      </c>
      <c r="P3207" s="9" t="s">
        <v>13284</v>
      </c>
      <c r="Q3207" s="9" t="s">
        <v>13284</v>
      </c>
      <c r="R3207" s="9" t="s">
        <v>13284</v>
      </c>
      <c r="S3207" s="9" t="s">
        <v>13284</v>
      </c>
      <c r="T3207" s="9" t="str">
        <f ca="1">IFERROR(IF(AND(VLOOKUP(A3207, 'Актуальное состояние (из общего'!A:C,3,0) = "", A3207 &lt;&gt; ""), "ПРОВЕРИТЬ", VLOOKUP(A3207, 'Актуальное состояние (из общего'!A:C,3,0)), "")</f>
        <v/>
      </c>
      <c r="U3207" s="9" t="s">
        <v>13284</v>
      </c>
      <c r="V3207" s="9" t="s">
        <v>13284</v>
      </c>
      <c r="W3207" s="12"/>
      <c r="X3207" s="9" t="str">
        <f t="array" ref="X3207">IFERROR(INDEX('Адреса общежитий (скрытый)'!$B$2:$B$9, MATCH(W3207, 'Адреса общежитий (скрытый)'!$A$2:$A$9, 0)), "")</f>
        <v/>
      </c>
      <c r="Y3207" s="18"/>
      <c r="Z3207" s="18"/>
      <c r="AA3207" s="18"/>
      <c r="AB3207" s="18"/>
      <c r="AC3207" s="18"/>
    </row>
    <row r="3208" spans="1:29" ht="32.25" hidden="1" customHeight="1">
      <c r="A3208" s="17"/>
      <c r="B3208" s="9" t="s">
        <v>13284</v>
      </c>
      <c r="C3208" s="9" t="s">
        <v>13284</v>
      </c>
      <c r="D3208" s="9" t="s">
        <v>13284</v>
      </c>
      <c r="E3208" s="9" t="s">
        <v>13284</v>
      </c>
      <c r="F3208" s="9" t="s">
        <v>13284</v>
      </c>
      <c r="G3208" s="9" t="s">
        <v>13284</v>
      </c>
      <c r="H3208" s="9" t="s">
        <v>13284</v>
      </c>
      <c r="I3208" s="9" t="s">
        <v>13284</v>
      </c>
      <c r="J3208" s="9" t="s">
        <v>13284</v>
      </c>
      <c r="K3208" s="9" t="s">
        <v>13284</v>
      </c>
      <c r="L3208" s="9" t="s">
        <v>13284</v>
      </c>
      <c r="M3208" s="9" t="s">
        <v>13284</v>
      </c>
      <c r="N3208" s="9" t="s">
        <v>13284</v>
      </c>
      <c r="O3208" s="9" t="s">
        <v>13284</v>
      </c>
      <c r="P3208" s="9" t="s">
        <v>13284</v>
      </c>
      <c r="Q3208" s="9" t="s">
        <v>13284</v>
      </c>
      <c r="R3208" s="9" t="s">
        <v>13284</v>
      </c>
      <c r="S3208" s="9" t="s">
        <v>13284</v>
      </c>
      <c r="T3208" s="9" t="str">
        <f ca="1">IFERROR(IF(AND(VLOOKUP(A3208, 'Актуальное состояние (из общего'!A:C,3,0) = "", A3208 &lt;&gt; ""), "ПРОВЕРИТЬ", VLOOKUP(A3208, 'Актуальное состояние (из общего'!A:C,3,0)), "")</f>
        <v/>
      </c>
      <c r="U3208" s="9" t="s">
        <v>13284</v>
      </c>
      <c r="V3208" s="9" t="s">
        <v>13284</v>
      </c>
      <c r="W3208" s="12"/>
      <c r="X3208" s="9" t="str">
        <f t="array" ref="X3208">IFERROR(INDEX('Адреса общежитий (скрытый)'!$B$2:$B$9, MATCH(W3208, 'Адреса общежитий (скрытый)'!$A$2:$A$9, 0)), "")</f>
        <v/>
      </c>
      <c r="Y3208" s="18"/>
      <c r="Z3208" s="18"/>
      <c r="AA3208" s="18"/>
      <c r="AB3208" s="18"/>
      <c r="AC3208" s="18"/>
    </row>
    <row r="3209" spans="1:29" ht="32.25" hidden="1" customHeight="1">
      <c r="A3209" s="17"/>
      <c r="B3209" s="9" t="s">
        <v>13284</v>
      </c>
      <c r="C3209" s="9" t="s">
        <v>13284</v>
      </c>
      <c r="D3209" s="9" t="s">
        <v>13284</v>
      </c>
      <c r="E3209" s="9" t="s">
        <v>13284</v>
      </c>
      <c r="F3209" s="9" t="s">
        <v>13284</v>
      </c>
      <c r="G3209" s="9" t="s">
        <v>13284</v>
      </c>
      <c r="H3209" s="9" t="s">
        <v>13284</v>
      </c>
      <c r="I3209" s="9" t="s">
        <v>13284</v>
      </c>
      <c r="J3209" s="9" t="s">
        <v>13284</v>
      </c>
      <c r="K3209" s="9" t="s">
        <v>13284</v>
      </c>
      <c r="L3209" s="9" t="s">
        <v>13284</v>
      </c>
      <c r="M3209" s="9" t="s">
        <v>13284</v>
      </c>
      <c r="N3209" s="9" t="s">
        <v>13284</v>
      </c>
      <c r="O3209" s="9" t="s">
        <v>13284</v>
      </c>
      <c r="P3209" s="9" t="s">
        <v>13284</v>
      </c>
      <c r="Q3209" s="9" t="s">
        <v>13284</v>
      </c>
      <c r="R3209" s="9" t="s">
        <v>13284</v>
      </c>
      <c r="S3209" s="9" t="s">
        <v>13284</v>
      </c>
      <c r="T3209" s="9" t="str">
        <f ca="1">IFERROR(IF(AND(VLOOKUP(A3209, 'Актуальное состояние (из общего'!A:C,3,0) = "", A3209 &lt;&gt; ""), "ПРОВЕРИТЬ", VLOOKUP(A3209, 'Актуальное состояние (из общего'!A:C,3,0)), "")</f>
        <v/>
      </c>
      <c r="U3209" s="9" t="s">
        <v>13284</v>
      </c>
      <c r="V3209" s="9" t="s">
        <v>13284</v>
      </c>
      <c r="W3209" s="12"/>
      <c r="X3209" s="9" t="str">
        <f t="array" ref="X3209">IFERROR(INDEX('Адреса общежитий (скрытый)'!$B$2:$B$9, MATCH(W3209, 'Адреса общежитий (скрытый)'!$A$2:$A$9, 0)), "")</f>
        <v/>
      </c>
      <c r="Y3209" s="18"/>
      <c r="Z3209" s="18"/>
      <c r="AA3209" s="18"/>
      <c r="AB3209" s="18"/>
      <c r="AC3209" s="18"/>
    </row>
    <row r="3210" spans="1:29" ht="32.25" hidden="1" customHeight="1">
      <c r="A3210" s="17"/>
      <c r="B3210" s="9" t="s">
        <v>13284</v>
      </c>
      <c r="C3210" s="9" t="s">
        <v>13284</v>
      </c>
      <c r="D3210" s="9" t="s">
        <v>13284</v>
      </c>
      <c r="E3210" s="9" t="s">
        <v>13284</v>
      </c>
      <c r="F3210" s="9" t="s">
        <v>13284</v>
      </c>
      <c r="G3210" s="9" t="s">
        <v>13284</v>
      </c>
      <c r="H3210" s="9" t="s">
        <v>13284</v>
      </c>
      <c r="I3210" s="9" t="s">
        <v>13284</v>
      </c>
      <c r="J3210" s="9" t="s">
        <v>13284</v>
      </c>
      <c r="K3210" s="9" t="s">
        <v>13284</v>
      </c>
      <c r="L3210" s="9" t="s">
        <v>13284</v>
      </c>
      <c r="M3210" s="9" t="s">
        <v>13284</v>
      </c>
      <c r="N3210" s="9" t="s">
        <v>13284</v>
      </c>
      <c r="O3210" s="9" t="s">
        <v>13284</v>
      </c>
      <c r="P3210" s="9" t="s">
        <v>13284</v>
      </c>
      <c r="Q3210" s="9" t="s">
        <v>13284</v>
      </c>
      <c r="R3210" s="9" t="s">
        <v>13284</v>
      </c>
      <c r="S3210" s="9" t="s">
        <v>13284</v>
      </c>
      <c r="T3210" s="9" t="str">
        <f ca="1">IFERROR(IF(AND(VLOOKUP(A3210, 'Актуальное состояние (из общего'!A:C,3,0) = "", A3210 &lt;&gt; ""), "ПРОВЕРИТЬ", VLOOKUP(A3210, 'Актуальное состояние (из общего'!A:C,3,0)), "")</f>
        <v/>
      </c>
      <c r="U3210" s="9" t="s">
        <v>13284</v>
      </c>
      <c r="V3210" s="9" t="s">
        <v>13284</v>
      </c>
      <c r="W3210" s="12"/>
      <c r="X3210" s="9" t="str">
        <f t="array" ref="X3210">IFERROR(INDEX('Адреса общежитий (скрытый)'!$B$2:$B$9, MATCH(W3210, 'Адреса общежитий (скрытый)'!$A$2:$A$9, 0)), "")</f>
        <v/>
      </c>
      <c r="Y3210" s="18"/>
      <c r="Z3210" s="18"/>
      <c r="AA3210" s="18"/>
      <c r="AB3210" s="18"/>
      <c r="AC3210" s="18"/>
    </row>
    <row r="3211" spans="1:29" ht="32.25" hidden="1" customHeight="1">
      <c r="A3211" s="17"/>
      <c r="B3211" s="9" t="s">
        <v>13284</v>
      </c>
      <c r="C3211" s="9" t="s">
        <v>13284</v>
      </c>
      <c r="D3211" s="9" t="s">
        <v>13284</v>
      </c>
      <c r="E3211" s="9" t="s">
        <v>13284</v>
      </c>
      <c r="F3211" s="9" t="s">
        <v>13284</v>
      </c>
      <c r="G3211" s="9" t="s">
        <v>13284</v>
      </c>
      <c r="H3211" s="9" t="s">
        <v>13284</v>
      </c>
      <c r="I3211" s="9" t="s">
        <v>13284</v>
      </c>
      <c r="J3211" s="9" t="s">
        <v>13284</v>
      </c>
      <c r="K3211" s="9" t="s">
        <v>13284</v>
      </c>
      <c r="L3211" s="9" t="s">
        <v>13284</v>
      </c>
      <c r="M3211" s="9" t="s">
        <v>13284</v>
      </c>
      <c r="N3211" s="9" t="s">
        <v>13284</v>
      </c>
      <c r="O3211" s="9" t="s">
        <v>13284</v>
      </c>
      <c r="P3211" s="9" t="s">
        <v>13284</v>
      </c>
      <c r="Q3211" s="9" t="s">
        <v>13284</v>
      </c>
      <c r="R3211" s="9" t="s">
        <v>13284</v>
      </c>
      <c r="S3211" s="9" t="s">
        <v>13284</v>
      </c>
      <c r="T3211" s="9" t="str">
        <f ca="1">IFERROR(IF(AND(VLOOKUP(A3211, 'Актуальное состояние (из общего'!A:C,3,0) = "", A3211 &lt;&gt; ""), "ПРОВЕРИТЬ", VLOOKUP(A3211, 'Актуальное состояние (из общего'!A:C,3,0)), "")</f>
        <v/>
      </c>
      <c r="U3211" s="9" t="s">
        <v>13284</v>
      </c>
      <c r="V3211" s="9" t="s">
        <v>13284</v>
      </c>
      <c r="W3211" s="12"/>
      <c r="X3211" s="9" t="str">
        <f t="array" ref="X3211">IFERROR(INDEX('Адреса общежитий (скрытый)'!$B$2:$B$9, MATCH(W3211, 'Адреса общежитий (скрытый)'!$A$2:$A$9, 0)), "")</f>
        <v/>
      </c>
      <c r="Y3211" s="18"/>
      <c r="Z3211" s="18"/>
      <c r="AA3211" s="18"/>
      <c r="AB3211" s="18"/>
      <c r="AC3211" s="18"/>
    </row>
    <row r="3212" spans="1:29" ht="32.25" hidden="1" customHeight="1">
      <c r="A3212" s="17"/>
      <c r="B3212" s="9" t="s">
        <v>13284</v>
      </c>
      <c r="C3212" s="9" t="s">
        <v>13284</v>
      </c>
      <c r="D3212" s="9" t="s">
        <v>13284</v>
      </c>
      <c r="E3212" s="9" t="s">
        <v>13284</v>
      </c>
      <c r="F3212" s="9" t="s">
        <v>13284</v>
      </c>
      <c r="G3212" s="9" t="s">
        <v>13284</v>
      </c>
      <c r="H3212" s="9" t="s">
        <v>13284</v>
      </c>
      <c r="I3212" s="9" t="s">
        <v>13284</v>
      </c>
      <c r="J3212" s="9" t="s">
        <v>13284</v>
      </c>
      <c r="K3212" s="9" t="s">
        <v>13284</v>
      </c>
      <c r="L3212" s="9" t="s">
        <v>13284</v>
      </c>
      <c r="M3212" s="9" t="s">
        <v>13284</v>
      </c>
      <c r="N3212" s="9" t="s">
        <v>13284</v>
      </c>
      <c r="O3212" s="9" t="s">
        <v>13284</v>
      </c>
      <c r="P3212" s="9" t="s">
        <v>13284</v>
      </c>
      <c r="Q3212" s="9" t="s">
        <v>13284</v>
      </c>
      <c r="R3212" s="9" t="s">
        <v>13284</v>
      </c>
      <c r="S3212" s="9" t="s">
        <v>13284</v>
      </c>
      <c r="T3212" s="9" t="str">
        <f ca="1">IFERROR(IF(AND(VLOOKUP(A3212, 'Актуальное состояние (из общего'!A:C,3,0) = "", A3212 &lt;&gt; ""), "ПРОВЕРИТЬ", VLOOKUP(A3212, 'Актуальное состояние (из общего'!A:C,3,0)), "")</f>
        <v/>
      </c>
      <c r="U3212" s="9" t="s">
        <v>13284</v>
      </c>
      <c r="V3212" s="9" t="s">
        <v>13284</v>
      </c>
      <c r="W3212" s="12"/>
      <c r="X3212" s="9" t="str">
        <f t="array" ref="X3212">IFERROR(INDEX('Адреса общежитий (скрытый)'!$B$2:$B$9, MATCH(W3212, 'Адреса общежитий (скрытый)'!$A$2:$A$9, 0)), "")</f>
        <v/>
      </c>
      <c r="Y3212" s="18"/>
      <c r="Z3212" s="18"/>
      <c r="AA3212" s="18"/>
      <c r="AB3212" s="18"/>
      <c r="AC3212" s="18"/>
    </row>
    <row r="3213" spans="1:29" ht="32.25" hidden="1" customHeight="1">
      <c r="A3213" s="17"/>
      <c r="B3213" s="9" t="s">
        <v>13284</v>
      </c>
      <c r="C3213" s="9" t="s">
        <v>13284</v>
      </c>
      <c r="D3213" s="9" t="s">
        <v>13284</v>
      </c>
      <c r="E3213" s="9" t="s">
        <v>13284</v>
      </c>
      <c r="F3213" s="9" t="s">
        <v>13284</v>
      </c>
      <c r="G3213" s="9" t="s">
        <v>13284</v>
      </c>
      <c r="H3213" s="9" t="s">
        <v>13284</v>
      </c>
      <c r="I3213" s="9" t="s">
        <v>13284</v>
      </c>
      <c r="J3213" s="9" t="s">
        <v>13284</v>
      </c>
      <c r="K3213" s="9" t="s">
        <v>13284</v>
      </c>
      <c r="L3213" s="9" t="s">
        <v>13284</v>
      </c>
      <c r="M3213" s="9" t="s">
        <v>13284</v>
      </c>
      <c r="N3213" s="9" t="s">
        <v>13284</v>
      </c>
      <c r="O3213" s="9" t="s">
        <v>13284</v>
      </c>
      <c r="P3213" s="9" t="s">
        <v>13284</v>
      </c>
      <c r="Q3213" s="9" t="s">
        <v>13284</v>
      </c>
      <c r="R3213" s="9" t="s">
        <v>13284</v>
      </c>
      <c r="S3213" s="9" t="s">
        <v>13284</v>
      </c>
      <c r="T3213" s="9" t="str">
        <f ca="1">IFERROR(IF(AND(VLOOKUP(A3213, 'Актуальное состояние (из общего'!A:C,3,0) = "", A3213 &lt;&gt; ""), "ПРОВЕРИТЬ", VLOOKUP(A3213, 'Актуальное состояние (из общего'!A:C,3,0)), "")</f>
        <v/>
      </c>
      <c r="U3213" s="9" t="s">
        <v>13284</v>
      </c>
      <c r="V3213" s="9" t="s">
        <v>13284</v>
      </c>
      <c r="W3213" s="12"/>
      <c r="X3213" s="9" t="str">
        <f t="array" ref="X3213">IFERROR(INDEX('Адреса общежитий (скрытый)'!$B$2:$B$9, MATCH(W3213, 'Адреса общежитий (скрытый)'!$A$2:$A$9, 0)), "")</f>
        <v/>
      </c>
      <c r="Y3213" s="18"/>
      <c r="Z3213" s="18"/>
      <c r="AA3213" s="18"/>
      <c r="AB3213" s="18"/>
      <c r="AC3213" s="18"/>
    </row>
    <row r="3214" spans="1:29" ht="32.25" hidden="1" customHeight="1">
      <c r="A3214" s="17"/>
      <c r="B3214" s="9" t="s">
        <v>13284</v>
      </c>
      <c r="C3214" s="9" t="s">
        <v>13284</v>
      </c>
      <c r="D3214" s="9" t="s">
        <v>13284</v>
      </c>
      <c r="E3214" s="9" t="s">
        <v>13284</v>
      </c>
      <c r="F3214" s="9" t="s">
        <v>13284</v>
      </c>
      <c r="G3214" s="9" t="s">
        <v>13284</v>
      </c>
      <c r="H3214" s="9" t="s">
        <v>13284</v>
      </c>
      <c r="I3214" s="9" t="s">
        <v>13284</v>
      </c>
      <c r="J3214" s="9" t="s">
        <v>13284</v>
      </c>
      <c r="K3214" s="9" t="s">
        <v>13284</v>
      </c>
      <c r="L3214" s="9" t="s">
        <v>13284</v>
      </c>
      <c r="M3214" s="9" t="s">
        <v>13284</v>
      </c>
      <c r="N3214" s="9" t="s">
        <v>13284</v>
      </c>
      <c r="O3214" s="9" t="s">
        <v>13284</v>
      </c>
      <c r="P3214" s="9" t="s">
        <v>13284</v>
      </c>
      <c r="Q3214" s="9" t="s">
        <v>13284</v>
      </c>
      <c r="R3214" s="9" t="s">
        <v>13284</v>
      </c>
      <c r="S3214" s="9" t="s">
        <v>13284</v>
      </c>
      <c r="T3214" s="9" t="str">
        <f ca="1">IFERROR(IF(AND(VLOOKUP(A3214, 'Актуальное состояние (из общего'!A:C,3,0) = "", A3214 &lt;&gt; ""), "ПРОВЕРИТЬ", VLOOKUP(A3214, 'Актуальное состояние (из общего'!A:C,3,0)), "")</f>
        <v/>
      </c>
      <c r="U3214" s="9" t="s">
        <v>13284</v>
      </c>
      <c r="V3214" s="9" t="s">
        <v>13284</v>
      </c>
      <c r="W3214" s="12"/>
      <c r="X3214" s="9" t="str">
        <f t="array" ref="X3214">IFERROR(INDEX('Адреса общежитий (скрытый)'!$B$2:$B$9, MATCH(W3214, 'Адреса общежитий (скрытый)'!$A$2:$A$9, 0)), "")</f>
        <v/>
      </c>
      <c r="Y3214" s="18"/>
      <c r="Z3214" s="18"/>
      <c r="AA3214" s="18"/>
      <c r="AB3214" s="18"/>
      <c r="AC3214" s="18"/>
    </row>
    <row r="3215" spans="1:29" ht="32.25" hidden="1" customHeight="1">
      <c r="A3215" s="17"/>
      <c r="B3215" s="9" t="s">
        <v>13284</v>
      </c>
      <c r="C3215" s="9" t="s">
        <v>13284</v>
      </c>
      <c r="D3215" s="9" t="s">
        <v>13284</v>
      </c>
      <c r="E3215" s="9" t="s">
        <v>13284</v>
      </c>
      <c r="F3215" s="9" t="s">
        <v>13284</v>
      </c>
      <c r="G3215" s="9" t="s">
        <v>13284</v>
      </c>
      <c r="H3215" s="9" t="s">
        <v>13284</v>
      </c>
      <c r="I3215" s="9" t="s">
        <v>13284</v>
      </c>
      <c r="J3215" s="9" t="s">
        <v>13284</v>
      </c>
      <c r="K3215" s="9" t="s">
        <v>13284</v>
      </c>
      <c r="L3215" s="9" t="s">
        <v>13284</v>
      </c>
      <c r="M3215" s="9" t="s">
        <v>13284</v>
      </c>
      <c r="N3215" s="9" t="s">
        <v>13284</v>
      </c>
      <c r="O3215" s="9" t="s">
        <v>13284</v>
      </c>
      <c r="P3215" s="9" t="s">
        <v>13284</v>
      </c>
      <c r="Q3215" s="9" t="s">
        <v>13284</v>
      </c>
      <c r="R3215" s="9" t="s">
        <v>13284</v>
      </c>
      <c r="S3215" s="9" t="s">
        <v>13284</v>
      </c>
      <c r="T3215" s="9" t="str">
        <f ca="1">IFERROR(IF(AND(VLOOKUP(A3215, 'Актуальное состояние (из общего'!A:C,3,0) = "", A3215 &lt;&gt; ""), "ПРОВЕРИТЬ", VLOOKUP(A3215, 'Актуальное состояние (из общего'!A:C,3,0)), "")</f>
        <v/>
      </c>
      <c r="U3215" s="9" t="s">
        <v>13284</v>
      </c>
      <c r="V3215" s="9" t="s">
        <v>13284</v>
      </c>
      <c r="W3215" s="12"/>
      <c r="X3215" s="9" t="str">
        <f t="array" ref="X3215">IFERROR(INDEX('Адреса общежитий (скрытый)'!$B$2:$B$9, MATCH(W3215, 'Адреса общежитий (скрытый)'!$A$2:$A$9, 0)), "")</f>
        <v/>
      </c>
      <c r="Y3215" s="18"/>
      <c r="Z3215" s="18"/>
      <c r="AA3215" s="18"/>
      <c r="AB3215" s="18"/>
      <c r="AC3215" s="18"/>
    </row>
    <row r="3216" spans="1:29" ht="32.25" hidden="1" customHeight="1">
      <c r="A3216" s="17"/>
      <c r="B3216" s="9" t="s">
        <v>13284</v>
      </c>
      <c r="C3216" s="9" t="s">
        <v>13284</v>
      </c>
      <c r="D3216" s="9" t="s">
        <v>13284</v>
      </c>
      <c r="E3216" s="9" t="s">
        <v>13284</v>
      </c>
      <c r="F3216" s="9" t="s">
        <v>13284</v>
      </c>
      <c r="G3216" s="9" t="s">
        <v>13284</v>
      </c>
      <c r="H3216" s="9" t="s">
        <v>13284</v>
      </c>
      <c r="I3216" s="9" t="s">
        <v>13284</v>
      </c>
      <c r="J3216" s="9" t="s">
        <v>13284</v>
      </c>
      <c r="K3216" s="9" t="s">
        <v>13284</v>
      </c>
      <c r="L3216" s="9" t="s">
        <v>13284</v>
      </c>
      <c r="M3216" s="9" t="s">
        <v>13284</v>
      </c>
      <c r="N3216" s="9" t="s">
        <v>13284</v>
      </c>
      <c r="O3216" s="9" t="s">
        <v>13284</v>
      </c>
      <c r="P3216" s="9" t="s">
        <v>13284</v>
      </c>
      <c r="Q3216" s="9" t="s">
        <v>13284</v>
      </c>
      <c r="R3216" s="9" t="s">
        <v>13284</v>
      </c>
      <c r="S3216" s="9" t="s">
        <v>13284</v>
      </c>
      <c r="T3216" s="9" t="str">
        <f ca="1">IFERROR(IF(AND(VLOOKUP(A3216, 'Актуальное состояние (из общего'!A:C,3,0) = "", A3216 &lt;&gt; ""), "ПРОВЕРИТЬ", VLOOKUP(A3216, 'Актуальное состояние (из общего'!A:C,3,0)), "")</f>
        <v/>
      </c>
      <c r="U3216" s="9" t="s">
        <v>13284</v>
      </c>
      <c r="V3216" s="9" t="s">
        <v>13284</v>
      </c>
      <c r="W3216" s="12"/>
      <c r="X3216" s="9" t="str">
        <f t="array" ref="X3216">IFERROR(INDEX('Адреса общежитий (скрытый)'!$B$2:$B$9, MATCH(W3216, 'Адреса общежитий (скрытый)'!$A$2:$A$9, 0)), "")</f>
        <v/>
      </c>
      <c r="Y3216" s="18"/>
      <c r="Z3216" s="18"/>
      <c r="AA3216" s="18"/>
      <c r="AB3216" s="18"/>
      <c r="AC3216" s="18"/>
    </row>
    <row r="3217" spans="1:29" ht="32.25" hidden="1" customHeight="1">
      <c r="A3217" s="17"/>
      <c r="B3217" s="9" t="s">
        <v>13284</v>
      </c>
      <c r="C3217" s="9" t="s">
        <v>13284</v>
      </c>
      <c r="D3217" s="9" t="s">
        <v>13284</v>
      </c>
      <c r="E3217" s="9" t="s">
        <v>13284</v>
      </c>
      <c r="F3217" s="9" t="s">
        <v>13284</v>
      </c>
      <c r="G3217" s="9" t="s">
        <v>13284</v>
      </c>
      <c r="H3217" s="9" t="s">
        <v>13284</v>
      </c>
      <c r="I3217" s="9" t="s">
        <v>13284</v>
      </c>
      <c r="J3217" s="9" t="s">
        <v>13284</v>
      </c>
      <c r="K3217" s="9" t="s">
        <v>13284</v>
      </c>
      <c r="L3217" s="9" t="s">
        <v>13284</v>
      </c>
      <c r="M3217" s="9" t="s">
        <v>13284</v>
      </c>
      <c r="N3217" s="9" t="s">
        <v>13284</v>
      </c>
      <c r="O3217" s="9" t="s">
        <v>13284</v>
      </c>
      <c r="P3217" s="9" t="s">
        <v>13284</v>
      </c>
      <c r="Q3217" s="9" t="s">
        <v>13284</v>
      </c>
      <c r="R3217" s="9" t="s">
        <v>13284</v>
      </c>
      <c r="S3217" s="9" t="s">
        <v>13284</v>
      </c>
      <c r="T3217" s="9" t="str">
        <f ca="1">IFERROR(IF(AND(VLOOKUP(A3217, 'Актуальное состояние (из общего'!A:C,3,0) = "", A3217 &lt;&gt; ""), "ПРОВЕРИТЬ", VLOOKUP(A3217, 'Актуальное состояние (из общего'!A:C,3,0)), "")</f>
        <v/>
      </c>
      <c r="U3217" s="9" t="s">
        <v>13284</v>
      </c>
      <c r="V3217" s="9" t="s">
        <v>13284</v>
      </c>
      <c r="W3217" s="12"/>
      <c r="X3217" s="9" t="str">
        <f t="array" ref="X3217">IFERROR(INDEX('Адреса общежитий (скрытый)'!$B$2:$B$9, MATCH(W3217, 'Адреса общежитий (скрытый)'!$A$2:$A$9, 0)), "")</f>
        <v/>
      </c>
      <c r="Y3217" s="18"/>
      <c r="Z3217" s="18"/>
      <c r="AA3217" s="18"/>
      <c r="AB3217" s="18"/>
      <c r="AC3217" s="18"/>
    </row>
    <row r="3218" spans="1:29" ht="32.25" hidden="1" customHeight="1">
      <c r="A3218" s="17"/>
      <c r="B3218" s="9" t="s">
        <v>13284</v>
      </c>
      <c r="C3218" s="9" t="s">
        <v>13284</v>
      </c>
      <c r="D3218" s="9" t="s">
        <v>13284</v>
      </c>
      <c r="E3218" s="9" t="s">
        <v>13284</v>
      </c>
      <c r="F3218" s="9" t="s">
        <v>13284</v>
      </c>
      <c r="G3218" s="9" t="s">
        <v>13284</v>
      </c>
      <c r="H3218" s="9" t="s">
        <v>13284</v>
      </c>
      <c r="I3218" s="9" t="s">
        <v>13284</v>
      </c>
      <c r="J3218" s="9" t="s">
        <v>13284</v>
      </c>
      <c r="K3218" s="9" t="s">
        <v>13284</v>
      </c>
      <c r="L3218" s="9" t="s">
        <v>13284</v>
      </c>
      <c r="M3218" s="9" t="s">
        <v>13284</v>
      </c>
      <c r="N3218" s="9" t="s">
        <v>13284</v>
      </c>
      <c r="O3218" s="9" t="s">
        <v>13284</v>
      </c>
      <c r="P3218" s="9" t="s">
        <v>13284</v>
      </c>
      <c r="Q3218" s="9" t="s">
        <v>13284</v>
      </c>
      <c r="R3218" s="9" t="s">
        <v>13284</v>
      </c>
      <c r="S3218" s="9" t="s">
        <v>13284</v>
      </c>
      <c r="T3218" s="9" t="str">
        <f ca="1">IFERROR(IF(AND(VLOOKUP(A3218, 'Актуальное состояние (из общего'!A:C,3,0) = "", A3218 &lt;&gt; ""), "ПРОВЕРИТЬ", VLOOKUP(A3218, 'Актуальное состояние (из общего'!A:C,3,0)), "")</f>
        <v/>
      </c>
      <c r="U3218" s="9" t="s">
        <v>13284</v>
      </c>
      <c r="V3218" s="9" t="s">
        <v>13284</v>
      </c>
      <c r="W3218" s="12"/>
      <c r="X3218" s="9" t="str">
        <f t="array" ref="X3218">IFERROR(INDEX('Адреса общежитий (скрытый)'!$B$2:$B$9, MATCH(W3218, 'Адреса общежитий (скрытый)'!$A$2:$A$9, 0)), "")</f>
        <v/>
      </c>
      <c r="Y3218" s="18"/>
      <c r="Z3218" s="18"/>
      <c r="AA3218" s="18"/>
      <c r="AB3218" s="18"/>
      <c r="AC3218" s="18"/>
    </row>
    <row r="3219" spans="1:29" ht="32.25" hidden="1" customHeight="1">
      <c r="A3219" s="17"/>
      <c r="B3219" s="9" t="s">
        <v>13284</v>
      </c>
      <c r="C3219" s="9" t="s">
        <v>13284</v>
      </c>
      <c r="D3219" s="9" t="s">
        <v>13284</v>
      </c>
      <c r="E3219" s="9" t="s">
        <v>13284</v>
      </c>
      <c r="F3219" s="9" t="s">
        <v>13284</v>
      </c>
      <c r="G3219" s="9" t="s">
        <v>13284</v>
      </c>
      <c r="H3219" s="9" t="s">
        <v>13284</v>
      </c>
      <c r="I3219" s="9" t="s">
        <v>13284</v>
      </c>
      <c r="J3219" s="9" t="s">
        <v>13284</v>
      </c>
      <c r="K3219" s="9" t="s">
        <v>13284</v>
      </c>
      <c r="L3219" s="9" t="s">
        <v>13284</v>
      </c>
      <c r="M3219" s="9" t="s">
        <v>13284</v>
      </c>
      <c r="N3219" s="9" t="s">
        <v>13284</v>
      </c>
      <c r="O3219" s="9" t="s">
        <v>13284</v>
      </c>
      <c r="P3219" s="9" t="s">
        <v>13284</v>
      </c>
      <c r="Q3219" s="9" t="s">
        <v>13284</v>
      </c>
      <c r="R3219" s="9" t="s">
        <v>13284</v>
      </c>
      <c r="S3219" s="9" t="s">
        <v>13284</v>
      </c>
      <c r="T3219" s="9" t="str">
        <f ca="1">IFERROR(IF(AND(VLOOKUP(A3219, 'Актуальное состояние (из общего'!A:C,3,0) = "", A3219 &lt;&gt; ""), "ПРОВЕРИТЬ", VLOOKUP(A3219, 'Актуальное состояние (из общего'!A:C,3,0)), "")</f>
        <v/>
      </c>
      <c r="U3219" s="9" t="s">
        <v>13284</v>
      </c>
      <c r="V3219" s="9" t="s">
        <v>13284</v>
      </c>
      <c r="W3219" s="12"/>
      <c r="X3219" s="9" t="str">
        <f t="array" ref="X3219">IFERROR(INDEX('Адреса общежитий (скрытый)'!$B$2:$B$9, MATCH(W3219, 'Адреса общежитий (скрытый)'!$A$2:$A$9, 0)), "")</f>
        <v/>
      </c>
      <c r="Y3219" s="18"/>
      <c r="Z3219" s="18"/>
      <c r="AA3219" s="18"/>
      <c r="AB3219" s="18"/>
      <c r="AC3219" s="18"/>
    </row>
    <row r="3220" spans="1:29" ht="32.25" hidden="1" customHeight="1">
      <c r="A3220" s="17"/>
      <c r="B3220" s="9" t="s">
        <v>13284</v>
      </c>
      <c r="C3220" s="9" t="s">
        <v>13284</v>
      </c>
      <c r="D3220" s="9" t="s">
        <v>13284</v>
      </c>
      <c r="E3220" s="9" t="s">
        <v>13284</v>
      </c>
      <c r="F3220" s="9" t="s">
        <v>13284</v>
      </c>
      <c r="G3220" s="9" t="s">
        <v>13284</v>
      </c>
      <c r="H3220" s="9" t="s">
        <v>13284</v>
      </c>
      <c r="I3220" s="9" t="s">
        <v>13284</v>
      </c>
      <c r="J3220" s="9" t="s">
        <v>13284</v>
      </c>
      <c r="K3220" s="9" t="s">
        <v>13284</v>
      </c>
      <c r="L3220" s="9" t="s">
        <v>13284</v>
      </c>
      <c r="M3220" s="9" t="s">
        <v>13284</v>
      </c>
      <c r="N3220" s="9" t="s">
        <v>13284</v>
      </c>
      <c r="O3220" s="9" t="s">
        <v>13284</v>
      </c>
      <c r="P3220" s="9" t="s">
        <v>13284</v>
      </c>
      <c r="Q3220" s="9" t="s">
        <v>13284</v>
      </c>
      <c r="R3220" s="9" t="s">
        <v>13284</v>
      </c>
      <c r="S3220" s="9" t="s">
        <v>13284</v>
      </c>
      <c r="T3220" s="9" t="str">
        <f ca="1">IFERROR(IF(AND(VLOOKUP(A3220, 'Актуальное состояние (из общего'!A:C,3,0) = "", A3220 &lt;&gt; ""), "ПРОВЕРИТЬ", VLOOKUP(A3220, 'Актуальное состояние (из общего'!A:C,3,0)), "")</f>
        <v/>
      </c>
      <c r="U3220" s="9" t="s">
        <v>13284</v>
      </c>
      <c r="V3220" s="9" t="s">
        <v>13284</v>
      </c>
      <c r="W3220" s="12"/>
      <c r="X3220" s="9" t="str">
        <f t="array" ref="X3220">IFERROR(INDEX('Адреса общежитий (скрытый)'!$B$2:$B$9, MATCH(W3220, 'Адреса общежитий (скрытый)'!$A$2:$A$9, 0)), "")</f>
        <v/>
      </c>
      <c r="Y3220" s="18"/>
      <c r="Z3220" s="18"/>
      <c r="AA3220" s="18"/>
      <c r="AB3220" s="18"/>
      <c r="AC3220" s="18"/>
    </row>
    <row r="3221" spans="1:29" ht="32.25" hidden="1" customHeight="1">
      <c r="A3221" s="17"/>
      <c r="B3221" s="9" t="s">
        <v>13284</v>
      </c>
      <c r="C3221" s="9" t="s">
        <v>13284</v>
      </c>
      <c r="D3221" s="9" t="s">
        <v>13284</v>
      </c>
      <c r="E3221" s="9" t="s">
        <v>13284</v>
      </c>
      <c r="F3221" s="9" t="s">
        <v>13284</v>
      </c>
      <c r="G3221" s="9" t="s">
        <v>13284</v>
      </c>
      <c r="H3221" s="9" t="s">
        <v>13284</v>
      </c>
      <c r="I3221" s="9" t="s">
        <v>13284</v>
      </c>
      <c r="J3221" s="9" t="s">
        <v>13284</v>
      </c>
      <c r="K3221" s="9" t="s">
        <v>13284</v>
      </c>
      <c r="L3221" s="9" t="s">
        <v>13284</v>
      </c>
      <c r="M3221" s="9" t="s">
        <v>13284</v>
      </c>
      <c r="N3221" s="9" t="s">
        <v>13284</v>
      </c>
      <c r="O3221" s="9" t="s">
        <v>13284</v>
      </c>
      <c r="P3221" s="9" t="s">
        <v>13284</v>
      </c>
      <c r="Q3221" s="9" t="s">
        <v>13284</v>
      </c>
      <c r="R3221" s="9" t="s">
        <v>13284</v>
      </c>
      <c r="S3221" s="9" t="s">
        <v>13284</v>
      </c>
      <c r="T3221" s="9" t="str">
        <f ca="1">IFERROR(IF(AND(VLOOKUP(A3221, 'Актуальное состояние (из общего'!A:C,3,0) = "", A3221 &lt;&gt; ""), "ПРОВЕРИТЬ", VLOOKUP(A3221, 'Актуальное состояние (из общего'!A:C,3,0)), "")</f>
        <v/>
      </c>
      <c r="U3221" s="9" t="s">
        <v>13284</v>
      </c>
      <c r="V3221" s="9" t="s">
        <v>13284</v>
      </c>
      <c r="W3221" s="12"/>
      <c r="X3221" s="9" t="str">
        <f t="array" ref="X3221">IFERROR(INDEX('Адреса общежитий (скрытый)'!$B$2:$B$9, MATCH(W3221, 'Адреса общежитий (скрытый)'!$A$2:$A$9, 0)), "")</f>
        <v/>
      </c>
      <c r="Y3221" s="18"/>
      <c r="Z3221" s="18"/>
      <c r="AA3221" s="18"/>
      <c r="AB3221" s="18"/>
      <c r="AC3221" s="18"/>
    </row>
    <row r="3222" spans="1:29" ht="32.25" hidden="1" customHeight="1">
      <c r="A3222" s="17"/>
      <c r="B3222" s="9" t="s">
        <v>13284</v>
      </c>
      <c r="C3222" s="9" t="s">
        <v>13284</v>
      </c>
      <c r="D3222" s="9" t="s">
        <v>13284</v>
      </c>
      <c r="E3222" s="9" t="s">
        <v>13284</v>
      </c>
      <c r="F3222" s="9" t="s">
        <v>13284</v>
      </c>
      <c r="G3222" s="9" t="s">
        <v>13284</v>
      </c>
      <c r="H3222" s="9" t="s">
        <v>13284</v>
      </c>
      <c r="I3222" s="9" t="s">
        <v>13284</v>
      </c>
      <c r="J3222" s="9" t="s">
        <v>13284</v>
      </c>
      <c r="K3222" s="9" t="s">
        <v>13284</v>
      </c>
      <c r="L3222" s="9" t="s">
        <v>13284</v>
      </c>
      <c r="M3222" s="9" t="s">
        <v>13284</v>
      </c>
      <c r="N3222" s="9" t="s">
        <v>13284</v>
      </c>
      <c r="O3222" s="9" t="s">
        <v>13284</v>
      </c>
      <c r="P3222" s="9" t="s">
        <v>13284</v>
      </c>
      <c r="Q3222" s="9" t="s">
        <v>13284</v>
      </c>
      <c r="R3222" s="9" t="s">
        <v>13284</v>
      </c>
      <c r="S3222" s="9" t="s">
        <v>13284</v>
      </c>
      <c r="T3222" s="9" t="str">
        <f ca="1">IFERROR(IF(AND(VLOOKUP(A3222, 'Актуальное состояние (из общего'!A:C,3,0) = "", A3222 &lt;&gt; ""), "ПРОВЕРИТЬ", VLOOKUP(A3222, 'Актуальное состояние (из общего'!A:C,3,0)), "")</f>
        <v/>
      </c>
      <c r="U3222" s="9" t="s">
        <v>13284</v>
      </c>
      <c r="V3222" s="9" t="s">
        <v>13284</v>
      </c>
      <c r="W3222" s="12"/>
      <c r="X3222" s="9" t="str">
        <f t="array" ref="X3222">IFERROR(INDEX('Адреса общежитий (скрытый)'!$B$2:$B$9, MATCH(W3222, 'Адреса общежитий (скрытый)'!$A$2:$A$9, 0)), "")</f>
        <v/>
      </c>
      <c r="Y3222" s="18"/>
      <c r="Z3222" s="18"/>
      <c r="AA3222" s="18"/>
      <c r="AB3222" s="18"/>
      <c r="AC3222" s="18"/>
    </row>
    <row r="3223" spans="1:29" ht="32.25" hidden="1" customHeight="1">
      <c r="A3223" s="17"/>
      <c r="B3223" s="9" t="s">
        <v>13284</v>
      </c>
      <c r="C3223" s="9" t="s">
        <v>13284</v>
      </c>
      <c r="D3223" s="9" t="s">
        <v>13284</v>
      </c>
      <c r="E3223" s="9" t="s">
        <v>13284</v>
      </c>
      <c r="F3223" s="9" t="s">
        <v>13284</v>
      </c>
      <c r="G3223" s="9" t="s">
        <v>13284</v>
      </c>
      <c r="H3223" s="9" t="s">
        <v>13284</v>
      </c>
      <c r="I3223" s="9" t="s">
        <v>13284</v>
      </c>
      <c r="J3223" s="9" t="s">
        <v>13284</v>
      </c>
      <c r="K3223" s="9" t="s">
        <v>13284</v>
      </c>
      <c r="L3223" s="9" t="s">
        <v>13284</v>
      </c>
      <c r="M3223" s="9" t="s">
        <v>13284</v>
      </c>
      <c r="N3223" s="9" t="s">
        <v>13284</v>
      </c>
      <c r="O3223" s="9" t="s">
        <v>13284</v>
      </c>
      <c r="P3223" s="9" t="s">
        <v>13284</v>
      </c>
      <c r="Q3223" s="9" t="s">
        <v>13284</v>
      </c>
      <c r="R3223" s="9" t="s">
        <v>13284</v>
      </c>
      <c r="S3223" s="9" t="s">
        <v>13284</v>
      </c>
      <c r="T3223" s="9" t="str">
        <f ca="1">IFERROR(IF(AND(VLOOKUP(A3223, 'Актуальное состояние (из общего'!A:C,3,0) = "", A3223 &lt;&gt; ""), "ПРОВЕРИТЬ", VLOOKUP(A3223, 'Актуальное состояние (из общего'!A:C,3,0)), "")</f>
        <v/>
      </c>
      <c r="U3223" s="9" t="s">
        <v>13284</v>
      </c>
      <c r="V3223" s="9" t="s">
        <v>13284</v>
      </c>
      <c r="W3223" s="12"/>
      <c r="X3223" s="9" t="str">
        <f t="array" ref="X3223">IFERROR(INDEX('Адреса общежитий (скрытый)'!$B$2:$B$9, MATCH(W3223, 'Адреса общежитий (скрытый)'!$A$2:$A$9, 0)), "")</f>
        <v/>
      </c>
      <c r="Y3223" s="18"/>
      <c r="Z3223" s="18"/>
      <c r="AA3223" s="18"/>
      <c r="AB3223" s="18"/>
      <c r="AC3223" s="18"/>
    </row>
    <row r="3224" spans="1:29" ht="32.25" hidden="1" customHeight="1">
      <c r="A3224" s="17"/>
      <c r="B3224" s="9" t="s">
        <v>13284</v>
      </c>
      <c r="C3224" s="9" t="s">
        <v>13284</v>
      </c>
      <c r="D3224" s="9" t="s">
        <v>13284</v>
      </c>
      <c r="E3224" s="9" t="s">
        <v>13284</v>
      </c>
      <c r="F3224" s="9" t="s">
        <v>13284</v>
      </c>
      <c r="G3224" s="9" t="s">
        <v>13284</v>
      </c>
      <c r="H3224" s="9" t="s">
        <v>13284</v>
      </c>
      <c r="I3224" s="9" t="s">
        <v>13284</v>
      </c>
      <c r="J3224" s="9" t="s">
        <v>13284</v>
      </c>
      <c r="K3224" s="9" t="s">
        <v>13284</v>
      </c>
      <c r="L3224" s="9" t="s">
        <v>13284</v>
      </c>
      <c r="M3224" s="9" t="s">
        <v>13284</v>
      </c>
      <c r="N3224" s="9" t="s">
        <v>13284</v>
      </c>
      <c r="O3224" s="9" t="s">
        <v>13284</v>
      </c>
      <c r="P3224" s="9" t="s">
        <v>13284</v>
      </c>
      <c r="Q3224" s="9" t="s">
        <v>13284</v>
      </c>
      <c r="R3224" s="9" t="s">
        <v>13284</v>
      </c>
      <c r="S3224" s="9" t="s">
        <v>13284</v>
      </c>
      <c r="T3224" s="9" t="str">
        <f ca="1">IFERROR(IF(AND(VLOOKUP(A3224, 'Актуальное состояние (из общего'!A:C,3,0) = "", A3224 &lt;&gt; ""), "ПРОВЕРИТЬ", VLOOKUP(A3224, 'Актуальное состояние (из общего'!A:C,3,0)), "")</f>
        <v/>
      </c>
      <c r="U3224" s="9" t="s">
        <v>13284</v>
      </c>
      <c r="V3224" s="9" t="s">
        <v>13284</v>
      </c>
      <c r="W3224" s="12"/>
      <c r="X3224" s="9" t="str">
        <f t="array" ref="X3224">IFERROR(INDEX('Адреса общежитий (скрытый)'!$B$2:$B$9, MATCH(W3224, 'Адреса общежитий (скрытый)'!$A$2:$A$9, 0)), "")</f>
        <v/>
      </c>
      <c r="Y3224" s="18"/>
      <c r="Z3224" s="18"/>
      <c r="AA3224" s="18"/>
      <c r="AB3224" s="18"/>
      <c r="AC3224" s="18"/>
    </row>
    <row r="3225" spans="1:29" ht="32.25" hidden="1" customHeight="1">
      <c r="A3225" s="17"/>
      <c r="B3225" s="9" t="s">
        <v>13284</v>
      </c>
      <c r="C3225" s="9" t="s">
        <v>13284</v>
      </c>
      <c r="D3225" s="9" t="s">
        <v>13284</v>
      </c>
      <c r="E3225" s="9" t="s">
        <v>13284</v>
      </c>
      <c r="F3225" s="9" t="s">
        <v>13284</v>
      </c>
      <c r="G3225" s="9" t="s">
        <v>13284</v>
      </c>
      <c r="H3225" s="9" t="s">
        <v>13284</v>
      </c>
      <c r="I3225" s="9" t="s">
        <v>13284</v>
      </c>
      <c r="J3225" s="9" t="s">
        <v>13284</v>
      </c>
      <c r="K3225" s="9" t="s">
        <v>13284</v>
      </c>
      <c r="L3225" s="9" t="s">
        <v>13284</v>
      </c>
      <c r="M3225" s="9" t="s">
        <v>13284</v>
      </c>
      <c r="N3225" s="9" t="s">
        <v>13284</v>
      </c>
      <c r="O3225" s="9" t="s">
        <v>13284</v>
      </c>
      <c r="P3225" s="9" t="s">
        <v>13284</v>
      </c>
      <c r="Q3225" s="9" t="s">
        <v>13284</v>
      </c>
      <c r="R3225" s="9" t="s">
        <v>13284</v>
      </c>
      <c r="S3225" s="9" t="s">
        <v>13284</v>
      </c>
      <c r="T3225" s="9" t="str">
        <f ca="1">IFERROR(IF(AND(VLOOKUP(A3225, 'Актуальное состояние (из общего'!A:C,3,0) = "", A3225 &lt;&gt; ""), "ПРОВЕРИТЬ", VLOOKUP(A3225, 'Актуальное состояние (из общего'!A:C,3,0)), "")</f>
        <v/>
      </c>
      <c r="U3225" s="9" t="s">
        <v>13284</v>
      </c>
      <c r="V3225" s="9" t="s">
        <v>13284</v>
      </c>
      <c r="W3225" s="12"/>
      <c r="X3225" s="9" t="str">
        <f t="array" ref="X3225">IFERROR(INDEX('Адреса общежитий (скрытый)'!$B$2:$B$9, MATCH(W3225, 'Адреса общежитий (скрытый)'!$A$2:$A$9, 0)), "")</f>
        <v/>
      </c>
      <c r="Y3225" s="18"/>
      <c r="Z3225" s="18"/>
      <c r="AA3225" s="18"/>
      <c r="AB3225" s="18"/>
      <c r="AC3225" s="18"/>
    </row>
    <row r="3226" spans="1:29" ht="32.25" hidden="1" customHeight="1">
      <c r="A3226" s="17"/>
      <c r="B3226" s="9" t="s">
        <v>13284</v>
      </c>
      <c r="C3226" s="9" t="s">
        <v>13284</v>
      </c>
      <c r="D3226" s="9" t="s">
        <v>13284</v>
      </c>
      <c r="E3226" s="9" t="s">
        <v>13284</v>
      </c>
      <c r="F3226" s="9" t="s">
        <v>13284</v>
      </c>
      <c r="G3226" s="9" t="s">
        <v>13284</v>
      </c>
      <c r="H3226" s="9" t="s">
        <v>13284</v>
      </c>
      <c r="I3226" s="9" t="s">
        <v>13284</v>
      </c>
      <c r="J3226" s="9" t="s">
        <v>13284</v>
      </c>
      <c r="K3226" s="9" t="s">
        <v>13284</v>
      </c>
      <c r="L3226" s="9" t="s">
        <v>13284</v>
      </c>
      <c r="M3226" s="9" t="s">
        <v>13284</v>
      </c>
      <c r="N3226" s="9" t="s">
        <v>13284</v>
      </c>
      <c r="O3226" s="9" t="s">
        <v>13284</v>
      </c>
      <c r="P3226" s="9" t="s">
        <v>13284</v>
      </c>
      <c r="Q3226" s="9" t="s">
        <v>13284</v>
      </c>
      <c r="R3226" s="9" t="s">
        <v>13284</v>
      </c>
      <c r="S3226" s="9" t="s">
        <v>13284</v>
      </c>
      <c r="T3226" s="9" t="str">
        <f ca="1">IFERROR(IF(AND(VLOOKUP(A3226, 'Актуальное состояние (из общего'!A:C,3,0) = "", A3226 &lt;&gt; ""), "ПРОВЕРИТЬ", VLOOKUP(A3226, 'Актуальное состояние (из общего'!A:C,3,0)), "")</f>
        <v/>
      </c>
      <c r="U3226" s="9" t="s">
        <v>13284</v>
      </c>
      <c r="V3226" s="9" t="s">
        <v>13284</v>
      </c>
      <c r="W3226" s="12"/>
      <c r="X3226" s="9" t="str">
        <f t="array" ref="X3226">IFERROR(INDEX('Адреса общежитий (скрытый)'!$B$2:$B$9, MATCH(W3226, 'Адреса общежитий (скрытый)'!$A$2:$A$9, 0)), "")</f>
        <v/>
      </c>
      <c r="Y3226" s="18"/>
      <c r="Z3226" s="18"/>
      <c r="AA3226" s="18"/>
      <c r="AB3226" s="18"/>
      <c r="AC3226" s="18"/>
    </row>
    <row r="3227" spans="1:29" ht="32.25" hidden="1" customHeight="1">
      <c r="A3227" s="17"/>
      <c r="B3227" s="9" t="s">
        <v>13284</v>
      </c>
      <c r="C3227" s="9" t="s">
        <v>13284</v>
      </c>
      <c r="D3227" s="9" t="s">
        <v>13284</v>
      </c>
      <c r="E3227" s="9" t="s">
        <v>13284</v>
      </c>
      <c r="F3227" s="9" t="s">
        <v>13284</v>
      </c>
      <c r="G3227" s="9" t="s">
        <v>13284</v>
      </c>
      <c r="H3227" s="9" t="s">
        <v>13284</v>
      </c>
      <c r="I3227" s="9" t="s">
        <v>13284</v>
      </c>
      <c r="J3227" s="9" t="s">
        <v>13284</v>
      </c>
      <c r="K3227" s="9" t="s">
        <v>13284</v>
      </c>
      <c r="L3227" s="9" t="s">
        <v>13284</v>
      </c>
      <c r="M3227" s="9" t="s">
        <v>13284</v>
      </c>
      <c r="N3227" s="9" t="s">
        <v>13284</v>
      </c>
      <c r="O3227" s="9" t="s">
        <v>13284</v>
      </c>
      <c r="P3227" s="9" t="s">
        <v>13284</v>
      </c>
      <c r="Q3227" s="9" t="s">
        <v>13284</v>
      </c>
      <c r="R3227" s="9" t="s">
        <v>13284</v>
      </c>
      <c r="S3227" s="9" t="s">
        <v>13284</v>
      </c>
      <c r="T3227" s="9" t="str">
        <f ca="1">IFERROR(IF(AND(VLOOKUP(A3227, 'Актуальное состояние (из общего'!A:C,3,0) = "", A3227 &lt;&gt; ""), "ПРОВЕРИТЬ", VLOOKUP(A3227, 'Актуальное состояние (из общего'!A:C,3,0)), "")</f>
        <v/>
      </c>
      <c r="U3227" s="9" t="s">
        <v>13284</v>
      </c>
      <c r="V3227" s="9" t="s">
        <v>13284</v>
      </c>
      <c r="W3227" s="12"/>
      <c r="X3227" s="9" t="str">
        <f t="array" ref="X3227">IFERROR(INDEX('Адреса общежитий (скрытый)'!$B$2:$B$9, MATCH(W3227, 'Адреса общежитий (скрытый)'!$A$2:$A$9, 0)), "")</f>
        <v/>
      </c>
      <c r="Y3227" s="18"/>
      <c r="Z3227" s="18"/>
      <c r="AA3227" s="18"/>
      <c r="AB3227" s="18"/>
      <c r="AC3227" s="18"/>
    </row>
    <row r="3228" spans="1:29" ht="32.25" hidden="1" customHeight="1">
      <c r="A3228" s="17"/>
      <c r="B3228" s="9" t="s">
        <v>13284</v>
      </c>
      <c r="C3228" s="9" t="s">
        <v>13284</v>
      </c>
      <c r="D3228" s="9" t="s">
        <v>13284</v>
      </c>
      <c r="E3228" s="9" t="s">
        <v>13284</v>
      </c>
      <c r="F3228" s="9" t="s">
        <v>13284</v>
      </c>
      <c r="G3228" s="9" t="s">
        <v>13284</v>
      </c>
      <c r="H3228" s="9" t="s">
        <v>13284</v>
      </c>
      <c r="I3228" s="9" t="s">
        <v>13284</v>
      </c>
      <c r="J3228" s="9" t="s">
        <v>13284</v>
      </c>
      <c r="K3228" s="9" t="s">
        <v>13284</v>
      </c>
      <c r="L3228" s="9" t="s">
        <v>13284</v>
      </c>
      <c r="M3228" s="9" t="s">
        <v>13284</v>
      </c>
      <c r="N3228" s="9" t="s">
        <v>13284</v>
      </c>
      <c r="O3228" s="9" t="s">
        <v>13284</v>
      </c>
      <c r="P3228" s="9" t="s">
        <v>13284</v>
      </c>
      <c r="Q3228" s="9" t="s">
        <v>13284</v>
      </c>
      <c r="R3228" s="9" t="s">
        <v>13284</v>
      </c>
      <c r="S3228" s="9" t="s">
        <v>13284</v>
      </c>
      <c r="T3228" s="9" t="str">
        <f ca="1">IFERROR(IF(AND(VLOOKUP(A3228, 'Актуальное состояние (из общего'!A:C,3,0) = "", A3228 &lt;&gt; ""), "ПРОВЕРИТЬ", VLOOKUP(A3228, 'Актуальное состояние (из общего'!A:C,3,0)), "")</f>
        <v/>
      </c>
      <c r="U3228" s="9" t="s">
        <v>13284</v>
      </c>
      <c r="V3228" s="9" t="s">
        <v>13284</v>
      </c>
      <c r="W3228" s="12"/>
      <c r="X3228" s="9" t="str">
        <f t="array" ref="X3228">IFERROR(INDEX('Адреса общежитий (скрытый)'!$B$2:$B$9, MATCH(W3228, 'Адреса общежитий (скрытый)'!$A$2:$A$9, 0)), "")</f>
        <v/>
      </c>
      <c r="Y3228" s="18"/>
      <c r="Z3228" s="18"/>
      <c r="AA3228" s="18"/>
      <c r="AB3228" s="18"/>
      <c r="AC3228" s="18"/>
    </row>
    <row r="3229" spans="1:29" ht="32.25" hidden="1" customHeight="1">
      <c r="A3229" s="17"/>
      <c r="B3229" s="9" t="s">
        <v>13284</v>
      </c>
      <c r="C3229" s="9" t="s">
        <v>13284</v>
      </c>
      <c r="D3229" s="9" t="s">
        <v>13284</v>
      </c>
      <c r="E3229" s="9" t="s">
        <v>13284</v>
      </c>
      <c r="F3229" s="9" t="s">
        <v>13284</v>
      </c>
      <c r="G3229" s="9" t="s">
        <v>13284</v>
      </c>
      <c r="H3229" s="9" t="s">
        <v>13284</v>
      </c>
      <c r="I3229" s="9" t="s">
        <v>13284</v>
      </c>
      <c r="J3229" s="9" t="s">
        <v>13284</v>
      </c>
      <c r="K3229" s="9" t="s">
        <v>13284</v>
      </c>
      <c r="L3229" s="9" t="s">
        <v>13284</v>
      </c>
      <c r="M3229" s="9" t="s">
        <v>13284</v>
      </c>
      <c r="N3229" s="9" t="s">
        <v>13284</v>
      </c>
      <c r="O3229" s="9" t="s">
        <v>13284</v>
      </c>
      <c r="P3229" s="9" t="s">
        <v>13284</v>
      </c>
      <c r="Q3229" s="9" t="s">
        <v>13284</v>
      </c>
      <c r="R3229" s="9" t="s">
        <v>13284</v>
      </c>
      <c r="S3229" s="9" t="s">
        <v>13284</v>
      </c>
      <c r="T3229" s="9" t="str">
        <f ca="1">IFERROR(IF(AND(VLOOKUP(A3229, 'Актуальное состояние (из общего'!A:C,3,0) = "", A3229 &lt;&gt; ""), "ПРОВЕРИТЬ", VLOOKUP(A3229, 'Актуальное состояние (из общего'!A:C,3,0)), "")</f>
        <v/>
      </c>
      <c r="U3229" s="9" t="s">
        <v>13284</v>
      </c>
      <c r="V3229" s="9" t="s">
        <v>13284</v>
      </c>
      <c r="W3229" s="12"/>
      <c r="X3229" s="9" t="str">
        <f t="array" ref="X3229">IFERROR(INDEX('Адреса общежитий (скрытый)'!$B$2:$B$9, MATCH(W3229, 'Адреса общежитий (скрытый)'!$A$2:$A$9, 0)), "")</f>
        <v/>
      </c>
      <c r="Y3229" s="18"/>
      <c r="Z3229" s="18"/>
      <c r="AA3229" s="18"/>
      <c r="AB3229" s="18"/>
      <c r="AC3229" s="18"/>
    </row>
    <row r="3230" spans="1:29" ht="32.25" hidden="1" customHeight="1">
      <c r="A3230" s="17"/>
      <c r="B3230" s="9" t="s">
        <v>13284</v>
      </c>
      <c r="C3230" s="9" t="s">
        <v>13284</v>
      </c>
      <c r="D3230" s="9" t="s">
        <v>13284</v>
      </c>
      <c r="E3230" s="9" t="s">
        <v>13284</v>
      </c>
      <c r="F3230" s="9" t="s">
        <v>13284</v>
      </c>
      <c r="G3230" s="9" t="s">
        <v>13284</v>
      </c>
      <c r="H3230" s="9" t="s">
        <v>13284</v>
      </c>
      <c r="I3230" s="9" t="s">
        <v>13284</v>
      </c>
      <c r="J3230" s="9" t="s">
        <v>13284</v>
      </c>
      <c r="K3230" s="9" t="s">
        <v>13284</v>
      </c>
      <c r="L3230" s="9" t="s">
        <v>13284</v>
      </c>
      <c r="M3230" s="9" t="s">
        <v>13284</v>
      </c>
      <c r="N3230" s="9" t="s">
        <v>13284</v>
      </c>
      <c r="O3230" s="9" t="s">
        <v>13284</v>
      </c>
      <c r="P3230" s="9" t="s">
        <v>13284</v>
      </c>
      <c r="Q3230" s="9" t="s">
        <v>13284</v>
      </c>
      <c r="R3230" s="9" t="s">
        <v>13284</v>
      </c>
      <c r="S3230" s="9" t="s">
        <v>13284</v>
      </c>
      <c r="T3230" s="9" t="str">
        <f ca="1">IFERROR(IF(AND(VLOOKUP(A3230, 'Актуальное состояние (из общего'!A:C,3,0) = "", A3230 &lt;&gt; ""), "ПРОВЕРИТЬ", VLOOKUP(A3230, 'Актуальное состояние (из общего'!A:C,3,0)), "")</f>
        <v/>
      </c>
      <c r="U3230" s="9" t="s">
        <v>13284</v>
      </c>
      <c r="V3230" s="9" t="s">
        <v>13284</v>
      </c>
      <c r="W3230" s="12"/>
      <c r="X3230" s="9" t="str">
        <f t="array" ref="X3230">IFERROR(INDEX('Адреса общежитий (скрытый)'!$B$2:$B$9, MATCH(W3230, 'Адреса общежитий (скрытый)'!$A$2:$A$9, 0)), "")</f>
        <v/>
      </c>
      <c r="Y3230" s="18"/>
      <c r="Z3230" s="18"/>
      <c r="AA3230" s="18"/>
      <c r="AB3230" s="18"/>
      <c r="AC3230" s="18"/>
    </row>
    <row r="3231" spans="1:29" ht="32.25" hidden="1" customHeight="1">
      <c r="A3231" s="17"/>
      <c r="B3231" s="9" t="s">
        <v>13284</v>
      </c>
      <c r="C3231" s="9" t="s">
        <v>13284</v>
      </c>
      <c r="D3231" s="9" t="s">
        <v>13284</v>
      </c>
      <c r="E3231" s="9" t="s">
        <v>13284</v>
      </c>
      <c r="F3231" s="9" t="s">
        <v>13284</v>
      </c>
      <c r="G3231" s="9" t="s">
        <v>13284</v>
      </c>
      <c r="H3231" s="9" t="s">
        <v>13284</v>
      </c>
      <c r="I3231" s="9" t="s">
        <v>13284</v>
      </c>
      <c r="J3231" s="9" t="s">
        <v>13284</v>
      </c>
      <c r="K3231" s="9" t="s">
        <v>13284</v>
      </c>
      <c r="L3231" s="9" t="s">
        <v>13284</v>
      </c>
      <c r="M3231" s="9" t="s">
        <v>13284</v>
      </c>
      <c r="N3231" s="9" t="s">
        <v>13284</v>
      </c>
      <c r="O3231" s="9" t="s">
        <v>13284</v>
      </c>
      <c r="P3231" s="9" t="s">
        <v>13284</v>
      </c>
      <c r="Q3231" s="9" t="s">
        <v>13284</v>
      </c>
      <c r="R3231" s="9" t="s">
        <v>13284</v>
      </c>
      <c r="S3231" s="9" t="s">
        <v>13284</v>
      </c>
      <c r="T3231" s="9" t="str">
        <f ca="1">IFERROR(IF(AND(VLOOKUP(A3231, 'Актуальное состояние (из общего'!A:C,3,0) = "", A3231 &lt;&gt; ""), "ПРОВЕРИТЬ", VLOOKUP(A3231, 'Актуальное состояние (из общего'!A:C,3,0)), "")</f>
        <v/>
      </c>
      <c r="U3231" s="9" t="s">
        <v>13284</v>
      </c>
      <c r="V3231" s="9" t="s">
        <v>13284</v>
      </c>
      <c r="W3231" s="12"/>
      <c r="X3231" s="9" t="str">
        <f t="array" ref="X3231">IFERROR(INDEX('Адреса общежитий (скрытый)'!$B$2:$B$9, MATCH(W3231, 'Адреса общежитий (скрытый)'!$A$2:$A$9, 0)), "")</f>
        <v/>
      </c>
      <c r="Y3231" s="18"/>
      <c r="Z3231" s="18"/>
      <c r="AA3231" s="18"/>
      <c r="AB3231" s="18"/>
      <c r="AC3231" s="18"/>
    </row>
    <row r="3232" spans="1:29" ht="32.25" hidden="1" customHeight="1">
      <c r="A3232" s="17"/>
      <c r="B3232" s="9" t="s">
        <v>13284</v>
      </c>
      <c r="C3232" s="9" t="s">
        <v>13284</v>
      </c>
      <c r="D3232" s="9" t="s">
        <v>13284</v>
      </c>
      <c r="E3232" s="9" t="s">
        <v>13284</v>
      </c>
      <c r="F3232" s="9" t="s">
        <v>13284</v>
      </c>
      <c r="G3232" s="9" t="s">
        <v>13284</v>
      </c>
      <c r="H3232" s="9" t="s">
        <v>13284</v>
      </c>
      <c r="I3232" s="9" t="s">
        <v>13284</v>
      </c>
      <c r="J3232" s="9" t="s">
        <v>13284</v>
      </c>
      <c r="K3232" s="9" t="s">
        <v>13284</v>
      </c>
      <c r="L3232" s="9" t="s">
        <v>13284</v>
      </c>
      <c r="M3232" s="9" t="s">
        <v>13284</v>
      </c>
      <c r="N3232" s="9" t="s">
        <v>13284</v>
      </c>
      <c r="O3232" s="9" t="s">
        <v>13284</v>
      </c>
      <c r="P3232" s="9" t="s">
        <v>13284</v>
      </c>
      <c r="Q3232" s="9" t="s">
        <v>13284</v>
      </c>
      <c r="R3232" s="9" t="s">
        <v>13284</v>
      </c>
      <c r="S3232" s="9" t="s">
        <v>13284</v>
      </c>
      <c r="T3232" s="9" t="str">
        <f ca="1">IFERROR(IF(AND(VLOOKUP(A3232, 'Актуальное состояние (из общего'!A:C,3,0) = "", A3232 &lt;&gt; ""), "ПРОВЕРИТЬ", VLOOKUP(A3232, 'Актуальное состояние (из общего'!A:C,3,0)), "")</f>
        <v/>
      </c>
      <c r="U3232" s="9" t="s">
        <v>13284</v>
      </c>
      <c r="V3232" s="9" t="s">
        <v>13284</v>
      </c>
      <c r="W3232" s="12"/>
      <c r="X3232" s="9" t="str">
        <f t="array" ref="X3232">IFERROR(INDEX('Адреса общежитий (скрытый)'!$B$2:$B$9, MATCH(W3232, 'Адреса общежитий (скрытый)'!$A$2:$A$9, 0)), "")</f>
        <v/>
      </c>
      <c r="Y3232" s="18"/>
      <c r="Z3232" s="18"/>
      <c r="AA3232" s="18"/>
      <c r="AB3232" s="18"/>
      <c r="AC3232" s="18"/>
    </row>
    <row r="3233" spans="1:29" ht="32.25" hidden="1" customHeight="1">
      <c r="A3233" s="17"/>
      <c r="B3233" s="9" t="s">
        <v>13284</v>
      </c>
      <c r="C3233" s="9" t="s">
        <v>13284</v>
      </c>
      <c r="D3233" s="9" t="s">
        <v>13284</v>
      </c>
      <c r="E3233" s="9" t="s">
        <v>13284</v>
      </c>
      <c r="F3233" s="9" t="s">
        <v>13284</v>
      </c>
      <c r="G3233" s="9" t="s">
        <v>13284</v>
      </c>
      <c r="H3233" s="9" t="s">
        <v>13284</v>
      </c>
      <c r="I3233" s="9" t="s">
        <v>13284</v>
      </c>
      <c r="J3233" s="9" t="s">
        <v>13284</v>
      </c>
      <c r="K3233" s="9" t="s">
        <v>13284</v>
      </c>
      <c r="L3233" s="9" t="s">
        <v>13284</v>
      </c>
      <c r="M3233" s="9" t="s">
        <v>13284</v>
      </c>
      <c r="N3233" s="9" t="s">
        <v>13284</v>
      </c>
      <c r="O3233" s="9" t="s">
        <v>13284</v>
      </c>
      <c r="P3233" s="9" t="s">
        <v>13284</v>
      </c>
      <c r="Q3233" s="9" t="s">
        <v>13284</v>
      </c>
      <c r="R3233" s="9" t="s">
        <v>13284</v>
      </c>
      <c r="S3233" s="9" t="s">
        <v>13284</v>
      </c>
      <c r="T3233" s="9" t="str">
        <f ca="1">IFERROR(IF(AND(VLOOKUP(A3233, 'Актуальное состояние (из общего'!A:C,3,0) = "", A3233 &lt;&gt; ""), "ПРОВЕРИТЬ", VLOOKUP(A3233, 'Актуальное состояние (из общего'!A:C,3,0)), "")</f>
        <v/>
      </c>
      <c r="U3233" s="9" t="s">
        <v>13284</v>
      </c>
      <c r="V3233" s="9" t="s">
        <v>13284</v>
      </c>
      <c r="W3233" s="12"/>
      <c r="X3233" s="9" t="str">
        <f t="array" ref="X3233">IFERROR(INDEX('Адреса общежитий (скрытый)'!$B$2:$B$9, MATCH(W3233, 'Адреса общежитий (скрытый)'!$A$2:$A$9, 0)), "")</f>
        <v/>
      </c>
      <c r="Y3233" s="18"/>
      <c r="Z3233" s="18"/>
      <c r="AA3233" s="18"/>
      <c r="AB3233" s="18"/>
      <c r="AC3233" s="18"/>
    </row>
    <row r="3234" spans="1:29" ht="32.25" hidden="1" customHeight="1">
      <c r="A3234" s="17"/>
      <c r="B3234" s="9" t="s">
        <v>13284</v>
      </c>
      <c r="C3234" s="9" t="s">
        <v>13284</v>
      </c>
      <c r="D3234" s="9" t="s">
        <v>13284</v>
      </c>
      <c r="E3234" s="9" t="s">
        <v>13284</v>
      </c>
      <c r="F3234" s="9" t="s">
        <v>13284</v>
      </c>
      <c r="G3234" s="9" t="s">
        <v>13284</v>
      </c>
      <c r="H3234" s="9" t="s">
        <v>13284</v>
      </c>
      <c r="I3234" s="9" t="s">
        <v>13284</v>
      </c>
      <c r="J3234" s="9" t="s">
        <v>13284</v>
      </c>
      <c r="K3234" s="9" t="s">
        <v>13284</v>
      </c>
      <c r="L3234" s="9" t="s">
        <v>13284</v>
      </c>
      <c r="M3234" s="9" t="s">
        <v>13284</v>
      </c>
      <c r="N3234" s="9" t="s">
        <v>13284</v>
      </c>
      <c r="O3234" s="9" t="s">
        <v>13284</v>
      </c>
      <c r="P3234" s="9" t="s">
        <v>13284</v>
      </c>
      <c r="Q3234" s="9" t="s">
        <v>13284</v>
      </c>
      <c r="R3234" s="9" t="s">
        <v>13284</v>
      </c>
      <c r="S3234" s="9" t="s">
        <v>13284</v>
      </c>
      <c r="T3234" s="9" t="str">
        <f ca="1">IFERROR(IF(AND(VLOOKUP(A3234, 'Актуальное состояние (из общего'!A:C,3,0) = "", A3234 &lt;&gt; ""), "ПРОВЕРИТЬ", VLOOKUP(A3234, 'Актуальное состояние (из общего'!A:C,3,0)), "")</f>
        <v/>
      </c>
      <c r="U3234" s="9" t="s">
        <v>13284</v>
      </c>
      <c r="V3234" s="9" t="s">
        <v>13284</v>
      </c>
      <c r="W3234" s="12"/>
      <c r="X3234" s="9" t="str">
        <f t="array" ref="X3234">IFERROR(INDEX('Адреса общежитий (скрытый)'!$B$2:$B$9, MATCH(W3234, 'Адреса общежитий (скрытый)'!$A$2:$A$9, 0)), "")</f>
        <v/>
      </c>
      <c r="Y3234" s="18"/>
      <c r="Z3234" s="18"/>
      <c r="AA3234" s="18"/>
      <c r="AB3234" s="18"/>
      <c r="AC3234" s="18"/>
    </row>
    <row r="3235" spans="1:29" ht="32.25" hidden="1" customHeight="1">
      <c r="A3235" s="17"/>
      <c r="B3235" s="9" t="s">
        <v>13284</v>
      </c>
      <c r="C3235" s="9" t="s">
        <v>13284</v>
      </c>
      <c r="D3235" s="9" t="s">
        <v>13284</v>
      </c>
      <c r="E3235" s="9" t="s">
        <v>13284</v>
      </c>
      <c r="F3235" s="9" t="s">
        <v>13284</v>
      </c>
      <c r="G3235" s="9" t="s">
        <v>13284</v>
      </c>
      <c r="H3235" s="9" t="s">
        <v>13284</v>
      </c>
      <c r="I3235" s="9" t="s">
        <v>13284</v>
      </c>
      <c r="J3235" s="9" t="s">
        <v>13284</v>
      </c>
      <c r="K3235" s="9" t="s">
        <v>13284</v>
      </c>
      <c r="L3235" s="9" t="s">
        <v>13284</v>
      </c>
      <c r="M3235" s="9" t="s">
        <v>13284</v>
      </c>
      <c r="N3235" s="9" t="s">
        <v>13284</v>
      </c>
      <c r="O3235" s="9" t="s">
        <v>13284</v>
      </c>
      <c r="P3235" s="9" t="s">
        <v>13284</v>
      </c>
      <c r="Q3235" s="9" t="s">
        <v>13284</v>
      </c>
      <c r="R3235" s="9" t="s">
        <v>13284</v>
      </c>
      <c r="S3235" s="9" t="s">
        <v>13284</v>
      </c>
      <c r="T3235" s="9" t="str">
        <f ca="1">IFERROR(IF(AND(VLOOKUP(A3235, 'Актуальное состояние (из общего'!A:C,3,0) = "", A3235 &lt;&gt; ""), "ПРОВЕРИТЬ", VLOOKUP(A3235, 'Актуальное состояние (из общего'!A:C,3,0)), "")</f>
        <v/>
      </c>
      <c r="U3235" s="9" t="s">
        <v>13284</v>
      </c>
      <c r="V3235" s="9" t="s">
        <v>13284</v>
      </c>
      <c r="W3235" s="12"/>
      <c r="X3235" s="9" t="str">
        <f t="array" ref="X3235">IFERROR(INDEX('Адреса общежитий (скрытый)'!$B$2:$B$9, MATCH(W3235, 'Адреса общежитий (скрытый)'!$A$2:$A$9, 0)), "")</f>
        <v/>
      </c>
      <c r="Y3235" s="18"/>
      <c r="Z3235" s="18"/>
      <c r="AA3235" s="18"/>
      <c r="AB3235" s="18"/>
      <c r="AC3235" s="18"/>
    </row>
    <row r="3236" spans="1:29" ht="32.25" hidden="1" customHeight="1">
      <c r="A3236" s="17"/>
      <c r="B3236" s="9" t="s">
        <v>13284</v>
      </c>
      <c r="C3236" s="9" t="s">
        <v>13284</v>
      </c>
      <c r="D3236" s="9" t="s">
        <v>13284</v>
      </c>
      <c r="E3236" s="9" t="s">
        <v>13284</v>
      </c>
      <c r="F3236" s="9" t="s">
        <v>13284</v>
      </c>
      <c r="G3236" s="9" t="s">
        <v>13284</v>
      </c>
      <c r="H3236" s="9" t="s">
        <v>13284</v>
      </c>
      <c r="I3236" s="9" t="s">
        <v>13284</v>
      </c>
      <c r="J3236" s="9" t="s">
        <v>13284</v>
      </c>
      <c r="K3236" s="9" t="s">
        <v>13284</v>
      </c>
      <c r="L3236" s="9" t="s">
        <v>13284</v>
      </c>
      <c r="M3236" s="9" t="s">
        <v>13284</v>
      </c>
      <c r="N3236" s="9" t="s">
        <v>13284</v>
      </c>
      <c r="O3236" s="9" t="s">
        <v>13284</v>
      </c>
      <c r="P3236" s="9" t="s">
        <v>13284</v>
      </c>
      <c r="Q3236" s="9" t="s">
        <v>13284</v>
      </c>
      <c r="R3236" s="9" t="s">
        <v>13284</v>
      </c>
      <c r="S3236" s="9" t="s">
        <v>13284</v>
      </c>
      <c r="T3236" s="9" t="str">
        <f ca="1">IFERROR(IF(AND(VLOOKUP(A3236, 'Актуальное состояние (из общего'!A:C,3,0) = "", A3236 &lt;&gt; ""), "ПРОВЕРИТЬ", VLOOKUP(A3236, 'Актуальное состояние (из общего'!A:C,3,0)), "")</f>
        <v/>
      </c>
      <c r="U3236" s="9" t="s">
        <v>13284</v>
      </c>
      <c r="V3236" s="9" t="s">
        <v>13284</v>
      </c>
      <c r="W3236" s="12"/>
      <c r="X3236" s="9" t="str">
        <f t="array" ref="X3236">IFERROR(INDEX('Адреса общежитий (скрытый)'!$B$2:$B$9, MATCH(W3236, 'Адреса общежитий (скрытый)'!$A$2:$A$9, 0)), "")</f>
        <v/>
      </c>
      <c r="Y3236" s="18"/>
      <c r="Z3236" s="18"/>
      <c r="AA3236" s="18"/>
      <c r="AB3236" s="18"/>
      <c r="AC3236" s="18"/>
    </row>
    <row r="3237" spans="1:29" ht="32.25" hidden="1" customHeight="1">
      <c r="A3237" s="17"/>
      <c r="B3237" s="9" t="s">
        <v>13284</v>
      </c>
      <c r="C3237" s="9" t="s">
        <v>13284</v>
      </c>
      <c r="D3237" s="9" t="s">
        <v>13284</v>
      </c>
      <c r="E3237" s="9" t="s">
        <v>13284</v>
      </c>
      <c r="F3237" s="9" t="s">
        <v>13284</v>
      </c>
      <c r="G3237" s="9" t="s">
        <v>13284</v>
      </c>
      <c r="H3237" s="9" t="s">
        <v>13284</v>
      </c>
      <c r="I3237" s="9" t="s">
        <v>13284</v>
      </c>
      <c r="J3237" s="9" t="s">
        <v>13284</v>
      </c>
      <c r="K3237" s="9" t="s">
        <v>13284</v>
      </c>
      <c r="L3237" s="9" t="s">
        <v>13284</v>
      </c>
      <c r="M3237" s="9" t="s">
        <v>13284</v>
      </c>
      <c r="N3237" s="9" t="s">
        <v>13284</v>
      </c>
      <c r="O3237" s="9" t="s">
        <v>13284</v>
      </c>
      <c r="P3237" s="9" t="s">
        <v>13284</v>
      </c>
      <c r="Q3237" s="9" t="s">
        <v>13284</v>
      </c>
      <c r="R3237" s="9" t="s">
        <v>13284</v>
      </c>
      <c r="S3237" s="9" t="s">
        <v>13284</v>
      </c>
      <c r="T3237" s="9" t="str">
        <f ca="1">IFERROR(IF(AND(VLOOKUP(A3237, 'Актуальное состояние (из общего'!A:C,3,0) = "", A3237 &lt;&gt; ""), "ПРОВЕРИТЬ", VLOOKUP(A3237, 'Актуальное состояние (из общего'!A:C,3,0)), "")</f>
        <v/>
      </c>
      <c r="U3237" s="9" t="s">
        <v>13284</v>
      </c>
      <c r="V3237" s="9" t="s">
        <v>13284</v>
      </c>
      <c r="W3237" s="12"/>
      <c r="X3237" s="9" t="str">
        <f t="array" ref="X3237">IFERROR(INDEX('Адреса общежитий (скрытый)'!$B$2:$B$9, MATCH(W3237, 'Адреса общежитий (скрытый)'!$A$2:$A$9, 0)), "")</f>
        <v/>
      </c>
      <c r="Y3237" s="18"/>
      <c r="Z3237" s="18"/>
      <c r="AA3237" s="18"/>
      <c r="AB3237" s="18"/>
      <c r="AC3237" s="18"/>
    </row>
    <row r="3238" spans="1:29" ht="32.25" hidden="1" customHeight="1">
      <c r="A3238" s="17"/>
      <c r="B3238" s="9" t="s">
        <v>13284</v>
      </c>
      <c r="C3238" s="9" t="s">
        <v>13284</v>
      </c>
      <c r="D3238" s="9" t="s">
        <v>13284</v>
      </c>
      <c r="E3238" s="9" t="s">
        <v>13284</v>
      </c>
      <c r="F3238" s="9" t="s">
        <v>13284</v>
      </c>
      <c r="G3238" s="9" t="s">
        <v>13284</v>
      </c>
      <c r="H3238" s="9" t="s">
        <v>13284</v>
      </c>
      <c r="I3238" s="9" t="s">
        <v>13284</v>
      </c>
      <c r="J3238" s="9" t="s">
        <v>13284</v>
      </c>
      <c r="K3238" s="9" t="s">
        <v>13284</v>
      </c>
      <c r="L3238" s="9" t="s">
        <v>13284</v>
      </c>
      <c r="M3238" s="9" t="s">
        <v>13284</v>
      </c>
      <c r="N3238" s="9" t="s">
        <v>13284</v>
      </c>
      <c r="O3238" s="9" t="s">
        <v>13284</v>
      </c>
      <c r="P3238" s="9" t="s">
        <v>13284</v>
      </c>
      <c r="Q3238" s="9" t="s">
        <v>13284</v>
      </c>
      <c r="R3238" s="9" t="s">
        <v>13284</v>
      </c>
      <c r="S3238" s="9" t="s">
        <v>13284</v>
      </c>
      <c r="T3238" s="9" t="str">
        <f ca="1">IFERROR(IF(AND(VLOOKUP(A3238, 'Актуальное состояние (из общего'!A:C,3,0) = "", A3238 &lt;&gt; ""), "ПРОВЕРИТЬ", VLOOKUP(A3238, 'Актуальное состояние (из общего'!A:C,3,0)), "")</f>
        <v/>
      </c>
      <c r="U3238" s="9" t="s">
        <v>13284</v>
      </c>
      <c r="V3238" s="9" t="s">
        <v>13284</v>
      </c>
      <c r="W3238" s="12"/>
      <c r="X3238" s="9" t="str">
        <f t="array" ref="X3238">IFERROR(INDEX('Адреса общежитий (скрытый)'!$B$2:$B$9, MATCH(W3238, 'Адреса общежитий (скрытый)'!$A$2:$A$9, 0)), "")</f>
        <v/>
      </c>
      <c r="Y3238" s="18"/>
      <c r="Z3238" s="18"/>
      <c r="AA3238" s="18"/>
      <c r="AB3238" s="18"/>
      <c r="AC3238" s="18"/>
    </row>
    <row r="3239" spans="1:29" ht="32.25" hidden="1" customHeight="1">
      <c r="A3239" s="17"/>
      <c r="B3239" s="9" t="s">
        <v>13284</v>
      </c>
      <c r="C3239" s="9" t="s">
        <v>13284</v>
      </c>
      <c r="D3239" s="9" t="s">
        <v>13284</v>
      </c>
      <c r="E3239" s="9" t="s">
        <v>13284</v>
      </c>
      <c r="F3239" s="9" t="s">
        <v>13284</v>
      </c>
      <c r="G3239" s="9" t="s">
        <v>13284</v>
      </c>
      <c r="H3239" s="9" t="s">
        <v>13284</v>
      </c>
      <c r="I3239" s="9" t="s">
        <v>13284</v>
      </c>
      <c r="J3239" s="9" t="s">
        <v>13284</v>
      </c>
      <c r="K3239" s="9" t="s">
        <v>13284</v>
      </c>
      <c r="L3239" s="9" t="s">
        <v>13284</v>
      </c>
      <c r="M3239" s="9" t="s">
        <v>13284</v>
      </c>
      <c r="N3239" s="9" t="s">
        <v>13284</v>
      </c>
      <c r="O3239" s="9" t="s">
        <v>13284</v>
      </c>
      <c r="P3239" s="9" t="s">
        <v>13284</v>
      </c>
      <c r="Q3239" s="9" t="s">
        <v>13284</v>
      </c>
      <c r="R3239" s="9" t="s">
        <v>13284</v>
      </c>
      <c r="S3239" s="9" t="s">
        <v>13284</v>
      </c>
      <c r="T3239" s="9" t="str">
        <f ca="1">IFERROR(IF(AND(VLOOKUP(A3239, 'Актуальное состояние (из общего'!A:C,3,0) = "", A3239 &lt;&gt; ""), "ПРОВЕРИТЬ", VLOOKUP(A3239, 'Актуальное состояние (из общего'!A:C,3,0)), "")</f>
        <v/>
      </c>
      <c r="U3239" s="9" t="s">
        <v>13284</v>
      </c>
      <c r="V3239" s="9" t="s">
        <v>13284</v>
      </c>
      <c r="W3239" s="12"/>
      <c r="X3239" s="9" t="str">
        <f t="array" ref="X3239">IFERROR(INDEX('Адреса общежитий (скрытый)'!$B$2:$B$9, MATCH(W3239, 'Адреса общежитий (скрытый)'!$A$2:$A$9, 0)), "")</f>
        <v/>
      </c>
      <c r="Y3239" s="18"/>
      <c r="Z3239" s="18"/>
      <c r="AA3239" s="18"/>
      <c r="AB3239" s="18"/>
      <c r="AC3239" s="18"/>
    </row>
    <row r="3240" spans="1:29" ht="32.25" hidden="1" customHeight="1">
      <c r="A3240" s="17"/>
      <c r="B3240" s="9" t="s">
        <v>13284</v>
      </c>
      <c r="C3240" s="9" t="s">
        <v>13284</v>
      </c>
      <c r="D3240" s="9" t="s">
        <v>13284</v>
      </c>
      <c r="E3240" s="9" t="s">
        <v>13284</v>
      </c>
      <c r="F3240" s="9" t="s">
        <v>13284</v>
      </c>
      <c r="G3240" s="9" t="s">
        <v>13284</v>
      </c>
      <c r="H3240" s="9" t="s">
        <v>13284</v>
      </c>
      <c r="I3240" s="9" t="s">
        <v>13284</v>
      </c>
      <c r="J3240" s="9" t="s">
        <v>13284</v>
      </c>
      <c r="K3240" s="9" t="s">
        <v>13284</v>
      </c>
      <c r="L3240" s="9" t="s">
        <v>13284</v>
      </c>
      <c r="M3240" s="9" t="s">
        <v>13284</v>
      </c>
      <c r="N3240" s="9" t="s">
        <v>13284</v>
      </c>
      <c r="O3240" s="9" t="s">
        <v>13284</v>
      </c>
      <c r="P3240" s="9" t="s">
        <v>13284</v>
      </c>
      <c r="Q3240" s="9" t="s">
        <v>13284</v>
      </c>
      <c r="R3240" s="9" t="s">
        <v>13284</v>
      </c>
      <c r="S3240" s="9" t="s">
        <v>13284</v>
      </c>
      <c r="T3240" s="9" t="str">
        <f ca="1">IFERROR(IF(AND(VLOOKUP(A3240, 'Актуальное состояние (из общего'!A:C,3,0) = "", A3240 &lt;&gt; ""), "ПРОВЕРИТЬ", VLOOKUP(A3240, 'Актуальное состояние (из общего'!A:C,3,0)), "")</f>
        <v/>
      </c>
      <c r="U3240" s="9" t="s">
        <v>13284</v>
      </c>
      <c r="V3240" s="9" t="s">
        <v>13284</v>
      </c>
      <c r="W3240" s="12"/>
      <c r="X3240" s="9" t="str">
        <f t="array" ref="X3240">IFERROR(INDEX('Адреса общежитий (скрытый)'!$B$2:$B$9, MATCH(W3240, 'Адреса общежитий (скрытый)'!$A$2:$A$9, 0)), "")</f>
        <v/>
      </c>
      <c r="Y3240" s="18"/>
      <c r="Z3240" s="18"/>
      <c r="AA3240" s="18"/>
      <c r="AB3240" s="18"/>
      <c r="AC3240" s="18"/>
    </row>
    <row r="3241" spans="1:29" ht="32.25" hidden="1" customHeight="1">
      <c r="A3241" s="17"/>
      <c r="B3241" s="9" t="s">
        <v>13284</v>
      </c>
      <c r="C3241" s="9" t="s">
        <v>13284</v>
      </c>
      <c r="D3241" s="9" t="s">
        <v>13284</v>
      </c>
      <c r="E3241" s="9" t="s">
        <v>13284</v>
      </c>
      <c r="F3241" s="9" t="s">
        <v>13284</v>
      </c>
      <c r="G3241" s="9" t="s">
        <v>13284</v>
      </c>
      <c r="H3241" s="9" t="s">
        <v>13284</v>
      </c>
      <c r="I3241" s="9" t="s">
        <v>13284</v>
      </c>
      <c r="J3241" s="9" t="s">
        <v>13284</v>
      </c>
      <c r="K3241" s="9" t="s">
        <v>13284</v>
      </c>
      <c r="L3241" s="9" t="s">
        <v>13284</v>
      </c>
      <c r="M3241" s="9" t="s">
        <v>13284</v>
      </c>
      <c r="N3241" s="9" t="s">
        <v>13284</v>
      </c>
      <c r="O3241" s="9" t="s">
        <v>13284</v>
      </c>
      <c r="P3241" s="9" t="s">
        <v>13284</v>
      </c>
      <c r="Q3241" s="9" t="s">
        <v>13284</v>
      </c>
      <c r="R3241" s="9" t="s">
        <v>13284</v>
      </c>
      <c r="S3241" s="9" t="s">
        <v>13284</v>
      </c>
      <c r="T3241" s="9" t="str">
        <f ca="1">IFERROR(IF(AND(VLOOKUP(A3241, 'Актуальное состояние (из общего'!A:C,3,0) = "", A3241 &lt;&gt; ""), "ПРОВЕРИТЬ", VLOOKUP(A3241, 'Актуальное состояние (из общего'!A:C,3,0)), "")</f>
        <v/>
      </c>
      <c r="U3241" s="9" t="s">
        <v>13284</v>
      </c>
      <c r="V3241" s="9" t="s">
        <v>13284</v>
      </c>
      <c r="W3241" s="12"/>
      <c r="X3241" s="9" t="str">
        <f t="array" ref="X3241">IFERROR(INDEX('Адреса общежитий (скрытый)'!$B$2:$B$9, MATCH(W3241, 'Адреса общежитий (скрытый)'!$A$2:$A$9, 0)), "")</f>
        <v/>
      </c>
      <c r="Y3241" s="18"/>
      <c r="Z3241" s="18"/>
      <c r="AA3241" s="18"/>
      <c r="AB3241" s="18"/>
      <c r="AC3241" s="18"/>
    </row>
    <row r="3242" spans="1:29" ht="32.25" hidden="1" customHeight="1">
      <c r="A3242" s="17"/>
      <c r="B3242" s="9" t="s">
        <v>13284</v>
      </c>
      <c r="C3242" s="9" t="s">
        <v>13284</v>
      </c>
      <c r="D3242" s="9" t="s">
        <v>13284</v>
      </c>
      <c r="E3242" s="9" t="s">
        <v>13284</v>
      </c>
      <c r="F3242" s="9" t="s">
        <v>13284</v>
      </c>
      <c r="G3242" s="9" t="s">
        <v>13284</v>
      </c>
      <c r="H3242" s="9" t="s">
        <v>13284</v>
      </c>
      <c r="I3242" s="9" t="s">
        <v>13284</v>
      </c>
      <c r="J3242" s="9" t="s">
        <v>13284</v>
      </c>
      <c r="K3242" s="9" t="s">
        <v>13284</v>
      </c>
      <c r="L3242" s="9" t="s">
        <v>13284</v>
      </c>
      <c r="M3242" s="9" t="s">
        <v>13284</v>
      </c>
      <c r="N3242" s="9" t="s">
        <v>13284</v>
      </c>
      <c r="O3242" s="9" t="s">
        <v>13284</v>
      </c>
      <c r="P3242" s="9" t="s">
        <v>13284</v>
      </c>
      <c r="Q3242" s="9" t="s">
        <v>13284</v>
      </c>
      <c r="R3242" s="9" t="s">
        <v>13284</v>
      </c>
      <c r="S3242" s="9" t="s">
        <v>13284</v>
      </c>
      <c r="T3242" s="9" t="str">
        <f ca="1">IFERROR(IF(AND(VLOOKUP(A3242, 'Актуальное состояние (из общего'!A:C,3,0) = "", A3242 &lt;&gt; ""), "ПРОВЕРИТЬ", VLOOKUP(A3242, 'Актуальное состояние (из общего'!A:C,3,0)), "")</f>
        <v/>
      </c>
      <c r="U3242" s="9" t="s">
        <v>13284</v>
      </c>
      <c r="V3242" s="9" t="s">
        <v>13284</v>
      </c>
      <c r="W3242" s="12"/>
      <c r="X3242" s="9" t="str">
        <f t="array" ref="X3242">IFERROR(INDEX('Адреса общежитий (скрытый)'!$B$2:$B$9, MATCH(W3242, 'Адреса общежитий (скрытый)'!$A$2:$A$9, 0)), "")</f>
        <v/>
      </c>
      <c r="Y3242" s="18"/>
      <c r="Z3242" s="18"/>
      <c r="AA3242" s="18"/>
      <c r="AB3242" s="18"/>
      <c r="AC3242" s="18"/>
    </row>
    <row r="3243" spans="1:29" ht="32.25" hidden="1" customHeight="1">
      <c r="A3243" s="17"/>
      <c r="B3243" s="9" t="s">
        <v>13284</v>
      </c>
      <c r="C3243" s="9" t="s">
        <v>13284</v>
      </c>
      <c r="D3243" s="9" t="s">
        <v>13284</v>
      </c>
      <c r="E3243" s="9" t="s">
        <v>13284</v>
      </c>
      <c r="F3243" s="9" t="s">
        <v>13284</v>
      </c>
      <c r="G3243" s="9" t="s">
        <v>13284</v>
      </c>
      <c r="H3243" s="9" t="s">
        <v>13284</v>
      </c>
      <c r="I3243" s="9" t="s">
        <v>13284</v>
      </c>
      <c r="J3243" s="9" t="s">
        <v>13284</v>
      </c>
      <c r="K3243" s="9" t="s">
        <v>13284</v>
      </c>
      <c r="L3243" s="9" t="s">
        <v>13284</v>
      </c>
      <c r="M3243" s="9" t="s">
        <v>13284</v>
      </c>
      <c r="N3243" s="9" t="s">
        <v>13284</v>
      </c>
      <c r="O3243" s="9" t="s">
        <v>13284</v>
      </c>
      <c r="P3243" s="9" t="s">
        <v>13284</v>
      </c>
      <c r="Q3243" s="9" t="s">
        <v>13284</v>
      </c>
      <c r="R3243" s="9" t="s">
        <v>13284</v>
      </c>
      <c r="S3243" s="9" t="s">
        <v>13284</v>
      </c>
      <c r="T3243" s="9" t="str">
        <f ca="1">IFERROR(IF(AND(VLOOKUP(A3243, 'Актуальное состояние (из общего'!A:C,3,0) = "", A3243 &lt;&gt; ""), "ПРОВЕРИТЬ", VLOOKUP(A3243, 'Актуальное состояние (из общего'!A:C,3,0)), "")</f>
        <v/>
      </c>
      <c r="U3243" s="9" t="s">
        <v>13284</v>
      </c>
      <c r="V3243" s="9" t="s">
        <v>13284</v>
      </c>
      <c r="W3243" s="12"/>
      <c r="X3243" s="9" t="str">
        <f t="array" ref="X3243">IFERROR(INDEX('Адреса общежитий (скрытый)'!$B$2:$B$9, MATCH(W3243, 'Адреса общежитий (скрытый)'!$A$2:$A$9, 0)), "")</f>
        <v/>
      </c>
      <c r="Y3243" s="18"/>
      <c r="Z3243" s="18"/>
      <c r="AA3243" s="18"/>
      <c r="AB3243" s="18"/>
      <c r="AC3243" s="18"/>
    </row>
    <row r="3244" spans="1:29" ht="32.25" hidden="1" customHeight="1">
      <c r="A3244" s="17"/>
      <c r="B3244" s="9" t="s">
        <v>13284</v>
      </c>
      <c r="C3244" s="9" t="s">
        <v>13284</v>
      </c>
      <c r="D3244" s="9" t="s">
        <v>13284</v>
      </c>
      <c r="E3244" s="9" t="s">
        <v>13284</v>
      </c>
      <c r="F3244" s="9" t="s">
        <v>13284</v>
      </c>
      <c r="G3244" s="9" t="s">
        <v>13284</v>
      </c>
      <c r="H3244" s="9" t="s">
        <v>13284</v>
      </c>
      <c r="I3244" s="9" t="s">
        <v>13284</v>
      </c>
      <c r="J3244" s="9" t="s">
        <v>13284</v>
      </c>
      <c r="K3244" s="9" t="s">
        <v>13284</v>
      </c>
      <c r="L3244" s="9" t="s">
        <v>13284</v>
      </c>
      <c r="M3244" s="9" t="s">
        <v>13284</v>
      </c>
      <c r="N3244" s="9" t="s">
        <v>13284</v>
      </c>
      <c r="O3244" s="9" t="s">
        <v>13284</v>
      </c>
      <c r="P3244" s="9" t="s">
        <v>13284</v>
      </c>
      <c r="Q3244" s="9" t="s">
        <v>13284</v>
      </c>
      <c r="R3244" s="9" t="s">
        <v>13284</v>
      </c>
      <c r="S3244" s="9" t="s">
        <v>13284</v>
      </c>
      <c r="T3244" s="9" t="str">
        <f ca="1">IFERROR(IF(AND(VLOOKUP(A3244, 'Актуальное состояние (из общего'!A:C,3,0) = "", A3244 &lt;&gt; ""), "ПРОВЕРИТЬ", VLOOKUP(A3244, 'Актуальное состояние (из общего'!A:C,3,0)), "")</f>
        <v/>
      </c>
      <c r="U3244" s="9" t="s">
        <v>13284</v>
      </c>
      <c r="V3244" s="9" t="s">
        <v>13284</v>
      </c>
      <c r="W3244" s="12"/>
      <c r="X3244" s="9" t="str">
        <f t="array" ref="X3244">IFERROR(INDEX('Адреса общежитий (скрытый)'!$B$2:$B$9, MATCH(W3244, 'Адреса общежитий (скрытый)'!$A$2:$A$9, 0)), "")</f>
        <v/>
      </c>
      <c r="Y3244" s="18"/>
      <c r="Z3244" s="18"/>
      <c r="AA3244" s="18"/>
      <c r="AB3244" s="18"/>
      <c r="AC3244" s="18"/>
    </row>
    <row r="3245" spans="1:29" ht="32.25" hidden="1" customHeight="1">
      <c r="A3245" s="17"/>
      <c r="B3245" s="9" t="s">
        <v>13284</v>
      </c>
      <c r="C3245" s="9" t="s">
        <v>13284</v>
      </c>
      <c r="D3245" s="9" t="s">
        <v>13284</v>
      </c>
      <c r="E3245" s="9" t="s">
        <v>13284</v>
      </c>
      <c r="F3245" s="9" t="s">
        <v>13284</v>
      </c>
      <c r="G3245" s="9" t="s">
        <v>13284</v>
      </c>
      <c r="H3245" s="9" t="s">
        <v>13284</v>
      </c>
      <c r="I3245" s="9" t="s">
        <v>13284</v>
      </c>
      <c r="J3245" s="9" t="s">
        <v>13284</v>
      </c>
      <c r="K3245" s="9" t="s">
        <v>13284</v>
      </c>
      <c r="L3245" s="9" t="s">
        <v>13284</v>
      </c>
      <c r="M3245" s="9" t="s">
        <v>13284</v>
      </c>
      <c r="N3245" s="9" t="s">
        <v>13284</v>
      </c>
      <c r="O3245" s="9" t="s">
        <v>13284</v>
      </c>
      <c r="P3245" s="9" t="s">
        <v>13284</v>
      </c>
      <c r="Q3245" s="9" t="s">
        <v>13284</v>
      </c>
      <c r="R3245" s="9" t="s">
        <v>13284</v>
      </c>
      <c r="S3245" s="9" t="s">
        <v>13284</v>
      </c>
      <c r="T3245" s="9" t="str">
        <f ca="1">IFERROR(IF(AND(VLOOKUP(A3245, 'Актуальное состояние (из общего'!A:C,3,0) = "", A3245 &lt;&gt; ""), "ПРОВЕРИТЬ", VLOOKUP(A3245, 'Актуальное состояние (из общего'!A:C,3,0)), "")</f>
        <v/>
      </c>
      <c r="U3245" s="9" t="s">
        <v>13284</v>
      </c>
      <c r="V3245" s="9" t="s">
        <v>13284</v>
      </c>
      <c r="W3245" s="12"/>
      <c r="X3245" s="9" t="str">
        <f t="array" ref="X3245">IFERROR(INDEX('Адреса общежитий (скрытый)'!$B$2:$B$9, MATCH(W3245, 'Адреса общежитий (скрытый)'!$A$2:$A$9, 0)), "")</f>
        <v/>
      </c>
      <c r="Y3245" s="18"/>
      <c r="Z3245" s="18"/>
      <c r="AA3245" s="18"/>
      <c r="AB3245" s="18"/>
      <c r="AC3245" s="18"/>
    </row>
    <row r="3246" spans="1:29" ht="32.25" hidden="1" customHeight="1">
      <c r="A3246" s="17"/>
      <c r="B3246" s="9" t="s">
        <v>13284</v>
      </c>
      <c r="C3246" s="9" t="s">
        <v>13284</v>
      </c>
      <c r="D3246" s="9" t="s">
        <v>13284</v>
      </c>
      <c r="E3246" s="9" t="s">
        <v>13284</v>
      </c>
      <c r="F3246" s="9" t="s">
        <v>13284</v>
      </c>
      <c r="G3246" s="9" t="s">
        <v>13284</v>
      </c>
      <c r="H3246" s="9" t="s">
        <v>13284</v>
      </c>
      <c r="I3246" s="9" t="s">
        <v>13284</v>
      </c>
      <c r="J3246" s="9" t="s">
        <v>13284</v>
      </c>
      <c r="K3246" s="9" t="s">
        <v>13284</v>
      </c>
      <c r="L3246" s="9" t="s">
        <v>13284</v>
      </c>
      <c r="M3246" s="9" t="s">
        <v>13284</v>
      </c>
      <c r="N3246" s="9" t="s">
        <v>13284</v>
      </c>
      <c r="O3246" s="9" t="s">
        <v>13284</v>
      </c>
      <c r="P3246" s="9" t="s">
        <v>13284</v>
      </c>
      <c r="Q3246" s="9" t="s">
        <v>13284</v>
      </c>
      <c r="R3246" s="9" t="s">
        <v>13284</v>
      </c>
      <c r="S3246" s="9" t="s">
        <v>13284</v>
      </c>
      <c r="T3246" s="9" t="str">
        <f ca="1">IFERROR(IF(AND(VLOOKUP(A3246, 'Актуальное состояние (из общего'!A:C,3,0) = "", A3246 &lt;&gt; ""), "ПРОВЕРИТЬ", VLOOKUP(A3246, 'Актуальное состояние (из общего'!A:C,3,0)), "")</f>
        <v/>
      </c>
      <c r="U3246" s="9" t="s">
        <v>13284</v>
      </c>
      <c r="V3246" s="9" t="s">
        <v>13284</v>
      </c>
      <c r="W3246" s="12"/>
      <c r="X3246" s="9" t="str">
        <f t="array" ref="X3246">IFERROR(INDEX('Адреса общежитий (скрытый)'!$B$2:$B$9, MATCH(W3246, 'Адреса общежитий (скрытый)'!$A$2:$A$9, 0)), "")</f>
        <v/>
      </c>
      <c r="Y3246" s="18"/>
      <c r="Z3246" s="18"/>
      <c r="AA3246" s="18"/>
      <c r="AB3246" s="18"/>
      <c r="AC3246" s="18"/>
    </row>
    <row r="3247" spans="1:29" ht="32.25" hidden="1" customHeight="1">
      <c r="A3247" s="17"/>
      <c r="B3247" s="9" t="s">
        <v>13284</v>
      </c>
      <c r="C3247" s="9" t="s">
        <v>13284</v>
      </c>
      <c r="D3247" s="9" t="s">
        <v>13284</v>
      </c>
      <c r="E3247" s="9" t="s">
        <v>13284</v>
      </c>
      <c r="F3247" s="9" t="s">
        <v>13284</v>
      </c>
      <c r="G3247" s="9" t="s">
        <v>13284</v>
      </c>
      <c r="H3247" s="9" t="s">
        <v>13284</v>
      </c>
      <c r="I3247" s="9" t="s">
        <v>13284</v>
      </c>
      <c r="J3247" s="9" t="s">
        <v>13284</v>
      </c>
      <c r="K3247" s="9" t="s">
        <v>13284</v>
      </c>
      <c r="L3247" s="9" t="s">
        <v>13284</v>
      </c>
      <c r="M3247" s="9" t="s">
        <v>13284</v>
      </c>
      <c r="N3247" s="9" t="s">
        <v>13284</v>
      </c>
      <c r="O3247" s="9" t="s">
        <v>13284</v>
      </c>
      <c r="P3247" s="9" t="s">
        <v>13284</v>
      </c>
      <c r="Q3247" s="9" t="s">
        <v>13284</v>
      </c>
      <c r="R3247" s="9" t="s">
        <v>13284</v>
      </c>
      <c r="S3247" s="9" t="s">
        <v>13284</v>
      </c>
      <c r="T3247" s="9" t="str">
        <f ca="1">IFERROR(IF(AND(VLOOKUP(A3247, 'Актуальное состояние (из общего'!A:C,3,0) = "", A3247 &lt;&gt; ""), "ПРОВЕРИТЬ", VLOOKUP(A3247, 'Актуальное состояние (из общего'!A:C,3,0)), "")</f>
        <v/>
      </c>
      <c r="U3247" s="9" t="s">
        <v>13284</v>
      </c>
      <c r="V3247" s="9" t="s">
        <v>13284</v>
      </c>
      <c r="W3247" s="12"/>
      <c r="X3247" s="9" t="str">
        <f t="array" ref="X3247">IFERROR(INDEX('Адреса общежитий (скрытый)'!$B$2:$B$9, MATCH(W3247, 'Адреса общежитий (скрытый)'!$A$2:$A$9, 0)), "")</f>
        <v/>
      </c>
      <c r="Y3247" s="18"/>
      <c r="Z3247" s="18"/>
      <c r="AA3247" s="18"/>
      <c r="AB3247" s="18"/>
      <c r="AC3247" s="18"/>
    </row>
    <row r="3248" spans="1:29" ht="32.25" hidden="1" customHeight="1">
      <c r="A3248" s="17"/>
      <c r="B3248" s="9" t="s">
        <v>13284</v>
      </c>
      <c r="C3248" s="9" t="s">
        <v>13284</v>
      </c>
      <c r="D3248" s="9" t="s">
        <v>13284</v>
      </c>
      <c r="E3248" s="9" t="s">
        <v>13284</v>
      </c>
      <c r="F3248" s="9" t="s">
        <v>13284</v>
      </c>
      <c r="G3248" s="9" t="s">
        <v>13284</v>
      </c>
      <c r="H3248" s="9" t="s">
        <v>13284</v>
      </c>
      <c r="I3248" s="9" t="s">
        <v>13284</v>
      </c>
      <c r="J3248" s="9" t="s">
        <v>13284</v>
      </c>
      <c r="K3248" s="9" t="s">
        <v>13284</v>
      </c>
      <c r="L3248" s="9" t="s">
        <v>13284</v>
      </c>
      <c r="M3248" s="9" t="s">
        <v>13284</v>
      </c>
      <c r="N3248" s="9" t="s">
        <v>13284</v>
      </c>
      <c r="O3248" s="9" t="s">
        <v>13284</v>
      </c>
      <c r="P3248" s="9" t="s">
        <v>13284</v>
      </c>
      <c r="Q3248" s="9" t="s">
        <v>13284</v>
      </c>
      <c r="R3248" s="9" t="s">
        <v>13284</v>
      </c>
      <c r="S3248" s="9" t="s">
        <v>13284</v>
      </c>
      <c r="T3248" s="9" t="str">
        <f ca="1">IFERROR(IF(AND(VLOOKUP(A3248, 'Актуальное состояние (из общего'!A:C,3,0) = "", A3248 &lt;&gt; ""), "ПРОВЕРИТЬ", VLOOKUP(A3248, 'Актуальное состояние (из общего'!A:C,3,0)), "")</f>
        <v/>
      </c>
      <c r="U3248" s="9" t="s">
        <v>13284</v>
      </c>
      <c r="V3248" s="9" t="s">
        <v>13284</v>
      </c>
      <c r="W3248" s="12"/>
      <c r="X3248" s="9" t="str">
        <f t="array" ref="X3248">IFERROR(INDEX('Адреса общежитий (скрытый)'!$B$2:$B$9, MATCH(W3248, 'Адреса общежитий (скрытый)'!$A$2:$A$9, 0)), "")</f>
        <v/>
      </c>
      <c r="Y3248" s="18"/>
      <c r="Z3248" s="18"/>
      <c r="AA3248" s="18"/>
      <c r="AB3248" s="18"/>
      <c r="AC3248" s="18"/>
    </row>
    <row r="3249" spans="1:29" ht="32.25" hidden="1" customHeight="1">
      <c r="A3249" s="17"/>
      <c r="B3249" s="9" t="s">
        <v>13284</v>
      </c>
      <c r="C3249" s="9" t="s">
        <v>13284</v>
      </c>
      <c r="D3249" s="9" t="s">
        <v>13284</v>
      </c>
      <c r="E3249" s="9" t="s">
        <v>13284</v>
      </c>
      <c r="F3249" s="9" t="s">
        <v>13284</v>
      </c>
      <c r="G3249" s="9" t="s">
        <v>13284</v>
      </c>
      <c r="H3249" s="9" t="s">
        <v>13284</v>
      </c>
      <c r="I3249" s="9" t="s">
        <v>13284</v>
      </c>
      <c r="J3249" s="9" t="s">
        <v>13284</v>
      </c>
      <c r="K3249" s="9" t="s">
        <v>13284</v>
      </c>
      <c r="L3249" s="9" t="s">
        <v>13284</v>
      </c>
      <c r="M3249" s="9" t="s">
        <v>13284</v>
      </c>
      <c r="N3249" s="9" t="s">
        <v>13284</v>
      </c>
      <c r="O3249" s="9" t="s">
        <v>13284</v>
      </c>
      <c r="P3249" s="9" t="s">
        <v>13284</v>
      </c>
      <c r="Q3249" s="9" t="s">
        <v>13284</v>
      </c>
      <c r="R3249" s="9" t="s">
        <v>13284</v>
      </c>
      <c r="S3249" s="9" t="s">
        <v>13284</v>
      </c>
      <c r="T3249" s="9" t="str">
        <f ca="1">IFERROR(IF(AND(VLOOKUP(A3249, 'Актуальное состояние (из общего'!A:C,3,0) = "", A3249 &lt;&gt; ""), "ПРОВЕРИТЬ", VLOOKUP(A3249, 'Актуальное состояние (из общего'!A:C,3,0)), "")</f>
        <v/>
      </c>
      <c r="U3249" s="9" t="s">
        <v>13284</v>
      </c>
      <c r="V3249" s="9" t="s">
        <v>13284</v>
      </c>
      <c r="W3249" s="12"/>
      <c r="X3249" s="9" t="str">
        <f t="array" ref="X3249">IFERROR(INDEX('Адреса общежитий (скрытый)'!$B$2:$B$9, MATCH(W3249, 'Адреса общежитий (скрытый)'!$A$2:$A$9, 0)), "")</f>
        <v/>
      </c>
      <c r="Y3249" s="18"/>
      <c r="Z3249" s="18"/>
      <c r="AA3249" s="18"/>
      <c r="AB3249" s="18"/>
      <c r="AC3249" s="18"/>
    </row>
    <row r="3250" spans="1:29" ht="32.25" hidden="1" customHeight="1">
      <c r="A3250" s="17"/>
      <c r="B3250" s="9" t="s">
        <v>13284</v>
      </c>
      <c r="C3250" s="9" t="s">
        <v>13284</v>
      </c>
      <c r="D3250" s="9" t="s">
        <v>13284</v>
      </c>
      <c r="E3250" s="9" t="s">
        <v>13284</v>
      </c>
      <c r="F3250" s="9" t="s">
        <v>13284</v>
      </c>
      <c r="G3250" s="9" t="s">
        <v>13284</v>
      </c>
      <c r="H3250" s="9" t="s">
        <v>13284</v>
      </c>
      <c r="I3250" s="9" t="s">
        <v>13284</v>
      </c>
      <c r="J3250" s="9" t="s">
        <v>13284</v>
      </c>
      <c r="K3250" s="9" t="s">
        <v>13284</v>
      </c>
      <c r="L3250" s="9" t="s">
        <v>13284</v>
      </c>
      <c r="M3250" s="9" t="s">
        <v>13284</v>
      </c>
      <c r="N3250" s="9" t="s">
        <v>13284</v>
      </c>
      <c r="O3250" s="9" t="s">
        <v>13284</v>
      </c>
      <c r="P3250" s="9" t="s">
        <v>13284</v>
      </c>
      <c r="Q3250" s="9" t="s">
        <v>13284</v>
      </c>
      <c r="R3250" s="9" t="s">
        <v>13284</v>
      </c>
      <c r="S3250" s="9" t="s">
        <v>13284</v>
      </c>
      <c r="T3250" s="9" t="str">
        <f ca="1">IFERROR(IF(AND(VLOOKUP(A3250, 'Актуальное состояние (из общего'!A:C,3,0) = "", A3250 &lt;&gt; ""), "ПРОВЕРИТЬ", VLOOKUP(A3250, 'Актуальное состояние (из общего'!A:C,3,0)), "")</f>
        <v/>
      </c>
      <c r="U3250" s="9" t="s">
        <v>13284</v>
      </c>
      <c r="V3250" s="9" t="s">
        <v>13284</v>
      </c>
      <c r="W3250" s="12"/>
      <c r="X3250" s="9" t="str">
        <f t="array" ref="X3250">IFERROR(INDEX('Адреса общежитий (скрытый)'!$B$2:$B$9, MATCH(W3250, 'Адреса общежитий (скрытый)'!$A$2:$A$9, 0)), "")</f>
        <v/>
      </c>
      <c r="Y3250" s="18"/>
      <c r="Z3250" s="18"/>
      <c r="AA3250" s="18"/>
      <c r="AB3250" s="18"/>
      <c r="AC3250" s="18"/>
    </row>
    <row r="3251" spans="1:29" ht="32.25" hidden="1" customHeight="1">
      <c r="A3251" s="17"/>
      <c r="B3251" s="9" t="s">
        <v>13284</v>
      </c>
      <c r="C3251" s="9" t="s">
        <v>13284</v>
      </c>
      <c r="D3251" s="9" t="s">
        <v>13284</v>
      </c>
      <c r="E3251" s="9" t="s">
        <v>13284</v>
      </c>
      <c r="F3251" s="9" t="s">
        <v>13284</v>
      </c>
      <c r="G3251" s="9" t="s">
        <v>13284</v>
      </c>
      <c r="H3251" s="9" t="s">
        <v>13284</v>
      </c>
      <c r="I3251" s="9" t="s">
        <v>13284</v>
      </c>
      <c r="J3251" s="9" t="s">
        <v>13284</v>
      </c>
      <c r="K3251" s="9" t="s">
        <v>13284</v>
      </c>
      <c r="L3251" s="9" t="s">
        <v>13284</v>
      </c>
      <c r="M3251" s="9" t="s">
        <v>13284</v>
      </c>
      <c r="N3251" s="9" t="s">
        <v>13284</v>
      </c>
      <c r="O3251" s="9" t="s">
        <v>13284</v>
      </c>
      <c r="P3251" s="9" t="s">
        <v>13284</v>
      </c>
      <c r="Q3251" s="9" t="s">
        <v>13284</v>
      </c>
      <c r="R3251" s="9" t="s">
        <v>13284</v>
      </c>
      <c r="S3251" s="9" t="s">
        <v>13284</v>
      </c>
      <c r="T3251" s="9" t="str">
        <f ca="1">IFERROR(IF(AND(VLOOKUP(A3251, 'Актуальное состояние (из общего'!A:C,3,0) = "", A3251 &lt;&gt; ""), "ПРОВЕРИТЬ", VLOOKUP(A3251, 'Актуальное состояние (из общего'!A:C,3,0)), "")</f>
        <v/>
      </c>
      <c r="U3251" s="9" t="s">
        <v>13284</v>
      </c>
      <c r="V3251" s="9" t="s">
        <v>13284</v>
      </c>
      <c r="W3251" s="12"/>
      <c r="X3251" s="9" t="str">
        <f t="array" ref="X3251">IFERROR(INDEX('Адреса общежитий (скрытый)'!$B$2:$B$9, MATCH(W3251, 'Адреса общежитий (скрытый)'!$A$2:$A$9, 0)), "")</f>
        <v/>
      </c>
      <c r="Y3251" s="18"/>
      <c r="Z3251" s="18"/>
      <c r="AA3251" s="18"/>
      <c r="AB3251" s="18"/>
      <c r="AC3251" s="18"/>
    </row>
    <row r="3252" spans="1:29" ht="32.25" hidden="1" customHeight="1">
      <c r="A3252" s="17"/>
      <c r="B3252" s="9" t="s">
        <v>13284</v>
      </c>
      <c r="C3252" s="9" t="s">
        <v>13284</v>
      </c>
      <c r="D3252" s="9" t="s">
        <v>13284</v>
      </c>
      <c r="E3252" s="9" t="s">
        <v>13284</v>
      </c>
      <c r="F3252" s="9" t="s">
        <v>13284</v>
      </c>
      <c r="G3252" s="9" t="s">
        <v>13284</v>
      </c>
      <c r="H3252" s="9" t="s">
        <v>13284</v>
      </c>
      <c r="I3252" s="9" t="s">
        <v>13284</v>
      </c>
      <c r="J3252" s="9" t="s">
        <v>13284</v>
      </c>
      <c r="K3252" s="9" t="s">
        <v>13284</v>
      </c>
      <c r="L3252" s="9" t="s">
        <v>13284</v>
      </c>
      <c r="M3252" s="9" t="s">
        <v>13284</v>
      </c>
      <c r="N3252" s="9" t="s">
        <v>13284</v>
      </c>
      <c r="O3252" s="9" t="s">
        <v>13284</v>
      </c>
      <c r="P3252" s="9" t="s">
        <v>13284</v>
      </c>
      <c r="Q3252" s="9" t="s">
        <v>13284</v>
      </c>
      <c r="R3252" s="9" t="s">
        <v>13284</v>
      </c>
      <c r="S3252" s="9" t="s">
        <v>13284</v>
      </c>
      <c r="T3252" s="9" t="str">
        <f ca="1">IFERROR(IF(AND(VLOOKUP(A3252, 'Актуальное состояние (из общего'!A:C,3,0) = "", A3252 &lt;&gt; ""), "ПРОВЕРИТЬ", VLOOKUP(A3252, 'Актуальное состояние (из общего'!A:C,3,0)), "")</f>
        <v/>
      </c>
      <c r="U3252" s="9" t="s">
        <v>13284</v>
      </c>
      <c r="V3252" s="9" t="s">
        <v>13284</v>
      </c>
      <c r="W3252" s="12"/>
      <c r="X3252" s="9" t="str">
        <f t="array" ref="X3252">IFERROR(INDEX('Адреса общежитий (скрытый)'!$B$2:$B$9, MATCH(W3252, 'Адреса общежитий (скрытый)'!$A$2:$A$9, 0)), "")</f>
        <v/>
      </c>
      <c r="Y3252" s="18"/>
      <c r="Z3252" s="18"/>
      <c r="AA3252" s="18"/>
      <c r="AB3252" s="18"/>
      <c r="AC3252" s="18"/>
    </row>
    <row r="3253" spans="1:29" ht="32.25" hidden="1" customHeight="1">
      <c r="A3253" s="17"/>
      <c r="B3253" s="9" t="s">
        <v>13284</v>
      </c>
      <c r="C3253" s="9" t="s">
        <v>13284</v>
      </c>
      <c r="D3253" s="9" t="s">
        <v>13284</v>
      </c>
      <c r="E3253" s="9" t="s">
        <v>13284</v>
      </c>
      <c r="F3253" s="9" t="s">
        <v>13284</v>
      </c>
      <c r="G3253" s="9" t="s">
        <v>13284</v>
      </c>
      <c r="H3253" s="9" t="s">
        <v>13284</v>
      </c>
      <c r="I3253" s="9" t="s">
        <v>13284</v>
      </c>
      <c r="J3253" s="9" t="s">
        <v>13284</v>
      </c>
      <c r="K3253" s="9" t="s">
        <v>13284</v>
      </c>
      <c r="L3253" s="9" t="s">
        <v>13284</v>
      </c>
      <c r="M3253" s="9" t="s">
        <v>13284</v>
      </c>
      <c r="N3253" s="9" t="s">
        <v>13284</v>
      </c>
      <c r="O3253" s="9" t="s">
        <v>13284</v>
      </c>
      <c r="P3253" s="9" t="s">
        <v>13284</v>
      </c>
      <c r="Q3253" s="9" t="s">
        <v>13284</v>
      </c>
      <c r="R3253" s="9" t="s">
        <v>13284</v>
      </c>
      <c r="S3253" s="9" t="s">
        <v>13284</v>
      </c>
      <c r="T3253" s="9" t="str">
        <f ca="1">IFERROR(IF(AND(VLOOKUP(A3253, 'Актуальное состояние (из общего'!A:C,3,0) = "", A3253 &lt;&gt; ""), "ПРОВЕРИТЬ", VLOOKUP(A3253, 'Актуальное состояние (из общего'!A:C,3,0)), "")</f>
        <v/>
      </c>
      <c r="U3253" s="9" t="s">
        <v>13284</v>
      </c>
      <c r="V3253" s="9" t="s">
        <v>13284</v>
      </c>
      <c r="W3253" s="12"/>
      <c r="X3253" s="9" t="str">
        <f t="array" ref="X3253">IFERROR(INDEX('Адреса общежитий (скрытый)'!$B$2:$B$9, MATCH(W3253, 'Адреса общежитий (скрытый)'!$A$2:$A$9, 0)), "")</f>
        <v/>
      </c>
      <c r="Y3253" s="18"/>
      <c r="Z3253" s="18"/>
      <c r="AA3253" s="18"/>
      <c r="AB3253" s="18"/>
      <c r="AC3253" s="18"/>
    </row>
    <row r="3254" spans="1:29" ht="32.25" hidden="1" customHeight="1">
      <c r="A3254" s="17"/>
      <c r="B3254" s="9" t="s">
        <v>13284</v>
      </c>
      <c r="C3254" s="9" t="s">
        <v>13284</v>
      </c>
      <c r="D3254" s="9" t="s">
        <v>13284</v>
      </c>
      <c r="E3254" s="9" t="s">
        <v>13284</v>
      </c>
      <c r="F3254" s="9" t="s">
        <v>13284</v>
      </c>
      <c r="G3254" s="9" t="s">
        <v>13284</v>
      </c>
      <c r="H3254" s="9" t="s">
        <v>13284</v>
      </c>
      <c r="I3254" s="9" t="s">
        <v>13284</v>
      </c>
      <c r="J3254" s="9" t="s">
        <v>13284</v>
      </c>
      <c r="K3254" s="9" t="s">
        <v>13284</v>
      </c>
      <c r="L3254" s="9" t="s">
        <v>13284</v>
      </c>
      <c r="M3254" s="9" t="s">
        <v>13284</v>
      </c>
      <c r="N3254" s="9" t="s">
        <v>13284</v>
      </c>
      <c r="O3254" s="9" t="s">
        <v>13284</v>
      </c>
      <c r="P3254" s="9" t="s">
        <v>13284</v>
      </c>
      <c r="Q3254" s="9" t="s">
        <v>13284</v>
      </c>
      <c r="R3254" s="9" t="s">
        <v>13284</v>
      </c>
      <c r="S3254" s="9" t="s">
        <v>13284</v>
      </c>
      <c r="T3254" s="9" t="str">
        <f ca="1">IFERROR(IF(AND(VLOOKUP(A3254, 'Актуальное состояние (из общего'!A:C,3,0) = "", A3254 &lt;&gt; ""), "ПРОВЕРИТЬ", VLOOKUP(A3254, 'Актуальное состояние (из общего'!A:C,3,0)), "")</f>
        <v/>
      </c>
      <c r="U3254" s="9" t="s">
        <v>13284</v>
      </c>
      <c r="V3254" s="9" t="s">
        <v>13284</v>
      </c>
      <c r="W3254" s="12"/>
      <c r="X3254" s="9" t="str">
        <f t="array" ref="X3254">IFERROR(INDEX('Адреса общежитий (скрытый)'!$B$2:$B$9, MATCH(W3254, 'Адреса общежитий (скрытый)'!$A$2:$A$9, 0)), "")</f>
        <v/>
      </c>
      <c r="Y3254" s="18"/>
      <c r="Z3254" s="18"/>
      <c r="AA3254" s="18"/>
      <c r="AB3254" s="18"/>
      <c r="AC3254" s="18"/>
    </row>
    <row r="3255" spans="1:29" ht="32.25" hidden="1" customHeight="1">
      <c r="A3255" s="17"/>
      <c r="B3255" s="9" t="s">
        <v>13284</v>
      </c>
      <c r="C3255" s="9" t="s">
        <v>13284</v>
      </c>
      <c r="D3255" s="9" t="s">
        <v>13284</v>
      </c>
      <c r="E3255" s="9" t="s">
        <v>13284</v>
      </c>
      <c r="F3255" s="9" t="s">
        <v>13284</v>
      </c>
      <c r="G3255" s="9" t="s">
        <v>13284</v>
      </c>
      <c r="H3255" s="9" t="s">
        <v>13284</v>
      </c>
      <c r="I3255" s="9" t="s">
        <v>13284</v>
      </c>
      <c r="J3255" s="9" t="s">
        <v>13284</v>
      </c>
      <c r="K3255" s="9" t="s">
        <v>13284</v>
      </c>
      <c r="L3255" s="9" t="s">
        <v>13284</v>
      </c>
      <c r="M3255" s="9" t="s">
        <v>13284</v>
      </c>
      <c r="N3255" s="9" t="s">
        <v>13284</v>
      </c>
      <c r="O3255" s="9" t="s">
        <v>13284</v>
      </c>
      <c r="P3255" s="9" t="s">
        <v>13284</v>
      </c>
      <c r="Q3255" s="9" t="s">
        <v>13284</v>
      </c>
      <c r="R3255" s="9" t="s">
        <v>13284</v>
      </c>
      <c r="S3255" s="9" t="s">
        <v>13284</v>
      </c>
      <c r="T3255" s="9" t="str">
        <f ca="1">IFERROR(IF(AND(VLOOKUP(A3255, 'Актуальное состояние (из общего'!A:C,3,0) = "", A3255 &lt;&gt; ""), "ПРОВЕРИТЬ", VLOOKUP(A3255, 'Актуальное состояние (из общего'!A:C,3,0)), "")</f>
        <v/>
      </c>
      <c r="U3255" s="9" t="s">
        <v>13284</v>
      </c>
      <c r="V3255" s="9" t="s">
        <v>13284</v>
      </c>
      <c r="W3255" s="12"/>
      <c r="X3255" s="9" t="str">
        <f t="array" ref="X3255">IFERROR(INDEX('Адреса общежитий (скрытый)'!$B$2:$B$9, MATCH(W3255, 'Адреса общежитий (скрытый)'!$A$2:$A$9, 0)), "")</f>
        <v/>
      </c>
      <c r="Y3255" s="18"/>
      <c r="Z3255" s="18"/>
      <c r="AA3255" s="18"/>
      <c r="AB3255" s="18"/>
      <c r="AC3255" s="18"/>
    </row>
    <row r="3256" spans="1:29" ht="32.25" hidden="1" customHeight="1">
      <c r="A3256" s="17"/>
      <c r="B3256" s="9" t="s">
        <v>13284</v>
      </c>
      <c r="C3256" s="9" t="s">
        <v>13284</v>
      </c>
      <c r="D3256" s="9" t="s">
        <v>13284</v>
      </c>
      <c r="E3256" s="9" t="s">
        <v>13284</v>
      </c>
      <c r="F3256" s="9" t="s">
        <v>13284</v>
      </c>
      <c r="G3256" s="9" t="s">
        <v>13284</v>
      </c>
      <c r="H3256" s="9" t="s">
        <v>13284</v>
      </c>
      <c r="I3256" s="9" t="s">
        <v>13284</v>
      </c>
      <c r="J3256" s="9" t="s">
        <v>13284</v>
      </c>
      <c r="K3256" s="9" t="s">
        <v>13284</v>
      </c>
      <c r="L3256" s="9" t="s">
        <v>13284</v>
      </c>
      <c r="M3256" s="9" t="s">
        <v>13284</v>
      </c>
      <c r="N3256" s="9" t="s">
        <v>13284</v>
      </c>
      <c r="O3256" s="9" t="s">
        <v>13284</v>
      </c>
      <c r="P3256" s="9" t="s">
        <v>13284</v>
      </c>
      <c r="Q3256" s="9" t="s">
        <v>13284</v>
      </c>
      <c r="R3256" s="9" t="s">
        <v>13284</v>
      </c>
      <c r="S3256" s="9" t="s">
        <v>13284</v>
      </c>
      <c r="T3256" s="9" t="str">
        <f ca="1">IFERROR(IF(AND(VLOOKUP(A3256, 'Актуальное состояние (из общего'!A:C,3,0) = "", A3256 &lt;&gt; ""), "ПРОВЕРИТЬ", VLOOKUP(A3256, 'Актуальное состояние (из общего'!A:C,3,0)), "")</f>
        <v/>
      </c>
      <c r="U3256" s="9" t="s">
        <v>13284</v>
      </c>
      <c r="V3256" s="9" t="s">
        <v>13284</v>
      </c>
      <c r="W3256" s="12"/>
      <c r="X3256" s="9" t="str">
        <f t="array" ref="X3256">IFERROR(INDEX('Адреса общежитий (скрытый)'!$B$2:$B$9, MATCH(W3256, 'Адреса общежитий (скрытый)'!$A$2:$A$9, 0)), "")</f>
        <v/>
      </c>
      <c r="Y3256" s="18"/>
      <c r="Z3256" s="18"/>
      <c r="AA3256" s="18"/>
      <c r="AB3256" s="18"/>
      <c r="AC3256" s="18"/>
    </row>
    <row r="3257" spans="1:29" ht="32.25" hidden="1" customHeight="1">
      <c r="A3257" s="17"/>
      <c r="B3257" s="9" t="s">
        <v>13284</v>
      </c>
      <c r="C3257" s="9" t="s">
        <v>13284</v>
      </c>
      <c r="D3257" s="9" t="s">
        <v>13284</v>
      </c>
      <c r="E3257" s="9" t="s">
        <v>13284</v>
      </c>
      <c r="F3257" s="9" t="s">
        <v>13284</v>
      </c>
      <c r="G3257" s="9" t="s">
        <v>13284</v>
      </c>
      <c r="H3257" s="9" t="s">
        <v>13284</v>
      </c>
      <c r="I3257" s="9" t="s">
        <v>13284</v>
      </c>
      <c r="J3257" s="9" t="s">
        <v>13284</v>
      </c>
      <c r="K3257" s="9" t="s">
        <v>13284</v>
      </c>
      <c r="L3257" s="9" t="s">
        <v>13284</v>
      </c>
      <c r="M3257" s="9" t="s">
        <v>13284</v>
      </c>
      <c r="N3257" s="9" t="s">
        <v>13284</v>
      </c>
      <c r="O3257" s="9" t="s">
        <v>13284</v>
      </c>
      <c r="P3257" s="9" t="s">
        <v>13284</v>
      </c>
      <c r="Q3257" s="9" t="s">
        <v>13284</v>
      </c>
      <c r="R3257" s="9" t="s">
        <v>13284</v>
      </c>
      <c r="S3257" s="9" t="s">
        <v>13284</v>
      </c>
      <c r="T3257" s="9" t="str">
        <f ca="1">IFERROR(IF(AND(VLOOKUP(A3257, 'Актуальное состояние (из общего'!A:C,3,0) = "", A3257 &lt;&gt; ""), "ПРОВЕРИТЬ", VLOOKUP(A3257, 'Актуальное состояние (из общего'!A:C,3,0)), "")</f>
        <v/>
      </c>
      <c r="U3257" s="9" t="s">
        <v>13284</v>
      </c>
      <c r="V3257" s="9" t="s">
        <v>13284</v>
      </c>
      <c r="W3257" s="12"/>
      <c r="X3257" s="9" t="str">
        <f t="array" ref="X3257">IFERROR(INDEX('Адреса общежитий (скрытый)'!$B$2:$B$9, MATCH(W3257, 'Адреса общежитий (скрытый)'!$A$2:$A$9, 0)), "")</f>
        <v/>
      </c>
      <c r="Y3257" s="18"/>
      <c r="Z3257" s="18"/>
      <c r="AA3257" s="18"/>
      <c r="AB3257" s="18"/>
      <c r="AC3257" s="18"/>
    </row>
    <row r="3258" spans="1:29" ht="32.25" hidden="1" customHeight="1">
      <c r="A3258" s="17"/>
      <c r="B3258" s="9" t="s">
        <v>13284</v>
      </c>
      <c r="C3258" s="9" t="s">
        <v>13284</v>
      </c>
      <c r="D3258" s="9" t="s">
        <v>13284</v>
      </c>
      <c r="E3258" s="9" t="s">
        <v>13284</v>
      </c>
      <c r="F3258" s="9" t="s">
        <v>13284</v>
      </c>
      <c r="G3258" s="9" t="s">
        <v>13284</v>
      </c>
      <c r="H3258" s="9" t="s">
        <v>13284</v>
      </c>
      <c r="I3258" s="9" t="s">
        <v>13284</v>
      </c>
      <c r="J3258" s="9" t="s">
        <v>13284</v>
      </c>
      <c r="K3258" s="9" t="s">
        <v>13284</v>
      </c>
      <c r="L3258" s="9" t="s">
        <v>13284</v>
      </c>
      <c r="M3258" s="9" t="s">
        <v>13284</v>
      </c>
      <c r="N3258" s="9" t="s">
        <v>13284</v>
      </c>
      <c r="O3258" s="9" t="s">
        <v>13284</v>
      </c>
      <c r="P3258" s="9" t="s">
        <v>13284</v>
      </c>
      <c r="Q3258" s="9" t="s">
        <v>13284</v>
      </c>
      <c r="R3258" s="9" t="s">
        <v>13284</v>
      </c>
      <c r="S3258" s="9" t="s">
        <v>13284</v>
      </c>
      <c r="T3258" s="9" t="str">
        <f ca="1">IFERROR(IF(AND(VLOOKUP(A3258, 'Актуальное состояние (из общего'!A:C,3,0) = "", A3258 &lt;&gt; ""), "ПРОВЕРИТЬ", VLOOKUP(A3258, 'Актуальное состояние (из общего'!A:C,3,0)), "")</f>
        <v/>
      </c>
      <c r="U3258" s="9" t="s">
        <v>13284</v>
      </c>
      <c r="V3258" s="9" t="s">
        <v>13284</v>
      </c>
      <c r="W3258" s="12"/>
      <c r="X3258" s="9" t="str">
        <f t="array" ref="X3258">IFERROR(INDEX('Адреса общежитий (скрытый)'!$B$2:$B$9, MATCH(W3258, 'Адреса общежитий (скрытый)'!$A$2:$A$9, 0)), "")</f>
        <v/>
      </c>
      <c r="Y3258" s="18"/>
      <c r="Z3258" s="18"/>
      <c r="AA3258" s="18"/>
      <c r="AB3258" s="18"/>
      <c r="AC3258" s="18"/>
    </row>
    <row r="3259" spans="1:29" ht="32.25" hidden="1" customHeight="1">
      <c r="A3259" s="17"/>
      <c r="B3259" s="9" t="s">
        <v>13284</v>
      </c>
      <c r="C3259" s="9" t="s">
        <v>13284</v>
      </c>
      <c r="D3259" s="9" t="s">
        <v>13284</v>
      </c>
      <c r="E3259" s="9" t="s">
        <v>13284</v>
      </c>
      <c r="F3259" s="9" t="s">
        <v>13284</v>
      </c>
      <c r="G3259" s="9" t="s">
        <v>13284</v>
      </c>
      <c r="H3259" s="9" t="s">
        <v>13284</v>
      </c>
      <c r="I3259" s="9" t="s">
        <v>13284</v>
      </c>
      <c r="J3259" s="9" t="s">
        <v>13284</v>
      </c>
      <c r="K3259" s="9" t="s">
        <v>13284</v>
      </c>
      <c r="L3259" s="9" t="s">
        <v>13284</v>
      </c>
      <c r="M3259" s="9" t="s">
        <v>13284</v>
      </c>
      <c r="N3259" s="9" t="s">
        <v>13284</v>
      </c>
      <c r="O3259" s="9" t="s">
        <v>13284</v>
      </c>
      <c r="P3259" s="9" t="s">
        <v>13284</v>
      </c>
      <c r="Q3259" s="9" t="s">
        <v>13284</v>
      </c>
      <c r="R3259" s="9" t="s">
        <v>13284</v>
      </c>
      <c r="S3259" s="9" t="s">
        <v>13284</v>
      </c>
      <c r="T3259" s="9" t="str">
        <f ca="1">IFERROR(IF(AND(VLOOKUP(A3259, 'Актуальное состояние (из общего'!A:C,3,0) = "", A3259 &lt;&gt; ""), "ПРОВЕРИТЬ", VLOOKUP(A3259, 'Актуальное состояние (из общего'!A:C,3,0)), "")</f>
        <v/>
      </c>
      <c r="U3259" s="9" t="s">
        <v>13284</v>
      </c>
      <c r="V3259" s="9" t="s">
        <v>13284</v>
      </c>
      <c r="W3259" s="12"/>
      <c r="X3259" s="9" t="str">
        <f t="array" ref="X3259">IFERROR(INDEX('Адреса общежитий (скрытый)'!$B$2:$B$9, MATCH(W3259, 'Адреса общежитий (скрытый)'!$A$2:$A$9, 0)), "")</f>
        <v/>
      </c>
      <c r="Y3259" s="18"/>
      <c r="Z3259" s="18"/>
      <c r="AA3259" s="18"/>
      <c r="AB3259" s="18"/>
      <c r="AC3259" s="18"/>
    </row>
    <row r="3260" spans="1:29" ht="32.25" hidden="1" customHeight="1">
      <c r="A3260" s="17"/>
      <c r="B3260" s="9" t="s">
        <v>13284</v>
      </c>
      <c r="C3260" s="9" t="s">
        <v>13284</v>
      </c>
      <c r="D3260" s="9" t="s">
        <v>13284</v>
      </c>
      <c r="E3260" s="9" t="s">
        <v>13284</v>
      </c>
      <c r="F3260" s="9" t="s">
        <v>13284</v>
      </c>
      <c r="G3260" s="9" t="s">
        <v>13284</v>
      </c>
      <c r="H3260" s="9" t="s">
        <v>13284</v>
      </c>
      <c r="I3260" s="9" t="s">
        <v>13284</v>
      </c>
      <c r="J3260" s="9" t="s">
        <v>13284</v>
      </c>
      <c r="K3260" s="9" t="s">
        <v>13284</v>
      </c>
      <c r="L3260" s="9" t="s">
        <v>13284</v>
      </c>
      <c r="M3260" s="9" t="s">
        <v>13284</v>
      </c>
      <c r="N3260" s="9" t="s">
        <v>13284</v>
      </c>
      <c r="O3260" s="9" t="s">
        <v>13284</v>
      </c>
      <c r="P3260" s="9" t="s">
        <v>13284</v>
      </c>
      <c r="Q3260" s="9" t="s">
        <v>13284</v>
      </c>
      <c r="R3260" s="9" t="s">
        <v>13284</v>
      </c>
      <c r="S3260" s="9" t="s">
        <v>13284</v>
      </c>
      <c r="T3260" s="9" t="str">
        <f ca="1">IFERROR(IF(AND(VLOOKUP(A3260, 'Актуальное состояние (из общего'!A:C,3,0) = "", A3260 &lt;&gt; ""), "ПРОВЕРИТЬ", VLOOKUP(A3260, 'Актуальное состояние (из общего'!A:C,3,0)), "")</f>
        <v/>
      </c>
      <c r="U3260" s="9" t="s">
        <v>13284</v>
      </c>
      <c r="V3260" s="9" t="s">
        <v>13284</v>
      </c>
      <c r="W3260" s="12"/>
      <c r="X3260" s="9" t="str">
        <f t="array" ref="X3260">IFERROR(INDEX('Адреса общежитий (скрытый)'!$B$2:$B$9, MATCH(W3260, 'Адреса общежитий (скрытый)'!$A$2:$A$9, 0)), "")</f>
        <v/>
      </c>
      <c r="Y3260" s="18"/>
      <c r="Z3260" s="18"/>
      <c r="AA3260" s="18"/>
      <c r="AB3260" s="18"/>
      <c r="AC3260" s="18"/>
    </row>
    <row r="3261" spans="1:29" ht="32.25" hidden="1" customHeight="1">
      <c r="A3261" s="17"/>
      <c r="B3261" s="9" t="s">
        <v>13284</v>
      </c>
      <c r="C3261" s="9" t="s">
        <v>13284</v>
      </c>
      <c r="D3261" s="9" t="s">
        <v>13284</v>
      </c>
      <c r="E3261" s="9" t="s">
        <v>13284</v>
      </c>
      <c r="F3261" s="9" t="s">
        <v>13284</v>
      </c>
      <c r="G3261" s="9" t="s">
        <v>13284</v>
      </c>
      <c r="H3261" s="9" t="s">
        <v>13284</v>
      </c>
      <c r="I3261" s="9" t="s">
        <v>13284</v>
      </c>
      <c r="J3261" s="9" t="s">
        <v>13284</v>
      </c>
      <c r="K3261" s="9" t="s">
        <v>13284</v>
      </c>
      <c r="L3261" s="9" t="s">
        <v>13284</v>
      </c>
      <c r="M3261" s="9" t="s">
        <v>13284</v>
      </c>
      <c r="N3261" s="9" t="s">
        <v>13284</v>
      </c>
      <c r="O3261" s="9" t="s">
        <v>13284</v>
      </c>
      <c r="P3261" s="9" t="s">
        <v>13284</v>
      </c>
      <c r="Q3261" s="9" t="s">
        <v>13284</v>
      </c>
      <c r="R3261" s="9" t="s">
        <v>13284</v>
      </c>
      <c r="S3261" s="9" t="s">
        <v>13284</v>
      </c>
      <c r="T3261" s="9" t="str">
        <f ca="1">IFERROR(IF(AND(VLOOKUP(A3261, 'Актуальное состояние (из общего'!A:C,3,0) = "", A3261 &lt;&gt; ""), "ПРОВЕРИТЬ", VLOOKUP(A3261, 'Актуальное состояние (из общего'!A:C,3,0)), "")</f>
        <v/>
      </c>
      <c r="U3261" s="9" t="s">
        <v>13284</v>
      </c>
      <c r="V3261" s="9" t="s">
        <v>13284</v>
      </c>
      <c r="W3261" s="12"/>
      <c r="X3261" s="9" t="str">
        <f t="array" ref="X3261">IFERROR(INDEX('Адреса общежитий (скрытый)'!$B$2:$B$9, MATCH(W3261, 'Адреса общежитий (скрытый)'!$A$2:$A$9, 0)), "")</f>
        <v/>
      </c>
      <c r="Y3261" s="18"/>
      <c r="Z3261" s="18"/>
      <c r="AA3261" s="18"/>
      <c r="AB3261" s="18"/>
      <c r="AC3261" s="18"/>
    </row>
    <row r="3262" spans="1:29" ht="32.25" hidden="1" customHeight="1">
      <c r="A3262" s="17"/>
      <c r="B3262" s="9" t="s">
        <v>13284</v>
      </c>
      <c r="C3262" s="9" t="s">
        <v>13284</v>
      </c>
      <c r="D3262" s="9" t="s">
        <v>13284</v>
      </c>
      <c r="E3262" s="9" t="s">
        <v>13284</v>
      </c>
      <c r="F3262" s="9" t="s">
        <v>13284</v>
      </c>
      <c r="G3262" s="9" t="s">
        <v>13284</v>
      </c>
      <c r="H3262" s="9" t="s">
        <v>13284</v>
      </c>
      <c r="I3262" s="9" t="s">
        <v>13284</v>
      </c>
      <c r="J3262" s="9" t="s">
        <v>13284</v>
      </c>
      <c r="K3262" s="9" t="s">
        <v>13284</v>
      </c>
      <c r="L3262" s="9" t="s">
        <v>13284</v>
      </c>
      <c r="M3262" s="9" t="s">
        <v>13284</v>
      </c>
      <c r="N3262" s="9" t="s">
        <v>13284</v>
      </c>
      <c r="O3262" s="9" t="s">
        <v>13284</v>
      </c>
      <c r="P3262" s="9" t="s">
        <v>13284</v>
      </c>
      <c r="Q3262" s="9" t="s">
        <v>13284</v>
      </c>
      <c r="R3262" s="9" t="s">
        <v>13284</v>
      </c>
      <c r="S3262" s="9" t="s">
        <v>13284</v>
      </c>
      <c r="T3262" s="9" t="str">
        <f ca="1">IFERROR(IF(AND(VLOOKUP(A3262, 'Актуальное состояние (из общего'!A:C,3,0) = "", A3262 &lt;&gt; ""), "ПРОВЕРИТЬ", VLOOKUP(A3262, 'Актуальное состояние (из общего'!A:C,3,0)), "")</f>
        <v/>
      </c>
      <c r="U3262" s="9" t="s">
        <v>13284</v>
      </c>
      <c r="V3262" s="9" t="s">
        <v>13284</v>
      </c>
      <c r="W3262" s="12"/>
      <c r="X3262" s="9" t="str">
        <f t="array" ref="X3262">IFERROR(INDEX('Адреса общежитий (скрытый)'!$B$2:$B$9, MATCH(W3262, 'Адреса общежитий (скрытый)'!$A$2:$A$9, 0)), "")</f>
        <v/>
      </c>
      <c r="Y3262" s="18"/>
      <c r="Z3262" s="18"/>
      <c r="AA3262" s="18"/>
      <c r="AB3262" s="18"/>
      <c r="AC3262" s="18"/>
    </row>
    <row r="3263" spans="1:29" ht="32.25" hidden="1" customHeight="1">
      <c r="A3263" s="17"/>
      <c r="B3263" s="9" t="s">
        <v>13284</v>
      </c>
      <c r="C3263" s="9" t="s">
        <v>13284</v>
      </c>
      <c r="D3263" s="9" t="s">
        <v>13284</v>
      </c>
      <c r="E3263" s="9" t="s">
        <v>13284</v>
      </c>
      <c r="F3263" s="9" t="s">
        <v>13284</v>
      </c>
      <c r="G3263" s="9" t="s">
        <v>13284</v>
      </c>
      <c r="H3263" s="9" t="s">
        <v>13284</v>
      </c>
      <c r="I3263" s="9" t="s">
        <v>13284</v>
      </c>
      <c r="J3263" s="9" t="s">
        <v>13284</v>
      </c>
      <c r="K3263" s="9" t="s">
        <v>13284</v>
      </c>
      <c r="L3263" s="9" t="s">
        <v>13284</v>
      </c>
      <c r="M3263" s="9" t="s">
        <v>13284</v>
      </c>
      <c r="N3263" s="9" t="s">
        <v>13284</v>
      </c>
      <c r="O3263" s="9" t="s">
        <v>13284</v>
      </c>
      <c r="P3263" s="9" t="s">
        <v>13284</v>
      </c>
      <c r="Q3263" s="9" t="s">
        <v>13284</v>
      </c>
      <c r="R3263" s="9" t="s">
        <v>13284</v>
      </c>
      <c r="S3263" s="9" t="s">
        <v>13284</v>
      </c>
      <c r="T3263" s="9" t="str">
        <f ca="1">IFERROR(IF(AND(VLOOKUP(A3263, 'Актуальное состояние (из общего'!A:C,3,0) = "", A3263 &lt;&gt; ""), "ПРОВЕРИТЬ", VLOOKUP(A3263, 'Актуальное состояние (из общего'!A:C,3,0)), "")</f>
        <v/>
      </c>
      <c r="U3263" s="9" t="s">
        <v>13284</v>
      </c>
      <c r="V3263" s="9" t="s">
        <v>13284</v>
      </c>
      <c r="W3263" s="12"/>
      <c r="X3263" s="9" t="str">
        <f t="array" ref="X3263">IFERROR(INDEX('Адреса общежитий (скрытый)'!$B$2:$B$9, MATCH(W3263, 'Адреса общежитий (скрытый)'!$A$2:$A$9, 0)), "")</f>
        <v/>
      </c>
      <c r="Y3263" s="18"/>
      <c r="Z3263" s="18"/>
      <c r="AA3263" s="18"/>
      <c r="AB3263" s="18"/>
      <c r="AC3263" s="18"/>
    </row>
    <row r="3264" spans="1:29" ht="32.25" hidden="1" customHeight="1">
      <c r="A3264" s="17"/>
      <c r="B3264" s="9" t="s">
        <v>13284</v>
      </c>
      <c r="C3264" s="9" t="s">
        <v>13284</v>
      </c>
      <c r="D3264" s="9" t="s">
        <v>13284</v>
      </c>
      <c r="E3264" s="9" t="s">
        <v>13284</v>
      </c>
      <c r="F3264" s="9" t="s">
        <v>13284</v>
      </c>
      <c r="G3264" s="9" t="s">
        <v>13284</v>
      </c>
      <c r="H3264" s="9" t="s">
        <v>13284</v>
      </c>
      <c r="I3264" s="9" t="s">
        <v>13284</v>
      </c>
      <c r="J3264" s="9" t="s">
        <v>13284</v>
      </c>
      <c r="K3264" s="9" t="s">
        <v>13284</v>
      </c>
      <c r="L3264" s="9" t="s">
        <v>13284</v>
      </c>
      <c r="M3264" s="9" t="s">
        <v>13284</v>
      </c>
      <c r="N3264" s="9" t="s">
        <v>13284</v>
      </c>
      <c r="O3264" s="9" t="s">
        <v>13284</v>
      </c>
      <c r="P3264" s="9" t="s">
        <v>13284</v>
      </c>
      <c r="Q3264" s="9" t="s">
        <v>13284</v>
      </c>
      <c r="R3264" s="9" t="s">
        <v>13284</v>
      </c>
      <c r="S3264" s="9" t="s">
        <v>13284</v>
      </c>
      <c r="T3264" s="9" t="str">
        <f ca="1">IFERROR(IF(AND(VLOOKUP(A3264, 'Актуальное состояние (из общего'!A:C,3,0) = "", A3264 &lt;&gt; ""), "ПРОВЕРИТЬ", VLOOKUP(A3264, 'Актуальное состояние (из общего'!A:C,3,0)), "")</f>
        <v/>
      </c>
      <c r="U3264" s="9" t="s">
        <v>13284</v>
      </c>
      <c r="V3264" s="9" t="s">
        <v>13284</v>
      </c>
      <c r="W3264" s="12"/>
      <c r="X3264" s="9" t="str">
        <f t="array" ref="X3264">IFERROR(INDEX('Адреса общежитий (скрытый)'!$B$2:$B$9, MATCH(W3264, 'Адреса общежитий (скрытый)'!$A$2:$A$9, 0)), "")</f>
        <v/>
      </c>
      <c r="Y3264" s="18"/>
      <c r="Z3264" s="18"/>
      <c r="AA3264" s="18"/>
      <c r="AB3264" s="18"/>
      <c r="AC3264" s="18"/>
    </row>
    <row r="3265" spans="1:29" ht="32.25" hidden="1" customHeight="1">
      <c r="A3265" s="17"/>
      <c r="B3265" s="9" t="s">
        <v>13284</v>
      </c>
      <c r="C3265" s="9" t="s">
        <v>13284</v>
      </c>
      <c r="D3265" s="9" t="s">
        <v>13284</v>
      </c>
      <c r="E3265" s="9" t="s">
        <v>13284</v>
      </c>
      <c r="F3265" s="9" t="s">
        <v>13284</v>
      </c>
      <c r="G3265" s="9" t="s">
        <v>13284</v>
      </c>
      <c r="H3265" s="9" t="s">
        <v>13284</v>
      </c>
      <c r="I3265" s="9" t="s">
        <v>13284</v>
      </c>
      <c r="J3265" s="9" t="s">
        <v>13284</v>
      </c>
      <c r="K3265" s="9" t="s">
        <v>13284</v>
      </c>
      <c r="L3265" s="9" t="s">
        <v>13284</v>
      </c>
      <c r="M3265" s="9" t="s">
        <v>13284</v>
      </c>
      <c r="N3265" s="9" t="s">
        <v>13284</v>
      </c>
      <c r="O3265" s="9" t="s">
        <v>13284</v>
      </c>
      <c r="P3265" s="9" t="s">
        <v>13284</v>
      </c>
      <c r="Q3265" s="9" t="s">
        <v>13284</v>
      </c>
      <c r="R3265" s="9" t="s">
        <v>13284</v>
      </c>
      <c r="S3265" s="9" t="s">
        <v>13284</v>
      </c>
      <c r="T3265" s="9" t="str">
        <f ca="1">IFERROR(IF(AND(VLOOKUP(A3265, 'Актуальное состояние (из общего'!A:C,3,0) = "", A3265 &lt;&gt; ""), "ПРОВЕРИТЬ", VLOOKUP(A3265, 'Актуальное состояние (из общего'!A:C,3,0)), "")</f>
        <v/>
      </c>
      <c r="U3265" s="9" t="s">
        <v>13284</v>
      </c>
      <c r="V3265" s="9" t="s">
        <v>13284</v>
      </c>
      <c r="W3265" s="12"/>
      <c r="X3265" s="9" t="str">
        <f t="array" ref="X3265">IFERROR(INDEX('Адреса общежитий (скрытый)'!$B$2:$B$9, MATCH(W3265, 'Адреса общежитий (скрытый)'!$A$2:$A$9, 0)), "")</f>
        <v/>
      </c>
      <c r="Y3265" s="18"/>
      <c r="Z3265" s="18"/>
      <c r="AA3265" s="18"/>
      <c r="AB3265" s="18"/>
      <c r="AC3265" s="18"/>
    </row>
    <row r="3266" spans="1:29" ht="32.25" hidden="1" customHeight="1">
      <c r="A3266" s="17"/>
      <c r="B3266" s="9" t="s">
        <v>13284</v>
      </c>
      <c r="C3266" s="9" t="s">
        <v>13284</v>
      </c>
      <c r="D3266" s="9" t="s">
        <v>13284</v>
      </c>
      <c r="E3266" s="9" t="s">
        <v>13284</v>
      </c>
      <c r="F3266" s="9" t="s">
        <v>13284</v>
      </c>
      <c r="G3266" s="9" t="s">
        <v>13284</v>
      </c>
      <c r="H3266" s="9" t="s">
        <v>13284</v>
      </c>
      <c r="I3266" s="9" t="s">
        <v>13284</v>
      </c>
      <c r="J3266" s="9" t="s">
        <v>13284</v>
      </c>
      <c r="K3266" s="9" t="s">
        <v>13284</v>
      </c>
      <c r="L3266" s="9" t="s">
        <v>13284</v>
      </c>
      <c r="M3266" s="9" t="s">
        <v>13284</v>
      </c>
      <c r="N3266" s="9" t="s">
        <v>13284</v>
      </c>
      <c r="O3266" s="9" t="s">
        <v>13284</v>
      </c>
      <c r="P3266" s="9" t="s">
        <v>13284</v>
      </c>
      <c r="Q3266" s="9" t="s">
        <v>13284</v>
      </c>
      <c r="R3266" s="9" t="s">
        <v>13284</v>
      </c>
      <c r="S3266" s="9" t="s">
        <v>13284</v>
      </c>
      <c r="T3266" s="9" t="str">
        <f ca="1">IFERROR(IF(AND(VLOOKUP(A3266, 'Актуальное состояние (из общего'!A:C,3,0) = "", A3266 &lt;&gt; ""), "ПРОВЕРИТЬ", VLOOKUP(A3266, 'Актуальное состояние (из общего'!A:C,3,0)), "")</f>
        <v/>
      </c>
      <c r="U3266" s="9" t="s">
        <v>13284</v>
      </c>
      <c r="V3266" s="9" t="s">
        <v>13284</v>
      </c>
      <c r="W3266" s="12"/>
      <c r="X3266" s="9" t="str">
        <f t="array" ref="X3266">IFERROR(INDEX('Адреса общежитий (скрытый)'!$B$2:$B$9, MATCH(W3266, 'Адреса общежитий (скрытый)'!$A$2:$A$9, 0)), "")</f>
        <v/>
      </c>
      <c r="Y3266" s="18"/>
      <c r="Z3266" s="18"/>
      <c r="AA3266" s="18"/>
      <c r="AB3266" s="18"/>
      <c r="AC3266" s="18"/>
    </row>
    <row r="3267" spans="1:29" ht="32.25" hidden="1" customHeight="1">
      <c r="A3267" s="17"/>
      <c r="B3267" s="9" t="s">
        <v>13284</v>
      </c>
      <c r="C3267" s="9" t="s">
        <v>13284</v>
      </c>
      <c r="D3267" s="9" t="s">
        <v>13284</v>
      </c>
      <c r="E3267" s="9" t="s">
        <v>13284</v>
      </c>
      <c r="F3267" s="9" t="s">
        <v>13284</v>
      </c>
      <c r="G3267" s="9" t="s">
        <v>13284</v>
      </c>
      <c r="H3267" s="9" t="s">
        <v>13284</v>
      </c>
      <c r="I3267" s="9" t="s">
        <v>13284</v>
      </c>
      <c r="J3267" s="9" t="s">
        <v>13284</v>
      </c>
      <c r="K3267" s="9" t="s">
        <v>13284</v>
      </c>
      <c r="L3267" s="9" t="s">
        <v>13284</v>
      </c>
      <c r="M3267" s="9" t="s">
        <v>13284</v>
      </c>
      <c r="N3267" s="9" t="s">
        <v>13284</v>
      </c>
      <c r="O3267" s="9" t="s">
        <v>13284</v>
      </c>
      <c r="P3267" s="9" t="s">
        <v>13284</v>
      </c>
      <c r="Q3267" s="9" t="s">
        <v>13284</v>
      </c>
      <c r="R3267" s="9" t="s">
        <v>13284</v>
      </c>
      <c r="S3267" s="9" t="s">
        <v>13284</v>
      </c>
      <c r="T3267" s="9" t="str">
        <f ca="1">IFERROR(IF(AND(VLOOKUP(A3267, 'Актуальное состояние (из общего'!A:C,3,0) = "", A3267 &lt;&gt; ""), "ПРОВЕРИТЬ", VLOOKUP(A3267, 'Актуальное состояние (из общего'!A:C,3,0)), "")</f>
        <v/>
      </c>
      <c r="U3267" s="9" t="s">
        <v>13284</v>
      </c>
      <c r="V3267" s="9" t="s">
        <v>13284</v>
      </c>
      <c r="W3267" s="12"/>
      <c r="X3267" s="9" t="str">
        <f t="array" ref="X3267">IFERROR(INDEX('Адреса общежитий (скрытый)'!$B$2:$B$9, MATCH(W3267, 'Адреса общежитий (скрытый)'!$A$2:$A$9, 0)), "")</f>
        <v/>
      </c>
      <c r="Y3267" s="18"/>
      <c r="Z3267" s="18"/>
      <c r="AA3267" s="18"/>
      <c r="AB3267" s="18"/>
      <c r="AC3267" s="18"/>
    </row>
    <row r="3268" spans="1:29" ht="32.25" hidden="1" customHeight="1">
      <c r="A3268" s="17"/>
      <c r="B3268" s="9" t="s">
        <v>13284</v>
      </c>
      <c r="C3268" s="9" t="s">
        <v>13284</v>
      </c>
      <c r="D3268" s="9" t="s">
        <v>13284</v>
      </c>
      <c r="E3268" s="9" t="s">
        <v>13284</v>
      </c>
      <c r="F3268" s="9" t="s">
        <v>13284</v>
      </c>
      <c r="G3268" s="9" t="s">
        <v>13284</v>
      </c>
      <c r="H3268" s="9" t="s">
        <v>13284</v>
      </c>
      <c r="I3268" s="9" t="s">
        <v>13284</v>
      </c>
      <c r="J3268" s="9" t="s">
        <v>13284</v>
      </c>
      <c r="K3268" s="9" t="s">
        <v>13284</v>
      </c>
      <c r="L3268" s="9" t="s">
        <v>13284</v>
      </c>
      <c r="M3268" s="9" t="s">
        <v>13284</v>
      </c>
      <c r="N3268" s="9" t="s">
        <v>13284</v>
      </c>
      <c r="O3268" s="9" t="s">
        <v>13284</v>
      </c>
      <c r="P3268" s="9" t="s">
        <v>13284</v>
      </c>
      <c r="Q3268" s="9" t="s">
        <v>13284</v>
      </c>
      <c r="R3268" s="9" t="s">
        <v>13284</v>
      </c>
      <c r="S3268" s="9" t="s">
        <v>13284</v>
      </c>
      <c r="T3268" s="9" t="str">
        <f ca="1">IFERROR(IF(AND(VLOOKUP(A3268, 'Актуальное состояние (из общего'!A:C,3,0) = "", A3268 &lt;&gt; ""), "ПРОВЕРИТЬ", VLOOKUP(A3268, 'Актуальное состояние (из общего'!A:C,3,0)), "")</f>
        <v/>
      </c>
      <c r="U3268" s="9" t="s">
        <v>13284</v>
      </c>
      <c r="V3268" s="9" t="s">
        <v>13284</v>
      </c>
      <c r="W3268" s="12"/>
      <c r="X3268" s="9" t="str">
        <f t="array" ref="X3268">IFERROR(INDEX('Адреса общежитий (скрытый)'!$B$2:$B$9, MATCH(W3268, 'Адреса общежитий (скрытый)'!$A$2:$A$9, 0)), "")</f>
        <v/>
      </c>
      <c r="Y3268" s="18"/>
      <c r="Z3268" s="18"/>
      <c r="AA3268" s="18"/>
      <c r="AB3268" s="18"/>
      <c r="AC3268" s="18"/>
    </row>
    <row r="3269" spans="1:29" ht="32.25" hidden="1" customHeight="1">
      <c r="A3269" s="17"/>
      <c r="B3269" s="9" t="s">
        <v>13284</v>
      </c>
      <c r="C3269" s="9" t="s">
        <v>13284</v>
      </c>
      <c r="D3269" s="9" t="s">
        <v>13284</v>
      </c>
      <c r="E3269" s="9" t="s">
        <v>13284</v>
      </c>
      <c r="F3269" s="9" t="s">
        <v>13284</v>
      </c>
      <c r="G3269" s="9" t="s">
        <v>13284</v>
      </c>
      <c r="H3269" s="9" t="s">
        <v>13284</v>
      </c>
      <c r="I3269" s="9" t="s">
        <v>13284</v>
      </c>
      <c r="J3269" s="9" t="s">
        <v>13284</v>
      </c>
      <c r="K3269" s="9" t="s">
        <v>13284</v>
      </c>
      <c r="L3269" s="9" t="s">
        <v>13284</v>
      </c>
      <c r="M3269" s="9" t="s">
        <v>13284</v>
      </c>
      <c r="N3269" s="9" t="s">
        <v>13284</v>
      </c>
      <c r="O3269" s="9" t="s">
        <v>13284</v>
      </c>
      <c r="P3269" s="9" t="s">
        <v>13284</v>
      </c>
      <c r="Q3269" s="9" t="s">
        <v>13284</v>
      </c>
      <c r="R3269" s="9" t="s">
        <v>13284</v>
      </c>
      <c r="S3269" s="9" t="s">
        <v>13284</v>
      </c>
      <c r="T3269" s="9" t="str">
        <f ca="1">IFERROR(IF(AND(VLOOKUP(A3269, 'Актуальное состояние (из общего'!A:C,3,0) = "", A3269 &lt;&gt; ""), "ПРОВЕРИТЬ", VLOOKUP(A3269, 'Актуальное состояние (из общего'!A:C,3,0)), "")</f>
        <v/>
      </c>
      <c r="U3269" s="9" t="s">
        <v>13284</v>
      </c>
      <c r="V3269" s="9" t="s">
        <v>13284</v>
      </c>
      <c r="W3269" s="12"/>
      <c r="X3269" s="9" t="str">
        <f t="array" ref="X3269">IFERROR(INDEX('Адреса общежитий (скрытый)'!$B$2:$B$9, MATCH(W3269, 'Адреса общежитий (скрытый)'!$A$2:$A$9, 0)), "")</f>
        <v/>
      </c>
      <c r="Y3269" s="18"/>
      <c r="Z3269" s="18"/>
      <c r="AA3269" s="18"/>
      <c r="AB3269" s="18"/>
      <c r="AC3269" s="18"/>
    </row>
    <row r="3270" spans="1:29" ht="32.25" hidden="1" customHeight="1">
      <c r="A3270" s="17"/>
      <c r="B3270" s="9" t="s">
        <v>13284</v>
      </c>
      <c r="C3270" s="9" t="s">
        <v>13284</v>
      </c>
      <c r="D3270" s="9" t="s">
        <v>13284</v>
      </c>
      <c r="E3270" s="9" t="s">
        <v>13284</v>
      </c>
      <c r="F3270" s="9" t="s">
        <v>13284</v>
      </c>
      <c r="G3270" s="9" t="s">
        <v>13284</v>
      </c>
      <c r="H3270" s="9" t="s">
        <v>13284</v>
      </c>
      <c r="I3270" s="9" t="s">
        <v>13284</v>
      </c>
      <c r="J3270" s="9" t="s">
        <v>13284</v>
      </c>
      <c r="K3270" s="9" t="s">
        <v>13284</v>
      </c>
      <c r="L3270" s="9" t="s">
        <v>13284</v>
      </c>
      <c r="M3270" s="9" t="s">
        <v>13284</v>
      </c>
      <c r="N3270" s="9" t="s">
        <v>13284</v>
      </c>
      <c r="O3270" s="9" t="s">
        <v>13284</v>
      </c>
      <c r="P3270" s="9" t="s">
        <v>13284</v>
      </c>
      <c r="Q3270" s="9" t="s">
        <v>13284</v>
      </c>
      <c r="R3270" s="9" t="s">
        <v>13284</v>
      </c>
      <c r="S3270" s="9" t="s">
        <v>13284</v>
      </c>
      <c r="T3270" s="9" t="str">
        <f ca="1">IFERROR(IF(AND(VLOOKUP(A3270, 'Актуальное состояние (из общего'!A:C,3,0) = "", A3270 &lt;&gt; ""), "ПРОВЕРИТЬ", VLOOKUP(A3270, 'Актуальное состояние (из общего'!A:C,3,0)), "")</f>
        <v/>
      </c>
      <c r="U3270" s="9" t="s">
        <v>13284</v>
      </c>
      <c r="V3270" s="9" t="s">
        <v>13284</v>
      </c>
      <c r="W3270" s="12"/>
      <c r="X3270" s="9" t="str">
        <f t="array" ref="X3270">IFERROR(INDEX('Адреса общежитий (скрытый)'!$B$2:$B$9, MATCH(W3270, 'Адреса общежитий (скрытый)'!$A$2:$A$9, 0)), "")</f>
        <v/>
      </c>
      <c r="Y3270" s="18"/>
      <c r="Z3270" s="18"/>
      <c r="AA3270" s="18"/>
      <c r="AB3270" s="18"/>
      <c r="AC3270" s="18"/>
    </row>
    <row r="3271" spans="1:29" ht="32.25" hidden="1" customHeight="1">
      <c r="A3271" s="17"/>
      <c r="B3271" s="9" t="s">
        <v>13284</v>
      </c>
      <c r="C3271" s="9" t="s">
        <v>13284</v>
      </c>
      <c r="D3271" s="9" t="s">
        <v>13284</v>
      </c>
      <c r="E3271" s="9" t="s">
        <v>13284</v>
      </c>
      <c r="F3271" s="9" t="s">
        <v>13284</v>
      </c>
      <c r="G3271" s="9" t="s">
        <v>13284</v>
      </c>
      <c r="H3271" s="9" t="s">
        <v>13284</v>
      </c>
      <c r="I3271" s="9" t="s">
        <v>13284</v>
      </c>
      <c r="J3271" s="9" t="s">
        <v>13284</v>
      </c>
      <c r="K3271" s="9" t="s">
        <v>13284</v>
      </c>
      <c r="L3271" s="9" t="s">
        <v>13284</v>
      </c>
      <c r="M3271" s="9" t="s">
        <v>13284</v>
      </c>
      <c r="N3271" s="9" t="s">
        <v>13284</v>
      </c>
      <c r="O3271" s="9" t="s">
        <v>13284</v>
      </c>
      <c r="P3271" s="9" t="s">
        <v>13284</v>
      </c>
      <c r="Q3271" s="9" t="s">
        <v>13284</v>
      </c>
      <c r="R3271" s="9" t="s">
        <v>13284</v>
      </c>
      <c r="S3271" s="9" t="s">
        <v>13284</v>
      </c>
      <c r="T3271" s="9" t="str">
        <f ca="1">IFERROR(IF(AND(VLOOKUP(A3271, 'Актуальное состояние (из общего'!A:C,3,0) = "", A3271 &lt;&gt; ""), "ПРОВЕРИТЬ", VLOOKUP(A3271, 'Актуальное состояние (из общего'!A:C,3,0)), "")</f>
        <v/>
      </c>
      <c r="U3271" s="9" t="s">
        <v>13284</v>
      </c>
      <c r="V3271" s="9" t="s">
        <v>13284</v>
      </c>
      <c r="W3271" s="12"/>
      <c r="X3271" s="9" t="str">
        <f t="array" ref="X3271">IFERROR(INDEX('Адреса общежитий (скрытый)'!$B$2:$B$9, MATCH(W3271, 'Адреса общежитий (скрытый)'!$A$2:$A$9, 0)), "")</f>
        <v/>
      </c>
      <c r="Y3271" s="18"/>
      <c r="Z3271" s="18"/>
      <c r="AA3271" s="18"/>
      <c r="AB3271" s="18"/>
      <c r="AC3271" s="18"/>
    </row>
    <row r="3272" spans="1:29" ht="32.25" hidden="1" customHeight="1">
      <c r="A3272" s="17"/>
      <c r="B3272" s="9" t="s">
        <v>13284</v>
      </c>
      <c r="C3272" s="9" t="s">
        <v>13284</v>
      </c>
      <c r="D3272" s="9" t="s">
        <v>13284</v>
      </c>
      <c r="E3272" s="9" t="s">
        <v>13284</v>
      </c>
      <c r="F3272" s="9" t="s">
        <v>13284</v>
      </c>
      <c r="G3272" s="9" t="s">
        <v>13284</v>
      </c>
      <c r="H3272" s="9" t="s">
        <v>13284</v>
      </c>
      <c r="I3272" s="9" t="s">
        <v>13284</v>
      </c>
      <c r="J3272" s="9" t="s">
        <v>13284</v>
      </c>
      <c r="K3272" s="9" t="s">
        <v>13284</v>
      </c>
      <c r="L3272" s="9" t="s">
        <v>13284</v>
      </c>
      <c r="M3272" s="9" t="s">
        <v>13284</v>
      </c>
      <c r="N3272" s="9" t="s">
        <v>13284</v>
      </c>
      <c r="O3272" s="9" t="s">
        <v>13284</v>
      </c>
      <c r="P3272" s="9" t="s">
        <v>13284</v>
      </c>
      <c r="Q3272" s="9" t="s">
        <v>13284</v>
      </c>
      <c r="R3272" s="9" t="s">
        <v>13284</v>
      </c>
      <c r="S3272" s="9" t="s">
        <v>13284</v>
      </c>
      <c r="T3272" s="9" t="str">
        <f ca="1">IFERROR(IF(AND(VLOOKUP(A3272, 'Актуальное состояние (из общего'!A:C,3,0) = "", A3272 &lt;&gt; ""), "ПРОВЕРИТЬ", VLOOKUP(A3272, 'Актуальное состояние (из общего'!A:C,3,0)), "")</f>
        <v/>
      </c>
      <c r="U3272" s="9" t="s">
        <v>13284</v>
      </c>
      <c r="V3272" s="9" t="s">
        <v>13284</v>
      </c>
      <c r="W3272" s="12"/>
      <c r="X3272" s="9" t="str">
        <f t="array" ref="X3272">IFERROR(INDEX('Адреса общежитий (скрытый)'!$B$2:$B$9, MATCH(W3272, 'Адреса общежитий (скрытый)'!$A$2:$A$9, 0)), "")</f>
        <v/>
      </c>
      <c r="Y3272" s="18"/>
      <c r="Z3272" s="18"/>
      <c r="AA3272" s="18"/>
      <c r="AB3272" s="18"/>
      <c r="AC3272" s="18"/>
    </row>
    <row r="3273" spans="1:29" ht="32.25" hidden="1" customHeight="1">
      <c r="A3273" s="17"/>
      <c r="B3273" s="9" t="s">
        <v>13284</v>
      </c>
      <c r="C3273" s="9" t="s">
        <v>13284</v>
      </c>
      <c r="D3273" s="9" t="s">
        <v>13284</v>
      </c>
      <c r="E3273" s="9" t="s">
        <v>13284</v>
      </c>
      <c r="F3273" s="9" t="s">
        <v>13284</v>
      </c>
      <c r="G3273" s="9" t="s">
        <v>13284</v>
      </c>
      <c r="H3273" s="9" t="s">
        <v>13284</v>
      </c>
      <c r="I3273" s="9" t="s">
        <v>13284</v>
      </c>
      <c r="J3273" s="9" t="s">
        <v>13284</v>
      </c>
      <c r="K3273" s="9" t="s">
        <v>13284</v>
      </c>
      <c r="L3273" s="9" t="s">
        <v>13284</v>
      </c>
      <c r="M3273" s="9" t="s">
        <v>13284</v>
      </c>
      <c r="N3273" s="9" t="s">
        <v>13284</v>
      </c>
      <c r="O3273" s="9" t="s">
        <v>13284</v>
      </c>
      <c r="P3273" s="9" t="s">
        <v>13284</v>
      </c>
      <c r="Q3273" s="9" t="s">
        <v>13284</v>
      </c>
      <c r="R3273" s="9" t="s">
        <v>13284</v>
      </c>
      <c r="S3273" s="9" t="s">
        <v>13284</v>
      </c>
      <c r="T3273" s="9" t="str">
        <f ca="1">IFERROR(IF(AND(VLOOKUP(A3273, 'Актуальное состояние (из общего'!A:C,3,0) = "", A3273 &lt;&gt; ""), "ПРОВЕРИТЬ", VLOOKUP(A3273, 'Актуальное состояние (из общего'!A:C,3,0)), "")</f>
        <v/>
      </c>
      <c r="U3273" s="9" t="s">
        <v>13284</v>
      </c>
      <c r="V3273" s="9" t="s">
        <v>13284</v>
      </c>
      <c r="W3273" s="12"/>
      <c r="X3273" s="9" t="str">
        <f t="array" ref="X3273">IFERROR(INDEX('Адреса общежитий (скрытый)'!$B$2:$B$9, MATCH(W3273, 'Адреса общежитий (скрытый)'!$A$2:$A$9, 0)), "")</f>
        <v/>
      </c>
      <c r="Y3273" s="18"/>
      <c r="Z3273" s="18"/>
      <c r="AA3273" s="18"/>
      <c r="AB3273" s="18"/>
      <c r="AC3273" s="18"/>
    </row>
    <row r="3274" spans="1:29" ht="32.25" hidden="1" customHeight="1">
      <c r="A3274" s="17"/>
      <c r="B3274" s="9" t="s">
        <v>13284</v>
      </c>
      <c r="C3274" s="9" t="s">
        <v>13284</v>
      </c>
      <c r="D3274" s="9" t="s">
        <v>13284</v>
      </c>
      <c r="E3274" s="9" t="s">
        <v>13284</v>
      </c>
      <c r="F3274" s="9" t="s">
        <v>13284</v>
      </c>
      <c r="G3274" s="9" t="s">
        <v>13284</v>
      </c>
      <c r="H3274" s="9" t="s">
        <v>13284</v>
      </c>
      <c r="I3274" s="9" t="s">
        <v>13284</v>
      </c>
      <c r="J3274" s="9" t="s">
        <v>13284</v>
      </c>
      <c r="K3274" s="9" t="s">
        <v>13284</v>
      </c>
      <c r="L3274" s="9" t="s">
        <v>13284</v>
      </c>
      <c r="M3274" s="9" t="s">
        <v>13284</v>
      </c>
      <c r="N3274" s="9" t="s">
        <v>13284</v>
      </c>
      <c r="O3274" s="9" t="s">
        <v>13284</v>
      </c>
      <c r="P3274" s="9" t="s">
        <v>13284</v>
      </c>
      <c r="Q3274" s="9" t="s">
        <v>13284</v>
      </c>
      <c r="R3274" s="9" t="s">
        <v>13284</v>
      </c>
      <c r="S3274" s="9" t="s">
        <v>13284</v>
      </c>
      <c r="T3274" s="9" t="str">
        <f ca="1">IFERROR(IF(AND(VLOOKUP(A3274, 'Актуальное состояние (из общего'!A:C,3,0) = "", A3274 &lt;&gt; ""), "ПРОВЕРИТЬ", VLOOKUP(A3274, 'Актуальное состояние (из общего'!A:C,3,0)), "")</f>
        <v/>
      </c>
      <c r="U3274" s="9" t="s">
        <v>13284</v>
      </c>
      <c r="V3274" s="9" t="s">
        <v>13284</v>
      </c>
      <c r="W3274" s="12"/>
      <c r="X3274" s="9" t="str">
        <f t="array" ref="X3274">IFERROR(INDEX('Адреса общежитий (скрытый)'!$B$2:$B$9, MATCH(W3274, 'Адреса общежитий (скрытый)'!$A$2:$A$9, 0)), "")</f>
        <v/>
      </c>
      <c r="Y3274" s="18"/>
      <c r="Z3274" s="18"/>
      <c r="AA3274" s="18"/>
      <c r="AB3274" s="18"/>
      <c r="AC3274" s="18"/>
    </row>
    <row r="3275" spans="1:29" ht="32.25" hidden="1" customHeight="1">
      <c r="A3275" s="17"/>
      <c r="B3275" s="9" t="s">
        <v>13284</v>
      </c>
      <c r="C3275" s="9" t="s">
        <v>13284</v>
      </c>
      <c r="D3275" s="9" t="s">
        <v>13284</v>
      </c>
      <c r="E3275" s="9" t="s">
        <v>13284</v>
      </c>
      <c r="F3275" s="9" t="s">
        <v>13284</v>
      </c>
      <c r="G3275" s="9" t="s">
        <v>13284</v>
      </c>
      <c r="H3275" s="9" t="s">
        <v>13284</v>
      </c>
      <c r="I3275" s="9" t="s">
        <v>13284</v>
      </c>
      <c r="J3275" s="9" t="s">
        <v>13284</v>
      </c>
      <c r="K3275" s="9" t="s">
        <v>13284</v>
      </c>
      <c r="L3275" s="9" t="s">
        <v>13284</v>
      </c>
      <c r="M3275" s="9" t="s">
        <v>13284</v>
      </c>
      <c r="N3275" s="9" t="s">
        <v>13284</v>
      </c>
      <c r="O3275" s="9" t="s">
        <v>13284</v>
      </c>
      <c r="P3275" s="9" t="s">
        <v>13284</v>
      </c>
      <c r="Q3275" s="9" t="s">
        <v>13284</v>
      </c>
      <c r="R3275" s="9" t="s">
        <v>13284</v>
      </c>
      <c r="S3275" s="9" t="s">
        <v>13284</v>
      </c>
      <c r="T3275" s="9" t="str">
        <f ca="1">IFERROR(IF(AND(VLOOKUP(A3275, 'Актуальное состояние (из общего'!A:C,3,0) = "", A3275 &lt;&gt; ""), "ПРОВЕРИТЬ", VLOOKUP(A3275, 'Актуальное состояние (из общего'!A:C,3,0)), "")</f>
        <v/>
      </c>
      <c r="U3275" s="9" t="s">
        <v>13284</v>
      </c>
      <c r="V3275" s="9" t="s">
        <v>13284</v>
      </c>
      <c r="W3275" s="12"/>
      <c r="X3275" s="9" t="str">
        <f t="array" ref="X3275">IFERROR(INDEX('Адреса общежитий (скрытый)'!$B$2:$B$9, MATCH(W3275, 'Адреса общежитий (скрытый)'!$A$2:$A$9, 0)), "")</f>
        <v/>
      </c>
      <c r="Y3275" s="18"/>
      <c r="Z3275" s="18"/>
      <c r="AA3275" s="18"/>
      <c r="AB3275" s="18"/>
      <c r="AC3275" s="18"/>
    </row>
    <row r="3276" spans="1:29" ht="32.25" hidden="1" customHeight="1">
      <c r="A3276" s="17"/>
      <c r="B3276" s="9" t="s">
        <v>13284</v>
      </c>
      <c r="C3276" s="9" t="s">
        <v>13284</v>
      </c>
      <c r="D3276" s="9" t="s">
        <v>13284</v>
      </c>
      <c r="E3276" s="9" t="s">
        <v>13284</v>
      </c>
      <c r="F3276" s="9" t="s">
        <v>13284</v>
      </c>
      <c r="G3276" s="9" t="s">
        <v>13284</v>
      </c>
      <c r="H3276" s="9" t="s">
        <v>13284</v>
      </c>
      <c r="I3276" s="9" t="s">
        <v>13284</v>
      </c>
      <c r="J3276" s="9" t="s">
        <v>13284</v>
      </c>
      <c r="K3276" s="9" t="s">
        <v>13284</v>
      </c>
      <c r="L3276" s="9" t="s">
        <v>13284</v>
      </c>
      <c r="M3276" s="9" t="s">
        <v>13284</v>
      </c>
      <c r="N3276" s="9" t="s">
        <v>13284</v>
      </c>
      <c r="O3276" s="9" t="s">
        <v>13284</v>
      </c>
      <c r="P3276" s="9" t="s">
        <v>13284</v>
      </c>
      <c r="Q3276" s="9" t="s">
        <v>13284</v>
      </c>
      <c r="R3276" s="9" t="s">
        <v>13284</v>
      </c>
      <c r="S3276" s="9" t="s">
        <v>13284</v>
      </c>
      <c r="T3276" s="9" t="str">
        <f ca="1">IFERROR(IF(AND(VLOOKUP(A3276, 'Актуальное состояние (из общего'!A:C,3,0) = "", A3276 &lt;&gt; ""), "ПРОВЕРИТЬ", VLOOKUP(A3276, 'Актуальное состояние (из общего'!A:C,3,0)), "")</f>
        <v/>
      </c>
      <c r="U3276" s="9" t="s">
        <v>13284</v>
      </c>
      <c r="V3276" s="9" t="s">
        <v>13284</v>
      </c>
      <c r="W3276" s="12"/>
      <c r="X3276" s="9" t="str">
        <f t="array" ref="X3276">IFERROR(INDEX('Адреса общежитий (скрытый)'!$B$2:$B$9, MATCH(W3276, 'Адреса общежитий (скрытый)'!$A$2:$A$9, 0)), "")</f>
        <v/>
      </c>
      <c r="Y3276" s="18"/>
      <c r="Z3276" s="18"/>
      <c r="AA3276" s="18"/>
      <c r="AB3276" s="18"/>
      <c r="AC3276" s="18"/>
    </row>
    <row r="3277" spans="1:29" ht="32.25" hidden="1" customHeight="1">
      <c r="A3277" s="17"/>
      <c r="B3277" s="9" t="s">
        <v>13284</v>
      </c>
      <c r="C3277" s="9" t="s">
        <v>13284</v>
      </c>
      <c r="D3277" s="9" t="s">
        <v>13284</v>
      </c>
      <c r="E3277" s="9" t="s">
        <v>13284</v>
      </c>
      <c r="F3277" s="9" t="s">
        <v>13284</v>
      </c>
      <c r="G3277" s="9" t="s">
        <v>13284</v>
      </c>
      <c r="H3277" s="9" t="s">
        <v>13284</v>
      </c>
      <c r="I3277" s="9" t="s">
        <v>13284</v>
      </c>
      <c r="J3277" s="9" t="s">
        <v>13284</v>
      </c>
      <c r="K3277" s="9" t="s">
        <v>13284</v>
      </c>
      <c r="L3277" s="9" t="s">
        <v>13284</v>
      </c>
      <c r="M3277" s="9" t="s">
        <v>13284</v>
      </c>
      <c r="N3277" s="9" t="s">
        <v>13284</v>
      </c>
      <c r="O3277" s="9" t="s">
        <v>13284</v>
      </c>
      <c r="P3277" s="9" t="s">
        <v>13284</v>
      </c>
      <c r="Q3277" s="9" t="s">
        <v>13284</v>
      </c>
      <c r="R3277" s="9" t="s">
        <v>13284</v>
      </c>
      <c r="S3277" s="9" t="s">
        <v>13284</v>
      </c>
      <c r="T3277" s="9" t="str">
        <f ca="1">IFERROR(IF(AND(VLOOKUP(A3277, 'Актуальное состояние (из общего'!A:C,3,0) = "", A3277 &lt;&gt; ""), "ПРОВЕРИТЬ", VLOOKUP(A3277, 'Актуальное состояние (из общего'!A:C,3,0)), "")</f>
        <v/>
      </c>
      <c r="U3277" s="9" t="s">
        <v>13284</v>
      </c>
      <c r="V3277" s="9" t="s">
        <v>13284</v>
      </c>
      <c r="W3277" s="12"/>
      <c r="X3277" s="9" t="str">
        <f t="array" ref="X3277">IFERROR(INDEX('Адреса общежитий (скрытый)'!$B$2:$B$9, MATCH(W3277, 'Адреса общежитий (скрытый)'!$A$2:$A$9, 0)), "")</f>
        <v/>
      </c>
      <c r="Y3277" s="18"/>
      <c r="Z3277" s="18"/>
      <c r="AA3277" s="18"/>
      <c r="AB3277" s="18"/>
      <c r="AC3277" s="18"/>
    </row>
    <row r="3278" spans="1:29" ht="32.25" hidden="1" customHeight="1">
      <c r="A3278" s="17"/>
      <c r="B3278" s="9" t="s">
        <v>13284</v>
      </c>
      <c r="C3278" s="9" t="s">
        <v>13284</v>
      </c>
      <c r="D3278" s="9" t="s">
        <v>13284</v>
      </c>
      <c r="E3278" s="9" t="s">
        <v>13284</v>
      </c>
      <c r="F3278" s="9" t="s">
        <v>13284</v>
      </c>
      <c r="G3278" s="9" t="s">
        <v>13284</v>
      </c>
      <c r="H3278" s="9" t="s">
        <v>13284</v>
      </c>
      <c r="I3278" s="9" t="s">
        <v>13284</v>
      </c>
      <c r="J3278" s="9" t="s">
        <v>13284</v>
      </c>
      <c r="K3278" s="9" t="s">
        <v>13284</v>
      </c>
      <c r="L3278" s="9" t="s">
        <v>13284</v>
      </c>
      <c r="M3278" s="9" t="s">
        <v>13284</v>
      </c>
      <c r="N3278" s="9" t="s">
        <v>13284</v>
      </c>
      <c r="O3278" s="9" t="s">
        <v>13284</v>
      </c>
      <c r="P3278" s="9" t="s">
        <v>13284</v>
      </c>
      <c r="Q3278" s="9" t="s">
        <v>13284</v>
      </c>
      <c r="R3278" s="9" t="s">
        <v>13284</v>
      </c>
      <c r="S3278" s="9" t="s">
        <v>13284</v>
      </c>
      <c r="T3278" s="9" t="str">
        <f ca="1">IFERROR(IF(AND(VLOOKUP(A3278, 'Актуальное состояние (из общего'!A:C,3,0) = "", A3278 &lt;&gt; ""), "ПРОВЕРИТЬ", VLOOKUP(A3278, 'Актуальное состояние (из общего'!A:C,3,0)), "")</f>
        <v/>
      </c>
      <c r="U3278" s="9" t="s">
        <v>13284</v>
      </c>
      <c r="V3278" s="9" t="s">
        <v>13284</v>
      </c>
      <c r="W3278" s="12"/>
      <c r="X3278" s="9" t="str">
        <f t="array" ref="X3278">IFERROR(INDEX('Адреса общежитий (скрытый)'!$B$2:$B$9, MATCH(W3278, 'Адреса общежитий (скрытый)'!$A$2:$A$9, 0)), "")</f>
        <v/>
      </c>
      <c r="Y3278" s="18"/>
      <c r="Z3278" s="18"/>
      <c r="AA3278" s="18"/>
      <c r="AB3278" s="18"/>
      <c r="AC3278" s="18"/>
    </row>
    <row r="3279" spans="1:29" ht="32.25" hidden="1" customHeight="1">
      <c r="A3279" s="17"/>
      <c r="B3279" s="9" t="s">
        <v>13284</v>
      </c>
      <c r="C3279" s="9" t="s">
        <v>13284</v>
      </c>
      <c r="D3279" s="9" t="s">
        <v>13284</v>
      </c>
      <c r="E3279" s="9" t="s">
        <v>13284</v>
      </c>
      <c r="F3279" s="9" t="s">
        <v>13284</v>
      </c>
      <c r="G3279" s="9" t="s">
        <v>13284</v>
      </c>
      <c r="H3279" s="9" t="s">
        <v>13284</v>
      </c>
      <c r="I3279" s="9" t="s">
        <v>13284</v>
      </c>
      <c r="J3279" s="9" t="s">
        <v>13284</v>
      </c>
      <c r="K3279" s="9" t="s">
        <v>13284</v>
      </c>
      <c r="L3279" s="9" t="s">
        <v>13284</v>
      </c>
      <c r="M3279" s="9" t="s">
        <v>13284</v>
      </c>
      <c r="N3279" s="9" t="s">
        <v>13284</v>
      </c>
      <c r="O3279" s="9" t="s">
        <v>13284</v>
      </c>
      <c r="P3279" s="9" t="s">
        <v>13284</v>
      </c>
      <c r="Q3279" s="9" t="s">
        <v>13284</v>
      </c>
      <c r="R3279" s="9" t="s">
        <v>13284</v>
      </c>
      <c r="S3279" s="9" t="s">
        <v>13284</v>
      </c>
      <c r="T3279" s="9" t="str">
        <f ca="1">IFERROR(IF(AND(VLOOKUP(A3279, 'Актуальное состояние (из общего'!A:C,3,0) = "", A3279 &lt;&gt; ""), "ПРОВЕРИТЬ", VLOOKUP(A3279, 'Актуальное состояние (из общего'!A:C,3,0)), "")</f>
        <v/>
      </c>
      <c r="U3279" s="9" t="s">
        <v>13284</v>
      </c>
      <c r="V3279" s="9" t="s">
        <v>13284</v>
      </c>
      <c r="W3279" s="12"/>
      <c r="X3279" s="9" t="str">
        <f t="array" ref="X3279">IFERROR(INDEX('Адреса общежитий (скрытый)'!$B$2:$B$9, MATCH(W3279, 'Адреса общежитий (скрытый)'!$A$2:$A$9, 0)), "")</f>
        <v/>
      </c>
      <c r="Y3279" s="18"/>
      <c r="Z3279" s="18"/>
      <c r="AA3279" s="18"/>
      <c r="AB3279" s="18"/>
      <c r="AC3279" s="18"/>
    </row>
    <row r="3280" spans="1:29" ht="32.25" hidden="1" customHeight="1">
      <c r="A3280" s="17"/>
      <c r="B3280" s="9" t="s">
        <v>13284</v>
      </c>
      <c r="C3280" s="9" t="s">
        <v>13284</v>
      </c>
      <c r="D3280" s="9" t="s">
        <v>13284</v>
      </c>
      <c r="E3280" s="9" t="s">
        <v>13284</v>
      </c>
      <c r="F3280" s="9" t="s">
        <v>13284</v>
      </c>
      <c r="G3280" s="9" t="s">
        <v>13284</v>
      </c>
      <c r="H3280" s="9" t="s">
        <v>13284</v>
      </c>
      <c r="I3280" s="9" t="s">
        <v>13284</v>
      </c>
      <c r="J3280" s="9" t="s">
        <v>13284</v>
      </c>
      <c r="K3280" s="9" t="s">
        <v>13284</v>
      </c>
      <c r="L3280" s="9" t="s">
        <v>13284</v>
      </c>
      <c r="M3280" s="9" t="s">
        <v>13284</v>
      </c>
      <c r="N3280" s="9" t="s">
        <v>13284</v>
      </c>
      <c r="O3280" s="9" t="s">
        <v>13284</v>
      </c>
      <c r="P3280" s="9" t="s">
        <v>13284</v>
      </c>
      <c r="Q3280" s="9" t="s">
        <v>13284</v>
      </c>
      <c r="R3280" s="9" t="s">
        <v>13284</v>
      </c>
      <c r="S3280" s="9" t="s">
        <v>13284</v>
      </c>
      <c r="T3280" s="9" t="str">
        <f ca="1">IFERROR(IF(AND(VLOOKUP(A3280, 'Актуальное состояние (из общего'!A:C,3,0) = "", A3280 &lt;&gt; ""), "ПРОВЕРИТЬ", VLOOKUP(A3280, 'Актуальное состояние (из общего'!A:C,3,0)), "")</f>
        <v/>
      </c>
      <c r="U3280" s="9" t="s">
        <v>13284</v>
      </c>
      <c r="V3280" s="9" t="s">
        <v>13284</v>
      </c>
      <c r="W3280" s="12"/>
      <c r="X3280" s="9" t="str">
        <f t="array" ref="X3280">IFERROR(INDEX('Адреса общежитий (скрытый)'!$B$2:$B$9, MATCH(W3280, 'Адреса общежитий (скрытый)'!$A$2:$A$9, 0)), "")</f>
        <v/>
      </c>
      <c r="Y3280" s="18"/>
      <c r="Z3280" s="18"/>
      <c r="AA3280" s="18"/>
      <c r="AB3280" s="18"/>
      <c r="AC3280" s="18"/>
    </row>
    <row r="3281" spans="1:29" ht="32.25" hidden="1" customHeight="1">
      <c r="A3281" s="17"/>
      <c r="B3281" s="9" t="s">
        <v>13284</v>
      </c>
      <c r="C3281" s="9" t="s">
        <v>13284</v>
      </c>
      <c r="D3281" s="9" t="s">
        <v>13284</v>
      </c>
      <c r="E3281" s="9" t="s">
        <v>13284</v>
      </c>
      <c r="F3281" s="9" t="s">
        <v>13284</v>
      </c>
      <c r="G3281" s="9" t="s">
        <v>13284</v>
      </c>
      <c r="H3281" s="9" t="s">
        <v>13284</v>
      </c>
      <c r="I3281" s="9" t="s">
        <v>13284</v>
      </c>
      <c r="J3281" s="9" t="s">
        <v>13284</v>
      </c>
      <c r="K3281" s="9" t="s">
        <v>13284</v>
      </c>
      <c r="L3281" s="9" t="s">
        <v>13284</v>
      </c>
      <c r="M3281" s="9" t="s">
        <v>13284</v>
      </c>
      <c r="N3281" s="9" t="s">
        <v>13284</v>
      </c>
      <c r="O3281" s="9" t="s">
        <v>13284</v>
      </c>
      <c r="P3281" s="9" t="s">
        <v>13284</v>
      </c>
      <c r="Q3281" s="9" t="s">
        <v>13284</v>
      </c>
      <c r="R3281" s="9" t="s">
        <v>13284</v>
      </c>
      <c r="S3281" s="9" t="s">
        <v>13284</v>
      </c>
      <c r="T3281" s="9" t="str">
        <f ca="1">IFERROR(IF(AND(VLOOKUP(A3281, 'Актуальное состояние (из общего'!A:C,3,0) = "", A3281 &lt;&gt; ""), "ПРОВЕРИТЬ", VLOOKUP(A3281, 'Актуальное состояние (из общего'!A:C,3,0)), "")</f>
        <v/>
      </c>
      <c r="U3281" s="9" t="s">
        <v>13284</v>
      </c>
      <c r="V3281" s="9" t="s">
        <v>13284</v>
      </c>
      <c r="W3281" s="12"/>
      <c r="X3281" s="9" t="str">
        <f t="array" ref="X3281">IFERROR(INDEX('Адреса общежитий (скрытый)'!$B$2:$B$9, MATCH(W3281, 'Адреса общежитий (скрытый)'!$A$2:$A$9, 0)), "")</f>
        <v/>
      </c>
      <c r="Y3281" s="18"/>
      <c r="Z3281" s="18"/>
      <c r="AA3281" s="18"/>
      <c r="AB3281" s="18"/>
      <c r="AC3281" s="18"/>
    </row>
    <row r="3282" spans="1:29" ht="32.25" hidden="1" customHeight="1">
      <c r="A3282" s="17"/>
      <c r="B3282" s="9" t="s">
        <v>13284</v>
      </c>
      <c r="C3282" s="9" t="s">
        <v>13284</v>
      </c>
      <c r="D3282" s="9" t="s">
        <v>13284</v>
      </c>
      <c r="E3282" s="9" t="s">
        <v>13284</v>
      </c>
      <c r="F3282" s="9" t="s">
        <v>13284</v>
      </c>
      <c r="G3282" s="9" t="s">
        <v>13284</v>
      </c>
      <c r="H3282" s="9" t="s">
        <v>13284</v>
      </c>
      <c r="I3282" s="9" t="s">
        <v>13284</v>
      </c>
      <c r="J3282" s="9" t="s">
        <v>13284</v>
      </c>
      <c r="K3282" s="9" t="s">
        <v>13284</v>
      </c>
      <c r="L3282" s="9" t="s">
        <v>13284</v>
      </c>
      <c r="M3282" s="9" t="s">
        <v>13284</v>
      </c>
      <c r="N3282" s="9" t="s">
        <v>13284</v>
      </c>
      <c r="O3282" s="9" t="s">
        <v>13284</v>
      </c>
      <c r="P3282" s="9" t="s">
        <v>13284</v>
      </c>
      <c r="Q3282" s="9" t="s">
        <v>13284</v>
      </c>
      <c r="R3282" s="9" t="s">
        <v>13284</v>
      </c>
      <c r="S3282" s="9" t="s">
        <v>13284</v>
      </c>
      <c r="T3282" s="9" t="str">
        <f ca="1">IFERROR(IF(AND(VLOOKUP(A3282, 'Актуальное состояние (из общего'!A:C,3,0) = "", A3282 &lt;&gt; ""), "ПРОВЕРИТЬ", VLOOKUP(A3282, 'Актуальное состояние (из общего'!A:C,3,0)), "")</f>
        <v/>
      </c>
      <c r="U3282" s="9" t="s">
        <v>13284</v>
      </c>
      <c r="V3282" s="9" t="s">
        <v>13284</v>
      </c>
      <c r="W3282" s="12"/>
      <c r="X3282" s="9" t="str">
        <f t="array" ref="X3282">IFERROR(INDEX('Адреса общежитий (скрытый)'!$B$2:$B$9, MATCH(W3282, 'Адреса общежитий (скрытый)'!$A$2:$A$9, 0)), "")</f>
        <v/>
      </c>
      <c r="Y3282" s="18"/>
      <c r="Z3282" s="18"/>
      <c r="AA3282" s="18"/>
      <c r="AB3282" s="18"/>
      <c r="AC3282" s="18"/>
    </row>
    <row r="3283" spans="1:29" ht="32.25" hidden="1" customHeight="1">
      <c r="A3283" s="17"/>
      <c r="B3283" s="9" t="s">
        <v>13284</v>
      </c>
      <c r="C3283" s="9" t="s">
        <v>13284</v>
      </c>
      <c r="D3283" s="9" t="s">
        <v>13284</v>
      </c>
      <c r="E3283" s="9" t="s">
        <v>13284</v>
      </c>
      <c r="F3283" s="9" t="s">
        <v>13284</v>
      </c>
      <c r="G3283" s="9" t="s">
        <v>13284</v>
      </c>
      <c r="H3283" s="9" t="s">
        <v>13284</v>
      </c>
      <c r="I3283" s="9" t="s">
        <v>13284</v>
      </c>
      <c r="J3283" s="9" t="s">
        <v>13284</v>
      </c>
      <c r="K3283" s="9" t="s">
        <v>13284</v>
      </c>
      <c r="L3283" s="9" t="s">
        <v>13284</v>
      </c>
      <c r="M3283" s="9" t="s">
        <v>13284</v>
      </c>
      <c r="N3283" s="9" t="s">
        <v>13284</v>
      </c>
      <c r="O3283" s="9" t="s">
        <v>13284</v>
      </c>
      <c r="P3283" s="9" t="s">
        <v>13284</v>
      </c>
      <c r="Q3283" s="9" t="s">
        <v>13284</v>
      </c>
      <c r="R3283" s="9" t="s">
        <v>13284</v>
      </c>
      <c r="S3283" s="9" t="s">
        <v>13284</v>
      </c>
      <c r="T3283" s="9" t="str">
        <f ca="1">IFERROR(IF(AND(VLOOKUP(A3283, 'Актуальное состояние (из общего'!A:C,3,0) = "", A3283 &lt;&gt; ""), "ПРОВЕРИТЬ", VLOOKUP(A3283, 'Актуальное состояние (из общего'!A:C,3,0)), "")</f>
        <v/>
      </c>
      <c r="U3283" s="9" t="s">
        <v>13284</v>
      </c>
      <c r="V3283" s="9" t="s">
        <v>13284</v>
      </c>
      <c r="W3283" s="12"/>
      <c r="X3283" s="9" t="str">
        <f t="array" ref="X3283">IFERROR(INDEX('Адреса общежитий (скрытый)'!$B$2:$B$9, MATCH(W3283, 'Адреса общежитий (скрытый)'!$A$2:$A$9, 0)), "")</f>
        <v/>
      </c>
      <c r="Y3283" s="18"/>
      <c r="Z3283" s="18"/>
      <c r="AA3283" s="18"/>
      <c r="AB3283" s="18"/>
      <c r="AC3283" s="18"/>
    </row>
    <row r="3284" spans="1:29" ht="32.25" hidden="1" customHeight="1">
      <c r="A3284" s="17"/>
      <c r="B3284" s="9" t="s">
        <v>13284</v>
      </c>
      <c r="C3284" s="9" t="s">
        <v>13284</v>
      </c>
      <c r="D3284" s="9" t="s">
        <v>13284</v>
      </c>
      <c r="E3284" s="9" t="s">
        <v>13284</v>
      </c>
      <c r="F3284" s="9" t="s">
        <v>13284</v>
      </c>
      <c r="G3284" s="9" t="s">
        <v>13284</v>
      </c>
      <c r="H3284" s="9" t="s">
        <v>13284</v>
      </c>
      <c r="I3284" s="9" t="s">
        <v>13284</v>
      </c>
      <c r="J3284" s="9" t="s">
        <v>13284</v>
      </c>
      <c r="K3284" s="9" t="s">
        <v>13284</v>
      </c>
      <c r="L3284" s="9" t="s">
        <v>13284</v>
      </c>
      <c r="M3284" s="9" t="s">
        <v>13284</v>
      </c>
      <c r="N3284" s="9" t="s">
        <v>13284</v>
      </c>
      <c r="O3284" s="9" t="s">
        <v>13284</v>
      </c>
      <c r="P3284" s="9" t="s">
        <v>13284</v>
      </c>
      <c r="Q3284" s="9" t="s">
        <v>13284</v>
      </c>
      <c r="R3284" s="9" t="s">
        <v>13284</v>
      </c>
      <c r="S3284" s="9" t="s">
        <v>13284</v>
      </c>
      <c r="T3284" s="9" t="str">
        <f ca="1">IFERROR(IF(AND(VLOOKUP(A3284, 'Актуальное состояние (из общего'!A:C,3,0) = "", A3284 &lt;&gt; ""), "ПРОВЕРИТЬ", VLOOKUP(A3284, 'Актуальное состояние (из общего'!A:C,3,0)), "")</f>
        <v/>
      </c>
      <c r="U3284" s="9" t="s">
        <v>13284</v>
      </c>
      <c r="V3284" s="9" t="s">
        <v>13284</v>
      </c>
      <c r="W3284" s="12"/>
      <c r="X3284" s="9" t="str">
        <f t="array" ref="X3284">IFERROR(INDEX('Адреса общежитий (скрытый)'!$B$2:$B$9, MATCH(W3284, 'Адреса общежитий (скрытый)'!$A$2:$A$9, 0)), "")</f>
        <v/>
      </c>
      <c r="Y3284" s="18"/>
      <c r="Z3284" s="18"/>
      <c r="AA3284" s="18"/>
      <c r="AB3284" s="18"/>
      <c r="AC3284" s="18"/>
    </row>
    <row r="3285" spans="1:29" ht="32.25" hidden="1" customHeight="1">
      <c r="A3285" s="17"/>
      <c r="B3285" s="9" t="s">
        <v>13284</v>
      </c>
      <c r="C3285" s="9" t="s">
        <v>13284</v>
      </c>
      <c r="D3285" s="9" t="s">
        <v>13284</v>
      </c>
      <c r="E3285" s="9" t="s">
        <v>13284</v>
      </c>
      <c r="F3285" s="9" t="s">
        <v>13284</v>
      </c>
      <c r="G3285" s="9" t="s">
        <v>13284</v>
      </c>
      <c r="H3285" s="9" t="s">
        <v>13284</v>
      </c>
      <c r="I3285" s="9" t="s">
        <v>13284</v>
      </c>
      <c r="J3285" s="9" t="s">
        <v>13284</v>
      </c>
      <c r="K3285" s="9" t="s">
        <v>13284</v>
      </c>
      <c r="L3285" s="9" t="s">
        <v>13284</v>
      </c>
      <c r="M3285" s="9" t="s">
        <v>13284</v>
      </c>
      <c r="N3285" s="9" t="s">
        <v>13284</v>
      </c>
      <c r="O3285" s="9" t="s">
        <v>13284</v>
      </c>
      <c r="P3285" s="9" t="s">
        <v>13284</v>
      </c>
      <c r="Q3285" s="9" t="s">
        <v>13284</v>
      </c>
      <c r="R3285" s="9" t="s">
        <v>13284</v>
      </c>
      <c r="S3285" s="9" t="s">
        <v>13284</v>
      </c>
      <c r="T3285" s="9" t="str">
        <f ca="1">IFERROR(IF(AND(VLOOKUP(A3285, 'Актуальное состояние (из общего'!A:C,3,0) = "", A3285 &lt;&gt; ""), "ПРОВЕРИТЬ", VLOOKUP(A3285, 'Актуальное состояние (из общего'!A:C,3,0)), "")</f>
        <v/>
      </c>
      <c r="U3285" s="9" t="s">
        <v>13284</v>
      </c>
      <c r="V3285" s="9" t="s">
        <v>13284</v>
      </c>
      <c r="W3285" s="12"/>
      <c r="X3285" s="9" t="str">
        <f t="array" ref="X3285">IFERROR(INDEX('Адреса общежитий (скрытый)'!$B$2:$B$9, MATCH(W3285, 'Адреса общежитий (скрытый)'!$A$2:$A$9, 0)), "")</f>
        <v/>
      </c>
      <c r="Y3285" s="18"/>
      <c r="Z3285" s="18"/>
      <c r="AA3285" s="18"/>
      <c r="AB3285" s="18"/>
      <c r="AC3285" s="18"/>
    </row>
    <row r="3286" spans="1:29" ht="32.25" hidden="1" customHeight="1">
      <c r="A3286" s="17"/>
      <c r="B3286" s="9" t="s">
        <v>13284</v>
      </c>
      <c r="C3286" s="9" t="s">
        <v>13284</v>
      </c>
      <c r="D3286" s="9" t="s">
        <v>13284</v>
      </c>
      <c r="E3286" s="9" t="s">
        <v>13284</v>
      </c>
      <c r="F3286" s="9" t="s">
        <v>13284</v>
      </c>
      <c r="G3286" s="9" t="s">
        <v>13284</v>
      </c>
      <c r="H3286" s="9" t="s">
        <v>13284</v>
      </c>
      <c r="I3286" s="9" t="s">
        <v>13284</v>
      </c>
      <c r="J3286" s="9" t="s">
        <v>13284</v>
      </c>
      <c r="K3286" s="9" t="s">
        <v>13284</v>
      </c>
      <c r="L3286" s="9" t="s">
        <v>13284</v>
      </c>
      <c r="M3286" s="9" t="s">
        <v>13284</v>
      </c>
      <c r="N3286" s="9" t="s">
        <v>13284</v>
      </c>
      <c r="O3286" s="9" t="s">
        <v>13284</v>
      </c>
      <c r="P3286" s="9" t="s">
        <v>13284</v>
      </c>
      <c r="Q3286" s="9" t="s">
        <v>13284</v>
      </c>
      <c r="R3286" s="9" t="s">
        <v>13284</v>
      </c>
      <c r="S3286" s="9" t="s">
        <v>13284</v>
      </c>
      <c r="T3286" s="9" t="str">
        <f ca="1">IFERROR(IF(AND(VLOOKUP(A3286, 'Актуальное состояние (из общего'!A:C,3,0) = "", A3286 &lt;&gt; ""), "ПРОВЕРИТЬ", VLOOKUP(A3286, 'Актуальное состояние (из общего'!A:C,3,0)), "")</f>
        <v/>
      </c>
      <c r="U3286" s="9" t="s">
        <v>13284</v>
      </c>
      <c r="V3286" s="9" t="s">
        <v>13284</v>
      </c>
      <c r="W3286" s="12"/>
      <c r="X3286" s="9" t="str">
        <f t="array" ref="X3286">IFERROR(INDEX('Адреса общежитий (скрытый)'!$B$2:$B$9, MATCH(W3286, 'Адреса общежитий (скрытый)'!$A$2:$A$9, 0)), "")</f>
        <v/>
      </c>
      <c r="Y3286" s="18"/>
      <c r="Z3286" s="18"/>
      <c r="AA3286" s="18"/>
      <c r="AB3286" s="18"/>
      <c r="AC3286" s="18"/>
    </row>
    <row r="3287" spans="1:29" ht="32.25" hidden="1" customHeight="1">
      <c r="A3287" s="17"/>
      <c r="B3287" s="9" t="s">
        <v>13284</v>
      </c>
      <c r="C3287" s="9" t="s">
        <v>13284</v>
      </c>
      <c r="D3287" s="9" t="s">
        <v>13284</v>
      </c>
      <c r="E3287" s="9" t="s">
        <v>13284</v>
      </c>
      <c r="F3287" s="9" t="s">
        <v>13284</v>
      </c>
      <c r="G3287" s="9" t="s">
        <v>13284</v>
      </c>
      <c r="H3287" s="9" t="s">
        <v>13284</v>
      </c>
      <c r="I3287" s="9" t="s">
        <v>13284</v>
      </c>
      <c r="J3287" s="9" t="s">
        <v>13284</v>
      </c>
      <c r="K3287" s="9" t="s">
        <v>13284</v>
      </c>
      <c r="L3287" s="9" t="s">
        <v>13284</v>
      </c>
      <c r="M3287" s="9" t="s">
        <v>13284</v>
      </c>
      <c r="N3287" s="9" t="s">
        <v>13284</v>
      </c>
      <c r="O3287" s="9" t="s">
        <v>13284</v>
      </c>
      <c r="P3287" s="9" t="s">
        <v>13284</v>
      </c>
      <c r="Q3287" s="9" t="s">
        <v>13284</v>
      </c>
      <c r="R3287" s="9" t="s">
        <v>13284</v>
      </c>
      <c r="S3287" s="9" t="s">
        <v>13284</v>
      </c>
      <c r="T3287" s="9" t="str">
        <f ca="1">IFERROR(IF(AND(VLOOKUP(A3287, 'Актуальное состояние (из общего'!A:C,3,0) = "", A3287 &lt;&gt; ""), "ПРОВЕРИТЬ", VLOOKUP(A3287, 'Актуальное состояние (из общего'!A:C,3,0)), "")</f>
        <v/>
      </c>
      <c r="U3287" s="9" t="s">
        <v>13284</v>
      </c>
      <c r="V3287" s="9" t="s">
        <v>13284</v>
      </c>
      <c r="W3287" s="12"/>
      <c r="X3287" s="9" t="str">
        <f t="array" ref="X3287">IFERROR(INDEX('Адреса общежитий (скрытый)'!$B$2:$B$9, MATCH(W3287, 'Адреса общежитий (скрытый)'!$A$2:$A$9, 0)), "")</f>
        <v/>
      </c>
      <c r="Y3287" s="18"/>
      <c r="Z3287" s="18"/>
      <c r="AA3287" s="18"/>
      <c r="AB3287" s="18"/>
      <c r="AC3287" s="18"/>
    </row>
    <row r="3288" spans="1:29" ht="32.25" hidden="1" customHeight="1">
      <c r="A3288" s="17"/>
      <c r="B3288" s="9" t="s">
        <v>13284</v>
      </c>
      <c r="C3288" s="9" t="s">
        <v>13284</v>
      </c>
      <c r="D3288" s="9" t="s">
        <v>13284</v>
      </c>
      <c r="E3288" s="9" t="s">
        <v>13284</v>
      </c>
      <c r="F3288" s="9" t="s">
        <v>13284</v>
      </c>
      <c r="G3288" s="9" t="s">
        <v>13284</v>
      </c>
      <c r="H3288" s="9" t="s">
        <v>13284</v>
      </c>
      <c r="I3288" s="9" t="s">
        <v>13284</v>
      </c>
      <c r="J3288" s="9" t="s">
        <v>13284</v>
      </c>
      <c r="K3288" s="9" t="s">
        <v>13284</v>
      </c>
      <c r="L3288" s="9" t="s">
        <v>13284</v>
      </c>
      <c r="M3288" s="9" t="s">
        <v>13284</v>
      </c>
      <c r="N3288" s="9" t="s">
        <v>13284</v>
      </c>
      <c r="O3288" s="9" t="s">
        <v>13284</v>
      </c>
      <c r="P3288" s="9" t="s">
        <v>13284</v>
      </c>
      <c r="Q3288" s="9" t="s">
        <v>13284</v>
      </c>
      <c r="R3288" s="9" t="s">
        <v>13284</v>
      </c>
      <c r="S3288" s="9" t="s">
        <v>13284</v>
      </c>
      <c r="T3288" s="9" t="str">
        <f ca="1">IFERROR(IF(AND(VLOOKUP(A3288, 'Актуальное состояние (из общего'!A:C,3,0) = "", A3288 &lt;&gt; ""), "ПРОВЕРИТЬ", VLOOKUP(A3288, 'Актуальное состояние (из общего'!A:C,3,0)), "")</f>
        <v/>
      </c>
      <c r="U3288" s="9" t="s">
        <v>13284</v>
      </c>
      <c r="V3288" s="9" t="s">
        <v>13284</v>
      </c>
      <c r="W3288" s="12"/>
      <c r="X3288" s="9" t="str">
        <f t="array" ref="X3288">IFERROR(INDEX('Адреса общежитий (скрытый)'!$B$2:$B$9, MATCH(W3288, 'Адреса общежитий (скрытый)'!$A$2:$A$9, 0)), "")</f>
        <v/>
      </c>
      <c r="Y3288" s="18"/>
      <c r="Z3288" s="18"/>
      <c r="AA3288" s="18"/>
      <c r="AB3288" s="18"/>
      <c r="AC3288" s="18"/>
    </row>
    <row r="3289" spans="1:29" ht="32.25" hidden="1" customHeight="1">
      <c r="A3289" s="17"/>
      <c r="B3289" s="9" t="s">
        <v>13284</v>
      </c>
      <c r="C3289" s="9" t="s">
        <v>13284</v>
      </c>
      <c r="D3289" s="9" t="s">
        <v>13284</v>
      </c>
      <c r="E3289" s="9" t="s">
        <v>13284</v>
      </c>
      <c r="F3289" s="9" t="s">
        <v>13284</v>
      </c>
      <c r="G3289" s="9" t="s">
        <v>13284</v>
      </c>
      <c r="H3289" s="9" t="s">
        <v>13284</v>
      </c>
      <c r="I3289" s="9" t="s">
        <v>13284</v>
      </c>
      <c r="J3289" s="9" t="s">
        <v>13284</v>
      </c>
      <c r="K3289" s="9" t="s">
        <v>13284</v>
      </c>
      <c r="L3289" s="9" t="s">
        <v>13284</v>
      </c>
      <c r="M3289" s="9" t="s">
        <v>13284</v>
      </c>
      <c r="N3289" s="9" t="s">
        <v>13284</v>
      </c>
      <c r="O3289" s="9" t="s">
        <v>13284</v>
      </c>
      <c r="P3289" s="9" t="s">
        <v>13284</v>
      </c>
      <c r="Q3289" s="9" t="s">
        <v>13284</v>
      </c>
      <c r="R3289" s="9" t="s">
        <v>13284</v>
      </c>
      <c r="S3289" s="9" t="s">
        <v>13284</v>
      </c>
      <c r="T3289" s="9" t="str">
        <f ca="1">IFERROR(IF(AND(VLOOKUP(A3289, 'Актуальное состояние (из общего'!A:C,3,0) = "", A3289 &lt;&gt; ""), "ПРОВЕРИТЬ", VLOOKUP(A3289, 'Актуальное состояние (из общего'!A:C,3,0)), "")</f>
        <v/>
      </c>
      <c r="U3289" s="9" t="s">
        <v>13284</v>
      </c>
      <c r="V3289" s="9" t="s">
        <v>13284</v>
      </c>
      <c r="W3289" s="12"/>
      <c r="X3289" s="9" t="str">
        <f t="array" ref="X3289">IFERROR(INDEX('Адреса общежитий (скрытый)'!$B$2:$B$9, MATCH(W3289, 'Адреса общежитий (скрытый)'!$A$2:$A$9, 0)), "")</f>
        <v/>
      </c>
      <c r="Y3289" s="18"/>
      <c r="Z3289" s="18"/>
      <c r="AA3289" s="18"/>
      <c r="AB3289" s="18"/>
      <c r="AC3289" s="18"/>
    </row>
    <row r="3290" spans="1:29" ht="32.25" hidden="1" customHeight="1">
      <c r="A3290" s="17"/>
      <c r="B3290" s="9" t="s">
        <v>13284</v>
      </c>
      <c r="C3290" s="9" t="s">
        <v>13284</v>
      </c>
      <c r="D3290" s="9" t="s">
        <v>13284</v>
      </c>
      <c r="E3290" s="9" t="s">
        <v>13284</v>
      </c>
      <c r="F3290" s="9" t="s">
        <v>13284</v>
      </c>
      <c r="G3290" s="9" t="s">
        <v>13284</v>
      </c>
      <c r="H3290" s="9" t="s">
        <v>13284</v>
      </c>
      <c r="I3290" s="9" t="s">
        <v>13284</v>
      </c>
      <c r="J3290" s="9" t="s">
        <v>13284</v>
      </c>
      <c r="K3290" s="9" t="s">
        <v>13284</v>
      </c>
      <c r="L3290" s="9" t="s">
        <v>13284</v>
      </c>
      <c r="M3290" s="9" t="s">
        <v>13284</v>
      </c>
      <c r="N3290" s="9" t="s">
        <v>13284</v>
      </c>
      <c r="O3290" s="9" t="s">
        <v>13284</v>
      </c>
      <c r="P3290" s="9" t="s">
        <v>13284</v>
      </c>
      <c r="Q3290" s="9" t="s">
        <v>13284</v>
      </c>
      <c r="R3290" s="9" t="s">
        <v>13284</v>
      </c>
      <c r="S3290" s="9" t="s">
        <v>13284</v>
      </c>
      <c r="T3290" s="9" t="str">
        <f ca="1">IFERROR(IF(AND(VLOOKUP(A3290, 'Актуальное состояние (из общего'!A:C,3,0) = "", A3290 &lt;&gt; ""), "ПРОВЕРИТЬ", VLOOKUP(A3290, 'Актуальное состояние (из общего'!A:C,3,0)), "")</f>
        <v/>
      </c>
      <c r="U3290" s="9" t="s">
        <v>13284</v>
      </c>
      <c r="V3290" s="9" t="s">
        <v>13284</v>
      </c>
      <c r="W3290" s="12"/>
      <c r="X3290" s="9" t="str">
        <f t="array" ref="X3290">IFERROR(INDEX('Адреса общежитий (скрытый)'!$B$2:$B$9, MATCH(W3290, 'Адреса общежитий (скрытый)'!$A$2:$A$9, 0)), "")</f>
        <v/>
      </c>
      <c r="Y3290" s="18"/>
      <c r="Z3290" s="18"/>
      <c r="AA3290" s="18"/>
      <c r="AB3290" s="18"/>
      <c r="AC3290" s="18"/>
    </row>
    <row r="3291" spans="1:29" ht="32.25" hidden="1" customHeight="1">
      <c r="A3291" s="17"/>
      <c r="B3291" s="9" t="s">
        <v>13284</v>
      </c>
      <c r="C3291" s="9" t="s">
        <v>13284</v>
      </c>
      <c r="D3291" s="9" t="s">
        <v>13284</v>
      </c>
      <c r="E3291" s="9" t="s">
        <v>13284</v>
      </c>
      <c r="F3291" s="9" t="s">
        <v>13284</v>
      </c>
      <c r="G3291" s="9" t="s">
        <v>13284</v>
      </c>
      <c r="H3291" s="9" t="s">
        <v>13284</v>
      </c>
      <c r="I3291" s="9" t="s">
        <v>13284</v>
      </c>
      <c r="J3291" s="9" t="s">
        <v>13284</v>
      </c>
      <c r="K3291" s="9" t="s">
        <v>13284</v>
      </c>
      <c r="L3291" s="9" t="s">
        <v>13284</v>
      </c>
      <c r="M3291" s="9" t="s">
        <v>13284</v>
      </c>
      <c r="N3291" s="9" t="s">
        <v>13284</v>
      </c>
      <c r="O3291" s="9" t="s">
        <v>13284</v>
      </c>
      <c r="P3291" s="9" t="s">
        <v>13284</v>
      </c>
      <c r="Q3291" s="9" t="s">
        <v>13284</v>
      </c>
      <c r="R3291" s="9" t="s">
        <v>13284</v>
      </c>
      <c r="S3291" s="9" t="s">
        <v>13284</v>
      </c>
      <c r="T3291" s="9" t="str">
        <f ca="1">IFERROR(IF(AND(VLOOKUP(A3291, 'Актуальное состояние (из общего'!A:C,3,0) = "", A3291 &lt;&gt; ""), "ПРОВЕРИТЬ", VLOOKUP(A3291, 'Актуальное состояние (из общего'!A:C,3,0)), "")</f>
        <v/>
      </c>
      <c r="U3291" s="9" t="s">
        <v>13284</v>
      </c>
      <c r="V3291" s="9" t="s">
        <v>13284</v>
      </c>
      <c r="W3291" s="12"/>
      <c r="X3291" s="9" t="str">
        <f t="array" ref="X3291">IFERROR(INDEX('Адреса общежитий (скрытый)'!$B$2:$B$9, MATCH(W3291, 'Адреса общежитий (скрытый)'!$A$2:$A$9, 0)), "")</f>
        <v/>
      </c>
      <c r="Y3291" s="18"/>
      <c r="Z3291" s="18"/>
      <c r="AA3291" s="18"/>
      <c r="AB3291" s="18"/>
      <c r="AC3291" s="18"/>
    </row>
    <row r="3292" spans="1:29" ht="32.25" hidden="1" customHeight="1">
      <c r="A3292" s="17"/>
      <c r="B3292" s="9" t="s">
        <v>13284</v>
      </c>
      <c r="C3292" s="9" t="s">
        <v>13284</v>
      </c>
      <c r="D3292" s="9" t="s">
        <v>13284</v>
      </c>
      <c r="E3292" s="9" t="s">
        <v>13284</v>
      </c>
      <c r="F3292" s="9" t="s">
        <v>13284</v>
      </c>
      <c r="G3292" s="9" t="s">
        <v>13284</v>
      </c>
      <c r="H3292" s="9" t="s">
        <v>13284</v>
      </c>
      <c r="I3292" s="9" t="s">
        <v>13284</v>
      </c>
      <c r="J3292" s="9" t="s">
        <v>13284</v>
      </c>
      <c r="K3292" s="9" t="s">
        <v>13284</v>
      </c>
      <c r="L3292" s="9" t="s">
        <v>13284</v>
      </c>
      <c r="M3292" s="9" t="s">
        <v>13284</v>
      </c>
      <c r="N3292" s="9" t="s">
        <v>13284</v>
      </c>
      <c r="O3292" s="9" t="s">
        <v>13284</v>
      </c>
      <c r="P3292" s="9" t="s">
        <v>13284</v>
      </c>
      <c r="Q3292" s="9" t="s">
        <v>13284</v>
      </c>
      <c r="R3292" s="9" t="s">
        <v>13284</v>
      </c>
      <c r="S3292" s="9" t="s">
        <v>13284</v>
      </c>
      <c r="T3292" s="9" t="str">
        <f ca="1">IFERROR(IF(AND(VLOOKUP(A3292, 'Актуальное состояние (из общего'!A:C,3,0) = "", A3292 &lt;&gt; ""), "ПРОВЕРИТЬ", VLOOKUP(A3292, 'Актуальное состояние (из общего'!A:C,3,0)), "")</f>
        <v/>
      </c>
      <c r="U3292" s="9" t="s">
        <v>13284</v>
      </c>
      <c r="V3292" s="9" t="s">
        <v>13284</v>
      </c>
      <c r="W3292" s="12"/>
      <c r="X3292" s="9" t="str">
        <f t="array" ref="X3292">IFERROR(INDEX('Адреса общежитий (скрытый)'!$B$2:$B$9, MATCH(W3292, 'Адреса общежитий (скрытый)'!$A$2:$A$9, 0)), "")</f>
        <v/>
      </c>
      <c r="Y3292" s="18"/>
      <c r="Z3292" s="18"/>
      <c r="AA3292" s="18"/>
      <c r="AB3292" s="18"/>
      <c r="AC3292" s="18"/>
    </row>
    <row r="3293" spans="1:29" ht="32.25" hidden="1" customHeight="1">
      <c r="A3293" s="17"/>
      <c r="B3293" s="9" t="s">
        <v>13284</v>
      </c>
      <c r="C3293" s="9" t="s">
        <v>13284</v>
      </c>
      <c r="D3293" s="9" t="s">
        <v>13284</v>
      </c>
      <c r="E3293" s="9" t="s">
        <v>13284</v>
      </c>
      <c r="F3293" s="9" t="s">
        <v>13284</v>
      </c>
      <c r="G3293" s="9" t="s">
        <v>13284</v>
      </c>
      <c r="H3293" s="9" t="s">
        <v>13284</v>
      </c>
      <c r="I3293" s="9" t="s">
        <v>13284</v>
      </c>
      <c r="J3293" s="9" t="s">
        <v>13284</v>
      </c>
      <c r="K3293" s="9" t="s">
        <v>13284</v>
      </c>
      <c r="L3293" s="9" t="s">
        <v>13284</v>
      </c>
      <c r="M3293" s="9" t="s">
        <v>13284</v>
      </c>
      <c r="N3293" s="9" t="s">
        <v>13284</v>
      </c>
      <c r="O3293" s="9" t="s">
        <v>13284</v>
      </c>
      <c r="P3293" s="9" t="s">
        <v>13284</v>
      </c>
      <c r="Q3293" s="9" t="s">
        <v>13284</v>
      </c>
      <c r="R3293" s="9" t="s">
        <v>13284</v>
      </c>
      <c r="S3293" s="9" t="s">
        <v>13284</v>
      </c>
      <c r="T3293" s="9" t="str">
        <f ca="1">IFERROR(IF(AND(VLOOKUP(A3293, 'Актуальное состояние (из общего'!A:C,3,0) = "", A3293 &lt;&gt; ""), "ПРОВЕРИТЬ", VLOOKUP(A3293, 'Актуальное состояние (из общего'!A:C,3,0)), "")</f>
        <v/>
      </c>
      <c r="U3293" s="9" t="s">
        <v>13284</v>
      </c>
      <c r="V3293" s="9" t="s">
        <v>13284</v>
      </c>
      <c r="W3293" s="12"/>
      <c r="X3293" s="9" t="str">
        <f t="array" ref="X3293">IFERROR(INDEX('Адреса общежитий (скрытый)'!$B$2:$B$9, MATCH(W3293, 'Адреса общежитий (скрытый)'!$A$2:$A$9, 0)), "")</f>
        <v/>
      </c>
      <c r="Y3293" s="18"/>
      <c r="Z3293" s="18"/>
      <c r="AA3293" s="18"/>
      <c r="AB3293" s="18"/>
      <c r="AC3293" s="18"/>
    </row>
    <row r="3294" spans="1:29" ht="32.25" hidden="1" customHeight="1">
      <c r="A3294" s="17"/>
      <c r="B3294" s="9" t="s">
        <v>13284</v>
      </c>
      <c r="C3294" s="9" t="s">
        <v>13284</v>
      </c>
      <c r="D3294" s="9" t="s">
        <v>13284</v>
      </c>
      <c r="E3294" s="9" t="s">
        <v>13284</v>
      </c>
      <c r="F3294" s="9" t="s">
        <v>13284</v>
      </c>
      <c r="G3294" s="9" t="s">
        <v>13284</v>
      </c>
      <c r="H3294" s="9" t="s">
        <v>13284</v>
      </c>
      <c r="I3294" s="9" t="s">
        <v>13284</v>
      </c>
      <c r="J3294" s="9" t="s">
        <v>13284</v>
      </c>
      <c r="K3294" s="9" t="s">
        <v>13284</v>
      </c>
      <c r="L3294" s="9" t="s">
        <v>13284</v>
      </c>
      <c r="M3294" s="9" t="s">
        <v>13284</v>
      </c>
      <c r="N3294" s="9" t="s">
        <v>13284</v>
      </c>
      <c r="O3294" s="9" t="s">
        <v>13284</v>
      </c>
      <c r="P3294" s="9" t="s">
        <v>13284</v>
      </c>
      <c r="Q3294" s="9" t="s">
        <v>13284</v>
      </c>
      <c r="R3294" s="9" t="s">
        <v>13284</v>
      </c>
      <c r="S3294" s="9" t="s">
        <v>13284</v>
      </c>
      <c r="T3294" s="9" t="str">
        <f ca="1">IFERROR(IF(AND(VLOOKUP(A3294, 'Актуальное состояние (из общего'!A:C,3,0) = "", A3294 &lt;&gt; ""), "ПРОВЕРИТЬ", VLOOKUP(A3294, 'Актуальное состояние (из общего'!A:C,3,0)), "")</f>
        <v/>
      </c>
      <c r="U3294" s="9" t="s">
        <v>13284</v>
      </c>
      <c r="V3294" s="9" t="s">
        <v>13284</v>
      </c>
      <c r="W3294" s="12"/>
      <c r="X3294" s="9" t="str">
        <f t="array" ref="X3294">IFERROR(INDEX('Адреса общежитий (скрытый)'!$B$2:$B$9, MATCH(W3294, 'Адреса общежитий (скрытый)'!$A$2:$A$9, 0)), "")</f>
        <v/>
      </c>
      <c r="Y3294" s="18"/>
      <c r="Z3294" s="18"/>
      <c r="AA3294" s="18"/>
      <c r="AB3294" s="18"/>
      <c r="AC3294" s="18"/>
    </row>
    <row r="3295" spans="1:29" ht="32.25" hidden="1" customHeight="1">
      <c r="A3295" s="17"/>
      <c r="B3295" s="9" t="s">
        <v>13284</v>
      </c>
      <c r="C3295" s="9" t="s">
        <v>13284</v>
      </c>
      <c r="D3295" s="9" t="s">
        <v>13284</v>
      </c>
      <c r="E3295" s="9" t="s">
        <v>13284</v>
      </c>
      <c r="F3295" s="9" t="s">
        <v>13284</v>
      </c>
      <c r="G3295" s="9" t="s">
        <v>13284</v>
      </c>
      <c r="H3295" s="9" t="s">
        <v>13284</v>
      </c>
      <c r="I3295" s="9" t="s">
        <v>13284</v>
      </c>
      <c r="J3295" s="9" t="s">
        <v>13284</v>
      </c>
      <c r="K3295" s="9" t="s">
        <v>13284</v>
      </c>
      <c r="L3295" s="9" t="s">
        <v>13284</v>
      </c>
      <c r="M3295" s="9" t="s">
        <v>13284</v>
      </c>
      <c r="N3295" s="9" t="s">
        <v>13284</v>
      </c>
      <c r="O3295" s="9" t="s">
        <v>13284</v>
      </c>
      <c r="P3295" s="9" t="s">
        <v>13284</v>
      </c>
      <c r="Q3295" s="9" t="s">
        <v>13284</v>
      </c>
      <c r="R3295" s="9" t="s">
        <v>13284</v>
      </c>
      <c r="S3295" s="9" t="s">
        <v>13284</v>
      </c>
      <c r="T3295" s="9" t="str">
        <f ca="1">IFERROR(IF(AND(VLOOKUP(A3295, 'Актуальное состояние (из общего'!A:C,3,0) = "", A3295 &lt;&gt; ""), "ПРОВЕРИТЬ", VLOOKUP(A3295, 'Актуальное состояние (из общего'!A:C,3,0)), "")</f>
        <v/>
      </c>
      <c r="U3295" s="9" t="s">
        <v>13284</v>
      </c>
      <c r="V3295" s="9" t="s">
        <v>13284</v>
      </c>
      <c r="W3295" s="12"/>
      <c r="X3295" s="9" t="str">
        <f t="array" ref="X3295">IFERROR(INDEX('Адреса общежитий (скрытый)'!$B$2:$B$9, MATCH(W3295, 'Адреса общежитий (скрытый)'!$A$2:$A$9, 0)), "")</f>
        <v/>
      </c>
      <c r="Y3295" s="18"/>
      <c r="Z3295" s="18"/>
      <c r="AA3295" s="18"/>
      <c r="AB3295" s="18"/>
      <c r="AC3295" s="18"/>
    </row>
    <row r="3296" spans="1:29" ht="32.25" hidden="1" customHeight="1">
      <c r="A3296" s="17"/>
      <c r="B3296" s="9" t="s">
        <v>13284</v>
      </c>
      <c r="C3296" s="9" t="s">
        <v>13284</v>
      </c>
      <c r="D3296" s="9" t="s">
        <v>13284</v>
      </c>
      <c r="E3296" s="9" t="s">
        <v>13284</v>
      </c>
      <c r="F3296" s="9" t="s">
        <v>13284</v>
      </c>
      <c r="G3296" s="9" t="s">
        <v>13284</v>
      </c>
      <c r="H3296" s="9" t="s">
        <v>13284</v>
      </c>
      <c r="I3296" s="9" t="s">
        <v>13284</v>
      </c>
      <c r="J3296" s="9" t="s">
        <v>13284</v>
      </c>
      <c r="K3296" s="9" t="s">
        <v>13284</v>
      </c>
      <c r="L3296" s="9" t="s">
        <v>13284</v>
      </c>
      <c r="M3296" s="9" t="s">
        <v>13284</v>
      </c>
      <c r="N3296" s="9" t="s">
        <v>13284</v>
      </c>
      <c r="O3296" s="9" t="s">
        <v>13284</v>
      </c>
      <c r="P3296" s="9" t="s">
        <v>13284</v>
      </c>
      <c r="Q3296" s="9" t="s">
        <v>13284</v>
      </c>
      <c r="R3296" s="9" t="s">
        <v>13284</v>
      </c>
      <c r="S3296" s="9" t="s">
        <v>13284</v>
      </c>
      <c r="T3296" s="9" t="str">
        <f ca="1">IFERROR(IF(AND(VLOOKUP(A3296, 'Актуальное состояние (из общего'!A:C,3,0) = "", A3296 &lt;&gt; ""), "ПРОВЕРИТЬ", VLOOKUP(A3296, 'Актуальное состояние (из общего'!A:C,3,0)), "")</f>
        <v/>
      </c>
      <c r="U3296" s="9" t="s">
        <v>13284</v>
      </c>
      <c r="V3296" s="9" t="s">
        <v>13284</v>
      </c>
      <c r="W3296" s="12"/>
      <c r="X3296" s="9" t="str">
        <f t="array" ref="X3296">IFERROR(INDEX('Адреса общежитий (скрытый)'!$B$2:$B$9, MATCH(W3296, 'Адреса общежитий (скрытый)'!$A$2:$A$9, 0)), "")</f>
        <v/>
      </c>
      <c r="Y3296" s="18"/>
      <c r="Z3296" s="18"/>
      <c r="AA3296" s="18"/>
      <c r="AB3296" s="18"/>
      <c r="AC3296" s="18"/>
    </row>
    <row r="3297" spans="1:29" ht="32.25" hidden="1" customHeight="1">
      <c r="A3297" s="17"/>
      <c r="B3297" s="9" t="s">
        <v>13284</v>
      </c>
      <c r="C3297" s="9" t="s">
        <v>13284</v>
      </c>
      <c r="D3297" s="9" t="s">
        <v>13284</v>
      </c>
      <c r="E3297" s="9" t="s">
        <v>13284</v>
      </c>
      <c r="F3297" s="9" t="s">
        <v>13284</v>
      </c>
      <c r="G3297" s="9" t="s">
        <v>13284</v>
      </c>
      <c r="H3297" s="9" t="s">
        <v>13284</v>
      </c>
      <c r="I3297" s="9" t="s">
        <v>13284</v>
      </c>
      <c r="J3297" s="9" t="s">
        <v>13284</v>
      </c>
      <c r="K3297" s="9" t="s">
        <v>13284</v>
      </c>
      <c r="L3297" s="9" t="s">
        <v>13284</v>
      </c>
      <c r="M3297" s="9" t="s">
        <v>13284</v>
      </c>
      <c r="N3297" s="9" t="s">
        <v>13284</v>
      </c>
      <c r="O3297" s="9" t="s">
        <v>13284</v>
      </c>
      <c r="P3297" s="9" t="s">
        <v>13284</v>
      </c>
      <c r="Q3297" s="9" t="s">
        <v>13284</v>
      </c>
      <c r="R3297" s="9" t="s">
        <v>13284</v>
      </c>
      <c r="S3297" s="9" t="s">
        <v>13284</v>
      </c>
      <c r="T3297" s="9" t="str">
        <f ca="1">IFERROR(IF(AND(VLOOKUP(A3297, 'Актуальное состояние (из общего'!A:C,3,0) = "", A3297 &lt;&gt; ""), "ПРОВЕРИТЬ", VLOOKUP(A3297, 'Актуальное состояние (из общего'!A:C,3,0)), "")</f>
        <v/>
      </c>
      <c r="U3297" s="9" t="s">
        <v>13284</v>
      </c>
      <c r="V3297" s="9" t="s">
        <v>13284</v>
      </c>
      <c r="W3297" s="12"/>
      <c r="X3297" s="9" t="str">
        <f t="array" ref="X3297">IFERROR(INDEX('Адреса общежитий (скрытый)'!$B$2:$B$9, MATCH(W3297, 'Адреса общежитий (скрытый)'!$A$2:$A$9, 0)), "")</f>
        <v/>
      </c>
      <c r="Y3297" s="18"/>
      <c r="Z3297" s="18"/>
      <c r="AA3297" s="18"/>
      <c r="AB3297" s="18"/>
      <c r="AC3297" s="18"/>
    </row>
    <row r="3298" spans="1:29" ht="32.25" hidden="1" customHeight="1">
      <c r="A3298" s="17"/>
      <c r="B3298" s="9" t="s">
        <v>13284</v>
      </c>
      <c r="C3298" s="9" t="s">
        <v>13284</v>
      </c>
      <c r="D3298" s="9" t="s">
        <v>13284</v>
      </c>
      <c r="E3298" s="9" t="s">
        <v>13284</v>
      </c>
      <c r="F3298" s="9" t="s">
        <v>13284</v>
      </c>
      <c r="G3298" s="9" t="s">
        <v>13284</v>
      </c>
      <c r="H3298" s="9" t="s">
        <v>13284</v>
      </c>
      <c r="I3298" s="9" t="s">
        <v>13284</v>
      </c>
      <c r="J3298" s="9" t="s">
        <v>13284</v>
      </c>
      <c r="K3298" s="9" t="s">
        <v>13284</v>
      </c>
      <c r="L3298" s="9" t="s">
        <v>13284</v>
      </c>
      <c r="M3298" s="9" t="s">
        <v>13284</v>
      </c>
      <c r="N3298" s="9" t="s">
        <v>13284</v>
      </c>
      <c r="O3298" s="9" t="s">
        <v>13284</v>
      </c>
      <c r="P3298" s="9" t="s">
        <v>13284</v>
      </c>
      <c r="Q3298" s="9" t="s">
        <v>13284</v>
      </c>
      <c r="R3298" s="9" t="s">
        <v>13284</v>
      </c>
      <c r="S3298" s="9" t="s">
        <v>13284</v>
      </c>
      <c r="T3298" s="9" t="str">
        <f ca="1">IFERROR(IF(AND(VLOOKUP(A3298, 'Актуальное состояние (из общего'!A:C,3,0) = "", A3298 &lt;&gt; ""), "ПРОВЕРИТЬ", VLOOKUP(A3298, 'Актуальное состояние (из общего'!A:C,3,0)), "")</f>
        <v/>
      </c>
      <c r="U3298" s="9" t="s">
        <v>13284</v>
      </c>
      <c r="V3298" s="9" t="s">
        <v>13284</v>
      </c>
      <c r="W3298" s="12"/>
      <c r="X3298" s="9" t="str">
        <f t="array" ref="X3298">IFERROR(INDEX('Адреса общежитий (скрытый)'!$B$2:$B$9, MATCH(W3298, 'Адреса общежитий (скрытый)'!$A$2:$A$9, 0)), "")</f>
        <v/>
      </c>
      <c r="Y3298" s="18"/>
      <c r="Z3298" s="18"/>
      <c r="AA3298" s="18"/>
      <c r="AB3298" s="18"/>
      <c r="AC3298" s="18"/>
    </row>
    <row r="3299" spans="1:29" ht="32.25" hidden="1" customHeight="1">
      <c r="A3299" s="17"/>
      <c r="B3299" s="9" t="s">
        <v>13284</v>
      </c>
      <c r="C3299" s="9" t="s">
        <v>13284</v>
      </c>
      <c r="D3299" s="9" t="s">
        <v>13284</v>
      </c>
      <c r="E3299" s="9" t="s">
        <v>13284</v>
      </c>
      <c r="F3299" s="9" t="s">
        <v>13284</v>
      </c>
      <c r="G3299" s="9" t="s">
        <v>13284</v>
      </c>
      <c r="H3299" s="9" t="s">
        <v>13284</v>
      </c>
      <c r="I3299" s="9" t="s">
        <v>13284</v>
      </c>
      <c r="J3299" s="9" t="s">
        <v>13284</v>
      </c>
      <c r="K3299" s="9" t="s">
        <v>13284</v>
      </c>
      <c r="L3299" s="9" t="s">
        <v>13284</v>
      </c>
      <c r="M3299" s="9" t="s">
        <v>13284</v>
      </c>
      <c r="N3299" s="9" t="s">
        <v>13284</v>
      </c>
      <c r="O3299" s="9" t="s">
        <v>13284</v>
      </c>
      <c r="P3299" s="9" t="s">
        <v>13284</v>
      </c>
      <c r="Q3299" s="9" t="s">
        <v>13284</v>
      </c>
      <c r="R3299" s="9" t="s">
        <v>13284</v>
      </c>
      <c r="S3299" s="9" t="s">
        <v>13284</v>
      </c>
      <c r="T3299" s="9" t="str">
        <f ca="1">IFERROR(IF(AND(VLOOKUP(A3299, 'Актуальное состояние (из общего'!A:C,3,0) = "", A3299 &lt;&gt; ""), "ПРОВЕРИТЬ", VLOOKUP(A3299, 'Актуальное состояние (из общего'!A:C,3,0)), "")</f>
        <v/>
      </c>
      <c r="U3299" s="9" t="s">
        <v>13284</v>
      </c>
      <c r="V3299" s="9" t="s">
        <v>13284</v>
      </c>
      <c r="W3299" s="12"/>
      <c r="X3299" s="9" t="str">
        <f t="array" ref="X3299">IFERROR(INDEX('Адреса общежитий (скрытый)'!$B$2:$B$9, MATCH(W3299, 'Адреса общежитий (скрытый)'!$A$2:$A$9, 0)), "")</f>
        <v/>
      </c>
      <c r="Y3299" s="18"/>
      <c r="Z3299" s="18"/>
      <c r="AA3299" s="18"/>
      <c r="AB3299" s="18"/>
      <c r="AC3299" s="18"/>
    </row>
    <row r="3300" spans="1:29" ht="32.25" hidden="1" customHeight="1">
      <c r="A3300" s="17"/>
      <c r="B3300" s="9" t="s">
        <v>13284</v>
      </c>
      <c r="C3300" s="9" t="s">
        <v>13284</v>
      </c>
      <c r="D3300" s="9" t="s">
        <v>13284</v>
      </c>
      <c r="E3300" s="9" t="s">
        <v>13284</v>
      </c>
      <c r="F3300" s="9" t="s">
        <v>13284</v>
      </c>
      <c r="G3300" s="9" t="s">
        <v>13284</v>
      </c>
      <c r="H3300" s="9" t="s">
        <v>13284</v>
      </c>
      <c r="I3300" s="9" t="s">
        <v>13284</v>
      </c>
      <c r="J3300" s="9" t="s">
        <v>13284</v>
      </c>
      <c r="K3300" s="9" t="s">
        <v>13284</v>
      </c>
      <c r="L3300" s="9" t="s">
        <v>13284</v>
      </c>
      <c r="M3300" s="9" t="s">
        <v>13284</v>
      </c>
      <c r="N3300" s="9" t="s">
        <v>13284</v>
      </c>
      <c r="O3300" s="9" t="s">
        <v>13284</v>
      </c>
      <c r="P3300" s="9" t="s">
        <v>13284</v>
      </c>
      <c r="Q3300" s="9" t="s">
        <v>13284</v>
      </c>
      <c r="R3300" s="9" t="s">
        <v>13284</v>
      </c>
      <c r="S3300" s="9" t="s">
        <v>13284</v>
      </c>
      <c r="T3300" s="9" t="str">
        <f ca="1">IFERROR(IF(AND(VLOOKUP(A3300, 'Актуальное состояние (из общего'!A:C,3,0) = "", A3300 &lt;&gt; ""), "ПРОВЕРИТЬ", VLOOKUP(A3300, 'Актуальное состояние (из общего'!A:C,3,0)), "")</f>
        <v/>
      </c>
      <c r="U3300" s="9" t="s">
        <v>13284</v>
      </c>
      <c r="V3300" s="9" t="s">
        <v>13284</v>
      </c>
      <c r="W3300" s="12"/>
      <c r="X3300" s="9" t="str">
        <f t="array" ref="X3300">IFERROR(INDEX('Адреса общежитий (скрытый)'!$B$2:$B$9, MATCH(W3300, 'Адреса общежитий (скрытый)'!$A$2:$A$9, 0)), "")</f>
        <v/>
      </c>
      <c r="Y3300" s="18"/>
      <c r="Z3300" s="18"/>
      <c r="AA3300" s="18"/>
      <c r="AB3300" s="18"/>
      <c r="AC3300" s="18"/>
    </row>
    <row r="3301" spans="1:29" ht="32.25" hidden="1" customHeight="1">
      <c r="A3301" s="17"/>
      <c r="B3301" s="9" t="s">
        <v>13284</v>
      </c>
      <c r="C3301" s="9" t="s">
        <v>13284</v>
      </c>
      <c r="D3301" s="9" t="s">
        <v>13284</v>
      </c>
      <c r="E3301" s="9" t="s">
        <v>13284</v>
      </c>
      <c r="F3301" s="9" t="s">
        <v>13284</v>
      </c>
      <c r="G3301" s="9" t="s">
        <v>13284</v>
      </c>
      <c r="H3301" s="9" t="s">
        <v>13284</v>
      </c>
      <c r="I3301" s="9" t="s">
        <v>13284</v>
      </c>
      <c r="J3301" s="9" t="s">
        <v>13284</v>
      </c>
      <c r="K3301" s="9" t="s">
        <v>13284</v>
      </c>
      <c r="L3301" s="9" t="s">
        <v>13284</v>
      </c>
      <c r="M3301" s="9" t="s">
        <v>13284</v>
      </c>
      <c r="N3301" s="9" t="s">
        <v>13284</v>
      </c>
      <c r="O3301" s="9" t="s">
        <v>13284</v>
      </c>
      <c r="P3301" s="9" t="s">
        <v>13284</v>
      </c>
      <c r="Q3301" s="9" t="s">
        <v>13284</v>
      </c>
      <c r="R3301" s="9" t="s">
        <v>13284</v>
      </c>
      <c r="S3301" s="9" t="s">
        <v>13284</v>
      </c>
      <c r="T3301" s="9" t="str">
        <f ca="1">IFERROR(IF(AND(VLOOKUP(A3301, 'Актуальное состояние (из общего'!A:C,3,0) = "", A3301 &lt;&gt; ""), "ПРОВЕРИТЬ", VLOOKUP(A3301, 'Актуальное состояние (из общего'!A:C,3,0)), "")</f>
        <v/>
      </c>
      <c r="U3301" s="9" t="s">
        <v>13284</v>
      </c>
      <c r="V3301" s="9" t="s">
        <v>13284</v>
      </c>
      <c r="W3301" s="12"/>
      <c r="X3301" s="9" t="str">
        <f t="array" ref="X3301">IFERROR(INDEX('Адреса общежитий (скрытый)'!$B$2:$B$9, MATCH(W3301, 'Адреса общежитий (скрытый)'!$A$2:$A$9, 0)), "")</f>
        <v/>
      </c>
      <c r="Y3301" s="18"/>
      <c r="Z3301" s="18"/>
      <c r="AA3301" s="18"/>
      <c r="AB3301" s="18"/>
      <c r="AC3301" s="18"/>
    </row>
    <row r="3302" spans="1:29" ht="32.25" hidden="1" customHeight="1">
      <c r="A3302" s="17"/>
      <c r="B3302" s="9" t="s">
        <v>13284</v>
      </c>
      <c r="C3302" s="9" t="s">
        <v>13284</v>
      </c>
      <c r="D3302" s="9" t="s">
        <v>13284</v>
      </c>
      <c r="E3302" s="9" t="s">
        <v>13284</v>
      </c>
      <c r="F3302" s="9" t="s">
        <v>13284</v>
      </c>
      <c r="G3302" s="9" t="s">
        <v>13284</v>
      </c>
      <c r="H3302" s="9" t="s">
        <v>13284</v>
      </c>
      <c r="I3302" s="9" t="s">
        <v>13284</v>
      </c>
      <c r="J3302" s="9" t="s">
        <v>13284</v>
      </c>
      <c r="K3302" s="9" t="s">
        <v>13284</v>
      </c>
      <c r="L3302" s="9" t="s">
        <v>13284</v>
      </c>
      <c r="M3302" s="9" t="s">
        <v>13284</v>
      </c>
      <c r="N3302" s="9" t="s">
        <v>13284</v>
      </c>
      <c r="O3302" s="9" t="s">
        <v>13284</v>
      </c>
      <c r="P3302" s="9" t="s">
        <v>13284</v>
      </c>
      <c r="Q3302" s="9" t="s">
        <v>13284</v>
      </c>
      <c r="R3302" s="9" t="s">
        <v>13284</v>
      </c>
      <c r="S3302" s="9" t="s">
        <v>13284</v>
      </c>
      <c r="T3302" s="9" t="str">
        <f ca="1">IFERROR(IF(AND(VLOOKUP(A3302, 'Актуальное состояние (из общего'!A:C,3,0) = "", A3302 &lt;&gt; ""), "ПРОВЕРИТЬ", VLOOKUP(A3302, 'Актуальное состояние (из общего'!A:C,3,0)), "")</f>
        <v/>
      </c>
      <c r="U3302" s="9" t="s">
        <v>13284</v>
      </c>
      <c r="V3302" s="9" t="s">
        <v>13284</v>
      </c>
      <c r="W3302" s="12"/>
      <c r="X3302" s="9" t="str">
        <f t="array" ref="X3302">IFERROR(INDEX('Адреса общежитий (скрытый)'!$B$2:$B$9, MATCH(W3302, 'Адреса общежитий (скрытый)'!$A$2:$A$9, 0)), "")</f>
        <v/>
      </c>
      <c r="Y3302" s="18"/>
      <c r="Z3302" s="18"/>
      <c r="AA3302" s="18"/>
      <c r="AB3302" s="18"/>
      <c r="AC3302" s="18"/>
    </row>
    <row r="3303" spans="1:29" ht="32.25" hidden="1" customHeight="1">
      <c r="A3303" s="17"/>
      <c r="B3303" s="9" t="s">
        <v>13284</v>
      </c>
      <c r="C3303" s="9" t="s">
        <v>13284</v>
      </c>
      <c r="D3303" s="9" t="s">
        <v>13284</v>
      </c>
      <c r="E3303" s="9" t="s">
        <v>13284</v>
      </c>
      <c r="F3303" s="9" t="s">
        <v>13284</v>
      </c>
      <c r="G3303" s="9" t="s">
        <v>13284</v>
      </c>
      <c r="H3303" s="9" t="s">
        <v>13284</v>
      </c>
      <c r="I3303" s="9" t="s">
        <v>13284</v>
      </c>
      <c r="J3303" s="9" t="s">
        <v>13284</v>
      </c>
      <c r="K3303" s="9" t="s">
        <v>13284</v>
      </c>
      <c r="L3303" s="9" t="s">
        <v>13284</v>
      </c>
      <c r="M3303" s="9" t="s">
        <v>13284</v>
      </c>
      <c r="N3303" s="9" t="s">
        <v>13284</v>
      </c>
      <c r="O3303" s="9" t="s">
        <v>13284</v>
      </c>
      <c r="P3303" s="9" t="s">
        <v>13284</v>
      </c>
      <c r="Q3303" s="9" t="s">
        <v>13284</v>
      </c>
      <c r="R3303" s="9" t="s">
        <v>13284</v>
      </c>
      <c r="S3303" s="9" t="s">
        <v>13284</v>
      </c>
      <c r="T3303" s="9" t="str">
        <f ca="1">IFERROR(IF(AND(VLOOKUP(A3303, 'Актуальное состояние (из общего'!A:C,3,0) = "", A3303 &lt;&gt; ""), "ПРОВЕРИТЬ", VLOOKUP(A3303, 'Актуальное состояние (из общего'!A:C,3,0)), "")</f>
        <v/>
      </c>
      <c r="U3303" s="9" t="s">
        <v>13284</v>
      </c>
      <c r="V3303" s="9" t="s">
        <v>13284</v>
      </c>
      <c r="W3303" s="12"/>
      <c r="X3303" s="9" t="str">
        <f t="array" ref="X3303">IFERROR(INDEX('Адреса общежитий (скрытый)'!$B$2:$B$9, MATCH(W3303, 'Адреса общежитий (скрытый)'!$A$2:$A$9, 0)), "")</f>
        <v/>
      </c>
      <c r="Y3303" s="18"/>
      <c r="Z3303" s="18"/>
      <c r="AA3303" s="18"/>
      <c r="AB3303" s="18"/>
      <c r="AC3303" s="18"/>
    </row>
    <row r="3304" spans="1:29" ht="32.25" hidden="1" customHeight="1">
      <c r="A3304" s="17"/>
      <c r="B3304" s="9" t="s">
        <v>13284</v>
      </c>
      <c r="C3304" s="9" t="s">
        <v>13284</v>
      </c>
      <c r="D3304" s="9" t="s">
        <v>13284</v>
      </c>
      <c r="E3304" s="9" t="s">
        <v>13284</v>
      </c>
      <c r="F3304" s="9" t="s">
        <v>13284</v>
      </c>
      <c r="G3304" s="9" t="s">
        <v>13284</v>
      </c>
      <c r="H3304" s="9" t="s">
        <v>13284</v>
      </c>
      <c r="I3304" s="9" t="s">
        <v>13284</v>
      </c>
      <c r="J3304" s="9" t="s">
        <v>13284</v>
      </c>
      <c r="K3304" s="9" t="s">
        <v>13284</v>
      </c>
      <c r="L3304" s="9" t="s">
        <v>13284</v>
      </c>
      <c r="M3304" s="9" t="s">
        <v>13284</v>
      </c>
      <c r="N3304" s="9" t="s">
        <v>13284</v>
      </c>
      <c r="O3304" s="9" t="s">
        <v>13284</v>
      </c>
      <c r="P3304" s="9" t="s">
        <v>13284</v>
      </c>
      <c r="Q3304" s="9" t="s">
        <v>13284</v>
      </c>
      <c r="R3304" s="9" t="s">
        <v>13284</v>
      </c>
      <c r="S3304" s="9" t="s">
        <v>13284</v>
      </c>
      <c r="T3304" s="9" t="str">
        <f ca="1">IFERROR(IF(AND(VLOOKUP(A3304, 'Актуальное состояние (из общего'!A:C,3,0) = "", A3304 &lt;&gt; ""), "ПРОВЕРИТЬ", VLOOKUP(A3304, 'Актуальное состояние (из общего'!A:C,3,0)), "")</f>
        <v/>
      </c>
      <c r="U3304" s="9" t="s">
        <v>13284</v>
      </c>
      <c r="V3304" s="9" t="s">
        <v>13284</v>
      </c>
      <c r="W3304" s="12"/>
      <c r="X3304" s="9" t="str">
        <f t="array" ref="X3304">IFERROR(INDEX('Адреса общежитий (скрытый)'!$B$2:$B$9, MATCH(W3304, 'Адреса общежитий (скрытый)'!$A$2:$A$9, 0)), "")</f>
        <v/>
      </c>
      <c r="Y3304" s="18"/>
      <c r="Z3304" s="18"/>
      <c r="AA3304" s="18"/>
      <c r="AB3304" s="18"/>
      <c r="AC3304" s="18"/>
    </row>
    <row r="3305" spans="1:29" ht="32.25" hidden="1" customHeight="1">
      <c r="A3305" s="17"/>
      <c r="B3305" s="9" t="s">
        <v>13284</v>
      </c>
      <c r="C3305" s="9" t="s">
        <v>13284</v>
      </c>
      <c r="D3305" s="9" t="s">
        <v>13284</v>
      </c>
      <c r="E3305" s="9" t="s">
        <v>13284</v>
      </c>
      <c r="F3305" s="9" t="s">
        <v>13284</v>
      </c>
      <c r="G3305" s="9" t="s">
        <v>13284</v>
      </c>
      <c r="H3305" s="9" t="s">
        <v>13284</v>
      </c>
      <c r="I3305" s="9" t="s">
        <v>13284</v>
      </c>
      <c r="J3305" s="9" t="s">
        <v>13284</v>
      </c>
      <c r="K3305" s="9" t="s">
        <v>13284</v>
      </c>
      <c r="L3305" s="9" t="s">
        <v>13284</v>
      </c>
      <c r="M3305" s="9" t="s">
        <v>13284</v>
      </c>
      <c r="N3305" s="9" t="s">
        <v>13284</v>
      </c>
      <c r="O3305" s="9" t="s">
        <v>13284</v>
      </c>
      <c r="P3305" s="9" t="s">
        <v>13284</v>
      </c>
      <c r="Q3305" s="9" t="s">
        <v>13284</v>
      </c>
      <c r="R3305" s="9" t="s">
        <v>13284</v>
      </c>
      <c r="S3305" s="9" t="s">
        <v>13284</v>
      </c>
      <c r="T3305" s="9" t="str">
        <f ca="1">IFERROR(IF(AND(VLOOKUP(A3305, 'Актуальное состояние (из общего'!A:C,3,0) = "", A3305 &lt;&gt; ""), "ПРОВЕРИТЬ", VLOOKUP(A3305, 'Актуальное состояние (из общего'!A:C,3,0)), "")</f>
        <v/>
      </c>
      <c r="U3305" s="9" t="s">
        <v>13284</v>
      </c>
      <c r="V3305" s="9" t="s">
        <v>13284</v>
      </c>
      <c r="W3305" s="12"/>
      <c r="X3305" s="9" t="str">
        <f t="array" ref="X3305">IFERROR(INDEX('Адреса общежитий (скрытый)'!$B$2:$B$9, MATCH(W3305, 'Адреса общежитий (скрытый)'!$A$2:$A$9, 0)), "")</f>
        <v/>
      </c>
      <c r="Y3305" s="18"/>
      <c r="Z3305" s="18"/>
      <c r="AA3305" s="18"/>
      <c r="AB3305" s="18"/>
      <c r="AC3305" s="18"/>
    </row>
    <row r="3306" spans="1:29" ht="32.25" hidden="1" customHeight="1">
      <c r="A3306" s="17"/>
      <c r="B3306" s="9" t="s">
        <v>13284</v>
      </c>
      <c r="C3306" s="9" t="s">
        <v>13284</v>
      </c>
      <c r="D3306" s="9" t="s">
        <v>13284</v>
      </c>
      <c r="E3306" s="9" t="s">
        <v>13284</v>
      </c>
      <c r="F3306" s="9" t="s">
        <v>13284</v>
      </c>
      <c r="G3306" s="9" t="s">
        <v>13284</v>
      </c>
      <c r="H3306" s="9" t="s">
        <v>13284</v>
      </c>
      <c r="I3306" s="9" t="s">
        <v>13284</v>
      </c>
      <c r="J3306" s="9" t="s">
        <v>13284</v>
      </c>
      <c r="K3306" s="9" t="s">
        <v>13284</v>
      </c>
      <c r="L3306" s="9" t="s">
        <v>13284</v>
      </c>
      <c r="M3306" s="9" t="s">
        <v>13284</v>
      </c>
      <c r="N3306" s="9" t="s">
        <v>13284</v>
      </c>
      <c r="O3306" s="9" t="s">
        <v>13284</v>
      </c>
      <c r="P3306" s="9" t="s">
        <v>13284</v>
      </c>
      <c r="Q3306" s="9" t="s">
        <v>13284</v>
      </c>
      <c r="R3306" s="9" t="s">
        <v>13284</v>
      </c>
      <c r="S3306" s="9" t="s">
        <v>13284</v>
      </c>
      <c r="T3306" s="9" t="str">
        <f ca="1">IFERROR(IF(AND(VLOOKUP(A3306, 'Актуальное состояние (из общего'!A:C,3,0) = "", A3306 &lt;&gt; ""), "ПРОВЕРИТЬ", VLOOKUP(A3306, 'Актуальное состояние (из общего'!A:C,3,0)), "")</f>
        <v/>
      </c>
      <c r="U3306" s="9" t="s">
        <v>13284</v>
      </c>
      <c r="V3306" s="9" t="s">
        <v>13284</v>
      </c>
      <c r="W3306" s="12"/>
      <c r="X3306" s="9" t="str">
        <f t="array" ref="X3306">IFERROR(INDEX('Адреса общежитий (скрытый)'!$B$2:$B$9, MATCH(W3306, 'Адреса общежитий (скрытый)'!$A$2:$A$9, 0)), "")</f>
        <v/>
      </c>
      <c r="Y3306" s="18"/>
      <c r="Z3306" s="18"/>
      <c r="AA3306" s="18"/>
      <c r="AB3306" s="18"/>
      <c r="AC3306" s="18"/>
    </row>
    <row r="3307" spans="1:29" ht="32.25" hidden="1" customHeight="1">
      <c r="A3307" s="17"/>
      <c r="B3307" s="9" t="s">
        <v>13284</v>
      </c>
      <c r="C3307" s="9" t="s">
        <v>13284</v>
      </c>
      <c r="D3307" s="9" t="s">
        <v>13284</v>
      </c>
      <c r="E3307" s="9" t="s">
        <v>13284</v>
      </c>
      <c r="F3307" s="9" t="s">
        <v>13284</v>
      </c>
      <c r="G3307" s="9" t="s">
        <v>13284</v>
      </c>
      <c r="H3307" s="9" t="s">
        <v>13284</v>
      </c>
      <c r="I3307" s="9" t="s">
        <v>13284</v>
      </c>
      <c r="J3307" s="9" t="s">
        <v>13284</v>
      </c>
      <c r="K3307" s="9" t="s">
        <v>13284</v>
      </c>
      <c r="L3307" s="9" t="s">
        <v>13284</v>
      </c>
      <c r="M3307" s="9" t="s">
        <v>13284</v>
      </c>
      <c r="N3307" s="9" t="s">
        <v>13284</v>
      </c>
      <c r="O3307" s="9" t="s">
        <v>13284</v>
      </c>
      <c r="P3307" s="9" t="s">
        <v>13284</v>
      </c>
      <c r="Q3307" s="9" t="s">
        <v>13284</v>
      </c>
      <c r="R3307" s="9" t="s">
        <v>13284</v>
      </c>
      <c r="S3307" s="9" t="s">
        <v>13284</v>
      </c>
      <c r="T3307" s="9" t="str">
        <f ca="1">IFERROR(IF(AND(VLOOKUP(A3307, 'Актуальное состояние (из общего'!A:C,3,0) = "", A3307 &lt;&gt; ""), "ПРОВЕРИТЬ", VLOOKUP(A3307, 'Актуальное состояние (из общего'!A:C,3,0)), "")</f>
        <v/>
      </c>
      <c r="U3307" s="9" t="s">
        <v>13284</v>
      </c>
      <c r="V3307" s="9" t="s">
        <v>13284</v>
      </c>
      <c r="W3307" s="12"/>
      <c r="X3307" s="9" t="str">
        <f t="array" ref="X3307">IFERROR(INDEX('Адреса общежитий (скрытый)'!$B$2:$B$9, MATCH(W3307, 'Адреса общежитий (скрытый)'!$A$2:$A$9, 0)), "")</f>
        <v/>
      </c>
      <c r="Y3307" s="18"/>
      <c r="Z3307" s="18"/>
      <c r="AA3307" s="18"/>
      <c r="AB3307" s="18"/>
      <c r="AC3307" s="18"/>
    </row>
    <row r="3308" spans="1:29" ht="32.25" hidden="1" customHeight="1">
      <c r="A3308" s="17"/>
      <c r="B3308" s="9" t="s">
        <v>13284</v>
      </c>
      <c r="C3308" s="9" t="s">
        <v>13284</v>
      </c>
      <c r="D3308" s="9" t="s">
        <v>13284</v>
      </c>
      <c r="E3308" s="9" t="s">
        <v>13284</v>
      </c>
      <c r="F3308" s="9" t="s">
        <v>13284</v>
      </c>
      <c r="G3308" s="9" t="s">
        <v>13284</v>
      </c>
      <c r="H3308" s="9" t="s">
        <v>13284</v>
      </c>
      <c r="I3308" s="9" t="s">
        <v>13284</v>
      </c>
      <c r="J3308" s="9" t="s">
        <v>13284</v>
      </c>
      <c r="K3308" s="9" t="s">
        <v>13284</v>
      </c>
      <c r="L3308" s="9" t="s">
        <v>13284</v>
      </c>
      <c r="M3308" s="9" t="s">
        <v>13284</v>
      </c>
      <c r="N3308" s="9" t="s">
        <v>13284</v>
      </c>
      <c r="O3308" s="9" t="s">
        <v>13284</v>
      </c>
      <c r="P3308" s="9" t="s">
        <v>13284</v>
      </c>
      <c r="Q3308" s="9" t="s">
        <v>13284</v>
      </c>
      <c r="R3308" s="9" t="s">
        <v>13284</v>
      </c>
      <c r="S3308" s="9" t="s">
        <v>13284</v>
      </c>
      <c r="T3308" s="9" t="str">
        <f ca="1">IFERROR(IF(AND(VLOOKUP(A3308, 'Актуальное состояние (из общего'!A:C,3,0) = "", A3308 &lt;&gt; ""), "ПРОВЕРИТЬ", VLOOKUP(A3308, 'Актуальное состояние (из общего'!A:C,3,0)), "")</f>
        <v/>
      </c>
      <c r="U3308" s="9" t="s">
        <v>13284</v>
      </c>
      <c r="V3308" s="9" t="s">
        <v>13284</v>
      </c>
      <c r="W3308" s="12"/>
      <c r="X3308" s="9" t="str">
        <f t="array" ref="X3308">IFERROR(INDEX('Адреса общежитий (скрытый)'!$B$2:$B$9, MATCH(W3308, 'Адреса общежитий (скрытый)'!$A$2:$A$9, 0)), "")</f>
        <v/>
      </c>
      <c r="Y3308" s="18"/>
      <c r="Z3308" s="18"/>
      <c r="AA3308" s="18"/>
      <c r="AB3308" s="18"/>
      <c r="AC3308" s="18"/>
    </row>
    <row r="3309" spans="1:29" ht="32.25" hidden="1" customHeight="1">
      <c r="A3309" s="17"/>
      <c r="B3309" s="9" t="s">
        <v>13284</v>
      </c>
      <c r="C3309" s="9" t="s">
        <v>13284</v>
      </c>
      <c r="D3309" s="9" t="s">
        <v>13284</v>
      </c>
      <c r="E3309" s="9" t="s">
        <v>13284</v>
      </c>
      <c r="F3309" s="9" t="s">
        <v>13284</v>
      </c>
      <c r="G3309" s="9" t="s">
        <v>13284</v>
      </c>
      <c r="H3309" s="9" t="s">
        <v>13284</v>
      </c>
      <c r="I3309" s="9" t="s">
        <v>13284</v>
      </c>
      <c r="J3309" s="9" t="s">
        <v>13284</v>
      </c>
      <c r="K3309" s="9" t="s">
        <v>13284</v>
      </c>
      <c r="L3309" s="9" t="s">
        <v>13284</v>
      </c>
      <c r="M3309" s="9" t="s">
        <v>13284</v>
      </c>
      <c r="N3309" s="9" t="s">
        <v>13284</v>
      </c>
      <c r="O3309" s="9" t="s">
        <v>13284</v>
      </c>
      <c r="P3309" s="9" t="s">
        <v>13284</v>
      </c>
      <c r="Q3309" s="9" t="s">
        <v>13284</v>
      </c>
      <c r="R3309" s="9" t="s">
        <v>13284</v>
      </c>
      <c r="S3309" s="9" t="s">
        <v>13284</v>
      </c>
      <c r="T3309" s="9" t="str">
        <f ca="1">IFERROR(IF(AND(VLOOKUP(A3309, 'Актуальное состояние (из общего'!A:C,3,0) = "", A3309 &lt;&gt; ""), "ПРОВЕРИТЬ", VLOOKUP(A3309, 'Актуальное состояние (из общего'!A:C,3,0)), "")</f>
        <v/>
      </c>
      <c r="U3309" s="9" t="s">
        <v>13284</v>
      </c>
      <c r="V3309" s="9" t="s">
        <v>13284</v>
      </c>
      <c r="W3309" s="12"/>
      <c r="X3309" s="9" t="str">
        <f t="array" ref="X3309">IFERROR(INDEX('Адреса общежитий (скрытый)'!$B$2:$B$9, MATCH(W3309, 'Адреса общежитий (скрытый)'!$A$2:$A$9, 0)), "")</f>
        <v/>
      </c>
      <c r="Y3309" s="18"/>
      <c r="Z3309" s="18"/>
      <c r="AA3309" s="18"/>
      <c r="AB3309" s="18"/>
      <c r="AC3309" s="18"/>
    </row>
    <row r="3310" spans="1:29" ht="32.25" hidden="1" customHeight="1">
      <c r="A3310" s="17"/>
      <c r="B3310" s="9" t="s">
        <v>13284</v>
      </c>
      <c r="C3310" s="9" t="s">
        <v>13284</v>
      </c>
      <c r="D3310" s="9" t="s">
        <v>13284</v>
      </c>
      <c r="E3310" s="9" t="s">
        <v>13284</v>
      </c>
      <c r="F3310" s="9" t="s">
        <v>13284</v>
      </c>
      <c r="G3310" s="9" t="s">
        <v>13284</v>
      </c>
      <c r="H3310" s="9" t="s">
        <v>13284</v>
      </c>
      <c r="I3310" s="9" t="s">
        <v>13284</v>
      </c>
      <c r="J3310" s="9" t="s">
        <v>13284</v>
      </c>
      <c r="K3310" s="9" t="s">
        <v>13284</v>
      </c>
      <c r="L3310" s="9" t="s">
        <v>13284</v>
      </c>
      <c r="M3310" s="9" t="s">
        <v>13284</v>
      </c>
      <c r="N3310" s="9" t="s">
        <v>13284</v>
      </c>
      <c r="O3310" s="9" t="s">
        <v>13284</v>
      </c>
      <c r="P3310" s="9" t="s">
        <v>13284</v>
      </c>
      <c r="Q3310" s="9" t="s">
        <v>13284</v>
      </c>
      <c r="R3310" s="9" t="s">
        <v>13284</v>
      </c>
      <c r="S3310" s="9" t="s">
        <v>13284</v>
      </c>
      <c r="T3310" s="9" t="str">
        <f ca="1">IFERROR(IF(AND(VLOOKUP(A3310, 'Актуальное состояние (из общего'!A:C,3,0) = "", A3310 &lt;&gt; ""), "ПРОВЕРИТЬ", VLOOKUP(A3310, 'Актуальное состояние (из общего'!A:C,3,0)), "")</f>
        <v/>
      </c>
      <c r="U3310" s="9" t="s">
        <v>13284</v>
      </c>
      <c r="V3310" s="9" t="s">
        <v>13284</v>
      </c>
      <c r="W3310" s="12"/>
      <c r="X3310" s="9" t="str">
        <f t="array" ref="X3310">IFERROR(INDEX('Адреса общежитий (скрытый)'!$B$2:$B$9, MATCH(W3310, 'Адреса общежитий (скрытый)'!$A$2:$A$9, 0)), "")</f>
        <v/>
      </c>
      <c r="Y3310" s="18"/>
      <c r="Z3310" s="18"/>
      <c r="AA3310" s="18"/>
      <c r="AB3310" s="18"/>
      <c r="AC3310" s="18"/>
    </row>
    <row r="3311" spans="1:29" ht="32.25" hidden="1" customHeight="1">
      <c r="A3311" s="17"/>
      <c r="B3311" s="9" t="s">
        <v>13284</v>
      </c>
      <c r="C3311" s="9" t="s">
        <v>13284</v>
      </c>
      <c r="D3311" s="9" t="s">
        <v>13284</v>
      </c>
      <c r="E3311" s="9" t="s">
        <v>13284</v>
      </c>
      <c r="F3311" s="9" t="s">
        <v>13284</v>
      </c>
      <c r="G3311" s="9" t="s">
        <v>13284</v>
      </c>
      <c r="H3311" s="9" t="s">
        <v>13284</v>
      </c>
      <c r="I3311" s="9" t="s">
        <v>13284</v>
      </c>
      <c r="J3311" s="9" t="s">
        <v>13284</v>
      </c>
      <c r="K3311" s="9" t="s">
        <v>13284</v>
      </c>
      <c r="L3311" s="9" t="s">
        <v>13284</v>
      </c>
      <c r="M3311" s="9" t="s">
        <v>13284</v>
      </c>
      <c r="N3311" s="9" t="s">
        <v>13284</v>
      </c>
      <c r="O3311" s="9" t="s">
        <v>13284</v>
      </c>
      <c r="P3311" s="9" t="s">
        <v>13284</v>
      </c>
      <c r="Q3311" s="9" t="s">
        <v>13284</v>
      </c>
      <c r="R3311" s="9" t="s">
        <v>13284</v>
      </c>
      <c r="S3311" s="9" t="s">
        <v>13284</v>
      </c>
      <c r="T3311" s="9" t="str">
        <f ca="1">IFERROR(IF(AND(VLOOKUP(A3311, 'Актуальное состояние (из общего'!A:C,3,0) = "", A3311 &lt;&gt; ""), "ПРОВЕРИТЬ", VLOOKUP(A3311, 'Актуальное состояние (из общего'!A:C,3,0)), "")</f>
        <v/>
      </c>
      <c r="U3311" s="9" t="s">
        <v>13284</v>
      </c>
      <c r="V3311" s="9" t="s">
        <v>13284</v>
      </c>
      <c r="W3311" s="12"/>
      <c r="X3311" s="9" t="str">
        <f t="array" ref="X3311">IFERROR(INDEX('Адреса общежитий (скрытый)'!$B$2:$B$9, MATCH(W3311, 'Адреса общежитий (скрытый)'!$A$2:$A$9, 0)), "")</f>
        <v/>
      </c>
      <c r="Y3311" s="18"/>
      <c r="Z3311" s="18"/>
      <c r="AA3311" s="18"/>
      <c r="AB3311" s="18"/>
      <c r="AC3311" s="18"/>
    </row>
    <row r="3312" spans="1:29" ht="32.25" hidden="1" customHeight="1">
      <c r="A3312" s="17"/>
      <c r="B3312" s="9" t="s">
        <v>13284</v>
      </c>
      <c r="C3312" s="9" t="s">
        <v>13284</v>
      </c>
      <c r="D3312" s="9" t="s">
        <v>13284</v>
      </c>
      <c r="E3312" s="9" t="s">
        <v>13284</v>
      </c>
      <c r="F3312" s="9" t="s">
        <v>13284</v>
      </c>
      <c r="G3312" s="9" t="s">
        <v>13284</v>
      </c>
      <c r="H3312" s="9" t="s">
        <v>13284</v>
      </c>
      <c r="I3312" s="9" t="s">
        <v>13284</v>
      </c>
      <c r="J3312" s="9" t="s">
        <v>13284</v>
      </c>
      <c r="K3312" s="9" t="s">
        <v>13284</v>
      </c>
      <c r="L3312" s="9" t="s">
        <v>13284</v>
      </c>
      <c r="M3312" s="9" t="s">
        <v>13284</v>
      </c>
      <c r="N3312" s="9" t="s">
        <v>13284</v>
      </c>
      <c r="O3312" s="9" t="s">
        <v>13284</v>
      </c>
      <c r="P3312" s="9" t="s">
        <v>13284</v>
      </c>
      <c r="Q3312" s="9" t="s">
        <v>13284</v>
      </c>
      <c r="R3312" s="9" t="s">
        <v>13284</v>
      </c>
      <c r="S3312" s="9" t="s">
        <v>13284</v>
      </c>
      <c r="T3312" s="9" t="str">
        <f ca="1">IFERROR(IF(AND(VLOOKUP(A3312, 'Актуальное состояние (из общего'!A:C,3,0) = "", A3312 &lt;&gt; ""), "ПРОВЕРИТЬ", VLOOKUP(A3312, 'Актуальное состояние (из общего'!A:C,3,0)), "")</f>
        <v/>
      </c>
      <c r="U3312" s="9" t="s">
        <v>13284</v>
      </c>
      <c r="V3312" s="9" t="s">
        <v>13284</v>
      </c>
      <c r="W3312" s="12"/>
      <c r="X3312" s="9" t="str">
        <f t="array" ref="X3312">IFERROR(INDEX('Адреса общежитий (скрытый)'!$B$2:$B$9, MATCH(W3312, 'Адреса общежитий (скрытый)'!$A$2:$A$9, 0)), "")</f>
        <v/>
      </c>
      <c r="Y3312" s="18"/>
      <c r="Z3312" s="18"/>
      <c r="AA3312" s="18"/>
      <c r="AB3312" s="18"/>
      <c r="AC3312" s="18"/>
    </row>
    <row r="3313" spans="1:29" ht="32.25" hidden="1" customHeight="1">
      <c r="A3313" s="17"/>
      <c r="B3313" s="9" t="s">
        <v>13284</v>
      </c>
      <c r="C3313" s="9" t="s">
        <v>13284</v>
      </c>
      <c r="D3313" s="9" t="s">
        <v>13284</v>
      </c>
      <c r="E3313" s="9" t="s">
        <v>13284</v>
      </c>
      <c r="F3313" s="9" t="s">
        <v>13284</v>
      </c>
      <c r="G3313" s="9" t="s">
        <v>13284</v>
      </c>
      <c r="H3313" s="9" t="s">
        <v>13284</v>
      </c>
      <c r="I3313" s="9" t="s">
        <v>13284</v>
      </c>
      <c r="J3313" s="9" t="s">
        <v>13284</v>
      </c>
      <c r="K3313" s="9" t="s">
        <v>13284</v>
      </c>
      <c r="L3313" s="9" t="s">
        <v>13284</v>
      </c>
      <c r="M3313" s="9" t="s">
        <v>13284</v>
      </c>
      <c r="N3313" s="9" t="s">
        <v>13284</v>
      </c>
      <c r="O3313" s="9" t="s">
        <v>13284</v>
      </c>
      <c r="P3313" s="9" t="s">
        <v>13284</v>
      </c>
      <c r="Q3313" s="9" t="s">
        <v>13284</v>
      </c>
      <c r="R3313" s="9" t="s">
        <v>13284</v>
      </c>
      <c r="S3313" s="9" t="s">
        <v>13284</v>
      </c>
      <c r="T3313" s="9" t="str">
        <f ca="1">IFERROR(IF(AND(VLOOKUP(A3313, 'Актуальное состояние (из общего'!A:C,3,0) = "", A3313 &lt;&gt; ""), "ПРОВЕРИТЬ", VLOOKUP(A3313, 'Актуальное состояние (из общего'!A:C,3,0)), "")</f>
        <v/>
      </c>
      <c r="U3313" s="9" t="s">
        <v>13284</v>
      </c>
      <c r="V3313" s="9" t="s">
        <v>13284</v>
      </c>
      <c r="W3313" s="12"/>
      <c r="X3313" s="9" t="str">
        <f t="array" ref="X3313">IFERROR(INDEX('Адреса общежитий (скрытый)'!$B$2:$B$9, MATCH(W3313, 'Адреса общежитий (скрытый)'!$A$2:$A$9, 0)), "")</f>
        <v/>
      </c>
      <c r="Y3313" s="18"/>
      <c r="Z3313" s="18"/>
      <c r="AA3313" s="18"/>
      <c r="AB3313" s="18"/>
      <c r="AC3313" s="18"/>
    </row>
    <row r="3314" spans="1:29" ht="32.25" hidden="1" customHeight="1">
      <c r="A3314" s="17"/>
      <c r="B3314" s="9" t="s">
        <v>13284</v>
      </c>
      <c r="C3314" s="9" t="s">
        <v>13284</v>
      </c>
      <c r="D3314" s="9" t="s">
        <v>13284</v>
      </c>
      <c r="E3314" s="9" t="s">
        <v>13284</v>
      </c>
      <c r="F3314" s="9" t="s">
        <v>13284</v>
      </c>
      <c r="G3314" s="9" t="s">
        <v>13284</v>
      </c>
      <c r="H3314" s="9" t="s">
        <v>13284</v>
      </c>
      <c r="I3314" s="9" t="s">
        <v>13284</v>
      </c>
      <c r="J3314" s="9" t="s">
        <v>13284</v>
      </c>
      <c r="K3314" s="9" t="s">
        <v>13284</v>
      </c>
      <c r="L3314" s="9" t="s">
        <v>13284</v>
      </c>
      <c r="M3314" s="9" t="s">
        <v>13284</v>
      </c>
      <c r="N3314" s="9" t="s">
        <v>13284</v>
      </c>
      <c r="O3314" s="9" t="s">
        <v>13284</v>
      </c>
      <c r="P3314" s="9" t="s">
        <v>13284</v>
      </c>
      <c r="Q3314" s="9" t="s">
        <v>13284</v>
      </c>
      <c r="R3314" s="9" t="s">
        <v>13284</v>
      </c>
      <c r="S3314" s="9" t="s">
        <v>13284</v>
      </c>
      <c r="T3314" s="9" t="str">
        <f ca="1">IFERROR(IF(AND(VLOOKUP(A3314, 'Актуальное состояние (из общего'!A:C,3,0) = "", A3314 &lt;&gt; ""), "ПРОВЕРИТЬ", VLOOKUP(A3314, 'Актуальное состояние (из общего'!A:C,3,0)), "")</f>
        <v/>
      </c>
      <c r="U3314" s="9" t="s">
        <v>13284</v>
      </c>
      <c r="V3314" s="9" t="s">
        <v>13284</v>
      </c>
      <c r="W3314" s="12"/>
      <c r="X3314" s="9" t="str">
        <f t="array" ref="X3314">IFERROR(INDEX('Адреса общежитий (скрытый)'!$B$2:$B$9, MATCH(W3314, 'Адреса общежитий (скрытый)'!$A$2:$A$9, 0)), "")</f>
        <v/>
      </c>
      <c r="Y3314" s="18"/>
      <c r="Z3314" s="18"/>
      <c r="AA3314" s="18"/>
      <c r="AB3314" s="18"/>
      <c r="AC3314" s="18"/>
    </row>
    <row r="3315" spans="1:29" ht="32.25" hidden="1" customHeight="1">
      <c r="A3315" s="17"/>
      <c r="B3315" s="9" t="s">
        <v>13284</v>
      </c>
      <c r="C3315" s="9" t="s">
        <v>13284</v>
      </c>
      <c r="D3315" s="9" t="s">
        <v>13284</v>
      </c>
      <c r="E3315" s="9" t="s">
        <v>13284</v>
      </c>
      <c r="F3315" s="9" t="s">
        <v>13284</v>
      </c>
      <c r="G3315" s="9" t="s">
        <v>13284</v>
      </c>
      <c r="H3315" s="9" t="s">
        <v>13284</v>
      </c>
      <c r="I3315" s="9" t="s">
        <v>13284</v>
      </c>
      <c r="J3315" s="9" t="s">
        <v>13284</v>
      </c>
      <c r="K3315" s="9" t="s">
        <v>13284</v>
      </c>
      <c r="L3315" s="9" t="s">
        <v>13284</v>
      </c>
      <c r="M3315" s="9" t="s">
        <v>13284</v>
      </c>
      <c r="N3315" s="9" t="s">
        <v>13284</v>
      </c>
      <c r="O3315" s="9" t="s">
        <v>13284</v>
      </c>
      <c r="P3315" s="9" t="s">
        <v>13284</v>
      </c>
      <c r="Q3315" s="9" t="s">
        <v>13284</v>
      </c>
      <c r="R3315" s="9" t="s">
        <v>13284</v>
      </c>
      <c r="S3315" s="9" t="s">
        <v>13284</v>
      </c>
      <c r="T3315" s="9" t="str">
        <f ca="1">IFERROR(IF(AND(VLOOKUP(A3315, 'Актуальное состояние (из общего'!A:C,3,0) = "", A3315 &lt;&gt; ""), "ПРОВЕРИТЬ", VLOOKUP(A3315, 'Актуальное состояние (из общего'!A:C,3,0)), "")</f>
        <v/>
      </c>
      <c r="U3315" s="9" t="s">
        <v>13284</v>
      </c>
      <c r="V3315" s="9" t="s">
        <v>13284</v>
      </c>
      <c r="W3315" s="12"/>
      <c r="X3315" s="9" t="str">
        <f t="array" ref="X3315">IFERROR(INDEX('Адреса общежитий (скрытый)'!$B$2:$B$9, MATCH(W3315, 'Адреса общежитий (скрытый)'!$A$2:$A$9, 0)), "")</f>
        <v/>
      </c>
      <c r="Y3315" s="18"/>
      <c r="Z3315" s="18"/>
      <c r="AA3315" s="18"/>
      <c r="AB3315" s="18"/>
      <c r="AC3315" s="18"/>
    </row>
    <row r="3316" spans="1:29" ht="32.25" hidden="1" customHeight="1">
      <c r="A3316" s="17"/>
      <c r="B3316" s="9" t="s">
        <v>13284</v>
      </c>
      <c r="C3316" s="9" t="s">
        <v>13284</v>
      </c>
      <c r="D3316" s="9" t="s">
        <v>13284</v>
      </c>
      <c r="E3316" s="9" t="s">
        <v>13284</v>
      </c>
      <c r="F3316" s="9" t="s">
        <v>13284</v>
      </c>
      <c r="G3316" s="9" t="s">
        <v>13284</v>
      </c>
      <c r="H3316" s="9" t="s">
        <v>13284</v>
      </c>
      <c r="I3316" s="9" t="s">
        <v>13284</v>
      </c>
      <c r="J3316" s="9" t="s">
        <v>13284</v>
      </c>
      <c r="K3316" s="9" t="s">
        <v>13284</v>
      </c>
      <c r="L3316" s="9" t="s">
        <v>13284</v>
      </c>
      <c r="M3316" s="9" t="s">
        <v>13284</v>
      </c>
      <c r="N3316" s="9" t="s">
        <v>13284</v>
      </c>
      <c r="O3316" s="9" t="s">
        <v>13284</v>
      </c>
      <c r="P3316" s="9" t="s">
        <v>13284</v>
      </c>
      <c r="Q3316" s="9" t="s">
        <v>13284</v>
      </c>
      <c r="R3316" s="9" t="s">
        <v>13284</v>
      </c>
      <c r="S3316" s="9" t="s">
        <v>13284</v>
      </c>
      <c r="T3316" s="9" t="str">
        <f ca="1">IFERROR(IF(AND(VLOOKUP(A3316, 'Актуальное состояние (из общего'!A:C,3,0) = "", A3316 &lt;&gt; ""), "ПРОВЕРИТЬ", VLOOKUP(A3316, 'Актуальное состояние (из общего'!A:C,3,0)), "")</f>
        <v/>
      </c>
      <c r="U3316" s="9" t="s">
        <v>13284</v>
      </c>
      <c r="V3316" s="9" t="s">
        <v>13284</v>
      </c>
      <c r="W3316" s="12"/>
      <c r="X3316" s="9" t="str">
        <f t="array" ref="X3316">IFERROR(INDEX('Адреса общежитий (скрытый)'!$B$2:$B$9, MATCH(W3316, 'Адреса общежитий (скрытый)'!$A$2:$A$9, 0)), "")</f>
        <v/>
      </c>
      <c r="Y3316" s="18"/>
      <c r="Z3316" s="18"/>
      <c r="AA3316" s="18"/>
      <c r="AB3316" s="18"/>
      <c r="AC3316" s="18"/>
    </row>
    <row r="3317" spans="1:29" ht="32.25" hidden="1" customHeight="1">
      <c r="A3317" s="17"/>
      <c r="B3317" s="9" t="s">
        <v>13284</v>
      </c>
      <c r="C3317" s="9" t="s">
        <v>13284</v>
      </c>
      <c r="D3317" s="9" t="s">
        <v>13284</v>
      </c>
      <c r="E3317" s="9" t="s">
        <v>13284</v>
      </c>
      <c r="F3317" s="9" t="s">
        <v>13284</v>
      </c>
      <c r="G3317" s="9" t="s">
        <v>13284</v>
      </c>
      <c r="H3317" s="9" t="s">
        <v>13284</v>
      </c>
      <c r="I3317" s="9" t="s">
        <v>13284</v>
      </c>
      <c r="J3317" s="9" t="s">
        <v>13284</v>
      </c>
      <c r="K3317" s="9" t="s">
        <v>13284</v>
      </c>
      <c r="L3317" s="9" t="s">
        <v>13284</v>
      </c>
      <c r="M3317" s="9" t="s">
        <v>13284</v>
      </c>
      <c r="N3317" s="9" t="s">
        <v>13284</v>
      </c>
      <c r="O3317" s="9" t="s">
        <v>13284</v>
      </c>
      <c r="P3317" s="9" t="s">
        <v>13284</v>
      </c>
      <c r="Q3317" s="9" t="s">
        <v>13284</v>
      </c>
      <c r="R3317" s="9" t="s">
        <v>13284</v>
      </c>
      <c r="S3317" s="9" t="s">
        <v>13284</v>
      </c>
      <c r="T3317" s="9" t="str">
        <f ca="1">IFERROR(IF(AND(VLOOKUP(A3317, 'Актуальное состояние (из общего'!A:C,3,0) = "", A3317 &lt;&gt; ""), "ПРОВЕРИТЬ", VLOOKUP(A3317, 'Актуальное состояние (из общего'!A:C,3,0)), "")</f>
        <v/>
      </c>
      <c r="U3317" s="9" t="s">
        <v>13284</v>
      </c>
      <c r="V3317" s="9" t="s">
        <v>13284</v>
      </c>
      <c r="W3317" s="12"/>
      <c r="X3317" s="9" t="str">
        <f t="array" ref="X3317">IFERROR(INDEX('Адреса общежитий (скрытый)'!$B$2:$B$9, MATCH(W3317, 'Адреса общежитий (скрытый)'!$A$2:$A$9, 0)), "")</f>
        <v/>
      </c>
      <c r="Y3317" s="18"/>
      <c r="Z3317" s="18"/>
      <c r="AA3317" s="18"/>
      <c r="AB3317" s="18"/>
      <c r="AC3317" s="18"/>
    </row>
    <row r="3318" spans="1:29" ht="32.25" hidden="1" customHeight="1">
      <c r="A3318" s="17"/>
      <c r="B3318" s="9" t="s">
        <v>13284</v>
      </c>
      <c r="C3318" s="9" t="s">
        <v>13284</v>
      </c>
      <c r="D3318" s="9" t="s">
        <v>13284</v>
      </c>
      <c r="E3318" s="9" t="s">
        <v>13284</v>
      </c>
      <c r="F3318" s="9" t="s">
        <v>13284</v>
      </c>
      <c r="G3318" s="9" t="s">
        <v>13284</v>
      </c>
      <c r="H3318" s="9" t="s">
        <v>13284</v>
      </c>
      <c r="I3318" s="9" t="s">
        <v>13284</v>
      </c>
      <c r="J3318" s="9" t="s">
        <v>13284</v>
      </c>
      <c r="K3318" s="9" t="s">
        <v>13284</v>
      </c>
      <c r="L3318" s="9" t="s">
        <v>13284</v>
      </c>
      <c r="M3318" s="9" t="s">
        <v>13284</v>
      </c>
      <c r="N3318" s="9" t="s">
        <v>13284</v>
      </c>
      <c r="O3318" s="9" t="s">
        <v>13284</v>
      </c>
      <c r="P3318" s="9" t="s">
        <v>13284</v>
      </c>
      <c r="Q3318" s="9" t="s">
        <v>13284</v>
      </c>
      <c r="R3318" s="9" t="s">
        <v>13284</v>
      </c>
      <c r="S3318" s="9" t="s">
        <v>13284</v>
      </c>
      <c r="T3318" s="9" t="str">
        <f ca="1">IFERROR(IF(AND(VLOOKUP(A3318, 'Актуальное состояние (из общего'!A:C,3,0) = "", A3318 &lt;&gt; ""), "ПРОВЕРИТЬ", VLOOKUP(A3318, 'Актуальное состояние (из общего'!A:C,3,0)), "")</f>
        <v/>
      </c>
      <c r="U3318" s="9" t="s">
        <v>13284</v>
      </c>
      <c r="V3318" s="9" t="s">
        <v>13284</v>
      </c>
      <c r="W3318" s="12"/>
      <c r="X3318" s="9" t="str">
        <f t="array" ref="X3318">IFERROR(INDEX('Адреса общежитий (скрытый)'!$B$2:$B$9, MATCH(W3318, 'Адреса общежитий (скрытый)'!$A$2:$A$9, 0)), "")</f>
        <v/>
      </c>
      <c r="Y3318" s="18"/>
      <c r="Z3318" s="18"/>
      <c r="AA3318" s="18"/>
      <c r="AB3318" s="18"/>
      <c r="AC3318" s="18"/>
    </row>
    <row r="3319" spans="1:29" ht="32.25" hidden="1" customHeight="1">
      <c r="A3319" s="17"/>
      <c r="B3319" s="9" t="s">
        <v>13284</v>
      </c>
      <c r="C3319" s="9" t="s">
        <v>13284</v>
      </c>
      <c r="D3319" s="9" t="s">
        <v>13284</v>
      </c>
      <c r="E3319" s="9" t="s">
        <v>13284</v>
      </c>
      <c r="F3319" s="9" t="s">
        <v>13284</v>
      </c>
      <c r="G3319" s="9" t="s">
        <v>13284</v>
      </c>
      <c r="H3319" s="9" t="s">
        <v>13284</v>
      </c>
      <c r="I3319" s="9" t="s">
        <v>13284</v>
      </c>
      <c r="J3319" s="9" t="s">
        <v>13284</v>
      </c>
      <c r="K3319" s="9" t="s">
        <v>13284</v>
      </c>
      <c r="L3319" s="9" t="s">
        <v>13284</v>
      </c>
      <c r="M3319" s="9" t="s">
        <v>13284</v>
      </c>
      <c r="N3319" s="9" t="s">
        <v>13284</v>
      </c>
      <c r="O3319" s="9" t="s">
        <v>13284</v>
      </c>
      <c r="P3319" s="9" t="s">
        <v>13284</v>
      </c>
      <c r="Q3319" s="9" t="s">
        <v>13284</v>
      </c>
      <c r="R3319" s="9" t="s">
        <v>13284</v>
      </c>
      <c r="S3319" s="9" t="s">
        <v>13284</v>
      </c>
      <c r="T3319" s="9" t="str">
        <f ca="1">IFERROR(IF(AND(VLOOKUP(A3319, 'Актуальное состояние (из общего'!A:C,3,0) = "", A3319 &lt;&gt; ""), "ПРОВЕРИТЬ", VLOOKUP(A3319, 'Актуальное состояние (из общего'!A:C,3,0)), "")</f>
        <v/>
      </c>
      <c r="U3319" s="9" t="s">
        <v>13284</v>
      </c>
      <c r="V3319" s="9" t="s">
        <v>13284</v>
      </c>
      <c r="W3319" s="12"/>
      <c r="X3319" s="9" t="str">
        <f t="array" ref="X3319">IFERROR(INDEX('Адреса общежитий (скрытый)'!$B$2:$B$9, MATCH(W3319, 'Адреса общежитий (скрытый)'!$A$2:$A$9, 0)), "")</f>
        <v/>
      </c>
      <c r="Y3319" s="18"/>
      <c r="Z3319" s="18"/>
      <c r="AA3319" s="18"/>
      <c r="AB3319" s="18"/>
      <c r="AC3319" s="18"/>
    </row>
    <row r="3320" spans="1:29" ht="32.25" hidden="1" customHeight="1">
      <c r="A3320" s="17"/>
      <c r="B3320" s="9" t="s">
        <v>13284</v>
      </c>
      <c r="C3320" s="9" t="s">
        <v>13284</v>
      </c>
      <c r="D3320" s="9" t="s">
        <v>13284</v>
      </c>
      <c r="E3320" s="9" t="s">
        <v>13284</v>
      </c>
      <c r="F3320" s="9" t="s">
        <v>13284</v>
      </c>
      <c r="G3320" s="9" t="s">
        <v>13284</v>
      </c>
      <c r="H3320" s="9" t="s">
        <v>13284</v>
      </c>
      <c r="I3320" s="9" t="s">
        <v>13284</v>
      </c>
      <c r="J3320" s="9" t="s">
        <v>13284</v>
      </c>
      <c r="K3320" s="9" t="s">
        <v>13284</v>
      </c>
      <c r="L3320" s="9" t="s">
        <v>13284</v>
      </c>
      <c r="M3320" s="9" t="s">
        <v>13284</v>
      </c>
      <c r="N3320" s="9" t="s">
        <v>13284</v>
      </c>
      <c r="O3320" s="9" t="s">
        <v>13284</v>
      </c>
      <c r="P3320" s="9" t="s">
        <v>13284</v>
      </c>
      <c r="Q3320" s="9" t="s">
        <v>13284</v>
      </c>
      <c r="R3320" s="9" t="s">
        <v>13284</v>
      </c>
      <c r="S3320" s="9" t="s">
        <v>13284</v>
      </c>
      <c r="T3320" s="9" t="str">
        <f ca="1">IFERROR(IF(AND(VLOOKUP(A3320, 'Актуальное состояние (из общего'!A:C,3,0) = "", A3320 &lt;&gt; ""), "ПРОВЕРИТЬ", VLOOKUP(A3320, 'Актуальное состояние (из общего'!A:C,3,0)), "")</f>
        <v/>
      </c>
      <c r="U3320" s="9" t="s">
        <v>13284</v>
      </c>
      <c r="V3320" s="9" t="s">
        <v>13284</v>
      </c>
      <c r="W3320" s="12"/>
      <c r="X3320" s="9" t="str">
        <f t="array" ref="X3320">IFERROR(INDEX('Адреса общежитий (скрытый)'!$B$2:$B$9, MATCH(W3320, 'Адреса общежитий (скрытый)'!$A$2:$A$9, 0)), "")</f>
        <v/>
      </c>
      <c r="Y3320" s="18"/>
      <c r="Z3320" s="18"/>
      <c r="AA3320" s="18"/>
      <c r="AB3320" s="18"/>
      <c r="AC3320" s="18"/>
    </row>
    <row r="3321" spans="1:29" ht="32.25" hidden="1" customHeight="1">
      <c r="A3321" s="17"/>
      <c r="B3321" s="9" t="s">
        <v>13284</v>
      </c>
      <c r="C3321" s="9" t="s">
        <v>13284</v>
      </c>
      <c r="D3321" s="9" t="s">
        <v>13284</v>
      </c>
      <c r="E3321" s="9" t="s">
        <v>13284</v>
      </c>
      <c r="F3321" s="9" t="s">
        <v>13284</v>
      </c>
      <c r="G3321" s="9" t="s">
        <v>13284</v>
      </c>
      <c r="H3321" s="9" t="s">
        <v>13284</v>
      </c>
      <c r="I3321" s="9" t="s">
        <v>13284</v>
      </c>
      <c r="J3321" s="9" t="s">
        <v>13284</v>
      </c>
      <c r="K3321" s="9" t="s">
        <v>13284</v>
      </c>
      <c r="L3321" s="9" t="s">
        <v>13284</v>
      </c>
      <c r="M3321" s="9" t="s">
        <v>13284</v>
      </c>
      <c r="N3321" s="9" t="s">
        <v>13284</v>
      </c>
      <c r="O3321" s="9" t="s">
        <v>13284</v>
      </c>
      <c r="P3321" s="9" t="s">
        <v>13284</v>
      </c>
      <c r="Q3321" s="9" t="s">
        <v>13284</v>
      </c>
      <c r="R3321" s="9" t="s">
        <v>13284</v>
      </c>
      <c r="S3321" s="9" t="s">
        <v>13284</v>
      </c>
      <c r="T3321" s="9" t="str">
        <f ca="1">IFERROR(IF(AND(VLOOKUP(A3321, 'Актуальное состояние (из общего'!A:C,3,0) = "", A3321 &lt;&gt; ""), "ПРОВЕРИТЬ", VLOOKUP(A3321, 'Актуальное состояние (из общего'!A:C,3,0)), "")</f>
        <v/>
      </c>
      <c r="U3321" s="9" t="s">
        <v>13284</v>
      </c>
      <c r="V3321" s="9" t="s">
        <v>13284</v>
      </c>
      <c r="W3321" s="12"/>
      <c r="X3321" s="9" t="str">
        <f t="array" ref="X3321">IFERROR(INDEX('Адреса общежитий (скрытый)'!$B$2:$B$9, MATCH(W3321, 'Адреса общежитий (скрытый)'!$A$2:$A$9, 0)), "")</f>
        <v/>
      </c>
      <c r="Y3321" s="18"/>
      <c r="Z3321" s="18"/>
      <c r="AA3321" s="18"/>
      <c r="AB3321" s="18"/>
      <c r="AC3321" s="18"/>
    </row>
    <row r="3322" spans="1:29" ht="32.25" hidden="1" customHeight="1">
      <c r="A3322" s="17"/>
      <c r="B3322" s="9" t="s">
        <v>13284</v>
      </c>
      <c r="C3322" s="9" t="s">
        <v>13284</v>
      </c>
      <c r="D3322" s="9" t="s">
        <v>13284</v>
      </c>
      <c r="E3322" s="9" t="s">
        <v>13284</v>
      </c>
      <c r="F3322" s="9" t="s">
        <v>13284</v>
      </c>
      <c r="G3322" s="9" t="s">
        <v>13284</v>
      </c>
      <c r="H3322" s="9" t="s">
        <v>13284</v>
      </c>
      <c r="I3322" s="9" t="s">
        <v>13284</v>
      </c>
      <c r="J3322" s="9" t="s">
        <v>13284</v>
      </c>
      <c r="K3322" s="9" t="s">
        <v>13284</v>
      </c>
      <c r="L3322" s="9" t="s">
        <v>13284</v>
      </c>
      <c r="M3322" s="9" t="s">
        <v>13284</v>
      </c>
      <c r="N3322" s="9" t="s">
        <v>13284</v>
      </c>
      <c r="O3322" s="9" t="s">
        <v>13284</v>
      </c>
      <c r="P3322" s="9" t="s">
        <v>13284</v>
      </c>
      <c r="Q3322" s="9" t="s">
        <v>13284</v>
      </c>
      <c r="R3322" s="9" t="s">
        <v>13284</v>
      </c>
      <c r="S3322" s="9" t="s">
        <v>13284</v>
      </c>
      <c r="T3322" s="9" t="str">
        <f ca="1">IFERROR(IF(AND(VLOOKUP(A3322, 'Актуальное состояние (из общего'!A:C,3,0) = "", A3322 &lt;&gt; ""), "ПРОВЕРИТЬ", VLOOKUP(A3322, 'Актуальное состояние (из общего'!A:C,3,0)), "")</f>
        <v/>
      </c>
      <c r="U3322" s="9" t="s">
        <v>13284</v>
      </c>
      <c r="V3322" s="9" t="s">
        <v>13284</v>
      </c>
      <c r="W3322" s="12"/>
      <c r="X3322" s="9" t="str">
        <f t="array" ref="X3322">IFERROR(INDEX('Адреса общежитий (скрытый)'!$B$2:$B$9, MATCH(W3322, 'Адреса общежитий (скрытый)'!$A$2:$A$9, 0)), "")</f>
        <v/>
      </c>
      <c r="Y3322" s="18"/>
      <c r="Z3322" s="18"/>
      <c r="AA3322" s="18"/>
      <c r="AB3322" s="18"/>
      <c r="AC3322" s="18"/>
    </row>
    <row r="3323" spans="1:29" ht="32.25" hidden="1" customHeight="1">
      <c r="A3323" s="17"/>
      <c r="B3323" s="9" t="s">
        <v>13284</v>
      </c>
      <c r="C3323" s="9" t="s">
        <v>13284</v>
      </c>
      <c r="D3323" s="9" t="s">
        <v>13284</v>
      </c>
      <c r="E3323" s="9" t="s">
        <v>13284</v>
      </c>
      <c r="F3323" s="9" t="s">
        <v>13284</v>
      </c>
      <c r="G3323" s="9" t="s">
        <v>13284</v>
      </c>
      <c r="H3323" s="9" t="s">
        <v>13284</v>
      </c>
      <c r="I3323" s="9" t="s">
        <v>13284</v>
      </c>
      <c r="J3323" s="9" t="s">
        <v>13284</v>
      </c>
      <c r="K3323" s="9" t="s">
        <v>13284</v>
      </c>
      <c r="L3323" s="9" t="s">
        <v>13284</v>
      </c>
      <c r="M3323" s="9" t="s">
        <v>13284</v>
      </c>
      <c r="N3323" s="9" t="s">
        <v>13284</v>
      </c>
      <c r="O3323" s="9" t="s">
        <v>13284</v>
      </c>
      <c r="P3323" s="9" t="s">
        <v>13284</v>
      </c>
      <c r="Q3323" s="9" t="s">
        <v>13284</v>
      </c>
      <c r="R3323" s="9" t="s">
        <v>13284</v>
      </c>
      <c r="S3323" s="9" t="s">
        <v>13284</v>
      </c>
      <c r="T3323" s="9" t="str">
        <f ca="1">IFERROR(IF(AND(VLOOKUP(A3323, 'Актуальное состояние (из общего'!A:C,3,0) = "", A3323 &lt;&gt; ""), "ПРОВЕРИТЬ", VLOOKUP(A3323, 'Актуальное состояние (из общего'!A:C,3,0)), "")</f>
        <v/>
      </c>
      <c r="U3323" s="9" t="s">
        <v>13284</v>
      </c>
      <c r="V3323" s="9" t="s">
        <v>13284</v>
      </c>
      <c r="W3323" s="12"/>
      <c r="X3323" s="9" t="str">
        <f t="array" ref="X3323">IFERROR(INDEX('Адреса общежитий (скрытый)'!$B$2:$B$9, MATCH(W3323, 'Адреса общежитий (скрытый)'!$A$2:$A$9, 0)), "")</f>
        <v/>
      </c>
      <c r="Y3323" s="18"/>
      <c r="Z3323" s="18"/>
      <c r="AA3323" s="18"/>
      <c r="AB3323" s="18"/>
      <c r="AC3323" s="18"/>
    </row>
    <row r="3324" spans="1:29" ht="32.25" hidden="1" customHeight="1">
      <c r="A3324" s="17"/>
      <c r="B3324" s="9" t="s">
        <v>13284</v>
      </c>
      <c r="C3324" s="9" t="s">
        <v>13284</v>
      </c>
      <c r="D3324" s="9" t="s">
        <v>13284</v>
      </c>
      <c r="E3324" s="9" t="s">
        <v>13284</v>
      </c>
      <c r="F3324" s="9" t="s">
        <v>13284</v>
      </c>
      <c r="G3324" s="9" t="s">
        <v>13284</v>
      </c>
      <c r="H3324" s="9" t="s">
        <v>13284</v>
      </c>
      <c r="I3324" s="9" t="s">
        <v>13284</v>
      </c>
      <c r="J3324" s="9" t="s">
        <v>13284</v>
      </c>
      <c r="K3324" s="9" t="s">
        <v>13284</v>
      </c>
      <c r="L3324" s="9" t="s">
        <v>13284</v>
      </c>
      <c r="M3324" s="9" t="s">
        <v>13284</v>
      </c>
      <c r="N3324" s="9" t="s">
        <v>13284</v>
      </c>
      <c r="O3324" s="9" t="s">
        <v>13284</v>
      </c>
      <c r="P3324" s="9" t="s">
        <v>13284</v>
      </c>
      <c r="Q3324" s="9" t="s">
        <v>13284</v>
      </c>
      <c r="R3324" s="9" t="s">
        <v>13284</v>
      </c>
      <c r="S3324" s="9" t="s">
        <v>13284</v>
      </c>
      <c r="T3324" s="9" t="str">
        <f ca="1">IFERROR(IF(AND(VLOOKUP(A3324, 'Актуальное состояние (из общего'!A:C,3,0) = "", A3324 &lt;&gt; ""), "ПРОВЕРИТЬ", VLOOKUP(A3324, 'Актуальное состояние (из общего'!A:C,3,0)), "")</f>
        <v/>
      </c>
      <c r="U3324" s="9" t="s">
        <v>13284</v>
      </c>
      <c r="V3324" s="9" t="s">
        <v>13284</v>
      </c>
      <c r="W3324" s="12"/>
      <c r="X3324" s="9" t="str">
        <f t="array" ref="X3324">IFERROR(INDEX('Адреса общежитий (скрытый)'!$B$2:$B$9, MATCH(W3324, 'Адреса общежитий (скрытый)'!$A$2:$A$9, 0)), "")</f>
        <v/>
      </c>
      <c r="Y3324" s="18"/>
      <c r="Z3324" s="18"/>
      <c r="AA3324" s="18"/>
      <c r="AB3324" s="18"/>
      <c r="AC3324" s="18"/>
    </row>
    <row r="3325" spans="1:29" ht="32.25" hidden="1" customHeight="1">
      <c r="A3325" s="17"/>
      <c r="B3325" s="9" t="s">
        <v>13284</v>
      </c>
      <c r="C3325" s="9" t="s">
        <v>13284</v>
      </c>
      <c r="D3325" s="9" t="s">
        <v>13284</v>
      </c>
      <c r="E3325" s="9" t="s">
        <v>13284</v>
      </c>
      <c r="F3325" s="9" t="s">
        <v>13284</v>
      </c>
      <c r="G3325" s="9" t="s">
        <v>13284</v>
      </c>
      <c r="H3325" s="9" t="s">
        <v>13284</v>
      </c>
      <c r="I3325" s="9" t="s">
        <v>13284</v>
      </c>
      <c r="J3325" s="9" t="s">
        <v>13284</v>
      </c>
      <c r="K3325" s="9" t="s">
        <v>13284</v>
      </c>
      <c r="L3325" s="9" t="s">
        <v>13284</v>
      </c>
      <c r="M3325" s="9" t="s">
        <v>13284</v>
      </c>
      <c r="N3325" s="9" t="s">
        <v>13284</v>
      </c>
      <c r="O3325" s="9" t="s">
        <v>13284</v>
      </c>
      <c r="P3325" s="9" t="s">
        <v>13284</v>
      </c>
      <c r="Q3325" s="9" t="s">
        <v>13284</v>
      </c>
      <c r="R3325" s="9" t="s">
        <v>13284</v>
      </c>
      <c r="S3325" s="9" t="s">
        <v>13284</v>
      </c>
      <c r="T3325" s="9" t="str">
        <f ca="1">IFERROR(IF(AND(VLOOKUP(A3325, 'Актуальное состояние (из общего'!A:C,3,0) = "", A3325 &lt;&gt; ""), "ПРОВЕРИТЬ", VLOOKUP(A3325, 'Актуальное состояние (из общего'!A:C,3,0)), "")</f>
        <v/>
      </c>
      <c r="U3325" s="9" t="s">
        <v>13284</v>
      </c>
      <c r="V3325" s="9" t="s">
        <v>13284</v>
      </c>
      <c r="W3325" s="12"/>
      <c r="X3325" s="9" t="str">
        <f t="array" ref="X3325">IFERROR(INDEX('Адреса общежитий (скрытый)'!$B$2:$B$9, MATCH(W3325, 'Адреса общежитий (скрытый)'!$A$2:$A$9, 0)), "")</f>
        <v/>
      </c>
      <c r="Y3325" s="18"/>
      <c r="Z3325" s="18"/>
      <c r="AA3325" s="18"/>
      <c r="AB3325" s="18"/>
      <c r="AC3325" s="18"/>
    </row>
    <row r="3326" spans="1:29" ht="32.25" hidden="1" customHeight="1">
      <c r="A3326" s="17"/>
      <c r="B3326" s="9" t="s">
        <v>13284</v>
      </c>
      <c r="C3326" s="9" t="s">
        <v>13284</v>
      </c>
      <c r="D3326" s="9" t="s">
        <v>13284</v>
      </c>
      <c r="E3326" s="9" t="s">
        <v>13284</v>
      </c>
      <c r="F3326" s="9" t="s">
        <v>13284</v>
      </c>
      <c r="G3326" s="9" t="s">
        <v>13284</v>
      </c>
      <c r="H3326" s="9" t="s">
        <v>13284</v>
      </c>
      <c r="I3326" s="9" t="s">
        <v>13284</v>
      </c>
      <c r="J3326" s="9" t="s">
        <v>13284</v>
      </c>
      <c r="K3326" s="9" t="s">
        <v>13284</v>
      </c>
      <c r="L3326" s="9" t="s">
        <v>13284</v>
      </c>
      <c r="M3326" s="9" t="s">
        <v>13284</v>
      </c>
      <c r="N3326" s="9" t="s">
        <v>13284</v>
      </c>
      <c r="O3326" s="9" t="s">
        <v>13284</v>
      </c>
      <c r="P3326" s="9" t="s">
        <v>13284</v>
      </c>
      <c r="Q3326" s="9" t="s">
        <v>13284</v>
      </c>
      <c r="R3326" s="9" t="s">
        <v>13284</v>
      </c>
      <c r="S3326" s="9" t="s">
        <v>13284</v>
      </c>
      <c r="T3326" s="9" t="str">
        <f ca="1">IFERROR(IF(AND(VLOOKUP(A3326, 'Актуальное состояние (из общего'!A:C,3,0) = "", A3326 &lt;&gt; ""), "ПРОВЕРИТЬ", VLOOKUP(A3326, 'Актуальное состояние (из общего'!A:C,3,0)), "")</f>
        <v/>
      </c>
      <c r="U3326" s="9" t="s">
        <v>13284</v>
      </c>
      <c r="V3326" s="9" t="s">
        <v>13284</v>
      </c>
      <c r="W3326" s="12"/>
      <c r="X3326" s="9" t="str">
        <f t="array" ref="X3326">IFERROR(INDEX('Адреса общежитий (скрытый)'!$B$2:$B$9, MATCH(W3326, 'Адреса общежитий (скрытый)'!$A$2:$A$9, 0)), "")</f>
        <v/>
      </c>
      <c r="Y3326" s="18"/>
      <c r="Z3326" s="18"/>
      <c r="AA3326" s="18"/>
      <c r="AB3326" s="18"/>
      <c r="AC3326" s="18"/>
    </row>
    <row r="3327" spans="1:29" ht="32.25" hidden="1" customHeight="1">
      <c r="A3327" s="17"/>
      <c r="B3327" s="9" t="s">
        <v>13284</v>
      </c>
      <c r="C3327" s="9" t="s">
        <v>13284</v>
      </c>
      <c r="D3327" s="9" t="s">
        <v>13284</v>
      </c>
      <c r="E3327" s="9" t="s">
        <v>13284</v>
      </c>
      <c r="F3327" s="9" t="s">
        <v>13284</v>
      </c>
      <c r="G3327" s="9" t="s">
        <v>13284</v>
      </c>
      <c r="H3327" s="9" t="s">
        <v>13284</v>
      </c>
      <c r="I3327" s="9" t="s">
        <v>13284</v>
      </c>
      <c r="J3327" s="9" t="s">
        <v>13284</v>
      </c>
      <c r="K3327" s="9" t="s">
        <v>13284</v>
      </c>
      <c r="L3327" s="9" t="s">
        <v>13284</v>
      </c>
      <c r="M3327" s="9" t="s">
        <v>13284</v>
      </c>
      <c r="N3327" s="9" t="s">
        <v>13284</v>
      </c>
      <c r="O3327" s="9" t="s">
        <v>13284</v>
      </c>
      <c r="P3327" s="9" t="s">
        <v>13284</v>
      </c>
      <c r="Q3327" s="9" t="s">
        <v>13284</v>
      </c>
      <c r="R3327" s="9" t="s">
        <v>13284</v>
      </c>
      <c r="S3327" s="9" t="s">
        <v>13284</v>
      </c>
      <c r="T3327" s="9" t="str">
        <f ca="1">IFERROR(IF(AND(VLOOKUP(A3327, 'Актуальное состояние (из общего'!A:C,3,0) = "", A3327 &lt;&gt; ""), "ПРОВЕРИТЬ", VLOOKUP(A3327, 'Актуальное состояние (из общего'!A:C,3,0)), "")</f>
        <v/>
      </c>
      <c r="U3327" s="9" t="s">
        <v>13284</v>
      </c>
      <c r="V3327" s="9" t="s">
        <v>13284</v>
      </c>
      <c r="W3327" s="12"/>
      <c r="X3327" s="9" t="str">
        <f t="array" ref="X3327">IFERROR(INDEX('Адреса общежитий (скрытый)'!$B$2:$B$9, MATCH(W3327, 'Адреса общежитий (скрытый)'!$A$2:$A$9, 0)), "")</f>
        <v/>
      </c>
      <c r="Y3327" s="18"/>
      <c r="Z3327" s="18"/>
      <c r="AA3327" s="18"/>
      <c r="AB3327" s="18"/>
      <c r="AC3327" s="18"/>
    </row>
    <row r="3328" spans="1:29" ht="32.25" hidden="1" customHeight="1">
      <c r="A3328" s="17"/>
      <c r="B3328" s="9" t="s">
        <v>13284</v>
      </c>
      <c r="C3328" s="9" t="s">
        <v>13284</v>
      </c>
      <c r="D3328" s="9" t="s">
        <v>13284</v>
      </c>
      <c r="E3328" s="9" t="s">
        <v>13284</v>
      </c>
      <c r="F3328" s="9" t="s">
        <v>13284</v>
      </c>
      <c r="G3328" s="9" t="s">
        <v>13284</v>
      </c>
      <c r="H3328" s="9" t="s">
        <v>13284</v>
      </c>
      <c r="I3328" s="9" t="s">
        <v>13284</v>
      </c>
      <c r="J3328" s="9" t="s">
        <v>13284</v>
      </c>
      <c r="K3328" s="9" t="s">
        <v>13284</v>
      </c>
      <c r="L3328" s="9" t="s">
        <v>13284</v>
      </c>
      <c r="M3328" s="9" t="s">
        <v>13284</v>
      </c>
      <c r="N3328" s="9" t="s">
        <v>13284</v>
      </c>
      <c r="O3328" s="9" t="s">
        <v>13284</v>
      </c>
      <c r="P3328" s="9" t="s">
        <v>13284</v>
      </c>
      <c r="Q3328" s="9" t="s">
        <v>13284</v>
      </c>
      <c r="R3328" s="9" t="s">
        <v>13284</v>
      </c>
      <c r="S3328" s="9" t="s">
        <v>13284</v>
      </c>
      <c r="T3328" s="9" t="str">
        <f ca="1">IFERROR(IF(AND(VLOOKUP(A3328, 'Актуальное состояние (из общего'!A:C,3,0) = "", A3328 &lt;&gt; ""), "ПРОВЕРИТЬ", VLOOKUP(A3328, 'Актуальное состояние (из общего'!A:C,3,0)), "")</f>
        <v/>
      </c>
      <c r="U3328" s="9" t="s">
        <v>13284</v>
      </c>
      <c r="V3328" s="9" t="s">
        <v>13284</v>
      </c>
      <c r="W3328" s="12"/>
      <c r="X3328" s="9" t="str">
        <f t="array" ref="X3328">IFERROR(INDEX('Адреса общежитий (скрытый)'!$B$2:$B$9, MATCH(W3328, 'Адреса общежитий (скрытый)'!$A$2:$A$9, 0)), "")</f>
        <v/>
      </c>
      <c r="Y3328" s="18"/>
      <c r="Z3328" s="18"/>
      <c r="AA3328" s="18"/>
      <c r="AB3328" s="18"/>
      <c r="AC3328" s="18"/>
    </row>
    <row r="3329" spans="1:29" ht="32.25" hidden="1" customHeight="1">
      <c r="A3329" s="17"/>
      <c r="B3329" s="9" t="s">
        <v>13284</v>
      </c>
      <c r="C3329" s="9" t="s">
        <v>13284</v>
      </c>
      <c r="D3329" s="9" t="s">
        <v>13284</v>
      </c>
      <c r="E3329" s="9" t="s">
        <v>13284</v>
      </c>
      <c r="F3329" s="9" t="s">
        <v>13284</v>
      </c>
      <c r="G3329" s="9" t="s">
        <v>13284</v>
      </c>
      <c r="H3329" s="9" t="s">
        <v>13284</v>
      </c>
      <c r="I3329" s="9" t="s">
        <v>13284</v>
      </c>
      <c r="J3329" s="9" t="s">
        <v>13284</v>
      </c>
      <c r="K3329" s="9" t="s">
        <v>13284</v>
      </c>
      <c r="L3329" s="9" t="s">
        <v>13284</v>
      </c>
      <c r="M3329" s="9" t="s">
        <v>13284</v>
      </c>
      <c r="N3329" s="9" t="s">
        <v>13284</v>
      </c>
      <c r="O3329" s="9" t="s">
        <v>13284</v>
      </c>
      <c r="P3329" s="9" t="s">
        <v>13284</v>
      </c>
      <c r="Q3329" s="9" t="s">
        <v>13284</v>
      </c>
      <c r="R3329" s="9" t="s">
        <v>13284</v>
      </c>
      <c r="S3329" s="9" t="s">
        <v>13284</v>
      </c>
      <c r="T3329" s="9" t="str">
        <f ca="1">IFERROR(IF(AND(VLOOKUP(A3329, 'Актуальное состояние (из общего'!A:C,3,0) = "", A3329 &lt;&gt; ""), "ПРОВЕРИТЬ", VLOOKUP(A3329, 'Актуальное состояние (из общего'!A:C,3,0)), "")</f>
        <v/>
      </c>
      <c r="U3329" s="9" t="s">
        <v>13284</v>
      </c>
      <c r="V3329" s="9" t="s">
        <v>13284</v>
      </c>
      <c r="W3329" s="12"/>
      <c r="X3329" s="9" t="str">
        <f t="array" ref="X3329">IFERROR(INDEX('Адреса общежитий (скрытый)'!$B$2:$B$9, MATCH(W3329, 'Адреса общежитий (скрытый)'!$A$2:$A$9, 0)), "")</f>
        <v/>
      </c>
      <c r="Y3329" s="18"/>
      <c r="Z3329" s="18"/>
      <c r="AA3329" s="18"/>
      <c r="AB3329" s="18"/>
      <c r="AC3329" s="18"/>
    </row>
    <row r="3330" spans="1:29" ht="32.25" hidden="1" customHeight="1">
      <c r="A3330" s="17"/>
      <c r="B3330" s="9" t="s">
        <v>13284</v>
      </c>
      <c r="C3330" s="9" t="s">
        <v>13284</v>
      </c>
      <c r="D3330" s="9" t="s">
        <v>13284</v>
      </c>
      <c r="E3330" s="9" t="s">
        <v>13284</v>
      </c>
      <c r="F3330" s="9" t="s">
        <v>13284</v>
      </c>
      <c r="G3330" s="9" t="s">
        <v>13284</v>
      </c>
      <c r="H3330" s="9" t="s">
        <v>13284</v>
      </c>
      <c r="I3330" s="9" t="s">
        <v>13284</v>
      </c>
      <c r="J3330" s="9" t="s">
        <v>13284</v>
      </c>
      <c r="K3330" s="9" t="s">
        <v>13284</v>
      </c>
      <c r="L3330" s="9" t="s">
        <v>13284</v>
      </c>
      <c r="M3330" s="9" t="s">
        <v>13284</v>
      </c>
      <c r="N3330" s="9" t="s">
        <v>13284</v>
      </c>
      <c r="O3330" s="9" t="s">
        <v>13284</v>
      </c>
      <c r="P3330" s="9" t="s">
        <v>13284</v>
      </c>
      <c r="Q3330" s="9" t="s">
        <v>13284</v>
      </c>
      <c r="R3330" s="9" t="s">
        <v>13284</v>
      </c>
      <c r="S3330" s="9" t="s">
        <v>13284</v>
      </c>
      <c r="T3330" s="9" t="str">
        <f ca="1">IFERROR(IF(AND(VLOOKUP(A3330, 'Актуальное состояние (из общего'!A:C,3,0) = "", A3330 &lt;&gt; ""), "ПРОВЕРИТЬ", VLOOKUP(A3330, 'Актуальное состояние (из общего'!A:C,3,0)), "")</f>
        <v/>
      </c>
      <c r="U3330" s="9" t="s">
        <v>13284</v>
      </c>
      <c r="V3330" s="9" t="s">
        <v>13284</v>
      </c>
      <c r="W3330" s="12"/>
      <c r="X3330" s="9" t="str">
        <f t="array" ref="X3330">IFERROR(INDEX('Адреса общежитий (скрытый)'!$B$2:$B$9, MATCH(W3330, 'Адреса общежитий (скрытый)'!$A$2:$A$9, 0)), "")</f>
        <v/>
      </c>
      <c r="Y3330" s="18"/>
      <c r="Z3330" s="18"/>
      <c r="AA3330" s="18"/>
      <c r="AB3330" s="18"/>
      <c r="AC3330" s="18"/>
    </row>
    <row r="3331" spans="1:29" ht="32.25" hidden="1" customHeight="1">
      <c r="A3331" s="17"/>
      <c r="B3331" s="9" t="s">
        <v>13284</v>
      </c>
      <c r="C3331" s="9" t="s">
        <v>13284</v>
      </c>
      <c r="D3331" s="9" t="s">
        <v>13284</v>
      </c>
      <c r="E3331" s="9" t="s">
        <v>13284</v>
      </c>
      <c r="F3331" s="9" t="s">
        <v>13284</v>
      </c>
      <c r="G3331" s="9" t="s">
        <v>13284</v>
      </c>
      <c r="H3331" s="9" t="s">
        <v>13284</v>
      </c>
      <c r="I3331" s="9" t="s">
        <v>13284</v>
      </c>
      <c r="J3331" s="9" t="s">
        <v>13284</v>
      </c>
      <c r="K3331" s="9" t="s">
        <v>13284</v>
      </c>
      <c r="L3331" s="9" t="s">
        <v>13284</v>
      </c>
      <c r="M3331" s="9" t="s">
        <v>13284</v>
      </c>
      <c r="N3331" s="9" t="s">
        <v>13284</v>
      </c>
      <c r="O3331" s="9" t="s">
        <v>13284</v>
      </c>
      <c r="P3331" s="9" t="s">
        <v>13284</v>
      </c>
      <c r="Q3331" s="9" t="s">
        <v>13284</v>
      </c>
      <c r="R3331" s="9" t="s">
        <v>13284</v>
      </c>
      <c r="S3331" s="9" t="s">
        <v>13284</v>
      </c>
      <c r="T3331" s="9" t="str">
        <f ca="1">IFERROR(IF(AND(VLOOKUP(A3331, 'Актуальное состояние (из общего'!A:C,3,0) = "", A3331 &lt;&gt; ""), "ПРОВЕРИТЬ", VLOOKUP(A3331, 'Актуальное состояние (из общего'!A:C,3,0)), "")</f>
        <v/>
      </c>
      <c r="U3331" s="9" t="s">
        <v>13284</v>
      </c>
      <c r="V3331" s="9" t="s">
        <v>13284</v>
      </c>
      <c r="W3331" s="12"/>
      <c r="X3331" s="9" t="str">
        <f t="array" ref="X3331">IFERROR(INDEX('Адреса общежитий (скрытый)'!$B$2:$B$9, MATCH(W3331, 'Адреса общежитий (скрытый)'!$A$2:$A$9, 0)), "")</f>
        <v/>
      </c>
      <c r="Y3331" s="18"/>
      <c r="Z3331" s="18"/>
      <c r="AA3331" s="18"/>
      <c r="AB3331" s="18"/>
      <c r="AC3331" s="18"/>
    </row>
    <row r="3332" spans="1:29" ht="32.25" hidden="1" customHeight="1">
      <c r="A3332" s="17"/>
      <c r="B3332" s="9" t="s">
        <v>13284</v>
      </c>
      <c r="C3332" s="9" t="s">
        <v>13284</v>
      </c>
      <c r="D3332" s="9" t="s">
        <v>13284</v>
      </c>
      <c r="E3332" s="9" t="s">
        <v>13284</v>
      </c>
      <c r="F3332" s="9" t="s">
        <v>13284</v>
      </c>
      <c r="G3332" s="9" t="s">
        <v>13284</v>
      </c>
      <c r="H3332" s="9" t="s">
        <v>13284</v>
      </c>
      <c r="I3332" s="9" t="s">
        <v>13284</v>
      </c>
      <c r="J3332" s="9" t="s">
        <v>13284</v>
      </c>
      <c r="K3332" s="9" t="s">
        <v>13284</v>
      </c>
      <c r="L3332" s="9" t="s">
        <v>13284</v>
      </c>
      <c r="M3332" s="9" t="s">
        <v>13284</v>
      </c>
      <c r="N3332" s="9" t="s">
        <v>13284</v>
      </c>
      <c r="O3332" s="9" t="s">
        <v>13284</v>
      </c>
      <c r="P3332" s="9" t="s">
        <v>13284</v>
      </c>
      <c r="Q3332" s="9" t="s">
        <v>13284</v>
      </c>
      <c r="R3332" s="9" t="s">
        <v>13284</v>
      </c>
      <c r="S3332" s="9" t="s">
        <v>13284</v>
      </c>
      <c r="T3332" s="9" t="str">
        <f ca="1">IFERROR(IF(AND(VLOOKUP(A3332, 'Актуальное состояние (из общего'!A:C,3,0) = "", A3332 &lt;&gt; ""), "ПРОВЕРИТЬ", VLOOKUP(A3332, 'Актуальное состояние (из общего'!A:C,3,0)), "")</f>
        <v/>
      </c>
      <c r="U3332" s="9" t="s">
        <v>13284</v>
      </c>
      <c r="V3332" s="9" t="s">
        <v>13284</v>
      </c>
      <c r="W3332" s="12"/>
      <c r="X3332" s="9" t="str">
        <f t="array" ref="X3332">IFERROR(INDEX('Адреса общежитий (скрытый)'!$B$2:$B$9, MATCH(W3332, 'Адреса общежитий (скрытый)'!$A$2:$A$9, 0)), "")</f>
        <v/>
      </c>
      <c r="Y3332" s="18"/>
      <c r="Z3332" s="18"/>
      <c r="AA3332" s="18"/>
      <c r="AB3332" s="18"/>
      <c r="AC3332" s="18"/>
    </row>
    <row r="3333" spans="1:29" ht="32.25" hidden="1" customHeight="1">
      <c r="A3333" s="17"/>
      <c r="B3333" s="9" t="s">
        <v>13284</v>
      </c>
      <c r="C3333" s="9" t="s">
        <v>13284</v>
      </c>
      <c r="D3333" s="9" t="s">
        <v>13284</v>
      </c>
      <c r="E3333" s="9" t="s">
        <v>13284</v>
      </c>
      <c r="F3333" s="9" t="s">
        <v>13284</v>
      </c>
      <c r="G3333" s="9" t="s">
        <v>13284</v>
      </c>
      <c r="H3333" s="9" t="s">
        <v>13284</v>
      </c>
      <c r="I3333" s="9" t="s">
        <v>13284</v>
      </c>
      <c r="J3333" s="9" t="s">
        <v>13284</v>
      </c>
      <c r="K3333" s="9" t="s">
        <v>13284</v>
      </c>
      <c r="L3333" s="9" t="s">
        <v>13284</v>
      </c>
      <c r="M3333" s="9" t="s">
        <v>13284</v>
      </c>
      <c r="N3333" s="9" t="s">
        <v>13284</v>
      </c>
      <c r="O3333" s="9" t="s">
        <v>13284</v>
      </c>
      <c r="P3333" s="9" t="s">
        <v>13284</v>
      </c>
      <c r="Q3333" s="9" t="s">
        <v>13284</v>
      </c>
      <c r="R3333" s="9" t="s">
        <v>13284</v>
      </c>
      <c r="S3333" s="9" t="s">
        <v>13284</v>
      </c>
      <c r="T3333" s="9" t="str">
        <f ca="1">IFERROR(IF(AND(VLOOKUP(A3333, 'Актуальное состояние (из общего'!A:C,3,0) = "", A3333 &lt;&gt; ""), "ПРОВЕРИТЬ", VLOOKUP(A3333, 'Актуальное состояние (из общего'!A:C,3,0)), "")</f>
        <v/>
      </c>
      <c r="U3333" s="9" t="s">
        <v>13284</v>
      </c>
      <c r="V3333" s="9" t="s">
        <v>13284</v>
      </c>
      <c r="W3333" s="12"/>
      <c r="X3333" s="9" t="str">
        <f t="array" ref="X3333">IFERROR(INDEX('Адреса общежитий (скрытый)'!$B$2:$B$9, MATCH(W3333, 'Адреса общежитий (скрытый)'!$A$2:$A$9, 0)), "")</f>
        <v/>
      </c>
      <c r="Y3333" s="18"/>
      <c r="Z3333" s="18"/>
      <c r="AA3333" s="18"/>
      <c r="AB3333" s="18"/>
      <c r="AC3333" s="18"/>
    </row>
    <row r="3334" spans="1:29" ht="32.25" hidden="1" customHeight="1">
      <c r="A3334" s="17"/>
      <c r="B3334" s="9" t="s">
        <v>13284</v>
      </c>
      <c r="C3334" s="9" t="s">
        <v>13284</v>
      </c>
      <c r="D3334" s="9" t="s">
        <v>13284</v>
      </c>
      <c r="E3334" s="9" t="s">
        <v>13284</v>
      </c>
      <c r="F3334" s="9" t="s">
        <v>13284</v>
      </c>
      <c r="G3334" s="9" t="s">
        <v>13284</v>
      </c>
      <c r="H3334" s="9" t="s">
        <v>13284</v>
      </c>
      <c r="I3334" s="9" t="s">
        <v>13284</v>
      </c>
      <c r="J3334" s="9" t="s">
        <v>13284</v>
      </c>
      <c r="K3334" s="9" t="s">
        <v>13284</v>
      </c>
      <c r="L3334" s="9" t="s">
        <v>13284</v>
      </c>
      <c r="M3334" s="9" t="s">
        <v>13284</v>
      </c>
      <c r="N3334" s="9" t="s">
        <v>13284</v>
      </c>
      <c r="O3334" s="9" t="s">
        <v>13284</v>
      </c>
      <c r="P3334" s="9" t="s">
        <v>13284</v>
      </c>
      <c r="Q3334" s="9" t="s">
        <v>13284</v>
      </c>
      <c r="R3334" s="9" t="s">
        <v>13284</v>
      </c>
      <c r="S3334" s="9" t="s">
        <v>13284</v>
      </c>
      <c r="T3334" s="9" t="str">
        <f ca="1">IFERROR(IF(AND(VLOOKUP(A3334, 'Актуальное состояние (из общего'!A:C,3,0) = "", A3334 &lt;&gt; ""), "ПРОВЕРИТЬ", VLOOKUP(A3334, 'Актуальное состояние (из общего'!A:C,3,0)), "")</f>
        <v/>
      </c>
      <c r="U3334" s="9" t="s">
        <v>13284</v>
      </c>
      <c r="V3334" s="9" t="s">
        <v>13284</v>
      </c>
      <c r="W3334" s="12"/>
      <c r="X3334" s="9" t="str">
        <f t="array" ref="X3334">IFERROR(INDEX('Адреса общежитий (скрытый)'!$B$2:$B$9, MATCH(W3334, 'Адреса общежитий (скрытый)'!$A$2:$A$9, 0)), "")</f>
        <v/>
      </c>
      <c r="Y3334" s="18"/>
      <c r="Z3334" s="18"/>
      <c r="AA3334" s="18"/>
      <c r="AB3334" s="18"/>
      <c r="AC3334" s="18"/>
    </row>
    <row r="3335" spans="1:29" ht="32.25" hidden="1" customHeight="1">
      <c r="A3335" s="17"/>
      <c r="B3335" s="9" t="s">
        <v>13284</v>
      </c>
      <c r="C3335" s="9" t="s">
        <v>13284</v>
      </c>
      <c r="D3335" s="9" t="s">
        <v>13284</v>
      </c>
      <c r="E3335" s="9" t="s">
        <v>13284</v>
      </c>
      <c r="F3335" s="9" t="s">
        <v>13284</v>
      </c>
      <c r="G3335" s="9" t="s">
        <v>13284</v>
      </c>
      <c r="H3335" s="9" t="s">
        <v>13284</v>
      </c>
      <c r="I3335" s="9" t="s">
        <v>13284</v>
      </c>
      <c r="J3335" s="9" t="s">
        <v>13284</v>
      </c>
      <c r="K3335" s="9" t="s">
        <v>13284</v>
      </c>
      <c r="L3335" s="9" t="s">
        <v>13284</v>
      </c>
      <c r="M3335" s="9" t="s">
        <v>13284</v>
      </c>
      <c r="N3335" s="9" t="s">
        <v>13284</v>
      </c>
      <c r="O3335" s="9" t="s">
        <v>13284</v>
      </c>
      <c r="P3335" s="9" t="s">
        <v>13284</v>
      </c>
      <c r="Q3335" s="9" t="s">
        <v>13284</v>
      </c>
      <c r="R3335" s="9" t="s">
        <v>13284</v>
      </c>
      <c r="S3335" s="9" t="s">
        <v>13284</v>
      </c>
      <c r="T3335" s="9" t="str">
        <f ca="1">IFERROR(IF(AND(VLOOKUP(A3335, 'Актуальное состояние (из общего'!A:C,3,0) = "", A3335 &lt;&gt; ""), "ПРОВЕРИТЬ", VLOOKUP(A3335, 'Актуальное состояние (из общего'!A:C,3,0)), "")</f>
        <v/>
      </c>
      <c r="U3335" s="9" t="s">
        <v>13284</v>
      </c>
      <c r="V3335" s="9" t="s">
        <v>13284</v>
      </c>
      <c r="W3335" s="12"/>
      <c r="X3335" s="9" t="str">
        <f t="array" ref="X3335">IFERROR(INDEX('Адреса общежитий (скрытый)'!$B$2:$B$9, MATCH(W3335, 'Адреса общежитий (скрытый)'!$A$2:$A$9, 0)), "")</f>
        <v/>
      </c>
      <c r="Y3335" s="18"/>
      <c r="Z3335" s="18"/>
      <c r="AA3335" s="18"/>
      <c r="AB3335" s="18"/>
      <c r="AC3335" s="18"/>
    </row>
    <row r="3336" spans="1:29" ht="32.25" hidden="1" customHeight="1">
      <c r="A3336" s="17"/>
      <c r="B3336" s="9" t="s">
        <v>13284</v>
      </c>
      <c r="C3336" s="9" t="s">
        <v>13284</v>
      </c>
      <c r="D3336" s="9" t="s">
        <v>13284</v>
      </c>
      <c r="E3336" s="9" t="s">
        <v>13284</v>
      </c>
      <c r="F3336" s="9" t="s">
        <v>13284</v>
      </c>
      <c r="G3336" s="9" t="s">
        <v>13284</v>
      </c>
      <c r="H3336" s="9" t="s">
        <v>13284</v>
      </c>
      <c r="I3336" s="9" t="s">
        <v>13284</v>
      </c>
      <c r="J3336" s="9" t="s">
        <v>13284</v>
      </c>
      <c r="K3336" s="9" t="s">
        <v>13284</v>
      </c>
      <c r="L3336" s="9" t="s">
        <v>13284</v>
      </c>
      <c r="M3336" s="9" t="s">
        <v>13284</v>
      </c>
      <c r="N3336" s="9" t="s">
        <v>13284</v>
      </c>
      <c r="O3336" s="9" t="s">
        <v>13284</v>
      </c>
      <c r="P3336" s="9" t="s">
        <v>13284</v>
      </c>
      <c r="Q3336" s="9" t="s">
        <v>13284</v>
      </c>
      <c r="R3336" s="9" t="s">
        <v>13284</v>
      </c>
      <c r="S3336" s="9" t="s">
        <v>13284</v>
      </c>
      <c r="T3336" s="9" t="str">
        <f ca="1">IFERROR(IF(AND(VLOOKUP(A3336, 'Актуальное состояние (из общего'!A:C,3,0) = "", A3336 &lt;&gt; ""), "ПРОВЕРИТЬ", VLOOKUP(A3336, 'Актуальное состояние (из общего'!A:C,3,0)), "")</f>
        <v/>
      </c>
      <c r="U3336" s="9" t="s">
        <v>13284</v>
      </c>
      <c r="V3336" s="9" t="s">
        <v>13284</v>
      </c>
      <c r="W3336" s="12"/>
      <c r="X3336" s="9" t="str">
        <f t="array" ref="X3336">IFERROR(INDEX('Адреса общежитий (скрытый)'!$B$2:$B$9, MATCH(W3336, 'Адреса общежитий (скрытый)'!$A$2:$A$9, 0)), "")</f>
        <v/>
      </c>
      <c r="Y3336" s="18"/>
      <c r="Z3336" s="18"/>
      <c r="AA3336" s="18"/>
      <c r="AB3336" s="18"/>
      <c r="AC3336" s="18"/>
    </row>
    <row r="3337" spans="1:29" ht="32.25" hidden="1" customHeight="1">
      <c r="A3337" s="17"/>
      <c r="B3337" s="9" t="s">
        <v>13284</v>
      </c>
      <c r="C3337" s="9" t="s">
        <v>13284</v>
      </c>
      <c r="D3337" s="9" t="s">
        <v>13284</v>
      </c>
      <c r="E3337" s="9" t="s">
        <v>13284</v>
      </c>
      <c r="F3337" s="9" t="s">
        <v>13284</v>
      </c>
      <c r="G3337" s="9" t="s">
        <v>13284</v>
      </c>
      <c r="H3337" s="9" t="s">
        <v>13284</v>
      </c>
      <c r="I3337" s="9" t="s">
        <v>13284</v>
      </c>
      <c r="J3337" s="9" t="s">
        <v>13284</v>
      </c>
      <c r="K3337" s="9" t="s">
        <v>13284</v>
      </c>
      <c r="L3337" s="9" t="s">
        <v>13284</v>
      </c>
      <c r="M3337" s="9" t="s">
        <v>13284</v>
      </c>
      <c r="N3337" s="9" t="s">
        <v>13284</v>
      </c>
      <c r="O3337" s="9" t="s">
        <v>13284</v>
      </c>
      <c r="P3337" s="9" t="s">
        <v>13284</v>
      </c>
      <c r="Q3337" s="9" t="s">
        <v>13284</v>
      </c>
      <c r="R3337" s="9" t="s">
        <v>13284</v>
      </c>
      <c r="S3337" s="9" t="s">
        <v>13284</v>
      </c>
      <c r="T3337" s="9" t="str">
        <f ca="1">IFERROR(IF(AND(VLOOKUP(A3337, 'Актуальное состояние (из общего'!A:C,3,0) = "", A3337 &lt;&gt; ""), "ПРОВЕРИТЬ", VLOOKUP(A3337, 'Актуальное состояние (из общего'!A:C,3,0)), "")</f>
        <v/>
      </c>
      <c r="U3337" s="9" t="s">
        <v>13284</v>
      </c>
      <c r="V3337" s="9" t="s">
        <v>13284</v>
      </c>
      <c r="W3337" s="12"/>
      <c r="X3337" s="9" t="str">
        <f t="array" ref="X3337">IFERROR(INDEX('Адреса общежитий (скрытый)'!$B$2:$B$9, MATCH(W3337, 'Адреса общежитий (скрытый)'!$A$2:$A$9, 0)), "")</f>
        <v/>
      </c>
      <c r="Y3337" s="18"/>
      <c r="Z3337" s="18"/>
      <c r="AA3337" s="18"/>
      <c r="AB3337" s="18"/>
      <c r="AC3337" s="18"/>
    </row>
    <row r="3338" spans="1:29" ht="32.25" hidden="1" customHeight="1">
      <c r="A3338" s="17"/>
      <c r="B3338" s="9" t="s">
        <v>13284</v>
      </c>
      <c r="C3338" s="9" t="s">
        <v>13284</v>
      </c>
      <c r="D3338" s="9" t="s">
        <v>13284</v>
      </c>
      <c r="E3338" s="9" t="s">
        <v>13284</v>
      </c>
      <c r="F3338" s="9" t="s">
        <v>13284</v>
      </c>
      <c r="G3338" s="9" t="s">
        <v>13284</v>
      </c>
      <c r="H3338" s="9" t="s">
        <v>13284</v>
      </c>
      <c r="I3338" s="9" t="s">
        <v>13284</v>
      </c>
      <c r="J3338" s="9" t="s">
        <v>13284</v>
      </c>
      <c r="K3338" s="9" t="s">
        <v>13284</v>
      </c>
      <c r="L3338" s="9" t="s">
        <v>13284</v>
      </c>
      <c r="M3338" s="9" t="s">
        <v>13284</v>
      </c>
      <c r="N3338" s="9" t="s">
        <v>13284</v>
      </c>
      <c r="O3338" s="9" t="s">
        <v>13284</v>
      </c>
      <c r="P3338" s="9" t="s">
        <v>13284</v>
      </c>
      <c r="Q3338" s="9" t="s">
        <v>13284</v>
      </c>
      <c r="R3338" s="9" t="s">
        <v>13284</v>
      </c>
      <c r="S3338" s="9" t="s">
        <v>13284</v>
      </c>
      <c r="T3338" s="9" t="str">
        <f ca="1">IFERROR(IF(AND(VLOOKUP(A3338, 'Актуальное состояние (из общего'!A:C,3,0) = "", A3338 &lt;&gt; ""), "ПРОВЕРИТЬ", VLOOKUP(A3338, 'Актуальное состояние (из общего'!A:C,3,0)), "")</f>
        <v/>
      </c>
      <c r="U3338" s="9" t="s">
        <v>13284</v>
      </c>
      <c r="V3338" s="9" t="s">
        <v>13284</v>
      </c>
      <c r="W3338" s="12"/>
      <c r="X3338" s="9" t="str">
        <f t="array" ref="X3338">IFERROR(INDEX('Адреса общежитий (скрытый)'!$B$2:$B$9, MATCH(W3338, 'Адреса общежитий (скрытый)'!$A$2:$A$9, 0)), "")</f>
        <v/>
      </c>
      <c r="Y3338" s="18"/>
      <c r="Z3338" s="18"/>
      <c r="AA3338" s="18"/>
      <c r="AB3338" s="18"/>
      <c r="AC3338" s="18"/>
    </row>
    <row r="3339" spans="1:29" ht="32.25" hidden="1" customHeight="1">
      <c r="A3339" s="17"/>
      <c r="B3339" s="9" t="s">
        <v>13284</v>
      </c>
      <c r="C3339" s="9" t="s">
        <v>13284</v>
      </c>
      <c r="D3339" s="9" t="s">
        <v>13284</v>
      </c>
      <c r="E3339" s="9" t="s">
        <v>13284</v>
      </c>
      <c r="F3339" s="9" t="s">
        <v>13284</v>
      </c>
      <c r="G3339" s="9" t="s">
        <v>13284</v>
      </c>
      <c r="H3339" s="9" t="s">
        <v>13284</v>
      </c>
      <c r="I3339" s="9" t="s">
        <v>13284</v>
      </c>
      <c r="J3339" s="9" t="s">
        <v>13284</v>
      </c>
      <c r="K3339" s="9" t="s">
        <v>13284</v>
      </c>
      <c r="L3339" s="9" t="s">
        <v>13284</v>
      </c>
      <c r="M3339" s="9" t="s">
        <v>13284</v>
      </c>
      <c r="N3339" s="9" t="s">
        <v>13284</v>
      </c>
      <c r="O3339" s="9" t="s">
        <v>13284</v>
      </c>
      <c r="P3339" s="9" t="s">
        <v>13284</v>
      </c>
      <c r="Q3339" s="9" t="s">
        <v>13284</v>
      </c>
      <c r="R3339" s="9" t="s">
        <v>13284</v>
      </c>
      <c r="S3339" s="9" t="s">
        <v>13284</v>
      </c>
      <c r="T3339" s="9" t="str">
        <f ca="1">IFERROR(IF(AND(VLOOKUP(A3339, 'Актуальное состояние (из общего'!A:C,3,0) = "", A3339 &lt;&gt; ""), "ПРОВЕРИТЬ", VLOOKUP(A3339, 'Актуальное состояние (из общего'!A:C,3,0)), "")</f>
        <v/>
      </c>
      <c r="U3339" s="9" t="s">
        <v>13284</v>
      </c>
      <c r="V3339" s="9" t="s">
        <v>13284</v>
      </c>
      <c r="W3339" s="12"/>
      <c r="X3339" s="9" t="str">
        <f t="array" ref="X3339">IFERROR(INDEX('Адреса общежитий (скрытый)'!$B$2:$B$9, MATCH(W3339, 'Адреса общежитий (скрытый)'!$A$2:$A$9, 0)), "")</f>
        <v/>
      </c>
      <c r="Y3339" s="18"/>
      <c r="Z3339" s="18"/>
      <c r="AA3339" s="18"/>
      <c r="AB3339" s="18"/>
      <c r="AC3339" s="18"/>
    </row>
    <row r="3340" spans="1:29" ht="32.25" hidden="1" customHeight="1">
      <c r="A3340" s="17"/>
      <c r="B3340" s="9" t="s">
        <v>13284</v>
      </c>
      <c r="C3340" s="9" t="s">
        <v>13284</v>
      </c>
      <c r="D3340" s="9" t="s">
        <v>13284</v>
      </c>
      <c r="E3340" s="9" t="s">
        <v>13284</v>
      </c>
      <c r="F3340" s="9" t="s">
        <v>13284</v>
      </c>
      <c r="G3340" s="9" t="s">
        <v>13284</v>
      </c>
      <c r="H3340" s="9" t="s">
        <v>13284</v>
      </c>
      <c r="I3340" s="9" t="s">
        <v>13284</v>
      </c>
      <c r="J3340" s="9" t="s">
        <v>13284</v>
      </c>
      <c r="K3340" s="9" t="s">
        <v>13284</v>
      </c>
      <c r="L3340" s="9" t="s">
        <v>13284</v>
      </c>
      <c r="M3340" s="9" t="s">
        <v>13284</v>
      </c>
      <c r="N3340" s="9" t="s">
        <v>13284</v>
      </c>
      <c r="O3340" s="9" t="s">
        <v>13284</v>
      </c>
      <c r="P3340" s="9" t="s">
        <v>13284</v>
      </c>
      <c r="Q3340" s="9" t="s">
        <v>13284</v>
      </c>
      <c r="R3340" s="9" t="s">
        <v>13284</v>
      </c>
      <c r="S3340" s="9" t="s">
        <v>13284</v>
      </c>
      <c r="T3340" s="9" t="str">
        <f ca="1">IFERROR(IF(AND(VLOOKUP(A3340, 'Актуальное состояние (из общего'!A:C,3,0) = "", A3340 &lt;&gt; ""), "ПРОВЕРИТЬ", VLOOKUP(A3340, 'Актуальное состояние (из общего'!A:C,3,0)), "")</f>
        <v/>
      </c>
      <c r="U3340" s="9" t="s">
        <v>13284</v>
      </c>
      <c r="V3340" s="9" t="s">
        <v>13284</v>
      </c>
      <c r="W3340" s="12"/>
      <c r="X3340" s="9" t="str">
        <f t="array" ref="X3340">IFERROR(INDEX('Адреса общежитий (скрытый)'!$B$2:$B$9, MATCH(W3340, 'Адреса общежитий (скрытый)'!$A$2:$A$9, 0)), "")</f>
        <v/>
      </c>
      <c r="Y3340" s="18"/>
      <c r="Z3340" s="18"/>
      <c r="AA3340" s="18"/>
      <c r="AB3340" s="18"/>
      <c r="AC3340" s="18"/>
    </row>
    <row r="3341" spans="1:29" ht="32.25" hidden="1" customHeight="1">
      <c r="A3341" s="17"/>
      <c r="B3341" s="9" t="s">
        <v>13284</v>
      </c>
      <c r="C3341" s="9" t="s">
        <v>13284</v>
      </c>
      <c r="D3341" s="9" t="s">
        <v>13284</v>
      </c>
      <c r="E3341" s="9" t="s">
        <v>13284</v>
      </c>
      <c r="F3341" s="9" t="s">
        <v>13284</v>
      </c>
      <c r="G3341" s="9" t="s">
        <v>13284</v>
      </c>
      <c r="H3341" s="9" t="s">
        <v>13284</v>
      </c>
      <c r="I3341" s="9" t="s">
        <v>13284</v>
      </c>
      <c r="J3341" s="9" t="s">
        <v>13284</v>
      </c>
      <c r="K3341" s="9" t="s">
        <v>13284</v>
      </c>
      <c r="L3341" s="9" t="s">
        <v>13284</v>
      </c>
      <c r="M3341" s="9" t="s">
        <v>13284</v>
      </c>
      <c r="N3341" s="9" t="s">
        <v>13284</v>
      </c>
      <c r="O3341" s="9" t="s">
        <v>13284</v>
      </c>
      <c r="P3341" s="9" t="s">
        <v>13284</v>
      </c>
      <c r="Q3341" s="9" t="s">
        <v>13284</v>
      </c>
      <c r="R3341" s="9" t="s">
        <v>13284</v>
      </c>
      <c r="S3341" s="9" t="s">
        <v>13284</v>
      </c>
      <c r="T3341" s="9" t="str">
        <f ca="1">IFERROR(IF(AND(VLOOKUP(A3341, 'Актуальное состояние (из общего'!A:C,3,0) = "", A3341 &lt;&gt; ""), "ПРОВЕРИТЬ", VLOOKUP(A3341, 'Актуальное состояние (из общего'!A:C,3,0)), "")</f>
        <v/>
      </c>
      <c r="U3341" s="9" t="s">
        <v>13284</v>
      </c>
      <c r="V3341" s="9" t="s">
        <v>13284</v>
      </c>
      <c r="W3341" s="12"/>
      <c r="X3341" s="9" t="str">
        <f t="array" ref="X3341">IFERROR(INDEX('Адреса общежитий (скрытый)'!$B$2:$B$9, MATCH(W3341, 'Адреса общежитий (скрытый)'!$A$2:$A$9, 0)), "")</f>
        <v/>
      </c>
      <c r="Y3341" s="18"/>
      <c r="Z3341" s="18"/>
      <c r="AA3341" s="18"/>
      <c r="AB3341" s="18"/>
      <c r="AC3341" s="18"/>
    </row>
    <row r="3342" spans="1:29" ht="32.25" hidden="1" customHeight="1">
      <c r="A3342" s="17"/>
      <c r="B3342" s="9" t="s">
        <v>13284</v>
      </c>
      <c r="C3342" s="9" t="s">
        <v>13284</v>
      </c>
      <c r="D3342" s="9" t="s">
        <v>13284</v>
      </c>
      <c r="E3342" s="9" t="s">
        <v>13284</v>
      </c>
      <c r="F3342" s="9" t="s">
        <v>13284</v>
      </c>
      <c r="G3342" s="9" t="s">
        <v>13284</v>
      </c>
      <c r="H3342" s="9" t="s">
        <v>13284</v>
      </c>
      <c r="I3342" s="9" t="s">
        <v>13284</v>
      </c>
      <c r="J3342" s="9" t="s">
        <v>13284</v>
      </c>
      <c r="K3342" s="9" t="s">
        <v>13284</v>
      </c>
      <c r="L3342" s="9" t="s">
        <v>13284</v>
      </c>
      <c r="M3342" s="9" t="s">
        <v>13284</v>
      </c>
      <c r="N3342" s="9" t="s">
        <v>13284</v>
      </c>
      <c r="O3342" s="9" t="s">
        <v>13284</v>
      </c>
      <c r="P3342" s="9" t="s">
        <v>13284</v>
      </c>
      <c r="Q3342" s="9" t="s">
        <v>13284</v>
      </c>
      <c r="R3342" s="9" t="s">
        <v>13284</v>
      </c>
      <c r="S3342" s="9" t="s">
        <v>13284</v>
      </c>
      <c r="T3342" s="9" t="str">
        <f ca="1">IFERROR(IF(AND(VLOOKUP(A3342, 'Актуальное состояние (из общего'!A:C,3,0) = "", A3342 &lt;&gt; ""), "ПРОВЕРИТЬ", VLOOKUP(A3342, 'Актуальное состояние (из общего'!A:C,3,0)), "")</f>
        <v/>
      </c>
      <c r="U3342" s="9" t="s">
        <v>13284</v>
      </c>
      <c r="V3342" s="9" t="s">
        <v>13284</v>
      </c>
      <c r="W3342" s="12"/>
      <c r="X3342" s="9" t="str">
        <f t="array" ref="X3342">IFERROR(INDEX('Адреса общежитий (скрытый)'!$B$2:$B$9, MATCH(W3342, 'Адреса общежитий (скрытый)'!$A$2:$A$9, 0)), "")</f>
        <v/>
      </c>
      <c r="Y3342" s="18"/>
      <c r="Z3342" s="18"/>
      <c r="AA3342" s="18"/>
      <c r="AB3342" s="18"/>
      <c r="AC3342" s="18"/>
    </row>
    <row r="3343" spans="1:29" ht="32.25" hidden="1" customHeight="1">
      <c r="A3343" s="17"/>
      <c r="B3343" s="9" t="s">
        <v>13284</v>
      </c>
      <c r="C3343" s="9" t="s">
        <v>13284</v>
      </c>
      <c r="D3343" s="9" t="s">
        <v>13284</v>
      </c>
      <c r="E3343" s="9" t="s">
        <v>13284</v>
      </c>
      <c r="F3343" s="9" t="s">
        <v>13284</v>
      </c>
      <c r="G3343" s="9" t="s">
        <v>13284</v>
      </c>
      <c r="H3343" s="9" t="s">
        <v>13284</v>
      </c>
      <c r="I3343" s="9" t="s">
        <v>13284</v>
      </c>
      <c r="J3343" s="9" t="s">
        <v>13284</v>
      </c>
      <c r="K3343" s="9" t="s">
        <v>13284</v>
      </c>
      <c r="L3343" s="9" t="s">
        <v>13284</v>
      </c>
      <c r="M3343" s="9" t="s">
        <v>13284</v>
      </c>
      <c r="N3343" s="9" t="s">
        <v>13284</v>
      </c>
      <c r="O3343" s="9" t="s">
        <v>13284</v>
      </c>
      <c r="P3343" s="9" t="s">
        <v>13284</v>
      </c>
      <c r="Q3343" s="9" t="s">
        <v>13284</v>
      </c>
      <c r="R3343" s="9" t="s">
        <v>13284</v>
      </c>
      <c r="S3343" s="9" t="s">
        <v>13284</v>
      </c>
      <c r="T3343" s="9" t="str">
        <f ca="1">IFERROR(IF(AND(VLOOKUP(A3343, 'Актуальное состояние (из общего'!A:C,3,0) = "", A3343 &lt;&gt; ""), "ПРОВЕРИТЬ", VLOOKUP(A3343, 'Актуальное состояние (из общего'!A:C,3,0)), "")</f>
        <v/>
      </c>
      <c r="U3343" s="9" t="s">
        <v>13284</v>
      </c>
      <c r="V3343" s="9" t="s">
        <v>13284</v>
      </c>
      <c r="W3343" s="12"/>
      <c r="X3343" s="9" t="str">
        <f t="array" ref="X3343">IFERROR(INDEX('Адреса общежитий (скрытый)'!$B$2:$B$9, MATCH(W3343, 'Адреса общежитий (скрытый)'!$A$2:$A$9, 0)), "")</f>
        <v/>
      </c>
      <c r="Y3343" s="18"/>
      <c r="Z3343" s="18"/>
      <c r="AA3343" s="18"/>
      <c r="AB3343" s="18"/>
      <c r="AC3343" s="18"/>
    </row>
    <row r="3344" spans="1:29" ht="32.25" hidden="1" customHeight="1">
      <c r="A3344" s="17"/>
      <c r="B3344" s="9" t="s">
        <v>13284</v>
      </c>
      <c r="C3344" s="9" t="s">
        <v>13284</v>
      </c>
      <c r="D3344" s="9" t="s">
        <v>13284</v>
      </c>
      <c r="E3344" s="9" t="s">
        <v>13284</v>
      </c>
      <c r="F3344" s="9" t="s">
        <v>13284</v>
      </c>
      <c r="G3344" s="9" t="s">
        <v>13284</v>
      </c>
      <c r="H3344" s="9" t="s">
        <v>13284</v>
      </c>
      <c r="I3344" s="9" t="s">
        <v>13284</v>
      </c>
      <c r="J3344" s="9" t="s">
        <v>13284</v>
      </c>
      <c r="K3344" s="9" t="s">
        <v>13284</v>
      </c>
      <c r="L3344" s="9" t="s">
        <v>13284</v>
      </c>
      <c r="M3344" s="9" t="s">
        <v>13284</v>
      </c>
      <c r="N3344" s="9" t="s">
        <v>13284</v>
      </c>
      <c r="O3344" s="9" t="s">
        <v>13284</v>
      </c>
      <c r="P3344" s="9" t="s">
        <v>13284</v>
      </c>
      <c r="Q3344" s="9" t="s">
        <v>13284</v>
      </c>
      <c r="R3344" s="9" t="s">
        <v>13284</v>
      </c>
      <c r="S3344" s="9" t="s">
        <v>13284</v>
      </c>
      <c r="T3344" s="9" t="str">
        <f ca="1">IFERROR(IF(AND(VLOOKUP(A3344, 'Актуальное состояние (из общего'!A:C,3,0) = "", A3344 &lt;&gt; ""), "ПРОВЕРИТЬ", VLOOKUP(A3344, 'Актуальное состояние (из общего'!A:C,3,0)), "")</f>
        <v/>
      </c>
      <c r="U3344" s="9" t="s">
        <v>13284</v>
      </c>
      <c r="V3344" s="9" t="s">
        <v>13284</v>
      </c>
      <c r="W3344" s="12"/>
      <c r="X3344" s="9" t="str">
        <f t="array" ref="X3344">IFERROR(INDEX('Адреса общежитий (скрытый)'!$B$2:$B$9, MATCH(W3344, 'Адреса общежитий (скрытый)'!$A$2:$A$9, 0)), "")</f>
        <v/>
      </c>
      <c r="Y3344" s="18"/>
      <c r="Z3344" s="18"/>
      <c r="AA3344" s="18"/>
      <c r="AB3344" s="18"/>
      <c r="AC3344" s="18"/>
    </row>
    <row r="3345" spans="1:29" ht="32.25" hidden="1" customHeight="1">
      <c r="A3345" s="17"/>
      <c r="B3345" s="9" t="s">
        <v>13284</v>
      </c>
      <c r="C3345" s="9" t="s">
        <v>13284</v>
      </c>
      <c r="D3345" s="9" t="s">
        <v>13284</v>
      </c>
      <c r="E3345" s="9" t="s">
        <v>13284</v>
      </c>
      <c r="F3345" s="9" t="s">
        <v>13284</v>
      </c>
      <c r="G3345" s="9" t="s">
        <v>13284</v>
      </c>
      <c r="H3345" s="9" t="s">
        <v>13284</v>
      </c>
      <c r="I3345" s="9" t="s">
        <v>13284</v>
      </c>
      <c r="J3345" s="9" t="s">
        <v>13284</v>
      </c>
      <c r="K3345" s="9" t="s">
        <v>13284</v>
      </c>
      <c r="L3345" s="9" t="s">
        <v>13284</v>
      </c>
      <c r="M3345" s="9" t="s">
        <v>13284</v>
      </c>
      <c r="N3345" s="9" t="s">
        <v>13284</v>
      </c>
      <c r="O3345" s="9" t="s">
        <v>13284</v>
      </c>
      <c r="P3345" s="9" t="s">
        <v>13284</v>
      </c>
      <c r="Q3345" s="9" t="s">
        <v>13284</v>
      </c>
      <c r="R3345" s="9" t="s">
        <v>13284</v>
      </c>
      <c r="S3345" s="9" t="s">
        <v>13284</v>
      </c>
      <c r="T3345" s="9" t="str">
        <f ca="1">IFERROR(IF(AND(VLOOKUP(A3345, 'Актуальное состояние (из общего'!A:C,3,0) = "", A3345 &lt;&gt; ""), "ПРОВЕРИТЬ", VLOOKUP(A3345, 'Актуальное состояние (из общего'!A:C,3,0)), "")</f>
        <v/>
      </c>
      <c r="U3345" s="9" t="s">
        <v>13284</v>
      </c>
      <c r="V3345" s="9" t="s">
        <v>13284</v>
      </c>
      <c r="W3345" s="12"/>
      <c r="X3345" s="9" t="str">
        <f t="array" ref="X3345">IFERROR(INDEX('Адреса общежитий (скрытый)'!$B$2:$B$9, MATCH(W3345, 'Адреса общежитий (скрытый)'!$A$2:$A$9, 0)), "")</f>
        <v/>
      </c>
      <c r="Y3345" s="18"/>
      <c r="Z3345" s="18"/>
      <c r="AA3345" s="18"/>
      <c r="AB3345" s="18"/>
      <c r="AC3345" s="18"/>
    </row>
    <row r="3346" spans="1:29" ht="32.25" hidden="1" customHeight="1">
      <c r="A3346" s="17"/>
      <c r="B3346" s="9" t="s">
        <v>13284</v>
      </c>
      <c r="C3346" s="9" t="s">
        <v>13284</v>
      </c>
      <c r="D3346" s="9" t="s">
        <v>13284</v>
      </c>
      <c r="E3346" s="9" t="s">
        <v>13284</v>
      </c>
      <c r="F3346" s="9" t="s">
        <v>13284</v>
      </c>
      <c r="G3346" s="9" t="s">
        <v>13284</v>
      </c>
      <c r="H3346" s="9" t="s">
        <v>13284</v>
      </c>
      <c r="I3346" s="9" t="s">
        <v>13284</v>
      </c>
      <c r="J3346" s="9" t="s">
        <v>13284</v>
      </c>
      <c r="K3346" s="9" t="s">
        <v>13284</v>
      </c>
      <c r="L3346" s="9" t="s">
        <v>13284</v>
      </c>
      <c r="M3346" s="9" t="s">
        <v>13284</v>
      </c>
      <c r="N3346" s="9" t="s">
        <v>13284</v>
      </c>
      <c r="O3346" s="9" t="s">
        <v>13284</v>
      </c>
      <c r="P3346" s="9" t="s">
        <v>13284</v>
      </c>
      <c r="Q3346" s="9" t="s">
        <v>13284</v>
      </c>
      <c r="R3346" s="9" t="s">
        <v>13284</v>
      </c>
      <c r="S3346" s="9" t="s">
        <v>13284</v>
      </c>
      <c r="T3346" s="9" t="str">
        <f ca="1">IFERROR(IF(AND(VLOOKUP(A3346, 'Актуальное состояние (из общего'!A:C,3,0) = "", A3346 &lt;&gt; ""), "ПРОВЕРИТЬ", VLOOKUP(A3346, 'Актуальное состояние (из общего'!A:C,3,0)), "")</f>
        <v/>
      </c>
      <c r="U3346" s="9" t="s">
        <v>13284</v>
      </c>
      <c r="V3346" s="9" t="s">
        <v>13284</v>
      </c>
      <c r="W3346" s="12"/>
      <c r="X3346" s="9" t="str">
        <f t="array" ref="X3346">IFERROR(INDEX('Адреса общежитий (скрытый)'!$B$2:$B$9, MATCH(W3346, 'Адреса общежитий (скрытый)'!$A$2:$A$9, 0)), "")</f>
        <v/>
      </c>
      <c r="Y3346" s="18"/>
      <c r="Z3346" s="18"/>
      <c r="AA3346" s="18"/>
      <c r="AB3346" s="18"/>
      <c r="AC3346" s="18"/>
    </row>
    <row r="3347" spans="1:29" ht="32.25" hidden="1" customHeight="1">
      <c r="A3347" s="17"/>
      <c r="B3347" s="9" t="s">
        <v>13284</v>
      </c>
      <c r="C3347" s="9" t="s">
        <v>13284</v>
      </c>
      <c r="D3347" s="9" t="s">
        <v>13284</v>
      </c>
      <c r="E3347" s="9" t="s">
        <v>13284</v>
      </c>
      <c r="F3347" s="9" t="s">
        <v>13284</v>
      </c>
      <c r="G3347" s="9" t="s">
        <v>13284</v>
      </c>
      <c r="H3347" s="9" t="s">
        <v>13284</v>
      </c>
      <c r="I3347" s="9" t="s">
        <v>13284</v>
      </c>
      <c r="J3347" s="9" t="s">
        <v>13284</v>
      </c>
      <c r="K3347" s="9" t="s">
        <v>13284</v>
      </c>
      <c r="L3347" s="9" t="s">
        <v>13284</v>
      </c>
      <c r="M3347" s="9" t="s">
        <v>13284</v>
      </c>
      <c r="N3347" s="9" t="s">
        <v>13284</v>
      </c>
      <c r="O3347" s="9" t="s">
        <v>13284</v>
      </c>
      <c r="P3347" s="9" t="s">
        <v>13284</v>
      </c>
      <c r="Q3347" s="9" t="s">
        <v>13284</v>
      </c>
      <c r="R3347" s="9" t="s">
        <v>13284</v>
      </c>
      <c r="S3347" s="9" t="s">
        <v>13284</v>
      </c>
      <c r="T3347" s="9" t="str">
        <f ca="1">IFERROR(IF(AND(VLOOKUP(A3347, 'Актуальное состояние (из общего'!A:C,3,0) = "", A3347 &lt;&gt; ""), "ПРОВЕРИТЬ", VLOOKUP(A3347, 'Актуальное состояние (из общего'!A:C,3,0)), "")</f>
        <v/>
      </c>
      <c r="U3347" s="9" t="s">
        <v>13284</v>
      </c>
      <c r="V3347" s="9" t="s">
        <v>13284</v>
      </c>
      <c r="W3347" s="12"/>
      <c r="X3347" s="9" t="str">
        <f t="array" ref="X3347">IFERROR(INDEX('Адреса общежитий (скрытый)'!$B$2:$B$9, MATCH(W3347, 'Адреса общежитий (скрытый)'!$A$2:$A$9, 0)), "")</f>
        <v/>
      </c>
      <c r="Y3347" s="18"/>
      <c r="Z3347" s="18"/>
      <c r="AA3347" s="18"/>
      <c r="AB3347" s="18"/>
      <c r="AC3347" s="18"/>
    </row>
    <row r="3348" spans="1:29" ht="32.25" hidden="1" customHeight="1">
      <c r="A3348" s="17"/>
      <c r="B3348" s="9" t="s">
        <v>13284</v>
      </c>
      <c r="C3348" s="9" t="s">
        <v>13284</v>
      </c>
      <c r="D3348" s="9" t="s">
        <v>13284</v>
      </c>
      <c r="E3348" s="9" t="s">
        <v>13284</v>
      </c>
      <c r="F3348" s="9" t="s">
        <v>13284</v>
      </c>
      <c r="G3348" s="9" t="s">
        <v>13284</v>
      </c>
      <c r="H3348" s="9" t="s">
        <v>13284</v>
      </c>
      <c r="I3348" s="9" t="s">
        <v>13284</v>
      </c>
      <c r="J3348" s="9" t="s">
        <v>13284</v>
      </c>
      <c r="K3348" s="9" t="s">
        <v>13284</v>
      </c>
      <c r="L3348" s="9" t="s">
        <v>13284</v>
      </c>
      <c r="M3348" s="9" t="s">
        <v>13284</v>
      </c>
      <c r="N3348" s="9" t="s">
        <v>13284</v>
      </c>
      <c r="O3348" s="9" t="s">
        <v>13284</v>
      </c>
      <c r="P3348" s="9" t="s">
        <v>13284</v>
      </c>
      <c r="Q3348" s="9" t="s">
        <v>13284</v>
      </c>
      <c r="R3348" s="9" t="s">
        <v>13284</v>
      </c>
      <c r="S3348" s="9" t="s">
        <v>13284</v>
      </c>
      <c r="T3348" s="9" t="str">
        <f ca="1">IFERROR(IF(AND(VLOOKUP(A3348, 'Актуальное состояние (из общего'!A:C,3,0) = "", A3348 &lt;&gt; ""), "ПРОВЕРИТЬ", VLOOKUP(A3348, 'Актуальное состояние (из общего'!A:C,3,0)), "")</f>
        <v/>
      </c>
      <c r="U3348" s="9" t="s">
        <v>13284</v>
      </c>
      <c r="V3348" s="9" t="s">
        <v>13284</v>
      </c>
      <c r="W3348" s="12"/>
      <c r="X3348" s="9" t="str">
        <f t="array" ref="X3348">IFERROR(INDEX('Адреса общежитий (скрытый)'!$B$2:$B$9, MATCH(W3348, 'Адреса общежитий (скрытый)'!$A$2:$A$9, 0)), "")</f>
        <v/>
      </c>
      <c r="Y3348" s="18"/>
      <c r="Z3348" s="18"/>
      <c r="AA3348" s="18"/>
      <c r="AB3348" s="18"/>
      <c r="AC3348" s="18"/>
    </row>
    <row r="3349" spans="1:29" ht="32.25" hidden="1" customHeight="1">
      <c r="A3349" s="17"/>
      <c r="B3349" s="9" t="s">
        <v>13284</v>
      </c>
      <c r="C3349" s="9" t="s">
        <v>13284</v>
      </c>
      <c r="D3349" s="9" t="s">
        <v>13284</v>
      </c>
      <c r="E3349" s="9" t="s">
        <v>13284</v>
      </c>
      <c r="F3349" s="9" t="s">
        <v>13284</v>
      </c>
      <c r="G3349" s="9" t="s">
        <v>13284</v>
      </c>
      <c r="H3349" s="9" t="s">
        <v>13284</v>
      </c>
      <c r="I3349" s="9" t="s">
        <v>13284</v>
      </c>
      <c r="J3349" s="9" t="s">
        <v>13284</v>
      </c>
      <c r="K3349" s="9" t="s">
        <v>13284</v>
      </c>
      <c r="L3349" s="9" t="s">
        <v>13284</v>
      </c>
      <c r="M3349" s="9" t="s">
        <v>13284</v>
      </c>
      <c r="N3349" s="9" t="s">
        <v>13284</v>
      </c>
      <c r="O3349" s="9" t="s">
        <v>13284</v>
      </c>
      <c r="P3349" s="9" t="s">
        <v>13284</v>
      </c>
      <c r="Q3349" s="9" t="s">
        <v>13284</v>
      </c>
      <c r="R3349" s="9" t="s">
        <v>13284</v>
      </c>
      <c r="S3349" s="9" t="s">
        <v>13284</v>
      </c>
      <c r="T3349" s="9" t="str">
        <f ca="1">IFERROR(IF(AND(VLOOKUP(A3349, 'Актуальное состояние (из общего'!A:C,3,0) = "", A3349 &lt;&gt; ""), "ПРОВЕРИТЬ", VLOOKUP(A3349, 'Актуальное состояние (из общего'!A:C,3,0)), "")</f>
        <v/>
      </c>
      <c r="U3349" s="9" t="s">
        <v>13284</v>
      </c>
      <c r="V3349" s="9" t="s">
        <v>13284</v>
      </c>
      <c r="W3349" s="12"/>
      <c r="X3349" s="9" t="str">
        <f t="array" ref="X3349">IFERROR(INDEX('Адреса общежитий (скрытый)'!$B$2:$B$9, MATCH(W3349, 'Адреса общежитий (скрытый)'!$A$2:$A$9, 0)), "")</f>
        <v/>
      </c>
      <c r="Y3349" s="18"/>
      <c r="Z3349" s="18"/>
      <c r="AA3349" s="18"/>
      <c r="AB3349" s="18"/>
      <c r="AC3349" s="18"/>
    </row>
    <row r="3350" spans="1:29" ht="32.25" hidden="1" customHeight="1">
      <c r="A3350" s="17"/>
      <c r="B3350" s="9" t="s">
        <v>13284</v>
      </c>
      <c r="C3350" s="9" t="s">
        <v>13284</v>
      </c>
      <c r="D3350" s="9" t="s">
        <v>13284</v>
      </c>
      <c r="E3350" s="9" t="s">
        <v>13284</v>
      </c>
      <c r="F3350" s="9" t="s">
        <v>13284</v>
      </c>
      <c r="G3350" s="9" t="s">
        <v>13284</v>
      </c>
      <c r="H3350" s="9" t="s">
        <v>13284</v>
      </c>
      <c r="I3350" s="9" t="s">
        <v>13284</v>
      </c>
      <c r="J3350" s="9" t="s">
        <v>13284</v>
      </c>
      <c r="K3350" s="9" t="s">
        <v>13284</v>
      </c>
      <c r="L3350" s="9" t="s">
        <v>13284</v>
      </c>
      <c r="M3350" s="9" t="s">
        <v>13284</v>
      </c>
      <c r="N3350" s="9" t="s">
        <v>13284</v>
      </c>
      <c r="O3350" s="9" t="s">
        <v>13284</v>
      </c>
      <c r="P3350" s="9" t="s">
        <v>13284</v>
      </c>
      <c r="Q3350" s="9" t="s">
        <v>13284</v>
      </c>
      <c r="R3350" s="9" t="s">
        <v>13284</v>
      </c>
      <c r="S3350" s="9" t="s">
        <v>13284</v>
      </c>
      <c r="T3350" s="9" t="str">
        <f ca="1">IFERROR(IF(AND(VLOOKUP(A3350, 'Актуальное состояние (из общего'!A:C,3,0) = "", A3350 &lt;&gt; ""), "ПРОВЕРИТЬ", VLOOKUP(A3350, 'Актуальное состояние (из общего'!A:C,3,0)), "")</f>
        <v/>
      </c>
      <c r="U3350" s="9" t="s">
        <v>13284</v>
      </c>
      <c r="V3350" s="9" t="s">
        <v>13284</v>
      </c>
      <c r="W3350" s="12"/>
      <c r="X3350" s="9" t="str">
        <f t="array" ref="X3350">IFERROR(INDEX('Адреса общежитий (скрытый)'!$B$2:$B$9, MATCH(W3350, 'Адреса общежитий (скрытый)'!$A$2:$A$9, 0)), "")</f>
        <v/>
      </c>
      <c r="Y3350" s="18"/>
      <c r="Z3350" s="18"/>
      <c r="AA3350" s="18"/>
      <c r="AB3350" s="18"/>
      <c r="AC3350" s="18"/>
    </row>
    <row r="3351" spans="1:29" ht="32.25" hidden="1" customHeight="1">
      <c r="A3351" s="17"/>
      <c r="B3351" s="9" t="s">
        <v>13284</v>
      </c>
      <c r="C3351" s="9" t="s">
        <v>13284</v>
      </c>
      <c r="D3351" s="9" t="s">
        <v>13284</v>
      </c>
      <c r="E3351" s="9" t="s">
        <v>13284</v>
      </c>
      <c r="F3351" s="9" t="s">
        <v>13284</v>
      </c>
      <c r="G3351" s="9" t="s">
        <v>13284</v>
      </c>
      <c r="H3351" s="9" t="s">
        <v>13284</v>
      </c>
      <c r="I3351" s="9" t="s">
        <v>13284</v>
      </c>
      <c r="J3351" s="9" t="s">
        <v>13284</v>
      </c>
      <c r="K3351" s="9" t="s">
        <v>13284</v>
      </c>
      <c r="L3351" s="9" t="s">
        <v>13284</v>
      </c>
      <c r="M3351" s="9" t="s">
        <v>13284</v>
      </c>
      <c r="N3351" s="9" t="s">
        <v>13284</v>
      </c>
      <c r="O3351" s="9" t="s">
        <v>13284</v>
      </c>
      <c r="P3351" s="9" t="s">
        <v>13284</v>
      </c>
      <c r="Q3351" s="9" t="s">
        <v>13284</v>
      </c>
      <c r="R3351" s="9" t="s">
        <v>13284</v>
      </c>
      <c r="S3351" s="9" t="s">
        <v>13284</v>
      </c>
      <c r="T3351" s="9" t="str">
        <f ca="1">IFERROR(IF(AND(VLOOKUP(A3351, 'Актуальное состояние (из общего'!A:C,3,0) = "", A3351 &lt;&gt; ""), "ПРОВЕРИТЬ", VLOOKUP(A3351, 'Актуальное состояние (из общего'!A:C,3,0)), "")</f>
        <v/>
      </c>
      <c r="U3351" s="9" t="s">
        <v>13284</v>
      </c>
      <c r="V3351" s="9" t="s">
        <v>13284</v>
      </c>
      <c r="W3351" s="12"/>
      <c r="X3351" s="9" t="str">
        <f t="array" ref="X3351">IFERROR(INDEX('Адреса общежитий (скрытый)'!$B$2:$B$9, MATCH(W3351, 'Адреса общежитий (скрытый)'!$A$2:$A$9, 0)), "")</f>
        <v/>
      </c>
      <c r="Y3351" s="18"/>
      <c r="Z3351" s="18"/>
      <c r="AA3351" s="18"/>
      <c r="AB3351" s="18"/>
      <c r="AC3351" s="18"/>
    </row>
    <row r="3352" spans="1:29" ht="32.25" hidden="1" customHeight="1">
      <c r="A3352" s="17"/>
      <c r="B3352" s="9" t="s">
        <v>13284</v>
      </c>
      <c r="C3352" s="9" t="s">
        <v>13284</v>
      </c>
      <c r="D3352" s="9" t="s">
        <v>13284</v>
      </c>
      <c r="E3352" s="9" t="s">
        <v>13284</v>
      </c>
      <c r="F3352" s="9" t="s">
        <v>13284</v>
      </c>
      <c r="G3352" s="9" t="s">
        <v>13284</v>
      </c>
      <c r="H3352" s="9" t="s">
        <v>13284</v>
      </c>
      <c r="I3352" s="9" t="s">
        <v>13284</v>
      </c>
      <c r="J3352" s="9" t="s">
        <v>13284</v>
      </c>
      <c r="K3352" s="9" t="s">
        <v>13284</v>
      </c>
      <c r="L3352" s="9" t="s">
        <v>13284</v>
      </c>
      <c r="M3352" s="9" t="s">
        <v>13284</v>
      </c>
      <c r="N3352" s="9" t="s">
        <v>13284</v>
      </c>
      <c r="O3352" s="9" t="s">
        <v>13284</v>
      </c>
      <c r="P3352" s="9" t="s">
        <v>13284</v>
      </c>
      <c r="Q3352" s="9" t="s">
        <v>13284</v>
      </c>
      <c r="R3352" s="9" t="s">
        <v>13284</v>
      </c>
      <c r="S3352" s="9" t="s">
        <v>13284</v>
      </c>
      <c r="T3352" s="9" t="str">
        <f ca="1">IFERROR(IF(AND(VLOOKUP(A3352, 'Актуальное состояние (из общего'!A:C,3,0) = "", A3352 &lt;&gt; ""), "ПРОВЕРИТЬ", VLOOKUP(A3352, 'Актуальное состояние (из общего'!A:C,3,0)), "")</f>
        <v/>
      </c>
      <c r="U3352" s="9" t="s">
        <v>13284</v>
      </c>
      <c r="V3352" s="9" t="s">
        <v>13284</v>
      </c>
      <c r="W3352" s="12"/>
      <c r="X3352" s="9" t="str">
        <f t="array" ref="X3352">IFERROR(INDEX('Адреса общежитий (скрытый)'!$B$2:$B$9, MATCH(W3352, 'Адреса общежитий (скрытый)'!$A$2:$A$9, 0)), "")</f>
        <v/>
      </c>
      <c r="Y3352" s="18"/>
      <c r="Z3352" s="18"/>
      <c r="AA3352" s="18"/>
      <c r="AB3352" s="18"/>
      <c r="AC3352" s="18"/>
    </row>
    <row r="3353" spans="1:29" ht="32.25" hidden="1" customHeight="1">
      <c r="A3353" s="17"/>
      <c r="B3353" s="9" t="s">
        <v>13284</v>
      </c>
      <c r="C3353" s="9" t="s">
        <v>13284</v>
      </c>
      <c r="D3353" s="9" t="s">
        <v>13284</v>
      </c>
      <c r="E3353" s="9" t="s">
        <v>13284</v>
      </c>
      <c r="F3353" s="9" t="s">
        <v>13284</v>
      </c>
      <c r="G3353" s="9" t="s">
        <v>13284</v>
      </c>
      <c r="H3353" s="9" t="s">
        <v>13284</v>
      </c>
      <c r="I3353" s="9" t="s">
        <v>13284</v>
      </c>
      <c r="J3353" s="9" t="s">
        <v>13284</v>
      </c>
      <c r="K3353" s="9" t="s">
        <v>13284</v>
      </c>
      <c r="L3353" s="9" t="s">
        <v>13284</v>
      </c>
      <c r="M3353" s="9" t="s">
        <v>13284</v>
      </c>
      <c r="N3353" s="9" t="s">
        <v>13284</v>
      </c>
      <c r="O3353" s="9" t="s">
        <v>13284</v>
      </c>
      <c r="P3353" s="9" t="s">
        <v>13284</v>
      </c>
      <c r="Q3353" s="9" t="s">
        <v>13284</v>
      </c>
      <c r="R3353" s="9" t="s">
        <v>13284</v>
      </c>
      <c r="S3353" s="9" t="s">
        <v>13284</v>
      </c>
      <c r="T3353" s="9" t="str">
        <f ca="1">IFERROR(IF(AND(VLOOKUP(A3353, 'Актуальное состояние (из общего'!A:C,3,0) = "", A3353 &lt;&gt; ""), "ПРОВЕРИТЬ", VLOOKUP(A3353, 'Актуальное состояние (из общего'!A:C,3,0)), "")</f>
        <v/>
      </c>
      <c r="U3353" s="9" t="s">
        <v>13284</v>
      </c>
      <c r="V3353" s="9" t="s">
        <v>13284</v>
      </c>
      <c r="W3353" s="12"/>
      <c r="X3353" s="9" t="str">
        <f t="array" ref="X3353">IFERROR(INDEX('Адреса общежитий (скрытый)'!$B$2:$B$9, MATCH(W3353, 'Адреса общежитий (скрытый)'!$A$2:$A$9, 0)), "")</f>
        <v/>
      </c>
      <c r="Y3353" s="18"/>
      <c r="Z3353" s="18"/>
      <c r="AA3353" s="18"/>
      <c r="AB3353" s="18"/>
      <c r="AC3353" s="18"/>
    </row>
    <row r="3354" spans="1:29" ht="32.25" hidden="1" customHeight="1">
      <c r="A3354" s="17"/>
      <c r="B3354" s="9" t="s">
        <v>13284</v>
      </c>
      <c r="C3354" s="9" t="s">
        <v>13284</v>
      </c>
      <c r="D3354" s="9" t="s">
        <v>13284</v>
      </c>
      <c r="E3354" s="9" t="s">
        <v>13284</v>
      </c>
      <c r="F3354" s="9" t="s">
        <v>13284</v>
      </c>
      <c r="G3354" s="9" t="s">
        <v>13284</v>
      </c>
      <c r="H3354" s="9" t="s">
        <v>13284</v>
      </c>
      <c r="I3354" s="9" t="s">
        <v>13284</v>
      </c>
      <c r="J3354" s="9" t="s">
        <v>13284</v>
      </c>
      <c r="K3354" s="9" t="s">
        <v>13284</v>
      </c>
      <c r="L3354" s="9" t="s">
        <v>13284</v>
      </c>
      <c r="M3354" s="9" t="s">
        <v>13284</v>
      </c>
      <c r="N3354" s="9" t="s">
        <v>13284</v>
      </c>
      <c r="O3354" s="9" t="s">
        <v>13284</v>
      </c>
      <c r="P3354" s="9" t="s">
        <v>13284</v>
      </c>
      <c r="Q3354" s="9" t="s">
        <v>13284</v>
      </c>
      <c r="R3354" s="9" t="s">
        <v>13284</v>
      </c>
      <c r="S3354" s="9" t="s">
        <v>13284</v>
      </c>
      <c r="T3354" s="9" t="str">
        <f ca="1">IFERROR(IF(AND(VLOOKUP(A3354, 'Актуальное состояние (из общего'!A:C,3,0) = "", A3354 &lt;&gt; ""), "ПРОВЕРИТЬ", VLOOKUP(A3354, 'Актуальное состояние (из общего'!A:C,3,0)), "")</f>
        <v/>
      </c>
      <c r="U3354" s="9" t="s">
        <v>13284</v>
      </c>
      <c r="V3354" s="9" t="s">
        <v>13284</v>
      </c>
      <c r="W3354" s="12"/>
      <c r="X3354" s="9" t="str">
        <f t="array" ref="X3354">IFERROR(INDEX('Адреса общежитий (скрытый)'!$B$2:$B$9, MATCH(W3354, 'Адреса общежитий (скрытый)'!$A$2:$A$9, 0)), "")</f>
        <v/>
      </c>
      <c r="Y3354" s="18"/>
      <c r="Z3354" s="18"/>
      <c r="AA3354" s="18"/>
      <c r="AB3354" s="18"/>
      <c r="AC3354" s="18"/>
    </row>
    <row r="3355" spans="1:29" ht="32.25" hidden="1" customHeight="1">
      <c r="A3355" s="17"/>
      <c r="B3355" s="9" t="s">
        <v>13284</v>
      </c>
      <c r="C3355" s="9" t="s">
        <v>13284</v>
      </c>
      <c r="D3355" s="9" t="s">
        <v>13284</v>
      </c>
      <c r="E3355" s="9" t="s">
        <v>13284</v>
      </c>
      <c r="F3355" s="9" t="s">
        <v>13284</v>
      </c>
      <c r="G3355" s="9" t="s">
        <v>13284</v>
      </c>
      <c r="H3355" s="9" t="s">
        <v>13284</v>
      </c>
      <c r="I3355" s="9" t="s">
        <v>13284</v>
      </c>
      <c r="J3355" s="9" t="s">
        <v>13284</v>
      </c>
      <c r="K3355" s="9" t="s">
        <v>13284</v>
      </c>
      <c r="L3355" s="9" t="s">
        <v>13284</v>
      </c>
      <c r="M3355" s="9" t="s">
        <v>13284</v>
      </c>
      <c r="N3355" s="9" t="s">
        <v>13284</v>
      </c>
      <c r="O3355" s="9" t="s">
        <v>13284</v>
      </c>
      <c r="P3355" s="9" t="s">
        <v>13284</v>
      </c>
      <c r="Q3355" s="9" t="s">
        <v>13284</v>
      </c>
      <c r="R3355" s="9" t="s">
        <v>13284</v>
      </c>
      <c r="S3355" s="9" t="s">
        <v>13284</v>
      </c>
      <c r="T3355" s="9" t="str">
        <f ca="1">IFERROR(IF(AND(VLOOKUP(A3355, 'Актуальное состояние (из общего'!A:C,3,0) = "", A3355 &lt;&gt; ""), "ПРОВЕРИТЬ", VLOOKUP(A3355, 'Актуальное состояние (из общего'!A:C,3,0)), "")</f>
        <v/>
      </c>
      <c r="U3355" s="9" t="s">
        <v>13284</v>
      </c>
      <c r="V3355" s="9" t="s">
        <v>13284</v>
      </c>
      <c r="W3355" s="12"/>
      <c r="X3355" s="9" t="str">
        <f t="array" ref="X3355">IFERROR(INDEX('Адреса общежитий (скрытый)'!$B$2:$B$9, MATCH(W3355, 'Адреса общежитий (скрытый)'!$A$2:$A$9, 0)), "")</f>
        <v/>
      </c>
      <c r="Y3355" s="18"/>
      <c r="Z3355" s="18"/>
      <c r="AA3355" s="18"/>
      <c r="AB3355" s="18"/>
      <c r="AC3355" s="18"/>
    </row>
    <row r="3356" spans="1:29" ht="32.25" hidden="1" customHeight="1">
      <c r="A3356" s="17"/>
      <c r="B3356" s="9" t="s">
        <v>13284</v>
      </c>
      <c r="C3356" s="9" t="s">
        <v>13284</v>
      </c>
      <c r="D3356" s="9" t="s">
        <v>13284</v>
      </c>
      <c r="E3356" s="9" t="s">
        <v>13284</v>
      </c>
      <c r="F3356" s="9" t="s">
        <v>13284</v>
      </c>
      <c r="G3356" s="9" t="s">
        <v>13284</v>
      </c>
      <c r="H3356" s="9" t="s">
        <v>13284</v>
      </c>
      <c r="I3356" s="9" t="s">
        <v>13284</v>
      </c>
      <c r="J3356" s="9" t="s">
        <v>13284</v>
      </c>
      <c r="K3356" s="9" t="s">
        <v>13284</v>
      </c>
      <c r="L3356" s="9" t="s">
        <v>13284</v>
      </c>
      <c r="M3356" s="9" t="s">
        <v>13284</v>
      </c>
      <c r="N3356" s="9" t="s">
        <v>13284</v>
      </c>
      <c r="O3356" s="9" t="s">
        <v>13284</v>
      </c>
      <c r="P3356" s="9" t="s">
        <v>13284</v>
      </c>
      <c r="Q3356" s="9" t="s">
        <v>13284</v>
      </c>
      <c r="R3356" s="9" t="s">
        <v>13284</v>
      </c>
      <c r="S3356" s="9" t="s">
        <v>13284</v>
      </c>
      <c r="T3356" s="9" t="str">
        <f ca="1">IFERROR(IF(AND(VLOOKUP(A3356, 'Актуальное состояние (из общего'!A:C,3,0) = "", A3356 &lt;&gt; ""), "ПРОВЕРИТЬ", VLOOKUP(A3356, 'Актуальное состояние (из общего'!A:C,3,0)), "")</f>
        <v/>
      </c>
      <c r="U3356" s="9" t="s">
        <v>13284</v>
      </c>
      <c r="V3356" s="9" t="s">
        <v>13284</v>
      </c>
      <c r="W3356" s="12"/>
      <c r="X3356" s="9" t="str">
        <f t="array" ref="X3356">IFERROR(INDEX('Адреса общежитий (скрытый)'!$B$2:$B$9, MATCH(W3356, 'Адреса общежитий (скрытый)'!$A$2:$A$9, 0)), "")</f>
        <v/>
      </c>
      <c r="Y3356" s="18"/>
      <c r="Z3356" s="18"/>
      <c r="AA3356" s="18"/>
      <c r="AB3356" s="18"/>
      <c r="AC3356" s="18"/>
    </row>
    <row r="3357" spans="1:29" ht="32.25" hidden="1" customHeight="1">
      <c r="A3357" s="17"/>
      <c r="B3357" s="9" t="s">
        <v>13284</v>
      </c>
      <c r="C3357" s="9" t="s">
        <v>13284</v>
      </c>
      <c r="D3357" s="9" t="s">
        <v>13284</v>
      </c>
      <c r="E3357" s="9" t="s">
        <v>13284</v>
      </c>
      <c r="F3357" s="9" t="s">
        <v>13284</v>
      </c>
      <c r="G3357" s="9" t="s">
        <v>13284</v>
      </c>
      <c r="H3357" s="9" t="s">
        <v>13284</v>
      </c>
      <c r="I3357" s="9" t="s">
        <v>13284</v>
      </c>
      <c r="J3357" s="9" t="s">
        <v>13284</v>
      </c>
      <c r="K3357" s="9" t="s">
        <v>13284</v>
      </c>
      <c r="L3357" s="9" t="s">
        <v>13284</v>
      </c>
      <c r="M3357" s="9" t="s">
        <v>13284</v>
      </c>
      <c r="N3357" s="9" t="s">
        <v>13284</v>
      </c>
      <c r="O3357" s="9" t="s">
        <v>13284</v>
      </c>
      <c r="P3357" s="9" t="s">
        <v>13284</v>
      </c>
      <c r="Q3357" s="9" t="s">
        <v>13284</v>
      </c>
      <c r="R3357" s="9" t="s">
        <v>13284</v>
      </c>
      <c r="S3357" s="9" t="s">
        <v>13284</v>
      </c>
      <c r="T3357" s="9" t="str">
        <f ca="1">IFERROR(IF(AND(VLOOKUP(A3357, 'Актуальное состояние (из общего'!A:C,3,0) = "", A3357 &lt;&gt; ""), "ПРОВЕРИТЬ", VLOOKUP(A3357, 'Актуальное состояние (из общего'!A:C,3,0)), "")</f>
        <v/>
      </c>
      <c r="U3357" s="9" t="s">
        <v>13284</v>
      </c>
      <c r="V3357" s="9" t="s">
        <v>13284</v>
      </c>
      <c r="W3357" s="12"/>
      <c r="X3357" s="9" t="str">
        <f t="array" ref="X3357">IFERROR(INDEX('Адреса общежитий (скрытый)'!$B$2:$B$9, MATCH(W3357, 'Адреса общежитий (скрытый)'!$A$2:$A$9, 0)), "")</f>
        <v/>
      </c>
      <c r="Y3357" s="18"/>
      <c r="Z3357" s="18"/>
      <c r="AA3357" s="18"/>
      <c r="AB3357" s="18"/>
      <c r="AC3357" s="18"/>
    </row>
    <row r="3358" spans="1:29" ht="32.25" hidden="1" customHeight="1">
      <c r="A3358" s="17"/>
      <c r="B3358" s="9" t="s">
        <v>13284</v>
      </c>
      <c r="C3358" s="9" t="s">
        <v>13284</v>
      </c>
      <c r="D3358" s="9" t="s">
        <v>13284</v>
      </c>
      <c r="E3358" s="9" t="s">
        <v>13284</v>
      </c>
      <c r="F3358" s="9" t="s">
        <v>13284</v>
      </c>
      <c r="G3358" s="9" t="s">
        <v>13284</v>
      </c>
      <c r="H3358" s="9" t="s">
        <v>13284</v>
      </c>
      <c r="I3358" s="9" t="s">
        <v>13284</v>
      </c>
      <c r="J3358" s="9" t="s">
        <v>13284</v>
      </c>
      <c r="K3358" s="9" t="s">
        <v>13284</v>
      </c>
      <c r="L3358" s="9" t="s">
        <v>13284</v>
      </c>
      <c r="M3358" s="9" t="s">
        <v>13284</v>
      </c>
      <c r="N3358" s="9" t="s">
        <v>13284</v>
      </c>
      <c r="O3358" s="9" t="s">
        <v>13284</v>
      </c>
      <c r="P3358" s="9" t="s">
        <v>13284</v>
      </c>
      <c r="Q3358" s="9" t="s">
        <v>13284</v>
      </c>
      <c r="R3358" s="9" t="s">
        <v>13284</v>
      </c>
      <c r="S3358" s="9" t="s">
        <v>13284</v>
      </c>
      <c r="T3358" s="9" t="str">
        <f ca="1">IFERROR(IF(AND(VLOOKUP(A3358, 'Актуальное состояние (из общего'!A:C,3,0) = "", A3358 &lt;&gt; ""), "ПРОВЕРИТЬ", VLOOKUP(A3358, 'Актуальное состояние (из общего'!A:C,3,0)), "")</f>
        <v/>
      </c>
      <c r="U3358" s="9" t="s">
        <v>13284</v>
      </c>
      <c r="V3358" s="9" t="s">
        <v>13284</v>
      </c>
      <c r="W3358" s="12"/>
      <c r="X3358" s="9" t="str">
        <f t="array" ref="X3358">IFERROR(INDEX('Адреса общежитий (скрытый)'!$B$2:$B$9, MATCH(W3358, 'Адреса общежитий (скрытый)'!$A$2:$A$9, 0)), "")</f>
        <v/>
      </c>
      <c r="Y3358" s="18"/>
      <c r="Z3358" s="18"/>
      <c r="AA3358" s="18"/>
      <c r="AB3358" s="18"/>
      <c r="AC3358" s="18"/>
    </row>
    <row r="3359" spans="1:29" ht="32.25" hidden="1" customHeight="1">
      <c r="A3359" s="17"/>
      <c r="B3359" s="9" t="s">
        <v>13284</v>
      </c>
      <c r="C3359" s="9" t="s">
        <v>13284</v>
      </c>
      <c r="D3359" s="9" t="s">
        <v>13284</v>
      </c>
      <c r="E3359" s="9" t="s">
        <v>13284</v>
      </c>
      <c r="F3359" s="9" t="s">
        <v>13284</v>
      </c>
      <c r="G3359" s="9" t="s">
        <v>13284</v>
      </c>
      <c r="H3359" s="9" t="s">
        <v>13284</v>
      </c>
      <c r="I3359" s="9" t="s">
        <v>13284</v>
      </c>
      <c r="J3359" s="9" t="s">
        <v>13284</v>
      </c>
      <c r="K3359" s="9" t="s">
        <v>13284</v>
      </c>
      <c r="L3359" s="9" t="s">
        <v>13284</v>
      </c>
      <c r="M3359" s="9" t="s">
        <v>13284</v>
      </c>
      <c r="N3359" s="9" t="s">
        <v>13284</v>
      </c>
      <c r="O3359" s="9" t="s">
        <v>13284</v>
      </c>
      <c r="P3359" s="9" t="s">
        <v>13284</v>
      </c>
      <c r="Q3359" s="9" t="s">
        <v>13284</v>
      </c>
      <c r="R3359" s="9" t="s">
        <v>13284</v>
      </c>
      <c r="S3359" s="9" t="s">
        <v>13284</v>
      </c>
      <c r="T3359" s="9" t="str">
        <f ca="1">IFERROR(IF(AND(VLOOKUP(A3359, 'Актуальное состояние (из общего'!A:C,3,0) = "", A3359 &lt;&gt; ""), "ПРОВЕРИТЬ", VLOOKUP(A3359, 'Актуальное состояние (из общего'!A:C,3,0)), "")</f>
        <v/>
      </c>
      <c r="U3359" s="9" t="s">
        <v>13284</v>
      </c>
      <c r="V3359" s="9" t="s">
        <v>13284</v>
      </c>
      <c r="W3359" s="12"/>
      <c r="X3359" s="9" t="str">
        <f t="array" ref="X3359">IFERROR(INDEX('Адреса общежитий (скрытый)'!$B$2:$B$9, MATCH(W3359, 'Адреса общежитий (скрытый)'!$A$2:$A$9, 0)), "")</f>
        <v/>
      </c>
      <c r="Y3359" s="18"/>
      <c r="Z3359" s="18"/>
      <c r="AA3359" s="18"/>
      <c r="AB3359" s="18"/>
      <c r="AC3359" s="18"/>
    </row>
    <row r="3360" spans="1:29" ht="32.25" hidden="1" customHeight="1">
      <c r="A3360" s="17"/>
      <c r="B3360" s="9" t="s">
        <v>13284</v>
      </c>
      <c r="C3360" s="9" t="s">
        <v>13284</v>
      </c>
      <c r="D3360" s="9" t="s">
        <v>13284</v>
      </c>
      <c r="E3360" s="9" t="s">
        <v>13284</v>
      </c>
      <c r="F3360" s="9" t="s">
        <v>13284</v>
      </c>
      <c r="G3360" s="9" t="s">
        <v>13284</v>
      </c>
      <c r="H3360" s="9" t="s">
        <v>13284</v>
      </c>
      <c r="I3360" s="9" t="s">
        <v>13284</v>
      </c>
      <c r="J3360" s="9" t="s">
        <v>13284</v>
      </c>
      <c r="K3360" s="9" t="s">
        <v>13284</v>
      </c>
      <c r="L3360" s="9" t="s">
        <v>13284</v>
      </c>
      <c r="M3360" s="9" t="s">
        <v>13284</v>
      </c>
      <c r="N3360" s="9" t="s">
        <v>13284</v>
      </c>
      <c r="O3360" s="9" t="s">
        <v>13284</v>
      </c>
      <c r="P3360" s="9" t="s">
        <v>13284</v>
      </c>
      <c r="Q3360" s="9" t="s">
        <v>13284</v>
      </c>
      <c r="R3360" s="9" t="s">
        <v>13284</v>
      </c>
      <c r="S3360" s="9" t="s">
        <v>13284</v>
      </c>
      <c r="T3360" s="9" t="str">
        <f ca="1">IFERROR(IF(AND(VLOOKUP(A3360, 'Актуальное состояние (из общего'!A:C,3,0) = "", A3360 &lt;&gt; ""), "ПРОВЕРИТЬ", VLOOKUP(A3360, 'Актуальное состояние (из общего'!A:C,3,0)), "")</f>
        <v/>
      </c>
      <c r="U3360" s="9" t="s">
        <v>13284</v>
      </c>
      <c r="V3360" s="9" t="s">
        <v>13284</v>
      </c>
      <c r="W3360" s="12"/>
      <c r="X3360" s="9" t="str">
        <f t="array" ref="X3360">IFERROR(INDEX('Адреса общежитий (скрытый)'!$B$2:$B$9, MATCH(W3360, 'Адреса общежитий (скрытый)'!$A$2:$A$9, 0)), "")</f>
        <v/>
      </c>
      <c r="Y3360" s="18"/>
      <c r="Z3360" s="18"/>
      <c r="AA3360" s="18"/>
      <c r="AB3360" s="18"/>
      <c r="AC3360" s="18"/>
    </row>
    <row r="3361" spans="1:29" ht="32.25" hidden="1" customHeight="1">
      <c r="A3361" s="17"/>
      <c r="B3361" s="9" t="s">
        <v>13284</v>
      </c>
      <c r="C3361" s="9" t="s">
        <v>13284</v>
      </c>
      <c r="D3361" s="9" t="s">
        <v>13284</v>
      </c>
      <c r="E3361" s="9" t="s">
        <v>13284</v>
      </c>
      <c r="F3361" s="9" t="s">
        <v>13284</v>
      </c>
      <c r="G3361" s="9" t="s">
        <v>13284</v>
      </c>
      <c r="H3361" s="9" t="s">
        <v>13284</v>
      </c>
      <c r="I3361" s="9" t="s">
        <v>13284</v>
      </c>
      <c r="J3361" s="9" t="s">
        <v>13284</v>
      </c>
      <c r="K3361" s="9" t="s">
        <v>13284</v>
      </c>
      <c r="L3361" s="9" t="s">
        <v>13284</v>
      </c>
      <c r="M3361" s="9" t="s">
        <v>13284</v>
      </c>
      <c r="N3361" s="9" t="s">
        <v>13284</v>
      </c>
      <c r="O3361" s="9" t="s">
        <v>13284</v>
      </c>
      <c r="P3361" s="9" t="s">
        <v>13284</v>
      </c>
      <c r="Q3361" s="9" t="s">
        <v>13284</v>
      </c>
      <c r="R3361" s="9" t="s">
        <v>13284</v>
      </c>
      <c r="S3361" s="9" t="s">
        <v>13284</v>
      </c>
      <c r="T3361" s="9" t="str">
        <f ca="1">IFERROR(IF(AND(VLOOKUP(A3361, 'Актуальное состояние (из общего'!A:C,3,0) = "", A3361 &lt;&gt; ""), "ПРОВЕРИТЬ", VLOOKUP(A3361, 'Актуальное состояние (из общего'!A:C,3,0)), "")</f>
        <v/>
      </c>
      <c r="U3361" s="9" t="s">
        <v>13284</v>
      </c>
      <c r="V3361" s="9" t="s">
        <v>13284</v>
      </c>
      <c r="W3361" s="12"/>
      <c r="X3361" s="9" t="str">
        <f t="array" ref="X3361">IFERROR(INDEX('Адреса общежитий (скрытый)'!$B$2:$B$9, MATCH(W3361, 'Адреса общежитий (скрытый)'!$A$2:$A$9, 0)), "")</f>
        <v/>
      </c>
      <c r="Y3361" s="18"/>
      <c r="Z3361" s="18"/>
      <c r="AA3361" s="18"/>
      <c r="AB3361" s="18"/>
      <c r="AC3361" s="18"/>
    </row>
    <row r="3362" spans="1:29" ht="32.25" hidden="1" customHeight="1">
      <c r="A3362" s="17"/>
      <c r="B3362" s="9" t="s">
        <v>13284</v>
      </c>
      <c r="C3362" s="9" t="s">
        <v>13284</v>
      </c>
      <c r="D3362" s="9" t="s">
        <v>13284</v>
      </c>
      <c r="E3362" s="9" t="s">
        <v>13284</v>
      </c>
      <c r="F3362" s="9" t="s">
        <v>13284</v>
      </c>
      <c r="G3362" s="9" t="s">
        <v>13284</v>
      </c>
      <c r="H3362" s="9" t="s">
        <v>13284</v>
      </c>
      <c r="I3362" s="9" t="s">
        <v>13284</v>
      </c>
      <c r="J3362" s="9" t="s">
        <v>13284</v>
      </c>
      <c r="K3362" s="9" t="s">
        <v>13284</v>
      </c>
      <c r="L3362" s="9" t="s">
        <v>13284</v>
      </c>
      <c r="M3362" s="9" t="s">
        <v>13284</v>
      </c>
      <c r="N3362" s="9" t="s">
        <v>13284</v>
      </c>
      <c r="O3362" s="9" t="s">
        <v>13284</v>
      </c>
      <c r="P3362" s="9" t="s">
        <v>13284</v>
      </c>
      <c r="Q3362" s="9" t="s">
        <v>13284</v>
      </c>
      <c r="R3362" s="9" t="s">
        <v>13284</v>
      </c>
      <c r="S3362" s="9" t="s">
        <v>13284</v>
      </c>
      <c r="T3362" s="9" t="str">
        <f ca="1">IFERROR(IF(AND(VLOOKUP(A3362, 'Актуальное состояние (из общего'!A:C,3,0) = "", A3362 &lt;&gt; ""), "ПРОВЕРИТЬ", VLOOKUP(A3362, 'Актуальное состояние (из общего'!A:C,3,0)), "")</f>
        <v/>
      </c>
      <c r="U3362" s="9" t="s">
        <v>13284</v>
      </c>
      <c r="V3362" s="9" t="s">
        <v>13284</v>
      </c>
      <c r="W3362" s="12"/>
      <c r="X3362" s="9" t="str">
        <f t="array" ref="X3362">IFERROR(INDEX('Адреса общежитий (скрытый)'!$B$2:$B$9, MATCH(W3362, 'Адреса общежитий (скрытый)'!$A$2:$A$9, 0)), "")</f>
        <v/>
      </c>
      <c r="Y3362" s="18"/>
      <c r="Z3362" s="18"/>
      <c r="AA3362" s="18"/>
      <c r="AB3362" s="18"/>
      <c r="AC3362" s="18"/>
    </row>
    <row r="3363" spans="1:29" ht="32.25" hidden="1" customHeight="1">
      <c r="A3363" s="17"/>
      <c r="B3363" s="9" t="s">
        <v>13284</v>
      </c>
      <c r="C3363" s="9" t="s">
        <v>13284</v>
      </c>
      <c r="D3363" s="9" t="s">
        <v>13284</v>
      </c>
      <c r="E3363" s="9" t="s">
        <v>13284</v>
      </c>
      <c r="F3363" s="9" t="s">
        <v>13284</v>
      </c>
      <c r="G3363" s="9" t="s">
        <v>13284</v>
      </c>
      <c r="H3363" s="9" t="s">
        <v>13284</v>
      </c>
      <c r="I3363" s="9" t="s">
        <v>13284</v>
      </c>
      <c r="J3363" s="9" t="s">
        <v>13284</v>
      </c>
      <c r="K3363" s="9" t="s">
        <v>13284</v>
      </c>
      <c r="L3363" s="9" t="s">
        <v>13284</v>
      </c>
      <c r="M3363" s="9" t="s">
        <v>13284</v>
      </c>
      <c r="N3363" s="9" t="s">
        <v>13284</v>
      </c>
      <c r="O3363" s="9" t="s">
        <v>13284</v>
      </c>
      <c r="P3363" s="9" t="s">
        <v>13284</v>
      </c>
      <c r="Q3363" s="9" t="s">
        <v>13284</v>
      </c>
      <c r="R3363" s="9" t="s">
        <v>13284</v>
      </c>
      <c r="S3363" s="9" t="s">
        <v>13284</v>
      </c>
      <c r="T3363" s="9" t="str">
        <f ca="1">IFERROR(IF(AND(VLOOKUP(A3363, 'Актуальное состояние (из общего'!A:C,3,0) = "", A3363 &lt;&gt; ""), "ПРОВЕРИТЬ", VLOOKUP(A3363, 'Актуальное состояние (из общего'!A:C,3,0)), "")</f>
        <v/>
      </c>
      <c r="U3363" s="9" t="s">
        <v>13284</v>
      </c>
      <c r="V3363" s="9" t="s">
        <v>13284</v>
      </c>
      <c r="W3363" s="12"/>
      <c r="X3363" s="9" t="str">
        <f t="array" ref="X3363">IFERROR(INDEX('Адреса общежитий (скрытый)'!$B$2:$B$9, MATCH(W3363, 'Адреса общежитий (скрытый)'!$A$2:$A$9, 0)), "")</f>
        <v/>
      </c>
      <c r="Y3363" s="18"/>
      <c r="Z3363" s="18"/>
      <c r="AA3363" s="18"/>
      <c r="AB3363" s="18"/>
      <c r="AC3363" s="18"/>
    </row>
    <row r="3364" spans="1:29" ht="32.25" hidden="1" customHeight="1">
      <c r="A3364" s="17"/>
      <c r="B3364" s="9" t="s">
        <v>13284</v>
      </c>
      <c r="C3364" s="9" t="s">
        <v>13284</v>
      </c>
      <c r="D3364" s="9" t="s">
        <v>13284</v>
      </c>
      <c r="E3364" s="9" t="s">
        <v>13284</v>
      </c>
      <c r="F3364" s="9" t="s">
        <v>13284</v>
      </c>
      <c r="G3364" s="9" t="s">
        <v>13284</v>
      </c>
      <c r="H3364" s="9" t="s">
        <v>13284</v>
      </c>
      <c r="I3364" s="9" t="s">
        <v>13284</v>
      </c>
      <c r="J3364" s="9" t="s">
        <v>13284</v>
      </c>
      <c r="K3364" s="9" t="s">
        <v>13284</v>
      </c>
      <c r="L3364" s="9" t="s">
        <v>13284</v>
      </c>
      <c r="M3364" s="9" t="s">
        <v>13284</v>
      </c>
      <c r="N3364" s="9" t="s">
        <v>13284</v>
      </c>
      <c r="O3364" s="9" t="s">
        <v>13284</v>
      </c>
      <c r="P3364" s="9" t="s">
        <v>13284</v>
      </c>
      <c r="Q3364" s="9" t="s">
        <v>13284</v>
      </c>
      <c r="R3364" s="9" t="s">
        <v>13284</v>
      </c>
      <c r="S3364" s="9" t="s">
        <v>13284</v>
      </c>
      <c r="T3364" s="9" t="str">
        <f ca="1">IFERROR(IF(AND(VLOOKUP(A3364, 'Актуальное состояние (из общего'!A:C,3,0) = "", A3364 &lt;&gt; ""), "ПРОВЕРИТЬ", VLOOKUP(A3364, 'Актуальное состояние (из общего'!A:C,3,0)), "")</f>
        <v/>
      </c>
      <c r="U3364" s="9" t="s">
        <v>13284</v>
      </c>
      <c r="V3364" s="9" t="s">
        <v>13284</v>
      </c>
      <c r="W3364" s="12"/>
      <c r="X3364" s="9" t="str">
        <f t="array" ref="X3364">IFERROR(INDEX('Адреса общежитий (скрытый)'!$B$2:$B$9, MATCH(W3364, 'Адреса общежитий (скрытый)'!$A$2:$A$9, 0)), "")</f>
        <v/>
      </c>
      <c r="Y3364" s="18"/>
      <c r="Z3364" s="18"/>
      <c r="AA3364" s="18"/>
      <c r="AB3364" s="18"/>
      <c r="AC3364" s="18"/>
    </row>
    <row r="3365" spans="1:29" ht="32.25" hidden="1" customHeight="1">
      <c r="A3365" s="17"/>
      <c r="B3365" s="9" t="s">
        <v>13284</v>
      </c>
      <c r="C3365" s="9" t="s">
        <v>13284</v>
      </c>
      <c r="D3365" s="9" t="s">
        <v>13284</v>
      </c>
      <c r="E3365" s="9" t="s">
        <v>13284</v>
      </c>
      <c r="F3365" s="9" t="s">
        <v>13284</v>
      </c>
      <c r="G3365" s="9" t="s">
        <v>13284</v>
      </c>
      <c r="H3365" s="9" t="s">
        <v>13284</v>
      </c>
      <c r="I3365" s="9" t="s">
        <v>13284</v>
      </c>
      <c r="J3365" s="9" t="s">
        <v>13284</v>
      </c>
      <c r="K3365" s="9" t="s">
        <v>13284</v>
      </c>
      <c r="L3365" s="9" t="s">
        <v>13284</v>
      </c>
      <c r="M3365" s="9" t="s">
        <v>13284</v>
      </c>
      <c r="N3365" s="9" t="s">
        <v>13284</v>
      </c>
      <c r="O3365" s="9" t="s">
        <v>13284</v>
      </c>
      <c r="P3365" s="9" t="s">
        <v>13284</v>
      </c>
      <c r="Q3365" s="9" t="s">
        <v>13284</v>
      </c>
      <c r="R3365" s="9" t="s">
        <v>13284</v>
      </c>
      <c r="S3365" s="9" t="s">
        <v>13284</v>
      </c>
      <c r="T3365" s="9" t="str">
        <f ca="1">IFERROR(IF(AND(VLOOKUP(A3365, 'Актуальное состояние (из общего'!A:C,3,0) = "", A3365 &lt;&gt; ""), "ПРОВЕРИТЬ", VLOOKUP(A3365, 'Актуальное состояние (из общего'!A:C,3,0)), "")</f>
        <v/>
      </c>
      <c r="U3365" s="9" t="s">
        <v>13284</v>
      </c>
      <c r="V3365" s="9" t="s">
        <v>13284</v>
      </c>
      <c r="W3365" s="12"/>
      <c r="X3365" s="9" t="str">
        <f t="array" ref="X3365">IFERROR(INDEX('Адреса общежитий (скрытый)'!$B$2:$B$9, MATCH(W3365, 'Адреса общежитий (скрытый)'!$A$2:$A$9, 0)), "")</f>
        <v/>
      </c>
      <c r="Y3365" s="18"/>
      <c r="Z3365" s="18"/>
      <c r="AA3365" s="18"/>
      <c r="AB3365" s="18"/>
      <c r="AC3365" s="18"/>
    </row>
    <row r="3366" spans="1:29" ht="32.25" hidden="1" customHeight="1">
      <c r="A3366" s="17"/>
      <c r="B3366" s="9" t="s">
        <v>13284</v>
      </c>
      <c r="C3366" s="9" t="s">
        <v>13284</v>
      </c>
      <c r="D3366" s="9" t="s">
        <v>13284</v>
      </c>
      <c r="E3366" s="9" t="s">
        <v>13284</v>
      </c>
      <c r="F3366" s="9" t="s">
        <v>13284</v>
      </c>
      <c r="G3366" s="9" t="s">
        <v>13284</v>
      </c>
      <c r="H3366" s="9" t="s">
        <v>13284</v>
      </c>
      <c r="I3366" s="9" t="s">
        <v>13284</v>
      </c>
      <c r="J3366" s="9" t="s">
        <v>13284</v>
      </c>
      <c r="K3366" s="9" t="s">
        <v>13284</v>
      </c>
      <c r="L3366" s="9" t="s">
        <v>13284</v>
      </c>
      <c r="M3366" s="9" t="s">
        <v>13284</v>
      </c>
      <c r="N3366" s="9" t="s">
        <v>13284</v>
      </c>
      <c r="O3366" s="9" t="s">
        <v>13284</v>
      </c>
      <c r="P3366" s="9" t="s">
        <v>13284</v>
      </c>
      <c r="Q3366" s="9" t="s">
        <v>13284</v>
      </c>
      <c r="R3366" s="9" t="s">
        <v>13284</v>
      </c>
      <c r="S3366" s="9" t="s">
        <v>13284</v>
      </c>
      <c r="T3366" s="9" t="str">
        <f ca="1">IFERROR(IF(AND(VLOOKUP(A3366, 'Актуальное состояние (из общего'!A:C,3,0) = "", A3366 &lt;&gt; ""), "ПРОВЕРИТЬ", VLOOKUP(A3366, 'Актуальное состояние (из общего'!A:C,3,0)), "")</f>
        <v/>
      </c>
      <c r="U3366" s="9" t="s">
        <v>13284</v>
      </c>
      <c r="V3366" s="9" t="s">
        <v>13284</v>
      </c>
      <c r="W3366" s="12"/>
      <c r="X3366" s="9" t="str">
        <f t="array" ref="X3366">IFERROR(INDEX('Адреса общежитий (скрытый)'!$B$2:$B$9, MATCH(W3366, 'Адреса общежитий (скрытый)'!$A$2:$A$9, 0)), "")</f>
        <v/>
      </c>
      <c r="Y3366" s="18"/>
      <c r="Z3366" s="18"/>
      <c r="AA3366" s="18"/>
      <c r="AB3366" s="18"/>
      <c r="AC3366" s="18"/>
    </row>
    <row r="3367" spans="1:29" ht="32.25" hidden="1" customHeight="1">
      <c r="A3367" s="17"/>
      <c r="B3367" s="9" t="s">
        <v>13284</v>
      </c>
      <c r="C3367" s="9" t="s">
        <v>13284</v>
      </c>
      <c r="D3367" s="9" t="s">
        <v>13284</v>
      </c>
      <c r="E3367" s="9" t="s">
        <v>13284</v>
      </c>
      <c r="F3367" s="9" t="s">
        <v>13284</v>
      </c>
      <c r="G3367" s="9" t="s">
        <v>13284</v>
      </c>
      <c r="H3367" s="9" t="s">
        <v>13284</v>
      </c>
      <c r="I3367" s="9" t="s">
        <v>13284</v>
      </c>
      <c r="J3367" s="9" t="s">
        <v>13284</v>
      </c>
      <c r="K3367" s="9" t="s">
        <v>13284</v>
      </c>
      <c r="L3367" s="9" t="s">
        <v>13284</v>
      </c>
      <c r="M3367" s="9" t="s">
        <v>13284</v>
      </c>
      <c r="N3367" s="9" t="s">
        <v>13284</v>
      </c>
      <c r="O3367" s="9" t="s">
        <v>13284</v>
      </c>
      <c r="P3367" s="9" t="s">
        <v>13284</v>
      </c>
      <c r="Q3367" s="9" t="s">
        <v>13284</v>
      </c>
      <c r="R3367" s="9" t="s">
        <v>13284</v>
      </c>
      <c r="S3367" s="9" t="s">
        <v>13284</v>
      </c>
      <c r="T3367" s="9" t="str">
        <f ca="1">IFERROR(IF(AND(VLOOKUP(A3367, 'Актуальное состояние (из общего'!A:C,3,0) = "", A3367 &lt;&gt; ""), "ПРОВЕРИТЬ", VLOOKUP(A3367, 'Актуальное состояние (из общего'!A:C,3,0)), "")</f>
        <v/>
      </c>
      <c r="U3367" s="9" t="s">
        <v>13284</v>
      </c>
      <c r="V3367" s="9" t="s">
        <v>13284</v>
      </c>
      <c r="W3367" s="12"/>
      <c r="X3367" s="9" t="str">
        <f t="array" ref="X3367">IFERROR(INDEX('Адреса общежитий (скрытый)'!$B$2:$B$9, MATCH(W3367, 'Адреса общежитий (скрытый)'!$A$2:$A$9, 0)), "")</f>
        <v/>
      </c>
      <c r="Y3367" s="18"/>
      <c r="Z3367" s="18"/>
      <c r="AA3367" s="18"/>
      <c r="AB3367" s="18"/>
      <c r="AC3367" s="18"/>
    </row>
    <row r="3368" spans="1:29" ht="32.25" hidden="1" customHeight="1">
      <c r="A3368" s="17"/>
      <c r="B3368" s="9" t="s">
        <v>13284</v>
      </c>
      <c r="C3368" s="9" t="s">
        <v>13284</v>
      </c>
      <c r="D3368" s="9" t="s">
        <v>13284</v>
      </c>
      <c r="E3368" s="9" t="s">
        <v>13284</v>
      </c>
      <c r="F3368" s="9" t="s">
        <v>13284</v>
      </c>
      <c r="G3368" s="9" t="s">
        <v>13284</v>
      </c>
      <c r="H3368" s="9" t="s">
        <v>13284</v>
      </c>
      <c r="I3368" s="9" t="s">
        <v>13284</v>
      </c>
      <c r="J3368" s="9" t="s">
        <v>13284</v>
      </c>
      <c r="K3368" s="9" t="s">
        <v>13284</v>
      </c>
      <c r="L3368" s="9" t="s">
        <v>13284</v>
      </c>
      <c r="M3368" s="9" t="s">
        <v>13284</v>
      </c>
      <c r="N3368" s="9" t="s">
        <v>13284</v>
      </c>
      <c r="O3368" s="9" t="s">
        <v>13284</v>
      </c>
      <c r="P3368" s="9" t="s">
        <v>13284</v>
      </c>
      <c r="Q3368" s="9" t="s">
        <v>13284</v>
      </c>
      <c r="R3368" s="9" t="s">
        <v>13284</v>
      </c>
      <c r="S3368" s="9" t="s">
        <v>13284</v>
      </c>
      <c r="T3368" s="9" t="str">
        <f ca="1">IFERROR(IF(AND(VLOOKUP(A3368, 'Актуальное состояние (из общего'!A:C,3,0) = "", A3368 &lt;&gt; ""), "ПРОВЕРИТЬ", VLOOKUP(A3368, 'Актуальное состояние (из общего'!A:C,3,0)), "")</f>
        <v/>
      </c>
      <c r="U3368" s="9" t="s">
        <v>13284</v>
      </c>
      <c r="V3368" s="9" t="s">
        <v>13284</v>
      </c>
      <c r="W3368" s="12"/>
      <c r="X3368" s="9" t="str">
        <f t="array" ref="X3368">IFERROR(INDEX('Адреса общежитий (скрытый)'!$B$2:$B$9, MATCH(W3368, 'Адреса общежитий (скрытый)'!$A$2:$A$9, 0)), "")</f>
        <v/>
      </c>
      <c r="Y3368" s="18"/>
      <c r="Z3368" s="18"/>
      <c r="AA3368" s="18"/>
      <c r="AB3368" s="18"/>
      <c r="AC3368" s="18"/>
    </row>
    <row r="3369" spans="1:29" ht="32.25" hidden="1" customHeight="1">
      <c r="A3369" s="17"/>
      <c r="B3369" s="9" t="s">
        <v>13284</v>
      </c>
      <c r="C3369" s="9" t="s">
        <v>13284</v>
      </c>
      <c r="D3369" s="9" t="s">
        <v>13284</v>
      </c>
      <c r="E3369" s="9" t="s">
        <v>13284</v>
      </c>
      <c r="F3369" s="9" t="s">
        <v>13284</v>
      </c>
      <c r="G3369" s="9" t="s">
        <v>13284</v>
      </c>
      <c r="H3369" s="9" t="s">
        <v>13284</v>
      </c>
      <c r="I3369" s="9" t="s">
        <v>13284</v>
      </c>
      <c r="J3369" s="9" t="s">
        <v>13284</v>
      </c>
      <c r="K3369" s="9" t="s">
        <v>13284</v>
      </c>
      <c r="L3369" s="9" t="s">
        <v>13284</v>
      </c>
      <c r="M3369" s="9" t="s">
        <v>13284</v>
      </c>
      <c r="N3369" s="9" t="s">
        <v>13284</v>
      </c>
      <c r="O3369" s="9" t="s">
        <v>13284</v>
      </c>
      <c r="P3369" s="9" t="s">
        <v>13284</v>
      </c>
      <c r="Q3369" s="9" t="s">
        <v>13284</v>
      </c>
      <c r="R3369" s="9" t="s">
        <v>13284</v>
      </c>
      <c r="S3369" s="9" t="s">
        <v>13284</v>
      </c>
      <c r="T3369" s="9" t="str">
        <f ca="1">IFERROR(IF(AND(VLOOKUP(A3369, 'Актуальное состояние (из общего'!A:C,3,0) = "", A3369 &lt;&gt; ""), "ПРОВЕРИТЬ", VLOOKUP(A3369, 'Актуальное состояние (из общего'!A:C,3,0)), "")</f>
        <v/>
      </c>
      <c r="U3369" s="9" t="s">
        <v>13284</v>
      </c>
      <c r="V3369" s="9" t="s">
        <v>13284</v>
      </c>
      <c r="W3369" s="12"/>
      <c r="X3369" s="9" t="str">
        <f t="array" ref="X3369">IFERROR(INDEX('Адреса общежитий (скрытый)'!$B$2:$B$9, MATCH(W3369, 'Адреса общежитий (скрытый)'!$A$2:$A$9, 0)), "")</f>
        <v/>
      </c>
      <c r="Y3369" s="18"/>
      <c r="Z3369" s="18"/>
      <c r="AA3369" s="18"/>
      <c r="AB3369" s="18"/>
      <c r="AC3369" s="18"/>
    </row>
    <row r="3370" spans="1:29" ht="32.25" hidden="1" customHeight="1">
      <c r="A3370" s="17"/>
      <c r="B3370" s="9" t="s">
        <v>13284</v>
      </c>
      <c r="C3370" s="9" t="s">
        <v>13284</v>
      </c>
      <c r="D3370" s="9" t="s">
        <v>13284</v>
      </c>
      <c r="E3370" s="9" t="s">
        <v>13284</v>
      </c>
      <c r="F3370" s="9" t="s">
        <v>13284</v>
      </c>
      <c r="G3370" s="9" t="s">
        <v>13284</v>
      </c>
      <c r="H3370" s="9" t="s">
        <v>13284</v>
      </c>
      <c r="I3370" s="9" t="s">
        <v>13284</v>
      </c>
      <c r="J3370" s="9" t="s">
        <v>13284</v>
      </c>
      <c r="K3370" s="9" t="s">
        <v>13284</v>
      </c>
      <c r="L3370" s="9" t="s">
        <v>13284</v>
      </c>
      <c r="M3370" s="9" t="s">
        <v>13284</v>
      </c>
      <c r="N3370" s="9" t="s">
        <v>13284</v>
      </c>
      <c r="O3370" s="9" t="s">
        <v>13284</v>
      </c>
      <c r="P3370" s="9" t="s">
        <v>13284</v>
      </c>
      <c r="Q3370" s="9" t="s">
        <v>13284</v>
      </c>
      <c r="R3370" s="9" t="s">
        <v>13284</v>
      </c>
      <c r="S3370" s="9" t="s">
        <v>13284</v>
      </c>
      <c r="T3370" s="9" t="str">
        <f ca="1">IFERROR(IF(AND(VLOOKUP(A3370, 'Актуальное состояние (из общего'!A:C,3,0) = "", A3370 &lt;&gt; ""), "ПРОВЕРИТЬ", VLOOKUP(A3370, 'Актуальное состояние (из общего'!A:C,3,0)), "")</f>
        <v/>
      </c>
      <c r="U3370" s="9" t="s">
        <v>13284</v>
      </c>
      <c r="V3370" s="9" t="s">
        <v>13284</v>
      </c>
      <c r="W3370" s="12"/>
      <c r="X3370" s="9" t="str">
        <f t="array" ref="X3370">IFERROR(INDEX('Адреса общежитий (скрытый)'!$B$2:$B$9, MATCH(W3370, 'Адреса общежитий (скрытый)'!$A$2:$A$9, 0)), "")</f>
        <v/>
      </c>
      <c r="Y3370" s="18"/>
      <c r="Z3370" s="18"/>
      <c r="AA3370" s="18"/>
      <c r="AB3370" s="18"/>
      <c r="AC3370" s="18"/>
    </row>
    <row r="3371" spans="1:29" ht="32.25" hidden="1" customHeight="1">
      <c r="A3371" s="17"/>
      <c r="B3371" s="9" t="s">
        <v>13284</v>
      </c>
      <c r="C3371" s="9" t="s">
        <v>13284</v>
      </c>
      <c r="D3371" s="9" t="s">
        <v>13284</v>
      </c>
      <c r="E3371" s="9" t="s">
        <v>13284</v>
      </c>
      <c r="F3371" s="9" t="s">
        <v>13284</v>
      </c>
      <c r="G3371" s="9" t="s">
        <v>13284</v>
      </c>
      <c r="H3371" s="9" t="s">
        <v>13284</v>
      </c>
      <c r="I3371" s="9" t="s">
        <v>13284</v>
      </c>
      <c r="J3371" s="9" t="s">
        <v>13284</v>
      </c>
      <c r="K3371" s="9" t="s">
        <v>13284</v>
      </c>
      <c r="L3371" s="9" t="s">
        <v>13284</v>
      </c>
      <c r="M3371" s="9" t="s">
        <v>13284</v>
      </c>
      <c r="N3371" s="9" t="s">
        <v>13284</v>
      </c>
      <c r="O3371" s="9" t="s">
        <v>13284</v>
      </c>
      <c r="P3371" s="9" t="s">
        <v>13284</v>
      </c>
      <c r="Q3371" s="9" t="s">
        <v>13284</v>
      </c>
      <c r="R3371" s="9" t="s">
        <v>13284</v>
      </c>
      <c r="S3371" s="9" t="s">
        <v>13284</v>
      </c>
      <c r="T3371" s="9" t="str">
        <f ca="1">IFERROR(IF(AND(VLOOKUP(A3371, 'Актуальное состояние (из общего'!A:C,3,0) = "", A3371 &lt;&gt; ""), "ПРОВЕРИТЬ", VLOOKUP(A3371, 'Актуальное состояние (из общего'!A:C,3,0)), "")</f>
        <v/>
      </c>
      <c r="U3371" s="9" t="s">
        <v>13284</v>
      </c>
      <c r="V3371" s="9" t="s">
        <v>13284</v>
      </c>
      <c r="W3371" s="12"/>
      <c r="X3371" s="9" t="str">
        <f t="array" ref="X3371">IFERROR(INDEX('Адреса общежитий (скрытый)'!$B$2:$B$9, MATCH(W3371, 'Адреса общежитий (скрытый)'!$A$2:$A$9, 0)), "")</f>
        <v/>
      </c>
      <c r="Y3371" s="18"/>
      <c r="Z3371" s="18"/>
      <c r="AA3371" s="18"/>
      <c r="AB3371" s="18"/>
      <c r="AC3371" s="18"/>
    </row>
    <row r="3372" spans="1:29" ht="32.25" hidden="1" customHeight="1">
      <c r="A3372" s="17"/>
      <c r="B3372" s="9" t="s">
        <v>13284</v>
      </c>
      <c r="C3372" s="9" t="s">
        <v>13284</v>
      </c>
      <c r="D3372" s="9" t="s">
        <v>13284</v>
      </c>
      <c r="E3372" s="9" t="s">
        <v>13284</v>
      </c>
      <c r="F3372" s="9" t="s">
        <v>13284</v>
      </c>
      <c r="G3372" s="9" t="s">
        <v>13284</v>
      </c>
      <c r="H3372" s="9" t="s">
        <v>13284</v>
      </c>
      <c r="I3372" s="9" t="s">
        <v>13284</v>
      </c>
      <c r="J3372" s="9" t="s">
        <v>13284</v>
      </c>
      <c r="K3372" s="9" t="s">
        <v>13284</v>
      </c>
      <c r="L3372" s="9" t="s">
        <v>13284</v>
      </c>
      <c r="M3372" s="9" t="s">
        <v>13284</v>
      </c>
      <c r="N3372" s="9" t="s">
        <v>13284</v>
      </c>
      <c r="O3372" s="9" t="s">
        <v>13284</v>
      </c>
      <c r="P3372" s="9" t="s">
        <v>13284</v>
      </c>
      <c r="Q3372" s="9" t="s">
        <v>13284</v>
      </c>
      <c r="R3372" s="9" t="s">
        <v>13284</v>
      </c>
      <c r="S3372" s="9" t="s">
        <v>13284</v>
      </c>
      <c r="T3372" s="9" t="str">
        <f ca="1">IFERROR(IF(AND(VLOOKUP(A3372, 'Актуальное состояние (из общего'!A:C,3,0) = "", A3372 &lt;&gt; ""), "ПРОВЕРИТЬ", VLOOKUP(A3372, 'Актуальное состояние (из общего'!A:C,3,0)), "")</f>
        <v/>
      </c>
      <c r="U3372" s="9" t="s">
        <v>13284</v>
      </c>
      <c r="V3372" s="9" t="s">
        <v>13284</v>
      </c>
      <c r="W3372" s="12"/>
      <c r="X3372" s="9" t="str">
        <f t="array" ref="X3372">IFERROR(INDEX('Адреса общежитий (скрытый)'!$B$2:$B$9, MATCH(W3372, 'Адреса общежитий (скрытый)'!$A$2:$A$9, 0)), "")</f>
        <v/>
      </c>
      <c r="Y3372" s="18"/>
      <c r="Z3372" s="18"/>
      <c r="AA3372" s="18"/>
      <c r="AB3372" s="18"/>
      <c r="AC3372" s="18"/>
    </row>
    <row r="3373" spans="1:29" ht="32.25" hidden="1" customHeight="1">
      <c r="A3373" s="17"/>
      <c r="B3373" s="9" t="s">
        <v>13284</v>
      </c>
      <c r="C3373" s="9" t="s">
        <v>13284</v>
      </c>
      <c r="D3373" s="9" t="s">
        <v>13284</v>
      </c>
      <c r="E3373" s="9" t="s">
        <v>13284</v>
      </c>
      <c r="F3373" s="9" t="s">
        <v>13284</v>
      </c>
      <c r="G3373" s="9" t="s">
        <v>13284</v>
      </c>
      <c r="H3373" s="9" t="s">
        <v>13284</v>
      </c>
      <c r="I3373" s="9" t="s">
        <v>13284</v>
      </c>
      <c r="J3373" s="9" t="s">
        <v>13284</v>
      </c>
      <c r="K3373" s="9" t="s">
        <v>13284</v>
      </c>
      <c r="L3373" s="9" t="s">
        <v>13284</v>
      </c>
      <c r="M3373" s="9" t="s">
        <v>13284</v>
      </c>
      <c r="N3373" s="9" t="s">
        <v>13284</v>
      </c>
      <c r="O3373" s="9" t="s">
        <v>13284</v>
      </c>
      <c r="P3373" s="9" t="s">
        <v>13284</v>
      </c>
      <c r="Q3373" s="9" t="s">
        <v>13284</v>
      </c>
      <c r="R3373" s="9" t="s">
        <v>13284</v>
      </c>
      <c r="S3373" s="9" t="s">
        <v>13284</v>
      </c>
      <c r="T3373" s="9" t="str">
        <f ca="1">IFERROR(IF(AND(VLOOKUP(A3373, 'Актуальное состояние (из общего'!A:C,3,0) = "", A3373 &lt;&gt; ""), "ПРОВЕРИТЬ", VLOOKUP(A3373, 'Актуальное состояние (из общего'!A:C,3,0)), "")</f>
        <v/>
      </c>
      <c r="U3373" s="9" t="s">
        <v>13284</v>
      </c>
      <c r="V3373" s="9" t="s">
        <v>13284</v>
      </c>
      <c r="W3373" s="12"/>
      <c r="X3373" s="9" t="str">
        <f t="array" ref="X3373">IFERROR(INDEX('Адреса общежитий (скрытый)'!$B$2:$B$9, MATCH(W3373, 'Адреса общежитий (скрытый)'!$A$2:$A$9, 0)), "")</f>
        <v/>
      </c>
      <c r="Y3373" s="18"/>
      <c r="Z3373" s="18"/>
      <c r="AA3373" s="18"/>
      <c r="AB3373" s="18"/>
      <c r="AC3373" s="18"/>
    </row>
    <row r="3374" spans="1:29" ht="32.25" hidden="1" customHeight="1">
      <c r="A3374" s="17"/>
      <c r="B3374" s="9" t="s">
        <v>13284</v>
      </c>
      <c r="C3374" s="9" t="s">
        <v>13284</v>
      </c>
      <c r="D3374" s="9" t="s">
        <v>13284</v>
      </c>
      <c r="E3374" s="9" t="s">
        <v>13284</v>
      </c>
      <c r="F3374" s="9" t="s">
        <v>13284</v>
      </c>
      <c r="G3374" s="9" t="s">
        <v>13284</v>
      </c>
      <c r="H3374" s="9" t="s">
        <v>13284</v>
      </c>
      <c r="I3374" s="9" t="s">
        <v>13284</v>
      </c>
      <c r="J3374" s="9" t="s">
        <v>13284</v>
      </c>
      <c r="K3374" s="9" t="s">
        <v>13284</v>
      </c>
      <c r="L3374" s="9" t="s">
        <v>13284</v>
      </c>
      <c r="M3374" s="9" t="s">
        <v>13284</v>
      </c>
      <c r="N3374" s="9" t="s">
        <v>13284</v>
      </c>
      <c r="O3374" s="9" t="s">
        <v>13284</v>
      </c>
      <c r="P3374" s="9" t="s">
        <v>13284</v>
      </c>
      <c r="Q3374" s="9" t="s">
        <v>13284</v>
      </c>
      <c r="R3374" s="9" t="s">
        <v>13284</v>
      </c>
      <c r="S3374" s="9" t="s">
        <v>13284</v>
      </c>
      <c r="T3374" s="9" t="str">
        <f ca="1">IFERROR(IF(AND(VLOOKUP(A3374, 'Актуальное состояние (из общего'!A:C,3,0) = "", A3374 &lt;&gt; ""), "ПРОВЕРИТЬ", VLOOKUP(A3374, 'Актуальное состояние (из общего'!A:C,3,0)), "")</f>
        <v/>
      </c>
      <c r="U3374" s="9" t="s">
        <v>13284</v>
      </c>
      <c r="V3374" s="9" t="s">
        <v>13284</v>
      </c>
      <c r="W3374" s="12"/>
      <c r="X3374" s="9" t="str">
        <f t="array" ref="X3374">IFERROR(INDEX('Адреса общежитий (скрытый)'!$B$2:$B$9, MATCH(W3374, 'Адреса общежитий (скрытый)'!$A$2:$A$9, 0)), "")</f>
        <v/>
      </c>
      <c r="Y3374" s="18"/>
      <c r="Z3374" s="18"/>
      <c r="AA3374" s="18"/>
      <c r="AB3374" s="18"/>
      <c r="AC3374" s="18"/>
    </row>
    <row r="3375" spans="1:29" ht="32.25" hidden="1" customHeight="1">
      <c r="A3375" s="17"/>
      <c r="B3375" s="9" t="s">
        <v>13284</v>
      </c>
      <c r="C3375" s="9" t="s">
        <v>13284</v>
      </c>
      <c r="D3375" s="9" t="s">
        <v>13284</v>
      </c>
      <c r="E3375" s="9" t="s">
        <v>13284</v>
      </c>
      <c r="F3375" s="9" t="s">
        <v>13284</v>
      </c>
      <c r="G3375" s="9" t="s">
        <v>13284</v>
      </c>
      <c r="H3375" s="9" t="s">
        <v>13284</v>
      </c>
      <c r="I3375" s="9" t="s">
        <v>13284</v>
      </c>
      <c r="J3375" s="9" t="s">
        <v>13284</v>
      </c>
      <c r="K3375" s="9" t="s">
        <v>13284</v>
      </c>
      <c r="L3375" s="9" t="s">
        <v>13284</v>
      </c>
      <c r="M3375" s="9" t="s">
        <v>13284</v>
      </c>
      <c r="N3375" s="9" t="s">
        <v>13284</v>
      </c>
      <c r="O3375" s="9" t="s">
        <v>13284</v>
      </c>
      <c r="P3375" s="9" t="s">
        <v>13284</v>
      </c>
      <c r="Q3375" s="9" t="s">
        <v>13284</v>
      </c>
      <c r="R3375" s="9" t="s">
        <v>13284</v>
      </c>
      <c r="S3375" s="9" t="s">
        <v>13284</v>
      </c>
      <c r="T3375" s="9" t="str">
        <f ca="1">IFERROR(IF(AND(VLOOKUP(A3375, 'Актуальное состояние (из общего'!A:C,3,0) = "", A3375 &lt;&gt; ""), "ПРОВЕРИТЬ", VLOOKUP(A3375, 'Актуальное состояние (из общего'!A:C,3,0)), "")</f>
        <v/>
      </c>
      <c r="U3375" s="9" t="s">
        <v>13284</v>
      </c>
      <c r="V3375" s="9" t="s">
        <v>13284</v>
      </c>
      <c r="W3375" s="12"/>
      <c r="X3375" s="9" t="str">
        <f t="array" ref="X3375">IFERROR(INDEX('Адреса общежитий (скрытый)'!$B$2:$B$9, MATCH(W3375, 'Адреса общежитий (скрытый)'!$A$2:$A$9, 0)), "")</f>
        <v/>
      </c>
      <c r="Y3375" s="18"/>
      <c r="Z3375" s="18"/>
      <c r="AA3375" s="18"/>
      <c r="AB3375" s="18"/>
      <c r="AC3375" s="18"/>
    </row>
    <row r="3376" spans="1:29" ht="32.25" hidden="1" customHeight="1">
      <c r="A3376" s="17"/>
      <c r="B3376" s="9" t="s">
        <v>13284</v>
      </c>
      <c r="C3376" s="9" t="s">
        <v>13284</v>
      </c>
      <c r="D3376" s="9" t="s">
        <v>13284</v>
      </c>
      <c r="E3376" s="9" t="s">
        <v>13284</v>
      </c>
      <c r="F3376" s="9" t="s">
        <v>13284</v>
      </c>
      <c r="G3376" s="9" t="s">
        <v>13284</v>
      </c>
      <c r="H3376" s="9" t="s">
        <v>13284</v>
      </c>
      <c r="I3376" s="9" t="s">
        <v>13284</v>
      </c>
      <c r="J3376" s="9" t="s">
        <v>13284</v>
      </c>
      <c r="K3376" s="9" t="s">
        <v>13284</v>
      </c>
      <c r="L3376" s="9" t="s">
        <v>13284</v>
      </c>
      <c r="M3376" s="9" t="s">
        <v>13284</v>
      </c>
      <c r="N3376" s="9" t="s">
        <v>13284</v>
      </c>
      <c r="O3376" s="9" t="s">
        <v>13284</v>
      </c>
      <c r="P3376" s="9" t="s">
        <v>13284</v>
      </c>
      <c r="Q3376" s="9" t="s">
        <v>13284</v>
      </c>
      <c r="R3376" s="9" t="s">
        <v>13284</v>
      </c>
      <c r="S3376" s="9" t="s">
        <v>13284</v>
      </c>
      <c r="T3376" s="9" t="str">
        <f ca="1">IFERROR(IF(AND(VLOOKUP(A3376, 'Актуальное состояние (из общего'!A:C,3,0) = "", A3376 &lt;&gt; ""), "ПРОВЕРИТЬ", VLOOKUP(A3376, 'Актуальное состояние (из общего'!A:C,3,0)), "")</f>
        <v/>
      </c>
      <c r="U3376" s="9" t="s">
        <v>13284</v>
      </c>
      <c r="V3376" s="9" t="s">
        <v>13284</v>
      </c>
      <c r="W3376" s="12"/>
      <c r="X3376" s="9" t="str">
        <f t="array" ref="X3376">IFERROR(INDEX('Адреса общежитий (скрытый)'!$B$2:$B$9, MATCH(W3376, 'Адреса общежитий (скрытый)'!$A$2:$A$9, 0)), "")</f>
        <v/>
      </c>
      <c r="Y3376" s="18"/>
      <c r="Z3376" s="18"/>
      <c r="AA3376" s="18"/>
      <c r="AB3376" s="18"/>
      <c r="AC3376" s="18"/>
    </row>
    <row r="3377" spans="1:29" ht="32.25" hidden="1" customHeight="1">
      <c r="A3377" s="17"/>
      <c r="B3377" s="9" t="s">
        <v>13284</v>
      </c>
      <c r="C3377" s="9" t="s">
        <v>13284</v>
      </c>
      <c r="D3377" s="9" t="s">
        <v>13284</v>
      </c>
      <c r="E3377" s="9" t="s">
        <v>13284</v>
      </c>
      <c r="F3377" s="9" t="s">
        <v>13284</v>
      </c>
      <c r="G3377" s="9" t="s">
        <v>13284</v>
      </c>
      <c r="H3377" s="9" t="s">
        <v>13284</v>
      </c>
      <c r="I3377" s="9" t="s">
        <v>13284</v>
      </c>
      <c r="J3377" s="9" t="s">
        <v>13284</v>
      </c>
      <c r="K3377" s="9" t="s">
        <v>13284</v>
      </c>
      <c r="L3377" s="9" t="s">
        <v>13284</v>
      </c>
      <c r="M3377" s="9" t="s">
        <v>13284</v>
      </c>
      <c r="N3377" s="9" t="s">
        <v>13284</v>
      </c>
      <c r="O3377" s="9" t="s">
        <v>13284</v>
      </c>
      <c r="P3377" s="9" t="s">
        <v>13284</v>
      </c>
      <c r="Q3377" s="9" t="s">
        <v>13284</v>
      </c>
      <c r="R3377" s="9" t="s">
        <v>13284</v>
      </c>
      <c r="S3377" s="9" t="s">
        <v>13284</v>
      </c>
      <c r="T3377" s="9" t="str">
        <f ca="1">IFERROR(IF(AND(VLOOKUP(A3377, 'Актуальное состояние (из общего'!A:C,3,0) = "", A3377 &lt;&gt; ""), "ПРОВЕРИТЬ", VLOOKUP(A3377, 'Актуальное состояние (из общего'!A:C,3,0)), "")</f>
        <v/>
      </c>
      <c r="U3377" s="9" t="s">
        <v>13284</v>
      </c>
      <c r="V3377" s="9" t="s">
        <v>13284</v>
      </c>
      <c r="W3377" s="12"/>
      <c r="X3377" s="9" t="str">
        <f t="array" ref="X3377">IFERROR(INDEX('Адреса общежитий (скрытый)'!$B$2:$B$9, MATCH(W3377, 'Адреса общежитий (скрытый)'!$A$2:$A$9, 0)), "")</f>
        <v/>
      </c>
      <c r="Y3377" s="18"/>
      <c r="Z3377" s="18"/>
      <c r="AA3377" s="18"/>
      <c r="AB3377" s="18"/>
      <c r="AC3377" s="18"/>
    </row>
    <row r="3378" spans="1:29" ht="32.25" hidden="1" customHeight="1">
      <c r="A3378" s="17"/>
      <c r="B3378" s="9" t="s">
        <v>13284</v>
      </c>
      <c r="C3378" s="9" t="s">
        <v>13284</v>
      </c>
      <c r="D3378" s="9" t="s">
        <v>13284</v>
      </c>
      <c r="E3378" s="9" t="s">
        <v>13284</v>
      </c>
      <c r="F3378" s="9" t="s">
        <v>13284</v>
      </c>
      <c r="G3378" s="9" t="s">
        <v>13284</v>
      </c>
      <c r="H3378" s="9" t="s">
        <v>13284</v>
      </c>
      <c r="I3378" s="9" t="s">
        <v>13284</v>
      </c>
      <c r="J3378" s="9" t="s">
        <v>13284</v>
      </c>
      <c r="K3378" s="9" t="s">
        <v>13284</v>
      </c>
      <c r="L3378" s="9" t="s">
        <v>13284</v>
      </c>
      <c r="M3378" s="9" t="s">
        <v>13284</v>
      </c>
      <c r="N3378" s="9" t="s">
        <v>13284</v>
      </c>
      <c r="O3378" s="9" t="s">
        <v>13284</v>
      </c>
      <c r="P3378" s="9" t="s">
        <v>13284</v>
      </c>
      <c r="Q3378" s="9" t="s">
        <v>13284</v>
      </c>
      <c r="R3378" s="9" t="s">
        <v>13284</v>
      </c>
      <c r="S3378" s="9" t="s">
        <v>13284</v>
      </c>
      <c r="T3378" s="9" t="str">
        <f ca="1">IFERROR(IF(AND(VLOOKUP(A3378, 'Актуальное состояние (из общего'!A:C,3,0) = "", A3378 &lt;&gt; ""), "ПРОВЕРИТЬ", VLOOKUP(A3378, 'Актуальное состояние (из общего'!A:C,3,0)), "")</f>
        <v/>
      </c>
      <c r="U3378" s="9" t="s">
        <v>13284</v>
      </c>
      <c r="V3378" s="9" t="s">
        <v>13284</v>
      </c>
      <c r="W3378" s="12"/>
      <c r="X3378" s="9" t="str">
        <f t="array" ref="X3378">IFERROR(INDEX('Адреса общежитий (скрытый)'!$B$2:$B$9, MATCH(W3378, 'Адреса общежитий (скрытый)'!$A$2:$A$9, 0)), "")</f>
        <v/>
      </c>
      <c r="Y3378" s="18"/>
      <c r="Z3378" s="18"/>
      <c r="AA3378" s="18"/>
      <c r="AB3378" s="18"/>
      <c r="AC3378" s="18"/>
    </row>
    <row r="3379" spans="1:29" ht="32.25" hidden="1" customHeight="1">
      <c r="A3379" s="17"/>
      <c r="B3379" s="9" t="s">
        <v>13284</v>
      </c>
      <c r="C3379" s="9" t="s">
        <v>13284</v>
      </c>
      <c r="D3379" s="9" t="s">
        <v>13284</v>
      </c>
      <c r="E3379" s="9" t="s">
        <v>13284</v>
      </c>
      <c r="F3379" s="9" t="s">
        <v>13284</v>
      </c>
      <c r="G3379" s="9" t="s">
        <v>13284</v>
      </c>
      <c r="H3379" s="9" t="s">
        <v>13284</v>
      </c>
      <c r="I3379" s="9" t="s">
        <v>13284</v>
      </c>
      <c r="J3379" s="9" t="s">
        <v>13284</v>
      </c>
      <c r="K3379" s="9" t="s">
        <v>13284</v>
      </c>
      <c r="L3379" s="9" t="s">
        <v>13284</v>
      </c>
      <c r="M3379" s="9" t="s">
        <v>13284</v>
      </c>
      <c r="N3379" s="9" t="s">
        <v>13284</v>
      </c>
      <c r="O3379" s="9" t="s">
        <v>13284</v>
      </c>
      <c r="P3379" s="9" t="s">
        <v>13284</v>
      </c>
      <c r="Q3379" s="9" t="s">
        <v>13284</v>
      </c>
      <c r="R3379" s="9" t="s">
        <v>13284</v>
      </c>
      <c r="S3379" s="9" t="s">
        <v>13284</v>
      </c>
      <c r="T3379" s="9" t="str">
        <f ca="1">IFERROR(IF(AND(VLOOKUP(A3379, 'Актуальное состояние (из общего'!A:C,3,0) = "", A3379 &lt;&gt; ""), "ПРОВЕРИТЬ", VLOOKUP(A3379, 'Актуальное состояние (из общего'!A:C,3,0)), "")</f>
        <v/>
      </c>
      <c r="U3379" s="9" t="s">
        <v>13284</v>
      </c>
      <c r="V3379" s="9" t="s">
        <v>13284</v>
      </c>
      <c r="W3379" s="12"/>
      <c r="X3379" s="9" t="str">
        <f t="array" ref="X3379">IFERROR(INDEX('Адреса общежитий (скрытый)'!$B$2:$B$9, MATCH(W3379, 'Адреса общежитий (скрытый)'!$A$2:$A$9, 0)), "")</f>
        <v/>
      </c>
      <c r="Y3379" s="18"/>
      <c r="Z3379" s="18"/>
      <c r="AA3379" s="18"/>
      <c r="AB3379" s="18"/>
      <c r="AC3379" s="18"/>
    </row>
    <row r="3380" spans="1:29" ht="32.25" hidden="1" customHeight="1">
      <c r="A3380" s="17"/>
      <c r="B3380" s="9" t="s">
        <v>13284</v>
      </c>
      <c r="C3380" s="9" t="s">
        <v>13284</v>
      </c>
      <c r="D3380" s="9" t="s">
        <v>13284</v>
      </c>
      <c r="E3380" s="9" t="s">
        <v>13284</v>
      </c>
      <c r="F3380" s="9" t="s">
        <v>13284</v>
      </c>
      <c r="G3380" s="9" t="s">
        <v>13284</v>
      </c>
      <c r="H3380" s="9" t="s">
        <v>13284</v>
      </c>
      <c r="I3380" s="9" t="s">
        <v>13284</v>
      </c>
      <c r="J3380" s="9" t="s">
        <v>13284</v>
      </c>
      <c r="K3380" s="9" t="s">
        <v>13284</v>
      </c>
      <c r="L3380" s="9" t="s">
        <v>13284</v>
      </c>
      <c r="M3380" s="9" t="s">
        <v>13284</v>
      </c>
      <c r="N3380" s="9" t="s">
        <v>13284</v>
      </c>
      <c r="O3380" s="9" t="s">
        <v>13284</v>
      </c>
      <c r="P3380" s="9" t="s">
        <v>13284</v>
      </c>
      <c r="Q3380" s="9" t="s">
        <v>13284</v>
      </c>
      <c r="R3380" s="9" t="s">
        <v>13284</v>
      </c>
      <c r="S3380" s="9" t="s">
        <v>13284</v>
      </c>
      <c r="T3380" s="9" t="str">
        <f ca="1">IFERROR(IF(AND(VLOOKUP(A3380, 'Актуальное состояние (из общего'!A:C,3,0) = "", A3380 &lt;&gt; ""), "ПРОВЕРИТЬ", VLOOKUP(A3380, 'Актуальное состояние (из общего'!A:C,3,0)), "")</f>
        <v/>
      </c>
      <c r="U3380" s="9" t="s">
        <v>13284</v>
      </c>
      <c r="V3380" s="9" t="s">
        <v>13284</v>
      </c>
      <c r="W3380" s="12"/>
      <c r="X3380" s="9" t="str">
        <f t="array" ref="X3380">IFERROR(INDEX('Адреса общежитий (скрытый)'!$B$2:$B$9, MATCH(W3380, 'Адреса общежитий (скрытый)'!$A$2:$A$9, 0)), "")</f>
        <v/>
      </c>
      <c r="Y3380" s="18"/>
      <c r="Z3380" s="18"/>
      <c r="AA3380" s="18"/>
      <c r="AB3380" s="18"/>
      <c r="AC3380" s="18"/>
    </row>
    <row r="3381" spans="1:29" ht="32.25" hidden="1" customHeight="1">
      <c r="A3381" s="17"/>
      <c r="B3381" s="9" t="s">
        <v>13284</v>
      </c>
      <c r="C3381" s="9" t="s">
        <v>13284</v>
      </c>
      <c r="D3381" s="9" t="s">
        <v>13284</v>
      </c>
      <c r="E3381" s="9" t="s">
        <v>13284</v>
      </c>
      <c r="F3381" s="9" t="s">
        <v>13284</v>
      </c>
      <c r="G3381" s="9" t="s">
        <v>13284</v>
      </c>
      <c r="H3381" s="9" t="s">
        <v>13284</v>
      </c>
      <c r="I3381" s="9" t="s">
        <v>13284</v>
      </c>
      <c r="J3381" s="9" t="s">
        <v>13284</v>
      </c>
      <c r="K3381" s="9" t="s">
        <v>13284</v>
      </c>
      <c r="L3381" s="9" t="s">
        <v>13284</v>
      </c>
      <c r="M3381" s="9" t="s">
        <v>13284</v>
      </c>
      <c r="N3381" s="9" t="s">
        <v>13284</v>
      </c>
      <c r="O3381" s="9" t="s">
        <v>13284</v>
      </c>
      <c r="P3381" s="9" t="s">
        <v>13284</v>
      </c>
      <c r="Q3381" s="9" t="s">
        <v>13284</v>
      </c>
      <c r="R3381" s="9" t="s">
        <v>13284</v>
      </c>
      <c r="S3381" s="9" t="s">
        <v>13284</v>
      </c>
      <c r="T3381" s="9" t="str">
        <f ca="1">IFERROR(IF(AND(VLOOKUP(A3381, 'Актуальное состояние (из общего'!A:C,3,0) = "", A3381 &lt;&gt; ""), "ПРОВЕРИТЬ", VLOOKUP(A3381, 'Актуальное состояние (из общего'!A:C,3,0)), "")</f>
        <v/>
      </c>
      <c r="U3381" s="9" t="s">
        <v>13284</v>
      </c>
      <c r="V3381" s="9" t="s">
        <v>13284</v>
      </c>
      <c r="W3381" s="12"/>
      <c r="X3381" s="9" t="str">
        <f t="array" ref="X3381">IFERROR(INDEX('Адреса общежитий (скрытый)'!$B$2:$B$9, MATCH(W3381, 'Адреса общежитий (скрытый)'!$A$2:$A$9, 0)), "")</f>
        <v/>
      </c>
      <c r="Y3381" s="18"/>
      <c r="Z3381" s="18"/>
      <c r="AA3381" s="18"/>
      <c r="AB3381" s="18"/>
      <c r="AC3381" s="18"/>
    </row>
    <row r="3382" spans="1:29" ht="32.25" hidden="1" customHeight="1">
      <c r="A3382" s="17"/>
      <c r="B3382" s="9" t="s">
        <v>13284</v>
      </c>
      <c r="C3382" s="9" t="s">
        <v>13284</v>
      </c>
      <c r="D3382" s="9" t="s">
        <v>13284</v>
      </c>
      <c r="E3382" s="9" t="s">
        <v>13284</v>
      </c>
      <c r="F3382" s="9" t="s">
        <v>13284</v>
      </c>
      <c r="G3382" s="9" t="s">
        <v>13284</v>
      </c>
      <c r="H3382" s="9" t="s">
        <v>13284</v>
      </c>
      <c r="I3382" s="9" t="s">
        <v>13284</v>
      </c>
      <c r="J3382" s="9" t="s">
        <v>13284</v>
      </c>
      <c r="K3382" s="9" t="s">
        <v>13284</v>
      </c>
      <c r="L3382" s="9" t="s">
        <v>13284</v>
      </c>
      <c r="M3382" s="9" t="s">
        <v>13284</v>
      </c>
      <c r="N3382" s="9" t="s">
        <v>13284</v>
      </c>
      <c r="O3382" s="9" t="s">
        <v>13284</v>
      </c>
      <c r="P3382" s="9" t="s">
        <v>13284</v>
      </c>
      <c r="Q3382" s="9" t="s">
        <v>13284</v>
      </c>
      <c r="R3382" s="9" t="s">
        <v>13284</v>
      </c>
      <c r="S3382" s="9" t="s">
        <v>13284</v>
      </c>
      <c r="T3382" s="9" t="str">
        <f ca="1">IFERROR(IF(AND(VLOOKUP(A3382, 'Актуальное состояние (из общего'!A:C,3,0) = "", A3382 &lt;&gt; ""), "ПРОВЕРИТЬ", VLOOKUP(A3382, 'Актуальное состояние (из общего'!A:C,3,0)), "")</f>
        <v/>
      </c>
      <c r="U3382" s="9" t="s">
        <v>13284</v>
      </c>
      <c r="V3382" s="9" t="s">
        <v>13284</v>
      </c>
      <c r="W3382" s="12"/>
      <c r="X3382" s="9" t="str">
        <f t="array" ref="X3382">IFERROR(INDEX('Адреса общежитий (скрытый)'!$B$2:$B$9, MATCH(W3382, 'Адреса общежитий (скрытый)'!$A$2:$A$9, 0)), "")</f>
        <v/>
      </c>
      <c r="Y3382" s="18"/>
      <c r="Z3382" s="18"/>
      <c r="AA3382" s="18"/>
      <c r="AB3382" s="18"/>
      <c r="AC3382" s="18"/>
    </row>
    <row r="3383" spans="1:29" ht="32.25" hidden="1" customHeight="1">
      <c r="A3383" s="17"/>
      <c r="B3383" s="9" t="s">
        <v>13284</v>
      </c>
      <c r="C3383" s="9" t="s">
        <v>13284</v>
      </c>
      <c r="D3383" s="9" t="s">
        <v>13284</v>
      </c>
      <c r="E3383" s="9" t="s">
        <v>13284</v>
      </c>
      <c r="F3383" s="9" t="s">
        <v>13284</v>
      </c>
      <c r="G3383" s="9" t="s">
        <v>13284</v>
      </c>
      <c r="H3383" s="9" t="s">
        <v>13284</v>
      </c>
      <c r="I3383" s="9" t="s">
        <v>13284</v>
      </c>
      <c r="J3383" s="9" t="s">
        <v>13284</v>
      </c>
      <c r="K3383" s="9" t="s">
        <v>13284</v>
      </c>
      <c r="L3383" s="9" t="s">
        <v>13284</v>
      </c>
      <c r="M3383" s="9" t="s">
        <v>13284</v>
      </c>
      <c r="N3383" s="9" t="s">
        <v>13284</v>
      </c>
      <c r="O3383" s="9" t="s">
        <v>13284</v>
      </c>
      <c r="P3383" s="9" t="s">
        <v>13284</v>
      </c>
      <c r="Q3383" s="9" t="s">
        <v>13284</v>
      </c>
      <c r="R3383" s="9" t="s">
        <v>13284</v>
      </c>
      <c r="S3383" s="9" t="s">
        <v>13284</v>
      </c>
      <c r="T3383" s="9" t="str">
        <f ca="1">IFERROR(IF(AND(VLOOKUP(A3383, 'Актуальное состояние (из общего'!A:C,3,0) = "", A3383 &lt;&gt; ""), "ПРОВЕРИТЬ", VLOOKUP(A3383, 'Актуальное состояние (из общего'!A:C,3,0)), "")</f>
        <v/>
      </c>
      <c r="U3383" s="9" t="s">
        <v>13284</v>
      </c>
      <c r="V3383" s="9" t="s">
        <v>13284</v>
      </c>
      <c r="W3383" s="12"/>
      <c r="X3383" s="9" t="str">
        <f t="array" ref="X3383">IFERROR(INDEX('Адреса общежитий (скрытый)'!$B$2:$B$9, MATCH(W3383, 'Адреса общежитий (скрытый)'!$A$2:$A$9, 0)), "")</f>
        <v/>
      </c>
      <c r="Y3383" s="18"/>
      <c r="Z3383" s="18"/>
      <c r="AA3383" s="18"/>
      <c r="AB3383" s="18"/>
      <c r="AC3383" s="18"/>
    </row>
    <row r="3384" spans="1:29" ht="32.25" hidden="1" customHeight="1">
      <c r="A3384" s="17"/>
      <c r="B3384" s="9" t="s">
        <v>13284</v>
      </c>
      <c r="C3384" s="9" t="s">
        <v>13284</v>
      </c>
      <c r="D3384" s="9" t="s">
        <v>13284</v>
      </c>
      <c r="E3384" s="9" t="s">
        <v>13284</v>
      </c>
      <c r="F3384" s="9" t="s">
        <v>13284</v>
      </c>
      <c r="G3384" s="9" t="s">
        <v>13284</v>
      </c>
      <c r="H3384" s="9" t="s">
        <v>13284</v>
      </c>
      <c r="I3384" s="9" t="s">
        <v>13284</v>
      </c>
      <c r="J3384" s="9" t="s">
        <v>13284</v>
      </c>
      <c r="K3384" s="9" t="s">
        <v>13284</v>
      </c>
      <c r="L3384" s="9" t="s">
        <v>13284</v>
      </c>
      <c r="M3384" s="9" t="s">
        <v>13284</v>
      </c>
      <c r="N3384" s="9" t="s">
        <v>13284</v>
      </c>
      <c r="O3384" s="9" t="s">
        <v>13284</v>
      </c>
      <c r="P3384" s="9" t="s">
        <v>13284</v>
      </c>
      <c r="Q3384" s="9" t="s">
        <v>13284</v>
      </c>
      <c r="R3384" s="9" t="s">
        <v>13284</v>
      </c>
      <c r="S3384" s="9" t="s">
        <v>13284</v>
      </c>
      <c r="T3384" s="9" t="str">
        <f ca="1">IFERROR(IF(AND(VLOOKUP(A3384, 'Актуальное состояние (из общего'!A:C,3,0) = "", A3384 &lt;&gt; ""), "ПРОВЕРИТЬ", VLOOKUP(A3384, 'Актуальное состояние (из общего'!A:C,3,0)), "")</f>
        <v/>
      </c>
      <c r="U3384" s="9" t="s">
        <v>13284</v>
      </c>
      <c r="V3384" s="9" t="s">
        <v>13284</v>
      </c>
      <c r="W3384" s="12"/>
      <c r="X3384" s="9" t="str">
        <f t="array" ref="X3384">IFERROR(INDEX('Адреса общежитий (скрытый)'!$B$2:$B$9, MATCH(W3384, 'Адреса общежитий (скрытый)'!$A$2:$A$9, 0)), "")</f>
        <v/>
      </c>
      <c r="Y3384" s="18"/>
      <c r="Z3384" s="18"/>
      <c r="AA3384" s="18"/>
      <c r="AB3384" s="18"/>
      <c r="AC3384" s="18"/>
    </row>
    <row r="3385" spans="1:29" ht="32.25" hidden="1" customHeight="1">
      <c r="A3385" s="17"/>
      <c r="B3385" s="9" t="s">
        <v>13284</v>
      </c>
      <c r="C3385" s="9" t="s">
        <v>13284</v>
      </c>
      <c r="D3385" s="9" t="s">
        <v>13284</v>
      </c>
      <c r="E3385" s="9" t="s">
        <v>13284</v>
      </c>
      <c r="F3385" s="9" t="s">
        <v>13284</v>
      </c>
      <c r="G3385" s="9" t="s">
        <v>13284</v>
      </c>
      <c r="H3385" s="9" t="s">
        <v>13284</v>
      </c>
      <c r="I3385" s="9" t="s">
        <v>13284</v>
      </c>
      <c r="J3385" s="9" t="s">
        <v>13284</v>
      </c>
      <c r="K3385" s="9" t="s">
        <v>13284</v>
      </c>
      <c r="L3385" s="9" t="s">
        <v>13284</v>
      </c>
      <c r="M3385" s="9" t="s">
        <v>13284</v>
      </c>
      <c r="N3385" s="9" t="s">
        <v>13284</v>
      </c>
      <c r="O3385" s="9" t="s">
        <v>13284</v>
      </c>
      <c r="P3385" s="9" t="s">
        <v>13284</v>
      </c>
      <c r="Q3385" s="9" t="s">
        <v>13284</v>
      </c>
      <c r="R3385" s="9" t="s">
        <v>13284</v>
      </c>
      <c r="S3385" s="9" t="s">
        <v>13284</v>
      </c>
      <c r="T3385" s="9" t="str">
        <f ca="1">IFERROR(IF(AND(VLOOKUP(A3385, 'Актуальное состояние (из общего'!A:C,3,0) = "", A3385 &lt;&gt; ""), "ПРОВЕРИТЬ", VLOOKUP(A3385, 'Актуальное состояние (из общего'!A:C,3,0)), "")</f>
        <v/>
      </c>
      <c r="U3385" s="9" t="s">
        <v>13284</v>
      </c>
      <c r="V3385" s="9" t="s">
        <v>13284</v>
      </c>
      <c r="W3385" s="12"/>
      <c r="X3385" s="9" t="str">
        <f t="array" ref="X3385">IFERROR(INDEX('Адреса общежитий (скрытый)'!$B$2:$B$9, MATCH(W3385, 'Адреса общежитий (скрытый)'!$A$2:$A$9, 0)), "")</f>
        <v/>
      </c>
      <c r="Y3385" s="18"/>
      <c r="Z3385" s="18"/>
      <c r="AA3385" s="18"/>
      <c r="AB3385" s="18"/>
      <c r="AC3385" s="18"/>
    </row>
    <row r="3386" spans="1:29" ht="32.25" hidden="1" customHeight="1">
      <c r="A3386" s="17"/>
      <c r="B3386" s="9" t="s">
        <v>13284</v>
      </c>
      <c r="C3386" s="9" t="s">
        <v>13284</v>
      </c>
      <c r="D3386" s="9" t="s">
        <v>13284</v>
      </c>
      <c r="E3386" s="9" t="s">
        <v>13284</v>
      </c>
      <c r="F3386" s="9" t="s">
        <v>13284</v>
      </c>
      <c r="G3386" s="9" t="s">
        <v>13284</v>
      </c>
      <c r="H3386" s="9" t="s">
        <v>13284</v>
      </c>
      <c r="I3386" s="9" t="s">
        <v>13284</v>
      </c>
      <c r="J3386" s="9" t="s">
        <v>13284</v>
      </c>
      <c r="K3386" s="9" t="s">
        <v>13284</v>
      </c>
      <c r="L3386" s="9" t="s">
        <v>13284</v>
      </c>
      <c r="M3386" s="9" t="s">
        <v>13284</v>
      </c>
      <c r="N3386" s="9" t="s">
        <v>13284</v>
      </c>
      <c r="O3386" s="9" t="s">
        <v>13284</v>
      </c>
      <c r="P3386" s="9" t="s">
        <v>13284</v>
      </c>
      <c r="Q3386" s="9" t="s">
        <v>13284</v>
      </c>
      <c r="R3386" s="9" t="s">
        <v>13284</v>
      </c>
      <c r="S3386" s="9" t="s">
        <v>13284</v>
      </c>
      <c r="T3386" s="9" t="str">
        <f ca="1">IFERROR(IF(AND(VLOOKUP(A3386, 'Актуальное состояние (из общего'!A:C,3,0) = "", A3386 &lt;&gt; ""), "ПРОВЕРИТЬ", VLOOKUP(A3386, 'Актуальное состояние (из общего'!A:C,3,0)), "")</f>
        <v/>
      </c>
      <c r="U3386" s="9" t="s">
        <v>13284</v>
      </c>
      <c r="V3386" s="9" t="s">
        <v>13284</v>
      </c>
      <c r="W3386" s="12"/>
      <c r="X3386" s="9" t="str">
        <f t="array" ref="X3386">IFERROR(INDEX('Адреса общежитий (скрытый)'!$B$2:$B$9, MATCH(W3386, 'Адреса общежитий (скрытый)'!$A$2:$A$9, 0)), "")</f>
        <v/>
      </c>
      <c r="Y3386" s="18"/>
      <c r="Z3386" s="18"/>
      <c r="AA3386" s="18"/>
      <c r="AB3386" s="18"/>
      <c r="AC3386" s="18"/>
    </row>
    <row r="3387" spans="1:29" ht="32.25" hidden="1" customHeight="1">
      <c r="A3387" s="17"/>
      <c r="B3387" s="9" t="s">
        <v>13284</v>
      </c>
      <c r="C3387" s="9" t="s">
        <v>13284</v>
      </c>
      <c r="D3387" s="9" t="s">
        <v>13284</v>
      </c>
      <c r="E3387" s="9" t="s">
        <v>13284</v>
      </c>
      <c r="F3387" s="9" t="s">
        <v>13284</v>
      </c>
      <c r="G3387" s="9" t="s">
        <v>13284</v>
      </c>
      <c r="H3387" s="9" t="s">
        <v>13284</v>
      </c>
      <c r="I3387" s="9" t="s">
        <v>13284</v>
      </c>
      <c r="J3387" s="9" t="s">
        <v>13284</v>
      </c>
      <c r="K3387" s="9" t="s">
        <v>13284</v>
      </c>
      <c r="L3387" s="9" t="s">
        <v>13284</v>
      </c>
      <c r="M3387" s="9" t="s">
        <v>13284</v>
      </c>
      <c r="N3387" s="9" t="s">
        <v>13284</v>
      </c>
      <c r="O3387" s="9" t="s">
        <v>13284</v>
      </c>
      <c r="P3387" s="9" t="s">
        <v>13284</v>
      </c>
      <c r="Q3387" s="9" t="s">
        <v>13284</v>
      </c>
      <c r="R3387" s="9" t="s">
        <v>13284</v>
      </c>
      <c r="S3387" s="9" t="s">
        <v>13284</v>
      </c>
      <c r="T3387" s="9" t="str">
        <f ca="1">IFERROR(IF(AND(VLOOKUP(A3387, 'Актуальное состояние (из общего'!A:C,3,0) = "", A3387 &lt;&gt; ""), "ПРОВЕРИТЬ", VLOOKUP(A3387, 'Актуальное состояние (из общего'!A:C,3,0)), "")</f>
        <v/>
      </c>
      <c r="U3387" s="9" t="s">
        <v>13284</v>
      </c>
      <c r="V3387" s="9" t="s">
        <v>13284</v>
      </c>
      <c r="W3387" s="12"/>
      <c r="X3387" s="9" t="str">
        <f t="array" ref="X3387">IFERROR(INDEX('Адреса общежитий (скрытый)'!$B$2:$B$9, MATCH(W3387, 'Адреса общежитий (скрытый)'!$A$2:$A$9, 0)), "")</f>
        <v/>
      </c>
      <c r="Y3387" s="18"/>
      <c r="Z3387" s="18"/>
      <c r="AA3387" s="18"/>
      <c r="AB3387" s="18"/>
      <c r="AC3387" s="18"/>
    </row>
    <row r="3388" spans="1:29" ht="32.25" hidden="1" customHeight="1">
      <c r="A3388" s="17"/>
      <c r="B3388" s="9" t="s">
        <v>13284</v>
      </c>
      <c r="C3388" s="9" t="s">
        <v>13284</v>
      </c>
      <c r="D3388" s="9" t="s">
        <v>13284</v>
      </c>
      <c r="E3388" s="9" t="s">
        <v>13284</v>
      </c>
      <c r="F3388" s="9" t="s">
        <v>13284</v>
      </c>
      <c r="G3388" s="9" t="s">
        <v>13284</v>
      </c>
      <c r="H3388" s="9" t="s">
        <v>13284</v>
      </c>
      <c r="I3388" s="9" t="s">
        <v>13284</v>
      </c>
      <c r="J3388" s="9" t="s">
        <v>13284</v>
      </c>
      <c r="K3388" s="9" t="s">
        <v>13284</v>
      </c>
      <c r="L3388" s="9" t="s">
        <v>13284</v>
      </c>
      <c r="M3388" s="9" t="s">
        <v>13284</v>
      </c>
      <c r="N3388" s="9" t="s">
        <v>13284</v>
      </c>
      <c r="O3388" s="9" t="s">
        <v>13284</v>
      </c>
      <c r="P3388" s="9" t="s">
        <v>13284</v>
      </c>
      <c r="Q3388" s="9" t="s">
        <v>13284</v>
      </c>
      <c r="R3388" s="9" t="s">
        <v>13284</v>
      </c>
      <c r="S3388" s="9" t="s">
        <v>13284</v>
      </c>
      <c r="T3388" s="9" t="str">
        <f ca="1">IFERROR(IF(AND(VLOOKUP(A3388, 'Актуальное состояние (из общего'!A:C,3,0) = "", A3388 &lt;&gt; ""), "ПРОВЕРИТЬ", VLOOKUP(A3388, 'Актуальное состояние (из общего'!A:C,3,0)), "")</f>
        <v/>
      </c>
      <c r="U3388" s="9" t="s">
        <v>13284</v>
      </c>
      <c r="V3388" s="9" t="s">
        <v>13284</v>
      </c>
      <c r="W3388" s="12"/>
      <c r="X3388" s="9" t="str">
        <f t="array" ref="X3388">IFERROR(INDEX('Адреса общежитий (скрытый)'!$B$2:$B$9, MATCH(W3388, 'Адреса общежитий (скрытый)'!$A$2:$A$9, 0)), "")</f>
        <v/>
      </c>
      <c r="Y3388" s="18"/>
      <c r="Z3388" s="18"/>
      <c r="AA3388" s="18"/>
      <c r="AB3388" s="18"/>
      <c r="AC3388" s="18"/>
    </row>
    <row r="3389" spans="1:29" ht="32.25" hidden="1" customHeight="1">
      <c r="A3389" s="17"/>
      <c r="B3389" s="9" t="s">
        <v>13284</v>
      </c>
      <c r="C3389" s="9" t="s">
        <v>13284</v>
      </c>
      <c r="D3389" s="9" t="s">
        <v>13284</v>
      </c>
      <c r="E3389" s="9" t="s">
        <v>13284</v>
      </c>
      <c r="F3389" s="9" t="s">
        <v>13284</v>
      </c>
      <c r="G3389" s="9" t="s">
        <v>13284</v>
      </c>
      <c r="H3389" s="9" t="s">
        <v>13284</v>
      </c>
      <c r="I3389" s="9" t="s">
        <v>13284</v>
      </c>
      <c r="J3389" s="9" t="s">
        <v>13284</v>
      </c>
      <c r="K3389" s="9" t="s">
        <v>13284</v>
      </c>
      <c r="L3389" s="9" t="s">
        <v>13284</v>
      </c>
      <c r="M3389" s="9" t="s">
        <v>13284</v>
      </c>
      <c r="N3389" s="9" t="s">
        <v>13284</v>
      </c>
      <c r="O3389" s="9" t="s">
        <v>13284</v>
      </c>
      <c r="P3389" s="9" t="s">
        <v>13284</v>
      </c>
      <c r="Q3389" s="9" t="s">
        <v>13284</v>
      </c>
      <c r="R3389" s="9" t="s">
        <v>13284</v>
      </c>
      <c r="S3389" s="9" t="s">
        <v>13284</v>
      </c>
      <c r="T3389" s="9" t="str">
        <f ca="1">IFERROR(IF(AND(VLOOKUP(A3389, 'Актуальное состояние (из общего'!A:C,3,0) = "", A3389 &lt;&gt; ""), "ПРОВЕРИТЬ", VLOOKUP(A3389, 'Актуальное состояние (из общего'!A:C,3,0)), "")</f>
        <v/>
      </c>
      <c r="U3389" s="9" t="s">
        <v>13284</v>
      </c>
      <c r="V3389" s="9" t="s">
        <v>13284</v>
      </c>
      <c r="W3389" s="12"/>
      <c r="X3389" s="9" t="str">
        <f t="array" ref="X3389">IFERROR(INDEX('Адреса общежитий (скрытый)'!$B$2:$B$9, MATCH(W3389, 'Адреса общежитий (скрытый)'!$A$2:$A$9, 0)), "")</f>
        <v/>
      </c>
      <c r="Y3389" s="18"/>
      <c r="Z3389" s="18"/>
      <c r="AA3389" s="18"/>
      <c r="AB3389" s="18"/>
      <c r="AC3389" s="18"/>
    </row>
    <row r="3390" spans="1:29" ht="32.25" hidden="1" customHeight="1">
      <c r="A3390" s="17"/>
      <c r="B3390" s="9" t="s">
        <v>13284</v>
      </c>
      <c r="C3390" s="9" t="s">
        <v>13284</v>
      </c>
      <c r="D3390" s="9" t="s">
        <v>13284</v>
      </c>
      <c r="E3390" s="9" t="s">
        <v>13284</v>
      </c>
      <c r="F3390" s="9" t="s">
        <v>13284</v>
      </c>
      <c r="G3390" s="9" t="s">
        <v>13284</v>
      </c>
      <c r="H3390" s="9" t="s">
        <v>13284</v>
      </c>
      <c r="I3390" s="9" t="s">
        <v>13284</v>
      </c>
      <c r="J3390" s="9" t="s">
        <v>13284</v>
      </c>
      <c r="K3390" s="9" t="s">
        <v>13284</v>
      </c>
      <c r="L3390" s="9" t="s">
        <v>13284</v>
      </c>
      <c r="M3390" s="9" t="s">
        <v>13284</v>
      </c>
      <c r="N3390" s="9" t="s">
        <v>13284</v>
      </c>
      <c r="O3390" s="9" t="s">
        <v>13284</v>
      </c>
      <c r="P3390" s="9" t="s">
        <v>13284</v>
      </c>
      <c r="Q3390" s="9" t="s">
        <v>13284</v>
      </c>
      <c r="R3390" s="9" t="s">
        <v>13284</v>
      </c>
      <c r="S3390" s="9" t="s">
        <v>13284</v>
      </c>
      <c r="T3390" s="9" t="str">
        <f ca="1">IFERROR(IF(AND(VLOOKUP(A3390, 'Актуальное состояние (из общего'!A:C,3,0) = "", A3390 &lt;&gt; ""), "ПРОВЕРИТЬ", VLOOKUP(A3390, 'Актуальное состояние (из общего'!A:C,3,0)), "")</f>
        <v/>
      </c>
      <c r="U3390" s="9" t="s">
        <v>13284</v>
      </c>
      <c r="V3390" s="9" t="s">
        <v>13284</v>
      </c>
      <c r="W3390" s="12"/>
      <c r="X3390" s="9" t="str">
        <f t="array" ref="X3390">IFERROR(INDEX('Адреса общежитий (скрытый)'!$B$2:$B$9, MATCH(W3390, 'Адреса общежитий (скрытый)'!$A$2:$A$9, 0)), "")</f>
        <v/>
      </c>
      <c r="Y3390" s="18"/>
      <c r="Z3390" s="18"/>
      <c r="AA3390" s="18"/>
      <c r="AB3390" s="18"/>
      <c r="AC3390" s="18"/>
    </row>
    <row r="3391" spans="1:29" ht="32.25" hidden="1" customHeight="1">
      <c r="A3391" s="17"/>
      <c r="B3391" s="9" t="s">
        <v>13284</v>
      </c>
      <c r="C3391" s="9" t="s">
        <v>13284</v>
      </c>
      <c r="D3391" s="9" t="s">
        <v>13284</v>
      </c>
      <c r="E3391" s="9" t="s">
        <v>13284</v>
      </c>
      <c r="F3391" s="9" t="s">
        <v>13284</v>
      </c>
      <c r="G3391" s="9" t="s">
        <v>13284</v>
      </c>
      <c r="H3391" s="9" t="s">
        <v>13284</v>
      </c>
      <c r="I3391" s="9" t="s">
        <v>13284</v>
      </c>
      <c r="J3391" s="9" t="s">
        <v>13284</v>
      </c>
      <c r="K3391" s="9" t="s">
        <v>13284</v>
      </c>
      <c r="L3391" s="9" t="s">
        <v>13284</v>
      </c>
      <c r="M3391" s="9" t="s">
        <v>13284</v>
      </c>
      <c r="N3391" s="9" t="s">
        <v>13284</v>
      </c>
      <c r="O3391" s="9" t="s">
        <v>13284</v>
      </c>
      <c r="P3391" s="9" t="s">
        <v>13284</v>
      </c>
      <c r="Q3391" s="9" t="s">
        <v>13284</v>
      </c>
      <c r="R3391" s="9" t="s">
        <v>13284</v>
      </c>
      <c r="S3391" s="9" t="s">
        <v>13284</v>
      </c>
      <c r="T3391" s="9" t="str">
        <f ca="1">IFERROR(IF(AND(VLOOKUP(A3391, 'Актуальное состояние (из общего'!A:C,3,0) = "", A3391 &lt;&gt; ""), "ПРОВЕРИТЬ", VLOOKUP(A3391, 'Актуальное состояние (из общего'!A:C,3,0)), "")</f>
        <v/>
      </c>
      <c r="U3391" s="9" t="s">
        <v>13284</v>
      </c>
      <c r="V3391" s="9" t="s">
        <v>13284</v>
      </c>
      <c r="W3391" s="12"/>
      <c r="X3391" s="9" t="str">
        <f t="array" ref="X3391">IFERROR(INDEX('Адреса общежитий (скрытый)'!$B$2:$B$9, MATCH(W3391, 'Адреса общежитий (скрытый)'!$A$2:$A$9, 0)), "")</f>
        <v/>
      </c>
      <c r="Y3391" s="18"/>
      <c r="Z3391" s="18"/>
      <c r="AA3391" s="18"/>
      <c r="AB3391" s="18"/>
      <c r="AC3391" s="18"/>
    </row>
    <row r="3392" spans="1:29" ht="32.25" hidden="1" customHeight="1">
      <c r="A3392" s="17"/>
      <c r="B3392" s="9" t="s">
        <v>13284</v>
      </c>
      <c r="C3392" s="9" t="s">
        <v>13284</v>
      </c>
      <c r="D3392" s="9" t="s">
        <v>13284</v>
      </c>
      <c r="E3392" s="9" t="s">
        <v>13284</v>
      </c>
      <c r="F3392" s="9" t="s">
        <v>13284</v>
      </c>
      <c r="G3392" s="9" t="s">
        <v>13284</v>
      </c>
      <c r="H3392" s="9" t="s">
        <v>13284</v>
      </c>
      <c r="I3392" s="9" t="s">
        <v>13284</v>
      </c>
      <c r="J3392" s="9" t="s">
        <v>13284</v>
      </c>
      <c r="K3392" s="9" t="s">
        <v>13284</v>
      </c>
      <c r="L3392" s="9" t="s">
        <v>13284</v>
      </c>
      <c r="M3392" s="9" t="s">
        <v>13284</v>
      </c>
      <c r="N3392" s="9" t="s">
        <v>13284</v>
      </c>
      <c r="O3392" s="9" t="s">
        <v>13284</v>
      </c>
      <c r="P3392" s="9" t="s">
        <v>13284</v>
      </c>
      <c r="Q3392" s="9" t="s">
        <v>13284</v>
      </c>
      <c r="R3392" s="9" t="s">
        <v>13284</v>
      </c>
      <c r="S3392" s="9" t="s">
        <v>13284</v>
      </c>
      <c r="T3392" s="9" t="str">
        <f ca="1">IFERROR(IF(AND(VLOOKUP(A3392, 'Актуальное состояние (из общего'!A:C,3,0) = "", A3392 &lt;&gt; ""), "ПРОВЕРИТЬ", VLOOKUP(A3392, 'Актуальное состояние (из общего'!A:C,3,0)), "")</f>
        <v/>
      </c>
      <c r="U3392" s="9" t="s">
        <v>13284</v>
      </c>
      <c r="V3392" s="9" t="s">
        <v>13284</v>
      </c>
      <c r="W3392" s="12"/>
      <c r="X3392" s="9" t="str">
        <f t="array" ref="X3392">IFERROR(INDEX('Адреса общежитий (скрытый)'!$B$2:$B$9, MATCH(W3392, 'Адреса общежитий (скрытый)'!$A$2:$A$9, 0)), "")</f>
        <v/>
      </c>
      <c r="Y3392" s="18"/>
      <c r="Z3392" s="18"/>
      <c r="AA3392" s="18"/>
      <c r="AB3392" s="18"/>
      <c r="AC3392" s="18"/>
    </row>
    <row r="3393" spans="1:29" ht="32.25" hidden="1" customHeight="1">
      <c r="A3393" s="17"/>
      <c r="B3393" s="9" t="s">
        <v>13284</v>
      </c>
      <c r="C3393" s="9" t="s">
        <v>13284</v>
      </c>
      <c r="D3393" s="9" t="s">
        <v>13284</v>
      </c>
      <c r="E3393" s="9" t="s">
        <v>13284</v>
      </c>
      <c r="F3393" s="9" t="s">
        <v>13284</v>
      </c>
      <c r="G3393" s="9" t="s">
        <v>13284</v>
      </c>
      <c r="H3393" s="9" t="s">
        <v>13284</v>
      </c>
      <c r="I3393" s="9" t="s">
        <v>13284</v>
      </c>
      <c r="J3393" s="9" t="s">
        <v>13284</v>
      </c>
      <c r="K3393" s="9" t="s">
        <v>13284</v>
      </c>
      <c r="L3393" s="9" t="s">
        <v>13284</v>
      </c>
      <c r="M3393" s="9" t="s">
        <v>13284</v>
      </c>
      <c r="N3393" s="9" t="s">
        <v>13284</v>
      </c>
      <c r="O3393" s="9" t="s">
        <v>13284</v>
      </c>
      <c r="P3393" s="9" t="s">
        <v>13284</v>
      </c>
      <c r="Q3393" s="9" t="s">
        <v>13284</v>
      </c>
      <c r="R3393" s="9" t="s">
        <v>13284</v>
      </c>
      <c r="S3393" s="9" t="s">
        <v>13284</v>
      </c>
      <c r="T3393" s="9" t="str">
        <f ca="1">IFERROR(IF(AND(VLOOKUP(A3393, 'Актуальное состояние (из общего'!A:C,3,0) = "", A3393 &lt;&gt; ""), "ПРОВЕРИТЬ", VLOOKUP(A3393, 'Актуальное состояние (из общего'!A:C,3,0)), "")</f>
        <v/>
      </c>
      <c r="U3393" s="9" t="s">
        <v>13284</v>
      </c>
      <c r="V3393" s="9" t="s">
        <v>13284</v>
      </c>
      <c r="W3393" s="12"/>
      <c r="X3393" s="9" t="str">
        <f t="array" ref="X3393">IFERROR(INDEX('Адреса общежитий (скрытый)'!$B$2:$B$9, MATCH(W3393, 'Адреса общежитий (скрытый)'!$A$2:$A$9, 0)), "")</f>
        <v/>
      </c>
      <c r="Y3393" s="18"/>
      <c r="Z3393" s="18"/>
      <c r="AA3393" s="18"/>
      <c r="AB3393" s="18"/>
      <c r="AC3393" s="18"/>
    </row>
    <row r="3394" spans="1:29" ht="32.25" hidden="1" customHeight="1">
      <c r="A3394" s="17"/>
      <c r="B3394" s="9" t="s">
        <v>13284</v>
      </c>
      <c r="C3394" s="9" t="s">
        <v>13284</v>
      </c>
      <c r="D3394" s="9" t="s">
        <v>13284</v>
      </c>
      <c r="E3394" s="9" t="s">
        <v>13284</v>
      </c>
      <c r="F3394" s="9" t="s">
        <v>13284</v>
      </c>
      <c r="G3394" s="9" t="s">
        <v>13284</v>
      </c>
      <c r="H3394" s="9" t="s">
        <v>13284</v>
      </c>
      <c r="I3394" s="9" t="s">
        <v>13284</v>
      </c>
      <c r="J3394" s="9" t="s">
        <v>13284</v>
      </c>
      <c r="K3394" s="9" t="s">
        <v>13284</v>
      </c>
      <c r="L3394" s="9" t="s">
        <v>13284</v>
      </c>
      <c r="M3394" s="9" t="s">
        <v>13284</v>
      </c>
      <c r="N3394" s="9" t="s">
        <v>13284</v>
      </c>
      <c r="O3394" s="9" t="s">
        <v>13284</v>
      </c>
      <c r="P3394" s="9" t="s">
        <v>13284</v>
      </c>
      <c r="Q3394" s="9" t="s">
        <v>13284</v>
      </c>
      <c r="R3394" s="9" t="s">
        <v>13284</v>
      </c>
      <c r="S3394" s="9" t="s">
        <v>13284</v>
      </c>
      <c r="T3394" s="9" t="str">
        <f ca="1">IFERROR(IF(AND(VLOOKUP(A3394, 'Актуальное состояние (из общего'!A:C,3,0) = "", A3394 &lt;&gt; ""), "ПРОВЕРИТЬ", VLOOKUP(A3394, 'Актуальное состояние (из общего'!A:C,3,0)), "")</f>
        <v/>
      </c>
      <c r="U3394" s="9" t="s">
        <v>13284</v>
      </c>
      <c r="V3394" s="9" t="s">
        <v>13284</v>
      </c>
      <c r="W3394" s="12"/>
      <c r="X3394" s="9" t="str">
        <f t="array" ref="X3394">IFERROR(INDEX('Адреса общежитий (скрытый)'!$B$2:$B$9, MATCH(W3394, 'Адреса общежитий (скрытый)'!$A$2:$A$9, 0)), "")</f>
        <v/>
      </c>
      <c r="Y3394" s="18"/>
      <c r="Z3394" s="18"/>
      <c r="AA3394" s="18"/>
      <c r="AB3394" s="18"/>
      <c r="AC3394" s="18"/>
    </row>
    <row r="3395" spans="1:29" ht="32.25" hidden="1" customHeight="1">
      <c r="A3395" s="17"/>
      <c r="B3395" s="9" t="s">
        <v>13284</v>
      </c>
      <c r="C3395" s="9" t="s">
        <v>13284</v>
      </c>
      <c r="D3395" s="9" t="s">
        <v>13284</v>
      </c>
      <c r="E3395" s="9" t="s">
        <v>13284</v>
      </c>
      <c r="F3395" s="9" t="s">
        <v>13284</v>
      </c>
      <c r="G3395" s="9" t="s">
        <v>13284</v>
      </c>
      <c r="H3395" s="9" t="s">
        <v>13284</v>
      </c>
      <c r="I3395" s="9" t="s">
        <v>13284</v>
      </c>
      <c r="J3395" s="9" t="s">
        <v>13284</v>
      </c>
      <c r="K3395" s="9" t="s">
        <v>13284</v>
      </c>
      <c r="L3395" s="9" t="s">
        <v>13284</v>
      </c>
      <c r="M3395" s="9" t="s">
        <v>13284</v>
      </c>
      <c r="N3395" s="9" t="s">
        <v>13284</v>
      </c>
      <c r="O3395" s="9" t="s">
        <v>13284</v>
      </c>
      <c r="P3395" s="9" t="s">
        <v>13284</v>
      </c>
      <c r="Q3395" s="9" t="s">
        <v>13284</v>
      </c>
      <c r="R3395" s="9" t="s">
        <v>13284</v>
      </c>
      <c r="S3395" s="9" t="s">
        <v>13284</v>
      </c>
      <c r="T3395" s="9" t="str">
        <f ca="1">IFERROR(IF(AND(VLOOKUP(A3395, 'Актуальное состояние (из общего'!A:C,3,0) = "", A3395 &lt;&gt; ""), "ПРОВЕРИТЬ", VLOOKUP(A3395, 'Актуальное состояние (из общего'!A:C,3,0)), "")</f>
        <v/>
      </c>
      <c r="U3395" s="9" t="s">
        <v>13284</v>
      </c>
      <c r="V3395" s="9" t="s">
        <v>13284</v>
      </c>
      <c r="W3395" s="12"/>
      <c r="X3395" s="9" t="str">
        <f t="array" ref="X3395">IFERROR(INDEX('Адреса общежитий (скрытый)'!$B$2:$B$9, MATCH(W3395, 'Адреса общежитий (скрытый)'!$A$2:$A$9, 0)), "")</f>
        <v/>
      </c>
      <c r="Y3395" s="18"/>
      <c r="Z3395" s="18"/>
      <c r="AA3395" s="18"/>
      <c r="AB3395" s="18"/>
      <c r="AC3395" s="18"/>
    </row>
    <row r="3396" spans="1:29" ht="32.25" hidden="1" customHeight="1">
      <c r="A3396" s="17"/>
      <c r="B3396" s="9" t="s">
        <v>13284</v>
      </c>
      <c r="C3396" s="9" t="s">
        <v>13284</v>
      </c>
      <c r="D3396" s="9" t="s">
        <v>13284</v>
      </c>
      <c r="E3396" s="9" t="s">
        <v>13284</v>
      </c>
      <c r="F3396" s="9" t="s">
        <v>13284</v>
      </c>
      <c r="G3396" s="9" t="s">
        <v>13284</v>
      </c>
      <c r="H3396" s="9" t="s">
        <v>13284</v>
      </c>
      <c r="I3396" s="9" t="s">
        <v>13284</v>
      </c>
      <c r="J3396" s="9" t="s">
        <v>13284</v>
      </c>
      <c r="K3396" s="9" t="s">
        <v>13284</v>
      </c>
      <c r="L3396" s="9" t="s">
        <v>13284</v>
      </c>
      <c r="M3396" s="9" t="s">
        <v>13284</v>
      </c>
      <c r="N3396" s="9" t="s">
        <v>13284</v>
      </c>
      <c r="O3396" s="9" t="s">
        <v>13284</v>
      </c>
      <c r="P3396" s="9" t="s">
        <v>13284</v>
      </c>
      <c r="Q3396" s="9" t="s">
        <v>13284</v>
      </c>
      <c r="R3396" s="9" t="s">
        <v>13284</v>
      </c>
      <c r="S3396" s="9" t="s">
        <v>13284</v>
      </c>
      <c r="T3396" s="9" t="str">
        <f ca="1">IFERROR(IF(AND(VLOOKUP(A3396, 'Актуальное состояние (из общего'!A:C,3,0) = "", A3396 &lt;&gt; ""), "ПРОВЕРИТЬ", VLOOKUP(A3396, 'Актуальное состояние (из общего'!A:C,3,0)), "")</f>
        <v/>
      </c>
      <c r="U3396" s="9" t="s">
        <v>13284</v>
      </c>
      <c r="V3396" s="9" t="s">
        <v>13284</v>
      </c>
      <c r="W3396" s="12"/>
      <c r="X3396" s="9" t="str">
        <f t="array" ref="X3396">IFERROR(INDEX('Адреса общежитий (скрытый)'!$B$2:$B$9, MATCH(W3396, 'Адреса общежитий (скрытый)'!$A$2:$A$9, 0)), "")</f>
        <v/>
      </c>
      <c r="Y3396" s="18"/>
      <c r="Z3396" s="18"/>
      <c r="AA3396" s="18"/>
      <c r="AB3396" s="18"/>
      <c r="AC3396" s="18"/>
    </row>
    <row r="3397" spans="1:29" ht="32.25" hidden="1" customHeight="1">
      <c r="A3397" s="17"/>
      <c r="B3397" s="9" t="s">
        <v>13284</v>
      </c>
      <c r="C3397" s="9" t="s">
        <v>13284</v>
      </c>
      <c r="D3397" s="9" t="s">
        <v>13284</v>
      </c>
      <c r="E3397" s="9" t="s">
        <v>13284</v>
      </c>
      <c r="F3397" s="9" t="s">
        <v>13284</v>
      </c>
      <c r="G3397" s="9" t="s">
        <v>13284</v>
      </c>
      <c r="H3397" s="9" t="s">
        <v>13284</v>
      </c>
      <c r="I3397" s="9" t="s">
        <v>13284</v>
      </c>
      <c r="J3397" s="9" t="s">
        <v>13284</v>
      </c>
      <c r="K3397" s="9" t="s">
        <v>13284</v>
      </c>
      <c r="L3397" s="9" t="s">
        <v>13284</v>
      </c>
      <c r="M3397" s="9" t="s">
        <v>13284</v>
      </c>
      <c r="N3397" s="9" t="s">
        <v>13284</v>
      </c>
      <c r="O3397" s="9" t="s">
        <v>13284</v>
      </c>
      <c r="P3397" s="9" t="s">
        <v>13284</v>
      </c>
      <c r="Q3397" s="9" t="s">
        <v>13284</v>
      </c>
      <c r="R3397" s="9" t="s">
        <v>13284</v>
      </c>
      <c r="S3397" s="9" t="s">
        <v>13284</v>
      </c>
      <c r="T3397" s="9" t="str">
        <f ca="1">IFERROR(IF(AND(VLOOKUP(A3397, 'Актуальное состояние (из общего'!A:C,3,0) = "", A3397 &lt;&gt; ""), "ПРОВЕРИТЬ", VLOOKUP(A3397, 'Актуальное состояние (из общего'!A:C,3,0)), "")</f>
        <v/>
      </c>
      <c r="U3397" s="9" t="s">
        <v>13284</v>
      </c>
      <c r="V3397" s="9" t="s">
        <v>13284</v>
      </c>
      <c r="W3397" s="12"/>
      <c r="X3397" s="9" t="str">
        <f t="array" ref="X3397">IFERROR(INDEX('Адреса общежитий (скрытый)'!$B$2:$B$9, MATCH(W3397, 'Адреса общежитий (скрытый)'!$A$2:$A$9, 0)), "")</f>
        <v/>
      </c>
      <c r="Y3397" s="18"/>
      <c r="Z3397" s="18"/>
      <c r="AA3397" s="18"/>
      <c r="AB3397" s="18"/>
      <c r="AC3397" s="18"/>
    </row>
    <row r="3398" spans="1:29" ht="32.25" hidden="1" customHeight="1">
      <c r="A3398" s="17"/>
      <c r="B3398" s="9" t="s">
        <v>13284</v>
      </c>
      <c r="C3398" s="9" t="s">
        <v>13284</v>
      </c>
      <c r="D3398" s="9" t="s">
        <v>13284</v>
      </c>
      <c r="E3398" s="9" t="s">
        <v>13284</v>
      </c>
      <c r="F3398" s="9" t="s">
        <v>13284</v>
      </c>
      <c r="G3398" s="9" t="s">
        <v>13284</v>
      </c>
      <c r="H3398" s="9" t="s">
        <v>13284</v>
      </c>
      <c r="I3398" s="9" t="s">
        <v>13284</v>
      </c>
      <c r="J3398" s="9" t="s">
        <v>13284</v>
      </c>
      <c r="K3398" s="9" t="s">
        <v>13284</v>
      </c>
      <c r="L3398" s="9" t="s">
        <v>13284</v>
      </c>
      <c r="M3398" s="9" t="s">
        <v>13284</v>
      </c>
      <c r="N3398" s="9" t="s">
        <v>13284</v>
      </c>
      <c r="O3398" s="9" t="s">
        <v>13284</v>
      </c>
      <c r="P3398" s="9" t="s">
        <v>13284</v>
      </c>
      <c r="Q3398" s="9" t="s">
        <v>13284</v>
      </c>
      <c r="R3398" s="9" t="s">
        <v>13284</v>
      </c>
      <c r="S3398" s="9" t="s">
        <v>13284</v>
      </c>
      <c r="T3398" s="9" t="str">
        <f ca="1">IFERROR(IF(AND(VLOOKUP(A3398, 'Актуальное состояние (из общего'!A:C,3,0) = "", A3398 &lt;&gt; ""), "ПРОВЕРИТЬ", VLOOKUP(A3398, 'Актуальное состояние (из общего'!A:C,3,0)), "")</f>
        <v/>
      </c>
      <c r="U3398" s="9" t="s">
        <v>13284</v>
      </c>
      <c r="V3398" s="9" t="s">
        <v>13284</v>
      </c>
      <c r="W3398" s="12"/>
      <c r="X3398" s="9" t="str">
        <f t="array" ref="X3398">IFERROR(INDEX('Адреса общежитий (скрытый)'!$B$2:$B$9, MATCH(W3398, 'Адреса общежитий (скрытый)'!$A$2:$A$9, 0)), "")</f>
        <v/>
      </c>
      <c r="Y3398" s="18"/>
      <c r="Z3398" s="18"/>
      <c r="AA3398" s="18"/>
      <c r="AB3398" s="18"/>
      <c r="AC3398" s="18"/>
    </row>
    <row r="3399" spans="1:29" ht="32.25" hidden="1" customHeight="1">
      <c r="A3399" s="17"/>
      <c r="B3399" s="9" t="s">
        <v>13284</v>
      </c>
      <c r="C3399" s="9" t="s">
        <v>13284</v>
      </c>
      <c r="D3399" s="9" t="s">
        <v>13284</v>
      </c>
      <c r="E3399" s="9" t="s">
        <v>13284</v>
      </c>
      <c r="F3399" s="9" t="s">
        <v>13284</v>
      </c>
      <c r="G3399" s="9" t="s">
        <v>13284</v>
      </c>
      <c r="H3399" s="9" t="s">
        <v>13284</v>
      </c>
      <c r="I3399" s="9" t="s">
        <v>13284</v>
      </c>
      <c r="J3399" s="9" t="s">
        <v>13284</v>
      </c>
      <c r="K3399" s="9" t="s">
        <v>13284</v>
      </c>
      <c r="L3399" s="9" t="s">
        <v>13284</v>
      </c>
      <c r="M3399" s="9" t="s">
        <v>13284</v>
      </c>
      <c r="N3399" s="9" t="s">
        <v>13284</v>
      </c>
      <c r="O3399" s="9" t="s">
        <v>13284</v>
      </c>
      <c r="P3399" s="9" t="s">
        <v>13284</v>
      </c>
      <c r="Q3399" s="9" t="s">
        <v>13284</v>
      </c>
      <c r="R3399" s="9" t="s">
        <v>13284</v>
      </c>
      <c r="S3399" s="9" t="s">
        <v>13284</v>
      </c>
      <c r="T3399" s="9" t="str">
        <f ca="1">IFERROR(IF(AND(VLOOKUP(A3399, 'Актуальное состояние (из общего'!A:C,3,0) = "", A3399 &lt;&gt; ""), "ПРОВЕРИТЬ", VLOOKUP(A3399, 'Актуальное состояние (из общего'!A:C,3,0)), "")</f>
        <v/>
      </c>
      <c r="U3399" s="9" t="s">
        <v>13284</v>
      </c>
      <c r="V3399" s="9" t="s">
        <v>13284</v>
      </c>
      <c r="W3399" s="12"/>
      <c r="X3399" s="9" t="str">
        <f t="array" ref="X3399">IFERROR(INDEX('Адреса общежитий (скрытый)'!$B$2:$B$9, MATCH(W3399, 'Адреса общежитий (скрытый)'!$A$2:$A$9, 0)), "")</f>
        <v/>
      </c>
      <c r="Y3399" s="18"/>
      <c r="Z3399" s="18"/>
      <c r="AA3399" s="18"/>
      <c r="AB3399" s="18"/>
      <c r="AC3399" s="18"/>
    </row>
    <row r="3400" spans="1:29" ht="32.25" hidden="1" customHeight="1">
      <c r="A3400" s="17"/>
      <c r="B3400" s="9" t="s">
        <v>13284</v>
      </c>
      <c r="C3400" s="9" t="s">
        <v>13284</v>
      </c>
      <c r="D3400" s="9" t="s">
        <v>13284</v>
      </c>
      <c r="E3400" s="9" t="s">
        <v>13284</v>
      </c>
      <c r="F3400" s="9" t="s">
        <v>13284</v>
      </c>
      <c r="G3400" s="9" t="s">
        <v>13284</v>
      </c>
      <c r="H3400" s="9" t="s">
        <v>13284</v>
      </c>
      <c r="I3400" s="9" t="s">
        <v>13284</v>
      </c>
      <c r="J3400" s="9" t="s">
        <v>13284</v>
      </c>
      <c r="K3400" s="9" t="s">
        <v>13284</v>
      </c>
      <c r="L3400" s="9" t="s">
        <v>13284</v>
      </c>
      <c r="M3400" s="9" t="s">
        <v>13284</v>
      </c>
      <c r="N3400" s="9" t="s">
        <v>13284</v>
      </c>
      <c r="O3400" s="9" t="s">
        <v>13284</v>
      </c>
      <c r="P3400" s="9" t="s">
        <v>13284</v>
      </c>
      <c r="Q3400" s="9" t="s">
        <v>13284</v>
      </c>
      <c r="R3400" s="9" t="s">
        <v>13284</v>
      </c>
      <c r="S3400" s="9" t="s">
        <v>13284</v>
      </c>
      <c r="T3400" s="9" t="str">
        <f ca="1">IFERROR(IF(AND(VLOOKUP(A3400, 'Актуальное состояние (из общего'!A:C,3,0) = "", A3400 &lt;&gt; ""), "ПРОВЕРИТЬ", VLOOKUP(A3400, 'Актуальное состояние (из общего'!A:C,3,0)), "")</f>
        <v/>
      </c>
      <c r="U3400" s="9" t="s">
        <v>13284</v>
      </c>
      <c r="V3400" s="9" t="s">
        <v>13284</v>
      </c>
      <c r="W3400" s="12"/>
      <c r="X3400" s="9" t="str">
        <f t="array" ref="X3400">IFERROR(INDEX('Адреса общежитий (скрытый)'!$B$2:$B$9, MATCH(W3400, 'Адреса общежитий (скрытый)'!$A$2:$A$9, 0)), "")</f>
        <v/>
      </c>
      <c r="Y3400" s="18"/>
      <c r="Z3400" s="18"/>
      <c r="AA3400" s="18"/>
      <c r="AB3400" s="18"/>
      <c r="AC3400" s="18"/>
    </row>
    <row r="3401" spans="1:29" ht="32.25" hidden="1" customHeight="1">
      <c r="A3401" s="17"/>
      <c r="B3401" s="9" t="s">
        <v>13284</v>
      </c>
      <c r="C3401" s="9" t="s">
        <v>13284</v>
      </c>
      <c r="D3401" s="9" t="s">
        <v>13284</v>
      </c>
      <c r="E3401" s="9" t="s">
        <v>13284</v>
      </c>
      <c r="F3401" s="9" t="s">
        <v>13284</v>
      </c>
      <c r="G3401" s="9" t="s">
        <v>13284</v>
      </c>
      <c r="H3401" s="9" t="s">
        <v>13284</v>
      </c>
      <c r="I3401" s="9" t="s">
        <v>13284</v>
      </c>
      <c r="J3401" s="9" t="s">
        <v>13284</v>
      </c>
      <c r="K3401" s="9" t="s">
        <v>13284</v>
      </c>
      <c r="L3401" s="9" t="s">
        <v>13284</v>
      </c>
      <c r="M3401" s="9" t="s">
        <v>13284</v>
      </c>
      <c r="N3401" s="9" t="s">
        <v>13284</v>
      </c>
      <c r="O3401" s="9" t="s">
        <v>13284</v>
      </c>
      <c r="P3401" s="9" t="s">
        <v>13284</v>
      </c>
      <c r="Q3401" s="9" t="s">
        <v>13284</v>
      </c>
      <c r="R3401" s="9" t="s">
        <v>13284</v>
      </c>
      <c r="S3401" s="9" t="s">
        <v>13284</v>
      </c>
      <c r="T3401" s="9" t="str">
        <f ca="1">IFERROR(IF(AND(VLOOKUP(A3401, 'Актуальное состояние (из общего'!A:C,3,0) = "", A3401 &lt;&gt; ""), "ПРОВЕРИТЬ", VLOOKUP(A3401, 'Актуальное состояние (из общего'!A:C,3,0)), "")</f>
        <v/>
      </c>
      <c r="U3401" s="9" t="s">
        <v>13284</v>
      </c>
      <c r="V3401" s="9" t="s">
        <v>13284</v>
      </c>
      <c r="W3401" s="12"/>
      <c r="X3401" s="9" t="str">
        <f t="array" ref="X3401">IFERROR(INDEX('Адреса общежитий (скрытый)'!$B$2:$B$9, MATCH(W3401, 'Адреса общежитий (скрытый)'!$A$2:$A$9, 0)), "")</f>
        <v/>
      </c>
      <c r="Y3401" s="18"/>
      <c r="Z3401" s="18"/>
      <c r="AA3401" s="18"/>
      <c r="AB3401" s="18"/>
      <c r="AC3401" s="18"/>
    </row>
    <row r="3402" spans="1:29" ht="32.25" hidden="1" customHeight="1">
      <c r="A3402" s="17"/>
      <c r="B3402" s="9" t="s">
        <v>13284</v>
      </c>
      <c r="C3402" s="9" t="s">
        <v>13284</v>
      </c>
      <c r="D3402" s="9" t="s">
        <v>13284</v>
      </c>
      <c r="E3402" s="9" t="s">
        <v>13284</v>
      </c>
      <c r="F3402" s="9" t="s">
        <v>13284</v>
      </c>
      <c r="G3402" s="9" t="s">
        <v>13284</v>
      </c>
      <c r="H3402" s="9" t="s">
        <v>13284</v>
      </c>
      <c r="I3402" s="9" t="s">
        <v>13284</v>
      </c>
      <c r="J3402" s="9" t="s">
        <v>13284</v>
      </c>
      <c r="K3402" s="9" t="s">
        <v>13284</v>
      </c>
      <c r="L3402" s="9" t="s">
        <v>13284</v>
      </c>
      <c r="M3402" s="9" t="s">
        <v>13284</v>
      </c>
      <c r="N3402" s="9" t="s">
        <v>13284</v>
      </c>
      <c r="O3402" s="9" t="s">
        <v>13284</v>
      </c>
      <c r="P3402" s="9" t="s">
        <v>13284</v>
      </c>
      <c r="Q3402" s="9" t="s">
        <v>13284</v>
      </c>
      <c r="R3402" s="9" t="s">
        <v>13284</v>
      </c>
      <c r="S3402" s="9" t="s">
        <v>13284</v>
      </c>
      <c r="T3402" s="9" t="str">
        <f ca="1">IFERROR(IF(AND(VLOOKUP(A3402, 'Актуальное состояние (из общего'!A:C,3,0) = "", A3402 &lt;&gt; ""), "ПРОВЕРИТЬ", VLOOKUP(A3402, 'Актуальное состояние (из общего'!A:C,3,0)), "")</f>
        <v/>
      </c>
      <c r="U3402" s="9" t="s">
        <v>13284</v>
      </c>
      <c r="V3402" s="9" t="s">
        <v>13284</v>
      </c>
      <c r="W3402" s="12"/>
      <c r="X3402" s="9" t="str">
        <f t="array" ref="X3402">IFERROR(INDEX('Адреса общежитий (скрытый)'!$B$2:$B$9, MATCH(W3402, 'Адреса общежитий (скрытый)'!$A$2:$A$9, 0)), "")</f>
        <v/>
      </c>
      <c r="Y3402" s="18"/>
      <c r="Z3402" s="18"/>
      <c r="AA3402" s="18"/>
      <c r="AB3402" s="18"/>
      <c r="AC3402" s="18"/>
    </row>
    <row r="3403" spans="1:29" ht="32.25" hidden="1" customHeight="1">
      <c r="A3403" s="17"/>
      <c r="B3403" s="9" t="s">
        <v>13284</v>
      </c>
      <c r="C3403" s="9" t="s">
        <v>13284</v>
      </c>
      <c r="D3403" s="9" t="s">
        <v>13284</v>
      </c>
      <c r="E3403" s="9" t="s">
        <v>13284</v>
      </c>
      <c r="F3403" s="9" t="s">
        <v>13284</v>
      </c>
      <c r="G3403" s="9" t="s">
        <v>13284</v>
      </c>
      <c r="H3403" s="9" t="s">
        <v>13284</v>
      </c>
      <c r="I3403" s="9" t="s">
        <v>13284</v>
      </c>
      <c r="J3403" s="9" t="s">
        <v>13284</v>
      </c>
      <c r="K3403" s="9" t="s">
        <v>13284</v>
      </c>
      <c r="L3403" s="9" t="s">
        <v>13284</v>
      </c>
      <c r="M3403" s="9" t="s">
        <v>13284</v>
      </c>
      <c r="N3403" s="9" t="s">
        <v>13284</v>
      </c>
      <c r="O3403" s="9" t="s">
        <v>13284</v>
      </c>
      <c r="P3403" s="9" t="s">
        <v>13284</v>
      </c>
      <c r="Q3403" s="9" t="s">
        <v>13284</v>
      </c>
      <c r="R3403" s="9" t="s">
        <v>13284</v>
      </c>
      <c r="S3403" s="9" t="s">
        <v>13284</v>
      </c>
      <c r="T3403" s="9" t="str">
        <f ca="1">IFERROR(IF(AND(VLOOKUP(A3403, 'Актуальное состояние (из общего'!A:C,3,0) = "", A3403 &lt;&gt; ""), "ПРОВЕРИТЬ", VLOOKUP(A3403, 'Актуальное состояние (из общего'!A:C,3,0)), "")</f>
        <v/>
      </c>
      <c r="U3403" s="9" t="s">
        <v>13284</v>
      </c>
      <c r="V3403" s="9" t="s">
        <v>13284</v>
      </c>
      <c r="W3403" s="12"/>
      <c r="X3403" s="9" t="str">
        <f t="array" ref="X3403">IFERROR(INDEX('Адреса общежитий (скрытый)'!$B$2:$B$9, MATCH(W3403, 'Адреса общежитий (скрытый)'!$A$2:$A$9, 0)), "")</f>
        <v/>
      </c>
      <c r="Y3403" s="18"/>
      <c r="Z3403" s="18"/>
      <c r="AA3403" s="18"/>
      <c r="AB3403" s="18"/>
      <c r="AC3403" s="18"/>
    </row>
    <row r="3404" spans="1:29" ht="32.25" hidden="1" customHeight="1">
      <c r="A3404" s="17"/>
      <c r="B3404" s="9" t="s">
        <v>13284</v>
      </c>
      <c r="C3404" s="9" t="s">
        <v>13284</v>
      </c>
      <c r="D3404" s="9" t="s">
        <v>13284</v>
      </c>
      <c r="E3404" s="9" t="s">
        <v>13284</v>
      </c>
      <c r="F3404" s="9" t="s">
        <v>13284</v>
      </c>
      <c r="G3404" s="9" t="s">
        <v>13284</v>
      </c>
      <c r="H3404" s="9" t="s">
        <v>13284</v>
      </c>
      <c r="I3404" s="9" t="s">
        <v>13284</v>
      </c>
      <c r="J3404" s="9" t="s">
        <v>13284</v>
      </c>
      <c r="K3404" s="9" t="s">
        <v>13284</v>
      </c>
      <c r="L3404" s="9" t="s">
        <v>13284</v>
      </c>
      <c r="M3404" s="9" t="s">
        <v>13284</v>
      </c>
      <c r="N3404" s="9" t="s">
        <v>13284</v>
      </c>
      <c r="O3404" s="9" t="s">
        <v>13284</v>
      </c>
      <c r="P3404" s="9" t="s">
        <v>13284</v>
      </c>
      <c r="Q3404" s="9" t="s">
        <v>13284</v>
      </c>
      <c r="R3404" s="9" t="s">
        <v>13284</v>
      </c>
      <c r="S3404" s="9" t="s">
        <v>13284</v>
      </c>
      <c r="T3404" s="9" t="str">
        <f ca="1">IFERROR(IF(AND(VLOOKUP(A3404, 'Актуальное состояние (из общего'!A:C,3,0) = "", A3404 &lt;&gt; ""), "ПРОВЕРИТЬ", VLOOKUP(A3404, 'Актуальное состояние (из общего'!A:C,3,0)), "")</f>
        <v/>
      </c>
      <c r="U3404" s="9" t="s">
        <v>13284</v>
      </c>
      <c r="V3404" s="9" t="s">
        <v>13284</v>
      </c>
      <c r="W3404" s="12"/>
      <c r="X3404" s="9" t="str">
        <f t="array" ref="X3404">IFERROR(INDEX('Адреса общежитий (скрытый)'!$B$2:$B$9, MATCH(W3404, 'Адреса общежитий (скрытый)'!$A$2:$A$9, 0)), "")</f>
        <v/>
      </c>
      <c r="Y3404" s="18"/>
      <c r="Z3404" s="18"/>
      <c r="AA3404" s="18"/>
      <c r="AB3404" s="18"/>
      <c r="AC3404" s="18"/>
    </row>
    <row r="3405" spans="1:29" ht="32.25" hidden="1" customHeight="1">
      <c r="A3405" s="17"/>
      <c r="B3405" s="9" t="s">
        <v>13284</v>
      </c>
      <c r="C3405" s="9" t="s">
        <v>13284</v>
      </c>
      <c r="D3405" s="9" t="s">
        <v>13284</v>
      </c>
      <c r="E3405" s="9" t="s">
        <v>13284</v>
      </c>
      <c r="F3405" s="9" t="s">
        <v>13284</v>
      </c>
      <c r="G3405" s="9" t="s">
        <v>13284</v>
      </c>
      <c r="H3405" s="9" t="s">
        <v>13284</v>
      </c>
      <c r="I3405" s="9" t="s">
        <v>13284</v>
      </c>
      <c r="J3405" s="9" t="s">
        <v>13284</v>
      </c>
      <c r="K3405" s="9" t="s">
        <v>13284</v>
      </c>
      <c r="L3405" s="9" t="s">
        <v>13284</v>
      </c>
      <c r="M3405" s="9" t="s">
        <v>13284</v>
      </c>
      <c r="N3405" s="9" t="s">
        <v>13284</v>
      </c>
      <c r="O3405" s="9" t="s">
        <v>13284</v>
      </c>
      <c r="P3405" s="9" t="s">
        <v>13284</v>
      </c>
      <c r="Q3405" s="9" t="s">
        <v>13284</v>
      </c>
      <c r="R3405" s="9" t="s">
        <v>13284</v>
      </c>
      <c r="S3405" s="9" t="s">
        <v>13284</v>
      </c>
      <c r="T3405" s="9" t="str">
        <f ca="1">IFERROR(IF(AND(VLOOKUP(A3405, 'Актуальное состояние (из общего'!A:C,3,0) = "", A3405 &lt;&gt; ""), "ПРОВЕРИТЬ", VLOOKUP(A3405, 'Актуальное состояние (из общего'!A:C,3,0)), "")</f>
        <v/>
      </c>
      <c r="U3405" s="9" t="s">
        <v>13284</v>
      </c>
      <c r="V3405" s="9" t="s">
        <v>13284</v>
      </c>
      <c r="W3405" s="12"/>
      <c r="X3405" s="9" t="str">
        <f t="array" ref="X3405">IFERROR(INDEX('Адреса общежитий (скрытый)'!$B$2:$B$9, MATCH(W3405, 'Адреса общежитий (скрытый)'!$A$2:$A$9, 0)), "")</f>
        <v/>
      </c>
      <c r="Y3405" s="18"/>
      <c r="Z3405" s="18"/>
      <c r="AA3405" s="18"/>
      <c r="AB3405" s="18"/>
      <c r="AC3405" s="18"/>
    </row>
    <row r="3406" spans="1:29" ht="32.25" hidden="1" customHeight="1">
      <c r="A3406" s="17"/>
      <c r="B3406" s="9" t="s">
        <v>13284</v>
      </c>
      <c r="C3406" s="9" t="s">
        <v>13284</v>
      </c>
      <c r="D3406" s="9" t="s">
        <v>13284</v>
      </c>
      <c r="E3406" s="9" t="s">
        <v>13284</v>
      </c>
      <c r="F3406" s="9" t="s">
        <v>13284</v>
      </c>
      <c r="G3406" s="9" t="s">
        <v>13284</v>
      </c>
      <c r="H3406" s="9" t="s">
        <v>13284</v>
      </c>
      <c r="I3406" s="9" t="s">
        <v>13284</v>
      </c>
      <c r="J3406" s="9" t="s">
        <v>13284</v>
      </c>
      <c r="K3406" s="9" t="s">
        <v>13284</v>
      </c>
      <c r="L3406" s="9" t="s">
        <v>13284</v>
      </c>
      <c r="M3406" s="9" t="s">
        <v>13284</v>
      </c>
      <c r="N3406" s="9" t="s">
        <v>13284</v>
      </c>
      <c r="O3406" s="9" t="s">
        <v>13284</v>
      </c>
      <c r="P3406" s="9" t="s">
        <v>13284</v>
      </c>
      <c r="Q3406" s="9" t="s">
        <v>13284</v>
      </c>
      <c r="R3406" s="9" t="s">
        <v>13284</v>
      </c>
      <c r="S3406" s="9" t="s">
        <v>13284</v>
      </c>
      <c r="T3406" s="9" t="str">
        <f ca="1">IFERROR(IF(AND(VLOOKUP(A3406, 'Актуальное состояние (из общего'!A:C,3,0) = "", A3406 &lt;&gt; ""), "ПРОВЕРИТЬ", VLOOKUP(A3406, 'Актуальное состояние (из общего'!A:C,3,0)), "")</f>
        <v/>
      </c>
      <c r="U3406" s="9" t="s">
        <v>13284</v>
      </c>
      <c r="V3406" s="9" t="s">
        <v>13284</v>
      </c>
      <c r="W3406" s="12"/>
      <c r="X3406" s="9" t="str">
        <f t="array" ref="X3406">IFERROR(INDEX('Адреса общежитий (скрытый)'!$B$2:$B$9, MATCH(W3406, 'Адреса общежитий (скрытый)'!$A$2:$A$9, 0)), "")</f>
        <v/>
      </c>
      <c r="Y3406" s="18"/>
      <c r="Z3406" s="18"/>
      <c r="AA3406" s="18"/>
      <c r="AB3406" s="18"/>
      <c r="AC3406" s="18"/>
    </row>
    <row r="3407" spans="1:29" ht="32.25" hidden="1" customHeight="1">
      <c r="A3407" s="17"/>
      <c r="B3407" s="9" t="s">
        <v>13284</v>
      </c>
      <c r="C3407" s="9" t="s">
        <v>13284</v>
      </c>
      <c r="D3407" s="9" t="s">
        <v>13284</v>
      </c>
      <c r="E3407" s="9" t="s">
        <v>13284</v>
      </c>
      <c r="F3407" s="9" t="s">
        <v>13284</v>
      </c>
      <c r="G3407" s="9" t="s">
        <v>13284</v>
      </c>
      <c r="H3407" s="9" t="s">
        <v>13284</v>
      </c>
      <c r="I3407" s="9" t="s">
        <v>13284</v>
      </c>
      <c r="J3407" s="9" t="s">
        <v>13284</v>
      </c>
      <c r="K3407" s="9" t="s">
        <v>13284</v>
      </c>
      <c r="L3407" s="9" t="s">
        <v>13284</v>
      </c>
      <c r="M3407" s="9" t="s">
        <v>13284</v>
      </c>
      <c r="N3407" s="9" t="s">
        <v>13284</v>
      </c>
      <c r="O3407" s="9" t="s">
        <v>13284</v>
      </c>
      <c r="P3407" s="9" t="s">
        <v>13284</v>
      </c>
      <c r="Q3407" s="9" t="s">
        <v>13284</v>
      </c>
      <c r="R3407" s="9" t="s">
        <v>13284</v>
      </c>
      <c r="S3407" s="9" t="s">
        <v>13284</v>
      </c>
      <c r="T3407" s="9" t="str">
        <f ca="1">IFERROR(IF(AND(VLOOKUP(A3407, 'Актуальное состояние (из общего'!A:C,3,0) = "", A3407 &lt;&gt; ""), "ПРОВЕРИТЬ", VLOOKUP(A3407, 'Актуальное состояние (из общего'!A:C,3,0)), "")</f>
        <v/>
      </c>
      <c r="U3407" s="9" t="s">
        <v>13284</v>
      </c>
      <c r="V3407" s="9" t="s">
        <v>13284</v>
      </c>
      <c r="W3407" s="12"/>
      <c r="X3407" s="9" t="str">
        <f t="array" ref="X3407">IFERROR(INDEX('Адреса общежитий (скрытый)'!$B$2:$B$9, MATCH(W3407, 'Адреса общежитий (скрытый)'!$A$2:$A$9, 0)), "")</f>
        <v/>
      </c>
      <c r="Y3407" s="18"/>
      <c r="Z3407" s="18"/>
      <c r="AA3407" s="18"/>
      <c r="AB3407" s="18"/>
      <c r="AC3407" s="18"/>
    </row>
    <row r="3408" spans="1:29" ht="32.25" hidden="1" customHeight="1">
      <c r="A3408" s="17"/>
      <c r="B3408" s="9" t="s">
        <v>13284</v>
      </c>
      <c r="C3408" s="9" t="s">
        <v>13284</v>
      </c>
      <c r="D3408" s="9" t="s">
        <v>13284</v>
      </c>
      <c r="E3408" s="9" t="s">
        <v>13284</v>
      </c>
      <c r="F3408" s="9" t="s">
        <v>13284</v>
      </c>
      <c r="G3408" s="9" t="s">
        <v>13284</v>
      </c>
      <c r="H3408" s="9" t="s">
        <v>13284</v>
      </c>
      <c r="I3408" s="9" t="s">
        <v>13284</v>
      </c>
      <c r="J3408" s="9" t="s">
        <v>13284</v>
      </c>
      <c r="K3408" s="9" t="s">
        <v>13284</v>
      </c>
      <c r="L3408" s="9" t="s">
        <v>13284</v>
      </c>
      <c r="M3408" s="9" t="s">
        <v>13284</v>
      </c>
      <c r="N3408" s="9" t="s">
        <v>13284</v>
      </c>
      <c r="O3408" s="9" t="s">
        <v>13284</v>
      </c>
      <c r="P3408" s="9" t="s">
        <v>13284</v>
      </c>
      <c r="Q3408" s="9" t="s">
        <v>13284</v>
      </c>
      <c r="R3408" s="9" t="s">
        <v>13284</v>
      </c>
      <c r="S3408" s="9" t="s">
        <v>13284</v>
      </c>
      <c r="T3408" s="9" t="str">
        <f ca="1">IFERROR(IF(AND(VLOOKUP(A3408, 'Актуальное состояние (из общего'!A:C,3,0) = "", A3408 &lt;&gt; ""), "ПРОВЕРИТЬ", VLOOKUP(A3408, 'Актуальное состояние (из общего'!A:C,3,0)), "")</f>
        <v/>
      </c>
      <c r="U3408" s="9" t="s">
        <v>13284</v>
      </c>
      <c r="V3408" s="9" t="s">
        <v>13284</v>
      </c>
      <c r="W3408" s="12"/>
      <c r="X3408" s="9" t="str">
        <f t="array" ref="X3408">IFERROR(INDEX('Адреса общежитий (скрытый)'!$B$2:$B$9, MATCH(W3408, 'Адреса общежитий (скрытый)'!$A$2:$A$9, 0)), "")</f>
        <v/>
      </c>
      <c r="Y3408" s="18"/>
      <c r="Z3408" s="18"/>
      <c r="AA3408" s="18"/>
      <c r="AB3408" s="18"/>
      <c r="AC3408" s="18"/>
    </row>
    <row r="3409" spans="1:29" ht="32.25" hidden="1" customHeight="1">
      <c r="A3409" s="17"/>
      <c r="B3409" s="9" t="s">
        <v>13284</v>
      </c>
      <c r="C3409" s="9" t="s">
        <v>13284</v>
      </c>
      <c r="D3409" s="9" t="s">
        <v>13284</v>
      </c>
      <c r="E3409" s="9" t="s">
        <v>13284</v>
      </c>
      <c r="F3409" s="9" t="s">
        <v>13284</v>
      </c>
      <c r="G3409" s="9" t="s">
        <v>13284</v>
      </c>
      <c r="H3409" s="9" t="s">
        <v>13284</v>
      </c>
      <c r="I3409" s="9" t="s">
        <v>13284</v>
      </c>
      <c r="J3409" s="9" t="s">
        <v>13284</v>
      </c>
      <c r="K3409" s="9" t="s">
        <v>13284</v>
      </c>
      <c r="L3409" s="9" t="s">
        <v>13284</v>
      </c>
      <c r="M3409" s="9" t="s">
        <v>13284</v>
      </c>
      <c r="N3409" s="9" t="s">
        <v>13284</v>
      </c>
      <c r="O3409" s="9" t="s">
        <v>13284</v>
      </c>
      <c r="P3409" s="9" t="s">
        <v>13284</v>
      </c>
      <c r="Q3409" s="9" t="s">
        <v>13284</v>
      </c>
      <c r="R3409" s="9" t="s">
        <v>13284</v>
      </c>
      <c r="S3409" s="9" t="s">
        <v>13284</v>
      </c>
      <c r="T3409" s="9" t="str">
        <f ca="1">IFERROR(IF(AND(VLOOKUP(A3409, 'Актуальное состояние (из общего'!A:C,3,0) = "", A3409 &lt;&gt; ""), "ПРОВЕРИТЬ", VLOOKUP(A3409, 'Актуальное состояние (из общего'!A:C,3,0)), "")</f>
        <v/>
      </c>
      <c r="U3409" s="9" t="s">
        <v>13284</v>
      </c>
      <c r="V3409" s="9" t="s">
        <v>13284</v>
      </c>
      <c r="W3409" s="12"/>
      <c r="X3409" s="9" t="str">
        <f t="array" ref="X3409">IFERROR(INDEX('Адреса общежитий (скрытый)'!$B$2:$B$9, MATCH(W3409, 'Адреса общежитий (скрытый)'!$A$2:$A$9, 0)), "")</f>
        <v/>
      </c>
      <c r="Y3409" s="18"/>
      <c r="Z3409" s="18"/>
      <c r="AA3409" s="18"/>
      <c r="AB3409" s="18"/>
      <c r="AC3409" s="18"/>
    </row>
    <row r="3410" spans="1:29" ht="32.25" hidden="1" customHeight="1">
      <c r="A3410" s="17"/>
      <c r="B3410" s="9" t="s">
        <v>13284</v>
      </c>
      <c r="C3410" s="9" t="s">
        <v>13284</v>
      </c>
      <c r="D3410" s="9" t="s">
        <v>13284</v>
      </c>
      <c r="E3410" s="9" t="s">
        <v>13284</v>
      </c>
      <c r="F3410" s="9" t="s">
        <v>13284</v>
      </c>
      <c r="G3410" s="9" t="s">
        <v>13284</v>
      </c>
      <c r="H3410" s="9" t="s">
        <v>13284</v>
      </c>
      <c r="I3410" s="9" t="s">
        <v>13284</v>
      </c>
      <c r="J3410" s="9" t="s">
        <v>13284</v>
      </c>
      <c r="K3410" s="9" t="s">
        <v>13284</v>
      </c>
      <c r="L3410" s="9" t="s">
        <v>13284</v>
      </c>
      <c r="M3410" s="9" t="s">
        <v>13284</v>
      </c>
      <c r="N3410" s="9" t="s">
        <v>13284</v>
      </c>
      <c r="O3410" s="9" t="s">
        <v>13284</v>
      </c>
      <c r="P3410" s="9" t="s">
        <v>13284</v>
      </c>
      <c r="Q3410" s="9" t="s">
        <v>13284</v>
      </c>
      <c r="R3410" s="9" t="s">
        <v>13284</v>
      </c>
      <c r="S3410" s="9" t="s">
        <v>13284</v>
      </c>
      <c r="T3410" s="9" t="str">
        <f ca="1">IFERROR(IF(AND(VLOOKUP(A3410, 'Актуальное состояние (из общего'!A:C,3,0) = "", A3410 &lt;&gt; ""), "ПРОВЕРИТЬ", VLOOKUP(A3410, 'Актуальное состояние (из общего'!A:C,3,0)), "")</f>
        <v/>
      </c>
      <c r="U3410" s="9" t="s">
        <v>13284</v>
      </c>
      <c r="V3410" s="9" t="s">
        <v>13284</v>
      </c>
      <c r="W3410" s="12"/>
      <c r="X3410" s="9" t="str">
        <f t="array" ref="X3410">IFERROR(INDEX('Адреса общежитий (скрытый)'!$B$2:$B$9, MATCH(W3410, 'Адреса общежитий (скрытый)'!$A$2:$A$9, 0)), "")</f>
        <v/>
      </c>
      <c r="Y3410" s="18"/>
      <c r="Z3410" s="18"/>
      <c r="AA3410" s="18"/>
      <c r="AB3410" s="18"/>
      <c r="AC3410" s="18"/>
    </row>
    <row r="3411" spans="1:29" ht="32.25" hidden="1" customHeight="1">
      <c r="A3411" s="17"/>
      <c r="B3411" s="9" t="s">
        <v>13284</v>
      </c>
      <c r="C3411" s="9" t="s">
        <v>13284</v>
      </c>
      <c r="D3411" s="9" t="s">
        <v>13284</v>
      </c>
      <c r="E3411" s="9" t="s">
        <v>13284</v>
      </c>
      <c r="F3411" s="9" t="s">
        <v>13284</v>
      </c>
      <c r="G3411" s="9" t="s">
        <v>13284</v>
      </c>
      <c r="H3411" s="9" t="s">
        <v>13284</v>
      </c>
      <c r="I3411" s="9" t="s">
        <v>13284</v>
      </c>
      <c r="J3411" s="9" t="s">
        <v>13284</v>
      </c>
      <c r="K3411" s="9" t="s">
        <v>13284</v>
      </c>
      <c r="L3411" s="9" t="s">
        <v>13284</v>
      </c>
      <c r="M3411" s="9" t="s">
        <v>13284</v>
      </c>
      <c r="N3411" s="9" t="s">
        <v>13284</v>
      </c>
      <c r="O3411" s="9" t="s">
        <v>13284</v>
      </c>
      <c r="P3411" s="9" t="s">
        <v>13284</v>
      </c>
      <c r="Q3411" s="9" t="s">
        <v>13284</v>
      </c>
      <c r="R3411" s="9" t="s">
        <v>13284</v>
      </c>
      <c r="S3411" s="9" t="s">
        <v>13284</v>
      </c>
      <c r="T3411" s="9" t="str">
        <f ca="1">IFERROR(IF(AND(VLOOKUP(A3411, 'Актуальное состояние (из общего'!A:C,3,0) = "", A3411 &lt;&gt; ""), "ПРОВЕРИТЬ", VLOOKUP(A3411, 'Актуальное состояние (из общего'!A:C,3,0)), "")</f>
        <v/>
      </c>
      <c r="U3411" s="9" t="s">
        <v>13284</v>
      </c>
      <c r="V3411" s="9" t="s">
        <v>13284</v>
      </c>
      <c r="W3411" s="12"/>
      <c r="X3411" s="9" t="str">
        <f t="array" ref="X3411">IFERROR(INDEX('Адреса общежитий (скрытый)'!$B$2:$B$9, MATCH(W3411, 'Адреса общежитий (скрытый)'!$A$2:$A$9, 0)), "")</f>
        <v/>
      </c>
      <c r="Y3411" s="18"/>
      <c r="Z3411" s="18"/>
      <c r="AA3411" s="18"/>
      <c r="AB3411" s="18"/>
      <c r="AC3411" s="18"/>
    </row>
    <row r="3412" spans="1:29" ht="32.25" hidden="1" customHeight="1">
      <c r="A3412" s="17"/>
      <c r="B3412" s="9" t="s">
        <v>13284</v>
      </c>
      <c r="C3412" s="9" t="s">
        <v>13284</v>
      </c>
      <c r="D3412" s="9" t="s">
        <v>13284</v>
      </c>
      <c r="E3412" s="9" t="s">
        <v>13284</v>
      </c>
      <c r="F3412" s="9" t="s">
        <v>13284</v>
      </c>
      <c r="G3412" s="9" t="s">
        <v>13284</v>
      </c>
      <c r="H3412" s="9" t="s">
        <v>13284</v>
      </c>
      <c r="I3412" s="9" t="s">
        <v>13284</v>
      </c>
      <c r="J3412" s="9" t="s">
        <v>13284</v>
      </c>
      <c r="K3412" s="9" t="s">
        <v>13284</v>
      </c>
      <c r="L3412" s="9" t="s">
        <v>13284</v>
      </c>
      <c r="M3412" s="9" t="s">
        <v>13284</v>
      </c>
      <c r="N3412" s="9" t="s">
        <v>13284</v>
      </c>
      <c r="O3412" s="9" t="s">
        <v>13284</v>
      </c>
      <c r="P3412" s="9" t="s">
        <v>13284</v>
      </c>
      <c r="Q3412" s="9" t="s">
        <v>13284</v>
      </c>
      <c r="R3412" s="9" t="s">
        <v>13284</v>
      </c>
      <c r="S3412" s="9" t="s">
        <v>13284</v>
      </c>
      <c r="T3412" s="9" t="str">
        <f ca="1">IFERROR(IF(AND(VLOOKUP(A3412, 'Актуальное состояние (из общего'!A:C,3,0) = "", A3412 &lt;&gt; ""), "ПРОВЕРИТЬ", VLOOKUP(A3412, 'Актуальное состояние (из общего'!A:C,3,0)), "")</f>
        <v/>
      </c>
      <c r="U3412" s="9" t="s">
        <v>13284</v>
      </c>
      <c r="V3412" s="9" t="s">
        <v>13284</v>
      </c>
      <c r="W3412" s="12"/>
      <c r="X3412" s="9" t="str">
        <f t="array" ref="X3412">IFERROR(INDEX('Адреса общежитий (скрытый)'!$B$2:$B$9, MATCH(W3412, 'Адреса общежитий (скрытый)'!$A$2:$A$9, 0)), "")</f>
        <v/>
      </c>
      <c r="Y3412" s="18"/>
      <c r="Z3412" s="18"/>
      <c r="AA3412" s="18"/>
      <c r="AB3412" s="18"/>
      <c r="AC3412" s="18"/>
    </row>
    <row r="3413" spans="1:29" ht="32.25" hidden="1" customHeight="1">
      <c r="A3413" s="17"/>
      <c r="B3413" s="9" t="s">
        <v>13284</v>
      </c>
      <c r="C3413" s="9" t="s">
        <v>13284</v>
      </c>
      <c r="D3413" s="9" t="s">
        <v>13284</v>
      </c>
      <c r="E3413" s="9" t="s">
        <v>13284</v>
      </c>
      <c r="F3413" s="9" t="s">
        <v>13284</v>
      </c>
      <c r="G3413" s="9" t="s">
        <v>13284</v>
      </c>
      <c r="H3413" s="9" t="s">
        <v>13284</v>
      </c>
      <c r="I3413" s="9" t="s">
        <v>13284</v>
      </c>
      <c r="J3413" s="9" t="s">
        <v>13284</v>
      </c>
      <c r="K3413" s="9" t="s">
        <v>13284</v>
      </c>
      <c r="L3413" s="9" t="s">
        <v>13284</v>
      </c>
      <c r="M3413" s="9" t="s">
        <v>13284</v>
      </c>
      <c r="N3413" s="9" t="s">
        <v>13284</v>
      </c>
      <c r="O3413" s="9" t="s">
        <v>13284</v>
      </c>
      <c r="P3413" s="9" t="s">
        <v>13284</v>
      </c>
      <c r="Q3413" s="9" t="s">
        <v>13284</v>
      </c>
      <c r="R3413" s="9" t="s">
        <v>13284</v>
      </c>
      <c r="S3413" s="9" t="s">
        <v>13284</v>
      </c>
      <c r="T3413" s="9" t="str">
        <f ca="1">IFERROR(IF(AND(VLOOKUP(A3413, 'Актуальное состояние (из общего'!A:C,3,0) = "", A3413 &lt;&gt; ""), "ПРОВЕРИТЬ", VLOOKUP(A3413, 'Актуальное состояние (из общего'!A:C,3,0)), "")</f>
        <v/>
      </c>
      <c r="U3413" s="9" t="s">
        <v>13284</v>
      </c>
      <c r="V3413" s="9" t="s">
        <v>13284</v>
      </c>
      <c r="W3413" s="12"/>
      <c r="X3413" s="9" t="str">
        <f t="array" ref="X3413">IFERROR(INDEX('Адреса общежитий (скрытый)'!$B$2:$B$9, MATCH(W3413, 'Адреса общежитий (скрытый)'!$A$2:$A$9, 0)), "")</f>
        <v/>
      </c>
      <c r="Y3413" s="18"/>
      <c r="Z3413" s="18"/>
      <c r="AA3413" s="18"/>
      <c r="AB3413" s="18"/>
      <c r="AC3413" s="18"/>
    </row>
    <row r="3414" spans="1:29" ht="32.25" hidden="1" customHeight="1">
      <c r="A3414" s="17"/>
      <c r="B3414" s="9" t="s">
        <v>13284</v>
      </c>
      <c r="C3414" s="9" t="s">
        <v>13284</v>
      </c>
      <c r="D3414" s="9" t="s">
        <v>13284</v>
      </c>
      <c r="E3414" s="9" t="s">
        <v>13284</v>
      </c>
      <c r="F3414" s="9" t="s">
        <v>13284</v>
      </c>
      <c r="G3414" s="9" t="s">
        <v>13284</v>
      </c>
      <c r="H3414" s="9" t="s">
        <v>13284</v>
      </c>
      <c r="I3414" s="9" t="s">
        <v>13284</v>
      </c>
      <c r="J3414" s="9" t="s">
        <v>13284</v>
      </c>
      <c r="K3414" s="9" t="s">
        <v>13284</v>
      </c>
      <c r="L3414" s="9" t="s">
        <v>13284</v>
      </c>
      <c r="M3414" s="9" t="s">
        <v>13284</v>
      </c>
      <c r="N3414" s="9" t="s">
        <v>13284</v>
      </c>
      <c r="O3414" s="9" t="s">
        <v>13284</v>
      </c>
      <c r="P3414" s="9" t="s">
        <v>13284</v>
      </c>
      <c r="Q3414" s="9" t="s">
        <v>13284</v>
      </c>
      <c r="R3414" s="9" t="s">
        <v>13284</v>
      </c>
      <c r="S3414" s="9" t="s">
        <v>13284</v>
      </c>
      <c r="T3414" s="9" t="str">
        <f ca="1">IFERROR(IF(AND(VLOOKUP(A3414, 'Актуальное состояние (из общего'!A:C,3,0) = "", A3414 &lt;&gt; ""), "ПРОВЕРИТЬ", VLOOKUP(A3414, 'Актуальное состояние (из общего'!A:C,3,0)), "")</f>
        <v/>
      </c>
      <c r="U3414" s="9" t="s">
        <v>13284</v>
      </c>
      <c r="V3414" s="9" t="s">
        <v>13284</v>
      </c>
      <c r="W3414" s="12"/>
      <c r="X3414" s="9" t="str">
        <f t="array" ref="X3414">IFERROR(INDEX('Адреса общежитий (скрытый)'!$B$2:$B$9, MATCH(W3414, 'Адреса общежитий (скрытый)'!$A$2:$A$9, 0)), "")</f>
        <v/>
      </c>
      <c r="Y3414" s="18"/>
      <c r="Z3414" s="18"/>
      <c r="AA3414" s="18"/>
      <c r="AB3414" s="18"/>
      <c r="AC3414" s="18"/>
    </row>
    <row r="3415" spans="1:29" ht="32.25" hidden="1" customHeight="1">
      <c r="A3415" s="17"/>
      <c r="B3415" s="9" t="s">
        <v>13284</v>
      </c>
      <c r="C3415" s="9" t="s">
        <v>13284</v>
      </c>
      <c r="D3415" s="9" t="s">
        <v>13284</v>
      </c>
      <c r="E3415" s="9" t="s">
        <v>13284</v>
      </c>
      <c r="F3415" s="9" t="s">
        <v>13284</v>
      </c>
      <c r="G3415" s="9" t="s">
        <v>13284</v>
      </c>
      <c r="H3415" s="9" t="s">
        <v>13284</v>
      </c>
      <c r="I3415" s="9" t="s">
        <v>13284</v>
      </c>
      <c r="J3415" s="9" t="s">
        <v>13284</v>
      </c>
      <c r="K3415" s="9" t="s">
        <v>13284</v>
      </c>
      <c r="L3415" s="9" t="s">
        <v>13284</v>
      </c>
      <c r="M3415" s="9" t="s">
        <v>13284</v>
      </c>
      <c r="N3415" s="9" t="s">
        <v>13284</v>
      </c>
      <c r="O3415" s="9" t="s">
        <v>13284</v>
      </c>
      <c r="P3415" s="9" t="s">
        <v>13284</v>
      </c>
      <c r="Q3415" s="9" t="s">
        <v>13284</v>
      </c>
      <c r="R3415" s="9" t="s">
        <v>13284</v>
      </c>
      <c r="S3415" s="9" t="s">
        <v>13284</v>
      </c>
      <c r="T3415" s="9" t="str">
        <f ca="1">IFERROR(IF(AND(VLOOKUP(A3415, 'Актуальное состояние (из общего'!A:C,3,0) = "", A3415 &lt;&gt; ""), "ПРОВЕРИТЬ", VLOOKUP(A3415, 'Актуальное состояние (из общего'!A:C,3,0)), "")</f>
        <v/>
      </c>
      <c r="U3415" s="9" t="s">
        <v>13284</v>
      </c>
      <c r="V3415" s="9" t="s">
        <v>13284</v>
      </c>
      <c r="W3415" s="12"/>
      <c r="X3415" s="9" t="str">
        <f t="array" ref="X3415">IFERROR(INDEX('Адреса общежитий (скрытый)'!$B$2:$B$9, MATCH(W3415, 'Адреса общежитий (скрытый)'!$A$2:$A$9, 0)), "")</f>
        <v/>
      </c>
      <c r="Y3415" s="18"/>
      <c r="Z3415" s="18"/>
      <c r="AA3415" s="18"/>
      <c r="AB3415" s="18"/>
      <c r="AC3415" s="18"/>
    </row>
    <row r="3416" spans="1:29" ht="32.25" hidden="1" customHeight="1">
      <c r="A3416" s="17"/>
      <c r="B3416" s="9" t="s">
        <v>13284</v>
      </c>
      <c r="C3416" s="9" t="s">
        <v>13284</v>
      </c>
      <c r="D3416" s="9" t="s">
        <v>13284</v>
      </c>
      <c r="E3416" s="9" t="s">
        <v>13284</v>
      </c>
      <c r="F3416" s="9" t="s">
        <v>13284</v>
      </c>
      <c r="G3416" s="9" t="s">
        <v>13284</v>
      </c>
      <c r="H3416" s="9" t="s">
        <v>13284</v>
      </c>
      <c r="I3416" s="9" t="s">
        <v>13284</v>
      </c>
      <c r="J3416" s="9" t="s">
        <v>13284</v>
      </c>
      <c r="K3416" s="9" t="s">
        <v>13284</v>
      </c>
      <c r="L3416" s="9" t="s">
        <v>13284</v>
      </c>
      <c r="M3416" s="9" t="s">
        <v>13284</v>
      </c>
      <c r="N3416" s="9" t="s">
        <v>13284</v>
      </c>
      <c r="O3416" s="9" t="s">
        <v>13284</v>
      </c>
      <c r="P3416" s="9" t="s">
        <v>13284</v>
      </c>
      <c r="Q3416" s="9" t="s">
        <v>13284</v>
      </c>
      <c r="R3416" s="9" t="s">
        <v>13284</v>
      </c>
      <c r="S3416" s="9" t="s">
        <v>13284</v>
      </c>
      <c r="T3416" s="9" t="str">
        <f ca="1">IFERROR(IF(AND(VLOOKUP(A3416, 'Актуальное состояние (из общего'!A:C,3,0) = "", A3416 &lt;&gt; ""), "ПРОВЕРИТЬ", VLOOKUP(A3416, 'Актуальное состояние (из общего'!A:C,3,0)), "")</f>
        <v/>
      </c>
      <c r="U3416" s="9" t="s">
        <v>13284</v>
      </c>
      <c r="V3416" s="9" t="s">
        <v>13284</v>
      </c>
      <c r="W3416" s="12"/>
      <c r="X3416" s="9" t="str">
        <f t="array" ref="X3416">IFERROR(INDEX('Адреса общежитий (скрытый)'!$B$2:$B$9, MATCH(W3416, 'Адреса общежитий (скрытый)'!$A$2:$A$9, 0)), "")</f>
        <v/>
      </c>
      <c r="Y3416" s="18"/>
      <c r="Z3416" s="18"/>
      <c r="AA3416" s="18"/>
      <c r="AB3416" s="18"/>
      <c r="AC3416" s="18"/>
    </row>
    <row r="3417" spans="1:29" ht="32.25" hidden="1" customHeight="1">
      <c r="A3417" s="17"/>
      <c r="B3417" s="9" t="s">
        <v>13284</v>
      </c>
      <c r="C3417" s="9" t="s">
        <v>13284</v>
      </c>
      <c r="D3417" s="9" t="s">
        <v>13284</v>
      </c>
      <c r="E3417" s="9" t="s">
        <v>13284</v>
      </c>
      <c r="F3417" s="9" t="s">
        <v>13284</v>
      </c>
      <c r="G3417" s="9" t="s">
        <v>13284</v>
      </c>
      <c r="H3417" s="9" t="s">
        <v>13284</v>
      </c>
      <c r="I3417" s="9" t="s">
        <v>13284</v>
      </c>
      <c r="J3417" s="9" t="s">
        <v>13284</v>
      </c>
      <c r="K3417" s="9" t="s">
        <v>13284</v>
      </c>
      <c r="L3417" s="9" t="s">
        <v>13284</v>
      </c>
      <c r="M3417" s="9" t="s">
        <v>13284</v>
      </c>
      <c r="N3417" s="9" t="s">
        <v>13284</v>
      </c>
      <c r="O3417" s="9" t="s">
        <v>13284</v>
      </c>
      <c r="P3417" s="9" t="s">
        <v>13284</v>
      </c>
      <c r="Q3417" s="9" t="s">
        <v>13284</v>
      </c>
      <c r="R3417" s="9" t="s">
        <v>13284</v>
      </c>
      <c r="S3417" s="9" t="s">
        <v>13284</v>
      </c>
      <c r="T3417" s="9" t="str">
        <f ca="1">IFERROR(IF(AND(VLOOKUP(A3417, 'Актуальное состояние (из общего'!A:C,3,0) = "", A3417 &lt;&gt; ""), "ПРОВЕРИТЬ", VLOOKUP(A3417, 'Актуальное состояние (из общего'!A:C,3,0)), "")</f>
        <v/>
      </c>
      <c r="U3417" s="9" t="s">
        <v>13284</v>
      </c>
      <c r="V3417" s="9" t="s">
        <v>13284</v>
      </c>
      <c r="W3417" s="12"/>
      <c r="X3417" s="9" t="str">
        <f t="array" ref="X3417">IFERROR(INDEX('Адреса общежитий (скрытый)'!$B$2:$B$9, MATCH(W3417, 'Адреса общежитий (скрытый)'!$A$2:$A$9, 0)), "")</f>
        <v/>
      </c>
      <c r="Y3417" s="18"/>
      <c r="Z3417" s="18"/>
      <c r="AA3417" s="18"/>
      <c r="AB3417" s="18"/>
      <c r="AC3417" s="18"/>
    </row>
    <row r="3418" spans="1:29" ht="32.25" hidden="1" customHeight="1">
      <c r="A3418" s="17"/>
      <c r="B3418" s="9" t="s">
        <v>13284</v>
      </c>
      <c r="C3418" s="9" t="s">
        <v>13284</v>
      </c>
      <c r="D3418" s="9" t="s">
        <v>13284</v>
      </c>
      <c r="E3418" s="9" t="s">
        <v>13284</v>
      </c>
      <c r="F3418" s="9" t="s">
        <v>13284</v>
      </c>
      <c r="G3418" s="9" t="s">
        <v>13284</v>
      </c>
      <c r="H3418" s="9" t="s">
        <v>13284</v>
      </c>
      <c r="I3418" s="9" t="s">
        <v>13284</v>
      </c>
      <c r="J3418" s="9" t="s">
        <v>13284</v>
      </c>
      <c r="K3418" s="9" t="s">
        <v>13284</v>
      </c>
      <c r="L3418" s="9" t="s">
        <v>13284</v>
      </c>
      <c r="M3418" s="9" t="s">
        <v>13284</v>
      </c>
      <c r="N3418" s="9" t="s">
        <v>13284</v>
      </c>
      <c r="O3418" s="9" t="s">
        <v>13284</v>
      </c>
      <c r="P3418" s="9" t="s">
        <v>13284</v>
      </c>
      <c r="Q3418" s="9" t="s">
        <v>13284</v>
      </c>
      <c r="R3418" s="9" t="s">
        <v>13284</v>
      </c>
      <c r="S3418" s="9" t="s">
        <v>13284</v>
      </c>
      <c r="T3418" s="9" t="str">
        <f ca="1">IFERROR(IF(AND(VLOOKUP(A3418, 'Актуальное состояние (из общего'!A:C,3,0) = "", A3418 &lt;&gt; ""), "ПРОВЕРИТЬ", VLOOKUP(A3418, 'Актуальное состояние (из общего'!A:C,3,0)), "")</f>
        <v/>
      </c>
      <c r="U3418" s="9" t="s">
        <v>13284</v>
      </c>
      <c r="V3418" s="9" t="s">
        <v>13284</v>
      </c>
      <c r="W3418" s="12"/>
      <c r="X3418" s="9" t="str">
        <f t="array" ref="X3418">IFERROR(INDEX('Адреса общежитий (скрытый)'!$B$2:$B$9, MATCH(W3418, 'Адреса общежитий (скрытый)'!$A$2:$A$9, 0)), "")</f>
        <v/>
      </c>
      <c r="Y3418" s="18"/>
      <c r="Z3418" s="18"/>
      <c r="AA3418" s="18"/>
      <c r="AB3418" s="18"/>
      <c r="AC3418" s="18"/>
    </row>
    <row r="3419" spans="1:29" ht="32.25" hidden="1" customHeight="1">
      <c r="A3419" s="17"/>
      <c r="B3419" s="9" t="s">
        <v>13284</v>
      </c>
      <c r="C3419" s="9" t="s">
        <v>13284</v>
      </c>
      <c r="D3419" s="9" t="s">
        <v>13284</v>
      </c>
      <c r="E3419" s="9" t="s">
        <v>13284</v>
      </c>
      <c r="F3419" s="9" t="s">
        <v>13284</v>
      </c>
      <c r="G3419" s="9" t="s">
        <v>13284</v>
      </c>
      <c r="H3419" s="9" t="s">
        <v>13284</v>
      </c>
      <c r="I3419" s="9" t="s">
        <v>13284</v>
      </c>
      <c r="J3419" s="9" t="s">
        <v>13284</v>
      </c>
      <c r="K3419" s="9" t="s">
        <v>13284</v>
      </c>
      <c r="L3419" s="9" t="s">
        <v>13284</v>
      </c>
      <c r="M3419" s="9" t="s">
        <v>13284</v>
      </c>
      <c r="N3419" s="9" t="s">
        <v>13284</v>
      </c>
      <c r="O3419" s="9" t="s">
        <v>13284</v>
      </c>
      <c r="P3419" s="9" t="s">
        <v>13284</v>
      </c>
      <c r="Q3419" s="9" t="s">
        <v>13284</v>
      </c>
      <c r="R3419" s="9" t="s">
        <v>13284</v>
      </c>
      <c r="S3419" s="9" t="s">
        <v>13284</v>
      </c>
      <c r="T3419" s="9" t="str">
        <f ca="1">IFERROR(IF(AND(VLOOKUP(A3419, 'Актуальное состояние (из общего'!A:C,3,0) = "", A3419 &lt;&gt; ""), "ПРОВЕРИТЬ", VLOOKUP(A3419, 'Актуальное состояние (из общего'!A:C,3,0)), "")</f>
        <v/>
      </c>
      <c r="U3419" s="9" t="s">
        <v>13284</v>
      </c>
      <c r="V3419" s="9" t="s">
        <v>13284</v>
      </c>
      <c r="W3419" s="12"/>
      <c r="X3419" s="9" t="str">
        <f t="array" ref="X3419">IFERROR(INDEX('Адреса общежитий (скрытый)'!$B$2:$B$9, MATCH(W3419, 'Адреса общежитий (скрытый)'!$A$2:$A$9, 0)), "")</f>
        <v/>
      </c>
      <c r="Y3419" s="18"/>
      <c r="Z3419" s="18"/>
      <c r="AA3419" s="18"/>
      <c r="AB3419" s="18"/>
      <c r="AC3419" s="18"/>
    </row>
    <row r="3420" spans="1:29" ht="32.25" hidden="1" customHeight="1">
      <c r="A3420" s="17"/>
      <c r="B3420" s="9" t="s">
        <v>13284</v>
      </c>
      <c r="C3420" s="9" t="s">
        <v>13284</v>
      </c>
      <c r="D3420" s="9" t="s">
        <v>13284</v>
      </c>
      <c r="E3420" s="9" t="s">
        <v>13284</v>
      </c>
      <c r="F3420" s="9" t="s">
        <v>13284</v>
      </c>
      <c r="G3420" s="9" t="s">
        <v>13284</v>
      </c>
      <c r="H3420" s="9" t="s">
        <v>13284</v>
      </c>
      <c r="I3420" s="9" t="s">
        <v>13284</v>
      </c>
      <c r="J3420" s="9" t="s">
        <v>13284</v>
      </c>
      <c r="K3420" s="9" t="s">
        <v>13284</v>
      </c>
      <c r="L3420" s="9" t="s">
        <v>13284</v>
      </c>
      <c r="M3420" s="9" t="s">
        <v>13284</v>
      </c>
      <c r="N3420" s="9" t="s">
        <v>13284</v>
      </c>
      <c r="O3420" s="9" t="s">
        <v>13284</v>
      </c>
      <c r="P3420" s="9" t="s">
        <v>13284</v>
      </c>
      <c r="Q3420" s="9" t="s">
        <v>13284</v>
      </c>
      <c r="R3420" s="9" t="s">
        <v>13284</v>
      </c>
      <c r="S3420" s="9" t="s">
        <v>13284</v>
      </c>
      <c r="T3420" s="9" t="str">
        <f ca="1">IFERROR(IF(AND(VLOOKUP(A3420, 'Актуальное состояние (из общего'!A:C,3,0) = "", A3420 &lt;&gt; ""), "ПРОВЕРИТЬ", VLOOKUP(A3420, 'Актуальное состояние (из общего'!A:C,3,0)), "")</f>
        <v/>
      </c>
      <c r="U3420" s="9" t="s">
        <v>13284</v>
      </c>
      <c r="V3420" s="9" t="s">
        <v>13284</v>
      </c>
      <c r="W3420" s="12"/>
      <c r="X3420" s="9" t="str">
        <f t="array" ref="X3420">IFERROR(INDEX('Адреса общежитий (скрытый)'!$B$2:$B$9, MATCH(W3420, 'Адреса общежитий (скрытый)'!$A$2:$A$9, 0)), "")</f>
        <v/>
      </c>
      <c r="Y3420" s="18"/>
      <c r="Z3420" s="18"/>
      <c r="AA3420" s="18"/>
      <c r="AB3420" s="18"/>
      <c r="AC3420" s="18"/>
    </row>
    <row r="3421" spans="1:29" ht="32.25" hidden="1" customHeight="1">
      <c r="A3421" s="17"/>
      <c r="B3421" s="9" t="s">
        <v>13284</v>
      </c>
      <c r="C3421" s="9" t="s">
        <v>13284</v>
      </c>
      <c r="D3421" s="9" t="s">
        <v>13284</v>
      </c>
      <c r="E3421" s="9" t="s">
        <v>13284</v>
      </c>
      <c r="F3421" s="9" t="s">
        <v>13284</v>
      </c>
      <c r="G3421" s="9" t="s">
        <v>13284</v>
      </c>
      <c r="H3421" s="9" t="s">
        <v>13284</v>
      </c>
      <c r="I3421" s="9" t="s">
        <v>13284</v>
      </c>
      <c r="J3421" s="9" t="s">
        <v>13284</v>
      </c>
      <c r="K3421" s="9" t="s">
        <v>13284</v>
      </c>
      <c r="L3421" s="9" t="s">
        <v>13284</v>
      </c>
      <c r="M3421" s="9" t="s">
        <v>13284</v>
      </c>
      <c r="N3421" s="9" t="s">
        <v>13284</v>
      </c>
      <c r="O3421" s="9" t="s">
        <v>13284</v>
      </c>
      <c r="P3421" s="9" t="s">
        <v>13284</v>
      </c>
      <c r="Q3421" s="9" t="s">
        <v>13284</v>
      </c>
      <c r="R3421" s="9" t="s">
        <v>13284</v>
      </c>
      <c r="S3421" s="9" t="s">
        <v>13284</v>
      </c>
      <c r="T3421" s="9" t="str">
        <f ca="1">IFERROR(IF(AND(VLOOKUP(A3421, 'Актуальное состояние (из общего'!A:C,3,0) = "", A3421 &lt;&gt; ""), "ПРОВЕРИТЬ", VLOOKUP(A3421, 'Актуальное состояние (из общего'!A:C,3,0)), "")</f>
        <v/>
      </c>
      <c r="U3421" s="9" t="s">
        <v>13284</v>
      </c>
      <c r="V3421" s="9" t="s">
        <v>13284</v>
      </c>
      <c r="W3421" s="12"/>
      <c r="X3421" s="9" t="str">
        <f t="array" ref="X3421">IFERROR(INDEX('Адреса общежитий (скрытый)'!$B$2:$B$9, MATCH(W3421, 'Адреса общежитий (скрытый)'!$A$2:$A$9, 0)), "")</f>
        <v/>
      </c>
      <c r="Y3421" s="18"/>
      <c r="Z3421" s="18"/>
      <c r="AA3421" s="18"/>
      <c r="AB3421" s="18"/>
      <c r="AC3421" s="18"/>
    </row>
    <row r="3422" spans="1:29" ht="32.25" hidden="1" customHeight="1">
      <c r="A3422" s="17"/>
      <c r="B3422" s="9" t="s">
        <v>13284</v>
      </c>
      <c r="C3422" s="9" t="s">
        <v>13284</v>
      </c>
      <c r="D3422" s="9" t="s">
        <v>13284</v>
      </c>
      <c r="E3422" s="9" t="s">
        <v>13284</v>
      </c>
      <c r="F3422" s="9" t="s">
        <v>13284</v>
      </c>
      <c r="G3422" s="9" t="s">
        <v>13284</v>
      </c>
      <c r="H3422" s="9" t="s">
        <v>13284</v>
      </c>
      <c r="I3422" s="9" t="s">
        <v>13284</v>
      </c>
      <c r="J3422" s="9" t="s">
        <v>13284</v>
      </c>
      <c r="K3422" s="9" t="s">
        <v>13284</v>
      </c>
      <c r="L3422" s="9" t="s">
        <v>13284</v>
      </c>
      <c r="M3422" s="9" t="s">
        <v>13284</v>
      </c>
      <c r="N3422" s="9" t="s">
        <v>13284</v>
      </c>
      <c r="O3422" s="9" t="s">
        <v>13284</v>
      </c>
      <c r="P3422" s="9" t="s">
        <v>13284</v>
      </c>
      <c r="Q3422" s="9" t="s">
        <v>13284</v>
      </c>
      <c r="R3422" s="9" t="s">
        <v>13284</v>
      </c>
      <c r="S3422" s="9" t="s">
        <v>13284</v>
      </c>
      <c r="T3422" s="9" t="str">
        <f ca="1">IFERROR(IF(AND(VLOOKUP(A3422, 'Актуальное состояние (из общего'!A:C,3,0) = "", A3422 &lt;&gt; ""), "ПРОВЕРИТЬ", VLOOKUP(A3422, 'Актуальное состояние (из общего'!A:C,3,0)), "")</f>
        <v/>
      </c>
      <c r="U3422" s="9" t="s">
        <v>13284</v>
      </c>
      <c r="V3422" s="9" t="s">
        <v>13284</v>
      </c>
      <c r="W3422" s="12"/>
      <c r="X3422" s="9" t="str">
        <f t="array" ref="X3422">IFERROR(INDEX('Адреса общежитий (скрытый)'!$B$2:$B$9, MATCH(W3422, 'Адреса общежитий (скрытый)'!$A$2:$A$9, 0)), "")</f>
        <v/>
      </c>
      <c r="Y3422" s="18"/>
      <c r="Z3422" s="18"/>
      <c r="AA3422" s="18"/>
      <c r="AB3422" s="18"/>
      <c r="AC3422" s="18"/>
    </row>
    <row r="3423" spans="1:29" ht="32.25" hidden="1" customHeight="1">
      <c r="A3423" s="17"/>
      <c r="B3423" s="9" t="s">
        <v>13284</v>
      </c>
      <c r="C3423" s="9" t="s">
        <v>13284</v>
      </c>
      <c r="D3423" s="9" t="s">
        <v>13284</v>
      </c>
      <c r="E3423" s="9" t="s">
        <v>13284</v>
      </c>
      <c r="F3423" s="9" t="s">
        <v>13284</v>
      </c>
      <c r="G3423" s="9" t="s">
        <v>13284</v>
      </c>
      <c r="H3423" s="9" t="s">
        <v>13284</v>
      </c>
      <c r="I3423" s="9" t="s">
        <v>13284</v>
      </c>
      <c r="J3423" s="9" t="s">
        <v>13284</v>
      </c>
      <c r="K3423" s="9" t="s">
        <v>13284</v>
      </c>
      <c r="L3423" s="9" t="s">
        <v>13284</v>
      </c>
      <c r="M3423" s="9" t="s">
        <v>13284</v>
      </c>
      <c r="N3423" s="9" t="s">
        <v>13284</v>
      </c>
      <c r="O3423" s="9" t="s">
        <v>13284</v>
      </c>
      <c r="P3423" s="9" t="s">
        <v>13284</v>
      </c>
      <c r="Q3423" s="9" t="s">
        <v>13284</v>
      </c>
      <c r="R3423" s="9" t="s">
        <v>13284</v>
      </c>
      <c r="S3423" s="9" t="s">
        <v>13284</v>
      </c>
      <c r="T3423" s="9" t="str">
        <f ca="1">IFERROR(IF(AND(VLOOKUP(A3423, 'Актуальное состояние (из общего'!A:C,3,0) = "", A3423 &lt;&gt; ""), "ПРОВЕРИТЬ", VLOOKUP(A3423, 'Актуальное состояние (из общего'!A:C,3,0)), "")</f>
        <v/>
      </c>
      <c r="U3423" s="9" t="s">
        <v>13284</v>
      </c>
      <c r="V3423" s="9" t="s">
        <v>13284</v>
      </c>
      <c r="W3423" s="12"/>
      <c r="X3423" s="9" t="str">
        <f t="array" ref="X3423">IFERROR(INDEX('Адреса общежитий (скрытый)'!$B$2:$B$9, MATCH(W3423, 'Адреса общежитий (скрытый)'!$A$2:$A$9, 0)), "")</f>
        <v/>
      </c>
      <c r="Y3423" s="18"/>
      <c r="Z3423" s="18"/>
      <c r="AA3423" s="18"/>
      <c r="AB3423" s="18"/>
      <c r="AC3423" s="18"/>
    </row>
    <row r="3424" spans="1:29" ht="32.25" hidden="1" customHeight="1">
      <c r="A3424" s="17"/>
      <c r="B3424" s="9" t="s">
        <v>13284</v>
      </c>
      <c r="C3424" s="9" t="s">
        <v>13284</v>
      </c>
      <c r="D3424" s="9" t="s">
        <v>13284</v>
      </c>
      <c r="E3424" s="9" t="s">
        <v>13284</v>
      </c>
      <c r="F3424" s="9" t="s">
        <v>13284</v>
      </c>
      <c r="G3424" s="9" t="s">
        <v>13284</v>
      </c>
      <c r="H3424" s="9" t="s">
        <v>13284</v>
      </c>
      <c r="I3424" s="9" t="s">
        <v>13284</v>
      </c>
      <c r="J3424" s="9" t="s">
        <v>13284</v>
      </c>
      <c r="K3424" s="9" t="s">
        <v>13284</v>
      </c>
      <c r="L3424" s="9" t="s">
        <v>13284</v>
      </c>
      <c r="M3424" s="9" t="s">
        <v>13284</v>
      </c>
      <c r="N3424" s="9" t="s">
        <v>13284</v>
      </c>
      <c r="O3424" s="9" t="s">
        <v>13284</v>
      </c>
      <c r="P3424" s="9" t="s">
        <v>13284</v>
      </c>
      <c r="Q3424" s="9" t="s">
        <v>13284</v>
      </c>
      <c r="R3424" s="9" t="s">
        <v>13284</v>
      </c>
      <c r="S3424" s="9" t="s">
        <v>13284</v>
      </c>
      <c r="T3424" s="9" t="str">
        <f ca="1">IFERROR(IF(AND(VLOOKUP(A3424, 'Актуальное состояние (из общего'!A:C,3,0) = "", A3424 &lt;&gt; ""), "ПРОВЕРИТЬ", VLOOKUP(A3424, 'Актуальное состояние (из общего'!A:C,3,0)), "")</f>
        <v/>
      </c>
      <c r="U3424" s="9" t="s">
        <v>13284</v>
      </c>
      <c r="V3424" s="9" t="s">
        <v>13284</v>
      </c>
      <c r="W3424" s="12"/>
      <c r="X3424" s="9" t="str">
        <f t="array" ref="X3424">IFERROR(INDEX('Адреса общежитий (скрытый)'!$B$2:$B$9, MATCH(W3424, 'Адреса общежитий (скрытый)'!$A$2:$A$9, 0)), "")</f>
        <v/>
      </c>
      <c r="Y3424" s="18"/>
      <c r="Z3424" s="18"/>
      <c r="AA3424" s="18"/>
      <c r="AB3424" s="18"/>
      <c r="AC3424" s="18"/>
    </row>
    <row r="3425" spans="1:29" ht="32.25" hidden="1" customHeight="1">
      <c r="A3425" s="17"/>
      <c r="B3425" s="9" t="s">
        <v>13284</v>
      </c>
      <c r="C3425" s="9" t="s">
        <v>13284</v>
      </c>
      <c r="D3425" s="9" t="s">
        <v>13284</v>
      </c>
      <c r="E3425" s="9" t="s">
        <v>13284</v>
      </c>
      <c r="F3425" s="9" t="s">
        <v>13284</v>
      </c>
      <c r="G3425" s="9" t="s">
        <v>13284</v>
      </c>
      <c r="H3425" s="9" t="s">
        <v>13284</v>
      </c>
      <c r="I3425" s="9" t="s">
        <v>13284</v>
      </c>
      <c r="J3425" s="9" t="s">
        <v>13284</v>
      </c>
      <c r="K3425" s="9" t="s">
        <v>13284</v>
      </c>
      <c r="L3425" s="9" t="s">
        <v>13284</v>
      </c>
      <c r="M3425" s="9" t="s">
        <v>13284</v>
      </c>
      <c r="N3425" s="9" t="s">
        <v>13284</v>
      </c>
      <c r="O3425" s="9" t="s">
        <v>13284</v>
      </c>
      <c r="P3425" s="9" t="s">
        <v>13284</v>
      </c>
      <c r="Q3425" s="9" t="s">
        <v>13284</v>
      </c>
      <c r="R3425" s="9" t="s">
        <v>13284</v>
      </c>
      <c r="S3425" s="9" t="s">
        <v>13284</v>
      </c>
      <c r="T3425" s="9" t="str">
        <f ca="1">IFERROR(IF(AND(VLOOKUP(A3425, 'Актуальное состояние (из общего'!A:C,3,0) = "", A3425 &lt;&gt; ""), "ПРОВЕРИТЬ", VLOOKUP(A3425, 'Актуальное состояние (из общего'!A:C,3,0)), "")</f>
        <v/>
      </c>
      <c r="U3425" s="9" t="s">
        <v>13284</v>
      </c>
      <c r="V3425" s="9" t="s">
        <v>13284</v>
      </c>
      <c r="W3425" s="12"/>
      <c r="X3425" s="9" t="str">
        <f t="array" ref="X3425">IFERROR(INDEX('Адреса общежитий (скрытый)'!$B$2:$B$9, MATCH(W3425, 'Адреса общежитий (скрытый)'!$A$2:$A$9, 0)), "")</f>
        <v/>
      </c>
      <c r="Y3425" s="18"/>
      <c r="Z3425" s="18"/>
      <c r="AA3425" s="18"/>
      <c r="AB3425" s="18"/>
      <c r="AC3425" s="18"/>
    </row>
    <row r="3426" spans="1:29" ht="32.25" hidden="1" customHeight="1">
      <c r="A3426" s="17"/>
      <c r="B3426" s="9" t="s">
        <v>13284</v>
      </c>
      <c r="C3426" s="9" t="s">
        <v>13284</v>
      </c>
      <c r="D3426" s="9" t="s">
        <v>13284</v>
      </c>
      <c r="E3426" s="9" t="s">
        <v>13284</v>
      </c>
      <c r="F3426" s="9" t="s">
        <v>13284</v>
      </c>
      <c r="G3426" s="9" t="s">
        <v>13284</v>
      </c>
      <c r="H3426" s="9" t="s">
        <v>13284</v>
      </c>
      <c r="I3426" s="9" t="s">
        <v>13284</v>
      </c>
      <c r="J3426" s="9" t="s">
        <v>13284</v>
      </c>
      <c r="K3426" s="9" t="s">
        <v>13284</v>
      </c>
      <c r="L3426" s="9" t="s">
        <v>13284</v>
      </c>
      <c r="M3426" s="9" t="s">
        <v>13284</v>
      </c>
      <c r="N3426" s="9" t="s">
        <v>13284</v>
      </c>
      <c r="O3426" s="9" t="s">
        <v>13284</v>
      </c>
      <c r="P3426" s="9" t="s">
        <v>13284</v>
      </c>
      <c r="Q3426" s="9" t="s">
        <v>13284</v>
      </c>
      <c r="R3426" s="9" t="s">
        <v>13284</v>
      </c>
      <c r="S3426" s="9" t="s">
        <v>13284</v>
      </c>
      <c r="T3426" s="9" t="str">
        <f ca="1">IFERROR(IF(AND(VLOOKUP(A3426, 'Актуальное состояние (из общего'!A:C,3,0) = "", A3426 &lt;&gt; ""), "ПРОВЕРИТЬ", VLOOKUP(A3426, 'Актуальное состояние (из общего'!A:C,3,0)), "")</f>
        <v/>
      </c>
      <c r="U3426" s="9" t="s">
        <v>13284</v>
      </c>
      <c r="V3426" s="9" t="s">
        <v>13284</v>
      </c>
      <c r="W3426" s="12"/>
      <c r="X3426" s="9" t="str">
        <f t="array" ref="X3426">IFERROR(INDEX('Адреса общежитий (скрытый)'!$B$2:$B$9, MATCH(W3426, 'Адреса общежитий (скрытый)'!$A$2:$A$9, 0)), "")</f>
        <v/>
      </c>
      <c r="Y3426" s="18"/>
      <c r="Z3426" s="18"/>
      <c r="AA3426" s="18"/>
      <c r="AB3426" s="18"/>
      <c r="AC3426" s="18"/>
    </row>
    <row r="3427" spans="1:29" ht="32.25" hidden="1" customHeight="1">
      <c r="A3427" s="17"/>
      <c r="B3427" s="9" t="s">
        <v>13284</v>
      </c>
      <c r="C3427" s="9" t="s">
        <v>13284</v>
      </c>
      <c r="D3427" s="9" t="s">
        <v>13284</v>
      </c>
      <c r="E3427" s="9" t="s">
        <v>13284</v>
      </c>
      <c r="F3427" s="9" t="s">
        <v>13284</v>
      </c>
      <c r="G3427" s="9" t="s">
        <v>13284</v>
      </c>
      <c r="H3427" s="9" t="s">
        <v>13284</v>
      </c>
      <c r="I3427" s="9" t="s">
        <v>13284</v>
      </c>
      <c r="J3427" s="9" t="s">
        <v>13284</v>
      </c>
      <c r="K3427" s="9" t="s">
        <v>13284</v>
      </c>
      <c r="L3427" s="9" t="s">
        <v>13284</v>
      </c>
      <c r="M3427" s="9" t="s">
        <v>13284</v>
      </c>
      <c r="N3427" s="9" t="s">
        <v>13284</v>
      </c>
      <c r="O3427" s="9" t="s">
        <v>13284</v>
      </c>
      <c r="P3427" s="9" t="s">
        <v>13284</v>
      </c>
      <c r="Q3427" s="9" t="s">
        <v>13284</v>
      </c>
      <c r="R3427" s="9" t="s">
        <v>13284</v>
      </c>
      <c r="S3427" s="9" t="s">
        <v>13284</v>
      </c>
      <c r="T3427" s="9" t="str">
        <f ca="1">IFERROR(IF(AND(VLOOKUP(A3427, 'Актуальное состояние (из общего'!A:C,3,0) = "", A3427 &lt;&gt; ""), "ПРОВЕРИТЬ", VLOOKUP(A3427, 'Актуальное состояние (из общего'!A:C,3,0)), "")</f>
        <v/>
      </c>
      <c r="U3427" s="9" t="s">
        <v>13284</v>
      </c>
      <c r="V3427" s="9" t="s">
        <v>13284</v>
      </c>
      <c r="W3427" s="12"/>
      <c r="X3427" s="9" t="str">
        <f t="array" ref="X3427">IFERROR(INDEX('Адреса общежитий (скрытый)'!$B$2:$B$9, MATCH(W3427, 'Адреса общежитий (скрытый)'!$A$2:$A$9, 0)), "")</f>
        <v/>
      </c>
      <c r="Y3427" s="18"/>
      <c r="Z3427" s="18"/>
      <c r="AA3427" s="18"/>
      <c r="AB3427" s="18"/>
      <c r="AC3427" s="18"/>
    </row>
    <row r="3428" spans="1:29" ht="32.25" hidden="1" customHeight="1">
      <c r="A3428" s="17"/>
      <c r="B3428" s="9" t="s">
        <v>13284</v>
      </c>
      <c r="C3428" s="9" t="s">
        <v>13284</v>
      </c>
      <c r="D3428" s="9" t="s">
        <v>13284</v>
      </c>
      <c r="E3428" s="9" t="s">
        <v>13284</v>
      </c>
      <c r="F3428" s="9" t="s">
        <v>13284</v>
      </c>
      <c r="G3428" s="9" t="s">
        <v>13284</v>
      </c>
      <c r="H3428" s="9" t="s">
        <v>13284</v>
      </c>
      <c r="I3428" s="9" t="s">
        <v>13284</v>
      </c>
      <c r="J3428" s="9" t="s">
        <v>13284</v>
      </c>
      <c r="K3428" s="9" t="s">
        <v>13284</v>
      </c>
      <c r="L3428" s="9" t="s">
        <v>13284</v>
      </c>
      <c r="M3428" s="9" t="s">
        <v>13284</v>
      </c>
      <c r="N3428" s="9" t="s">
        <v>13284</v>
      </c>
      <c r="O3428" s="9" t="s">
        <v>13284</v>
      </c>
      <c r="P3428" s="9" t="s">
        <v>13284</v>
      </c>
      <c r="Q3428" s="9" t="s">
        <v>13284</v>
      </c>
      <c r="R3428" s="9" t="s">
        <v>13284</v>
      </c>
      <c r="S3428" s="9" t="s">
        <v>13284</v>
      </c>
      <c r="T3428" s="9" t="str">
        <f ca="1">IFERROR(IF(AND(VLOOKUP(A3428, 'Актуальное состояние (из общего'!A:C,3,0) = "", A3428 &lt;&gt; ""), "ПРОВЕРИТЬ", VLOOKUP(A3428, 'Актуальное состояние (из общего'!A:C,3,0)), "")</f>
        <v/>
      </c>
      <c r="U3428" s="9" t="s">
        <v>13284</v>
      </c>
      <c r="V3428" s="9" t="s">
        <v>13284</v>
      </c>
      <c r="W3428" s="12"/>
      <c r="X3428" s="9" t="str">
        <f t="array" ref="X3428">IFERROR(INDEX('Адреса общежитий (скрытый)'!$B$2:$B$9, MATCH(W3428, 'Адреса общежитий (скрытый)'!$A$2:$A$9, 0)), "")</f>
        <v/>
      </c>
      <c r="Y3428" s="18"/>
      <c r="Z3428" s="18"/>
      <c r="AA3428" s="18"/>
      <c r="AB3428" s="18"/>
      <c r="AC3428" s="18"/>
    </row>
    <row r="3429" spans="1:29" ht="32.25" hidden="1" customHeight="1">
      <c r="A3429" s="17"/>
      <c r="B3429" s="9" t="s">
        <v>13284</v>
      </c>
      <c r="C3429" s="9" t="s">
        <v>13284</v>
      </c>
      <c r="D3429" s="9" t="s">
        <v>13284</v>
      </c>
      <c r="E3429" s="9" t="s">
        <v>13284</v>
      </c>
      <c r="F3429" s="9" t="s">
        <v>13284</v>
      </c>
      <c r="G3429" s="9" t="s">
        <v>13284</v>
      </c>
      <c r="H3429" s="9" t="s">
        <v>13284</v>
      </c>
      <c r="I3429" s="9" t="s">
        <v>13284</v>
      </c>
      <c r="J3429" s="9" t="s">
        <v>13284</v>
      </c>
      <c r="K3429" s="9" t="s">
        <v>13284</v>
      </c>
      <c r="L3429" s="9" t="s">
        <v>13284</v>
      </c>
      <c r="M3429" s="9" t="s">
        <v>13284</v>
      </c>
      <c r="N3429" s="9" t="s">
        <v>13284</v>
      </c>
      <c r="O3429" s="9" t="s">
        <v>13284</v>
      </c>
      <c r="P3429" s="9" t="s">
        <v>13284</v>
      </c>
      <c r="Q3429" s="9" t="s">
        <v>13284</v>
      </c>
      <c r="R3429" s="9" t="s">
        <v>13284</v>
      </c>
      <c r="S3429" s="9" t="s">
        <v>13284</v>
      </c>
      <c r="T3429" s="9" t="str">
        <f ca="1">IFERROR(IF(AND(VLOOKUP(A3429, 'Актуальное состояние (из общего'!A:C,3,0) = "", A3429 &lt;&gt; ""), "ПРОВЕРИТЬ", VLOOKUP(A3429, 'Актуальное состояние (из общего'!A:C,3,0)), "")</f>
        <v/>
      </c>
      <c r="U3429" s="9" t="s">
        <v>13284</v>
      </c>
      <c r="V3429" s="9" t="s">
        <v>13284</v>
      </c>
      <c r="W3429" s="12"/>
      <c r="X3429" s="9" t="str">
        <f t="array" ref="X3429">IFERROR(INDEX('Адреса общежитий (скрытый)'!$B$2:$B$9, MATCH(W3429, 'Адреса общежитий (скрытый)'!$A$2:$A$9, 0)), "")</f>
        <v/>
      </c>
      <c r="Y3429" s="18"/>
      <c r="Z3429" s="18"/>
      <c r="AA3429" s="18"/>
      <c r="AB3429" s="18"/>
      <c r="AC3429" s="18"/>
    </row>
    <row r="3430" spans="1:29" ht="32.25" hidden="1" customHeight="1">
      <c r="A3430" s="17"/>
      <c r="B3430" s="9" t="s">
        <v>13284</v>
      </c>
      <c r="C3430" s="9" t="s">
        <v>13284</v>
      </c>
      <c r="D3430" s="9" t="s">
        <v>13284</v>
      </c>
      <c r="E3430" s="9" t="s">
        <v>13284</v>
      </c>
      <c r="F3430" s="9" t="s">
        <v>13284</v>
      </c>
      <c r="G3430" s="9" t="s">
        <v>13284</v>
      </c>
      <c r="H3430" s="9" t="s">
        <v>13284</v>
      </c>
      <c r="I3430" s="9" t="s">
        <v>13284</v>
      </c>
      <c r="J3430" s="9" t="s">
        <v>13284</v>
      </c>
      <c r="K3430" s="9" t="s">
        <v>13284</v>
      </c>
      <c r="L3430" s="9" t="s">
        <v>13284</v>
      </c>
      <c r="M3430" s="9" t="s">
        <v>13284</v>
      </c>
      <c r="N3430" s="9" t="s">
        <v>13284</v>
      </c>
      <c r="O3430" s="9" t="s">
        <v>13284</v>
      </c>
      <c r="P3430" s="9" t="s">
        <v>13284</v>
      </c>
      <c r="Q3430" s="9" t="s">
        <v>13284</v>
      </c>
      <c r="R3430" s="9" t="s">
        <v>13284</v>
      </c>
      <c r="S3430" s="9" t="s">
        <v>13284</v>
      </c>
      <c r="T3430" s="9" t="str">
        <f ca="1">IFERROR(IF(AND(VLOOKUP(A3430, 'Актуальное состояние (из общего'!A:C,3,0) = "", A3430 &lt;&gt; ""), "ПРОВЕРИТЬ", VLOOKUP(A3430, 'Актуальное состояние (из общего'!A:C,3,0)), "")</f>
        <v/>
      </c>
      <c r="U3430" s="9" t="s">
        <v>13284</v>
      </c>
      <c r="V3430" s="9" t="s">
        <v>13284</v>
      </c>
      <c r="W3430" s="12"/>
      <c r="X3430" s="9" t="str">
        <f t="array" ref="X3430">IFERROR(INDEX('Адреса общежитий (скрытый)'!$B$2:$B$9, MATCH(W3430, 'Адреса общежитий (скрытый)'!$A$2:$A$9, 0)), "")</f>
        <v/>
      </c>
      <c r="Y3430" s="18"/>
      <c r="Z3430" s="18"/>
      <c r="AA3430" s="18"/>
      <c r="AB3430" s="18"/>
      <c r="AC3430" s="18"/>
    </row>
    <row r="3431" spans="1:29" ht="32.25" hidden="1" customHeight="1">
      <c r="A3431" s="17"/>
      <c r="B3431" s="9" t="s">
        <v>13284</v>
      </c>
      <c r="C3431" s="9" t="s">
        <v>13284</v>
      </c>
      <c r="D3431" s="9" t="s">
        <v>13284</v>
      </c>
      <c r="E3431" s="9" t="s">
        <v>13284</v>
      </c>
      <c r="F3431" s="9" t="s">
        <v>13284</v>
      </c>
      <c r="G3431" s="9" t="s">
        <v>13284</v>
      </c>
      <c r="H3431" s="9" t="s">
        <v>13284</v>
      </c>
      <c r="I3431" s="9" t="s">
        <v>13284</v>
      </c>
      <c r="J3431" s="9" t="s">
        <v>13284</v>
      </c>
      <c r="K3431" s="9" t="s">
        <v>13284</v>
      </c>
      <c r="L3431" s="9" t="s">
        <v>13284</v>
      </c>
      <c r="M3431" s="9" t="s">
        <v>13284</v>
      </c>
      <c r="N3431" s="9" t="s">
        <v>13284</v>
      </c>
      <c r="O3431" s="9" t="s">
        <v>13284</v>
      </c>
      <c r="P3431" s="9" t="s">
        <v>13284</v>
      </c>
      <c r="Q3431" s="9" t="s">
        <v>13284</v>
      </c>
      <c r="R3431" s="9" t="s">
        <v>13284</v>
      </c>
      <c r="S3431" s="9" t="s">
        <v>13284</v>
      </c>
      <c r="T3431" s="9" t="str">
        <f ca="1">IFERROR(IF(AND(VLOOKUP(A3431, 'Актуальное состояние (из общего'!A:C,3,0) = "", A3431 &lt;&gt; ""), "ПРОВЕРИТЬ", VLOOKUP(A3431, 'Актуальное состояние (из общего'!A:C,3,0)), "")</f>
        <v/>
      </c>
      <c r="U3431" s="9" t="s">
        <v>13284</v>
      </c>
      <c r="V3431" s="9" t="s">
        <v>13284</v>
      </c>
      <c r="W3431" s="12"/>
      <c r="X3431" s="9" t="str">
        <f t="array" ref="X3431">IFERROR(INDEX('Адреса общежитий (скрытый)'!$B$2:$B$9, MATCH(W3431, 'Адреса общежитий (скрытый)'!$A$2:$A$9, 0)), "")</f>
        <v/>
      </c>
      <c r="Y3431" s="18"/>
      <c r="Z3431" s="18"/>
      <c r="AA3431" s="18"/>
      <c r="AB3431" s="18"/>
      <c r="AC3431" s="18"/>
    </row>
    <row r="3432" spans="1:29" ht="32.25" hidden="1" customHeight="1">
      <c r="A3432" s="17"/>
      <c r="B3432" s="9" t="s">
        <v>13284</v>
      </c>
      <c r="C3432" s="9" t="s">
        <v>13284</v>
      </c>
      <c r="D3432" s="9" t="s">
        <v>13284</v>
      </c>
      <c r="E3432" s="9" t="s">
        <v>13284</v>
      </c>
      <c r="F3432" s="9" t="s">
        <v>13284</v>
      </c>
      <c r="G3432" s="9" t="s">
        <v>13284</v>
      </c>
      <c r="H3432" s="9" t="s">
        <v>13284</v>
      </c>
      <c r="I3432" s="9" t="s">
        <v>13284</v>
      </c>
      <c r="J3432" s="9" t="s">
        <v>13284</v>
      </c>
      <c r="K3432" s="9" t="s">
        <v>13284</v>
      </c>
      <c r="L3432" s="9" t="s">
        <v>13284</v>
      </c>
      <c r="M3432" s="9" t="s">
        <v>13284</v>
      </c>
      <c r="N3432" s="9" t="s">
        <v>13284</v>
      </c>
      <c r="O3432" s="9" t="s">
        <v>13284</v>
      </c>
      <c r="P3432" s="9" t="s">
        <v>13284</v>
      </c>
      <c r="Q3432" s="9" t="s">
        <v>13284</v>
      </c>
      <c r="R3432" s="9" t="s">
        <v>13284</v>
      </c>
      <c r="S3432" s="9" t="s">
        <v>13284</v>
      </c>
      <c r="T3432" s="9" t="str">
        <f ca="1">IFERROR(IF(AND(VLOOKUP(A3432, 'Актуальное состояние (из общего'!A:C,3,0) = "", A3432 &lt;&gt; ""), "ПРОВЕРИТЬ", VLOOKUP(A3432, 'Актуальное состояние (из общего'!A:C,3,0)), "")</f>
        <v/>
      </c>
      <c r="U3432" s="9" t="s">
        <v>13284</v>
      </c>
      <c r="V3432" s="9" t="s">
        <v>13284</v>
      </c>
      <c r="W3432" s="12"/>
      <c r="X3432" s="9" t="str">
        <f t="array" ref="X3432">IFERROR(INDEX('Адреса общежитий (скрытый)'!$B$2:$B$9, MATCH(W3432, 'Адреса общежитий (скрытый)'!$A$2:$A$9, 0)), "")</f>
        <v/>
      </c>
      <c r="Y3432" s="18"/>
      <c r="Z3432" s="18"/>
      <c r="AA3432" s="18"/>
      <c r="AB3432" s="18"/>
      <c r="AC3432" s="18"/>
    </row>
    <row r="3433" spans="1:29" ht="32.25" hidden="1" customHeight="1">
      <c r="A3433" s="17"/>
      <c r="B3433" s="9" t="s">
        <v>13284</v>
      </c>
      <c r="C3433" s="9" t="s">
        <v>13284</v>
      </c>
      <c r="D3433" s="9" t="s">
        <v>13284</v>
      </c>
      <c r="E3433" s="9" t="s">
        <v>13284</v>
      </c>
      <c r="F3433" s="9" t="s">
        <v>13284</v>
      </c>
      <c r="G3433" s="9" t="s">
        <v>13284</v>
      </c>
      <c r="H3433" s="9" t="s">
        <v>13284</v>
      </c>
      <c r="I3433" s="9" t="s">
        <v>13284</v>
      </c>
      <c r="J3433" s="9" t="s">
        <v>13284</v>
      </c>
      <c r="K3433" s="9" t="s">
        <v>13284</v>
      </c>
      <c r="L3433" s="9" t="s">
        <v>13284</v>
      </c>
      <c r="M3433" s="9" t="s">
        <v>13284</v>
      </c>
      <c r="N3433" s="9" t="s">
        <v>13284</v>
      </c>
      <c r="O3433" s="9" t="s">
        <v>13284</v>
      </c>
      <c r="P3433" s="9" t="s">
        <v>13284</v>
      </c>
      <c r="Q3433" s="9" t="s">
        <v>13284</v>
      </c>
      <c r="R3433" s="9" t="s">
        <v>13284</v>
      </c>
      <c r="S3433" s="9" t="s">
        <v>13284</v>
      </c>
      <c r="T3433" s="9" t="str">
        <f ca="1">IFERROR(IF(AND(VLOOKUP(A3433, 'Актуальное состояние (из общего'!A:C,3,0) = "", A3433 &lt;&gt; ""), "ПРОВЕРИТЬ", VLOOKUP(A3433, 'Актуальное состояние (из общего'!A:C,3,0)), "")</f>
        <v/>
      </c>
      <c r="U3433" s="9" t="s">
        <v>13284</v>
      </c>
      <c r="V3433" s="9" t="s">
        <v>13284</v>
      </c>
      <c r="W3433" s="12"/>
      <c r="X3433" s="9" t="str">
        <f t="array" ref="X3433">IFERROR(INDEX('Адреса общежитий (скрытый)'!$B$2:$B$9, MATCH(W3433, 'Адреса общежитий (скрытый)'!$A$2:$A$9, 0)), "")</f>
        <v/>
      </c>
      <c r="Y3433" s="18"/>
      <c r="Z3433" s="18"/>
      <c r="AA3433" s="18"/>
      <c r="AB3433" s="18"/>
      <c r="AC3433" s="18"/>
    </row>
    <row r="3434" spans="1:29" ht="32.25" hidden="1" customHeight="1">
      <c r="A3434" s="17"/>
      <c r="B3434" s="9" t="s">
        <v>13284</v>
      </c>
      <c r="C3434" s="9" t="s">
        <v>13284</v>
      </c>
      <c r="D3434" s="9" t="s">
        <v>13284</v>
      </c>
      <c r="E3434" s="9" t="s">
        <v>13284</v>
      </c>
      <c r="F3434" s="9" t="s">
        <v>13284</v>
      </c>
      <c r="G3434" s="9" t="s">
        <v>13284</v>
      </c>
      <c r="H3434" s="9" t="s">
        <v>13284</v>
      </c>
      <c r="I3434" s="9" t="s">
        <v>13284</v>
      </c>
      <c r="J3434" s="9" t="s">
        <v>13284</v>
      </c>
      <c r="K3434" s="9" t="s">
        <v>13284</v>
      </c>
      <c r="L3434" s="9" t="s">
        <v>13284</v>
      </c>
      <c r="M3434" s="9" t="s">
        <v>13284</v>
      </c>
      <c r="N3434" s="9" t="s">
        <v>13284</v>
      </c>
      <c r="O3434" s="9" t="s">
        <v>13284</v>
      </c>
      <c r="P3434" s="9" t="s">
        <v>13284</v>
      </c>
      <c r="Q3434" s="9" t="s">
        <v>13284</v>
      </c>
      <c r="R3434" s="9" t="s">
        <v>13284</v>
      </c>
      <c r="S3434" s="9" t="s">
        <v>13284</v>
      </c>
      <c r="T3434" s="9" t="str">
        <f ca="1">IFERROR(IF(AND(VLOOKUP(A3434, 'Актуальное состояние (из общего'!A:C,3,0) = "", A3434 &lt;&gt; ""), "ПРОВЕРИТЬ", VLOOKUP(A3434, 'Актуальное состояние (из общего'!A:C,3,0)), "")</f>
        <v/>
      </c>
      <c r="U3434" s="9" t="s">
        <v>13284</v>
      </c>
      <c r="V3434" s="9" t="s">
        <v>13284</v>
      </c>
      <c r="W3434" s="12"/>
      <c r="X3434" s="9" t="str">
        <f t="array" ref="X3434">IFERROR(INDEX('Адреса общежитий (скрытый)'!$B$2:$B$9, MATCH(W3434, 'Адреса общежитий (скрытый)'!$A$2:$A$9, 0)), "")</f>
        <v/>
      </c>
      <c r="Y3434" s="18"/>
      <c r="Z3434" s="18"/>
      <c r="AA3434" s="18"/>
      <c r="AB3434" s="18"/>
      <c r="AC3434" s="18"/>
    </row>
    <row r="3435" spans="1:29" ht="32.25" hidden="1" customHeight="1">
      <c r="A3435" s="17"/>
      <c r="B3435" s="9" t="s">
        <v>13284</v>
      </c>
      <c r="C3435" s="9" t="s">
        <v>13284</v>
      </c>
      <c r="D3435" s="9" t="s">
        <v>13284</v>
      </c>
      <c r="E3435" s="9" t="s">
        <v>13284</v>
      </c>
      <c r="F3435" s="9" t="s">
        <v>13284</v>
      </c>
      <c r="G3435" s="9" t="s">
        <v>13284</v>
      </c>
      <c r="H3435" s="9" t="s">
        <v>13284</v>
      </c>
      <c r="I3435" s="9" t="s">
        <v>13284</v>
      </c>
      <c r="J3435" s="9" t="s">
        <v>13284</v>
      </c>
      <c r="K3435" s="9" t="s">
        <v>13284</v>
      </c>
      <c r="L3435" s="9" t="s">
        <v>13284</v>
      </c>
      <c r="M3435" s="9" t="s">
        <v>13284</v>
      </c>
      <c r="N3435" s="9" t="s">
        <v>13284</v>
      </c>
      <c r="O3435" s="9" t="s">
        <v>13284</v>
      </c>
      <c r="P3435" s="9" t="s">
        <v>13284</v>
      </c>
      <c r="Q3435" s="9" t="s">
        <v>13284</v>
      </c>
      <c r="R3435" s="9" t="s">
        <v>13284</v>
      </c>
      <c r="S3435" s="9" t="s">
        <v>13284</v>
      </c>
      <c r="T3435" s="9" t="str">
        <f ca="1">IFERROR(IF(AND(VLOOKUP(A3435, 'Актуальное состояние (из общего'!A:C,3,0) = "", A3435 &lt;&gt; ""), "ПРОВЕРИТЬ", VLOOKUP(A3435, 'Актуальное состояние (из общего'!A:C,3,0)), "")</f>
        <v/>
      </c>
      <c r="U3435" s="9" t="s">
        <v>13284</v>
      </c>
      <c r="V3435" s="9" t="s">
        <v>13284</v>
      </c>
      <c r="W3435" s="12"/>
      <c r="X3435" s="9" t="str">
        <f t="array" ref="X3435">IFERROR(INDEX('Адреса общежитий (скрытый)'!$B$2:$B$9, MATCH(W3435, 'Адреса общежитий (скрытый)'!$A$2:$A$9, 0)), "")</f>
        <v/>
      </c>
      <c r="Y3435" s="18"/>
      <c r="Z3435" s="18"/>
      <c r="AA3435" s="18"/>
      <c r="AB3435" s="18"/>
      <c r="AC3435" s="18"/>
    </row>
    <row r="3436" spans="1:29" ht="32.25" hidden="1" customHeight="1">
      <c r="A3436" s="17"/>
      <c r="B3436" s="9" t="s">
        <v>13284</v>
      </c>
      <c r="C3436" s="9" t="s">
        <v>13284</v>
      </c>
      <c r="D3436" s="9" t="s">
        <v>13284</v>
      </c>
      <c r="E3436" s="9" t="s">
        <v>13284</v>
      </c>
      <c r="F3436" s="9" t="s">
        <v>13284</v>
      </c>
      <c r="G3436" s="9" t="s">
        <v>13284</v>
      </c>
      <c r="H3436" s="9" t="s">
        <v>13284</v>
      </c>
      <c r="I3436" s="9" t="s">
        <v>13284</v>
      </c>
      <c r="J3436" s="9" t="s">
        <v>13284</v>
      </c>
      <c r="K3436" s="9" t="s">
        <v>13284</v>
      </c>
      <c r="L3436" s="9" t="s">
        <v>13284</v>
      </c>
      <c r="M3436" s="9" t="s">
        <v>13284</v>
      </c>
      <c r="N3436" s="9" t="s">
        <v>13284</v>
      </c>
      <c r="O3436" s="9" t="s">
        <v>13284</v>
      </c>
      <c r="P3436" s="9" t="s">
        <v>13284</v>
      </c>
      <c r="Q3436" s="9" t="s">
        <v>13284</v>
      </c>
      <c r="R3436" s="9" t="s">
        <v>13284</v>
      </c>
      <c r="S3436" s="9" t="s">
        <v>13284</v>
      </c>
      <c r="T3436" s="9" t="str">
        <f ca="1">IFERROR(IF(AND(VLOOKUP(A3436, 'Актуальное состояние (из общего'!A:C,3,0) = "", A3436 &lt;&gt; ""), "ПРОВЕРИТЬ", VLOOKUP(A3436, 'Актуальное состояние (из общего'!A:C,3,0)), "")</f>
        <v/>
      </c>
      <c r="U3436" s="9" t="s">
        <v>13284</v>
      </c>
      <c r="V3436" s="9" t="s">
        <v>13284</v>
      </c>
      <c r="W3436" s="12"/>
      <c r="X3436" s="9" t="str">
        <f t="array" ref="X3436">IFERROR(INDEX('Адреса общежитий (скрытый)'!$B$2:$B$9, MATCH(W3436, 'Адреса общежитий (скрытый)'!$A$2:$A$9, 0)), "")</f>
        <v/>
      </c>
      <c r="Y3436" s="18"/>
      <c r="Z3436" s="18"/>
      <c r="AA3436" s="18"/>
      <c r="AB3436" s="18"/>
      <c r="AC3436" s="18"/>
    </row>
    <row r="3437" spans="1:29" ht="32.25" hidden="1" customHeight="1">
      <c r="A3437" s="17"/>
      <c r="B3437" s="9" t="s">
        <v>13284</v>
      </c>
      <c r="C3437" s="9" t="s">
        <v>13284</v>
      </c>
      <c r="D3437" s="9" t="s">
        <v>13284</v>
      </c>
      <c r="E3437" s="9" t="s">
        <v>13284</v>
      </c>
      <c r="F3437" s="9" t="s">
        <v>13284</v>
      </c>
      <c r="G3437" s="9" t="s">
        <v>13284</v>
      </c>
      <c r="H3437" s="9" t="s">
        <v>13284</v>
      </c>
      <c r="I3437" s="9" t="s">
        <v>13284</v>
      </c>
      <c r="J3437" s="9" t="s">
        <v>13284</v>
      </c>
      <c r="K3437" s="9" t="s">
        <v>13284</v>
      </c>
      <c r="L3437" s="9" t="s">
        <v>13284</v>
      </c>
      <c r="M3437" s="9" t="s">
        <v>13284</v>
      </c>
      <c r="N3437" s="9" t="s">
        <v>13284</v>
      </c>
      <c r="O3437" s="9" t="s">
        <v>13284</v>
      </c>
      <c r="P3437" s="9" t="s">
        <v>13284</v>
      </c>
      <c r="Q3437" s="9" t="s">
        <v>13284</v>
      </c>
      <c r="R3437" s="9" t="s">
        <v>13284</v>
      </c>
      <c r="S3437" s="9" t="s">
        <v>13284</v>
      </c>
      <c r="T3437" s="9" t="str">
        <f ca="1">IFERROR(IF(AND(VLOOKUP(A3437, 'Актуальное состояние (из общего'!A:C,3,0) = "", A3437 &lt;&gt; ""), "ПРОВЕРИТЬ", VLOOKUP(A3437, 'Актуальное состояние (из общего'!A:C,3,0)), "")</f>
        <v/>
      </c>
      <c r="U3437" s="9" t="s">
        <v>13284</v>
      </c>
      <c r="V3437" s="9" t="s">
        <v>13284</v>
      </c>
      <c r="W3437" s="12"/>
      <c r="X3437" s="9" t="str">
        <f t="array" ref="X3437">IFERROR(INDEX('Адреса общежитий (скрытый)'!$B$2:$B$9, MATCH(W3437, 'Адреса общежитий (скрытый)'!$A$2:$A$9, 0)), "")</f>
        <v/>
      </c>
      <c r="Y3437" s="18"/>
      <c r="Z3437" s="18"/>
      <c r="AA3437" s="18"/>
      <c r="AB3437" s="18"/>
      <c r="AC3437" s="18"/>
    </row>
    <row r="3438" spans="1:29" ht="32.25" hidden="1" customHeight="1">
      <c r="A3438" s="17"/>
      <c r="B3438" s="9" t="s">
        <v>13284</v>
      </c>
      <c r="C3438" s="9" t="s">
        <v>13284</v>
      </c>
      <c r="D3438" s="9" t="s">
        <v>13284</v>
      </c>
      <c r="E3438" s="9" t="s">
        <v>13284</v>
      </c>
      <c r="F3438" s="9" t="s">
        <v>13284</v>
      </c>
      <c r="G3438" s="9" t="s">
        <v>13284</v>
      </c>
      <c r="H3438" s="9" t="s">
        <v>13284</v>
      </c>
      <c r="I3438" s="9" t="s">
        <v>13284</v>
      </c>
      <c r="J3438" s="9" t="s">
        <v>13284</v>
      </c>
      <c r="K3438" s="9" t="s">
        <v>13284</v>
      </c>
      <c r="L3438" s="9" t="s">
        <v>13284</v>
      </c>
      <c r="M3438" s="9" t="s">
        <v>13284</v>
      </c>
      <c r="N3438" s="9" t="s">
        <v>13284</v>
      </c>
      <c r="O3438" s="9" t="s">
        <v>13284</v>
      </c>
      <c r="P3438" s="9" t="s">
        <v>13284</v>
      </c>
      <c r="Q3438" s="9" t="s">
        <v>13284</v>
      </c>
      <c r="R3438" s="9" t="s">
        <v>13284</v>
      </c>
      <c r="S3438" s="9" t="s">
        <v>13284</v>
      </c>
      <c r="T3438" s="9" t="str">
        <f ca="1">IFERROR(IF(AND(VLOOKUP(A3438, 'Актуальное состояние (из общего'!A:C,3,0) = "", A3438 &lt;&gt; ""), "ПРОВЕРИТЬ", VLOOKUP(A3438, 'Актуальное состояние (из общего'!A:C,3,0)), "")</f>
        <v/>
      </c>
      <c r="U3438" s="9" t="s">
        <v>13284</v>
      </c>
      <c r="V3438" s="9" t="s">
        <v>13284</v>
      </c>
      <c r="W3438" s="12"/>
      <c r="X3438" s="9" t="str">
        <f t="array" ref="X3438">IFERROR(INDEX('Адреса общежитий (скрытый)'!$B$2:$B$9, MATCH(W3438, 'Адреса общежитий (скрытый)'!$A$2:$A$9, 0)), "")</f>
        <v/>
      </c>
      <c r="Y3438" s="18"/>
      <c r="Z3438" s="18"/>
      <c r="AA3438" s="18"/>
      <c r="AB3438" s="18"/>
      <c r="AC3438" s="18"/>
    </row>
    <row r="3439" spans="1:29" ht="32.25" hidden="1" customHeight="1">
      <c r="A3439" s="17"/>
      <c r="B3439" s="9" t="s">
        <v>13284</v>
      </c>
      <c r="C3439" s="9" t="s">
        <v>13284</v>
      </c>
      <c r="D3439" s="9" t="s">
        <v>13284</v>
      </c>
      <c r="E3439" s="9" t="s">
        <v>13284</v>
      </c>
      <c r="F3439" s="9" t="s">
        <v>13284</v>
      </c>
      <c r="G3439" s="9" t="s">
        <v>13284</v>
      </c>
      <c r="H3439" s="9" t="s">
        <v>13284</v>
      </c>
      <c r="I3439" s="9" t="s">
        <v>13284</v>
      </c>
      <c r="J3439" s="9" t="s">
        <v>13284</v>
      </c>
      <c r="K3439" s="9" t="s">
        <v>13284</v>
      </c>
      <c r="L3439" s="9" t="s">
        <v>13284</v>
      </c>
      <c r="M3439" s="9" t="s">
        <v>13284</v>
      </c>
      <c r="N3439" s="9" t="s">
        <v>13284</v>
      </c>
      <c r="O3439" s="9" t="s">
        <v>13284</v>
      </c>
      <c r="P3439" s="9" t="s">
        <v>13284</v>
      </c>
      <c r="Q3439" s="9" t="s">
        <v>13284</v>
      </c>
      <c r="R3439" s="9" t="s">
        <v>13284</v>
      </c>
      <c r="S3439" s="9" t="s">
        <v>13284</v>
      </c>
      <c r="T3439" s="9" t="str">
        <f ca="1">IFERROR(IF(AND(VLOOKUP(A3439, 'Актуальное состояние (из общего'!A:C,3,0) = "", A3439 &lt;&gt; ""), "ПРОВЕРИТЬ", VLOOKUP(A3439, 'Актуальное состояние (из общего'!A:C,3,0)), "")</f>
        <v/>
      </c>
      <c r="U3439" s="9" t="s">
        <v>13284</v>
      </c>
      <c r="V3439" s="9" t="s">
        <v>13284</v>
      </c>
      <c r="W3439" s="12"/>
      <c r="X3439" s="9" t="str">
        <f t="array" ref="X3439">IFERROR(INDEX('Адреса общежитий (скрытый)'!$B$2:$B$9, MATCH(W3439, 'Адреса общежитий (скрытый)'!$A$2:$A$9, 0)), "")</f>
        <v/>
      </c>
      <c r="Y3439" s="18"/>
      <c r="Z3439" s="18"/>
      <c r="AA3439" s="18"/>
      <c r="AB3439" s="18"/>
      <c r="AC3439" s="18"/>
    </row>
    <row r="3440" spans="1:29" ht="32.25" hidden="1" customHeight="1">
      <c r="A3440" s="17"/>
      <c r="B3440" s="9" t="s">
        <v>13284</v>
      </c>
      <c r="C3440" s="9" t="s">
        <v>13284</v>
      </c>
      <c r="D3440" s="9" t="s">
        <v>13284</v>
      </c>
      <c r="E3440" s="9" t="s">
        <v>13284</v>
      </c>
      <c r="F3440" s="9" t="s">
        <v>13284</v>
      </c>
      <c r="G3440" s="9" t="s">
        <v>13284</v>
      </c>
      <c r="H3440" s="9" t="s">
        <v>13284</v>
      </c>
      <c r="I3440" s="9" t="s">
        <v>13284</v>
      </c>
      <c r="J3440" s="9" t="s">
        <v>13284</v>
      </c>
      <c r="K3440" s="9" t="s">
        <v>13284</v>
      </c>
      <c r="L3440" s="9" t="s">
        <v>13284</v>
      </c>
      <c r="M3440" s="9" t="s">
        <v>13284</v>
      </c>
      <c r="N3440" s="9" t="s">
        <v>13284</v>
      </c>
      <c r="O3440" s="9" t="s">
        <v>13284</v>
      </c>
      <c r="P3440" s="9" t="s">
        <v>13284</v>
      </c>
      <c r="Q3440" s="9" t="s">
        <v>13284</v>
      </c>
      <c r="R3440" s="9" t="s">
        <v>13284</v>
      </c>
      <c r="S3440" s="9" t="s">
        <v>13284</v>
      </c>
      <c r="T3440" s="9" t="str">
        <f ca="1">IFERROR(IF(AND(VLOOKUP(A3440, 'Актуальное состояние (из общего'!A:C,3,0) = "", A3440 &lt;&gt; ""), "ПРОВЕРИТЬ", VLOOKUP(A3440, 'Актуальное состояние (из общего'!A:C,3,0)), "")</f>
        <v/>
      </c>
      <c r="U3440" s="9" t="s">
        <v>13284</v>
      </c>
      <c r="V3440" s="9" t="s">
        <v>13284</v>
      </c>
      <c r="W3440" s="12"/>
      <c r="X3440" s="9" t="str">
        <f t="array" ref="X3440">IFERROR(INDEX('Адреса общежитий (скрытый)'!$B$2:$B$9, MATCH(W3440, 'Адреса общежитий (скрытый)'!$A$2:$A$9, 0)), "")</f>
        <v/>
      </c>
      <c r="Y3440" s="18"/>
      <c r="Z3440" s="18"/>
      <c r="AA3440" s="18"/>
      <c r="AB3440" s="18"/>
      <c r="AC3440" s="18"/>
    </row>
    <row r="3441" spans="1:29" ht="32.25" hidden="1" customHeight="1">
      <c r="A3441" s="17"/>
      <c r="B3441" s="9" t="s">
        <v>13284</v>
      </c>
      <c r="C3441" s="9" t="s">
        <v>13284</v>
      </c>
      <c r="D3441" s="9" t="s">
        <v>13284</v>
      </c>
      <c r="E3441" s="9" t="s">
        <v>13284</v>
      </c>
      <c r="F3441" s="9" t="s">
        <v>13284</v>
      </c>
      <c r="G3441" s="9" t="s">
        <v>13284</v>
      </c>
      <c r="H3441" s="9" t="s">
        <v>13284</v>
      </c>
      <c r="I3441" s="9" t="s">
        <v>13284</v>
      </c>
      <c r="J3441" s="9" t="s">
        <v>13284</v>
      </c>
      <c r="K3441" s="9" t="s">
        <v>13284</v>
      </c>
      <c r="L3441" s="9" t="s">
        <v>13284</v>
      </c>
      <c r="M3441" s="9" t="s">
        <v>13284</v>
      </c>
      <c r="N3441" s="9" t="s">
        <v>13284</v>
      </c>
      <c r="O3441" s="9" t="s">
        <v>13284</v>
      </c>
      <c r="P3441" s="9" t="s">
        <v>13284</v>
      </c>
      <c r="Q3441" s="9" t="s">
        <v>13284</v>
      </c>
      <c r="R3441" s="9" t="s">
        <v>13284</v>
      </c>
      <c r="S3441" s="9" t="s">
        <v>13284</v>
      </c>
      <c r="T3441" s="9" t="str">
        <f ca="1">IFERROR(IF(AND(VLOOKUP(A3441, 'Актуальное состояние (из общего'!A:C,3,0) = "", A3441 &lt;&gt; ""), "ПРОВЕРИТЬ", VLOOKUP(A3441, 'Актуальное состояние (из общего'!A:C,3,0)), "")</f>
        <v/>
      </c>
      <c r="U3441" s="9" t="s">
        <v>13284</v>
      </c>
      <c r="V3441" s="9" t="s">
        <v>13284</v>
      </c>
      <c r="W3441" s="12"/>
      <c r="X3441" s="9" t="str">
        <f t="array" ref="X3441">IFERROR(INDEX('Адреса общежитий (скрытый)'!$B$2:$B$9, MATCH(W3441, 'Адреса общежитий (скрытый)'!$A$2:$A$9, 0)), "")</f>
        <v/>
      </c>
      <c r="Y3441" s="18"/>
      <c r="Z3441" s="18"/>
      <c r="AA3441" s="18"/>
      <c r="AB3441" s="18"/>
      <c r="AC3441" s="18"/>
    </row>
    <row r="3442" spans="1:29" ht="32.25" hidden="1" customHeight="1">
      <c r="A3442" s="17"/>
      <c r="B3442" s="9" t="s">
        <v>13284</v>
      </c>
      <c r="C3442" s="9" t="s">
        <v>13284</v>
      </c>
      <c r="D3442" s="9" t="s">
        <v>13284</v>
      </c>
      <c r="E3442" s="9" t="s">
        <v>13284</v>
      </c>
      <c r="F3442" s="9" t="s">
        <v>13284</v>
      </c>
      <c r="G3442" s="9" t="s">
        <v>13284</v>
      </c>
      <c r="H3442" s="9" t="s">
        <v>13284</v>
      </c>
      <c r="I3442" s="9" t="s">
        <v>13284</v>
      </c>
      <c r="J3442" s="9" t="s">
        <v>13284</v>
      </c>
      <c r="K3442" s="9" t="s">
        <v>13284</v>
      </c>
      <c r="L3442" s="9" t="s">
        <v>13284</v>
      </c>
      <c r="M3442" s="9" t="s">
        <v>13284</v>
      </c>
      <c r="N3442" s="9" t="s">
        <v>13284</v>
      </c>
      <c r="O3442" s="9" t="s">
        <v>13284</v>
      </c>
      <c r="P3442" s="9" t="s">
        <v>13284</v>
      </c>
      <c r="Q3442" s="9" t="s">
        <v>13284</v>
      </c>
      <c r="R3442" s="9" t="s">
        <v>13284</v>
      </c>
      <c r="S3442" s="9" t="s">
        <v>13284</v>
      </c>
      <c r="T3442" s="9" t="str">
        <f ca="1">IFERROR(IF(AND(VLOOKUP(A3442, 'Актуальное состояние (из общего'!A:C,3,0) = "", A3442 &lt;&gt; ""), "ПРОВЕРИТЬ", VLOOKUP(A3442, 'Актуальное состояние (из общего'!A:C,3,0)), "")</f>
        <v/>
      </c>
      <c r="U3442" s="9" t="s">
        <v>13284</v>
      </c>
      <c r="V3442" s="9" t="s">
        <v>13284</v>
      </c>
      <c r="W3442" s="12"/>
      <c r="X3442" s="9" t="str">
        <f t="array" ref="X3442">IFERROR(INDEX('Адреса общежитий (скрытый)'!$B$2:$B$9, MATCH(W3442, 'Адреса общежитий (скрытый)'!$A$2:$A$9, 0)), "")</f>
        <v/>
      </c>
      <c r="Y3442" s="18"/>
      <c r="Z3442" s="18"/>
      <c r="AA3442" s="18"/>
      <c r="AB3442" s="18"/>
      <c r="AC3442" s="18"/>
    </row>
    <row r="3443" spans="1:29" ht="32.25" hidden="1" customHeight="1">
      <c r="A3443" s="17"/>
      <c r="B3443" s="9" t="s">
        <v>13284</v>
      </c>
      <c r="C3443" s="9" t="s">
        <v>13284</v>
      </c>
      <c r="D3443" s="9" t="s">
        <v>13284</v>
      </c>
      <c r="E3443" s="9" t="s">
        <v>13284</v>
      </c>
      <c r="F3443" s="9" t="s">
        <v>13284</v>
      </c>
      <c r="G3443" s="9" t="s">
        <v>13284</v>
      </c>
      <c r="H3443" s="9" t="s">
        <v>13284</v>
      </c>
      <c r="I3443" s="9" t="s">
        <v>13284</v>
      </c>
      <c r="J3443" s="9" t="s">
        <v>13284</v>
      </c>
      <c r="K3443" s="9" t="s">
        <v>13284</v>
      </c>
      <c r="L3443" s="9" t="s">
        <v>13284</v>
      </c>
      <c r="M3443" s="9" t="s">
        <v>13284</v>
      </c>
      <c r="N3443" s="9" t="s">
        <v>13284</v>
      </c>
      <c r="O3443" s="9" t="s">
        <v>13284</v>
      </c>
      <c r="P3443" s="9" t="s">
        <v>13284</v>
      </c>
      <c r="Q3443" s="9" t="s">
        <v>13284</v>
      </c>
      <c r="R3443" s="9" t="s">
        <v>13284</v>
      </c>
      <c r="S3443" s="9" t="s">
        <v>13284</v>
      </c>
      <c r="T3443" s="9" t="str">
        <f ca="1">IFERROR(IF(AND(VLOOKUP(A3443, 'Актуальное состояние (из общего'!A:C,3,0) = "", A3443 &lt;&gt; ""), "ПРОВЕРИТЬ", VLOOKUP(A3443, 'Актуальное состояние (из общего'!A:C,3,0)), "")</f>
        <v/>
      </c>
      <c r="U3443" s="9" t="s">
        <v>13284</v>
      </c>
      <c r="V3443" s="9" t="s">
        <v>13284</v>
      </c>
      <c r="W3443" s="12"/>
      <c r="X3443" s="9" t="str">
        <f t="array" ref="X3443">IFERROR(INDEX('Адреса общежитий (скрытый)'!$B$2:$B$9, MATCH(W3443, 'Адреса общежитий (скрытый)'!$A$2:$A$9, 0)), "")</f>
        <v/>
      </c>
      <c r="Y3443" s="18"/>
      <c r="Z3443" s="18"/>
      <c r="AA3443" s="18"/>
      <c r="AB3443" s="18"/>
      <c r="AC3443" s="18"/>
    </row>
    <row r="3444" spans="1:29" ht="32.25" hidden="1" customHeight="1">
      <c r="A3444" s="17"/>
      <c r="B3444" s="9" t="s">
        <v>13284</v>
      </c>
      <c r="C3444" s="9" t="s">
        <v>13284</v>
      </c>
      <c r="D3444" s="9" t="s">
        <v>13284</v>
      </c>
      <c r="E3444" s="9" t="s">
        <v>13284</v>
      </c>
      <c r="F3444" s="9" t="s">
        <v>13284</v>
      </c>
      <c r="G3444" s="9" t="s">
        <v>13284</v>
      </c>
      <c r="H3444" s="9" t="s">
        <v>13284</v>
      </c>
      <c r="I3444" s="9" t="s">
        <v>13284</v>
      </c>
      <c r="J3444" s="9" t="s">
        <v>13284</v>
      </c>
      <c r="K3444" s="9" t="s">
        <v>13284</v>
      </c>
      <c r="L3444" s="9" t="s">
        <v>13284</v>
      </c>
      <c r="M3444" s="9" t="s">
        <v>13284</v>
      </c>
      <c r="N3444" s="9" t="s">
        <v>13284</v>
      </c>
      <c r="O3444" s="9" t="s">
        <v>13284</v>
      </c>
      <c r="P3444" s="9" t="s">
        <v>13284</v>
      </c>
      <c r="Q3444" s="9" t="s">
        <v>13284</v>
      </c>
      <c r="R3444" s="9" t="s">
        <v>13284</v>
      </c>
      <c r="S3444" s="9" t="s">
        <v>13284</v>
      </c>
      <c r="T3444" s="9" t="str">
        <f ca="1">IFERROR(IF(AND(VLOOKUP(A3444, 'Актуальное состояние (из общего'!A:C,3,0) = "", A3444 &lt;&gt; ""), "ПРОВЕРИТЬ", VLOOKUP(A3444, 'Актуальное состояние (из общего'!A:C,3,0)), "")</f>
        <v/>
      </c>
      <c r="U3444" s="9" t="s">
        <v>13284</v>
      </c>
      <c r="V3444" s="9" t="s">
        <v>13284</v>
      </c>
      <c r="W3444" s="12"/>
      <c r="X3444" s="9" t="str">
        <f t="array" ref="X3444">IFERROR(INDEX('Адреса общежитий (скрытый)'!$B$2:$B$9, MATCH(W3444, 'Адреса общежитий (скрытый)'!$A$2:$A$9, 0)), "")</f>
        <v/>
      </c>
      <c r="Y3444" s="18"/>
      <c r="Z3444" s="18"/>
      <c r="AA3444" s="18"/>
      <c r="AB3444" s="18"/>
      <c r="AC3444" s="18"/>
    </row>
    <row r="3445" spans="1:29" ht="32.25" hidden="1" customHeight="1">
      <c r="A3445" s="17"/>
      <c r="B3445" s="9" t="s">
        <v>13284</v>
      </c>
      <c r="C3445" s="9" t="s">
        <v>13284</v>
      </c>
      <c r="D3445" s="9" t="s">
        <v>13284</v>
      </c>
      <c r="E3445" s="9" t="s">
        <v>13284</v>
      </c>
      <c r="F3445" s="9" t="s">
        <v>13284</v>
      </c>
      <c r="G3445" s="9" t="s">
        <v>13284</v>
      </c>
      <c r="H3445" s="9" t="s">
        <v>13284</v>
      </c>
      <c r="I3445" s="9" t="s">
        <v>13284</v>
      </c>
      <c r="J3445" s="9" t="s">
        <v>13284</v>
      </c>
      <c r="K3445" s="9" t="s">
        <v>13284</v>
      </c>
      <c r="L3445" s="9" t="s">
        <v>13284</v>
      </c>
      <c r="M3445" s="9" t="s">
        <v>13284</v>
      </c>
      <c r="N3445" s="9" t="s">
        <v>13284</v>
      </c>
      <c r="O3445" s="9" t="s">
        <v>13284</v>
      </c>
      <c r="P3445" s="9" t="s">
        <v>13284</v>
      </c>
      <c r="Q3445" s="9" t="s">
        <v>13284</v>
      </c>
      <c r="R3445" s="9" t="s">
        <v>13284</v>
      </c>
      <c r="S3445" s="9" t="s">
        <v>13284</v>
      </c>
      <c r="T3445" s="9" t="str">
        <f ca="1">IFERROR(IF(AND(VLOOKUP(A3445, 'Актуальное состояние (из общего'!A:C,3,0) = "", A3445 &lt;&gt; ""), "ПРОВЕРИТЬ", VLOOKUP(A3445, 'Актуальное состояние (из общего'!A:C,3,0)), "")</f>
        <v/>
      </c>
      <c r="U3445" s="9" t="s">
        <v>13284</v>
      </c>
      <c r="V3445" s="9" t="s">
        <v>13284</v>
      </c>
      <c r="W3445" s="12"/>
      <c r="X3445" s="9" t="str">
        <f t="array" ref="X3445">IFERROR(INDEX('Адреса общежитий (скрытый)'!$B$2:$B$9, MATCH(W3445, 'Адреса общежитий (скрытый)'!$A$2:$A$9, 0)), "")</f>
        <v/>
      </c>
      <c r="Y3445" s="18"/>
      <c r="Z3445" s="18"/>
      <c r="AA3445" s="18"/>
      <c r="AB3445" s="18"/>
      <c r="AC3445" s="18"/>
    </row>
    <row r="3446" spans="1:29" ht="32.25" hidden="1" customHeight="1">
      <c r="A3446" s="17"/>
      <c r="B3446" s="9" t="s">
        <v>13284</v>
      </c>
      <c r="C3446" s="9" t="s">
        <v>13284</v>
      </c>
      <c r="D3446" s="9" t="s">
        <v>13284</v>
      </c>
      <c r="E3446" s="9" t="s">
        <v>13284</v>
      </c>
      <c r="F3446" s="9" t="s">
        <v>13284</v>
      </c>
      <c r="G3446" s="9" t="s">
        <v>13284</v>
      </c>
      <c r="H3446" s="9" t="s">
        <v>13284</v>
      </c>
      <c r="I3446" s="9" t="s">
        <v>13284</v>
      </c>
      <c r="J3446" s="9" t="s">
        <v>13284</v>
      </c>
      <c r="K3446" s="9" t="s">
        <v>13284</v>
      </c>
      <c r="L3446" s="9" t="s">
        <v>13284</v>
      </c>
      <c r="M3446" s="9" t="s">
        <v>13284</v>
      </c>
      <c r="N3446" s="9" t="s">
        <v>13284</v>
      </c>
      <c r="O3446" s="9" t="s">
        <v>13284</v>
      </c>
      <c r="P3446" s="9" t="s">
        <v>13284</v>
      </c>
      <c r="Q3446" s="9" t="s">
        <v>13284</v>
      </c>
      <c r="R3446" s="9" t="s">
        <v>13284</v>
      </c>
      <c r="S3446" s="9" t="s">
        <v>13284</v>
      </c>
      <c r="T3446" s="9" t="str">
        <f ca="1">IFERROR(IF(AND(VLOOKUP(A3446, 'Актуальное состояние (из общего'!A:C,3,0) = "", A3446 &lt;&gt; ""), "ПРОВЕРИТЬ", VLOOKUP(A3446, 'Актуальное состояние (из общего'!A:C,3,0)), "")</f>
        <v/>
      </c>
      <c r="U3446" s="9" t="s">
        <v>13284</v>
      </c>
      <c r="V3446" s="9" t="s">
        <v>13284</v>
      </c>
      <c r="W3446" s="12"/>
      <c r="X3446" s="9" t="str">
        <f t="array" ref="X3446">IFERROR(INDEX('Адреса общежитий (скрытый)'!$B$2:$B$9, MATCH(W3446, 'Адреса общежитий (скрытый)'!$A$2:$A$9, 0)), "")</f>
        <v/>
      </c>
      <c r="Y3446" s="18"/>
      <c r="Z3446" s="18"/>
      <c r="AA3446" s="18"/>
      <c r="AB3446" s="18"/>
      <c r="AC3446" s="18"/>
    </row>
    <row r="3447" spans="1:29" ht="32.25" hidden="1" customHeight="1">
      <c r="A3447" s="17"/>
      <c r="B3447" s="9" t="s">
        <v>13284</v>
      </c>
      <c r="C3447" s="9" t="s">
        <v>13284</v>
      </c>
      <c r="D3447" s="9" t="s">
        <v>13284</v>
      </c>
      <c r="E3447" s="9" t="s">
        <v>13284</v>
      </c>
      <c r="F3447" s="9" t="s">
        <v>13284</v>
      </c>
      <c r="G3447" s="9" t="s">
        <v>13284</v>
      </c>
      <c r="H3447" s="9" t="s">
        <v>13284</v>
      </c>
      <c r="I3447" s="9" t="s">
        <v>13284</v>
      </c>
      <c r="J3447" s="9" t="s">
        <v>13284</v>
      </c>
      <c r="K3447" s="9" t="s">
        <v>13284</v>
      </c>
      <c r="L3447" s="9" t="s">
        <v>13284</v>
      </c>
      <c r="M3447" s="9" t="s">
        <v>13284</v>
      </c>
      <c r="N3447" s="9" t="s">
        <v>13284</v>
      </c>
      <c r="O3447" s="9" t="s">
        <v>13284</v>
      </c>
      <c r="P3447" s="9" t="s">
        <v>13284</v>
      </c>
      <c r="Q3447" s="9" t="s">
        <v>13284</v>
      </c>
      <c r="R3447" s="9" t="s">
        <v>13284</v>
      </c>
      <c r="S3447" s="9" t="s">
        <v>13284</v>
      </c>
      <c r="T3447" s="9" t="str">
        <f ca="1">IFERROR(IF(AND(VLOOKUP(A3447, 'Актуальное состояние (из общего'!A:C,3,0) = "", A3447 &lt;&gt; ""), "ПРОВЕРИТЬ", VLOOKUP(A3447, 'Актуальное состояние (из общего'!A:C,3,0)), "")</f>
        <v/>
      </c>
      <c r="U3447" s="9" t="s">
        <v>13284</v>
      </c>
      <c r="V3447" s="9" t="s">
        <v>13284</v>
      </c>
      <c r="W3447" s="12"/>
      <c r="X3447" s="9" t="str">
        <f t="array" ref="X3447">IFERROR(INDEX('Адреса общежитий (скрытый)'!$B$2:$B$9, MATCH(W3447, 'Адреса общежитий (скрытый)'!$A$2:$A$9, 0)), "")</f>
        <v/>
      </c>
      <c r="Y3447" s="18"/>
      <c r="Z3447" s="18"/>
      <c r="AA3447" s="18"/>
      <c r="AB3447" s="18"/>
      <c r="AC3447" s="18"/>
    </row>
    <row r="3448" spans="1:29" ht="32.25" hidden="1" customHeight="1">
      <c r="A3448" s="17"/>
      <c r="B3448" s="9" t="s">
        <v>13284</v>
      </c>
      <c r="C3448" s="9" t="s">
        <v>13284</v>
      </c>
      <c r="D3448" s="9" t="s">
        <v>13284</v>
      </c>
      <c r="E3448" s="9" t="s">
        <v>13284</v>
      </c>
      <c r="F3448" s="9" t="s">
        <v>13284</v>
      </c>
      <c r="G3448" s="9" t="s">
        <v>13284</v>
      </c>
      <c r="H3448" s="9" t="s">
        <v>13284</v>
      </c>
      <c r="I3448" s="9" t="s">
        <v>13284</v>
      </c>
      <c r="J3448" s="9" t="s">
        <v>13284</v>
      </c>
      <c r="K3448" s="9" t="s">
        <v>13284</v>
      </c>
      <c r="L3448" s="9" t="s">
        <v>13284</v>
      </c>
      <c r="M3448" s="9" t="s">
        <v>13284</v>
      </c>
      <c r="N3448" s="9" t="s">
        <v>13284</v>
      </c>
      <c r="O3448" s="9" t="s">
        <v>13284</v>
      </c>
      <c r="P3448" s="9" t="s">
        <v>13284</v>
      </c>
      <c r="Q3448" s="9" t="s">
        <v>13284</v>
      </c>
      <c r="R3448" s="9" t="s">
        <v>13284</v>
      </c>
      <c r="S3448" s="9" t="s">
        <v>13284</v>
      </c>
      <c r="T3448" s="9" t="str">
        <f ca="1">IFERROR(IF(AND(VLOOKUP(A3448, 'Актуальное состояние (из общего'!A:C,3,0) = "", A3448 &lt;&gt; ""), "ПРОВЕРИТЬ", VLOOKUP(A3448, 'Актуальное состояние (из общего'!A:C,3,0)), "")</f>
        <v/>
      </c>
      <c r="U3448" s="9" t="s">
        <v>13284</v>
      </c>
      <c r="V3448" s="9" t="s">
        <v>13284</v>
      </c>
      <c r="W3448" s="12"/>
      <c r="X3448" s="9" t="str">
        <f t="array" ref="X3448">IFERROR(INDEX('Адреса общежитий (скрытый)'!$B$2:$B$9, MATCH(W3448, 'Адреса общежитий (скрытый)'!$A$2:$A$9, 0)), "")</f>
        <v/>
      </c>
      <c r="Y3448" s="18"/>
      <c r="Z3448" s="18"/>
      <c r="AA3448" s="18"/>
      <c r="AB3448" s="18"/>
      <c r="AC3448" s="18"/>
    </row>
    <row r="3449" spans="1:29" ht="32.25" hidden="1" customHeight="1">
      <c r="A3449" s="17"/>
      <c r="B3449" s="9" t="s">
        <v>13284</v>
      </c>
      <c r="C3449" s="9" t="s">
        <v>13284</v>
      </c>
      <c r="D3449" s="9" t="s">
        <v>13284</v>
      </c>
      <c r="E3449" s="9" t="s">
        <v>13284</v>
      </c>
      <c r="F3449" s="9" t="s">
        <v>13284</v>
      </c>
      <c r="G3449" s="9" t="s">
        <v>13284</v>
      </c>
      <c r="H3449" s="9" t="s">
        <v>13284</v>
      </c>
      <c r="I3449" s="9" t="s">
        <v>13284</v>
      </c>
      <c r="J3449" s="9" t="s">
        <v>13284</v>
      </c>
      <c r="K3449" s="9" t="s">
        <v>13284</v>
      </c>
      <c r="L3449" s="9" t="s">
        <v>13284</v>
      </c>
      <c r="M3449" s="9" t="s">
        <v>13284</v>
      </c>
      <c r="N3449" s="9" t="s">
        <v>13284</v>
      </c>
      <c r="O3449" s="9" t="s">
        <v>13284</v>
      </c>
      <c r="P3449" s="9" t="s">
        <v>13284</v>
      </c>
      <c r="Q3449" s="9" t="s">
        <v>13284</v>
      </c>
      <c r="R3449" s="9" t="s">
        <v>13284</v>
      </c>
      <c r="S3449" s="9" t="s">
        <v>13284</v>
      </c>
      <c r="T3449" s="9" t="str">
        <f ca="1">IFERROR(IF(AND(VLOOKUP(A3449, 'Актуальное состояние (из общего'!A:C,3,0) = "", A3449 &lt;&gt; ""), "ПРОВЕРИТЬ", VLOOKUP(A3449, 'Актуальное состояние (из общего'!A:C,3,0)), "")</f>
        <v/>
      </c>
      <c r="U3449" s="9" t="s">
        <v>13284</v>
      </c>
      <c r="V3449" s="9" t="s">
        <v>13284</v>
      </c>
      <c r="W3449" s="12"/>
      <c r="X3449" s="9" t="str">
        <f t="array" ref="X3449">IFERROR(INDEX('Адреса общежитий (скрытый)'!$B$2:$B$9, MATCH(W3449, 'Адреса общежитий (скрытый)'!$A$2:$A$9, 0)), "")</f>
        <v/>
      </c>
      <c r="Y3449" s="18"/>
      <c r="Z3449" s="18"/>
      <c r="AA3449" s="18"/>
      <c r="AB3449" s="18"/>
      <c r="AC3449" s="18"/>
    </row>
    <row r="3450" spans="1:29" ht="32.25" hidden="1" customHeight="1">
      <c r="A3450" s="17"/>
      <c r="B3450" s="9" t="s">
        <v>13284</v>
      </c>
      <c r="C3450" s="9" t="s">
        <v>13284</v>
      </c>
      <c r="D3450" s="9" t="s">
        <v>13284</v>
      </c>
      <c r="E3450" s="9" t="s">
        <v>13284</v>
      </c>
      <c r="F3450" s="9" t="s">
        <v>13284</v>
      </c>
      <c r="G3450" s="9" t="s">
        <v>13284</v>
      </c>
      <c r="H3450" s="9" t="s">
        <v>13284</v>
      </c>
      <c r="I3450" s="9" t="s">
        <v>13284</v>
      </c>
      <c r="J3450" s="9" t="s">
        <v>13284</v>
      </c>
      <c r="K3450" s="9" t="s">
        <v>13284</v>
      </c>
      <c r="L3450" s="9" t="s">
        <v>13284</v>
      </c>
      <c r="M3450" s="9" t="s">
        <v>13284</v>
      </c>
      <c r="N3450" s="9" t="s">
        <v>13284</v>
      </c>
      <c r="O3450" s="9" t="s">
        <v>13284</v>
      </c>
      <c r="P3450" s="9" t="s">
        <v>13284</v>
      </c>
      <c r="Q3450" s="9" t="s">
        <v>13284</v>
      </c>
      <c r="R3450" s="9" t="s">
        <v>13284</v>
      </c>
      <c r="S3450" s="9" t="s">
        <v>13284</v>
      </c>
      <c r="T3450" s="9" t="str">
        <f ca="1">IFERROR(IF(AND(VLOOKUP(A3450, 'Актуальное состояние (из общего'!A:C,3,0) = "", A3450 &lt;&gt; ""), "ПРОВЕРИТЬ", VLOOKUP(A3450, 'Актуальное состояние (из общего'!A:C,3,0)), "")</f>
        <v/>
      </c>
      <c r="U3450" s="9" t="s">
        <v>13284</v>
      </c>
      <c r="V3450" s="9" t="s">
        <v>13284</v>
      </c>
      <c r="W3450" s="12"/>
      <c r="X3450" s="9" t="str">
        <f t="array" ref="X3450">IFERROR(INDEX('Адреса общежитий (скрытый)'!$B$2:$B$9, MATCH(W3450, 'Адреса общежитий (скрытый)'!$A$2:$A$9, 0)), "")</f>
        <v/>
      </c>
      <c r="Y3450" s="18"/>
      <c r="Z3450" s="18"/>
      <c r="AA3450" s="18"/>
      <c r="AB3450" s="18"/>
      <c r="AC3450" s="18"/>
    </row>
    <row r="3451" spans="1:29" ht="32.25" hidden="1" customHeight="1">
      <c r="A3451" s="17"/>
      <c r="B3451" s="9" t="s">
        <v>13284</v>
      </c>
      <c r="C3451" s="9" t="s">
        <v>13284</v>
      </c>
      <c r="D3451" s="9" t="s">
        <v>13284</v>
      </c>
      <c r="E3451" s="9" t="s">
        <v>13284</v>
      </c>
      <c r="F3451" s="9" t="s">
        <v>13284</v>
      </c>
      <c r="G3451" s="9" t="s">
        <v>13284</v>
      </c>
      <c r="H3451" s="9" t="s">
        <v>13284</v>
      </c>
      <c r="I3451" s="9" t="s">
        <v>13284</v>
      </c>
      <c r="J3451" s="9" t="s">
        <v>13284</v>
      </c>
      <c r="K3451" s="9" t="s">
        <v>13284</v>
      </c>
      <c r="L3451" s="9" t="s">
        <v>13284</v>
      </c>
      <c r="M3451" s="9" t="s">
        <v>13284</v>
      </c>
      <c r="N3451" s="9" t="s">
        <v>13284</v>
      </c>
      <c r="O3451" s="9" t="s">
        <v>13284</v>
      </c>
      <c r="P3451" s="9" t="s">
        <v>13284</v>
      </c>
      <c r="Q3451" s="9" t="s">
        <v>13284</v>
      </c>
      <c r="R3451" s="9" t="s">
        <v>13284</v>
      </c>
      <c r="S3451" s="9" t="s">
        <v>13284</v>
      </c>
      <c r="T3451" s="9" t="str">
        <f ca="1">IFERROR(IF(AND(VLOOKUP(A3451, 'Актуальное состояние (из общего'!A:C,3,0) = "", A3451 &lt;&gt; ""), "ПРОВЕРИТЬ", VLOOKUP(A3451, 'Актуальное состояние (из общего'!A:C,3,0)), "")</f>
        <v/>
      </c>
      <c r="U3451" s="9" t="s">
        <v>13284</v>
      </c>
      <c r="V3451" s="9" t="s">
        <v>13284</v>
      </c>
      <c r="W3451" s="12"/>
      <c r="X3451" s="9" t="str">
        <f t="array" ref="X3451">IFERROR(INDEX('Адреса общежитий (скрытый)'!$B$2:$B$9, MATCH(W3451, 'Адреса общежитий (скрытый)'!$A$2:$A$9, 0)), "")</f>
        <v/>
      </c>
      <c r="Y3451" s="18"/>
      <c r="Z3451" s="18"/>
      <c r="AA3451" s="18"/>
      <c r="AB3451" s="18"/>
      <c r="AC3451" s="18"/>
    </row>
    <row r="3452" spans="1:29" ht="32.25" hidden="1" customHeight="1">
      <c r="A3452" s="17"/>
      <c r="B3452" s="9" t="s">
        <v>13284</v>
      </c>
      <c r="C3452" s="9" t="s">
        <v>13284</v>
      </c>
      <c r="D3452" s="9" t="s">
        <v>13284</v>
      </c>
      <c r="E3452" s="9" t="s">
        <v>13284</v>
      </c>
      <c r="F3452" s="9" t="s">
        <v>13284</v>
      </c>
      <c r="G3452" s="9" t="s">
        <v>13284</v>
      </c>
      <c r="H3452" s="9" t="s">
        <v>13284</v>
      </c>
      <c r="I3452" s="9" t="s">
        <v>13284</v>
      </c>
      <c r="J3452" s="9" t="s">
        <v>13284</v>
      </c>
      <c r="K3452" s="9" t="s">
        <v>13284</v>
      </c>
      <c r="L3452" s="9" t="s">
        <v>13284</v>
      </c>
      <c r="M3452" s="9" t="s">
        <v>13284</v>
      </c>
      <c r="N3452" s="9" t="s">
        <v>13284</v>
      </c>
      <c r="O3452" s="9" t="s">
        <v>13284</v>
      </c>
      <c r="P3452" s="9" t="s">
        <v>13284</v>
      </c>
      <c r="Q3452" s="9" t="s">
        <v>13284</v>
      </c>
      <c r="R3452" s="9" t="s">
        <v>13284</v>
      </c>
      <c r="S3452" s="9" t="s">
        <v>13284</v>
      </c>
      <c r="T3452" s="9" t="str">
        <f ca="1">IFERROR(IF(AND(VLOOKUP(A3452, 'Актуальное состояние (из общего'!A:C,3,0) = "", A3452 &lt;&gt; ""), "ПРОВЕРИТЬ", VLOOKUP(A3452, 'Актуальное состояние (из общего'!A:C,3,0)), "")</f>
        <v/>
      </c>
      <c r="U3452" s="9" t="s">
        <v>13284</v>
      </c>
      <c r="V3452" s="9" t="s">
        <v>13284</v>
      </c>
      <c r="W3452" s="12"/>
      <c r="X3452" s="9" t="str">
        <f t="array" ref="X3452">IFERROR(INDEX('Адреса общежитий (скрытый)'!$B$2:$B$9, MATCH(W3452, 'Адреса общежитий (скрытый)'!$A$2:$A$9, 0)), "")</f>
        <v/>
      </c>
      <c r="Y3452" s="18"/>
      <c r="Z3452" s="18"/>
      <c r="AA3452" s="18"/>
      <c r="AB3452" s="18"/>
      <c r="AC3452" s="18"/>
    </row>
    <row r="3453" spans="1:29" ht="32.25" hidden="1" customHeight="1">
      <c r="A3453" s="17"/>
      <c r="B3453" s="9" t="s">
        <v>13284</v>
      </c>
      <c r="C3453" s="9" t="s">
        <v>13284</v>
      </c>
      <c r="D3453" s="9" t="s">
        <v>13284</v>
      </c>
      <c r="E3453" s="9" t="s">
        <v>13284</v>
      </c>
      <c r="F3453" s="9" t="s">
        <v>13284</v>
      </c>
      <c r="G3453" s="9" t="s">
        <v>13284</v>
      </c>
      <c r="H3453" s="9" t="s">
        <v>13284</v>
      </c>
      <c r="I3453" s="9" t="s">
        <v>13284</v>
      </c>
      <c r="J3453" s="9" t="s">
        <v>13284</v>
      </c>
      <c r="K3453" s="9" t="s">
        <v>13284</v>
      </c>
      <c r="L3453" s="9" t="s">
        <v>13284</v>
      </c>
      <c r="M3453" s="9" t="s">
        <v>13284</v>
      </c>
      <c r="N3453" s="9" t="s">
        <v>13284</v>
      </c>
      <c r="O3453" s="9" t="s">
        <v>13284</v>
      </c>
      <c r="P3453" s="9" t="s">
        <v>13284</v>
      </c>
      <c r="Q3453" s="9" t="s">
        <v>13284</v>
      </c>
      <c r="R3453" s="9" t="s">
        <v>13284</v>
      </c>
      <c r="S3453" s="9" t="s">
        <v>13284</v>
      </c>
      <c r="T3453" s="9" t="str">
        <f ca="1">IFERROR(IF(AND(VLOOKUP(A3453, 'Актуальное состояние (из общего'!A:C,3,0) = "", A3453 &lt;&gt; ""), "ПРОВЕРИТЬ", VLOOKUP(A3453, 'Актуальное состояние (из общего'!A:C,3,0)), "")</f>
        <v/>
      </c>
      <c r="U3453" s="9" t="s">
        <v>13284</v>
      </c>
      <c r="V3453" s="9" t="s">
        <v>13284</v>
      </c>
      <c r="W3453" s="12"/>
      <c r="X3453" s="9" t="str">
        <f t="array" ref="X3453">IFERROR(INDEX('Адреса общежитий (скрытый)'!$B$2:$B$9, MATCH(W3453, 'Адреса общежитий (скрытый)'!$A$2:$A$9, 0)), "")</f>
        <v/>
      </c>
      <c r="Y3453" s="18"/>
      <c r="Z3453" s="18"/>
      <c r="AA3453" s="18"/>
      <c r="AB3453" s="18"/>
      <c r="AC3453" s="18"/>
    </row>
    <row r="3454" spans="1:29" ht="32.25" hidden="1" customHeight="1">
      <c r="A3454" s="17"/>
      <c r="B3454" s="9" t="s">
        <v>13284</v>
      </c>
      <c r="C3454" s="9" t="s">
        <v>13284</v>
      </c>
      <c r="D3454" s="9" t="s">
        <v>13284</v>
      </c>
      <c r="E3454" s="9" t="s">
        <v>13284</v>
      </c>
      <c r="F3454" s="9" t="s">
        <v>13284</v>
      </c>
      <c r="G3454" s="9" t="s">
        <v>13284</v>
      </c>
      <c r="H3454" s="9" t="s">
        <v>13284</v>
      </c>
      <c r="I3454" s="9" t="s">
        <v>13284</v>
      </c>
      <c r="J3454" s="9" t="s">
        <v>13284</v>
      </c>
      <c r="K3454" s="9" t="s">
        <v>13284</v>
      </c>
      <c r="L3454" s="9" t="s">
        <v>13284</v>
      </c>
      <c r="M3454" s="9" t="s">
        <v>13284</v>
      </c>
      <c r="N3454" s="9" t="s">
        <v>13284</v>
      </c>
      <c r="O3454" s="9" t="s">
        <v>13284</v>
      </c>
      <c r="P3454" s="9" t="s">
        <v>13284</v>
      </c>
      <c r="Q3454" s="9" t="s">
        <v>13284</v>
      </c>
      <c r="R3454" s="9" t="s">
        <v>13284</v>
      </c>
      <c r="S3454" s="9" t="s">
        <v>13284</v>
      </c>
      <c r="T3454" s="9" t="str">
        <f ca="1">IFERROR(IF(AND(VLOOKUP(A3454, 'Актуальное состояние (из общего'!A:C,3,0) = "", A3454 &lt;&gt; ""), "ПРОВЕРИТЬ", VLOOKUP(A3454, 'Актуальное состояние (из общего'!A:C,3,0)), "")</f>
        <v/>
      </c>
      <c r="U3454" s="9" t="s">
        <v>13284</v>
      </c>
      <c r="V3454" s="9" t="s">
        <v>13284</v>
      </c>
      <c r="W3454" s="12"/>
      <c r="X3454" s="9" t="str">
        <f t="array" ref="X3454">IFERROR(INDEX('Адреса общежитий (скрытый)'!$B$2:$B$9, MATCH(W3454, 'Адреса общежитий (скрытый)'!$A$2:$A$9, 0)), "")</f>
        <v/>
      </c>
      <c r="Y3454" s="18"/>
      <c r="Z3454" s="18"/>
      <c r="AA3454" s="18"/>
      <c r="AB3454" s="18"/>
      <c r="AC3454" s="18"/>
    </row>
    <row r="3455" spans="1:29" ht="32.25" hidden="1" customHeight="1">
      <c r="A3455" s="17"/>
      <c r="B3455" s="9" t="s">
        <v>13284</v>
      </c>
      <c r="C3455" s="9" t="s">
        <v>13284</v>
      </c>
      <c r="D3455" s="9" t="s">
        <v>13284</v>
      </c>
      <c r="E3455" s="9" t="s">
        <v>13284</v>
      </c>
      <c r="F3455" s="9" t="s">
        <v>13284</v>
      </c>
      <c r="G3455" s="9" t="s">
        <v>13284</v>
      </c>
      <c r="H3455" s="9" t="s">
        <v>13284</v>
      </c>
      <c r="I3455" s="9" t="s">
        <v>13284</v>
      </c>
      <c r="J3455" s="9" t="s">
        <v>13284</v>
      </c>
      <c r="K3455" s="9" t="s">
        <v>13284</v>
      </c>
      <c r="L3455" s="9" t="s">
        <v>13284</v>
      </c>
      <c r="M3455" s="9" t="s">
        <v>13284</v>
      </c>
      <c r="N3455" s="9" t="s">
        <v>13284</v>
      </c>
      <c r="O3455" s="9" t="s">
        <v>13284</v>
      </c>
      <c r="P3455" s="9" t="s">
        <v>13284</v>
      </c>
      <c r="Q3455" s="9" t="s">
        <v>13284</v>
      </c>
      <c r="R3455" s="9" t="s">
        <v>13284</v>
      </c>
      <c r="S3455" s="9" t="s">
        <v>13284</v>
      </c>
      <c r="T3455" s="9" t="str">
        <f ca="1">IFERROR(IF(AND(VLOOKUP(A3455, 'Актуальное состояние (из общего'!A:C,3,0) = "", A3455 &lt;&gt; ""), "ПРОВЕРИТЬ", VLOOKUP(A3455, 'Актуальное состояние (из общего'!A:C,3,0)), "")</f>
        <v/>
      </c>
      <c r="U3455" s="9" t="s">
        <v>13284</v>
      </c>
      <c r="V3455" s="9" t="s">
        <v>13284</v>
      </c>
      <c r="W3455" s="12"/>
      <c r="X3455" s="9" t="str">
        <f t="array" ref="X3455">IFERROR(INDEX('Адреса общежитий (скрытый)'!$B$2:$B$9, MATCH(W3455, 'Адреса общежитий (скрытый)'!$A$2:$A$9, 0)), "")</f>
        <v/>
      </c>
      <c r="Y3455" s="18"/>
      <c r="Z3455" s="18"/>
      <c r="AA3455" s="18"/>
      <c r="AB3455" s="18"/>
      <c r="AC3455" s="18"/>
    </row>
    <row r="3456" spans="1:29" ht="32.25" hidden="1" customHeight="1">
      <c r="A3456" s="17"/>
      <c r="B3456" s="9" t="s">
        <v>13284</v>
      </c>
      <c r="C3456" s="9" t="s">
        <v>13284</v>
      </c>
      <c r="D3456" s="9" t="s">
        <v>13284</v>
      </c>
      <c r="E3456" s="9" t="s">
        <v>13284</v>
      </c>
      <c r="F3456" s="9" t="s">
        <v>13284</v>
      </c>
      <c r="G3456" s="9" t="s">
        <v>13284</v>
      </c>
      <c r="H3456" s="9" t="s">
        <v>13284</v>
      </c>
      <c r="I3456" s="9" t="s">
        <v>13284</v>
      </c>
      <c r="J3456" s="9" t="s">
        <v>13284</v>
      </c>
      <c r="K3456" s="9" t="s">
        <v>13284</v>
      </c>
      <c r="L3456" s="9" t="s">
        <v>13284</v>
      </c>
      <c r="M3456" s="9" t="s">
        <v>13284</v>
      </c>
      <c r="N3456" s="9" t="s">
        <v>13284</v>
      </c>
      <c r="O3456" s="9" t="s">
        <v>13284</v>
      </c>
      <c r="P3456" s="9" t="s">
        <v>13284</v>
      </c>
      <c r="Q3456" s="9" t="s">
        <v>13284</v>
      </c>
      <c r="R3456" s="9" t="s">
        <v>13284</v>
      </c>
      <c r="S3456" s="9" t="s">
        <v>13284</v>
      </c>
      <c r="T3456" s="9" t="str">
        <f ca="1">IFERROR(IF(AND(VLOOKUP(A3456, 'Актуальное состояние (из общего'!A:C,3,0) = "", A3456 &lt;&gt; ""), "ПРОВЕРИТЬ", VLOOKUP(A3456, 'Актуальное состояние (из общего'!A:C,3,0)), "")</f>
        <v/>
      </c>
      <c r="U3456" s="9" t="s">
        <v>13284</v>
      </c>
      <c r="V3456" s="9" t="s">
        <v>13284</v>
      </c>
      <c r="W3456" s="12"/>
      <c r="X3456" s="9" t="str">
        <f t="array" ref="X3456">IFERROR(INDEX('Адреса общежитий (скрытый)'!$B$2:$B$9, MATCH(W3456, 'Адреса общежитий (скрытый)'!$A$2:$A$9, 0)), "")</f>
        <v/>
      </c>
      <c r="Y3456" s="18"/>
      <c r="Z3456" s="18"/>
      <c r="AA3456" s="18"/>
      <c r="AB3456" s="18"/>
      <c r="AC3456" s="18"/>
    </row>
    <row r="3457" spans="1:29" ht="32.25" hidden="1" customHeight="1">
      <c r="A3457" s="17"/>
      <c r="B3457" s="9" t="s">
        <v>13284</v>
      </c>
      <c r="C3457" s="9" t="s">
        <v>13284</v>
      </c>
      <c r="D3457" s="9" t="s">
        <v>13284</v>
      </c>
      <c r="E3457" s="9" t="s">
        <v>13284</v>
      </c>
      <c r="F3457" s="9" t="s">
        <v>13284</v>
      </c>
      <c r="G3457" s="9" t="s">
        <v>13284</v>
      </c>
      <c r="H3457" s="9" t="s">
        <v>13284</v>
      </c>
      <c r="I3457" s="9" t="s">
        <v>13284</v>
      </c>
      <c r="J3457" s="9" t="s">
        <v>13284</v>
      </c>
      <c r="K3457" s="9" t="s">
        <v>13284</v>
      </c>
      <c r="L3457" s="9" t="s">
        <v>13284</v>
      </c>
      <c r="M3457" s="9" t="s">
        <v>13284</v>
      </c>
      <c r="N3457" s="9" t="s">
        <v>13284</v>
      </c>
      <c r="O3457" s="9" t="s">
        <v>13284</v>
      </c>
      <c r="P3457" s="9" t="s">
        <v>13284</v>
      </c>
      <c r="Q3457" s="9" t="s">
        <v>13284</v>
      </c>
      <c r="R3457" s="9" t="s">
        <v>13284</v>
      </c>
      <c r="S3457" s="9" t="s">
        <v>13284</v>
      </c>
      <c r="T3457" s="9" t="str">
        <f ca="1">IFERROR(IF(AND(VLOOKUP(A3457, 'Актуальное состояние (из общего'!A:C,3,0) = "", A3457 &lt;&gt; ""), "ПРОВЕРИТЬ", VLOOKUP(A3457, 'Актуальное состояние (из общего'!A:C,3,0)), "")</f>
        <v/>
      </c>
      <c r="U3457" s="9" t="s">
        <v>13284</v>
      </c>
      <c r="V3457" s="9" t="s">
        <v>13284</v>
      </c>
      <c r="W3457" s="12"/>
      <c r="X3457" s="9" t="str">
        <f t="array" ref="X3457">IFERROR(INDEX('Адреса общежитий (скрытый)'!$B$2:$B$9, MATCH(W3457, 'Адреса общежитий (скрытый)'!$A$2:$A$9, 0)), "")</f>
        <v/>
      </c>
      <c r="Y3457" s="18"/>
      <c r="Z3457" s="18"/>
      <c r="AA3457" s="18"/>
      <c r="AB3457" s="18"/>
      <c r="AC3457" s="18"/>
    </row>
    <row r="3458" spans="1:29" ht="32.25" hidden="1" customHeight="1">
      <c r="A3458" s="17"/>
      <c r="B3458" s="9" t="s">
        <v>13284</v>
      </c>
      <c r="C3458" s="9" t="s">
        <v>13284</v>
      </c>
      <c r="D3458" s="9" t="s">
        <v>13284</v>
      </c>
      <c r="E3458" s="9" t="s">
        <v>13284</v>
      </c>
      <c r="F3458" s="9" t="s">
        <v>13284</v>
      </c>
      <c r="G3458" s="9" t="s">
        <v>13284</v>
      </c>
      <c r="H3458" s="9" t="s">
        <v>13284</v>
      </c>
      <c r="I3458" s="9" t="s">
        <v>13284</v>
      </c>
      <c r="J3458" s="9" t="s">
        <v>13284</v>
      </c>
      <c r="K3458" s="9" t="s">
        <v>13284</v>
      </c>
      <c r="L3458" s="9" t="s">
        <v>13284</v>
      </c>
      <c r="M3458" s="9" t="s">
        <v>13284</v>
      </c>
      <c r="N3458" s="9" t="s">
        <v>13284</v>
      </c>
      <c r="O3458" s="9" t="s">
        <v>13284</v>
      </c>
      <c r="P3458" s="9" t="s">
        <v>13284</v>
      </c>
      <c r="Q3458" s="9" t="s">
        <v>13284</v>
      </c>
      <c r="R3458" s="9" t="s">
        <v>13284</v>
      </c>
      <c r="S3458" s="9" t="s">
        <v>13284</v>
      </c>
      <c r="T3458" s="9" t="str">
        <f ca="1">IFERROR(IF(AND(VLOOKUP(A3458, 'Актуальное состояние (из общего'!A:C,3,0) = "", A3458 &lt;&gt; ""), "ПРОВЕРИТЬ", VLOOKUP(A3458, 'Актуальное состояние (из общего'!A:C,3,0)), "")</f>
        <v/>
      </c>
      <c r="U3458" s="9" t="s">
        <v>13284</v>
      </c>
      <c r="V3458" s="9" t="s">
        <v>13284</v>
      </c>
      <c r="W3458" s="12"/>
      <c r="X3458" s="9" t="str">
        <f t="array" ref="X3458">IFERROR(INDEX('Адреса общежитий (скрытый)'!$B$2:$B$9, MATCH(W3458, 'Адреса общежитий (скрытый)'!$A$2:$A$9, 0)), "")</f>
        <v/>
      </c>
      <c r="Y3458" s="18"/>
      <c r="Z3458" s="18"/>
      <c r="AA3458" s="18"/>
      <c r="AB3458" s="18"/>
      <c r="AC3458" s="18"/>
    </row>
    <row r="3459" spans="1:29" ht="32.25" hidden="1" customHeight="1">
      <c r="A3459" s="17"/>
      <c r="B3459" s="9" t="s">
        <v>13284</v>
      </c>
      <c r="C3459" s="9" t="s">
        <v>13284</v>
      </c>
      <c r="D3459" s="9" t="s">
        <v>13284</v>
      </c>
      <c r="E3459" s="9" t="s">
        <v>13284</v>
      </c>
      <c r="F3459" s="9" t="s">
        <v>13284</v>
      </c>
      <c r="G3459" s="9" t="s">
        <v>13284</v>
      </c>
      <c r="H3459" s="9" t="s">
        <v>13284</v>
      </c>
      <c r="I3459" s="9" t="s">
        <v>13284</v>
      </c>
      <c r="J3459" s="9" t="s">
        <v>13284</v>
      </c>
      <c r="K3459" s="9" t="s">
        <v>13284</v>
      </c>
      <c r="L3459" s="9" t="s">
        <v>13284</v>
      </c>
      <c r="M3459" s="9" t="s">
        <v>13284</v>
      </c>
      <c r="N3459" s="9" t="s">
        <v>13284</v>
      </c>
      <c r="O3459" s="9" t="s">
        <v>13284</v>
      </c>
      <c r="P3459" s="9" t="s">
        <v>13284</v>
      </c>
      <c r="Q3459" s="9" t="s">
        <v>13284</v>
      </c>
      <c r="R3459" s="9" t="s">
        <v>13284</v>
      </c>
      <c r="S3459" s="9" t="s">
        <v>13284</v>
      </c>
      <c r="T3459" s="9" t="str">
        <f ca="1">IFERROR(IF(AND(VLOOKUP(A3459, 'Актуальное состояние (из общего'!A:C,3,0) = "", A3459 &lt;&gt; ""), "ПРОВЕРИТЬ", VLOOKUP(A3459, 'Актуальное состояние (из общего'!A:C,3,0)), "")</f>
        <v/>
      </c>
      <c r="U3459" s="9" t="s">
        <v>13284</v>
      </c>
      <c r="V3459" s="9" t="s">
        <v>13284</v>
      </c>
      <c r="W3459" s="12"/>
      <c r="X3459" s="9" t="str">
        <f t="array" ref="X3459">IFERROR(INDEX('Адреса общежитий (скрытый)'!$B$2:$B$9, MATCH(W3459, 'Адреса общежитий (скрытый)'!$A$2:$A$9, 0)), "")</f>
        <v/>
      </c>
      <c r="Y3459" s="18"/>
      <c r="Z3459" s="18"/>
      <c r="AA3459" s="18"/>
      <c r="AB3459" s="18"/>
      <c r="AC3459" s="18"/>
    </row>
    <row r="3460" spans="1:29" ht="32.25" hidden="1" customHeight="1">
      <c r="A3460" s="17"/>
      <c r="B3460" s="9" t="s">
        <v>13284</v>
      </c>
      <c r="C3460" s="9" t="s">
        <v>13284</v>
      </c>
      <c r="D3460" s="9" t="s">
        <v>13284</v>
      </c>
      <c r="E3460" s="9" t="s">
        <v>13284</v>
      </c>
      <c r="F3460" s="9" t="s">
        <v>13284</v>
      </c>
      <c r="G3460" s="9" t="s">
        <v>13284</v>
      </c>
      <c r="H3460" s="9" t="s">
        <v>13284</v>
      </c>
      <c r="I3460" s="9" t="s">
        <v>13284</v>
      </c>
      <c r="J3460" s="9" t="s">
        <v>13284</v>
      </c>
      <c r="K3460" s="9" t="s">
        <v>13284</v>
      </c>
      <c r="L3460" s="9" t="s">
        <v>13284</v>
      </c>
      <c r="M3460" s="9" t="s">
        <v>13284</v>
      </c>
      <c r="N3460" s="9" t="s">
        <v>13284</v>
      </c>
      <c r="O3460" s="9" t="s">
        <v>13284</v>
      </c>
      <c r="P3460" s="9" t="s">
        <v>13284</v>
      </c>
      <c r="Q3460" s="9" t="s">
        <v>13284</v>
      </c>
      <c r="R3460" s="9" t="s">
        <v>13284</v>
      </c>
      <c r="S3460" s="9" t="s">
        <v>13284</v>
      </c>
      <c r="T3460" s="9" t="str">
        <f ca="1">IFERROR(IF(AND(VLOOKUP(A3460, 'Актуальное состояние (из общего'!A:C,3,0) = "", A3460 &lt;&gt; ""), "ПРОВЕРИТЬ", VLOOKUP(A3460, 'Актуальное состояние (из общего'!A:C,3,0)), "")</f>
        <v/>
      </c>
      <c r="U3460" s="9" t="s">
        <v>13284</v>
      </c>
      <c r="V3460" s="9" t="s">
        <v>13284</v>
      </c>
      <c r="W3460" s="12"/>
      <c r="X3460" s="9" t="str">
        <f t="array" ref="X3460">IFERROR(INDEX('Адреса общежитий (скрытый)'!$B$2:$B$9, MATCH(W3460, 'Адреса общежитий (скрытый)'!$A$2:$A$9, 0)), "")</f>
        <v/>
      </c>
      <c r="Y3460" s="18"/>
      <c r="Z3460" s="18"/>
      <c r="AA3460" s="18"/>
      <c r="AB3460" s="18"/>
      <c r="AC3460" s="18"/>
    </row>
    <row r="3461" spans="1:29" ht="32.25" hidden="1" customHeight="1">
      <c r="A3461" s="17"/>
      <c r="B3461" s="9" t="s">
        <v>13284</v>
      </c>
      <c r="C3461" s="9" t="s">
        <v>13284</v>
      </c>
      <c r="D3461" s="9" t="s">
        <v>13284</v>
      </c>
      <c r="E3461" s="9" t="s">
        <v>13284</v>
      </c>
      <c r="F3461" s="9" t="s">
        <v>13284</v>
      </c>
      <c r="G3461" s="9" t="s">
        <v>13284</v>
      </c>
      <c r="H3461" s="9" t="s">
        <v>13284</v>
      </c>
      <c r="I3461" s="9" t="s">
        <v>13284</v>
      </c>
      <c r="J3461" s="9" t="s">
        <v>13284</v>
      </c>
      <c r="K3461" s="9" t="s">
        <v>13284</v>
      </c>
      <c r="L3461" s="9" t="s">
        <v>13284</v>
      </c>
      <c r="M3461" s="9" t="s">
        <v>13284</v>
      </c>
      <c r="N3461" s="9" t="s">
        <v>13284</v>
      </c>
      <c r="O3461" s="9" t="s">
        <v>13284</v>
      </c>
      <c r="P3461" s="9" t="s">
        <v>13284</v>
      </c>
      <c r="Q3461" s="9" t="s">
        <v>13284</v>
      </c>
      <c r="R3461" s="9" t="s">
        <v>13284</v>
      </c>
      <c r="S3461" s="9" t="s">
        <v>13284</v>
      </c>
      <c r="T3461" s="9" t="str">
        <f ca="1">IFERROR(IF(AND(VLOOKUP(A3461, 'Актуальное состояние (из общего'!A:C,3,0) = "", A3461 &lt;&gt; ""), "ПРОВЕРИТЬ", VLOOKUP(A3461, 'Актуальное состояние (из общего'!A:C,3,0)), "")</f>
        <v/>
      </c>
      <c r="U3461" s="9" t="s">
        <v>13284</v>
      </c>
      <c r="V3461" s="9" t="s">
        <v>13284</v>
      </c>
      <c r="W3461" s="12"/>
      <c r="X3461" s="9" t="str">
        <f t="array" ref="X3461">IFERROR(INDEX('Адреса общежитий (скрытый)'!$B$2:$B$9, MATCH(W3461, 'Адреса общежитий (скрытый)'!$A$2:$A$9, 0)), "")</f>
        <v/>
      </c>
      <c r="Y3461" s="18"/>
      <c r="Z3461" s="18"/>
      <c r="AA3461" s="18"/>
      <c r="AB3461" s="18"/>
      <c r="AC3461" s="18"/>
    </row>
    <row r="3462" spans="1:29" ht="32.25" hidden="1" customHeight="1">
      <c r="A3462" s="17"/>
      <c r="B3462" s="9" t="s">
        <v>13284</v>
      </c>
      <c r="C3462" s="9" t="s">
        <v>13284</v>
      </c>
      <c r="D3462" s="9" t="s">
        <v>13284</v>
      </c>
      <c r="E3462" s="9" t="s">
        <v>13284</v>
      </c>
      <c r="F3462" s="9" t="s">
        <v>13284</v>
      </c>
      <c r="G3462" s="9" t="s">
        <v>13284</v>
      </c>
      <c r="H3462" s="9" t="s">
        <v>13284</v>
      </c>
      <c r="I3462" s="9" t="s">
        <v>13284</v>
      </c>
      <c r="J3462" s="9" t="s">
        <v>13284</v>
      </c>
      <c r="K3462" s="9" t="s">
        <v>13284</v>
      </c>
      <c r="L3462" s="9" t="s">
        <v>13284</v>
      </c>
      <c r="M3462" s="9" t="s">
        <v>13284</v>
      </c>
      <c r="N3462" s="9" t="s">
        <v>13284</v>
      </c>
      <c r="O3462" s="9" t="s">
        <v>13284</v>
      </c>
      <c r="P3462" s="9" t="s">
        <v>13284</v>
      </c>
      <c r="Q3462" s="9" t="s">
        <v>13284</v>
      </c>
      <c r="R3462" s="9" t="s">
        <v>13284</v>
      </c>
      <c r="S3462" s="9" t="s">
        <v>13284</v>
      </c>
      <c r="T3462" s="9" t="str">
        <f ca="1">IFERROR(IF(AND(VLOOKUP(A3462, 'Актуальное состояние (из общего'!A:C,3,0) = "", A3462 &lt;&gt; ""), "ПРОВЕРИТЬ", VLOOKUP(A3462, 'Актуальное состояние (из общего'!A:C,3,0)), "")</f>
        <v/>
      </c>
      <c r="U3462" s="9" t="s">
        <v>13284</v>
      </c>
      <c r="V3462" s="9" t="s">
        <v>13284</v>
      </c>
      <c r="W3462" s="12"/>
      <c r="X3462" s="9" t="str">
        <f t="array" ref="X3462">IFERROR(INDEX('Адреса общежитий (скрытый)'!$B$2:$B$9, MATCH(W3462, 'Адреса общежитий (скрытый)'!$A$2:$A$9, 0)), "")</f>
        <v/>
      </c>
      <c r="Y3462" s="18"/>
      <c r="Z3462" s="18"/>
      <c r="AA3462" s="18"/>
      <c r="AB3462" s="18"/>
      <c r="AC3462" s="18"/>
    </row>
    <row r="3463" spans="1:29" ht="32.25" hidden="1" customHeight="1">
      <c r="A3463" s="17"/>
      <c r="B3463" s="9" t="s">
        <v>13284</v>
      </c>
      <c r="C3463" s="9" t="s">
        <v>13284</v>
      </c>
      <c r="D3463" s="9" t="s">
        <v>13284</v>
      </c>
      <c r="E3463" s="9" t="s">
        <v>13284</v>
      </c>
      <c r="F3463" s="9" t="s">
        <v>13284</v>
      </c>
      <c r="G3463" s="9" t="s">
        <v>13284</v>
      </c>
      <c r="H3463" s="9" t="s">
        <v>13284</v>
      </c>
      <c r="I3463" s="9" t="s">
        <v>13284</v>
      </c>
      <c r="J3463" s="9" t="s">
        <v>13284</v>
      </c>
      <c r="K3463" s="9" t="s">
        <v>13284</v>
      </c>
      <c r="L3463" s="9" t="s">
        <v>13284</v>
      </c>
      <c r="M3463" s="9" t="s">
        <v>13284</v>
      </c>
      <c r="N3463" s="9" t="s">
        <v>13284</v>
      </c>
      <c r="O3463" s="9" t="s">
        <v>13284</v>
      </c>
      <c r="P3463" s="9" t="s">
        <v>13284</v>
      </c>
      <c r="Q3463" s="9" t="s">
        <v>13284</v>
      </c>
      <c r="R3463" s="9" t="s">
        <v>13284</v>
      </c>
      <c r="S3463" s="9" t="s">
        <v>13284</v>
      </c>
      <c r="T3463" s="9" t="str">
        <f ca="1">IFERROR(IF(AND(VLOOKUP(A3463, 'Актуальное состояние (из общего'!A:C,3,0) = "", A3463 &lt;&gt; ""), "ПРОВЕРИТЬ", VLOOKUP(A3463, 'Актуальное состояние (из общего'!A:C,3,0)), "")</f>
        <v/>
      </c>
      <c r="U3463" s="9" t="s">
        <v>13284</v>
      </c>
      <c r="V3463" s="9" t="s">
        <v>13284</v>
      </c>
      <c r="W3463" s="12"/>
      <c r="X3463" s="9" t="str">
        <f t="array" ref="X3463">IFERROR(INDEX('Адреса общежитий (скрытый)'!$B$2:$B$9, MATCH(W3463, 'Адреса общежитий (скрытый)'!$A$2:$A$9, 0)), "")</f>
        <v/>
      </c>
      <c r="Y3463" s="18"/>
      <c r="Z3463" s="18"/>
      <c r="AA3463" s="18"/>
      <c r="AB3463" s="18"/>
      <c r="AC3463" s="18"/>
    </row>
    <row r="3464" spans="1:29" ht="32.25" hidden="1" customHeight="1">
      <c r="A3464" s="17"/>
      <c r="B3464" s="9" t="s">
        <v>13284</v>
      </c>
      <c r="C3464" s="9" t="s">
        <v>13284</v>
      </c>
      <c r="D3464" s="9" t="s">
        <v>13284</v>
      </c>
      <c r="E3464" s="9" t="s">
        <v>13284</v>
      </c>
      <c r="F3464" s="9" t="s">
        <v>13284</v>
      </c>
      <c r="G3464" s="9" t="s">
        <v>13284</v>
      </c>
      <c r="H3464" s="9" t="s">
        <v>13284</v>
      </c>
      <c r="I3464" s="9" t="s">
        <v>13284</v>
      </c>
      <c r="J3464" s="9" t="s">
        <v>13284</v>
      </c>
      <c r="K3464" s="9" t="s">
        <v>13284</v>
      </c>
      <c r="L3464" s="9" t="s">
        <v>13284</v>
      </c>
      <c r="M3464" s="9" t="s">
        <v>13284</v>
      </c>
      <c r="N3464" s="9" t="s">
        <v>13284</v>
      </c>
      <c r="O3464" s="9" t="s">
        <v>13284</v>
      </c>
      <c r="P3464" s="9" t="s">
        <v>13284</v>
      </c>
      <c r="Q3464" s="9" t="s">
        <v>13284</v>
      </c>
      <c r="R3464" s="9" t="s">
        <v>13284</v>
      </c>
      <c r="S3464" s="9" t="s">
        <v>13284</v>
      </c>
      <c r="T3464" s="9" t="str">
        <f ca="1">IFERROR(IF(AND(VLOOKUP(A3464, 'Актуальное состояние (из общего'!A:C,3,0) = "", A3464 &lt;&gt; ""), "ПРОВЕРИТЬ", VLOOKUP(A3464, 'Актуальное состояние (из общего'!A:C,3,0)), "")</f>
        <v/>
      </c>
      <c r="U3464" s="9" t="s">
        <v>13284</v>
      </c>
      <c r="V3464" s="9" t="s">
        <v>13284</v>
      </c>
      <c r="W3464" s="12"/>
      <c r="X3464" s="9" t="str">
        <f t="array" ref="X3464">IFERROR(INDEX('Адреса общежитий (скрытый)'!$B$2:$B$9, MATCH(W3464, 'Адреса общежитий (скрытый)'!$A$2:$A$9, 0)), "")</f>
        <v/>
      </c>
      <c r="Y3464" s="18"/>
      <c r="Z3464" s="18"/>
      <c r="AA3464" s="18"/>
      <c r="AB3464" s="18"/>
      <c r="AC3464" s="18"/>
    </row>
    <row r="3465" spans="1:29" ht="32.25" hidden="1" customHeight="1">
      <c r="A3465" s="17"/>
      <c r="B3465" s="9" t="s">
        <v>13284</v>
      </c>
      <c r="C3465" s="9" t="s">
        <v>13284</v>
      </c>
      <c r="D3465" s="9" t="s">
        <v>13284</v>
      </c>
      <c r="E3465" s="9" t="s">
        <v>13284</v>
      </c>
      <c r="F3465" s="9" t="s">
        <v>13284</v>
      </c>
      <c r="G3465" s="9" t="s">
        <v>13284</v>
      </c>
      <c r="H3465" s="9" t="s">
        <v>13284</v>
      </c>
      <c r="I3465" s="9" t="s">
        <v>13284</v>
      </c>
      <c r="J3465" s="9" t="s">
        <v>13284</v>
      </c>
      <c r="K3465" s="9" t="s">
        <v>13284</v>
      </c>
      <c r="L3465" s="9" t="s">
        <v>13284</v>
      </c>
      <c r="M3465" s="9" t="s">
        <v>13284</v>
      </c>
      <c r="N3465" s="9" t="s">
        <v>13284</v>
      </c>
      <c r="O3465" s="9" t="s">
        <v>13284</v>
      </c>
      <c r="P3465" s="9" t="s">
        <v>13284</v>
      </c>
      <c r="Q3465" s="9" t="s">
        <v>13284</v>
      </c>
      <c r="R3465" s="9" t="s">
        <v>13284</v>
      </c>
      <c r="S3465" s="9" t="s">
        <v>13284</v>
      </c>
      <c r="T3465" s="9" t="str">
        <f ca="1">IFERROR(IF(AND(VLOOKUP(A3465, 'Актуальное состояние (из общего'!A:C,3,0) = "", A3465 &lt;&gt; ""), "ПРОВЕРИТЬ", VLOOKUP(A3465, 'Актуальное состояние (из общего'!A:C,3,0)), "")</f>
        <v/>
      </c>
      <c r="U3465" s="9" t="s">
        <v>13284</v>
      </c>
      <c r="V3465" s="9" t="s">
        <v>13284</v>
      </c>
      <c r="W3465" s="12"/>
      <c r="X3465" s="9" t="str">
        <f t="array" ref="X3465">IFERROR(INDEX('Адреса общежитий (скрытый)'!$B$2:$B$9, MATCH(W3465, 'Адреса общежитий (скрытый)'!$A$2:$A$9, 0)), "")</f>
        <v/>
      </c>
      <c r="Y3465" s="18"/>
      <c r="Z3465" s="18"/>
      <c r="AA3465" s="18"/>
      <c r="AB3465" s="18"/>
      <c r="AC3465" s="18"/>
    </row>
    <row r="3466" spans="1:29" ht="32.25" hidden="1" customHeight="1">
      <c r="A3466" s="17"/>
      <c r="B3466" s="9" t="s">
        <v>13284</v>
      </c>
      <c r="C3466" s="9" t="s">
        <v>13284</v>
      </c>
      <c r="D3466" s="9" t="s">
        <v>13284</v>
      </c>
      <c r="E3466" s="9" t="s">
        <v>13284</v>
      </c>
      <c r="F3466" s="9" t="s">
        <v>13284</v>
      </c>
      <c r="G3466" s="9" t="s">
        <v>13284</v>
      </c>
      <c r="H3466" s="9" t="s">
        <v>13284</v>
      </c>
      <c r="I3466" s="9" t="s">
        <v>13284</v>
      </c>
      <c r="J3466" s="9" t="s">
        <v>13284</v>
      </c>
      <c r="K3466" s="9" t="s">
        <v>13284</v>
      </c>
      <c r="L3466" s="9" t="s">
        <v>13284</v>
      </c>
      <c r="M3466" s="9" t="s">
        <v>13284</v>
      </c>
      <c r="N3466" s="9" t="s">
        <v>13284</v>
      </c>
      <c r="O3466" s="9" t="s">
        <v>13284</v>
      </c>
      <c r="P3466" s="9" t="s">
        <v>13284</v>
      </c>
      <c r="Q3466" s="9" t="s">
        <v>13284</v>
      </c>
      <c r="R3466" s="9" t="s">
        <v>13284</v>
      </c>
      <c r="S3466" s="9" t="s">
        <v>13284</v>
      </c>
      <c r="T3466" s="9" t="str">
        <f ca="1">IFERROR(IF(AND(VLOOKUP(A3466, 'Актуальное состояние (из общего'!A:C,3,0) = "", A3466 &lt;&gt; ""), "ПРОВЕРИТЬ", VLOOKUP(A3466, 'Актуальное состояние (из общего'!A:C,3,0)), "")</f>
        <v/>
      </c>
      <c r="U3466" s="9" t="s">
        <v>13284</v>
      </c>
      <c r="V3466" s="9" t="s">
        <v>13284</v>
      </c>
      <c r="W3466" s="12"/>
      <c r="X3466" s="9" t="str">
        <f t="array" ref="X3466">IFERROR(INDEX('Адреса общежитий (скрытый)'!$B$2:$B$9, MATCH(W3466, 'Адреса общежитий (скрытый)'!$A$2:$A$9, 0)), "")</f>
        <v/>
      </c>
      <c r="Y3466" s="18"/>
      <c r="Z3466" s="18"/>
      <c r="AA3466" s="18"/>
      <c r="AB3466" s="18"/>
      <c r="AC3466" s="18"/>
    </row>
    <row r="3467" spans="1:29" ht="32.25" hidden="1" customHeight="1">
      <c r="A3467" s="17"/>
      <c r="B3467" s="9" t="s">
        <v>13284</v>
      </c>
      <c r="C3467" s="9" t="s">
        <v>13284</v>
      </c>
      <c r="D3467" s="9" t="s">
        <v>13284</v>
      </c>
      <c r="E3467" s="9" t="s">
        <v>13284</v>
      </c>
      <c r="F3467" s="9" t="s">
        <v>13284</v>
      </c>
      <c r="G3467" s="9" t="s">
        <v>13284</v>
      </c>
      <c r="H3467" s="9" t="s">
        <v>13284</v>
      </c>
      <c r="I3467" s="9" t="s">
        <v>13284</v>
      </c>
      <c r="J3467" s="9" t="s">
        <v>13284</v>
      </c>
      <c r="K3467" s="9" t="s">
        <v>13284</v>
      </c>
      <c r="L3467" s="9" t="s">
        <v>13284</v>
      </c>
      <c r="M3467" s="9" t="s">
        <v>13284</v>
      </c>
      <c r="N3467" s="9" t="s">
        <v>13284</v>
      </c>
      <c r="O3467" s="9" t="s">
        <v>13284</v>
      </c>
      <c r="P3467" s="9" t="s">
        <v>13284</v>
      </c>
      <c r="Q3467" s="9" t="s">
        <v>13284</v>
      </c>
      <c r="R3467" s="9" t="s">
        <v>13284</v>
      </c>
      <c r="S3467" s="9" t="s">
        <v>13284</v>
      </c>
      <c r="T3467" s="9" t="str">
        <f ca="1">IFERROR(IF(AND(VLOOKUP(A3467, 'Актуальное состояние (из общего'!A:C,3,0) = "", A3467 &lt;&gt; ""), "ПРОВЕРИТЬ", VLOOKUP(A3467, 'Актуальное состояние (из общего'!A:C,3,0)), "")</f>
        <v/>
      </c>
      <c r="U3467" s="9" t="s">
        <v>13284</v>
      </c>
      <c r="V3467" s="9" t="s">
        <v>13284</v>
      </c>
      <c r="W3467" s="12"/>
      <c r="X3467" s="9" t="str">
        <f t="array" ref="X3467">IFERROR(INDEX('Адреса общежитий (скрытый)'!$B$2:$B$9, MATCH(W3467, 'Адреса общежитий (скрытый)'!$A$2:$A$9, 0)), "")</f>
        <v/>
      </c>
      <c r="Y3467" s="18"/>
      <c r="Z3467" s="18"/>
      <c r="AA3467" s="18"/>
      <c r="AB3467" s="18"/>
      <c r="AC3467" s="18"/>
    </row>
    <row r="3468" spans="1:29" ht="32.25" hidden="1" customHeight="1">
      <c r="A3468" s="17"/>
      <c r="B3468" s="9" t="s">
        <v>13284</v>
      </c>
      <c r="C3468" s="9" t="s">
        <v>13284</v>
      </c>
      <c r="D3468" s="9" t="s">
        <v>13284</v>
      </c>
      <c r="E3468" s="9" t="s">
        <v>13284</v>
      </c>
      <c r="F3468" s="9" t="s">
        <v>13284</v>
      </c>
      <c r="G3468" s="9" t="s">
        <v>13284</v>
      </c>
      <c r="H3468" s="9" t="s">
        <v>13284</v>
      </c>
      <c r="I3468" s="9" t="s">
        <v>13284</v>
      </c>
      <c r="J3468" s="9" t="s">
        <v>13284</v>
      </c>
      <c r="K3468" s="9" t="s">
        <v>13284</v>
      </c>
      <c r="L3468" s="9" t="s">
        <v>13284</v>
      </c>
      <c r="M3468" s="9" t="s">
        <v>13284</v>
      </c>
      <c r="N3468" s="9" t="s">
        <v>13284</v>
      </c>
      <c r="O3468" s="9" t="s">
        <v>13284</v>
      </c>
      <c r="P3468" s="9" t="s">
        <v>13284</v>
      </c>
      <c r="Q3468" s="9" t="s">
        <v>13284</v>
      </c>
      <c r="R3468" s="9" t="s">
        <v>13284</v>
      </c>
      <c r="S3468" s="9" t="s">
        <v>13284</v>
      </c>
      <c r="T3468" s="9" t="str">
        <f ca="1">IFERROR(IF(AND(VLOOKUP(A3468, 'Актуальное состояние (из общего'!A:C,3,0) = "", A3468 &lt;&gt; ""), "ПРОВЕРИТЬ", VLOOKUP(A3468, 'Актуальное состояние (из общего'!A:C,3,0)), "")</f>
        <v/>
      </c>
      <c r="U3468" s="9" t="s">
        <v>13284</v>
      </c>
      <c r="V3468" s="9" t="s">
        <v>13284</v>
      </c>
      <c r="W3468" s="12"/>
      <c r="X3468" s="9" t="str">
        <f t="array" ref="X3468">IFERROR(INDEX('Адреса общежитий (скрытый)'!$B$2:$B$9, MATCH(W3468, 'Адреса общежитий (скрытый)'!$A$2:$A$9, 0)), "")</f>
        <v/>
      </c>
      <c r="Y3468" s="18"/>
      <c r="Z3468" s="18"/>
      <c r="AA3468" s="18"/>
      <c r="AB3468" s="18"/>
      <c r="AC3468" s="18"/>
    </row>
    <row r="3469" spans="1:29" ht="32.25" hidden="1" customHeight="1">
      <c r="A3469" s="17"/>
      <c r="B3469" s="9" t="s">
        <v>13284</v>
      </c>
      <c r="C3469" s="9" t="s">
        <v>13284</v>
      </c>
      <c r="D3469" s="9" t="s">
        <v>13284</v>
      </c>
      <c r="E3469" s="9" t="s">
        <v>13284</v>
      </c>
      <c r="F3469" s="9" t="s">
        <v>13284</v>
      </c>
      <c r="G3469" s="9" t="s">
        <v>13284</v>
      </c>
      <c r="H3469" s="9" t="s">
        <v>13284</v>
      </c>
      <c r="I3469" s="9" t="s">
        <v>13284</v>
      </c>
      <c r="J3469" s="9" t="s">
        <v>13284</v>
      </c>
      <c r="K3469" s="9" t="s">
        <v>13284</v>
      </c>
      <c r="L3469" s="9" t="s">
        <v>13284</v>
      </c>
      <c r="M3469" s="9" t="s">
        <v>13284</v>
      </c>
      <c r="N3469" s="9" t="s">
        <v>13284</v>
      </c>
      <c r="O3469" s="9" t="s">
        <v>13284</v>
      </c>
      <c r="P3469" s="9" t="s">
        <v>13284</v>
      </c>
      <c r="Q3469" s="9" t="s">
        <v>13284</v>
      </c>
      <c r="R3469" s="9" t="s">
        <v>13284</v>
      </c>
      <c r="S3469" s="9" t="s">
        <v>13284</v>
      </c>
      <c r="T3469" s="9" t="str">
        <f ca="1">IFERROR(IF(AND(VLOOKUP(A3469, 'Актуальное состояние (из общего'!A:C,3,0) = "", A3469 &lt;&gt; ""), "ПРОВЕРИТЬ", VLOOKUP(A3469, 'Актуальное состояние (из общего'!A:C,3,0)), "")</f>
        <v/>
      </c>
      <c r="U3469" s="9" t="s">
        <v>13284</v>
      </c>
      <c r="V3469" s="9" t="s">
        <v>13284</v>
      </c>
      <c r="W3469" s="12"/>
      <c r="X3469" s="9" t="str">
        <f t="array" ref="X3469">IFERROR(INDEX('Адреса общежитий (скрытый)'!$B$2:$B$9, MATCH(W3469, 'Адреса общежитий (скрытый)'!$A$2:$A$9, 0)), "")</f>
        <v/>
      </c>
      <c r="Y3469" s="18"/>
      <c r="Z3469" s="18"/>
      <c r="AA3469" s="18"/>
      <c r="AB3469" s="18"/>
      <c r="AC3469" s="18"/>
    </row>
    <row r="3470" spans="1:29" ht="32.25" hidden="1" customHeight="1">
      <c r="A3470" s="17"/>
      <c r="B3470" s="9" t="s">
        <v>13284</v>
      </c>
      <c r="C3470" s="9" t="s">
        <v>13284</v>
      </c>
      <c r="D3470" s="9" t="s">
        <v>13284</v>
      </c>
      <c r="E3470" s="9" t="s">
        <v>13284</v>
      </c>
      <c r="F3470" s="9" t="s">
        <v>13284</v>
      </c>
      <c r="G3470" s="9" t="s">
        <v>13284</v>
      </c>
      <c r="H3470" s="9" t="s">
        <v>13284</v>
      </c>
      <c r="I3470" s="9" t="s">
        <v>13284</v>
      </c>
      <c r="J3470" s="9" t="s">
        <v>13284</v>
      </c>
      <c r="K3470" s="9" t="s">
        <v>13284</v>
      </c>
      <c r="L3470" s="9" t="s">
        <v>13284</v>
      </c>
      <c r="M3470" s="9" t="s">
        <v>13284</v>
      </c>
      <c r="N3470" s="9" t="s">
        <v>13284</v>
      </c>
      <c r="O3470" s="9" t="s">
        <v>13284</v>
      </c>
      <c r="P3470" s="9" t="s">
        <v>13284</v>
      </c>
      <c r="Q3470" s="9" t="s">
        <v>13284</v>
      </c>
      <c r="R3470" s="9" t="s">
        <v>13284</v>
      </c>
      <c r="S3470" s="9" t="s">
        <v>13284</v>
      </c>
      <c r="T3470" s="9" t="str">
        <f ca="1">IFERROR(IF(AND(VLOOKUP(A3470, 'Актуальное состояние (из общего'!A:C,3,0) = "", A3470 &lt;&gt; ""), "ПРОВЕРИТЬ", VLOOKUP(A3470, 'Актуальное состояние (из общего'!A:C,3,0)), "")</f>
        <v/>
      </c>
      <c r="U3470" s="9" t="s">
        <v>13284</v>
      </c>
      <c r="V3470" s="9" t="s">
        <v>13284</v>
      </c>
      <c r="W3470" s="12"/>
      <c r="X3470" s="9" t="str">
        <f t="array" ref="X3470">IFERROR(INDEX('Адреса общежитий (скрытый)'!$B$2:$B$9, MATCH(W3470, 'Адреса общежитий (скрытый)'!$A$2:$A$9, 0)), "")</f>
        <v/>
      </c>
      <c r="Y3470" s="18"/>
      <c r="Z3470" s="18"/>
      <c r="AA3470" s="18"/>
      <c r="AB3470" s="18"/>
      <c r="AC3470" s="18"/>
    </row>
    <row r="3471" spans="1:29" ht="32.25" hidden="1" customHeight="1">
      <c r="A3471" s="17"/>
      <c r="B3471" s="9" t="s">
        <v>13284</v>
      </c>
      <c r="C3471" s="9" t="s">
        <v>13284</v>
      </c>
      <c r="D3471" s="9" t="s">
        <v>13284</v>
      </c>
      <c r="E3471" s="9" t="s">
        <v>13284</v>
      </c>
      <c r="F3471" s="9" t="s">
        <v>13284</v>
      </c>
      <c r="G3471" s="9" t="s">
        <v>13284</v>
      </c>
      <c r="H3471" s="9" t="s">
        <v>13284</v>
      </c>
      <c r="I3471" s="9" t="s">
        <v>13284</v>
      </c>
      <c r="J3471" s="9" t="s">
        <v>13284</v>
      </c>
      <c r="K3471" s="9" t="s">
        <v>13284</v>
      </c>
      <c r="L3471" s="9" t="s">
        <v>13284</v>
      </c>
      <c r="M3471" s="9" t="s">
        <v>13284</v>
      </c>
      <c r="N3471" s="9" t="s">
        <v>13284</v>
      </c>
      <c r="O3471" s="9" t="s">
        <v>13284</v>
      </c>
      <c r="P3471" s="9" t="s">
        <v>13284</v>
      </c>
      <c r="Q3471" s="9" t="s">
        <v>13284</v>
      </c>
      <c r="R3471" s="9" t="s">
        <v>13284</v>
      </c>
      <c r="S3471" s="9" t="s">
        <v>13284</v>
      </c>
      <c r="T3471" s="9" t="str">
        <f ca="1">IFERROR(IF(AND(VLOOKUP(A3471, 'Актуальное состояние (из общего'!A:C,3,0) = "", A3471 &lt;&gt; ""), "ПРОВЕРИТЬ", VLOOKUP(A3471, 'Актуальное состояние (из общего'!A:C,3,0)), "")</f>
        <v/>
      </c>
      <c r="U3471" s="9" t="s">
        <v>13284</v>
      </c>
      <c r="V3471" s="9" t="s">
        <v>13284</v>
      </c>
      <c r="W3471" s="12"/>
      <c r="X3471" s="9" t="str">
        <f t="array" ref="X3471">IFERROR(INDEX('Адреса общежитий (скрытый)'!$B$2:$B$9, MATCH(W3471, 'Адреса общежитий (скрытый)'!$A$2:$A$9, 0)), "")</f>
        <v/>
      </c>
      <c r="Y3471" s="18"/>
      <c r="Z3471" s="18"/>
      <c r="AA3471" s="18"/>
      <c r="AB3471" s="18"/>
      <c r="AC3471" s="18"/>
    </row>
    <row r="3472" spans="1:29" ht="32.25" hidden="1" customHeight="1">
      <c r="A3472" s="17"/>
      <c r="B3472" s="9" t="s">
        <v>13284</v>
      </c>
      <c r="C3472" s="9" t="s">
        <v>13284</v>
      </c>
      <c r="D3472" s="9" t="s">
        <v>13284</v>
      </c>
      <c r="E3472" s="9" t="s">
        <v>13284</v>
      </c>
      <c r="F3472" s="9" t="s">
        <v>13284</v>
      </c>
      <c r="G3472" s="9" t="s">
        <v>13284</v>
      </c>
      <c r="H3472" s="9" t="s">
        <v>13284</v>
      </c>
      <c r="I3472" s="9" t="s">
        <v>13284</v>
      </c>
      <c r="J3472" s="9" t="s">
        <v>13284</v>
      </c>
      <c r="K3472" s="9" t="s">
        <v>13284</v>
      </c>
      <c r="L3472" s="9" t="s">
        <v>13284</v>
      </c>
      <c r="M3472" s="9" t="s">
        <v>13284</v>
      </c>
      <c r="N3472" s="9" t="s">
        <v>13284</v>
      </c>
      <c r="O3472" s="9" t="s">
        <v>13284</v>
      </c>
      <c r="P3472" s="9" t="s">
        <v>13284</v>
      </c>
      <c r="Q3472" s="9" t="s">
        <v>13284</v>
      </c>
      <c r="R3472" s="9" t="s">
        <v>13284</v>
      </c>
      <c r="S3472" s="9" t="s">
        <v>13284</v>
      </c>
      <c r="T3472" s="9" t="str">
        <f ca="1">IFERROR(IF(AND(VLOOKUP(A3472, 'Актуальное состояние (из общего'!A:C,3,0) = "", A3472 &lt;&gt; ""), "ПРОВЕРИТЬ", VLOOKUP(A3472, 'Актуальное состояние (из общего'!A:C,3,0)), "")</f>
        <v/>
      </c>
      <c r="U3472" s="9" t="s">
        <v>13284</v>
      </c>
      <c r="V3472" s="9" t="s">
        <v>13284</v>
      </c>
      <c r="W3472" s="12"/>
      <c r="X3472" s="9" t="str">
        <f t="array" ref="X3472">IFERROR(INDEX('Адреса общежитий (скрытый)'!$B$2:$B$9, MATCH(W3472, 'Адреса общежитий (скрытый)'!$A$2:$A$9, 0)), "")</f>
        <v/>
      </c>
      <c r="Y3472" s="18"/>
      <c r="Z3472" s="18"/>
      <c r="AA3472" s="18"/>
      <c r="AB3472" s="18"/>
      <c r="AC3472" s="18"/>
    </row>
    <row r="3473" spans="1:29" ht="32.25" hidden="1" customHeight="1">
      <c r="A3473" s="17"/>
      <c r="B3473" s="9" t="s">
        <v>13284</v>
      </c>
      <c r="C3473" s="9" t="s">
        <v>13284</v>
      </c>
      <c r="D3473" s="9" t="s">
        <v>13284</v>
      </c>
      <c r="E3473" s="9" t="s">
        <v>13284</v>
      </c>
      <c r="F3473" s="9" t="s">
        <v>13284</v>
      </c>
      <c r="G3473" s="9" t="s">
        <v>13284</v>
      </c>
      <c r="H3473" s="9" t="s">
        <v>13284</v>
      </c>
      <c r="I3473" s="9" t="s">
        <v>13284</v>
      </c>
      <c r="J3473" s="9" t="s">
        <v>13284</v>
      </c>
      <c r="K3473" s="9" t="s">
        <v>13284</v>
      </c>
      <c r="L3473" s="9" t="s">
        <v>13284</v>
      </c>
      <c r="M3473" s="9" t="s">
        <v>13284</v>
      </c>
      <c r="N3473" s="9" t="s">
        <v>13284</v>
      </c>
      <c r="O3473" s="9" t="s">
        <v>13284</v>
      </c>
      <c r="P3473" s="9" t="s">
        <v>13284</v>
      </c>
      <c r="Q3473" s="9" t="s">
        <v>13284</v>
      </c>
      <c r="R3473" s="9" t="s">
        <v>13284</v>
      </c>
      <c r="S3473" s="9" t="s">
        <v>13284</v>
      </c>
      <c r="T3473" s="9" t="str">
        <f ca="1">IFERROR(IF(AND(VLOOKUP(A3473, 'Актуальное состояние (из общего'!A:C,3,0) = "", A3473 &lt;&gt; ""), "ПРОВЕРИТЬ", VLOOKUP(A3473, 'Актуальное состояние (из общего'!A:C,3,0)), "")</f>
        <v/>
      </c>
      <c r="U3473" s="9" t="s">
        <v>13284</v>
      </c>
      <c r="V3473" s="9" t="s">
        <v>13284</v>
      </c>
      <c r="W3473" s="12"/>
      <c r="X3473" s="9" t="str">
        <f t="array" ref="X3473">IFERROR(INDEX('Адреса общежитий (скрытый)'!$B$2:$B$9, MATCH(W3473, 'Адреса общежитий (скрытый)'!$A$2:$A$9, 0)), "")</f>
        <v/>
      </c>
      <c r="Y3473" s="18"/>
      <c r="Z3473" s="18"/>
      <c r="AA3473" s="18"/>
      <c r="AB3473" s="18"/>
      <c r="AC3473" s="18"/>
    </row>
    <row r="3474" spans="1:29" ht="32.25" hidden="1" customHeight="1">
      <c r="A3474" s="17"/>
      <c r="B3474" s="9" t="s">
        <v>13284</v>
      </c>
      <c r="C3474" s="9" t="s">
        <v>13284</v>
      </c>
      <c r="D3474" s="9" t="s">
        <v>13284</v>
      </c>
      <c r="E3474" s="9" t="s">
        <v>13284</v>
      </c>
      <c r="F3474" s="9" t="s">
        <v>13284</v>
      </c>
      <c r="G3474" s="9" t="s">
        <v>13284</v>
      </c>
      <c r="H3474" s="9" t="s">
        <v>13284</v>
      </c>
      <c r="I3474" s="9" t="s">
        <v>13284</v>
      </c>
      <c r="J3474" s="9" t="s">
        <v>13284</v>
      </c>
      <c r="K3474" s="9" t="s">
        <v>13284</v>
      </c>
      <c r="L3474" s="9" t="s">
        <v>13284</v>
      </c>
      <c r="M3474" s="9" t="s">
        <v>13284</v>
      </c>
      <c r="N3474" s="9" t="s">
        <v>13284</v>
      </c>
      <c r="O3474" s="9" t="s">
        <v>13284</v>
      </c>
      <c r="P3474" s="9" t="s">
        <v>13284</v>
      </c>
      <c r="Q3474" s="9" t="s">
        <v>13284</v>
      </c>
      <c r="R3474" s="9" t="s">
        <v>13284</v>
      </c>
      <c r="S3474" s="9" t="s">
        <v>13284</v>
      </c>
      <c r="T3474" s="9" t="str">
        <f ca="1">IFERROR(IF(AND(VLOOKUP(A3474, 'Актуальное состояние (из общего'!A:C,3,0) = "", A3474 &lt;&gt; ""), "ПРОВЕРИТЬ", VLOOKUP(A3474, 'Актуальное состояние (из общего'!A:C,3,0)), "")</f>
        <v/>
      </c>
      <c r="U3474" s="9" t="s">
        <v>13284</v>
      </c>
      <c r="V3474" s="9" t="s">
        <v>13284</v>
      </c>
      <c r="W3474" s="12"/>
      <c r="X3474" s="9" t="str">
        <f t="array" ref="X3474">IFERROR(INDEX('Адреса общежитий (скрытый)'!$B$2:$B$9, MATCH(W3474, 'Адреса общежитий (скрытый)'!$A$2:$A$9, 0)), "")</f>
        <v/>
      </c>
      <c r="Y3474" s="18"/>
      <c r="Z3474" s="18"/>
      <c r="AA3474" s="18"/>
      <c r="AB3474" s="18"/>
      <c r="AC3474" s="18"/>
    </row>
    <row r="3475" spans="1:29" ht="32.25" hidden="1" customHeight="1">
      <c r="A3475" s="17"/>
      <c r="B3475" s="9" t="s">
        <v>13284</v>
      </c>
      <c r="C3475" s="9" t="s">
        <v>13284</v>
      </c>
      <c r="D3475" s="9" t="s">
        <v>13284</v>
      </c>
      <c r="E3475" s="9" t="s">
        <v>13284</v>
      </c>
      <c r="F3475" s="9" t="s">
        <v>13284</v>
      </c>
      <c r="G3475" s="9" t="s">
        <v>13284</v>
      </c>
      <c r="H3475" s="9" t="s">
        <v>13284</v>
      </c>
      <c r="I3475" s="9" t="s">
        <v>13284</v>
      </c>
      <c r="J3475" s="9" t="s">
        <v>13284</v>
      </c>
      <c r="K3475" s="9" t="s">
        <v>13284</v>
      </c>
      <c r="L3475" s="9" t="s">
        <v>13284</v>
      </c>
      <c r="M3475" s="9" t="s">
        <v>13284</v>
      </c>
      <c r="N3475" s="9" t="s">
        <v>13284</v>
      </c>
      <c r="O3475" s="9" t="s">
        <v>13284</v>
      </c>
      <c r="P3475" s="9" t="s">
        <v>13284</v>
      </c>
      <c r="Q3475" s="9" t="s">
        <v>13284</v>
      </c>
      <c r="R3475" s="9" t="s">
        <v>13284</v>
      </c>
      <c r="S3475" s="9" t="s">
        <v>13284</v>
      </c>
      <c r="T3475" s="9" t="str">
        <f ca="1">IFERROR(IF(AND(VLOOKUP(A3475, 'Актуальное состояние (из общего'!A:C,3,0) = "", A3475 &lt;&gt; ""), "ПРОВЕРИТЬ", VLOOKUP(A3475, 'Актуальное состояние (из общего'!A:C,3,0)), "")</f>
        <v/>
      </c>
      <c r="U3475" s="9" t="s">
        <v>13284</v>
      </c>
      <c r="V3475" s="9" t="s">
        <v>13284</v>
      </c>
      <c r="W3475" s="12"/>
      <c r="X3475" s="9" t="str">
        <f t="array" ref="X3475">IFERROR(INDEX('Адреса общежитий (скрытый)'!$B$2:$B$9, MATCH(W3475, 'Адреса общежитий (скрытый)'!$A$2:$A$9, 0)), "")</f>
        <v/>
      </c>
      <c r="Y3475" s="18"/>
      <c r="Z3475" s="18"/>
      <c r="AA3475" s="18"/>
      <c r="AB3475" s="18"/>
      <c r="AC3475" s="18"/>
    </row>
    <row r="3476" spans="1:29" ht="32.25" hidden="1" customHeight="1">
      <c r="A3476" s="17"/>
      <c r="B3476" s="9" t="s">
        <v>13284</v>
      </c>
      <c r="C3476" s="9" t="s">
        <v>13284</v>
      </c>
      <c r="D3476" s="9" t="s">
        <v>13284</v>
      </c>
      <c r="E3476" s="9" t="s">
        <v>13284</v>
      </c>
      <c r="F3476" s="9" t="s">
        <v>13284</v>
      </c>
      <c r="G3476" s="9" t="s">
        <v>13284</v>
      </c>
      <c r="H3476" s="9" t="s">
        <v>13284</v>
      </c>
      <c r="I3476" s="9" t="s">
        <v>13284</v>
      </c>
      <c r="J3476" s="9" t="s">
        <v>13284</v>
      </c>
      <c r="K3476" s="9" t="s">
        <v>13284</v>
      </c>
      <c r="L3476" s="9" t="s">
        <v>13284</v>
      </c>
      <c r="M3476" s="9" t="s">
        <v>13284</v>
      </c>
      <c r="N3476" s="9" t="s">
        <v>13284</v>
      </c>
      <c r="O3476" s="9" t="s">
        <v>13284</v>
      </c>
      <c r="P3476" s="9" t="s">
        <v>13284</v>
      </c>
      <c r="Q3476" s="9" t="s">
        <v>13284</v>
      </c>
      <c r="R3476" s="9" t="s">
        <v>13284</v>
      </c>
      <c r="S3476" s="9" t="s">
        <v>13284</v>
      </c>
      <c r="T3476" s="9" t="str">
        <f ca="1">IFERROR(IF(AND(VLOOKUP(A3476, 'Актуальное состояние (из общего'!A:C,3,0) = "", A3476 &lt;&gt; ""), "ПРОВЕРИТЬ", VLOOKUP(A3476, 'Актуальное состояние (из общего'!A:C,3,0)), "")</f>
        <v/>
      </c>
      <c r="U3476" s="9" t="s">
        <v>13284</v>
      </c>
      <c r="V3476" s="9" t="s">
        <v>13284</v>
      </c>
      <c r="W3476" s="12"/>
      <c r="X3476" s="9" t="str">
        <f t="array" ref="X3476">IFERROR(INDEX('Адреса общежитий (скрытый)'!$B$2:$B$9, MATCH(W3476, 'Адреса общежитий (скрытый)'!$A$2:$A$9, 0)), "")</f>
        <v/>
      </c>
      <c r="Y3476" s="18"/>
      <c r="Z3476" s="18"/>
      <c r="AA3476" s="18"/>
      <c r="AB3476" s="18"/>
      <c r="AC3476" s="18"/>
    </row>
    <row r="3477" spans="1:29" ht="32.25" hidden="1" customHeight="1">
      <c r="A3477" s="17"/>
      <c r="B3477" s="9" t="s">
        <v>13284</v>
      </c>
      <c r="C3477" s="9" t="s">
        <v>13284</v>
      </c>
      <c r="D3477" s="9" t="s">
        <v>13284</v>
      </c>
      <c r="E3477" s="9" t="s">
        <v>13284</v>
      </c>
      <c r="F3477" s="9" t="s">
        <v>13284</v>
      </c>
      <c r="G3477" s="9" t="s">
        <v>13284</v>
      </c>
      <c r="H3477" s="9" t="s">
        <v>13284</v>
      </c>
      <c r="I3477" s="9" t="s">
        <v>13284</v>
      </c>
      <c r="J3477" s="9" t="s">
        <v>13284</v>
      </c>
      <c r="K3477" s="9" t="s">
        <v>13284</v>
      </c>
      <c r="L3477" s="9" t="s">
        <v>13284</v>
      </c>
      <c r="M3477" s="9" t="s">
        <v>13284</v>
      </c>
      <c r="N3477" s="9" t="s">
        <v>13284</v>
      </c>
      <c r="O3477" s="9" t="s">
        <v>13284</v>
      </c>
      <c r="P3477" s="9" t="s">
        <v>13284</v>
      </c>
      <c r="Q3477" s="9" t="s">
        <v>13284</v>
      </c>
      <c r="R3477" s="9" t="s">
        <v>13284</v>
      </c>
      <c r="S3477" s="9" t="s">
        <v>13284</v>
      </c>
      <c r="T3477" s="9" t="str">
        <f ca="1">IFERROR(IF(AND(VLOOKUP(A3477, 'Актуальное состояние (из общего'!A:C,3,0) = "", A3477 &lt;&gt; ""), "ПРОВЕРИТЬ", VLOOKUP(A3477, 'Актуальное состояние (из общего'!A:C,3,0)), "")</f>
        <v/>
      </c>
      <c r="U3477" s="9" t="s">
        <v>13284</v>
      </c>
      <c r="V3477" s="9" t="s">
        <v>13284</v>
      </c>
      <c r="W3477" s="12"/>
      <c r="X3477" s="9" t="str">
        <f t="array" ref="X3477">IFERROR(INDEX('Адреса общежитий (скрытый)'!$B$2:$B$9, MATCH(W3477, 'Адреса общежитий (скрытый)'!$A$2:$A$9, 0)), "")</f>
        <v/>
      </c>
      <c r="Y3477" s="18"/>
      <c r="Z3477" s="18"/>
      <c r="AA3477" s="18"/>
      <c r="AB3477" s="18"/>
      <c r="AC3477" s="18"/>
    </row>
    <row r="3478" spans="1:29" ht="32.25" hidden="1" customHeight="1">
      <c r="A3478" s="17"/>
      <c r="B3478" s="9" t="s">
        <v>13284</v>
      </c>
      <c r="C3478" s="9" t="s">
        <v>13284</v>
      </c>
      <c r="D3478" s="9" t="s">
        <v>13284</v>
      </c>
      <c r="E3478" s="9" t="s">
        <v>13284</v>
      </c>
      <c r="F3478" s="9" t="s">
        <v>13284</v>
      </c>
      <c r="G3478" s="9" t="s">
        <v>13284</v>
      </c>
      <c r="H3478" s="9" t="s">
        <v>13284</v>
      </c>
      <c r="I3478" s="9" t="s">
        <v>13284</v>
      </c>
      <c r="J3478" s="9" t="s">
        <v>13284</v>
      </c>
      <c r="K3478" s="9" t="s">
        <v>13284</v>
      </c>
      <c r="L3478" s="9" t="s">
        <v>13284</v>
      </c>
      <c r="M3478" s="9" t="s">
        <v>13284</v>
      </c>
      <c r="N3478" s="9" t="s">
        <v>13284</v>
      </c>
      <c r="O3478" s="9" t="s">
        <v>13284</v>
      </c>
      <c r="P3478" s="9" t="s">
        <v>13284</v>
      </c>
      <c r="Q3478" s="9" t="s">
        <v>13284</v>
      </c>
      <c r="R3478" s="9" t="s">
        <v>13284</v>
      </c>
      <c r="S3478" s="9" t="s">
        <v>13284</v>
      </c>
      <c r="T3478" s="9" t="str">
        <f ca="1">IFERROR(IF(AND(VLOOKUP(A3478, 'Актуальное состояние (из общего'!A:C,3,0) = "", A3478 &lt;&gt; ""), "ПРОВЕРИТЬ", VLOOKUP(A3478, 'Актуальное состояние (из общего'!A:C,3,0)), "")</f>
        <v/>
      </c>
      <c r="U3478" s="9" t="s">
        <v>13284</v>
      </c>
      <c r="V3478" s="9" t="s">
        <v>13284</v>
      </c>
      <c r="W3478" s="12"/>
      <c r="X3478" s="9" t="str">
        <f t="array" ref="X3478">IFERROR(INDEX('Адреса общежитий (скрытый)'!$B$2:$B$9, MATCH(W3478, 'Адреса общежитий (скрытый)'!$A$2:$A$9, 0)), "")</f>
        <v/>
      </c>
      <c r="Y3478" s="18"/>
      <c r="Z3478" s="18"/>
      <c r="AA3478" s="18"/>
      <c r="AB3478" s="18"/>
      <c r="AC3478" s="18"/>
    </row>
    <row r="3479" spans="1:29" ht="32.25" hidden="1" customHeight="1">
      <c r="A3479" s="17"/>
      <c r="B3479" s="9" t="s">
        <v>13284</v>
      </c>
      <c r="C3479" s="9" t="s">
        <v>13284</v>
      </c>
      <c r="D3479" s="9" t="s">
        <v>13284</v>
      </c>
      <c r="E3479" s="9" t="s">
        <v>13284</v>
      </c>
      <c r="F3479" s="9" t="s">
        <v>13284</v>
      </c>
      <c r="G3479" s="9" t="s">
        <v>13284</v>
      </c>
      <c r="H3479" s="9" t="s">
        <v>13284</v>
      </c>
      <c r="I3479" s="9" t="s">
        <v>13284</v>
      </c>
      <c r="J3479" s="9" t="s">
        <v>13284</v>
      </c>
      <c r="K3479" s="9" t="s">
        <v>13284</v>
      </c>
      <c r="L3479" s="9" t="s">
        <v>13284</v>
      </c>
      <c r="M3479" s="9" t="s">
        <v>13284</v>
      </c>
      <c r="N3479" s="9" t="s">
        <v>13284</v>
      </c>
      <c r="O3479" s="9" t="s">
        <v>13284</v>
      </c>
      <c r="P3479" s="9" t="s">
        <v>13284</v>
      </c>
      <c r="Q3479" s="9" t="s">
        <v>13284</v>
      </c>
      <c r="R3479" s="9" t="s">
        <v>13284</v>
      </c>
      <c r="S3479" s="9" t="s">
        <v>13284</v>
      </c>
      <c r="T3479" s="9" t="str">
        <f ca="1">IFERROR(IF(AND(VLOOKUP(A3479, 'Актуальное состояние (из общего'!A:C,3,0) = "", A3479 &lt;&gt; ""), "ПРОВЕРИТЬ", VLOOKUP(A3479, 'Актуальное состояние (из общего'!A:C,3,0)), "")</f>
        <v/>
      </c>
      <c r="U3479" s="9" t="s">
        <v>13284</v>
      </c>
      <c r="V3479" s="9" t="s">
        <v>13284</v>
      </c>
      <c r="W3479" s="12"/>
      <c r="X3479" s="9" t="str">
        <f t="array" ref="X3479">IFERROR(INDEX('Адреса общежитий (скрытый)'!$B$2:$B$9, MATCH(W3479, 'Адреса общежитий (скрытый)'!$A$2:$A$9, 0)), "")</f>
        <v/>
      </c>
      <c r="Y3479" s="18"/>
      <c r="Z3479" s="18"/>
      <c r="AA3479" s="18"/>
      <c r="AB3479" s="18"/>
      <c r="AC3479" s="18"/>
    </row>
    <row r="3480" spans="1:29" ht="32.25" hidden="1" customHeight="1">
      <c r="A3480" s="17"/>
      <c r="B3480" s="9" t="s">
        <v>13284</v>
      </c>
      <c r="C3480" s="9" t="s">
        <v>13284</v>
      </c>
      <c r="D3480" s="9" t="s">
        <v>13284</v>
      </c>
      <c r="E3480" s="9" t="s">
        <v>13284</v>
      </c>
      <c r="F3480" s="9" t="s">
        <v>13284</v>
      </c>
      <c r="G3480" s="9" t="s">
        <v>13284</v>
      </c>
      <c r="H3480" s="9" t="s">
        <v>13284</v>
      </c>
      <c r="I3480" s="9" t="s">
        <v>13284</v>
      </c>
      <c r="J3480" s="9" t="s">
        <v>13284</v>
      </c>
      <c r="K3480" s="9" t="s">
        <v>13284</v>
      </c>
      <c r="L3480" s="9" t="s">
        <v>13284</v>
      </c>
      <c r="M3480" s="9" t="s">
        <v>13284</v>
      </c>
      <c r="N3480" s="9" t="s">
        <v>13284</v>
      </c>
      <c r="O3480" s="9" t="s">
        <v>13284</v>
      </c>
      <c r="P3480" s="9" t="s">
        <v>13284</v>
      </c>
      <c r="Q3480" s="9" t="s">
        <v>13284</v>
      </c>
      <c r="R3480" s="9" t="s">
        <v>13284</v>
      </c>
      <c r="S3480" s="9" t="s">
        <v>13284</v>
      </c>
      <c r="T3480" s="9" t="str">
        <f ca="1">IFERROR(IF(AND(VLOOKUP(A3480, 'Актуальное состояние (из общего'!A:C,3,0) = "", A3480 &lt;&gt; ""), "ПРОВЕРИТЬ", VLOOKUP(A3480, 'Актуальное состояние (из общего'!A:C,3,0)), "")</f>
        <v/>
      </c>
      <c r="U3480" s="9" t="s">
        <v>13284</v>
      </c>
      <c r="V3480" s="9" t="s">
        <v>13284</v>
      </c>
      <c r="W3480" s="12"/>
      <c r="X3480" s="9" t="str">
        <f t="array" ref="X3480">IFERROR(INDEX('Адреса общежитий (скрытый)'!$B$2:$B$9, MATCH(W3480, 'Адреса общежитий (скрытый)'!$A$2:$A$9, 0)), "")</f>
        <v/>
      </c>
      <c r="Y3480" s="18"/>
      <c r="Z3480" s="18"/>
      <c r="AA3480" s="18"/>
      <c r="AB3480" s="18"/>
      <c r="AC3480" s="18"/>
    </row>
    <row r="3481" spans="1:29" ht="32.25" hidden="1" customHeight="1">
      <c r="A3481" s="17"/>
      <c r="B3481" s="9" t="s">
        <v>13284</v>
      </c>
      <c r="C3481" s="9" t="s">
        <v>13284</v>
      </c>
      <c r="D3481" s="9" t="s">
        <v>13284</v>
      </c>
      <c r="E3481" s="9" t="s">
        <v>13284</v>
      </c>
      <c r="F3481" s="9" t="s">
        <v>13284</v>
      </c>
      <c r="G3481" s="9" t="s">
        <v>13284</v>
      </c>
      <c r="H3481" s="9" t="s">
        <v>13284</v>
      </c>
      <c r="I3481" s="9" t="s">
        <v>13284</v>
      </c>
      <c r="J3481" s="9" t="s">
        <v>13284</v>
      </c>
      <c r="K3481" s="9" t="s">
        <v>13284</v>
      </c>
      <c r="L3481" s="9" t="s">
        <v>13284</v>
      </c>
      <c r="M3481" s="9" t="s">
        <v>13284</v>
      </c>
      <c r="N3481" s="9" t="s">
        <v>13284</v>
      </c>
      <c r="O3481" s="9" t="s">
        <v>13284</v>
      </c>
      <c r="P3481" s="9" t="s">
        <v>13284</v>
      </c>
      <c r="Q3481" s="9" t="s">
        <v>13284</v>
      </c>
      <c r="R3481" s="9" t="s">
        <v>13284</v>
      </c>
      <c r="S3481" s="9" t="s">
        <v>13284</v>
      </c>
      <c r="T3481" s="9" t="str">
        <f ca="1">IFERROR(IF(AND(VLOOKUP(A3481, 'Актуальное состояние (из общего'!A:C,3,0) = "", A3481 &lt;&gt; ""), "ПРОВЕРИТЬ", VLOOKUP(A3481, 'Актуальное состояние (из общего'!A:C,3,0)), "")</f>
        <v/>
      </c>
      <c r="U3481" s="9" t="s">
        <v>13284</v>
      </c>
      <c r="V3481" s="9" t="s">
        <v>13284</v>
      </c>
      <c r="W3481" s="12"/>
      <c r="X3481" s="9" t="str">
        <f t="array" ref="X3481">IFERROR(INDEX('Адреса общежитий (скрытый)'!$B$2:$B$9, MATCH(W3481, 'Адреса общежитий (скрытый)'!$A$2:$A$9, 0)), "")</f>
        <v/>
      </c>
      <c r="Y3481" s="18"/>
      <c r="Z3481" s="18"/>
      <c r="AA3481" s="18"/>
      <c r="AB3481" s="18"/>
      <c r="AC3481" s="18"/>
    </row>
    <row r="3482" spans="1:29" ht="32.25" hidden="1" customHeight="1">
      <c r="A3482" s="17"/>
      <c r="B3482" s="9" t="s">
        <v>13284</v>
      </c>
      <c r="C3482" s="9" t="s">
        <v>13284</v>
      </c>
      <c r="D3482" s="9" t="s">
        <v>13284</v>
      </c>
      <c r="E3482" s="9" t="s">
        <v>13284</v>
      </c>
      <c r="F3482" s="9" t="s">
        <v>13284</v>
      </c>
      <c r="G3482" s="9" t="s">
        <v>13284</v>
      </c>
      <c r="H3482" s="9" t="s">
        <v>13284</v>
      </c>
      <c r="I3482" s="9" t="s">
        <v>13284</v>
      </c>
      <c r="J3482" s="9" t="s">
        <v>13284</v>
      </c>
      <c r="K3482" s="9" t="s">
        <v>13284</v>
      </c>
      <c r="L3482" s="9" t="s">
        <v>13284</v>
      </c>
      <c r="M3482" s="9" t="s">
        <v>13284</v>
      </c>
      <c r="N3482" s="9" t="s">
        <v>13284</v>
      </c>
      <c r="O3482" s="9" t="s">
        <v>13284</v>
      </c>
      <c r="P3482" s="9" t="s">
        <v>13284</v>
      </c>
      <c r="Q3482" s="9" t="s">
        <v>13284</v>
      </c>
      <c r="R3482" s="9" t="s">
        <v>13284</v>
      </c>
      <c r="S3482" s="9" t="s">
        <v>13284</v>
      </c>
      <c r="T3482" s="9" t="str">
        <f ca="1">IFERROR(IF(AND(VLOOKUP(A3482, 'Актуальное состояние (из общего'!A:C,3,0) = "", A3482 &lt;&gt; ""), "ПРОВЕРИТЬ", VLOOKUP(A3482, 'Актуальное состояние (из общего'!A:C,3,0)), "")</f>
        <v/>
      </c>
      <c r="U3482" s="9" t="s">
        <v>13284</v>
      </c>
      <c r="V3482" s="9" t="s">
        <v>13284</v>
      </c>
      <c r="W3482" s="12"/>
      <c r="X3482" s="9" t="str">
        <f t="array" ref="X3482">IFERROR(INDEX('Адреса общежитий (скрытый)'!$B$2:$B$9, MATCH(W3482, 'Адреса общежитий (скрытый)'!$A$2:$A$9, 0)), "")</f>
        <v/>
      </c>
      <c r="Y3482" s="18"/>
      <c r="Z3482" s="18"/>
      <c r="AA3482" s="18"/>
      <c r="AB3482" s="18"/>
      <c r="AC3482" s="18"/>
    </row>
    <row r="3483" spans="1:29" ht="32.25" hidden="1" customHeight="1">
      <c r="A3483" s="17"/>
      <c r="B3483" s="9" t="s">
        <v>13284</v>
      </c>
      <c r="C3483" s="9" t="s">
        <v>13284</v>
      </c>
      <c r="D3483" s="9" t="s">
        <v>13284</v>
      </c>
      <c r="E3483" s="9" t="s">
        <v>13284</v>
      </c>
      <c r="F3483" s="9" t="s">
        <v>13284</v>
      </c>
      <c r="G3483" s="9" t="s">
        <v>13284</v>
      </c>
      <c r="H3483" s="9" t="s">
        <v>13284</v>
      </c>
      <c r="I3483" s="9" t="s">
        <v>13284</v>
      </c>
      <c r="J3483" s="9" t="s">
        <v>13284</v>
      </c>
      <c r="K3483" s="9" t="s">
        <v>13284</v>
      </c>
      <c r="L3483" s="9" t="s">
        <v>13284</v>
      </c>
      <c r="M3483" s="9" t="s">
        <v>13284</v>
      </c>
      <c r="N3483" s="9" t="s">
        <v>13284</v>
      </c>
      <c r="O3483" s="9" t="s">
        <v>13284</v>
      </c>
      <c r="P3483" s="9" t="s">
        <v>13284</v>
      </c>
      <c r="Q3483" s="9" t="s">
        <v>13284</v>
      </c>
      <c r="R3483" s="9" t="s">
        <v>13284</v>
      </c>
      <c r="S3483" s="9" t="s">
        <v>13284</v>
      </c>
      <c r="T3483" s="9" t="str">
        <f ca="1">IFERROR(IF(AND(VLOOKUP(A3483, 'Актуальное состояние (из общего'!A:C,3,0) = "", A3483 &lt;&gt; ""), "ПРОВЕРИТЬ", VLOOKUP(A3483, 'Актуальное состояние (из общего'!A:C,3,0)), "")</f>
        <v/>
      </c>
      <c r="U3483" s="9" t="s">
        <v>13284</v>
      </c>
      <c r="V3483" s="9" t="s">
        <v>13284</v>
      </c>
      <c r="W3483" s="12"/>
      <c r="X3483" s="9" t="str">
        <f t="array" ref="X3483">IFERROR(INDEX('Адреса общежитий (скрытый)'!$B$2:$B$9, MATCH(W3483, 'Адреса общежитий (скрытый)'!$A$2:$A$9, 0)), "")</f>
        <v/>
      </c>
      <c r="Y3483" s="18"/>
      <c r="Z3483" s="18"/>
      <c r="AA3483" s="18"/>
      <c r="AB3483" s="18"/>
      <c r="AC3483" s="18"/>
    </row>
    <row r="3484" spans="1:29" ht="32.25" hidden="1" customHeight="1">
      <c r="A3484" s="17"/>
      <c r="B3484" s="9" t="s">
        <v>13284</v>
      </c>
      <c r="C3484" s="9" t="s">
        <v>13284</v>
      </c>
      <c r="D3484" s="9" t="s">
        <v>13284</v>
      </c>
      <c r="E3484" s="9" t="s">
        <v>13284</v>
      </c>
      <c r="F3484" s="9" t="s">
        <v>13284</v>
      </c>
      <c r="G3484" s="9" t="s">
        <v>13284</v>
      </c>
      <c r="H3484" s="9" t="s">
        <v>13284</v>
      </c>
      <c r="I3484" s="9" t="s">
        <v>13284</v>
      </c>
      <c r="J3484" s="9" t="s">
        <v>13284</v>
      </c>
      <c r="K3484" s="9" t="s">
        <v>13284</v>
      </c>
      <c r="L3484" s="9" t="s">
        <v>13284</v>
      </c>
      <c r="M3484" s="9" t="s">
        <v>13284</v>
      </c>
      <c r="N3484" s="9" t="s">
        <v>13284</v>
      </c>
      <c r="O3484" s="9" t="s">
        <v>13284</v>
      </c>
      <c r="P3484" s="9" t="s">
        <v>13284</v>
      </c>
      <c r="Q3484" s="9" t="s">
        <v>13284</v>
      </c>
      <c r="R3484" s="9" t="s">
        <v>13284</v>
      </c>
      <c r="S3484" s="9" t="s">
        <v>13284</v>
      </c>
      <c r="T3484" s="9" t="str">
        <f ca="1">IFERROR(IF(AND(VLOOKUP(A3484, 'Актуальное состояние (из общего'!A:C,3,0) = "", A3484 &lt;&gt; ""), "ПРОВЕРИТЬ", VLOOKUP(A3484, 'Актуальное состояние (из общего'!A:C,3,0)), "")</f>
        <v/>
      </c>
      <c r="U3484" s="9" t="s">
        <v>13284</v>
      </c>
      <c r="V3484" s="9" t="s">
        <v>13284</v>
      </c>
      <c r="W3484" s="12"/>
      <c r="X3484" s="9" t="str">
        <f t="array" ref="X3484">IFERROR(INDEX('Адреса общежитий (скрытый)'!$B$2:$B$9, MATCH(W3484, 'Адреса общежитий (скрытый)'!$A$2:$A$9, 0)), "")</f>
        <v/>
      </c>
      <c r="Y3484" s="18"/>
      <c r="Z3484" s="18"/>
      <c r="AA3484" s="18"/>
      <c r="AB3484" s="18"/>
      <c r="AC3484" s="18"/>
    </row>
    <row r="3485" spans="1:29" ht="32.25" hidden="1" customHeight="1">
      <c r="A3485" s="17"/>
      <c r="B3485" s="9" t="s">
        <v>13284</v>
      </c>
      <c r="C3485" s="9" t="s">
        <v>13284</v>
      </c>
      <c r="D3485" s="9" t="s">
        <v>13284</v>
      </c>
      <c r="E3485" s="9" t="s">
        <v>13284</v>
      </c>
      <c r="F3485" s="9" t="s">
        <v>13284</v>
      </c>
      <c r="G3485" s="9" t="s">
        <v>13284</v>
      </c>
      <c r="H3485" s="9" t="s">
        <v>13284</v>
      </c>
      <c r="I3485" s="9" t="s">
        <v>13284</v>
      </c>
      <c r="J3485" s="9" t="s">
        <v>13284</v>
      </c>
      <c r="K3485" s="9" t="s">
        <v>13284</v>
      </c>
      <c r="L3485" s="9" t="s">
        <v>13284</v>
      </c>
      <c r="M3485" s="9" t="s">
        <v>13284</v>
      </c>
      <c r="N3485" s="9" t="s">
        <v>13284</v>
      </c>
      <c r="O3485" s="9" t="s">
        <v>13284</v>
      </c>
      <c r="P3485" s="9" t="s">
        <v>13284</v>
      </c>
      <c r="Q3485" s="9" t="s">
        <v>13284</v>
      </c>
      <c r="R3485" s="9" t="s">
        <v>13284</v>
      </c>
      <c r="S3485" s="9" t="s">
        <v>13284</v>
      </c>
      <c r="T3485" s="9" t="str">
        <f ca="1">IFERROR(IF(AND(VLOOKUP(A3485, 'Актуальное состояние (из общего'!A:C,3,0) = "", A3485 &lt;&gt; ""), "ПРОВЕРИТЬ", VLOOKUP(A3485, 'Актуальное состояние (из общего'!A:C,3,0)), "")</f>
        <v/>
      </c>
      <c r="U3485" s="9" t="s">
        <v>13284</v>
      </c>
      <c r="V3485" s="9" t="s">
        <v>13284</v>
      </c>
      <c r="W3485" s="12"/>
      <c r="X3485" s="9" t="str">
        <f t="array" ref="X3485">IFERROR(INDEX('Адреса общежитий (скрытый)'!$B$2:$B$9, MATCH(W3485, 'Адреса общежитий (скрытый)'!$A$2:$A$9, 0)), "")</f>
        <v/>
      </c>
      <c r="Y3485" s="18"/>
      <c r="Z3485" s="18"/>
      <c r="AA3485" s="18"/>
      <c r="AB3485" s="18"/>
      <c r="AC3485" s="18"/>
    </row>
    <row r="3486" spans="1:29" ht="32.25" hidden="1" customHeight="1">
      <c r="A3486" s="17"/>
      <c r="B3486" s="9" t="s">
        <v>13284</v>
      </c>
      <c r="C3486" s="9" t="s">
        <v>13284</v>
      </c>
      <c r="D3486" s="9" t="s">
        <v>13284</v>
      </c>
      <c r="E3486" s="9" t="s">
        <v>13284</v>
      </c>
      <c r="F3486" s="9" t="s">
        <v>13284</v>
      </c>
      <c r="G3486" s="9" t="s">
        <v>13284</v>
      </c>
      <c r="H3486" s="9" t="s">
        <v>13284</v>
      </c>
      <c r="I3486" s="9" t="s">
        <v>13284</v>
      </c>
      <c r="J3486" s="9" t="s">
        <v>13284</v>
      </c>
      <c r="K3486" s="9" t="s">
        <v>13284</v>
      </c>
      <c r="L3486" s="9" t="s">
        <v>13284</v>
      </c>
      <c r="M3486" s="9" t="s">
        <v>13284</v>
      </c>
      <c r="N3486" s="9" t="s">
        <v>13284</v>
      </c>
      <c r="O3486" s="9" t="s">
        <v>13284</v>
      </c>
      <c r="P3486" s="9" t="s">
        <v>13284</v>
      </c>
      <c r="Q3486" s="9" t="s">
        <v>13284</v>
      </c>
      <c r="R3486" s="9" t="s">
        <v>13284</v>
      </c>
      <c r="S3486" s="9" t="s">
        <v>13284</v>
      </c>
      <c r="T3486" s="9" t="str">
        <f ca="1">IFERROR(IF(AND(VLOOKUP(A3486, 'Актуальное состояние (из общего'!A:C,3,0) = "", A3486 &lt;&gt; ""), "ПРОВЕРИТЬ", VLOOKUP(A3486, 'Актуальное состояние (из общего'!A:C,3,0)), "")</f>
        <v/>
      </c>
      <c r="U3486" s="9" t="s">
        <v>13284</v>
      </c>
      <c r="V3486" s="9" t="s">
        <v>13284</v>
      </c>
      <c r="W3486" s="12"/>
      <c r="X3486" s="9" t="str">
        <f t="array" ref="X3486">IFERROR(INDEX('Адреса общежитий (скрытый)'!$B$2:$B$9, MATCH(W3486, 'Адреса общежитий (скрытый)'!$A$2:$A$9, 0)), "")</f>
        <v/>
      </c>
      <c r="Y3486" s="18"/>
      <c r="Z3486" s="18"/>
      <c r="AA3486" s="18"/>
      <c r="AB3486" s="18"/>
      <c r="AC3486" s="18"/>
    </row>
    <row r="3487" spans="1:29" ht="32.25" hidden="1" customHeight="1">
      <c r="A3487" s="17"/>
      <c r="B3487" s="9" t="s">
        <v>13284</v>
      </c>
      <c r="C3487" s="9" t="s">
        <v>13284</v>
      </c>
      <c r="D3487" s="9" t="s">
        <v>13284</v>
      </c>
      <c r="E3487" s="9" t="s">
        <v>13284</v>
      </c>
      <c r="F3487" s="9" t="s">
        <v>13284</v>
      </c>
      <c r="G3487" s="9" t="s">
        <v>13284</v>
      </c>
      <c r="H3487" s="9" t="s">
        <v>13284</v>
      </c>
      <c r="I3487" s="9" t="s">
        <v>13284</v>
      </c>
      <c r="J3487" s="9" t="s">
        <v>13284</v>
      </c>
      <c r="K3487" s="9" t="s">
        <v>13284</v>
      </c>
      <c r="L3487" s="9" t="s">
        <v>13284</v>
      </c>
      <c r="M3487" s="9" t="s">
        <v>13284</v>
      </c>
      <c r="N3487" s="9" t="s">
        <v>13284</v>
      </c>
      <c r="O3487" s="9" t="s">
        <v>13284</v>
      </c>
      <c r="P3487" s="9" t="s">
        <v>13284</v>
      </c>
      <c r="Q3487" s="9" t="s">
        <v>13284</v>
      </c>
      <c r="R3487" s="9" t="s">
        <v>13284</v>
      </c>
      <c r="S3487" s="9" t="s">
        <v>13284</v>
      </c>
      <c r="T3487" s="9" t="str">
        <f ca="1">IFERROR(IF(AND(VLOOKUP(A3487, 'Актуальное состояние (из общего'!A:C,3,0) = "", A3487 &lt;&gt; ""), "ПРОВЕРИТЬ", VLOOKUP(A3487, 'Актуальное состояние (из общего'!A:C,3,0)), "")</f>
        <v/>
      </c>
      <c r="U3487" s="9" t="s">
        <v>13284</v>
      </c>
      <c r="V3487" s="9" t="s">
        <v>13284</v>
      </c>
      <c r="W3487" s="12"/>
      <c r="X3487" s="9" t="str">
        <f t="array" ref="X3487">IFERROR(INDEX('Адреса общежитий (скрытый)'!$B$2:$B$9, MATCH(W3487, 'Адреса общежитий (скрытый)'!$A$2:$A$9, 0)), "")</f>
        <v/>
      </c>
      <c r="Y3487" s="18"/>
      <c r="Z3487" s="18"/>
      <c r="AA3487" s="18"/>
      <c r="AB3487" s="18"/>
      <c r="AC3487" s="18"/>
    </row>
    <row r="3488" spans="1:29" ht="32.25" hidden="1" customHeight="1">
      <c r="A3488" s="17"/>
      <c r="B3488" s="9" t="s">
        <v>13284</v>
      </c>
      <c r="C3488" s="9" t="s">
        <v>13284</v>
      </c>
      <c r="D3488" s="9" t="s">
        <v>13284</v>
      </c>
      <c r="E3488" s="9" t="s">
        <v>13284</v>
      </c>
      <c r="F3488" s="9" t="s">
        <v>13284</v>
      </c>
      <c r="G3488" s="9" t="s">
        <v>13284</v>
      </c>
      <c r="H3488" s="9" t="s">
        <v>13284</v>
      </c>
      <c r="I3488" s="9" t="s">
        <v>13284</v>
      </c>
      <c r="J3488" s="9" t="s">
        <v>13284</v>
      </c>
      <c r="K3488" s="9" t="s">
        <v>13284</v>
      </c>
      <c r="L3488" s="9" t="s">
        <v>13284</v>
      </c>
      <c r="M3488" s="9" t="s">
        <v>13284</v>
      </c>
      <c r="N3488" s="9" t="s">
        <v>13284</v>
      </c>
      <c r="O3488" s="9" t="s">
        <v>13284</v>
      </c>
      <c r="P3488" s="9" t="s">
        <v>13284</v>
      </c>
      <c r="Q3488" s="9" t="s">
        <v>13284</v>
      </c>
      <c r="R3488" s="9" t="s">
        <v>13284</v>
      </c>
      <c r="S3488" s="9" t="s">
        <v>13284</v>
      </c>
      <c r="T3488" s="9" t="str">
        <f ca="1">IFERROR(IF(AND(VLOOKUP(A3488, 'Актуальное состояние (из общего'!A:C,3,0) = "", A3488 &lt;&gt; ""), "ПРОВЕРИТЬ", VLOOKUP(A3488, 'Актуальное состояние (из общего'!A:C,3,0)), "")</f>
        <v/>
      </c>
      <c r="U3488" s="9" t="s">
        <v>13284</v>
      </c>
      <c r="V3488" s="9" t="s">
        <v>13284</v>
      </c>
      <c r="W3488" s="12"/>
      <c r="X3488" s="9" t="str">
        <f t="array" ref="X3488">IFERROR(INDEX('Адреса общежитий (скрытый)'!$B$2:$B$9, MATCH(W3488, 'Адреса общежитий (скрытый)'!$A$2:$A$9, 0)), "")</f>
        <v/>
      </c>
      <c r="Y3488" s="18"/>
      <c r="Z3488" s="18"/>
      <c r="AA3488" s="18"/>
      <c r="AB3488" s="18"/>
      <c r="AC3488" s="18"/>
    </row>
    <row r="3489" spans="1:29" ht="32.25" hidden="1" customHeight="1">
      <c r="A3489" s="17"/>
      <c r="B3489" s="9" t="s">
        <v>13284</v>
      </c>
      <c r="C3489" s="9" t="s">
        <v>13284</v>
      </c>
      <c r="D3489" s="9" t="s">
        <v>13284</v>
      </c>
      <c r="E3489" s="9" t="s">
        <v>13284</v>
      </c>
      <c r="F3489" s="9" t="s">
        <v>13284</v>
      </c>
      <c r="G3489" s="9" t="s">
        <v>13284</v>
      </c>
      <c r="H3489" s="9" t="s">
        <v>13284</v>
      </c>
      <c r="I3489" s="9" t="s">
        <v>13284</v>
      </c>
      <c r="J3489" s="9" t="s">
        <v>13284</v>
      </c>
      <c r="K3489" s="9" t="s">
        <v>13284</v>
      </c>
      <c r="L3489" s="9" t="s">
        <v>13284</v>
      </c>
      <c r="M3489" s="9" t="s">
        <v>13284</v>
      </c>
      <c r="N3489" s="9" t="s">
        <v>13284</v>
      </c>
      <c r="O3489" s="9" t="s">
        <v>13284</v>
      </c>
      <c r="P3489" s="9" t="s">
        <v>13284</v>
      </c>
      <c r="Q3489" s="9" t="s">
        <v>13284</v>
      </c>
      <c r="R3489" s="9" t="s">
        <v>13284</v>
      </c>
      <c r="S3489" s="9" t="s">
        <v>13284</v>
      </c>
      <c r="T3489" s="9" t="str">
        <f ca="1">IFERROR(IF(AND(VLOOKUP(A3489, 'Актуальное состояние (из общего'!A:C,3,0) = "", A3489 &lt;&gt; ""), "ПРОВЕРИТЬ", VLOOKUP(A3489, 'Актуальное состояние (из общего'!A:C,3,0)), "")</f>
        <v/>
      </c>
      <c r="U3489" s="9" t="s">
        <v>13284</v>
      </c>
      <c r="V3489" s="9" t="s">
        <v>13284</v>
      </c>
      <c r="W3489" s="12"/>
      <c r="X3489" s="9" t="str">
        <f t="array" ref="X3489">IFERROR(INDEX('Адреса общежитий (скрытый)'!$B$2:$B$9, MATCH(W3489, 'Адреса общежитий (скрытый)'!$A$2:$A$9, 0)), "")</f>
        <v/>
      </c>
      <c r="Y3489" s="18"/>
      <c r="Z3489" s="18"/>
      <c r="AA3489" s="18"/>
      <c r="AB3489" s="18"/>
      <c r="AC3489" s="18"/>
    </row>
    <row r="3490" spans="1:29" ht="32.25" hidden="1" customHeight="1">
      <c r="A3490" s="17"/>
      <c r="B3490" s="9" t="s">
        <v>13284</v>
      </c>
      <c r="C3490" s="9" t="s">
        <v>13284</v>
      </c>
      <c r="D3490" s="9" t="s">
        <v>13284</v>
      </c>
      <c r="E3490" s="9" t="s">
        <v>13284</v>
      </c>
      <c r="F3490" s="9" t="s">
        <v>13284</v>
      </c>
      <c r="G3490" s="9" t="s">
        <v>13284</v>
      </c>
      <c r="H3490" s="9" t="s">
        <v>13284</v>
      </c>
      <c r="I3490" s="9" t="s">
        <v>13284</v>
      </c>
      <c r="J3490" s="9" t="s">
        <v>13284</v>
      </c>
      <c r="K3490" s="9" t="s">
        <v>13284</v>
      </c>
      <c r="L3490" s="9" t="s">
        <v>13284</v>
      </c>
      <c r="M3490" s="9" t="s">
        <v>13284</v>
      </c>
      <c r="N3490" s="9" t="s">
        <v>13284</v>
      </c>
      <c r="O3490" s="9" t="s">
        <v>13284</v>
      </c>
      <c r="P3490" s="9" t="s">
        <v>13284</v>
      </c>
      <c r="Q3490" s="9" t="s">
        <v>13284</v>
      </c>
      <c r="R3490" s="9" t="s">
        <v>13284</v>
      </c>
      <c r="S3490" s="9" t="s">
        <v>13284</v>
      </c>
      <c r="T3490" s="9" t="str">
        <f ca="1">IFERROR(IF(AND(VLOOKUP(A3490, 'Актуальное состояние (из общего'!A:C,3,0) = "", A3490 &lt;&gt; ""), "ПРОВЕРИТЬ", VLOOKUP(A3490, 'Актуальное состояние (из общего'!A:C,3,0)), "")</f>
        <v/>
      </c>
      <c r="U3490" s="9" t="s">
        <v>13284</v>
      </c>
      <c r="V3490" s="9" t="s">
        <v>13284</v>
      </c>
      <c r="W3490" s="12"/>
      <c r="X3490" s="9" t="str">
        <f t="array" ref="X3490">IFERROR(INDEX('Адреса общежитий (скрытый)'!$B$2:$B$9, MATCH(W3490, 'Адреса общежитий (скрытый)'!$A$2:$A$9, 0)), "")</f>
        <v/>
      </c>
      <c r="Y3490" s="18"/>
      <c r="Z3490" s="18"/>
      <c r="AA3490" s="18"/>
      <c r="AB3490" s="18"/>
      <c r="AC3490" s="18"/>
    </row>
    <row r="3491" spans="1:29" ht="32.25" hidden="1" customHeight="1">
      <c r="A3491" s="17"/>
      <c r="B3491" s="9" t="s">
        <v>13284</v>
      </c>
      <c r="C3491" s="9" t="s">
        <v>13284</v>
      </c>
      <c r="D3491" s="9" t="s">
        <v>13284</v>
      </c>
      <c r="E3491" s="9" t="s">
        <v>13284</v>
      </c>
      <c r="F3491" s="9" t="s">
        <v>13284</v>
      </c>
      <c r="G3491" s="9" t="s">
        <v>13284</v>
      </c>
      <c r="H3491" s="9" t="s">
        <v>13284</v>
      </c>
      <c r="I3491" s="9" t="s">
        <v>13284</v>
      </c>
      <c r="J3491" s="9" t="s">
        <v>13284</v>
      </c>
      <c r="K3491" s="9" t="s">
        <v>13284</v>
      </c>
      <c r="L3491" s="9" t="s">
        <v>13284</v>
      </c>
      <c r="M3491" s="9" t="s">
        <v>13284</v>
      </c>
      <c r="N3491" s="9" t="s">
        <v>13284</v>
      </c>
      <c r="O3491" s="9" t="s">
        <v>13284</v>
      </c>
      <c r="P3491" s="9" t="s">
        <v>13284</v>
      </c>
      <c r="Q3491" s="9" t="s">
        <v>13284</v>
      </c>
      <c r="R3491" s="9" t="s">
        <v>13284</v>
      </c>
      <c r="S3491" s="9" t="s">
        <v>13284</v>
      </c>
      <c r="T3491" s="9" t="str">
        <f ca="1">IFERROR(IF(AND(VLOOKUP(A3491, 'Актуальное состояние (из общего'!A:C,3,0) = "", A3491 &lt;&gt; ""), "ПРОВЕРИТЬ", VLOOKUP(A3491, 'Актуальное состояние (из общего'!A:C,3,0)), "")</f>
        <v/>
      </c>
      <c r="U3491" s="9" t="s">
        <v>13284</v>
      </c>
      <c r="V3491" s="9" t="s">
        <v>13284</v>
      </c>
      <c r="W3491" s="12"/>
      <c r="X3491" s="9" t="str">
        <f t="array" ref="X3491">IFERROR(INDEX('Адреса общежитий (скрытый)'!$B$2:$B$9, MATCH(W3491, 'Адреса общежитий (скрытый)'!$A$2:$A$9, 0)), "")</f>
        <v/>
      </c>
      <c r="Y3491" s="18"/>
      <c r="Z3491" s="18"/>
      <c r="AA3491" s="18"/>
      <c r="AB3491" s="18"/>
      <c r="AC3491" s="18"/>
    </row>
    <row r="3492" spans="1:29" ht="32.25" hidden="1" customHeight="1">
      <c r="A3492" s="17"/>
      <c r="B3492" s="9" t="s">
        <v>13284</v>
      </c>
      <c r="C3492" s="9" t="s">
        <v>13284</v>
      </c>
      <c r="D3492" s="9" t="s">
        <v>13284</v>
      </c>
      <c r="E3492" s="9" t="s">
        <v>13284</v>
      </c>
      <c r="F3492" s="9" t="s">
        <v>13284</v>
      </c>
      <c r="G3492" s="9" t="s">
        <v>13284</v>
      </c>
      <c r="H3492" s="9" t="s">
        <v>13284</v>
      </c>
      <c r="I3492" s="9" t="s">
        <v>13284</v>
      </c>
      <c r="J3492" s="9" t="s">
        <v>13284</v>
      </c>
      <c r="K3492" s="9" t="s">
        <v>13284</v>
      </c>
      <c r="L3492" s="9" t="s">
        <v>13284</v>
      </c>
      <c r="M3492" s="9" t="s">
        <v>13284</v>
      </c>
      <c r="N3492" s="9" t="s">
        <v>13284</v>
      </c>
      <c r="O3492" s="9" t="s">
        <v>13284</v>
      </c>
      <c r="P3492" s="9" t="s">
        <v>13284</v>
      </c>
      <c r="Q3492" s="9" t="s">
        <v>13284</v>
      </c>
      <c r="R3492" s="9" t="s">
        <v>13284</v>
      </c>
      <c r="S3492" s="9" t="s">
        <v>13284</v>
      </c>
      <c r="T3492" s="9" t="str">
        <f ca="1">IFERROR(IF(AND(VLOOKUP(A3492, 'Актуальное состояние (из общего'!A:C,3,0) = "", A3492 &lt;&gt; ""), "ПРОВЕРИТЬ", VLOOKUP(A3492, 'Актуальное состояние (из общего'!A:C,3,0)), "")</f>
        <v/>
      </c>
      <c r="U3492" s="9" t="s">
        <v>13284</v>
      </c>
      <c r="V3492" s="9" t="s">
        <v>13284</v>
      </c>
      <c r="W3492" s="12"/>
      <c r="X3492" s="9" t="str">
        <f t="array" ref="X3492">IFERROR(INDEX('Адреса общежитий (скрытый)'!$B$2:$B$9, MATCH(W3492, 'Адреса общежитий (скрытый)'!$A$2:$A$9, 0)), "")</f>
        <v/>
      </c>
      <c r="Y3492" s="18"/>
      <c r="Z3492" s="18"/>
      <c r="AA3492" s="18"/>
      <c r="AB3492" s="18"/>
      <c r="AC3492" s="18"/>
    </row>
    <row r="3493" spans="1:29" ht="32.25" hidden="1" customHeight="1">
      <c r="A3493" s="17"/>
      <c r="B3493" s="9" t="s">
        <v>13284</v>
      </c>
      <c r="C3493" s="9" t="s">
        <v>13284</v>
      </c>
      <c r="D3493" s="9" t="s">
        <v>13284</v>
      </c>
      <c r="E3493" s="9" t="s">
        <v>13284</v>
      </c>
      <c r="F3493" s="9" t="s">
        <v>13284</v>
      </c>
      <c r="G3493" s="9" t="s">
        <v>13284</v>
      </c>
      <c r="H3493" s="9" t="s">
        <v>13284</v>
      </c>
      <c r="I3493" s="9" t="s">
        <v>13284</v>
      </c>
      <c r="J3493" s="9" t="s">
        <v>13284</v>
      </c>
      <c r="K3493" s="9" t="s">
        <v>13284</v>
      </c>
      <c r="L3493" s="9" t="s">
        <v>13284</v>
      </c>
      <c r="M3493" s="9" t="s">
        <v>13284</v>
      </c>
      <c r="N3493" s="9" t="s">
        <v>13284</v>
      </c>
      <c r="O3493" s="9" t="s">
        <v>13284</v>
      </c>
      <c r="P3493" s="9" t="s">
        <v>13284</v>
      </c>
      <c r="Q3493" s="9" t="s">
        <v>13284</v>
      </c>
      <c r="R3493" s="9" t="s">
        <v>13284</v>
      </c>
      <c r="S3493" s="9" t="s">
        <v>13284</v>
      </c>
      <c r="T3493" s="9" t="str">
        <f ca="1">IFERROR(IF(AND(VLOOKUP(A3493, 'Актуальное состояние (из общего'!A:C,3,0) = "", A3493 &lt;&gt; ""), "ПРОВЕРИТЬ", VLOOKUP(A3493, 'Актуальное состояние (из общего'!A:C,3,0)), "")</f>
        <v/>
      </c>
      <c r="U3493" s="9" t="s">
        <v>13284</v>
      </c>
      <c r="V3493" s="9" t="s">
        <v>13284</v>
      </c>
      <c r="W3493" s="12"/>
      <c r="X3493" s="9" t="str">
        <f t="array" ref="X3493">IFERROR(INDEX('Адреса общежитий (скрытый)'!$B$2:$B$9, MATCH(W3493, 'Адреса общежитий (скрытый)'!$A$2:$A$9, 0)), "")</f>
        <v/>
      </c>
      <c r="Y3493" s="18"/>
      <c r="Z3493" s="18"/>
      <c r="AA3493" s="18"/>
      <c r="AB3493" s="18"/>
      <c r="AC3493" s="18"/>
    </row>
    <row r="3494" spans="1:29" ht="32.25" hidden="1" customHeight="1">
      <c r="A3494" s="17"/>
      <c r="B3494" s="9" t="s">
        <v>13284</v>
      </c>
      <c r="C3494" s="9" t="s">
        <v>13284</v>
      </c>
      <c r="D3494" s="9" t="s">
        <v>13284</v>
      </c>
      <c r="E3494" s="9" t="s">
        <v>13284</v>
      </c>
      <c r="F3494" s="9" t="s">
        <v>13284</v>
      </c>
      <c r="G3494" s="9" t="s">
        <v>13284</v>
      </c>
      <c r="H3494" s="9" t="s">
        <v>13284</v>
      </c>
      <c r="I3494" s="9" t="s">
        <v>13284</v>
      </c>
      <c r="J3494" s="9" t="s">
        <v>13284</v>
      </c>
      <c r="K3494" s="9" t="s">
        <v>13284</v>
      </c>
      <c r="L3494" s="9" t="s">
        <v>13284</v>
      </c>
      <c r="M3494" s="9" t="s">
        <v>13284</v>
      </c>
      <c r="N3494" s="9" t="s">
        <v>13284</v>
      </c>
      <c r="O3494" s="9" t="s">
        <v>13284</v>
      </c>
      <c r="P3494" s="9" t="s">
        <v>13284</v>
      </c>
      <c r="Q3494" s="9" t="s">
        <v>13284</v>
      </c>
      <c r="R3494" s="9" t="s">
        <v>13284</v>
      </c>
      <c r="S3494" s="9" t="s">
        <v>13284</v>
      </c>
      <c r="T3494" s="9" t="str">
        <f ca="1">IFERROR(IF(AND(VLOOKUP(A3494, 'Актуальное состояние (из общего'!A:C,3,0) = "", A3494 &lt;&gt; ""), "ПРОВЕРИТЬ", VLOOKUP(A3494, 'Актуальное состояние (из общего'!A:C,3,0)), "")</f>
        <v/>
      </c>
      <c r="U3494" s="9" t="s">
        <v>13284</v>
      </c>
      <c r="V3494" s="9" t="s">
        <v>13284</v>
      </c>
      <c r="W3494" s="12"/>
      <c r="X3494" s="9" t="str">
        <f t="array" ref="X3494">IFERROR(INDEX('Адреса общежитий (скрытый)'!$B$2:$B$9, MATCH(W3494, 'Адреса общежитий (скрытый)'!$A$2:$A$9, 0)), "")</f>
        <v/>
      </c>
      <c r="Y3494" s="18"/>
      <c r="Z3494" s="18"/>
      <c r="AA3494" s="18"/>
      <c r="AB3494" s="18"/>
      <c r="AC3494" s="18"/>
    </row>
    <row r="3495" spans="1:29" ht="32.25" hidden="1" customHeight="1">
      <c r="A3495" s="17"/>
      <c r="B3495" s="9" t="s">
        <v>13284</v>
      </c>
      <c r="C3495" s="9" t="s">
        <v>13284</v>
      </c>
      <c r="D3495" s="9" t="s">
        <v>13284</v>
      </c>
      <c r="E3495" s="9" t="s">
        <v>13284</v>
      </c>
      <c r="F3495" s="9" t="s">
        <v>13284</v>
      </c>
      <c r="G3495" s="9" t="s">
        <v>13284</v>
      </c>
      <c r="H3495" s="9" t="s">
        <v>13284</v>
      </c>
      <c r="I3495" s="9" t="s">
        <v>13284</v>
      </c>
      <c r="J3495" s="9" t="s">
        <v>13284</v>
      </c>
      <c r="K3495" s="9" t="s">
        <v>13284</v>
      </c>
      <c r="L3495" s="9" t="s">
        <v>13284</v>
      </c>
      <c r="M3495" s="9" t="s">
        <v>13284</v>
      </c>
      <c r="N3495" s="9" t="s">
        <v>13284</v>
      </c>
      <c r="O3495" s="9" t="s">
        <v>13284</v>
      </c>
      <c r="P3495" s="9" t="s">
        <v>13284</v>
      </c>
      <c r="Q3495" s="9" t="s">
        <v>13284</v>
      </c>
      <c r="R3495" s="9" t="s">
        <v>13284</v>
      </c>
      <c r="S3495" s="9" t="s">
        <v>13284</v>
      </c>
      <c r="T3495" s="9" t="str">
        <f ca="1">IFERROR(IF(AND(VLOOKUP(A3495, 'Актуальное состояние (из общего'!A:C,3,0) = "", A3495 &lt;&gt; ""), "ПРОВЕРИТЬ", VLOOKUP(A3495, 'Актуальное состояние (из общего'!A:C,3,0)), "")</f>
        <v/>
      </c>
      <c r="U3495" s="9" t="s">
        <v>13284</v>
      </c>
      <c r="V3495" s="9" t="s">
        <v>13284</v>
      </c>
      <c r="W3495" s="12"/>
      <c r="X3495" s="9" t="str">
        <f t="array" ref="X3495">IFERROR(INDEX('Адреса общежитий (скрытый)'!$B$2:$B$9, MATCH(W3495, 'Адреса общежитий (скрытый)'!$A$2:$A$9, 0)), "")</f>
        <v/>
      </c>
      <c r="Y3495" s="18"/>
      <c r="Z3495" s="18"/>
      <c r="AA3495" s="18"/>
      <c r="AB3495" s="18"/>
      <c r="AC3495" s="18"/>
    </row>
    <row r="3496" spans="1:29" ht="32.25" hidden="1" customHeight="1">
      <c r="A3496" s="17"/>
      <c r="B3496" s="9" t="s">
        <v>13284</v>
      </c>
      <c r="C3496" s="9" t="s">
        <v>13284</v>
      </c>
      <c r="D3496" s="9" t="s">
        <v>13284</v>
      </c>
      <c r="E3496" s="9" t="s">
        <v>13284</v>
      </c>
      <c r="F3496" s="9" t="s">
        <v>13284</v>
      </c>
      <c r="G3496" s="9" t="s">
        <v>13284</v>
      </c>
      <c r="H3496" s="9" t="s">
        <v>13284</v>
      </c>
      <c r="I3496" s="9" t="s">
        <v>13284</v>
      </c>
      <c r="J3496" s="9" t="s">
        <v>13284</v>
      </c>
      <c r="K3496" s="9" t="s">
        <v>13284</v>
      </c>
      <c r="L3496" s="9" t="s">
        <v>13284</v>
      </c>
      <c r="M3496" s="9" t="s">
        <v>13284</v>
      </c>
      <c r="N3496" s="9" t="s">
        <v>13284</v>
      </c>
      <c r="O3496" s="9" t="s">
        <v>13284</v>
      </c>
      <c r="P3496" s="9" t="s">
        <v>13284</v>
      </c>
      <c r="Q3496" s="9" t="s">
        <v>13284</v>
      </c>
      <c r="R3496" s="9" t="s">
        <v>13284</v>
      </c>
      <c r="S3496" s="9" t="s">
        <v>13284</v>
      </c>
      <c r="T3496" s="9" t="str">
        <f ca="1">IFERROR(IF(AND(VLOOKUP(A3496, 'Актуальное состояние (из общего'!A:C,3,0) = "", A3496 &lt;&gt; ""), "ПРОВЕРИТЬ", VLOOKUP(A3496, 'Актуальное состояние (из общего'!A:C,3,0)), "")</f>
        <v/>
      </c>
      <c r="U3496" s="9" t="s">
        <v>13284</v>
      </c>
      <c r="V3496" s="9" t="s">
        <v>13284</v>
      </c>
      <c r="W3496" s="12"/>
      <c r="X3496" s="9" t="str">
        <f t="array" ref="X3496">IFERROR(INDEX('Адреса общежитий (скрытый)'!$B$2:$B$9, MATCH(W3496, 'Адреса общежитий (скрытый)'!$A$2:$A$9, 0)), "")</f>
        <v/>
      </c>
      <c r="Y3496" s="18"/>
      <c r="Z3496" s="18"/>
      <c r="AA3496" s="18"/>
      <c r="AB3496" s="18"/>
      <c r="AC3496" s="18"/>
    </row>
    <row r="3497" spans="1:29" ht="32.25" hidden="1" customHeight="1">
      <c r="A3497" s="17"/>
      <c r="B3497" s="9" t="s">
        <v>13284</v>
      </c>
      <c r="C3497" s="9" t="s">
        <v>13284</v>
      </c>
      <c r="D3497" s="9" t="s">
        <v>13284</v>
      </c>
      <c r="E3497" s="9" t="s">
        <v>13284</v>
      </c>
      <c r="F3497" s="9" t="s">
        <v>13284</v>
      </c>
      <c r="G3497" s="9" t="s">
        <v>13284</v>
      </c>
      <c r="H3497" s="9" t="s">
        <v>13284</v>
      </c>
      <c r="I3497" s="9" t="s">
        <v>13284</v>
      </c>
      <c r="J3497" s="9" t="s">
        <v>13284</v>
      </c>
      <c r="K3497" s="9" t="s">
        <v>13284</v>
      </c>
      <c r="L3497" s="9" t="s">
        <v>13284</v>
      </c>
      <c r="M3497" s="9" t="s">
        <v>13284</v>
      </c>
      <c r="N3497" s="9" t="s">
        <v>13284</v>
      </c>
      <c r="O3497" s="9" t="s">
        <v>13284</v>
      </c>
      <c r="P3497" s="9" t="s">
        <v>13284</v>
      </c>
      <c r="Q3497" s="9" t="s">
        <v>13284</v>
      </c>
      <c r="R3497" s="9" t="s">
        <v>13284</v>
      </c>
      <c r="S3497" s="9" t="s">
        <v>13284</v>
      </c>
      <c r="T3497" s="9" t="str">
        <f ca="1">IFERROR(IF(AND(VLOOKUP(A3497, 'Актуальное состояние (из общего'!A:C,3,0) = "", A3497 &lt;&gt; ""), "ПРОВЕРИТЬ", VLOOKUP(A3497, 'Актуальное состояние (из общего'!A:C,3,0)), "")</f>
        <v/>
      </c>
      <c r="U3497" s="9" t="s">
        <v>13284</v>
      </c>
      <c r="V3497" s="9" t="s">
        <v>13284</v>
      </c>
      <c r="W3497" s="12"/>
      <c r="X3497" s="9" t="str">
        <f t="array" ref="X3497">IFERROR(INDEX('Адреса общежитий (скрытый)'!$B$2:$B$9, MATCH(W3497, 'Адреса общежитий (скрытый)'!$A$2:$A$9, 0)), "")</f>
        <v/>
      </c>
      <c r="Y3497" s="18"/>
      <c r="Z3497" s="18"/>
      <c r="AA3497" s="18"/>
      <c r="AB3497" s="18"/>
      <c r="AC3497" s="18"/>
    </row>
    <row r="3498" spans="1:29" ht="32.25" hidden="1" customHeight="1">
      <c r="A3498" s="17"/>
      <c r="B3498" s="9" t="s">
        <v>13284</v>
      </c>
      <c r="C3498" s="9" t="s">
        <v>13284</v>
      </c>
      <c r="D3498" s="9" t="s">
        <v>13284</v>
      </c>
      <c r="E3498" s="9" t="s">
        <v>13284</v>
      </c>
      <c r="F3498" s="9" t="s">
        <v>13284</v>
      </c>
      <c r="G3498" s="9" t="s">
        <v>13284</v>
      </c>
      <c r="H3498" s="9" t="s">
        <v>13284</v>
      </c>
      <c r="I3498" s="9" t="s">
        <v>13284</v>
      </c>
      <c r="J3498" s="9" t="s">
        <v>13284</v>
      </c>
      <c r="K3498" s="9" t="s">
        <v>13284</v>
      </c>
      <c r="L3498" s="9" t="s">
        <v>13284</v>
      </c>
      <c r="M3498" s="9" t="s">
        <v>13284</v>
      </c>
      <c r="N3498" s="9" t="s">
        <v>13284</v>
      </c>
      <c r="O3498" s="9" t="s">
        <v>13284</v>
      </c>
      <c r="P3498" s="9" t="s">
        <v>13284</v>
      </c>
      <c r="Q3498" s="9" t="s">
        <v>13284</v>
      </c>
      <c r="R3498" s="9" t="s">
        <v>13284</v>
      </c>
      <c r="S3498" s="9" t="s">
        <v>13284</v>
      </c>
      <c r="T3498" s="9" t="str">
        <f ca="1">IFERROR(IF(AND(VLOOKUP(A3498, 'Актуальное состояние (из общего'!A:C,3,0) = "", A3498 &lt;&gt; ""), "ПРОВЕРИТЬ", VLOOKUP(A3498, 'Актуальное состояние (из общего'!A:C,3,0)), "")</f>
        <v/>
      </c>
      <c r="U3498" s="9" t="s">
        <v>13284</v>
      </c>
      <c r="V3498" s="9" t="s">
        <v>13284</v>
      </c>
      <c r="W3498" s="12"/>
      <c r="X3498" s="9" t="str">
        <f t="array" ref="X3498">IFERROR(INDEX('Адреса общежитий (скрытый)'!$B$2:$B$9, MATCH(W3498, 'Адреса общежитий (скрытый)'!$A$2:$A$9, 0)), "")</f>
        <v/>
      </c>
      <c r="Y3498" s="18"/>
      <c r="Z3498" s="18"/>
      <c r="AA3498" s="18"/>
      <c r="AB3498" s="18"/>
      <c r="AC3498" s="18"/>
    </row>
    <row r="3499" spans="1:29" ht="32.25" hidden="1" customHeight="1">
      <c r="A3499" s="17"/>
      <c r="B3499" s="9" t="s">
        <v>13284</v>
      </c>
      <c r="C3499" s="9" t="s">
        <v>13284</v>
      </c>
      <c r="D3499" s="9" t="s">
        <v>13284</v>
      </c>
      <c r="E3499" s="9" t="s">
        <v>13284</v>
      </c>
      <c r="F3499" s="9" t="s">
        <v>13284</v>
      </c>
      <c r="G3499" s="9" t="s">
        <v>13284</v>
      </c>
      <c r="H3499" s="9" t="s">
        <v>13284</v>
      </c>
      <c r="I3499" s="9" t="s">
        <v>13284</v>
      </c>
      <c r="J3499" s="9" t="s">
        <v>13284</v>
      </c>
      <c r="K3499" s="9" t="s">
        <v>13284</v>
      </c>
      <c r="L3499" s="9" t="s">
        <v>13284</v>
      </c>
      <c r="M3499" s="9" t="s">
        <v>13284</v>
      </c>
      <c r="N3499" s="9" t="s">
        <v>13284</v>
      </c>
      <c r="O3499" s="9" t="s">
        <v>13284</v>
      </c>
      <c r="P3499" s="9" t="s">
        <v>13284</v>
      </c>
      <c r="Q3499" s="9" t="s">
        <v>13284</v>
      </c>
      <c r="R3499" s="9" t="s">
        <v>13284</v>
      </c>
      <c r="S3499" s="9" t="s">
        <v>13284</v>
      </c>
      <c r="T3499" s="9" t="str">
        <f ca="1">IFERROR(IF(AND(VLOOKUP(A3499, 'Актуальное состояние (из общего'!A:C,3,0) = "", A3499 &lt;&gt; ""), "ПРОВЕРИТЬ", VLOOKUP(A3499, 'Актуальное состояние (из общего'!A:C,3,0)), "")</f>
        <v/>
      </c>
      <c r="U3499" s="9" t="s">
        <v>13284</v>
      </c>
      <c r="V3499" s="9" t="s">
        <v>13284</v>
      </c>
      <c r="W3499" s="12"/>
      <c r="X3499" s="9" t="str">
        <f t="array" ref="X3499">IFERROR(INDEX('Адреса общежитий (скрытый)'!$B$2:$B$9, MATCH(W3499, 'Адреса общежитий (скрытый)'!$A$2:$A$9, 0)), "")</f>
        <v/>
      </c>
      <c r="Y3499" s="18"/>
      <c r="Z3499" s="18"/>
      <c r="AA3499" s="18"/>
      <c r="AB3499" s="18"/>
      <c r="AC3499" s="18"/>
    </row>
    <row r="3500" spans="1:29" ht="32.25" hidden="1" customHeight="1">
      <c r="A3500" s="17"/>
      <c r="B3500" s="9" t="s">
        <v>13284</v>
      </c>
      <c r="C3500" s="9" t="s">
        <v>13284</v>
      </c>
      <c r="D3500" s="9" t="s">
        <v>13284</v>
      </c>
      <c r="E3500" s="9" t="s">
        <v>13284</v>
      </c>
      <c r="F3500" s="9" t="s">
        <v>13284</v>
      </c>
      <c r="G3500" s="9" t="s">
        <v>13284</v>
      </c>
      <c r="H3500" s="9" t="s">
        <v>13284</v>
      </c>
      <c r="I3500" s="9" t="s">
        <v>13284</v>
      </c>
      <c r="J3500" s="9" t="s">
        <v>13284</v>
      </c>
      <c r="K3500" s="9" t="s">
        <v>13284</v>
      </c>
      <c r="L3500" s="9" t="s">
        <v>13284</v>
      </c>
      <c r="M3500" s="9" t="s">
        <v>13284</v>
      </c>
      <c r="N3500" s="9" t="s">
        <v>13284</v>
      </c>
      <c r="O3500" s="9" t="s">
        <v>13284</v>
      </c>
      <c r="P3500" s="9" t="s">
        <v>13284</v>
      </c>
      <c r="Q3500" s="9" t="s">
        <v>13284</v>
      </c>
      <c r="R3500" s="9" t="s">
        <v>13284</v>
      </c>
      <c r="S3500" s="9" t="s">
        <v>13284</v>
      </c>
      <c r="T3500" s="9" t="str">
        <f ca="1">IFERROR(IF(AND(VLOOKUP(A3500, 'Актуальное состояние (из общего'!A:C,3,0) = "", A3500 &lt;&gt; ""), "ПРОВЕРИТЬ", VLOOKUP(A3500, 'Актуальное состояние (из общего'!A:C,3,0)), "")</f>
        <v/>
      </c>
      <c r="U3500" s="9" t="s">
        <v>13284</v>
      </c>
      <c r="V3500" s="9" t="s">
        <v>13284</v>
      </c>
      <c r="W3500" s="12"/>
      <c r="X3500" s="9" t="str">
        <f t="array" ref="X3500">IFERROR(INDEX('Адреса общежитий (скрытый)'!$B$2:$B$9, MATCH(W3500, 'Адреса общежитий (скрытый)'!$A$2:$A$9, 0)), "")</f>
        <v/>
      </c>
      <c r="Y3500" s="18"/>
      <c r="Z3500" s="18"/>
      <c r="AA3500" s="18"/>
      <c r="AB3500" s="18"/>
      <c r="AC3500" s="18"/>
    </row>
    <row r="3501" spans="1:29" ht="32.25" hidden="1" customHeight="1">
      <c r="A3501" s="17"/>
      <c r="B3501" s="9" t="s">
        <v>13284</v>
      </c>
      <c r="C3501" s="9" t="s">
        <v>13284</v>
      </c>
      <c r="D3501" s="9" t="s">
        <v>13284</v>
      </c>
      <c r="E3501" s="9" t="s">
        <v>13284</v>
      </c>
      <c r="F3501" s="9" t="s">
        <v>13284</v>
      </c>
      <c r="G3501" s="9" t="s">
        <v>13284</v>
      </c>
      <c r="H3501" s="9" t="s">
        <v>13284</v>
      </c>
      <c r="I3501" s="9" t="s">
        <v>13284</v>
      </c>
      <c r="J3501" s="9" t="s">
        <v>13284</v>
      </c>
      <c r="K3501" s="9" t="s">
        <v>13284</v>
      </c>
      <c r="L3501" s="9" t="s">
        <v>13284</v>
      </c>
      <c r="M3501" s="9" t="s">
        <v>13284</v>
      </c>
      <c r="N3501" s="9" t="s">
        <v>13284</v>
      </c>
      <c r="O3501" s="9" t="s">
        <v>13284</v>
      </c>
      <c r="P3501" s="9" t="s">
        <v>13284</v>
      </c>
      <c r="Q3501" s="9" t="s">
        <v>13284</v>
      </c>
      <c r="R3501" s="9" t="s">
        <v>13284</v>
      </c>
      <c r="S3501" s="9" t="s">
        <v>13284</v>
      </c>
      <c r="T3501" s="9" t="str">
        <f ca="1">IFERROR(IF(AND(VLOOKUP(A3501, 'Актуальное состояние (из общего'!A:C,3,0) = "", A3501 &lt;&gt; ""), "ПРОВЕРИТЬ", VLOOKUP(A3501, 'Актуальное состояние (из общего'!A:C,3,0)), "")</f>
        <v/>
      </c>
      <c r="U3501" s="9" t="s">
        <v>13284</v>
      </c>
      <c r="V3501" s="9" t="s">
        <v>13284</v>
      </c>
      <c r="W3501" s="12"/>
      <c r="X3501" s="9" t="str">
        <f t="array" ref="X3501">IFERROR(INDEX('Адреса общежитий (скрытый)'!$B$2:$B$9, MATCH(W3501, 'Адреса общежитий (скрытый)'!$A$2:$A$9, 0)), "")</f>
        <v/>
      </c>
      <c r="Y3501" s="18"/>
      <c r="Z3501" s="18"/>
      <c r="AA3501" s="18"/>
      <c r="AB3501" s="18"/>
      <c r="AC3501" s="18"/>
    </row>
    <row r="3502" spans="1:29" ht="32.25" hidden="1" customHeight="1">
      <c r="A3502" s="17"/>
      <c r="B3502" s="9" t="s">
        <v>13284</v>
      </c>
      <c r="C3502" s="9" t="s">
        <v>13284</v>
      </c>
      <c r="D3502" s="9" t="s">
        <v>13284</v>
      </c>
      <c r="E3502" s="9" t="s">
        <v>13284</v>
      </c>
      <c r="F3502" s="9" t="s">
        <v>13284</v>
      </c>
      <c r="G3502" s="9" t="s">
        <v>13284</v>
      </c>
      <c r="H3502" s="9" t="s">
        <v>13284</v>
      </c>
      <c r="I3502" s="9" t="s">
        <v>13284</v>
      </c>
      <c r="J3502" s="9" t="s">
        <v>13284</v>
      </c>
      <c r="K3502" s="9" t="s">
        <v>13284</v>
      </c>
      <c r="L3502" s="9" t="s">
        <v>13284</v>
      </c>
      <c r="M3502" s="9" t="s">
        <v>13284</v>
      </c>
      <c r="N3502" s="9" t="s">
        <v>13284</v>
      </c>
      <c r="O3502" s="9" t="s">
        <v>13284</v>
      </c>
      <c r="P3502" s="9" t="s">
        <v>13284</v>
      </c>
      <c r="Q3502" s="9" t="s">
        <v>13284</v>
      </c>
      <c r="R3502" s="9" t="s">
        <v>13284</v>
      </c>
      <c r="S3502" s="9" t="s">
        <v>13284</v>
      </c>
      <c r="T3502" s="9" t="str">
        <f ca="1">IFERROR(IF(AND(VLOOKUP(A3502, 'Актуальное состояние (из общего'!A:C,3,0) = "", A3502 &lt;&gt; ""), "ПРОВЕРИТЬ", VLOOKUP(A3502, 'Актуальное состояние (из общего'!A:C,3,0)), "")</f>
        <v/>
      </c>
      <c r="U3502" s="9" t="s">
        <v>13284</v>
      </c>
      <c r="V3502" s="9" t="s">
        <v>13284</v>
      </c>
      <c r="W3502" s="12"/>
      <c r="X3502" s="9" t="str">
        <f t="array" ref="X3502">IFERROR(INDEX('Адреса общежитий (скрытый)'!$B$2:$B$9, MATCH(W3502, 'Адреса общежитий (скрытый)'!$A$2:$A$9, 0)), "")</f>
        <v/>
      </c>
      <c r="Y3502" s="18"/>
      <c r="Z3502" s="18"/>
      <c r="AA3502" s="18"/>
      <c r="AB3502" s="18"/>
      <c r="AC3502" s="18"/>
    </row>
    <row r="3503" spans="1:29" ht="32.25" hidden="1" customHeight="1">
      <c r="A3503" s="17"/>
      <c r="B3503" s="9" t="s">
        <v>13284</v>
      </c>
      <c r="C3503" s="9" t="s">
        <v>13284</v>
      </c>
      <c r="D3503" s="9" t="s">
        <v>13284</v>
      </c>
      <c r="E3503" s="9" t="s">
        <v>13284</v>
      </c>
      <c r="F3503" s="9" t="s">
        <v>13284</v>
      </c>
      <c r="G3503" s="9" t="s">
        <v>13284</v>
      </c>
      <c r="H3503" s="9" t="s">
        <v>13284</v>
      </c>
      <c r="I3503" s="9" t="s">
        <v>13284</v>
      </c>
      <c r="J3503" s="9" t="s">
        <v>13284</v>
      </c>
      <c r="K3503" s="9" t="s">
        <v>13284</v>
      </c>
      <c r="L3503" s="9" t="s">
        <v>13284</v>
      </c>
      <c r="M3503" s="9" t="s">
        <v>13284</v>
      </c>
      <c r="N3503" s="9" t="s">
        <v>13284</v>
      </c>
      <c r="O3503" s="9" t="s">
        <v>13284</v>
      </c>
      <c r="P3503" s="9" t="s">
        <v>13284</v>
      </c>
      <c r="Q3503" s="9" t="s">
        <v>13284</v>
      </c>
      <c r="R3503" s="9" t="s">
        <v>13284</v>
      </c>
      <c r="S3503" s="9" t="s">
        <v>13284</v>
      </c>
      <c r="T3503" s="9" t="str">
        <f ca="1">IFERROR(IF(AND(VLOOKUP(A3503, 'Актуальное состояние (из общего'!A:C,3,0) = "", A3503 &lt;&gt; ""), "ПРОВЕРИТЬ", VLOOKUP(A3503, 'Актуальное состояние (из общего'!A:C,3,0)), "")</f>
        <v/>
      </c>
      <c r="U3503" s="9" t="s">
        <v>13284</v>
      </c>
      <c r="V3503" s="9" t="s">
        <v>13284</v>
      </c>
      <c r="W3503" s="12"/>
      <c r="X3503" s="9" t="str">
        <f t="array" ref="X3503">IFERROR(INDEX('Адреса общежитий (скрытый)'!$B$2:$B$9, MATCH(W3503, 'Адреса общежитий (скрытый)'!$A$2:$A$9, 0)), "")</f>
        <v/>
      </c>
      <c r="Y3503" s="18"/>
      <c r="Z3503" s="18"/>
      <c r="AA3503" s="18"/>
      <c r="AB3503" s="18"/>
      <c r="AC3503" s="18"/>
    </row>
    <row r="3504" spans="1:29" ht="32.25" hidden="1" customHeight="1">
      <c r="A3504" s="17"/>
      <c r="B3504" s="9" t="s">
        <v>13284</v>
      </c>
      <c r="C3504" s="9" t="s">
        <v>13284</v>
      </c>
      <c r="D3504" s="9" t="s">
        <v>13284</v>
      </c>
      <c r="E3504" s="9" t="s">
        <v>13284</v>
      </c>
      <c r="F3504" s="9" t="s">
        <v>13284</v>
      </c>
      <c r="G3504" s="9" t="s">
        <v>13284</v>
      </c>
      <c r="H3504" s="9" t="s">
        <v>13284</v>
      </c>
      <c r="I3504" s="9" t="s">
        <v>13284</v>
      </c>
      <c r="J3504" s="9" t="s">
        <v>13284</v>
      </c>
      <c r="K3504" s="9" t="s">
        <v>13284</v>
      </c>
      <c r="L3504" s="9" t="s">
        <v>13284</v>
      </c>
      <c r="M3504" s="9" t="s">
        <v>13284</v>
      </c>
      <c r="N3504" s="9" t="s">
        <v>13284</v>
      </c>
      <c r="O3504" s="9" t="s">
        <v>13284</v>
      </c>
      <c r="P3504" s="9" t="s">
        <v>13284</v>
      </c>
      <c r="Q3504" s="9" t="s">
        <v>13284</v>
      </c>
      <c r="R3504" s="9" t="s">
        <v>13284</v>
      </c>
      <c r="S3504" s="9" t="s">
        <v>13284</v>
      </c>
      <c r="T3504" s="9" t="str">
        <f ca="1">IFERROR(IF(AND(VLOOKUP(A3504, 'Актуальное состояние (из общего'!A:C,3,0) = "", A3504 &lt;&gt; ""), "ПРОВЕРИТЬ", VLOOKUP(A3504, 'Актуальное состояние (из общего'!A:C,3,0)), "")</f>
        <v/>
      </c>
      <c r="U3504" s="9" t="s">
        <v>13284</v>
      </c>
      <c r="V3504" s="9" t="s">
        <v>13284</v>
      </c>
      <c r="W3504" s="12"/>
      <c r="X3504" s="9" t="str">
        <f t="array" ref="X3504">IFERROR(INDEX('Адреса общежитий (скрытый)'!$B$2:$B$9, MATCH(W3504, 'Адреса общежитий (скрытый)'!$A$2:$A$9, 0)), "")</f>
        <v/>
      </c>
      <c r="Y3504" s="18"/>
      <c r="Z3504" s="18"/>
      <c r="AA3504" s="18"/>
      <c r="AB3504" s="18"/>
      <c r="AC3504" s="18"/>
    </row>
    <row r="3505" spans="1:29" ht="32.25" hidden="1" customHeight="1">
      <c r="A3505" s="17"/>
      <c r="B3505" s="9" t="s">
        <v>13284</v>
      </c>
      <c r="C3505" s="9" t="s">
        <v>13284</v>
      </c>
      <c r="D3505" s="9" t="s">
        <v>13284</v>
      </c>
      <c r="E3505" s="9" t="s">
        <v>13284</v>
      </c>
      <c r="F3505" s="9" t="s">
        <v>13284</v>
      </c>
      <c r="G3505" s="9" t="s">
        <v>13284</v>
      </c>
      <c r="H3505" s="9" t="s">
        <v>13284</v>
      </c>
      <c r="I3505" s="9" t="s">
        <v>13284</v>
      </c>
      <c r="J3505" s="9" t="s">
        <v>13284</v>
      </c>
      <c r="K3505" s="9" t="s">
        <v>13284</v>
      </c>
      <c r="L3505" s="9" t="s">
        <v>13284</v>
      </c>
      <c r="M3505" s="9" t="s">
        <v>13284</v>
      </c>
      <c r="N3505" s="9" t="s">
        <v>13284</v>
      </c>
      <c r="O3505" s="9" t="s">
        <v>13284</v>
      </c>
      <c r="P3505" s="9" t="s">
        <v>13284</v>
      </c>
      <c r="Q3505" s="9" t="s">
        <v>13284</v>
      </c>
      <c r="R3505" s="9" t="s">
        <v>13284</v>
      </c>
      <c r="S3505" s="9" t="s">
        <v>13284</v>
      </c>
      <c r="T3505" s="9" t="str">
        <f ca="1">IFERROR(IF(AND(VLOOKUP(A3505, 'Актуальное состояние (из общего'!A:C,3,0) = "", A3505 &lt;&gt; ""), "ПРОВЕРИТЬ", VLOOKUP(A3505, 'Актуальное состояние (из общего'!A:C,3,0)), "")</f>
        <v/>
      </c>
      <c r="U3505" s="9" t="s">
        <v>13284</v>
      </c>
      <c r="V3505" s="9" t="s">
        <v>13284</v>
      </c>
      <c r="W3505" s="12"/>
      <c r="X3505" s="9" t="str">
        <f t="array" ref="X3505">IFERROR(INDEX('Адреса общежитий (скрытый)'!$B$2:$B$9, MATCH(W3505, 'Адреса общежитий (скрытый)'!$A$2:$A$9, 0)), "")</f>
        <v/>
      </c>
      <c r="Y3505" s="18"/>
      <c r="Z3505" s="18"/>
      <c r="AA3505" s="18"/>
      <c r="AB3505" s="18"/>
      <c r="AC3505" s="18"/>
    </row>
    <row r="3506" spans="1:29" ht="32.25" hidden="1" customHeight="1">
      <c r="A3506" s="17"/>
      <c r="B3506" s="9" t="s">
        <v>13284</v>
      </c>
      <c r="C3506" s="9" t="s">
        <v>13284</v>
      </c>
      <c r="D3506" s="9" t="s">
        <v>13284</v>
      </c>
      <c r="E3506" s="9" t="s">
        <v>13284</v>
      </c>
      <c r="F3506" s="9" t="s">
        <v>13284</v>
      </c>
      <c r="G3506" s="9" t="s">
        <v>13284</v>
      </c>
      <c r="H3506" s="9" t="s">
        <v>13284</v>
      </c>
      <c r="I3506" s="9" t="s">
        <v>13284</v>
      </c>
      <c r="J3506" s="9" t="s">
        <v>13284</v>
      </c>
      <c r="K3506" s="9" t="s">
        <v>13284</v>
      </c>
      <c r="L3506" s="9" t="s">
        <v>13284</v>
      </c>
      <c r="M3506" s="9" t="s">
        <v>13284</v>
      </c>
      <c r="N3506" s="9" t="s">
        <v>13284</v>
      </c>
      <c r="O3506" s="9" t="s">
        <v>13284</v>
      </c>
      <c r="P3506" s="9" t="s">
        <v>13284</v>
      </c>
      <c r="Q3506" s="9" t="s">
        <v>13284</v>
      </c>
      <c r="R3506" s="9" t="s">
        <v>13284</v>
      </c>
      <c r="S3506" s="9" t="s">
        <v>13284</v>
      </c>
      <c r="T3506" s="9" t="str">
        <f ca="1">IFERROR(IF(AND(VLOOKUP(A3506, 'Актуальное состояние (из общего'!A:C,3,0) = "", A3506 &lt;&gt; ""), "ПРОВЕРИТЬ", VLOOKUP(A3506, 'Актуальное состояние (из общего'!A:C,3,0)), "")</f>
        <v/>
      </c>
      <c r="U3506" s="9" t="s">
        <v>13284</v>
      </c>
      <c r="V3506" s="9" t="s">
        <v>13284</v>
      </c>
      <c r="W3506" s="12"/>
      <c r="X3506" s="9" t="str">
        <f t="array" ref="X3506">IFERROR(INDEX('Адреса общежитий (скрытый)'!$B$2:$B$9, MATCH(W3506, 'Адреса общежитий (скрытый)'!$A$2:$A$9, 0)), "")</f>
        <v/>
      </c>
      <c r="Y3506" s="18"/>
      <c r="Z3506" s="18"/>
      <c r="AA3506" s="18"/>
      <c r="AB3506" s="18"/>
      <c r="AC3506" s="18"/>
    </row>
    <row r="3507" spans="1:29" ht="32.25" hidden="1" customHeight="1">
      <c r="A3507" s="17"/>
      <c r="B3507" s="9" t="s">
        <v>13284</v>
      </c>
      <c r="C3507" s="9" t="s">
        <v>13284</v>
      </c>
      <c r="D3507" s="9" t="s">
        <v>13284</v>
      </c>
      <c r="E3507" s="9" t="s">
        <v>13284</v>
      </c>
      <c r="F3507" s="9" t="s">
        <v>13284</v>
      </c>
      <c r="G3507" s="9" t="s">
        <v>13284</v>
      </c>
      <c r="H3507" s="9" t="s">
        <v>13284</v>
      </c>
      <c r="I3507" s="9" t="s">
        <v>13284</v>
      </c>
      <c r="J3507" s="9" t="s">
        <v>13284</v>
      </c>
      <c r="K3507" s="9" t="s">
        <v>13284</v>
      </c>
      <c r="L3507" s="9" t="s">
        <v>13284</v>
      </c>
      <c r="M3507" s="9" t="s">
        <v>13284</v>
      </c>
      <c r="N3507" s="9" t="s">
        <v>13284</v>
      </c>
      <c r="O3507" s="9" t="s">
        <v>13284</v>
      </c>
      <c r="P3507" s="9" t="s">
        <v>13284</v>
      </c>
      <c r="Q3507" s="9" t="s">
        <v>13284</v>
      </c>
      <c r="R3507" s="9" t="s">
        <v>13284</v>
      </c>
      <c r="S3507" s="9" t="s">
        <v>13284</v>
      </c>
      <c r="T3507" s="9" t="str">
        <f ca="1">IFERROR(IF(AND(VLOOKUP(A3507, 'Актуальное состояние (из общего'!A:C,3,0) = "", A3507 &lt;&gt; ""), "ПРОВЕРИТЬ", VLOOKUP(A3507, 'Актуальное состояние (из общего'!A:C,3,0)), "")</f>
        <v/>
      </c>
      <c r="U3507" s="9" t="s">
        <v>13284</v>
      </c>
      <c r="V3507" s="9" t="s">
        <v>13284</v>
      </c>
      <c r="W3507" s="12"/>
      <c r="X3507" s="9" t="str">
        <f t="array" ref="X3507">IFERROR(INDEX('Адреса общежитий (скрытый)'!$B$2:$B$9, MATCH(W3507, 'Адреса общежитий (скрытый)'!$A$2:$A$9, 0)), "")</f>
        <v/>
      </c>
      <c r="Y3507" s="18"/>
      <c r="Z3507" s="18"/>
      <c r="AA3507" s="18"/>
      <c r="AB3507" s="18"/>
      <c r="AC3507" s="18"/>
    </row>
    <row r="3508" spans="1:29" ht="32.25" hidden="1" customHeight="1">
      <c r="A3508" s="17"/>
      <c r="B3508" s="9" t="s">
        <v>13284</v>
      </c>
      <c r="C3508" s="9" t="s">
        <v>13284</v>
      </c>
      <c r="D3508" s="9" t="s">
        <v>13284</v>
      </c>
      <c r="E3508" s="9" t="s">
        <v>13284</v>
      </c>
      <c r="F3508" s="9" t="s">
        <v>13284</v>
      </c>
      <c r="G3508" s="9" t="s">
        <v>13284</v>
      </c>
      <c r="H3508" s="9" t="s">
        <v>13284</v>
      </c>
      <c r="I3508" s="9" t="s">
        <v>13284</v>
      </c>
      <c r="J3508" s="9" t="s">
        <v>13284</v>
      </c>
      <c r="K3508" s="9" t="s">
        <v>13284</v>
      </c>
      <c r="L3508" s="9" t="s">
        <v>13284</v>
      </c>
      <c r="M3508" s="9" t="s">
        <v>13284</v>
      </c>
      <c r="N3508" s="9" t="s">
        <v>13284</v>
      </c>
      <c r="O3508" s="9" t="s">
        <v>13284</v>
      </c>
      <c r="P3508" s="9" t="s">
        <v>13284</v>
      </c>
      <c r="Q3508" s="9" t="s">
        <v>13284</v>
      </c>
      <c r="R3508" s="9" t="s">
        <v>13284</v>
      </c>
      <c r="S3508" s="9" t="s">
        <v>13284</v>
      </c>
      <c r="T3508" s="9" t="str">
        <f ca="1">IFERROR(IF(AND(VLOOKUP(A3508, 'Актуальное состояние (из общего'!A:C,3,0) = "", A3508 &lt;&gt; ""), "ПРОВЕРИТЬ", VLOOKUP(A3508, 'Актуальное состояние (из общего'!A:C,3,0)), "")</f>
        <v/>
      </c>
      <c r="U3508" s="9" t="s">
        <v>13284</v>
      </c>
      <c r="V3508" s="9" t="s">
        <v>13284</v>
      </c>
      <c r="W3508" s="12"/>
      <c r="X3508" s="9" t="str">
        <f t="array" ref="X3508">IFERROR(INDEX('Адреса общежитий (скрытый)'!$B$2:$B$9, MATCH(W3508, 'Адреса общежитий (скрытый)'!$A$2:$A$9, 0)), "")</f>
        <v/>
      </c>
      <c r="Y3508" s="18"/>
      <c r="Z3508" s="18"/>
      <c r="AA3508" s="18"/>
      <c r="AB3508" s="18"/>
      <c r="AC3508" s="18"/>
    </row>
    <row r="3509" spans="1:29" ht="32.25" hidden="1" customHeight="1">
      <c r="A3509" s="17"/>
      <c r="B3509" s="9" t="s">
        <v>13284</v>
      </c>
      <c r="C3509" s="9" t="s">
        <v>13284</v>
      </c>
      <c r="D3509" s="9" t="s">
        <v>13284</v>
      </c>
      <c r="E3509" s="9" t="s">
        <v>13284</v>
      </c>
      <c r="F3509" s="9" t="s">
        <v>13284</v>
      </c>
      <c r="G3509" s="9" t="s">
        <v>13284</v>
      </c>
      <c r="H3509" s="9" t="s">
        <v>13284</v>
      </c>
      <c r="I3509" s="9" t="s">
        <v>13284</v>
      </c>
      <c r="J3509" s="9" t="s">
        <v>13284</v>
      </c>
      <c r="K3509" s="9" t="s">
        <v>13284</v>
      </c>
      <c r="L3509" s="9" t="s">
        <v>13284</v>
      </c>
      <c r="M3509" s="9" t="s">
        <v>13284</v>
      </c>
      <c r="N3509" s="9" t="s">
        <v>13284</v>
      </c>
      <c r="O3509" s="9" t="s">
        <v>13284</v>
      </c>
      <c r="P3509" s="9" t="s">
        <v>13284</v>
      </c>
      <c r="Q3509" s="9" t="s">
        <v>13284</v>
      </c>
      <c r="R3509" s="9" t="s">
        <v>13284</v>
      </c>
      <c r="S3509" s="9" t="s">
        <v>13284</v>
      </c>
      <c r="T3509" s="9" t="str">
        <f ca="1">IFERROR(IF(AND(VLOOKUP(A3509, 'Актуальное состояние (из общего'!A:C,3,0) = "", A3509 &lt;&gt; ""), "ПРОВЕРИТЬ", VLOOKUP(A3509, 'Актуальное состояние (из общего'!A:C,3,0)), "")</f>
        <v/>
      </c>
      <c r="U3509" s="9" t="s">
        <v>13284</v>
      </c>
      <c r="V3509" s="9" t="s">
        <v>13284</v>
      </c>
      <c r="W3509" s="12"/>
      <c r="X3509" s="9" t="str">
        <f t="array" ref="X3509">IFERROR(INDEX('Адреса общежитий (скрытый)'!$B$2:$B$9, MATCH(W3509, 'Адреса общежитий (скрытый)'!$A$2:$A$9, 0)), "")</f>
        <v/>
      </c>
      <c r="Y3509" s="18"/>
      <c r="Z3509" s="18"/>
      <c r="AA3509" s="18"/>
      <c r="AB3509" s="18"/>
      <c r="AC3509" s="18"/>
    </row>
    <row r="3510" spans="1:29" ht="32.25" hidden="1" customHeight="1">
      <c r="A3510" s="17"/>
      <c r="B3510" s="9" t="s">
        <v>13284</v>
      </c>
      <c r="C3510" s="9" t="s">
        <v>13284</v>
      </c>
      <c r="D3510" s="9" t="s">
        <v>13284</v>
      </c>
      <c r="E3510" s="9" t="s">
        <v>13284</v>
      </c>
      <c r="F3510" s="9" t="s">
        <v>13284</v>
      </c>
      <c r="G3510" s="9" t="s">
        <v>13284</v>
      </c>
      <c r="H3510" s="9" t="s">
        <v>13284</v>
      </c>
      <c r="I3510" s="9" t="s">
        <v>13284</v>
      </c>
      <c r="J3510" s="9" t="s">
        <v>13284</v>
      </c>
      <c r="K3510" s="9" t="s">
        <v>13284</v>
      </c>
      <c r="L3510" s="9" t="s">
        <v>13284</v>
      </c>
      <c r="M3510" s="9" t="s">
        <v>13284</v>
      </c>
      <c r="N3510" s="9" t="s">
        <v>13284</v>
      </c>
      <c r="O3510" s="9" t="s">
        <v>13284</v>
      </c>
      <c r="P3510" s="9" t="s">
        <v>13284</v>
      </c>
      <c r="Q3510" s="9" t="s">
        <v>13284</v>
      </c>
      <c r="R3510" s="9" t="s">
        <v>13284</v>
      </c>
      <c r="S3510" s="9" t="s">
        <v>13284</v>
      </c>
      <c r="T3510" s="9" t="str">
        <f ca="1">IFERROR(IF(AND(VLOOKUP(A3510, 'Актуальное состояние (из общего'!A:C,3,0) = "", A3510 &lt;&gt; ""), "ПРОВЕРИТЬ", VLOOKUP(A3510, 'Актуальное состояние (из общего'!A:C,3,0)), "")</f>
        <v/>
      </c>
      <c r="U3510" s="9" t="s">
        <v>13284</v>
      </c>
      <c r="V3510" s="9" t="s">
        <v>13284</v>
      </c>
      <c r="W3510" s="12"/>
      <c r="X3510" s="9" t="str">
        <f t="array" ref="X3510">IFERROR(INDEX('Адреса общежитий (скрытый)'!$B$2:$B$9, MATCH(W3510, 'Адреса общежитий (скрытый)'!$A$2:$A$9, 0)), "")</f>
        <v/>
      </c>
      <c r="Y3510" s="18"/>
      <c r="Z3510" s="18"/>
      <c r="AA3510" s="18"/>
      <c r="AB3510" s="18"/>
      <c r="AC3510" s="18"/>
    </row>
    <row r="3511" spans="1:29" ht="32.25" hidden="1" customHeight="1">
      <c r="A3511" s="17"/>
      <c r="B3511" s="9" t="s">
        <v>13284</v>
      </c>
      <c r="C3511" s="9" t="s">
        <v>13284</v>
      </c>
      <c r="D3511" s="9" t="s">
        <v>13284</v>
      </c>
      <c r="E3511" s="9" t="s">
        <v>13284</v>
      </c>
      <c r="F3511" s="9" t="s">
        <v>13284</v>
      </c>
      <c r="G3511" s="9" t="s">
        <v>13284</v>
      </c>
      <c r="H3511" s="9" t="s">
        <v>13284</v>
      </c>
      <c r="I3511" s="9" t="s">
        <v>13284</v>
      </c>
      <c r="J3511" s="9" t="s">
        <v>13284</v>
      </c>
      <c r="K3511" s="9" t="s">
        <v>13284</v>
      </c>
      <c r="L3511" s="9" t="s">
        <v>13284</v>
      </c>
      <c r="M3511" s="9" t="s">
        <v>13284</v>
      </c>
      <c r="N3511" s="9" t="s">
        <v>13284</v>
      </c>
      <c r="O3511" s="9" t="s">
        <v>13284</v>
      </c>
      <c r="P3511" s="9" t="s">
        <v>13284</v>
      </c>
      <c r="Q3511" s="9" t="s">
        <v>13284</v>
      </c>
      <c r="R3511" s="9" t="s">
        <v>13284</v>
      </c>
      <c r="S3511" s="9" t="s">
        <v>13284</v>
      </c>
      <c r="T3511" s="9" t="str">
        <f ca="1">IFERROR(IF(AND(VLOOKUP(A3511, 'Актуальное состояние (из общего'!A:C,3,0) = "", A3511 &lt;&gt; ""), "ПРОВЕРИТЬ", VLOOKUP(A3511, 'Актуальное состояние (из общего'!A:C,3,0)), "")</f>
        <v/>
      </c>
      <c r="U3511" s="9" t="s">
        <v>13284</v>
      </c>
      <c r="V3511" s="9" t="s">
        <v>13284</v>
      </c>
      <c r="W3511" s="12"/>
      <c r="X3511" s="9" t="str">
        <f t="array" ref="X3511">IFERROR(INDEX('Адреса общежитий (скрытый)'!$B$2:$B$9, MATCH(W3511, 'Адреса общежитий (скрытый)'!$A$2:$A$9, 0)), "")</f>
        <v/>
      </c>
      <c r="Y3511" s="18"/>
      <c r="Z3511" s="18"/>
      <c r="AA3511" s="18"/>
      <c r="AB3511" s="18"/>
      <c r="AC3511" s="18"/>
    </row>
    <row r="3512" spans="1:29" ht="32.25" hidden="1" customHeight="1">
      <c r="A3512" s="17"/>
      <c r="B3512" s="9" t="s">
        <v>13284</v>
      </c>
      <c r="C3512" s="9" t="s">
        <v>13284</v>
      </c>
      <c r="D3512" s="9" t="s">
        <v>13284</v>
      </c>
      <c r="E3512" s="9" t="s">
        <v>13284</v>
      </c>
      <c r="F3512" s="9" t="s">
        <v>13284</v>
      </c>
      <c r="G3512" s="9" t="s">
        <v>13284</v>
      </c>
      <c r="H3512" s="9" t="s">
        <v>13284</v>
      </c>
      <c r="I3512" s="9" t="s">
        <v>13284</v>
      </c>
      <c r="J3512" s="9" t="s">
        <v>13284</v>
      </c>
      <c r="K3512" s="9" t="s">
        <v>13284</v>
      </c>
      <c r="L3512" s="9" t="s">
        <v>13284</v>
      </c>
      <c r="M3512" s="9" t="s">
        <v>13284</v>
      </c>
      <c r="N3512" s="9" t="s">
        <v>13284</v>
      </c>
      <c r="O3512" s="9" t="s">
        <v>13284</v>
      </c>
      <c r="P3512" s="9" t="s">
        <v>13284</v>
      </c>
      <c r="Q3512" s="9" t="s">
        <v>13284</v>
      </c>
      <c r="R3512" s="9" t="s">
        <v>13284</v>
      </c>
      <c r="S3512" s="9" t="s">
        <v>13284</v>
      </c>
      <c r="T3512" s="9" t="str">
        <f ca="1">IFERROR(IF(AND(VLOOKUP(A3512, 'Актуальное состояние (из общего'!A:C,3,0) = "", A3512 &lt;&gt; ""), "ПРОВЕРИТЬ", VLOOKUP(A3512, 'Актуальное состояние (из общего'!A:C,3,0)), "")</f>
        <v/>
      </c>
      <c r="U3512" s="9" t="s">
        <v>13284</v>
      </c>
      <c r="V3512" s="9" t="s">
        <v>13284</v>
      </c>
      <c r="W3512" s="12"/>
      <c r="X3512" s="9" t="str">
        <f t="array" ref="X3512">IFERROR(INDEX('Адреса общежитий (скрытый)'!$B$2:$B$9, MATCH(W3512, 'Адреса общежитий (скрытый)'!$A$2:$A$9, 0)), "")</f>
        <v/>
      </c>
      <c r="Y3512" s="18"/>
      <c r="Z3512" s="18"/>
      <c r="AA3512" s="18"/>
      <c r="AB3512" s="18"/>
      <c r="AC3512" s="18"/>
    </row>
    <row r="3513" spans="1:29" ht="32.25" hidden="1" customHeight="1">
      <c r="A3513" s="17"/>
      <c r="B3513" s="9" t="s">
        <v>13284</v>
      </c>
      <c r="C3513" s="9" t="s">
        <v>13284</v>
      </c>
      <c r="D3513" s="9" t="s">
        <v>13284</v>
      </c>
      <c r="E3513" s="9" t="s">
        <v>13284</v>
      </c>
      <c r="F3513" s="9" t="s">
        <v>13284</v>
      </c>
      <c r="G3513" s="9" t="s">
        <v>13284</v>
      </c>
      <c r="H3513" s="9" t="s">
        <v>13284</v>
      </c>
      <c r="I3513" s="9" t="s">
        <v>13284</v>
      </c>
      <c r="J3513" s="9" t="s">
        <v>13284</v>
      </c>
      <c r="K3513" s="9" t="s">
        <v>13284</v>
      </c>
      <c r="L3513" s="9" t="s">
        <v>13284</v>
      </c>
      <c r="M3513" s="9" t="s">
        <v>13284</v>
      </c>
      <c r="N3513" s="9" t="s">
        <v>13284</v>
      </c>
      <c r="O3513" s="9" t="s">
        <v>13284</v>
      </c>
      <c r="P3513" s="9" t="s">
        <v>13284</v>
      </c>
      <c r="Q3513" s="9" t="s">
        <v>13284</v>
      </c>
      <c r="R3513" s="9" t="s">
        <v>13284</v>
      </c>
      <c r="S3513" s="9" t="s">
        <v>13284</v>
      </c>
      <c r="T3513" s="9" t="str">
        <f ca="1">IFERROR(IF(AND(VLOOKUP(A3513, 'Актуальное состояние (из общего'!A:C,3,0) = "", A3513 &lt;&gt; ""), "ПРОВЕРИТЬ", VLOOKUP(A3513, 'Актуальное состояние (из общего'!A:C,3,0)), "")</f>
        <v/>
      </c>
      <c r="U3513" s="9" t="s">
        <v>13284</v>
      </c>
      <c r="V3513" s="9" t="s">
        <v>13284</v>
      </c>
      <c r="W3513" s="12"/>
      <c r="X3513" s="9" t="str">
        <f t="array" ref="X3513">IFERROR(INDEX('Адреса общежитий (скрытый)'!$B$2:$B$9, MATCH(W3513, 'Адреса общежитий (скрытый)'!$A$2:$A$9, 0)), "")</f>
        <v/>
      </c>
      <c r="Y3513" s="18"/>
      <c r="Z3513" s="18"/>
      <c r="AA3513" s="18"/>
      <c r="AB3513" s="18"/>
      <c r="AC3513" s="18"/>
    </row>
    <row r="3514" spans="1:29" ht="32.25" hidden="1" customHeight="1">
      <c r="A3514" s="17"/>
      <c r="B3514" s="9" t="s">
        <v>13284</v>
      </c>
      <c r="C3514" s="9" t="s">
        <v>13284</v>
      </c>
      <c r="D3514" s="9" t="s">
        <v>13284</v>
      </c>
      <c r="E3514" s="9" t="s">
        <v>13284</v>
      </c>
      <c r="F3514" s="9" t="s">
        <v>13284</v>
      </c>
      <c r="G3514" s="9" t="s">
        <v>13284</v>
      </c>
      <c r="H3514" s="9" t="s">
        <v>13284</v>
      </c>
      <c r="I3514" s="9" t="s">
        <v>13284</v>
      </c>
      <c r="J3514" s="9" t="s">
        <v>13284</v>
      </c>
      <c r="K3514" s="9" t="s">
        <v>13284</v>
      </c>
      <c r="L3514" s="9" t="s">
        <v>13284</v>
      </c>
      <c r="M3514" s="9" t="s">
        <v>13284</v>
      </c>
      <c r="N3514" s="9" t="s">
        <v>13284</v>
      </c>
      <c r="O3514" s="9" t="s">
        <v>13284</v>
      </c>
      <c r="P3514" s="9" t="s">
        <v>13284</v>
      </c>
      <c r="Q3514" s="9" t="s">
        <v>13284</v>
      </c>
      <c r="R3514" s="9" t="s">
        <v>13284</v>
      </c>
      <c r="S3514" s="9" t="s">
        <v>13284</v>
      </c>
      <c r="T3514" s="9" t="str">
        <f ca="1">IFERROR(IF(AND(VLOOKUP(A3514, 'Актуальное состояние (из общего'!A:C,3,0) = "", A3514 &lt;&gt; ""), "ПРОВЕРИТЬ", VLOOKUP(A3514, 'Актуальное состояние (из общего'!A:C,3,0)), "")</f>
        <v/>
      </c>
      <c r="U3514" s="9" t="s">
        <v>13284</v>
      </c>
      <c r="V3514" s="9" t="s">
        <v>13284</v>
      </c>
      <c r="W3514" s="12"/>
      <c r="X3514" s="9" t="str">
        <f t="array" ref="X3514">IFERROR(INDEX('Адреса общежитий (скрытый)'!$B$2:$B$9, MATCH(W3514, 'Адреса общежитий (скрытый)'!$A$2:$A$9, 0)), "")</f>
        <v/>
      </c>
      <c r="Y3514" s="18"/>
      <c r="Z3514" s="18"/>
      <c r="AA3514" s="18"/>
      <c r="AB3514" s="18"/>
      <c r="AC3514" s="18"/>
    </row>
    <row r="3515" spans="1:29" ht="32.25" hidden="1" customHeight="1">
      <c r="A3515" s="17"/>
      <c r="B3515" s="9" t="s">
        <v>13284</v>
      </c>
      <c r="C3515" s="9" t="s">
        <v>13284</v>
      </c>
      <c r="D3515" s="9" t="s">
        <v>13284</v>
      </c>
      <c r="E3515" s="9" t="s">
        <v>13284</v>
      </c>
      <c r="F3515" s="9" t="s">
        <v>13284</v>
      </c>
      <c r="G3515" s="9" t="s">
        <v>13284</v>
      </c>
      <c r="H3515" s="9" t="s">
        <v>13284</v>
      </c>
      <c r="I3515" s="9" t="s">
        <v>13284</v>
      </c>
      <c r="J3515" s="9" t="s">
        <v>13284</v>
      </c>
      <c r="K3515" s="9" t="s">
        <v>13284</v>
      </c>
      <c r="L3515" s="9" t="s">
        <v>13284</v>
      </c>
      <c r="M3515" s="9" t="s">
        <v>13284</v>
      </c>
      <c r="N3515" s="9" t="s">
        <v>13284</v>
      </c>
      <c r="O3515" s="9" t="s">
        <v>13284</v>
      </c>
      <c r="P3515" s="9" t="s">
        <v>13284</v>
      </c>
      <c r="Q3515" s="9" t="s">
        <v>13284</v>
      </c>
      <c r="R3515" s="9" t="s">
        <v>13284</v>
      </c>
      <c r="S3515" s="9" t="s">
        <v>13284</v>
      </c>
      <c r="T3515" s="9" t="str">
        <f ca="1">IFERROR(IF(AND(VLOOKUP(A3515, 'Актуальное состояние (из общего'!A:C,3,0) = "", A3515 &lt;&gt; ""), "ПРОВЕРИТЬ", VLOOKUP(A3515, 'Актуальное состояние (из общего'!A:C,3,0)), "")</f>
        <v/>
      </c>
      <c r="U3515" s="9" t="s">
        <v>13284</v>
      </c>
      <c r="V3515" s="9" t="s">
        <v>13284</v>
      </c>
      <c r="W3515" s="12"/>
      <c r="X3515" s="9" t="str">
        <f t="array" ref="X3515">IFERROR(INDEX('Адреса общежитий (скрытый)'!$B$2:$B$9, MATCH(W3515, 'Адреса общежитий (скрытый)'!$A$2:$A$9, 0)), "")</f>
        <v/>
      </c>
      <c r="Y3515" s="18"/>
      <c r="Z3515" s="18"/>
      <c r="AA3515" s="18"/>
      <c r="AB3515" s="18"/>
      <c r="AC3515" s="18"/>
    </row>
    <row r="3516" spans="1:29" ht="32.25" hidden="1" customHeight="1">
      <c r="A3516" s="17"/>
      <c r="B3516" s="9" t="s">
        <v>13284</v>
      </c>
      <c r="C3516" s="9" t="s">
        <v>13284</v>
      </c>
      <c r="D3516" s="9" t="s">
        <v>13284</v>
      </c>
      <c r="E3516" s="9" t="s">
        <v>13284</v>
      </c>
      <c r="F3516" s="9" t="s">
        <v>13284</v>
      </c>
      <c r="G3516" s="9" t="s">
        <v>13284</v>
      </c>
      <c r="H3516" s="9" t="s">
        <v>13284</v>
      </c>
      <c r="I3516" s="9" t="s">
        <v>13284</v>
      </c>
      <c r="J3516" s="9" t="s">
        <v>13284</v>
      </c>
      <c r="K3516" s="9" t="s">
        <v>13284</v>
      </c>
      <c r="L3516" s="9" t="s">
        <v>13284</v>
      </c>
      <c r="M3516" s="9" t="s">
        <v>13284</v>
      </c>
      <c r="N3516" s="9" t="s">
        <v>13284</v>
      </c>
      <c r="O3516" s="9" t="s">
        <v>13284</v>
      </c>
      <c r="P3516" s="9" t="s">
        <v>13284</v>
      </c>
      <c r="Q3516" s="9" t="s">
        <v>13284</v>
      </c>
      <c r="R3516" s="9" t="s">
        <v>13284</v>
      </c>
      <c r="S3516" s="9" t="s">
        <v>13284</v>
      </c>
      <c r="T3516" s="9" t="str">
        <f ca="1">IFERROR(IF(AND(VLOOKUP(A3516, 'Актуальное состояние (из общего'!A:C,3,0) = "", A3516 &lt;&gt; ""), "ПРОВЕРИТЬ", VLOOKUP(A3516, 'Актуальное состояние (из общего'!A:C,3,0)), "")</f>
        <v/>
      </c>
      <c r="U3516" s="9" t="s">
        <v>13284</v>
      </c>
      <c r="V3516" s="9" t="s">
        <v>13284</v>
      </c>
      <c r="W3516" s="12"/>
      <c r="X3516" s="9" t="str">
        <f t="array" ref="X3516">IFERROR(INDEX('Адреса общежитий (скрытый)'!$B$2:$B$9, MATCH(W3516, 'Адреса общежитий (скрытый)'!$A$2:$A$9, 0)), "")</f>
        <v/>
      </c>
      <c r="Y3516" s="18"/>
      <c r="Z3516" s="18"/>
      <c r="AA3516" s="18"/>
      <c r="AB3516" s="18"/>
      <c r="AC3516" s="18"/>
    </row>
    <row r="3517" spans="1:29" ht="32.25" hidden="1" customHeight="1">
      <c r="A3517" s="17"/>
      <c r="B3517" s="9" t="s">
        <v>13284</v>
      </c>
      <c r="C3517" s="9" t="s">
        <v>13284</v>
      </c>
      <c r="D3517" s="9" t="s">
        <v>13284</v>
      </c>
      <c r="E3517" s="9" t="s">
        <v>13284</v>
      </c>
      <c r="F3517" s="9" t="s">
        <v>13284</v>
      </c>
      <c r="G3517" s="9" t="s">
        <v>13284</v>
      </c>
      <c r="H3517" s="9" t="s">
        <v>13284</v>
      </c>
      <c r="I3517" s="9" t="s">
        <v>13284</v>
      </c>
      <c r="J3517" s="9" t="s">
        <v>13284</v>
      </c>
      <c r="K3517" s="9" t="s">
        <v>13284</v>
      </c>
      <c r="L3517" s="9" t="s">
        <v>13284</v>
      </c>
      <c r="M3517" s="9" t="s">
        <v>13284</v>
      </c>
      <c r="N3517" s="9" t="s">
        <v>13284</v>
      </c>
      <c r="O3517" s="9" t="s">
        <v>13284</v>
      </c>
      <c r="P3517" s="9" t="s">
        <v>13284</v>
      </c>
      <c r="Q3517" s="9" t="s">
        <v>13284</v>
      </c>
      <c r="R3517" s="9" t="s">
        <v>13284</v>
      </c>
      <c r="S3517" s="9" t="s">
        <v>13284</v>
      </c>
      <c r="T3517" s="9" t="str">
        <f ca="1">IFERROR(IF(AND(VLOOKUP(A3517, 'Актуальное состояние (из общего'!A:C,3,0) = "", A3517 &lt;&gt; ""), "ПРОВЕРИТЬ", VLOOKUP(A3517, 'Актуальное состояние (из общего'!A:C,3,0)), "")</f>
        <v/>
      </c>
      <c r="U3517" s="9" t="s">
        <v>13284</v>
      </c>
      <c r="V3517" s="9" t="s">
        <v>13284</v>
      </c>
      <c r="W3517" s="12"/>
      <c r="X3517" s="9" t="str">
        <f t="array" ref="X3517">IFERROR(INDEX('Адреса общежитий (скрытый)'!$B$2:$B$9, MATCH(W3517, 'Адреса общежитий (скрытый)'!$A$2:$A$9, 0)), "")</f>
        <v/>
      </c>
      <c r="Y3517" s="18"/>
      <c r="Z3517" s="18"/>
      <c r="AA3517" s="18"/>
      <c r="AB3517" s="18"/>
      <c r="AC3517" s="18"/>
    </row>
    <row r="3518" spans="1:29" ht="32.25" hidden="1" customHeight="1">
      <c r="A3518" s="17"/>
      <c r="B3518" s="9" t="s">
        <v>13284</v>
      </c>
      <c r="C3518" s="9" t="s">
        <v>13284</v>
      </c>
      <c r="D3518" s="9" t="s">
        <v>13284</v>
      </c>
      <c r="E3518" s="9" t="s">
        <v>13284</v>
      </c>
      <c r="F3518" s="9" t="s">
        <v>13284</v>
      </c>
      <c r="G3518" s="9" t="s">
        <v>13284</v>
      </c>
      <c r="H3518" s="9" t="s">
        <v>13284</v>
      </c>
      <c r="I3518" s="9" t="s">
        <v>13284</v>
      </c>
      <c r="J3518" s="9" t="s">
        <v>13284</v>
      </c>
      <c r="K3518" s="9" t="s">
        <v>13284</v>
      </c>
      <c r="L3518" s="9" t="s">
        <v>13284</v>
      </c>
      <c r="M3518" s="9" t="s">
        <v>13284</v>
      </c>
      <c r="N3518" s="9" t="s">
        <v>13284</v>
      </c>
      <c r="O3518" s="9" t="s">
        <v>13284</v>
      </c>
      <c r="P3518" s="9" t="s">
        <v>13284</v>
      </c>
      <c r="Q3518" s="9" t="s">
        <v>13284</v>
      </c>
      <c r="R3518" s="9" t="s">
        <v>13284</v>
      </c>
      <c r="S3518" s="9" t="s">
        <v>13284</v>
      </c>
      <c r="T3518" s="9" t="str">
        <f ca="1">IFERROR(IF(AND(VLOOKUP(A3518, 'Актуальное состояние (из общего'!A:C,3,0) = "", A3518 &lt;&gt; ""), "ПРОВЕРИТЬ", VLOOKUP(A3518, 'Актуальное состояние (из общего'!A:C,3,0)), "")</f>
        <v/>
      </c>
      <c r="U3518" s="9" t="s">
        <v>13284</v>
      </c>
      <c r="V3518" s="9" t="s">
        <v>13284</v>
      </c>
      <c r="W3518" s="12"/>
      <c r="X3518" s="9" t="str">
        <f t="array" ref="X3518">IFERROR(INDEX('Адреса общежитий (скрытый)'!$B$2:$B$9, MATCH(W3518, 'Адреса общежитий (скрытый)'!$A$2:$A$9, 0)), "")</f>
        <v/>
      </c>
      <c r="Y3518" s="18"/>
      <c r="Z3518" s="18"/>
      <c r="AA3518" s="18"/>
      <c r="AB3518" s="18"/>
      <c r="AC3518" s="18"/>
    </row>
    <row r="3519" spans="1:29" ht="32.25" hidden="1" customHeight="1">
      <c r="A3519" s="17"/>
      <c r="B3519" s="9" t="s">
        <v>13284</v>
      </c>
      <c r="C3519" s="9" t="s">
        <v>13284</v>
      </c>
      <c r="D3519" s="9" t="s">
        <v>13284</v>
      </c>
      <c r="E3519" s="9" t="s">
        <v>13284</v>
      </c>
      <c r="F3519" s="9" t="s">
        <v>13284</v>
      </c>
      <c r="G3519" s="9" t="s">
        <v>13284</v>
      </c>
      <c r="H3519" s="9" t="s">
        <v>13284</v>
      </c>
      <c r="I3519" s="9" t="s">
        <v>13284</v>
      </c>
      <c r="J3519" s="9" t="s">
        <v>13284</v>
      </c>
      <c r="K3519" s="9" t="s">
        <v>13284</v>
      </c>
      <c r="L3519" s="9" t="s">
        <v>13284</v>
      </c>
      <c r="M3519" s="9" t="s">
        <v>13284</v>
      </c>
      <c r="N3519" s="9" t="s">
        <v>13284</v>
      </c>
      <c r="O3519" s="9" t="s">
        <v>13284</v>
      </c>
      <c r="P3519" s="9" t="s">
        <v>13284</v>
      </c>
      <c r="Q3519" s="9" t="s">
        <v>13284</v>
      </c>
      <c r="R3519" s="9" t="s">
        <v>13284</v>
      </c>
      <c r="S3519" s="9" t="s">
        <v>13284</v>
      </c>
      <c r="T3519" s="9" t="str">
        <f ca="1">IFERROR(IF(AND(VLOOKUP(A3519, 'Актуальное состояние (из общего'!A:C,3,0) = "", A3519 &lt;&gt; ""), "ПРОВЕРИТЬ", VLOOKUP(A3519, 'Актуальное состояние (из общего'!A:C,3,0)), "")</f>
        <v/>
      </c>
      <c r="U3519" s="9" t="s">
        <v>13284</v>
      </c>
      <c r="V3519" s="9" t="s">
        <v>13284</v>
      </c>
      <c r="W3519" s="12"/>
      <c r="X3519" s="9" t="str">
        <f t="array" ref="X3519">IFERROR(INDEX('Адреса общежитий (скрытый)'!$B$2:$B$9, MATCH(W3519, 'Адреса общежитий (скрытый)'!$A$2:$A$9, 0)), "")</f>
        <v/>
      </c>
      <c r="Y3519" s="18"/>
      <c r="Z3519" s="18"/>
      <c r="AA3519" s="18"/>
      <c r="AB3519" s="18"/>
      <c r="AC3519" s="18"/>
    </row>
    <row r="3520" spans="1:29" ht="32.25" hidden="1" customHeight="1">
      <c r="A3520" s="17"/>
      <c r="B3520" s="9" t="s">
        <v>13284</v>
      </c>
      <c r="C3520" s="9" t="s">
        <v>13284</v>
      </c>
      <c r="D3520" s="9" t="s">
        <v>13284</v>
      </c>
      <c r="E3520" s="9" t="s">
        <v>13284</v>
      </c>
      <c r="F3520" s="9" t="s">
        <v>13284</v>
      </c>
      <c r="G3520" s="9" t="s">
        <v>13284</v>
      </c>
      <c r="H3520" s="9" t="s">
        <v>13284</v>
      </c>
      <c r="I3520" s="9" t="s">
        <v>13284</v>
      </c>
      <c r="J3520" s="9" t="s">
        <v>13284</v>
      </c>
      <c r="K3520" s="9" t="s">
        <v>13284</v>
      </c>
      <c r="L3520" s="9" t="s">
        <v>13284</v>
      </c>
      <c r="M3520" s="9" t="s">
        <v>13284</v>
      </c>
      <c r="N3520" s="9" t="s">
        <v>13284</v>
      </c>
      <c r="O3520" s="9" t="s">
        <v>13284</v>
      </c>
      <c r="P3520" s="9" t="s">
        <v>13284</v>
      </c>
      <c r="Q3520" s="9" t="s">
        <v>13284</v>
      </c>
      <c r="R3520" s="9" t="s">
        <v>13284</v>
      </c>
      <c r="S3520" s="9" t="s">
        <v>13284</v>
      </c>
      <c r="T3520" s="9" t="str">
        <f ca="1">IFERROR(IF(AND(VLOOKUP(A3520, 'Актуальное состояние (из общего'!A:C,3,0) = "", A3520 &lt;&gt; ""), "ПРОВЕРИТЬ", VLOOKUP(A3520, 'Актуальное состояние (из общего'!A:C,3,0)), "")</f>
        <v/>
      </c>
      <c r="U3520" s="9" t="s">
        <v>13284</v>
      </c>
      <c r="V3520" s="9" t="s">
        <v>13284</v>
      </c>
      <c r="W3520" s="12"/>
      <c r="X3520" s="9" t="str">
        <f t="array" ref="X3520">IFERROR(INDEX('Адреса общежитий (скрытый)'!$B$2:$B$9, MATCH(W3520, 'Адреса общежитий (скрытый)'!$A$2:$A$9, 0)), "")</f>
        <v/>
      </c>
      <c r="Y3520" s="18"/>
      <c r="Z3520" s="18"/>
      <c r="AA3520" s="18"/>
      <c r="AB3520" s="18"/>
      <c r="AC3520" s="18"/>
    </row>
    <row r="3521" spans="1:29" ht="32.25" hidden="1" customHeight="1">
      <c r="A3521" s="17"/>
      <c r="B3521" s="9" t="s">
        <v>13284</v>
      </c>
      <c r="C3521" s="9" t="s">
        <v>13284</v>
      </c>
      <c r="D3521" s="9" t="s">
        <v>13284</v>
      </c>
      <c r="E3521" s="9" t="s">
        <v>13284</v>
      </c>
      <c r="F3521" s="9" t="s">
        <v>13284</v>
      </c>
      <c r="G3521" s="9" t="s">
        <v>13284</v>
      </c>
      <c r="H3521" s="9" t="s">
        <v>13284</v>
      </c>
      <c r="I3521" s="9" t="s">
        <v>13284</v>
      </c>
      <c r="J3521" s="9" t="s">
        <v>13284</v>
      </c>
      <c r="K3521" s="9" t="s">
        <v>13284</v>
      </c>
      <c r="L3521" s="9" t="s">
        <v>13284</v>
      </c>
      <c r="M3521" s="9" t="s">
        <v>13284</v>
      </c>
      <c r="N3521" s="9" t="s">
        <v>13284</v>
      </c>
      <c r="O3521" s="9" t="s">
        <v>13284</v>
      </c>
      <c r="P3521" s="9" t="s">
        <v>13284</v>
      </c>
      <c r="Q3521" s="9" t="s">
        <v>13284</v>
      </c>
      <c r="R3521" s="9" t="s">
        <v>13284</v>
      </c>
      <c r="S3521" s="9" t="s">
        <v>13284</v>
      </c>
      <c r="T3521" s="9" t="str">
        <f ca="1">IFERROR(IF(AND(VLOOKUP(A3521, 'Актуальное состояние (из общего'!A:C,3,0) = "", A3521 &lt;&gt; ""), "ПРОВЕРИТЬ", VLOOKUP(A3521, 'Актуальное состояние (из общего'!A:C,3,0)), "")</f>
        <v/>
      </c>
      <c r="U3521" s="9" t="s">
        <v>13284</v>
      </c>
      <c r="V3521" s="9" t="s">
        <v>13284</v>
      </c>
      <c r="W3521" s="12"/>
      <c r="X3521" s="9" t="str">
        <f t="array" ref="X3521">IFERROR(INDEX('Адреса общежитий (скрытый)'!$B$2:$B$9, MATCH(W3521, 'Адреса общежитий (скрытый)'!$A$2:$A$9, 0)), "")</f>
        <v/>
      </c>
      <c r="Y3521" s="18"/>
      <c r="Z3521" s="18"/>
      <c r="AA3521" s="18"/>
      <c r="AB3521" s="18"/>
      <c r="AC3521" s="18"/>
    </row>
    <row r="3522" spans="1:29" ht="32.25" hidden="1" customHeight="1">
      <c r="A3522" s="17"/>
      <c r="B3522" s="9" t="s">
        <v>13284</v>
      </c>
      <c r="C3522" s="9" t="s">
        <v>13284</v>
      </c>
      <c r="D3522" s="9" t="s">
        <v>13284</v>
      </c>
      <c r="E3522" s="9" t="s">
        <v>13284</v>
      </c>
      <c r="F3522" s="9" t="s">
        <v>13284</v>
      </c>
      <c r="G3522" s="9" t="s">
        <v>13284</v>
      </c>
      <c r="H3522" s="9" t="s">
        <v>13284</v>
      </c>
      <c r="I3522" s="9" t="s">
        <v>13284</v>
      </c>
      <c r="J3522" s="9" t="s">
        <v>13284</v>
      </c>
      <c r="K3522" s="9" t="s">
        <v>13284</v>
      </c>
      <c r="L3522" s="9" t="s">
        <v>13284</v>
      </c>
      <c r="M3522" s="9" t="s">
        <v>13284</v>
      </c>
      <c r="N3522" s="9" t="s">
        <v>13284</v>
      </c>
      <c r="O3522" s="9" t="s">
        <v>13284</v>
      </c>
      <c r="P3522" s="9" t="s">
        <v>13284</v>
      </c>
      <c r="Q3522" s="9" t="s">
        <v>13284</v>
      </c>
      <c r="R3522" s="9" t="s">
        <v>13284</v>
      </c>
      <c r="S3522" s="9" t="s">
        <v>13284</v>
      </c>
      <c r="T3522" s="9" t="str">
        <f ca="1">IFERROR(IF(AND(VLOOKUP(A3522, 'Актуальное состояние (из общего'!A:C,3,0) = "", A3522 &lt;&gt; ""), "ПРОВЕРИТЬ", VLOOKUP(A3522, 'Актуальное состояние (из общего'!A:C,3,0)), "")</f>
        <v/>
      </c>
      <c r="U3522" s="9" t="s">
        <v>13284</v>
      </c>
      <c r="V3522" s="9" t="s">
        <v>13284</v>
      </c>
      <c r="W3522" s="12"/>
      <c r="X3522" s="9" t="str">
        <f t="array" ref="X3522">IFERROR(INDEX('Адреса общежитий (скрытый)'!$B$2:$B$9, MATCH(W3522, 'Адреса общежитий (скрытый)'!$A$2:$A$9, 0)), "")</f>
        <v/>
      </c>
      <c r="Y3522" s="18"/>
      <c r="Z3522" s="18"/>
      <c r="AA3522" s="18"/>
      <c r="AB3522" s="18"/>
      <c r="AC3522" s="18"/>
    </row>
    <row r="3523" spans="1:29" ht="32.25" hidden="1" customHeight="1">
      <c r="A3523" s="17"/>
      <c r="B3523" s="9" t="s">
        <v>13284</v>
      </c>
      <c r="C3523" s="9" t="s">
        <v>13284</v>
      </c>
      <c r="D3523" s="9" t="s">
        <v>13284</v>
      </c>
      <c r="E3523" s="9" t="s">
        <v>13284</v>
      </c>
      <c r="F3523" s="9" t="s">
        <v>13284</v>
      </c>
      <c r="G3523" s="9" t="s">
        <v>13284</v>
      </c>
      <c r="H3523" s="9" t="s">
        <v>13284</v>
      </c>
      <c r="I3523" s="9" t="s">
        <v>13284</v>
      </c>
      <c r="J3523" s="9" t="s">
        <v>13284</v>
      </c>
      <c r="K3523" s="9" t="s">
        <v>13284</v>
      </c>
      <c r="L3523" s="9" t="s">
        <v>13284</v>
      </c>
      <c r="M3523" s="9" t="s">
        <v>13284</v>
      </c>
      <c r="N3523" s="9" t="s">
        <v>13284</v>
      </c>
      <c r="O3523" s="9" t="s">
        <v>13284</v>
      </c>
      <c r="P3523" s="9" t="s">
        <v>13284</v>
      </c>
      <c r="Q3523" s="9" t="s">
        <v>13284</v>
      </c>
      <c r="R3523" s="9" t="s">
        <v>13284</v>
      </c>
      <c r="S3523" s="9" t="s">
        <v>13284</v>
      </c>
      <c r="T3523" s="9" t="str">
        <f ca="1">IFERROR(IF(AND(VLOOKUP(A3523, 'Актуальное состояние (из общего'!A:C,3,0) = "", A3523 &lt;&gt; ""), "ПРОВЕРИТЬ", VLOOKUP(A3523, 'Актуальное состояние (из общего'!A:C,3,0)), "")</f>
        <v/>
      </c>
      <c r="U3523" s="9" t="s">
        <v>13284</v>
      </c>
      <c r="V3523" s="9" t="s">
        <v>13284</v>
      </c>
      <c r="W3523" s="12"/>
      <c r="X3523" s="9" t="str">
        <f t="array" ref="X3523">IFERROR(INDEX('Адреса общежитий (скрытый)'!$B$2:$B$9, MATCH(W3523, 'Адреса общежитий (скрытый)'!$A$2:$A$9, 0)), "")</f>
        <v/>
      </c>
      <c r="Y3523" s="18"/>
      <c r="Z3523" s="18"/>
      <c r="AA3523" s="18"/>
      <c r="AB3523" s="18"/>
      <c r="AC3523" s="18"/>
    </row>
    <row r="3524" spans="1:29" ht="32.25" hidden="1" customHeight="1">
      <c r="A3524" s="17"/>
      <c r="B3524" s="9" t="s">
        <v>13284</v>
      </c>
      <c r="C3524" s="9" t="s">
        <v>13284</v>
      </c>
      <c r="D3524" s="9" t="s">
        <v>13284</v>
      </c>
      <c r="E3524" s="9" t="s">
        <v>13284</v>
      </c>
      <c r="F3524" s="9" t="s">
        <v>13284</v>
      </c>
      <c r="G3524" s="9" t="s">
        <v>13284</v>
      </c>
      <c r="H3524" s="9" t="s">
        <v>13284</v>
      </c>
      <c r="I3524" s="9" t="s">
        <v>13284</v>
      </c>
      <c r="J3524" s="9" t="s">
        <v>13284</v>
      </c>
      <c r="K3524" s="9" t="s">
        <v>13284</v>
      </c>
      <c r="L3524" s="9" t="s">
        <v>13284</v>
      </c>
      <c r="M3524" s="9" t="s">
        <v>13284</v>
      </c>
      <c r="N3524" s="9" t="s">
        <v>13284</v>
      </c>
      <c r="O3524" s="9" t="s">
        <v>13284</v>
      </c>
      <c r="P3524" s="9" t="s">
        <v>13284</v>
      </c>
      <c r="Q3524" s="9" t="s">
        <v>13284</v>
      </c>
      <c r="R3524" s="9" t="s">
        <v>13284</v>
      </c>
      <c r="S3524" s="9" t="s">
        <v>13284</v>
      </c>
      <c r="T3524" s="9" t="str">
        <f ca="1">IFERROR(IF(AND(VLOOKUP(A3524, 'Актуальное состояние (из общего'!A:C,3,0) = "", A3524 &lt;&gt; ""), "ПРОВЕРИТЬ", VLOOKUP(A3524, 'Актуальное состояние (из общего'!A:C,3,0)), "")</f>
        <v/>
      </c>
      <c r="U3524" s="9" t="s">
        <v>13284</v>
      </c>
      <c r="V3524" s="9" t="s">
        <v>13284</v>
      </c>
      <c r="W3524" s="12"/>
      <c r="X3524" s="9" t="str">
        <f t="array" ref="X3524">IFERROR(INDEX('Адреса общежитий (скрытый)'!$B$2:$B$9, MATCH(W3524, 'Адреса общежитий (скрытый)'!$A$2:$A$9, 0)), "")</f>
        <v/>
      </c>
      <c r="Y3524" s="18"/>
      <c r="Z3524" s="18"/>
      <c r="AA3524" s="18"/>
      <c r="AB3524" s="18"/>
      <c r="AC3524" s="18"/>
    </row>
    <row r="3525" spans="1:29" ht="32.25" hidden="1" customHeight="1">
      <c r="A3525" s="17"/>
      <c r="B3525" s="9" t="s">
        <v>13284</v>
      </c>
      <c r="C3525" s="9" t="s">
        <v>13284</v>
      </c>
      <c r="D3525" s="9" t="s">
        <v>13284</v>
      </c>
      <c r="E3525" s="9" t="s">
        <v>13284</v>
      </c>
      <c r="F3525" s="9" t="s">
        <v>13284</v>
      </c>
      <c r="G3525" s="9" t="s">
        <v>13284</v>
      </c>
      <c r="H3525" s="9" t="s">
        <v>13284</v>
      </c>
      <c r="I3525" s="9" t="s">
        <v>13284</v>
      </c>
      <c r="J3525" s="9" t="s">
        <v>13284</v>
      </c>
      <c r="K3525" s="9" t="s">
        <v>13284</v>
      </c>
      <c r="L3525" s="9" t="s">
        <v>13284</v>
      </c>
      <c r="M3525" s="9" t="s">
        <v>13284</v>
      </c>
      <c r="N3525" s="9" t="s">
        <v>13284</v>
      </c>
      <c r="O3525" s="9" t="s">
        <v>13284</v>
      </c>
      <c r="P3525" s="9" t="s">
        <v>13284</v>
      </c>
      <c r="Q3525" s="9" t="s">
        <v>13284</v>
      </c>
      <c r="R3525" s="9" t="s">
        <v>13284</v>
      </c>
      <c r="S3525" s="9" t="s">
        <v>13284</v>
      </c>
      <c r="T3525" s="9" t="str">
        <f ca="1">IFERROR(IF(AND(VLOOKUP(A3525, 'Актуальное состояние (из общего'!A:C,3,0) = "", A3525 &lt;&gt; ""), "ПРОВЕРИТЬ", VLOOKUP(A3525, 'Актуальное состояние (из общего'!A:C,3,0)), "")</f>
        <v/>
      </c>
      <c r="U3525" s="9" t="s">
        <v>13284</v>
      </c>
      <c r="V3525" s="9" t="s">
        <v>13284</v>
      </c>
      <c r="W3525" s="12"/>
      <c r="X3525" s="9" t="str">
        <f t="array" ref="X3525">IFERROR(INDEX('Адреса общежитий (скрытый)'!$B$2:$B$9, MATCH(W3525, 'Адреса общежитий (скрытый)'!$A$2:$A$9, 0)), "")</f>
        <v/>
      </c>
      <c r="Y3525" s="18"/>
      <c r="Z3525" s="18"/>
      <c r="AA3525" s="18"/>
      <c r="AB3525" s="18"/>
      <c r="AC3525" s="18"/>
    </row>
    <row r="3526" spans="1:29" ht="32.25" hidden="1" customHeight="1">
      <c r="A3526" s="17"/>
      <c r="B3526" s="9" t="s">
        <v>13284</v>
      </c>
      <c r="C3526" s="9" t="s">
        <v>13284</v>
      </c>
      <c r="D3526" s="9" t="s">
        <v>13284</v>
      </c>
      <c r="E3526" s="9" t="s">
        <v>13284</v>
      </c>
      <c r="F3526" s="9" t="s">
        <v>13284</v>
      </c>
      <c r="G3526" s="9" t="s">
        <v>13284</v>
      </c>
      <c r="H3526" s="9" t="s">
        <v>13284</v>
      </c>
      <c r="I3526" s="9" t="s">
        <v>13284</v>
      </c>
      <c r="J3526" s="9" t="s">
        <v>13284</v>
      </c>
      <c r="K3526" s="9" t="s">
        <v>13284</v>
      </c>
      <c r="L3526" s="9" t="s">
        <v>13284</v>
      </c>
      <c r="M3526" s="9" t="s">
        <v>13284</v>
      </c>
      <c r="N3526" s="9" t="s">
        <v>13284</v>
      </c>
      <c r="O3526" s="9" t="s">
        <v>13284</v>
      </c>
      <c r="P3526" s="9" t="s">
        <v>13284</v>
      </c>
      <c r="Q3526" s="9" t="s">
        <v>13284</v>
      </c>
      <c r="R3526" s="9" t="s">
        <v>13284</v>
      </c>
      <c r="S3526" s="9" t="s">
        <v>13284</v>
      </c>
      <c r="T3526" s="9" t="str">
        <f ca="1">IFERROR(IF(AND(VLOOKUP(A3526, 'Актуальное состояние (из общего'!A:C,3,0) = "", A3526 &lt;&gt; ""), "ПРОВЕРИТЬ", VLOOKUP(A3526, 'Актуальное состояние (из общего'!A:C,3,0)), "")</f>
        <v/>
      </c>
      <c r="U3526" s="9" t="s">
        <v>13284</v>
      </c>
      <c r="V3526" s="9" t="s">
        <v>13284</v>
      </c>
      <c r="W3526" s="12"/>
      <c r="X3526" s="9" t="str">
        <f t="array" ref="X3526">IFERROR(INDEX('Адреса общежитий (скрытый)'!$B$2:$B$9, MATCH(W3526, 'Адреса общежитий (скрытый)'!$A$2:$A$9, 0)), "")</f>
        <v/>
      </c>
      <c r="Y3526" s="18"/>
      <c r="Z3526" s="18"/>
      <c r="AA3526" s="18"/>
      <c r="AB3526" s="18"/>
      <c r="AC3526" s="18"/>
    </row>
    <row r="3527" spans="1:29" ht="32.25" hidden="1" customHeight="1">
      <c r="A3527" s="17"/>
      <c r="B3527" s="9" t="s">
        <v>13284</v>
      </c>
      <c r="C3527" s="9" t="s">
        <v>13284</v>
      </c>
      <c r="D3527" s="9" t="s">
        <v>13284</v>
      </c>
      <c r="E3527" s="9" t="s">
        <v>13284</v>
      </c>
      <c r="F3527" s="9" t="s">
        <v>13284</v>
      </c>
      <c r="G3527" s="9" t="s">
        <v>13284</v>
      </c>
      <c r="H3527" s="9" t="s">
        <v>13284</v>
      </c>
      <c r="I3527" s="9" t="s">
        <v>13284</v>
      </c>
      <c r="J3527" s="9" t="s">
        <v>13284</v>
      </c>
      <c r="K3527" s="9" t="s">
        <v>13284</v>
      </c>
      <c r="L3527" s="9" t="s">
        <v>13284</v>
      </c>
      <c r="M3527" s="9" t="s">
        <v>13284</v>
      </c>
      <c r="N3527" s="9" t="s">
        <v>13284</v>
      </c>
      <c r="O3527" s="9" t="s">
        <v>13284</v>
      </c>
      <c r="P3527" s="9" t="s">
        <v>13284</v>
      </c>
      <c r="Q3527" s="9" t="s">
        <v>13284</v>
      </c>
      <c r="R3527" s="9" t="s">
        <v>13284</v>
      </c>
      <c r="S3527" s="9" t="s">
        <v>13284</v>
      </c>
      <c r="T3527" s="9" t="str">
        <f ca="1">IFERROR(IF(AND(VLOOKUP(A3527, 'Актуальное состояние (из общего'!A:C,3,0) = "", A3527 &lt;&gt; ""), "ПРОВЕРИТЬ", VLOOKUP(A3527, 'Актуальное состояние (из общего'!A:C,3,0)), "")</f>
        <v/>
      </c>
      <c r="U3527" s="9" t="s">
        <v>13284</v>
      </c>
      <c r="V3527" s="9" t="s">
        <v>13284</v>
      </c>
      <c r="W3527" s="12"/>
      <c r="X3527" s="9" t="str">
        <f t="array" ref="X3527">IFERROR(INDEX('Адреса общежитий (скрытый)'!$B$2:$B$9, MATCH(W3527, 'Адреса общежитий (скрытый)'!$A$2:$A$9, 0)), "")</f>
        <v/>
      </c>
      <c r="Y3527" s="18"/>
      <c r="Z3527" s="18"/>
      <c r="AA3527" s="18"/>
      <c r="AB3527" s="18"/>
      <c r="AC3527" s="18"/>
    </row>
    <row r="3528" spans="1:29" ht="32.25" hidden="1" customHeight="1">
      <c r="A3528" s="17"/>
      <c r="B3528" s="9" t="s">
        <v>13284</v>
      </c>
      <c r="C3528" s="9" t="s">
        <v>13284</v>
      </c>
      <c r="D3528" s="9" t="s">
        <v>13284</v>
      </c>
      <c r="E3528" s="9" t="s">
        <v>13284</v>
      </c>
      <c r="F3528" s="9" t="s">
        <v>13284</v>
      </c>
      <c r="G3528" s="9" t="s">
        <v>13284</v>
      </c>
      <c r="H3528" s="9" t="s">
        <v>13284</v>
      </c>
      <c r="I3528" s="9" t="s">
        <v>13284</v>
      </c>
      <c r="J3528" s="9" t="s">
        <v>13284</v>
      </c>
      <c r="K3528" s="9" t="s">
        <v>13284</v>
      </c>
      <c r="L3528" s="9" t="s">
        <v>13284</v>
      </c>
      <c r="M3528" s="9" t="s">
        <v>13284</v>
      </c>
      <c r="N3528" s="9" t="s">
        <v>13284</v>
      </c>
      <c r="O3528" s="9" t="s">
        <v>13284</v>
      </c>
      <c r="P3528" s="9" t="s">
        <v>13284</v>
      </c>
      <c r="Q3528" s="9" t="s">
        <v>13284</v>
      </c>
      <c r="R3528" s="9" t="s">
        <v>13284</v>
      </c>
      <c r="S3528" s="9" t="s">
        <v>13284</v>
      </c>
      <c r="T3528" s="9" t="str">
        <f ca="1">IFERROR(IF(AND(VLOOKUP(A3528, 'Актуальное состояние (из общего'!A:C,3,0) = "", A3528 &lt;&gt; ""), "ПРОВЕРИТЬ", VLOOKUP(A3528, 'Актуальное состояние (из общего'!A:C,3,0)), "")</f>
        <v/>
      </c>
      <c r="U3528" s="9" t="s">
        <v>13284</v>
      </c>
      <c r="V3528" s="9" t="s">
        <v>13284</v>
      </c>
      <c r="W3528" s="12"/>
      <c r="X3528" s="9" t="str">
        <f t="array" ref="X3528">IFERROR(INDEX('Адреса общежитий (скрытый)'!$B$2:$B$9, MATCH(W3528, 'Адреса общежитий (скрытый)'!$A$2:$A$9, 0)), "")</f>
        <v/>
      </c>
      <c r="Y3528" s="18"/>
      <c r="Z3528" s="18"/>
      <c r="AA3528" s="18"/>
      <c r="AB3528" s="18"/>
      <c r="AC3528" s="18"/>
    </row>
    <row r="3529" spans="1:29" ht="32.25" hidden="1" customHeight="1">
      <c r="A3529" s="17"/>
      <c r="B3529" s="9" t="s">
        <v>13284</v>
      </c>
      <c r="C3529" s="9" t="s">
        <v>13284</v>
      </c>
      <c r="D3529" s="9" t="s">
        <v>13284</v>
      </c>
      <c r="E3529" s="9" t="s">
        <v>13284</v>
      </c>
      <c r="F3529" s="9" t="s">
        <v>13284</v>
      </c>
      <c r="G3529" s="9" t="s">
        <v>13284</v>
      </c>
      <c r="H3529" s="9" t="s">
        <v>13284</v>
      </c>
      <c r="I3529" s="9" t="s">
        <v>13284</v>
      </c>
      <c r="J3529" s="9" t="s">
        <v>13284</v>
      </c>
      <c r="K3529" s="9" t="s">
        <v>13284</v>
      </c>
      <c r="L3529" s="9" t="s">
        <v>13284</v>
      </c>
      <c r="M3529" s="9" t="s">
        <v>13284</v>
      </c>
      <c r="N3529" s="9" t="s">
        <v>13284</v>
      </c>
      <c r="O3529" s="9" t="s">
        <v>13284</v>
      </c>
      <c r="P3529" s="9" t="s">
        <v>13284</v>
      </c>
      <c r="Q3529" s="9" t="s">
        <v>13284</v>
      </c>
      <c r="R3529" s="9" t="s">
        <v>13284</v>
      </c>
      <c r="S3529" s="9" t="s">
        <v>13284</v>
      </c>
      <c r="T3529" s="9" t="str">
        <f ca="1">IFERROR(IF(AND(VLOOKUP(A3529, 'Актуальное состояние (из общего'!A:C,3,0) = "", A3529 &lt;&gt; ""), "ПРОВЕРИТЬ", VLOOKUP(A3529, 'Актуальное состояние (из общего'!A:C,3,0)), "")</f>
        <v/>
      </c>
      <c r="U3529" s="9" t="s">
        <v>13284</v>
      </c>
      <c r="V3529" s="9" t="s">
        <v>13284</v>
      </c>
      <c r="W3529" s="12"/>
      <c r="X3529" s="9" t="str">
        <f t="array" ref="X3529">IFERROR(INDEX('Адреса общежитий (скрытый)'!$B$2:$B$9, MATCH(W3529, 'Адреса общежитий (скрытый)'!$A$2:$A$9, 0)), "")</f>
        <v/>
      </c>
      <c r="Y3529" s="18"/>
      <c r="Z3529" s="18"/>
      <c r="AA3529" s="18"/>
      <c r="AB3529" s="18"/>
      <c r="AC3529" s="18"/>
    </row>
    <row r="3530" spans="1:29" ht="32.25" hidden="1" customHeight="1">
      <c r="A3530" s="17"/>
      <c r="B3530" s="9" t="s">
        <v>13284</v>
      </c>
      <c r="C3530" s="9" t="s">
        <v>13284</v>
      </c>
      <c r="D3530" s="9" t="s">
        <v>13284</v>
      </c>
      <c r="E3530" s="9" t="s">
        <v>13284</v>
      </c>
      <c r="F3530" s="9" t="s">
        <v>13284</v>
      </c>
      <c r="G3530" s="9" t="s">
        <v>13284</v>
      </c>
      <c r="H3530" s="9" t="s">
        <v>13284</v>
      </c>
      <c r="I3530" s="9" t="s">
        <v>13284</v>
      </c>
      <c r="J3530" s="9" t="s">
        <v>13284</v>
      </c>
      <c r="K3530" s="9" t="s">
        <v>13284</v>
      </c>
      <c r="L3530" s="9" t="s">
        <v>13284</v>
      </c>
      <c r="M3530" s="9" t="s">
        <v>13284</v>
      </c>
      <c r="N3530" s="9" t="s">
        <v>13284</v>
      </c>
      <c r="O3530" s="9" t="s">
        <v>13284</v>
      </c>
      <c r="P3530" s="9" t="s">
        <v>13284</v>
      </c>
      <c r="Q3530" s="9" t="s">
        <v>13284</v>
      </c>
      <c r="R3530" s="9" t="s">
        <v>13284</v>
      </c>
      <c r="S3530" s="9" t="s">
        <v>13284</v>
      </c>
      <c r="T3530" s="9" t="str">
        <f ca="1">IFERROR(IF(AND(VLOOKUP(A3530, 'Актуальное состояние (из общего'!A:C,3,0) = "", A3530 &lt;&gt; ""), "ПРОВЕРИТЬ", VLOOKUP(A3530, 'Актуальное состояние (из общего'!A:C,3,0)), "")</f>
        <v/>
      </c>
      <c r="U3530" s="9" t="s">
        <v>13284</v>
      </c>
      <c r="V3530" s="9" t="s">
        <v>13284</v>
      </c>
      <c r="W3530" s="12"/>
      <c r="X3530" s="9" t="str">
        <f t="array" ref="X3530">IFERROR(INDEX('Адреса общежитий (скрытый)'!$B$2:$B$9, MATCH(W3530, 'Адреса общежитий (скрытый)'!$A$2:$A$9, 0)), "")</f>
        <v/>
      </c>
      <c r="Y3530" s="18"/>
      <c r="Z3530" s="18"/>
      <c r="AA3530" s="18"/>
      <c r="AB3530" s="18"/>
      <c r="AC3530" s="18"/>
    </row>
    <row r="3531" spans="1:29" ht="32.25" hidden="1" customHeight="1">
      <c r="A3531" s="17"/>
      <c r="B3531" s="9" t="s">
        <v>13284</v>
      </c>
      <c r="C3531" s="9" t="s">
        <v>13284</v>
      </c>
      <c r="D3531" s="9" t="s">
        <v>13284</v>
      </c>
      <c r="E3531" s="9" t="s">
        <v>13284</v>
      </c>
      <c r="F3531" s="9" t="s">
        <v>13284</v>
      </c>
      <c r="G3531" s="9" t="s">
        <v>13284</v>
      </c>
      <c r="H3531" s="9" t="s">
        <v>13284</v>
      </c>
      <c r="I3531" s="9" t="s">
        <v>13284</v>
      </c>
      <c r="J3531" s="9" t="s">
        <v>13284</v>
      </c>
      <c r="K3531" s="9" t="s">
        <v>13284</v>
      </c>
      <c r="L3531" s="9" t="s">
        <v>13284</v>
      </c>
      <c r="M3531" s="9" t="s">
        <v>13284</v>
      </c>
      <c r="N3531" s="9" t="s">
        <v>13284</v>
      </c>
      <c r="O3531" s="9" t="s">
        <v>13284</v>
      </c>
      <c r="P3531" s="9" t="s">
        <v>13284</v>
      </c>
      <c r="Q3531" s="9" t="s">
        <v>13284</v>
      </c>
      <c r="R3531" s="9" t="s">
        <v>13284</v>
      </c>
      <c r="S3531" s="9" t="s">
        <v>13284</v>
      </c>
      <c r="T3531" s="9" t="str">
        <f ca="1">IFERROR(IF(AND(VLOOKUP(A3531, 'Актуальное состояние (из общего'!A:C,3,0) = "", A3531 &lt;&gt; ""), "ПРОВЕРИТЬ", VLOOKUP(A3531, 'Актуальное состояние (из общего'!A:C,3,0)), "")</f>
        <v/>
      </c>
      <c r="U3531" s="9" t="s">
        <v>13284</v>
      </c>
      <c r="V3531" s="9" t="s">
        <v>13284</v>
      </c>
      <c r="W3531" s="12"/>
      <c r="X3531" s="9" t="str">
        <f t="array" ref="X3531">IFERROR(INDEX('Адреса общежитий (скрытый)'!$B$2:$B$9, MATCH(W3531, 'Адреса общежитий (скрытый)'!$A$2:$A$9, 0)), "")</f>
        <v/>
      </c>
      <c r="Y3531" s="18"/>
      <c r="Z3531" s="18"/>
      <c r="AA3531" s="18"/>
      <c r="AB3531" s="18"/>
      <c r="AC3531" s="18"/>
    </row>
    <row r="3532" spans="1:29" ht="32.25" hidden="1" customHeight="1">
      <c r="A3532" s="17"/>
      <c r="B3532" s="9" t="s">
        <v>13284</v>
      </c>
      <c r="C3532" s="9" t="s">
        <v>13284</v>
      </c>
      <c r="D3532" s="9" t="s">
        <v>13284</v>
      </c>
      <c r="E3532" s="9" t="s">
        <v>13284</v>
      </c>
      <c r="F3532" s="9" t="s">
        <v>13284</v>
      </c>
      <c r="G3532" s="9" t="s">
        <v>13284</v>
      </c>
      <c r="H3532" s="9" t="s">
        <v>13284</v>
      </c>
      <c r="I3532" s="9" t="s">
        <v>13284</v>
      </c>
      <c r="J3532" s="9" t="s">
        <v>13284</v>
      </c>
      <c r="K3532" s="9" t="s">
        <v>13284</v>
      </c>
      <c r="L3532" s="9" t="s">
        <v>13284</v>
      </c>
      <c r="M3532" s="9" t="s">
        <v>13284</v>
      </c>
      <c r="N3532" s="9" t="s">
        <v>13284</v>
      </c>
      <c r="O3532" s="9" t="s">
        <v>13284</v>
      </c>
      <c r="P3532" s="9" t="s">
        <v>13284</v>
      </c>
      <c r="Q3532" s="9" t="s">
        <v>13284</v>
      </c>
      <c r="R3532" s="9" t="s">
        <v>13284</v>
      </c>
      <c r="S3532" s="9" t="s">
        <v>13284</v>
      </c>
      <c r="T3532" s="9" t="str">
        <f ca="1">IFERROR(IF(AND(VLOOKUP(A3532, 'Актуальное состояние (из общего'!A:C,3,0) = "", A3532 &lt;&gt; ""), "ПРОВЕРИТЬ", VLOOKUP(A3532, 'Актуальное состояние (из общего'!A:C,3,0)), "")</f>
        <v/>
      </c>
      <c r="U3532" s="9" t="s">
        <v>13284</v>
      </c>
      <c r="V3532" s="9" t="s">
        <v>13284</v>
      </c>
      <c r="W3532" s="12"/>
      <c r="X3532" s="9" t="str">
        <f t="array" ref="X3532">IFERROR(INDEX('Адреса общежитий (скрытый)'!$B$2:$B$9, MATCH(W3532, 'Адреса общежитий (скрытый)'!$A$2:$A$9, 0)), "")</f>
        <v/>
      </c>
      <c r="Y3532" s="18"/>
      <c r="Z3532" s="18"/>
      <c r="AA3532" s="18"/>
      <c r="AB3532" s="18"/>
      <c r="AC3532" s="18"/>
    </row>
    <row r="3533" spans="1:29" ht="32.25" hidden="1" customHeight="1">
      <c r="A3533" s="17"/>
      <c r="B3533" s="9" t="s">
        <v>13284</v>
      </c>
      <c r="C3533" s="9" t="s">
        <v>13284</v>
      </c>
      <c r="D3533" s="9" t="s">
        <v>13284</v>
      </c>
      <c r="E3533" s="9" t="s">
        <v>13284</v>
      </c>
      <c r="F3533" s="9" t="s">
        <v>13284</v>
      </c>
      <c r="G3533" s="9" t="s">
        <v>13284</v>
      </c>
      <c r="H3533" s="9" t="s">
        <v>13284</v>
      </c>
      <c r="I3533" s="9" t="s">
        <v>13284</v>
      </c>
      <c r="J3533" s="9" t="s">
        <v>13284</v>
      </c>
      <c r="K3533" s="9" t="s">
        <v>13284</v>
      </c>
      <c r="L3533" s="9" t="s">
        <v>13284</v>
      </c>
      <c r="M3533" s="9" t="s">
        <v>13284</v>
      </c>
      <c r="N3533" s="9" t="s">
        <v>13284</v>
      </c>
      <c r="O3533" s="9" t="s">
        <v>13284</v>
      </c>
      <c r="P3533" s="9" t="s">
        <v>13284</v>
      </c>
      <c r="Q3533" s="9" t="s">
        <v>13284</v>
      </c>
      <c r="R3533" s="9" t="s">
        <v>13284</v>
      </c>
      <c r="S3533" s="9" t="s">
        <v>13284</v>
      </c>
      <c r="T3533" s="9" t="str">
        <f ca="1">IFERROR(IF(AND(VLOOKUP(A3533, 'Актуальное состояние (из общего'!A:C,3,0) = "", A3533 &lt;&gt; ""), "ПРОВЕРИТЬ", VLOOKUP(A3533, 'Актуальное состояние (из общего'!A:C,3,0)), "")</f>
        <v/>
      </c>
      <c r="U3533" s="9" t="s">
        <v>13284</v>
      </c>
      <c r="V3533" s="9" t="s">
        <v>13284</v>
      </c>
      <c r="W3533" s="12"/>
      <c r="X3533" s="9" t="str">
        <f t="array" ref="X3533">IFERROR(INDEX('Адреса общежитий (скрытый)'!$B$2:$B$9, MATCH(W3533, 'Адреса общежитий (скрытый)'!$A$2:$A$9, 0)), "")</f>
        <v/>
      </c>
      <c r="Y3533" s="18"/>
      <c r="Z3533" s="18"/>
      <c r="AA3533" s="18"/>
      <c r="AB3533" s="18"/>
      <c r="AC3533" s="18"/>
    </row>
    <row r="3534" spans="1:29" ht="32.25" hidden="1" customHeight="1">
      <c r="A3534" s="17"/>
      <c r="B3534" s="9" t="s">
        <v>13284</v>
      </c>
      <c r="C3534" s="9" t="s">
        <v>13284</v>
      </c>
      <c r="D3534" s="9" t="s">
        <v>13284</v>
      </c>
      <c r="E3534" s="9" t="s">
        <v>13284</v>
      </c>
      <c r="F3534" s="9" t="s">
        <v>13284</v>
      </c>
      <c r="G3534" s="9" t="s">
        <v>13284</v>
      </c>
      <c r="H3534" s="9" t="s">
        <v>13284</v>
      </c>
      <c r="I3534" s="9" t="s">
        <v>13284</v>
      </c>
      <c r="J3534" s="9" t="s">
        <v>13284</v>
      </c>
      <c r="K3534" s="9" t="s">
        <v>13284</v>
      </c>
      <c r="L3534" s="9" t="s">
        <v>13284</v>
      </c>
      <c r="M3534" s="9" t="s">
        <v>13284</v>
      </c>
      <c r="N3534" s="9" t="s">
        <v>13284</v>
      </c>
      <c r="O3534" s="9" t="s">
        <v>13284</v>
      </c>
      <c r="P3534" s="9" t="s">
        <v>13284</v>
      </c>
      <c r="Q3534" s="9" t="s">
        <v>13284</v>
      </c>
      <c r="R3534" s="9" t="s">
        <v>13284</v>
      </c>
      <c r="S3534" s="9" t="s">
        <v>13284</v>
      </c>
      <c r="T3534" s="9" t="str">
        <f ca="1">IFERROR(IF(AND(VLOOKUP(A3534, 'Актуальное состояние (из общего'!A:C,3,0) = "", A3534 &lt;&gt; ""), "ПРОВЕРИТЬ", VLOOKUP(A3534, 'Актуальное состояние (из общего'!A:C,3,0)), "")</f>
        <v/>
      </c>
      <c r="U3534" s="9" t="s">
        <v>13284</v>
      </c>
      <c r="V3534" s="9" t="s">
        <v>13284</v>
      </c>
      <c r="W3534" s="12"/>
      <c r="X3534" s="9" t="str">
        <f t="array" ref="X3534">IFERROR(INDEX('Адреса общежитий (скрытый)'!$B$2:$B$9, MATCH(W3534, 'Адреса общежитий (скрытый)'!$A$2:$A$9, 0)), "")</f>
        <v/>
      </c>
      <c r="Y3534" s="18"/>
      <c r="Z3534" s="18"/>
      <c r="AA3534" s="18"/>
      <c r="AB3534" s="18"/>
      <c r="AC3534" s="18"/>
    </row>
    <row r="3535" spans="1:29" ht="32.25" hidden="1" customHeight="1">
      <c r="A3535" s="17"/>
      <c r="B3535" s="9" t="s">
        <v>13284</v>
      </c>
      <c r="C3535" s="9" t="s">
        <v>13284</v>
      </c>
      <c r="D3535" s="9" t="s">
        <v>13284</v>
      </c>
      <c r="E3535" s="9" t="s">
        <v>13284</v>
      </c>
      <c r="F3535" s="9" t="s">
        <v>13284</v>
      </c>
      <c r="G3535" s="9" t="s">
        <v>13284</v>
      </c>
      <c r="H3535" s="9" t="s">
        <v>13284</v>
      </c>
      <c r="I3535" s="9" t="s">
        <v>13284</v>
      </c>
      <c r="J3535" s="9" t="s">
        <v>13284</v>
      </c>
      <c r="K3535" s="9" t="s">
        <v>13284</v>
      </c>
      <c r="L3535" s="9" t="s">
        <v>13284</v>
      </c>
      <c r="M3535" s="9" t="s">
        <v>13284</v>
      </c>
      <c r="N3535" s="9" t="s">
        <v>13284</v>
      </c>
      <c r="O3535" s="9" t="s">
        <v>13284</v>
      </c>
      <c r="P3535" s="9" t="s">
        <v>13284</v>
      </c>
      <c r="Q3535" s="9" t="s">
        <v>13284</v>
      </c>
      <c r="R3535" s="9" t="s">
        <v>13284</v>
      </c>
      <c r="S3535" s="9" t="s">
        <v>13284</v>
      </c>
      <c r="T3535" s="9" t="str">
        <f ca="1">IFERROR(IF(AND(VLOOKUP(A3535, 'Актуальное состояние (из общего'!A:C,3,0) = "", A3535 &lt;&gt; ""), "ПРОВЕРИТЬ", VLOOKUP(A3535, 'Актуальное состояние (из общего'!A:C,3,0)), "")</f>
        <v/>
      </c>
      <c r="U3535" s="9" t="s">
        <v>13284</v>
      </c>
      <c r="V3535" s="9" t="s">
        <v>13284</v>
      </c>
      <c r="W3535" s="12"/>
      <c r="X3535" s="9" t="str">
        <f t="array" ref="X3535">IFERROR(INDEX('Адреса общежитий (скрытый)'!$B$2:$B$9, MATCH(W3535, 'Адреса общежитий (скрытый)'!$A$2:$A$9, 0)), "")</f>
        <v/>
      </c>
      <c r="Y3535" s="18"/>
      <c r="Z3535" s="18"/>
      <c r="AA3535" s="18"/>
      <c r="AB3535" s="18"/>
      <c r="AC3535" s="18"/>
    </row>
    <row r="3536" spans="1:29" ht="32.25" hidden="1" customHeight="1">
      <c r="A3536" s="17"/>
      <c r="B3536" s="9" t="s">
        <v>13284</v>
      </c>
      <c r="C3536" s="9" t="s">
        <v>13284</v>
      </c>
      <c r="D3536" s="9" t="s">
        <v>13284</v>
      </c>
      <c r="E3536" s="9" t="s">
        <v>13284</v>
      </c>
      <c r="F3536" s="9" t="s">
        <v>13284</v>
      </c>
      <c r="G3536" s="9" t="s">
        <v>13284</v>
      </c>
      <c r="H3536" s="9" t="s">
        <v>13284</v>
      </c>
      <c r="I3536" s="9" t="s">
        <v>13284</v>
      </c>
      <c r="J3536" s="9" t="s">
        <v>13284</v>
      </c>
      <c r="K3536" s="9" t="s">
        <v>13284</v>
      </c>
      <c r="L3536" s="9" t="s">
        <v>13284</v>
      </c>
      <c r="M3536" s="9" t="s">
        <v>13284</v>
      </c>
      <c r="N3536" s="9" t="s">
        <v>13284</v>
      </c>
      <c r="O3536" s="9" t="s">
        <v>13284</v>
      </c>
      <c r="P3536" s="9" t="s">
        <v>13284</v>
      </c>
      <c r="Q3536" s="9" t="s">
        <v>13284</v>
      </c>
      <c r="R3536" s="9" t="s">
        <v>13284</v>
      </c>
      <c r="S3536" s="9" t="s">
        <v>13284</v>
      </c>
      <c r="T3536" s="9" t="str">
        <f ca="1">IFERROR(IF(AND(VLOOKUP(A3536, 'Актуальное состояние (из общего'!A:C,3,0) = "", A3536 &lt;&gt; ""), "ПРОВЕРИТЬ", VLOOKUP(A3536, 'Актуальное состояние (из общего'!A:C,3,0)), "")</f>
        <v/>
      </c>
      <c r="U3536" s="9" t="s">
        <v>13284</v>
      </c>
      <c r="V3536" s="9" t="s">
        <v>13284</v>
      </c>
      <c r="W3536" s="12"/>
      <c r="X3536" s="9" t="str">
        <f t="array" ref="X3536">IFERROR(INDEX('Адреса общежитий (скрытый)'!$B$2:$B$9, MATCH(W3536, 'Адреса общежитий (скрытый)'!$A$2:$A$9, 0)), "")</f>
        <v/>
      </c>
      <c r="Y3536" s="18"/>
      <c r="Z3536" s="18"/>
      <c r="AA3536" s="18"/>
      <c r="AB3536" s="18"/>
      <c r="AC3536" s="18"/>
    </row>
    <row r="3537" spans="1:29" ht="32.25" hidden="1" customHeight="1">
      <c r="A3537" s="17"/>
      <c r="B3537" s="9" t="s">
        <v>13284</v>
      </c>
      <c r="C3537" s="9" t="s">
        <v>13284</v>
      </c>
      <c r="D3537" s="9" t="s">
        <v>13284</v>
      </c>
      <c r="E3537" s="9" t="s">
        <v>13284</v>
      </c>
      <c r="F3537" s="9" t="s">
        <v>13284</v>
      </c>
      <c r="G3537" s="9" t="s">
        <v>13284</v>
      </c>
      <c r="H3537" s="9" t="s">
        <v>13284</v>
      </c>
      <c r="I3537" s="9" t="s">
        <v>13284</v>
      </c>
      <c r="J3537" s="9" t="s">
        <v>13284</v>
      </c>
      <c r="K3537" s="9" t="s">
        <v>13284</v>
      </c>
      <c r="L3537" s="9" t="s">
        <v>13284</v>
      </c>
      <c r="M3537" s="9" t="s">
        <v>13284</v>
      </c>
      <c r="N3537" s="9" t="s">
        <v>13284</v>
      </c>
      <c r="O3537" s="9" t="s">
        <v>13284</v>
      </c>
      <c r="P3537" s="9" t="s">
        <v>13284</v>
      </c>
      <c r="Q3537" s="9" t="s">
        <v>13284</v>
      </c>
      <c r="R3537" s="9" t="s">
        <v>13284</v>
      </c>
      <c r="S3537" s="9" t="s">
        <v>13284</v>
      </c>
      <c r="T3537" s="9" t="str">
        <f ca="1">IFERROR(IF(AND(VLOOKUP(A3537, 'Актуальное состояние (из общего'!A:C,3,0) = "", A3537 &lt;&gt; ""), "ПРОВЕРИТЬ", VLOOKUP(A3537, 'Актуальное состояние (из общего'!A:C,3,0)), "")</f>
        <v/>
      </c>
      <c r="U3537" s="9" t="s">
        <v>13284</v>
      </c>
      <c r="V3537" s="9" t="s">
        <v>13284</v>
      </c>
      <c r="W3537" s="12"/>
      <c r="X3537" s="9" t="str">
        <f t="array" ref="X3537">IFERROR(INDEX('Адреса общежитий (скрытый)'!$B$2:$B$9, MATCH(W3537, 'Адреса общежитий (скрытый)'!$A$2:$A$9, 0)), "")</f>
        <v/>
      </c>
      <c r="Y3537" s="18"/>
      <c r="Z3537" s="18"/>
      <c r="AA3537" s="18"/>
      <c r="AB3537" s="18"/>
      <c r="AC3537" s="18"/>
    </row>
    <row r="3538" spans="1:29" ht="32.25" hidden="1" customHeight="1">
      <c r="A3538" s="17"/>
      <c r="B3538" s="9" t="s">
        <v>13284</v>
      </c>
      <c r="C3538" s="9" t="s">
        <v>13284</v>
      </c>
      <c r="D3538" s="9" t="s">
        <v>13284</v>
      </c>
      <c r="E3538" s="9" t="s">
        <v>13284</v>
      </c>
      <c r="F3538" s="9" t="s">
        <v>13284</v>
      </c>
      <c r="G3538" s="9" t="s">
        <v>13284</v>
      </c>
      <c r="H3538" s="9" t="s">
        <v>13284</v>
      </c>
      <c r="I3538" s="9" t="s">
        <v>13284</v>
      </c>
      <c r="J3538" s="9" t="s">
        <v>13284</v>
      </c>
      <c r="K3538" s="9" t="s">
        <v>13284</v>
      </c>
      <c r="L3538" s="9" t="s">
        <v>13284</v>
      </c>
      <c r="M3538" s="9" t="s">
        <v>13284</v>
      </c>
      <c r="N3538" s="9" t="s">
        <v>13284</v>
      </c>
      <c r="O3538" s="9" t="s">
        <v>13284</v>
      </c>
      <c r="P3538" s="9" t="s">
        <v>13284</v>
      </c>
      <c r="Q3538" s="9" t="s">
        <v>13284</v>
      </c>
      <c r="R3538" s="9" t="s">
        <v>13284</v>
      </c>
      <c r="S3538" s="9" t="s">
        <v>13284</v>
      </c>
      <c r="T3538" s="9" t="str">
        <f ca="1">IFERROR(IF(AND(VLOOKUP(A3538, 'Актуальное состояние (из общего'!A:C,3,0) = "", A3538 &lt;&gt; ""), "ПРОВЕРИТЬ", VLOOKUP(A3538, 'Актуальное состояние (из общего'!A:C,3,0)), "")</f>
        <v/>
      </c>
      <c r="U3538" s="9" t="s">
        <v>13284</v>
      </c>
      <c r="V3538" s="9" t="s">
        <v>13284</v>
      </c>
      <c r="W3538" s="12"/>
      <c r="X3538" s="9" t="str">
        <f t="array" ref="X3538">IFERROR(INDEX('Адреса общежитий (скрытый)'!$B$2:$B$9, MATCH(W3538, 'Адреса общежитий (скрытый)'!$A$2:$A$9, 0)), "")</f>
        <v/>
      </c>
      <c r="Y3538" s="18"/>
      <c r="Z3538" s="18"/>
      <c r="AA3538" s="18"/>
      <c r="AB3538" s="18"/>
      <c r="AC3538" s="18"/>
    </row>
    <row r="3539" spans="1:29" ht="32.25" hidden="1" customHeight="1">
      <c r="A3539" s="17"/>
      <c r="B3539" s="9" t="s">
        <v>13284</v>
      </c>
      <c r="C3539" s="9" t="s">
        <v>13284</v>
      </c>
      <c r="D3539" s="9" t="s">
        <v>13284</v>
      </c>
      <c r="E3539" s="9" t="s">
        <v>13284</v>
      </c>
      <c r="F3539" s="9" t="s">
        <v>13284</v>
      </c>
      <c r="G3539" s="9" t="s">
        <v>13284</v>
      </c>
      <c r="H3539" s="9" t="s">
        <v>13284</v>
      </c>
      <c r="I3539" s="9" t="s">
        <v>13284</v>
      </c>
      <c r="J3539" s="9" t="s">
        <v>13284</v>
      </c>
      <c r="K3539" s="9" t="s">
        <v>13284</v>
      </c>
      <c r="L3539" s="9" t="s">
        <v>13284</v>
      </c>
      <c r="M3539" s="9" t="s">
        <v>13284</v>
      </c>
      <c r="N3539" s="9" t="s">
        <v>13284</v>
      </c>
      <c r="O3539" s="9" t="s">
        <v>13284</v>
      </c>
      <c r="P3539" s="9" t="s">
        <v>13284</v>
      </c>
      <c r="Q3539" s="9" t="s">
        <v>13284</v>
      </c>
      <c r="R3539" s="9" t="s">
        <v>13284</v>
      </c>
      <c r="S3539" s="9" t="s">
        <v>13284</v>
      </c>
      <c r="T3539" s="9" t="str">
        <f ca="1">IFERROR(IF(AND(VLOOKUP(A3539, 'Актуальное состояние (из общего'!A:C,3,0) = "", A3539 &lt;&gt; ""), "ПРОВЕРИТЬ", VLOOKUP(A3539, 'Актуальное состояние (из общего'!A:C,3,0)), "")</f>
        <v/>
      </c>
      <c r="U3539" s="9" t="s">
        <v>13284</v>
      </c>
      <c r="V3539" s="9" t="s">
        <v>13284</v>
      </c>
      <c r="W3539" s="12"/>
      <c r="X3539" s="9" t="str">
        <f t="array" ref="X3539">IFERROR(INDEX('Адреса общежитий (скрытый)'!$B$2:$B$9, MATCH(W3539, 'Адреса общежитий (скрытый)'!$A$2:$A$9, 0)), "")</f>
        <v/>
      </c>
      <c r="Y3539" s="18"/>
      <c r="Z3539" s="18"/>
      <c r="AA3539" s="18"/>
      <c r="AB3539" s="18"/>
      <c r="AC3539" s="18"/>
    </row>
    <row r="3540" spans="1:29" ht="32.25" hidden="1" customHeight="1">
      <c r="A3540" s="17"/>
      <c r="B3540" s="9" t="s">
        <v>13284</v>
      </c>
      <c r="C3540" s="9" t="s">
        <v>13284</v>
      </c>
      <c r="D3540" s="9" t="s">
        <v>13284</v>
      </c>
      <c r="E3540" s="9" t="s">
        <v>13284</v>
      </c>
      <c r="F3540" s="9" t="s">
        <v>13284</v>
      </c>
      <c r="G3540" s="9" t="s">
        <v>13284</v>
      </c>
      <c r="H3540" s="9" t="s">
        <v>13284</v>
      </c>
      <c r="I3540" s="9" t="s">
        <v>13284</v>
      </c>
      <c r="J3540" s="9" t="s">
        <v>13284</v>
      </c>
      <c r="K3540" s="9" t="s">
        <v>13284</v>
      </c>
      <c r="L3540" s="9" t="s">
        <v>13284</v>
      </c>
      <c r="M3540" s="9" t="s">
        <v>13284</v>
      </c>
      <c r="N3540" s="9" t="s">
        <v>13284</v>
      </c>
      <c r="O3540" s="9" t="s">
        <v>13284</v>
      </c>
      <c r="P3540" s="9" t="s">
        <v>13284</v>
      </c>
      <c r="Q3540" s="9" t="s">
        <v>13284</v>
      </c>
      <c r="R3540" s="9" t="s">
        <v>13284</v>
      </c>
      <c r="S3540" s="9" t="s">
        <v>13284</v>
      </c>
      <c r="T3540" s="9" t="str">
        <f ca="1">IFERROR(IF(AND(VLOOKUP(A3540, 'Актуальное состояние (из общего'!A:C,3,0) = "", A3540 &lt;&gt; ""), "ПРОВЕРИТЬ", VLOOKUP(A3540, 'Актуальное состояние (из общего'!A:C,3,0)), "")</f>
        <v/>
      </c>
      <c r="U3540" s="9" t="s">
        <v>13284</v>
      </c>
      <c r="V3540" s="9" t="s">
        <v>13284</v>
      </c>
      <c r="W3540" s="12"/>
      <c r="X3540" s="9" t="str">
        <f t="array" ref="X3540">IFERROR(INDEX('Адреса общежитий (скрытый)'!$B$2:$B$9, MATCH(W3540, 'Адреса общежитий (скрытый)'!$A$2:$A$9, 0)), "")</f>
        <v/>
      </c>
      <c r="Y3540" s="18"/>
      <c r="Z3540" s="18"/>
      <c r="AA3540" s="18"/>
      <c r="AB3540" s="18"/>
      <c r="AC3540" s="18"/>
    </row>
    <row r="3541" spans="1:29" ht="32.25" hidden="1" customHeight="1">
      <c r="A3541" s="17"/>
      <c r="B3541" s="9" t="s">
        <v>13284</v>
      </c>
      <c r="C3541" s="9" t="s">
        <v>13284</v>
      </c>
      <c r="D3541" s="9" t="s">
        <v>13284</v>
      </c>
      <c r="E3541" s="9" t="s">
        <v>13284</v>
      </c>
      <c r="F3541" s="9" t="s">
        <v>13284</v>
      </c>
      <c r="G3541" s="9" t="s">
        <v>13284</v>
      </c>
      <c r="H3541" s="9" t="s">
        <v>13284</v>
      </c>
      <c r="I3541" s="9" t="s">
        <v>13284</v>
      </c>
      <c r="J3541" s="9" t="s">
        <v>13284</v>
      </c>
      <c r="K3541" s="9" t="s">
        <v>13284</v>
      </c>
      <c r="L3541" s="9" t="s">
        <v>13284</v>
      </c>
      <c r="M3541" s="9" t="s">
        <v>13284</v>
      </c>
      <c r="N3541" s="9" t="s">
        <v>13284</v>
      </c>
      <c r="O3541" s="9" t="s">
        <v>13284</v>
      </c>
      <c r="P3541" s="9" t="s">
        <v>13284</v>
      </c>
      <c r="Q3541" s="9" t="s">
        <v>13284</v>
      </c>
      <c r="R3541" s="9" t="s">
        <v>13284</v>
      </c>
      <c r="S3541" s="9" t="s">
        <v>13284</v>
      </c>
      <c r="T3541" s="9" t="str">
        <f ca="1">IFERROR(IF(AND(VLOOKUP(A3541, 'Актуальное состояние (из общего'!A:C,3,0) = "", A3541 &lt;&gt; ""), "ПРОВЕРИТЬ", VLOOKUP(A3541, 'Актуальное состояние (из общего'!A:C,3,0)), "")</f>
        <v/>
      </c>
      <c r="U3541" s="9" t="s">
        <v>13284</v>
      </c>
      <c r="V3541" s="9" t="s">
        <v>13284</v>
      </c>
      <c r="W3541" s="12"/>
      <c r="X3541" s="9" t="str">
        <f t="array" ref="X3541">IFERROR(INDEX('Адреса общежитий (скрытый)'!$B$2:$B$9, MATCH(W3541, 'Адреса общежитий (скрытый)'!$A$2:$A$9, 0)), "")</f>
        <v/>
      </c>
      <c r="Y3541" s="18"/>
      <c r="Z3541" s="18"/>
      <c r="AA3541" s="18"/>
      <c r="AB3541" s="18"/>
      <c r="AC3541" s="18"/>
    </row>
    <row r="3542" spans="1:29" ht="32.25" hidden="1" customHeight="1">
      <c r="A3542" s="17"/>
      <c r="B3542" s="9" t="s">
        <v>13284</v>
      </c>
      <c r="C3542" s="9" t="s">
        <v>13284</v>
      </c>
      <c r="D3542" s="9" t="s">
        <v>13284</v>
      </c>
      <c r="E3542" s="9" t="s">
        <v>13284</v>
      </c>
      <c r="F3542" s="9" t="s">
        <v>13284</v>
      </c>
      <c r="G3542" s="9" t="s">
        <v>13284</v>
      </c>
      <c r="H3542" s="9" t="s">
        <v>13284</v>
      </c>
      <c r="I3542" s="9" t="s">
        <v>13284</v>
      </c>
      <c r="J3542" s="9" t="s">
        <v>13284</v>
      </c>
      <c r="K3542" s="9" t="s">
        <v>13284</v>
      </c>
      <c r="L3542" s="9" t="s">
        <v>13284</v>
      </c>
      <c r="M3542" s="9" t="s">
        <v>13284</v>
      </c>
      <c r="N3542" s="9" t="s">
        <v>13284</v>
      </c>
      <c r="O3542" s="9" t="s">
        <v>13284</v>
      </c>
      <c r="P3542" s="9" t="s">
        <v>13284</v>
      </c>
      <c r="Q3542" s="9" t="s">
        <v>13284</v>
      </c>
      <c r="R3542" s="9" t="s">
        <v>13284</v>
      </c>
      <c r="S3542" s="9" t="s">
        <v>13284</v>
      </c>
      <c r="T3542" s="9" t="str">
        <f ca="1">IFERROR(IF(AND(VLOOKUP(A3542, 'Актуальное состояние (из общего'!A:C,3,0) = "", A3542 &lt;&gt; ""), "ПРОВЕРИТЬ", VLOOKUP(A3542, 'Актуальное состояние (из общего'!A:C,3,0)), "")</f>
        <v/>
      </c>
      <c r="U3542" s="9" t="s">
        <v>13284</v>
      </c>
      <c r="V3542" s="9" t="s">
        <v>13284</v>
      </c>
      <c r="W3542" s="12"/>
      <c r="X3542" s="9" t="str">
        <f t="array" ref="X3542">IFERROR(INDEX('Адреса общежитий (скрытый)'!$B$2:$B$9, MATCH(W3542, 'Адреса общежитий (скрытый)'!$A$2:$A$9, 0)), "")</f>
        <v/>
      </c>
      <c r="Y3542" s="18"/>
      <c r="Z3542" s="18"/>
      <c r="AA3542" s="18"/>
      <c r="AB3542" s="18"/>
      <c r="AC3542" s="18"/>
    </row>
    <row r="3543" spans="1:29" ht="32.25" hidden="1" customHeight="1">
      <c r="A3543" s="17"/>
      <c r="B3543" s="9" t="s">
        <v>13284</v>
      </c>
      <c r="C3543" s="9" t="s">
        <v>13284</v>
      </c>
      <c r="D3543" s="9" t="s">
        <v>13284</v>
      </c>
      <c r="E3543" s="9" t="s">
        <v>13284</v>
      </c>
      <c r="F3543" s="9" t="s">
        <v>13284</v>
      </c>
      <c r="G3543" s="9" t="s">
        <v>13284</v>
      </c>
      <c r="H3543" s="9" t="s">
        <v>13284</v>
      </c>
      <c r="I3543" s="9" t="s">
        <v>13284</v>
      </c>
      <c r="J3543" s="9" t="s">
        <v>13284</v>
      </c>
      <c r="K3543" s="9" t="s">
        <v>13284</v>
      </c>
      <c r="L3543" s="9" t="s">
        <v>13284</v>
      </c>
      <c r="M3543" s="9" t="s">
        <v>13284</v>
      </c>
      <c r="N3543" s="9" t="s">
        <v>13284</v>
      </c>
      <c r="O3543" s="9" t="s">
        <v>13284</v>
      </c>
      <c r="P3543" s="9" t="s">
        <v>13284</v>
      </c>
      <c r="Q3543" s="9" t="s">
        <v>13284</v>
      </c>
      <c r="R3543" s="9" t="s">
        <v>13284</v>
      </c>
      <c r="S3543" s="9" t="s">
        <v>13284</v>
      </c>
      <c r="T3543" s="9" t="str">
        <f ca="1">IFERROR(IF(AND(VLOOKUP(A3543, 'Актуальное состояние (из общего'!A:C,3,0) = "", A3543 &lt;&gt; ""), "ПРОВЕРИТЬ", VLOOKUP(A3543, 'Актуальное состояние (из общего'!A:C,3,0)), "")</f>
        <v/>
      </c>
      <c r="U3543" s="9" t="s">
        <v>13284</v>
      </c>
      <c r="V3543" s="9" t="s">
        <v>13284</v>
      </c>
      <c r="W3543" s="12"/>
      <c r="X3543" s="9" t="str">
        <f t="array" ref="X3543">IFERROR(INDEX('Адреса общежитий (скрытый)'!$B$2:$B$9, MATCH(W3543, 'Адреса общежитий (скрытый)'!$A$2:$A$9, 0)), "")</f>
        <v/>
      </c>
      <c r="Y3543" s="18"/>
      <c r="Z3543" s="18"/>
      <c r="AA3543" s="18"/>
      <c r="AB3543" s="18"/>
      <c r="AC3543" s="18"/>
    </row>
    <row r="3544" spans="1:29" ht="32.25" hidden="1" customHeight="1">
      <c r="A3544" s="17"/>
      <c r="B3544" s="9" t="s">
        <v>13284</v>
      </c>
      <c r="C3544" s="9" t="s">
        <v>13284</v>
      </c>
      <c r="D3544" s="9" t="s">
        <v>13284</v>
      </c>
      <c r="E3544" s="9" t="s">
        <v>13284</v>
      </c>
      <c r="F3544" s="9" t="s">
        <v>13284</v>
      </c>
      <c r="G3544" s="9" t="s">
        <v>13284</v>
      </c>
      <c r="H3544" s="9" t="s">
        <v>13284</v>
      </c>
      <c r="I3544" s="9" t="s">
        <v>13284</v>
      </c>
      <c r="J3544" s="9" t="s">
        <v>13284</v>
      </c>
      <c r="K3544" s="9" t="s">
        <v>13284</v>
      </c>
      <c r="L3544" s="9" t="s">
        <v>13284</v>
      </c>
      <c r="M3544" s="9" t="s">
        <v>13284</v>
      </c>
      <c r="N3544" s="9" t="s">
        <v>13284</v>
      </c>
      <c r="O3544" s="9" t="s">
        <v>13284</v>
      </c>
      <c r="P3544" s="9" t="s">
        <v>13284</v>
      </c>
      <c r="Q3544" s="9" t="s">
        <v>13284</v>
      </c>
      <c r="R3544" s="9" t="s">
        <v>13284</v>
      </c>
      <c r="S3544" s="9" t="s">
        <v>13284</v>
      </c>
      <c r="T3544" s="9" t="str">
        <f ca="1">IFERROR(IF(AND(VLOOKUP(A3544, 'Актуальное состояние (из общего'!A:C,3,0) = "", A3544 &lt;&gt; ""), "ПРОВЕРИТЬ", VLOOKUP(A3544, 'Актуальное состояние (из общего'!A:C,3,0)), "")</f>
        <v/>
      </c>
      <c r="U3544" s="9" t="s">
        <v>13284</v>
      </c>
      <c r="V3544" s="9" t="s">
        <v>13284</v>
      </c>
      <c r="W3544" s="12"/>
      <c r="X3544" s="9" t="str">
        <f t="array" ref="X3544">IFERROR(INDEX('Адреса общежитий (скрытый)'!$B$2:$B$9, MATCH(W3544, 'Адреса общежитий (скрытый)'!$A$2:$A$9, 0)), "")</f>
        <v/>
      </c>
      <c r="Y3544" s="18"/>
      <c r="Z3544" s="18"/>
      <c r="AA3544" s="18"/>
      <c r="AB3544" s="18"/>
      <c r="AC3544" s="18"/>
    </row>
    <row r="3545" spans="1:29" ht="32.25" hidden="1" customHeight="1">
      <c r="A3545" s="17"/>
      <c r="B3545" s="9" t="s">
        <v>13284</v>
      </c>
      <c r="C3545" s="9" t="s">
        <v>13284</v>
      </c>
      <c r="D3545" s="9" t="s">
        <v>13284</v>
      </c>
      <c r="E3545" s="9" t="s">
        <v>13284</v>
      </c>
      <c r="F3545" s="9" t="s">
        <v>13284</v>
      </c>
      <c r="G3545" s="9" t="s">
        <v>13284</v>
      </c>
      <c r="H3545" s="9" t="s">
        <v>13284</v>
      </c>
      <c r="I3545" s="9" t="s">
        <v>13284</v>
      </c>
      <c r="J3545" s="9" t="s">
        <v>13284</v>
      </c>
      <c r="K3545" s="9" t="s">
        <v>13284</v>
      </c>
      <c r="L3545" s="9" t="s">
        <v>13284</v>
      </c>
      <c r="M3545" s="9" t="s">
        <v>13284</v>
      </c>
      <c r="N3545" s="9" t="s">
        <v>13284</v>
      </c>
      <c r="O3545" s="9" t="s">
        <v>13284</v>
      </c>
      <c r="P3545" s="9" t="s">
        <v>13284</v>
      </c>
      <c r="Q3545" s="9" t="s">
        <v>13284</v>
      </c>
      <c r="R3545" s="9" t="s">
        <v>13284</v>
      </c>
      <c r="S3545" s="9" t="s">
        <v>13284</v>
      </c>
      <c r="T3545" s="9" t="str">
        <f ca="1">IFERROR(IF(AND(VLOOKUP(A3545, 'Актуальное состояние (из общего'!A:C,3,0) = "", A3545 &lt;&gt; ""), "ПРОВЕРИТЬ", VLOOKUP(A3545, 'Актуальное состояние (из общего'!A:C,3,0)), "")</f>
        <v/>
      </c>
      <c r="U3545" s="9" t="s">
        <v>13284</v>
      </c>
      <c r="V3545" s="9" t="s">
        <v>13284</v>
      </c>
      <c r="W3545" s="12"/>
      <c r="X3545" s="9" t="str">
        <f t="array" ref="X3545">IFERROR(INDEX('Адреса общежитий (скрытый)'!$B$2:$B$9, MATCH(W3545, 'Адреса общежитий (скрытый)'!$A$2:$A$9, 0)), "")</f>
        <v/>
      </c>
      <c r="Y3545" s="18"/>
      <c r="Z3545" s="18"/>
      <c r="AA3545" s="18"/>
      <c r="AB3545" s="18"/>
      <c r="AC3545" s="18"/>
    </row>
    <row r="3546" spans="1:29" ht="32.25" hidden="1" customHeight="1">
      <c r="A3546" s="17"/>
      <c r="B3546" s="9" t="s">
        <v>13284</v>
      </c>
      <c r="C3546" s="9" t="s">
        <v>13284</v>
      </c>
      <c r="D3546" s="9" t="s">
        <v>13284</v>
      </c>
      <c r="E3546" s="9" t="s">
        <v>13284</v>
      </c>
      <c r="F3546" s="9" t="s">
        <v>13284</v>
      </c>
      <c r="G3546" s="9" t="s">
        <v>13284</v>
      </c>
      <c r="H3546" s="9" t="s">
        <v>13284</v>
      </c>
      <c r="I3546" s="9" t="s">
        <v>13284</v>
      </c>
      <c r="J3546" s="9" t="s">
        <v>13284</v>
      </c>
      <c r="K3546" s="9" t="s">
        <v>13284</v>
      </c>
      <c r="L3546" s="9" t="s">
        <v>13284</v>
      </c>
      <c r="M3546" s="9" t="s">
        <v>13284</v>
      </c>
      <c r="N3546" s="9" t="s">
        <v>13284</v>
      </c>
      <c r="O3546" s="9" t="s">
        <v>13284</v>
      </c>
      <c r="P3546" s="9" t="s">
        <v>13284</v>
      </c>
      <c r="Q3546" s="9" t="s">
        <v>13284</v>
      </c>
      <c r="R3546" s="9" t="s">
        <v>13284</v>
      </c>
      <c r="S3546" s="9" t="s">
        <v>13284</v>
      </c>
      <c r="T3546" s="9" t="str">
        <f ca="1">IFERROR(IF(AND(VLOOKUP(A3546, 'Актуальное состояние (из общего'!A:C,3,0) = "", A3546 &lt;&gt; ""), "ПРОВЕРИТЬ", VLOOKUP(A3546, 'Актуальное состояние (из общего'!A:C,3,0)), "")</f>
        <v/>
      </c>
      <c r="U3546" s="9" t="s">
        <v>13284</v>
      </c>
      <c r="V3546" s="9" t="s">
        <v>13284</v>
      </c>
      <c r="W3546" s="12"/>
      <c r="X3546" s="9" t="str">
        <f t="array" ref="X3546">IFERROR(INDEX('Адреса общежитий (скрытый)'!$B$2:$B$9, MATCH(W3546, 'Адреса общежитий (скрытый)'!$A$2:$A$9, 0)), "")</f>
        <v/>
      </c>
      <c r="Y3546" s="18"/>
      <c r="Z3546" s="18"/>
      <c r="AA3546" s="18"/>
      <c r="AB3546" s="18"/>
      <c r="AC3546" s="18"/>
    </row>
    <row r="3547" spans="1:29" ht="32.25" hidden="1" customHeight="1">
      <c r="A3547" s="17"/>
      <c r="B3547" s="9" t="s">
        <v>13284</v>
      </c>
      <c r="C3547" s="9" t="s">
        <v>13284</v>
      </c>
      <c r="D3547" s="9" t="s">
        <v>13284</v>
      </c>
      <c r="E3547" s="9" t="s">
        <v>13284</v>
      </c>
      <c r="F3547" s="9" t="s">
        <v>13284</v>
      </c>
      <c r="G3547" s="9" t="s">
        <v>13284</v>
      </c>
      <c r="H3547" s="9" t="s">
        <v>13284</v>
      </c>
      <c r="I3547" s="9" t="s">
        <v>13284</v>
      </c>
      <c r="J3547" s="9" t="s">
        <v>13284</v>
      </c>
      <c r="K3547" s="9" t="s">
        <v>13284</v>
      </c>
      <c r="L3547" s="9" t="s">
        <v>13284</v>
      </c>
      <c r="M3547" s="9" t="s">
        <v>13284</v>
      </c>
      <c r="N3547" s="9" t="s">
        <v>13284</v>
      </c>
      <c r="O3547" s="9" t="s">
        <v>13284</v>
      </c>
      <c r="P3547" s="9" t="s">
        <v>13284</v>
      </c>
      <c r="Q3547" s="9" t="s">
        <v>13284</v>
      </c>
      <c r="R3547" s="9" t="s">
        <v>13284</v>
      </c>
      <c r="S3547" s="9" t="s">
        <v>13284</v>
      </c>
      <c r="T3547" s="9" t="str">
        <f ca="1">IFERROR(IF(AND(VLOOKUP(A3547, 'Актуальное состояние (из общего'!A:C,3,0) = "", A3547 &lt;&gt; ""), "ПРОВЕРИТЬ", VLOOKUP(A3547, 'Актуальное состояние (из общего'!A:C,3,0)), "")</f>
        <v/>
      </c>
      <c r="U3547" s="9" t="s">
        <v>13284</v>
      </c>
      <c r="V3547" s="9" t="s">
        <v>13284</v>
      </c>
      <c r="W3547" s="12"/>
      <c r="X3547" s="9" t="str">
        <f t="array" ref="X3547">IFERROR(INDEX('Адреса общежитий (скрытый)'!$B$2:$B$9, MATCH(W3547, 'Адреса общежитий (скрытый)'!$A$2:$A$9, 0)), "")</f>
        <v/>
      </c>
      <c r="Y3547" s="18"/>
      <c r="Z3547" s="18"/>
      <c r="AA3547" s="18"/>
      <c r="AB3547" s="18"/>
      <c r="AC3547" s="18"/>
    </row>
    <row r="3548" spans="1:29" ht="32.25" hidden="1" customHeight="1">
      <c r="A3548" s="17"/>
      <c r="B3548" s="9" t="s">
        <v>13284</v>
      </c>
      <c r="C3548" s="9" t="s">
        <v>13284</v>
      </c>
      <c r="D3548" s="9" t="s">
        <v>13284</v>
      </c>
      <c r="E3548" s="9" t="s">
        <v>13284</v>
      </c>
      <c r="F3548" s="9" t="s">
        <v>13284</v>
      </c>
      <c r="G3548" s="9" t="s">
        <v>13284</v>
      </c>
      <c r="H3548" s="9" t="s">
        <v>13284</v>
      </c>
      <c r="I3548" s="9" t="s">
        <v>13284</v>
      </c>
      <c r="J3548" s="9" t="s">
        <v>13284</v>
      </c>
      <c r="K3548" s="9" t="s">
        <v>13284</v>
      </c>
      <c r="L3548" s="9" t="s">
        <v>13284</v>
      </c>
      <c r="M3548" s="9" t="s">
        <v>13284</v>
      </c>
      <c r="N3548" s="9" t="s">
        <v>13284</v>
      </c>
      <c r="O3548" s="9" t="s">
        <v>13284</v>
      </c>
      <c r="P3548" s="9" t="s">
        <v>13284</v>
      </c>
      <c r="Q3548" s="9" t="s">
        <v>13284</v>
      </c>
      <c r="R3548" s="9" t="s">
        <v>13284</v>
      </c>
      <c r="S3548" s="9" t="s">
        <v>13284</v>
      </c>
      <c r="T3548" s="9" t="str">
        <f ca="1">IFERROR(IF(AND(VLOOKUP(A3548, 'Актуальное состояние (из общего'!A:C,3,0) = "", A3548 &lt;&gt; ""), "ПРОВЕРИТЬ", VLOOKUP(A3548, 'Актуальное состояние (из общего'!A:C,3,0)), "")</f>
        <v/>
      </c>
      <c r="U3548" s="9" t="s">
        <v>13284</v>
      </c>
      <c r="V3548" s="9" t="s">
        <v>13284</v>
      </c>
      <c r="W3548" s="12"/>
      <c r="X3548" s="9" t="str">
        <f t="array" ref="X3548">IFERROR(INDEX('Адреса общежитий (скрытый)'!$B$2:$B$9, MATCH(W3548, 'Адреса общежитий (скрытый)'!$A$2:$A$9, 0)), "")</f>
        <v/>
      </c>
      <c r="Y3548" s="18"/>
      <c r="Z3548" s="18"/>
      <c r="AA3548" s="18"/>
      <c r="AB3548" s="18"/>
      <c r="AC3548" s="18"/>
    </row>
    <row r="3549" spans="1:29" ht="32.25" hidden="1" customHeight="1">
      <c r="A3549" s="17"/>
      <c r="B3549" s="9" t="s">
        <v>13284</v>
      </c>
      <c r="C3549" s="9" t="s">
        <v>13284</v>
      </c>
      <c r="D3549" s="9" t="s">
        <v>13284</v>
      </c>
      <c r="E3549" s="9" t="s">
        <v>13284</v>
      </c>
      <c r="F3549" s="9" t="s">
        <v>13284</v>
      </c>
      <c r="G3549" s="9" t="s">
        <v>13284</v>
      </c>
      <c r="H3549" s="9" t="s">
        <v>13284</v>
      </c>
      <c r="I3549" s="9" t="s">
        <v>13284</v>
      </c>
      <c r="J3549" s="9" t="s">
        <v>13284</v>
      </c>
      <c r="K3549" s="9" t="s">
        <v>13284</v>
      </c>
      <c r="L3549" s="9" t="s">
        <v>13284</v>
      </c>
      <c r="M3549" s="9" t="s">
        <v>13284</v>
      </c>
      <c r="N3549" s="9" t="s">
        <v>13284</v>
      </c>
      <c r="O3549" s="9" t="s">
        <v>13284</v>
      </c>
      <c r="P3549" s="9" t="s">
        <v>13284</v>
      </c>
      <c r="Q3549" s="9" t="s">
        <v>13284</v>
      </c>
      <c r="R3549" s="9" t="s">
        <v>13284</v>
      </c>
      <c r="S3549" s="9" t="s">
        <v>13284</v>
      </c>
      <c r="T3549" s="9" t="str">
        <f ca="1">IFERROR(IF(AND(VLOOKUP(A3549, 'Актуальное состояние (из общего'!A:C,3,0) = "", A3549 &lt;&gt; ""), "ПРОВЕРИТЬ", VLOOKUP(A3549, 'Актуальное состояние (из общего'!A:C,3,0)), "")</f>
        <v/>
      </c>
      <c r="U3549" s="9" t="s">
        <v>13284</v>
      </c>
      <c r="V3549" s="9" t="s">
        <v>13284</v>
      </c>
      <c r="W3549" s="12"/>
      <c r="X3549" s="9" t="str">
        <f t="array" ref="X3549">IFERROR(INDEX('Адреса общежитий (скрытый)'!$B$2:$B$9, MATCH(W3549, 'Адреса общежитий (скрытый)'!$A$2:$A$9, 0)), "")</f>
        <v/>
      </c>
      <c r="Y3549" s="18"/>
      <c r="Z3549" s="18"/>
      <c r="AA3549" s="18"/>
      <c r="AB3549" s="18"/>
      <c r="AC3549" s="18"/>
    </row>
    <row r="3550" spans="1:29" ht="32.25" hidden="1" customHeight="1">
      <c r="A3550" s="17"/>
      <c r="B3550" s="9" t="s">
        <v>13284</v>
      </c>
      <c r="C3550" s="9" t="s">
        <v>13284</v>
      </c>
      <c r="D3550" s="9" t="s">
        <v>13284</v>
      </c>
      <c r="E3550" s="9" t="s">
        <v>13284</v>
      </c>
      <c r="F3550" s="9" t="s">
        <v>13284</v>
      </c>
      <c r="G3550" s="9" t="s">
        <v>13284</v>
      </c>
      <c r="H3550" s="9" t="s">
        <v>13284</v>
      </c>
      <c r="I3550" s="9" t="s">
        <v>13284</v>
      </c>
      <c r="J3550" s="9" t="s">
        <v>13284</v>
      </c>
      <c r="K3550" s="9" t="s">
        <v>13284</v>
      </c>
      <c r="L3550" s="9" t="s">
        <v>13284</v>
      </c>
      <c r="M3550" s="9" t="s">
        <v>13284</v>
      </c>
      <c r="N3550" s="9" t="s">
        <v>13284</v>
      </c>
      <c r="O3550" s="9" t="s">
        <v>13284</v>
      </c>
      <c r="P3550" s="9" t="s">
        <v>13284</v>
      </c>
      <c r="Q3550" s="9" t="s">
        <v>13284</v>
      </c>
      <c r="R3550" s="9" t="s">
        <v>13284</v>
      </c>
      <c r="S3550" s="9" t="s">
        <v>13284</v>
      </c>
      <c r="T3550" s="9" t="str">
        <f ca="1">IFERROR(IF(AND(VLOOKUP(A3550, 'Актуальное состояние (из общего'!A:C,3,0) = "", A3550 &lt;&gt; ""), "ПРОВЕРИТЬ", VLOOKUP(A3550, 'Актуальное состояние (из общего'!A:C,3,0)), "")</f>
        <v/>
      </c>
      <c r="U3550" s="9" t="s">
        <v>13284</v>
      </c>
      <c r="V3550" s="9" t="s">
        <v>13284</v>
      </c>
      <c r="W3550" s="12"/>
      <c r="X3550" s="9" t="str">
        <f t="array" ref="X3550">IFERROR(INDEX('Адреса общежитий (скрытый)'!$B$2:$B$9, MATCH(W3550, 'Адреса общежитий (скрытый)'!$A$2:$A$9, 0)), "")</f>
        <v/>
      </c>
      <c r="Y3550" s="18"/>
      <c r="Z3550" s="18"/>
      <c r="AA3550" s="18"/>
      <c r="AB3550" s="18"/>
      <c r="AC3550" s="18"/>
    </row>
    <row r="3551" spans="1:29" ht="32.25" hidden="1" customHeight="1">
      <c r="A3551" s="17"/>
      <c r="B3551" s="9" t="s">
        <v>13284</v>
      </c>
      <c r="C3551" s="9" t="s">
        <v>13284</v>
      </c>
      <c r="D3551" s="9" t="s">
        <v>13284</v>
      </c>
      <c r="E3551" s="9" t="s">
        <v>13284</v>
      </c>
      <c r="F3551" s="9" t="s">
        <v>13284</v>
      </c>
      <c r="G3551" s="9" t="s">
        <v>13284</v>
      </c>
      <c r="H3551" s="9" t="s">
        <v>13284</v>
      </c>
      <c r="I3551" s="9" t="s">
        <v>13284</v>
      </c>
      <c r="J3551" s="9" t="s">
        <v>13284</v>
      </c>
      <c r="K3551" s="9" t="s">
        <v>13284</v>
      </c>
      <c r="L3551" s="9" t="s">
        <v>13284</v>
      </c>
      <c r="M3551" s="9" t="s">
        <v>13284</v>
      </c>
      <c r="N3551" s="9" t="s">
        <v>13284</v>
      </c>
      <c r="O3551" s="9" t="s">
        <v>13284</v>
      </c>
      <c r="P3551" s="9" t="s">
        <v>13284</v>
      </c>
      <c r="Q3551" s="9" t="s">
        <v>13284</v>
      </c>
      <c r="R3551" s="9" t="s">
        <v>13284</v>
      </c>
      <c r="S3551" s="9" t="s">
        <v>13284</v>
      </c>
      <c r="T3551" s="9" t="str">
        <f ca="1">IFERROR(IF(AND(VLOOKUP(A3551, 'Актуальное состояние (из общего'!A:C,3,0) = "", A3551 &lt;&gt; ""), "ПРОВЕРИТЬ", VLOOKUP(A3551, 'Актуальное состояние (из общего'!A:C,3,0)), "")</f>
        <v/>
      </c>
      <c r="U3551" s="9" t="s">
        <v>13284</v>
      </c>
      <c r="V3551" s="9" t="s">
        <v>13284</v>
      </c>
      <c r="W3551" s="12"/>
      <c r="X3551" s="9" t="str">
        <f t="array" ref="X3551">IFERROR(INDEX('Адреса общежитий (скрытый)'!$B$2:$B$9, MATCH(W3551, 'Адреса общежитий (скрытый)'!$A$2:$A$9, 0)), "")</f>
        <v/>
      </c>
      <c r="Y3551" s="18"/>
      <c r="Z3551" s="18"/>
      <c r="AA3551" s="18"/>
      <c r="AB3551" s="18"/>
      <c r="AC3551" s="18"/>
    </row>
    <row r="3552" spans="1:29" ht="32.25" hidden="1" customHeight="1">
      <c r="A3552" s="17"/>
      <c r="B3552" s="9" t="s">
        <v>13284</v>
      </c>
      <c r="C3552" s="9" t="s">
        <v>13284</v>
      </c>
      <c r="D3552" s="9" t="s">
        <v>13284</v>
      </c>
      <c r="E3552" s="9" t="s">
        <v>13284</v>
      </c>
      <c r="F3552" s="9" t="s">
        <v>13284</v>
      </c>
      <c r="G3552" s="9" t="s">
        <v>13284</v>
      </c>
      <c r="H3552" s="9" t="s">
        <v>13284</v>
      </c>
      <c r="I3552" s="9" t="s">
        <v>13284</v>
      </c>
      <c r="J3552" s="9" t="s">
        <v>13284</v>
      </c>
      <c r="K3552" s="9" t="s">
        <v>13284</v>
      </c>
      <c r="L3552" s="9" t="s">
        <v>13284</v>
      </c>
      <c r="M3552" s="9" t="s">
        <v>13284</v>
      </c>
      <c r="N3552" s="9" t="s">
        <v>13284</v>
      </c>
      <c r="O3552" s="9" t="s">
        <v>13284</v>
      </c>
      <c r="P3552" s="9" t="s">
        <v>13284</v>
      </c>
      <c r="Q3552" s="9" t="s">
        <v>13284</v>
      </c>
      <c r="R3552" s="9" t="s">
        <v>13284</v>
      </c>
      <c r="S3552" s="9" t="s">
        <v>13284</v>
      </c>
      <c r="T3552" s="9" t="str">
        <f ca="1">IFERROR(IF(AND(VLOOKUP(A3552, 'Актуальное состояние (из общего'!A:C,3,0) = "", A3552 &lt;&gt; ""), "ПРОВЕРИТЬ", VLOOKUP(A3552, 'Актуальное состояние (из общего'!A:C,3,0)), "")</f>
        <v/>
      </c>
      <c r="U3552" s="9" t="s">
        <v>13284</v>
      </c>
      <c r="V3552" s="9" t="s">
        <v>13284</v>
      </c>
      <c r="W3552" s="12"/>
      <c r="X3552" s="9" t="str">
        <f t="array" ref="X3552">IFERROR(INDEX('Адреса общежитий (скрытый)'!$B$2:$B$9, MATCH(W3552, 'Адреса общежитий (скрытый)'!$A$2:$A$9, 0)), "")</f>
        <v/>
      </c>
      <c r="Y3552" s="18"/>
      <c r="Z3552" s="18"/>
      <c r="AA3552" s="18"/>
      <c r="AB3552" s="18"/>
      <c r="AC3552" s="18"/>
    </row>
    <row r="3553" spans="1:29" ht="32.25" hidden="1" customHeight="1">
      <c r="A3553" s="17"/>
      <c r="B3553" s="9" t="s">
        <v>13284</v>
      </c>
      <c r="C3553" s="9" t="s">
        <v>13284</v>
      </c>
      <c r="D3553" s="9" t="s">
        <v>13284</v>
      </c>
      <c r="E3553" s="9" t="s">
        <v>13284</v>
      </c>
      <c r="F3553" s="9" t="s">
        <v>13284</v>
      </c>
      <c r="G3553" s="9" t="s">
        <v>13284</v>
      </c>
      <c r="H3553" s="9" t="s">
        <v>13284</v>
      </c>
      <c r="I3553" s="9" t="s">
        <v>13284</v>
      </c>
      <c r="J3553" s="9" t="s">
        <v>13284</v>
      </c>
      <c r="K3553" s="9" t="s">
        <v>13284</v>
      </c>
      <c r="L3553" s="9" t="s">
        <v>13284</v>
      </c>
      <c r="M3553" s="9" t="s">
        <v>13284</v>
      </c>
      <c r="N3553" s="9" t="s">
        <v>13284</v>
      </c>
      <c r="O3553" s="9" t="s">
        <v>13284</v>
      </c>
      <c r="P3553" s="9" t="s">
        <v>13284</v>
      </c>
      <c r="Q3553" s="9" t="s">
        <v>13284</v>
      </c>
      <c r="R3553" s="9" t="s">
        <v>13284</v>
      </c>
      <c r="S3553" s="9" t="s">
        <v>13284</v>
      </c>
      <c r="T3553" s="9" t="str">
        <f ca="1">IFERROR(IF(AND(VLOOKUP(A3553, 'Актуальное состояние (из общего'!A:C,3,0) = "", A3553 &lt;&gt; ""), "ПРОВЕРИТЬ", VLOOKUP(A3553, 'Актуальное состояние (из общего'!A:C,3,0)), "")</f>
        <v/>
      </c>
      <c r="U3553" s="9" t="s">
        <v>13284</v>
      </c>
      <c r="V3553" s="9" t="s">
        <v>13284</v>
      </c>
      <c r="W3553" s="12"/>
      <c r="X3553" s="9" t="str">
        <f t="array" ref="X3553">IFERROR(INDEX('Адреса общежитий (скрытый)'!$B$2:$B$9, MATCH(W3553, 'Адреса общежитий (скрытый)'!$A$2:$A$9, 0)), "")</f>
        <v/>
      </c>
      <c r="Y3553" s="18"/>
      <c r="Z3553" s="18"/>
      <c r="AA3553" s="18"/>
      <c r="AB3553" s="18"/>
      <c r="AC3553" s="18"/>
    </row>
    <row r="3554" spans="1:29" ht="32.25" hidden="1" customHeight="1">
      <c r="A3554" s="17"/>
      <c r="B3554" s="9" t="s">
        <v>13284</v>
      </c>
      <c r="C3554" s="9" t="s">
        <v>13284</v>
      </c>
      <c r="D3554" s="9" t="s">
        <v>13284</v>
      </c>
      <c r="E3554" s="9" t="s">
        <v>13284</v>
      </c>
      <c r="F3554" s="9" t="s">
        <v>13284</v>
      </c>
      <c r="G3554" s="9" t="s">
        <v>13284</v>
      </c>
      <c r="H3554" s="9" t="s">
        <v>13284</v>
      </c>
      <c r="I3554" s="9" t="s">
        <v>13284</v>
      </c>
      <c r="J3554" s="9" t="s">
        <v>13284</v>
      </c>
      <c r="K3554" s="9" t="s">
        <v>13284</v>
      </c>
      <c r="L3554" s="9" t="s">
        <v>13284</v>
      </c>
      <c r="M3554" s="9" t="s">
        <v>13284</v>
      </c>
      <c r="N3554" s="9" t="s">
        <v>13284</v>
      </c>
      <c r="O3554" s="9" t="s">
        <v>13284</v>
      </c>
      <c r="P3554" s="9" t="s">
        <v>13284</v>
      </c>
      <c r="Q3554" s="9" t="s">
        <v>13284</v>
      </c>
      <c r="R3554" s="9" t="s">
        <v>13284</v>
      </c>
      <c r="S3554" s="9" t="s">
        <v>13284</v>
      </c>
      <c r="T3554" s="9" t="str">
        <f ca="1">IFERROR(IF(AND(VLOOKUP(A3554, 'Актуальное состояние (из общего'!A:C,3,0) = "", A3554 &lt;&gt; ""), "ПРОВЕРИТЬ", VLOOKUP(A3554, 'Актуальное состояние (из общего'!A:C,3,0)), "")</f>
        <v/>
      </c>
      <c r="U3554" s="9" t="s">
        <v>13284</v>
      </c>
      <c r="V3554" s="9" t="s">
        <v>13284</v>
      </c>
      <c r="W3554" s="12"/>
      <c r="X3554" s="9" t="str">
        <f t="array" ref="X3554">IFERROR(INDEX('Адреса общежитий (скрытый)'!$B$2:$B$9, MATCH(W3554, 'Адреса общежитий (скрытый)'!$A$2:$A$9, 0)), "")</f>
        <v/>
      </c>
      <c r="Y3554" s="18"/>
      <c r="Z3554" s="18"/>
      <c r="AA3554" s="18"/>
      <c r="AB3554" s="18"/>
      <c r="AC3554" s="18"/>
    </row>
    <row r="3555" spans="1:29" ht="32.25" hidden="1" customHeight="1">
      <c r="A3555" s="17"/>
      <c r="B3555" s="9" t="s">
        <v>13284</v>
      </c>
      <c r="C3555" s="9" t="s">
        <v>13284</v>
      </c>
      <c r="D3555" s="9" t="s">
        <v>13284</v>
      </c>
      <c r="E3555" s="9" t="s">
        <v>13284</v>
      </c>
      <c r="F3555" s="9" t="s">
        <v>13284</v>
      </c>
      <c r="G3555" s="9" t="s">
        <v>13284</v>
      </c>
      <c r="H3555" s="9" t="s">
        <v>13284</v>
      </c>
      <c r="I3555" s="9" t="s">
        <v>13284</v>
      </c>
      <c r="J3555" s="9" t="s">
        <v>13284</v>
      </c>
      <c r="K3555" s="9" t="s">
        <v>13284</v>
      </c>
      <c r="L3555" s="9" t="s">
        <v>13284</v>
      </c>
      <c r="M3555" s="9" t="s">
        <v>13284</v>
      </c>
      <c r="N3555" s="9" t="s">
        <v>13284</v>
      </c>
      <c r="O3555" s="9" t="s">
        <v>13284</v>
      </c>
      <c r="P3555" s="9" t="s">
        <v>13284</v>
      </c>
      <c r="Q3555" s="9" t="s">
        <v>13284</v>
      </c>
      <c r="R3555" s="9" t="s">
        <v>13284</v>
      </c>
      <c r="S3555" s="9" t="s">
        <v>13284</v>
      </c>
      <c r="T3555" s="9" t="str">
        <f ca="1">IFERROR(IF(AND(VLOOKUP(A3555, 'Актуальное состояние (из общего'!A:C,3,0) = "", A3555 &lt;&gt; ""), "ПРОВЕРИТЬ", VLOOKUP(A3555, 'Актуальное состояние (из общего'!A:C,3,0)), "")</f>
        <v/>
      </c>
      <c r="U3555" s="9" t="s">
        <v>13284</v>
      </c>
      <c r="V3555" s="9" t="s">
        <v>13284</v>
      </c>
      <c r="W3555" s="12"/>
      <c r="X3555" s="9" t="str">
        <f t="array" ref="X3555">IFERROR(INDEX('Адреса общежитий (скрытый)'!$B$2:$B$9, MATCH(W3555, 'Адреса общежитий (скрытый)'!$A$2:$A$9, 0)), "")</f>
        <v/>
      </c>
      <c r="Y3555" s="18"/>
      <c r="Z3555" s="18"/>
      <c r="AA3555" s="18"/>
      <c r="AB3555" s="18"/>
      <c r="AC3555" s="18"/>
    </row>
    <row r="3556" spans="1:29" ht="32.25" hidden="1" customHeight="1">
      <c r="A3556" s="17"/>
      <c r="B3556" s="9" t="s">
        <v>13284</v>
      </c>
      <c r="C3556" s="9" t="s">
        <v>13284</v>
      </c>
      <c r="D3556" s="9" t="s">
        <v>13284</v>
      </c>
      <c r="E3556" s="9" t="s">
        <v>13284</v>
      </c>
      <c r="F3556" s="9" t="s">
        <v>13284</v>
      </c>
      <c r="G3556" s="9" t="s">
        <v>13284</v>
      </c>
      <c r="H3556" s="9" t="s">
        <v>13284</v>
      </c>
      <c r="I3556" s="9" t="s">
        <v>13284</v>
      </c>
      <c r="J3556" s="9" t="s">
        <v>13284</v>
      </c>
      <c r="K3556" s="9" t="s">
        <v>13284</v>
      </c>
      <c r="L3556" s="9" t="s">
        <v>13284</v>
      </c>
      <c r="M3556" s="9" t="s">
        <v>13284</v>
      </c>
      <c r="N3556" s="9" t="s">
        <v>13284</v>
      </c>
      <c r="O3556" s="9" t="s">
        <v>13284</v>
      </c>
      <c r="P3556" s="9" t="s">
        <v>13284</v>
      </c>
      <c r="Q3556" s="9" t="s">
        <v>13284</v>
      </c>
      <c r="R3556" s="9" t="s">
        <v>13284</v>
      </c>
      <c r="S3556" s="9" t="s">
        <v>13284</v>
      </c>
      <c r="T3556" s="9" t="str">
        <f ca="1">IFERROR(IF(AND(VLOOKUP(A3556, 'Актуальное состояние (из общего'!A:C,3,0) = "", A3556 &lt;&gt; ""), "ПРОВЕРИТЬ", VLOOKUP(A3556, 'Актуальное состояние (из общего'!A:C,3,0)), "")</f>
        <v/>
      </c>
      <c r="U3556" s="9" t="s">
        <v>13284</v>
      </c>
      <c r="V3556" s="9" t="s">
        <v>13284</v>
      </c>
      <c r="W3556" s="12"/>
      <c r="X3556" s="9" t="str">
        <f t="array" ref="X3556">IFERROR(INDEX('Адреса общежитий (скрытый)'!$B$2:$B$9, MATCH(W3556, 'Адреса общежитий (скрытый)'!$A$2:$A$9, 0)), "")</f>
        <v/>
      </c>
      <c r="Y3556" s="18"/>
      <c r="Z3556" s="18"/>
      <c r="AA3556" s="18"/>
      <c r="AB3556" s="18"/>
      <c r="AC3556" s="18"/>
    </row>
    <row r="3557" spans="1:29" ht="32.25" hidden="1" customHeight="1">
      <c r="A3557" s="17"/>
      <c r="B3557" s="9" t="s">
        <v>13284</v>
      </c>
      <c r="C3557" s="9" t="s">
        <v>13284</v>
      </c>
      <c r="D3557" s="9" t="s">
        <v>13284</v>
      </c>
      <c r="E3557" s="9" t="s">
        <v>13284</v>
      </c>
      <c r="F3557" s="9" t="s">
        <v>13284</v>
      </c>
      <c r="G3557" s="9" t="s">
        <v>13284</v>
      </c>
      <c r="H3557" s="9" t="s">
        <v>13284</v>
      </c>
      <c r="I3557" s="9" t="s">
        <v>13284</v>
      </c>
      <c r="J3557" s="9" t="s">
        <v>13284</v>
      </c>
      <c r="K3557" s="9" t="s">
        <v>13284</v>
      </c>
      <c r="L3557" s="9" t="s">
        <v>13284</v>
      </c>
      <c r="M3557" s="9" t="s">
        <v>13284</v>
      </c>
      <c r="N3557" s="9" t="s">
        <v>13284</v>
      </c>
      <c r="O3557" s="9" t="s">
        <v>13284</v>
      </c>
      <c r="P3557" s="9" t="s">
        <v>13284</v>
      </c>
      <c r="Q3557" s="9" t="s">
        <v>13284</v>
      </c>
      <c r="R3557" s="9" t="s">
        <v>13284</v>
      </c>
      <c r="S3557" s="9" t="s">
        <v>13284</v>
      </c>
      <c r="T3557" s="9" t="str">
        <f ca="1">IFERROR(IF(AND(VLOOKUP(A3557, 'Актуальное состояние (из общего'!A:C,3,0) = "", A3557 &lt;&gt; ""), "ПРОВЕРИТЬ", VLOOKUP(A3557, 'Актуальное состояние (из общего'!A:C,3,0)), "")</f>
        <v/>
      </c>
      <c r="U3557" s="9" t="s">
        <v>13284</v>
      </c>
      <c r="V3557" s="9" t="s">
        <v>13284</v>
      </c>
      <c r="W3557" s="12"/>
      <c r="X3557" s="9" t="str">
        <f t="array" ref="X3557">IFERROR(INDEX('Адреса общежитий (скрытый)'!$B$2:$B$9, MATCH(W3557, 'Адреса общежитий (скрытый)'!$A$2:$A$9, 0)), "")</f>
        <v/>
      </c>
      <c r="Y3557" s="18"/>
      <c r="Z3557" s="18"/>
      <c r="AA3557" s="18"/>
      <c r="AB3557" s="18"/>
      <c r="AC3557" s="18"/>
    </row>
    <row r="3558" spans="1:29" ht="32.25" hidden="1" customHeight="1">
      <c r="A3558" s="17"/>
      <c r="B3558" s="9" t="s">
        <v>13284</v>
      </c>
      <c r="C3558" s="9" t="s">
        <v>13284</v>
      </c>
      <c r="D3558" s="9" t="s">
        <v>13284</v>
      </c>
      <c r="E3558" s="9" t="s">
        <v>13284</v>
      </c>
      <c r="F3558" s="9" t="s">
        <v>13284</v>
      </c>
      <c r="G3558" s="9" t="s">
        <v>13284</v>
      </c>
      <c r="H3558" s="9" t="s">
        <v>13284</v>
      </c>
      <c r="I3558" s="9" t="s">
        <v>13284</v>
      </c>
      <c r="J3558" s="9" t="s">
        <v>13284</v>
      </c>
      <c r="K3558" s="9" t="s">
        <v>13284</v>
      </c>
      <c r="L3558" s="9" t="s">
        <v>13284</v>
      </c>
      <c r="M3558" s="9" t="s">
        <v>13284</v>
      </c>
      <c r="N3558" s="9" t="s">
        <v>13284</v>
      </c>
      <c r="O3558" s="9" t="s">
        <v>13284</v>
      </c>
      <c r="P3558" s="9" t="s">
        <v>13284</v>
      </c>
      <c r="Q3558" s="9" t="s">
        <v>13284</v>
      </c>
      <c r="R3558" s="9" t="s">
        <v>13284</v>
      </c>
      <c r="S3558" s="9" t="s">
        <v>13284</v>
      </c>
      <c r="T3558" s="9" t="str">
        <f ca="1">IFERROR(IF(AND(VLOOKUP(A3558, 'Актуальное состояние (из общего'!A:C,3,0) = "", A3558 &lt;&gt; ""), "ПРОВЕРИТЬ", VLOOKUP(A3558, 'Актуальное состояние (из общего'!A:C,3,0)), "")</f>
        <v/>
      </c>
      <c r="U3558" s="9" t="s">
        <v>13284</v>
      </c>
      <c r="V3558" s="9" t="s">
        <v>13284</v>
      </c>
      <c r="W3558" s="12"/>
      <c r="X3558" s="9" t="str">
        <f t="array" ref="X3558">IFERROR(INDEX('Адреса общежитий (скрытый)'!$B$2:$B$9, MATCH(W3558, 'Адреса общежитий (скрытый)'!$A$2:$A$9, 0)), "")</f>
        <v/>
      </c>
      <c r="Y3558" s="18"/>
      <c r="Z3558" s="18"/>
      <c r="AA3558" s="18"/>
      <c r="AB3558" s="18"/>
      <c r="AC3558" s="18"/>
    </row>
    <row r="3559" spans="1:29" ht="32.25" hidden="1" customHeight="1">
      <c r="A3559" s="17"/>
      <c r="B3559" s="9" t="s">
        <v>13284</v>
      </c>
      <c r="C3559" s="9" t="s">
        <v>13284</v>
      </c>
      <c r="D3559" s="9" t="s">
        <v>13284</v>
      </c>
      <c r="E3559" s="9" t="s">
        <v>13284</v>
      </c>
      <c r="F3559" s="9" t="s">
        <v>13284</v>
      </c>
      <c r="G3559" s="9" t="s">
        <v>13284</v>
      </c>
      <c r="H3559" s="9" t="s">
        <v>13284</v>
      </c>
      <c r="I3559" s="9" t="s">
        <v>13284</v>
      </c>
      <c r="J3559" s="9" t="s">
        <v>13284</v>
      </c>
      <c r="K3559" s="9" t="s">
        <v>13284</v>
      </c>
      <c r="L3559" s="9" t="s">
        <v>13284</v>
      </c>
      <c r="M3559" s="9" t="s">
        <v>13284</v>
      </c>
      <c r="N3559" s="9" t="s">
        <v>13284</v>
      </c>
      <c r="O3559" s="9" t="s">
        <v>13284</v>
      </c>
      <c r="P3559" s="9" t="s">
        <v>13284</v>
      </c>
      <c r="Q3559" s="9" t="s">
        <v>13284</v>
      </c>
      <c r="R3559" s="9" t="s">
        <v>13284</v>
      </c>
      <c r="S3559" s="9" t="s">
        <v>13284</v>
      </c>
      <c r="T3559" s="9" t="str">
        <f ca="1">IFERROR(IF(AND(VLOOKUP(A3559, 'Актуальное состояние (из общего'!A:C,3,0) = "", A3559 &lt;&gt; ""), "ПРОВЕРИТЬ", VLOOKUP(A3559, 'Актуальное состояние (из общего'!A:C,3,0)), "")</f>
        <v/>
      </c>
      <c r="U3559" s="9" t="s">
        <v>13284</v>
      </c>
      <c r="V3559" s="9" t="s">
        <v>13284</v>
      </c>
      <c r="W3559" s="12"/>
      <c r="X3559" s="9" t="str">
        <f t="array" ref="X3559">IFERROR(INDEX('Адреса общежитий (скрытый)'!$B$2:$B$9, MATCH(W3559, 'Адреса общежитий (скрытый)'!$A$2:$A$9, 0)), "")</f>
        <v/>
      </c>
      <c r="Y3559" s="18"/>
      <c r="Z3559" s="18"/>
      <c r="AA3559" s="18"/>
      <c r="AB3559" s="18"/>
      <c r="AC3559" s="18"/>
    </row>
    <row r="3560" spans="1:29" ht="32.25" hidden="1" customHeight="1">
      <c r="A3560" s="17"/>
      <c r="B3560" s="9" t="s">
        <v>13284</v>
      </c>
      <c r="C3560" s="9" t="s">
        <v>13284</v>
      </c>
      <c r="D3560" s="9" t="s">
        <v>13284</v>
      </c>
      <c r="E3560" s="9" t="s">
        <v>13284</v>
      </c>
      <c r="F3560" s="9" t="s">
        <v>13284</v>
      </c>
      <c r="G3560" s="9" t="s">
        <v>13284</v>
      </c>
      <c r="H3560" s="9" t="s">
        <v>13284</v>
      </c>
      <c r="I3560" s="9" t="s">
        <v>13284</v>
      </c>
      <c r="J3560" s="9" t="s">
        <v>13284</v>
      </c>
      <c r="K3560" s="9" t="s">
        <v>13284</v>
      </c>
      <c r="L3560" s="9" t="s">
        <v>13284</v>
      </c>
      <c r="M3560" s="9" t="s">
        <v>13284</v>
      </c>
      <c r="N3560" s="9" t="s">
        <v>13284</v>
      </c>
      <c r="O3560" s="9" t="s">
        <v>13284</v>
      </c>
      <c r="P3560" s="9" t="s">
        <v>13284</v>
      </c>
      <c r="Q3560" s="9" t="s">
        <v>13284</v>
      </c>
      <c r="R3560" s="9" t="s">
        <v>13284</v>
      </c>
      <c r="S3560" s="9" t="s">
        <v>13284</v>
      </c>
      <c r="T3560" s="9" t="str">
        <f ca="1">IFERROR(IF(AND(VLOOKUP(A3560, 'Актуальное состояние (из общего'!A:C,3,0) = "", A3560 &lt;&gt; ""), "ПРОВЕРИТЬ", VLOOKUP(A3560, 'Актуальное состояние (из общего'!A:C,3,0)), "")</f>
        <v/>
      </c>
      <c r="U3560" s="9" t="s">
        <v>13284</v>
      </c>
      <c r="V3560" s="9" t="s">
        <v>13284</v>
      </c>
      <c r="W3560" s="12"/>
      <c r="X3560" s="9" t="str">
        <f t="array" ref="X3560">IFERROR(INDEX('Адреса общежитий (скрытый)'!$B$2:$B$9, MATCH(W3560, 'Адреса общежитий (скрытый)'!$A$2:$A$9, 0)), "")</f>
        <v/>
      </c>
      <c r="Y3560" s="18"/>
      <c r="Z3560" s="18"/>
      <c r="AA3560" s="18"/>
      <c r="AB3560" s="18"/>
      <c r="AC3560" s="18"/>
    </row>
    <row r="3561" spans="1:29" ht="32.25" hidden="1" customHeight="1">
      <c r="A3561" s="17"/>
      <c r="B3561" s="9" t="s">
        <v>13284</v>
      </c>
      <c r="C3561" s="9" t="s">
        <v>13284</v>
      </c>
      <c r="D3561" s="9" t="s">
        <v>13284</v>
      </c>
      <c r="E3561" s="9" t="s">
        <v>13284</v>
      </c>
      <c r="F3561" s="9" t="s">
        <v>13284</v>
      </c>
      <c r="G3561" s="9" t="s">
        <v>13284</v>
      </c>
      <c r="H3561" s="9" t="s">
        <v>13284</v>
      </c>
      <c r="I3561" s="9" t="s">
        <v>13284</v>
      </c>
      <c r="J3561" s="9" t="s">
        <v>13284</v>
      </c>
      <c r="K3561" s="9" t="s">
        <v>13284</v>
      </c>
      <c r="L3561" s="9" t="s">
        <v>13284</v>
      </c>
      <c r="M3561" s="9" t="s">
        <v>13284</v>
      </c>
      <c r="N3561" s="9" t="s">
        <v>13284</v>
      </c>
      <c r="O3561" s="9" t="s">
        <v>13284</v>
      </c>
      <c r="P3561" s="9" t="s">
        <v>13284</v>
      </c>
      <c r="Q3561" s="9" t="s">
        <v>13284</v>
      </c>
      <c r="R3561" s="9" t="s">
        <v>13284</v>
      </c>
      <c r="S3561" s="9" t="s">
        <v>13284</v>
      </c>
      <c r="T3561" s="9" t="str">
        <f ca="1">IFERROR(IF(AND(VLOOKUP(A3561, 'Актуальное состояние (из общего'!A:C,3,0) = "", A3561 &lt;&gt; ""), "ПРОВЕРИТЬ", VLOOKUP(A3561, 'Актуальное состояние (из общего'!A:C,3,0)), "")</f>
        <v/>
      </c>
      <c r="U3561" s="9" t="s">
        <v>13284</v>
      </c>
      <c r="V3561" s="9" t="s">
        <v>13284</v>
      </c>
      <c r="W3561" s="12"/>
      <c r="X3561" s="9" t="str">
        <f t="array" ref="X3561">IFERROR(INDEX('Адреса общежитий (скрытый)'!$B$2:$B$9, MATCH(W3561, 'Адреса общежитий (скрытый)'!$A$2:$A$9, 0)), "")</f>
        <v/>
      </c>
      <c r="Y3561" s="18"/>
      <c r="Z3561" s="18"/>
      <c r="AA3561" s="18"/>
      <c r="AB3561" s="18"/>
      <c r="AC3561" s="18"/>
    </row>
    <row r="3562" spans="1:29" ht="32.25" hidden="1" customHeight="1">
      <c r="A3562" s="17"/>
      <c r="B3562" s="9" t="s">
        <v>13284</v>
      </c>
      <c r="C3562" s="9" t="s">
        <v>13284</v>
      </c>
      <c r="D3562" s="9" t="s">
        <v>13284</v>
      </c>
      <c r="E3562" s="9" t="s">
        <v>13284</v>
      </c>
      <c r="F3562" s="9" t="s">
        <v>13284</v>
      </c>
      <c r="G3562" s="9" t="s">
        <v>13284</v>
      </c>
      <c r="H3562" s="9" t="s">
        <v>13284</v>
      </c>
      <c r="I3562" s="9" t="s">
        <v>13284</v>
      </c>
      <c r="J3562" s="9" t="s">
        <v>13284</v>
      </c>
      <c r="K3562" s="9" t="s">
        <v>13284</v>
      </c>
      <c r="L3562" s="9" t="s">
        <v>13284</v>
      </c>
      <c r="M3562" s="9" t="s">
        <v>13284</v>
      </c>
      <c r="N3562" s="9" t="s">
        <v>13284</v>
      </c>
      <c r="O3562" s="9" t="s">
        <v>13284</v>
      </c>
      <c r="P3562" s="9" t="s">
        <v>13284</v>
      </c>
      <c r="Q3562" s="9" t="s">
        <v>13284</v>
      </c>
      <c r="R3562" s="9" t="s">
        <v>13284</v>
      </c>
      <c r="S3562" s="9" t="s">
        <v>13284</v>
      </c>
      <c r="T3562" s="9" t="str">
        <f ca="1">IFERROR(IF(AND(VLOOKUP(A3562, 'Актуальное состояние (из общего'!A:C,3,0) = "", A3562 &lt;&gt; ""), "ПРОВЕРИТЬ", VLOOKUP(A3562, 'Актуальное состояние (из общего'!A:C,3,0)), "")</f>
        <v/>
      </c>
      <c r="U3562" s="9" t="s">
        <v>13284</v>
      </c>
      <c r="V3562" s="9" t="s">
        <v>13284</v>
      </c>
      <c r="W3562" s="12"/>
      <c r="X3562" s="9" t="str">
        <f t="array" ref="X3562">IFERROR(INDEX('Адреса общежитий (скрытый)'!$B$2:$B$9, MATCH(W3562, 'Адреса общежитий (скрытый)'!$A$2:$A$9, 0)), "")</f>
        <v/>
      </c>
      <c r="Y3562" s="18"/>
      <c r="Z3562" s="18"/>
      <c r="AA3562" s="18"/>
      <c r="AB3562" s="18"/>
      <c r="AC3562" s="18"/>
    </row>
    <row r="3563" spans="1:29" ht="32.25" hidden="1" customHeight="1">
      <c r="A3563" s="17"/>
      <c r="B3563" s="9" t="s">
        <v>13284</v>
      </c>
      <c r="C3563" s="9" t="s">
        <v>13284</v>
      </c>
      <c r="D3563" s="9" t="s">
        <v>13284</v>
      </c>
      <c r="E3563" s="9" t="s">
        <v>13284</v>
      </c>
      <c r="F3563" s="9" t="s">
        <v>13284</v>
      </c>
      <c r="G3563" s="9" t="s">
        <v>13284</v>
      </c>
      <c r="H3563" s="9" t="s">
        <v>13284</v>
      </c>
      <c r="I3563" s="9" t="s">
        <v>13284</v>
      </c>
      <c r="J3563" s="9" t="s">
        <v>13284</v>
      </c>
      <c r="K3563" s="9" t="s">
        <v>13284</v>
      </c>
      <c r="L3563" s="9" t="s">
        <v>13284</v>
      </c>
      <c r="M3563" s="9" t="s">
        <v>13284</v>
      </c>
      <c r="N3563" s="9" t="s">
        <v>13284</v>
      </c>
      <c r="O3563" s="9" t="s">
        <v>13284</v>
      </c>
      <c r="P3563" s="9" t="s">
        <v>13284</v>
      </c>
      <c r="Q3563" s="9" t="s">
        <v>13284</v>
      </c>
      <c r="R3563" s="9" t="s">
        <v>13284</v>
      </c>
      <c r="S3563" s="9" t="s">
        <v>13284</v>
      </c>
      <c r="T3563" s="9" t="str">
        <f ca="1">IFERROR(IF(AND(VLOOKUP(A3563, 'Актуальное состояние (из общего'!A:C,3,0) = "", A3563 &lt;&gt; ""), "ПРОВЕРИТЬ", VLOOKUP(A3563, 'Актуальное состояние (из общего'!A:C,3,0)), "")</f>
        <v/>
      </c>
      <c r="U3563" s="9" t="s">
        <v>13284</v>
      </c>
      <c r="V3563" s="9" t="s">
        <v>13284</v>
      </c>
      <c r="W3563" s="12"/>
      <c r="X3563" s="9" t="str">
        <f t="array" ref="X3563">IFERROR(INDEX('Адреса общежитий (скрытый)'!$B$2:$B$9, MATCH(W3563, 'Адреса общежитий (скрытый)'!$A$2:$A$9, 0)), "")</f>
        <v/>
      </c>
      <c r="Y3563" s="18"/>
      <c r="Z3563" s="18"/>
      <c r="AA3563" s="18"/>
      <c r="AB3563" s="18"/>
      <c r="AC3563" s="18"/>
    </row>
    <row r="3564" spans="1:29" ht="32.25" hidden="1" customHeight="1">
      <c r="A3564" s="17"/>
      <c r="B3564" s="9" t="s">
        <v>13284</v>
      </c>
      <c r="C3564" s="9" t="s">
        <v>13284</v>
      </c>
      <c r="D3564" s="9" t="s">
        <v>13284</v>
      </c>
      <c r="E3564" s="9" t="s">
        <v>13284</v>
      </c>
      <c r="F3564" s="9" t="s">
        <v>13284</v>
      </c>
      <c r="G3564" s="9" t="s">
        <v>13284</v>
      </c>
      <c r="H3564" s="9" t="s">
        <v>13284</v>
      </c>
      <c r="I3564" s="9" t="s">
        <v>13284</v>
      </c>
      <c r="J3564" s="9" t="s">
        <v>13284</v>
      </c>
      <c r="K3564" s="9" t="s">
        <v>13284</v>
      </c>
      <c r="L3564" s="9" t="s">
        <v>13284</v>
      </c>
      <c r="M3564" s="9" t="s">
        <v>13284</v>
      </c>
      <c r="N3564" s="9" t="s">
        <v>13284</v>
      </c>
      <c r="O3564" s="9" t="s">
        <v>13284</v>
      </c>
      <c r="P3564" s="9" t="s">
        <v>13284</v>
      </c>
      <c r="Q3564" s="9" t="s">
        <v>13284</v>
      </c>
      <c r="R3564" s="9" t="s">
        <v>13284</v>
      </c>
      <c r="S3564" s="9" t="s">
        <v>13284</v>
      </c>
      <c r="T3564" s="9" t="str">
        <f ca="1">IFERROR(IF(AND(VLOOKUP(A3564, 'Актуальное состояние (из общего'!A:C,3,0) = "", A3564 &lt;&gt; ""), "ПРОВЕРИТЬ", VLOOKUP(A3564, 'Актуальное состояние (из общего'!A:C,3,0)), "")</f>
        <v/>
      </c>
      <c r="U3564" s="9" t="s">
        <v>13284</v>
      </c>
      <c r="V3564" s="9" t="s">
        <v>13284</v>
      </c>
      <c r="W3564" s="12"/>
      <c r="X3564" s="9" t="str">
        <f t="array" ref="X3564">IFERROR(INDEX('Адреса общежитий (скрытый)'!$B$2:$B$9, MATCH(W3564, 'Адреса общежитий (скрытый)'!$A$2:$A$9, 0)), "")</f>
        <v/>
      </c>
      <c r="Y3564" s="18"/>
      <c r="Z3564" s="18"/>
      <c r="AA3564" s="18"/>
      <c r="AB3564" s="18"/>
      <c r="AC3564" s="18"/>
    </row>
    <row r="3565" spans="1:29" ht="32.25" hidden="1" customHeight="1">
      <c r="A3565" s="17"/>
      <c r="B3565" s="9" t="s">
        <v>13284</v>
      </c>
      <c r="C3565" s="9" t="s">
        <v>13284</v>
      </c>
      <c r="D3565" s="9" t="s">
        <v>13284</v>
      </c>
      <c r="E3565" s="9" t="s">
        <v>13284</v>
      </c>
      <c r="F3565" s="9" t="s">
        <v>13284</v>
      </c>
      <c r="G3565" s="9" t="s">
        <v>13284</v>
      </c>
      <c r="H3565" s="9" t="s">
        <v>13284</v>
      </c>
      <c r="I3565" s="9" t="s">
        <v>13284</v>
      </c>
      <c r="J3565" s="9" t="s">
        <v>13284</v>
      </c>
      <c r="K3565" s="9" t="s">
        <v>13284</v>
      </c>
      <c r="L3565" s="9" t="s">
        <v>13284</v>
      </c>
      <c r="M3565" s="9" t="s">
        <v>13284</v>
      </c>
      <c r="N3565" s="9" t="s">
        <v>13284</v>
      </c>
      <c r="O3565" s="9" t="s">
        <v>13284</v>
      </c>
      <c r="P3565" s="9" t="s">
        <v>13284</v>
      </c>
      <c r="Q3565" s="9" t="s">
        <v>13284</v>
      </c>
      <c r="R3565" s="9" t="s">
        <v>13284</v>
      </c>
      <c r="S3565" s="9" t="s">
        <v>13284</v>
      </c>
      <c r="T3565" s="9" t="str">
        <f ca="1">IFERROR(IF(AND(VLOOKUP(A3565, 'Актуальное состояние (из общего'!A:C,3,0) = "", A3565 &lt;&gt; ""), "ПРОВЕРИТЬ", VLOOKUP(A3565, 'Актуальное состояние (из общего'!A:C,3,0)), "")</f>
        <v/>
      </c>
      <c r="U3565" s="9" t="s">
        <v>13284</v>
      </c>
      <c r="V3565" s="9" t="s">
        <v>13284</v>
      </c>
      <c r="W3565" s="12"/>
      <c r="X3565" s="9" t="str">
        <f t="array" ref="X3565">IFERROR(INDEX('Адреса общежитий (скрытый)'!$B$2:$B$9, MATCH(W3565, 'Адреса общежитий (скрытый)'!$A$2:$A$9, 0)), "")</f>
        <v/>
      </c>
      <c r="Y3565" s="18"/>
      <c r="Z3565" s="18"/>
      <c r="AA3565" s="18"/>
      <c r="AB3565" s="18"/>
      <c r="AC3565" s="18"/>
    </row>
    <row r="3566" spans="1:29" ht="32.25" hidden="1" customHeight="1">
      <c r="A3566" s="17"/>
      <c r="B3566" s="9" t="s">
        <v>13284</v>
      </c>
      <c r="C3566" s="9" t="s">
        <v>13284</v>
      </c>
      <c r="D3566" s="9" t="s">
        <v>13284</v>
      </c>
      <c r="E3566" s="9" t="s">
        <v>13284</v>
      </c>
      <c r="F3566" s="9" t="s">
        <v>13284</v>
      </c>
      <c r="G3566" s="9" t="s">
        <v>13284</v>
      </c>
      <c r="H3566" s="9" t="s">
        <v>13284</v>
      </c>
      <c r="I3566" s="9" t="s">
        <v>13284</v>
      </c>
      <c r="J3566" s="9" t="s">
        <v>13284</v>
      </c>
      <c r="K3566" s="9" t="s">
        <v>13284</v>
      </c>
      <c r="L3566" s="9" t="s">
        <v>13284</v>
      </c>
      <c r="M3566" s="9" t="s">
        <v>13284</v>
      </c>
      <c r="N3566" s="9" t="s">
        <v>13284</v>
      </c>
      <c r="O3566" s="9" t="s">
        <v>13284</v>
      </c>
      <c r="P3566" s="9" t="s">
        <v>13284</v>
      </c>
      <c r="Q3566" s="9" t="s">
        <v>13284</v>
      </c>
      <c r="R3566" s="9" t="s">
        <v>13284</v>
      </c>
      <c r="S3566" s="9" t="s">
        <v>13284</v>
      </c>
      <c r="T3566" s="9" t="str">
        <f ca="1">IFERROR(IF(AND(VLOOKUP(A3566, 'Актуальное состояние (из общего'!A:C,3,0) = "", A3566 &lt;&gt; ""), "ПРОВЕРИТЬ", VLOOKUP(A3566, 'Актуальное состояние (из общего'!A:C,3,0)), "")</f>
        <v/>
      </c>
      <c r="U3566" s="9" t="s">
        <v>13284</v>
      </c>
      <c r="V3566" s="9" t="s">
        <v>13284</v>
      </c>
      <c r="W3566" s="12"/>
      <c r="X3566" s="9" t="str">
        <f t="array" ref="X3566">IFERROR(INDEX('Адреса общежитий (скрытый)'!$B$2:$B$9, MATCH(W3566, 'Адреса общежитий (скрытый)'!$A$2:$A$9, 0)), "")</f>
        <v/>
      </c>
      <c r="Y3566" s="18"/>
      <c r="Z3566" s="18"/>
      <c r="AA3566" s="18"/>
      <c r="AB3566" s="18"/>
      <c r="AC3566" s="18"/>
    </row>
    <row r="3567" spans="1:29" ht="32.25" hidden="1" customHeight="1">
      <c r="A3567" s="17"/>
      <c r="B3567" s="9" t="s">
        <v>13284</v>
      </c>
      <c r="C3567" s="9" t="s">
        <v>13284</v>
      </c>
      <c r="D3567" s="9" t="s">
        <v>13284</v>
      </c>
      <c r="E3567" s="9" t="s">
        <v>13284</v>
      </c>
      <c r="F3567" s="9" t="s">
        <v>13284</v>
      </c>
      <c r="G3567" s="9" t="s">
        <v>13284</v>
      </c>
      <c r="H3567" s="9" t="s">
        <v>13284</v>
      </c>
      <c r="I3567" s="9" t="s">
        <v>13284</v>
      </c>
      <c r="J3567" s="9" t="s">
        <v>13284</v>
      </c>
      <c r="K3567" s="9" t="s">
        <v>13284</v>
      </c>
      <c r="L3567" s="9" t="s">
        <v>13284</v>
      </c>
      <c r="M3567" s="9" t="s">
        <v>13284</v>
      </c>
      <c r="N3567" s="9" t="s">
        <v>13284</v>
      </c>
      <c r="O3567" s="9" t="s">
        <v>13284</v>
      </c>
      <c r="P3567" s="9" t="s">
        <v>13284</v>
      </c>
      <c r="Q3567" s="9" t="s">
        <v>13284</v>
      </c>
      <c r="R3567" s="9" t="s">
        <v>13284</v>
      </c>
      <c r="S3567" s="9" t="s">
        <v>13284</v>
      </c>
      <c r="T3567" s="9" t="str">
        <f ca="1">IFERROR(IF(AND(VLOOKUP(A3567, 'Актуальное состояние (из общего'!A:C,3,0) = "", A3567 &lt;&gt; ""), "ПРОВЕРИТЬ", VLOOKUP(A3567, 'Актуальное состояние (из общего'!A:C,3,0)), "")</f>
        <v/>
      </c>
      <c r="U3567" s="9" t="s">
        <v>13284</v>
      </c>
      <c r="V3567" s="9" t="s">
        <v>13284</v>
      </c>
      <c r="W3567" s="12"/>
      <c r="X3567" s="9" t="str">
        <f t="array" ref="X3567">IFERROR(INDEX('Адреса общежитий (скрытый)'!$B$2:$B$9, MATCH(W3567, 'Адреса общежитий (скрытый)'!$A$2:$A$9, 0)), "")</f>
        <v/>
      </c>
      <c r="Y3567" s="18"/>
      <c r="Z3567" s="18"/>
      <c r="AA3567" s="18"/>
      <c r="AB3567" s="18"/>
      <c r="AC3567" s="18"/>
    </row>
    <row r="3568" spans="1:29" ht="32.25" hidden="1" customHeight="1">
      <c r="A3568" s="17"/>
      <c r="B3568" s="9" t="s">
        <v>13284</v>
      </c>
      <c r="C3568" s="9" t="s">
        <v>13284</v>
      </c>
      <c r="D3568" s="9" t="s">
        <v>13284</v>
      </c>
      <c r="E3568" s="9" t="s">
        <v>13284</v>
      </c>
      <c r="F3568" s="9" t="s">
        <v>13284</v>
      </c>
      <c r="G3568" s="9" t="s">
        <v>13284</v>
      </c>
      <c r="H3568" s="9" t="s">
        <v>13284</v>
      </c>
      <c r="I3568" s="9" t="s">
        <v>13284</v>
      </c>
      <c r="J3568" s="9" t="s">
        <v>13284</v>
      </c>
      <c r="K3568" s="9" t="s">
        <v>13284</v>
      </c>
      <c r="L3568" s="9" t="s">
        <v>13284</v>
      </c>
      <c r="M3568" s="9" t="s">
        <v>13284</v>
      </c>
      <c r="N3568" s="9" t="s">
        <v>13284</v>
      </c>
      <c r="O3568" s="9" t="s">
        <v>13284</v>
      </c>
      <c r="P3568" s="9" t="s">
        <v>13284</v>
      </c>
      <c r="Q3568" s="9" t="s">
        <v>13284</v>
      </c>
      <c r="R3568" s="9" t="s">
        <v>13284</v>
      </c>
      <c r="S3568" s="9" t="s">
        <v>13284</v>
      </c>
      <c r="T3568" s="9" t="str">
        <f ca="1">IFERROR(IF(AND(VLOOKUP(A3568, 'Актуальное состояние (из общего'!A:C,3,0) = "", A3568 &lt;&gt; ""), "ПРОВЕРИТЬ", VLOOKUP(A3568, 'Актуальное состояние (из общего'!A:C,3,0)), "")</f>
        <v/>
      </c>
      <c r="U3568" s="9" t="s">
        <v>13284</v>
      </c>
      <c r="V3568" s="9" t="s">
        <v>13284</v>
      </c>
      <c r="W3568" s="12"/>
      <c r="X3568" s="9" t="str">
        <f t="array" ref="X3568">IFERROR(INDEX('Адреса общежитий (скрытый)'!$B$2:$B$9, MATCH(W3568, 'Адреса общежитий (скрытый)'!$A$2:$A$9, 0)), "")</f>
        <v/>
      </c>
      <c r="Y3568" s="18"/>
      <c r="Z3568" s="18"/>
      <c r="AA3568" s="18"/>
      <c r="AB3568" s="18"/>
      <c r="AC3568" s="18"/>
    </row>
    <row r="3569" spans="1:29" ht="32.25" hidden="1" customHeight="1">
      <c r="A3569" s="17"/>
      <c r="B3569" s="9" t="s">
        <v>13284</v>
      </c>
      <c r="C3569" s="9" t="s">
        <v>13284</v>
      </c>
      <c r="D3569" s="9" t="s">
        <v>13284</v>
      </c>
      <c r="E3569" s="9" t="s">
        <v>13284</v>
      </c>
      <c r="F3569" s="9" t="s">
        <v>13284</v>
      </c>
      <c r="G3569" s="9" t="s">
        <v>13284</v>
      </c>
      <c r="H3569" s="9" t="s">
        <v>13284</v>
      </c>
      <c r="I3569" s="9" t="s">
        <v>13284</v>
      </c>
      <c r="J3569" s="9" t="s">
        <v>13284</v>
      </c>
      <c r="K3569" s="9" t="s">
        <v>13284</v>
      </c>
      <c r="L3569" s="9" t="s">
        <v>13284</v>
      </c>
      <c r="M3569" s="9" t="s">
        <v>13284</v>
      </c>
      <c r="N3569" s="9" t="s">
        <v>13284</v>
      </c>
      <c r="O3569" s="9" t="s">
        <v>13284</v>
      </c>
      <c r="P3569" s="9" t="s">
        <v>13284</v>
      </c>
      <c r="Q3569" s="9" t="s">
        <v>13284</v>
      </c>
      <c r="R3569" s="9" t="s">
        <v>13284</v>
      </c>
      <c r="S3569" s="9" t="s">
        <v>13284</v>
      </c>
      <c r="T3569" s="9" t="str">
        <f ca="1">IFERROR(IF(AND(VLOOKUP(A3569, 'Актуальное состояние (из общего'!A:C,3,0) = "", A3569 &lt;&gt; ""), "ПРОВЕРИТЬ", VLOOKUP(A3569, 'Актуальное состояние (из общего'!A:C,3,0)), "")</f>
        <v/>
      </c>
      <c r="U3569" s="9" t="s">
        <v>13284</v>
      </c>
      <c r="V3569" s="9" t="s">
        <v>13284</v>
      </c>
      <c r="W3569" s="12"/>
      <c r="X3569" s="9" t="str">
        <f t="array" ref="X3569">IFERROR(INDEX('Адреса общежитий (скрытый)'!$B$2:$B$9, MATCH(W3569, 'Адреса общежитий (скрытый)'!$A$2:$A$9, 0)), "")</f>
        <v/>
      </c>
      <c r="Y3569" s="18"/>
      <c r="Z3569" s="18"/>
      <c r="AA3569" s="18"/>
      <c r="AB3569" s="18"/>
      <c r="AC3569" s="18"/>
    </row>
    <row r="3570" spans="1:29" ht="32.25" hidden="1" customHeight="1">
      <c r="A3570" s="17"/>
      <c r="B3570" s="9" t="s">
        <v>13284</v>
      </c>
      <c r="C3570" s="9" t="s">
        <v>13284</v>
      </c>
      <c r="D3570" s="9" t="s">
        <v>13284</v>
      </c>
      <c r="E3570" s="9" t="s">
        <v>13284</v>
      </c>
      <c r="F3570" s="9" t="s">
        <v>13284</v>
      </c>
      <c r="G3570" s="9" t="s">
        <v>13284</v>
      </c>
      <c r="H3570" s="9" t="s">
        <v>13284</v>
      </c>
      <c r="I3570" s="9" t="s">
        <v>13284</v>
      </c>
      <c r="J3570" s="9" t="s">
        <v>13284</v>
      </c>
      <c r="K3570" s="9" t="s">
        <v>13284</v>
      </c>
      <c r="L3570" s="9" t="s">
        <v>13284</v>
      </c>
      <c r="M3570" s="9" t="s">
        <v>13284</v>
      </c>
      <c r="N3570" s="9" t="s">
        <v>13284</v>
      </c>
      <c r="O3570" s="9" t="s">
        <v>13284</v>
      </c>
      <c r="P3570" s="9" t="s">
        <v>13284</v>
      </c>
      <c r="Q3570" s="9" t="s">
        <v>13284</v>
      </c>
      <c r="R3570" s="9" t="s">
        <v>13284</v>
      </c>
      <c r="S3570" s="9" t="s">
        <v>13284</v>
      </c>
      <c r="T3570" s="9" t="str">
        <f ca="1">IFERROR(IF(AND(VLOOKUP(A3570, 'Актуальное состояние (из общего'!A:C,3,0) = "", A3570 &lt;&gt; ""), "ПРОВЕРИТЬ", VLOOKUP(A3570, 'Актуальное состояние (из общего'!A:C,3,0)), "")</f>
        <v/>
      </c>
      <c r="U3570" s="9" t="s">
        <v>13284</v>
      </c>
      <c r="V3570" s="9" t="s">
        <v>13284</v>
      </c>
      <c r="W3570" s="12"/>
      <c r="X3570" s="9" t="str">
        <f t="array" ref="X3570">IFERROR(INDEX('Адреса общежитий (скрытый)'!$B$2:$B$9, MATCH(W3570, 'Адреса общежитий (скрытый)'!$A$2:$A$9, 0)), "")</f>
        <v/>
      </c>
      <c r="Y3570" s="18"/>
      <c r="Z3570" s="18"/>
      <c r="AA3570" s="18"/>
      <c r="AB3570" s="18"/>
      <c r="AC3570" s="18"/>
    </row>
    <row r="3571" spans="1:29" ht="32.25" hidden="1" customHeight="1">
      <c r="A3571" s="17"/>
      <c r="B3571" s="9" t="s">
        <v>13284</v>
      </c>
      <c r="C3571" s="9" t="s">
        <v>13284</v>
      </c>
      <c r="D3571" s="9" t="s">
        <v>13284</v>
      </c>
      <c r="E3571" s="9" t="s">
        <v>13284</v>
      </c>
      <c r="F3571" s="9" t="s">
        <v>13284</v>
      </c>
      <c r="G3571" s="9" t="s">
        <v>13284</v>
      </c>
      <c r="H3571" s="9" t="s">
        <v>13284</v>
      </c>
      <c r="I3571" s="9" t="s">
        <v>13284</v>
      </c>
      <c r="J3571" s="9" t="s">
        <v>13284</v>
      </c>
      <c r="K3571" s="9" t="s">
        <v>13284</v>
      </c>
      <c r="L3571" s="9" t="s">
        <v>13284</v>
      </c>
      <c r="M3571" s="9" t="s">
        <v>13284</v>
      </c>
      <c r="N3571" s="9" t="s">
        <v>13284</v>
      </c>
      <c r="O3571" s="9" t="s">
        <v>13284</v>
      </c>
      <c r="P3571" s="9" t="s">
        <v>13284</v>
      </c>
      <c r="Q3571" s="9" t="s">
        <v>13284</v>
      </c>
      <c r="R3571" s="9" t="s">
        <v>13284</v>
      </c>
      <c r="S3571" s="9" t="s">
        <v>13284</v>
      </c>
      <c r="T3571" s="9" t="str">
        <f ca="1">IFERROR(IF(AND(VLOOKUP(A3571, 'Актуальное состояние (из общего'!A:C,3,0) = "", A3571 &lt;&gt; ""), "ПРОВЕРИТЬ", VLOOKUP(A3571, 'Актуальное состояние (из общего'!A:C,3,0)), "")</f>
        <v/>
      </c>
      <c r="U3571" s="9" t="s">
        <v>13284</v>
      </c>
      <c r="V3571" s="9" t="s">
        <v>13284</v>
      </c>
      <c r="W3571" s="12"/>
      <c r="X3571" s="9" t="str">
        <f t="array" ref="X3571">IFERROR(INDEX('Адреса общежитий (скрытый)'!$B$2:$B$9, MATCH(W3571, 'Адреса общежитий (скрытый)'!$A$2:$A$9, 0)), "")</f>
        <v/>
      </c>
      <c r="Y3571" s="18"/>
      <c r="Z3571" s="18"/>
      <c r="AA3571" s="18"/>
      <c r="AB3571" s="18"/>
      <c r="AC3571" s="18"/>
    </row>
    <row r="3572" spans="1:29" ht="32.25" hidden="1" customHeight="1">
      <c r="A3572" s="17"/>
      <c r="B3572" s="9" t="s">
        <v>13284</v>
      </c>
      <c r="C3572" s="9" t="s">
        <v>13284</v>
      </c>
      <c r="D3572" s="9" t="s">
        <v>13284</v>
      </c>
      <c r="E3572" s="9" t="s">
        <v>13284</v>
      </c>
      <c r="F3572" s="9" t="s">
        <v>13284</v>
      </c>
      <c r="G3572" s="9" t="s">
        <v>13284</v>
      </c>
      <c r="H3572" s="9" t="s">
        <v>13284</v>
      </c>
      <c r="I3572" s="9" t="s">
        <v>13284</v>
      </c>
      <c r="J3572" s="9" t="s">
        <v>13284</v>
      </c>
      <c r="K3572" s="9" t="s">
        <v>13284</v>
      </c>
      <c r="L3572" s="9" t="s">
        <v>13284</v>
      </c>
      <c r="M3572" s="9" t="s">
        <v>13284</v>
      </c>
      <c r="N3572" s="9" t="s">
        <v>13284</v>
      </c>
      <c r="O3572" s="9" t="s">
        <v>13284</v>
      </c>
      <c r="P3572" s="9" t="s">
        <v>13284</v>
      </c>
      <c r="Q3572" s="9" t="s">
        <v>13284</v>
      </c>
      <c r="R3572" s="9" t="s">
        <v>13284</v>
      </c>
      <c r="S3572" s="9" t="s">
        <v>13284</v>
      </c>
      <c r="T3572" s="9" t="str">
        <f ca="1">IFERROR(IF(AND(VLOOKUP(A3572, 'Актуальное состояние (из общего'!A:C,3,0) = "", A3572 &lt;&gt; ""), "ПРОВЕРИТЬ", VLOOKUP(A3572, 'Актуальное состояние (из общего'!A:C,3,0)), "")</f>
        <v/>
      </c>
      <c r="U3572" s="9" t="s">
        <v>13284</v>
      </c>
      <c r="V3572" s="9" t="s">
        <v>13284</v>
      </c>
      <c r="W3572" s="12"/>
      <c r="X3572" s="9" t="str">
        <f t="array" ref="X3572">IFERROR(INDEX('Адреса общежитий (скрытый)'!$B$2:$B$9, MATCH(W3572, 'Адреса общежитий (скрытый)'!$A$2:$A$9, 0)), "")</f>
        <v/>
      </c>
      <c r="Y3572" s="18"/>
      <c r="Z3572" s="18"/>
      <c r="AA3572" s="18"/>
      <c r="AB3572" s="18"/>
      <c r="AC3572" s="18"/>
    </row>
    <row r="3573" spans="1:29" ht="32.25" hidden="1" customHeight="1">
      <c r="A3573" s="17"/>
      <c r="B3573" s="9" t="s">
        <v>13284</v>
      </c>
      <c r="C3573" s="9" t="s">
        <v>13284</v>
      </c>
      <c r="D3573" s="9" t="s">
        <v>13284</v>
      </c>
      <c r="E3573" s="9" t="s">
        <v>13284</v>
      </c>
      <c r="F3573" s="9" t="s">
        <v>13284</v>
      </c>
      <c r="G3573" s="9" t="s">
        <v>13284</v>
      </c>
      <c r="H3573" s="9" t="s">
        <v>13284</v>
      </c>
      <c r="I3573" s="9" t="s">
        <v>13284</v>
      </c>
      <c r="J3573" s="9" t="s">
        <v>13284</v>
      </c>
      <c r="K3573" s="9" t="s">
        <v>13284</v>
      </c>
      <c r="L3573" s="9" t="s">
        <v>13284</v>
      </c>
      <c r="M3573" s="9" t="s">
        <v>13284</v>
      </c>
      <c r="N3573" s="9" t="s">
        <v>13284</v>
      </c>
      <c r="O3573" s="9" t="s">
        <v>13284</v>
      </c>
      <c r="P3573" s="9" t="s">
        <v>13284</v>
      </c>
      <c r="Q3573" s="9" t="s">
        <v>13284</v>
      </c>
      <c r="R3573" s="9" t="s">
        <v>13284</v>
      </c>
      <c r="S3573" s="9" t="s">
        <v>13284</v>
      </c>
      <c r="T3573" s="9" t="str">
        <f ca="1">IFERROR(IF(AND(VLOOKUP(A3573, 'Актуальное состояние (из общего'!A:C,3,0) = "", A3573 &lt;&gt; ""), "ПРОВЕРИТЬ", VLOOKUP(A3573, 'Актуальное состояние (из общего'!A:C,3,0)), "")</f>
        <v/>
      </c>
      <c r="U3573" s="9" t="s">
        <v>13284</v>
      </c>
      <c r="V3573" s="9" t="s">
        <v>13284</v>
      </c>
      <c r="W3573" s="12"/>
      <c r="X3573" s="9" t="str">
        <f t="array" ref="X3573">IFERROR(INDEX('Адреса общежитий (скрытый)'!$B$2:$B$9, MATCH(W3573, 'Адреса общежитий (скрытый)'!$A$2:$A$9, 0)), "")</f>
        <v/>
      </c>
      <c r="Y3573" s="18"/>
      <c r="Z3573" s="18"/>
      <c r="AA3573" s="18"/>
      <c r="AB3573" s="18"/>
      <c r="AC3573" s="18"/>
    </row>
    <row r="3574" spans="1:29" ht="32.25" hidden="1" customHeight="1">
      <c r="A3574" s="17"/>
      <c r="B3574" s="9" t="s">
        <v>13284</v>
      </c>
      <c r="C3574" s="9" t="s">
        <v>13284</v>
      </c>
      <c r="D3574" s="9" t="s">
        <v>13284</v>
      </c>
      <c r="E3574" s="9" t="s">
        <v>13284</v>
      </c>
      <c r="F3574" s="9" t="s">
        <v>13284</v>
      </c>
      <c r="G3574" s="9" t="s">
        <v>13284</v>
      </c>
      <c r="H3574" s="9" t="s">
        <v>13284</v>
      </c>
      <c r="I3574" s="9" t="s">
        <v>13284</v>
      </c>
      <c r="J3574" s="9" t="s">
        <v>13284</v>
      </c>
      <c r="K3574" s="9" t="s">
        <v>13284</v>
      </c>
      <c r="L3574" s="9" t="s">
        <v>13284</v>
      </c>
      <c r="M3574" s="9" t="s">
        <v>13284</v>
      </c>
      <c r="N3574" s="9" t="s">
        <v>13284</v>
      </c>
      <c r="O3574" s="9" t="s">
        <v>13284</v>
      </c>
      <c r="P3574" s="9" t="s">
        <v>13284</v>
      </c>
      <c r="Q3574" s="9" t="s">
        <v>13284</v>
      </c>
      <c r="R3574" s="9" t="s">
        <v>13284</v>
      </c>
      <c r="S3574" s="9" t="s">
        <v>13284</v>
      </c>
      <c r="T3574" s="9" t="str">
        <f ca="1">IFERROR(IF(AND(VLOOKUP(A3574, 'Актуальное состояние (из общего'!A:C,3,0) = "", A3574 &lt;&gt; ""), "ПРОВЕРИТЬ", VLOOKUP(A3574, 'Актуальное состояние (из общего'!A:C,3,0)), "")</f>
        <v/>
      </c>
      <c r="U3574" s="9" t="s">
        <v>13284</v>
      </c>
      <c r="V3574" s="9" t="s">
        <v>13284</v>
      </c>
      <c r="W3574" s="12"/>
      <c r="X3574" s="9" t="str">
        <f t="array" ref="X3574">IFERROR(INDEX('Адреса общежитий (скрытый)'!$B$2:$B$9, MATCH(W3574, 'Адреса общежитий (скрытый)'!$A$2:$A$9, 0)), "")</f>
        <v/>
      </c>
      <c r="Y3574" s="18"/>
      <c r="Z3574" s="18"/>
      <c r="AA3574" s="18"/>
      <c r="AB3574" s="18"/>
      <c r="AC3574" s="18"/>
    </row>
    <row r="3575" spans="1:29" ht="32.25" hidden="1" customHeight="1">
      <c r="A3575" s="17"/>
      <c r="B3575" s="9" t="s">
        <v>13284</v>
      </c>
      <c r="C3575" s="9" t="s">
        <v>13284</v>
      </c>
      <c r="D3575" s="9" t="s">
        <v>13284</v>
      </c>
      <c r="E3575" s="9" t="s">
        <v>13284</v>
      </c>
      <c r="F3575" s="9" t="s">
        <v>13284</v>
      </c>
      <c r="G3575" s="9" t="s">
        <v>13284</v>
      </c>
      <c r="H3575" s="9" t="s">
        <v>13284</v>
      </c>
      <c r="I3575" s="9" t="s">
        <v>13284</v>
      </c>
      <c r="J3575" s="9" t="s">
        <v>13284</v>
      </c>
      <c r="K3575" s="9" t="s">
        <v>13284</v>
      </c>
      <c r="L3575" s="9" t="s">
        <v>13284</v>
      </c>
      <c r="M3575" s="9" t="s">
        <v>13284</v>
      </c>
      <c r="N3575" s="9" t="s">
        <v>13284</v>
      </c>
      <c r="O3575" s="9" t="s">
        <v>13284</v>
      </c>
      <c r="P3575" s="9" t="s">
        <v>13284</v>
      </c>
      <c r="Q3575" s="9" t="s">
        <v>13284</v>
      </c>
      <c r="R3575" s="9" t="s">
        <v>13284</v>
      </c>
      <c r="S3575" s="9" t="s">
        <v>13284</v>
      </c>
      <c r="T3575" s="9" t="str">
        <f ca="1">IFERROR(IF(AND(VLOOKUP(A3575, 'Актуальное состояние (из общего'!A:C,3,0) = "", A3575 &lt;&gt; ""), "ПРОВЕРИТЬ", VLOOKUP(A3575, 'Актуальное состояние (из общего'!A:C,3,0)), "")</f>
        <v/>
      </c>
      <c r="U3575" s="9" t="s">
        <v>13284</v>
      </c>
      <c r="V3575" s="9" t="s">
        <v>13284</v>
      </c>
      <c r="W3575" s="12"/>
      <c r="X3575" s="9" t="str">
        <f t="array" ref="X3575">IFERROR(INDEX('Адреса общежитий (скрытый)'!$B$2:$B$9, MATCH(W3575, 'Адреса общежитий (скрытый)'!$A$2:$A$9, 0)), "")</f>
        <v/>
      </c>
      <c r="Y3575" s="18"/>
      <c r="Z3575" s="18"/>
      <c r="AA3575" s="18"/>
      <c r="AB3575" s="18"/>
      <c r="AC3575" s="18"/>
    </row>
    <row r="3576" spans="1:29" ht="32.25" hidden="1" customHeight="1">
      <c r="A3576" s="17"/>
      <c r="B3576" s="9" t="s">
        <v>13284</v>
      </c>
      <c r="C3576" s="9" t="s">
        <v>13284</v>
      </c>
      <c r="D3576" s="9" t="s">
        <v>13284</v>
      </c>
      <c r="E3576" s="9" t="s">
        <v>13284</v>
      </c>
      <c r="F3576" s="9" t="s">
        <v>13284</v>
      </c>
      <c r="G3576" s="9" t="s">
        <v>13284</v>
      </c>
      <c r="H3576" s="9" t="s">
        <v>13284</v>
      </c>
      <c r="I3576" s="9" t="s">
        <v>13284</v>
      </c>
      <c r="J3576" s="9" t="s">
        <v>13284</v>
      </c>
      <c r="K3576" s="9" t="s">
        <v>13284</v>
      </c>
      <c r="L3576" s="9" t="s">
        <v>13284</v>
      </c>
      <c r="M3576" s="9" t="s">
        <v>13284</v>
      </c>
      <c r="N3576" s="9" t="s">
        <v>13284</v>
      </c>
      <c r="O3576" s="9" t="s">
        <v>13284</v>
      </c>
      <c r="P3576" s="9" t="s">
        <v>13284</v>
      </c>
      <c r="Q3576" s="9" t="s">
        <v>13284</v>
      </c>
      <c r="R3576" s="9" t="s">
        <v>13284</v>
      </c>
      <c r="S3576" s="9" t="s">
        <v>13284</v>
      </c>
      <c r="T3576" s="9" t="str">
        <f ca="1">IFERROR(IF(AND(VLOOKUP(A3576, 'Актуальное состояние (из общего'!A:C,3,0) = "", A3576 &lt;&gt; ""), "ПРОВЕРИТЬ", VLOOKUP(A3576, 'Актуальное состояние (из общего'!A:C,3,0)), "")</f>
        <v/>
      </c>
      <c r="U3576" s="9" t="s">
        <v>13284</v>
      </c>
      <c r="V3576" s="9" t="s">
        <v>13284</v>
      </c>
      <c r="W3576" s="12"/>
      <c r="X3576" s="9" t="str">
        <f t="array" ref="X3576">IFERROR(INDEX('Адреса общежитий (скрытый)'!$B$2:$B$9, MATCH(W3576, 'Адреса общежитий (скрытый)'!$A$2:$A$9, 0)), "")</f>
        <v/>
      </c>
      <c r="Y3576" s="18"/>
      <c r="Z3576" s="18"/>
      <c r="AA3576" s="18"/>
      <c r="AB3576" s="18"/>
      <c r="AC3576" s="18"/>
    </row>
    <row r="3577" spans="1:29" ht="32.25" hidden="1" customHeight="1">
      <c r="A3577" s="17"/>
      <c r="B3577" s="9" t="s">
        <v>13284</v>
      </c>
      <c r="C3577" s="9" t="s">
        <v>13284</v>
      </c>
      <c r="D3577" s="9" t="s">
        <v>13284</v>
      </c>
      <c r="E3577" s="9" t="s">
        <v>13284</v>
      </c>
      <c r="F3577" s="9" t="s">
        <v>13284</v>
      </c>
      <c r="G3577" s="9" t="s">
        <v>13284</v>
      </c>
      <c r="H3577" s="9" t="s">
        <v>13284</v>
      </c>
      <c r="I3577" s="9" t="s">
        <v>13284</v>
      </c>
      <c r="J3577" s="9" t="s">
        <v>13284</v>
      </c>
      <c r="K3577" s="9" t="s">
        <v>13284</v>
      </c>
      <c r="L3577" s="9" t="s">
        <v>13284</v>
      </c>
      <c r="M3577" s="9" t="s">
        <v>13284</v>
      </c>
      <c r="N3577" s="9" t="s">
        <v>13284</v>
      </c>
      <c r="O3577" s="9" t="s">
        <v>13284</v>
      </c>
      <c r="P3577" s="9" t="s">
        <v>13284</v>
      </c>
      <c r="Q3577" s="9" t="s">
        <v>13284</v>
      </c>
      <c r="R3577" s="9" t="s">
        <v>13284</v>
      </c>
      <c r="S3577" s="9" t="s">
        <v>13284</v>
      </c>
      <c r="T3577" s="9" t="str">
        <f ca="1">IFERROR(IF(AND(VLOOKUP(A3577, 'Актуальное состояние (из общего'!A:C,3,0) = "", A3577 &lt;&gt; ""), "ПРОВЕРИТЬ", VLOOKUP(A3577, 'Актуальное состояние (из общего'!A:C,3,0)), "")</f>
        <v/>
      </c>
      <c r="U3577" s="9" t="s">
        <v>13284</v>
      </c>
      <c r="V3577" s="9" t="s">
        <v>13284</v>
      </c>
      <c r="W3577" s="12"/>
      <c r="X3577" s="9" t="str">
        <f t="array" ref="X3577">IFERROR(INDEX('Адреса общежитий (скрытый)'!$B$2:$B$9, MATCH(W3577, 'Адреса общежитий (скрытый)'!$A$2:$A$9, 0)), "")</f>
        <v/>
      </c>
      <c r="Y3577" s="18"/>
      <c r="Z3577" s="18"/>
      <c r="AA3577" s="18"/>
      <c r="AB3577" s="18"/>
      <c r="AC3577" s="18"/>
    </row>
    <row r="3578" spans="1:29" ht="32.25" hidden="1" customHeight="1">
      <c r="A3578" s="17"/>
      <c r="B3578" s="9" t="s">
        <v>13284</v>
      </c>
      <c r="C3578" s="9" t="s">
        <v>13284</v>
      </c>
      <c r="D3578" s="9" t="s">
        <v>13284</v>
      </c>
      <c r="E3578" s="9" t="s">
        <v>13284</v>
      </c>
      <c r="F3578" s="9" t="s">
        <v>13284</v>
      </c>
      <c r="G3578" s="9" t="s">
        <v>13284</v>
      </c>
      <c r="H3578" s="9" t="s">
        <v>13284</v>
      </c>
      <c r="I3578" s="9" t="s">
        <v>13284</v>
      </c>
      <c r="J3578" s="9" t="s">
        <v>13284</v>
      </c>
      <c r="K3578" s="9" t="s">
        <v>13284</v>
      </c>
      <c r="L3578" s="9" t="s">
        <v>13284</v>
      </c>
      <c r="M3578" s="9" t="s">
        <v>13284</v>
      </c>
      <c r="N3578" s="9" t="s">
        <v>13284</v>
      </c>
      <c r="O3578" s="9" t="s">
        <v>13284</v>
      </c>
      <c r="P3578" s="9" t="s">
        <v>13284</v>
      </c>
      <c r="Q3578" s="9" t="s">
        <v>13284</v>
      </c>
      <c r="R3578" s="9" t="s">
        <v>13284</v>
      </c>
      <c r="S3578" s="9" t="s">
        <v>13284</v>
      </c>
      <c r="T3578" s="9" t="str">
        <f ca="1">IFERROR(IF(AND(VLOOKUP(A3578, 'Актуальное состояние (из общего'!A:C,3,0) = "", A3578 &lt;&gt; ""), "ПРОВЕРИТЬ", VLOOKUP(A3578, 'Актуальное состояние (из общего'!A:C,3,0)), "")</f>
        <v/>
      </c>
      <c r="U3578" s="9" t="s">
        <v>13284</v>
      </c>
      <c r="V3578" s="9" t="s">
        <v>13284</v>
      </c>
      <c r="W3578" s="12"/>
      <c r="X3578" s="9" t="str">
        <f t="array" ref="X3578">IFERROR(INDEX('Адреса общежитий (скрытый)'!$B$2:$B$9, MATCH(W3578, 'Адреса общежитий (скрытый)'!$A$2:$A$9, 0)), "")</f>
        <v/>
      </c>
      <c r="Y3578" s="18"/>
      <c r="Z3578" s="18"/>
      <c r="AA3578" s="18"/>
      <c r="AB3578" s="18"/>
      <c r="AC3578" s="18"/>
    </row>
    <row r="3579" spans="1:29" ht="32.25" hidden="1" customHeight="1">
      <c r="A3579" s="17"/>
      <c r="B3579" s="9" t="s">
        <v>13284</v>
      </c>
      <c r="C3579" s="9" t="s">
        <v>13284</v>
      </c>
      <c r="D3579" s="9" t="s">
        <v>13284</v>
      </c>
      <c r="E3579" s="9" t="s">
        <v>13284</v>
      </c>
      <c r="F3579" s="9" t="s">
        <v>13284</v>
      </c>
      <c r="G3579" s="9" t="s">
        <v>13284</v>
      </c>
      <c r="H3579" s="9" t="s">
        <v>13284</v>
      </c>
      <c r="I3579" s="9" t="s">
        <v>13284</v>
      </c>
      <c r="J3579" s="9" t="s">
        <v>13284</v>
      </c>
      <c r="K3579" s="9" t="s">
        <v>13284</v>
      </c>
      <c r="L3579" s="9" t="s">
        <v>13284</v>
      </c>
      <c r="M3579" s="9" t="s">
        <v>13284</v>
      </c>
      <c r="N3579" s="9" t="s">
        <v>13284</v>
      </c>
      <c r="O3579" s="9" t="s">
        <v>13284</v>
      </c>
      <c r="P3579" s="9" t="s">
        <v>13284</v>
      </c>
      <c r="Q3579" s="9" t="s">
        <v>13284</v>
      </c>
      <c r="R3579" s="9" t="s">
        <v>13284</v>
      </c>
      <c r="S3579" s="9" t="s">
        <v>13284</v>
      </c>
      <c r="T3579" s="9" t="str">
        <f ca="1">IFERROR(IF(AND(VLOOKUP(A3579, 'Актуальное состояние (из общего'!A:C,3,0) = "", A3579 &lt;&gt; ""), "ПРОВЕРИТЬ", VLOOKUP(A3579, 'Актуальное состояние (из общего'!A:C,3,0)), "")</f>
        <v/>
      </c>
      <c r="U3579" s="9" t="s">
        <v>13284</v>
      </c>
      <c r="V3579" s="9" t="s">
        <v>13284</v>
      </c>
      <c r="W3579" s="12"/>
      <c r="X3579" s="9" t="str">
        <f t="array" ref="X3579">IFERROR(INDEX('Адреса общежитий (скрытый)'!$B$2:$B$9, MATCH(W3579, 'Адреса общежитий (скрытый)'!$A$2:$A$9, 0)), "")</f>
        <v/>
      </c>
      <c r="Y3579" s="18"/>
      <c r="Z3579" s="18"/>
      <c r="AA3579" s="18"/>
      <c r="AB3579" s="18"/>
      <c r="AC3579" s="18"/>
    </row>
    <row r="3580" spans="1:29" ht="32.25" hidden="1" customHeight="1">
      <c r="A3580" s="17"/>
      <c r="B3580" s="9" t="s">
        <v>13284</v>
      </c>
      <c r="C3580" s="9" t="s">
        <v>13284</v>
      </c>
      <c r="D3580" s="9" t="s">
        <v>13284</v>
      </c>
      <c r="E3580" s="9" t="s">
        <v>13284</v>
      </c>
      <c r="F3580" s="9" t="s">
        <v>13284</v>
      </c>
      <c r="G3580" s="9" t="s">
        <v>13284</v>
      </c>
      <c r="H3580" s="9" t="s">
        <v>13284</v>
      </c>
      <c r="I3580" s="9" t="s">
        <v>13284</v>
      </c>
      <c r="J3580" s="9" t="s">
        <v>13284</v>
      </c>
      <c r="K3580" s="9" t="s">
        <v>13284</v>
      </c>
      <c r="L3580" s="9" t="s">
        <v>13284</v>
      </c>
      <c r="M3580" s="9" t="s">
        <v>13284</v>
      </c>
      <c r="N3580" s="9" t="s">
        <v>13284</v>
      </c>
      <c r="O3580" s="9" t="s">
        <v>13284</v>
      </c>
      <c r="P3580" s="9" t="s">
        <v>13284</v>
      </c>
      <c r="Q3580" s="9" t="s">
        <v>13284</v>
      </c>
      <c r="R3580" s="9" t="s">
        <v>13284</v>
      </c>
      <c r="S3580" s="9" t="s">
        <v>13284</v>
      </c>
      <c r="T3580" s="9" t="str">
        <f ca="1">IFERROR(IF(AND(VLOOKUP(A3580, 'Актуальное состояние (из общего'!A:C,3,0) = "", A3580 &lt;&gt; ""), "ПРОВЕРИТЬ", VLOOKUP(A3580, 'Актуальное состояние (из общего'!A:C,3,0)), "")</f>
        <v/>
      </c>
      <c r="U3580" s="9" t="s">
        <v>13284</v>
      </c>
      <c r="V3580" s="9" t="s">
        <v>13284</v>
      </c>
      <c r="W3580" s="12"/>
      <c r="X3580" s="9" t="str">
        <f t="array" ref="X3580">IFERROR(INDEX('Адреса общежитий (скрытый)'!$B$2:$B$9, MATCH(W3580, 'Адреса общежитий (скрытый)'!$A$2:$A$9, 0)), "")</f>
        <v/>
      </c>
      <c r="Y3580" s="18"/>
      <c r="Z3580" s="18"/>
      <c r="AA3580" s="18"/>
      <c r="AB3580" s="18"/>
      <c r="AC3580" s="18"/>
    </row>
    <row r="3581" spans="1:29" ht="32.25" hidden="1" customHeight="1">
      <c r="A3581" s="17"/>
      <c r="B3581" s="9" t="s">
        <v>13284</v>
      </c>
      <c r="C3581" s="9" t="s">
        <v>13284</v>
      </c>
      <c r="D3581" s="9" t="s">
        <v>13284</v>
      </c>
      <c r="E3581" s="9" t="s">
        <v>13284</v>
      </c>
      <c r="F3581" s="9" t="s">
        <v>13284</v>
      </c>
      <c r="G3581" s="9" t="s">
        <v>13284</v>
      </c>
      <c r="H3581" s="9" t="s">
        <v>13284</v>
      </c>
      <c r="I3581" s="9" t="s">
        <v>13284</v>
      </c>
      <c r="J3581" s="9" t="s">
        <v>13284</v>
      </c>
      <c r="K3581" s="9" t="s">
        <v>13284</v>
      </c>
      <c r="L3581" s="9" t="s">
        <v>13284</v>
      </c>
      <c r="M3581" s="9" t="s">
        <v>13284</v>
      </c>
      <c r="N3581" s="9" t="s">
        <v>13284</v>
      </c>
      <c r="O3581" s="9" t="s">
        <v>13284</v>
      </c>
      <c r="P3581" s="9" t="s">
        <v>13284</v>
      </c>
      <c r="Q3581" s="9" t="s">
        <v>13284</v>
      </c>
      <c r="R3581" s="9" t="s">
        <v>13284</v>
      </c>
      <c r="S3581" s="9" t="s">
        <v>13284</v>
      </c>
      <c r="T3581" s="9" t="str">
        <f ca="1">IFERROR(IF(AND(VLOOKUP(A3581, 'Актуальное состояние (из общего'!A:C,3,0) = "", A3581 &lt;&gt; ""), "ПРОВЕРИТЬ", VLOOKUP(A3581, 'Актуальное состояние (из общего'!A:C,3,0)), "")</f>
        <v/>
      </c>
      <c r="U3581" s="9" t="s">
        <v>13284</v>
      </c>
      <c r="V3581" s="9" t="s">
        <v>13284</v>
      </c>
      <c r="W3581" s="12"/>
      <c r="X3581" s="9" t="str">
        <f t="array" ref="X3581">IFERROR(INDEX('Адреса общежитий (скрытый)'!$B$2:$B$9, MATCH(W3581, 'Адреса общежитий (скрытый)'!$A$2:$A$9, 0)), "")</f>
        <v/>
      </c>
      <c r="Y3581" s="18"/>
      <c r="Z3581" s="18"/>
      <c r="AA3581" s="18"/>
      <c r="AB3581" s="18"/>
      <c r="AC3581" s="18"/>
    </row>
    <row r="3582" spans="1:29" ht="32.25" hidden="1" customHeight="1">
      <c r="A3582" s="17"/>
      <c r="B3582" s="9" t="s">
        <v>13284</v>
      </c>
      <c r="C3582" s="9" t="s">
        <v>13284</v>
      </c>
      <c r="D3582" s="9" t="s">
        <v>13284</v>
      </c>
      <c r="E3582" s="9" t="s">
        <v>13284</v>
      </c>
      <c r="F3582" s="9" t="s">
        <v>13284</v>
      </c>
      <c r="G3582" s="9" t="s">
        <v>13284</v>
      </c>
      <c r="H3582" s="9" t="s">
        <v>13284</v>
      </c>
      <c r="I3582" s="9" t="s">
        <v>13284</v>
      </c>
      <c r="J3582" s="9" t="s">
        <v>13284</v>
      </c>
      <c r="K3582" s="9" t="s">
        <v>13284</v>
      </c>
      <c r="L3582" s="9" t="s">
        <v>13284</v>
      </c>
      <c r="M3582" s="9" t="s">
        <v>13284</v>
      </c>
      <c r="N3582" s="9" t="s">
        <v>13284</v>
      </c>
      <c r="O3582" s="9" t="s">
        <v>13284</v>
      </c>
      <c r="P3582" s="9" t="s">
        <v>13284</v>
      </c>
      <c r="Q3582" s="9" t="s">
        <v>13284</v>
      </c>
      <c r="R3582" s="9" t="s">
        <v>13284</v>
      </c>
      <c r="S3582" s="9" t="s">
        <v>13284</v>
      </c>
      <c r="T3582" s="9" t="str">
        <f ca="1">IFERROR(IF(AND(VLOOKUP(A3582, 'Актуальное состояние (из общего'!A:C,3,0) = "", A3582 &lt;&gt; ""), "ПРОВЕРИТЬ", VLOOKUP(A3582, 'Актуальное состояние (из общего'!A:C,3,0)), "")</f>
        <v/>
      </c>
      <c r="U3582" s="9" t="s">
        <v>13284</v>
      </c>
      <c r="V3582" s="9" t="s">
        <v>13284</v>
      </c>
      <c r="W3582" s="12"/>
      <c r="X3582" s="9" t="str">
        <f t="array" ref="X3582">IFERROR(INDEX('Адреса общежитий (скрытый)'!$B$2:$B$9, MATCH(W3582, 'Адреса общежитий (скрытый)'!$A$2:$A$9, 0)), "")</f>
        <v/>
      </c>
      <c r="Y3582" s="18"/>
      <c r="Z3582" s="18"/>
      <c r="AA3582" s="18"/>
      <c r="AB3582" s="18"/>
      <c r="AC3582" s="18"/>
    </row>
    <row r="3583" spans="1:29" ht="32.25" hidden="1" customHeight="1">
      <c r="A3583" s="17"/>
      <c r="B3583" s="9" t="s">
        <v>13284</v>
      </c>
      <c r="C3583" s="9" t="s">
        <v>13284</v>
      </c>
      <c r="D3583" s="9" t="s">
        <v>13284</v>
      </c>
      <c r="E3583" s="9" t="s">
        <v>13284</v>
      </c>
      <c r="F3583" s="9" t="s">
        <v>13284</v>
      </c>
      <c r="G3583" s="9" t="s">
        <v>13284</v>
      </c>
      <c r="H3583" s="9" t="s">
        <v>13284</v>
      </c>
      <c r="I3583" s="9" t="s">
        <v>13284</v>
      </c>
      <c r="J3583" s="9" t="s">
        <v>13284</v>
      </c>
      <c r="K3583" s="9" t="s">
        <v>13284</v>
      </c>
      <c r="L3583" s="9" t="s">
        <v>13284</v>
      </c>
      <c r="M3583" s="9" t="s">
        <v>13284</v>
      </c>
      <c r="N3583" s="9" t="s">
        <v>13284</v>
      </c>
      <c r="O3583" s="9" t="s">
        <v>13284</v>
      </c>
      <c r="P3583" s="9" t="s">
        <v>13284</v>
      </c>
      <c r="Q3583" s="9" t="s">
        <v>13284</v>
      </c>
      <c r="R3583" s="9" t="s">
        <v>13284</v>
      </c>
      <c r="S3583" s="9" t="s">
        <v>13284</v>
      </c>
      <c r="T3583" s="9" t="str">
        <f ca="1">IFERROR(IF(AND(VLOOKUP(A3583, 'Актуальное состояние (из общего'!A:C,3,0) = "", A3583 &lt;&gt; ""), "ПРОВЕРИТЬ", VLOOKUP(A3583, 'Актуальное состояние (из общего'!A:C,3,0)), "")</f>
        <v/>
      </c>
      <c r="U3583" s="9" t="s">
        <v>13284</v>
      </c>
      <c r="V3583" s="9" t="s">
        <v>13284</v>
      </c>
      <c r="W3583" s="12"/>
      <c r="X3583" s="9" t="str">
        <f t="array" ref="X3583">IFERROR(INDEX('Адреса общежитий (скрытый)'!$B$2:$B$9, MATCH(W3583, 'Адреса общежитий (скрытый)'!$A$2:$A$9, 0)), "")</f>
        <v/>
      </c>
      <c r="Y3583" s="18"/>
      <c r="Z3583" s="18"/>
      <c r="AA3583" s="18"/>
      <c r="AB3583" s="18"/>
      <c r="AC3583" s="18"/>
    </row>
    <row r="3584" spans="1:29" ht="32.25" hidden="1" customHeight="1">
      <c r="A3584" s="17"/>
      <c r="B3584" s="9" t="s">
        <v>13284</v>
      </c>
      <c r="C3584" s="9" t="s">
        <v>13284</v>
      </c>
      <c r="D3584" s="9" t="s">
        <v>13284</v>
      </c>
      <c r="E3584" s="9" t="s">
        <v>13284</v>
      </c>
      <c r="F3584" s="9" t="s">
        <v>13284</v>
      </c>
      <c r="G3584" s="9" t="s">
        <v>13284</v>
      </c>
      <c r="H3584" s="9" t="s">
        <v>13284</v>
      </c>
      <c r="I3584" s="9" t="s">
        <v>13284</v>
      </c>
      <c r="J3584" s="9" t="s">
        <v>13284</v>
      </c>
      <c r="K3584" s="9" t="s">
        <v>13284</v>
      </c>
      <c r="L3584" s="9" t="s">
        <v>13284</v>
      </c>
      <c r="M3584" s="9" t="s">
        <v>13284</v>
      </c>
      <c r="N3584" s="9" t="s">
        <v>13284</v>
      </c>
      <c r="O3584" s="9" t="s">
        <v>13284</v>
      </c>
      <c r="P3584" s="9" t="s">
        <v>13284</v>
      </c>
      <c r="Q3584" s="9" t="s">
        <v>13284</v>
      </c>
      <c r="R3584" s="9" t="s">
        <v>13284</v>
      </c>
      <c r="S3584" s="9" t="s">
        <v>13284</v>
      </c>
      <c r="T3584" s="9" t="str">
        <f ca="1">IFERROR(IF(AND(VLOOKUP(A3584, 'Актуальное состояние (из общего'!A:C,3,0) = "", A3584 &lt;&gt; ""), "ПРОВЕРИТЬ", VLOOKUP(A3584, 'Актуальное состояние (из общего'!A:C,3,0)), "")</f>
        <v/>
      </c>
      <c r="U3584" s="9" t="s">
        <v>13284</v>
      </c>
      <c r="V3584" s="9" t="s">
        <v>13284</v>
      </c>
      <c r="W3584" s="12"/>
      <c r="X3584" s="9" t="str">
        <f t="array" ref="X3584">IFERROR(INDEX('Адреса общежитий (скрытый)'!$B$2:$B$9, MATCH(W3584, 'Адреса общежитий (скрытый)'!$A$2:$A$9, 0)), "")</f>
        <v/>
      </c>
      <c r="Y3584" s="18"/>
      <c r="Z3584" s="18"/>
      <c r="AA3584" s="18"/>
      <c r="AB3584" s="18"/>
      <c r="AC3584" s="18"/>
    </row>
    <row r="3585" spans="1:29" ht="32.25" hidden="1" customHeight="1">
      <c r="A3585" s="17"/>
      <c r="B3585" s="9" t="s">
        <v>13284</v>
      </c>
      <c r="C3585" s="9" t="s">
        <v>13284</v>
      </c>
      <c r="D3585" s="9" t="s">
        <v>13284</v>
      </c>
      <c r="E3585" s="9" t="s">
        <v>13284</v>
      </c>
      <c r="F3585" s="9" t="s">
        <v>13284</v>
      </c>
      <c r="G3585" s="9" t="s">
        <v>13284</v>
      </c>
      <c r="H3585" s="9" t="s">
        <v>13284</v>
      </c>
      <c r="I3585" s="9" t="s">
        <v>13284</v>
      </c>
      <c r="J3585" s="9" t="s">
        <v>13284</v>
      </c>
      <c r="K3585" s="9" t="s">
        <v>13284</v>
      </c>
      <c r="L3585" s="9" t="s">
        <v>13284</v>
      </c>
      <c r="M3585" s="9" t="s">
        <v>13284</v>
      </c>
      <c r="N3585" s="9" t="s">
        <v>13284</v>
      </c>
      <c r="O3585" s="9" t="s">
        <v>13284</v>
      </c>
      <c r="P3585" s="9" t="s">
        <v>13284</v>
      </c>
      <c r="Q3585" s="9" t="s">
        <v>13284</v>
      </c>
      <c r="R3585" s="9" t="s">
        <v>13284</v>
      </c>
      <c r="S3585" s="9" t="s">
        <v>13284</v>
      </c>
      <c r="T3585" s="9" t="str">
        <f ca="1">IFERROR(IF(AND(VLOOKUP(A3585, 'Актуальное состояние (из общего'!A:C,3,0) = "", A3585 &lt;&gt; ""), "ПРОВЕРИТЬ", VLOOKUP(A3585, 'Актуальное состояние (из общего'!A:C,3,0)), "")</f>
        <v/>
      </c>
      <c r="U3585" s="9" t="s">
        <v>13284</v>
      </c>
      <c r="V3585" s="9" t="s">
        <v>13284</v>
      </c>
      <c r="W3585" s="12"/>
      <c r="X3585" s="9" t="str">
        <f t="array" ref="X3585">IFERROR(INDEX('Адреса общежитий (скрытый)'!$B$2:$B$9, MATCH(W3585, 'Адреса общежитий (скрытый)'!$A$2:$A$9, 0)), "")</f>
        <v/>
      </c>
      <c r="Y3585" s="18"/>
      <c r="Z3585" s="18"/>
      <c r="AA3585" s="18"/>
      <c r="AB3585" s="18"/>
      <c r="AC3585" s="18"/>
    </row>
    <row r="3586" spans="1:29" ht="32.25" hidden="1" customHeight="1">
      <c r="A3586" s="17"/>
      <c r="B3586" s="9" t="s">
        <v>13284</v>
      </c>
      <c r="C3586" s="9" t="s">
        <v>13284</v>
      </c>
      <c r="D3586" s="9" t="s">
        <v>13284</v>
      </c>
      <c r="E3586" s="9" t="s">
        <v>13284</v>
      </c>
      <c r="F3586" s="9" t="s">
        <v>13284</v>
      </c>
      <c r="G3586" s="9" t="s">
        <v>13284</v>
      </c>
      <c r="H3586" s="9" t="s">
        <v>13284</v>
      </c>
      <c r="I3586" s="9" t="s">
        <v>13284</v>
      </c>
      <c r="J3586" s="9" t="s">
        <v>13284</v>
      </c>
      <c r="K3586" s="9" t="s">
        <v>13284</v>
      </c>
      <c r="L3586" s="9" t="s">
        <v>13284</v>
      </c>
      <c r="M3586" s="9" t="s">
        <v>13284</v>
      </c>
      <c r="N3586" s="9" t="s">
        <v>13284</v>
      </c>
      <c r="O3586" s="9" t="s">
        <v>13284</v>
      </c>
      <c r="P3586" s="9" t="s">
        <v>13284</v>
      </c>
      <c r="Q3586" s="9" t="s">
        <v>13284</v>
      </c>
      <c r="R3586" s="9" t="s">
        <v>13284</v>
      </c>
      <c r="S3586" s="9" t="s">
        <v>13284</v>
      </c>
      <c r="T3586" s="9" t="str">
        <f ca="1">IFERROR(IF(AND(VLOOKUP(A3586, 'Актуальное состояние (из общего'!A:C,3,0) = "", A3586 &lt;&gt; ""), "ПРОВЕРИТЬ", VLOOKUP(A3586, 'Актуальное состояние (из общего'!A:C,3,0)), "")</f>
        <v/>
      </c>
      <c r="U3586" s="9" t="s">
        <v>13284</v>
      </c>
      <c r="V3586" s="9" t="s">
        <v>13284</v>
      </c>
      <c r="W3586" s="12"/>
      <c r="X3586" s="9" t="str">
        <f t="array" ref="X3586">IFERROR(INDEX('Адреса общежитий (скрытый)'!$B$2:$B$9, MATCH(W3586, 'Адреса общежитий (скрытый)'!$A$2:$A$9, 0)), "")</f>
        <v/>
      </c>
      <c r="Y3586" s="18"/>
      <c r="Z3586" s="18"/>
      <c r="AA3586" s="18"/>
      <c r="AB3586" s="18"/>
      <c r="AC3586" s="18"/>
    </row>
    <row r="3587" spans="1:29" ht="32.25" hidden="1" customHeight="1">
      <c r="A3587" s="17"/>
      <c r="B3587" s="9" t="s">
        <v>13284</v>
      </c>
      <c r="C3587" s="9" t="s">
        <v>13284</v>
      </c>
      <c r="D3587" s="9" t="s">
        <v>13284</v>
      </c>
      <c r="E3587" s="9" t="s">
        <v>13284</v>
      </c>
      <c r="F3587" s="9" t="s">
        <v>13284</v>
      </c>
      <c r="G3587" s="9" t="s">
        <v>13284</v>
      </c>
      <c r="H3587" s="9" t="s">
        <v>13284</v>
      </c>
      <c r="I3587" s="9" t="s">
        <v>13284</v>
      </c>
      <c r="J3587" s="9" t="s">
        <v>13284</v>
      </c>
      <c r="K3587" s="9" t="s">
        <v>13284</v>
      </c>
      <c r="L3587" s="9" t="s">
        <v>13284</v>
      </c>
      <c r="M3587" s="9" t="s">
        <v>13284</v>
      </c>
      <c r="N3587" s="9" t="s">
        <v>13284</v>
      </c>
      <c r="O3587" s="9" t="s">
        <v>13284</v>
      </c>
      <c r="P3587" s="9" t="s">
        <v>13284</v>
      </c>
      <c r="Q3587" s="9" t="s">
        <v>13284</v>
      </c>
      <c r="R3587" s="9" t="s">
        <v>13284</v>
      </c>
      <c r="S3587" s="9" t="s">
        <v>13284</v>
      </c>
      <c r="T3587" s="9" t="str">
        <f ca="1">IFERROR(IF(AND(VLOOKUP(A3587, 'Актуальное состояние (из общего'!A:C,3,0) = "", A3587 &lt;&gt; ""), "ПРОВЕРИТЬ", VLOOKUP(A3587, 'Актуальное состояние (из общего'!A:C,3,0)), "")</f>
        <v/>
      </c>
      <c r="U3587" s="9" t="s">
        <v>13284</v>
      </c>
      <c r="V3587" s="9" t="s">
        <v>13284</v>
      </c>
      <c r="W3587" s="12"/>
      <c r="X3587" s="9" t="str">
        <f t="array" ref="X3587">IFERROR(INDEX('Адреса общежитий (скрытый)'!$B$2:$B$9, MATCH(W3587, 'Адреса общежитий (скрытый)'!$A$2:$A$9, 0)), "")</f>
        <v/>
      </c>
      <c r="Y3587" s="18"/>
      <c r="Z3587" s="18"/>
      <c r="AA3587" s="18"/>
      <c r="AB3587" s="18"/>
      <c r="AC3587" s="18"/>
    </row>
    <row r="3588" spans="1:29" ht="32.25" hidden="1" customHeight="1">
      <c r="A3588" s="17"/>
      <c r="B3588" s="9" t="s">
        <v>13284</v>
      </c>
      <c r="C3588" s="9" t="s">
        <v>13284</v>
      </c>
      <c r="D3588" s="9" t="s">
        <v>13284</v>
      </c>
      <c r="E3588" s="9" t="s">
        <v>13284</v>
      </c>
      <c r="F3588" s="9" t="s">
        <v>13284</v>
      </c>
      <c r="G3588" s="9" t="s">
        <v>13284</v>
      </c>
      <c r="H3588" s="9" t="s">
        <v>13284</v>
      </c>
      <c r="I3588" s="9" t="s">
        <v>13284</v>
      </c>
      <c r="J3588" s="9" t="s">
        <v>13284</v>
      </c>
      <c r="K3588" s="9" t="s">
        <v>13284</v>
      </c>
      <c r="L3588" s="9" t="s">
        <v>13284</v>
      </c>
      <c r="M3588" s="9" t="s">
        <v>13284</v>
      </c>
      <c r="N3588" s="9" t="s">
        <v>13284</v>
      </c>
      <c r="O3588" s="9" t="s">
        <v>13284</v>
      </c>
      <c r="P3588" s="9" t="s">
        <v>13284</v>
      </c>
      <c r="Q3588" s="9" t="s">
        <v>13284</v>
      </c>
      <c r="R3588" s="9" t="s">
        <v>13284</v>
      </c>
      <c r="S3588" s="9" t="s">
        <v>13284</v>
      </c>
      <c r="T3588" s="9" t="str">
        <f ca="1">IFERROR(IF(AND(VLOOKUP(A3588, 'Актуальное состояние (из общего'!A:C,3,0) = "", A3588 &lt;&gt; ""), "ПРОВЕРИТЬ", VLOOKUP(A3588, 'Актуальное состояние (из общего'!A:C,3,0)), "")</f>
        <v/>
      </c>
      <c r="U3588" s="9" t="s">
        <v>13284</v>
      </c>
      <c r="V3588" s="9" t="s">
        <v>13284</v>
      </c>
      <c r="W3588" s="12"/>
      <c r="X3588" s="9" t="str">
        <f t="array" ref="X3588">IFERROR(INDEX('Адреса общежитий (скрытый)'!$B$2:$B$9, MATCH(W3588, 'Адреса общежитий (скрытый)'!$A$2:$A$9, 0)), "")</f>
        <v/>
      </c>
      <c r="Y3588" s="18"/>
      <c r="Z3588" s="18"/>
      <c r="AA3588" s="18"/>
      <c r="AB3588" s="18"/>
      <c r="AC3588" s="18"/>
    </row>
    <row r="3589" spans="1:29" ht="32.25" hidden="1" customHeight="1">
      <c r="A3589" s="17"/>
      <c r="B3589" s="9" t="s">
        <v>13284</v>
      </c>
      <c r="C3589" s="9" t="s">
        <v>13284</v>
      </c>
      <c r="D3589" s="9" t="s">
        <v>13284</v>
      </c>
      <c r="E3589" s="9" t="s">
        <v>13284</v>
      </c>
      <c r="F3589" s="9" t="s">
        <v>13284</v>
      </c>
      <c r="G3589" s="9" t="s">
        <v>13284</v>
      </c>
      <c r="H3589" s="9" t="s">
        <v>13284</v>
      </c>
      <c r="I3589" s="9" t="s">
        <v>13284</v>
      </c>
      <c r="J3589" s="9" t="s">
        <v>13284</v>
      </c>
      <c r="K3589" s="9" t="s">
        <v>13284</v>
      </c>
      <c r="L3589" s="9" t="s">
        <v>13284</v>
      </c>
      <c r="M3589" s="9" t="s">
        <v>13284</v>
      </c>
      <c r="N3589" s="9" t="s">
        <v>13284</v>
      </c>
      <c r="O3589" s="9" t="s">
        <v>13284</v>
      </c>
      <c r="P3589" s="9" t="s">
        <v>13284</v>
      </c>
      <c r="Q3589" s="9" t="s">
        <v>13284</v>
      </c>
      <c r="R3589" s="9" t="s">
        <v>13284</v>
      </c>
      <c r="S3589" s="9" t="s">
        <v>13284</v>
      </c>
      <c r="T3589" s="9" t="str">
        <f ca="1">IFERROR(IF(AND(VLOOKUP(A3589, 'Актуальное состояние (из общего'!A:C,3,0) = "", A3589 &lt;&gt; ""), "ПРОВЕРИТЬ", VLOOKUP(A3589, 'Актуальное состояние (из общего'!A:C,3,0)), "")</f>
        <v/>
      </c>
      <c r="U3589" s="9" t="s">
        <v>13284</v>
      </c>
      <c r="V3589" s="9" t="s">
        <v>13284</v>
      </c>
      <c r="W3589" s="12"/>
      <c r="X3589" s="9" t="str">
        <f t="array" ref="X3589">IFERROR(INDEX('Адреса общежитий (скрытый)'!$B$2:$B$9, MATCH(W3589, 'Адреса общежитий (скрытый)'!$A$2:$A$9, 0)), "")</f>
        <v/>
      </c>
      <c r="Y3589" s="18"/>
      <c r="Z3589" s="18"/>
      <c r="AA3589" s="18"/>
      <c r="AB3589" s="18"/>
      <c r="AC3589" s="18"/>
    </row>
    <row r="3590" spans="1:29" ht="32.25" hidden="1" customHeight="1">
      <c r="A3590" s="17"/>
      <c r="B3590" s="9" t="s">
        <v>13284</v>
      </c>
      <c r="C3590" s="9" t="s">
        <v>13284</v>
      </c>
      <c r="D3590" s="9" t="s">
        <v>13284</v>
      </c>
      <c r="E3590" s="9" t="s">
        <v>13284</v>
      </c>
      <c r="F3590" s="9" t="s">
        <v>13284</v>
      </c>
      <c r="G3590" s="9" t="s">
        <v>13284</v>
      </c>
      <c r="H3590" s="9" t="s">
        <v>13284</v>
      </c>
      <c r="I3590" s="9" t="s">
        <v>13284</v>
      </c>
      <c r="J3590" s="9" t="s">
        <v>13284</v>
      </c>
      <c r="K3590" s="9" t="s">
        <v>13284</v>
      </c>
      <c r="L3590" s="9" t="s">
        <v>13284</v>
      </c>
      <c r="M3590" s="9" t="s">
        <v>13284</v>
      </c>
      <c r="N3590" s="9" t="s">
        <v>13284</v>
      </c>
      <c r="O3590" s="9" t="s">
        <v>13284</v>
      </c>
      <c r="P3590" s="9" t="s">
        <v>13284</v>
      </c>
      <c r="Q3590" s="9" t="s">
        <v>13284</v>
      </c>
      <c r="R3590" s="9" t="s">
        <v>13284</v>
      </c>
      <c r="S3590" s="9" t="s">
        <v>13284</v>
      </c>
      <c r="T3590" s="9" t="str">
        <f ca="1">IFERROR(IF(AND(VLOOKUP(A3590, 'Актуальное состояние (из общего'!A:C,3,0) = "", A3590 &lt;&gt; ""), "ПРОВЕРИТЬ", VLOOKUP(A3590, 'Актуальное состояние (из общего'!A:C,3,0)), "")</f>
        <v/>
      </c>
      <c r="U3590" s="9" t="s">
        <v>13284</v>
      </c>
      <c r="V3590" s="9" t="s">
        <v>13284</v>
      </c>
      <c r="W3590" s="12"/>
      <c r="X3590" s="9" t="str">
        <f t="array" ref="X3590">IFERROR(INDEX('Адреса общежитий (скрытый)'!$B$2:$B$9, MATCH(W3590, 'Адреса общежитий (скрытый)'!$A$2:$A$9, 0)), "")</f>
        <v/>
      </c>
      <c r="Y3590" s="18"/>
      <c r="Z3590" s="18"/>
      <c r="AA3590" s="18"/>
      <c r="AB3590" s="18"/>
      <c r="AC3590" s="18"/>
    </row>
    <row r="3591" spans="1:29" ht="32.25" hidden="1" customHeight="1">
      <c r="A3591" s="17"/>
      <c r="B3591" s="9" t="s">
        <v>13284</v>
      </c>
      <c r="C3591" s="9" t="s">
        <v>13284</v>
      </c>
      <c r="D3591" s="9" t="s">
        <v>13284</v>
      </c>
      <c r="E3591" s="9" t="s">
        <v>13284</v>
      </c>
      <c r="F3591" s="9" t="s">
        <v>13284</v>
      </c>
      <c r="G3591" s="9" t="s">
        <v>13284</v>
      </c>
      <c r="H3591" s="9" t="s">
        <v>13284</v>
      </c>
      <c r="I3591" s="9" t="s">
        <v>13284</v>
      </c>
      <c r="J3591" s="9" t="s">
        <v>13284</v>
      </c>
      <c r="K3591" s="9" t="s">
        <v>13284</v>
      </c>
      <c r="L3591" s="9" t="s">
        <v>13284</v>
      </c>
      <c r="M3591" s="9" t="s">
        <v>13284</v>
      </c>
      <c r="N3591" s="9" t="s">
        <v>13284</v>
      </c>
      <c r="O3591" s="9" t="s">
        <v>13284</v>
      </c>
      <c r="P3591" s="9" t="s">
        <v>13284</v>
      </c>
      <c r="Q3591" s="9" t="s">
        <v>13284</v>
      </c>
      <c r="R3591" s="9" t="s">
        <v>13284</v>
      </c>
      <c r="S3591" s="9" t="s">
        <v>13284</v>
      </c>
      <c r="T3591" s="9" t="str">
        <f ca="1">IFERROR(IF(AND(VLOOKUP(A3591, 'Актуальное состояние (из общего'!A:C,3,0) = "", A3591 &lt;&gt; ""), "ПРОВЕРИТЬ", VLOOKUP(A3591, 'Актуальное состояние (из общего'!A:C,3,0)), "")</f>
        <v/>
      </c>
      <c r="U3591" s="9" t="s">
        <v>13284</v>
      </c>
      <c r="V3591" s="9" t="s">
        <v>13284</v>
      </c>
      <c r="W3591" s="12"/>
      <c r="X3591" s="9" t="str">
        <f t="array" ref="X3591">IFERROR(INDEX('Адреса общежитий (скрытый)'!$B$2:$B$9, MATCH(W3591, 'Адреса общежитий (скрытый)'!$A$2:$A$9, 0)), "")</f>
        <v/>
      </c>
      <c r="Y3591" s="18"/>
      <c r="Z3591" s="18"/>
      <c r="AA3591" s="18"/>
      <c r="AB3591" s="18"/>
      <c r="AC3591" s="18"/>
    </row>
    <row r="3592" spans="1:29" ht="32.25" hidden="1" customHeight="1">
      <c r="A3592" s="17"/>
      <c r="B3592" s="9" t="s">
        <v>13284</v>
      </c>
      <c r="C3592" s="9" t="s">
        <v>13284</v>
      </c>
      <c r="D3592" s="9" t="s">
        <v>13284</v>
      </c>
      <c r="E3592" s="9" t="s">
        <v>13284</v>
      </c>
      <c r="F3592" s="9" t="s">
        <v>13284</v>
      </c>
      <c r="G3592" s="9" t="s">
        <v>13284</v>
      </c>
      <c r="H3592" s="9" t="s">
        <v>13284</v>
      </c>
      <c r="I3592" s="9" t="s">
        <v>13284</v>
      </c>
      <c r="J3592" s="9" t="s">
        <v>13284</v>
      </c>
      <c r="K3592" s="9" t="s">
        <v>13284</v>
      </c>
      <c r="L3592" s="9" t="s">
        <v>13284</v>
      </c>
      <c r="M3592" s="9" t="s">
        <v>13284</v>
      </c>
      <c r="N3592" s="9" t="s">
        <v>13284</v>
      </c>
      <c r="O3592" s="9" t="s">
        <v>13284</v>
      </c>
      <c r="P3592" s="9" t="s">
        <v>13284</v>
      </c>
      <c r="Q3592" s="9" t="s">
        <v>13284</v>
      </c>
      <c r="R3592" s="9" t="s">
        <v>13284</v>
      </c>
      <c r="S3592" s="9" t="s">
        <v>13284</v>
      </c>
      <c r="T3592" s="9" t="str">
        <f ca="1">IFERROR(IF(AND(VLOOKUP(A3592, 'Актуальное состояние (из общего'!A:C,3,0) = "", A3592 &lt;&gt; ""), "ПРОВЕРИТЬ", VLOOKUP(A3592, 'Актуальное состояние (из общего'!A:C,3,0)), "")</f>
        <v/>
      </c>
      <c r="U3592" s="9" t="s">
        <v>13284</v>
      </c>
      <c r="V3592" s="9" t="s">
        <v>13284</v>
      </c>
      <c r="W3592" s="12"/>
      <c r="X3592" s="9" t="str">
        <f t="array" ref="X3592">IFERROR(INDEX('Адреса общежитий (скрытый)'!$B$2:$B$9, MATCH(W3592, 'Адреса общежитий (скрытый)'!$A$2:$A$9, 0)), "")</f>
        <v/>
      </c>
      <c r="Y3592" s="18"/>
      <c r="Z3592" s="18"/>
      <c r="AA3592" s="18"/>
      <c r="AB3592" s="18"/>
      <c r="AC3592" s="18"/>
    </row>
    <row r="3593" spans="1:29" ht="32.25" hidden="1" customHeight="1">
      <c r="A3593" s="17"/>
      <c r="B3593" s="9" t="s">
        <v>13284</v>
      </c>
      <c r="C3593" s="9" t="s">
        <v>13284</v>
      </c>
      <c r="D3593" s="9" t="s">
        <v>13284</v>
      </c>
      <c r="E3593" s="9" t="s">
        <v>13284</v>
      </c>
      <c r="F3593" s="9" t="s">
        <v>13284</v>
      </c>
      <c r="G3593" s="9" t="s">
        <v>13284</v>
      </c>
      <c r="H3593" s="9" t="s">
        <v>13284</v>
      </c>
      <c r="I3593" s="9" t="s">
        <v>13284</v>
      </c>
      <c r="J3593" s="9" t="s">
        <v>13284</v>
      </c>
      <c r="K3593" s="9" t="s">
        <v>13284</v>
      </c>
      <c r="L3593" s="9" t="s">
        <v>13284</v>
      </c>
      <c r="M3593" s="9" t="s">
        <v>13284</v>
      </c>
      <c r="N3593" s="9" t="s">
        <v>13284</v>
      </c>
      <c r="O3593" s="9" t="s">
        <v>13284</v>
      </c>
      <c r="P3593" s="9" t="s">
        <v>13284</v>
      </c>
      <c r="Q3593" s="9" t="s">
        <v>13284</v>
      </c>
      <c r="R3593" s="9" t="s">
        <v>13284</v>
      </c>
      <c r="S3593" s="9" t="s">
        <v>13284</v>
      </c>
      <c r="T3593" s="9" t="str">
        <f ca="1">IFERROR(IF(AND(VLOOKUP(A3593, 'Актуальное состояние (из общего'!A:C,3,0) = "", A3593 &lt;&gt; ""), "ПРОВЕРИТЬ", VLOOKUP(A3593, 'Актуальное состояние (из общего'!A:C,3,0)), "")</f>
        <v/>
      </c>
      <c r="U3593" s="9" t="s">
        <v>13284</v>
      </c>
      <c r="V3593" s="9" t="s">
        <v>13284</v>
      </c>
      <c r="W3593" s="12"/>
      <c r="X3593" s="9" t="str">
        <f t="array" ref="X3593">IFERROR(INDEX('Адреса общежитий (скрытый)'!$B$2:$B$9, MATCH(W3593, 'Адреса общежитий (скрытый)'!$A$2:$A$9, 0)), "")</f>
        <v/>
      </c>
      <c r="Y3593" s="18"/>
      <c r="Z3593" s="18"/>
      <c r="AA3593" s="18"/>
      <c r="AB3593" s="18"/>
      <c r="AC3593" s="18"/>
    </row>
    <row r="3594" spans="1:29" ht="32.25" hidden="1" customHeight="1">
      <c r="A3594" s="17"/>
      <c r="B3594" s="9" t="s">
        <v>13284</v>
      </c>
      <c r="C3594" s="9" t="s">
        <v>13284</v>
      </c>
      <c r="D3594" s="9" t="s">
        <v>13284</v>
      </c>
      <c r="E3594" s="9" t="s">
        <v>13284</v>
      </c>
      <c r="F3594" s="9" t="s">
        <v>13284</v>
      </c>
      <c r="G3594" s="9" t="s">
        <v>13284</v>
      </c>
      <c r="H3594" s="9" t="s">
        <v>13284</v>
      </c>
      <c r="I3594" s="9" t="s">
        <v>13284</v>
      </c>
      <c r="J3594" s="9" t="s">
        <v>13284</v>
      </c>
      <c r="K3594" s="9" t="s">
        <v>13284</v>
      </c>
      <c r="L3594" s="9" t="s">
        <v>13284</v>
      </c>
      <c r="M3594" s="9" t="s">
        <v>13284</v>
      </c>
      <c r="N3594" s="9" t="s">
        <v>13284</v>
      </c>
      <c r="O3594" s="9" t="s">
        <v>13284</v>
      </c>
      <c r="P3594" s="9" t="s">
        <v>13284</v>
      </c>
      <c r="Q3594" s="9" t="s">
        <v>13284</v>
      </c>
      <c r="R3594" s="9" t="s">
        <v>13284</v>
      </c>
      <c r="S3594" s="9" t="s">
        <v>13284</v>
      </c>
      <c r="T3594" s="9" t="str">
        <f ca="1">IFERROR(IF(AND(VLOOKUP(A3594, 'Актуальное состояние (из общего'!A:C,3,0) = "", A3594 &lt;&gt; ""), "ПРОВЕРИТЬ", VLOOKUP(A3594, 'Актуальное состояние (из общего'!A:C,3,0)), "")</f>
        <v/>
      </c>
      <c r="U3594" s="9" t="s">
        <v>13284</v>
      </c>
      <c r="V3594" s="9" t="s">
        <v>13284</v>
      </c>
      <c r="W3594" s="12"/>
      <c r="X3594" s="9" t="str">
        <f t="array" ref="X3594">IFERROR(INDEX('Адреса общежитий (скрытый)'!$B$2:$B$9, MATCH(W3594, 'Адреса общежитий (скрытый)'!$A$2:$A$9, 0)), "")</f>
        <v/>
      </c>
      <c r="Y3594" s="18"/>
      <c r="Z3594" s="18"/>
      <c r="AA3594" s="18"/>
      <c r="AB3594" s="18"/>
      <c r="AC3594" s="18"/>
    </row>
    <row r="3595" spans="1:29" ht="32.25" hidden="1" customHeight="1">
      <c r="A3595" s="17"/>
      <c r="B3595" s="9" t="s">
        <v>13284</v>
      </c>
      <c r="C3595" s="9" t="s">
        <v>13284</v>
      </c>
      <c r="D3595" s="9" t="s">
        <v>13284</v>
      </c>
      <c r="E3595" s="9" t="s">
        <v>13284</v>
      </c>
      <c r="F3595" s="9" t="s">
        <v>13284</v>
      </c>
      <c r="G3595" s="9" t="s">
        <v>13284</v>
      </c>
      <c r="H3595" s="9" t="s">
        <v>13284</v>
      </c>
      <c r="I3595" s="9" t="s">
        <v>13284</v>
      </c>
      <c r="J3595" s="9" t="s">
        <v>13284</v>
      </c>
      <c r="K3595" s="9" t="s">
        <v>13284</v>
      </c>
      <c r="L3595" s="9" t="s">
        <v>13284</v>
      </c>
      <c r="M3595" s="9" t="s">
        <v>13284</v>
      </c>
      <c r="N3595" s="9" t="s">
        <v>13284</v>
      </c>
      <c r="O3595" s="9" t="s">
        <v>13284</v>
      </c>
      <c r="P3595" s="9" t="s">
        <v>13284</v>
      </c>
      <c r="Q3595" s="9" t="s">
        <v>13284</v>
      </c>
      <c r="R3595" s="9" t="s">
        <v>13284</v>
      </c>
      <c r="S3595" s="9" t="s">
        <v>13284</v>
      </c>
      <c r="T3595" s="9" t="str">
        <f ca="1">IFERROR(IF(AND(VLOOKUP(A3595, 'Актуальное состояние (из общего'!A:C,3,0) = "", A3595 &lt;&gt; ""), "ПРОВЕРИТЬ", VLOOKUP(A3595, 'Актуальное состояние (из общего'!A:C,3,0)), "")</f>
        <v/>
      </c>
      <c r="U3595" s="9" t="s">
        <v>13284</v>
      </c>
      <c r="V3595" s="9" t="s">
        <v>13284</v>
      </c>
      <c r="W3595" s="12"/>
      <c r="X3595" s="9" t="str">
        <f t="array" ref="X3595">IFERROR(INDEX('Адреса общежитий (скрытый)'!$B$2:$B$9, MATCH(W3595, 'Адреса общежитий (скрытый)'!$A$2:$A$9, 0)), "")</f>
        <v/>
      </c>
      <c r="Y3595" s="18"/>
      <c r="Z3595" s="18"/>
      <c r="AA3595" s="18"/>
      <c r="AB3595" s="18"/>
      <c r="AC3595" s="18"/>
    </row>
    <row r="3596" spans="1:29" ht="32.25" hidden="1" customHeight="1">
      <c r="A3596" s="17"/>
      <c r="B3596" s="9" t="s">
        <v>13284</v>
      </c>
      <c r="C3596" s="9" t="s">
        <v>13284</v>
      </c>
      <c r="D3596" s="9" t="s">
        <v>13284</v>
      </c>
      <c r="E3596" s="9" t="s">
        <v>13284</v>
      </c>
      <c r="F3596" s="9" t="s">
        <v>13284</v>
      </c>
      <c r="G3596" s="9" t="s">
        <v>13284</v>
      </c>
      <c r="H3596" s="9" t="s">
        <v>13284</v>
      </c>
      <c r="I3596" s="9" t="s">
        <v>13284</v>
      </c>
      <c r="J3596" s="9" t="s">
        <v>13284</v>
      </c>
      <c r="K3596" s="9" t="s">
        <v>13284</v>
      </c>
      <c r="L3596" s="9" t="s">
        <v>13284</v>
      </c>
      <c r="M3596" s="9" t="s">
        <v>13284</v>
      </c>
      <c r="N3596" s="9" t="s">
        <v>13284</v>
      </c>
      <c r="O3596" s="9" t="s">
        <v>13284</v>
      </c>
      <c r="P3596" s="9" t="s">
        <v>13284</v>
      </c>
      <c r="Q3596" s="9" t="s">
        <v>13284</v>
      </c>
      <c r="R3596" s="9" t="s">
        <v>13284</v>
      </c>
      <c r="S3596" s="9" t="s">
        <v>13284</v>
      </c>
      <c r="T3596" s="9" t="str">
        <f ca="1">IFERROR(IF(AND(VLOOKUP(A3596, 'Актуальное состояние (из общего'!A:C,3,0) = "", A3596 &lt;&gt; ""), "ПРОВЕРИТЬ", VLOOKUP(A3596, 'Актуальное состояние (из общего'!A:C,3,0)), "")</f>
        <v/>
      </c>
      <c r="U3596" s="9" t="s">
        <v>13284</v>
      </c>
      <c r="V3596" s="9" t="s">
        <v>13284</v>
      </c>
      <c r="W3596" s="12"/>
      <c r="X3596" s="9" t="str">
        <f t="array" ref="X3596">IFERROR(INDEX('Адреса общежитий (скрытый)'!$B$2:$B$9, MATCH(W3596, 'Адреса общежитий (скрытый)'!$A$2:$A$9, 0)), "")</f>
        <v/>
      </c>
      <c r="Y3596" s="18"/>
      <c r="Z3596" s="18"/>
      <c r="AA3596" s="18"/>
      <c r="AB3596" s="18"/>
      <c r="AC3596" s="18"/>
    </row>
    <row r="3597" spans="1:29" ht="32.25" hidden="1" customHeight="1">
      <c r="A3597" s="17"/>
      <c r="B3597" s="9" t="s">
        <v>13284</v>
      </c>
      <c r="C3597" s="9" t="s">
        <v>13284</v>
      </c>
      <c r="D3597" s="9" t="s">
        <v>13284</v>
      </c>
      <c r="E3597" s="9" t="s">
        <v>13284</v>
      </c>
      <c r="F3597" s="9" t="s">
        <v>13284</v>
      </c>
      <c r="G3597" s="9" t="s">
        <v>13284</v>
      </c>
      <c r="H3597" s="9" t="s">
        <v>13284</v>
      </c>
      <c r="I3597" s="9" t="s">
        <v>13284</v>
      </c>
      <c r="J3597" s="9" t="s">
        <v>13284</v>
      </c>
      <c r="K3597" s="9" t="s">
        <v>13284</v>
      </c>
      <c r="L3597" s="9" t="s">
        <v>13284</v>
      </c>
      <c r="M3597" s="9" t="s">
        <v>13284</v>
      </c>
      <c r="N3597" s="9" t="s">
        <v>13284</v>
      </c>
      <c r="O3597" s="9" t="s">
        <v>13284</v>
      </c>
      <c r="P3597" s="9" t="s">
        <v>13284</v>
      </c>
      <c r="Q3597" s="9" t="s">
        <v>13284</v>
      </c>
      <c r="R3597" s="9" t="s">
        <v>13284</v>
      </c>
      <c r="S3597" s="9" t="s">
        <v>13284</v>
      </c>
      <c r="T3597" s="9" t="str">
        <f ca="1">IFERROR(IF(AND(VLOOKUP(A3597, 'Актуальное состояние (из общего'!A:C,3,0) = "", A3597 &lt;&gt; ""), "ПРОВЕРИТЬ", VLOOKUP(A3597, 'Актуальное состояние (из общего'!A:C,3,0)), "")</f>
        <v/>
      </c>
      <c r="U3597" s="9" t="s">
        <v>13284</v>
      </c>
      <c r="V3597" s="9" t="s">
        <v>13284</v>
      </c>
      <c r="W3597" s="12"/>
      <c r="X3597" s="9" t="str">
        <f t="array" ref="X3597">IFERROR(INDEX('Адреса общежитий (скрытый)'!$B$2:$B$9, MATCH(W3597, 'Адреса общежитий (скрытый)'!$A$2:$A$9, 0)), "")</f>
        <v/>
      </c>
      <c r="Y3597" s="18"/>
      <c r="Z3597" s="18"/>
      <c r="AA3597" s="18"/>
      <c r="AB3597" s="18"/>
      <c r="AC3597" s="18"/>
    </row>
    <row r="3598" spans="1:29" ht="32.25" hidden="1" customHeight="1">
      <c r="A3598" s="17"/>
      <c r="B3598" s="9" t="s">
        <v>13284</v>
      </c>
      <c r="C3598" s="9" t="s">
        <v>13284</v>
      </c>
      <c r="D3598" s="9" t="s">
        <v>13284</v>
      </c>
      <c r="E3598" s="9" t="s">
        <v>13284</v>
      </c>
      <c r="F3598" s="9" t="s">
        <v>13284</v>
      </c>
      <c r="G3598" s="9" t="s">
        <v>13284</v>
      </c>
      <c r="H3598" s="9" t="s">
        <v>13284</v>
      </c>
      <c r="I3598" s="9" t="s">
        <v>13284</v>
      </c>
      <c r="J3598" s="9" t="s">
        <v>13284</v>
      </c>
      <c r="K3598" s="9" t="s">
        <v>13284</v>
      </c>
      <c r="L3598" s="9" t="s">
        <v>13284</v>
      </c>
      <c r="M3598" s="9" t="s">
        <v>13284</v>
      </c>
      <c r="N3598" s="9" t="s">
        <v>13284</v>
      </c>
      <c r="O3598" s="9" t="s">
        <v>13284</v>
      </c>
      <c r="P3598" s="9" t="s">
        <v>13284</v>
      </c>
      <c r="Q3598" s="9" t="s">
        <v>13284</v>
      </c>
      <c r="R3598" s="9" t="s">
        <v>13284</v>
      </c>
      <c r="S3598" s="9" t="s">
        <v>13284</v>
      </c>
      <c r="T3598" s="9" t="str">
        <f ca="1">IFERROR(IF(AND(VLOOKUP(A3598, 'Актуальное состояние (из общего'!A:C,3,0) = "", A3598 &lt;&gt; ""), "ПРОВЕРИТЬ", VLOOKUP(A3598, 'Актуальное состояние (из общего'!A:C,3,0)), "")</f>
        <v/>
      </c>
      <c r="U3598" s="9" t="s">
        <v>13284</v>
      </c>
      <c r="V3598" s="9" t="s">
        <v>13284</v>
      </c>
      <c r="W3598" s="12"/>
      <c r="X3598" s="9" t="str">
        <f t="array" ref="X3598">IFERROR(INDEX('Адреса общежитий (скрытый)'!$B$2:$B$9, MATCH(W3598, 'Адреса общежитий (скрытый)'!$A$2:$A$9, 0)), "")</f>
        <v/>
      </c>
      <c r="Y3598" s="18"/>
      <c r="Z3598" s="18"/>
      <c r="AA3598" s="18"/>
      <c r="AB3598" s="18"/>
      <c r="AC3598" s="18"/>
    </row>
    <row r="3599" spans="1:29" ht="32.25" hidden="1" customHeight="1">
      <c r="A3599" s="17"/>
      <c r="B3599" s="9" t="s">
        <v>13284</v>
      </c>
      <c r="C3599" s="9" t="s">
        <v>13284</v>
      </c>
      <c r="D3599" s="9" t="s">
        <v>13284</v>
      </c>
      <c r="E3599" s="9" t="s">
        <v>13284</v>
      </c>
      <c r="F3599" s="9" t="s">
        <v>13284</v>
      </c>
      <c r="G3599" s="9" t="s">
        <v>13284</v>
      </c>
      <c r="H3599" s="9" t="s">
        <v>13284</v>
      </c>
      <c r="I3599" s="9" t="s">
        <v>13284</v>
      </c>
      <c r="J3599" s="9" t="s">
        <v>13284</v>
      </c>
      <c r="K3599" s="9" t="s">
        <v>13284</v>
      </c>
      <c r="L3599" s="9" t="s">
        <v>13284</v>
      </c>
      <c r="M3599" s="9" t="s">
        <v>13284</v>
      </c>
      <c r="N3599" s="9" t="s">
        <v>13284</v>
      </c>
      <c r="O3599" s="9" t="s">
        <v>13284</v>
      </c>
      <c r="P3599" s="9" t="s">
        <v>13284</v>
      </c>
      <c r="Q3599" s="9" t="s">
        <v>13284</v>
      </c>
      <c r="R3599" s="9" t="s">
        <v>13284</v>
      </c>
      <c r="S3599" s="9" t="s">
        <v>13284</v>
      </c>
      <c r="T3599" s="9" t="str">
        <f ca="1">IFERROR(IF(AND(VLOOKUP(A3599, 'Актуальное состояние (из общего'!A:C,3,0) = "", A3599 &lt;&gt; ""), "ПРОВЕРИТЬ", VLOOKUP(A3599, 'Актуальное состояние (из общего'!A:C,3,0)), "")</f>
        <v/>
      </c>
      <c r="U3599" s="9" t="s">
        <v>13284</v>
      </c>
      <c r="V3599" s="9" t="s">
        <v>13284</v>
      </c>
      <c r="W3599" s="12"/>
      <c r="X3599" s="9" t="str">
        <f t="array" ref="X3599">IFERROR(INDEX('Адреса общежитий (скрытый)'!$B$2:$B$9, MATCH(W3599, 'Адреса общежитий (скрытый)'!$A$2:$A$9, 0)), "")</f>
        <v/>
      </c>
      <c r="Y3599" s="18"/>
      <c r="Z3599" s="18"/>
      <c r="AA3599" s="18"/>
      <c r="AB3599" s="18"/>
      <c r="AC3599" s="18"/>
    </row>
    <row r="3600" spans="1:29" ht="32.25" hidden="1" customHeight="1">
      <c r="A3600" s="17"/>
      <c r="B3600" s="9" t="s">
        <v>13284</v>
      </c>
      <c r="C3600" s="9" t="s">
        <v>13284</v>
      </c>
      <c r="D3600" s="9" t="s">
        <v>13284</v>
      </c>
      <c r="E3600" s="9" t="s">
        <v>13284</v>
      </c>
      <c r="F3600" s="9" t="s">
        <v>13284</v>
      </c>
      <c r="G3600" s="9" t="s">
        <v>13284</v>
      </c>
      <c r="H3600" s="9" t="s">
        <v>13284</v>
      </c>
      <c r="I3600" s="9" t="s">
        <v>13284</v>
      </c>
      <c r="J3600" s="9" t="s">
        <v>13284</v>
      </c>
      <c r="K3600" s="9" t="s">
        <v>13284</v>
      </c>
      <c r="L3600" s="9" t="s">
        <v>13284</v>
      </c>
      <c r="M3600" s="9" t="s">
        <v>13284</v>
      </c>
      <c r="N3600" s="9" t="s">
        <v>13284</v>
      </c>
      <c r="O3600" s="9" t="s">
        <v>13284</v>
      </c>
      <c r="P3600" s="9" t="s">
        <v>13284</v>
      </c>
      <c r="Q3600" s="9" t="s">
        <v>13284</v>
      </c>
      <c r="R3600" s="9" t="s">
        <v>13284</v>
      </c>
      <c r="S3600" s="9" t="s">
        <v>13284</v>
      </c>
      <c r="T3600" s="9" t="str">
        <f ca="1">IFERROR(IF(AND(VLOOKUP(A3600, 'Актуальное состояние (из общего'!A:C,3,0) = "", A3600 &lt;&gt; ""), "ПРОВЕРИТЬ", VLOOKUP(A3600, 'Актуальное состояние (из общего'!A:C,3,0)), "")</f>
        <v/>
      </c>
      <c r="U3600" s="9" t="s">
        <v>13284</v>
      </c>
      <c r="V3600" s="9" t="s">
        <v>13284</v>
      </c>
      <c r="W3600" s="12"/>
      <c r="X3600" s="9" t="str">
        <f t="array" ref="X3600">IFERROR(INDEX('Адреса общежитий (скрытый)'!$B$2:$B$9, MATCH(W3600, 'Адреса общежитий (скрытый)'!$A$2:$A$9, 0)), "")</f>
        <v/>
      </c>
      <c r="Y3600" s="18"/>
      <c r="Z3600" s="18"/>
      <c r="AA3600" s="18"/>
      <c r="AB3600" s="18"/>
      <c r="AC3600" s="18"/>
    </row>
    <row r="3601" spans="1:29" ht="32.25" hidden="1" customHeight="1">
      <c r="A3601" s="17"/>
      <c r="B3601" s="9" t="s">
        <v>13284</v>
      </c>
      <c r="C3601" s="9" t="s">
        <v>13284</v>
      </c>
      <c r="D3601" s="9" t="s">
        <v>13284</v>
      </c>
      <c r="E3601" s="9" t="s">
        <v>13284</v>
      </c>
      <c r="F3601" s="9" t="s">
        <v>13284</v>
      </c>
      <c r="G3601" s="9" t="s">
        <v>13284</v>
      </c>
      <c r="H3601" s="9" t="s">
        <v>13284</v>
      </c>
      <c r="I3601" s="9" t="s">
        <v>13284</v>
      </c>
      <c r="J3601" s="9" t="s">
        <v>13284</v>
      </c>
      <c r="K3601" s="9" t="s">
        <v>13284</v>
      </c>
      <c r="L3601" s="9" t="s">
        <v>13284</v>
      </c>
      <c r="M3601" s="9" t="s">
        <v>13284</v>
      </c>
      <c r="N3601" s="9" t="s">
        <v>13284</v>
      </c>
      <c r="O3601" s="9" t="s">
        <v>13284</v>
      </c>
      <c r="P3601" s="9" t="s">
        <v>13284</v>
      </c>
      <c r="Q3601" s="9" t="s">
        <v>13284</v>
      </c>
      <c r="R3601" s="9" t="s">
        <v>13284</v>
      </c>
      <c r="S3601" s="9" t="s">
        <v>13284</v>
      </c>
      <c r="T3601" s="9" t="str">
        <f ca="1">IFERROR(IF(AND(VLOOKUP(A3601, 'Актуальное состояние (из общего'!A:C,3,0) = "", A3601 &lt;&gt; ""), "ПРОВЕРИТЬ", VLOOKUP(A3601, 'Актуальное состояние (из общего'!A:C,3,0)), "")</f>
        <v/>
      </c>
      <c r="U3601" s="9" t="s">
        <v>13284</v>
      </c>
      <c r="V3601" s="9" t="s">
        <v>13284</v>
      </c>
      <c r="W3601" s="12"/>
      <c r="X3601" s="9" t="str">
        <f t="array" ref="X3601">IFERROR(INDEX('Адреса общежитий (скрытый)'!$B$2:$B$9, MATCH(W3601, 'Адреса общежитий (скрытый)'!$A$2:$A$9, 0)), "")</f>
        <v/>
      </c>
      <c r="Y3601" s="18"/>
      <c r="Z3601" s="18"/>
      <c r="AA3601" s="18"/>
      <c r="AB3601" s="18"/>
      <c r="AC3601" s="18"/>
    </row>
    <row r="3602" spans="1:29" ht="32.25" hidden="1" customHeight="1">
      <c r="A3602" s="17"/>
      <c r="B3602" s="9" t="s">
        <v>13284</v>
      </c>
      <c r="C3602" s="9" t="s">
        <v>13284</v>
      </c>
      <c r="D3602" s="9" t="s">
        <v>13284</v>
      </c>
      <c r="E3602" s="9" t="s">
        <v>13284</v>
      </c>
      <c r="F3602" s="9" t="s">
        <v>13284</v>
      </c>
      <c r="G3602" s="9" t="s">
        <v>13284</v>
      </c>
      <c r="H3602" s="9" t="s">
        <v>13284</v>
      </c>
      <c r="I3602" s="9" t="s">
        <v>13284</v>
      </c>
      <c r="J3602" s="9" t="s">
        <v>13284</v>
      </c>
      <c r="K3602" s="9" t="s">
        <v>13284</v>
      </c>
      <c r="L3602" s="9" t="s">
        <v>13284</v>
      </c>
      <c r="M3602" s="9" t="s">
        <v>13284</v>
      </c>
      <c r="N3602" s="9" t="s">
        <v>13284</v>
      </c>
      <c r="O3602" s="9" t="s">
        <v>13284</v>
      </c>
      <c r="P3602" s="9" t="s">
        <v>13284</v>
      </c>
      <c r="Q3602" s="9" t="s">
        <v>13284</v>
      </c>
      <c r="R3602" s="9" t="s">
        <v>13284</v>
      </c>
      <c r="S3602" s="9" t="s">
        <v>13284</v>
      </c>
      <c r="T3602" s="9" t="str">
        <f ca="1">IFERROR(IF(AND(VLOOKUP(A3602, 'Актуальное состояние (из общего'!A:C,3,0) = "", A3602 &lt;&gt; ""), "ПРОВЕРИТЬ", VLOOKUP(A3602, 'Актуальное состояние (из общего'!A:C,3,0)), "")</f>
        <v/>
      </c>
      <c r="U3602" s="9" t="s">
        <v>13284</v>
      </c>
      <c r="V3602" s="9" t="s">
        <v>13284</v>
      </c>
      <c r="W3602" s="12"/>
      <c r="X3602" s="9" t="str">
        <f t="array" ref="X3602">IFERROR(INDEX('Адреса общежитий (скрытый)'!$B$2:$B$9, MATCH(W3602, 'Адреса общежитий (скрытый)'!$A$2:$A$9, 0)), "")</f>
        <v/>
      </c>
      <c r="Y3602" s="18"/>
      <c r="Z3602" s="18"/>
      <c r="AA3602" s="18"/>
      <c r="AB3602" s="18"/>
      <c r="AC3602" s="18"/>
    </row>
    <row r="3603" spans="1:29" ht="32.25" hidden="1" customHeight="1">
      <c r="A3603" s="17"/>
      <c r="B3603" s="9" t="s">
        <v>13284</v>
      </c>
      <c r="C3603" s="9" t="s">
        <v>13284</v>
      </c>
      <c r="D3603" s="9" t="s">
        <v>13284</v>
      </c>
      <c r="E3603" s="9" t="s">
        <v>13284</v>
      </c>
      <c r="F3603" s="9" t="s">
        <v>13284</v>
      </c>
      <c r="G3603" s="9" t="s">
        <v>13284</v>
      </c>
      <c r="H3603" s="9" t="s">
        <v>13284</v>
      </c>
      <c r="I3603" s="9" t="s">
        <v>13284</v>
      </c>
      <c r="J3603" s="9" t="s">
        <v>13284</v>
      </c>
      <c r="K3603" s="9" t="s">
        <v>13284</v>
      </c>
      <c r="L3603" s="9" t="s">
        <v>13284</v>
      </c>
      <c r="M3603" s="9" t="s">
        <v>13284</v>
      </c>
      <c r="N3603" s="9" t="s">
        <v>13284</v>
      </c>
      <c r="O3603" s="9" t="s">
        <v>13284</v>
      </c>
      <c r="P3603" s="9" t="s">
        <v>13284</v>
      </c>
      <c r="Q3603" s="9" t="s">
        <v>13284</v>
      </c>
      <c r="R3603" s="9" t="s">
        <v>13284</v>
      </c>
      <c r="S3603" s="9" t="s">
        <v>13284</v>
      </c>
      <c r="T3603" s="9" t="str">
        <f ca="1">IFERROR(IF(AND(VLOOKUP(A3603, 'Актуальное состояние (из общего'!A:C,3,0) = "", A3603 &lt;&gt; ""), "ПРОВЕРИТЬ", VLOOKUP(A3603, 'Актуальное состояние (из общего'!A:C,3,0)), "")</f>
        <v/>
      </c>
      <c r="U3603" s="9" t="s">
        <v>13284</v>
      </c>
      <c r="V3603" s="9" t="s">
        <v>13284</v>
      </c>
      <c r="W3603" s="12"/>
      <c r="X3603" s="9" t="str">
        <f t="array" ref="X3603">IFERROR(INDEX('Адреса общежитий (скрытый)'!$B$2:$B$9, MATCH(W3603, 'Адреса общежитий (скрытый)'!$A$2:$A$9, 0)), "")</f>
        <v/>
      </c>
      <c r="Y3603" s="18"/>
      <c r="Z3603" s="18"/>
      <c r="AA3603" s="18"/>
      <c r="AB3603" s="18"/>
      <c r="AC3603" s="18"/>
    </row>
    <row r="3604" spans="1:29" ht="32.25" hidden="1" customHeight="1">
      <c r="A3604" s="17"/>
      <c r="B3604" s="9" t="s">
        <v>13284</v>
      </c>
      <c r="C3604" s="9" t="s">
        <v>13284</v>
      </c>
      <c r="D3604" s="9" t="s">
        <v>13284</v>
      </c>
      <c r="E3604" s="9" t="s">
        <v>13284</v>
      </c>
      <c r="F3604" s="9" t="s">
        <v>13284</v>
      </c>
      <c r="G3604" s="9" t="s">
        <v>13284</v>
      </c>
      <c r="H3604" s="9" t="s">
        <v>13284</v>
      </c>
      <c r="I3604" s="9" t="s">
        <v>13284</v>
      </c>
      <c r="J3604" s="9" t="s">
        <v>13284</v>
      </c>
      <c r="K3604" s="9" t="s">
        <v>13284</v>
      </c>
      <c r="L3604" s="9" t="s">
        <v>13284</v>
      </c>
      <c r="M3604" s="9" t="s">
        <v>13284</v>
      </c>
      <c r="N3604" s="9" t="s">
        <v>13284</v>
      </c>
      <c r="O3604" s="9" t="s">
        <v>13284</v>
      </c>
      <c r="P3604" s="9" t="s">
        <v>13284</v>
      </c>
      <c r="Q3604" s="9" t="s">
        <v>13284</v>
      </c>
      <c r="R3604" s="9" t="s">
        <v>13284</v>
      </c>
      <c r="S3604" s="9" t="s">
        <v>13284</v>
      </c>
      <c r="T3604" s="9" t="str">
        <f ca="1">IFERROR(IF(AND(VLOOKUP(A3604, 'Актуальное состояние (из общего'!A:C,3,0) = "", A3604 &lt;&gt; ""), "ПРОВЕРИТЬ", VLOOKUP(A3604, 'Актуальное состояние (из общего'!A:C,3,0)), "")</f>
        <v/>
      </c>
      <c r="U3604" s="9" t="s">
        <v>13284</v>
      </c>
      <c r="V3604" s="9" t="s">
        <v>13284</v>
      </c>
      <c r="W3604" s="12"/>
      <c r="X3604" s="9" t="str">
        <f t="array" ref="X3604">IFERROR(INDEX('Адреса общежитий (скрытый)'!$B$2:$B$9, MATCH(W3604, 'Адреса общежитий (скрытый)'!$A$2:$A$9, 0)), "")</f>
        <v/>
      </c>
      <c r="Y3604" s="18"/>
      <c r="Z3604" s="18"/>
      <c r="AA3604" s="18"/>
      <c r="AB3604" s="18"/>
      <c r="AC3604" s="18"/>
    </row>
    <row r="3605" spans="1:29" ht="32.25" hidden="1" customHeight="1">
      <c r="A3605" s="17"/>
      <c r="B3605" s="9" t="s">
        <v>13284</v>
      </c>
      <c r="C3605" s="9" t="s">
        <v>13284</v>
      </c>
      <c r="D3605" s="9" t="s">
        <v>13284</v>
      </c>
      <c r="E3605" s="9" t="s">
        <v>13284</v>
      </c>
      <c r="F3605" s="9" t="s">
        <v>13284</v>
      </c>
      <c r="G3605" s="9" t="s">
        <v>13284</v>
      </c>
      <c r="H3605" s="9" t="s">
        <v>13284</v>
      </c>
      <c r="I3605" s="9" t="s">
        <v>13284</v>
      </c>
      <c r="J3605" s="9" t="s">
        <v>13284</v>
      </c>
      <c r="K3605" s="9" t="s">
        <v>13284</v>
      </c>
      <c r="L3605" s="9" t="s">
        <v>13284</v>
      </c>
      <c r="M3605" s="9" t="s">
        <v>13284</v>
      </c>
      <c r="N3605" s="9" t="s">
        <v>13284</v>
      </c>
      <c r="O3605" s="9" t="s">
        <v>13284</v>
      </c>
      <c r="P3605" s="9" t="s">
        <v>13284</v>
      </c>
      <c r="Q3605" s="9" t="s">
        <v>13284</v>
      </c>
      <c r="R3605" s="9" t="s">
        <v>13284</v>
      </c>
      <c r="S3605" s="9" t="s">
        <v>13284</v>
      </c>
      <c r="T3605" s="9" t="str">
        <f ca="1">IFERROR(IF(AND(VLOOKUP(A3605, 'Актуальное состояние (из общего'!A:C,3,0) = "", A3605 &lt;&gt; ""), "ПРОВЕРИТЬ", VLOOKUP(A3605, 'Актуальное состояние (из общего'!A:C,3,0)), "")</f>
        <v/>
      </c>
      <c r="U3605" s="9" t="s">
        <v>13284</v>
      </c>
      <c r="V3605" s="9" t="s">
        <v>13284</v>
      </c>
      <c r="W3605" s="12"/>
      <c r="X3605" s="9" t="str">
        <f t="array" ref="X3605">IFERROR(INDEX('Адреса общежитий (скрытый)'!$B$2:$B$9, MATCH(W3605, 'Адреса общежитий (скрытый)'!$A$2:$A$9, 0)), "")</f>
        <v/>
      </c>
      <c r="Y3605" s="18"/>
      <c r="Z3605" s="18"/>
      <c r="AA3605" s="18"/>
      <c r="AB3605" s="18"/>
      <c r="AC3605" s="18"/>
    </row>
    <row r="3606" spans="1:29" ht="32.25" hidden="1" customHeight="1">
      <c r="A3606" s="17"/>
      <c r="B3606" s="9" t="s">
        <v>13284</v>
      </c>
      <c r="C3606" s="9" t="s">
        <v>13284</v>
      </c>
      <c r="D3606" s="9" t="s">
        <v>13284</v>
      </c>
      <c r="E3606" s="9" t="s">
        <v>13284</v>
      </c>
      <c r="F3606" s="9" t="s">
        <v>13284</v>
      </c>
      <c r="G3606" s="9" t="s">
        <v>13284</v>
      </c>
      <c r="H3606" s="9" t="s">
        <v>13284</v>
      </c>
      <c r="I3606" s="9" t="s">
        <v>13284</v>
      </c>
      <c r="J3606" s="9" t="s">
        <v>13284</v>
      </c>
      <c r="K3606" s="9" t="s">
        <v>13284</v>
      </c>
      <c r="L3606" s="9" t="s">
        <v>13284</v>
      </c>
      <c r="M3606" s="9" t="s">
        <v>13284</v>
      </c>
      <c r="N3606" s="9" t="s">
        <v>13284</v>
      </c>
      <c r="O3606" s="9" t="s">
        <v>13284</v>
      </c>
      <c r="P3606" s="9" t="s">
        <v>13284</v>
      </c>
      <c r="Q3606" s="9" t="s">
        <v>13284</v>
      </c>
      <c r="R3606" s="9" t="s">
        <v>13284</v>
      </c>
      <c r="S3606" s="9" t="s">
        <v>13284</v>
      </c>
      <c r="T3606" s="9" t="str">
        <f ca="1">IFERROR(IF(AND(VLOOKUP(A3606, 'Актуальное состояние (из общего'!A:C,3,0) = "", A3606 &lt;&gt; ""), "ПРОВЕРИТЬ", VLOOKUP(A3606, 'Актуальное состояние (из общего'!A:C,3,0)), "")</f>
        <v/>
      </c>
      <c r="U3606" s="9" t="s">
        <v>13284</v>
      </c>
      <c r="V3606" s="9" t="s">
        <v>13284</v>
      </c>
      <c r="W3606" s="12"/>
      <c r="X3606" s="9" t="str">
        <f t="array" ref="X3606">IFERROR(INDEX('Адреса общежитий (скрытый)'!$B$2:$B$9, MATCH(W3606, 'Адреса общежитий (скрытый)'!$A$2:$A$9, 0)), "")</f>
        <v/>
      </c>
      <c r="Y3606" s="18"/>
      <c r="Z3606" s="18"/>
      <c r="AA3606" s="18"/>
      <c r="AB3606" s="18"/>
      <c r="AC3606" s="18"/>
    </row>
    <row r="3607" spans="1:29" ht="32.25" hidden="1" customHeight="1">
      <c r="A3607" s="17"/>
      <c r="B3607" s="9" t="s">
        <v>13284</v>
      </c>
      <c r="C3607" s="9" t="s">
        <v>13284</v>
      </c>
      <c r="D3607" s="9" t="s">
        <v>13284</v>
      </c>
      <c r="E3607" s="9" t="s">
        <v>13284</v>
      </c>
      <c r="F3607" s="9" t="s">
        <v>13284</v>
      </c>
      <c r="G3607" s="9" t="s">
        <v>13284</v>
      </c>
      <c r="H3607" s="9" t="s">
        <v>13284</v>
      </c>
      <c r="I3607" s="9" t="s">
        <v>13284</v>
      </c>
      <c r="J3607" s="9" t="s">
        <v>13284</v>
      </c>
      <c r="K3607" s="9" t="s">
        <v>13284</v>
      </c>
      <c r="L3607" s="9" t="s">
        <v>13284</v>
      </c>
      <c r="M3607" s="9" t="s">
        <v>13284</v>
      </c>
      <c r="N3607" s="9" t="s">
        <v>13284</v>
      </c>
      <c r="O3607" s="9" t="s">
        <v>13284</v>
      </c>
      <c r="P3607" s="9" t="s">
        <v>13284</v>
      </c>
      <c r="Q3607" s="9" t="s">
        <v>13284</v>
      </c>
      <c r="R3607" s="9" t="s">
        <v>13284</v>
      </c>
      <c r="S3607" s="9" t="s">
        <v>13284</v>
      </c>
      <c r="T3607" s="9" t="str">
        <f ca="1">IFERROR(IF(AND(VLOOKUP(A3607, 'Актуальное состояние (из общего'!A:C,3,0) = "", A3607 &lt;&gt; ""), "ПРОВЕРИТЬ", VLOOKUP(A3607, 'Актуальное состояние (из общего'!A:C,3,0)), "")</f>
        <v/>
      </c>
      <c r="U3607" s="9" t="s">
        <v>13284</v>
      </c>
      <c r="V3607" s="9" t="s">
        <v>13284</v>
      </c>
      <c r="W3607" s="12"/>
      <c r="X3607" s="9" t="str">
        <f t="array" ref="X3607">IFERROR(INDEX('Адреса общежитий (скрытый)'!$B$2:$B$9, MATCH(W3607, 'Адреса общежитий (скрытый)'!$A$2:$A$9, 0)), "")</f>
        <v/>
      </c>
      <c r="Y3607" s="18"/>
      <c r="Z3607" s="18"/>
      <c r="AA3607" s="18"/>
      <c r="AB3607" s="18"/>
      <c r="AC3607" s="18"/>
    </row>
    <row r="3608" spans="1:29" ht="32.25" hidden="1" customHeight="1">
      <c r="A3608" s="17"/>
      <c r="B3608" s="9" t="s">
        <v>13284</v>
      </c>
      <c r="C3608" s="9" t="s">
        <v>13284</v>
      </c>
      <c r="D3608" s="9" t="s">
        <v>13284</v>
      </c>
      <c r="E3608" s="9" t="s">
        <v>13284</v>
      </c>
      <c r="F3608" s="9" t="s">
        <v>13284</v>
      </c>
      <c r="G3608" s="9" t="s">
        <v>13284</v>
      </c>
      <c r="H3608" s="9" t="s">
        <v>13284</v>
      </c>
      <c r="I3608" s="9" t="s">
        <v>13284</v>
      </c>
      <c r="J3608" s="9" t="s">
        <v>13284</v>
      </c>
      <c r="K3608" s="9" t="s">
        <v>13284</v>
      </c>
      <c r="L3608" s="9" t="s">
        <v>13284</v>
      </c>
      <c r="M3608" s="9" t="s">
        <v>13284</v>
      </c>
      <c r="N3608" s="9" t="s">
        <v>13284</v>
      </c>
      <c r="O3608" s="9" t="s">
        <v>13284</v>
      </c>
      <c r="P3608" s="9" t="s">
        <v>13284</v>
      </c>
      <c r="Q3608" s="9" t="s">
        <v>13284</v>
      </c>
      <c r="R3608" s="9" t="s">
        <v>13284</v>
      </c>
      <c r="S3608" s="9" t="s">
        <v>13284</v>
      </c>
      <c r="T3608" s="9" t="str">
        <f ca="1">IFERROR(IF(AND(VLOOKUP(A3608, 'Актуальное состояние (из общего'!A:C,3,0) = "", A3608 &lt;&gt; ""), "ПРОВЕРИТЬ", VLOOKUP(A3608, 'Актуальное состояние (из общего'!A:C,3,0)), "")</f>
        <v/>
      </c>
      <c r="U3608" s="9" t="s">
        <v>13284</v>
      </c>
      <c r="V3608" s="9" t="s">
        <v>13284</v>
      </c>
      <c r="W3608" s="12"/>
      <c r="X3608" s="9" t="str">
        <f t="array" ref="X3608">IFERROR(INDEX('Адреса общежитий (скрытый)'!$B$2:$B$9, MATCH(W3608, 'Адреса общежитий (скрытый)'!$A$2:$A$9, 0)), "")</f>
        <v/>
      </c>
      <c r="Y3608" s="18"/>
      <c r="Z3608" s="18"/>
      <c r="AA3608" s="18"/>
      <c r="AB3608" s="18"/>
      <c r="AC3608" s="18"/>
    </row>
    <row r="3609" spans="1:29" ht="32.25" hidden="1" customHeight="1">
      <c r="A3609" s="17"/>
      <c r="B3609" s="9" t="s">
        <v>13284</v>
      </c>
      <c r="C3609" s="9" t="s">
        <v>13284</v>
      </c>
      <c r="D3609" s="9" t="s">
        <v>13284</v>
      </c>
      <c r="E3609" s="9" t="s">
        <v>13284</v>
      </c>
      <c r="F3609" s="9" t="s">
        <v>13284</v>
      </c>
      <c r="G3609" s="9" t="s">
        <v>13284</v>
      </c>
      <c r="H3609" s="9" t="s">
        <v>13284</v>
      </c>
      <c r="I3609" s="9" t="s">
        <v>13284</v>
      </c>
      <c r="J3609" s="9" t="s">
        <v>13284</v>
      </c>
      <c r="K3609" s="9" t="s">
        <v>13284</v>
      </c>
      <c r="L3609" s="9" t="s">
        <v>13284</v>
      </c>
      <c r="M3609" s="9" t="s">
        <v>13284</v>
      </c>
      <c r="N3609" s="9" t="s">
        <v>13284</v>
      </c>
      <c r="O3609" s="9" t="s">
        <v>13284</v>
      </c>
      <c r="P3609" s="9" t="s">
        <v>13284</v>
      </c>
      <c r="Q3609" s="9" t="s">
        <v>13284</v>
      </c>
      <c r="R3609" s="9" t="s">
        <v>13284</v>
      </c>
      <c r="S3609" s="9" t="s">
        <v>13284</v>
      </c>
      <c r="T3609" s="9" t="str">
        <f ca="1">IFERROR(IF(AND(VLOOKUP(A3609, 'Актуальное состояние (из общего'!A:C,3,0) = "", A3609 &lt;&gt; ""), "ПРОВЕРИТЬ", VLOOKUP(A3609, 'Актуальное состояние (из общего'!A:C,3,0)), "")</f>
        <v/>
      </c>
      <c r="U3609" s="9" t="s">
        <v>13284</v>
      </c>
      <c r="V3609" s="9" t="s">
        <v>13284</v>
      </c>
      <c r="W3609" s="12"/>
      <c r="X3609" s="9" t="str">
        <f t="array" ref="X3609">IFERROR(INDEX('Адреса общежитий (скрытый)'!$B$2:$B$9, MATCH(W3609, 'Адреса общежитий (скрытый)'!$A$2:$A$9, 0)), "")</f>
        <v/>
      </c>
      <c r="Y3609" s="18"/>
      <c r="Z3609" s="18"/>
      <c r="AA3609" s="18"/>
      <c r="AB3609" s="18"/>
      <c r="AC3609" s="18"/>
    </row>
    <row r="3610" spans="1:29" ht="32.25" hidden="1" customHeight="1">
      <c r="A3610" s="17"/>
      <c r="B3610" s="9" t="s">
        <v>13284</v>
      </c>
      <c r="C3610" s="9" t="s">
        <v>13284</v>
      </c>
      <c r="D3610" s="9" t="s">
        <v>13284</v>
      </c>
      <c r="E3610" s="9" t="s">
        <v>13284</v>
      </c>
      <c r="F3610" s="9" t="s">
        <v>13284</v>
      </c>
      <c r="G3610" s="9" t="s">
        <v>13284</v>
      </c>
      <c r="H3610" s="9" t="s">
        <v>13284</v>
      </c>
      <c r="I3610" s="9" t="s">
        <v>13284</v>
      </c>
      <c r="J3610" s="9" t="s">
        <v>13284</v>
      </c>
      <c r="K3610" s="9" t="s">
        <v>13284</v>
      </c>
      <c r="L3610" s="9" t="s">
        <v>13284</v>
      </c>
      <c r="M3610" s="9" t="s">
        <v>13284</v>
      </c>
      <c r="N3610" s="9" t="s">
        <v>13284</v>
      </c>
      <c r="O3610" s="9" t="s">
        <v>13284</v>
      </c>
      <c r="P3610" s="9" t="s">
        <v>13284</v>
      </c>
      <c r="Q3610" s="9" t="s">
        <v>13284</v>
      </c>
      <c r="R3610" s="9" t="s">
        <v>13284</v>
      </c>
      <c r="S3610" s="9" t="s">
        <v>13284</v>
      </c>
      <c r="T3610" s="9" t="str">
        <f ca="1">IFERROR(IF(AND(VLOOKUP(A3610, 'Актуальное состояние (из общего'!A:C,3,0) = "", A3610 &lt;&gt; ""), "ПРОВЕРИТЬ", VLOOKUP(A3610, 'Актуальное состояние (из общего'!A:C,3,0)), "")</f>
        <v/>
      </c>
      <c r="U3610" s="9" t="s">
        <v>13284</v>
      </c>
      <c r="V3610" s="9" t="s">
        <v>13284</v>
      </c>
      <c r="W3610" s="12"/>
      <c r="X3610" s="9" t="str">
        <f t="array" ref="X3610">IFERROR(INDEX('Адреса общежитий (скрытый)'!$B$2:$B$9, MATCH(W3610, 'Адреса общежитий (скрытый)'!$A$2:$A$9, 0)), "")</f>
        <v/>
      </c>
      <c r="Y3610" s="18"/>
      <c r="Z3610" s="18"/>
      <c r="AA3610" s="18"/>
      <c r="AB3610" s="18"/>
      <c r="AC3610" s="18"/>
    </row>
    <row r="3611" spans="1:29" ht="32.25" hidden="1" customHeight="1">
      <c r="A3611" s="17"/>
      <c r="B3611" s="9" t="s">
        <v>13284</v>
      </c>
      <c r="C3611" s="9" t="s">
        <v>13284</v>
      </c>
      <c r="D3611" s="9" t="s">
        <v>13284</v>
      </c>
      <c r="E3611" s="9" t="s">
        <v>13284</v>
      </c>
      <c r="F3611" s="9" t="s">
        <v>13284</v>
      </c>
      <c r="G3611" s="9" t="s">
        <v>13284</v>
      </c>
      <c r="H3611" s="9" t="s">
        <v>13284</v>
      </c>
      <c r="I3611" s="9" t="s">
        <v>13284</v>
      </c>
      <c r="J3611" s="9" t="s">
        <v>13284</v>
      </c>
      <c r="K3611" s="9" t="s">
        <v>13284</v>
      </c>
      <c r="L3611" s="9" t="s">
        <v>13284</v>
      </c>
      <c r="M3611" s="9" t="s">
        <v>13284</v>
      </c>
      <c r="N3611" s="9" t="s">
        <v>13284</v>
      </c>
      <c r="O3611" s="9" t="s">
        <v>13284</v>
      </c>
      <c r="P3611" s="9" t="s">
        <v>13284</v>
      </c>
      <c r="Q3611" s="9" t="s">
        <v>13284</v>
      </c>
      <c r="R3611" s="9" t="s">
        <v>13284</v>
      </c>
      <c r="S3611" s="9" t="s">
        <v>13284</v>
      </c>
      <c r="T3611" s="9" t="str">
        <f ca="1">IFERROR(IF(AND(VLOOKUP(A3611, 'Актуальное состояние (из общего'!A:C,3,0) = "", A3611 &lt;&gt; ""), "ПРОВЕРИТЬ", VLOOKUP(A3611, 'Актуальное состояние (из общего'!A:C,3,0)), "")</f>
        <v/>
      </c>
      <c r="U3611" s="9" t="s">
        <v>13284</v>
      </c>
      <c r="V3611" s="9" t="s">
        <v>13284</v>
      </c>
      <c r="W3611" s="12"/>
      <c r="X3611" s="9" t="str">
        <f t="array" ref="X3611">IFERROR(INDEX('Адреса общежитий (скрытый)'!$B$2:$B$9, MATCH(W3611, 'Адреса общежитий (скрытый)'!$A$2:$A$9, 0)), "")</f>
        <v/>
      </c>
      <c r="Y3611" s="18"/>
      <c r="Z3611" s="18"/>
      <c r="AA3611" s="18"/>
      <c r="AB3611" s="18"/>
      <c r="AC3611" s="18"/>
    </row>
    <row r="3612" spans="1:29" ht="32.25" hidden="1" customHeight="1">
      <c r="A3612" s="17"/>
      <c r="B3612" s="9" t="s">
        <v>13284</v>
      </c>
      <c r="C3612" s="9" t="s">
        <v>13284</v>
      </c>
      <c r="D3612" s="9" t="s">
        <v>13284</v>
      </c>
      <c r="E3612" s="9" t="s">
        <v>13284</v>
      </c>
      <c r="F3612" s="9" t="s">
        <v>13284</v>
      </c>
      <c r="G3612" s="9" t="s">
        <v>13284</v>
      </c>
      <c r="H3612" s="9" t="s">
        <v>13284</v>
      </c>
      <c r="I3612" s="9" t="s">
        <v>13284</v>
      </c>
      <c r="J3612" s="9" t="s">
        <v>13284</v>
      </c>
      <c r="K3612" s="9" t="s">
        <v>13284</v>
      </c>
      <c r="L3612" s="9" t="s">
        <v>13284</v>
      </c>
      <c r="M3612" s="9" t="s">
        <v>13284</v>
      </c>
      <c r="N3612" s="9" t="s">
        <v>13284</v>
      </c>
      <c r="O3612" s="9" t="s">
        <v>13284</v>
      </c>
      <c r="P3612" s="9" t="s">
        <v>13284</v>
      </c>
      <c r="Q3612" s="9" t="s">
        <v>13284</v>
      </c>
      <c r="R3612" s="9" t="s">
        <v>13284</v>
      </c>
      <c r="S3612" s="9" t="s">
        <v>13284</v>
      </c>
      <c r="T3612" s="9" t="str">
        <f ca="1">IFERROR(IF(AND(VLOOKUP(A3612, 'Актуальное состояние (из общего'!A:C,3,0) = "", A3612 &lt;&gt; ""), "ПРОВЕРИТЬ", VLOOKUP(A3612, 'Актуальное состояние (из общего'!A:C,3,0)), "")</f>
        <v/>
      </c>
      <c r="U3612" s="9" t="s">
        <v>13284</v>
      </c>
      <c r="V3612" s="9" t="s">
        <v>13284</v>
      </c>
      <c r="W3612" s="12"/>
      <c r="X3612" s="9" t="str">
        <f t="array" ref="X3612">IFERROR(INDEX('Адреса общежитий (скрытый)'!$B$2:$B$9, MATCH(W3612, 'Адреса общежитий (скрытый)'!$A$2:$A$9, 0)), "")</f>
        <v/>
      </c>
      <c r="Y3612" s="18"/>
      <c r="Z3612" s="18"/>
      <c r="AA3612" s="18"/>
      <c r="AB3612" s="18"/>
      <c r="AC3612" s="18"/>
    </row>
    <row r="3613" spans="1:29" ht="32.25" hidden="1" customHeight="1">
      <c r="A3613" s="17"/>
      <c r="B3613" s="9" t="s">
        <v>13284</v>
      </c>
      <c r="C3613" s="9" t="s">
        <v>13284</v>
      </c>
      <c r="D3613" s="9" t="s">
        <v>13284</v>
      </c>
      <c r="E3613" s="9" t="s">
        <v>13284</v>
      </c>
      <c r="F3613" s="9" t="s">
        <v>13284</v>
      </c>
      <c r="G3613" s="9" t="s">
        <v>13284</v>
      </c>
      <c r="H3613" s="9" t="s">
        <v>13284</v>
      </c>
      <c r="I3613" s="9" t="s">
        <v>13284</v>
      </c>
      <c r="J3613" s="9" t="s">
        <v>13284</v>
      </c>
      <c r="K3613" s="9" t="s">
        <v>13284</v>
      </c>
      <c r="L3613" s="9" t="s">
        <v>13284</v>
      </c>
      <c r="M3613" s="9" t="s">
        <v>13284</v>
      </c>
      <c r="N3613" s="9" t="s">
        <v>13284</v>
      </c>
      <c r="O3613" s="9" t="s">
        <v>13284</v>
      </c>
      <c r="P3613" s="9" t="s">
        <v>13284</v>
      </c>
      <c r="Q3613" s="9" t="s">
        <v>13284</v>
      </c>
      <c r="R3613" s="9" t="s">
        <v>13284</v>
      </c>
      <c r="S3613" s="9" t="s">
        <v>13284</v>
      </c>
      <c r="T3613" s="9" t="str">
        <f ca="1">IFERROR(IF(AND(VLOOKUP(A3613, 'Актуальное состояние (из общего'!A:C,3,0) = "", A3613 &lt;&gt; ""), "ПРОВЕРИТЬ", VLOOKUP(A3613, 'Актуальное состояние (из общего'!A:C,3,0)), "")</f>
        <v/>
      </c>
      <c r="U3613" s="9" t="s">
        <v>13284</v>
      </c>
      <c r="V3613" s="9" t="s">
        <v>13284</v>
      </c>
      <c r="W3613" s="12"/>
      <c r="X3613" s="9" t="str">
        <f t="array" ref="X3613">IFERROR(INDEX('Адреса общежитий (скрытый)'!$B$2:$B$9, MATCH(W3613, 'Адреса общежитий (скрытый)'!$A$2:$A$9, 0)), "")</f>
        <v/>
      </c>
      <c r="Y3613" s="18"/>
      <c r="Z3613" s="18"/>
      <c r="AA3613" s="18"/>
      <c r="AB3613" s="18"/>
      <c r="AC3613" s="18"/>
    </row>
    <row r="3614" spans="1:29" ht="32.25" hidden="1" customHeight="1">
      <c r="A3614" s="17"/>
      <c r="B3614" s="9" t="s">
        <v>13284</v>
      </c>
      <c r="C3614" s="9" t="s">
        <v>13284</v>
      </c>
      <c r="D3614" s="9" t="s">
        <v>13284</v>
      </c>
      <c r="E3614" s="9" t="s">
        <v>13284</v>
      </c>
      <c r="F3614" s="9" t="s">
        <v>13284</v>
      </c>
      <c r="G3614" s="9" t="s">
        <v>13284</v>
      </c>
      <c r="H3614" s="9" t="s">
        <v>13284</v>
      </c>
      <c r="I3614" s="9" t="s">
        <v>13284</v>
      </c>
      <c r="J3614" s="9" t="s">
        <v>13284</v>
      </c>
      <c r="K3614" s="9" t="s">
        <v>13284</v>
      </c>
      <c r="L3614" s="9" t="s">
        <v>13284</v>
      </c>
      <c r="M3614" s="9" t="s">
        <v>13284</v>
      </c>
      <c r="N3614" s="9" t="s">
        <v>13284</v>
      </c>
      <c r="O3614" s="9" t="s">
        <v>13284</v>
      </c>
      <c r="P3614" s="9" t="s">
        <v>13284</v>
      </c>
      <c r="Q3614" s="9" t="s">
        <v>13284</v>
      </c>
      <c r="R3614" s="9" t="s">
        <v>13284</v>
      </c>
      <c r="S3614" s="9" t="s">
        <v>13284</v>
      </c>
      <c r="T3614" s="9" t="str">
        <f ca="1">IFERROR(IF(AND(VLOOKUP(A3614, 'Актуальное состояние (из общего'!A:C,3,0) = "", A3614 &lt;&gt; ""), "ПРОВЕРИТЬ", VLOOKUP(A3614, 'Актуальное состояние (из общего'!A:C,3,0)), "")</f>
        <v/>
      </c>
      <c r="U3614" s="9" t="s">
        <v>13284</v>
      </c>
      <c r="V3614" s="9" t="s">
        <v>13284</v>
      </c>
      <c r="W3614" s="12"/>
      <c r="X3614" s="9" t="str">
        <f t="array" ref="X3614">IFERROR(INDEX('Адреса общежитий (скрытый)'!$B$2:$B$9, MATCH(W3614, 'Адреса общежитий (скрытый)'!$A$2:$A$9, 0)), "")</f>
        <v/>
      </c>
      <c r="Y3614" s="18"/>
      <c r="Z3614" s="18"/>
      <c r="AA3614" s="18"/>
      <c r="AB3614" s="18"/>
      <c r="AC3614" s="18"/>
    </row>
    <row r="3615" spans="1:29" ht="32.25" hidden="1" customHeight="1">
      <c r="A3615" s="17"/>
      <c r="B3615" s="9" t="s">
        <v>13284</v>
      </c>
      <c r="C3615" s="9" t="s">
        <v>13284</v>
      </c>
      <c r="D3615" s="9" t="s">
        <v>13284</v>
      </c>
      <c r="E3615" s="9" t="s">
        <v>13284</v>
      </c>
      <c r="F3615" s="9" t="s">
        <v>13284</v>
      </c>
      <c r="G3615" s="9" t="s">
        <v>13284</v>
      </c>
      <c r="H3615" s="9" t="s">
        <v>13284</v>
      </c>
      <c r="I3615" s="9" t="s">
        <v>13284</v>
      </c>
      <c r="J3615" s="9" t="s">
        <v>13284</v>
      </c>
      <c r="K3615" s="9" t="s">
        <v>13284</v>
      </c>
      <c r="L3615" s="9" t="s">
        <v>13284</v>
      </c>
      <c r="M3615" s="9" t="s">
        <v>13284</v>
      </c>
      <c r="N3615" s="9" t="s">
        <v>13284</v>
      </c>
      <c r="O3615" s="9" t="s">
        <v>13284</v>
      </c>
      <c r="P3615" s="9" t="s">
        <v>13284</v>
      </c>
      <c r="Q3615" s="9" t="s">
        <v>13284</v>
      </c>
      <c r="R3615" s="9" t="s">
        <v>13284</v>
      </c>
      <c r="S3615" s="9" t="s">
        <v>13284</v>
      </c>
      <c r="T3615" s="9" t="str">
        <f ca="1">IFERROR(IF(AND(VLOOKUP(A3615, 'Актуальное состояние (из общего'!A:C,3,0) = "", A3615 &lt;&gt; ""), "ПРОВЕРИТЬ", VLOOKUP(A3615, 'Актуальное состояние (из общего'!A:C,3,0)), "")</f>
        <v/>
      </c>
      <c r="U3615" s="9" t="s">
        <v>13284</v>
      </c>
      <c r="V3615" s="9" t="s">
        <v>13284</v>
      </c>
      <c r="W3615" s="12"/>
      <c r="X3615" s="9" t="str">
        <f t="array" ref="X3615">IFERROR(INDEX('Адреса общежитий (скрытый)'!$B$2:$B$9, MATCH(W3615, 'Адреса общежитий (скрытый)'!$A$2:$A$9, 0)), "")</f>
        <v/>
      </c>
      <c r="Y3615" s="18"/>
      <c r="Z3615" s="18"/>
      <c r="AA3615" s="18"/>
      <c r="AB3615" s="18"/>
      <c r="AC3615" s="18"/>
    </row>
    <row r="3616" spans="1:29" ht="32.25" hidden="1" customHeight="1">
      <c r="A3616" s="17"/>
      <c r="B3616" s="9" t="s">
        <v>13284</v>
      </c>
      <c r="C3616" s="9" t="s">
        <v>13284</v>
      </c>
      <c r="D3616" s="9" t="s">
        <v>13284</v>
      </c>
      <c r="E3616" s="9" t="s">
        <v>13284</v>
      </c>
      <c r="F3616" s="9" t="s">
        <v>13284</v>
      </c>
      <c r="G3616" s="9" t="s">
        <v>13284</v>
      </c>
      <c r="H3616" s="9" t="s">
        <v>13284</v>
      </c>
      <c r="I3616" s="9" t="s">
        <v>13284</v>
      </c>
      <c r="J3616" s="9" t="s">
        <v>13284</v>
      </c>
      <c r="K3616" s="9" t="s">
        <v>13284</v>
      </c>
      <c r="L3616" s="9" t="s">
        <v>13284</v>
      </c>
      <c r="M3616" s="9" t="s">
        <v>13284</v>
      </c>
      <c r="N3616" s="9" t="s">
        <v>13284</v>
      </c>
      <c r="O3616" s="9" t="s">
        <v>13284</v>
      </c>
      <c r="P3616" s="9" t="s">
        <v>13284</v>
      </c>
      <c r="Q3616" s="9" t="s">
        <v>13284</v>
      </c>
      <c r="R3616" s="9" t="s">
        <v>13284</v>
      </c>
      <c r="S3616" s="9" t="s">
        <v>13284</v>
      </c>
      <c r="T3616" s="9" t="str">
        <f ca="1">IFERROR(IF(AND(VLOOKUP(A3616, 'Актуальное состояние (из общего'!A:C,3,0) = "", A3616 &lt;&gt; ""), "ПРОВЕРИТЬ", VLOOKUP(A3616, 'Актуальное состояние (из общего'!A:C,3,0)), "")</f>
        <v/>
      </c>
      <c r="U3616" s="9" t="s">
        <v>13284</v>
      </c>
      <c r="V3616" s="9" t="s">
        <v>13284</v>
      </c>
      <c r="W3616" s="12"/>
      <c r="X3616" s="9" t="str">
        <f t="array" ref="X3616">IFERROR(INDEX('Адреса общежитий (скрытый)'!$B$2:$B$9, MATCH(W3616, 'Адреса общежитий (скрытый)'!$A$2:$A$9, 0)), "")</f>
        <v/>
      </c>
      <c r="Y3616" s="18"/>
      <c r="Z3616" s="18"/>
      <c r="AA3616" s="18"/>
      <c r="AB3616" s="18"/>
      <c r="AC3616" s="18"/>
    </row>
    <row r="3617" spans="1:29" ht="32.25" hidden="1" customHeight="1">
      <c r="A3617" s="17"/>
      <c r="B3617" s="9" t="s">
        <v>13284</v>
      </c>
      <c r="C3617" s="9" t="s">
        <v>13284</v>
      </c>
      <c r="D3617" s="9" t="s">
        <v>13284</v>
      </c>
      <c r="E3617" s="9" t="s">
        <v>13284</v>
      </c>
      <c r="F3617" s="9" t="s">
        <v>13284</v>
      </c>
      <c r="G3617" s="9" t="s">
        <v>13284</v>
      </c>
      <c r="H3617" s="9" t="s">
        <v>13284</v>
      </c>
      <c r="I3617" s="9" t="s">
        <v>13284</v>
      </c>
      <c r="J3617" s="9" t="s">
        <v>13284</v>
      </c>
      <c r="K3617" s="9" t="s">
        <v>13284</v>
      </c>
      <c r="L3617" s="9" t="s">
        <v>13284</v>
      </c>
      <c r="M3617" s="9" t="s">
        <v>13284</v>
      </c>
      <c r="N3617" s="9" t="s">
        <v>13284</v>
      </c>
      <c r="O3617" s="9" t="s">
        <v>13284</v>
      </c>
      <c r="P3617" s="9" t="s">
        <v>13284</v>
      </c>
      <c r="Q3617" s="9" t="s">
        <v>13284</v>
      </c>
      <c r="R3617" s="9" t="s">
        <v>13284</v>
      </c>
      <c r="S3617" s="9" t="s">
        <v>13284</v>
      </c>
      <c r="T3617" s="9" t="str">
        <f ca="1">IFERROR(IF(AND(VLOOKUP(A3617, 'Актуальное состояние (из общего'!A:C,3,0) = "", A3617 &lt;&gt; ""), "ПРОВЕРИТЬ", VLOOKUP(A3617, 'Актуальное состояние (из общего'!A:C,3,0)), "")</f>
        <v/>
      </c>
      <c r="U3617" s="9" t="s">
        <v>13284</v>
      </c>
      <c r="V3617" s="9" t="s">
        <v>13284</v>
      </c>
      <c r="W3617" s="12"/>
      <c r="X3617" s="9" t="str">
        <f t="array" ref="X3617">IFERROR(INDEX('Адреса общежитий (скрытый)'!$B$2:$B$9, MATCH(W3617, 'Адреса общежитий (скрытый)'!$A$2:$A$9, 0)), "")</f>
        <v/>
      </c>
      <c r="Y3617" s="18"/>
      <c r="Z3617" s="18"/>
      <c r="AA3617" s="18"/>
      <c r="AB3617" s="18"/>
      <c r="AC3617" s="18"/>
    </row>
    <row r="3618" spans="1:29" ht="32.25" hidden="1" customHeight="1">
      <c r="A3618" s="17"/>
      <c r="B3618" s="9" t="s">
        <v>13284</v>
      </c>
      <c r="C3618" s="9" t="s">
        <v>13284</v>
      </c>
      <c r="D3618" s="9" t="s">
        <v>13284</v>
      </c>
      <c r="E3618" s="9" t="s">
        <v>13284</v>
      </c>
      <c r="F3618" s="9" t="s">
        <v>13284</v>
      </c>
      <c r="G3618" s="9" t="s">
        <v>13284</v>
      </c>
      <c r="H3618" s="9" t="s">
        <v>13284</v>
      </c>
      <c r="I3618" s="9" t="s">
        <v>13284</v>
      </c>
      <c r="J3618" s="9" t="s">
        <v>13284</v>
      </c>
      <c r="K3618" s="9" t="s">
        <v>13284</v>
      </c>
      <c r="L3618" s="9" t="s">
        <v>13284</v>
      </c>
      <c r="M3618" s="9" t="s">
        <v>13284</v>
      </c>
      <c r="N3618" s="9" t="s">
        <v>13284</v>
      </c>
      <c r="O3618" s="9" t="s">
        <v>13284</v>
      </c>
      <c r="P3618" s="9" t="s">
        <v>13284</v>
      </c>
      <c r="Q3618" s="9" t="s">
        <v>13284</v>
      </c>
      <c r="R3618" s="9" t="s">
        <v>13284</v>
      </c>
      <c r="S3618" s="9" t="s">
        <v>13284</v>
      </c>
      <c r="T3618" s="9" t="str">
        <f ca="1">IFERROR(IF(AND(VLOOKUP(A3618, 'Актуальное состояние (из общего'!A:C,3,0) = "", A3618 &lt;&gt; ""), "ПРОВЕРИТЬ", VLOOKUP(A3618, 'Актуальное состояние (из общего'!A:C,3,0)), "")</f>
        <v/>
      </c>
      <c r="U3618" s="9" t="s">
        <v>13284</v>
      </c>
      <c r="V3618" s="9" t="s">
        <v>13284</v>
      </c>
      <c r="W3618" s="12"/>
      <c r="X3618" s="9" t="str">
        <f t="array" ref="X3618">IFERROR(INDEX('Адреса общежитий (скрытый)'!$B$2:$B$9, MATCH(W3618, 'Адреса общежитий (скрытый)'!$A$2:$A$9, 0)), "")</f>
        <v/>
      </c>
      <c r="Y3618" s="18"/>
      <c r="Z3618" s="18"/>
      <c r="AA3618" s="18"/>
      <c r="AB3618" s="18"/>
      <c r="AC3618" s="18"/>
    </row>
    <row r="3619" spans="1:29" ht="32.25" hidden="1" customHeight="1">
      <c r="A3619" s="17"/>
      <c r="B3619" s="9" t="s">
        <v>13284</v>
      </c>
      <c r="C3619" s="9" t="s">
        <v>13284</v>
      </c>
      <c r="D3619" s="9" t="s">
        <v>13284</v>
      </c>
      <c r="E3619" s="9" t="s">
        <v>13284</v>
      </c>
      <c r="F3619" s="9" t="s">
        <v>13284</v>
      </c>
      <c r="G3619" s="9" t="s">
        <v>13284</v>
      </c>
      <c r="H3619" s="9" t="s">
        <v>13284</v>
      </c>
      <c r="I3619" s="9" t="s">
        <v>13284</v>
      </c>
      <c r="J3619" s="9" t="s">
        <v>13284</v>
      </c>
      <c r="K3619" s="9" t="s">
        <v>13284</v>
      </c>
      <c r="L3619" s="9" t="s">
        <v>13284</v>
      </c>
      <c r="M3619" s="9" t="s">
        <v>13284</v>
      </c>
      <c r="N3619" s="9" t="s">
        <v>13284</v>
      </c>
      <c r="O3619" s="9" t="s">
        <v>13284</v>
      </c>
      <c r="P3619" s="9" t="s">
        <v>13284</v>
      </c>
      <c r="Q3619" s="9" t="s">
        <v>13284</v>
      </c>
      <c r="R3619" s="9" t="s">
        <v>13284</v>
      </c>
      <c r="S3619" s="9" t="s">
        <v>13284</v>
      </c>
      <c r="T3619" s="9" t="str">
        <f ca="1">IFERROR(IF(AND(VLOOKUP(A3619, 'Актуальное состояние (из общего'!A:C,3,0) = "", A3619 &lt;&gt; ""), "ПРОВЕРИТЬ", VLOOKUP(A3619, 'Актуальное состояние (из общего'!A:C,3,0)), "")</f>
        <v/>
      </c>
      <c r="U3619" s="9" t="s">
        <v>13284</v>
      </c>
      <c r="V3619" s="9" t="s">
        <v>13284</v>
      </c>
      <c r="W3619" s="12"/>
      <c r="X3619" s="9" t="str">
        <f t="array" ref="X3619">IFERROR(INDEX('Адреса общежитий (скрытый)'!$B$2:$B$9, MATCH(W3619, 'Адреса общежитий (скрытый)'!$A$2:$A$9, 0)), "")</f>
        <v/>
      </c>
      <c r="Y3619" s="18"/>
      <c r="Z3619" s="18"/>
      <c r="AA3619" s="18"/>
      <c r="AB3619" s="18"/>
      <c r="AC3619" s="18"/>
    </row>
    <row r="3620" spans="1:29" ht="32.25" hidden="1" customHeight="1">
      <c r="A3620" s="17"/>
      <c r="B3620" s="9" t="s">
        <v>13284</v>
      </c>
      <c r="C3620" s="9" t="s">
        <v>13284</v>
      </c>
      <c r="D3620" s="9" t="s">
        <v>13284</v>
      </c>
      <c r="E3620" s="9" t="s">
        <v>13284</v>
      </c>
      <c r="F3620" s="9" t="s">
        <v>13284</v>
      </c>
      <c r="G3620" s="9" t="s">
        <v>13284</v>
      </c>
      <c r="H3620" s="9" t="s">
        <v>13284</v>
      </c>
      <c r="I3620" s="9" t="s">
        <v>13284</v>
      </c>
      <c r="J3620" s="9" t="s">
        <v>13284</v>
      </c>
      <c r="K3620" s="9" t="s">
        <v>13284</v>
      </c>
      <c r="L3620" s="9" t="s">
        <v>13284</v>
      </c>
      <c r="M3620" s="9" t="s">
        <v>13284</v>
      </c>
      <c r="N3620" s="9" t="s">
        <v>13284</v>
      </c>
      <c r="O3620" s="9" t="s">
        <v>13284</v>
      </c>
      <c r="P3620" s="9" t="s">
        <v>13284</v>
      </c>
      <c r="Q3620" s="9" t="s">
        <v>13284</v>
      </c>
      <c r="R3620" s="9" t="s">
        <v>13284</v>
      </c>
      <c r="S3620" s="9" t="s">
        <v>13284</v>
      </c>
      <c r="T3620" s="9" t="str">
        <f ca="1">IFERROR(IF(AND(VLOOKUP(A3620, 'Актуальное состояние (из общего'!A:C,3,0) = "", A3620 &lt;&gt; ""), "ПРОВЕРИТЬ", VLOOKUP(A3620, 'Актуальное состояние (из общего'!A:C,3,0)), "")</f>
        <v/>
      </c>
      <c r="U3620" s="9" t="s">
        <v>13284</v>
      </c>
      <c r="V3620" s="9" t="s">
        <v>13284</v>
      </c>
      <c r="W3620" s="12"/>
      <c r="X3620" s="9" t="str">
        <f t="array" ref="X3620">IFERROR(INDEX('Адреса общежитий (скрытый)'!$B$2:$B$9, MATCH(W3620, 'Адреса общежитий (скрытый)'!$A$2:$A$9, 0)), "")</f>
        <v/>
      </c>
      <c r="Y3620" s="18"/>
      <c r="Z3620" s="18"/>
      <c r="AA3620" s="18"/>
      <c r="AB3620" s="18"/>
      <c r="AC3620" s="18"/>
    </row>
    <row r="3621" spans="1:29" ht="32.25" hidden="1" customHeight="1">
      <c r="A3621" s="17"/>
      <c r="B3621" s="9" t="s">
        <v>13284</v>
      </c>
      <c r="C3621" s="9" t="s">
        <v>13284</v>
      </c>
      <c r="D3621" s="9" t="s">
        <v>13284</v>
      </c>
      <c r="E3621" s="9" t="s">
        <v>13284</v>
      </c>
      <c r="F3621" s="9" t="s">
        <v>13284</v>
      </c>
      <c r="G3621" s="9" t="s">
        <v>13284</v>
      </c>
      <c r="H3621" s="9" t="s">
        <v>13284</v>
      </c>
      <c r="I3621" s="9" t="s">
        <v>13284</v>
      </c>
      <c r="J3621" s="9" t="s">
        <v>13284</v>
      </c>
      <c r="K3621" s="9" t="s">
        <v>13284</v>
      </c>
      <c r="L3621" s="9" t="s">
        <v>13284</v>
      </c>
      <c r="M3621" s="9" t="s">
        <v>13284</v>
      </c>
      <c r="N3621" s="9" t="s">
        <v>13284</v>
      </c>
      <c r="O3621" s="9" t="s">
        <v>13284</v>
      </c>
      <c r="P3621" s="9" t="s">
        <v>13284</v>
      </c>
      <c r="Q3621" s="9" t="s">
        <v>13284</v>
      </c>
      <c r="R3621" s="9" t="s">
        <v>13284</v>
      </c>
      <c r="S3621" s="9" t="s">
        <v>13284</v>
      </c>
      <c r="T3621" s="9" t="str">
        <f ca="1">IFERROR(IF(AND(VLOOKUP(A3621, 'Актуальное состояние (из общего'!A:C,3,0) = "", A3621 &lt;&gt; ""), "ПРОВЕРИТЬ", VLOOKUP(A3621, 'Актуальное состояние (из общего'!A:C,3,0)), "")</f>
        <v/>
      </c>
      <c r="U3621" s="9" t="s">
        <v>13284</v>
      </c>
      <c r="V3621" s="9" t="s">
        <v>13284</v>
      </c>
      <c r="W3621" s="12"/>
      <c r="X3621" s="9" t="str">
        <f t="array" ref="X3621">IFERROR(INDEX('Адреса общежитий (скрытый)'!$B$2:$B$9, MATCH(W3621, 'Адреса общежитий (скрытый)'!$A$2:$A$9, 0)), "")</f>
        <v/>
      </c>
      <c r="Y3621" s="18"/>
      <c r="Z3621" s="18"/>
      <c r="AA3621" s="18"/>
      <c r="AB3621" s="18"/>
      <c r="AC3621" s="18"/>
    </row>
    <row r="3622" spans="1:29" ht="32.25" hidden="1" customHeight="1">
      <c r="A3622" s="17"/>
      <c r="B3622" s="9" t="s">
        <v>13284</v>
      </c>
      <c r="C3622" s="9" t="s">
        <v>13284</v>
      </c>
      <c r="D3622" s="9" t="s">
        <v>13284</v>
      </c>
      <c r="E3622" s="9" t="s">
        <v>13284</v>
      </c>
      <c r="F3622" s="9" t="s">
        <v>13284</v>
      </c>
      <c r="G3622" s="9" t="s">
        <v>13284</v>
      </c>
      <c r="H3622" s="9" t="s">
        <v>13284</v>
      </c>
      <c r="I3622" s="9" t="s">
        <v>13284</v>
      </c>
      <c r="J3622" s="9" t="s">
        <v>13284</v>
      </c>
      <c r="K3622" s="9" t="s">
        <v>13284</v>
      </c>
      <c r="L3622" s="9" t="s">
        <v>13284</v>
      </c>
      <c r="M3622" s="9" t="s">
        <v>13284</v>
      </c>
      <c r="N3622" s="9" t="s">
        <v>13284</v>
      </c>
      <c r="O3622" s="9" t="s">
        <v>13284</v>
      </c>
      <c r="P3622" s="9" t="s">
        <v>13284</v>
      </c>
      <c r="Q3622" s="9" t="s">
        <v>13284</v>
      </c>
      <c r="R3622" s="9" t="s">
        <v>13284</v>
      </c>
      <c r="S3622" s="9" t="s">
        <v>13284</v>
      </c>
      <c r="T3622" s="9" t="str">
        <f ca="1">IFERROR(IF(AND(VLOOKUP(A3622, 'Актуальное состояние (из общего'!A:C,3,0) = "", A3622 &lt;&gt; ""), "ПРОВЕРИТЬ", VLOOKUP(A3622, 'Актуальное состояние (из общего'!A:C,3,0)), "")</f>
        <v/>
      </c>
      <c r="U3622" s="9" t="s">
        <v>13284</v>
      </c>
      <c r="V3622" s="9" t="s">
        <v>13284</v>
      </c>
      <c r="W3622" s="12"/>
      <c r="X3622" s="9" t="str">
        <f t="array" ref="X3622">IFERROR(INDEX('Адреса общежитий (скрытый)'!$B$2:$B$9, MATCH(W3622, 'Адреса общежитий (скрытый)'!$A$2:$A$9, 0)), "")</f>
        <v/>
      </c>
      <c r="Y3622" s="18"/>
      <c r="Z3622" s="18"/>
      <c r="AA3622" s="18"/>
      <c r="AB3622" s="18"/>
      <c r="AC3622" s="18"/>
    </row>
    <row r="3623" spans="1:29" ht="32.25" hidden="1" customHeight="1">
      <c r="A3623" s="17"/>
      <c r="B3623" s="9" t="s">
        <v>13284</v>
      </c>
      <c r="C3623" s="9" t="s">
        <v>13284</v>
      </c>
      <c r="D3623" s="9" t="s">
        <v>13284</v>
      </c>
      <c r="E3623" s="9" t="s">
        <v>13284</v>
      </c>
      <c r="F3623" s="9" t="s">
        <v>13284</v>
      </c>
      <c r="G3623" s="9" t="s">
        <v>13284</v>
      </c>
      <c r="H3623" s="9" t="s">
        <v>13284</v>
      </c>
      <c r="I3623" s="9" t="s">
        <v>13284</v>
      </c>
      <c r="J3623" s="9" t="s">
        <v>13284</v>
      </c>
      <c r="K3623" s="9" t="s">
        <v>13284</v>
      </c>
      <c r="L3623" s="9" t="s">
        <v>13284</v>
      </c>
      <c r="M3623" s="9" t="s">
        <v>13284</v>
      </c>
      <c r="N3623" s="9" t="s">
        <v>13284</v>
      </c>
      <c r="O3623" s="9" t="s">
        <v>13284</v>
      </c>
      <c r="P3623" s="9" t="s">
        <v>13284</v>
      </c>
      <c r="Q3623" s="9" t="s">
        <v>13284</v>
      </c>
      <c r="R3623" s="9" t="s">
        <v>13284</v>
      </c>
      <c r="S3623" s="9" t="s">
        <v>13284</v>
      </c>
      <c r="T3623" s="9" t="str">
        <f ca="1">IFERROR(IF(AND(VLOOKUP(A3623, 'Актуальное состояние (из общего'!A:C,3,0) = "", A3623 &lt;&gt; ""), "ПРОВЕРИТЬ", VLOOKUP(A3623, 'Актуальное состояние (из общего'!A:C,3,0)), "")</f>
        <v/>
      </c>
      <c r="U3623" s="9" t="s">
        <v>13284</v>
      </c>
      <c r="V3623" s="9" t="s">
        <v>13284</v>
      </c>
      <c r="W3623" s="12"/>
      <c r="X3623" s="9" t="str">
        <f t="array" ref="X3623">IFERROR(INDEX('Адреса общежитий (скрытый)'!$B$2:$B$9, MATCH(W3623, 'Адреса общежитий (скрытый)'!$A$2:$A$9, 0)), "")</f>
        <v/>
      </c>
      <c r="Y3623" s="18"/>
      <c r="Z3623" s="18"/>
      <c r="AA3623" s="18"/>
      <c r="AB3623" s="18"/>
      <c r="AC3623" s="18"/>
    </row>
    <row r="3624" spans="1:29" ht="32.25" hidden="1" customHeight="1">
      <c r="A3624" s="17"/>
      <c r="B3624" s="9" t="s">
        <v>13284</v>
      </c>
      <c r="C3624" s="9" t="s">
        <v>13284</v>
      </c>
      <c r="D3624" s="9" t="s">
        <v>13284</v>
      </c>
      <c r="E3624" s="9" t="s">
        <v>13284</v>
      </c>
      <c r="F3624" s="9" t="s">
        <v>13284</v>
      </c>
      <c r="G3624" s="9" t="s">
        <v>13284</v>
      </c>
      <c r="H3624" s="9" t="s">
        <v>13284</v>
      </c>
      <c r="I3624" s="9" t="s">
        <v>13284</v>
      </c>
      <c r="J3624" s="9" t="s">
        <v>13284</v>
      </c>
      <c r="K3624" s="9" t="s">
        <v>13284</v>
      </c>
      <c r="L3624" s="9" t="s">
        <v>13284</v>
      </c>
      <c r="M3624" s="9" t="s">
        <v>13284</v>
      </c>
      <c r="N3624" s="9" t="s">
        <v>13284</v>
      </c>
      <c r="O3624" s="9" t="s">
        <v>13284</v>
      </c>
      <c r="P3624" s="9" t="s">
        <v>13284</v>
      </c>
      <c r="Q3624" s="9" t="s">
        <v>13284</v>
      </c>
      <c r="R3624" s="9" t="s">
        <v>13284</v>
      </c>
      <c r="S3624" s="9" t="s">
        <v>13284</v>
      </c>
      <c r="T3624" s="9" t="str">
        <f ca="1">IFERROR(IF(AND(VLOOKUP(A3624, 'Актуальное состояние (из общего'!A:C,3,0) = "", A3624 &lt;&gt; ""), "ПРОВЕРИТЬ", VLOOKUP(A3624, 'Актуальное состояние (из общего'!A:C,3,0)), "")</f>
        <v/>
      </c>
      <c r="U3624" s="9" t="s">
        <v>13284</v>
      </c>
      <c r="V3624" s="9" t="s">
        <v>13284</v>
      </c>
      <c r="W3624" s="12"/>
      <c r="X3624" s="9" t="str">
        <f t="array" ref="X3624">IFERROR(INDEX('Адреса общежитий (скрытый)'!$B$2:$B$9, MATCH(W3624, 'Адреса общежитий (скрытый)'!$A$2:$A$9, 0)), "")</f>
        <v/>
      </c>
      <c r="Y3624" s="18"/>
      <c r="Z3624" s="18"/>
      <c r="AA3624" s="18"/>
      <c r="AB3624" s="18"/>
      <c r="AC3624" s="18"/>
    </row>
    <row r="3625" spans="1:29" ht="32.25" hidden="1" customHeight="1">
      <c r="A3625" s="17"/>
      <c r="B3625" s="9" t="s">
        <v>13284</v>
      </c>
      <c r="C3625" s="9" t="s">
        <v>13284</v>
      </c>
      <c r="D3625" s="9" t="s">
        <v>13284</v>
      </c>
      <c r="E3625" s="9" t="s">
        <v>13284</v>
      </c>
      <c r="F3625" s="9" t="s">
        <v>13284</v>
      </c>
      <c r="G3625" s="9" t="s">
        <v>13284</v>
      </c>
      <c r="H3625" s="9" t="s">
        <v>13284</v>
      </c>
      <c r="I3625" s="9" t="s">
        <v>13284</v>
      </c>
      <c r="J3625" s="9" t="s">
        <v>13284</v>
      </c>
      <c r="K3625" s="9" t="s">
        <v>13284</v>
      </c>
      <c r="L3625" s="9" t="s">
        <v>13284</v>
      </c>
      <c r="M3625" s="9" t="s">
        <v>13284</v>
      </c>
      <c r="N3625" s="9" t="s">
        <v>13284</v>
      </c>
      <c r="O3625" s="9" t="s">
        <v>13284</v>
      </c>
      <c r="P3625" s="9" t="s">
        <v>13284</v>
      </c>
      <c r="Q3625" s="9" t="s">
        <v>13284</v>
      </c>
      <c r="R3625" s="9" t="s">
        <v>13284</v>
      </c>
      <c r="S3625" s="9" t="s">
        <v>13284</v>
      </c>
      <c r="T3625" s="9" t="str">
        <f ca="1">IFERROR(IF(AND(VLOOKUP(A3625, 'Актуальное состояние (из общего'!A:C,3,0) = "", A3625 &lt;&gt; ""), "ПРОВЕРИТЬ", VLOOKUP(A3625, 'Актуальное состояние (из общего'!A:C,3,0)), "")</f>
        <v/>
      </c>
      <c r="U3625" s="9" t="s">
        <v>13284</v>
      </c>
      <c r="V3625" s="9" t="s">
        <v>13284</v>
      </c>
      <c r="W3625" s="12"/>
      <c r="X3625" s="9" t="str">
        <f t="array" ref="X3625">IFERROR(INDEX('Адреса общежитий (скрытый)'!$B$2:$B$9, MATCH(W3625, 'Адреса общежитий (скрытый)'!$A$2:$A$9, 0)), "")</f>
        <v/>
      </c>
      <c r="Y3625" s="18"/>
      <c r="Z3625" s="18"/>
      <c r="AA3625" s="18"/>
      <c r="AB3625" s="18"/>
      <c r="AC3625" s="18"/>
    </row>
    <row r="3626" spans="1:29" ht="32.25" hidden="1" customHeight="1">
      <c r="A3626" s="17"/>
      <c r="B3626" s="9" t="s">
        <v>13284</v>
      </c>
      <c r="C3626" s="9" t="s">
        <v>13284</v>
      </c>
      <c r="D3626" s="9" t="s">
        <v>13284</v>
      </c>
      <c r="E3626" s="9" t="s">
        <v>13284</v>
      </c>
      <c r="F3626" s="9" t="s">
        <v>13284</v>
      </c>
      <c r="G3626" s="9" t="s">
        <v>13284</v>
      </c>
      <c r="H3626" s="9" t="s">
        <v>13284</v>
      </c>
      <c r="I3626" s="9" t="s">
        <v>13284</v>
      </c>
      <c r="J3626" s="9" t="s">
        <v>13284</v>
      </c>
      <c r="K3626" s="9" t="s">
        <v>13284</v>
      </c>
      <c r="L3626" s="9" t="s">
        <v>13284</v>
      </c>
      <c r="M3626" s="9" t="s">
        <v>13284</v>
      </c>
      <c r="N3626" s="9" t="s">
        <v>13284</v>
      </c>
      <c r="O3626" s="9" t="s">
        <v>13284</v>
      </c>
      <c r="P3626" s="9" t="s">
        <v>13284</v>
      </c>
      <c r="Q3626" s="9" t="s">
        <v>13284</v>
      </c>
      <c r="R3626" s="9" t="s">
        <v>13284</v>
      </c>
      <c r="S3626" s="9" t="s">
        <v>13284</v>
      </c>
      <c r="T3626" s="9" t="str">
        <f ca="1">IFERROR(IF(AND(VLOOKUP(A3626, 'Актуальное состояние (из общего'!A:C,3,0) = "", A3626 &lt;&gt; ""), "ПРОВЕРИТЬ", VLOOKUP(A3626, 'Актуальное состояние (из общего'!A:C,3,0)), "")</f>
        <v/>
      </c>
      <c r="U3626" s="9" t="s">
        <v>13284</v>
      </c>
      <c r="V3626" s="9" t="s">
        <v>13284</v>
      </c>
      <c r="W3626" s="12"/>
      <c r="X3626" s="9" t="str">
        <f t="array" ref="X3626">IFERROR(INDEX('Адреса общежитий (скрытый)'!$B$2:$B$9, MATCH(W3626, 'Адреса общежитий (скрытый)'!$A$2:$A$9, 0)), "")</f>
        <v/>
      </c>
      <c r="Y3626" s="18"/>
      <c r="Z3626" s="18"/>
      <c r="AA3626" s="18"/>
      <c r="AB3626" s="18"/>
      <c r="AC3626" s="18"/>
    </row>
    <row r="3627" spans="1:29" ht="32.25" hidden="1" customHeight="1">
      <c r="A3627" s="17"/>
      <c r="B3627" s="9" t="s">
        <v>13284</v>
      </c>
      <c r="C3627" s="9" t="s">
        <v>13284</v>
      </c>
      <c r="D3627" s="9" t="s">
        <v>13284</v>
      </c>
      <c r="E3627" s="9" t="s">
        <v>13284</v>
      </c>
      <c r="F3627" s="9" t="s">
        <v>13284</v>
      </c>
      <c r="G3627" s="9" t="s">
        <v>13284</v>
      </c>
      <c r="H3627" s="9" t="s">
        <v>13284</v>
      </c>
      <c r="I3627" s="9" t="s">
        <v>13284</v>
      </c>
      <c r="J3627" s="9" t="s">
        <v>13284</v>
      </c>
      <c r="K3627" s="9" t="s">
        <v>13284</v>
      </c>
      <c r="L3627" s="9" t="s">
        <v>13284</v>
      </c>
      <c r="M3627" s="9" t="s">
        <v>13284</v>
      </c>
      <c r="N3627" s="9" t="s">
        <v>13284</v>
      </c>
      <c r="O3627" s="9" t="s">
        <v>13284</v>
      </c>
      <c r="P3627" s="9" t="s">
        <v>13284</v>
      </c>
      <c r="Q3627" s="9" t="s">
        <v>13284</v>
      </c>
      <c r="R3627" s="9" t="s">
        <v>13284</v>
      </c>
      <c r="S3627" s="9" t="s">
        <v>13284</v>
      </c>
      <c r="T3627" s="9" t="str">
        <f ca="1">IFERROR(IF(AND(VLOOKUP(A3627, 'Актуальное состояние (из общего'!A:C,3,0) = "", A3627 &lt;&gt; ""), "ПРОВЕРИТЬ", VLOOKUP(A3627, 'Актуальное состояние (из общего'!A:C,3,0)), "")</f>
        <v/>
      </c>
      <c r="U3627" s="9" t="s">
        <v>13284</v>
      </c>
      <c r="V3627" s="9" t="s">
        <v>13284</v>
      </c>
      <c r="W3627" s="12"/>
      <c r="X3627" s="9" t="str">
        <f t="array" ref="X3627">IFERROR(INDEX('Адреса общежитий (скрытый)'!$B$2:$B$9, MATCH(W3627, 'Адреса общежитий (скрытый)'!$A$2:$A$9, 0)), "")</f>
        <v/>
      </c>
      <c r="Y3627" s="18"/>
      <c r="Z3627" s="18"/>
      <c r="AA3627" s="18"/>
      <c r="AB3627" s="18"/>
      <c r="AC3627" s="18"/>
    </row>
    <row r="3628" spans="1:29" ht="32.25" hidden="1" customHeight="1">
      <c r="A3628" s="17"/>
      <c r="B3628" s="9" t="s">
        <v>13284</v>
      </c>
      <c r="C3628" s="9" t="s">
        <v>13284</v>
      </c>
      <c r="D3628" s="9" t="s">
        <v>13284</v>
      </c>
      <c r="E3628" s="9" t="s">
        <v>13284</v>
      </c>
      <c r="F3628" s="9" t="s">
        <v>13284</v>
      </c>
      <c r="G3628" s="9" t="s">
        <v>13284</v>
      </c>
      <c r="H3628" s="9" t="s">
        <v>13284</v>
      </c>
      <c r="I3628" s="9" t="s">
        <v>13284</v>
      </c>
      <c r="J3628" s="9" t="s">
        <v>13284</v>
      </c>
      <c r="K3628" s="9" t="s">
        <v>13284</v>
      </c>
      <c r="L3628" s="9" t="s">
        <v>13284</v>
      </c>
      <c r="M3628" s="9" t="s">
        <v>13284</v>
      </c>
      <c r="N3628" s="9" t="s">
        <v>13284</v>
      </c>
      <c r="O3628" s="9" t="s">
        <v>13284</v>
      </c>
      <c r="P3628" s="9" t="s">
        <v>13284</v>
      </c>
      <c r="Q3628" s="9" t="s">
        <v>13284</v>
      </c>
      <c r="R3628" s="9" t="s">
        <v>13284</v>
      </c>
      <c r="S3628" s="9" t="s">
        <v>13284</v>
      </c>
      <c r="T3628" s="9" t="str">
        <f ca="1">IFERROR(IF(AND(VLOOKUP(A3628, 'Актуальное состояние (из общего'!A:C,3,0) = "", A3628 &lt;&gt; ""), "ПРОВЕРИТЬ", VLOOKUP(A3628, 'Актуальное состояние (из общего'!A:C,3,0)), "")</f>
        <v/>
      </c>
      <c r="U3628" s="9" t="s">
        <v>13284</v>
      </c>
      <c r="V3628" s="9" t="s">
        <v>13284</v>
      </c>
      <c r="W3628" s="12"/>
      <c r="X3628" s="9" t="str">
        <f t="array" ref="X3628">IFERROR(INDEX('Адреса общежитий (скрытый)'!$B$2:$B$9, MATCH(W3628, 'Адреса общежитий (скрытый)'!$A$2:$A$9, 0)), "")</f>
        <v/>
      </c>
      <c r="Y3628" s="18"/>
      <c r="Z3628" s="18"/>
      <c r="AA3628" s="18"/>
      <c r="AB3628" s="18"/>
      <c r="AC3628" s="18"/>
    </row>
    <row r="3629" spans="1:29" ht="32.25" hidden="1" customHeight="1">
      <c r="A3629" s="17"/>
      <c r="B3629" s="9" t="s">
        <v>13284</v>
      </c>
      <c r="C3629" s="9" t="s">
        <v>13284</v>
      </c>
      <c r="D3629" s="9" t="s">
        <v>13284</v>
      </c>
      <c r="E3629" s="9" t="s">
        <v>13284</v>
      </c>
      <c r="F3629" s="9" t="s">
        <v>13284</v>
      </c>
      <c r="G3629" s="9" t="s">
        <v>13284</v>
      </c>
      <c r="H3629" s="9" t="s">
        <v>13284</v>
      </c>
      <c r="I3629" s="9" t="s">
        <v>13284</v>
      </c>
      <c r="J3629" s="9" t="s">
        <v>13284</v>
      </c>
      <c r="K3629" s="9" t="s">
        <v>13284</v>
      </c>
      <c r="L3629" s="9" t="s">
        <v>13284</v>
      </c>
      <c r="M3629" s="9" t="s">
        <v>13284</v>
      </c>
      <c r="N3629" s="9" t="s">
        <v>13284</v>
      </c>
      <c r="O3629" s="9" t="s">
        <v>13284</v>
      </c>
      <c r="P3629" s="9" t="s">
        <v>13284</v>
      </c>
      <c r="Q3629" s="9" t="s">
        <v>13284</v>
      </c>
      <c r="R3629" s="9" t="s">
        <v>13284</v>
      </c>
      <c r="S3629" s="9" t="s">
        <v>13284</v>
      </c>
      <c r="T3629" s="9" t="str">
        <f ca="1">IFERROR(IF(AND(VLOOKUP(A3629, 'Актуальное состояние (из общего'!A:C,3,0) = "", A3629 &lt;&gt; ""), "ПРОВЕРИТЬ", VLOOKUP(A3629, 'Актуальное состояние (из общего'!A:C,3,0)), "")</f>
        <v/>
      </c>
      <c r="U3629" s="9" t="s">
        <v>13284</v>
      </c>
      <c r="V3629" s="9" t="s">
        <v>13284</v>
      </c>
      <c r="W3629" s="12"/>
      <c r="X3629" s="9" t="str">
        <f t="array" ref="X3629">IFERROR(INDEX('Адреса общежитий (скрытый)'!$B$2:$B$9, MATCH(W3629, 'Адреса общежитий (скрытый)'!$A$2:$A$9, 0)), "")</f>
        <v/>
      </c>
      <c r="Y3629" s="18"/>
      <c r="Z3629" s="18"/>
      <c r="AA3629" s="18"/>
      <c r="AB3629" s="18"/>
      <c r="AC3629" s="18"/>
    </row>
    <row r="3630" spans="1:29" ht="32.25" hidden="1" customHeight="1">
      <c r="A3630" s="17"/>
      <c r="B3630" s="9" t="s">
        <v>13284</v>
      </c>
      <c r="C3630" s="9" t="s">
        <v>13284</v>
      </c>
      <c r="D3630" s="9" t="s">
        <v>13284</v>
      </c>
      <c r="E3630" s="9" t="s">
        <v>13284</v>
      </c>
      <c r="F3630" s="9" t="s">
        <v>13284</v>
      </c>
      <c r="G3630" s="9" t="s">
        <v>13284</v>
      </c>
      <c r="H3630" s="9" t="s">
        <v>13284</v>
      </c>
      <c r="I3630" s="9" t="s">
        <v>13284</v>
      </c>
      <c r="J3630" s="9" t="s">
        <v>13284</v>
      </c>
      <c r="K3630" s="9" t="s">
        <v>13284</v>
      </c>
      <c r="L3630" s="9" t="s">
        <v>13284</v>
      </c>
      <c r="M3630" s="9" t="s">
        <v>13284</v>
      </c>
      <c r="N3630" s="9" t="s">
        <v>13284</v>
      </c>
      <c r="O3630" s="9" t="s">
        <v>13284</v>
      </c>
      <c r="P3630" s="9" t="s">
        <v>13284</v>
      </c>
      <c r="Q3630" s="9" t="s">
        <v>13284</v>
      </c>
      <c r="R3630" s="9" t="s">
        <v>13284</v>
      </c>
      <c r="S3630" s="9" t="s">
        <v>13284</v>
      </c>
      <c r="T3630" s="9" t="str">
        <f ca="1">IFERROR(IF(AND(VLOOKUP(A3630, 'Актуальное состояние (из общего'!A:C,3,0) = "", A3630 &lt;&gt; ""), "ПРОВЕРИТЬ", VLOOKUP(A3630, 'Актуальное состояние (из общего'!A:C,3,0)), "")</f>
        <v/>
      </c>
      <c r="U3630" s="9" t="s">
        <v>13284</v>
      </c>
      <c r="V3630" s="9" t="s">
        <v>13284</v>
      </c>
      <c r="W3630" s="12"/>
      <c r="X3630" s="9" t="str">
        <f t="array" ref="X3630">IFERROR(INDEX('Адреса общежитий (скрытый)'!$B$2:$B$9, MATCH(W3630, 'Адреса общежитий (скрытый)'!$A$2:$A$9, 0)), "")</f>
        <v/>
      </c>
      <c r="Y3630" s="18"/>
      <c r="Z3630" s="18"/>
      <c r="AA3630" s="18"/>
      <c r="AB3630" s="18"/>
      <c r="AC3630" s="18"/>
    </row>
    <row r="3631" spans="1:29" ht="32.25" hidden="1" customHeight="1">
      <c r="A3631" s="17"/>
      <c r="B3631" s="9" t="s">
        <v>13284</v>
      </c>
      <c r="C3631" s="9" t="s">
        <v>13284</v>
      </c>
      <c r="D3631" s="9" t="s">
        <v>13284</v>
      </c>
      <c r="E3631" s="9" t="s">
        <v>13284</v>
      </c>
      <c r="F3631" s="9" t="s">
        <v>13284</v>
      </c>
      <c r="G3631" s="9" t="s">
        <v>13284</v>
      </c>
      <c r="H3631" s="9" t="s">
        <v>13284</v>
      </c>
      <c r="I3631" s="9" t="s">
        <v>13284</v>
      </c>
      <c r="J3631" s="9" t="s">
        <v>13284</v>
      </c>
      <c r="K3631" s="9" t="s">
        <v>13284</v>
      </c>
      <c r="L3631" s="9" t="s">
        <v>13284</v>
      </c>
      <c r="M3631" s="9" t="s">
        <v>13284</v>
      </c>
      <c r="N3631" s="9" t="s">
        <v>13284</v>
      </c>
      <c r="O3631" s="9" t="s">
        <v>13284</v>
      </c>
      <c r="P3631" s="9" t="s">
        <v>13284</v>
      </c>
      <c r="Q3631" s="9" t="s">
        <v>13284</v>
      </c>
      <c r="R3631" s="9" t="s">
        <v>13284</v>
      </c>
      <c r="S3631" s="9" t="s">
        <v>13284</v>
      </c>
      <c r="T3631" s="9" t="str">
        <f ca="1">IFERROR(IF(AND(VLOOKUP(A3631, 'Актуальное состояние (из общего'!A:C,3,0) = "", A3631 &lt;&gt; ""), "ПРОВЕРИТЬ", VLOOKUP(A3631, 'Актуальное состояние (из общего'!A:C,3,0)), "")</f>
        <v/>
      </c>
      <c r="U3631" s="9" t="s">
        <v>13284</v>
      </c>
      <c r="V3631" s="9" t="s">
        <v>13284</v>
      </c>
      <c r="W3631" s="12"/>
      <c r="X3631" s="9" t="str">
        <f t="array" ref="X3631">IFERROR(INDEX('Адреса общежитий (скрытый)'!$B$2:$B$9, MATCH(W3631, 'Адреса общежитий (скрытый)'!$A$2:$A$9, 0)), "")</f>
        <v/>
      </c>
      <c r="Y3631" s="18"/>
      <c r="Z3631" s="18"/>
      <c r="AA3631" s="18"/>
      <c r="AB3631" s="18"/>
      <c r="AC3631" s="18"/>
    </row>
    <row r="3632" spans="1:29" ht="32.25" hidden="1" customHeight="1">
      <c r="A3632" s="17"/>
      <c r="B3632" s="9" t="s">
        <v>13284</v>
      </c>
      <c r="C3632" s="9" t="s">
        <v>13284</v>
      </c>
      <c r="D3632" s="9" t="s">
        <v>13284</v>
      </c>
      <c r="E3632" s="9" t="s">
        <v>13284</v>
      </c>
      <c r="F3632" s="9" t="s">
        <v>13284</v>
      </c>
      <c r="G3632" s="9" t="s">
        <v>13284</v>
      </c>
      <c r="H3632" s="9" t="s">
        <v>13284</v>
      </c>
      <c r="I3632" s="9" t="s">
        <v>13284</v>
      </c>
      <c r="J3632" s="9" t="s">
        <v>13284</v>
      </c>
      <c r="K3632" s="9" t="s">
        <v>13284</v>
      </c>
      <c r="L3632" s="9" t="s">
        <v>13284</v>
      </c>
      <c r="M3632" s="9" t="s">
        <v>13284</v>
      </c>
      <c r="N3632" s="9" t="s">
        <v>13284</v>
      </c>
      <c r="O3632" s="9" t="s">
        <v>13284</v>
      </c>
      <c r="P3632" s="9" t="s">
        <v>13284</v>
      </c>
      <c r="Q3632" s="9" t="s">
        <v>13284</v>
      </c>
      <c r="R3632" s="9" t="s">
        <v>13284</v>
      </c>
      <c r="S3632" s="9" t="s">
        <v>13284</v>
      </c>
      <c r="T3632" s="9" t="str">
        <f ca="1">IFERROR(IF(AND(VLOOKUP(A3632, 'Актуальное состояние (из общего'!A:C,3,0) = "", A3632 &lt;&gt; ""), "ПРОВЕРИТЬ", VLOOKUP(A3632, 'Актуальное состояние (из общего'!A:C,3,0)), "")</f>
        <v/>
      </c>
      <c r="U3632" s="9" t="s">
        <v>13284</v>
      </c>
      <c r="V3632" s="9" t="s">
        <v>13284</v>
      </c>
      <c r="W3632" s="12"/>
      <c r="X3632" s="9" t="str">
        <f t="array" ref="X3632">IFERROR(INDEX('Адреса общежитий (скрытый)'!$B$2:$B$9, MATCH(W3632, 'Адреса общежитий (скрытый)'!$A$2:$A$9, 0)), "")</f>
        <v/>
      </c>
      <c r="Y3632" s="18"/>
      <c r="Z3632" s="18"/>
      <c r="AA3632" s="18"/>
      <c r="AB3632" s="18"/>
      <c r="AC3632" s="18"/>
    </row>
    <row r="3633" spans="1:29" ht="32.25" hidden="1" customHeight="1">
      <c r="A3633" s="17"/>
      <c r="B3633" s="9" t="s">
        <v>13284</v>
      </c>
      <c r="C3633" s="9" t="s">
        <v>13284</v>
      </c>
      <c r="D3633" s="9" t="s">
        <v>13284</v>
      </c>
      <c r="E3633" s="9" t="s">
        <v>13284</v>
      </c>
      <c r="F3633" s="9" t="s">
        <v>13284</v>
      </c>
      <c r="G3633" s="9" t="s">
        <v>13284</v>
      </c>
      <c r="H3633" s="9" t="s">
        <v>13284</v>
      </c>
      <c r="I3633" s="9" t="s">
        <v>13284</v>
      </c>
      <c r="J3633" s="9" t="s">
        <v>13284</v>
      </c>
      <c r="K3633" s="9" t="s">
        <v>13284</v>
      </c>
      <c r="L3633" s="9" t="s">
        <v>13284</v>
      </c>
      <c r="M3633" s="9" t="s">
        <v>13284</v>
      </c>
      <c r="N3633" s="9" t="s">
        <v>13284</v>
      </c>
      <c r="O3633" s="9" t="s">
        <v>13284</v>
      </c>
      <c r="P3633" s="9" t="s">
        <v>13284</v>
      </c>
      <c r="Q3633" s="9" t="s">
        <v>13284</v>
      </c>
      <c r="R3633" s="9" t="s">
        <v>13284</v>
      </c>
      <c r="S3633" s="9" t="s">
        <v>13284</v>
      </c>
      <c r="T3633" s="9" t="str">
        <f ca="1">IFERROR(IF(AND(VLOOKUP(A3633, 'Актуальное состояние (из общего'!A:C,3,0) = "", A3633 &lt;&gt; ""), "ПРОВЕРИТЬ", VLOOKUP(A3633, 'Актуальное состояние (из общего'!A:C,3,0)), "")</f>
        <v/>
      </c>
      <c r="U3633" s="9" t="s">
        <v>13284</v>
      </c>
      <c r="V3633" s="9" t="s">
        <v>13284</v>
      </c>
      <c r="W3633" s="12"/>
      <c r="X3633" s="9" t="str">
        <f t="array" ref="X3633">IFERROR(INDEX('Адреса общежитий (скрытый)'!$B$2:$B$9, MATCH(W3633, 'Адреса общежитий (скрытый)'!$A$2:$A$9, 0)), "")</f>
        <v/>
      </c>
      <c r="Y3633" s="18"/>
      <c r="Z3633" s="18"/>
      <c r="AA3633" s="18"/>
      <c r="AB3633" s="18"/>
      <c r="AC3633" s="18"/>
    </row>
    <row r="3634" spans="1:29" ht="32.25" hidden="1" customHeight="1">
      <c r="A3634" s="17"/>
      <c r="B3634" s="9" t="s">
        <v>13284</v>
      </c>
      <c r="C3634" s="9" t="s">
        <v>13284</v>
      </c>
      <c r="D3634" s="9" t="s">
        <v>13284</v>
      </c>
      <c r="E3634" s="9" t="s">
        <v>13284</v>
      </c>
      <c r="F3634" s="9" t="s">
        <v>13284</v>
      </c>
      <c r="G3634" s="9" t="s">
        <v>13284</v>
      </c>
      <c r="H3634" s="9" t="s">
        <v>13284</v>
      </c>
      <c r="I3634" s="9" t="s">
        <v>13284</v>
      </c>
      <c r="J3634" s="9" t="s">
        <v>13284</v>
      </c>
      <c r="K3634" s="9" t="s">
        <v>13284</v>
      </c>
      <c r="L3634" s="9" t="s">
        <v>13284</v>
      </c>
      <c r="M3634" s="9" t="s">
        <v>13284</v>
      </c>
      <c r="N3634" s="9" t="s">
        <v>13284</v>
      </c>
      <c r="O3634" s="9" t="s">
        <v>13284</v>
      </c>
      <c r="P3634" s="9" t="s">
        <v>13284</v>
      </c>
      <c r="Q3634" s="9" t="s">
        <v>13284</v>
      </c>
      <c r="R3634" s="9" t="s">
        <v>13284</v>
      </c>
      <c r="S3634" s="9" t="s">
        <v>13284</v>
      </c>
      <c r="T3634" s="9" t="str">
        <f ca="1">IFERROR(IF(AND(VLOOKUP(A3634, 'Актуальное состояние (из общего'!A:C,3,0) = "", A3634 &lt;&gt; ""), "ПРОВЕРИТЬ", VLOOKUP(A3634, 'Актуальное состояние (из общего'!A:C,3,0)), "")</f>
        <v/>
      </c>
      <c r="U3634" s="9" t="s">
        <v>13284</v>
      </c>
      <c r="V3634" s="9" t="s">
        <v>13284</v>
      </c>
      <c r="W3634" s="12"/>
      <c r="X3634" s="9" t="str">
        <f t="array" ref="X3634">IFERROR(INDEX('Адреса общежитий (скрытый)'!$B$2:$B$9, MATCH(W3634, 'Адреса общежитий (скрытый)'!$A$2:$A$9, 0)), "")</f>
        <v/>
      </c>
      <c r="Y3634" s="18"/>
      <c r="Z3634" s="18"/>
      <c r="AA3634" s="18"/>
      <c r="AB3634" s="18"/>
      <c r="AC3634" s="18"/>
    </row>
    <row r="3635" spans="1:29" ht="32.25" hidden="1" customHeight="1">
      <c r="A3635" s="17"/>
      <c r="B3635" s="9" t="s">
        <v>13284</v>
      </c>
      <c r="C3635" s="9" t="s">
        <v>13284</v>
      </c>
      <c r="D3635" s="9" t="s">
        <v>13284</v>
      </c>
      <c r="E3635" s="9" t="s">
        <v>13284</v>
      </c>
      <c r="F3635" s="9" t="s">
        <v>13284</v>
      </c>
      <c r="G3635" s="9" t="s">
        <v>13284</v>
      </c>
      <c r="H3635" s="9" t="s">
        <v>13284</v>
      </c>
      <c r="I3635" s="9" t="s">
        <v>13284</v>
      </c>
      <c r="J3635" s="9" t="s">
        <v>13284</v>
      </c>
      <c r="K3635" s="9" t="s">
        <v>13284</v>
      </c>
      <c r="L3635" s="9" t="s">
        <v>13284</v>
      </c>
      <c r="M3635" s="9" t="s">
        <v>13284</v>
      </c>
      <c r="N3635" s="9" t="s">
        <v>13284</v>
      </c>
      <c r="O3635" s="9" t="s">
        <v>13284</v>
      </c>
      <c r="P3635" s="9" t="s">
        <v>13284</v>
      </c>
      <c r="Q3635" s="9" t="s">
        <v>13284</v>
      </c>
      <c r="R3635" s="9" t="s">
        <v>13284</v>
      </c>
      <c r="S3635" s="9" t="s">
        <v>13284</v>
      </c>
      <c r="T3635" s="9" t="str">
        <f ca="1">IFERROR(IF(AND(VLOOKUP(A3635, 'Актуальное состояние (из общего'!A:C,3,0) = "", A3635 &lt;&gt; ""), "ПРОВЕРИТЬ", VLOOKUP(A3635, 'Актуальное состояние (из общего'!A:C,3,0)), "")</f>
        <v/>
      </c>
      <c r="U3635" s="9" t="s">
        <v>13284</v>
      </c>
      <c r="V3635" s="9" t="s">
        <v>13284</v>
      </c>
      <c r="W3635" s="12"/>
      <c r="X3635" s="9" t="str">
        <f t="array" ref="X3635">IFERROR(INDEX('Адреса общежитий (скрытый)'!$B$2:$B$9, MATCH(W3635, 'Адреса общежитий (скрытый)'!$A$2:$A$9, 0)), "")</f>
        <v/>
      </c>
      <c r="Y3635" s="18"/>
      <c r="Z3635" s="18"/>
      <c r="AA3635" s="18"/>
      <c r="AB3635" s="18"/>
      <c r="AC3635" s="18"/>
    </row>
    <row r="3636" spans="1:29" ht="32.25" hidden="1" customHeight="1">
      <c r="A3636" s="17"/>
      <c r="B3636" s="9" t="s">
        <v>13284</v>
      </c>
      <c r="C3636" s="9" t="s">
        <v>13284</v>
      </c>
      <c r="D3636" s="9" t="s">
        <v>13284</v>
      </c>
      <c r="E3636" s="9" t="s">
        <v>13284</v>
      </c>
      <c r="F3636" s="9" t="s">
        <v>13284</v>
      </c>
      <c r="G3636" s="9" t="s">
        <v>13284</v>
      </c>
      <c r="H3636" s="9" t="s">
        <v>13284</v>
      </c>
      <c r="I3636" s="9" t="s">
        <v>13284</v>
      </c>
      <c r="J3636" s="9" t="s">
        <v>13284</v>
      </c>
      <c r="K3636" s="9" t="s">
        <v>13284</v>
      </c>
      <c r="L3636" s="9" t="s">
        <v>13284</v>
      </c>
      <c r="M3636" s="9" t="s">
        <v>13284</v>
      </c>
      <c r="N3636" s="9" t="s">
        <v>13284</v>
      </c>
      <c r="O3636" s="9" t="s">
        <v>13284</v>
      </c>
      <c r="P3636" s="9" t="s">
        <v>13284</v>
      </c>
      <c r="Q3636" s="9" t="s">
        <v>13284</v>
      </c>
      <c r="R3636" s="9" t="s">
        <v>13284</v>
      </c>
      <c r="S3636" s="9" t="s">
        <v>13284</v>
      </c>
      <c r="T3636" s="9" t="str">
        <f ca="1">IFERROR(IF(AND(VLOOKUP(A3636, 'Актуальное состояние (из общего'!A:C,3,0) = "", A3636 &lt;&gt; ""), "ПРОВЕРИТЬ", VLOOKUP(A3636, 'Актуальное состояние (из общего'!A:C,3,0)), "")</f>
        <v/>
      </c>
      <c r="U3636" s="9" t="s">
        <v>13284</v>
      </c>
      <c r="V3636" s="9" t="s">
        <v>13284</v>
      </c>
      <c r="W3636" s="12"/>
      <c r="X3636" s="9" t="str">
        <f t="array" ref="X3636">IFERROR(INDEX('Адреса общежитий (скрытый)'!$B$2:$B$9, MATCH(W3636, 'Адреса общежитий (скрытый)'!$A$2:$A$9, 0)), "")</f>
        <v/>
      </c>
      <c r="Y3636" s="18"/>
      <c r="Z3636" s="18"/>
      <c r="AA3636" s="18"/>
      <c r="AB3636" s="18"/>
      <c r="AC3636" s="18"/>
    </row>
    <row r="3637" spans="1:29" ht="32.25" hidden="1" customHeight="1">
      <c r="A3637" s="17"/>
      <c r="B3637" s="9" t="s">
        <v>13284</v>
      </c>
      <c r="C3637" s="9" t="s">
        <v>13284</v>
      </c>
      <c r="D3637" s="9" t="s">
        <v>13284</v>
      </c>
      <c r="E3637" s="9" t="s">
        <v>13284</v>
      </c>
      <c r="F3637" s="9" t="s">
        <v>13284</v>
      </c>
      <c r="G3637" s="9" t="s">
        <v>13284</v>
      </c>
      <c r="H3637" s="9" t="s">
        <v>13284</v>
      </c>
      <c r="I3637" s="9" t="s">
        <v>13284</v>
      </c>
      <c r="J3637" s="9" t="s">
        <v>13284</v>
      </c>
      <c r="K3637" s="9" t="s">
        <v>13284</v>
      </c>
      <c r="L3637" s="9" t="s">
        <v>13284</v>
      </c>
      <c r="M3637" s="9" t="s">
        <v>13284</v>
      </c>
      <c r="N3637" s="9" t="s">
        <v>13284</v>
      </c>
      <c r="O3637" s="9" t="s">
        <v>13284</v>
      </c>
      <c r="P3637" s="9" t="s">
        <v>13284</v>
      </c>
      <c r="Q3637" s="9" t="s">
        <v>13284</v>
      </c>
      <c r="R3637" s="9" t="s">
        <v>13284</v>
      </c>
      <c r="S3637" s="9" t="s">
        <v>13284</v>
      </c>
      <c r="T3637" s="9" t="str">
        <f ca="1">IFERROR(IF(AND(VLOOKUP(A3637, 'Актуальное состояние (из общего'!A:C,3,0) = "", A3637 &lt;&gt; ""), "ПРОВЕРИТЬ", VLOOKUP(A3637, 'Актуальное состояние (из общего'!A:C,3,0)), "")</f>
        <v/>
      </c>
      <c r="U3637" s="9" t="s">
        <v>13284</v>
      </c>
      <c r="V3637" s="9" t="s">
        <v>13284</v>
      </c>
      <c r="W3637" s="12"/>
      <c r="X3637" s="9" t="str">
        <f t="array" ref="X3637">IFERROR(INDEX('Адреса общежитий (скрытый)'!$B$2:$B$9, MATCH(W3637, 'Адреса общежитий (скрытый)'!$A$2:$A$9, 0)), "")</f>
        <v/>
      </c>
      <c r="Y3637" s="18"/>
      <c r="Z3637" s="18"/>
      <c r="AA3637" s="18"/>
      <c r="AB3637" s="18"/>
      <c r="AC3637" s="18"/>
    </row>
    <row r="3638" spans="1:29" ht="32.25" hidden="1" customHeight="1">
      <c r="A3638" s="17"/>
      <c r="B3638" s="9" t="s">
        <v>13284</v>
      </c>
      <c r="C3638" s="9" t="s">
        <v>13284</v>
      </c>
      <c r="D3638" s="9" t="s">
        <v>13284</v>
      </c>
      <c r="E3638" s="9" t="s">
        <v>13284</v>
      </c>
      <c r="F3638" s="9" t="s">
        <v>13284</v>
      </c>
      <c r="G3638" s="9" t="s">
        <v>13284</v>
      </c>
      <c r="H3638" s="9" t="s">
        <v>13284</v>
      </c>
      <c r="I3638" s="9" t="s">
        <v>13284</v>
      </c>
      <c r="J3638" s="9" t="s">
        <v>13284</v>
      </c>
      <c r="K3638" s="9" t="s">
        <v>13284</v>
      </c>
      <c r="L3638" s="9" t="s">
        <v>13284</v>
      </c>
      <c r="M3638" s="9" t="s">
        <v>13284</v>
      </c>
      <c r="N3638" s="9" t="s">
        <v>13284</v>
      </c>
      <c r="O3638" s="9" t="s">
        <v>13284</v>
      </c>
      <c r="P3638" s="9" t="s">
        <v>13284</v>
      </c>
      <c r="Q3638" s="9" t="s">
        <v>13284</v>
      </c>
      <c r="R3638" s="9" t="s">
        <v>13284</v>
      </c>
      <c r="S3638" s="9" t="s">
        <v>13284</v>
      </c>
      <c r="T3638" s="9" t="str">
        <f ca="1">IFERROR(IF(AND(VLOOKUP(A3638, 'Актуальное состояние (из общего'!A:C,3,0) = "", A3638 &lt;&gt; ""), "ПРОВЕРИТЬ", VLOOKUP(A3638, 'Актуальное состояние (из общего'!A:C,3,0)), "")</f>
        <v/>
      </c>
      <c r="U3638" s="9" t="s">
        <v>13284</v>
      </c>
      <c r="V3638" s="9" t="s">
        <v>13284</v>
      </c>
      <c r="W3638" s="12"/>
      <c r="X3638" s="9" t="str">
        <f t="array" ref="X3638">IFERROR(INDEX('Адреса общежитий (скрытый)'!$B$2:$B$9, MATCH(W3638, 'Адреса общежитий (скрытый)'!$A$2:$A$9, 0)), "")</f>
        <v/>
      </c>
      <c r="Y3638" s="18"/>
      <c r="Z3638" s="18"/>
      <c r="AA3638" s="18"/>
      <c r="AB3638" s="18"/>
      <c r="AC3638" s="18"/>
    </row>
    <row r="3639" spans="1:29" ht="32.25" hidden="1" customHeight="1">
      <c r="A3639" s="17"/>
      <c r="B3639" s="9" t="s">
        <v>13284</v>
      </c>
      <c r="C3639" s="9" t="s">
        <v>13284</v>
      </c>
      <c r="D3639" s="9" t="s">
        <v>13284</v>
      </c>
      <c r="E3639" s="9" t="s">
        <v>13284</v>
      </c>
      <c r="F3639" s="9" t="s">
        <v>13284</v>
      </c>
      <c r="G3639" s="9" t="s">
        <v>13284</v>
      </c>
      <c r="H3639" s="9" t="s">
        <v>13284</v>
      </c>
      <c r="I3639" s="9" t="s">
        <v>13284</v>
      </c>
      <c r="J3639" s="9" t="s">
        <v>13284</v>
      </c>
      <c r="K3639" s="9" t="s">
        <v>13284</v>
      </c>
      <c r="L3639" s="9" t="s">
        <v>13284</v>
      </c>
      <c r="M3639" s="9" t="s">
        <v>13284</v>
      </c>
      <c r="N3639" s="9" t="s">
        <v>13284</v>
      </c>
      <c r="O3639" s="9" t="s">
        <v>13284</v>
      </c>
      <c r="P3639" s="9" t="s">
        <v>13284</v>
      </c>
      <c r="Q3639" s="9" t="s">
        <v>13284</v>
      </c>
      <c r="R3639" s="9" t="s">
        <v>13284</v>
      </c>
      <c r="S3639" s="9" t="s">
        <v>13284</v>
      </c>
      <c r="T3639" s="9" t="str">
        <f ca="1">IFERROR(IF(AND(VLOOKUP(A3639, 'Актуальное состояние (из общего'!A:C,3,0) = "", A3639 &lt;&gt; ""), "ПРОВЕРИТЬ", VLOOKUP(A3639, 'Актуальное состояние (из общего'!A:C,3,0)), "")</f>
        <v/>
      </c>
      <c r="U3639" s="9" t="s">
        <v>13284</v>
      </c>
      <c r="V3639" s="9" t="s">
        <v>13284</v>
      </c>
      <c r="W3639" s="12"/>
      <c r="X3639" s="9" t="str">
        <f t="array" ref="X3639">IFERROR(INDEX('Адреса общежитий (скрытый)'!$B$2:$B$9, MATCH(W3639, 'Адреса общежитий (скрытый)'!$A$2:$A$9, 0)), "")</f>
        <v/>
      </c>
      <c r="Y3639" s="18"/>
      <c r="Z3639" s="18"/>
      <c r="AA3639" s="18"/>
      <c r="AB3639" s="18"/>
      <c r="AC3639" s="18"/>
    </row>
    <row r="3640" spans="1:29" ht="32.25" hidden="1" customHeight="1">
      <c r="A3640" s="17"/>
      <c r="B3640" s="9" t="s">
        <v>13284</v>
      </c>
      <c r="C3640" s="9" t="s">
        <v>13284</v>
      </c>
      <c r="D3640" s="9" t="s">
        <v>13284</v>
      </c>
      <c r="E3640" s="9" t="s">
        <v>13284</v>
      </c>
      <c r="F3640" s="9" t="s">
        <v>13284</v>
      </c>
      <c r="G3640" s="9" t="s">
        <v>13284</v>
      </c>
      <c r="H3640" s="9" t="s">
        <v>13284</v>
      </c>
      <c r="I3640" s="9" t="s">
        <v>13284</v>
      </c>
      <c r="J3640" s="9" t="s">
        <v>13284</v>
      </c>
      <c r="K3640" s="9" t="s">
        <v>13284</v>
      </c>
      <c r="L3640" s="9" t="s">
        <v>13284</v>
      </c>
      <c r="M3640" s="9" t="s">
        <v>13284</v>
      </c>
      <c r="N3640" s="9" t="s">
        <v>13284</v>
      </c>
      <c r="O3640" s="9" t="s">
        <v>13284</v>
      </c>
      <c r="P3640" s="9" t="s">
        <v>13284</v>
      </c>
      <c r="Q3640" s="9" t="s">
        <v>13284</v>
      </c>
      <c r="R3640" s="9" t="s">
        <v>13284</v>
      </c>
      <c r="S3640" s="9" t="s">
        <v>13284</v>
      </c>
      <c r="T3640" s="9" t="str">
        <f ca="1">IFERROR(IF(AND(VLOOKUP(A3640, 'Актуальное состояние (из общего'!A:C,3,0) = "", A3640 &lt;&gt; ""), "ПРОВЕРИТЬ", VLOOKUP(A3640, 'Актуальное состояние (из общего'!A:C,3,0)), "")</f>
        <v/>
      </c>
      <c r="U3640" s="9" t="s">
        <v>13284</v>
      </c>
      <c r="V3640" s="9" t="s">
        <v>13284</v>
      </c>
      <c r="W3640" s="12"/>
      <c r="X3640" s="9" t="str">
        <f t="array" ref="X3640">IFERROR(INDEX('Адреса общежитий (скрытый)'!$B$2:$B$9, MATCH(W3640, 'Адреса общежитий (скрытый)'!$A$2:$A$9, 0)), "")</f>
        <v/>
      </c>
      <c r="Y3640" s="18"/>
      <c r="Z3640" s="18"/>
      <c r="AA3640" s="18"/>
      <c r="AB3640" s="18"/>
      <c r="AC3640" s="18"/>
    </row>
    <row r="3641" spans="1:29" ht="32.25" hidden="1" customHeight="1">
      <c r="A3641" s="17"/>
      <c r="B3641" s="9" t="s">
        <v>13284</v>
      </c>
      <c r="C3641" s="9" t="s">
        <v>13284</v>
      </c>
      <c r="D3641" s="9" t="s">
        <v>13284</v>
      </c>
      <c r="E3641" s="9" t="s">
        <v>13284</v>
      </c>
      <c r="F3641" s="9" t="s">
        <v>13284</v>
      </c>
      <c r="G3641" s="9" t="s">
        <v>13284</v>
      </c>
      <c r="H3641" s="9" t="s">
        <v>13284</v>
      </c>
      <c r="I3641" s="9" t="s">
        <v>13284</v>
      </c>
      <c r="J3641" s="9" t="s">
        <v>13284</v>
      </c>
      <c r="K3641" s="9" t="s">
        <v>13284</v>
      </c>
      <c r="L3641" s="9" t="s">
        <v>13284</v>
      </c>
      <c r="M3641" s="9" t="s">
        <v>13284</v>
      </c>
      <c r="N3641" s="9" t="s">
        <v>13284</v>
      </c>
      <c r="O3641" s="9" t="s">
        <v>13284</v>
      </c>
      <c r="P3641" s="9" t="s">
        <v>13284</v>
      </c>
      <c r="Q3641" s="9" t="s">
        <v>13284</v>
      </c>
      <c r="R3641" s="9" t="s">
        <v>13284</v>
      </c>
      <c r="S3641" s="9" t="s">
        <v>13284</v>
      </c>
      <c r="T3641" s="9" t="str">
        <f ca="1">IFERROR(IF(AND(VLOOKUP(A3641, 'Актуальное состояние (из общего'!A:C,3,0) = "", A3641 &lt;&gt; ""), "ПРОВЕРИТЬ", VLOOKUP(A3641, 'Актуальное состояние (из общего'!A:C,3,0)), "")</f>
        <v/>
      </c>
      <c r="U3641" s="9" t="s">
        <v>13284</v>
      </c>
      <c r="V3641" s="9" t="s">
        <v>13284</v>
      </c>
      <c r="W3641" s="12"/>
      <c r="X3641" s="9" t="str">
        <f t="array" ref="X3641">IFERROR(INDEX('Адреса общежитий (скрытый)'!$B$2:$B$9, MATCH(W3641, 'Адреса общежитий (скрытый)'!$A$2:$A$9, 0)), "")</f>
        <v/>
      </c>
      <c r="Y3641" s="18"/>
      <c r="Z3641" s="18"/>
      <c r="AA3641" s="18"/>
      <c r="AB3641" s="18"/>
      <c r="AC3641" s="18"/>
    </row>
    <row r="3642" spans="1:29" ht="32.25" hidden="1" customHeight="1">
      <c r="A3642" s="17"/>
      <c r="B3642" s="9" t="s">
        <v>13284</v>
      </c>
      <c r="C3642" s="9" t="s">
        <v>13284</v>
      </c>
      <c r="D3642" s="9" t="s">
        <v>13284</v>
      </c>
      <c r="E3642" s="9" t="s">
        <v>13284</v>
      </c>
      <c r="F3642" s="9" t="s">
        <v>13284</v>
      </c>
      <c r="G3642" s="9" t="s">
        <v>13284</v>
      </c>
      <c r="H3642" s="9" t="s">
        <v>13284</v>
      </c>
      <c r="I3642" s="9" t="s">
        <v>13284</v>
      </c>
      <c r="J3642" s="9" t="s">
        <v>13284</v>
      </c>
      <c r="K3642" s="9" t="s">
        <v>13284</v>
      </c>
      <c r="L3642" s="9" t="s">
        <v>13284</v>
      </c>
      <c r="M3642" s="9" t="s">
        <v>13284</v>
      </c>
      <c r="N3642" s="9" t="s">
        <v>13284</v>
      </c>
      <c r="O3642" s="9" t="s">
        <v>13284</v>
      </c>
      <c r="P3642" s="9" t="s">
        <v>13284</v>
      </c>
      <c r="Q3642" s="9" t="s">
        <v>13284</v>
      </c>
      <c r="R3642" s="9" t="s">
        <v>13284</v>
      </c>
      <c r="S3642" s="9" t="s">
        <v>13284</v>
      </c>
      <c r="T3642" s="9" t="str">
        <f ca="1">IFERROR(IF(AND(VLOOKUP(A3642, 'Актуальное состояние (из общего'!A:C,3,0) = "", A3642 &lt;&gt; ""), "ПРОВЕРИТЬ", VLOOKUP(A3642, 'Актуальное состояние (из общего'!A:C,3,0)), "")</f>
        <v/>
      </c>
      <c r="U3642" s="9" t="s">
        <v>13284</v>
      </c>
      <c r="V3642" s="9" t="s">
        <v>13284</v>
      </c>
      <c r="W3642" s="12"/>
      <c r="X3642" s="9" t="str">
        <f t="array" ref="X3642">IFERROR(INDEX('Адреса общежитий (скрытый)'!$B$2:$B$9, MATCH(W3642, 'Адреса общежитий (скрытый)'!$A$2:$A$9, 0)), "")</f>
        <v/>
      </c>
      <c r="Y3642" s="18"/>
      <c r="Z3642" s="18"/>
      <c r="AA3642" s="18"/>
      <c r="AB3642" s="18"/>
      <c r="AC3642" s="18"/>
    </row>
    <row r="3643" spans="1:29" ht="32.25" hidden="1" customHeight="1">
      <c r="A3643" s="17"/>
      <c r="B3643" s="9" t="s">
        <v>13284</v>
      </c>
      <c r="C3643" s="9" t="s">
        <v>13284</v>
      </c>
      <c r="D3643" s="9" t="s">
        <v>13284</v>
      </c>
      <c r="E3643" s="9" t="s">
        <v>13284</v>
      </c>
      <c r="F3643" s="9" t="s">
        <v>13284</v>
      </c>
      <c r="G3643" s="9" t="s">
        <v>13284</v>
      </c>
      <c r="H3643" s="9" t="s">
        <v>13284</v>
      </c>
      <c r="I3643" s="9" t="s">
        <v>13284</v>
      </c>
      <c r="J3643" s="9" t="s">
        <v>13284</v>
      </c>
      <c r="K3643" s="9" t="s">
        <v>13284</v>
      </c>
      <c r="L3643" s="9" t="s">
        <v>13284</v>
      </c>
      <c r="M3643" s="9" t="s">
        <v>13284</v>
      </c>
      <c r="N3643" s="9" t="s">
        <v>13284</v>
      </c>
      <c r="O3643" s="9" t="s">
        <v>13284</v>
      </c>
      <c r="P3643" s="9" t="s">
        <v>13284</v>
      </c>
      <c r="Q3643" s="9" t="s">
        <v>13284</v>
      </c>
      <c r="R3643" s="9" t="s">
        <v>13284</v>
      </c>
      <c r="S3643" s="9" t="s">
        <v>13284</v>
      </c>
      <c r="T3643" s="9" t="str">
        <f ca="1">IFERROR(IF(AND(VLOOKUP(A3643, 'Актуальное состояние (из общего'!A:C,3,0) = "", A3643 &lt;&gt; ""), "ПРОВЕРИТЬ", VLOOKUP(A3643, 'Актуальное состояние (из общего'!A:C,3,0)), "")</f>
        <v/>
      </c>
      <c r="U3643" s="9" t="s">
        <v>13284</v>
      </c>
      <c r="V3643" s="9" t="s">
        <v>13284</v>
      </c>
      <c r="W3643" s="12"/>
      <c r="X3643" s="9" t="str">
        <f t="array" ref="X3643">IFERROR(INDEX('Адреса общежитий (скрытый)'!$B$2:$B$9, MATCH(W3643, 'Адреса общежитий (скрытый)'!$A$2:$A$9, 0)), "")</f>
        <v/>
      </c>
      <c r="Y3643" s="18"/>
      <c r="Z3643" s="18"/>
      <c r="AA3643" s="18"/>
      <c r="AB3643" s="18"/>
      <c r="AC3643" s="18"/>
    </row>
    <row r="3644" spans="1:29" ht="32.25" hidden="1" customHeight="1">
      <c r="A3644" s="17"/>
      <c r="B3644" s="9" t="s">
        <v>13284</v>
      </c>
      <c r="C3644" s="9" t="s">
        <v>13284</v>
      </c>
      <c r="D3644" s="9" t="s">
        <v>13284</v>
      </c>
      <c r="E3644" s="9" t="s">
        <v>13284</v>
      </c>
      <c r="F3644" s="9" t="s">
        <v>13284</v>
      </c>
      <c r="G3644" s="9" t="s">
        <v>13284</v>
      </c>
      <c r="H3644" s="9" t="s">
        <v>13284</v>
      </c>
      <c r="I3644" s="9" t="s">
        <v>13284</v>
      </c>
      <c r="J3644" s="9" t="s">
        <v>13284</v>
      </c>
      <c r="K3644" s="9" t="s">
        <v>13284</v>
      </c>
      <c r="L3644" s="9" t="s">
        <v>13284</v>
      </c>
      <c r="M3644" s="9" t="s">
        <v>13284</v>
      </c>
      <c r="N3644" s="9" t="s">
        <v>13284</v>
      </c>
      <c r="O3644" s="9" t="s">
        <v>13284</v>
      </c>
      <c r="P3644" s="9" t="s">
        <v>13284</v>
      </c>
      <c r="Q3644" s="9" t="s">
        <v>13284</v>
      </c>
      <c r="R3644" s="9" t="s">
        <v>13284</v>
      </c>
      <c r="S3644" s="9" t="s">
        <v>13284</v>
      </c>
      <c r="T3644" s="9" t="str">
        <f ca="1">IFERROR(IF(AND(VLOOKUP(A3644, 'Актуальное состояние (из общего'!A:C,3,0) = "", A3644 &lt;&gt; ""), "ПРОВЕРИТЬ", VLOOKUP(A3644, 'Актуальное состояние (из общего'!A:C,3,0)), "")</f>
        <v/>
      </c>
      <c r="U3644" s="9" t="s">
        <v>13284</v>
      </c>
      <c r="V3644" s="9" t="s">
        <v>13284</v>
      </c>
      <c r="W3644" s="12"/>
      <c r="X3644" s="9" t="str">
        <f t="array" ref="X3644">IFERROR(INDEX('Адреса общежитий (скрытый)'!$B$2:$B$9, MATCH(W3644, 'Адреса общежитий (скрытый)'!$A$2:$A$9, 0)), "")</f>
        <v/>
      </c>
      <c r="Y3644" s="18"/>
      <c r="Z3644" s="18"/>
      <c r="AA3644" s="18"/>
      <c r="AB3644" s="18"/>
      <c r="AC3644" s="18"/>
    </row>
    <row r="3645" spans="1:29" ht="32.25" hidden="1" customHeight="1">
      <c r="A3645" s="17"/>
      <c r="B3645" s="9" t="s">
        <v>13284</v>
      </c>
      <c r="C3645" s="9" t="s">
        <v>13284</v>
      </c>
      <c r="D3645" s="9" t="s">
        <v>13284</v>
      </c>
      <c r="E3645" s="9" t="s">
        <v>13284</v>
      </c>
      <c r="F3645" s="9" t="s">
        <v>13284</v>
      </c>
      <c r="G3645" s="9" t="s">
        <v>13284</v>
      </c>
      <c r="H3645" s="9" t="s">
        <v>13284</v>
      </c>
      <c r="I3645" s="9" t="s">
        <v>13284</v>
      </c>
      <c r="J3645" s="9" t="s">
        <v>13284</v>
      </c>
      <c r="K3645" s="9" t="s">
        <v>13284</v>
      </c>
      <c r="L3645" s="9" t="s">
        <v>13284</v>
      </c>
      <c r="M3645" s="9" t="s">
        <v>13284</v>
      </c>
      <c r="N3645" s="9" t="s">
        <v>13284</v>
      </c>
      <c r="O3645" s="9" t="s">
        <v>13284</v>
      </c>
      <c r="P3645" s="9" t="s">
        <v>13284</v>
      </c>
      <c r="Q3645" s="9" t="s">
        <v>13284</v>
      </c>
      <c r="R3645" s="9" t="s">
        <v>13284</v>
      </c>
      <c r="S3645" s="9" t="s">
        <v>13284</v>
      </c>
      <c r="T3645" s="9" t="str">
        <f ca="1">IFERROR(IF(AND(VLOOKUP(A3645, 'Актуальное состояние (из общего'!A:C,3,0) = "", A3645 &lt;&gt; ""), "ПРОВЕРИТЬ", VLOOKUP(A3645, 'Актуальное состояние (из общего'!A:C,3,0)), "")</f>
        <v/>
      </c>
      <c r="U3645" s="9" t="s">
        <v>13284</v>
      </c>
      <c r="V3645" s="9" t="s">
        <v>13284</v>
      </c>
      <c r="W3645" s="12"/>
      <c r="X3645" s="9" t="str">
        <f t="array" ref="X3645">IFERROR(INDEX('Адреса общежитий (скрытый)'!$B$2:$B$9, MATCH(W3645, 'Адреса общежитий (скрытый)'!$A$2:$A$9, 0)), "")</f>
        <v/>
      </c>
      <c r="Y3645" s="18"/>
      <c r="Z3645" s="18"/>
      <c r="AA3645" s="18"/>
      <c r="AB3645" s="18"/>
      <c r="AC3645" s="18"/>
    </row>
    <row r="3646" spans="1:29" ht="32.25" hidden="1" customHeight="1">
      <c r="A3646" s="17"/>
      <c r="B3646" s="9" t="s">
        <v>13284</v>
      </c>
      <c r="C3646" s="9" t="s">
        <v>13284</v>
      </c>
      <c r="D3646" s="9" t="s">
        <v>13284</v>
      </c>
      <c r="E3646" s="9" t="s">
        <v>13284</v>
      </c>
      <c r="F3646" s="9" t="s">
        <v>13284</v>
      </c>
      <c r="G3646" s="9" t="s">
        <v>13284</v>
      </c>
      <c r="H3646" s="9" t="s">
        <v>13284</v>
      </c>
      <c r="I3646" s="9" t="s">
        <v>13284</v>
      </c>
      <c r="J3646" s="9" t="s">
        <v>13284</v>
      </c>
      <c r="K3646" s="9" t="s">
        <v>13284</v>
      </c>
      <c r="L3646" s="9" t="s">
        <v>13284</v>
      </c>
      <c r="M3646" s="9" t="s">
        <v>13284</v>
      </c>
      <c r="N3646" s="9" t="s">
        <v>13284</v>
      </c>
      <c r="O3646" s="9" t="s">
        <v>13284</v>
      </c>
      <c r="P3646" s="9" t="s">
        <v>13284</v>
      </c>
      <c r="Q3646" s="9" t="s">
        <v>13284</v>
      </c>
      <c r="R3646" s="9" t="s">
        <v>13284</v>
      </c>
      <c r="S3646" s="9" t="s">
        <v>13284</v>
      </c>
      <c r="T3646" s="9" t="str">
        <f ca="1">IFERROR(IF(AND(VLOOKUP(A3646, 'Актуальное состояние (из общего'!A:C,3,0) = "", A3646 &lt;&gt; ""), "ПРОВЕРИТЬ", VLOOKUP(A3646, 'Актуальное состояние (из общего'!A:C,3,0)), "")</f>
        <v/>
      </c>
      <c r="U3646" s="9" t="s">
        <v>13284</v>
      </c>
      <c r="V3646" s="9" t="s">
        <v>13284</v>
      </c>
      <c r="W3646" s="12"/>
      <c r="X3646" s="9" t="str">
        <f t="array" ref="X3646">IFERROR(INDEX('Адреса общежитий (скрытый)'!$B$2:$B$9, MATCH(W3646, 'Адреса общежитий (скрытый)'!$A$2:$A$9, 0)), "")</f>
        <v/>
      </c>
      <c r="Y3646" s="18"/>
      <c r="Z3646" s="18"/>
      <c r="AA3646" s="18"/>
      <c r="AB3646" s="18"/>
      <c r="AC3646" s="18"/>
    </row>
    <row r="3647" spans="1:29" ht="32.25" hidden="1" customHeight="1">
      <c r="A3647" s="17"/>
      <c r="B3647" s="9" t="s">
        <v>13284</v>
      </c>
      <c r="C3647" s="9" t="s">
        <v>13284</v>
      </c>
      <c r="D3647" s="9" t="s">
        <v>13284</v>
      </c>
      <c r="E3647" s="9" t="s">
        <v>13284</v>
      </c>
      <c r="F3647" s="9" t="s">
        <v>13284</v>
      </c>
      <c r="G3647" s="9" t="s">
        <v>13284</v>
      </c>
      <c r="H3647" s="9" t="s">
        <v>13284</v>
      </c>
      <c r="I3647" s="9" t="s">
        <v>13284</v>
      </c>
      <c r="J3647" s="9" t="s">
        <v>13284</v>
      </c>
      <c r="K3647" s="9" t="s">
        <v>13284</v>
      </c>
      <c r="L3647" s="9" t="s">
        <v>13284</v>
      </c>
      <c r="M3647" s="9" t="s">
        <v>13284</v>
      </c>
      <c r="N3647" s="9" t="s">
        <v>13284</v>
      </c>
      <c r="O3647" s="9" t="s">
        <v>13284</v>
      </c>
      <c r="P3647" s="9" t="s">
        <v>13284</v>
      </c>
      <c r="Q3647" s="9" t="s">
        <v>13284</v>
      </c>
      <c r="R3647" s="9" t="s">
        <v>13284</v>
      </c>
      <c r="S3647" s="9" t="s">
        <v>13284</v>
      </c>
      <c r="T3647" s="9" t="str">
        <f ca="1">IFERROR(IF(AND(VLOOKUP(A3647, 'Актуальное состояние (из общего'!A:C,3,0) = "", A3647 &lt;&gt; ""), "ПРОВЕРИТЬ", VLOOKUP(A3647, 'Актуальное состояние (из общего'!A:C,3,0)), "")</f>
        <v/>
      </c>
      <c r="U3647" s="9" t="s">
        <v>13284</v>
      </c>
      <c r="V3647" s="9" t="s">
        <v>13284</v>
      </c>
      <c r="W3647" s="12"/>
      <c r="X3647" s="9" t="str">
        <f t="array" ref="X3647">IFERROR(INDEX('Адреса общежитий (скрытый)'!$B$2:$B$9, MATCH(W3647, 'Адреса общежитий (скрытый)'!$A$2:$A$9, 0)), "")</f>
        <v/>
      </c>
      <c r="Y3647" s="18"/>
      <c r="Z3647" s="18"/>
      <c r="AA3647" s="18"/>
      <c r="AB3647" s="18"/>
      <c r="AC3647" s="18"/>
    </row>
    <row r="3648" spans="1:29" ht="32.25" hidden="1" customHeight="1">
      <c r="A3648" s="17"/>
      <c r="B3648" s="9" t="s">
        <v>13284</v>
      </c>
      <c r="C3648" s="9" t="s">
        <v>13284</v>
      </c>
      <c r="D3648" s="9" t="s">
        <v>13284</v>
      </c>
      <c r="E3648" s="9" t="s">
        <v>13284</v>
      </c>
      <c r="F3648" s="9" t="s">
        <v>13284</v>
      </c>
      <c r="G3648" s="9" t="s">
        <v>13284</v>
      </c>
      <c r="H3648" s="9" t="s">
        <v>13284</v>
      </c>
      <c r="I3648" s="9" t="s">
        <v>13284</v>
      </c>
      <c r="J3648" s="9" t="s">
        <v>13284</v>
      </c>
      <c r="K3648" s="9" t="s">
        <v>13284</v>
      </c>
      <c r="L3648" s="9" t="s">
        <v>13284</v>
      </c>
      <c r="M3648" s="9" t="s">
        <v>13284</v>
      </c>
      <c r="N3648" s="9" t="s">
        <v>13284</v>
      </c>
      <c r="O3648" s="9" t="s">
        <v>13284</v>
      </c>
      <c r="P3648" s="9" t="s">
        <v>13284</v>
      </c>
      <c r="Q3648" s="9" t="s">
        <v>13284</v>
      </c>
      <c r="R3648" s="9" t="s">
        <v>13284</v>
      </c>
      <c r="S3648" s="9" t="s">
        <v>13284</v>
      </c>
      <c r="T3648" s="9" t="str">
        <f ca="1">IFERROR(IF(AND(VLOOKUP(A3648, 'Актуальное состояние (из общего'!A:C,3,0) = "", A3648 &lt;&gt; ""), "ПРОВЕРИТЬ", VLOOKUP(A3648, 'Актуальное состояние (из общего'!A:C,3,0)), "")</f>
        <v/>
      </c>
      <c r="U3648" s="9" t="s">
        <v>13284</v>
      </c>
      <c r="V3648" s="9" t="s">
        <v>13284</v>
      </c>
      <c r="W3648" s="12"/>
      <c r="X3648" s="9" t="str">
        <f t="array" ref="X3648">IFERROR(INDEX('Адреса общежитий (скрытый)'!$B$2:$B$9, MATCH(W3648, 'Адреса общежитий (скрытый)'!$A$2:$A$9, 0)), "")</f>
        <v/>
      </c>
      <c r="Y3648" s="18"/>
      <c r="Z3648" s="18"/>
      <c r="AA3648" s="18"/>
      <c r="AB3648" s="18"/>
      <c r="AC3648" s="18"/>
    </row>
    <row r="3649" spans="1:29" ht="32.25" hidden="1" customHeight="1">
      <c r="A3649" s="17"/>
      <c r="B3649" s="9" t="s">
        <v>13284</v>
      </c>
      <c r="C3649" s="9" t="s">
        <v>13284</v>
      </c>
      <c r="D3649" s="9" t="s">
        <v>13284</v>
      </c>
      <c r="E3649" s="9" t="s">
        <v>13284</v>
      </c>
      <c r="F3649" s="9" t="s">
        <v>13284</v>
      </c>
      <c r="G3649" s="9" t="s">
        <v>13284</v>
      </c>
      <c r="H3649" s="9" t="s">
        <v>13284</v>
      </c>
      <c r="I3649" s="9" t="s">
        <v>13284</v>
      </c>
      <c r="J3649" s="9" t="s">
        <v>13284</v>
      </c>
      <c r="K3649" s="9" t="s">
        <v>13284</v>
      </c>
      <c r="L3649" s="9" t="s">
        <v>13284</v>
      </c>
      <c r="M3649" s="9" t="s">
        <v>13284</v>
      </c>
      <c r="N3649" s="9" t="s">
        <v>13284</v>
      </c>
      <c r="O3649" s="9" t="s">
        <v>13284</v>
      </c>
      <c r="P3649" s="9" t="s">
        <v>13284</v>
      </c>
      <c r="Q3649" s="9" t="s">
        <v>13284</v>
      </c>
      <c r="R3649" s="9" t="s">
        <v>13284</v>
      </c>
      <c r="S3649" s="9" t="s">
        <v>13284</v>
      </c>
      <c r="T3649" s="9" t="str">
        <f ca="1">IFERROR(IF(AND(VLOOKUP(A3649, 'Актуальное состояние (из общего'!A:C,3,0) = "", A3649 &lt;&gt; ""), "ПРОВЕРИТЬ", VLOOKUP(A3649, 'Актуальное состояние (из общего'!A:C,3,0)), "")</f>
        <v/>
      </c>
      <c r="U3649" s="9" t="s">
        <v>13284</v>
      </c>
      <c r="V3649" s="9" t="s">
        <v>13284</v>
      </c>
      <c r="W3649" s="12"/>
      <c r="X3649" s="9" t="str">
        <f t="array" ref="X3649">IFERROR(INDEX('Адреса общежитий (скрытый)'!$B$2:$B$9, MATCH(W3649, 'Адреса общежитий (скрытый)'!$A$2:$A$9, 0)), "")</f>
        <v/>
      </c>
      <c r="Y3649" s="18"/>
      <c r="Z3649" s="18"/>
      <c r="AA3649" s="18"/>
      <c r="AB3649" s="18"/>
      <c r="AC3649" s="18"/>
    </row>
    <row r="3650" spans="1:29" ht="32.25" hidden="1" customHeight="1">
      <c r="A3650" s="17"/>
      <c r="B3650" s="9" t="s">
        <v>13284</v>
      </c>
      <c r="C3650" s="9" t="s">
        <v>13284</v>
      </c>
      <c r="D3650" s="9" t="s">
        <v>13284</v>
      </c>
      <c r="E3650" s="9" t="s">
        <v>13284</v>
      </c>
      <c r="F3650" s="9" t="s">
        <v>13284</v>
      </c>
      <c r="G3650" s="9" t="s">
        <v>13284</v>
      </c>
      <c r="H3650" s="9" t="s">
        <v>13284</v>
      </c>
      <c r="I3650" s="9" t="s">
        <v>13284</v>
      </c>
      <c r="J3650" s="9" t="s">
        <v>13284</v>
      </c>
      <c r="K3650" s="9" t="s">
        <v>13284</v>
      </c>
      <c r="L3650" s="9" t="s">
        <v>13284</v>
      </c>
      <c r="M3650" s="9" t="s">
        <v>13284</v>
      </c>
      <c r="N3650" s="9" t="s">
        <v>13284</v>
      </c>
      <c r="O3650" s="9" t="s">
        <v>13284</v>
      </c>
      <c r="P3650" s="9" t="s">
        <v>13284</v>
      </c>
      <c r="Q3650" s="9" t="s">
        <v>13284</v>
      </c>
      <c r="R3650" s="9" t="s">
        <v>13284</v>
      </c>
      <c r="S3650" s="9" t="s">
        <v>13284</v>
      </c>
      <c r="T3650" s="9" t="str">
        <f ca="1">IFERROR(IF(AND(VLOOKUP(A3650, 'Актуальное состояние (из общего'!A:C,3,0) = "", A3650 &lt;&gt; ""), "ПРОВЕРИТЬ", VLOOKUP(A3650, 'Актуальное состояние (из общего'!A:C,3,0)), "")</f>
        <v/>
      </c>
      <c r="U3650" s="9" t="s">
        <v>13284</v>
      </c>
      <c r="V3650" s="9" t="s">
        <v>13284</v>
      </c>
      <c r="W3650" s="12"/>
      <c r="X3650" s="9" t="str">
        <f t="array" ref="X3650">IFERROR(INDEX('Адреса общежитий (скрытый)'!$B$2:$B$9, MATCH(W3650, 'Адреса общежитий (скрытый)'!$A$2:$A$9, 0)), "")</f>
        <v/>
      </c>
      <c r="Y3650" s="18"/>
      <c r="Z3650" s="18"/>
      <c r="AA3650" s="18"/>
      <c r="AB3650" s="18"/>
      <c r="AC3650" s="18"/>
    </row>
    <row r="3651" spans="1:29" ht="32.25" hidden="1" customHeight="1">
      <c r="A3651" s="17"/>
      <c r="B3651" s="9" t="s">
        <v>13284</v>
      </c>
      <c r="C3651" s="9" t="s">
        <v>13284</v>
      </c>
      <c r="D3651" s="9" t="s">
        <v>13284</v>
      </c>
      <c r="E3651" s="9" t="s">
        <v>13284</v>
      </c>
      <c r="F3651" s="9" t="s">
        <v>13284</v>
      </c>
      <c r="G3651" s="9" t="s">
        <v>13284</v>
      </c>
      <c r="H3651" s="9" t="s">
        <v>13284</v>
      </c>
      <c r="I3651" s="9" t="s">
        <v>13284</v>
      </c>
      <c r="J3651" s="9" t="s">
        <v>13284</v>
      </c>
      <c r="K3651" s="9" t="s">
        <v>13284</v>
      </c>
      <c r="L3651" s="9" t="s">
        <v>13284</v>
      </c>
      <c r="M3651" s="9" t="s">
        <v>13284</v>
      </c>
      <c r="N3651" s="9" t="s">
        <v>13284</v>
      </c>
      <c r="O3651" s="9" t="s">
        <v>13284</v>
      </c>
      <c r="P3651" s="9" t="s">
        <v>13284</v>
      </c>
      <c r="Q3651" s="9" t="s">
        <v>13284</v>
      </c>
      <c r="R3651" s="9" t="s">
        <v>13284</v>
      </c>
      <c r="S3651" s="9" t="s">
        <v>13284</v>
      </c>
      <c r="T3651" s="9" t="str">
        <f ca="1">IFERROR(IF(AND(VLOOKUP(A3651, 'Актуальное состояние (из общего'!A:C,3,0) = "", A3651 &lt;&gt; ""), "ПРОВЕРИТЬ", VLOOKUP(A3651, 'Актуальное состояние (из общего'!A:C,3,0)), "")</f>
        <v/>
      </c>
      <c r="U3651" s="9" t="s">
        <v>13284</v>
      </c>
      <c r="V3651" s="9" t="s">
        <v>13284</v>
      </c>
      <c r="W3651" s="12"/>
      <c r="X3651" s="9" t="str">
        <f t="array" ref="X3651">IFERROR(INDEX('Адреса общежитий (скрытый)'!$B$2:$B$9, MATCH(W3651, 'Адреса общежитий (скрытый)'!$A$2:$A$9, 0)), "")</f>
        <v/>
      </c>
      <c r="Y3651" s="18"/>
      <c r="Z3651" s="18"/>
      <c r="AA3651" s="18"/>
      <c r="AB3651" s="18"/>
      <c r="AC3651" s="18"/>
    </row>
    <row r="3652" spans="1:29" ht="32.25" hidden="1" customHeight="1">
      <c r="A3652" s="17"/>
      <c r="B3652" s="9" t="s">
        <v>13284</v>
      </c>
      <c r="C3652" s="9" t="s">
        <v>13284</v>
      </c>
      <c r="D3652" s="9" t="s">
        <v>13284</v>
      </c>
      <c r="E3652" s="9" t="s">
        <v>13284</v>
      </c>
      <c r="F3652" s="9" t="s">
        <v>13284</v>
      </c>
      <c r="G3652" s="9" t="s">
        <v>13284</v>
      </c>
      <c r="H3652" s="9" t="s">
        <v>13284</v>
      </c>
      <c r="I3652" s="9" t="s">
        <v>13284</v>
      </c>
      <c r="J3652" s="9" t="s">
        <v>13284</v>
      </c>
      <c r="K3652" s="9" t="s">
        <v>13284</v>
      </c>
      <c r="L3652" s="9" t="s">
        <v>13284</v>
      </c>
      <c r="M3652" s="9" t="s">
        <v>13284</v>
      </c>
      <c r="N3652" s="9" t="s">
        <v>13284</v>
      </c>
      <c r="O3652" s="9" t="s">
        <v>13284</v>
      </c>
      <c r="P3652" s="9" t="s">
        <v>13284</v>
      </c>
      <c r="Q3652" s="9" t="s">
        <v>13284</v>
      </c>
      <c r="R3652" s="9" t="s">
        <v>13284</v>
      </c>
      <c r="S3652" s="9" t="s">
        <v>13284</v>
      </c>
      <c r="T3652" s="9" t="str">
        <f ca="1">IFERROR(IF(AND(VLOOKUP(A3652, 'Актуальное состояние (из общего'!A:C,3,0) = "", A3652 &lt;&gt; ""), "ПРОВЕРИТЬ", VLOOKUP(A3652, 'Актуальное состояние (из общего'!A:C,3,0)), "")</f>
        <v/>
      </c>
      <c r="U3652" s="9" t="s">
        <v>13284</v>
      </c>
      <c r="V3652" s="9" t="s">
        <v>13284</v>
      </c>
      <c r="W3652" s="12"/>
      <c r="X3652" s="9" t="str">
        <f t="array" ref="X3652">IFERROR(INDEX('Адреса общежитий (скрытый)'!$B$2:$B$9, MATCH(W3652, 'Адреса общежитий (скрытый)'!$A$2:$A$9, 0)), "")</f>
        <v/>
      </c>
      <c r="Y3652" s="18"/>
      <c r="Z3652" s="18"/>
      <c r="AA3652" s="18"/>
      <c r="AB3652" s="18"/>
      <c r="AC3652" s="18"/>
    </row>
    <row r="3653" spans="1:29" ht="32.25" hidden="1" customHeight="1">
      <c r="A3653" s="17"/>
      <c r="B3653" s="9" t="s">
        <v>13284</v>
      </c>
      <c r="C3653" s="9" t="s">
        <v>13284</v>
      </c>
      <c r="D3653" s="9" t="s">
        <v>13284</v>
      </c>
      <c r="E3653" s="9" t="s">
        <v>13284</v>
      </c>
      <c r="F3653" s="9" t="s">
        <v>13284</v>
      </c>
      <c r="G3653" s="9" t="s">
        <v>13284</v>
      </c>
      <c r="H3653" s="9" t="s">
        <v>13284</v>
      </c>
      <c r="I3653" s="9" t="s">
        <v>13284</v>
      </c>
      <c r="J3653" s="9" t="s">
        <v>13284</v>
      </c>
      <c r="K3653" s="9" t="s">
        <v>13284</v>
      </c>
      <c r="L3653" s="9" t="s">
        <v>13284</v>
      </c>
      <c r="M3653" s="9" t="s">
        <v>13284</v>
      </c>
      <c r="N3653" s="9" t="s">
        <v>13284</v>
      </c>
      <c r="O3653" s="9" t="s">
        <v>13284</v>
      </c>
      <c r="P3653" s="9" t="s">
        <v>13284</v>
      </c>
      <c r="Q3653" s="9" t="s">
        <v>13284</v>
      </c>
      <c r="R3653" s="9" t="s">
        <v>13284</v>
      </c>
      <c r="S3653" s="9" t="s">
        <v>13284</v>
      </c>
      <c r="T3653" s="9" t="str">
        <f ca="1">IFERROR(IF(AND(VLOOKUP(A3653, 'Актуальное состояние (из общего'!A:C,3,0) = "", A3653 &lt;&gt; ""), "ПРОВЕРИТЬ", VLOOKUP(A3653, 'Актуальное состояние (из общего'!A:C,3,0)), "")</f>
        <v/>
      </c>
      <c r="U3653" s="9" t="s">
        <v>13284</v>
      </c>
      <c r="V3653" s="9" t="s">
        <v>13284</v>
      </c>
      <c r="W3653" s="12"/>
      <c r="X3653" s="9" t="str">
        <f t="array" ref="X3653">IFERROR(INDEX('Адреса общежитий (скрытый)'!$B$2:$B$9, MATCH(W3653, 'Адреса общежитий (скрытый)'!$A$2:$A$9, 0)), "")</f>
        <v/>
      </c>
      <c r="Y3653" s="18"/>
      <c r="Z3653" s="18"/>
      <c r="AA3653" s="18"/>
      <c r="AB3653" s="18"/>
      <c r="AC3653" s="18"/>
    </row>
    <row r="3654" spans="1:29" ht="32.25" hidden="1" customHeight="1">
      <c r="A3654" s="17"/>
      <c r="B3654" s="9" t="s">
        <v>13284</v>
      </c>
      <c r="C3654" s="9" t="s">
        <v>13284</v>
      </c>
      <c r="D3654" s="9" t="s">
        <v>13284</v>
      </c>
      <c r="E3654" s="9" t="s">
        <v>13284</v>
      </c>
      <c r="F3654" s="9" t="s">
        <v>13284</v>
      </c>
      <c r="G3654" s="9" t="s">
        <v>13284</v>
      </c>
      <c r="H3654" s="9" t="s">
        <v>13284</v>
      </c>
      <c r="I3654" s="9" t="s">
        <v>13284</v>
      </c>
      <c r="J3654" s="9" t="s">
        <v>13284</v>
      </c>
      <c r="K3654" s="9" t="s">
        <v>13284</v>
      </c>
      <c r="L3654" s="9" t="s">
        <v>13284</v>
      </c>
      <c r="M3654" s="9" t="s">
        <v>13284</v>
      </c>
      <c r="N3654" s="9" t="s">
        <v>13284</v>
      </c>
      <c r="O3654" s="9" t="s">
        <v>13284</v>
      </c>
      <c r="P3654" s="9" t="s">
        <v>13284</v>
      </c>
      <c r="Q3654" s="9" t="s">
        <v>13284</v>
      </c>
      <c r="R3654" s="9" t="s">
        <v>13284</v>
      </c>
      <c r="S3654" s="9" t="s">
        <v>13284</v>
      </c>
      <c r="T3654" s="9" t="str">
        <f ca="1">IFERROR(IF(AND(VLOOKUP(A3654, 'Актуальное состояние (из общего'!A:C,3,0) = "", A3654 &lt;&gt; ""), "ПРОВЕРИТЬ", VLOOKUP(A3654, 'Актуальное состояние (из общего'!A:C,3,0)), "")</f>
        <v/>
      </c>
      <c r="U3654" s="9" t="s">
        <v>13284</v>
      </c>
      <c r="V3654" s="9" t="s">
        <v>13284</v>
      </c>
      <c r="W3654" s="12"/>
      <c r="X3654" s="9" t="str">
        <f t="array" ref="X3654">IFERROR(INDEX('Адреса общежитий (скрытый)'!$B$2:$B$9, MATCH(W3654, 'Адреса общежитий (скрытый)'!$A$2:$A$9, 0)), "")</f>
        <v/>
      </c>
      <c r="Y3654" s="18"/>
      <c r="Z3654" s="18"/>
      <c r="AA3654" s="18"/>
      <c r="AB3654" s="18"/>
      <c r="AC3654" s="18"/>
    </row>
    <row r="3655" spans="1:29" ht="32.25" hidden="1" customHeight="1">
      <c r="A3655" s="17"/>
      <c r="B3655" s="9" t="s">
        <v>13284</v>
      </c>
      <c r="C3655" s="9" t="s">
        <v>13284</v>
      </c>
      <c r="D3655" s="9" t="s">
        <v>13284</v>
      </c>
      <c r="E3655" s="9" t="s">
        <v>13284</v>
      </c>
      <c r="F3655" s="9" t="s">
        <v>13284</v>
      </c>
      <c r="G3655" s="9" t="s">
        <v>13284</v>
      </c>
      <c r="H3655" s="9" t="s">
        <v>13284</v>
      </c>
      <c r="I3655" s="9" t="s">
        <v>13284</v>
      </c>
      <c r="J3655" s="9" t="s">
        <v>13284</v>
      </c>
      <c r="K3655" s="9" t="s">
        <v>13284</v>
      </c>
      <c r="L3655" s="9" t="s">
        <v>13284</v>
      </c>
      <c r="M3655" s="9" t="s">
        <v>13284</v>
      </c>
      <c r="N3655" s="9" t="s">
        <v>13284</v>
      </c>
      <c r="O3655" s="9" t="s">
        <v>13284</v>
      </c>
      <c r="P3655" s="9" t="s">
        <v>13284</v>
      </c>
      <c r="Q3655" s="9" t="s">
        <v>13284</v>
      </c>
      <c r="R3655" s="9" t="s">
        <v>13284</v>
      </c>
      <c r="S3655" s="9" t="s">
        <v>13284</v>
      </c>
      <c r="T3655" s="9" t="str">
        <f ca="1">IFERROR(IF(AND(VLOOKUP(A3655, 'Актуальное состояние (из общего'!A:C,3,0) = "", A3655 &lt;&gt; ""), "ПРОВЕРИТЬ", VLOOKUP(A3655, 'Актуальное состояние (из общего'!A:C,3,0)), "")</f>
        <v/>
      </c>
      <c r="U3655" s="9" t="s">
        <v>13284</v>
      </c>
      <c r="V3655" s="9" t="s">
        <v>13284</v>
      </c>
      <c r="W3655" s="12"/>
      <c r="X3655" s="9" t="str">
        <f t="array" ref="X3655">IFERROR(INDEX('Адреса общежитий (скрытый)'!$B$2:$B$9, MATCH(W3655, 'Адреса общежитий (скрытый)'!$A$2:$A$9, 0)), "")</f>
        <v/>
      </c>
      <c r="Y3655" s="18"/>
      <c r="Z3655" s="18"/>
      <c r="AA3655" s="18"/>
      <c r="AB3655" s="18"/>
      <c r="AC3655" s="18"/>
    </row>
    <row r="3656" spans="1:29" ht="32.25" hidden="1" customHeight="1">
      <c r="A3656" s="17"/>
      <c r="B3656" s="9" t="s">
        <v>13284</v>
      </c>
      <c r="C3656" s="9" t="s">
        <v>13284</v>
      </c>
      <c r="D3656" s="9" t="s">
        <v>13284</v>
      </c>
      <c r="E3656" s="9" t="s">
        <v>13284</v>
      </c>
      <c r="F3656" s="9" t="s">
        <v>13284</v>
      </c>
      <c r="G3656" s="9" t="s">
        <v>13284</v>
      </c>
      <c r="H3656" s="9" t="s">
        <v>13284</v>
      </c>
      <c r="I3656" s="9" t="s">
        <v>13284</v>
      </c>
      <c r="J3656" s="9" t="s">
        <v>13284</v>
      </c>
      <c r="K3656" s="9" t="s">
        <v>13284</v>
      </c>
      <c r="L3656" s="9" t="s">
        <v>13284</v>
      </c>
      <c r="M3656" s="9" t="s">
        <v>13284</v>
      </c>
      <c r="N3656" s="9" t="s">
        <v>13284</v>
      </c>
      <c r="O3656" s="9" t="s">
        <v>13284</v>
      </c>
      <c r="P3656" s="9" t="s">
        <v>13284</v>
      </c>
      <c r="Q3656" s="9" t="s">
        <v>13284</v>
      </c>
      <c r="R3656" s="9" t="s">
        <v>13284</v>
      </c>
      <c r="S3656" s="9" t="s">
        <v>13284</v>
      </c>
      <c r="T3656" s="9" t="str">
        <f ca="1">IFERROR(IF(AND(VLOOKUP(A3656, 'Актуальное состояние (из общего'!A:C,3,0) = "", A3656 &lt;&gt; ""), "ПРОВЕРИТЬ", VLOOKUP(A3656, 'Актуальное состояние (из общего'!A:C,3,0)), "")</f>
        <v/>
      </c>
      <c r="U3656" s="9" t="s">
        <v>13284</v>
      </c>
      <c r="V3656" s="9" t="s">
        <v>13284</v>
      </c>
      <c r="W3656" s="12"/>
      <c r="X3656" s="9" t="str">
        <f t="array" ref="X3656">IFERROR(INDEX('Адреса общежитий (скрытый)'!$B$2:$B$9, MATCH(W3656, 'Адреса общежитий (скрытый)'!$A$2:$A$9, 0)), "")</f>
        <v/>
      </c>
      <c r="Y3656" s="18"/>
      <c r="Z3656" s="18"/>
      <c r="AA3656" s="18"/>
      <c r="AB3656" s="18"/>
      <c r="AC3656" s="18"/>
    </row>
    <row r="3657" spans="1:29" ht="32.25" hidden="1" customHeight="1">
      <c r="A3657" s="17"/>
      <c r="B3657" s="9" t="s">
        <v>13284</v>
      </c>
      <c r="C3657" s="9" t="s">
        <v>13284</v>
      </c>
      <c r="D3657" s="9" t="s">
        <v>13284</v>
      </c>
      <c r="E3657" s="9" t="s">
        <v>13284</v>
      </c>
      <c r="F3657" s="9" t="s">
        <v>13284</v>
      </c>
      <c r="G3657" s="9" t="s">
        <v>13284</v>
      </c>
      <c r="H3657" s="9" t="s">
        <v>13284</v>
      </c>
      <c r="I3657" s="9" t="s">
        <v>13284</v>
      </c>
      <c r="J3657" s="9" t="s">
        <v>13284</v>
      </c>
      <c r="K3657" s="9" t="s">
        <v>13284</v>
      </c>
      <c r="L3657" s="9" t="s">
        <v>13284</v>
      </c>
      <c r="M3657" s="9" t="s">
        <v>13284</v>
      </c>
      <c r="N3657" s="9" t="s">
        <v>13284</v>
      </c>
      <c r="O3657" s="9" t="s">
        <v>13284</v>
      </c>
      <c r="P3657" s="9" t="s">
        <v>13284</v>
      </c>
      <c r="Q3657" s="9" t="s">
        <v>13284</v>
      </c>
      <c r="R3657" s="9" t="s">
        <v>13284</v>
      </c>
      <c r="S3657" s="9" t="s">
        <v>13284</v>
      </c>
      <c r="T3657" s="9" t="str">
        <f ca="1">IFERROR(IF(AND(VLOOKUP(A3657, 'Актуальное состояние (из общего'!A:C,3,0) = "", A3657 &lt;&gt; ""), "ПРОВЕРИТЬ", VLOOKUP(A3657, 'Актуальное состояние (из общего'!A:C,3,0)), "")</f>
        <v/>
      </c>
      <c r="U3657" s="9" t="s">
        <v>13284</v>
      </c>
      <c r="V3657" s="9" t="s">
        <v>13284</v>
      </c>
      <c r="W3657" s="12"/>
      <c r="X3657" s="9" t="str">
        <f t="array" ref="X3657">IFERROR(INDEX('Адреса общежитий (скрытый)'!$B$2:$B$9, MATCH(W3657, 'Адреса общежитий (скрытый)'!$A$2:$A$9, 0)), "")</f>
        <v/>
      </c>
      <c r="Y3657" s="18"/>
      <c r="Z3657" s="18"/>
      <c r="AA3657" s="18"/>
      <c r="AB3657" s="18"/>
      <c r="AC3657" s="18"/>
    </row>
    <row r="3658" spans="1:29" ht="32.25" hidden="1" customHeight="1">
      <c r="A3658" s="17"/>
      <c r="B3658" s="9" t="s">
        <v>13284</v>
      </c>
      <c r="C3658" s="9" t="s">
        <v>13284</v>
      </c>
      <c r="D3658" s="9" t="s">
        <v>13284</v>
      </c>
      <c r="E3658" s="9" t="s">
        <v>13284</v>
      </c>
      <c r="F3658" s="9" t="s">
        <v>13284</v>
      </c>
      <c r="G3658" s="9" t="s">
        <v>13284</v>
      </c>
      <c r="H3658" s="9" t="s">
        <v>13284</v>
      </c>
      <c r="I3658" s="9" t="s">
        <v>13284</v>
      </c>
      <c r="J3658" s="9" t="s">
        <v>13284</v>
      </c>
      <c r="K3658" s="9" t="s">
        <v>13284</v>
      </c>
      <c r="L3658" s="9" t="s">
        <v>13284</v>
      </c>
      <c r="M3658" s="9" t="s">
        <v>13284</v>
      </c>
      <c r="N3658" s="9" t="s">
        <v>13284</v>
      </c>
      <c r="O3658" s="9" t="s">
        <v>13284</v>
      </c>
      <c r="P3658" s="9" t="s">
        <v>13284</v>
      </c>
      <c r="Q3658" s="9" t="s">
        <v>13284</v>
      </c>
      <c r="R3658" s="9" t="s">
        <v>13284</v>
      </c>
      <c r="S3658" s="9" t="s">
        <v>13284</v>
      </c>
      <c r="T3658" s="9" t="str">
        <f ca="1">IFERROR(IF(AND(VLOOKUP(A3658, 'Актуальное состояние (из общего'!A:C,3,0) = "", A3658 &lt;&gt; ""), "ПРОВЕРИТЬ", VLOOKUP(A3658, 'Актуальное состояние (из общего'!A:C,3,0)), "")</f>
        <v/>
      </c>
      <c r="U3658" s="9" t="s">
        <v>13284</v>
      </c>
      <c r="V3658" s="9" t="s">
        <v>13284</v>
      </c>
      <c r="W3658" s="12"/>
      <c r="X3658" s="9" t="str">
        <f t="array" ref="X3658">IFERROR(INDEX('Адреса общежитий (скрытый)'!$B$2:$B$9, MATCH(W3658, 'Адреса общежитий (скрытый)'!$A$2:$A$9, 0)), "")</f>
        <v/>
      </c>
      <c r="Y3658" s="18"/>
      <c r="Z3658" s="18"/>
      <c r="AA3658" s="18"/>
      <c r="AB3658" s="18"/>
      <c r="AC3658" s="18"/>
    </row>
    <row r="3659" spans="1:29" ht="32.25" hidden="1" customHeight="1">
      <c r="A3659" s="17"/>
      <c r="B3659" s="9" t="s">
        <v>13284</v>
      </c>
      <c r="C3659" s="9" t="s">
        <v>13284</v>
      </c>
      <c r="D3659" s="9" t="s">
        <v>13284</v>
      </c>
      <c r="E3659" s="9" t="s">
        <v>13284</v>
      </c>
      <c r="F3659" s="9" t="s">
        <v>13284</v>
      </c>
      <c r="G3659" s="9" t="s">
        <v>13284</v>
      </c>
      <c r="H3659" s="9" t="s">
        <v>13284</v>
      </c>
      <c r="I3659" s="9" t="s">
        <v>13284</v>
      </c>
      <c r="J3659" s="9" t="s">
        <v>13284</v>
      </c>
      <c r="K3659" s="9" t="s">
        <v>13284</v>
      </c>
      <c r="L3659" s="9" t="s">
        <v>13284</v>
      </c>
      <c r="M3659" s="9" t="s">
        <v>13284</v>
      </c>
      <c r="N3659" s="9" t="s">
        <v>13284</v>
      </c>
      <c r="O3659" s="9" t="s">
        <v>13284</v>
      </c>
      <c r="P3659" s="9" t="s">
        <v>13284</v>
      </c>
      <c r="Q3659" s="9" t="s">
        <v>13284</v>
      </c>
      <c r="R3659" s="9" t="s">
        <v>13284</v>
      </c>
      <c r="S3659" s="9" t="s">
        <v>13284</v>
      </c>
      <c r="T3659" s="9" t="str">
        <f ca="1">IFERROR(IF(AND(VLOOKUP(A3659, 'Актуальное состояние (из общего'!A:C,3,0) = "", A3659 &lt;&gt; ""), "ПРОВЕРИТЬ", VLOOKUP(A3659, 'Актуальное состояние (из общего'!A:C,3,0)), "")</f>
        <v/>
      </c>
      <c r="U3659" s="9" t="s">
        <v>13284</v>
      </c>
      <c r="V3659" s="9" t="s">
        <v>13284</v>
      </c>
      <c r="W3659" s="12"/>
      <c r="X3659" s="9" t="str">
        <f t="array" ref="X3659">IFERROR(INDEX('Адреса общежитий (скрытый)'!$B$2:$B$9, MATCH(W3659, 'Адреса общежитий (скрытый)'!$A$2:$A$9, 0)), "")</f>
        <v/>
      </c>
      <c r="Y3659" s="18"/>
      <c r="Z3659" s="18"/>
      <c r="AA3659" s="18"/>
      <c r="AB3659" s="18"/>
      <c r="AC3659" s="18"/>
    </row>
    <row r="3660" spans="1:29" ht="32.25" hidden="1" customHeight="1">
      <c r="A3660" s="17"/>
      <c r="B3660" s="9" t="s">
        <v>13284</v>
      </c>
      <c r="C3660" s="9" t="s">
        <v>13284</v>
      </c>
      <c r="D3660" s="9" t="s">
        <v>13284</v>
      </c>
      <c r="E3660" s="9" t="s">
        <v>13284</v>
      </c>
      <c r="F3660" s="9" t="s">
        <v>13284</v>
      </c>
      <c r="G3660" s="9" t="s">
        <v>13284</v>
      </c>
      <c r="H3660" s="9" t="s">
        <v>13284</v>
      </c>
      <c r="I3660" s="9" t="s">
        <v>13284</v>
      </c>
      <c r="J3660" s="9" t="s">
        <v>13284</v>
      </c>
      <c r="K3660" s="9" t="s">
        <v>13284</v>
      </c>
      <c r="L3660" s="9" t="s">
        <v>13284</v>
      </c>
      <c r="M3660" s="9" t="s">
        <v>13284</v>
      </c>
      <c r="N3660" s="9" t="s">
        <v>13284</v>
      </c>
      <c r="O3660" s="9" t="s">
        <v>13284</v>
      </c>
      <c r="P3660" s="9" t="s">
        <v>13284</v>
      </c>
      <c r="Q3660" s="9" t="s">
        <v>13284</v>
      </c>
      <c r="R3660" s="9" t="s">
        <v>13284</v>
      </c>
      <c r="S3660" s="9" t="s">
        <v>13284</v>
      </c>
      <c r="T3660" s="9" t="str">
        <f ca="1">IFERROR(IF(AND(VLOOKUP(A3660, 'Актуальное состояние (из общего'!A:C,3,0) = "", A3660 &lt;&gt; ""), "ПРОВЕРИТЬ", VLOOKUP(A3660, 'Актуальное состояние (из общего'!A:C,3,0)), "")</f>
        <v/>
      </c>
      <c r="U3660" s="9" t="s">
        <v>13284</v>
      </c>
      <c r="V3660" s="9" t="s">
        <v>13284</v>
      </c>
      <c r="W3660" s="12"/>
      <c r="X3660" s="9" t="str">
        <f t="array" ref="X3660">IFERROR(INDEX('Адреса общежитий (скрытый)'!$B$2:$B$9, MATCH(W3660, 'Адреса общежитий (скрытый)'!$A$2:$A$9, 0)), "")</f>
        <v/>
      </c>
      <c r="Y3660" s="18"/>
      <c r="Z3660" s="18"/>
      <c r="AA3660" s="18"/>
      <c r="AB3660" s="18"/>
      <c r="AC3660" s="18"/>
    </row>
    <row r="3661" spans="1:29" ht="32.25" hidden="1" customHeight="1">
      <c r="A3661" s="17"/>
      <c r="B3661" s="9" t="s">
        <v>13284</v>
      </c>
      <c r="C3661" s="9" t="s">
        <v>13284</v>
      </c>
      <c r="D3661" s="9" t="s">
        <v>13284</v>
      </c>
      <c r="E3661" s="9" t="s">
        <v>13284</v>
      </c>
      <c r="F3661" s="9" t="s">
        <v>13284</v>
      </c>
      <c r="G3661" s="9" t="s">
        <v>13284</v>
      </c>
      <c r="H3661" s="9" t="s">
        <v>13284</v>
      </c>
      <c r="I3661" s="9" t="s">
        <v>13284</v>
      </c>
      <c r="J3661" s="9" t="s">
        <v>13284</v>
      </c>
      <c r="K3661" s="9" t="s">
        <v>13284</v>
      </c>
      <c r="L3661" s="9" t="s">
        <v>13284</v>
      </c>
      <c r="M3661" s="9" t="s">
        <v>13284</v>
      </c>
      <c r="N3661" s="9" t="s">
        <v>13284</v>
      </c>
      <c r="O3661" s="9" t="s">
        <v>13284</v>
      </c>
      <c r="P3661" s="9" t="s">
        <v>13284</v>
      </c>
      <c r="Q3661" s="9" t="s">
        <v>13284</v>
      </c>
      <c r="R3661" s="9" t="s">
        <v>13284</v>
      </c>
      <c r="S3661" s="9" t="s">
        <v>13284</v>
      </c>
      <c r="T3661" s="9" t="str">
        <f ca="1">IFERROR(IF(AND(VLOOKUP(A3661, 'Актуальное состояние (из общего'!A:C,3,0) = "", A3661 &lt;&gt; ""), "ПРОВЕРИТЬ", VLOOKUP(A3661, 'Актуальное состояние (из общего'!A:C,3,0)), "")</f>
        <v/>
      </c>
      <c r="U3661" s="9" t="s">
        <v>13284</v>
      </c>
      <c r="V3661" s="9" t="s">
        <v>13284</v>
      </c>
      <c r="W3661" s="12"/>
      <c r="X3661" s="9" t="str">
        <f t="array" ref="X3661">IFERROR(INDEX('Адреса общежитий (скрытый)'!$B$2:$B$9, MATCH(W3661, 'Адреса общежитий (скрытый)'!$A$2:$A$9, 0)), "")</f>
        <v/>
      </c>
      <c r="Y3661" s="18"/>
      <c r="Z3661" s="18"/>
      <c r="AA3661" s="18"/>
      <c r="AB3661" s="18"/>
      <c r="AC3661" s="18"/>
    </row>
    <row r="3662" spans="1:29" ht="32.25" hidden="1" customHeight="1">
      <c r="A3662" s="17"/>
      <c r="B3662" s="9" t="s">
        <v>13284</v>
      </c>
      <c r="C3662" s="9" t="s">
        <v>13284</v>
      </c>
      <c r="D3662" s="9" t="s">
        <v>13284</v>
      </c>
      <c r="E3662" s="9" t="s">
        <v>13284</v>
      </c>
      <c r="F3662" s="9" t="s">
        <v>13284</v>
      </c>
      <c r="G3662" s="9" t="s">
        <v>13284</v>
      </c>
      <c r="H3662" s="9" t="s">
        <v>13284</v>
      </c>
      <c r="I3662" s="9" t="s">
        <v>13284</v>
      </c>
      <c r="J3662" s="9" t="s">
        <v>13284</v>
      </c>
      <c r="K3662" s="9" t="s">
        <v>13284</v>
      </c>
      <c r="L3662" s="9" t="s">
        <v>13284</v>
      </c>
      <c r="M3662" s="9" t="s">
        <v>13284</v>
      </c>
      <c r="N3662" s="9" t="s">
        <v>13284</v>
      </c>
      <c r="O3662" s="9" t="s">
        <v>13284</v>
      </c>
      <c r="P3662" s="9" t="s">
        <v>13284</v>
      </c>
      <c r="Q3662" s="9" t="s">
        <v>13284</v>
      </c>
      <c r="R3662" s="9" t="s">
        <v>13284</v>
      </c>
      <c r="S3662" s="9" t="s">
        <v>13284</v>
      </c>
      <c r="T3662" s="9" t="str">
        <f ca="1">IFERROR(IF(AND(VLOOKUP(A3662, 'Актуальное состояние (из общего'!A:C,3,0) = "", A3662 &lt;&gt; ""), "ПРОВЕРИТЬ", VLOOKUP(A3662, 'Актуальное состояние (из общего'!A:C,3,0)), "")</f>
        <v/>
      </c>
      <c r="U3662" s="9" t="s">
        <v>13284</v>
      </c>
      <c r="V3662" s="9" t="s">
        <v>13284</v>
      </c>
      <c r="W3662" s="12"/>
      <c r="X3662" s="9" t="str">
        <f t="array" ref="X3662">IFERROR(INDEX('Адреса общежитий (скрытый)'!$B$2:$B$9, MATCH(W3662, 'Адреса общежитий (скрытый)'!$A$2:$A$9, 0)), "")</f>
        <v/>
      </c>
      <c r="Y3662" s="18"/>
      <c r="Z3662" s="18"/>
      <c r="AA3662" s="18"/>
      <c r="AB3662" s="18"/>
      <c r="AC3662" s="18"/>
    </row>
    <row r="3663" spans="1:29" ht="32.25" hidden="1" customHeight="1">
      <c r="A3663" s="17"/>
      <c r="B3663" s="9" t="s">
        <v>13284</v>
      </c>
      <c r="C3663" s="9" t="s">
        <v>13284</v>
      </c>
      <c r="D3663" s="9" t="s">
        <v>13284</v>
      </c>
      <c r="E3663" s="9" t="s">
        <v>13284</v>
      </c>
      <c r="F3663" s="9" t="s">
        <v>13284</v>
      </c>
      <c r="G3663" s="9" t="s">
        <v>13284</v>
      </c>
      <c r="H3663" s="9" t="s">
        <v>13284</v>
      </c>
      <c r="I3663" s="9" t="s">
        <v>13284</v>
      </c>
      <c r="J3663" s="9" t="s">
        <v>13284</v>
      </c>
      <c r="K3663" s="9" t="s">
        <v>13284</v>
      </c>
      <c r="L3663" s="9" t="s">
        <v>13284</v>
      </c>
      <c r="M3663" s="9" t="s">
        <v>13284</v>
      </c>
      <c r="N3663" s="9" t="s">
        <v>13284</v>
      </c>
      <c r="O3663" s="9" t="s">
        <v>13284</v>
      </c>
      <c r="P3663" s="9" t="s">
        <v>13284</v>
      </c>
      <c r="Q3663" s="9" t="s">
        <v>13284</v>
      </c>
      <c r="R3663" s="9" t="s">
        <v>13284</v>
      </c>
      <c r="S3663" s="9" t="s">
        <v>13284</v>
      </c>
      <c r="T3663" s="9" t="str">
        <f ca="1">IFERROR(IF(AND(VLOOKUP(A3663, 'Актуальное состояние (из общего'!A:C,3,0) = "", A3663 &lt;&gt; ""), "ПРОВЕРИТЬ", VLOOKUP(A3663, 'Актуальное состояние (из общего'!A:C,3,0)), "")</f>
        <v/>
      </c>
      <c r="U3663" s="9" t="s">
        <v>13284</v>
      </c>
      <c r="V3663" s="9" t="s">
        <v>13284</v>
      </c>
      <c r="W3663" s="12"/>
      <c r="X3663" s="9" t="str">
        <f t="array" ref="X3663">IFERROR(INDEX('Адреса общежитий (скрытый)'!$B$2:$B$9, MATCH(W3663, 'Адреса общежитий (скрытый)'!$A$2:$A$9, 0)), "")</f>
        <v/>
      </c>
      <c r="Y3663" s="18"/>
      <c r="Z3663" s="18"/>
      <c r="AA3663" s="18"/>
      <c r="AB3663" s="18"/>
      <c r="AC3663" s="18"/>
    </row>
    <row r="3664" spans="1:29" ht="32.25" hidden="1" customHeight="1">
      <c r="A3664" s="17"/>
      <c r="B3664" s="9" t="s">
        <v>13284</v>
      </c>
      <c r="C3664" s="9" t="s">
        <v>13284</v>
      </c>
      <c r="D3664" s="9" t="s">
        <v>13284</v>
      </c>
      <c r="E3664" s="9" t="s">
        <v>13284</v>
      </c>
      <c r="F3664" s="9" t="s">
        <v>13284</v>
      </c>
      <c r="G3664" s="9" t="s">
        <v>13284</v>
      </c>
      <c r="H3664" s="9" t="s">
        <v>13284</v>
      </c>
      <c r="I3664" s="9" t="s">
        <v>13284</v>
      </c>
      <c r="J3664" s="9" t="s">
        <v>13284</v>
      </c>
      <c r="K3664" s="9" t="s">
        <v>13284</v>
      </c>
      <c r="L3664" s="9" t="s">
        <v>13284</v>
      </c>
      <c r="M3664" s="9" t="s">
        <v>13284</v>
      </c>
      <c r="N3664" s="9" t="s">
        <v>13284</v>
      </c>
      <c r="O3664" s="9" t="s">
        <v>13284</v>
      </c>
      <c r="P3664" s="9" t="s">
        <v>13284</v>
      </c>
      <c r="Q3664" s="9" t="s">
        <v>13284</v>
      </c>
      <c r="R3664" s="9" t="s">
        <v>13284</v>
      </c>
      <c r="S3664" s="9" t="s">
        <v>13284</v>
      </c>
      <c r="T3664" s="9" t="str">
        <f ca="1">IFERROR(IF(AND(VLOOKUP(A3664, 'Актуальное состояние (из общего'!A:C,3,0) = "", A3664 &lt;&gt; ""), "ПРОВЕРИТЬ", VLOOKUP(A3664, 'Актуальное состояние (из общего'!A:C,3,0)), "")</f>
        <v/>
      </c>
      <c r="U3664" s="9" t="s">
        <v>13284</v>
      </c>
      <c r="V3664" s="9" t="s">
        <v>13284</v>
      </c>
      <c r="W3664" s="12"/>
      <c r="X3664" s="9" t="str">
        <f t="array" ref="X3664">IFERROR(INDEX('Адреса общежитий (скрытый)'!$B$2:$B$9, MATCH(W3664, 'Адреса общежитий (скрытый)'!$A$2:$A$9, 0)), "")</f>
        <v/>
      </c>
      <c r="Y3664" s="18"/>
      <c r="Z3664" s="18"/>
      <c r="AA3664" s="18"/>
      <c r="AB3664" s="18"/>
      <c r="AC3664" s="18"/>
    </row>
    <row r="3665" spans="1:29" ht="32.25" hidden="1" customHeight="1">
      <c r="A3665" s="17"/>
      <c r="B3665" s="9" t="s">
        <v>13284</v>
      </c>
      <c r="C3665" s="9" t="s">
        <v>13284</v>
      </c>
      <c r="D3665" s="9" t="s">
        <v>13284</v>
      </c>
      <c r="E3665" s="9" t="s">
        <v>13284</v>
      </c>
      <c r="F3665" s="9" t="s">
        <v>13284</v>
      </c>
      <c r="G3665" s="9" t="s">
        <v>13284</v>
      </c>
      <c r="H3665" s="9" t="s">
        <v>13284</v>
      </c>
      <c r="I3665" s="9" t="s">
        <v>13284</v>
      </c>
      <c r="J3665" s="9" t="s">
        <v>13284</v>
      </c>
      <c r="K3665" s="9" t="s">
        <v>13284</v>
      </c>
      <c r="L3665" s="9" t="s">
        <v>13284</v>
      </c>
      <c r="M3665" s="9" t="s">
        <v>13284</v>
      </c>
      <c r="N3665" s="9" t="s">
        <v>13284</v>
      </c>
      <c r="O3665" s="9" t="s">
        <v>13284</v>
      </c>
      <c r="P3665" s="9" t="s">
        <v>13284</v>
      </c>
      <c r="Q3665" s="9" t="s">
        <v>13284</v>
      </c>
      <c r="R3665" s="9" t="s">
        <v>13284</v>
      </c>
      <c r="S3665" s="9" t="s">
        <v>13284</v>
      </c>
      <c r="T3665" s="9" t="str">
        <f ca="1">IFERROR(IF(AND(VLOOKUP(A3665, 'Актуальное состояние (из общего'!A:C,3,0) = "", A3665 &lt;&gt; ""), "ПРОВЕРИТЬ", VLOOKUP(A3665, 'Актуальное состояние (из общего'!A:C,3,0)), "")</f>
        <v/>
      </c>
      <c r="U3665" s="9" t="s">
        <v>13284</v>
      </c>
      <c r="V3665" s="9" t="s">
        <v>13284</v>
      </c>
      <c r="W3665" s="12"/>
      <c r="X3665" s="9" t="str">
        <f t="array" ref="X3665">IFERROR(INDEX('Адреса общежитий (скрытый)'!$B$2:$B$9, MATCH(W3665, 'Адреса общежитий (скрытый)'!$A$2:$A$9, 0)), "")</f>
        <v/>
      </c>
      <c r="Y3665" s="18"/>
      <c r="Z3665" s="18"/>
      <c r="AA3665" s="18"/>
      <c r="AB3665" s="18"/>
      <c r="AC3665" s="18"/>
    </row>
    <row r="3666" spans="1:29" ht="32.25" hidden="1" customHeight="1">
      <c r="A3666" s="17"/>
      <c r="B3666" s="9" t="s">
        <v>13284</v>
      </c>
      <c r="C3666" s="9" t="s">
        <v>13284</v>
      </c>
      <c r="D3666" s="9" t="s">
        <v>13284</v>
      </c>
      <c r="E3666" s="9" t="s">
        <v>13284</v>
      </c>
      <c r="F3666" s="9" t="s">
        <v>13284</v>
      </c>
      <c r="G3666" s="9" t="s">
        <v>13284</v>
      </c>
      <c r="H3666" s="9" t="s">
        <v>13284</v>
      </c>
      <c r="I3666" s="9" t="s">
        <v>13284</v>
      </c>
      <c r="J3666" s="9" t="s">
        <v>13284</v>
      </c>
      <c r="K3666" s="9" t="s">
        <v>13284</v>
      </c>
      <c r="L3666" s="9" t="s">
        <v>13284</v>
      </c>
      <c r="M3666" s="9" t="s">
        <v>13284</v>
      </c>
      <c r="N3666" s="9" t="s">
        <v>13284</v>
      </c>
      <c r="O3666" s="9" t="s">
        <v>13284</v>
      </c>
      <c r="P3666" s="9" t="s">
        <v>13284</v>
      </c>
      <c r="Q3666" s="9" t="s">
        <v>13284</v>
      </c>
      <c r="R3666" s="9" t="s">
        <v>13284</v>
      </c>
      <c r="S3666" s="9" t="s">
        <v>13284</v>
      </c>
      <c r="T3666" s="9" t="str">
        <f ca="1">IFERROR(IF(AND(VLOOKUP(A3666, 'Актуальное состояние (из общего'!A:C,3,0) = "", A3666 &lt;&gt; ""), "ПРОВЕРИТЬ", VLOOKUP(A3666, 'Актуальное состояние (из общего'!A:C,3,0)), "")</f>
        <v/>
      </c>
      <c r="U3666" s="9" t="s">
        <v>13284</v>
      </c>
      <c r="V3666" s="9" t="s">
        <v>13284</v>
      </c>
      <c r="W3666" s="12"/>
      <c r="X3666" s="9" t="str">
        <f t="array" ref="X3666">IFERROR(INDEX('Адреса общежитий (скрытый)'!$B$2:$B$9, MATCH(W3666, 'Адреса общежитий (скрытый)'!$A$2:$A$9, 0)), "")</f>
        <v/>
      </c>
      <c r="Y3666" s="18"/>
      <c r="Z3666" s="18"/>
      <c r="AA3666" s="18"/>
      <c r="AB3666" s="18"/>
      <c r="AC3666" s="18"/>
    </row>
    <row r="3667" spans="1:29" ht="32.25" hidden="1" customHeight="1">
      <c r="A3667" s="17"/>
      <c r="B3667" s="9" t="s">
        <v>13284</v>
      </c>
      <c r="C3667" s="9" t="s">
        <v>13284</v>
      </c>
      <c r="D3667" s="9" t="s">
        <v>13284</v>
      </c>
      <c r="E3667" s="9" t="s">
        <v>13284</v>
      </c>
      <c r="F3667" s="9" t="s">
        <v>13284</v>
      </c>
      <c r="G3667" s="9" t="s">
        <v>13284</v>
      </c>
      <c r="H3667" s="9" t="s">
        <v>13284</v>
      </c>
      <c r="I3667" s="9" t="s">
        <v>13284</v>
      </c>
      <c r="J3667" s="9" t="s">
        <v>13284</v>
      </c>
      <c r="K3667" s="9" t="s">
        <v>13284</v>
      </c>
      <c r="L3667" s="9" t="s">
        <v>13284</v>
      </c>
      <c r="M3667" s="9" t="s">
        <v>13284</v>
      </c>
      <c r="N3667" s="9" t="s">
        <v>13284</v>
      </c>
      <c r="O3667" s="9" t="s">
        <v>13284</v>
      </c>
      <c r="P3667" s="9" t="s">
        <v>13284</v>
      </c>
      <c r="Q3667" s="9" t="s">
        <v>13284</v>
      </c>
      <c r="R3667" s="9" t="s">
        <v>13284</v>
      </c>
      <c r="S3667" s="9" t="s">
        <v>13284</v>
      </c>
      <c r="T3667" s="9" t="str">
        <f ca="1">IFERROR(IF(AND(VLOOKUP(A3667, 'Актуальное состояние (из общего'!A:C,3,0) = "", A3667 &lt;&gt; ""), "ПРОВЕРИТЬ", VLOOKUP(A3667, 'Актуальное состояние (из общего'!A:C,3,0)), "")</f>
        <v/>
      </c>
      <c r="U3667" s="9" t="s">
        <v>13284</v>
      </c>
      <c r="V3667" s="9" t="s">
        <v>13284</v>
      </c>
      <c r="W3667" s="12"/>
      <c r="X3667" s="9" t="str">
        <f t="array" ref="X3667">IFERROR(INDEX('Адреса общежитий (скрытый)'!$B$2:$B$9, MATCH(W3667, 'Адреса общежитий (скрытый)'!$A$2:$A$9, 0)), "")</f>
        <v/>
      </c>
      <c r="Y3667" s="18"/>
      <c r="Z3667" s="18"/>
      <c r="AA3667" s="18"/>
      <c r="AB3667" s="18"/>
      <c r="AC3667" s="18"/>
    </row>
    <row r="3668" spans="1:29" ht="32.25" hidden="1" customHeight="1">
      <c r="A3668" s="17"/>
      <c r="B3668" s="9" t="s">
        <v>13284</v>
      </c>
      <c r="C3668" s="9" t="s">
        <v>13284</v>
      </c>
      <c r="D3668" s="9" t="s">
        <v>13284</v>
      </c>
      <c r="E3668" s="9" t="s">
        <v>13284</v>
      </c>
      <c r="F3668" s="9" t="s">
        <v>13284</v>
      </c>
      <c r="G3668" s="9" t="s">
        <v>13284</v>
      </c>
      <c r="H3668" s="9" t="s">
        <v>13284</v>
      </c>
      <c r="I3668" s="9" t="s">
        <v>13284</v>
      </c>
      <c r="J3668" s="9" t="s">
        <v>13284</v>
      </c>
      <c r="K3668" s="9" t="s">
        <v>13284</v>
      </c>
      <c r="L3668" s="9" t="s">
        <v>13284</v>
      </c>
      <c r="M3668" s="9" t="s">
        <v>13284</v>
      </c>
      <c r="N3668" s="9" t="s">
        <v>13284</v>
      </c>
      <c r="O3668" s="9" t="s">
        <v>13284</v>
      </c>
      <c r="P3668" s="9" t="s">
        <v>13284</v>
      </c>
      <c r="Q3668" s="9" t="s">
        <v>13284</v>
      </c>
      <c r="R3668" s="9" t="s">
        <v>13284</v>
      </c>
      <c r="S3668" s="9" t="s">
        <v>13284</v>
      </c>
      <c r="T3668" s="9" t="str">
        <f ca="1">IFERROR(IF(AND(VLOOKUP(A3668, 'Актуальное состояние (из общего'!A:C,3,0) = "", A3668 &lt;&gt; ""), "ПРОВЕРИТЬ", VLOOKUP(A3668, 'Актуальное состояние (из общего'!A:C,3,0)), "")</f>
        <v/>
      </c>
      <c r="U3668" s="9" t="s">
        <v>13284</v>
      </c>
      <c r="V3668" s="9" t="s">
        <v>13284</v>
      </c>
      <c r="W3668" s="12"/>
      <c r="X3668" s="9" t="str">
        <f t="array" ref="X3668">IFERROR(INDEX('Адреса общежитий (скрытый)'!$B$2:$B$9, MATCH(W3668, 'Адреса общежитий (скрытый)'!$A$2:$A$9, 0)), "")</f>
        <v/>
      </c>
      <c r="Y3668" s="18"/>
      <c r="Z3668" s="18"/>
      <c r="AA3668" s="18"/>
      <c r="AB3668" s="18"/>
      <c r="AC3668" s="18"/>
    </row>
    <row r="3669" spans="1:29" ht="32.25" hidden="1" customHeight="1">
      <c r="A3669" s="17"/>
      <c r="B3669" s="9" t="s">
        <v>13284</v>
      </c>
      <c r="C3669" s="9" t="s">
        <v>13284</v>
      </c>
      <c r="D3669" s="9" t="s">
        <v>13284</v>
      </c>
      <c r="E3669" s="9" t="s">
        <v>13284</v>
      </c>
      <c r="F3669" s="9" t="s">
        <v>13284</v>
      </c>
      <c r="G3669" s="9" t="s">
        <v>13284</v>
      </c>
      <c r="H3669" s="9" t="s">
        <v>13284</v>
      </c>
      <c r="I3669" s="9" t="s">
        <v>13284</v>
      </c>
      <c r="J3669" s="9" t="s">
        <v>13284</v>
      </c>
      <c r="K3669" s="9" t="s">
        <v>13284</v>
      </c>
      <c r="L3669" s="9" t="s">
        <v>13284</v>
      </c>
      <c r="M3669" s="9" t="s">
        <v>13284</v>
      </c>
      <c r="N3669" s="9" t="s">
        <v>13284</v>
      </c>
      <c r="O3669" s="9" t="s">
        <v>13284</v>
      </c>
      <c r="P3669" s="9" t="s">
        <v>13284</v>
      </c>
      <c r="Q3669" s="9" t="s">
        <v>13284</v>
      </c>
      <c r="R3669" s="9" t="s">
        <v>13284</v>
      </c>
      <c r="S3669" s="9" t="s">
        <v>13284</v>
      </c>
      <c r="T3669" s="9" t="str">
        <f ca="1">IFERROR(IF(AND(VLOOKUP(A3669, 'Актуальное состояние (из общего'!A:C,3,0) = "", A3669 &lt;&gt; ""), "ПРОВЕРИТЬ", VLOOKUP(A3669, 'Актуальное состояние (из общего'!A:C,3,0)), "")</f>
        <v/>
      </c>
      <c r="U3669" s="9" t="s">
        <v>13284</v>
      </c>
      <c r="V3669" s="9" t="s">
        <v>13284</v>
      </c>
      <c r="W3669" s="12"/>
      <c r="X3669" s="9" t="str">
        <f t="array" ref="X3669">IFERROR(INDEX('Адреса общежитий (скрытый)'!$B$2:$B$9, MATCH(W3669, 'Адреса общежитий (скрытый)'!$A$2:$A$9, 0)), "")</f>
        <v/>
      </c>
      <c r="Y3669" s="18"/>
      <c r="Z3669" s="18"/>
      <c r="AA3669" s="18"/>
      <c r="AB3669" s="18"/>
      <c r="AC3669" s="18"/>
    </row>
    <row r="3670" spans="1:29" ht="32.25" hidden="1" customHeight="1">
      <c r="A3670" s="17"/>
      <c r="B3670" s="9" t="s">
        <v>13284</v>
      </c>
      <c r="C3670" s="9" t="s">
        <v>13284</v>
      </c>
      <c r="D3670" s="9" t="s">
        <v>13284</v>
      </c>
      <c r="E3670" s="9" t="s">
        <v>13284</v>
      </c>
      <c r="F3670" s="9" t="s">
        <v>13284</v>
      </c>
      <c r="G3670" s="9" t="s">
        <v>13284</v>
      </c>
      <c r="H3670" s="9" t="s">
        <v>13284</v>
      </c>
      <c r="I3670" s="9" t="s">
        <v>13284</v>
      </c>
      <c r="J3670" s="9" t="s">
        <v>13284</v>
      </c>
      <c r="K3670" s="9" t="s">
        <v>13284</v>
      </c>
      <c r="L3670" s="9" t="s">
        <v>13284</v>
      </c>
      <c r="M3670" s="9" t="s">
        <v>13284</v>
      </c>
      <c r="N3670" s="9" t="s">
        <v>13284</v>
      </c>
      <c r="O3670" s="9" t="s">
        <v>13284</v>
      </c>
      <c r="P3670" s="9" t="s">
        <v>13284</v>
      </c>
      <c r="Q3670" s="9" t="s">
        <v>13284</v>
      </c>
      <c r="R3670" s="9" t="s">
        <v>13284</v>
      </c>
      <c r="S3670" s="9" t="s">
        <v>13284</v>
      </c>
      <c r="T3670" s="9" t="str">
        <f ca="1">IFERROR(IF(AND(VLOOKUP(A3670, 'Актуальное состояние (из общего'!A:C,3,0) = "", A3670 &lt;&gt; ""), "ПРОВЕРИТЬ", VLOOKUP(A3670, 'Актуальное состояние (из общего'!A:C,3,0)), "")</f>
        <v/>
      </c>
      <c r="U3670" s="9" t="s">
        <v>13284</v>
      </c>
      <c r="V3670" s="9" t="s">
        <v>13284</v>
      </c>
      <c r="W3670" s="12"/>
      <c r="X3670" s="9" t="str">
        <f t="array" ref="X3670">IFERROR(INDEX('Адреса общежитий (скрытый)'!$B$2:$B$9, MATCH(W3670, 'Адреса общежитий (скрытый)'!$A$2:$A$9, 0)), "")</f>
        <v/>
      </c>
      <c r="Y3670" s="18"/>
      <c r="Z3670" s="18"/>
      <c r="AA3670" s="18"/>
      <c r="AB3670" s="18"/>
      <c r="AC3670" s="18"/>
    </row>
    <row r="3671" spans="1:29" ht="32.25" hidden="1" customHeight="1">
      <c r="A3671" s="17"/>
      <c r="B3671" s="9" t="s">
        <v>13284</v>
      </c>
      <c r="C3671" s="9" t="s">
        <v>13284</v>
      </c>
      <c r="D3671" s="9" t="s">
        <v>13284</v>
      </c>
      <c r="E3671" s="9" t="s">
        <v>13284</v>
      </c>
      <c r="F3671" s="9" t="s">
        <v>13284</v>
      </c>
      <c r="G3671" s="9" t="s">
        <v>13284</v>
      </c>
      <c r="H3671" s="9" t="s">
        <v>13284</v>
      </c>
      <c r="I3671" s="9" t="s">
        <v>13284</v>
      </c>
      <c r="J3671" s="9" t="s">
        <v>13284</v>
      </c>
      <c r="K3671" s="9" t="s">
        <v>13284</v>
      </c>
      <c r="L3671" s="9" t="s">
        <v>13284</v>
      </c>
      <c r="M3671" s="9" t="s">
        <v>13284</v>
      </c>
      <c r="N3671" s="9" t="s">
        <v>13284</v>
      </c>
      <c r="O3671" s="9" t="s">
        <v>13284</v>
      </c>
      <c r="P3671" s="9" t="s">
        <v>13284</v>
      </c>
      <c r="Q3671" s="9" t="s">
        <v>13284</v>
      </c>
      <c r="R3671" s="9" t="s">
        <v>13284</v>
      </c>
      <c r="S3671" s="9" t="s">
        <v>13284</v>
      </c>
      <c r="T3671" s="9" t="str">
        <f ca="1">IFERROR(IF(AND(VLOOKUP(A3671, 'Актуальное состояние (из общего'!A:C,3,0) = "", A3671 &lt;&gt; ""), "ПРОВЕРИТЬ", VLOOKUP(A3671, 'Актуальное состояние (из общего'!A:C,3,0)), "")</f>
        <v/>
      </c>
      <c r="U3671" s="9" t="s">
        <v>13284</v>
      </c>
      <c r="V3671" s="9" t="s">
        <v>13284</v>
      </c>
      <c r="W3671" s="12"/>
      <c r="X3671" s="9" t="str">
        <f t="array" ref="X3671">IFERROR(INDEX('Адреса общежитий (скрытый)'!$B$2:$B$9, MATCH(W3671, 'Адреса общежитий (скрытый)'!$A$2:$A$9, 0)), "")</f>
        <v/>
      </c>
      <c r="Y3671" s="18"/>
      <c r="Z3671" s="18"/>
      <c r="AA3671" s="18"/>
      <c r="AB3671" s="18"/>
      <c r="AC3671" s="18"/>
    </row>
    <row r="3672" spans="1:29" ht="32.25" hidden="1" customHeight="1">
      <c r="A3672" s="17"/>
      <c r="B3672" s="9" t="s">
        <v>13284</v>
      </c>
      <c r="C3672" s="9" t="s">
        <v>13284</v>
      </c>
      <c r="D3672" s="9" t="s">
        <v>13284</v>
      </c>
      <c r="E3672" s="9" t="s">
        <v>13284</v>
      </c>
      <c r="F3672" s="9" t="s">
        <v>13284</v>
      </c>
      <c r="G3672" s="9" t="s">
        <v>13284</v>
      </c>
      <c r="H3672" s="9" t="s">
        <v>13284</v>
      </c>
      <c r="I3672" s="9" t="s">
        <v>13284</v>
      </c>
      <c r="J3672" s="9" t="s">
        <v>13284</v>
      </c>
      <c r="K3672" s="9" t="s">
        <v>13284</v>
      </c>
      <c r="L3672" s="9" t="s">
        <v>13284</v>
      </c>
      <c r="M3672" s="9" t="s">
        <v>13284</v>
      </c>
      <c r="N3672" s="9" t="s">
        <v>13284</v>
      </c>
      <c r="O3672" s="9" t="s">
        <v>13284</v>
      </c>
      <c r="P3672" s="9" t="s">
        <v>13284</v>
      </c>
      <c r="Q3672" s="9" t="s">
        <v>13284</v>
      </c>
      <c r="R3672" s="9" t="s">
        <v>13284</v>
      </c>
      <c r="S3672" s="9" t="s">
        <v>13284</v>
      </c>
      <c r="T3672" s="9" t="str">
        <f ca="1">IFERROR(IF(AND(VLOOKUP(A3672, 'Актуальное состояние (из общего'!A:C,3,0) = "", A3672 &lt;&gt; ""), "ПРОВЕРИТЬ", VLOOKUP(A3672, 'Актуальное состояние (из общего'!A:C,3,0)), "")</f>
        <v/>
      </c>
      <c r="U3672" s="9" t="s">
        <v>13284</v>
      </c>
      <c r="V3672" s="9" t="s">
        <v>13284</v>
      </c>
      <c r="W3672" s="12"/>
      <c r="X3672" s="9" t="str">
        <f t="array" ref="X3672">IFERROR(INDEX('Адреса общежитий (скрытый)'!$B$2:$B$9, MATCH(W3672, 'Адреса общежитий (скрытый)'!$A$2:$A$9, 0)), "")</f>
        <v/>
      </c>
      <c r="Y3672" s="18"/>
      <c r="Z3672" s="18"/>
      <c r="AA3672" s="18"/>
      <c r="AB3672" s="18"/>
      <c r="AC3672" s="18"/>
    </row>
    <row r="3673" spans="1:29" ht="32.25" hidden="1" customHeight="1">
      <c r="A3673" s="17"/>
      <c r="B3673" s="9" t="s">
        <v>13284</v>
      </c>
      <c r="C3673" s="9" t="s">
        <v>13284</v>
      </c>
      <c r="D3673" s="9" t="s">
        <v>13284</v>
      </c>
      <c r="E3673" s="9" t="s">
        <v>13284</v>
      </c>
      <c r="F3673" s="9" t="s">
        <v>13284</v>
      </c>
      <c r="G3673" s="9" t="s">
        <v>13284</v>
      </c>
      <c r="H3673" s="9" t="s">
        <v>13284</v>
      </c>
      <c r="I3673" s="9" t="s">
        <v>13284</v>
      </c>
      <c r="J3673" s="9" t="s">
        <v>13284</v>
      </c>
      <c r="K3673" s="9" t="s">
        <v>13284</v>
      </c>
      <c r="L3673" s="9" t="s">
        <v>13284</v>
      </c>
      <c r="M3673" s="9" t="s">
        <v>13284</v>
      </c>
      <c r="N3673" s="9" t="s">
        <v>13284</v>
      </c>
      <c r="O3673" s="9" t="s">
        <v>13284</v>
      </c>
      <c r="P3673" s="9" t="s">
        <v>13284</v>
      </c>
      <c r="Q3673" s="9" t="s">
        <v>13284</v>
      </c>
      <c r="R3673" s="9" t="s">
        <v>13284</v>
      </c>
      <c r="S3673" s="9" t="s">
        <v>13284</v>
      </c>
      <c r="T3673" s="9" t="str">
        <f ca="1">IFERROR(IF(AND(VLOOKUP(A3673, 'Актуальное состояние (из общего'!A:C,3,0) = "", A3673 &lt;&gt; ""), "ПРОВЕРИТЬ", VLOOKUP(A3673, 'Актуальное состояние (из общего'!A:C,3,0)), "")</f>
        <v/>
      </c>
      <c r="U3673" s="9" t="s">
        <v>13284</v>
      </c>
      <c r="V3673" s="9" t="s">
        <v>13284</v>
      </c>
      <c r="W3673" s="12"/>
      <c r="X3673" s="9" t="str">
        <f t="array" ref="X3673">IFERROR(INDEX('Адреса общежитий (скрытый)'!$B$2:$B$9, MATCH(W3673, 'Адреса общежитий (скрытый)'!$A$2:$A$9, 0)), "")</f>
        <v/>
      </c>
      <c r="Y3673" s="18"/>
      <c r="Z3673" s="18"/>
      <c r="AA3673" s="18"/>
      <c r="AB3673" s="18"/>
      <c r="AC3673" s="18"/>
    </row>
    <row r="3674" spans="1:29" ht="32.25" hidden="1" customHeight="1">
      <c r="A3674" s="17"/>
      <c r="B3674" s="9" t="s">
        <v>13284</v>
      </c>
      <c r="C3674" s="9" t="s">
        <v>13284</v>
      </c>
      <c r="D3674" s="9" t="s">
        <v>13284</v>
      </c>
      <c r="E3674" s="9" t="s">
        <v>13284</v>
      </c>
      <c r="F3674" s="9" t="s">
        <v>13284</v>
      </c>
      <c r="G3674" s="9" t="s">
        <v>13284</v>
      </c>
      <c r="H3674" s="9" t="s">
        <v>13284</v>
      </c>
      <c r="I3674" s="9" t="s">
        <v>13284</v>
      </c>
      <c r="J3674" s="9" t="s">
        <v>13284</v>
      </c>
      <c r="K3674" s="9" t="s">
        <v>13284</v>
      </c>
      <c r="L3674" s="9" t="s">
        <v>13284</v>
      </c>
      <c r="M3674" s="9" t="s">
        <v>13284</v>
      </c>
      <c r="N3674" s="9" t="s">
        <v>13284</v>
      </c>
      <c r="O3674" s="9" t="s">
        <v>13284</v>
      </c>
      <c r="P3674" s="9" t="s">
        <v>13284</v>
      </c>
      <c r="Q3674" s="9" t="s">
        <v>13284</v>
      </c>
      <c r="R3674" s="9" t="s">
        <v>13284</v>
      </c>
      <c r="S3674" s="9" t="s">
        <v>13284</v>
      </c>
      <c r="T3674" s="9" t="str">
        <f ca="1">IFERROR(IF(AND(VLOOKUP(A3674, 'Актуальное состояние (из общего'!A:C,3,0) = "", A3674 &lt;&gt; ""), "ПРОВЕРИТЬ", VLOOKUP(A3674, 'Актуальное состояние (из общего'!A:C,3,0)), "")</f>
        <v/>
      </c>
      <c r="U3674" s="9" t="s">
        <v>13284</v>
      </c>
      <c r="V3674" s="9" t="s">
        <v>13284</v>
      </c>
      <c r="W3674" s="12"/>
      <c r="X3674" s="9" t="str">
        <f t="array" ref="X3674">IFERROR(INDEX('Адреса общежитий (скрытый)'!$B$2:$B$9, MATCH(W3674, 'Адреса общежитий (скрытый)'!$A$2:$A$9, 0)), "")</f>
        <v/>
      </c>
      <c r="Y3674" s="18"/>
      <c r="Z3674" s="18"/>
      <c r="AA3674" s="18"/>
      <c r="AB3674" s="18"/>
      <c r="AC3674" s="18"/>
    </row>
    <row r="3675" spans="1:29" ht="32.25" hidden="1" customHeight="1">
      <c r="A3675" s="17"/>
      <c r="B3675" s="9" t="s">
        <v>13284</v>
      </c>
      <c r="C3675" s="9" t="s">
        <v>13284</v>
      </c>
      <c r="D3675" s="9" t="s">
        <v>13284</v>
      </c>
      <c r="E3675" s="9" t="s">
        <v>13284</v>
      </c>
      <c r="F3675" s="9" t="s">
        <v>13284</v>
      </c>
      <c r="G3675" s="9" t="s">
        <v>13284</v>
      </c>
      <c r="H3675" s="9" t="s">
        <v>13284</v>
      </c>
      <c r="I3675" s="9" t="s">
        <v>13284</v>
      </c>
      <c r="J3675" s="9" t="s">
        <v>13284</v>
      </c>
      <c r="K3675" s="9" t="s">
        <v>13284</v>
      </c>
      <c r="L3675" s="9" t="s">
        <v>13284</v>
      </c>
      <c r="M3675" s="9" t="s">
        <v>13284</v>
      </c>
      <c r="N3675" s="9" t="s">
        <v>13284</v>
      </c>
      <c r="O3675" s="9" t="s">
        <v>13284</v>
      </c>
      <c r="P3675" s="9" t="s">
        <v>13284</v>
      </c>
      <c r="Q3675" s="9" t="s">
        <v>13284</v>
      </c>
      <c r="R3675" s="9" t="s">
        <v>13284</v>
      </c>
      <c r="S3675" s="9" t="s">
        <v>13284</v>
      </c>
      <c r="T3675" s="9" t="str">
        <f ca="1">IFERROR(IF(AND(VLOOKUP(A3675, 'Актуальное состояние (из общего'!A:C,3,0) = "", A3675 &lt;&gt; ""), "ПРОВЕРИТЬ", VLOOKUP(A3675, 'Актуальное состояние (из общего'!A:C,3,0)), "")</f>
        <v/>
      </c>
      <c r="U3675" s="9" t="s">
        <v>13284</v>
      </c>
      <c r="V3675" s="9" t="s">
        <v>13284</v>
      </c>
      <c r="W3675" s="12"/>
      <c r="X3675" s="9" t="str">
        <f t="array" ref="X3675">IFERROR(INDEX('Адреса общежитий (скрытый)'!$B$2:$B$9, MATCH(W3675, 'Адреса общежитий (скрытый)'!$A$2:$A$9, 0)), "")</f>
        <v/>
      </c>
      <c r="Y3675" s="18"/>
      <c r="Z3675" s="18"/>
      <c r="AA3675" s="18"/>
      <c r="AB3675" s="18"/>
      <c r="AC3675" s="18"/>
    </row>
    <row r="3676" spans="1:29" ht="32.25" hidden="1" customHeight="1">
      <c r="A3676" s="17"/>
      <c r="B3676" s="9" t="s">
        <v>13284</v>
      </c>
      <c r="C3676" s="9" t="s">
        <v>13284</v>
      </c>
      <c r="D3676" s="9" t="s">
        <v>13284</v>
      </c>
      <c r="E3676" s="9" t="s">
        <v>13284</v>
      </c>
      <c r="F3676" s="9" t="s">
        <v>13284</v>
      </c>
      <c r="G3676" s="9" t="s">
        <v>13284</v>
      </c>
      <c r="H3676" s="9" t="s">
        <v>13284</v>
      </c>
      <c r="I3676" s="9" t="s">
        <v>13284</v>
      </c>
      <c r="J3676" s="9" t="s">
        <v>13284</v>
      </c>
      <c r="K3676" s="9" t="s">
        <v>13284</v>
      </c>
      <c r="L3676" s="9" t="s">
        <v>13284</v>
      </c>
      <c r="M3676" s="9" t="s">
        <v>13284</v>
      </c>
      <c r="N3676" s="9" t="s">
        <v>13284</v>
      </c>
      <c r="O3676" s="9" t="s">
        <v>13284</v>
      </c>
      <c r="P3676" s="9" t="s">
        <v>13284</v>
      </c>
      <c r="Q3676" s="9" t="s">
        <v>13284</v>
      </c>
      <c r="R3676" s="9" t="s">
        <v>13284</v>
      </c>
      <c r="S3676" s="9" t="s">
        <v>13284</v>
      </c>
      <c r="T3676" s="9" t="str">
        <f ca="1">IFERROR(IF(AND(VLOOKUP(A3676, 'Актуальное состояние (из общего'!A:C,3,0) = "", A3676 &lt;&gt; ""), "ПРОВЕРИТЬ", VLOOKUP(A3676, 'Актуальное состояние (из общего'!A:C,3,0)), "")</f>
        <v/>
      </c>
      <c r="U3676" s="9" t="s">
        <v>13284</v>
      </c>
      <c r="V3676" s="9" t="s">
        <v>13284</v>
      </c>
      <c r="W3676" s="12"/>
      <c r="X3676" s="9" t="str">
        <f t="array" ref="X3676">IFERROR(INDEX('Адреса общежитий (скрытый)'!$B$2:$B$9, MATCH(W3676, 'Адреса общежитий (скрытый)'!$A$2:$A$9, 0)), "")</f>
        <v/>
      </c>
      <c r="Y3676" s="18"/>
      <c r="Z3676" s="18"/>
      <c r="AA3676" s="18"/>
      <c r="AB3676" s="18"/>
      <c r="AC3676" s="18"/>
    </row>
    <row r="3677" spans="1:29" ht="32.25" hidden="1" customHeight="1">
      <c r="A3677" s="17"/>
      <c r="B3677" s="9" t="s">
        <v>13284</v>
      </c>
      <c r="C3677" s="9" t="s">
        <v>13284</v>
      </c>
      <c r="D3677" s="9" t="s">
        <v>13284</v>
      </c>
      <c r="E3677" s="9" t="s">
        <v>13284</v>
      </c>
      <c r="F3677" s="9" t="s">
        <v>13284</v>
      </c>
      <c r="G3677" s="9" t="s">
        <v>13284</v>
      </c>
      <c r="H3677" s="9" t="s">
        <v>13284</v>
      </c>
      <c r="I3677" s="9" t="s">
        <v>13284</v>
      </c>
      <c r="J3677" s="9" t="s">
        <v>13284</v>
      </c>
      <c r="K3677" s="9" t="s">
        <v>13284</v>
      </c>
      <c r="L3677" s="9" t="s">
        <v>13284</v>
      </c>
      <c r="M3677" s="9" t="s">
        <v>13284</v>
      </c>
      <c r="N3677" s="9" t="s">
        <v>13284</v>
      </c>
      <c r="O3677" s="9" t="s">
        <v>13284</v>
      </c>
      <c r="P3677" s="9" t="s">
        <v>13284</v>
      </c>
      <c r="Q3677" s="9" t="s">
        <v>13284</v>
      </c>
      <c r="R3677" s="9" t="s">
        <v>13284</v>
      </c>
      <c r="S3677" s="9" t="s">
        <v>13284</v>
      </c>
      <c r="T3677" s="9" t="str">
        <f ca="1">IFERROR(IF(AND(VLOOKUP(A3677, 'Актуальное состояние (из общего'!A:C,3,0) = "", A3677 &lt;&gt; ""), "ПРОВЕРИТЬ", VLOOKUP(A3677, 'Актуальное состояние (из общего'!A:C,3,0)), "")</f>
        <v/>
      </c>
      <c r="U3677" s="9" t="s">
        <v>13284</v>
      </c>
      <c r="V3677" s="9" t="s">
        <v>13284</v>
      </c>
      <c r="W3677" s="12"/>
      <c r="X3677" s="9" t="str">
        <f t="array" ref="X3677">IFERROR(INDEX('Адреса общежитий (скрытый)'!$B$2:$B$9, MATCH(W3677, 'Адреса общежитий (скрытый)'!$A$2:$A$9, 0)), "")</f>
        <v/>
      </c>
      <c r="Y3677" s="18"/>
      <c r="Z3677" s="18"/>
      <c r="AA3677" s="18"/>
      <c r="AB3677" s="18"/>
      <c r="AC3677" s="18"/>
    </row>
    <row r="3678" spans="1:29" ht="32.25" hidden="1" customHeight="1">
      <c r="A3678" s="17"/>
      <c r="B3678" s="9" t="s">
        <v>13284</v>
      </c>
      <c r="C3678" s="9" t="s">
        <v>13284</v>
      </c>
      <c r="D3678" s="9" t="s">
        <v>13284</v>
      </c>
      <c r="E3678" s="9" t="s">
        <v>13284</v>
      </c>
      <c r="F3678" s="9" t="s">
        <v>13284</v>
      </c>
      <c r="G3678" s="9" t="s">
        <v>13284</v>
      </c>
      <c r="H3678" s="9" t="s">
        <v>13284</v>
      </c>
      <c r="I3678" s="9" t="s">
        <v>13284</v>
      </c>
      <c r="J3678" s="9" t="s">
        <v>13284</v>
      </c>
      <c r="K3678" s="9" t="s">
        <v>13284</v>
      </c>
      <c r="L3678" s="9" t="s">
        <v>13284</v>
      </c>
      <c r="M3678" s="9" t="s">
        <v>13284</v>
      </c>
      <c r="N3678" s="9" t="s">
        <v>13284</v>
      </c>
      <c r="O3678" s="9" t="s">
        <v>13284</v>
      </c>
      <c r="P3678" s="9" t="s">
        <v>13284</v>
      </c>
      <c r="Q3678" s="9" t="s">
        <v>13284</v>
      </c>
      <c r="R3678" s="9" t="s">
        <v>13284</v>
      </c>
      <c r="S3678" s="9" t="s">
        <v>13284</v>
      </c>
      <c r="T3678" s="9" t="str">
        <f ca="1">IFERROR(IF(AND(VLOOKUP(A3678, 'Актуальное состояние (из общего'!A:C,3,0) = "", A3678 &lt;&gt; ""), "ПРОВЕРИТЬ", VLOOKUP(A3678, 'Актуальное состояние (из общего'!A:C,3,0)), "")</f>
        <v/>
      </c>
      <c r="U3678" s="9" t="s">
        <v>13284</v>
      </c>
      <c r="V3678" s="9" t="s">
        <v>13284</v>
      </c>
      <c r="W3678" s="12"/>
      <c r="X3678" s="9" t="str">
        <f t="array" ref="X3678">IFERROR(INDEX('Адреса общежитий (скрытый)'!$B$2:$B$9, MATCH(W3678, 'Адреса общежитий (скрытый)'!$A$2:$A$9, 0)), "")</f>
        <v/>
      </c>
      <c r="Y3678" s="18"/>
      <c r="Z3678" s="18"/>
      <c r="AA3678" s="18"/>
      <c r="AB3678" s="18"/>
      <c r="AC3678" s="18"/>
    </row>
    <row r="3679" spans="1:29" ht="32.25" hidden="1" customHeight="1">
      <c r="A3679" s="17"/>
      <c r="B3679" s="9" t="s">
        <v>13284</v>
      </c>
      <c r="C3679" s="9" t="s">
        <v>13284</v>
      </c>
      <c r="D3679" s="9" t="s">
        <v>13284</v>
      </c>
      <c r="E3679" s="9" t="s">
        <v>13284</v>
      </c>
      <c r="F3679" s="9" t="s">
        <v>13284</v>
      </c>
      <c r="G3679" s="9" t="s">
        <v>13284</v>
      </c>
      <c r="H3679" s="9" t="s">
        <v>13284</v>
      </c>
      <c r="I3679" s="9" t="s">
        <v>13284</v>
      </c>
      <c r="J3679" s="9" t="s">
        <v>13284</v>
      </c>
      <c r="K3679" s="9" t="s">
        <v>13284</v>
      </c>
      <c r="L3679" s="9" t="s">
        <v>13284</v>
      </c>
      <c r="M3679" s="9" t="s">
        <v>13284</v>
      </c>
      <c r="N3679" s="9" t="s">
        <v>13284</v>
      </c>
      <c r="O3679" s="9" t="s">
        <v>13284</v>
      </c>
      <c r="P3679" s="9" t="s">
        <v>13284</v>
      </c>
      <c r="Q3679" s="9" t="s">
        <v>13284</v>
      </c>
      <c r="R3679" s="9" t="s">
        <v>13284</v>
      </c>
      <c r="S3679" s="9" t="s">
        <v>13284</v>
      </c>
      <c r="T3679" s="9" t="str">
        <f ca="1">IFERROR(IF(AND(VLOOKUP(A3679, 'Актуальное состояние (из общего'!A:C,3,0) = "", A3679 &lt;&gt; ""), "ПРОВЕРИТЬ", VLOOKUP(A3679, 'Актуальное состояние (из общего'!A:C,3,0)), "")</f>
        <v/>
      </c>
      <c r="U3679" s="9" t="s">
        <v>13284</v>
      </c>
      <c r="V3679" s="9" t="s">
        <v>13284</v>
      </c>
      <c r="W3679" s="12"/>
      <c r="X3679" s="9" t="str">
        <f t="array" ref="X3679">IFERROR(INDEX('Адреса общежитий (скрытый)'!$B$2:$B$9, MATCH(W3679, 'Адреса общежитий (скрытый)'!$A$2:$A$9, 0)), "")</f>
        <v/>
      </c>
      <c r="Y3679" s="18"/>
      <c r="Z3679" s="18"/>
      <c r="AA3679" s="18"/>
      <c r="AB3679" s="18"/>
      <c r="AC3679" s="18"/>
    </row>
    <row r="3680" spans="1:29" ht="32.25" hidden="1" customHeight="1">
      <c r="A3680" s="17"/>
      <c r="B3680" s="9" t="s">
        <v>13284</v>
      </c>
      <c r="C3680" s="9" t="s">
        <v>13284</v>
      </c>
      <c r="D3680" s="9" t="s">
        <v>13284</v>
      </c>
      <c r="E3680" s="9" t="s">
        <v>13284</v>
      </c>
      <c r="F3680" s="9" t="s">
        <v>13284</v>
      </c>
      <c r="G3680" s="9" t="s">
        <v>13284</v>
      </c>
      <c r="H3680" s="9" t="s">
        <v>13284</v>
      </c>
      <c r="I3680" s="9" t="s">
        <v>13284</v>
      </c>
      <c r="J3680" s="9" t="s">
        <v>13284</v>
      </c>
      <c r="K3680" s="9" t="s">
        <v>13284</v>
      </c>
      <c r="L3680" s="9" t="s">
        <v>13284</v>
      </c>
      <c r="M3680" s="9" t="s">
        <v>13284</v>
      </c>
      <c r="N3680" s="9" t="s">
        <v>13284</v>
      </c>
      <c r="O3680" s="9" t="s">
        <v>13284</v>
      </c>
      <c r="P3680" s="9" t="s">
        <v>13284</v>
      </c>
      <c r="Q3680" s="9" t="s">
        <v>13284</v>
      </c>
      <c r="R3680" s="9" t="s">
        <v>13284</v>
      </c>
      <c r="S3680" s="9" t="s">
        <v>13284</v>
      </c>
      <c r="T3680" s="9" t="str">
        <f ca="1">IFERROR(IF(AND(VLOOKUP(A3680, 'Актуальное состояние (из общего'!A:C,3,0) = "", A3680 &lt;&gt; ""), "ПРОВЕРИТЬ", VLOOKUP(A3680, 'Актуальное состояние (из общего'!A:C,3,0)), "")</f>
        <v/>
      </c>
      <c r="U3680" s="9" t="s">
        <v>13284</v>
      </c>
      <c r="V3680" s="9" t="s">
        <v>13284</v>
      </c>
      <c r="W3680" s="12"/>
      <c r="X3680" s="9" t="str">
        <f t="array" ref="X3680">IFERROR(INDEX('Адреса общежитий (скрытый)'!$B$2:$B$9, MATCH(W3680, 'Адреса общежитий (скрытый)'!$A$2:$A$9, 0)), "")</f>
        <v/>
      </c>
      <c r="Y3680" s="18"/>
      <c r="Z3680" s="18"/>
      <c r="AA3680" s="18"/>
      <c r="AB3680" s="18"/>
      <c r="AC3680" s="18"/>
    </row>
    <row r="3681" spans="1:29" ht="32.25" hidden="1" customHeight="1">
      <c r="A3681" s="17"/>
      <c r="B3681" s="9" t="s">
        <v>13284</v>
      </c>
      <c r="C3681" s="9" t="s">
        <v>13284</v>
      </c>
      <c r="D3681" s="9" t="s">
        <v>13284</v>
      </c>
      <c r="E3681" s="9" t="s">
        <v>13284</v>
      </c>
      <c r="F3681" s="9" t="s">
        <v>13284</v>
      </c>
      <c r="G3681" s="9" t="s">
        <v>13284</v>
      </c>
      <c r="H3681" s="9" t="s">
        <v>13284</v>
      </c>
      <c r="I3681" s="9" t="s">
        <v>13284</v>
      </c>
      <c r="J3681" s="9" t="s">
        <v>13284</v>
      </c>
      <c r="K3681" s="9" t="s">
        <v>13284</v>
      </c>
      <c r="L3681" s="9" t="s">
        <v>13284</v>
      </c>
      <c r="M3681" s="9" t="s">
        <v>13284</v>
      </c>
      <c r="N3681" s="9" t="s">
        <v>13284</v>
      </c>
      <c r="O3681" s="9" t="s">
        <v>13284</v>
      </c>
      <c r="P3681" s="9" t="s">
        <v>13284</v>
      </c>
      <c r="Q3681" s="9" t="s">
        <v>13284</v>
      </c>
      <c r="R3681" s="9" t="s">
        <v>13284</v>
      </c>
      <c r="S3681" s="9" t="s">
        <v>13284</v>
      </c>
      <c r="T3681" s="9" t="str">
        <f ca="1">IFERROR(IF(AND(VLOOKUP(A3681, 'Актуальное состояние (из общего'!A:C,3,0) = "", A3681 &lt;&gt; ""), "ПРОВЕРИТЬ", VLOOKUP(A3681, 'Актуальное состояние (из общего'!A:C,3,0)), "")</f>
        <v/>
      </c>
      <c r="U3681" s="9" t="s">
        <v>13284</v>
      </c>
      <c r="V3681" s="9" t="s">
        <v>13284</v>
      </c>
      <c r="W3681" s="12"/>
      <c r="X3681" s="9" t="str">
        <f t="array" ref="X3681">IFERROR(INDEX('Адреса общежитий (скрытый)'!$B$2:$B$9, MATCH(W3681, 'Адреса общежитий (скрытый)'!$A$2:$A$9, 0)), "")</f>
        <v/>
      </c>
      <c r="Y3681" s="18"/>
      <c r="Z3681" s="18"/>
      <c r="AA3681" s="18"/>
      <c r="AB3681" s="18"/>
      <c r="AC3681" s="18"/>
    </row>
    <row r="3682" spans="1:29" ht="32.25" hidden="1" customHeight="1">
      <c r="A3682" s="17"/>
      <c r="B3682" s="9" t="s">
        <v>13284</v>
      </c>
      <c r="C3682" s="9" t="s">
        <v>13284</v>
      </c>
      <c r="D3682" s="9" t="s">
        <v>13284</v>
      </c>
      <c r="E3682" s="9" t="s">
        <v>13284</v>
      </c>
      <c r="F3682" s="9" t="s">
        <v>13284</v>
      </c>
      <c r="G3682" s="9" t="s">
        <v>13284</v>
      </c>
      <c r="H3682" s="9" t="s">
        <v>13284</v>
      </c>
      <c r="I3682" s="9" t="s">
        <v>13284</v>
      </c>
      <c r="J3682" s="9" t="s">
        <v>13284</v>
      </c>
      <c r="K3682" s="9" t="s">
        <v>13284</v>
      </c>
      <c r="L3682" s="9" t="s">
        <v>13284</v>
      </c>
      <c r="M3682" s="9" t="s">
        <v>13284</v>
      </c>
      <c r="N3682" s="9" t="s">
        <v>13284</v>
      </c>
      <c r="O3682" s="9" t="s">
        <v>13284</v>
      </c>
      <c r="P3682" s="9" t="s">
        <v>13284</v>
      </c>
      <c r="Q3682" s="9" t="s">
        <v>13284</v>
      </c>
      <c r="R3682" s="9" t="s">
        <v>13284</v>
      </c>
      <c r="S3682" s="9" t="s">
        <v>13284</v>
      </c>
      <c r="T3682" s="9" t="str">
        <f ca="1">IFERROR(IF(AND(VLOOKUP(A3682, 'Актуальное состояние (из общего'!A:C,3,0) = "", A3682 &lt;&gt; ""), "ПРОВЕРИТЬ", VLOOKUP(A3682, 'Актуальное состояние (из общего'!A:C,3,0)), "")</f>
        <v/>
      </c>
      <c r="U3682" s="9" t="s">
        <v>13284</v>
      </c>
      <c r="V3682" s="9" t="s">
        <v>13284</v>
      </c>
      <c r="W3682" s="12"/>
      <c r="X3682" s="9" t="str">
        <f t="array" ref="X3682">IFERROR(INDEX('Адреса общежитий (скрытый)'!$B$2:$B$9, MATCH(W3682, 'Адреса общежитий (скрытый)'!$A$2:$A$9, 0)), "")</f>
        <v/>
      </c>
      <c r="Y3682" s="18"/>
      <c r="Z3682" s="18"/>
      <c r="AA3682" s="18"/>
      <c r="AB3682" s="18"/>
      <c r="AC3682" s="18"/>
    </row>
    <row r="3683" spans="1:29" ht="32.25" hidden="1" customHeight="1">
      <c r="A3683" s="17"/>
      <c r="B3683" s="9" t="s">
        <v>13284</v>
      </c>
      <c r="C3683" s="9" t="s">
        <v>13284</v>
      </c>
      <c r="D3683" s="9" t="s">
        <v>13284</v>
      </c>
      <c r="E3683" s="9" t="s">
        <v>13284</v>
      </c>
      <c r="F3683" s="9" t="s">
        <v>13284</v>
      </c>
      <c r="G3683" s="9" t="s">
        <v>13284</v>
      </c>
      <c r="H3683" s="9" t="s">
        <v>13284</v>
      </c>
      <c r="I3683" s="9" t="s">
        <v>13284</v>
      </c>
      <c r="J3683" s="9" t="s">
        <v>13284</v>
      </c>
      <c r="K3683" s="9" t="s">
        <v>13284</v>
      </c>
      <c r="L3683" s="9" t="s">
        <v>13284</v>
      </c>
      <c r="M3683" s="9" t="s">
        <v>13284</v>
      </c>
      <c r="N3683" s="9" t="s">
        <v>13284</v>
      </c>
      <c r="O3683" s="9" t="s">
        <v>13284</v>
      </c>
      <c r="P3683" s="9" t="s">
        <v>13284</v>
      </c>
      <c r="Q3683" s="9" t="s">
        <v>13284</v>
      </c>
      <c r="R3683" s="9" t="s">
        <v>13284</v>
      </c>
      <c r="S3683" s="9" t="s">
        <v>13284</v>
      </c>
      <c r="T3683" s="9" t="str">
        <f ca="1">IFERROR(IF(AND(VLOOKUP(A3683, 'Актуальное состояние (из общего'!A:C,3,0) = "", A3683 &lt;&gt; ""), "ПРОВЕРИТЬ", VLOOKUP(A3683, 'Актуальное состояние (из общего'!A:C,3,0)), "")</f>
        <v/>
      </c>
      <c r="U3683" s="9" t="s">
        <v>13284</v>
      </c>
      <c r="V3683" s="9" t="s">
        <v>13284</v>
      </c>
      <c r="W3683" s="12"/>
      <c r="X3683" s="9" t="str">
        <f t="array" ref="X3683">IFERROR(INDEX('Адреса общежитий (скрытый)'!$B$2:$B$9, MATCH(W3683, 'Адреса общежитий (скрытый)'!$A$2:$A$9, 0)), "")</f>
        <v/>
      </c>
      <c r="Y3683" s="18"/>
      <c r="Z3683" s="18"/>
      <c r="AA3683" s="18"/>
      <c r="AB3683" s="18"/>
      <c r="AC3683" s="18"/>
    </row>
    <row r="3684" spans="1:29" ht="32.25" hidden="1" customHeight="1">
      <c r="A3684" s="17"/>
      <c r="B3684" s="9" t="s">
        <v>13284</v>
      </c>
      <c r="C3684" s="9" t="s">
        <v>13284</v>
      </c>
      <c r="D3684" s="9" t="s">
        <v>13284</v>
      </c>
      <c r="E3684" s="9" t="s">
        <v>13284</v>
      </c>
      <c r="F3684" s="9" t="s">
        <v>13284</v>
      </c>
      <c r="G3684" s="9" t="s">
        <v>13284</v>
      </c>
      <c r="H3684" s="9" t="s">
        <v>13284</v>
      </c>
      <c r="I3684" s="9" t="s">
        <v>13284</v>
      </c>
      <c r="J3684" s="9" t="s">
        <v>13284</v>
      </c>
      <c r="K3684" s="9" t="s">
        <v>13284</v>
      </c>
      <c r="L3684" s="9" t="s">
        <v>13284</v>
      </c>
      <c r="M3684" s="9" t="s">
        <v>13284</v>
      </c>
      <c r="N3684" s="9" t="s">
        <v>13284</v>
      </c>
      <c r="O3684" s="9" t="s">
        <v>13284</v>
      </c>
      <c r="P3684" s="9" t="s">
        <v>13284</v>
      </c>
      <c r="Q3684" s="9" t="s">
        <v>13284</v>
      </c>
      <c r="R3684" s="9" t="s">
        <v>13284</v>
      </c>
      <c r="S3684" s="9" t="s">
        <v>13284</v>
      </c>
      <c r="T3684" s="9" t="str">
        <f ca="1">IFERROR(IF(AND(VLOOKUP(A3684, 'Актуальное состояние (из общего'!A:C,3,0) = "", A3684 &lt;&gt; ""), "ПРОВЕРИТЬ", VLOOKUP(A3684, 'Актуальное состояние (из общего'!A:C,3,0)), "")</f>
        <v/>
      </c>
      <c r="U3684" s="9" t="s">
        <v>13284</v>
      </c>
      <c r="V3684" s="9" t="s">
        <v>13284</v>
      </c>
      <c r="W3684" s="12"/>
      <c r="X3684" s="9" t="str">
        <f t="array" ref="X3684">IFERROR(INDEX('Адреса общежитий (скрытый)'!$B$2:$B$9, MATCH(W3684, 'Адреса общежитий (скрытый)'!$A$2:$A$9, 0)), "")</f>
        <v/>
      </c>
      <c r="Y3684" s="18"/>
      <c r="Z3684" s="18"/>
      <c r="AA3684" s="18"/>
      <c r="AB3684" s="18"/>
      <c r="AC3684" s="18"/>
    </row>
    <row r="3685" spans="1:29" ht="32.25" hidden="1" customHeight="1">
      <c r="A3685" s="17"/>
      <c r="B3685" s="9" t="s">
        <v>13284</v>
      </c>
      <c r="C3685" s="9" t="s">
        <v>13284</v>
      </c>
      <c r="D3685" s="9" t="s">
        <v>13284</v>
      </c>
      <c r="E3685" s="9" t="s">
        <v>13284</v>
      </c>
      <c r="F3685" s="9" t="s">
        <v>13284</v>
      </c>
      <c r="G3685" s="9" t="s">
        <v>13284</v>
      </c>
      <c r="H3685" s="9" t="s">
        <v>13284</v>
      </c>
      <c r="I3685" s="9" t="s">
        <v>13284</v>
      </c>
      <c r="J3685" s="9" t="s">
        <v>13284</v>
      </c>
      <c r="K3685" s="9" t="s">
        <v>13284</v>
      </c>
      <c r="L3685" s="9" t="s">
        <v>13284</v>
      </c>
      <c r="M3685" s="9" t="s">
        <v>13284</v>
      </c>
      <c r="N3685" s="9" t="s">
        <v>13284</v>
      </c>
      <c r="O3685" s="9" t="s">
        <v>13284</v>
      </c>
      <c r="P3685" s="9" t="s">
        <v>13284</v>
      </c>
      <c r="Q3685" s="9" t="s">
        <v>13284</v>
      </c>
      <c r="R3685" s="9" t="s">
        <v>13284</v>
      </c>
      <c r="S3685" s="9" t="s">
        <v>13284</v>
      </c>
      <c r="T3685" s="9" t="str">
        <f ca="1">IFERROR(IF(AND(VLOOKUP(A3685, 'Актуальное состояние (из общего'!A:C,3,0) = "", A3685 &lt;&gt; ""), "ПРОВЕРИТЬ", VLOOKUP(A3685, 'Актуальное состояние (из общего'!A:C,3,0)), "")</f>
        <v/>
      </c>
      <c r="U3685" s="9" t="s">
        <v>13284</v>
      </c>
      <c r="V3685" s="9" t="s">
        <v>13284</v>
      </c>
      <c r="W3685" s="12"/>
      <c r="X3685" s="9" t="str">
        <f t="array" ref="X3685">IFERROR(INDEX('Адреса общежитий (скрытый)'!$B$2:$B$9, MATCH(W3685, 'Адреса общежитий (скрытый)'!$A$2:$A$9, 0)), "")</f>
        <v/>
      </c>
      <c r="Y3685" s="18"/>
      <c r="Z3685" s="18"/>
      <c r="AA3685" s="18"/>
      <c r="AB3685" s="18"/>
      <c r="AC3685" s="18"/>
    </row>
    <row r="3686" spans="1:29" ht="32.25" hidden="1" customHeight="1">
      <c r="A3686" s="17"/>
      <c r="B3686" s="9" t="s">
        <v>13284</v>
      </c>
      <c r="C3686" s="9" t="s">
        <v>13284</v>
      </c>
      <c r="D3686" s="9" t="s">
        <v>13284</v>
      </c>
      <c r="E3686" s="9" t="s">
        <v>13284</v>
      </c>
      <c r="F3686" s="9" t="s">
        <v>13284</v>
      </c>
      <c r="G3686" s="9" t="s">
        <v>13284</v>
      </c>
      <c r="H3686" s="9" t="s">
        <v>13284</v>
      </c>
      <c r="I3686" s="9" t="s">
        <v>13284</v>
      </c>
      <c r="J3686" s="9" t="s">
        <v>13284</v>
      </c>
      <c r="K3686" s="9" t="s">
        <v>13284</v>
      </c>
      <c r="L3686" s="9" t="s">
        <v>13284</v>
      </c>
      <c r="M3686" s="9" t="s">
        <v>13284</v>
      </c>
      <c r="N3686" s="9" t="s">
        <v>13284</v>
      </c>
      <c r="O3686" s="9" t="s">
        <v>13284</v>
      </c>
      <c r="P3686" s="9" t="s">
        <v>13284</v>
      </c>
      <c r="Q3686" s="9" t="s">
        <v>13284</v>
      </c>
      <c r="R3686" s="9" t="s">
        <v>13284</v>
      </c>
      <c r="S3686" s="9" t="s">
        <v>13284</v>
      </c>
      <c r="T3686" s="9" t="str">
        <f ca="1">IFERROR(IF(AND(VLOOKUP(A3686, 'Актуальное состояние (из общего'!A:C,3,0) = "", A3686 &lt;&gt; ""), "ПРОВЕРИТЬ", VLOOKUP(A3686, 'Актуальное состояние (из общего'!A:C,3,0)), "")</f>
        <v/>
      </c>
      <c r="U3686" s="9" t="s">
        <v>13284</v>
      </c>
      <c r="V3686" s="9" t="s">
        <v>13284</v>
      </c>
      <c r="W3686" s="12"/>
      <c r="X3686" s="9" t="str">
        <f t="array" ref="X3686">IFERROR(INDEX('Адреса общежитий (скрытый)'!$B$2:$B$9, MATCH(W3686, 'Адреса общежитий (скрытый)'!$A$2:$A$9, 0)), "")</f>
        <v/>
      </c>
      <c r="Y3686" s="18"/>
      <c r="Z3686" s="18"/>
      <c r="AA3686" s="18"/>
      <c r="AB3686" s="18"/>
      <c r="AC3686" s="18"/>
    </row>
    <row r="3687" spans="1:29" ht="32.25" hidden="1" customHeight="1">
      <c r="A3687" s="17"/>
      <c r="B3687" s="9" t="s">
        <v>13284</v>
      </c>
      <c r="C3687" s="9" t="s">
        <v>13284</v>
      </c>
      <c r="D3687" s="9" t="s">
        <v>13284</v>
      </c>
      <c r="E3687" s="9" t="s">
        <v>13284</v>
      </c>
      <c r="F3687" s="9" t="s">
        <v>13284</v>
      </c>
      <c r="G3687" s="9" t="s">
        <v>13284</v>
      </c>
      <c r="H3687" s="9" t="s">
        <v>13284</v>
      </c>
      <c r="I3687" s="9" t="s">
        <v>13284</v>
      </c>
      <c r="J3687" s="9" t="s">
        <v>13284</v>
      </c>
      <c r="K3687" s="9" t="s">
        <v>13284</v>
      </c>
      <c r="L3687" s="9" t="s">
        <v>13284</v>
      </c>
      <c r="M3687" s="9" t="s">
        <v>13284</v>
      </c>
      <c r="N3687" s="9" t="s">
        <v>13284</v>
      </c>
      <c r="O3687" s="9" t="s">
        <v>13284</v>
      </c>
      <c r="P3687" s="9" t="s">
        <v>13284</v>
      </c>
      <c r="Q3687" s="9" t="s">
        <v>13284</v>
      </c>
      <c r="R3687" s="9" t="s">
        <v>13284</v>
      </c>
      <c r="S3687" s="9" t="s">
        <v>13284</v>
      </c>
      <c r="T3687" s="9" t="str">
        <f ca="1">IFERROR(IF(AND(VLOOKUP(A3687, 'Актуальное состояние (из общего'!A:C,3,0) = "", A3687 &lt;&gt; ""), "ПРОВЕРИТЬ", VLOOKUP(A3687, 'Актуальное состояние (из общего'!A:C,3,0)), "")</f>
        <v/>
      </c>
      <c r="U3687" s="9" t="s">
        <v>13284</v>
      </c>
      <c r="V3687" s="9" t="s">
        <v>13284</v>
      </c>
      <c r="W3687" s="12"/>
      <c r="X3687" s="9" t="str">
        <f t="array" ref="X3687">IFERROR(INDEX('Адреса общежитий (скрытый)'!$B$2:$B$9, MATCH(W3687, 'Адреса общежитий (скрытый)'!$A$2:$A$9, 0)), "")</f>
        <v/>
      </c>
      <c r="Y3687" s="18"/>
      <c r="Z3687" s="18"/>
      <c r="AA3687" s="18"/>
      <c r="AB3687" s="18"/>
      <c r="AC3687" s="18"/>
    </row>
    <row r="3688" spans="1:29" ht="32.25" hidden="1" customHeight="1">
      <c r="A3688" s="17"/>
      <c r="B3688" s="9" t="s">
        <v>13284</v>
      </c>
      <c r="C3688" s="9" t="s">
        <v>13284</v>
      </c>
      <c r="D3688" s="9" t="s">
        <v>13284</v>
      </c>
      <c r="E3688" s="9" t="s">
        <v>13284</v>
      </c>
      <c r="F3688" s="9" t="s">
        <v>13284</v>
      </c>
      <c r="G3688" s="9" t="s">
        <v>13284</v>
      </c>
      <c r="H3688" s="9" t="s">
        <v>13284</v>
      </c>
      <c r="I3688" s="9" t="s">
        <v>13284</v>
      </c>
      <c r="J3688" s="9" t="s">
        <v>13284</v>
      </c>
      <c r="K3688" s="9" t="s">
        <v>13284</v>
      </c>
      <c r="L3688" s="9" t="s">
        <v>13284</v>
      </c>
      <c r="M3688" s="9" t="s">
        <v>13284</v>
      </c>
      <c r="N3688" s="9" t="s">
        <v>13284</v>
      </c>
      <c r="O3688" s="9" t="s">
        <v>13284</v>
      </c>
      <c r="P3688" s="9" t="s">
        <v>13284</v>
      </c>
      <c r="Q3688" s="9" t="s">
        <v>13284</v>
      </c>
      <c r="R3688" s="9" t="s">
        <v>13284</v>
      </c>
      <c r="S3688" s="9" t="s">
        <v>13284</v>
      </c>
      <c r="T3688" s="9" t="str">
        <f ca="1">IFERROR(IF(AND(VLOOKUP(A3688, 'Актуальное состояние (из общего'!A:C,3,0) = "", A3688 &lt;&gt; ""), "ПРОВЕРИТЬ", VLOOKUP(A3688, 'Актуальное состояние (из общего'!A:C,3,0)), "")</f>
        <v/>
      </c>
      <c r="U3688" s="9" t="s">
        <v>13284</v>
      </c>
      <c r="V3688" s="9" t="s">
        <v>13284</v>
      </c>
      <c r="W3688" s="12"/>
      <c r="X3688" s="9" t="str">
        <f t="array" ref="X3688">IFERROR(INDEX('Адреса общежитий (скрытый)'!$B$2:$B$9, MATCH(W3688, 'Адреса общежитий (скрытый)'!$A$2:$A$9, 0)), "")</f>
        <v/>
      </c>
      <c r="Y3688" s="18"/>
      <c r="Z3688" s="18"/>
      <c r="AA3688" s="18"/>
      <c r="AB3688" s="18"/>
      <c r="AC3688" s="18"/>
    </row>
    <row r="3689" spans="1:29" ht="32.25" hidden="1" customHeight="1">
      <c r="A3689" s="17"/>
      <c r="B3689" s="9" t="s">
        <v>13284</v>
      </c>
      <c r="C3689" s="9" t="s">
        <v>13284</v>
      </c>
      <c r="D3689" s="9" t="s">
        <v>13284</v>
      </c>
      <c r="E3689" s="9" t="s">
        <v>13284</v>
      </c>
      <c r="F3689" s="9" t="s">
        <v>13284</v>
      </c>
      <c r="G3689" s="9" t="s">
        <v>13284</v>
      </c>
      <c r="H3689" s="9" t="s">
        <v>13284</v>
      </c>
      <c r="I3689" s="9" t="s">
        <v>13284</v>
      </c>
      <c r="J3689" s="9" t="s">
        <v>13284</v>
      </c>
      <c r="K3689" s="9" t="s">
        <v>13284</v>
      </c>
      <c r="L3689" s="9" t="s">
        <v>13284</v>
      </c>
      <c r="M3689" s="9" t="s">
        <v>13284</v>
      </c>
      <c r="N3689" s="9" t="s">
        <v>13284</v>
      </c>
      <c r="O3689" s="9" t="s">
        <v>13284</v>
      </c>
      <c r="P3689" s="9" t="s">
        <v>13284</v>
      </c>
      <c r="Q3689" s="9" t="s">
        <v>13284</v>
      </c>
      <c r="R3689" s="9" t="s">
        <v>13284</v>
      </c>
      <c r="S3689" s="9" t="s">
        <v>13284</v>
      </c>
      <c r="T3689" s="9" t="str">
        <f ca="1">IFERROR(IF(AND(VLOOKUP(A3689, 'Актуальное состояние (из общего'!A:C,3,0) = "", A3689 &lt;&gt; ""), "ПРОВЕРИТЬ", VLOOKUP(A3689, 'Актуальное состояние (из общего'!A:C,3,0)), "")</f>
        <v/>
      </c>
      <c r="U3689" s="9" t="s">
        <v>13284</v>
      </c>
      <c r="V3689" s="9" t="s">
        <v>13284</v>
      </c>
      <c r="W3689" s="12"/>
      <c r="X3689" s="9" t="str">
        <f t="array" ref="X3689">IFERROR(INDEX('Адреса общежитий (скрытый)'!$B$2:$B$9, MATCH(W3689, 'Адреса общежитий (скрытый)'!$A$2:$A$9, 0)), "")</f>
        <v/>
      </c>
      <c r="Y3689" s="18"/>
      <c r="Z3689" s="18"/>
      <c r="AA3689" s="18"/>
      <c r="AB3689" s="18"/>
      <c r="AC3689" s="18"/>
    </row>
    <row r="3690" spans="1:29" ht="32.25" hidden="1" customHeight="1">
      <c r="A3690" s="17"/>
      <c r="B3690" s="9" t="s">
        <v>13284</v>
      </c>
      <c r="C3690" s="9" t="s">
        <v>13284</v>
      </c>
      <c r="D3690" s="9" t="s">
        <v>13284</v>
      </c>
      <c r="E3690" s="9" t="s">
        <v>13284</v>
      </c>
      <c r="F3690" s="9" t="s">
        <v>13284</v>
      </c>
      <c r="G3690" s="9" t="s">
        <v>13284</v>
      </c>
      <c r="H3690" s="9" t="s">
        <v>13284</v>
      </c>
      <c r="I3690" s="9" t="s">
        <v>13284</v>
      </c>
      <c r="J3690" s="9" t="s">
        <v>13284</v>
      </c>
      <c r="K3690" s="9" t="s">
        <v>13284</v>
      </c>
      <c r="L3690" s="9" t="s">
        <v>13284</v>
      </c>
      <c r="M3690" s="9" t="s">
        <v>13284</v>
      </c>
      <c r="N3690" s="9" t="s">
        <v>13284</v>
      </c>
      <c r="O3690" s="9" t="s">
        <v>13284</v>
      </c>
      <c r="P3690" s="9" t="s">
        <v>13284</v>
      </c>
      <c r="Q3690" s="9" t="s">
        <v>13284</v>
      </c>
      <c r="R3690" s="9" t="s">
        <v>13284</v>
      </c>
      <c r="S3690" s="9" t="s">
        <v>13284</v>
      </c>
      <c r="T3690" s="9" t="str">
        <f ca="1">IFERROR(IF(AND(VLOOKUP(A3690, 'Актуальное состояние (из общего'!A:C,3,0) = "", A3690 &lt;&gt; ""), "ПРОВЕРИТЬ", VLOOKUP(A3690, 'Актуальное состояние (из общего'!A:C,3,0)), "")</f>
        <v/>
      </c>
      <c r="U3690" s="9" t="s">
        <v>13284</v>
      </c>
      <c r="V3690" s="9" t="s">
        <v>13284</v>
      </c>
      <c r="W3690" s="12"/>
      <c r="X3690" s="9" t="str">
        <f t="array" ref="X3690">IFERROR(INDEX('Адреса общежитий (скрытый)'!$B$2:$B$9, MATCH(W3690, 'Адреса общежитий (скрытый)'!$A$2:$A$9, 0)), "")</f>
        <v/>
      </c>
      <c r="Y3690" s="18"/>
      <c r="Z3690" s="18"/>
      <c r="AA3690" s="18"/>
      <c r="AB3690" s="18"/>
      <c r="AC3690" s="18"/>
    </row>
    <row r="3691" spans="1:29" ht="32.25" hidden="1" customHeight="1">
      <c r="A3691" s="17"/>
      <c r="B3691" s="9" t="s">
        <v>13284</v>
      </c>
      <c r="C3691" s="9" t="s">
        <v>13284</v>
      </c>
      <c r="D3691" s="9" t="s">
        <v>13284</v>
      </c>
      <c r="E3691" s="9" t="s">
        <v>13284</v>
      </c>
      <c r="F3691" s="9" t="s">
        <v>13284</v>
      </c>
      <c r="G3691" s="9" t="s">
        <v>13284</v>
      </c>
      <c r="H3691" s="9" t="s">
        <v>13284</v>
      </c>
      <c r="I3691" s="9" t="s">
        <v>13284</v>
      </c>
      <c r="J3691" s="9" t="s">
        <v>13284</v>
      </c>
      <c r="K3691" s="9" t="s">
        <v>13284</v>
      </c>
      <c r="L3691" s="9" t="s">
        <v>13284</v>
      </c>
      <c r="M3691" s="9" t="s">
        <v>13284</v>
      </c>
      <c r="N3691" s="9" t="s">
        <v>13284</v>
      </c>
      <c r="O3691" s="9" t="s">
        <v>13284</v>
      </c>
      <c r="P3691" s="9" t="s">
        <v>13284</v>
      </c>
      <c r="Q3691" s="9" t="s">
        <v>13284</v>
      </c>
      <c r="R3691" s="9" t="s">
        <v>13284</v>
      </c>
      <c r="S3691" s="9" t="s">
        <v>13284</v>
      </c>
      <c r="T3691" s="9" t="str">
        <f ca="1">IFERROR(IF(AND(VLOOKUP(A3691, 'Актуальное состояние (из общего'!A:C,3,0) = "", A3691 &lt;&gt; ""), "ПРОВЕРИТЬ", VLOOKUP(A3691, 'Актуальное состояние (из общего'!A:C,3,0)), "")</f>
        <v/>
      </c>
      <c r="U3691" s="9" t="s">
        <v>13284</v>
      </c>
      <c r="V3691" s="9" t="s">
        <v>13284</v>
      </c>
      <c r="W3691" s="12"/>
      <c r="X3691" s="9" t="str">
        <f t="array" ref="X3691">IFERROR(INDEX('Адреса общежитий (скрытый)'!$B$2:$B$9, MATCH(W3691, 'Адреса общежитий (скрытый)'!$A$2:$A$9, 0)), "")</f>
        <v/>
      </c>
      <c r="Y3691" s="18"/>
      <c r="Z3691" s="18"/>
      <c r="AA3691" s="18"/>
      <c r="AB3691" s="18"/>
      <c r="AC3691" s="18"/>
    </row>
    <row r="3692" spans="1:29" ht="32.25" hidden="1" customHeight="1">
      <c r="A3692" s="17"/>
      <c r="B3692" s="9" t="s">
        <v>13284</v>
      </c>
      <c r="C3692" s="9" t="s">
        <v>13284</v>
      </c>
      <c r="D3692" s="9" t="s">
        <v>13284</v>
      </c>
      <c r="E3692" s="9" t="s">
        <v>13284</v>
      </c>
      <c r="F3692" s="9" t="s">
        <v>13284</v>
      </c>
      <c r="G3692" s="9" t="s">
        <v>13284</v>
      </c>
      <c r="H3692" s="9" t="s">
        <v>13284</v>
      </c>
      <c r="I3692" s="9" t="s">
        <v>13284</v>
      </c>
      <c r="J3692" s="9" t="s">
        <v>13284</v>
      </c>
      <c r="K3692" s="9" t="s">
        <v>13284</v>
      </c>
      <c r="L3692" s="9" t="s">
        <v>13284</v>
      </c>
      <c r="M3692" s="9" t="s">
        <v>13284</v>
      </c>
      <c r="N3692" s="9" t="s">
        <v>13284</v>
      </c>
      <c r="O3692" s="9" t="s">
        <v>13284</v>
      </c>
      <c r="P3692" s="9" t="s">
        <v>13284</v>
      </c>
      <c r="Q3692" s="9" t="s">
        <v>13284</v>
      </c>
      <c r="R3692" s="9" t="s">
        <v>13284</v>
      </c>
      <c r="S3692" s="9" t="s">
        <v>13284</v>
      </c>
      <c r="T3692" s="9" t="str">
        <f ca="1">IFERROR(IF(AND(VLOOKUP(A3692, 'Актуальное состояние (из общего'!A:C,3,0) = "", A3692 &lt;&gt; ""), "ПРОВЕРИТЬ", VLOOKUP(A3692, 'Актуальное состояние (из общего'!A:C,3,0)), "")</f>
        <v/>
      </c>
      <c r="U3692" s="9" t="s">
        <v>13284</v>
      </c>
      <c r="V3692" s="9" t="s">
        <v>13284</v>
      </c>
      <c r="W3692" s="12"/>
      <c r="X3692" s="9" t="str">
        <f t="array" ref="X3692">IFERROR(INDEX('Адреса общежитий (скрытый)'!$B$2:$B$9, MATCH(W3692, 'Адреса общежитий (скрытый)'!$A$2:$A$9, 0)), "")</f>
        <v/>
      </c>
      <c r="Y3692" s="18"/>
      <c r="Z3692" s="18"/>
      <c r="AA3692" s="18"/>
      <c r="AB3692" s="18"/>
      <c r="AC3692" s="18"/>
    </row>
    <row r="3693" spans="1:29" ht="32.25" hidden="1" customHeight="1">
      <c r="A3693" s="17"/>
      <c r="B3693" s="9" t="s">
        <v>13284</v>
      </c>
      <c r="C3693" s="9" t="s">
        <v>13284</v>
      </c>
      <c r="D3693" s="9" t="s">
        <v>13284</v>
      </c>
      <c r="E3693" s="9" t="s">
        <v>13284</v>
      </c>
      <c r="F3693" s="9" t="s">
        <v>13284</v>
      </c>
      <c r="G3693" s="9" t="s">
        <v>13284</v>
      </c>
      <c r="H3693" s="9" t="s">
        <v>13284</v>
      </c>
      <c r="I3693" s="9" t="s">
        <v>13284</v>
      </c>
      <c r="J3693" s="9" t="s">
        <v>13284</v>
      </c>
      <c r="K3693" s="9" t="s">
        <v>13284</v>
      </c>
      <c r="L3693" s="9" t="s">
        <v>13284</v>
      </c>
      <c r="M3693" s="9" t="s">
        <v>13284</v>
      </c>
      <c r="N3693" s="9" t="s">
        <v>13284</v>
      </c>
      <c r="O3693" s="9" t="s">
        <v>13284</v>
      </c>
      <c r="P3693" s="9" t="s">
        <v>13284</v>
      </c>
      <c r="Q3693" s="9" t="s">
        <v>13284</v>
      </c>
      <c r="R3693" s="9" t="s">
        <v>13284</v>
      </c>
      <c r="S3693" s="9" t="s">
        <v>13284</v>
      </c>
      <c r="T3693" s="9" t="str">
        <f ca="1">IFERROR(IF(AND(VLOOKUP(A3693, 'Актуальное состояние (из общего'!A:C,3,0) = "", A3693 &lt;&gt; ""), "ПРОВЕРИТЬ", VLOOKUP(A3693, 'Актуальное состояние (из общего'!A:C,3,0)), "")</f>
        <v/>
      </c>
      <c r="U3693" s="9" t="s">
        <v>13284</v>
      </c>
      <c r="V3693" s="9" t="s">
        <v>13284</v>
      </c>
      <c r="W3693" s="12"/>
      <c r="X3693" s="9" t="str">
        <f t="array" ref="X3693">IFERROR(INDEX('Адреса общежитий (скрытый)'!$B$2:$B$9, MATCH(W3693, 'Адреса общежитий (скрытый)'!$A$2:$A$9, 0)), "")</f>
        <v/>
      </c>
      <c r="Y3693" s="18"/>
      <c r="Z3693" s="18"/>
      <c r="AA3693" s="18"/>
      <c r="AB3693" s="18"/>
      <c r="AC3693" s="18"/>
    </row>
    <row r="3694" spans="1:29" ht="32.25" hidden="1" customHeight="1">
      <c r="A3694" s="17"/>
      <c r="B3694" s="9" t="s">
        <v>13284</v>
      </c>
      <c r="C3694" s="9" t="s">
        <v>13284</v>
      </c>
      <c r="D3694" s="9" t="s">
        <v>13284</v>
      </c>
      <c r="E3694" s="9" t="s">
        <v>13284</v>
      </c>
      <c r="F3694" s="9" t="s">
        <v>13284</v>
      </c>
      <c r="G3694" s="9" t="s">
        <v>13284</v>
      </c>
      <c r="H3694" s="9" t="s">
        <v>13284</v>
      </c>
      <c r="I3694" s="9" t="s">
        <v>13284</v>
      </c>
      <c r="J3694" s="9" t="s">
        <v>13284</v>
      </c>
      <c r="K3694" s="9" t="s">
        <v>13284</v>
      </c>
      <c r="L3694" s="9" t="s">
        <v>13284</v>
      </c>
      <c r="M3694" s="9" t="s">
        <v>13284</v>
      </c>
      <c r="N3694" s="9" t="s">
        <v>13284</v>
      </c>
      <c r="O3694" s="9" t="s">
        <v>13284</v>
      </c>
      <c r="P3694" s="9" t="s">
        <v>13284</v>
      </c>
      <c r="Q3694" s="9" t="s">
        <v>13284</v>
      </c>
      <c r="R3694" s="9" t="s">
        <v>13284</v>
      </c>
      <c r="S3694" s="9" t="s">
        <v>13284</v>
      </c>
      <c r="T3694" s="9" t="str">
        <f ca="1">IFERROR(IF(AND(VLOOKUP(A3694, 'Актуальное состояние (из общего'!A:C,3,0) = "", A3694 &lt;&gt; ""), "ПРОВЕРИТЬ", VLOOKUP(A3694, 'Актуальное состояние (из общего'!A:C,3,0)), "")</f>
        <v/>
      </c>
      <c r="U3694" s="9" t="s">
        <v>13284</v>
      </c>
      <c r="V3694" s="9" t="s">
        <v>13284</v>
      </c>
      <c r="W3694" s="12"/>
      <c r="X3694" s="9" t="str">
        <f t="array" ref="X3694">IFERROR(INDEX('Адреса общежитий (скрытый)'!$B$2:$B$9, MATCH(W3694, 'Адреса общежитий (скрытый)'!$A$2:$A$9, 0)), "")</f>
        <v/>
      </c>
      <c r="Y3694" s="18"/>
      <c r="Z3694" s="18"/>
      <c r="AA3694" s="18"/>
      <c r="AB3694" s="18"/>
      <c r="AC3694" s="18"/>
    </row>
    <row r="3695" spans="1:29" ht="32.25" hidden="1" customHeight="1">
      <c r="A3695" s="17"/>
      <c r="B3695" s="9" t="s">
        <v>13284</v>
      </c>
      <c r="C3695" s="9" t="s">
        <v>13284</v>
      </c>
      <c r="D3695" s="9" t="s">
        <v>13284</v>
      </c>
      <c r="E3695" s="9" t="s">
        <v>13284</v>
      </c>
      <c r="F3695" s="9" t="s">
        <v>13284</v>
      </c>
      <c r="G3695" s="9" t="s">
        <v>13284</v>
      </c>
      <c r="H3695" s="9" t="s">
        <v>13284</v>
      </c>
      <c r="I3695" s="9" t="s">
        <v>13284</v>
      </c>
      <c r="J3695" s="9" t="s">
        <v>13284</v>
      </c>
      <c r="K3695" s="9" t="s">
        <v>13284</v>
      </c>
      <c r="L3695" s="9" t="s">
        <v>13284</v>
      </c>
      <c r="M3695" s="9" t="s">
        <v>13284</v>
      </c>
      <c r="N3695" s="9" t="s">
        <v>13284</v>
      </c>
      <c r="O3695" s="9" t="s">
        <v>13284</v>
      </c>
      <c r="P3695" s="9" t="s">
        <v>13284</v>
      </c>
      <c r="Q3695" s="9" t="s">
        <v>13284</v>
      </c>
      <c r="R3695" s="9" t="s">
        <v>13284</v>
      </c>
      <c r="S3695" s="9" t="s">
        <v>13284</v>
      </c>
      <c r="T3695" s="9" t="str">
        <f ca="1">IFERROR(IF(AND(VLOOKUP(A3695, 'Актуальное состояние (из общего'!A:C,3,0) = "", A3695 &lt;&gt; ""), "ПРОВЕРИТЬ", VLOOKUP(A3695, 'Актуальное состояние (из общего'!A:C,3,0)), "")</f>
        <v/>
      </c>
      <c r="U3695" s="9" t="s">
        <v>13284</v>
      </c>
      <c r="V3695" s="9" t="s">
        <v>13284</v>
      </c>
      <c r="W3695" s="12"/>
      <c r="X3695" s="9" t="str">
        <f t="array" ref="X3695">IFERROR(INDEX('Адреса общежитий (скрытый)'!$B$2:$B$9, MATCH(W3695, 'Адреса общежитий (скрытый)'!$A$2:$A$9, 0)), "")</f>
        <v/>
      </c>
      <c r="Y3695" s="18"/>
      <c r="Z3695" s="18"/>
      <c r="AA3695" s="18"/>
      <c r="AB3695" s="18"/>
      <c r="AC3695" s="18"/>
    </row>
    <row r="3696" spans="1:29" ht="32.25" hidden="1" customHeight="1">
      <c r="A3696" s="17"/>
      <c r="B3696" s="9" t="s">
        <v>13284</v>
      </c>
      <c r="C3696" s="9" t="s">
        <v>13284</v>
      </c>
      <c r="D3696" s="9" t="s">
        <v>13284</v>
      </c>
      <c r="E3696" s="9" t="s">
        <v>13284</v>
      </c>
      <c r="F3696" s="9" t="s">
        <v>13284</v>
      </c>
      <c r="G3696" s="9" t="s">
        <v>13284</v>
      </c>
      <c r="H3696" s="9" t="s">
        <v>13284</v>
      </c>
      <c r="I3696" s="9" t="s">
        <v>13284</v>
      </c>
      <c r="J3696" s="9" t="s">
        <v>13284</v>
      </c>
      <c r="K3696" s="9" t="s">
        <v>13284</v>
      </c>
      <c r="L3696" s="9" t="s">
        <v>13284</v>
      </c>
      <c r="M3696" s="9" t="s">
        <v>13284</v>
      </c>
      <c r="N3696" s="9" t="s">
        <v>13284</v>
      </c>
      <c r="O3696" s="9" t="s">
        <v>13284</v>
      </c>
      <c r="P3696" s="9" t="s">
        <v>13284</v>
      </c>
      <c r="Q3696" s="9" t="s">
        <v>13284</v>
      </c>
      <c r="R3696" s="9" t="s">
        <v>13284</v>
      </c>
      <c r="S3696" s="9" t="s">
        <v>13284</v>
      </c>
      <c r="T3696" s="9" t="str">
        <f ca="1">IFERROR(IF(AND(VLOOKUP(A3696, 'Актуальное состояние (из общего'!A:C,3,0) = "", A3696 &lt;&gt; ""), "ПРОВЕРИТЬ", VLOOKUP(A3696, 'Актуальное состояние (из общего'!A:C,3,0)), "")</f>
        <v/>
      </c>
      <c r="U3696" s="9" t="s">
        <v>13284</v>
      </c>
      <c r="V3696" s="9" t="s">
        <v>13284</v>
      </c>
      <c r="W3696" s="12"/>
      <c r="X3696" s="9" t="str">
        <f t="array" ref="X3696">IFERROR(INDEX('Адреса общежитий (скрытый)'!$B$2:$B$9, MATCH(W3696, 'Адреса общежитий (скрытый)'!$A$2:$A$9, 0)), "")</f>
        <v/>
      </c>
      <c r="Y3696" s="18"/>
      <c r="Z3696" s="18"/>
      <c r="AA3696" s="18"/>
      <c r="AB3696" s="18"/>
      <c r="AC3696" s="18"/>
    </row>
    <row r="3697" spans="1:29" ht="32.25" hidden="1" customHeight="1">
      <c r="A3697" s="17"/>
      <c r="B3697" s="9" t="s">
        <v>13284</v>
      </c>
      <c r="C3697" s="9" t="s">
        <v>13284</v>
      </c>
      <c r="D3697" s="9" t="s">
        <v>13284</v>
      </c>
      <c r="E3697" s="9" t="s">
        <v>13284</v>
      </c>
      <c r="F3697" s="9" t="s">
        <v>13284</v>
      </c>
      <c r="G3697" s="9" t="s">
        <v>13284</v>
      </c>
      <c r="H3697" s="9" t="s">
        <v>13284</v>
      </c>
      <c r="I3697" s="9" t="s">
        <v>13284</v>
      </c>
      <c r="J3697" s="9" t="s">
        <v>13284</v>
      </c>
      <c r="K3697" s="9" t="s">
        <v>13284</v>
      </c>
      <c r="L3697" s="9" t="s">
        <v>13284</v>
      </c>
      <c r="M3697" s="9" t="s">
        <v>13284</v>
      </c>
      <c r="N3697" s="9" t="s">
        <v>13284</v>
      </c>
      <c r="O3697" s="9" t="s">
        <v>13284</v>
      </c>
      <c r="P3697" s="9" t="s">
        <v>13284</v>
      </c>
      <c r="Q3697" s="9" t="s">
        <v>13284</v>
      </c>
      <c r="R3697" s="9" t="s">
        <v>13284</v>
      </c>
      <c r="S3697" s="9" t="s">
        <v>13284</v>
      </c>
      <c r="T3697" s="9" t="str">
        <f ca="1">IFERROR(IF(AND(VLOOKUP(A3697, 'Актуальное состояние (из общего'!A:C,3,0) = "", A3697 &lt;&gt; ""), "ПРОВЕРИТЬ", VLOOKUP(A3697, 'Актуальное состояние (из общего'!A:C,3,0)), "")</f>
        <v/>
      </c>
      <c r="U3697" s="9" t="s">
        <v>13284</v>
      </c>
      <c r="V3697" s="9" t="s">
        <v>13284</v>
      </c>
      <c r="W3697" s="12"/>
      <c r="X3697" s="9" t="str">
        <f t="array" ref="X3697">IFERROR(INDEX('Адреса общежитий (скрытый)'!$B$2:$B$9, MATCH(W3697, 'Адреса общежитий (скрытый)'!$A$2:$A$9, 0)), "")</f>
        <v/>
      </c>
      <c r="Y3697" s="18"/>
      <c r="Z3697" s="18"/>
      <c r="AA3697" s="18"/>
      <c r="AB3697" s="18"/>
      <c r="AC3697" s="18"/>
    </row>
    <row r="3698" spans="1:29" ht="32.25" hidden="1" customHeight="1">
      <c r="A3698" s="17"/>
      <c r="B3698" s="9" t="s">
        <v>13284</v>
      </c>
      <c r="C3698" s="9" t="s">
        <v>13284</v>
      </c>
      <c r="D3698" s="9" t="s">
        <v>13284</v>
      </c>
      <c r="E3698" s="9" t="s">
        <v>13284</v>
      </c>
      <c r="F3698" s="9" t="s">
        <v>13284</v>
      </c>
      <c r="G3698" s="9" t="s">
        <v>13284</v>
      </c>
      <c r="H3698" s="9" t="s">
        <v>13284</v>
      </c>
      <c r="I3698" s="9" t="s">
        <v>13284</v>
      </c>
      <c r="J3698" s="9" t="s">
        <v>13284</v>
      </c>
      <c r="K3698" s="9" t="s">
        <v>13284</v>
      </c>
      <c r="L3698" s="9" t="s">
        <v>13284</v>
      </c>
      <c r="M3698" s="9" t="s">
        <v>13284</v>
      </c>
      <c r="N3698" s="9" t="s">
        <v>13284</v>
      </c>
      <c r="O3698" s="9" t="s">
        <v>13284</v>
      </c>
      <c r="P3698" s="9" t="s">
        <v>13284</v>
      </c>
      <c r="Q3698" s="9" t="s">
        <v>13284</v>
      </c>
      <c r="R3698" s="9" t="s">
        <v>13284</v>
      </c>
      <c r="S3698" s="9" t="s">
        <v>13284</v>
      </c>
      <c r="T3698" s="9" t="str">
        <f ca="1">IFERROR(IF(AND(VLOOKUP(A3698, 'Актуальное состояние (из общего'!A:C,3,0) = "", A3698 &lt;&gt; ""), "ПРОВЕРИТЬ", VLOOKUP(A3698, 'Актуальное состояние (из общего'!A:C,3,0)), "")</f>
        <v/>
      </c>
      <c r="U3698" s="9" t="s">
        <v>13284</v>
      </c>
      <c r="V3698" s="9" t="s">
        <v>13284</v>
      </c>
      <c r="W3698" s="12"/>
      <c r="X3698" s="9" t="str">
        <f t="array" ref="X3698">IFERROR(INDEX('Адреса общежитий (скрытый)'!$B$2:$B$9, MATCH(W3698, 'Адреса общежитий (скрытый)'!$A$2:$A$9, 0)), "")</f>
        <v/>
      </c>
      <c r="Y3698" s="18"/>
      <c r="Z3698" s="18"/>
      <c r="AA3698" s="18"/>
      <c r="AB3698" s="18"/>
      <c r="AC3698" s="18"/>
    </row>
    <row r="3699" spans="1:29" ht="32.25" hidden="1" customHeight="1">
      <c r="A3699" s="17"/>
      <c r="B3699" s="9" t="s">
        <v>13284</v>
      </c>
      <c r="C3699" s="9" t="s">
        <v>13284</v>
      </c>
      <c r="D3699" s="9" t="s">
        <v>13284</v>
      </c>
      <c r="E3699" s="9" t="s">
        <v>13284</v>
      </c>
      <c r="F3699" s="9" t="s">
        <v>13284</v>
      </c>
      <c r="G3699" s="9" t="s">
        <v>13284</v>
      </c>
      <c r="H3699" s="9" t="s">
        <v>13284</v>
      </c>
      <c r="I3699" s="9" t="s">
        <v>13284</v>
      </c>
      <c r="J3699" s="9" t="s">
        <v>13284</v>
      </c>
      <c r="K3699" s="9" t="s">
        <v>13284</v>
      </c>
      <c r="L3699" s="9" t="s">
        <v>13284</v>
      </c>
      <c r="M3699" s="9" t="s">
        <v>13284</v>
      </c>
      <c r="N3699" s="9" t="s">
        <v>13284</v>
      </c>
      <c r="O3699" s="9" t="s">
        <v>13284</v>
      </c>
      <c r="P3699" s="9" t="s">
        <v>13284</v>
      </c>
      <c r="Q3699" s="9" t="s">
        <v>13284</v>
      </c>
      <c r="R3699" s="9" t="s">
        <v>13284</v>
      </c>
      <c r="S3699" s="9" t="s">
        <v>13284</v>
      </c>
      <c r="T3699" s="9" t="str">
        <f ca="1">IFERROR(IF(AND(VLOOKUP(A3699, 'Актуальное состояние (из общего'!A:C,3,0) = "", A3699 &lt;&gt; ""), "ПРОВЕРИТЬ", VLOOKUP(A3699, 'Актуальное состояние (из общего'!A:C,3,0)), "")</f>
        <v/>
      </c>
      <c r="U3699" s="9" t="s">
        <v>13284</v>
      </c>
      <c r="V3699" s="9" t="s">
        <v>13284</v>
      </c>
      <c r="W3699" s="12"/>
      <c r="X3699" s="9" t="str">
        <f t="array" ref="X3699">IFERROR(INDEX('Адреса общежитий (скрытый)'!$B$2:$B$9, MATCH(W3699, 'Адреса общежитий (скрытый)'!$A$2:$A$9, 0)), "")</f>
        <v/>
      </c>
      <c r="Y3699" s="18"/>
      <c r="Z3699" s="18"/>
      <c r="AA3699" s="18"/>
      <c r="AB3699" s="18"/>
      <c r="AC3699" s="18"/>
    </row>
    <row r="3700" spans="1:29" ht="32.25" hidden="1" customHeight="1">
      <c r="A3700" s="17"/>
      <c r="B3700" s="9" t="s">
        <v>13284</v>
      </c>
      <c r="C3700" s="9" t="s">
        <v>13284</v>
      </c>
      <c r="D3700" s="9" t="s">
        <v>13284</v>
      </c>
      <c r="E3700" s="9" t="s">
        <v>13284</v>
      </c>
      <c r="F3700" s="9" t="s">
        <v>13284</v>
      </c>
      <c r="G3700" s="9" t="s">
        <v>13284</v>
      </c>
      <c r="H3700" s="9" t="s">
        <v>13284</v>
      </c>
      <c r="I3700" s="9" t="s">
        <v>13284</v>
      </c>
      <c r="J3700" s="9" t="s">
        <v>13284</v>
      </c>
      <c r="K3700" s="9" t="s">
        <v>13284</v>
      </c>
      <c r="L3700" s="9" t="s">
        <v>13284</v>
      </c>
      <c r="M3700" s="9" t="s">
        <v>13284</v>
      </c>
      <c r="N3700" s="9" t="s">
        <v>13284</v>
      </c>
      <c r="O3700" s="9" t="s">
        <v>13284</v>
      </c>
      <c r="P3700" s="9" t="s">
        <v>13284</v>
      </c>
      <c r="Q3700" s="9" t="s">
        <v>13284</v>
      </c>
      <c r="R3700" s="9" t="s">
        <v>13284</v>
      </c>
      <c r="S3700" s="9" t="s">
        <v>13284</v>
      </c>
      <c r="T3700" s="9" t="str">
        <f ca="1">IFERROR(IF(AND(VLOOKUP(A3700, 'Актуальное состояние (из общего'!A:C,3,0) = "", A3700 &lt;&gt; ""), "ПРОВЕРИТЬ", VLOOKUP(A3700, 'Актуальное состояние (из общего'!A:C,3,0)), "")</f>
        <v/>
      </c>
      <c r="U3700" s="9" t="s">
        <v>13284</v>
      </c>
      <c r="V3700" s="9" t="s">
        <v>13284</v>
      </c>
      <c r="W3700" s="12"/>
      <c r="X3700" s="9" t="str">
        <f t="array" ref="X3700">IFERROR(INDEX('Адреса общежитий (скрытый)'!$B$2:$B$9, MATCH(W3700, 'Адреса общежитий (скрытый)'!$A$2:$A$9, 0)), "")</f>
        <v/>
      </c>
      <c r="Y3700" s="18"/>
      <c r="Z3700" s="18"/>
      <c r="AA3700" s="18"/>
      <c r="AB3700" s="18"/>
      <c r="AC3700" s="18"/>
    </row>
    <row r="3701" spans="1:29" ht="32.25" hidden="1" customHeight="1">
      <c r="A3701" s="17"/>
      <c r="B3701" s="9" t="s">
        <v>13284</v>
      </c>
      <c r="C3701" s="9" t="s">
        <v>13284</v>
      </c>
      <c r="D3701" s="9" t="s">
        <v>13284</v>
      </c>
      <c r="E3701" s="9" t="s">
        <v>13284</v>
      </c>
      <c r="F3701" s="9" t="s">
        <v>13284</v>
      </c>
      <c r="G3701" s="9" t="s">
        <v>13284</v>
      </c>
      <c r="H3701" s="9" t="s">
        <v>13284</v>
      </c>
      <c r="I3701" s="9" t="s">
        <v>13284</v>
      </c>
      <c r="J3701" s="9" t="s">
        <v>13284</v>
      </c>
      <c r="K3701" s="9" t="s">
        <v>13284</v>
      </c>
      <c r="L3701" s="9" t="s">
        <v>13284</v>
      </c>
      <c r="M3701" s="9" t="s">
        <v>13284</v>
      </c>
      <c r="N3701" s="9" t="s">
        <v>13284</v>
      </c>
      <c r="O3701" s="9" t="s">
        <v>13284</v>
      </c>
      <c r="P3701" s="9" t="s">
        <v>13284</v>
      </c>
      <c r="Q3701" s="9" t="s">
        <v>13284</v>
      </c>
      <c r="R3701" s="9" t="s">
        <v>13284</v>
      </c>
      <c r="S3701" s="9" t="s">
        <v>13284</v>
      </c>
      <c r="T3701" s="9" t="str">
        <f ca="1">IFERROR(IF(AND(VLOOKUP(A3701, 'Актуальное состояние (из общего'!A:C,3,0) = "", A3701 &lt;&gt; ""), "ПРОВЕРИТЬ", VLOOKUP(A3701, 'Актуальное состояние (из общего'!A:C,3,0)), "")</f>
        <v/>
      </c>
      <c r="U3701" s="9" t="s">
        <v>13284</v>
      </c>
      <c r="V3701" s="9" t="s">
        <v>13284</v>
      </c>
      <c r="W3701" s="12"/>
      <c r="X3701" s="9" t="str">
        <f t="array" ref="X3701">IFERROR(INDEX('Адреса общежитий (скрытый)'!$B$2:$B$9, MATCH(W3701, 'Адреса общежитий (скрытый)'!$A$2:$A$9, 0)), "")</f>
        <v/>
      </c>
      <c r="Y3701" s="18"/>
      <c r="Z3701" s="18"/>
      <c r="AA3701" s="18"/>
      <c r="AB3701" s="18"/>
      <c r="AC3701" s="18"/>
    </row>
    <row r="3702" spans="1:29" ht="32.25" hidden="1" customHeight="1">
      <c r="A3702" s="17"/>
      <c r="B3702" s="9" t="s">
        <v>13284</v>
      </c>
      <c r="C3702" s="9" t="s">
        <v>13284</v>
      </c>
      <c r="D3702" s="9" t="s">
        <v>13284</v>
      </c>
      <c r="E3702" s="9" t="s">
        <v>13284</v>
      </c>
      <c r="F3702" s="9" t="s">
        <v>13284</v>
      </c>
      <c r="G3702" s="9" t="s">
        <v>13284</v>
      </c>
      <c r="H3702" s="9" t="s">
        <v>13284</v>
      </c>
      <c r="I3702" s="9" t="s">
        <v>13284</v>
      </c>
      <c r="J3702" s="9" t="s">
        <v>13284</v>
      </c>
      <c r="K3702" s="9" t="s">
        <v>13284</v>
      </c>
      <c r="L3702" s="9" t="s">
        <v>13284</v>
      </c>
      <c r="M3702" s="9" t="s">
        <v>13284</v>
      </c>
      <c r="N3702" s="9" t="s">
        <v>13284</v>
      </c>
      <c r="O3702" s="9" t="s">
        <v>13284</v>
      </c>
      <c r="P3702" s="9" t="s">
        <v>13284</v>
      </c>
      <c r="Q3702" s="9" t="s">
        <v>13284</v>
      </c>
      <c r="R3702" s="9" t="s">
        <v>13284</v>
      </c>
      <c r="S3702" s="9" t="s">
        <v>13284</v>
      </c>
      <c r="T3702" s="9" t="str">
        <f ca="1">IFERROR(IF(AND(VLOOKUP(A3702, 'Актуальное состояние (из общего'!A:C,3,0) = "", A3702 &lt;&gt; ""), "ПРОВЕРИТЬ", VLOOKUP(A3702, 'Актуальное состояние (из общего'!A:C,3,0)), "")</f>
        <v/>
      </c>
      <c r="U3702" s="9" t="s">
        <v>13284</v>
      </c>
      <c r="V3702" s="9" t="s">
        <v>13284</v>
      </c>
      <c r="W3702" s="12"/>
      <c r="X3702" s="9" t="str">
        <f t="array" ref="X3702">IFERROR(INDEX('Адреса общежитий (скрытый)'!$B$2:$B$9, MATCH(W3702, 'Адреса общежитий (скрытый)'!$A$2:$A$9, 0)), "")</f>
        <v/>
      </c>
      <c r="Y3702" s="18"/>
      <c r="Z3702" s="18"/>
      <c r="AA3702" s="18"/>
      <c r="AB3702" s="18"/>
      <c r="AC3702" s="18"/>
    </row>
    <row r="3703" spans="1:29" ht="32.25" hidden="1" customHeight="1">
      <c r="A3703" s="17"/>
      <c r="B3703" s="9" t="s">
        <v>13284</v>
      </c>
      <c r="C3703" s="9" t="s">
        <v>13284</v>
      </c>
      <c r="D3703" s="9" t="s">
        <v>13284</v>
      </c>
      <c r="E3703" s="9" t="s">
        <v>13284</v>
      </c>
      <c r="F3703" s="9" t="s">
        <v>13284</v>
      </c>
      <c r="G3703" s="9" t="s">
        <v>13284</v>
      </c>
      <c r="H3703" s="9" t="s">
        <v>13284</v>
      </c>
      <c r="I3703" s="9" t="s">
        <v>13284</v>
      </c>
      <c r="J3703" s="9" t="s">
        <v>13284</v>
      </c>
      <c r="K3703" s="9" t="s">
        <v>13284</v>
      </c>
      <c r="L3703" s="9" t="s">
        <v>13284</v>
      </c>
      <c r="M3703" s="9" t="s">
        <v>13284</v>
      </c>
      <c r="N3703" s="9" t="s">
        <v>13284</v>
      </c>
      <c r="O3703" s="9" t="s">
        <v>13284</v>
      </c>
      <c r="P3703" s="9" t="s">
        <v>13284</v>
      </c>
      <c r="Q3703" s="9" t="s">
        <v>13284</v>
      </c>
      <c r="R3703" s="9" t="s">
        <v>13284</v>
      </c>
      <c r="S3703" s="9" t="s">
        <v>13284</v>
      </c>
      <c r="T3703" s="9" t="str">
        <f ca="1">IFERROR(IF(AND(VLOOKUP(A3703, 'Актуальное состояние (из общего'!A:C,3,0) = "", A3703 &lt;&gt; ""), "ПРОВЕРИТЬ", VLOOKUP(A3703, 'Актуальное состояние (из общего'!A:C,3,0)), "")</f>
        <v/>
      </c>
      <c r="U3703" s="9" t="s">
        <v>13284</v>
      </c>
      <c r="V3703" s="9" t="s">
        <v>13284</v>
      </c>
      <c r="W3703" s="12"/>
      <c r="X3703" s="9" t="str">
        <f t="array" ref="X3703">IFERROR(INDEX('Адреса общежитий (скрытый)'!$B$2:$B$9, MATCH(W3703, 'Адреса общежитий (скрытый)'!$A$2:$A$9, 0)), "")</f>
        <v/>
      </c>
      <c r="Y3703" s="18"/>
      <c r="Z3703" s="18"/>
      <c r="AA3703" s="18"/>
      <c r="AB3703" s="18"/>
      <c r="AC3703" s="18"/>
    </row>
    <row r="3704" spans="1:29" ht="32.25" hidden="1" customHeight="1">
      <c r="A3704" s="17"/>
      <c r="B3704" s="9" t="s">
        <v>13284</v>
      </c>
      <c r="C3704" s="9" t="s">
        <v>13284</v>
      </c>
      <c r="D3704" s="9" t="s">
        <v>13284</v>
      </c>
      <c r="E3704" s="9" t="s">
        <v>13284</v>
      </c>
      <c r="F3704" s="9" t="s">
        <v>13284</v>
      </c>
      <c r="G3704" s="9" t="s">
        <v>13284</v>
      </c>
      <c r="H3704" s="9" t="s">
        <v>13284</v>
      </c>
      <c r="I3704" s="9" t="s">
        <v>13284</v>
      </c>
      <c r="J3704" s="9" t="s">
        <v>13284</v>
      </c>
      <c r="K3704" s="9" t="s">
        <v>13284</v>
      </c>
      <c r="L3704" s="9" t="s">
        <v>13284</v>
      </c>
      <c r="M3704" s="9" t="s">
        <v>13284</v>
      </c>
      <c r="N3704" s="9" t="s">
        <v>13284</v>
      </c>
      <c r="O3704" s="9" t="s">
        <v>13284</v>
      </c>
      <c r="P3704" s="9" t="s">
        <v>13284</v>
      </c>
      <c r="Q3704" s="9" t="s">
        <v>13284</v>
      </c>
      <c r="R3704" s="9" t="s">
        <v>13284</v>
      </c>
      <c r="S3704" s="9" t="s">
        <v>13284</v>
      </c>
      <c r="T3704" s="9" t="str">
        <f ca="1">IFERROR(IF(AND(VLOOKUP(A3704, 'Актуальное состояние (из общего'!A:C,3,0) = "", A3704 &lt;&gt; ""), "ПРОВЕРИТЬ", VLOOKUP(A3704, 'Актуальное состояние (из общего'!A:C,3,0)), "")</f>
        <v/>
      </c>
      <c r="U3704" s="9" t="s">
        <v>13284</v>
      </c>
      <c r="V3704" s="9" t="s">
        <v>13284</v>
      </c>
      <c r="W3704" s="12"/>
      <c r="X3704" s="9" t="str">
        <f t="array" ref="X3704">IFERROR(INDEX('Адреса общежитий (скрытый)'!$B$2:$B$9, MATCH(W3704, 'Адреса общежитий (скрытый)'!$A$2:$A$9, 0)), "")</f>
        <v/>
      </c>
      <c r="Y3704" s="18"/>
      <c r="Z3704" s="18"/>
      <c r="AA3704" s="18"/>
      <c r="AB3704" s="18"/>
      <c r="AC3704" s="18"/>
    </row>
    <row r="3705" spans="1:29" ht="32.25" hidden="1" customHeight="1">
      <c r="A3705" s="17"/>
      <c r="B3705" s="9" t="s">
        <v>13284</v>
      </c>
      <c r="C3705" s="9" t="s">
        <v>13284</v>
      </c>
      <c r="D3705" s="9" t="s">
        <v>13284</v>
      </c>
      <c r="E3705" s="9" t="s">
        <v>13284</v>
      </c>
      <c r="F3705" s="9" t="s">
        <v>13284</v>
      </c>
      <c r="G3705" s="9" t="s">
        <v>13284</v>
      </c>
      <c r="H3705" s="9" t="s">
        <v>13284</v>
      </c>
      <c r="I3705" s="9" t="s">
        <v>13284</v>
      </c>
      <c r="J3705" s="9" t="s">
        <v>13284</v>
      </c>
      <c r="K3705" s="9" t="s">
        <v>13284</v>
      </c>
      <c r="L3705" s="9" t="s">
        <v>13284</v>
      </c>
      <c r="M3705" s="9" t="s">
        <v>13284</v>
      </c>
      <c r="N3705" s="9" t="s">
        <v>13284</v>
      </c>
      <c r="O3705" s="9" t="s">
        <v>13284</v>
      </c>
      <c r="P3705" s="9" t="s">
        <v>13284</v>
      </c>
      <c r="Q3705" s="9" t="s">
        <v>13284</v>
      </c>
      <c r="R3705" s="9" t="s">
        <v>13284</v>
      </c>
      <c r="S3705" s="9" t="s">
        <v>13284</v>
      </c>
      <c r="T3705" s="9" t="str">
        <f ca="1">IFERROR(IF(AND(VLOOKUP(A3705, 'Актуальное состояние (из общего'!A:C,3,0) = "", A3705 &lt;&gt; ""), "ПРОВЕРИТЬ", VLOOKUP(A3705, 'Актуальное состояние (из общего'!A:C,3,0)), "")</f>
        <v/>
      </c>
      <c r="U3705" s="9" t="s">
        <v>13284</v>
      </c>
      <c r="V3705" s="9" t="s">
        <v>13284</v>
      </c>
      <c r="W3705" s="12"/>
      <c r="X3705" s="9" t="str">
        <f t="array" ref="X3705">IFERROR(INDEX('Адреса общежитий (скрытый)'!$B$2:$B$9, MATCH(W3705, 'Адреса общежитий (скрытый)'!$A$2:$A$9, 0)), "")</f>
        <v/>
      </c>
      <c r="Y3705" s="18"/>
      <c r="Z3705" s="18"/>
      <c r="AA3705" s="18"/>
      <c r="AB3705" s="18"/>
      <c r="AC3705" s="18"/>
    </row>
    <row r="3706" spans="1:29" ht="32.25" hidden="1" customHeight="1">
      <c r="A3706" s="17"/>
      <c r="B3706" s="9" t="s">
        <v>13284</v>
      </c>
      <c r="C3706" s="9" t="s">
        <v>13284</v>
      </c>
      <c r="D3706" s="9" t="s">
        <v>13284</v>
      </c>
      <c r="E3706" s="9" t="s">
        <v>13284</v>
      </c>
      <c r="F3706" s="9" t="s">
        <v>13284</v>
      </c>
      <c r="G3706" s="9" t="s">
        <v>13284</v>
      </c>
      <c r="H3706" s="9" t="s">
        <v>13284</v>
      </c>
      <c r="I3706" s="9" t="s">
        <v>13284</v>
      </c>
      <c r="J3706" s="9" t="s">
        <v>13284</v>
      </c>
      <c r="K3706" s="9" t="s">
        <v>13284</v>
      </c>
      <c r="L3706" s="9" t="s">
        <v>13284</v>
      </c>
      <c r="M3706" s="9" t="s">
        <v>13284</v>
      </c>
      <c r="N3706" s="9" t="s">
        <v>13284</v>
      </c>
      <c r="O3706" s="9" t="s">
        <v>13284</v>
      </c>
      <c r="P3706" s="9" t="s">
        <v>13284</v>
      </c>
      <c r="Q3706" s="9" t="s">
        <v>13284</v>
      </c>
      <c r="R3706" s="9" t="s">
        <v>13284</v>
      </c>
      <c r="S3706" s="9" t="s">
        <v>13284</v>
      </c>
      <c r="T3706" s="9" t="str">
        <f ca="1">IFERROR(IF(AND(VLOOKUP(A3706, 'Актуальное состояние (из общего'!A:C,3,0) = "", A3706 &lt;&gt; ""), "ПРОВЕРИТЬ", VLOOKUP(A3706, 'Актуальное состояние (из общего'!A:C,3,0)), "")</f>
        <v/>
      </c>
      <c r="U3706" s="9" t="s">
        <v>13284</v>
      </c>
      <c r="V3706" s="9" t="s">
        <v>13284</v>
      </c>
      <c r="W3706" s="12"/>
      <c r="X3706" s="9" t="str">
        <f t="array" ref="X3706">IFERROR(INDEX('Адреса общежитий (скрытый)'!$B$2:$B$9, MATCH(W3706, 'Адреса общежитий (скрытый)'!$A$2:$A$9, 0)), "")</f>
        <v/>
      </c>
      <c r="Y3706" s="18"/>
      <c r="Z3706" s="18"/>
      <c r="AA3706" s="18"/>
      <c r="AB3706" s="18"/>
      <c r="AC3706" s="18"/>
    </row>
    <row r="3707" spans="1:29" ht="32.25" hidden="1" customHeight="1">
      <c r="A3707" s="17"/>
      <c r="B3707" s="9" t="s">
        <v>13284</v>
      </c>
      <c r="C3707" s="9" t="s">
        <v>13284</v>
      </c>
      <c r="D3707" s="9" t="s">
        <v>13284</v>
      </c>
      <c r="E3707" s="9" t="s">
        <v>13284</v>
      </c>
      <c r="F3707" s="9" t="s">
        <v>13284</v>
      </c>
      <c r="G3707" s="9" t="s">
        <v>13284</v>
      </c>
      <c r="H3707" s="9" t="s">
        <v>13284</v>
      </c>
      <c r="I3707" s="9" t="s">
        <v>13284</v>
      </c>
      <c r="J3707" s="9" t="s">
        <v>13284</v>
      </c>
      <c r="K3707" s="9" t="s">
        <v>13284</v>
      </c>
      <c r="L3707" s="9" t="s">
        <v>13284</v>
      </c>
      <c r="M3707" s="9" t="s">
        <v>13284</v>
      </c>
      <c r="N3707" s="9" t="s">
        <v>13284</v>
      </c>
      <c r="O3707" s="9" t="s">
        <v>13284</v>
      </c>
      <c r="P3707" s="9" t="s">
        <v>13284</v>
      </c>
      <c r="Q3707" s="9" t="s">
        <v>13284</v>
      </c>
      <c r="R3707" s="9" t="s">
        <v>13284</v>
      </c>
      <c r="S3707" s="9" t="s">
        <v>13284</v>
      </c>
      <c r="T3707" s="9" t="str">
        <f ca="1">IFERROR(IF(AND(VLOOKUP(A3707, 'Актуальное состояние (из общего'!A:C,3,0) = "", A3707 &lt;&gt; ""), "ПРОВЕРИТЬ", VLOOKUP(A3707, 'Актуальное состояние (из общего'!A:C,3,0)), "")</f>
        <v/>
      </c>
      <c r="U3707" s="9" t="s">
        <v>13284</v>
      </c>
      <c r="V3707" s="9" t="s">
        <v>13284</v>
      </c>
      <c r="W3707" s="12"/>
      <c r="X3707" s="9" t="str">
        <f t="array" ref="X3707">IFERROR(INDEX('Адреса общежитий (скрытый)'!$B$2:$B$9, MATCH(W3707, 'Адреса общежитий (скрытый)'!$A$2:$A$9, 0)), "")</f>
        <v/>
      </c>
      <c r="Y3707" s="18"/>
      <c r="Z3707" s="18"/>
      <c r="AA3707" s="18"/>
      <c r="AB3707" s="18"/>
      <c r="AC3707" s="18"/>
    </row>
    <row r="3708" spans="1:29" ht="32.25" hidden="1" customHeight="1">
      <c r="A3708" s="17"/>
      <c r="B3708" s="9" t="s">
        <v>13284</v>
      </c>
      <c r="C3708" s="9" t="s">
        <v>13284</v>
      </c>
      <c r="D3708" s="9" t="s">
        <v>13284</v>
      </c>
      <c r="E3708" s="9" t="s">
        <v>13284</v>
      </c>
      <c r="F3708" s="9" t="s">
        <v>13284</v>
      </c>
      <c r="G3708" s="9" t="s">
        <v>13284</v>
      </c>
      <c r="H3708" s="9" t="s">
        <v>13284</v>
      </c>
      <c r="I3708" s="9" t="s">
        <v>13284</v>
      </c>
      <c r="J3708" s="9" t="s">
        <v>13284</v>
      </c>
      <c r="K3708" s="9" t="s">
        <v>13284</v>
      </c>
      <c r="L3708" s="9" t="s">
        <v>13284</v>
      </c>
      <c r="M3708" s="9" t="s">
        <v>13284</v>
      </c>
      <c r="N3708" s="9" t="s">
        <v>13284</v>
      </c>
      <c r="O3708" s="9" t="s">
        <v>13284</v>
      </c>
      <c r="P3708" s="9" t="s">
        <v>13284</v>
      </c>
      <c r="Q3708" s="9" t="s">
        <v>13284</v>
      </c>
      <c r="R3708" s="9" t="s">
        <v>13284</v>
      </c>
      <c r="S3708" s="9" t="s">
        <v>13284</v>
      </c>
      <c r="T3708" s="9" t="str">
        <f ca="1">IFERROR(IF(AND(VLOOKUP(A3708, 'Актуальное состояние (из общего'!A:C,3,0) = "", A3708 &lt;&gt; ""), "ПРОВЕРИТЬ", VLOOKUP(A3708, 'Актуальное состояние (из общего'!A:C,3,0)), "")</f>
        <v/>
      </c>
      <c r="U3708" s="9" t="s">
        <v>13284</v>
      </c>
      <c r="V3708" s="9" t="s">
        <v>13284</v>
      </c>
      <c r="W3708" s="12"/>
      <c r="X3708" s="9" t="str">
        <f t="array" ref="X3708">IFERROR(INDEX('Адреса общежитий (скрытый)'!$B$2:$B$9, MATCH(W3708, 'Адреса общежитий (скрытый)'!$A$2:$A$9, 0)), "")</f>
        <v/>
      </c>
      <c r="Y3708" s="18"/>
      <c r="Z3708" s="18"/>
      <c r="AA3708" s="18"/>
      <c r="AB3708" s="18"/>
      <c r="AC3708" s="18"/>
    </row>
    <row r="3709" spans="1:29" ht="32.25" hidden="1" customHeight="1">
      <c r="A3709" s="17"/>
      <c r="B3709" s="9" t="s">
        <v>13284</v>
      </c>
      <c r="C3709" s="9" t="s">
        <v>13284</v>
      </c>
      <c r="D3709" s="9" t="s">
        <v>13284</v>
      </c>
      <c r="E3709" s="9" t="s">
        <v>13284</v>
      </c>
      <c r="F3709" s="9" t="s">
        <v>13284</v>
      </c>
      <c r="G3709" s="9" t="s">
        <v>13284</v>
      </c>
      <c r="H3709" s="9" t="s">
        <v>13284</v>
      </c>
      <c r="I3709" s="9" t="s">
        <v>13284</v>
      </c>
      <c r="J3709" s="9" t="s">
        <v>13284</v>
      </c>
      <c r="K3709" s="9" t="s">
        <v>13284</v>
      </c>
      <c r="L3709" s="9" t="s">
        <v>13284</v>
      </c>
      <c r="M3709" s="9" t="s">
        <v>13284</v>
      </c>
      <c r="N3709" s="9" t="s">
        <v>13284</v>
      </c>
      <c r="O3709" s="9" t="s">
        <v>13284</v>
      </c>
      <c r="P3709" s="9" t="s">
        <v>13284</v>
      </c>
      <c r="Q3709" s="9" t="s">
        <v>13284</v>
      </c>
      <c r="R3709" s="9" t="s">
        <v>13284</v>
      </c>
      <c r="S3709" s="9" t="s">
        <v>13284</v>
      </c>
      <c r="T3709" s="9" t="str">
        <f ca="1">IFERROR(IF(AND(VLOOKUP(A3709, 'Актуальное состояние (из общего'!A:C,3,0) = "", A3709 &lt;&gt; ""), "ПРОВЕРИТЬ", VLOOKUP(A3709, 'Актуальное состояние (из общего'!A:C,3,0)), "")</f>
        <v/>
      </c>
      <c r="U3709" s="9" t="s">
        <v>13284</v>
      </c>
      <c r="V3709" s="9" t="s">
        <v>13284</v>
      </c>
      <c r="W3709" s="12"/>
      <c r="X3709" s="9" t="str">
        <f t="array" ref="X3709">IFERROR(INDEX('Адреса общежитий (скрытый)'!$B$2:$B$9, MATCH(W3709, 'Адреса общежитий (скрытый)'!$A$2:$A$9, 0)), "")</f>
        <v/>
      </c>
      <c r="Y3709" s="18"/>
      <c r="Z3709" s="18"/>
      <c r="AA3709" s="18"/>
      <c r="AB3709" s="18"/>
      <c r="AC3709" s="18"/>
    </row>
    <row r="3710" spans="1:29" ht="32.25" hidden="1" customHeight="1">
      <c r="A3710" s="17"/>
      <c r="B3710" s="9" t="s">
        <v>13284</v>
      </c>
      <c r="C3710" s="9" t="s">
        <v>13284</v>
      </c>
      <c r="D3710" s="9" t="s">
        <v>13284</v>
      </c>
      <c r="E3710" s="9" t="s">
        <v>13284</v>
      </c>
      <c r="F3710" s="9" t="s">
        <v>13284</v>
      </c>
      <c r="G3710" s="9" t="s">
        <v>13284</v>
      </c>
      <c r="H3710" s="9" t="s">
        <v>13284</v>
      </c>
      <c r="I3710" s="9" t="s">
        <v>13284</v>
      </c>
      <c r="J3710" s="9" t="s">
        <v>13284</v>
      </c>
      <c r="K3710" s="9" t="s">
        <v>13284</v>
      </c>
      <c r="L3710" s="9" t="s">
        <v>13284</v>
      </c>
      <c r="M3710" s="9" t="s">
        <v>13284</v>
      </c>
      <c r="N3710" s="9" t="s">
        <v>13284</v>
      </c>
      <c r="O3710" s="9" t="s">
        <v>13284</v>
      </c>
      <c r="P3710" s="9" t="s">
        <v>13284</v>
      </c>
      <c r="Q3710" s="9" t="s">
        <v>13284</v>
      </c>
      <c r="R3710" s="9" t="s">
        <v>13284</v>
      </c>
      <c r="S3710" s="9" t="s">
        <v>13284</v>
      </c>
      <c r="T3710" s="9" t="str">
        <f ca="1">IFERROR(IF(AND(VLOOKUP(A3710, 'Актуальное состояние (из общего'!A:C,3,0) = "", A3710 &lt;&gt; ""), "ПРОВЕРИТЬ", VLOOKUP(A3710, 'Актуальное состояние (из общего'!A:C,3,0)), "")</f>
        <v/>
      </c>
      <c r="U3710" s="9" t="s">
        <v>13284</v>
      </c>
      <c r="V3710" s="9" t="s">
        <v>13284</v>
      </c>
      <c r="W3710" s="12"/>
      <c r="X3710" s="9" t="str">
        <f t="array" ref="X3710">IFERROR(INDEX('Адреса общежитий (скрытый)'!$B$2:$B$9, MATCH(W3710, 'Адреса общежитий (скрытый)'!$A$2:$A$9, 0)), "")</f>
        <v/>
      </c>
      <c r="Y3710" s="18"/>
      <c r="Z3710" s="18"/>
      <c r="AA3710" s="18"/>
      <c r="AB3710" s="18"/>
      <c r="AC3710" s="18"/>
    </row>
    <row r="3711" spans="1:29" ht="32.25" hidden="1" customHeight="1">
      <c r="A3711" s="17"/>
      <c r="B3711" s="9" t="s">
        <v>13284</v>
      </c>
      <c r="C3711" s="9" t="s">
        <v>13284</v>
      </c>
      <c r="D3711" s="9" t="s">
        <v>13284</v>
      </c>
      <c r="E3711" s="9" t="s">
        <v>13284</v>
      </c>
      <c r="F3711" s="9" t="s">
        <v>13284</v>
      </c>
      <c r="G3711" s="9" t="s">
        <v>13284</v>
      </c>
      <c r="H3711" s="9" t="s">
        <v>13284</v>
      </c>
      <c r="I3711" s="9" t="s">
        <v>13284</v>
      </c>
      <c r="J3711" s="9" t="s">
        <v>13284</v>
      </c>
      <c r="K3711" s="9" t="s">
        <v>13284</v>
      </c>
      <c r="L3711" s="9" t="s">
        <v>13284</v>
      </c>
      <c r="M3711" s="9" t="s">
        <v>13284</v>
      </c>
      <c r="N3711" s="9" t="s">
        <v>13284</v>
      </c>
      <c r="O3711" s="9" t="s">
        <v>13284</v>
      </c>
      <c r="P3711" s="9" t="s">
        <v>13284</v>
      </c>
      <c r="Q3711" s="9" t="s">
        <v>13284</v>
      </c>
      <c r="R3711" s="9" t="s">
        <v>13284</v>
      </c>
      <c r="S3711" s="9" t="s">
        <v>13284</v>
      </c>
      <c r="T3711" s="9" t="str">
        <f ca="1">IFERROR(IF(AND(VLOOKUP(A3711, 'Актуальное состояние (из общего'!A:C,3,0) = "", A3711 &lt;&gt; ""), "ПРОВЕРИТЬ", VLOOKUP(A3711, 'Актуальное состояние (из общего'!A:C,3,0)), "")</f>
        <v/>
      </c>
      <c r="U3711" s="9" t="s">
        <v>13284</v>
      </c>
      <c r="V3711" s="9" t="s">
        <v>13284</v>
      </c>
      <c r="W3711" s="12"/>
      <c r="X3711" s="9" t="str">
        <f t="array" ref="X3711">IFERROR(INDEX('Адреса общежитий (скрытый)'!$B$2:$B$9, MATCH(W3711, 'Адреса общежитий (скрытый)'!$A$2:$A$9, 0)), "")</f>
        <v/>
      </c>
      <c r="Y3711" s="18"/>
      <c r="Z3711" s="18"/>
      <c r="AA3711" s="18"/>
      <c r="AB3711" s="18"/>
      <c r="AC3711" s="18"/>
    </row>
    <row r="3712" spans="1:29" ht="32.25" hidden="1" customHeight="1">
      <c r="A3712" s="17"/>
      <c r="B3712" s="9" t="s">
        <v>13284</v>
      </c>
      <c r="C3712" s="9" t="s">
        <v>13284</v>
      </c>
      <c r="D3712" s="9" t="s">
        <v>13284</v>
      </c>
      <c r="E3712" s="9" t="s">
        <v>13284</v>
      </c>
      <c r="F3712" s="9" t="s">
        <v>13284</v>
      </c>
      <c r="G3712" s="9" t="s">
        <v>13284</v>
      </c>
      <c r="H3712" s="9" t="s">
        <v>13284</v>
      </c>
      <c r="I3712" s="9" t="s">
        <v>13284</v>
      </c>
      <c r="J3712" s="9" t="s">
        <v>13284</v>
      </c>
      <c r="K3712" s="9" t="s">
        <v>13284</v>
      </c>
      <c r="L3712" s="9" t="s">
        <v>13284</v>
      </c>
      <c r="M3712" s="9" t="s">
        <v>13284</v>
      </c>
      <c r="N3712" s="9" t="s">
        <v>13284</v>
      </c>
      <c r="O3712" s="9" t="s">
        <v>13284</v>
      </c>
      <c r="P3712" s="9" t="s">
        <v>13284</v>
      </c>
      <c r="Q3712" s="9" t="s">
        <v>13284</v>
      </c>
      <c r="R3712" s="9" t="s">
        <v>13284</v>
      </c>
      <c r="S3712" s="9" t="s">
        <v>13284</v>
      </c>
      <c r="T3712" s="9" t="str">
        <f ca="1">IFERROR(IF(AND(VLOOKUP(A3712, 'Актуальное состояние (из общего'!A:C,3,0) = "", A3712 &lt;&gt; ""), "ПРОВЕРИТЬ", VLOOKUP(A3712, 'Актуальное состояние (из общего'!A:C,3,0)), "")</f>
        <v/>
      </c>
      <c r="U3712" s="9" t="s">
        <v>13284</v>
      </c>
      <c r="V3712" s="9" t="s">
        <v>13284</v>
      </c>
      <c r="W3712" s="12"/>
      <c r="X3712" s="9" t="str">
        <f t="array" ref="X3712">IFERROR(INDEX('Адреса общежитий (скрытый)'!$B$2:$B$9, MATCH(W3712, 'Адреса общежитий (скрытый)'!$A$2:$A$9, 0)), "")</f>
        <v/>
      </c>
      <c r="Y3712" s="18"/>
      <c r="Z3712" s="18"/>
      <c r="AA3712" s="18"/>
      <c r="AB3712" s="18"/>
      <c r="AC3712" s="18"/>
    </row>
    <row r="3713" spans="1:29" ht="32.25" hidden="1" customHeight="1">
      <c r="A3713" s="17"/>
      <c r="B3713" s="9" t="s">
        <v>13284</v>
      </c>
      <c r="C3713" s="9" t="s">
        <v>13284</v>
      </c>
      <c r="D3713" s="9" t="s">
        <v>13284</v>
      </c>
      <c r="E3713" s="9" t="s">
        <v>13284</v>
      </c>
      <c r="F3713" s="9" t="s">
        <v>13284</v>
      </c>
      <c r="G3713" s="9" t="s">
        <v>13284</v>
      </c>
      <c r="H3713" s="9" t="s">
        <v>13284</v>
      </c>
      <c r="I3713" s="9" t="s">
        <v>13284</v>
      </c>
      <c r="J3713" s="9" t="s">
        <v>13284</v>
      </c>
      <c r="K3713" s="9" t="s">
        <v>13284</v>
      </c>
      <c r="L3713" s="9" t="s">
        <v>13284</v>
      </c>
      <c r="M3713" s="9" t="s">
        <v>13284</v>
      </c>
      <c r="N3713" s="9" t="s">
        <v>13284</v>
      </c>
      <c r="O3713" s="9" t="s">
        <v>13284</v>
      </c>
      <c r="P3713" s="9" t="s">
        <v>13284</v>
      </c>
      <c r="Q3713" s="9" t="s">
        <v>13284</v>
      </c>
      <c r="R3713" s="9" t="s">
        <v>13284</v>
      </c>
      <c r="S3713" s="9" t="s">
        <v>13284</v>
      </c>
      <c r="T3713" s="9" t="str">
        <f ca="1">IFERROR(IF(AND(VLOOKUP(A3713, 'Актуальное состояние (из общего'!A:C,3,0) = "", A3713 &lt;&gt; ""), "ПРОВЕРИТЬ", VLOOKUP(A3713, 'Актуальное состояние (из общего'!A:C,3,0)), "")</f>
        <v/>
      </c>
      <c r="U3713" s="9" t="s">
        <v>13284</v>
      </c>
      <c r="V3713" s="9" t="s">
        <v>13284</v>
      </c>
      <c r="W3713" s="12"/>
      <c r="X3713" s="9" t="str">
        <f t="array" ref="X3713">IFERROR(INDEX('Адреса общежитий (скрытый)'!$B$2:$B$9, MATCH(W3713, 'Адреса общежитий (скрытый)'!$A$2:$A$9, 0)), "")</f>
        <v/>
      </c>
      <c r="Y3713" s="18"/>
      <c r="Z3713" s="18"/>
      <c r="AA3713" s="18"/>
      <c r="AB3713" s="18"/>
      <c r="AC3713" s="18"/>
    </row>
    <row r="3714" spans="1:29" ht="32.25" hidden="1" customHeight="1">
      <c r="A3714" s="17"/>
      <c r="B3714" s="9" t="s">
        <v>13284</v>
      </c>
      <c r="C3714" s="9" t="s">
        <v>13284</v>
      </c>
      <c r="D3714" s="9" t="s">
        <v>13284</v>
      </c>
      <c r="E3714" s="9" t="s">
        <v>13284</v>
      </c>
      <c r="F3714" s="9" t="s">
        <v>13284</v>
      </c>
      <c r="G3714" s="9" t="s">
        <v>13284</v>
      </c>
      <c r="H3714" s="9" t="s">
        <v>13284</v>
      </c>
      <c r="I3714" s="9" t="s">
        <v>13284</v>
      </c>
      <c r="J3714" s="9" t="s">
        <v>13284</v>
      </c>
      <c r="K3714" s="9" t="s">
        <v>13284</v>
      </c>
      <c r="L3714" s="9" t="s">
        <v>13284</v>
      </c>
      <c r="M3714" s="9" t="s">
        <v>13284</v>
      </c>
      <c r="N3714" s="9" t="s">
        <v>13284</v>
      </c>
      <c r="O3714" s="9" t="s">
        <v>13284</v>
      </c>
      <c r="P3714" s="9" t="s">
        <v>13284</v>
      </c>
      <c r="Q3714" s="9" t="s">
        <v>13284</v>
      </c>
      <c r="R3714" s="9" t="s">
        <v>13284</v>
      </c>
      <c r="S3714" s="9" t="s">
        <v>13284</v>
      </c>
      <c r="T3714" s="9" t="str">
        <f ca="1">IFERROR(IF(AND(VLOOKUP(A3714, 'Актуальное состояние (из общего'!A:C,3,0) = "", A3714 &lt;&gt; ""), "ПРОВЕРИТЬ", VLOOKUP(A3714, 'Актуальное состояние (из общего'!A:C,3,0)), "")</f>
        <v/>
      </c>
      <c r="U3714" s="9" t="s">
        <v>13284</v>
      </c>
      <c r="V3714" s="9" t="s">
        <v>13284</v>
      </c>
      <c r="W3714" s="12"/>
      <c r="X3714" s="9" t="str">
        <f t="array" ref="X3714">IFERROR(INDEX('Адреса общежитий (скрытый)'!$B$2:$B$9, MATCH(W3714, 'Адреса общежитий (скрытый)'!$A$2:$A$9, 0)), "")</f>
        <v/>
      </c>
      <c r="Y3714" s="18"/>
      <c r="Z3714" s="18"/>
      <c r="AA3714" s="18"/>
      <c r="AB3714" s="18"/>
      <c r="AC3714" s="18"/>
    </row>
    <row r="3715" spans="1:29" ht="32.25" hidden="1" customHeight="1">
      <c r="A3715" s="17"/>
      <c r="B3715" s="9" t="s">
        <v>13284</v>
      </c>
      <c r="C3715" s="9" t="s">
        <v>13284</v>
      </c>
      <c r="D3715" s="9" t="s">
        <v>13284</v>
      </c>
      <c r="E3715" s="9" t="s">
        <v>13284</v>
      </c>
      <c r="F3715" s="9" t="s">
        <v>13284</v>
      </c>
      <c r="G3715" s="9" t="s">
        <v>13284</v>
      </c>
      <c r="H3715" s="9" t="s">
        <v>13284</v>
      </c>
      <c r="I3715" s="9" t="s">
        <v>13284</v>
      </c>
      <c r="J3715" s="9" t="s">
        <v>13284</v>
      </c>
      <c r="K3715" s="9" t="s">
        <v>13284</v>
      </c>
      <c r="L3715" s="9" t="s">
        <v>13284</v>
      </c>
      <c r="M3715" s="9" t="s">
        <v>13284</v>
      </c>
      <c r="N3715" s="9" t="s">
        <v>13284</v>
      </c>
      <c r="O3715" s="9" t="s">
        <v>13284</v>
      </c>
      <c r="P3715" s="9" t="s">
        <v>13284</v>
      </c>
      <c r="Q3715" s="9" t="s">
        <v>13284</v>
      </c>
      <c r="R3715" s="9" t="s">
        <v>13284</v>
      </c>
      <c r="S3715" s="9" t="s">
        <v>13284</v>
      </c>
      <c r="T3715" s="9" t="str">
        <f ca="1">IFERROR(IF(AND(VLOOKUP(A3715, 'Актуальное состояние (из общего'!A:C,3,0) = "", A3715 &lt;&gt; ""), "ПРОВЕРИТЬ", VLOOKUP(A3715, 'Актуальное состояние (из общего'!A:C,3,0)), "")</f>
        <v/>
      </c>
      <c r="U3715" s="9" t="s">
        <v>13284</v>
      </c>
      <c r="V3715" s="9" t="s">
        <v>13284</v>
      </c>
      <c r="W3715" s="12"/>
      <c r="X3715" s="9" t="str">
        <f t="array" ref="X3715">IFERROR(INDEX('Адреса общежитий (скрытый)'!$B$2:$B$9, MATCH(W3715, 'Адреса общежитий (скрытый)'!$A$2:$A$9, 0)), "")</f>
        <v/>
      </c>
      <c r="Y3715" s="18"/>
      <c r="Z3715" s="18"/>
      <c r="AA3715" s="18"/>
      <c r="AB3715" s="18"/>
      <c r="AC3715" s="18"/>
    </row>
    <row r="3716" spans="1:29" ht="32.25" hidden="1" customHeight="1">
      <c r="A3716" s="17"/>
      <c r="B3716" s="9" t="s">
        <v>13284</v>
      </c>
      <c r="C3716" s="9" t="s">
        <v>13284</v>
      </c>
      <c r="D3716" s="9" t="s">
        <v>13284</v>
      </c>
      <c r="E3716" s="9" t="s">
        <v>13284</v>
      </c>
      <c r="F3716" s="9" t="s">
        <v>13284</v>
      </c>
      <c r="G3716" s="9" t="s">
        <v>13284</v>
      </c>
      <c r="H3716" s="9" t="s">
        <v>13284</v>
      </c>
      <c r="I3716" s="9" t="s">
        <v>13284</v>
      </c>
      <c r="J3716" s="9" t="s">
        <v>13284</v>
      </c>
      <c r="K3716" s="9" t="s">
        <v>13284</v>
      </c>
      <c r="L3716" s="9" t="s">
        <v>13284</v>
      </c>
      <c r="M3716" s="9" t="s">
        <v>13284</v>
      </c>
      <c r="N3716" s="9" t="s">
        <v>13284</v>
      </c>
      <c r="O3716" s="9" t="s">
        <v>13284</v>
      </c>
      <c r="P3716" s="9" t="s">
        <v>13284</v>
      </c>
      <c r="Q3716" s="9" t="s">
        <v>13284</v>
      </c>
      <c r="R3716" s="9" t="s">
        <v>13284</v>
      </c>
      <c r="S3716" s="9" t="s">
        <v>13284</v>
      </c>
      <c r="T3716" s="9" t="str">
        <f ca="1">IFERROR(IF(AND(VLOOKUP(A3716, 'Актуальное состояние (из общего'!A:C,3,0) = "", A3716 &lt;&gt; ""), "ПРОВЕРИТЬ", VLOOKUP(A3716, 'Актуальное состояние (из общего'!A:C,3,0)), "")</f>
        <v/>
      </c>
      <c r="U3716" s="9" t="s">
        <v>13284</v>
      </c>
      <c r="V3716" s="9" t="s">
        <v>13284</v>
      </c>
      <c r="W3716" s="12"/>
      <c r="X3716" s="9" t="str">
        <f t="array" ref="X3716">IFERROR(INDEX('Адреса общежитий (скрытый)'!$B$2:$B$9, MATCH(W3716, 'Адреса общежитий (скрытый)'!$A$2:$A$9, 0)), "")</f>
        <v/>
      </c>
      <c r="Y3716" s="18"/>
      <c r="Z3716" s="18"/>
      <c r="AA3716" s="18"/>
      <c r="AB3716" s="18"/>
      <c r="AC3716" s="18"/>
    </row>
    <row r="3717" spans="1:29" ht="32.25" hidden="1" customHeight="1">
      <c r="A3717" s="17"/>
      <c r="B3717" s="9" t="s">
        <v>13284</v>
      </c>
      <c r="C3717" s="9" t="s">
        <v>13284</v>
      </c>
      <c r="D3717" s="9" t="s">
        <v>13284</v>
      </c>
      <c r="E3717" s="9" t="s">
        <v>13284</v>
      </c>
      <c r="F3717" s="9" t="s">
        <v>13284</v>
      </c>
      <c r="G3717" s="9" t="s">
        <v>13284</v>
      </c>
      <c r="H3717" s="9" t="s">
        <v>13284</v>
      </c>
      <c r="I3717" s="9" t="s">
        <v>13284</v>
      </c>
      <c r="J3717" s="9" t="s">
        <v>13284</v>
      </c>
      <c r="K3717" s="9" t="s">
        <v>13284</v>
      </c>
      <c r="L3717" s="9" t="s">
        <v>13284</v>
      </c>
      <c r="M3717" s="9" t="s">
        <v>13284</v>
      </c>
      <c r="N3717" s="9" t="s">
        <v>13284</v>
      </c>
      <c r="O3717" s="9" t="s">
        <v>13284</v>
      </c>
      <c r="P3717" s="9" t="s">
        <v>13284</v>
      </c>
      <c r="Q3717" s="9" t="s">
        <v>13284</v>
      </c>
      <c r="R3717" s="9" t="s">
        <v>13284</v>
      </c>
      <c r="S3717" s="9" t="s">
        <v>13284</v>
      </c>
      <c r="T3717" s="9" t="str">
        <f ca="1">IFERROR(IF(AND(VLOOKUP(A3717, 'Актуальное состояние (из общего'!A:C,3,0) = "", A3717 &lt;&gt; ""), "ПРОВЕРИТЬ", VLOOKUP(A3717, 'Актуальное состояние (из общего'!A:C,3,0)), "")</f>
        <v/>
      </c>
      <c r="U3717" s="9" t="s">
        <v>13284</v>
      </c>
      <c r="V3717" s="9" t="s">
        <v>13284</v>
      </c>
      <c r="W3717" s="12"/>
      <c r="X3717" s="9" t="str">
        <f t="array" ref="X3717">IFERROR(INDEX('Адреса общежитий (скрытый)'!$B$2:$B$9, MATCH(W3717, 'Адреса общежитий (скрытый)'!$A$2:$A$9, 0)), "")</f>
        <v/>
      </c>
      <c r="Y3717" s="18"/>
      <c r="Z3717" s="18"/>
      <c r="AA3717" s="18"/>
      <c r="AB3717" s="18"/>
      <c r="AC3717" s="18"/>
    </row>
    <row r="3718" spans="1:29" ht="32.25" hidden="1" customHeight="1">
      <c r="A3718" s="17"/>
      <c r="B3718" s="9" t="s">
        <v>13284</v>
      </c>
      <c r="C3718" s="9" t="s">
        <v>13284</v>
      </c>
      <c r="D3718" s="9" t="s">
        <v>13284</v>
      </c>
      <c r="E3718" s="9" t="s">
        <v>13284</v>
      </c>
      <c r="F3718" s="9" t="s">
        <v>13284</v>
      </c>
      <c r="G3718" s="9" t="s">
        <v>13284</v>
      </c>
      <c r="H3718" s="9" t="s">
        <v>13284</v>
      </c>
      <c r="I3718" s="9" t="s">
        <v>13284</v>
      </c>
      <c r="J3718" s="9" t="s">
        <v>13284</v>
      </c>
      <c r="K3718" s="9" t="s">
        <v>13284</v>
      </c>
      <c r="L3718" s="9" t="s">
        <v>13284</v>
      </c>
      <c r="M3718" s="9" t="s">
        <v>13284</v>
      </c>
      <c r="N3718" s="9" t="s">
        <v>13284</v>
      </c>
      <c r="O3718" s="9" t="s">
        <v>13284</v>
      </c>
      <c r="P3718" s="9" t="s">
        <v>13284</v>
      </c>
      <c r="Q3718" s="9" t="s">
        <v>13284</v>
      </c>
      <c r="R3718" s="9" t="s">
        <v>13284</v>
      </c>
      <c r="S3718" s="9" t="s">
        <v>13284</v>
      </c>
      <c r="T3718" s="9" t="str">
        <f ca="1">IFERROR(IF(AND(VLOOKUP(A3718, 'Актуальное состояние (из общего'!A:C,3,0) = "", A3718 &lt;&gt; ""), "ПРОВЕРИТЬ", VLOOKUP(A3718, 'Актуальное состояние (из общего'!A:C,3,0)), "")</f>
        <v/>
      </c>
      <c r="U3718" s="9" t="s">
        <v>13284</v>
      </c>
      <c r="V3718" s="9" t="s">
        <v>13284</v>
      </c>
      <c r="W3718" s="12"/>
      <c r="X3718" s="9" t="str">
        <f t="array" ref="X3718">IFERROR(INDEX('Адреса общежитий (скрытый)'!$B$2:$B$9, MATCH(W3718, 'Адреса общежитий (скрытый)'!$A$2:$A$9, 0)), "")</f>
        <v/>
      </c>
      <c r="Y3718" s="18"/>
      <c r="Z3718" s="18"/>
      <c r="AA3718" s="18"/>
      <c r="AB3718" s="18"/>
      <c r="AC3718" s="18"/>
    </row>
    <row r="3719" spans="1:29" ht="32.25" hidden="1" customHeight="1">
      <c r="A3719" s="17"/>
      <c r="B3719" s="9" t="s">
        <v>13284</v>
      </c>
      <c r="C3719" s="9" t="s">
        <v>13284</v>
      </c>
      <c r="D3719" s="9" t="s">
        <v>13284</v>
      </c>
      <c r="E3719" s="9" t="s">
        <v>13284</v>
      </c>
      <c r="F3719" s="9" t="s">
        <v>13284</v>
      </c>
      <c r="G3719" s="9" t="s">
        <v>13284</v>
      </c>
      <c r="H3719" s="9" t="s">
        <v>13284</v>
      </c>
      <c r="I3719" s="9" t="s">
        <v>13284</v>
      </c>
      <c r="J3719" s="9" t="s">
        <v>13284</v>
      </c>
      <c r="K3719" s="9" t="s">
        <v>13284</v>
      </c>
      <c r="L3719" s="9" t="s">
        <v>13284</v>
      </c>
      <c r="M3719" s="9" t="s">
        <v>13284</v>
      </c>
      <c r="N3719" s="9" t="s">
        <v>13284</v>
      </c>
      <c r="O3719" s="9" t="s">
        <v>13284</v>
      </c>
      <c r="P3719" s="9" t="s">
        <v>13284</v>
      </c>
      <c r="Q3719" s="9" t="s">
        <v>13284</v>
      </c>
      <c r="R3719" s="9" t="s">
        <v>13284</v>
      </c>
      <c r="S3719" s="9" t="s">
        <v>13284</v>
      </c>
      <c r="T3719" s="9" t="str">
        <f ca="1">IFERROR(IF(AND(VLOOKUP(A3719, 'Актуальное состояние (из общего'!A:C,3,0) = "", A3719 &lt;&gt; ""), "ПРОВЕРИТЬ", VLOOKUP(A3719, 'Актуальное состояние (из общего'!A:C,3,0)), "")</f>
        <v/>
      </c>
      <c r="U3719" s="9" t="s">
        <v>13284</v>
      </c>
      <c r="V3719" s="9" t="s">
        <v>13284</v>
      </c>
      <c r="W3719" s="12"/>
      <c r="X3719" s="9" t="str">
        <f t="array" ref="X3719">IFERROR(INDEX('Адреса общежитий (скрытый)'!$B$2:$B$9, MATCH(W3719, 'Адреса общежитий (скрытый)'!$A$2:$A$9, 0)), "")</f>
        <v/>
      </c>
      <c r="Y3719" s="18"/>
      <c r="Z3719" s="18"/>
      <c r="AA3719" s="18"/>
      <c r="AB3719" s="18"/>
      <c r="AC3719" s="18"/>
    </row>
    <row r="3720" spans="1:29" ht="32.25" hidden="1" customHeight="1">
      <c r="A3720" s="17"/>
      <c r="B3720" s="9" t="s">
        <v>13284</v>
      </c>
      <c r="C3720" s="9" t="s">
        <v>13284</v>
      </c>
      <c r="D3720" s="9" t="s">
        <v>13284</v>
      </c>
      <c r="E3720" s="9" t="s">
        <v>13284</v>
      </c>
      <c r="F3720" s="9" t="s">
        <v>13284</v>
      </c>
      <c r="G3720" s="9" t="s">
        <v>13284</v>
      </c>
      <c r="H3720" s="9" t="s">
        <v>13284</v>
      </c>
      <c r="I3720" s="9" t="s">
        <v>13284</v>
      </c>
      <c r="J3720" s="9" t="s">
        <v>13284</v>
      </c>
      <c r="K3720" s="9" t="s">
        <v>13284</v>
      </c>
      <c r="L3720" s="9" t="s">
        <v>13284</v>
      </c>
      <c r="M3720" s="9" t="s">
        <v>13284</v>
      </c>
      <c r="N3720" s="9" t="s">
        <v>13284</v>
      </c>
      <c r="O3720" s="9" t="s">
        <v>13284</v>
      </c>
      <c r="P3720" s="9" t="s">
        <v>13284</v>
      </c>
      <c r="Q3720" s="9" t="s">
        <v>13284</v>
      </c>
      <c r="R3720" s="9" t="s">
        <v>13284</v>
      </c>
      <c r="S3720" s="9" t="s">
        <v>13284</v>
      </c>
      <c r="T3720" s="9" t="str">
        <f ca="1">IFERROR(IF(AND(VLOOKUP(A3720, 'Актуальное состояние (из общего'!A:C,3,0) = "", A3720 &lt;&gt; ""), "ПРОВЕРИТЬ", VLOOKUP(A3720, 'Актуальное состояние (из общего'!A:C,3,0)), "")</f>
        <v/>
      </c>
      <c r="U3720" s="9" t="s">
        <v>13284</v>
      </c>
      <c r="V3720" s="9" t="s">
        <v>13284</v>
      </c>
      <c r="W3720" s="12"/>
      <c r="X3720" s="9" t="str">
        <f t="array" ref="X3720">IFERROR(INDEX('Адреса общежитий (скрытый)'!$B$2:$B$9, MATCH(W3720, 'Адреса общежитий (скрытый)'!$A$2:$A$9, 0)), "")</f>
        <v/>
      </c>
      <c r="Y3720" s="18"/>
      <c r="Z3720" s="18"/>
      <c r="AA3720" s="18"/>
      <c r="AB3720" s="18"/>
      <c r="AC3720" s="18"/>
    </row>
    <row r="3721" spans="1:29" ht="32.25" hidden="1" customHeight="1">
      <c r="A3721" s="17"/>
      <c r="B3721" s="9" t="s">
        <v>13284</v>
      </c>
      <c r="C3721" s="9" t="s">
        <v>13284</v>
      </c>
      <c r="D3721" s="9" t="s">
        <v>13284</v>
      </c>
      <c r="E3721" s="9" t="s">
        <v>13284</v>
      </c>
      <c r="F3721" s="9" t="s">
        <v>13284</v>
      </c>
      <c r="G3721" s="9" t="s">
        <v>13284</v>
      </c>
      <c r="H3721" s="9" t="s">
        <v>13284</v>
      </c>
      <c r="I3721" s="9" t="s">
        <v>13284</v>
      </c>
      <c r="J3721" s="9" t="s">
        <v>13284</v>
      </c>
      <c r="K3721" s="9" t="s">
        <v>13284</v>
      </c>
      <c r="L3721" s="9" t="s">
        <v>13284</v>
      </c>
      <c r="M3721" s="9" t="s">
        <v>13284</v>
      </c>
      <c r="N3721" s="9" t="s">
        <v>13284</v>
      </c>
      <c r="O3721" s="9" t="s">
        <v>13284</v>
      </c>
      <c r="P3721" s="9" t="s">
        <v>13284</v>
      </c>
      <c r="Q3721" s="9" t="s">
        <v>13284</v>
      </c>
      <c r="R3721" s="9" t="s">
        <v>13284</v>
      </c>
      <c r="S3721" s="9" t="s">
        <v>13284</v>
      </c>
      <c r="T3721" s="9" t="str">
        <f ca="1">IFERROR(IF(AND(VLOOKUP(A3721, 'Актуальное состояние (из общего'!A:C,3,0) = "", A3721 &lt;&gt; ""), "ПРОВЕРИТЬ", VLOOKUP(A3721, 'Актуальное состояние (из общего'!A:C,3,0)), "")</f>
        <v/>
      </c>
      <c r="U3721" s="9" t="s">
        <v>13284</v>
      </c>
      <c r="V3721" s="9" t="s">
        <v>13284</v>
      </c>
      <c r="W3721" s="12"/>
      <c r="X3721" s="9" t="str">
        <f t="array" ref="X3721">IFERROR(INDEX('Адреса общежитий (скрытый)'!$B$2:$B$9, MATCH(W3721, 'Адреса общежитий (скрытый)'!$A$2:$A$9, 0)), "")</f>
        <v/>
      </c>
      <c r="Y3721" s="18"/>
      <c r="Z3721" s="18"/>
      <c r="AA3721" s="18"/>
      <c r="AB3721" s="18"/>
      <c r="AC3721" s="18"/>
    </row>
    <row r="3722" spans="1:29" ht="32.25" hidden="1" customHeight="1">
      <c r="A3722" s="17"/>
      <c r="B3722" s="9" t="s">
        <v>13284</v>
      </c>
      <c r="C3722" s="9" t="s">
        <v>13284</v>
      </c>
      <c r="D3722" s="9" t="s">
        <v>13284</v>
      </c>
      <c r="E3722" s="9" t="s">
        <v>13284</v>
      </c>
      <c r="F3722" s="9" t="s">
        <v>13284</v>
      </c>
      <c r="G3722" s="9" t="s">
        <v>13284</v>
      </c>
      <c r="H3722" s="9" t="s">
        <v>13284</v>
      </c>
      <c r="I3722" s="9" t="s">
        <v>13284</v>
      </c>
      <c r="J3722" s="9" t="s">
        <v>13284</v>
      </c>
      <c r="K3722" s="9" t="s">
        <v>13284</v>
      </c>
      <c r="L3722" s="9" t="s">
        <v>13284</v>
      </c>
      <c r="M3722" s="9" t="s">
        <v>13284</v>
      </c>
      <c r="N3722" s="9" t="s">
        <v>13284</v>
      </c>
      <c r="O3722" s="9" t="s">
        <v>13284</v>
      </c>
      <c r="P3722" s="9" t="s">
        <v>13284</v>
      </c>
      <c r="Q3722" s="9" t="s">
        <v>13284</v>
      </c>
      <c r="R3722" s="9" t="s">
        <v>13284</v>
      </c>
      <c r="S3722" s="9" t="s">
        <v>13284</v>
      </c>
      <c r="T3722" s="9" t="str">
        <f ca="1">IFERROR(IF(AND(VLOOKUP(A3722, 'Актуальное состояние (из общего'!A:C,3,0) = "", A3722 &lt;&gt; ""), "ПРОВЕРИТЬ", VLOOKUP(A3722, 'Актуальное состояние (из общего'!A:C,3,0)), "")</f>
        <v/>
      </c>
      <c r="U3722" s="9" t="s">
        <v>13284</v>
      </c>
      <c r="V3722" s="9" t="s">
        <v>13284</v>
      </c>
      <c r="W3722" s="12"/>
      <c r="X3722" s="9" t="str">
        <f t="array" ref="X3722">IFERROR(INDEX('Адреса общежитий (скрытый)'!$B$2:$B$9, MATCH(W3722, 'Адреса общежитий (скрытый)'!$A$2:$A$9, 0)), "")</f>
        <v/>
      </c>
      <c r="Y3722" s="18"/>
      <c r="Z3722" s="18"/>
      <c r="AA3722" s="18"/>
      <c r="AB3722" s="18"/>
      <c r="AC3722" s="18"/>
    </row>
    <row r="3723" spans="1:29" ht="32.25" hidden="1" customHeight="1">
      <c r="A3723" s="17"/>
      <c r="B3723" s="9" t="s">
        <v>13284</v>
      </c>
      <c r="C3723" s="9" t="s">
        <v>13284</v>
      </c>
      <c r="D3723" s="9" t="s">
        <v>13284</v>
      </c>
      <c r="E3723" s="9" t="s">
        <v>13284</v>
      </c>
      <c r="F3723" s="9" t="s">
        <v>13284</v>
      </c>
      <c r="G3723" s="9" t="s">
        <v>13284</v>
      </c>
      <c r="H3723" s="9" t="s">
        <v>13284</v>
      </c>
      <c r="I3723" s="9" t="s">
        <v>13284</v>
      </c>
      <c r="J3723" s="9" t="s">
        <v>13284</v>
      </c>
      <c r="K3723" s="9" t="s">
        <v>13284</v>
      </c>
      <c r="L3723" s="9" t="s">
        <v>13284</v>
      </c>
      <c r="M3723" s="9" t="s">
        <v>13284</v>
      </c>
      <c r="N3723" s="9" t="s">
        <v>13284</v>
      </c>
      <c r="O3723" s="9" t="s">
        <v>13284</v>
      </c>
      <c r="P3723" s="9" t="s">
        <v>13284</v>
      </c>
      <c r="Q3723" s="9" t="s">
        <v>13284</v>
      </c>
      <c r="R3723" s="9" t="s">
        <v>13284</v>
      </c>
      <c r="S3723" s="9" t="s">
        <v>13284</v>
      </c>
      <c r="T3723" s="9" t="str">
        <f ca="1">IFERROR(IF(AND(VLOOKUP(A3723, 'Актуальное состояние (из общего'!A:C,3,0) = "", A3723 &lt;&gt; ""), "ПРОВЕРИТЬ", VLOOKUP(A3723, 'Актуальное состояние (из общего'!A:C,3,0)), "")</f>
        <v/>
      </c>
      <c r="U3723" s="9" t="s">
        <v>13284</v>
      </c>
      <c r="V3723" s="9" t="s">
        <v>13284</v>
      </c>
      <c r="W3723" s="12"/>
      <c r="X3723" s="9" t="str">
        <f t="array" ref="X3723">IFERROR(INDEX('Адреса общежитий (скрытый)'!$B$2:$B$9, MATCH(W3723, 'Адреса общежитий (скрытый)'!$A$2:$A$9, 0)), "")</f>
        <v/>
      </c>
      <c r="Y3723" s="18"/>
      <c r="Z3723" s="18"/>
      <c r="AA3723" s="18"/>
      <c r="AB3723" s="18"/>
      <c r="AC3723" s="18"/>
    </row>
    <row r="3724" spans="1:29" ht="32.25" hidden="1" customHeight="1">
      <c r="A3724" s="17"/>
      <c r="B3724" s="9" t="s">
        <v>13284</v>
      </c>
      <c r="C3724" s="9" t="s">
        <v>13284</v>
      </c>
      <c r="D3724" s="9" t="s">
        <v>13284</v>
      </c>
      <c r="E3724" s="9" t="s">
        <v>13284</v>
      </c>
      <c r="F3724" s="9" t="s">
        <v>13284</v>
      </c>
      <c r="G3724" s="9" t="s">
        <v>13284</v>
      </c>
      <c r="H3724" s="9" t="s">
        <v>13284</v>
      </c>
      <c r="I3724" s="9" t="s">
        <v>13284</v>
      </c>
      <c r="J3724" s="9" t="s">
        <v>13284</v>
      </c>
      <c r="K3724" s="9" t="s">
        <v>13284</v>
      </c>
      <c r="L3724" s="9" t="s">
        <v>13284</v>
      </c>
      <c r="M3724" s="9" t="s">
        <v>13284</v>
      </c>
      <c r="N3724" s="9" t="s">
        <v>13284</v>
      </c>
      <c r="O3724" s="9" t="s">
        <v>13284</v>
      </c>
      <c r="P3724" s="9" t="s">
        <v>13284</v>
      </c>
      <c r="Q3724" s="9" t="s">
        <v>13284</v>
      </c>
      <c r="R3724" s="9" t="s">
        <v>13284</v>
      </c>
      <c r="S3724" s="9" t="s">
        <v>13284</v>
      </c>
      <c r="T3724" s="9" t="str">
        <f ca="1">IFERROR(IF(AND(VLOOKUP(A3724, 'Актуальное состояние (из общего'!A:C,3,0) = "", A3724 &lt;&gt; ""), "ПРОВЕРИТЬ", VLOOKUP(A3724, 'Актуальное состояние (из общего'!A:C,3,0)), "")</f>
        <v/>
      </c>
      <c r="U3724" s="9" t="s">
        <v>13284</v>
      </c>
      <c r="V3724" s="9" t="s">
        <v>13284</v>
      </c>
      <c r="W3724" s="12"/>
      <c r="X3724" s="9" t="str">
        <f t="array" ref="X3724">IFERROR(INDEX('Адреса общежитий (скрытый)'!$B$2:$B$9, MATCH(W3724, 'Адреса общежитий (скрытый)'!$A$2:$A$9, 0)), "")</f>
        <v/>
      </c>
      <c r="Y3724" s="18"/>
      <c r="Z3724" s="18"/>
      <c r="AA3724" s="18"/>
      <c r="AB3724" s="18"/>
      <c r="AC3724" s="18"/>
    </row>
    <row r="3725" spans="1:29" ht="32.25" hidden="1" customHeight="1">
      <c r="A3725" s="17"/>
      <c r="B3725" s="9" t="s">
        <v>13284</v>
      </c>
      <c r="C3725" s="9" t="s">
        <v>13284</v>
      </c>
      <c r="D3725" s="9" t="s">
        <v>13284</v>
      </c>
      <c r="E3725" s="9" t="s">
        <v>13284</v>
      </c>
      <c r="F3725" s="9" t="s">
        <v>13284</v>
      </c>
      <c r="G3725" s="9" t="s">
        <v>13284</v>
      </c>
      <c r="H3725" s="9" t="s">
        <v>13284</v>
      </c>
      <c r="I3725" s="9" t="s">
        <v>13284</v>
      </c>
      <c r="J3725" s="9" t="s">
        <v>13284</v>
      </c>
      <c r="K3725" s="9" t="s">
        <v>13284</v>
      </c>
      <c r="L3725" s="9" t="s">
        <v>13284</v>
      </c>
      <c r="M3725" s="9" t="s">
        <v>13284</v>
      </c>
      <c r="N3725" s="9" t="s">
        <v>13284</v>
      </c>
      <c r="O3725" s="9" t="s">
        <v>13284</v>
      </c>
      <c r="P3725" s="9" t="s">
        <v>13284</v>
      </c>
      <c r="Q3725" s="9" t="s">
        <v>13284</v>
      </c>
      <c r="R3725" s="9" t="s">
        <v>13284</v>
      </c>
      <c r="S3725" s="9" t="s">
        <v>13284</v>
      </c>
      <c r="T3725" s="9" t="str">
        <f ca="1">IFERROR(IF(AND(VLOOKUP(A3725, 'Актуальное состояние (из общего'!A:C,3,0) = "", A3725 &lt;&gt; ""), "ПРОВЕРИТЬ", VLOOKUP(A3725, 'Актуальное состояние (из общего'!A:C,3,0)), "")</f>
        <v/>
      </c>
      <c r="U3725" s="9" t="s">
        <v>13284</v>
      </c>
      <c r="V3725" s="9" t="s">
        <v>13284</v>
      </c>
      <c r="W3725" s="12"/>
      <c r="X3725" s="9" t="str">
        <f t="array" ref="X3725">IFERROR(INDEX('Адреса общежитий (скрытый)'!$B$2:$B$9, MATCH(W3725, 'Адреса общежитий (скрытый)'!$A$2:$A$9, 0)), "")</f>
        <v/>
      </c>
      <c r="Y3725" s="18"/>
      <c r="Z3725" s="18"/>
      <c r="AA3725" s="18"/>
      <c r="AB3725" s="18"/>
      <c r="AC3725" s="18"/>
    </row>
    <row r="3726" spans="1:29" ht="32.25" hidden="1" customHeight="1">
      <c r="A3726" s="17"/>
      <c r="B3726" s="9" t="s">
        <v>13284</v>
      </c>
      <c r="C3726" s="9" t="s">
        <v>13284</v>
      </c>
      <c r="D3726" s="9" t="s">
        <v>13284</v>
      </c>
      <c r="E3726" s="9" t="s">
        <v>13284</v>
      </c>
      <c r="F3726" s="9" t="s">
        <v>13284</v>
      </c>
      <c r="G3726" s="9" t="s">
        <v>13284</v>
      </c>
      <c r="H3726" s="9" t="s">
        <v>13284</v>
      </c>
      <c r="I3726" s="9" t="s">
        <v>13284</v>
      </c>
      <c r="J3726" s="9" t="s">
        <v>13284</v>
      </c>
      <c r="K3726" s="9" t="s">
        <v>13284</v>
      </c>
      <c r="L3726" s="9" t="s">
        <v>13284</v>
      </c>
      <c r="M3726" s="9" t="s">
        <v>13284</v>
      </c>
      <c r="N3726" s="9" t="s">
        <v>13284</v>
      </c>
      <c r="O3726" s="9" t="s">
        <v>13284</v>
      </c>
      <c r="P3726" s="9" t="s">
        <v>13284</v>
      </c>
      <c r="Q3726" s="9" t="s">
        <v>13284</v>
      </c>
      <c r="R3726" s="9" t="s">
        <v>13284</v>
      </c>
      <c r="S3726" s="9" t="s">
        <v>13284</v>
      </c>
      <c r="T3726" s="9" t="str">
        <f ca="1">IFERROR(IF(AND(VLOOKUP(A3726, 'Актуальное состояние (из общего'!A:C,3,0) = "", A3726 &lt;&gt; ""), "ПРОВЕРИТЬ", VLOOKUP(A3726, 'Актуальное состояние (из общего'!A:C,3,0)), "")</f>
        <v/>
      </c>
      <c r="U3726" s="9" t="s">
        <v>13284</v>
      </c>
      <c r="V3726" s="9" t="s">
        <v>13284</v>
      </c>
      <c r="W3726" s="12"/>
      <c r="X3726" s="9" t="str">
        <f t="array" ref="X3726">IFERROR(INDEX('Адреса общежитий (скрытый)'!$B$2:$B$9, MATCH(W3726, 'Адреса общежитий (скрытый)'!$A$2:$A$9, 0)), "")</f>
        <v/>
      </c>
      <c r="Y3726" s="18"/>
      <c r="Z3726" s="18"/>
      <c r="AA3726" s="18"/>
      <c r="AB3726" s="18"/>
      <c r="AC3726" s="18"/>
    </row>
    <row r="3727" spans="1:29" ht="32.25" hidden="1" customHeight="1">
      <c r="A3727" s="17"/>
      <c r="B3727" s="9" t="s">
        <v>13284</v>
      </c>
      <c r="C3727" s="9" t="s">
        <v>13284</v>
      </c>
      <c r="D3727" s="9" t="s">
        <v>13284</v>
      </c>
      <c r="E3727" s="9" t="s">
        <v>13284</v>
      </c>
      <c r="F3727" s="9" t="s">
        <v>13284</v>
      </c>
      <c r="G3727" s="9" t="s">
        <v>13284</v>
      </c>
      <c r="H3727" s="9" t="s">
        <v>13284</v>
      </c>
      <c r="I3727" s="9" t="s">
        <v>13284</v>
      </c>
      <c r="J3727" s="9" t="s">
        <v>13284</v>
      </c>
      <c r="K3727" s="9" t="s">
        <v>13284</v>
      </c>
      <c r="L3727" s="9" t="s">
        <v>13284</v>
      </c>
      <c r="M3727" s="9" t="s">
        <v>13284</v>
      </c>
      <c r="N3727" s="9" t="s">
        <v>13284</v>
      </c>
      <c r="O3727" s="9" t="s">
        <v>13284</v>
      </c>
      <c r="P3727" s="9" t="s">
        <v>13284</v>
      </c>
      <c r="Q3727" s="9" t="s">
        <v>13284</v>
      </c>
      <c r="R3727" s="9" t="s">
        <v>13284</v>
      </c>
      <c r="S3727" s="9" t="s">
        <v>13284</v>
      </c>
      <c r="T3727" s="9" t="str">
        <f ca="1">IFERROR(IF(AND(VLOOKUP(A3727, 'Актуальное состояние (из общего'!A:C,3,0) = "", A3727 &lt;&gt; ""), "ПРОВЕРИТЬ", VLOOKUP(A3727, 'Актуальное состояние (из общего'!A:C,3,0)), "")</f>
        <v/>
      </c>
      <c r="U3727" s="9" t="s">
        <v>13284</v>
      </c>
      <c r="V3727" s="9" t="s">
        <v>13284</v>
      </c>
      <c r="W3727" s="12"/>
      <c r="X3727" s="9" t="str">
        <f t="array" ref="X3727">IFERROR(INDEX('Адреса общежитий (скрытый)'!$B$2:$B$9, MATCH(W3727, 'Адреса общежитий (скрытый)'!$A$2:$A$9, 0)), "")</f>
        <v/>
      </c>
      <c r="Y3727" s="18"/>
      <c r="Z3727" s="18"/>
      <c r="AA3727" s="18"/>
      <c r="AB3727" s="18"/>
      <c r="AC3727" s="18"/>
    </row>
    <row r="3728" spans="1:29" ht="32.25" hidden="1" customHeight="1">
      <c r="A3728" s="17"/>
      <c r="B3728" s="9" t="s">
        <v>13284</v>
      </c>
      <c r="C3728" s="9" t="s">
        <v>13284</v>
      </c>
      <c r="D3728" s="9" t="s">
        <v>13284</v>
      </c>
      <c r="E3728" s="9" t="s">
        <v>13284</v>
      </c>
      <c r="F3728" s="9" t="s">
        <v>13284</v>
      </c>
      <c r="G3728" s="9" t="s">
        <v>13284</v>
      </c>
      <c r="H3728" s="9" t="s">
        <v>13284</v>
      </c>
      <c r="I3728" s="9" t="s">
        <v>13284</v>
      </c>
      <c r="J3728" s="9" t="s">
        <v>13284</v>
      </c>
      <c r="K3728" s="9" t="s">
        <v>13284</v>
      </c>
      <c r="L3728" s="9" t="s">
        <v>13284</v>
      </c>
      <c r="M3728" s="9" t="s">
        <v>13284</v>
      </c>
      <c r="N3728" s="9" t="s">
        <v>13284</v>
      </c>
      <c r="O3728" s="9" t="s">
        <v>13284</v>
      </c>
      <c r="P3728" s="9" t="s">
        <v>13284</v>
      </c>
      <c r="Q3728" s="9" t="s">
        <v>13284</v>
      </c>
      <c r="R3728" s="9" t="s">
        <v>13284</v>
      </c>
      <c r="S3728" s="9" t="s">
        <v>13284</v>
      </c>
      <c r="T3728" s="9" t="str">
        <f ca="1">IFERROR(IF(AND(VLOOKUP(A3728, 'Актуальное состояние (из общего'!A:C,3,0) = "", A3728 &lt;&gt; ""), "ПРОВЕРИТЬ", VLOOKUP(A3728, 'Актуальное состояние (из общего'!A:C,3,0)), "")</f>
        <v/>
      </c>
      <c r="U3728" s="9" t="s">
        <v>13284</v>
      </c>
      <c r="V3728" s="9" t="s">
        <v>13284</v>
      </c>
      <c r="W3728" s="12"/>
      <c r="X3728" s="9" t="str">
        <f t="array" ref="X3728">IFERROR(INDEX('Адреса общежитий (скрытый)'!$B$2:$B$9, MATCH(W3728, 'Адреса общежитий (скрытый)'!$A$2:$A$9, 0)), "")</f>
        <v/>
      </c>
      <c r="Y3728" s="18"/>
      <c r="Z3728" s="18"/>
      <c r="AA3728" s="18"/>
      <c r="AB3728" s="18"/>
      <c r="AC3728" s="18"/>
    </row>
    <row r="3729" spans="1:29" ht="32.25" hidden="1" customHeight="1">
      <c r="A3729" s="17"/>
      <c r="B3729" s="9" t="s">
        <v>13284</v>
      </c>
      <c r="C3729" s="9" t="s">
        <v>13284</v>
      </c>
      <c r="D3729" s="9" t="s">
        <v>13284</v>
      </c>
      <c r="E3729" s="9" t="s">
        <v>13284</v>
      </c>
      <c r="F3729" s="9" t="s">
        <v>13284</v>
      </c>
      <c r="G3729" s="9" t="s">
        <v>13284</v>
      </c>
      <c r="H3729" s="9" t="s">
        <v>13284</v>
      </c>
      <c r="I3729" s="9" t="s">
        <v>13284</v>
      </c>
      <c r="J3729" s="9" t="s">
        <v>13284</v>
      </c>
      <c r="K3729" s="9" t="s">
        <v>13284</v>
      </c>
      <c r="L3729" s="9" t="s">
        <v>13284</v>
      </c>
      <c r="M3729" s="9" t="s">
        <v>13284</v>
      </c>
      <c r="N3729" s="9" t="s">
        <v>13284</v>
      </c>
      <c r="O3729" s="9" t="s">
        <v>13284</v>
      </c>
      <c r="P3729" s="9" t="s">
        <v>13284</v>
      </c>
      <c r="Q3729" s="9" t="s">
        <v>13284</v>
      </c>
      <c r="R3729" s="9" t="s">
        <v>13284</v>
      </c>
      <c r="S3729" s="9" t="s">
        <v>13284</v>
      </c>
      <c r="T3729" s="9" t="str">
        <f ca="1">IFERROR(IF(AND(VLOOKUP(A3729, 'Актуальное состояние (из общего'!A:C,3,0) = "", A3729 &lt;&gt; ""), "ПРОВЕРИТЬ", VLOOKUP(A3729, 'Актуальное состояние (из общего'!A:C,3,0)), "")</f>
        <v/>
      </c>
      <c r="U3729" s="9" t="s">
        <v>13284</v>
      </c>
      <c r="V3729" s="9" t="s">
        <v>13284</v>
      </c>
      <c r="W3729" s="12"/>
      <c r="X3729" s="9" t="str">
        <f t="array" ref="X3729">IFERROR(INDEX('Адреса общежитий (скрытый)'!$B$2:$B$9, MATCH(W3729, 'Адреса общежитий (скрытый)'!$A$2:$A$9, 0)), "")</f>
        <v/>
      </c>
      <c r="Y3729" s="18"/>
      <c r="Z3729" s="18"/>
      <c r="AA3729" s="18"/>
      <c r="AB3729" s="18"/>
      <c r="AC3729" s="18"/>
    </row>
    <row r="3730" spans="1:29" ht="32.25" hidden="1" customHeight="1">
      <c r="A3730" s="17"/>
      <c r="B3730" s="9" t="s">
        <v>13284</v>
      </c>
      <c r="C3730" s="9" t="s">
        <v>13284</v>
      </c>
      <c r="D3730" s="9" t="s">
        <v>13284</v>
      </c>
      <c r="E3730" s="9" t="s">
        <v>13284</v>
      </c>
      <c r="F3730" s="9" t="s">
        <v>13284</v>
      </c>
      <c r="G3730" s="9" t="s">
        <v>13284</v>
      </c>
      <c r="H3730" s="9" t="s">
        <v>13284</v>
      </c>
      <c r="I3730" s="9" t="s">
        <v>13284</v>
      </c>
      <c r="J3730" s="9" t="s">
        <v>13284</v>
      </c>
      <c r="K3730" s="9" t="s">
        <v>13284</v>
      </c>
      <c r="L3730" s="9" t="s">
        <v>13284</v>
      </c>
      <c r="M3730" s="9" t="s">
        <v>13284</v>
      </c>
      <c r="N3730" s="9" t="s">
        <v>13284</v>
      </c>
      <c r="O3730" s="9" t="s">
        <v>13284</v>
      </c>
      <c r="P3730" s="9" t="s">
        <v>13284</v>
      </c>
      <c r="Q3730" s="9" t="s">
        <v>13284</v>
      </c>
      <c r="R3730" s="9" t="s">
        <v>13284</v>
      </c>
      <c r="S3730" s="9" t="s">
        <v>13284</v>
      </c>
      <c r="T3730" s="9" t="str">
        <f ca="1">IFERROR(IF(AND(VLOOKUP(A3730, 'Актуальное состояние (из общего'!A:C,3,0) = "", A3730 &lt;&gt; ""), "ПРОВЕРИТЬ", VLOOKUP(A3730, 'Актуальное состояние (из общего'!A:C,3,0)), "")</f>
        <v/>
      </c>
      <c r="U3730" s="9" t="s">
        <v>13284</v>
      </c>
      <c r="V3730" s="9" t="s">
        <v>13284</v>
      </c>
      <c r="W3730" s="12"/>
      <c r="X3730" s="9" t="str">
        <f t="array" ref="X3730">IFERROR(INDEX('Адреса общежитий (скрытый)'!$B$2:$B$9, MATCH(W3730, 'Адреса общежитий (скрытый)'!$A$2:$A$9, 0)), "")</f>
        <v/>
      </c>
      <c r="Y3730" s="18"/>
      <c r="Z3730" s="18"/>
      <c r="AA3730" s="18"/>
      <c r="AB3730" s="18"/>
      <c r="AC3730" s="18"/>
    </row>
    <row r="3731" spans="1:29" ht="32.25" hidden="1" customHeight="1">
      <c r="A3731" s="17"/>
      <c r="B3731" s="9" t="s">
        <v>13284</v>
      </c>
      <c r="C3731" s="9" t="s">
        <v>13284</v>
      </c>
      <c r="D3731" s="9" t="s">
        <v>13284</v>
      </c>
      <c r="E3731" s="9" t="s">
        <v>13284</v>
      </c>
      <c r="F3731" s="9" t="s">
        <v>13284</v>
      </c>
      <c r="G3731" s="9" t="s">
        <v>13284</v>
      </c>
      <c r="H3731" s="9" t="s">
        <v>13284</v>
      </c>
      <c r="I3731" s="9" t="s">
        <v>13284</v>
      </c>
      <c r="J3731" s="9" t="s">
        <v>13284</v>
      </c>
      <c r="K3731" s="9" t="s">
        <v>13284</v>
      </c>
      <c r="L3731" s="9" t="s">
        <v>13284</v>
      </c>
      <c r="M3731" s="9" t="s">
        <v>13284</v>
      </c>
      <c r="N3731" s="9" t="s">
        <v>13284</v>
      </c>
      <c r="O3731" s="9" t="s">
        <v>13284</v>
      </c>
      <c r="P3731" s="9" t="s">
        <v>13284</v>
      </c>
      <c r="Q3731" s="9" t="s">
        <v>13284</v>
      </c>
      <c r="R3731" s="9" t="s">
        <v>13284</v>
      </c>
      <c r="S3731" s="9" t="s">
        <v>13284</v>
      </c>
      <c r="T3731" s="9" t="str">
        <f ca="1">IFERROR(IF(AND(VLOOKUP(A3731, 'Актуальное состояние (из общего'!A:C,3,0) = "", A3731 &lt;&gt; ""), "ПРОВЕРИТЬ", VLOOKUP(A3731, 'Актуальное состояние (из общего'!A:C,3,0)), "")</f>
        <v/>
      </c>
      <c r="U3731" s="9" t="s">
        <v>13284</v>
      </c>
      <c r="V3731" s="9" t="s">
        <v>13284</v>
      </c>
      <c r="W3731" s="12"/>
      <c r="X3731" s="9" t="str">
        <f t="array" ref="X3731">IFERROR(INDEX('Адреса общежитий (скрытый)'!$B$2:$B$9, MATCH(W3731, 'Адреса общежитий (скрытый)'!$A$2:$A$9, 0)), "")</f>
        <v/>
      </c>
      <c r="Y3731" s="18"/>
      <c r="Z3731" s="18"/>
      <c r="AA3731" s="18"/>
      <c r="AB3731" s="18"/>
      <c r="AC3731" s="18"/>
    </row>
    <row r="3732" spans="1:29" ht="32.25" hidden="1" customHeight="1">
      <c r="A3732" s="17"/>
      <c r="B3732" s="9" t="s">
        <v>13284</v>
      </c>
      <c r="C3732" s="9" t="s">
        <v>13284</v>
      </c>
      <c r="D3732" s="9" t="s">
        <v>13284</v>
      </c>
      <c r="E3732" s="9" t="s">
        <v>13284</v>
      </c>
      <c r="F3732" s="9" t="s">
        <v>13284</v>
      </c>
      <c r="G3732" s="9" t="s">
        <v>13284</v>
      </c>
      <c r="H3732" s="9" t="s">
        <v>13284</v>
      </c>
      <c r="I3732" s="9" t="s">
        <v>13284</v>
      </c>
      <c r="J3732" s="9" t="s">
        <v>13284</v>
      </c>
      <c r="K3732" s="9" t="s">
        <v>13284</v>
      </c>
      <c r="L3732" s="9" t="s">
        <v>13284</v>
      </c>
      <c r="M3732" s="9" t="s">
        <v>13284</v>
      </c>
      <c r="N3732" s="9" t="s">
        <v>13284</v>
      </c>
      <c r="O3732" s="9" t="s">
        <v>13284</v>
      </c>
      <c r="P3732" s="9" t="s">
        <v>13284</v>
      </c>
      <c r="Q3732" s="9" t="s">
        <v>13284</v>
      </c>
      <c r="R3732" s="9" t="s">
        <v>13284</v>
      </c>
      <c r="S3732" s="9" t="s">
        <v>13284</v>
      </c>
      <c r="T3732" s="9" t="str">
        <f ca="1">IFERROR(IF(AND(VLOOKUP(A3732, 'Актуальное состояние (из общего'!A:C,3,0) = "", A3732 &lt;&gt; ""), "ПРОВЕРИТЬ", VLOOKUP(A3732, 'Актуальное состояние (из общего'!A:C,3,0)), "")</f>
        <v/>
      </c>
      <c r="U3732" s="9" t="s">
        <v>13284</v>
      </c>
      <c r="V3732" s="9" t="s">
        <v>13284</v>
      </c>
      <c r="W3732" s="12"/>
      <c r="X3732" s="9" t="str">
        <f t="array" ref="X3732">IFERROR(INDEX('Адреса общежитий (скрытый)'!$B$2:$B$9, MATCH(W3732, 'Адреса общежитий (скрытый)'!$A$2:$A$9, 0)), "")</f>
        <v/>
      </c>
      <c r="Y3732" s="18"/>
      <c r="Z3732" s="18"/>
      <c r="AA3732" s="18"/>
      <c r="AB3732" s="18"/>
      <c r="AC3732" s="18"/>
    </row>
    <row r="3733" spans="1:29" ht="32.25" hidden="1" customHeight="1">
      <c r="A3733" s="17"/>
      <c r="B3733" s="9" t="s">
        <v>13284</v>
      </c>
      <c r="C3733" s="9" t="s">
        <v>13284</v>
      </c>
      <c r="D3733" s="9" t="s">
        <v>13284</v>
      </c>
      <c r="E3733" s="9" t="s">
        <v>13284</v>
      </c>
      <c r="F3733" s="9" t="s">
        <v>13284</v>
      </c>
      <c r="G3733" s="9" t="s">
        <v>13284</v>
      </c>
      <c r="H3733" s="9" t="s">
        <v>13284</v>
      </c>
      <c r="I3733" s="9" t="s">
        <v>13284</v>
      </c>
      <c r="J3733" s="9" t="s">
        <v>13284</v>
      </c>
      <c r="K3733" s="9" t="s">
        <v>13284</v>
      </c>
      <c r="L3733" s="9" t="s">
        <v>13284</v>
      </c>
      <c r="M3733" s="9" t="s">
        <v>13284</v>
      </c>
      <c r="N3733" s="9" t="s">
        <v>13284</v>
      </c>
      <c r="O3733" s="9" t="s">
        <v>13284</v>
      </c>
      <c r="P3733" s="9" t="s">
        <v>13284</v>
      </c>
      <c r="Q3733" s="9" t="s">
        <v>13284</v>
      </c>
      <c r="R3733" s="9" t="s">
        <v>13284</v>
      </c>
      <c r="S3733" s="9" t="s">
        <v>13284</v>
      </c>
      <c r="T3733" s="9" t="str">
        <f ca="1">IFERROR(IF(AND(VLOOKUP(A3733, 'Актуальное состояние (из общего'!A:C,3,0) = "", A3733 &lt;&gt; ""), "ПРОВЕРИТЬ", VLOOKUP(A3733, 'Актуальное состояние (из общего'!A:C,3,0)), "")</f>
        <v/>
      </c>
      <c r="U3733" s="9" t="s">
        <v>13284</v>
      </c>
      <c r="V3733" s="9" t="s">
        <v>13284</v>
      </c>
      <c r="W3733" s="12"/>
      <c r="X3733" s="9" t="str">
        <f t="array" ref="X3733">IFERROR(INDEX('Адреса общежитий (скрытый)'!$B$2:$B$9, MATCH(W3733, 'Адреса общежитий (скрытый)'!$A$2:$A$9, 0)), "")</f>
        <v/>
      </c>
      <c r="Y3733" s="18"/>
      <c r="Z3733" s="18"/>
      <c r="AA3733" s="18"/>
      <c r="AB3733" s="18"/>
      <c r="AC3733" s="18"/>
    </row>
    <row r="3734" spans="1:29" ht="32.25" hidden="1" customHeight="1">
      <c r="A3734" s="17"/>
      <c r="B3734" s="9" t="s">
        <v>13284</v>
      </c>
      <c r="C3734" s="9" t="s">
        <v>13284</v>
      </c>
      <c r="D3734" s="9" t="s">
        <v>13284</v>
      </c>
      <c r="E3734" s="9" t="s">
        <v>13284</v>
      </c>
      <c r="F3734" s="9" t="s">
        <v>13284</v>
      </c>
      <c r="G3734" s="9" t="s">
        <v>13284</v>
      </c>
      <c r="H3734" s="9" t="s">
        <v>13284</v>
      </c>
      <c r="I3734" s="9" t="s">
        <v>13284</v>
      </c>
      <c r="J3734" s="9" t="s">
        <v>13284</v>
      </c>
      <c r="K3734" s="9" t="s">
        <v>13284</v>
      </c>
      <c r="L3734" s="9" t="s">
        <v>13284</v>
      </c>
      <c r="M3734" s="9" t="s">
        <v>13284</v>
      </c>
      <c r="N3734" s="9" t="s">
        <v>13284</v>
      </c>
      <c r="O3734" s="9" t="s">
        <v>13284</v>
      </c>
      <c r="P3734" s="9" t="s">
        <v>13284</v>
      </c>
      <c r="Q3734" s="9" t="s">
        <v>13284</v>
      </c>
      <c r="R3734" s="9" t="s">
        <v>13284</v>
      </c>
      <c r="S3734" s="9" t="s">
        <v>13284</v>
      </c>
      <c r="T3734" s="9" t="str">
        <f ca="1">IFERROR(IF(AND(VLOOKUP(A3734, 'Актуальное состояние (из общего'!A:C,3,0) = "", A3734 &lt;&gt; ""), "ПРОВЕРИТЬ", VLOOKUP(A3734, 'Актуальное состояние (из общего'!A:C,3,0)), "")</f>
        <v/>
      </c>
      <c r="U3734" s="9" t="s">
        <v>13284</v>
      </c>
      <c r="V3734" s="9" t="s">
        <v>13284</v>
      </c>
      <c r="W3734" s="12"/>
      <c r="X3734" s="9" t="str">
        <f t="array" ref="X3734">IFERROR(INDEX('Адреса общежитий (скрытый)'!$B$2:$B$9, MATCH(W3734, 'Адреса общежитий (скрытый)'!$A$2:$A$9, 0)), "")</f>
        <v/>
      </c>
      <c r="Y3734" s="18"/>
      <c r="Z3734" s="18"/>
      <c r="AA3734" s="18"/>
      <c r="AB3734" s="18"/>
      <c r="AC3734" s="18"/>
    </row>
    <row r="3735" spans="1:29" ht="32.25" hidden="1" customHeight="1">
      <c r="A3735" s="17"/>
      <c r="B3735" s="9" t="s">
        <v>13284</v>
      </c>
      <c r="C3735" s="9" t="s">
        <v>13284</v>
      </c>
      <c r="D3735" s="9" t="s">
        <v>13284</v>
      </c>
      <c r="E3735" s="9" t="s">
        <v>13284</v>
      </c>
      <c r="F3735" s="9" t="s">
        <v>13284</v>
      </c>
      <c r="G3735" s="9" t="s">
        <v>13284</v>
      </c>
      <c r="H3735" s="9" t="s">
        <v>13284</v>
      </c>
      <c r="I3735" s="9" t="s">
        <v>13284</v>
      </c>
      <c r="J3735" s="9" t="s">
        <v>13284</v>
      </c>
      <c r="K3735" s="9" t="s">
        <v>13284</v>
      </c>
      <c r="L3735" s="9" t="s">
        <v>13284</v>
      </c>
      <c r="M3735" s="9" t="s">
        <v>13284</v>
      </c>
      <c r="N3735" s="9" t="s">
        <v>13284</v>
      </c>
      <c r="O3735" s="9" t="s">
        <v>13284</v>
      </c>
      <c r="P3735" s="9" t="s">
        <v>13284</v>
      </c>
      <c r="Q3735" s="9" t="s">
        <v>13284</v>
      </c>
      <c r="R3735" s="9" t="s">
        <v>13284</v>
      </c>
      <c r="S3735" s="9" t="s">
        <v>13284</v>
      </c>
      <c r="T3735" s="9" t="str">
        <f ca="1">IFERROR(IF(AND(VLOOKUP(A3735, 'Актуальное состояние (из общего'!A:C,3,0) = "", A3735 &lt;&gt; ""), "ПРОВЕРИТЬ", VLOOKUP(A3735, 'Актуальное состояние (из общего'!A:C,3,0)), "")</f>
        <v/>
      </c>
      <c r="U3735" s="9" t="s">
        <v>13284</v>
      </c>
      <c r="V3735" s="9" t="s">
        <v>13284</v>
      </c>
      <c r="W3735" s="12"/>
      <c r="X3735" s="9" t="str">
        <f t="array" ref="X3735">IFERROR(INDEX('Адреса общежитий (скрытый)'!$B$2:$B$9, MATCH(W3735, 'Адреса общежитий (скрытый)'!$A$2:$A$9, 0)), "")</f>
        <v/>
      </c>
      <c r="Y3735" s="18"/>
      <c r="Z3735" s="18"/>
      <c r="AA3735" s="18"/>
      <c r="AB3735" s="18"/>
      <c r="AC3735" s="18"/>
    </row>
    <row r="3736" spans="1:29" ht="32.25" hidden="1" customHeight="1">
      <c r="A3736" s="17"/>
      <c r="B3736" s="9" t="s">
        <v>13284</v>
      </c>
      <c r="C3736" s="9" t="s">
        <v>13284</v>
      </c>
      <c r="D3736" s="9" t="s">
        <v>13284</v>
      </c>
      <c r="E3736" s="9" t="s">
        <v>13284</v>
      </c>
      <c r="F3736" s="9" t="s">
        <v>13284</v>
      </c>
      <c r="G3736" s="9" t="s">
        <v>13284</v>
      </c>
      <c r="H3736" s="9" t="s">
        <v>13284</v>
      </c>
      <c r="I3736" s="9" t="s">
        <v>13284</v>
      </c>
      <c r="J3736" s="9" t="s">
        <v>13284</v>
      </c>
      <c r="K3736" s="9" t="s">
        <v>13284</v>
      </c>
      <c r="L3736" s="9" t="s">
        <v>13284</v>
      </c>
      <c r="M3736" s="9" t="s">
        <v>13284</v>
      </c>
      <c r="N3736" s="9" t="s">
        <v>13284</v>
      </c>
      <c r="O3736" s="9" t="s">
        <v>13284</v>
      </c>
      <c r="P3736" s="9" t="s">
        <v>13284</v>
      </c>
      <c r="Q3736" s="9" t="s">
        <v>13284</v>
      </c>
      <c r="R3736" s="9" t="s">
        <v>13284</v>
      </c>
      <c r="S3736" s="9" t="s">
        <v>13284</v>
      </c>
      <c r="T3736" s="9" t="str">
        <f ca="1">IFERROR(IF(AND(VLOOKUP(A3736, 'Актуальное состояние (из общего'!A:C,3,0) = "", A3736 &lt;&gt; ""), "ПРОВЕРИТЬ", VLOOKUP(A3736, 'Актуальное состояние (из общего'!A:C,3,0)), "")</f>
        <v/>
      </c>
      <c r="U3736" s="9" t="s">
        <v>13284</v>
      </c>
      <c r="V3736" s="9" t="s">
        <v>13284</v>
      </c>
      <c r="W3736" s="12"/>
      <c r="X3736" s="9" t="str">
        <f t="array" ref="X3736">IFERROR(INDEX('Адреса общежитий (скрытый)'!$B$2:$B$9, MATCH(W3736, 'Адреса общежитий (скрытый)'!$A$2:$A$9, 0)), "")</f>
        <v/>
      </c>
      <c r="Y3736" s="18"/>
      <c r="Z3736" s="18"/>
      <c r="AA3736" s="18"/>
      <c r="AB3736" s="18"/>
      <c r="AC3736" s="18"/>
    </row>
    <row r="3737" spans="1:29" ht="32.25" hidden="1" customHeight="1">
      <c r="A3737" s="17"/>
      <c r="B3737" s="9" t="s">
        <v>13284</v>
      </c>
      <c r="C3737" s="9" t="s">
        <v>13284</v>
      </c>
      <c r="D3737" s="9" t="s">
        <v>13284</v>
      </c>
      <c r="E3737" s="9" t="s">
        <v>13284</v>
      </c>
      <c r="F3737" s="9" t="s">
        <v>13284</v>
      </c>
      <c r="G3737" s="9" t="s">
        <v>13284</v>
      </c>
      <c r="H3737" s="9" t="s">
        <v>13284</v>
      </c>
      <c r="I3737" s="9" t="s">
        <v>13284</v>
      </c>
      <c r="J3737" s="9" t="s">
        <v>13284</v>
      </c>
      <c r="K3737" s="9" t="s">
        <v>13284</v>
      </c>
      <c r="L3737" s="9" t="s">
        <v>13284</v>
      </c>
      <c r="M3737" s="9" t="s">
        <v>13284</v>
      </c>
      <c r="N3737" s="9" t="s">
        <v>13284</v>
      </c>
      <c r="O3737" s="9" t="s">
        <v>13284</v>
      </c>
      <c r="P3737" s="9" t="s">
        <v>13284</v>
      </c>
      <c r="Q3737" s="9" t="s">
        <v>13284</v>
      </c>
      <c r="R3737" s="9" t="s">
        <v>13284</v>
      </c>
      <c r="S3737" s="9" t="s">
        <v>13284</v>
      </c>
      <c r="T3737" s="9" t="str">
        <f ca="1">IFERROR(IF(AND(VLOOKUP(A3737, 'Актуальное состояние (из общего'!A:C,3,0) = "", A3737 &lt;&gt; ""), "ПРОВЕРИТЬ", VLOOKUP(A3737, 'Актуальное состояние (из общего'!A:C,3,0)), "")</f>
        <v/>
      </c>
      <c r="U3737" s="9" t="s">
        <v>13284</v>
      </c>
      <c r="V3737" s="9" t="s">
        <v>13284</v>
      </c>
      <c r="W3737" s="12"/>
      <c r="X3737" s="9" t="str">
        <f t="array" ref="X3737">IFERROR(INDEX('Адреса общежитий (скрытый)'!$B$2:$B$9, MATCH(W3737, 'Адреса общежитий (скрытый)'!$A$2:$A$9, 0)), "")</f>
        <v/>
      </c>
      <c r="Y3737" s="18"/>
      <c r="Z3737" s="18"/>
      <c r="AA3737" s="18"/>
      <c r="AB3737" s="18"/>
      <c r="AC3737" s="18"/>
    </row>
    <row r="3738" spans="1:29" ht="32.25" hidden="1" customHeight="1">
      <c r="A3738" s="17"/>
      <c r="B3738" s="9" t="s">
        <v>13284</v>
      </c>
      <c r="C3738" s="9" t="s">
        <v>13284</v>
      </c>
      <c r="D3738" s="9" t="s">
        <v>13284</v>
      </c>
      <c r="E3738" s="9" t="s">
        <v>13284</v>
      </c>
      <c r="F3738" s="9" t="s">
        <v>13284</v>
      </c>
      <c r="G3738" s="9" t="s">
        <v>13284</v>
      </c>
      <c r="H3738" s="9" t="s">
        <v>13284</v>
      </c>
      <c r="I3738" s="9" t="s">
        <v>13284</v>
      </c>
      <c r="J3738" s="9" t="s">
        <v>13284</v>
      </c>
      <c r="K3738" s="9" t="s">
        <v>13284</v>
      </c>
      <c r="L3738" s="9" t="s">
        <v>13284</v>
      </c>
      <c r="M3738" s="9" t="s">
        <v>13284</v>
      </c>
      <c r="N3738" s="9" t="s">
        <v>13284</v>
      </c>
      <c r="O3738" s="9" t="s">
        <v>13284</v>
      </c>
      <c r="P3738" s="9" t="s">
        <v>13284</v>
      </c>
      <c r="Q3738" s="9" t="s">
        <v>13284</v>
      </c>
      <c r="R3738" s="9" t="s">
        <v>13284</v>
      </c>
      <c r="S3738" s="9" t="s">
        <v>13284</v>
      </c>
      <c r="T3738" s="9" t="str">
        <f ca="1">IFERROR(IF(AND(VLOOKUP(A3738, 'Актуальное состояние (из общего'!A:C,3,0) = "", A3738 &lt;&gt; ""), "ПРОВЕРИТЬ", VLOOKUP(A3738, 'Актуальное состояние (из общего'!A:C,3,0)), "")</f>
        <v/>
      </c>
      <c r="U3738" s="9" t="s">
        <v>13284</v>
      </c>
      <c r="V3738" s="9" t="s">
        <v>13284</v>
      </c>
      <c r="W3738" s="12"/>
      <c r="X3738" s="9" t="str">
        <f t="array" ref="X3738">IFERROR(INDEX('Адреса общежитий (скрытый)'!$B$2:$B$9, MATCH(W3738, 'Адреса общежитий (скрытый)'!$A$2:$A$9, 0)), "")</f>
        <v/>
      </c>
      <c r="Y3738" s="18"/>
      <c r="Z3738" s="18"/>
      <c r="AA3738" s="18"/>
      <c r="AB3738" s="18"/>
      <c r="AC3738" s="18"/>
    </row>
    <row r="3739" spans="1:29" ht="32.25" hidden="1" customHeight="1">
      <c r="A3739" s="17"/>
      <c r="B3739" s="9" t="s">
        <v>13284</v>
      </c>
      <c r="C3739" s="9" t="s">
        <v>13284</v>
      </c>
      <c r="D3739" s="9" t="s">
        <v>13284</v>
      </c>
      <c r="E3739" s="9" t="s">
        <v>13284</v>
      </c>
      <c r="F3739" s="9" t="s">
        <v>13284</v>
      </c>
      <c r="G3739" s="9" t="s">
        <v>13284</v>
      </c>
      <c r="H3739" s="9" t="s">
        <v>13284</v>
      </c>
      <c r="I3739" s="9" t="s">
        <v>13284</v>
      </c>
      <c r="J3739" s="9" t="s">
        <v>13284</v>
      </c>
      <c r="K3739" s="9" t="s">
        <v>13284</v>
      </c>
      <c r="L3739" s="9" t="s">
        <v>13284</v>
      </c>
      <c r="M3739" s="9" t="s">
        <v>13284</v>
      </c>
      <c r="N3739" s="9" t="s">
        <v>13284</v>
      </c>
      <c r="O3739" s="9" t="s">
        <v>13284</v>
      </c>
      <c r="P3739" s="9" t="s">
        <v>13284</v>
      </c>
      <c r="Q3739" s="9" t="s">
        <v>13284</v>
      </c>
      <c r="R3739" s="9" t="s">
        <v>13284</v>
      </c>
      <c r="S3739" s="9" t="s">
        <v>13284</v>
      </c>
      <c r="T3739" s="9" t="str">
        <f ca="1">IFERROR(IF(AND(VLOOKUP(A3739, 'Актуальное состояние (из общего'!A:C,3,0) = "", A3739 &lt;&gt; ""), "ПРОВЕРИТЬ", VLOOKUP(A3739, 'Актуальное состояние (из общего'!A:C,3,0)), "")</f>
        <v/>
      </c>
      <c r="U3739" s="9" t="s">
        <v>13284</v>
      </c>
      <c r="V3739" s="9" t="s">
        <v>13284</v>
      </c>
      <c r="W3739" s="12"/>
      <c r="X3739" s="9" t="str">
        <f t="array" ref="X3739">IFERROR(INDEX('Адреса общежитий (скрытый)'!$B$2:$B$9, MATCH(W3739, 'Адреса общежитий (скрытый)'!$A$2:$A$9, 0)), "")</f>
        <v/>
      </c>
      <c r="Y3739" s="18"/>
      <c r="Z3739" s="18"/>
      <c r="AA3739" s="18"/>
      <c r="AB3739" s="18"/>
      <c r="AC3739" s="18"/>
    </row>
    <row r="3740" spans="1:29" ht="32.25" hidden="1" customHeight="1">
      <c r="A3740" s="17"/>
      <c r="B3740" s="9" t="s">
        <v>13284</v>
      </c>
      <c r="C3740" s="9" t="s">
        <v>13284</v>
      </c>
      <c r="D3740" s="9" t="s">
        <v>13284</v>
      </c>
      <c r="E3740" s="9" t="s">
        <v>13284</v>
      </c>
      <c r="F3740" s="9" t="s">
        <v>13284</v>
      </c>
      <c r="G3740" s="9" t="s">
        <v>13284</v>
      </c>
      <c r="H3740" s="9" t="s">
        <v>13284</v>
      </c>
      <c r="I3740" s="9" t="s">
        <v>13284</v>
      </c>
      <c r="J3740" s="9" t="s">
        <v>13284</v>
      </c>
      <c r="K3740" s="9" t="s">
        <v>13284</v>
      </c>
      <c r="L3740" s="9" t="s">
        <v>13284</v>
      </c>
      <c r="M3740" s="9" t="s">
        <v>13284</v>
      </c>
      <c r="N3740" s="9" t="s">
        <v>13284</v>
      </c>
      <c r="O3740" s="9" t="s">
        <v>13284</v>
      </c>
      <c r="P3740" s="9" t="s">
        <v>13284</v>
      </c>
      <c r="Q3740" s="9" t="s">
        <v>13284</v>
      </c>
      <c r="R3740" s="9" t="s">
        <v>13284</v>
      </c>
      <c r="S3740" s="9" t="s">
        <v>13284</v>
      </c>
      <c r="T3740" s="9" t="str">
        <f ca="1">IFERROR(IF(AND(VLOOKUP(A3740, 'Актуальное состояние (из общего'!A:C,3,0) = "", A3740 &lt;&gt; ""), "ПРОВЕРИТЬ", VLOOKUP(A3740, 'Актуальное состояние (из общего'!A:C,3,0)), "")</f>
        <v/>
      </c>
      <c r="U3740" s="9" t="s">
        <v>13284</v>
      </c>
      <c r="V3740" s="9" t="s">
        <v>13284</v>
      </c>
      <c r="W3740" s="12"/>
      <c r="X3740" s="9" t="str">
        <f t="array" ref="X3740">IFERROR(INDEX('Адреса общежитий (скрытый)'!$B$2:$B$9, MATCH(W3740, 'Адреса общежитий (скрытый)'!$A$2:$A$9, 0)), "")</f>
        <v/>
      </c>
      <c r="Y3740" s="18"/>
      <c r="Z3740" s="18"/>
      <c r="AA3740" s="18"/>
      <c r="AB3740" s="18"/>
      <c r="AC3740" s="18"/>
    </row>
    <row r="3741" spans="1:29" ht="32.25" hidden="1" customHeight="1">
      <c r="A3741" s="17"/>
      <c r="B3741" s="9" t="s">
        <v>13284</v>
      </c>
      <c r="C3741" s="9" t="s">
        <v>13284</v>
      </c>
      <c r="D3741" s="9" t="s">
        <v>13284</v>
      </c>
      <c r="E3741" s="9" t="s">
        <v>13284</v>
      </c>
      <c r="F3741" s="9" t="s">
        <v>13284</v>
      </c>
      <c r="G3741" s="9" t="s">
        <v>13284</v>
      </c>
      <c r="H3741" s="9" t="s">
        <v>13284</v>
      </c>
      <c r="I3741" s="9" t="s">
        <v>13284</v>
      </c>
      <c r="J3741" s="9" t="s">
        <v>13284</v>
      </c>
      <c r="K3741" s="9" t="s">
        <v>13284</v>
      </c>
      <c r="L3741" s="9" t="s">
        <v>13284</v>
      </c>
      <c r="M3741" s="9" t="s">
        <v>13284</v>
      </c>
      <c r="N3741" s="9" t="s">
        <v>13284</v>
      </c>
      <c r="O3741" s="9" t="s">
        <v>13284</v>
      </c>
      <c r="P3741" s="9" t="s">
        <v>13284</v>
      </c>
      <c r="Q3741" s="9" t="s">
        <v>13284</v>
      </c>
      <c r="R3741" s="9" t="s">
        <v>13284</v>
      </c>
      <c r="S3741" s="9" t="s">
        <v>13284</v>
      </c>
      <c r="T3741" s="9" t="str">
        <f ca="1">IFERROR(IF(AND(VLOOKUP(A3741, 'Актуальное состояние (из общего'!A:C,3,0) = "", A3741 &lt;&gt; ""), "ПРОВЕРИТЬ", VLOOKUP(A3741, 'Актуальное состояние (из общего'!A:C,3,0)), "")</f>
        <v/>
      </c>
      <c r="U3741" s="9" t="s">
        <v>13284</v>
      </c>
      <c r="V3741" s="9" t="s">
        <v>13284</v>
      </c>
      <c r="W3741" s="12"/>
      <c r="X3741" s="9" t="str">
        <f t="array" ref="X3741">IFERROR(INDEX('Адреса общежитий (скрытый)'!$B$2:$B$9, MATCH(W3741, 'Адреса общежитий (скрытый)'!$A$2:$A$9, 0)), "")</f>
        <v/>
      </c>
      <c r="Y3741" s="18"/>
      <c r="Z3741" s="18"/>
      <c r="AA3741" s="18"/>
      <c r="AB3741" s="18"/>
      <c r="AC3741" s="18"/>
    </row>
    <row r="3742" spans="1:29" ht="32.25" hidden="1" customHeight="1">
      <c r="A3742" s="17"/>
      <c r="B3742" s="9" t="s">
        <v>13284</v>
      </c>
      <c r="C3742" s="9" t="s">
        <v>13284</v>
      </c>
      <c r="D3742" s="9" t="s">
        <v>13284</v>
      </c>
      <c r="E3742" s="9" t="s">
        <v>13284</v>
      </c>
      <c r="F3742" s="9" t="s">
        <v>13284</v>
      </c>
      <c r="G3742" s="9" t="s">
        <v>13284</v>
      </c>
      <c r="H3742" s="9" t="s">
        <v>13284</v>
      </c>
      <c r="I3742" s="9" t="s">
        <v>13284</v>
      </c>
      <c r="J3742" s="9" t="s">
        <v>13284</v>
      </c>
      <c r="K3742" s="9" t="s">
        <v>13284</v>
      </c>
      <c r="L3742" s="9" t="s">
        <v>13284</v>
      </c>
      <c r="M3742" s="9" t="s">
        <v>13284</v>
      </c>
      <c r="N3742" s="9" t="s">
        <v>13284</v>
      </c>
      <c r="O3742" s="9" t="s">
        <v>13284</v>
      </c>
      <c r="P3742" s="9" t="s">
        <v>13284</v>
      </c>
      <c r="Q3742" s="9" t="s">
        <v>13284</v>
      </c>
      <c r="R3742" s="9" t="s">
        <v>13284</v>
      </c>
      <c r="S3742" s="9" t="s">
        <v>13284</v>
      </c>
      <c r="T3742" s="9" t="str">
        <f ca="1">IFERROR(IF(AND(VLOOKUP(A3742, 'Актуальное состояние (из общего'!A:C,3,0) = "", A3742 &lt;&gt; ""), "ПРОВЕРИТЬ", VLOOKUP(A3742, 'Актуальное состояние (из общего'!A:C,3,0)), "")</f>
        <v/>
      </c>
      <c r="U3742" s="9" t="s">
        <v>13284</v>
      </c>
      <c r="V3742" s="9" t="s">
        <v>13284</v>
      </c>
      <c r="W3742" s="12"/>
      <c r="X3742" s="9" t="str">
        <f t="array" ref="X3742">IFERROR(INDEX('Адреса общежитий (скрытый)'!$B$2:$B$9, MATCH(W3742, 'Адреса общежитий (скрытый)'!$A$2:$A$9, 0)), "")</f>
        <v/>
      </c>
      <c r="Y3742" s="18"/>
      <c r="Z3742" s="18"/>
      <c r="AA3742" s="18"/>
      <c r="AB3742" s="18"/>
      <c r="AC3742" s="18"/>
    </row>
    <row r="3743" spans="1:29" ht="32.25" hidden="1" customHeight="1">
      <c r="A3743" s="17"/>
      <c r="B3743" s="9" t="s">
        <v>13284</v>
      </c>
      <c r="C3743" s="9" t="s">
        <v>13284</v>
      </c>
      <c r="D3743" s="9" t="s">
        <v>13284</v>
      </c>
      <c r="E3743" s="9" t="s">
        <v>13284</v>
      </c>
      <c r="F3743" s="9" t="s">
        <v>13284</v>
      </c>
      <c r="G3743" s="9" t="s">
        <v>13284</v>
      </c>
      <c r="H3743" s="9" t="s">
        <v>13284</v>
      </c>
      <c r="I3743" s="9" t="s">
        <v>13284</v>
      </c>
      <c r="J3743" s="9" t="s">
        <v>13284</v>
      </c>
      <c r="K3743" s="9" t="s">
        <v>13284</v>
      </c>
      <c r="L3743" s="9" t="s">
        <v>13284</v>
      </c>
      <c r="M3743" s="9" t="s">
        <v>13284</v>
      </c>
      <c r="N3743" s="9" t="s">
        <v>13284</v>
      </c>
      <c r="O3743" s="9" t="s">
        <v>13284</v>
      </c>
      <c r="P3743" s="9" t="s">
        <v>13284</v>
      </c>
      <c r="Q3743" s="9" t="s">
        <v>13284</v>
      </c>
      <c r="R3743" s="9" t="s">
        <v>13284</v>
      </c>
      <c r="S3743" s="9" t="s">
        <v>13284</v>
      </c>
      <c r="T3743" s="9" t="str">
        <f ca="1">IFERROR(IF(AND(VLOOKUP(A3743, 'Актуальное состояние (из общего'!A:C,3,0) = "", A3743 &lt;&gt; ""), "ПРОВЕРИТЬ", VLOOKUP(A3743, 'Актуальное состояние (из общего'!A:C,3,0)), "")</f>
        <v/>
      </c>
      <c r="U3743" s="9" t="s">
        <v>13284</v>
      </c>
      <c r="V3743" s="9" t="s">
        <v>13284</v>
      </c>
      <c r="W3743" s="12"/>
      <c r="X3743" s="9" t="str">
        <f t="array" ref="X3743">IFERROR(INDEX('Адреса общежитий (скрытый)'!$B$2:$B$9, MATCH(W3743, 'Адреса общежитий (скрытый)'!$A$2:$A$9, 0)), "")</f>
        <v/>
      </c>
      <c r="Y3743" s="18"/>
      <c r="Z3743" s="18"/>
      <c r="AA3743" s="18"/>
      <c r="AB3743" s="18"/>
      <c r="AC3743" s="18"/>
    </row>
    <row r="3744" spans="1:29" ht="32.25" hidden="1" customHeight="1">
      <c r="A3744" s="17"/>
      <c r="B3744" s="9" t="s">
        <v>13284</v>
      </c>
      <c r="C3744" s="9" t="s">
        <v>13284</v>
      </c>
      <c r="D3744" s="9" t="s">
        <v>13284</v>
      </c>
      <c r="E3744" s="9" t="s">
        <v>13284</v>
      </c>
      <c r="F3744" s="9" t="s">
        <v>13284</v>
      </c>
      <c r="G3744" s="9" t="s">
        <v>13284</v>
      </c>
      <c r="H3744" s="9" t="s">
        <v>13284</v>
      </c>
      <c r="I3744" s="9" t="s">
        <v>13284</v>
      </c>
      <c r="J3744" s="9" t="s">
        <v>13284</v>
      </c>
      <c r="K3744" s="9" t="s">
        <v>13284</v>
      </c>
      <c r="L3744" s="9" t="s">
        <v>13284</v>
      </c>
      <c r="M3744" s="9" t="s">
        <v>13284</v>
      </c>
      <c r="N3744" s="9" t="s">
        <v>13284</v>
      </c>
      <c r="O3744" s="9" t="s">
        <v>13284</v>
      </c>
      <c r="P3744" s="9" t="s">
        <v>13284</v>
      </c>
      <c r="Q3744" s="9" t="s">
        <v>13284</v>
      </c>
      <c r="R3744" s="9" t="s">
        <v>13284</v>
      </c>
      <c r="S3744" s="9" t="s">
        <v>13284</v>
      </c>
      <c r="T3744" s="9" t="str">
        <f ca="1">IFERROR(IF(AND(VLOOKUP(A3744, 'Актуальное состояние (из общего'!A:C,3,0) = "", A3744 &lt;&gt; ""), "ПРОВЕРИТЬ", VLOOKUP(A3744, 'Актуальное состояние (из общего'!A:C,3,0)), "")</f>
        <v/>
      </c>
      <c r="U3744" s="9" t="s">
        <v>13284</v>
      </c>
      <c r="V3744" s="9" t="s">
        <v>13284</v>
      </c>
      <c r="W3744" s="12"/>
      <c r="X3744" s="9" t="str">
        <f t="array" ref="X3744">IFERROR(INDEX('Адреса общежитий (скрытый)'!$B$2:$B$9, MATCH(W3744, 'Адреса общежитий (скрытый)'!$A$2:$A$9, 0)), "")</f>
        <v/>
      </c>
      <c r="Y3744" s="18"/>
      <c r="Z3744" s="18"/>
      <c r="AA3744" s="18"/>
      <c r="AB3744" s="18"/>
      <c r="AC3744" s="18"/>
    </row>
    <row r="3745" spans="1:29" ht="32.25" hidden="1" customHeight="1">
      <c r="A3745" s="17"/>
      <c r="B3745" s="9" t="s">
        <v>13284</v>
      </c>
      <c r="C3745" s="9" t="s">
        <v>13284</v>
      </c>
      <c r="D3745" s="9" t="s">
        <v>13284</v>
      </c>
      <c r="E3745" s="9" t="s">
        <v>13284</v>
      </c>
      <c r="F3745" s="9" t="s">
        <v>13284</v>
      </c>
      <c r="G3745" s="9" t="s">
        <v>13284</v>
      </c>
      <c r="H3745" s="9" t="s">
        <v>13284</v>
      </c>
      <c r="I3745" s="9" t="s">
        <v>13284</v>
      </c>
      <c r="J3745" s="9" t="s">
        <v>13284</v>
      </c>
      <c r="K3745" s="9" t="s">
        <v>13284</v>
      </c>
      <c r="L3745" s="9" t="s">
        <v>13284</v>
      </c>
      <c r="M3745" s="9" t="s">
        <v>13284</v>
      </c>
      <c r="N3745" s="9" t="s">
        <v>13284</v>
      </c>
      <c r="O3745" s="9" t="s">
        <v>13284</v>
      </c>
      <c r="P3745" s="9" t="s">
        <v>13284</v>
      </c>
      <c r="Q3745" s="9" t="s">
        <v>13284</v>
      </c>
      <c r="R3745" s="9" t="s">
        <v>13284</v>
      </c>
      <c r="S3745" s="9" t="s">
        <v>13284</v>
      </c>
      <c r="T3745" s="9" t="str">
        <f ca="1">IFERROR(IF(AND(VLOOKUP(A3745, 'Актуальное состояние (из общего'!A:C,3,0) = "", A3745 &lt;&gt; ""), "ПРОВЕРИТЬ", VLOOKUP(A3745, 'Актуальное состояние (из общего'!A:C,3,0)), "")</f>
        <v/>
      </c>
      <c r="U3745" s="9" t="s">
        <v>13284</v>
      </c>
      <c r="V3745" s="9" t="s">
        <v>13284</v>
      </c>
      <c r="W3745" s="12"/>
      <c r="X3745" s="9" t="str">
        <f t="array" ref="X3745">IFERROR(INDEX('Адреса общежитий (скрытый)'!$B$2:$B$9, MATCH(W3745, 'Адреса общежитий (скрытый)'!$A$2:$A$9, 0)), "")</f>
        <v/>
      </c>
      <c r="Y3745" s="18"/>
      <c r="Z3745" s="18"/>
      <c r="AA3745" s="18"/>
      <c r="AB3745" s="18"/>
      <c r="AC3745" s="18"/>
    </row>
    <row r="3746" spans="1:29" ht="32.25" hidden="1" customHeight="1">
      <c r="A3746" s="17"/>
      <c r="B3746" s="9" t="s">
        <v>13284</v>
      </c>
      <c r="C3746" s="9" t="s">
        <v>13284</v>
      </c>
      <c r="D3746" s="9" t="s">
        <v>13284</v>
      </c>
      <c r="E3746" s="9" t="s">
        <v>13284</v>
      </c>
      <c r="F3746" s="9" t="s">
        <v>13284</v>
      </c>
      <c r="G3746" s="9" t="s">
        <v>13284</v>
      </c>
      <c r="H3746" s="9" t="s">
        <v>13284</v>
      </c>
      <c r="I3746" s="9" t="s">
        <v>13284</v>
      </c>
      <c r="J3746" s="9" t="s">
        <v>13284</v>
      </c>
      <c r="K3746" s="9" t="s">
        <v>13284</v>
      </c>
      <c r="L3746" s="9" t="s">
        <v>13284</v>
      </c>
      <c r="M3746" s="9" t="s">
        <v>13284</v>
      </c>
      <c r="N3746" s="9" t="s">
        <v>13284</v>
      </c>
      <c r="O3746" s="9" t="s">
        <v>13284</v>
      </c>
      <c r="P3746" s="9" t="s">
        <v>13284</v>
      </c>
      <c r="Q3746" s="9" t="s">
        <v>13284</v>
      </c>
      <c r="R3746" s="9" t="s">
        <v>13284</v>
      </c>
      <c r="S3746" s="9" t="s">
        <v>13284</v>
      </c>
      <c r="T3746" s="9" t="str">
        <f ca="1">IFERROR(IF(AND(VLOOKUP(A3746, 'Актуальное состояние (из общего'!A:C,3,0) = "", A3746 &lt;&gt; ""), "ПРОВЕРИТЬ", VLOOKUP(A3746, 'Актуальное состояние (из общего'!A:C,3,0)), "")</f>
        <v/>
      </c>
      <c r="U3746" s="9" t="s">
        <v>13284</v>
      </c>
      <c r="V3746" s="9" t="s">
        <v>13284</v>
      </c>
      <c r="W3746" s="12"/>
      <c r="X3746" s="9" t="str">
        <f t="array" ref="X3746">IFERROR(INDEX('Адреса общежитий (скрытый)'!$B$2:$B$9, MATCH(W3746, 'Адреса общежитий (скрытый)'!$A$2:$A$9, 0)), "")</f>
        <v/>
      </c>
      <c r="Y3746" s="18"/>
      <c r="Z3746" s="18"/>
      <c r="AA3746" s="18"/>
      <c r="AB3746" s="18"/>
      <c r="AC3746" s="18"/>
    </row>
    <row r="3747" spans="1:29" ht="32.25" hidden="1" customHeight="1">
      <c r="A3747" s="17"/>
      <c r="B3747" s="9" t="s">
        <v>13284</v>
      </c>
      <c r="C3747" s="9" t="s">
        <v>13284</v>
      </c>
      <c r="D3747" s="9" t="s">
        <v>13284</v>
      </c>
      <c r="E3747" s="9" t="s">
        <v>13284</v>
      </c>
      <c r="F3747" s="9" t="s">
        <v>13284</v>
      </c>
      <c r="G3747" s="9" t="s">
        <v>13284</v>
      </c>
      <c r="H3747" s="9" t="s">
        <v>13284</v>
      </c>
      <c r="I3747" s="9" t="s">
        <v>13284</v>
      </c>
      <c r="J3747" s="9" t="s">
        <v>13284</v>
      </c>
      <c r="K3747" s="9" t="s">
        <v>13284</v>
      </c>
      <c r="L3747" s="9" t="s">
        <v>13284</v>
      </c>
      <c r="M3747" s="9" t="s">
        <v>13284</v>
      </c>
      <c r="N3747" s="9" t="s">
        <v>13284</v>
      </c>
      <c r="O3747" s="9" t="s">
        <v>13284</v>
      </c>
      <c r="P3747" s="9" t="s">
        <v>13284</v>
      </c>
      <c r="Q3747" s="9" t="s">
        <v>13284</v>
      </c>
      <c r="R3747" s="9" t="s">
        <v>13284</v>
      </c>
      <c r="S3747" s="9" t="s">
        <v>13284</v>
      </c>
      <c r="T3747" s="9" t="str">
        <f ca="1">IFERROR(IF(AND(VLOOKUP(A3747, 'Актуальное состояние (из общего'!A:C,3,0) = "", A3747 &lt;&gt; ""), "ПРОВЕРИТЬ", VLOOKUP(A3747, 'Актуальное состояние (из общего'!A:C,3,0)), "")</f>
        <v/>
      </c>
      <c r="U3747" s="9" t="s">
        <v>13284</v>
      </c>
      <c r="V3747" s="9" t="s">
        <v>13284</v>
      </c>
      <c r="W3747" s="12"/>
      <c r="X3747" s="9" t="str">
        <f t="array" ref="X3747">IFERROR(INDEX('Адреса общежитий (скрытый)'!$B$2:$B$9, MATCH(W3747, 'Адреса общежитий (скрытый)'!$A$2:$A$9, 0)), "")</f>
        <v/>
      </c>
      <c r="Y3747" s="18"/>
      <c r="Z3747" s="18"/>
      <c r="AA3747" s="18"/>
      <c r="AB3747" s="18"/>
      <c r="AC3747" s="18"/>
    </row>
    <row r="3748" spans="1:29" ht="32.25" hidden="1" customHeight="1">
      <c r="A3748" s="17"/>
      <c r="B3748" s="9" t="s">
        <v>13284</v>
      </c>
      <c r="C3748" s="9" t="s">
        <v>13284</v>
      </c>
      <c r="D3748" s="9" t="s">
        <v>13284</v>
      </c>
      <c r="E3748" s="9" t="s">
        <v>13284</v>
      </c>
      <c r="F3748" s="9" t="s">
        <v>13284</v>
      </c>
      <c r="G3748" s="9" t="s">
        <v>13284</v>
      </c>
      <c r="H3748" s="9" t="s">
        <v>13284</v>
      </c>
      <c r="I3748" s="9" t="s">
        <v>13284</v>
      </c>
      <c r="J3748" s="9" t="s">
        <v>13284</v>
      </c>
      <c r="K3748" s="9" t="s">
        <v>13284</v>
      </c>
      <c r="L3748" s="9" t="s">
        <v>13284</v>
      </c>
      <c r="M3748" s="9" t="s">
        <v>13284</v>
      </c>
      <c r="N3748" s="9" t="s">
        <v>13284</v>
      </c>
      <c r="O3748" s="9" t="s">
        <v>13284</v>
      </c>
      <c r="P3748" s="9" t="s">
        <v>13284</v>
      </c>
      <c r="Q3748" s="9" t="s">
        <v>13284</v>
      </c>
      <c r="R3748" s="9" t="s">
        <v>13284</v>
      </c>
      <c r="S3748" s="9" t="s">
        <v>13284</v>
      </c>
      <c r="T3748" s="9" t="str">
        <f ca="1">IFERROR(IF(AND(VLOOKUP(A3748, 'Актуальное состояние (из общего'!A:C,3,0) = "", A3748 &lt;&gt; ""), "ПРОВЕРИТЬ", VLOOKUP(A3748, 'Актуальное состояние (из общего'!A:C,3,0)), "")</f>
        <v/>
      </c>
      <c r="U3748" s="9" t="s">
        <v>13284</v>
      </c>
      <c r="V3748" s="9" t="s">
        <v>13284</v>
      </c>
      <c r="W3748" s="12"/>
      <c r="X3748" s="9" t="str">
        <f t="array" ref="X3748">IFERROR(INDEX('Адреса общежитий (скрытый)'!$B$2:$B$9, MATCH(W3748, 'Адреса общежитий (скрытый)'!$A$2:$A$9, 0)), "")</f>
        <v/>
      </c>
      <c r="Y3748" s="18"/>
      <c r="Z3748" s="18"/>
      <c r="AA3748" s="18"/>
      <c r="AB3748" s="18"/>
      <c r="AC3748" s="18"/>
    </row>
    <row r="3749" spans="1:29" ht="32.25" hidden="1" customHeight="1">
      <c r="A3749" s="17"/>
      <c r="B3749" s="9" t="s">
        <v>13284</v>
      </c>
      <c r="C3749" s="9" t="s">
        <v>13284</v>
      </c>
      <c r="D3749" s="9" t="s">
        <v>13284</v>
      </c>
      <c r="E3749" s="9" t="s">
        <v>13284</v>
      </c>
      <c r="F3749" s="9" t="s">
        <v>13284</v>
      </c>
      <c r="G3749" s="9" t="s">
        <v>13284</v>
      </c>
      <c r="H3749" s="9" t="s">
        <v>13284</v>
      </c>
      <c r="I3749" s="9" t="s">
        <v>13284</v>
      </c>
      <c r="J3749" s="9" t="s">
        <v>13284</v>
      </c>
      <c r="K3749" s="9" t="s">
        <v>13284</v>
      </c>
      <c r="L3749" s="9" t="s">
        <v>13284</v>
      </c>
      <c r="M3749" s="9" t="s">
        <v>13284</v>
      </c>
      <c r="N3749" s="9" t="s">
        <v>13284</v>
      </c>
      <c r="O3749" s="9" t="s">
        <v>13284</v>
      </c>
      <c r="P3749" s="9" t="s">
        <v>13284</v>
      </c>
      <c r="Q3749" s="9" t="s">
        <v>13284</v>
      </c>
      <c r="R3749" s="9" t="s">
        <v>13284</v>
      </c>
      <c r="S3749" s="9" t="s">
        <v>13284</v>
      </c>
      <c r="T3749" s="9" t="str">
        <f ca="1">IFERROR(IF(AND(VLOOKUP(A3749, 'Актуальное состояние (из общего'!A:C,3,0) = "", A3749 &lt;&gt; ""), "ПРОВЕРИТЬ", VLOOKUP(A3749, 'Актуальное состояние (из общего'!A:C,3,0)), "")</f>
        <v/>
      </c>
      <c r="U3749" s="9" t="s">
        <v>13284</v>
      </c>
      <c r="V3749" s="9" t="s">
        <v>13284</v>
      </c>
      <c r="W3749" s="12"/>
      <c r="X3749" s="9" t="str">
        <f t="array" ref="X3749">IFERROR(INDEX('Адреса общежитий (скрытый)'!$B$2:$B$9, MATCH(W3749, 'Адреса общежитий (скрытый)'!$A$2:$A$9, 0)), "")</f>
        <v/>
      </c>
      <c r="Y3749" s="18"/>
      <c r="Z3749" s="18"/>
      <c r="AA3749" s="18"/>
      <c r="AB3749" s="18"/>
      <c r="AC3749" s="18"/>
    </row>
    <row r="3750" spans="1:29" ht="32.25" hidden="1" customHeight="1">
      <c r="A3750" s="17"/>
      <c r="B3750" s="9" t="s">
        <v>13284</v>
      </c>
      <c r="C3750" s="9" t="s">
        <v>13284</v>
      </c>
      <c r="D3750" s="9" t="s">
        <v>13284</v>
      </c>
      <c r="E3750" s="9" t="s">
        <v>13284</v>
      </c>
      <c r="F3750" s="9" t="s">
        <v>13284</v>
      </c>
      <c r="G3750" s="9" t="s">
        <v>13284</v>
      </c>
      <c r="H3750" s="9" t="s">
        <v>13284</v>
      </c>
      <c r="I3750" s="9" t="s">
        <v>13284</v>
      </c>
      <c r="J3750" s="9" t="s">
        <v>13284</v>
      </c>
      <c r="K3750" s="9" t="s">
        <v>13284</v>
      </c>
      <c r="L3750" s="9" t="s">
        <v>13284</v>
      </c>
      <c r="M3750" s="9" t="s">
        <v>13284</v>
      </c>
      <c r="N3750" s="9" t="s">
        <v>13284</v>
      </c>
      <c r="O3750" s="9" t="s">
        <v>13284</v>
      </c>
      <c r="P3750" s="9" t="s">
        <v>13284</v>
      </c>
      <c r="Q3750" s="9" t="s">
        <v>13284</v>
      </c>
      <c r="R3750" s="9" t="s">
        <v>13284</v>
      </c>
      <c r="S3750" s="9" t="s">
        <v>13284</v>
      </c>
      <c r="T3750" s="9" t="str">
        <f ca="1">IFERROR(IF(AND(VLOOKUP(A3750, 'Актуальное состояние (из общего'!A:C,3,0) = "", A3750 &lt;&gt; ""), "ПРОВЕРИТЬ", VLOOKUP(A3750, 'Актуальное состояние (из общего'!A:C,3,0)), "")</f>
        <v/>
      </c>
      <c r="U3750" s="9" t="s">
        <v>13284</v>
      </c>
      <c r="V3750" s="9" t="s">
        <v>13284</v>
      </c>
      <c r="W3750" s="12"/>
      <c r="X3750" s="9" t="str">
        <f t="array" ref="X3750">IFERROR(INDEX('Адреса общежитий (скрытый)'!$B$2:$B$9, MATCH(W3750, 'Адреса общежитий (скрытый)'!$A$2:$A$9, 0)), "")</f>
        <v/>
      </c>
      <c r="Y3750" s="18"/>
      <c r="Z3750" s="18"/>
      <c r="AA3750" s="18"/>
      <c r="AB3750" s="18"/>
      <c r="AC3750" s="18"/>
    </row>
    <row r="3751" spans="1:29" ht="32.25" hidden="1" customHeight="1">
      <c r="A3751" s="17"/>
      <c r="B3751" s="9" t="s">
        <v>13284</v>
      </c>
      <c r="C3751" s="9" t="s">
        <v>13284</v>
      </c>
      <c r="D3751" s="9" t="s">
        <v>13284</v>
      </c>
      <c r="E3751" s="9" t="s">
        <v>13284</v>
      </c>
      <c r="F3751" s="9" t="s">
        <v>13284</v>
      </c>
      <c r="G3751" s="9" t="s">
        <v>13284</v>
      </c>
      <c r="H3751" s="9" t="s">
        <v>13284</v>
      </c>
      <c r="I3751" s="9" t="s">
        <v>13284</v>
      </c>
      <c r="J3751" s="9" t="s">
        <v>13284</v>
      </c>
      <c r="K3751" s="9" t="s">
        <v>13284</v>
      </c>
      <c r="L3751" s="9" t="s">
        <v>13284</v>
      </c>
      <c r="M3751" s="9" t="s">
        <v>13284</v>
      </c>
      <c r="N3751" s="9" t="s">
        <v>13284</v>
      </c>
      <c r="O3751" s="9" t="s">
        <v>13284</v>
      </c>
      <c r="P3751" s="9" t="s">
        <v>13284</v>
      </c>
      <c r="Q3751" s="9" t="s">
        <v>13284</v>
      </c>
      <c r="R3751" s="9" t="s">
        <v>13284</v>
      </c>
      <c r="S3751" s="9" t="s">
        <v>13284</v>
      </c>
      <c r="T3751" s="9" t="str">
        <f ca="1">IFERROR(IF(AND(VLOOKUP(A3751, 'Актуальное состояние (из общего'!A:C,3,0) = "", A3751 &lt;&gt; ""), "ПРОВЕРИТЬ", VLOOKUP(A3751, 'Актуальное состояние (из общего'!A:C,3,0)), "")</f>
        <v/>
      </c>
      <c r="U3751" s="9" t="s">
        <v>13284</v>
      </c>
      <c r="V3751" s="9" t="s">
        <v>13284</v>
      </c>
      <c r="W3751" s="12"/>
      <c r="X3751" s="9" t="str">
        <f t="array" ref="X3751">IFERROR(INDEX('Адреса общежитий (скрытый)'!$B$2:$B$9, MATCH(W3751, 'Адреса общежитий (скрытый)'!$A$2:$A$9, 0)), "")</f>
        <v/>
      </c>
      <c r="Y3751" s="18"/>
      <c r="Z3751" s="18"/>
      <c r="AA3751" s="18"/>
      <c r="AB3751" s="18"/>
      <c r="AC3751" s="18"/>
    </row>
    <row r="3752" spans="1:29" ht="32.25" hidden="1" customHeight="1">
      <c r="A3752" s="17"/>
      <c r="B3752" s="9" t="s">
        <v>13284</v>
      </c>
      <c r="C3752" s="9" t="s">
        <v>13284</v>
      </c>
      <c r="D3752" s="9" t="s">
        <v>13284</v>
      </c>
      <c r="E3752" s="9" t="s">
        <v>13284</v>
      </c>
      <c r="F3752" s="9" t="s">
        <v>13284</v>
      </c>
      <c r="G3752" s="9" t="s">
        <v>13284</v>
      </c>
      <c r="H3752" s="9" t="s">
        <v>13284</v>
      </c>
      <c r="I3752" s="9" t="s">
        <v>13284</v>
      </c>
      <c r="J3752" s="9" t="s">
        <v>13284</v>
      </c>
      <c r="K3752" s="9" t="s">
        <v>13284</v>
      </c>
      <c r="L3752" s="9" t="s">
        <v>13284</v>
      </c>
      <c r="M3752" s="9" t="s">
        <v>13284</v>
      </c>
      <c r="N3752" s="9" t="s">
        <v>13284</v>
      </c>
      <c r="O3752" s="9" t="s">
        <v>13284</v>
      </c>
      <c r="P3752" s="9" t="s">
        <v>13284</v>
      </c>
      <c r="Q3752" s="9" t="s">
        <v>13284</v>
      </c>
      <c r="R3752" s="9" t="s">
        <v>13284</v>
      </c>
      <c r="S3752" s="9" t="s">
        <v>13284</v>
      </c>
      <c r="T3752" s="9" t="str">
        <f ca="1">IFERROR(IF(AND(VLOOKUP(A3752, 'Актуальное состояние (из общего'!A:C,3,0) = "", A3752 &lt;&gt; ""), "ПРОВЕРИТЬ", VLOOKUP(A3752, 'Актуальное состояние (из общего'!A:C,3,0)), "")</f>
        <v/>
      </c>
      <c r="U3752" s="9" t="s">
        <v>13284</v>
      </c>
      <c r="V3752" s="9" t="s">
        <v>13284</v>
      </c>
      <c r="W3752" s="12"/>
      <c r="X3752" s="9" t="str">
        <f t="array" ref="X3752">IFERROR(INDEX('Адреса общежитий (скрытый)'!$B$2:$B$9, MATCH(W3752, 'Адреса общежитий (скрытый)'!$A$2:$A$9, 0)), "")</f>
        <v/>
      </c>
      <c r="Y3752" s="18"/>
      <c r="Z3752" s="18"/>
      <c r="AA3752" s="18"/>
      <c r="AB3752" s="18"/>
      <c r="AC3752" s="18"/>
    </row>
    <row r="3753" spans="1:29" ht="32.25" hidden="1" customHeight="1">
      <c r="A3753" s="17"/>
      <c r="B3753" s="9" t="s">
        <v>13284</v>
      </c>
      <c r="C3753" s="9" t="s">
        <v>13284</v>
      </c>
      <c r="D3753" s="9" t="s">
        <v>13284</v>
      </c>
      <c r="E3753" s="9" t="s">
        <v>13284</v>
      </c>
      <c r="F3753" s="9" t="s">
        <v>13284</v>
      </c>
      <c r="G3753" s="9" t="s">
        <v>13284</v>
      </c>
      <c r="H3753" s="9" t="s">
        <v>13284</v>
      </c>
      <c r="I3753" s="9" t="s">
        <v>13284</v>
      </c>
      <c r="J3753" s="9" t="s">
        <v>13284</v>
      </c>
      <c r="K3753" s="9" t="s">
        <v>13284</v>
      </c>
      <c r="L3753" s="9" t="s">
        <v>13284</v>
      </c>
      <c r="M3753" s="9" t="s">
        <v>13284</v>
      </c>
      <c r="N3753" s="9" t="s">
        <v>13284</v>
      </c>
      <c r="O3753" s="9" t="s">
        <v>13284</v>
      </c>
      <c r="P3753" s="9" t="s">
        <v>13284</v>
      </c>
      <c r="Q3753" s="9" t="s">
        <v>13284</v>
      </c>
      <c r="R3753" s="9" t="s">
        <v>13284</v>
      </c>
      <c r="S3753" s="9" t="s">
        <v>13284</v>
      </c>
      <c r="T3753" s="9" t="str">
        <f ca="1">IFERROR(IF(AND(VLOOKUP(A3753, 'Актуальное состояние (из общего'!A:C,3,0) = "", A3753 &lt;&gt; ""), "ПРОВЕРИТЬ", VLOOKUP(A3753, 'Актуальное состояние (из общего'!A:C,3,0)), "")</f>
        <v/>
      </c>
      <c r="U3753" s="9" t="s">
        <v>13284</v>
      </c>
      <c r="V3753" s="9" t="s">
        <v>13284</v>
      </c>
      <c r="W3753" s="12"/>
      <c r="X3753" s="9" t="str">
        <f t="array" ref="X3753">IFERROR(INDEX('Адреса общежитий (скрытый)'!$B$2:$B$9, MATCH(W3753, 'Адреса общежитий (скрытый)'!$A$2:$A$9, 0)), "")</f>
        <v/>
      </c>
      <c r="Y3753" s="18"/>
      <c r="Z3753" s="18"/>
      <c r="AA3753" s="18"/>
      <c r="AB3753" s="18"/>
      <c r="AC3753" s="18"/>
    </row>
    <row r="3754" spans="1:29" ht="32.25" hidden="1" customHeight="1">
      <c r="A3754" s="17"/>
      <c r="B3754" s="9" t="s">
        <v>13284</v>
      </c>
      <c r="C3754" s="9" t="s">
        <v>13284</v>
      </c>
      <c r="D3754" s="9" t="s">
        <v>13284</v>
      </c>
      <c r="E3754" s="9" t="s">
        <v>13284</v>
      </c>
      <c r="F3754" s="9" t="s">
        <v>13284</v>
      </c>
      <c r="G3754" s="9" t="s">
        <v>13284</v>
      </c>
      <c r="H3754" s="9" t="s">
        <v>13284</v>
      </c>
      <c r="I3754" s="9" t="s">
        <v>13284</v>
      </c>
      <c r="J3754" s="9" t="s">
        <v>13284</v>
      </c>
      <c r="K3754" s="9" t="s">
        <v>13284</v>
      </c>
      <c r="L3754" s="9" t="s">
        <v>13284</v>
      </c>
      <c r="M3754" s="9" t="s">
        <v>13284</v>
      </c>
      <c r="N3754" s="9" t="s">
        <v>13284</v>
      </c>
      <c r="O3754" s="9" t="s">
        <v>13284</v>
      </c>
      <c r="P3754" s="9" t="s">
        <v>13284</v>
      </c>
      <c r="Q3754" s="9" t="s">
        <v>13284</v>
      </c>
      <c r="R3754" s="9" t="s">
        <v>13284</v>
      </c>
      <c r="S3754" s="9" t="s">
        <v>13284</v>
      </c>
      <c r="T3754" s="9" t="str">
        <f ca="1">IFERROR(IF(AND(VLOOKUP(A3754, 'Актуальное состояние (из общего'!A:C,3,0) = "", A3754 &lt;&gt; ""), "ПРОВЕРИТЬ", VLOOKUP(A3754, 'Актуальное состояние (из общего'!A:C,3,0)), "")</f>
        <v/>
      </c>
      <c r="U3754" s="9" t="s">
        <v>13284</v>
      </c>
      <c r="V3754" s="9" t="s">
        <v>13284</v>
      </c>
      <c r="W3754" s="12"/>
      <c r="X3754" s="9" t="str">
        <f t="array" ref="X3754">IFERROR(INDEX('Адреса общежитий (скрытый)'!$B$2:$B$9, MATCH(W3754, 'Адреса общежитий (скрытый)'!$A$2:$A$9, 0)), "")</f>
        <v/>
      </c>
      <c r="Y3754" s="18"/>
      <c r="Z3754" s="18"/>
      <c r="AA3754" s="18"/>
      <c r="AB3754" s="18"/>
      <c r="AC3754" s="18"/>
    </row>
    <row r="3755" spans="1:29" ht="32.25" hidden="1" customHeight="1">
      <c r="A3755" s="17"/>
      <c r="B3755" s="9" t="s">
        <v>13284</v>
      </c>
      <c r="C3755" s="9" t="s">
        <v>13284</v>
      </c>
      <c r="D3755" s="9" t="s">
        <v>13284</v>
      </c>
      <c r="E3755" s="9" t="s">
        <v>13284</v>
      </c>
      <c r="F3755" s="9" t="s">
        <v>13284</v>
      </c>
      <c r="G3755" s="9" t="s">
        <v>13284</v>
      </c>
      <c r="H3755" s="9" t="s">
        <v>13284</v>
      </c>
      <c r="I3755" s="9" t="s">
        <v>13284</v>
      </c>
      <c r="J3755" s="9" t="s">
        <v>13284</v>
      </c>
      <c r="K3755" s="9" t="s">
        <v>13284</v>
      </c>
      <c r="L3755" s="9" t="s">
        <v>13284</v>
      </c>
      <c r="M3755" s="9" t="s">
        <v>13284</v>
      </c>
      <c r="N3755" s="9" t="s">
        <v>13284</v>
      </c>
      <c r="O3755" s="9" t="s">
        <v>13284</v>
      </c>
      <c r="P3755" s="9" t="s">
        <v>13284</v>
      </c>
      <c r="Q3755" s="9" t="s">
        <v>13284</v>
      </c>
      <c r="R3755" s="9" t="s">
        <v>13284</v>
      </c>
      <c r="S3755" s="9" t="s">
        <v>13284</v>
      </c>
      <c r="T3755" s="9" t="str">
        <f ca="1">IFERROR(IF(AND(VLOOKUP(A3755, 'Актуальное состояние (из общего'!A:C,3,0) = "", A3755 &lt;&gt; ""), "ПРОВЕРИТЬ", VLOOKUP(A3755, 'Актуальное состояние (из общего'!A:C,3,0)), "")</f>
        <v/>
      </c>
      <c r="U3755" s="9" t="s">
        <v>13284</v>
      </c>
      <c r="V3755" s="9" t="s">
        <v>13284</v>
      </c>
      <c r="W3755" s="12"/>
      <c r="X3755" s="9" t="str">
        <f t="array" ref="X3755">IFERROR(INDEX('Адреса общежитий (скрытый)'!$B$2:$B$9, MATCH(W3755, 'Адреса общежитий (скрытый)'!$A$2:$A$9, 0)), "")</f>
        <v/>
      </c>
      <c r="Y3755" s="18"/>
      <c r="Z3755" s="18"/>
      <c r="AA3755" s="18"/>
      <c r="AB3755" s="18"/>
      <c r="AC3755" s="18"/>
    </row>
    <row r="3756" spans="1:29" ht="32.25" hidden="1" customHeight="1">
      <c r="A3756" s="17"/>
      <c r="B3756" s="9" t="s">
        <v>13284</v>
      </c>
      <c r="C3756" s="9" t="s">
        <v>13284</v>
      </c>
      <c r="D3756" s="9" t="s">
        <v>13284</v>
      </c>
      <c r="E3756" s="9" t="s">
        <v>13284</v>
      </c>
      <c r="F3756" s="9" t="s">
        <v>13284</v>
      </c>
      <c r="G3756" s="9" t="s">
        <v>13284</v>
      </c>
      <c r="H3756" s="9" t="s">
        <v>13284</v>
      </c>
      <c r="I3756" s="9" t="s">
        <v>13284</v>
      </c>
      <c r="J3756" s="9" t="s">
        <v>13284</v>
      </c>
      <c r="K3756" s="9" t="s">
        <v>13284</v>
      </c>
      <c r="L3756" s="9" t="s">
        <v>13284</v>
      </c>
      <c r="M3756" s="9" t="s">
        <v>13284</v>
      </c>
      <c r="N3756" s="9" t="s">
        <v>13284</v>
      </c>
      <c r="O3756" s="9" t="s">
        <v>13284</v>
      </c>
      <c r="P3756" s="9" t="s">
        <v>13284</v>
      </c>
      <c r="Q3756" s="9" t="s">
        <v>13284</v>
      </c>
      <c r="R3756" s="9" t="s">
        <v>13284</v>
      </c>
      <c r="S3756" s="9" t="s">
        <v>13284</v>
      </c>
      <c r="T3756" s="9" t="str">
        <f ca="1">IFERROR(IF(AND(VLOOKUP(A3756, 'Актуальное состояние (из общего'!A:C,3,0) = "", A3756 &lt;&gt; ""), "ПРОВЕРИТЬ", VLOOKUP(A3756, 'Актуальное состояние (из общего'!A:C,3,0)), "")</f>
        <v/>
      </c>
      <c r="U3756" s="9" t="s">
        <v>13284</v>
      </c>
      <c r="V3756" s="9" t="s">
        <v>13284</v>
      </c>
      <c r="W3756" s="12"/>
      <c r="X3756" s="9" t="str">
        <f t="array" ref="X3756">IFERROR(INDEX('Адреса общежитий (скрытый)'!$B$2:$B$9, MATCH(W3756, 'Адреса общежитий (скрытый)'!$A$2:$A$9, 0)), "")</f>
        <v/>
      </c>
      <c r="Y3756" s="18"/>
      <c r="Z3756" s="18"/>
      <c r="AA3756" s="18"/>
      <c r="AB3756" s="18"/>
      <c r="AC3756" s="18"/>
    </row>
    <row r="3757" spans="1:29" ht="32.25" hidden="1" customHeight="1">
      <c r="A3757" s="17"/>
      <c r="B3757" s="9" t="s">
        <v>13284</v>
      </c>
      <c r="C3757" s="9" t="s">
        <v>13284</v>
      </c>
      <c r="D3757" s="9" t="s">
        <v>13284</v>
      </c>
      <c r="E3757" s="9" t="s">
        <v>13284</v>
      </c>
      <c r="F3757" s="9" t="s">
        <v>13284</v>
      </c>
      <c r="G3757" s="9" t="s">
        <v>13284</v>
      </c>
      <c r="H3757" s="9" t="s">
        <v>13284</v>
      </c>
      <c r="I3757" s="9" t="s">
        <v>13284</v>
      </c>
      <c r="J3757" s="9" t="s">
        <v>13284</v>
      </c>
      <c r="K3757" s="9" t="s">
        <v>13284</v>
      </c>
      <c r="L3757" s="9" t="s">
        <v>13284</v>
      </c>
      <c r="M3757" s="9" t="s">
        <v>13284</v>
      </c>
      <c r="N3757" s="9" t="s">
        <v>13284</v>
      </c>
      <c r="O3757" s="9" t="s">
        <v>13284</v>
      </c>
      <c r="P3757" s="9" t="s">
        <v>13284</v>
      </c>
      <c r="Q3757" s="9" t="s">
        <v>13284</v>
      </c>
      <c r="R3757" s="9" t="s">
        <v>13284</v>
      </c>
      <c r="S3757" s="9" t="s">
        <v>13284</v>
      </c>
      <c r="T3757" s="9" t="str">
        <f ca="1">IFERROR(IF(AND(VLOOKUP(A3757, 'Актуальное состояние (из общего'!A:C,3,0) = "", A3757 &lt;&gt; ""), "ПРОВЕРИТЬ", VLOOKUP(A3757, 'Актуальное состояние (из общего'!A:C,3,0)), "")</f>
        <v/>
      </c>
      <c r="U3757" s="9" t="s">
        <v>13284</v>
      </c>
      <c r="V3757" s="9" t="s">
        <v>13284</v>
      </c>
      <c r="W3757" s="12"/>
      <c r="X3757" s="9" t="str">
        <f t="array" ref="X3757">IFERROR(INDEX('Адреса общежитий (скрытый)'!$B$2:$B$9, MATCH(W3757, 'Адреса общежитий (скрытый)'!$A$2:$A$9, 0)), "")</f>
        <v/>
      </c>
      <c r="Y3757" s="18"/>
      <c r="Z3757" s="18"/>
      <c r="AA3757" s="18"/>
      <c r="AB3757" s="18"/>
      <c r="AC3757" s="18"/>
    </row>
    <row r="3758" spans="1:29" ht="32.25" hidden="1" customHeight="1">
      <c r="A3758" s="17"/>
      <c r="B3758" s="9" t="s">
        <v>13284</v>
      </c>
      <c r="C3758" s="9" t="s">
        <v>13284</v>
      </c>
      <c r="D3758" s="9" t="s">
        <v>13284</v>
      </c>
      <c r="E3758" s="9" t="s">
        <v>13284</v>
      </c>
      <c r="F3758" s="9" t="s">
        <v>13284</v>
      </c>
      <c r="G3758" s="9" t="s">
        <v>13284</v>
      </c>
      <c r="H3758" s="9" t="s">
        <v>13284</v>
      </c>
      <c r="I3758" s="9" t="s">
        <v>13284</v>
      </c>
      <c r="J3758" s="9" t="s">
        <v>13284</v>
      </c>
      <c r="K3758" s="9" t="s">
        <v>13284</v>
      </c>
      <c r="L3758" s="9" t="s">
        <v>13284</v>
      </c>
      <c r="M3758" s="9" t="s">
        <v>13284</v>
      </c>
      <c r="N3758" s="9" t="s">
        <v>13284</v>
      </c>
      <c r="O3758" s="9" t="s">
        <v>13284</v>
      </c>
      <c r="P3758" s="9" t="s">
        <v>13284</v>
      </c>
      <c r="Q3758" s="9" t="s">
        <v>13284</v>
      </c>
      <c r="R3758" s="9" t="s">
        <v>13284</v>
      </c>
      <c r="S3758" s="9" t="s">
        <v>13284</v>
      </c>
      <c r="T3758" s="9" t="str">
        <f ca="1">IFERROR(IF(AND(VLOOKUP(A3758, 'Актуальное состояние (из общего'!A:C,3,0) = "", A3758 &lt;&gt; ""), "ПРОВЕРИТЬ", VLOOKUP(A3758, 'Актуальное состояние (из общего'!A:C,3,0)), "")</f>
        <v/>
      </c>
      <c r="U3758" s="9" t="s">
        <v>13284</v>
      </c>
      <c r="V3758" s="9" t="s">
        <v>13284</v>
      </c>
      <c r="W3758" s="12"/>
      <c r="X3758" s="9" t="str">
        <f t="array" ref="X3758">IFERROR(INDEX('Адреса общежитий (скрытый)'!$B$2:$B$9, MATCH(W3758, 'Адреса общежитий (скрытый)'!$A$2:$A$9, 0)), "")</f>
        <v/>
      </c>
      <c r="Y3758" s="18"/>
      <c r="Z3758" s="18"/>
      <c r="AA3758" s="18"/>
      <c r="AB3758" s="18"/>
      <c r="AC3758" s="18"/>
    </row>
    <row r="3759" spans="1:29" ht="32.25" hidden="1" customHeight="1">
      <c r="A3759" s="17"/>
      <c r="B3759" s="9" t="s">
        <v>13284</v>
      </c>
      <c r="C3759" s="9" t="s">
        <v>13284</v>
      </c>
      <c r="D3759" s="9" t="s">
        <v>13284</v>
      </c>
      <c r="E3759" s="9" t="s">
        <v>13284</v>
      </c>
      <c r="F3759" s="9" t="s">
        <v>13284</v>
      </c>
      <c r="G3759" s="9" t="s">
        <v>13284</v>
      </c>
      <c r="H3759" s="9" t="s">
        <v>13284</v>
      </c>
      <c r="I3759" s="9" t="s">
        <v>13284</v>
      </c>
      <c r="J3759" s="9" t="s">
        <v>13284</v>
      </c>
      <c r="K3759" s="9" t="s">
        <v>13284</v>
      </c>
      <c r="L3759" s="9" t="s">
        <v>13284</v>
      </c>
      <c r="M3759" s="9" t="s">
        <v>13284</v>
      </c>
      <c r="N3759" s="9" t="s">
        <v>13284</v>
      </c>
      <c r="O3759" s="9" t="s">
        <v>13284</v>
      </c>
      <c r="P3759" s="9" t="s">
        <v>13284</v>
      </c>
      <c r="Q3759" s="9" t="s">
        <v>13284</v>
      </c>
      <c r="R3759" s="9" t="s">
        <v>13284</v>
      </c>
      <c r="S3759" s="9" t="s">
        <v>13284</v>
      </c>
      <c r="T3759" s="9" t="str">
        <f ca="1">IFERROR(IF(AND(VLOOKUP(A3759, 'Актуальное состояние (из общего'!A:C,3,0) = "", A3759 &lt;&gt; ""), "ПРОВЕРИТЬ", VLOOKUP(A3759, 'Актуальное состояние (из общего'!A:C,3,0)), "")</f>
        <v/>
      </c>
      <c r="U3759" s="9" t="s">
        <v>13284</v>
      </c>
      <c r="V3759" s="9" t="s">
        <v>13284</v>
      </c>
      <c r="W3759" s="12"/>
      <c r="X3759" s="9" t="str">
        <f t="array" ref="X3759">IFERROR(INDEX('Адреса общежитий (скрытый)'!$B$2:$B$9, MATCH(W3759, 'Адреса общежитий (скрытый)'!$A$2:$A$9, 0)), "")</f>
        <v/>
      </c>
      <c r="Y3759" s="18"/>
      <c r="Z3759" s="18"/>
      <c r="AA3759" s="18"/>
      <c r="AB3759" s="18"/>
      <c r="AC3759" s="18"/>
    </row>
    <row r="3760" spans="1:29" ht="32.25" hidden="1" customHeight="1">
      <c r="A3760" s="17"/>
      <c r="B3760" s="9" t="s">
        <v>13284</v>
      </c>
      <c r="C3760" s="9" t="s">
        <v>13284</v>
      </c>
      <c r="D3760" s="9" t="s">
        <v>13284</v>
      </c>
      <c r="E3760" s="9" t="s">
        <v>13284</v>
      </c>
      <c r="F3760" s="9" t="s">
        <v>13284</v>
      </c>
      <c r="G3760" s="9" t="s">
        <v>13284</v>
      </c>
      <c r="H3760" s="9" t="s">
        <v>13284</v>
      </c>
      <c r="I3760" s="9" t="s">
        <v>13284</v>
      </c>
      <c r="J3760" s="9" t="s">
        <v>13284</v>
      </c>
      <c r="K3760" s="9" t="s">
        <v>13284</v>
      </c>
      <c r="L3760" s="9" t="s">
        <v>13284</v>
      </c>
      <c r="M3760" s="9" t="s">
        <v>13284</v>
      </c>
      <c r="N3760" s="9" t="s">
        <v>13284</v>
      </c>
      <c r="O3760" s="9" t="s">
        <v>13284</v>
      </c>
      <c r="P3760" s="9" t="s">
        <v>13284</v>
      </c>
      <c r="Q3760" s="9" t="s">
        <v>13284</v>
      </c>
      <c r="R3760" s="9" t="s">
        <v>13284</v>
      </c>
      <c r="S3760" s="9" t="s">
        <v>13284</v>
      </c>
      <c r="T3760" s="9" t="str">
        <f ca="1">IFERROR(IF(AND(VLOOKUP(A3760, 'Актуальное состояние (из общего'!A:C,3,0) = "", A3760 &lt;&gt; ""), "ПРОВЕРИТЬ", VLOOKUP(A3760, 'Актуальное состояние (из общего'!A:C,3,0)), "")</f>
        <v/>
      </c>
      <c r="U3760" s="9" t="s">
        <v>13284</v>
      </c>
      <c r="V3760" s="9" t="s">
        <v>13284</v>
      </c>
      <c r="W3760" s="12"/>
      <c r="X3760" s="9" t="str">
        <f t="array" ref="X3760">IFERROR(INDEX('Адреса общежитий (скрытый)'!$B$2:$B$9, MATCH(W3760, 'Адреса общежитий (скрытый)'!$A$2:$A$9, 0)), "")</f>
        <v/>
      </c>
      <c r="Y3760" s="18"/>
      <c r="Z3760" s="18"/>
      <c r="AA3760" s="18"/>
      <c r="AB3760" s="18"/>
      <c r="AC3760" s="18"/>
    </row>
    <row r="3761" spans="1:29" ht="32.25" hidden="1" customHeight="1">
      <c r="A3761" s="17"/>
      <c r="B3761" s="9" t="s">
        <v>13284</v>
      </c>
      <c r="C3761" s="9" t="s">
        <v>13284</v>
      </c>
      <c r="D3761" s="9" t="s">
        <v>13284</v>
      </c>
      <c r="E3761" s="9" t="s">
        <v>13284</v>
      </c>
      <c r="F3761" s="9" t="s">
        <v>13284</v>
      </c>
      <c r="G3761" s="9" t="s">
        <v>13284</v>
      </c>
      <c r="H3761" s="9" t="s">
        <v>13284</v>
      </c>
      <c r="I3761" s="9" t="s">
        <v>13284</v>
      </c>
      <c r="J3761" s="9" t="s">
        <v>13284</v>
      </c>
      <c r="K3761" s="9" t="s">
        <v>13284</v>
      </c>
      <c r="L3761" s="9" t="s">
        <v>13284</v>
      </c>
      <c r="M3761" s="9" t="s">
        <v>13284</v>
      </c>
      <c r="N3761" s="9" t="s">
        <v>13284</v>
      </c>
      <c r="O3761" s="9" t="s">
        <v>13284</v>
      </c>
      <c r="P3761" s="9" t="s">
        <v>13284</v>
      </c>
      <c r="Q3761" s="9" t="s">
        <v>13284</v>
      </c>
      <c r="R3761" s="9" t="s">
        <v>13284</v>
      </c>
      <c r="S3761" s="9" t="s">
        <v>13284</v>
      </c>
      <c r="T3761" s="9" t="str">
        <f ca="1">IFERROR(IF(AND(VLOOKUP(A3761, 'Актуальное состояние (из общего'!A:C,3,0) = "", A3761 &lt;&gt; ""), "ПРОВЕРИТЬ", VLOOKUP(A3761, 'Актуальное состояние (из общего'!A:C,3,0)), "")</f>
        <v/>
      </c>
      <c r="U3761" s="9" t="s">
        <v>13284</v>
      </c>
      <c r="V3761" s="9" t="s">
        <v>13284</v>
      </c>
      <c r="W3761" s="12"/>
      <c r="X3761" s="9" t="str">
        <f t="array" ref="X3761">IFERROR(INDEX('Адреса общежитий (скрытый)'!$B$2:$B$9, MATCH(W3761, 'Адреса общежитий (скрытый)'!$A$2:$A$9, 0)), "")</f>
        <v/>
      </c>
      <c r="Y3761" s="18"/>
      <c r="Z3761" s="18"/>
      <c r="AA3761" s="18"/>
      <c r="AB3761" s="18"/>
      <c r="AC3761" s="18"/>
    </row>
    <row r="3762" spans="1:29" ht="32.25" hidden="1" customHeight="1">
      <c r="A3762" s="17"/>
      <c r="B3762" s="9" t="s">
        <v>13284</v>
      </c>
      <c r="C3762" s="9" t="s">
        <v>13284</v>
      </c>
      <c r="D3762" s="9" t="s">
        <v>13284</v>
      </c>
      <c r="E3762" s="9" t="s">
        <v>13284</v>
      </c>
      <c r="F3762" s="9" t="s">
        <v>13284</v>
      </c>
      <c r="G3762" s="9" t="s">
        <v>13284</v>
      </c>
      <c r="H3762" s="9" t="s">
        <v>13284</v>
      </c>
      <c r="I3762" s="9" t="s">
        <v>13284</v>
      </c>
      <c r="J3762" s="9" t="s">
        <v>13284</v>
      </c>
      <c r="K3762" s="9" t="s">
        <v>13284</v>
      </c>
      <c r="L3762" s="9" t="s">
        <v>13284</v>
      </c>
      <c r="M3762" s="9" t="s">
        <v>13284</v>
      </c>
      <c r="N3762" s="9" t="s">
        <v>13284</v>
      </c>
      <c r="O3762" s="9" t="s">
        <v>13284</v>
      </c>
      <c r="P3762" s="9" t="s">
        <v>13284</v>
      </c>
      <c r="Q3762" s="9" t="s">
        <v>13284</v>
      </c>
      <c r="R3762" s="9" t="s">
        <v>13284</v>
      </c>
      <c r="S3762" s="9" t="s">
        <v>13284</v>
      </c>
      <c r="T3762" s="9" t="str">
        <f ca="1">IFERROR(IF(AND(VLOOKUP(A3762, 'Актуальное состояние (из общего'!A:C,3,0) = "", A3762 &lt;&gt; ""), "ПРОВЕРИТЬ", VLOOKUP(A3762, 'Актуальное состояние (из общего'!A:C,3,0)), "")</f>
        <v/>
      </c>
      <c r="U3762" s="9" t="s">
        <v>13284</v>
      </c>
      <c r="V3762" s="9" t="s">
        <v>13284</v>
      </c>
      <c r="W3762" s="12"/>
      <c r="X3762" s="9" t="str">
        <f t="array" ref="X3762">IFERROR(INDEX('Адреса общежитий (скрытый)'!$B$2:$B$9, MATCH(W3762, 'Адреса общежитий (скрытый)'!$A$2:$A$9, 0)), "")</f>
        <v/>
      </c>
      <c r="Y3762" s="18"/>
      <c r="Z3762" s="18"/>
      <c r="AA3762" s="18"/>
      <c r="AB3762" s="18"/>
      <c r="AC3762" s="18"/>
    </row>
    <row r="3763" spans="1:29" ht="32.25" hidden="1" customHeight="1">
      <c r="A3763" s="17"/>
      <c r="B3763" s="9" t="s">
        <v>13284</v>
      </c>
      <c r="C3763" s="9" t="s">
        <v>13284</v>
      </c>
      <c r="D3763" s="9" t="s">
        <v>13284</v>
      </c>
      <c r="E3763" s="9" t="s">
        <v>13284</v>
      </c>
      <c r="F3763" s="9" t="s">
        <v>13284</v>
      </c>
      <c r="G3763" s="9" t="s">
        <v>13284</v>
      </c>
      <c r="H3763" s="9" t="s">
        <v>13284</v>
      </c>
      <c r="I3763" s="9" t="s">
        <v>13284</v>
      </c>
      <c r="J3763" s="9" t="s">
        <v>13284</v>
      </c>
      <c r="K3763" s="9" t="s">
        <v>13284</v>
      </c>
      <c r="L3763" s="9" t="s">
        <v>13284</v>
      </c>
      <c r="M3763" s="9" t="s">
        <v>13284</v>
      </c>
      <c r="N3763" s="9" t="s">
        <v>13284</v>
      </c>
      <c r="O3763" s="9" t="s">
        <v>13284</v>
      </c>
      <c r="P3763" s="9" t="s">
        <v>13284</v>
      </c>
      <c r="Q3763" s="9" t="s">
        <v>13284</v>
      </c>
      <c r="R3763" s="9" t="s">
        <v>13284</v>
      </c>
      <c r="S3763" s="9" t="s">
        <v>13284</v>
      </c>
      <c r="T3763" s="9" t="str">
        <f ca="1">IFERROR(IF(AND(VLOOKUP(A3763, 'Актуальное состояние (из общего'!A:C,3,0) = "", A3763 &lt;&gt; ""), "ПРОВЕРИТЬ", VLOOKUP(A3763, 'Актуальное состояние (из общего'!A:C,3,0)), "")</f>
        <v/>
      </c>
      <c r="U3763" s="9" t="s">
        <v>13284</v>
      </c>
      <c r="V3763" s="9" t="s">
        <v>13284</v>
      </c>
      <c r="W3763" s="12"/>
      <c r="X3763" s="9" t="str">
        <f t="array" ref="X3763">IFERROR(INDEX('Адреса общежитий (скрытый)'!$B$2:$B$9, MATCH(W3763, 'Адреса общежитий (скрытый)'!$A$2:$A$9, 0)), "")</f>
        <v/>
      </c>
      <c r="Y3763" s="18"/>
      <c r="Z3763" s="18"/>
      <c r="AA3763" s="18"/>
      <c r="AB3763" s="18"/>
      <c r="AC3763" s="18"/>
    </row>
    <row r="3764" spans="1:29" ht="32.25" hidden="1" customHeight="1">
      <c r="A3764" s="17"/>
      <c r="B3764" s="9" t="s">
        <v>13284</v>
      </c>
      <c r="C3764" s="9" t="s">
        <v>13284</v>
      </c>
      <c r="D3764" s="9" t="s">
        <v>13284</v>
      </c>
      <c r="E3764" s="9" t="s">
        <v>13284</v>
      </c>
      <c r="F3764" s="9" t="s">
        <v>13284</v>
      </c>
      <c r="G3764" s="9" t="s">
        <v>13284</v>
      </c>
      <c r="H3764" s="9" t="s">
        <v>13284</v>
      </c>
      <c r="I3764" s="9" t="s">
        <v>13284</v>
      </c>
      <c r="J3764" s="9" t="s">
        <v>13284</v>
      </c>
      <c r="K3764" s="9" t="s">
        <v>13284</v>
      </c>
      <c r="L3764" s="9" t="s">
        <v>13284</v>
      </c>
      <c r="M3764" s="9" t="s">
        <v>13284</v>
      </c>
      <c r="N3764" s="9" t="s">
        <v>13284</v>
      </c>
      <c r="O3764" s="9" t="s">
        <v>13284</v>
      </c>
      <c r="P3764" s="9" t="s">
        <v>13284</v>
      </c>
      <c r="Q3764" s="9" t="s">
        <v>13284</v>
      </c>
      <c r="R3764" s="9" t="s">
        <v>13284</v>
      </c>
      <c r="S3764" s="9" t="s">
        <v>13284</v>
      </c>
      <c r="T3764" s="9" t="str">
        <f ca="1">IFERROR(IF(AND(VLOOKUP(A3764, 'Актуальное состояние (из общего'!A:C,3,0) = "", A3764 &lt;&gt; ""), "ПРОВЕРИТЬ", VLOOKUP(A3764, 'Актуальное состояние (из общего'!A:C,3,0)), "")</f>
        <v/>
      </c>
      <c r="U3764" s="9" t="s">
        <v>13284</v>
      </c>
      <c r="V3764" s="9" t="s">
        <v>13284</v>
      </c>
      <c r="W3764" s="12"/>
      <c r="X3764" s="9" t="str">
        <f t="array" ref="X3764">IFERROR(INDEX('Адреса общежитий (скрытый)'!$B$2:$B$9, MATCH(W3764, 'Адреса общежитий (скрытый)'!$A$2:$A$9, 0)), "")</f>
        <v/>
      </c>
      <c r="Y3764" s="18"/>
      <c r="Z3764" s="18"/>
      <c r="AA3764" s="18"/>
      <c r="AB3764" s="18"/>
      <c r="AC3764" s="18"/>
    </row>
    <row r="3765" spans="1:29" ht="32.25" hidden="1" customHeight="1">
      <c r="A3765" s="17"/>
      <c r="B3765" s="9" t="s">
        <v>13284</v>
      </c>
      <c r="C3765" s="9" t="s">
        <v>13284</v>
      </c>
      <c r="D3765" s="9" t="s">
        <v>13284</v>
      </c>
      <c r="E3765" s="9" t="s">
        <v>13284</v>
      </c>
      <c r="F3765" s="9" t="s">
        <v>13284</v>
      </c>
      <c r="G3765" s="9" t="s">
        <v>13284</v>
      </c>
      <c r="H3765" s="9" t="s">
        <v>13284</v>
      </c>
      <c r="I3765" s="9" t="s">
        <v>13284</v>
      </c>
      <c r="J3765" s="9" t="s">
        <v>13284</v>
      </c>
      <c r="K3765" s="9" t="s">
        <v>13284</v>
      </c>
      <c r="L3765" s="9" t="s">
        <v>13284</v>
      </c>
      <c r="M3765" s="9" t="s">
        <v>13284</v>
      </c>
      <c r="N3765" s="9" t="s">
        <v>13284</v>
      </c>
      <c r="O3765" s="9" t="s">
        <v>13284</v>
      </c>
      <c r="P3765" s="9" t="s">
        <v>13284</v>
      </c>
      <c r="Q3765" s="9" t="s">
        <v>13284</v>
      </c>
      <c r="R3765" s="9" t="s">
        <v>13284</v>
      </c>
      <c r="S3765" s="9" t="s">
        <v>13284</v>
      </c>
      <c r="T3765" s="9" t="str">
        <f ca="1">IFERROR(IF(AND(VLOOKUP(A3765, 'Актуальное состояние (из общего'!A:C,3,0) = "", A3765 &lt;&gt; ""), "ПРОВЕРИТЬ", VLOOKUP(A3765, 'Актуальное состояние (из общего'!A:C,3,0)), "")</f>
        <v/>
      </c>
      <c r="U3765" s="9" t="s">
        <v>13284</v>
      </c>
      <c r="V3765" s="9" t="s">
        <v>13284</v>
      </c>
      <c r="W3765" s="12"/>
      <c r="X3765" s="9" t="str">
        <f t="array" ref="X3765">IFERROR(INDEX('Адреса общежитий (скрытый)'!$B$2:$B$9, MATCH(W3765, 'Адреса общежитий (скрытый)'!$A$2:$A$9, 0)), "")</f>
        <v/>
      </c>
      <c r="Y3765" s="18"/>
      <c r="Z3765" s="18"/>
      <c r="AA3765" s="18"/>
      <c r="AB3765" s="18"/>
      <c r="AC3765" s="18"/>
    </row>
    <row r="3766" spans="1:29" ht="32.25" hidden="1" customHeight="1">
      <c r="A3766" s="17"/>
      <c r="B3766" s="9" t="s">
        <v>13284</v>
      </c>
      <c r="C3766" s="9" t="s">
        <v>13284</v>
      </c>
      <c r="D3766" s="9" t="s">
        <v>13284</v>
      </c>
      <c r="E3766" s="9" t="s">
        <v>13284</v>
      </c>
      <c r="F3766" s="9" t="s">
        <v>13284</v>
      </c>
      <c r="G3766" s="9" t="s">
        <v>13284</v>
      </c>
      <c r="H3766" s="9" t="s">
        <v>13284</v>
      </c>
      <c r="I3766" s="9" t="s">
        <v>13284</v>
      </c>
      <c r="J3766" s="9" t="s">
        <v>13284</v>
      </c>
      <c r="K3766" s="9" t="s">
        <v>13284</v>
      </c>
      <c r="L3766" s="9" t="s">
        <v>13284</v>
      </c>
      <c r="M3766" s="9" t="s">
        <v>13284</v>
      </c>
      <c r="N3766" s="9" t="s">
        <v>13284</v>
      </c>
      <c r="O3766" s="9" t="s">
        <v>13284</v>
      </c>
      <c r="P3766" s="9" t="s">
        <v>13284</v>
      </c>
      <c r="Q3766" s="9" t="s">
        <v>13284</v>
      </c>
      <c r="R3766" s="9" t="s">
        <v>13284</v>
      </c>
      <c r="S3766" s="9" t="s">
        <v>13284</v>
      </c>
      <c r="T3766" s="9" t="str">
        <f ca="1">IFERROR(IF(AND(VLOOKUP(A3766, 'Актуальное состояние (из общего'!A:C,3,0) = "", A3766 &lt;&gt; ""), "ПРОВЕРИТЬ", VLOOKUP(A3766, 'Актуальное состояние (из общего'!A:C,3,0)), "")</f>
        <v/>
      </c>
      <c r="U3766" s="9" t="s">
        <v>13284</v>
      </c>
      <c r="V3766" s="9" t="s">
        <v>13284</v>
      </c>
      <c r="W3766" s="12"/>
      <c r="X3766" s="9" t="str">
        <f t="array" ref="X3766">IFERROR(INDEX('Адреса общежитий (скрытый)'!$B$2:$B$9, MATCH(W3766, 'Адреса общежитий (скрытый)'!$A$2:$A$9, 0)), "")</f>
        <v/>
      </c>
      <c r="Y3766" s="18"/>
      <c r="Z3766" s="18"/>
      <c r="AA3766" s="18"/>
      <c r="AB3766" s="18"/>
      <c r="AC3766" s="18"/>
    </row>
    <row r="3767" spans="1:29" ht="32.25" hidden="1" customHeight="1">
      <c r="A3767" s="17"/>
      <c r="B3767" s="9" t="s">
        <v>13284</v>
      </c>
      <c r="C3767" s="9" t="s">
        <v>13284</v>
      </c>
      <c r="D3767" s="9" t="s">
        <v>13284</v>
      </c>
      <c r="E3767" s="9" t="s">
        <v>13284</v>
      </c>
      <c r="F3767" s="9" t="s">
        <v>13284</v>
      </c>
      <c r="G3767" s="9" t="s">
        <v>13284</v>
      </c>
      <c r="H3767" s="9" t="s">
        <v>13284</v>
      </c>
      <c r="I3767" s="9" t="s">
        <v>13284</v>
      </c>
      <c r="J3767" s="9" t="s">
        <v>13284</v>
      </c>
      <c r="K3767" s="9" t="s">
        <v>13284</v>
      </c>
      <c r="L3767" s="9" t="s">
        <v>13284</v>
      </c>
      <c r="M3767" s="9" t="s">
        <v>13284</v>
      </c>
      <c r="N3767" s="9" t="s">
        <v>13284</v>
      </c>
      <c r="O3767" s="9" t="s">
        <v>13284</v>
      </c>
      <c r="P3767" s="9" t="s">
        <v>13284</v>
      </c>
      <c r="Q3767" s="9" t="s">
        <v>13284</v>
      </c>
      <c r="R3767" s="9" t="s">
        <v>13284</v>
      </c>
      <c r="S3767" s="9" t="s">
        <v>13284</v>
      </c>
      <c r="T3767" s="9" t="str">
        <f ca="1">IFERROR(IF(AND(VLOOKUP(A3767, 'Актуальное состояние (из общего'!A:C,3,0) = "", A3767 &lt;&gt; ""), "ПРОВЕРИТЬ", VLOOKUP(A3767, 'Актуальное состояние (из общего'!A:C,3,0)), "")</f>
        <v/>
      </c>
      <c r="U3767" s="9" t="s">
        <v>13284</v>
      </c>
      <c r="V3767" s="9" t="s">
        <v>13284</v>
      </c>
      <c r="W3767" s="12"/>
      <c r="X3767" s="9" t="str">
        <f t="array" ref="X3767">IFERROR(INDEX('Адреса общежитий (скрытый)'!$B$2:$B$9, MATCH(W3767, 'Адреса общежитий (скрытый)'!$A$2:$A$9, 0)), "")</f>
        <v/>
      </c>
      <c r="Y3767" s="18"/>
      <c r="Z3767" s="18"/>
      <c r="AA3767" s="18"/>
      <c r="AB3767" s="18"/>
      <c r="AC3767" s="18"/>
    </row>
    <row r="3768" spans="1:29" ht="32.25" hidden="1" customHeight="1">
      <c r="A3768" s="17"/>
      <c r="B3768" s="9" t="s">
        <v>13284</v>
      </c>
      <c r="C3768" s="9" t="s">
        <v>13284</v>
      </c>
      <c r="D3768" s="9" t="s">
        <v>13284</v>
      </c>
      <c r="E3768" s="9" t="s">
        <v>13284</v>
      </c>
      <c r="F3768" s="9" t="s">
        <v>13284</v>
      </c>
      <c r="G3768" s="9" t="s">
        <v>13284</v>
      </c>
      <c r="H3768" s="9" t="s">
        <v>13284</v>
      </c>
      <c r="I3768" s="9" t="s">
        <v>13284</v>
      </c>
      <c r="J3768" s="9" t="s">
        <v>13284</v>
      </c>
      <c r="K3768" s="9" t="s">
        <v>13284</v>
      </c>
      <c r="L3768" s="9" t="s">
        <v>13284</v>
      </c>
      <c r="M3768" s="9" t="s">
        <v>13284</v>
      </c>
      <c r="N3768" s="9" t="s">
        <v>13284</v>
      </c>
      <c r="O3768" s="9" t="s">
        <v>13284</v>
      </c>
      <c r="P3768" s="9" t="s">
        <v>13284</v>
      </c>
      <c r="Q3768" s="9" t="s">
        <v>13284</v>
      </c>
      <c r="R3768" s="9" t="s">
        <v>13284</v>
      </c>
      <c r="S3768" s="9" t="s">
        <v>13284</v>
      </c>
      <c r="T3768" s="9" t="str">
        <f ca="1">IFERROR(IF(AND(VLOOKUP(A3768, 'Актуальное состояние (из общего'!A:C,3,0) = "", A3768 &lt;&gt; ""), "ПРОВЕРИТЬ", VLOOKUP(A3768, 'Актуальное состояние (из общего'!A:C,3,0)), "")</f>
        <v/>
      </c>
      <c r="U3768" s="9" t="s">
        <v>13284</v>
      </c>
      <c r="V3768" s="9" t="s">
        <v>13284</v>
      </c>
      <c r="W3768" s="12"/>
      <c r="X3768" s="9" t="str">
        <f t="array" ref="X3768">IFERROR(INDEX('Адреса общежитий (скрытый)'!$B$2:$B$9, MATCH(W3768, 'Адреса общежитий (скрытый)'!$A$2:$A$9, 0)), "")</f>
        <v/>
      </c>
      <c r="Y3768" s="18"/>
      <c r="Z3768" s="18"/>
      <c r="AA3768" s="18"/>
      <c r="AB3768" s="18"/>
      <c r="AC3768" s="18"/>
    </row>
    <row r="3769" spans="1:29" ht="32.25" hidden="1" customHeight="1">
      <c r="A3769" s="17"/>
      <c r="B3769" s="9" t="s">
        <v>13284</v>
      </c>
      <c r="C3769" s="9" t="s">
        <v>13284</v>
      </c>
      <c r="D3769" s="9" t="s">
        <v>13284</v>
      </c>
      <c r="E3769" s="9" t="s">
        <v>13284</v>
      </c>
      <c r="F3769" s="9" t="s">
        <v>13284</v>
      </c>
      <c r="G3769" s="9" t="s">
        <v>13284</v>
      </c>
      <c r="H3769" s="9" t="s">
        <v>13284</v>
      </c>
      <c r="I3769" s="9" t="s">
        <v>13284</v>
      </c>
      <c r="J3769" s="9" t="s">
        <v>13284</v>
      </c>
      <c r="K3769" s="9" t="s">
        <v>13284</v>
      </c>
      <c r="L3769" s="9" t="s">
        <v>13284</v>
      </c>
      <c r="M3769" s="9" t="s">
        <v>13284</v>
      </c>
      <c r="N3769" s="9" t="s">
        <v>13284</v>
      </c>
      <c r="O3769" s="9" t="s">
        <v>13284</v>
      </c>
      <c r="P3769" s="9" t="s">
        <v>13284</v>
      </c>
      <c r="Q3769" s="9" t="s">
        <v>13284</v>
      </c>
      <c r="R3769" s="9" t="s">
        <v>13284</v>
      </c>
      <c r="S3769" s="9" t="s">
        <v>13284</v>
      </c>
      <c r="T3769" s="9" t="str">
        <f ca="1">IFERROR(IF(AND(VLOOKUP(A3769, 'Актуальное состояние (из общего'!A:C,3,0) = "", A3769 &lt;&gt; ""), "ПРОВЕРИТЬ", VLOOKUP(A3769, 'Актуальное состояние (из общего'!A:C,3,0)), "")</f>
        <v/>
      </c>
      <c r="U3769" s="9" t="s">
        <v>13284</v>
      </c>
      <c r="V3769" s="9" t="s">
        <v>13284</v>
      </c>
      <c r="W3769" s="12"/>
      <c r="X3769" s="9" t="str">
        <f t="array" ref="X3769">IFERROR(INDEX('Адреса общежитий (скрытый)'!$B$2:$B$9, MATCH(W3769, 'Адреса общежитий (скрытый)'!$A$2:$A$9, 0)), "")</f>
        <v/>
      </c>
      <c r="Y3769" s="18"/>
      <c r="Z3769" s="18"/>
      <c r="AA3769" s="18"/>
      <c r="AB3769" s="18"/>
      <c r="AC3769" s="18"/>
    </row>
    <row r="3770" spans="1:29" ht="32.25" hidden="1" customHeight="1">
      <c r="A3770" s="17"/>
      <c r="B3770" s="9" t="s">
        <v>13284</v>
      </c>
      <c r="C3770" s="9" t="s">
        <v>13284</v>
      </c>
      <c r="D3770" s="9" t="s">
        <v>13284</v>
      </c>
      <c r="E3770" s="9" t="s">
        <v>13284</v>
      </c>
      <c r="F3770" s="9" t="s">
        <v>13284</v>
      </c>
      <c r="G3770" s="9" t="s">
        <v>13284</v>
      </c>
      <c r="H3770" s="9" t="s">
        <v>13284</v>
      </c>
      <c r="I3770" s="9" t="s">
        <v>13284</v>
      </c>
      <c r="J3770" s="9" t="s">
        <v>13284</v>
      </c>
      <c r="K3770" s="9" t="s">
        <v>13284</v>
      </c>
      <c r="L3770" s="9" t="s">
        <v>13284</v>
      </c>
      <c r="M3770" s="9" t="s">
        <v>13284</v>
      </c>
      <c r="N3770" s="9" t="s">
        <v>13284</v>
      </c>
      <c r="O3770" s="9" t="s">
        <v>13284</v>
      </c>
      <c r="P3770" s="9" t="s">
        <v>13284</v>
      </c>
      <c r="Q3770" s="9" t="s">
        <v>13284</v>
      </c>
      <c r="R3770" s="9" t="s">
        <v>13284</v>
      </c>
      <c r="S3770" s="9" t="s">
        <v>13284</v>
      </c>
      <c r="T3770" s="9" t="str">
        <f ca="1">IFERROR(IF(AND(VLOOKUP(A3770, 'Актуальное состояние (из общего'!A:C,3,0) = "", A3770 &lt;&gt; ""), "ПРОВЕРИТЬ", VLOOKUP(A3770, 'Актуальное состояние (из общего'!A:C,3,0)), "")</f>
        <v/>
      </c>
      <c r="U3770" s="9" t="s">
        <v>13284</v>
      </c>
      <c r="V3770" s="9" t="s">
        <v>13284</v>
      </c>
      <c r="W3770" s="12"/>
      <c r="X3770" s="9" t="str">
        <f t="array" ref="X3770">IFERROR(INDEX('Адреса общежитий (скрытый)'!$B$2:$B$9, MATCH(W3770, 'Адреса общежитий (скрытый)'!$A$2:$A$9, 0)), "")</f>
        <v/>
      </c>
      <c r="Y3770" s="18"/>
      <c r="Z3770" s="18"/>
      <c r="AA3770" s="18"/>
      <c r="AB3770" s="18"/>
      <c r="AC3770" s="18"/>
    </row>
    <row r="3771" spans="1:29" ht="32.25" hidden="1" customHeight="1">
      <c r="A3771" s="17"/>
      <c r="B3771" s="9" t="s">
        <v>13284</v>
      </c>
      <c r="C3771" s="9" t="s">
        <v>13284</v>
      </c>
      <c r="D3771" s="9" t="s">
        <v>13284</v>
      </c>
      <c r="E3771" s="9" t="s">
        <v>13284</v>
      </c>
      <c r="F3771" s="9" t="s">
        <v>13284</v>
      </c>
      <c r="G3771" s="9" t="s">
        <v>13284</v>
      </c>
      <c r="H3771" s="9" t="s">
        <v>13284</v>
      </c>
      <c r="I3771" s="9" t="s">
        <v>13284</v>
      </c>
      <c r="J3771" s="9" t="s">
        <v>13284</v>
      </c>
      <c r="K3771" s="9" t="s">
        <v>13284</v>
      </c>
      <c r="L3771" s="9" t="s">
        <v>13284</v>
      </c>
      <c r="M3771" s="9" t="s">
        <v>13284</v>
      </c>
      <c r="N3771" s="9" t="s">
        <v>13284</v>
      </c>
      <c r="O3771" s="9" t="s">
        <v>13284</v>
      </c>
      <c r="P3771" s="9" t="s">
        <v>13284</v>
      </c>
      <c r="Q3771" s="9" t="s">
        <v>13284</v>
      </c>
      <c r="R3771" s="9" t="s">
        <v>13284</v>
      </c>
      <c r="S3771" s="9" t="s">
        <v>13284</v>
      </c>
      <c r="T3771" s="9" t="str">
        <f ca="1">IFERROR(IF(AND(VLOOKUP(A3771, 'Актуальное состояние (из общего'!A:C,3,0) = "", A3771 &lt;&gt; ""), "ПРОВЕРИТЬ", VLOOKUP(A3771, 'Актуальное состояние (из общего'!A:C,3,0)), "")</f>
        <v/>
      </c>
      <c r="U3771" s="9" t="s">
        <v>13284</v>
      </c>
      <c r="V3771" s="9" t="s">
        <v>13284</v>
      </c>
      <c r="W3771" s="12"/>
      <c r="X3771" s="9" t="str">
        <f t="array" ref="X3771">IFERROR(INDEX('Адреса общежитий (скрытый)'!$B$2:$B$9, MATCH(W3771, 'Адреса общежитий (скрытый)'!$A$2:$A$9, 0)), "")</f>
        <v/>
      </c>
      <c r="Y3771" s="18"/>
      <c r="Z3771" s="18"/>
      <c r="AA3771" s="18"/>
      <c r="AB3771" s="18"/>
      <c r="AC3771" s="18"/>
    </row>
    <row r="3772" spans="1:29" ht="32.25" hidden="1" customHeight="1">
      <c r="A3772" s="17"/>
      <c r="B3772" s="9" t="s">
        <v>13284</v>
      </c>
      <c r="C3772" s="9" t="s">
        <v>13284</v>
      </c>
      <c r="D3772" s="9" t="s">
        <v>13284</v>
      </c>
      <c r="E3772" s="9" t="s">
        <v>13284</v>
      </c>
      <c r="F3772" s="9" t="s">
        <v>13284</v>
      </c>
      <c r="G3772" s="9" t="s">
        <v>13284</v>
      </c>
      <c r="H3772" s="9" t="s">
        <v>13284</v>
      </c>
      <c r="I3772" s="9" t="s">
        <v>13284</v>
      </c>
      <c r="J3772" s="9" t="s">
        <v>13284</v>
      </c>
      <c r="K3772" s="9" t="s">
        <v>13284</v>
      </c>
      <c r="L3772" s="9" t="s">
        <v>13284</v>
      </c>
      <c r="M3772" s="9" t="s">
        <v>13284</v>
      </c>
      <c r="N3772" s="9" t="s">
        <v>13284</v>
      </c>
      <c r="O3772" s="9" t="s">
        <v>13284</v>
      </c>
      <c r="P3772" s="9" t="s">
        <v>13284</v>
      </c>
      <c r="Q3772" s="9" t="s">
        <v>13284</v>
      </c>
      <c r="R3772" s="9" t="s">
        <v>13284</v>
      </c>
      <c r="S3772" s="9" t="s">
        <v>13284</v>
      </c>
      <c r="T3772" s="9" t="str">
        <f ca="1">IFERROR(IF(AND(VLOOKUP(A3772, 'Актуальное состояние (из общего'!A:C,3,0) = "", A3772 &lt;&gt; ""), "ПРОВЕРИТЬ", VLOOKUP(A3772, 'Актуальное состояние (из общего'!A:C,3,0)), "")</f>
        <v/>
      </c>
      <c r="U3772" s="9" t="s">
        <v>13284</v>
      </c>
      <c r="V3772" s="9" t="s">
        <v>13284</v>
      </c>
      <c r="W3772" s="12"/>
      <c r="X3772" s="9" t="str">
        <f t="array" ref="X3772">IFERROR(INDEX('Адреса общежитий (скрытый)'!$B$2:$B$9, MATCH(W3772, 'Адреса общежитий (скрытый)'!$A$2:$A$9, 0)), "")</f>
        <v/>
      </c>
      <c r="Y3772" s="18"/>
      <c r="Z3772" s="18"/>
      <c r="AA3772" s="18"/>
      <c r="AB3772" s="18"/>
      <c r="AC3772" s="18"/>
    </row>
    <row r="3773" spans="1:29" ht="32.25" hidden="1" customHeight="1">
      <c r="A3773" s="17"/>
      <c r="B3773" s="9" t="s">
        <v>13284</v>
      </c>
      <c r="C3773" s="9" t="s">
        <v>13284</v>
      </c>
      <c r="D3773" s="9" t="s">
        <v>13284</v>
      </c>
      <c r="E3773" s="9" t="s">
        <v>13284</v>
      </c>
      <c r="F3773" s="9" t="s">
        <v>13284</v>
      </c>
      <c r="G3773" s="9" t="s">
        <v>13284</v>
      </c>
      <c r="H3773" s="9" t="s">
        <v>13284</v>
      </c>
      <c r="I3773" s="9" t="s">
        <v>13284</v>
      </c>
      <c r="J3773" s="9" t="s">
        <v>13284</v>
      </c>
      <c r="K3773" s="9" t="s">
        <v>13284</v>
      </c>
      <c r="L3773" s="9" t="s">
        <v>13284</v>
      </c>
      <c r="M3773" s="9" t="s">
        <v>13284</v>
      </c>
      <c r="N3773" s="9" t="s">
        <v>13284</v>
      </c>
      <c r="O3773" s="9" t="s">
        <v>13284</v>
      </c>
      <c r="P3773" s="9" t="s">
        <v>13284</v>
      </c>
      <c r="Q3773" s="9" t="s">
        <v>13284</v>
      </c>
      <c r="R3773" s="9" t="s">
        <v>13284</v>
      </c>
      <c r="S3773" s="9" t="s">
        <v>13284</v>
      </c>
      <c r="T3773" s="9" t="str">
        <f ca="1">IFERROR(IF(AND(VLOOKUP(A3773, 'Актуальное состояние (из общего'!A:C,3,0) = "", A3773 &lt;&gt; ""), "ПРОВЕРИТЬ", VLOOKUP(A3773, 'Актуальное состояние (из общего'!A:C,3,0)), "")</f>
        <v/>
      </c>
      <c r="U3773" s="9" t="s">
        <v>13284</v>
      </c>
      <c r="V3773" s="9" t="s">
        <v>13284</v>
      </c>
      <c r="W3773" s="12"/>
      <c r="X3773" s="9" t="str">
        <f t="array" ref="X3773">IFERROR(INDEX('Адреса общежитий (скрытый)'!$B$2:$B$9, MATCH(W3773, 'Адреса общежитий (скрытый)'!$A$2:$A$9, 0)), "")</f>
        <v/>
      </c>
      <c r="Y3773" s="18"/>
      <c r="Z3773" s="18"/>
      <c r="AA3773" s="18"/>
      <c r="AB3773" s="18"/>
      <c r="AC3773" s="18"/>
    </row>
    <row r="3774" spans="1:29" ht="32.25" hidden="1" customHeight="1">
      <c r="A3774" s="17"/>
      <c r="B3774" s="9" t="s">
        <v>13284</v>
      </c>
      <c r="C3774" s="9" t="s">
        <v>13284</v>
      </c>
      <c r="D3774" s="9" t="s">
        <v>13284</v>
      </c>
      <c r="E3774" s="9" t="s">
        <v>13284</v>
      </c>
      <c r="F3774" s="9" t="s">
        <v>13284</v>
      </c>
      <c r="G3774" s="9" t="s">
        <v>13284</v>
      </c>
      <c r="H3774" s="9" t="s">
        <v>13284</v>
      </c>
      <c r="I3774" s="9" t="s">
        <v>13284</v>
      </c>
      <c r="J3774" s="9" t="s">
        <v>13284</v>
      </c>
      <c r="K3774" s="9" t="s">
        <v>13284</v>
      </c>
      <c r="L3774" s="9" t="s">
        <v>13284</v>
      </c>
      <c r="M3774" s="9" t="s">
        <v>13284</v>
      </c>
      <c r="N3774" s="9" t="s">
        <v>13284</v>
      </c>
      <c r="O3774" s="9" t="s">
        <v>13284</v>
      </c>
      <c r="P3774" s="9" t="s">
        <v>13284</v>
      </c>
      <c r="Q3774" s="9" t="s">
        <v>13284</v>
      </c>
      <c r="R3774" s="9" t="s">
        <v>13284</v>
      </c>
      <c r="S3774" s="9" t="s">
        <v>13284</v>
      </c>
      <c r="T3774" s="9" t="str">
        <f ca="1">IFERROR(IF(AND(VLOOKUP(A3774, 'Актуальное состояние (из общего'!A:C,3,0) = "", A3774 &lt;&gt; ""), "ПРОВЕРИТЬ", VLOOKUP(A3774, 'Актуальное состояние (из общего'!A:C,3,0)), "")</f>
        <v/>
      </c>
      <c r="U3774" s="9" t="s">
        <v>13284</v>
      </c>
      <c r="V3774" s="9" t="s">
        <v>13284</v>
      </c>
      <c r="W3774" s="12"/>
      <c r="X3774" s="9" t="str">
        <f t="array" ref="X3774">IFERROR(INDEX('Адреса общежитий (скрытый)'!$B$2:$B$9, MATCH(W3774, 'Адреса общежитий (скрытый)'!$A$2:$A$9, 0)), "")</f>
        <v/>
      </c>
      <c r="Y3774" s="18"/>
      <c r="Z3774" s="18"/>
      <c r="AA3774" s="18"/>
      <c r="AB3774" s="18"/>
      <c r="AC3774" s="18"/>
    </row>
    <row r="3775" spans="1:29" ht="32.25" hidden="1" customHeight="1">
      <c r="A3775" s="17"/>
      <c r="B3775" s="9" t="s">
        <v>13284</v>
      </c>
      <c r="C3775" s="9" t="s">
        <v>13284</v>
      </c>
      <c r="D3775" s="9" t="s">
        <v>13284</v>
      </c>
      <c r="E3775" s="9" t="s">
        <v>13284</v>
      </c>
      <c r="F3775" s="9" t="s">
        <v>13284</v>
      </c>
      <c r="G3775" s="9" t="s">
        <v>13284</v>
      </c>
      <c r="H3775" s="9" t="s">
        <v>13284</v>
      </c>
      <c r="I3775" s="9" t="s">
        <v>13284</v>
      </c>
      <c r="J3775" s="9" t="s">
        <v>13284</v>
      </c>
      <c r="K3775" s="9" t="s">
        <v>13284</v>
      </c>
      <c r="L3775" s="9" t="s">
        <v>13284</v>
      </c>
      <c r="M3775" s="9" t="s">
        <v>13284</v>
      </c>
      <c r="N3775" s="9" t="s">
        <v>13284</v>
      </c>
      <c r="O3775" s="9" t="s">
        <v>13284</v>
      </c>
      <c r="P3775" s="9" t="s">
        <v>13284</v>
      </c>
      <c r="Q3775" s="9" t="s">
        <v>13284</v>
      </c>
      <c r="R3775" s="9" t="s">
        <v>13284</v>
      </c>
      <c r="S3775" s="9" t="s">
        <v>13284</v>
      </c>
      <c r="T3775" s="9" t="str">
        <f ca="1">IFERROR(IF(AND(VLOOKUP(A3775, 'Актуальное состояние (из общего'!A:C,3,0) = "", A3775 &lt;&gt; ""), "ПРОВЕРИТЬ", VLOOKUP(A3775, 'Актуальное состояние (из общего'!A:C,3,0)), "")</f>
        <v/>
      </c>
      <c r="U3775" s="9" t="s">
        <v>13284</v>
      </c>
      <c r="V3775" s="9" t="s">
        <v>13284</v>
      </c>
      <c r="W3775" s="12"/>
      <c r="X3775" s="9" t="str">
        <f t="array" ref="X3775">IFERROR(INDEX('Адреса общежитий (скрытый)'!$B$2:$B$9, MATCH(W3775, 'Адреса общежитий (скрытый)'!$A$2:$A$9, 0)), "")</f>
        <v/>
      </c>
      <c r="Y3775" s="18"/>
      <c r="Z3775" s="18"/>
      <c r="AA3775" s="18"/>
      <c r="AB3775" s="18"/>
      <c r="AC3775" s="18"/>
    </row>
    <row r="3776" spans="1:29" ht="32.25" hidden="1" customHeight="1">
      <c r="A3776" s="17"/>
      <c r="B3776" s="9" t="s">
        <v>13284</v>
      </c>
      <c r="C3776" s="9" t="s">
        <v>13284</v>
      </c>
      <c r="D3776" s="9" t="s">
        <v>13284</v>
      </c>
      <c r="E3776" s="9" t="s">
        <v>13284</v>
      </c>
      <c r="F3776" s="9" t="s">
        <v>13284</v>
      </c>
      <c r="G3776" s="9" t="s">
        <v>13284</v>
      </c>
      <c r="H3776" s="9" t="s">
        <v>13284</v>
      </c>
      <c r="I3776" s="9" t="s">
        <v>13284</v>
      </c>
      <c r="J3776" s="9" t="s">
        <v>13284</v>
      </c>
      <c r="K3776" s="9" t="s">
        <v>13284</v>
      </c>
      <c r="L3776" s="9" t="s">
        <v>13284</v>
      </c>
      <c r="M3776" s="9" t="s">
        <v>13284</v>
      </c>
      <c r="N3776" s="9" t="s">
        <v>13284</v>
      </c>
      <c r="O3776" s="9" t="s">
        <v>13284</v>
      </c>
      <c r="P3776" s="9" t="s">
        <v>13284</v>
      </c>
      <c r="Q3776" s="9" t="s">
        <v>13284</v>
      </c>
      <c r="R3776" s="9" t="s">
        <v>13284</v>
      </c>
      <c r="S3776" s="9" t="s">
        <v>13284</v>
      </c>
      <c r="T3776" s="9" t="str">
        <f ca="1">IFERROR(IF(AND(VLOOKUP(A3776, 'Актуальное состояние (из общего'!A:C,3,0) = "", A3776 &lt;&gt; ""), "ПРОВЕРИТЬ", VLOOKUP(A3776, 'Актуальное состояние (из общего'!A:C,3,0)), "")</f>
        <v/>
      </c>
      <c r="U3776" s="9" t="s">
        <v>13284</v>
      </c>
      <c r="V3776" s="9" t="s">
        <v>13284</v>
      </c>
      <c r="W3776" s="12"/>
      <c r="X3776" s="9" t="str">
        <f t="array" ref="X3776">IFERROR(INDEX('Адреса общежитий (скрытый)'!$B$2:$B$9, MATCH(W3776, 'Адреса общежитий (скрытый)'!$A$2:$A$9, 0)), "")</f>
        <v/>
      </c>
      <c r="Y3776" s="18"/>
      <c r="Z3776" s="18"/>
      <c r="AA3776" s="18"/>
      <c r="AB3776" s="18"/>
      <c r="AC3776" s="18"/>
    </row>
    <row r="3777" spans="1:29" ht="32.25" hidden="1" customHeight="1">
      <c r="A3777" s="17"/>
      <c r="B3777" s="9" t="s">
        <v>13284</v>
      </c>
      <c r="C3777" s="9" t="s">
        <v>13284</v>
      </c>
      <c r="D3777" s="9" t="s">
        <v>13284</v>
      </c>
      <c r="E3777" s="9" t="s">
        <v>13284</v>
      </c>
      <c r="F3777" s="9" t="s">
        <v>13284</v>
      </c>
      <c r="G3777" s="9" t="s">
        <v>13284</v>
      </c>
      <c r="H3777" s="9" t="s">
        <v>13284</v>
      </c>
      <c r="I3777" s="9" t="s">
        <v>13284</v>
      </c>
      <c r="J3777" s="9" t="s">
        <v>13284</v>
      </c>
      <c r="K3777" s="9" t="s">
        <v>13284</v>
      </c>
      <c r="L3777" s="9" t="s">
        <v>13284</v>
      </c>
      <c r="M3777" s="9" t="s">
        <v>13284</v>
      </c>
      <c r="N3777" s="9" t="s">
        <v>13284</v>
      </c>
      <c r="O3777" s="9" t="s">
        <v>13284</v>
      </c>
      <c r="P3777" s="9" t="s">
        <v>13284</v>
      </c>
      <c r="Q3777" s="9" t="s">
        <v>13284</v>
      </c>
      <c r="R3777" s="9" t="s">
        <v>13284</v>
      </c>
      <c r="S3777" s="9" t="s">
        <v>13284</v>
      </c>
      <c r="T3777" s="9" t="str">
        <f ca="1">IFERROR(IF(AND(VLOOKUP(A3777, 'Актуальное состояние (из общего'!A:C,3,0) = "", A3777 &lt;&gt; ""), "ПРОВЕРИТЬ", VLOOKUP(A3777, 'Актуальное состояние (из общего'!A:C,3,0)), "")</f>
        <v/>
      </c>
      <c r="U3777" s="9" t="s">
        <v>13284</v>
      </c>
      <c r="V3777" s="9" t="s">
        <v>13284</v>
      </c>
      <c r="W3777" s="12"/>
      <c r="X3777" s="9" t="str">
        <f t="array" ref="X3777">IFERROR(INDEX('Адреса общежитий (скрытый)'!$B$2:$B$9, MATCH(W3777, 'Адреса общежитий (скрытый)'!$A$2:$A$9, 0)), "")</f>
        <v/>
      </c>
      <c r="Y3777" s="18"/>
      <c r="Z3777" s="18"/>
      <c r="AA3777" s="18"/>
      <c r="AB3777" s="18"/>
      <c r="AC3777" s="18"/>
    </row>
    <row r="3778" spans="1:29" ht="32.25" hidden="1" customHeight="1">
      <c r="A3778" s="17"/>
      <c r="B3778" s="9" t="s">
        <v>13284</v>
      </c>
      <c r="C3778" s="9" t="s">
        <v>13284</v>
      </c>
      <c r="D3778" s="9" t="s">
        <v>13284</v>
      </c>
      <c r="E3778" s="9" t="s">
        <v>13284</v>
      </c>
      <c r="F3778" s="9" t="s">
        <v>13284</v>
      </c>
      <c r="G3778" s="9" t="s">
        <v>13284</v>
      </c>
      <c r="H3778" s="9" t="s">
        <v>13284</v>
      </c>
      <c r="I3778" s="9" t="s">
        <v>13284</v>
      </c>
      <c r="J3778" s="9" t="s">
        <v>13284</v>
      </c>
      <c r="K3778" s="9" t="s">
        <v>13284</v>
      </c>
      <c r="L3778" s="9" t="s">
        <v>13284</v>
      </c>
      <c r="M3778" s="9" t="s">
        <v>13284</v>
      </c>
      <c r="N3778" s="9" t="s">
        <v>13284</v>
      </c>
      <c r="O3778" s="9" t="s">
        <v>13284</v>
      </c>
      <c r="P3778" s="9" t="s">
        <v>13284</v>
      </c>
      <c r="Q3778" s="9" t="s">
        <v>13284</v>
      </c>
      <c r="R3778" s="9" t="s">
        <v>13284</v>
      </c>
      <c r="S3778" s="9" t="s">
        <v>13284</v>
      </c>
      <c r="T3778" s="9" t="str">
        <f ca="1">IFERROR(IF(AND(VLOOKUP(A3778, 'Актуальное состояние (из общего'!A:C,3,0) = "", A3778 &lt;&gt; ""), "ПРОВЕРИТЬ", VLOOKUP(A3778, 'Актуальное состояние (из общего'!A:C,3,0)), "")</f>
        <v/>
      </c>
      <c r="U3778" s="9" t="s">
        <v>13284</v>
      </c>
      <c r="V3778" s="9" t="s">
        <v>13284</v>
      </c>
      <c r="W3778" s="12"/>
      <c r="X3778" s="9" t="str">
        <f t="array" ref="X3778">IFERROR(INDEX('Адреса общежитий (скрытый)'!$B$2:$B$9, MATCH(W3778, 'Адреса общежитий (скрытый)'!$A$2:$A$9, 0)), "")</f>
        <v/>
      </c>
      <c r="Y3778" s="18"/>
      <c r="Z3778" s="18"/>
      <c r="AA3778" s="18"/>
      <c r="AB3778" s="18"/>
      <c r="AC3778" s="18"/>
    </row>
    <row r="3779" spans="1:29" ht="32.25" hidden="1" customHeight="1">
      <c r="A3779" s="17"/>
      <c r="B3779" s="9" t="s">
        <v>13284</v>
      </c>
      <c r="C3779" s="9" t="s">
        <v>13284</v>
      </c>
      <c r="D3779" s="9" t="s">
        <v>13284</v>
      </c>
      <c r="E3779" s="9" t="s">
        <v>13284</v>
      </c>
      <c r="F3779" s="9" t="s">
        <v>13284</v>
      </c>
      <c r="G3779" s="9" t="s">
        <v>13284</v>
      </c>
      <c r="H3779" s="9" t="s">
        <v>13284</v>
      </c>
      <c r="I3779" s="9" t="s">
        <v>13284</v>
      </c>
      <c r="J3779" s="9" t="s">
        <v>13284</v>
      </c>
      <c r="K3779" s="9" t="s">
        <v>13284</v>
      </c>
      <c r="L3779" s="9" t="s">
        <v>13284</v>
      </c>
      <c r="M3779" s="9" t="s">
        <v>13284</v>
      </c>
      <c r="N3779" s="9" t="s">
        <v>13284</v>
      </c>
      <c r="O3779" s="9" t="s">
        <v>13284</v>
      </c>
      <c r="P3779" s="9" t="s">
        <v>13284</v>
      </c>
      <c r="Q3779" s="9" t="s">
        <v>13284</v>
      </c>
      <c r="R3779" s="9" t="s">
        <v>13284</v>
      </c>
      <c r="S3779" s="9" t="s">
        <v>13284</v>
      </c>
      <c r="T3779" s="9" t="str">
        <f ca="1">IFERROR(IF(AND(VLOOKUP(A3779, 'Актуальное состояние (из общего'!A:C,3,0) = "", A3779 &lt;&gt; ""), "ПРОВЕРИТЬ", VLOOKUP(A3779, 'Актуальное состояние (из общего'!A:C,3,0)), "")</f>
        <v/>
      </c>
      <c r="U3779" s="9" t="s">
        <v>13284</v>
      </c>
      <c r="V3779" s="9" t="s">
        <v>13284</v>
      </c>
      <c r="W3779" s="12"/>
      <c r="X3779" s="9" t="str">
        <f t="array" ref="X3779">IFERROR(INDEX('Адреса общежитий (скрытый)'!$B$2:$B$9, MATCH(W3779, 'Адреса общежитий (скрытый)'!$A$2:$A$9, 0)), "")</f>
        <v/>
      </c>
      <c r="Y3779" s="18"/>
      <c r="Z3779" s="18"/>
      <c r="AA3779" s="18"/>
      <c r="AB3779" s="18"/>
      <c r="AC3779" s="18"/>
    </row>
    <row r="3780" spans="1:29" ht="32.25" hidden="1" customHeight="1">
      <c r="A3780" s="17"/>
      <c r="B3780" s="9" t="s">
        <v>13284</v>
      </c>
      <c r="C3780" s="9" t="s">
        <v>13284</v>
      </c>
      <c r="D3780" s="9" t="s">
        <v>13284</v>
      </c>
      <c r="E3780" s="9" t="s">
        <v>13284</v>
      </c>
      <c r="F3780" s="9" t="s">
        <v>13284</v>
      </c>
      <c r="G3780" s="9" t="s">
        <v>13284</v>
      </c>
      <c r="H3780" s="9" t="s">
        <v>13284</v>
      </c>
      <c r="I3780" s="9" t="s">
        <v>13284</v>
      </c>
      <c r="J3780" s="9" t="s">
        <v>13284</v>
      </c>
      <c r="K3780" s="9" t="s">
        <v>13284</v>
      </c>
      <c r="L3780" s="9" t="s">
        <v>13284</v>
      </c>
      <c r="M3780" s="9" t="s">
        <v>13284</v>
      </c>
      <c r="N3780" s="9" t="s">
        <v>13284</v>
      </c>
      <c r="O3780" s="9" t="s">
        <v>13284</v>
      </c>
      <c r="P3780" s="9" t="s">
        <v>13284</v>
      </c>
      <c r="Q3780" s="9" t="s">
        <v>13284</v>
      </c>
      <c r="R3780" s="9" t="s">
        <v>13284</v>
      </c>
      <c r="S3780" s="9" t="s">
        <v>13284</v>
      </c>
      <c r="T3780" s="9" t="str">
        <f ca="1">IFERROR(IF(AND(VLOOKUP(A3780, 'Актуальное состояние (из общего'!A:C,3,0) = "", A3780 &lt;&gt; ""), "ПРОВЕРИТЬ", VLOOKUP(A3780, 'Актуальное состояние (из общего'!A:C,3,0)), "")</f>
        <v/>
      </c>
      <c r="U3780" s="9" t="s">
        <v>13284</v>
      </c>
      <c r="V3780" s="9" t="s">
        <v>13284</v>
      </c>
      <c r="W3780" s="12"/>
      <c r="X3780" s="9" t="str">
        <f t="array" ref="X3780">IFERROR(INDEX('Адреса общежитий (скрытый)'!$B$2:$B$9, MATCH(W3780, 'Адреса общежитий (скрытый)'!$A$2:$A$9, 0)), "")</f>
        <v/>
      </c>
      <c r="Y3780" s="18"/>
      <c r="Z3780" s="18"/>
      <c r="AA3780" s="18"/>
      <c r="AB3780" s="18"/>
      <c r="AC3780" s="18"/>
    </row>
    <row r="3781" spans="1:29" ht="32.25" hidden="1" customHeight="1">
      <c r="A3781" s="17"/>
      <c r="B3781" s="9" t="s">
        <v>13284</v>
      </c>
      <c r="C3781" s="9" t="s">
        <v>13284</v>
      </c>
      <c r="D3781" s="9" t="s">
        <v>13284</v>
      </c>
      <c r="E3781" s="9" t="s">
        <v>13284</v>
      </c>
      <c r="F3781" s="9" t="s">
        <v>13284</v>
      </c>
      <c r="G3781" s="9" t="s">
        <v>13284</v>
      </c>
      <c r="H3781" s="9" t="s">
        <v>13284</v>
      </c>
      <c r="I3781" s="9" t="s">
        <v>13284</v>
      </c>
      <c r="J3781" s="9" t="s">
        <v>13284</v>
      </c>
      <c r="K3781" s="9" t="s">
        <v>13284</v>
      </c>
      <c r="L3781" s="9" t="s">
        <v>13284</v>
      </c>
      <c r="M3781" s="9" t="s">
        <v>13284</v>
      </c>
      <c r="N3781" s="9" t="s">
        <v>13284</v>
      </c>
      <c r="O3781" s="9" t="s">
        <v>13284</v>
      </c>
      <c r="P3781" s="9" t="s">
        <v>13284</v>
      </c>
      <c r="Q3781" s="9" t="s">
        <v>13284</v>
      </c>
      <c r="R3781" s="9" t="s">
        <v>13284</v>
      </c>
      <c r="S3781" s="9" t="s">
        <v>13284</v>
      </c>
      <c r="T3781" s="9" t="str">
        <f ca="1">IFERROR(IF(AND(VLOOKUP(A3781, 'Актуальное состояние (из общего'!A:C,3,0) = "", A3781 &lt;&gt; ""), "ПРОВЕРИТЬ", VLOOKUP(A3781, 'Актуальное состояние (из общего'!A:C,3,0)), "")</f>
        <v/>
      </c>
      <c r="U3781" s="9" t="s">
        <v>13284</v>
      </c>
      <c r="V3781" s="9" t="s">
        <v>13284</v>
      </c>
      <c r="W3781" s="12"/>
      <c r="X3781" s="9" t="str">
        <f t="array" ref="X3781">IFERROR(INDEX('Адреса общежитий (скрытый)'!$B$2:$B$9, MATCH(W3781, 'Адреса общежитий (скрытый)'!$A$2:$A$9, 0)), "")</f>
        <v/>
      </c>
      <c r="Y3781" s="18"/>
      <c r="Z3781" s="18"/>
      <c r="AA3781" s="18"/>
      <c r="AB3781" s="18"/>
      <c r="AC3781" s="18"/>
    </row>
    <row r="3782" spans="1:29" ht="32.25" hidden="1" customHeight="1">
      <c r="A3782" s="17"/>
      <c r="B3782" s="9" t="s">
        <v>13284</v>
      </c>
      <c r="C3782" s="9" t="s">
        <v>13284</v>
      </c>
      <c r="D3782" s="9" t="s">
        <v>13284</v>
      </c>
      <c r="E3782" s="9" t="s">
        <v>13284</v>
      </c>
      <c r="F3782" s="9" t="s">
        <v>13284</v>
      </c>
      <c r="G3782" s="9" t="s">
        <v>13284</v>
      </c>
      <c r="H3782" s="9" t="s">
        <v>13284</v>
      </c>
      <c r="I3782" s="9" t="s">
        <v>13284</v>
      </c>
      <c r="J3782" s="9" t="s">
        <v>13284</v>
      </c>
      <c r="K3782" s="9" t="s">
        <v>13284</v>
      </c>
      <c r="L3782" s="9" t="s">
        <v>13284</v>
      </c>
      <c r="M3782" s="9" t="s">
        <v>13284</v>
      </c>
      <c r="N3782" s="9" t="s">
        <v>13284</v>
      </c>
      <c r="O3782" s="9" t="s">
        <v>13284</v>
      </c>
      <c r="P3782" s="9" t="s">
        <v>13284</v>
      </c>
      <c r="Q3782" s="9" t="s">
        <v>13284</v>
      </c>
      <c r="R3782" s="9" t="s">
        <v>13284</v>
      </c>
      <c r="S3782" s="9" t="s">
        <v>13284</v>
      </c>
      <c r="T3782" s="9" t="str">
        <f ca="1">IFERROR(IF(AND(VLOOKUP(A3782, 'Актуальное состояние (из общего'!A:C,3,0) = "", A3782 &lt;&gt; ""), "ПРОВЕРИТЬ", VLOOKUP(A3782, 'Актуальное состояние (из общего'!A:C,3,0)), "")</f>
        <v/>
      </c>
      <c r="U3782" s="9" t="s">
        <v>13284</v>
      </c>
      <c r="V3782" s="9" t="s">
        <v>13284</v>
      </c>
      <c r="W3782" s="12"/>
      <c r="X3782" s="9" t="str">
        <f t="array" ref="X3782">IFERROR(INDEX('Адреса общежитий (скрытый)'!$B$2:$B$9, MATCH(W3782, 'Адреса общежитий (скрытый)'!$A$2:$A$9, 0)), "")</f>
        <v/>
      </c>
      <c r="Y3782" s="18"/>
      <c r="Z3782" s="18"/>
      <c r="AA3782" s="18"/>
      <c r="AB3782" s="18"/>
      <c r="AC3782" s="18"/>
    </row>
    <row r="3783" spans="1:29" ht="32.25" hidden="1" customHeight="1">
      <c r="A3783" s="17"/>
      <c r="B3783" s="9" t="s">
        <v>13284</v>
      </c>
      <c r="C3783" s="9" t="s">
        <v>13284</v>
      </c>
      <c r="D3783" s="9" t="s">
        <v>13284</v>
      </c>
      <c r="E3783" s="9" t="s">
        <v>13284</v>
      </c>
      <c r="F3783" s="9" t="s">
        <v>13284</v>
      </c>
      <c r="G3783" s="9" t="s">
        <v>13284</v>
      </c>
      <c r="H3783" s="9" t="s">
        <v>13284</v>
      </c>
      <c r="I3783" s="9" t="s">
        <v>13284</v>
      </c>
      <c r="J3783" s="9" t="s">
        <v>13284</v>
      </c>
      <c r="K3783" s="9" t="s">
        <v>13284</v>
      </c>
      <c r="L3783" s="9" t="s">
        <v>13284</v>
      </c>
      <c r="M3783" s="9" t="s">
        <v>13284</v>
      </c>
      <c r="N3783" s="9" t="s">
        <v>13284</v>
      </c>
      <c r="O3783" s="9" t="s">
        <v>13284</v>
      </c>
      <c r="P3783" s="9" t="s">
        <v>13284</v>
      </c>
      <c r="Q3783" s="9" t="s">
        <v>13284</v>
      </c>
      <c r="R3783" s="9" t="s">
        <v>13284</v>
      </c>
      <c r="S3783" s="9" t="s">
        <v>13284</v>
      </c>
      <c r="T3783" s="9" t="str">
        <f ca="1">IFERROR(IF(AND(VLOOKUP(A3783, 'Актуальное состояние (из общего'!A:C,3,0) = "", A3783 &lt;&gt; ""), "ПРОВЕРИТЬ", VLOOKUP(A3783, 'Актуальное состояние (из общего'!A:C,3,0)), "")</f>
        <v/>
      </c>
      <c r="U3783" s="9" t="s">
        <v>13284</v>
      </c>
      <c r="V3783" s="9" t="s">
        <v>13284</v>
      </c>
      <c r="W3783" s="12"/>
      <c r="X3783" s="9" t="str">
        <f t="array" ref="X3783">IFERROR(INDEX('Адреса общежитий (скрытый)'!$B$2:$B$9, MATCH(W3783, 'Адреса общежитий (скрытый)'!$A$2:$A$9, 0)), "")</f>
        <v/>
      </c>
      <c r="Y3783" s="18"/>
      <c r="Z3783" s="18"/>
      <c r="AA3783" s="18"/>
      <c r="AB3783" s="18"/>
      <c r="AC3783" s="18"/>
    </row>
    <row r="3784" spans="1:29" ht="32.25" hidden="1" customHeight="1">
      <c r="A3784" s="17"/>
      <c r="B3784" s="9" t="s">
        <v>13284</v>
      </c>
      <c r="C3784" s="9" t="s">
        <v>13284</v>
      </c>
      <c r="D3784" s="9" t="s">
        <v>13284</v>
      </c>
      <c r="E3784" s="9" t="s">
        <v>13284</v>
      </c>
      <c r="F3784" s="9" t="s">
        <v>13284</v>
      </c>
      <c r="G3784" s="9" t="s">
        <v>13284</v>
      </c>
      <c r="H3784" s="9" t="s">
        <v>13284</v>
      </c>
      <c r="I3784" s="9" t="s">
        <v>13284</v>
      </c>
      <c r="J3784" s="9" t="s">
        <v>13284</v>
      </c>
      <c r="K3784" s="9" t="s">
        <v>13284</v>
      </c>
      <c r="L3784" s="9" t="s">
        <v>13284</v>
      </c>
      <c r="M3784" s="9" t="s">
        <v>13284</v>
      </c>
      <c r="N3784" s="9" t="s">
        <v>13284</v>
      </c>
      <c r="O3784" s="9" t="s">
        <v>13284</v>
      </c>
      <c r="P3784" s="9" t="s">
        <v>13284</v>
      </c>
      <c r="Q3784" s="9" t="s">
        <v>13284</v>
      </c>
      <c r="R3784" s="9" t="s">
        <v>13284</v>
      </c>
      <c r="S3784" s="9" t="s">
        <v>13284</v>
      </c>
      <c r="T3784" s="9" t="str">
        <f ca="1">IFERROR(IF(AND(VLOOKUP(A3784, 'Актуальное состояние (из общего'!A:C,3,0) = "", A3784 &lt;&gt; ""), "ПРОВЕРИТЬ", VLOOKUP(A3784, 'Актуальное состояние (из общего'!A:C,3,0)), "")</f>
        <v/>
      </c>
      <c r="U3784" s="9" t="s">
        <v>13284</v>
      </c>
      <c r="V3784" s="9" t="s">
        <v>13284</v>
      </c>
      <c r="W3784" s="12"/>
      <c r="X3784" s="9" t="str">
        <f t="array" ref="X3784">IFERROR(INDEX('Адреса общежитий (скрытый)'!$B$2:$B$9, MATCH(W3784, 'Адреса общежитий (скрытый)'!$A$2:$A$9, 0)), "")</f>
        <v/>
      </c>
      <c r="Y3784" s="18"/>
      <c r="Z3784" s="18"/>
      <c r="AA3784" s="18"/>
      <c r="AB3784" s="18"/>
      <c r="AC3784" s="18"/>
    </row>
    <row r="3785" spans="1:29" ht="32.25" hidden="1" customHeight="1">
      <c r="A3785" s="17"/>
      <c r="B3785" s="9" t="s">
        <v>13284</v>
      </c>
      <c r="C3785" s="9" t="s">
        <v>13284</v>
      </c>
      <c r="D3785" s="9" t="s">
        <v>13284</v>
      </c>
      <c r="E3785" s="9" t="s">
        <v>13284</v>
      </c>
      <c r="F3785" s="9" t="s">
        <v>13284</v>
      </c>
      <c r="G3785" s="9" t="s">
        <v>13284</v>
      </c>
      <c r="H3785" s="9" t="s">
        <v>13284</v>
      </c>
      <c r="I3785" s="9" t="s">
        <v>13284</v>
      </c>
      <c r="J3785" s="9" t="s">
        <v>13284</v>
      </c>
      <c r="K3785" s="9" t="s">
        <v>13284</v>
      </c>
      <c r="L3785" s="9" t="s">
        <v>13284</v>
      </c>
      <c r="M3785" s="9" t="s">
        <v>13284</v>
      </c>
      <c r="N3785" s="9" t="s">
        <v>13284</v>
      </c>
      <c r="O3785" s="9" t="s">
        <v>13284</v>
      </c>
      <c r="P3785" s="9" t="s">
        <v>13284</v>
      </c>
      <c r="Q3785" s="9" t="s">
        <v>13284</v>
      </c>
      <c r="R3785" s="9" t="s">
        <v>13284</v>
      </c>
      <c r="S3785" s="9" t="s">
        <v>13284</v>
      </c>
      <c r="T3785" s="9" t="str">
        <f ca="1">IFERROR(IF(AND(VLOOKUP(A3785, 'Актуальное состояние (из общего'!A:C,3,0) = "", A3785 &lt;&gt; ""), "ПРОВЕРИТЬ", VLOOKUP(A3785, 'Актуальное состояние (из общего'!A:C,3,0)), "")</f>
        <v/>
      </c>
      <c r="U3785" s="9" t="s">
        <v>13284</v>
      </c>
      <c r="V3785" s="9" t="s">
        <v>13284</v>
      </c>
      <c r="W3785" s="12"/>
      <c r="X3785" s="9" t="str">
        <f t="array" ref="X3785">IFERROR(INDEX('Адреса общежитий (скрытый)'!$B$2:$B$9, MATCH(W3785, 'Адреса общежитий (скрытый)'!$A$2:$A$9, 0)), "")</f>
        <v/>
      </c>
      <c r="Y3785" s="18"/>
      <c r="Z3785" s="18"/>
      <c r="AA3785" s="18"/>
      <c r="AB3785" s="18"/>
      <c r="AC3785" s="18"/>
    </row>
    <row r="3786" spans="1:29" ht="32.25" hidden="1" customHeight="1">
      <c r="A3786" s="17"/>
      <c r="B3786" s="9" t="s">
        <v>13284</v>
      </c>
      <c r="C3786" s="9" t="s">
        <v>13284</v>
      </c>
      <c r="D3786" s="9" t="s">
        <v>13284</v>
      </c>
      <c r="E3786" s="9" t="s">
        <v>13284</v>
      </c>
      <c r="F3786" s="9" t="s">
        <v>13284</v>
      </c>
      <c r="G3786" s="9" t="s">
        <v>13284</v>
      </c>
      <c r="H3786" s="9" t="s">
        <v>13284</v>
      </c>
      <c r="I3786" s="9" t="s">
        <v>13284</v>
      </c>
      <c r="J3786" s="9" t="s">
        <v>13284</v>
      </c>
      <c r="K3786" s="9" t="s">
        <v>13284</v>
      </c>
      <c r="L3786" s="9" t="s">
        <v>13284</v>
      </c>
      <c r="M3786" s="9" t="s">
        <v>13284</v>
      </c>
      <c r="N3786" s="9" t="s">
        <v>13284</v>
      </c>
      <c r="O3786" s="9" t="s">
        <v>13284</v>
      </c>
      <c r="P3786" s="9" t="s">
        <v>13284</v>
      </c>
      <c r="Q3786" s="9" t="s">
        <v>13284</v>
      </c>
      <c r="R3786" s="9" t="s">
        <v>13284</v>
      </c>
      <c r="S3786" s="9" t="s">
        <v>13284</v>
      </c>
      <c r="T3786" s="9" t="str">
        <f ca="1">IFERROR(IF(AND(VLOOKUP(A3786, 'Актуальное состояние (из общего'!A:C,3,0) = "", A3786 &lt;&gt; ""), "ПРОВЕРИТЬ", VLOOKUP(A3786, 'Актуальное состояние (из общего'!A:C,3,0)), "")</f>
        <v/>
      </c>
      <c r="U3786" s="9" t="s">
        <v>13284</v>
      </c>
      <c r="V3786" s="9" t="s">
        <v>13284</v>
      </c>
      <c r="W3786" s="12"/>
      <c r="X3786" s="9" t="str">
        <f t="array" ref="X3786">IFERROR(INDEX('Адреса общежитий (скрытый)'!$B$2:$B$9, MATCH(W3786, 'Адреса общежитий (скрытый)'!$A$2:$A$9, 0)), "")</f>
        <v/>
      </c>
      <c r="Y3786" s="18"/>
      <c r="Z3786" s="18"/>
      <c r="AA3786" s="18"/>
      <c r="AB3786" s="18"/>
      <c r="AC3786" s="18"/>
    </row>
    <row r="3787" spans="1:29" ht="32.25" hidden="1" customHeight="1">
      <c r="A3787" s="17"/>
      <c r="B3787" s="9" t="s">
        <v>13284</v>
      </c>
      <c r="C3787" s="9" t="s">
        <v>13284</v>
      </c>
      <c r="D3787" s="9" t="s">
        <v>13284</v>
      </c>
      <c r="E3787" s="9" t="s">
        <v>13284</v>
      </c>
      <c r="F3787" s="9" t="s">
        <v>13284</v>
      </c>
      <c r="G3787" s="9" t="s">
        <v>13284</v>
      </c>
      <c r="H3787" s="9" t="s">
        <v>13284</v>
      </c>
      <c r="I3787" s="9" t="s">
        <v>13284</v>
      </c>
      <c r="J3787" s="9" t="s">
        <v>13284</v>
      </c>
      <c r="K3787" s="9" t="s">
        <v>13284</v>
      </c>
      <c r="L3787" s="9" t="s">
        <v>13284</v>
      </c>
      <c r="M3787" s="9" t="s">
        <v>13284</v>
      </c>
      <c r="N3787" s="9" t="s">
        <v>13284</v>
      </c>
      <c r="O3787" s="9" t="s">
        <v>13284</v>
      </c>
      <c r="P3787" s="9" t="s">
        <v>13284</v>
      </c>
      <c r="Q3787" s="9" t="s">
        <v>13284</v>
      </c>
      <c r="R3787" s="9" t="s">
        <v>13284</v>
      </c>
      <c r="S3787" s="9" t="s">
        <v>13284</v>
      </c>
      <c r="T3787" s="9" t="str">
        <f ca="1">IFERROR(IF(AND(VLOOKUP(A3787, 'Актуальное состояние (из общего'!A:C,3,0) = "", A3787 &lt;&gt; ""), "ПРОВЕРИТЬ", VLOOKUP(A3787, 'Актуальное состояние (из общего'!A:C,3,0)), "")</f>
        <v/>
      </c>
      <c r="U3787" s="9" t="s">
        <v>13284</v>
      </c>
      <c r="V3787" s="9" t="s">
        <v>13284</v>
      </c>
      <c r="W3787" s="12"/>
      <c r="X3787" s="9" t="str">
        <f t="array" ref="X3787">IFERROR(INDEX('Адреса общежитий (скрытый)'!$B$2:$B$9, MATCH(W3787, 'Адреса общежитий (скрытый)'!$A$2:$A$9, 0)), "")</f>
        <v/>
      </c>
      <c r="Y3787" s="18"/>
      <c r="Z3787" s="18"/>
      <c r="AA3787" s="18"/>
      <c r="AB3787" s="18"/>
      <c r="AC3787" s="18"/>
    </row>
    <row r="3788" spans="1:29" ht="32.25" hidden="1" customHeight="1">
      <c r="A3788" s="17"/>
      <c r="B3788" s="9" t="s">
        <v>13284</v>
      </c>
      <c r="C3788" s="9" t="s">
        <v>13284</v>
      </c>
      <c r="D3788" s="9" t="s">
        <v>13284</v>
      </c>
      <c r="E3788" s="9" t="s">
        <v>13284</v>
      </c>
      <c r="F3788" s="9" t="s">
        <v>13284</v>
      </c>
      <c r="G3788" s="9" t="s">
        <v>13284</v>
      </c>
      <c r="H3788" s="9" t="s">
        <v>13284</v>
      </c>
      <c r="I3788" s="9" t="s">
        <v>13284</v>
      </c>
      <c r="J3788" s="9" t="s">
        <v>13284</v>
      </c>
      <c r="K3788" s="9" t="s">
        <v>13284</v>
      </c>
      <c r="L3788" s="9" t="s">
        <v>13284</v>
      </c>
      <c r="M3788" s="9" t="s">
        <v>13284</v>
      </c>
      <c r="N3788" s="9" t="s">
        <v>13284</v>
      </c>
      <c r="O3788" s="9" t="s">
        <v>13284</v>
      </c>
      <c r="P3788" s="9" t="s">
        <v>13284</v>
      </c>
      <c r="Q3788" s="9" t="s">
        <v>13284</v>
      </c>
      <c r="R3788" s="9" t="s">
        <v>13284</v>
      </c>
      <c r="S3788" s="9" t="s">
        <v>13284</v>
      </c>
      <c r="T3788" s="9" t="str">
        <f ca="1">IFERROR(IF(AND(VLOOKUP(A3788, 'Актуальное состояние (из общего'!A:C,3,0) = "", A3788 &lt;&gt; ""), "ПРОВЕРИТЬ", VLOOKUP(A3788, 'Актуальное состояние (из общего'!A:C,3,0)), "")</f>
        <v/>
      </c>
      <c r="U3788" s="9" t="s">
        <v>13284</v>
      </c>
      <c r="V3788" s="9" t="s">
        <v>13284</v>
      </c>
      <c r="W3788" s="12"/>
      <c r="X3788" s="9" t="str">
        <f t="array" ref="X3788">IFERROR(INDEX('Адреса общежитий (скрытый)'!$B$2:$B$9, MATCH(W3788, 'Адреса общежитий (скрытый)'!$A$2:$A$9, 0)), "")</f>
        <v/>
      </c>
      <c r="Y3788" s="18"/>
      <c r="Z3788" s="18"/>
      <c r="AA3788" s="18"/>
      <c r="AB3788" s="18"/>
      <c r="AC3788" s="18"/>
    </row>
    <row r="3789" spans="1:29" ht="32.25" hidden="1" customHeight="1">
      <c r="A3789" s="17"/>
      <c r="B3789" s="9" t="s">
        <v>13284</v>
      </c>
      <c r="C3789" s="9" t="s">
        <v>13284</v>
      </c>
      <c r="D3789" s="9" t="s">
        <v>13284</v>
      </c>
      <c r="E3789" s="9" t="s">
        <v>13284</v>
      </c>
      <c r="F3789" s="9" t="s">
        <v>13284</v>
      </c>
      <c r="G3789" s="9" t="s">
        <v>13284</v>
      </c>
      <c r="H3789" s="9" t="s">
        <v>13284</v>
      </c>
      <c r="I3789" s="9" t="s">
        <v>13284</v>
      </c>
      <c r="J3789" s="9" t="s">
        <v>13284</v>
      </c>
      <c r="K3789" s="9" t="s">
        <v>13284</v>
      </c>
      <c r="L3789" s="9" t="s">
        <v>13284</v>
      </c>
      <c r="M3789" s="9" t="s">
        <v>13284</v>
      </c>
      <c r="N3789" s="9" t="s">
        <v>13284</v>
      </c>
      <c r="O3789" s="9" t="s">
        <v>13284</v>
      </c>
      <c r="P3789" s="9" t="s">
        <v>13284</v>
      </c>
      <c r="Q3789" s="9" t="s">
        <v>13284</v>
      </c>
      <c r="R3789" s="9" t="s">
        <v>13284</v>
      </c>
      <c r="S3789" s="9" t="s">
        <v>13284</v>
      </c>
      <c r="T3789" s="9" t="str">
        <f ca="1">IFERROR(IF(AND(VLOOKUP(A3789, 'Актуальное состояние (из общего'!A:C,3,0) = "", A3789 &lt;&gt; ""), "ПРОВЕРИТЬ", VLOOKUP(A3789, 'Актуальное состояние (из общего'!A:C,3,0)), "")</f>
        <v/>
      </c>
      <c r="U3789" s="9" t="s">
        <v>13284</v>
      </c>
      <c r="V3789" s="9" t="s">
        <v>13284</v>
      </c>
      <c r="W3789" s="12"/>
      <c r="X3789" s="9" t="str">
        <f t="array" ref="X3789">IFERROR(INDEX('Адреса общежитий (скрытый)'!$B$2:$B$9, MATCH(W3789, 'Адреса общежитий (скрытый)'!$A$2:$A$9, 0)), "")</f>
        <v/>
      </c>
      <c r="Y3789" s="18"/>
      <c r="Z3789" s="18"/>
      <c r="AA3789" s="18"/>
      <c r="AB3789" s="18"/>
      <c r="AC3789" s="18"/>
    </row>
    <row r="3790" spans="1:29" ht="32.25" hidden="1" customHeight="1">
      <c r="A3790" s="17"/>
      <c r="B3790" s="9" t="s">
        <v>13284</v>
      </c>
      <c r="C3790" s="9" t="s">
        <v>13284</v>
      </c>
      <c r="D3790" s="9" t="s">
        <v>13284</v>
      </c>
      <c r="E3790" s="9" t="s">
        <v>13284</v>
      </c>
      <c r="F3790" s="9" t="s">
        <v>13284</v>
      </c>
      <c r="G3790" s="9" t="s">
        <v>13284</v>
      </c>
      <c r="H3790" s="9" t="s">
        <v>13284</v>
      </c>
      <c r="I3790" s="9" t="s">
        <v>13284</v>
      </c>
      <c r="J3790" s="9" t="s">
        <v>13284</v>
      </c>
      <c r="K3790" s="9" t="s">
        <v>13284</v>
      </c>
      <c r="L3790" s="9" t="s">
        <v>13284</v>
      </c>
      <c r="M3790" s="9" t="s">
        <v>13284</v>
      </c>
      <c r="N3790" s="9" t="s">
        <v>13284</v>
      </c>
      <c r="O3790" s="9" t="s">
        <v>13284</v>
      </c>
      <c r="P3790" s="9" t="s">
        <v>13284</v>
      </c>
      <c r="Q3790" s="9" t="s">
        <v>13284</v>
      </c>
      <c r="R3790" s="9" t="s">
        <v>13284</v>
      </c>
      <c r="S3790" s="9" t="s">
        <v>13284</v>
      </c>
      <c r="T3790" s="9" t="str">
        <f ca="1">IFERROR(IF(AND(VLOOKUP(A3790, 'Актуальное состояние (из общего'!A:C,3,0) = "", A3790 &lt;&gt; ""), "ПРОВЕРИТЬ", VLOOKUP(A3790, 'Актуальное состояние (из общего'!A:C,3,0)), "")</f>
        <v/>
      </c>
      <c r="U3790" s="9" t="s">
        <v>13284</v>
      </c>
      <c r="V3790" s="9" t="s">
        <v>13284</v>
      </c>
      <c r="W3790" s="12"/>
      <c r="X3790" s="9" t="str">
        <f t="array" ref="X3790">IFERROR(INDEX('Адреса общежитий (скрытый)'!$B$2:$B$9, MATCH(W3790, 'Адреса общежитий (скрытый)'!$A$2:$A$9, 0)), "")</f>
        <v/>
      </c>
      <c r="Y3790" s="18"/>
      <c r="Z3790" s="18"/>
      <c r="AA3790" s="18"/>
      <c r="AB3790" s="18"/>
      <c r="AC3790" s="18"/>
    </row>
    <row r="3791" spans="1:29" ht="32.25" hidden="1" customHeight="1">
      <c r="A3791" s="17"/>
      <c r="B3791" s="9" t="s">
        <v>13284</v>
      </c>
      <c r="C3791" s="9" t="s">
        <v>13284</v>
      </c>
      <c r="D3791" s="9" t="s">
        <v>13284</v>
      </c>
      <c r="E3791" s="9" t="s">
        <v>13284</v>
      </c>
      <c r="F3791" s="9" t="s">
        <v>13284</v>
      </c>
      <c r="G3791" s="9" t="s">
        <v>13284</v>
      </c>
      <c r="H3791" s="9" t="s">
        <v>13284</v>
      </c>
      <c r="I3791" s="9" t="s">
        <v>13284</v>
      </c>
      <c r="J3791" s="9" t="s">
        <v>13284</v>
      </c>
      <c r="K3791" s="9" t="s">
        <v>13284</v>
      </c>
      <c r="L3791" s="9" t="s">
        <v>13284</v>
      </c>
      <c r="M3791" s="9" t="s">
        <v>13284</v>
      </c>
      <c r="N3791" s="9" t="s">
        <v>13284</v>
      </c>
      <c r="O3791" s="9" t="s">
        <v>13284</v>
      </c>
      <c r="P3791" s="9" t="s">
        <v>13284</v>
      </c>
      <c r="Q3791" s="9" t="s">
        <v>13284</v>
      </c>
      <c r="R3791" s="9" t="s">
        <v>13284</v>
      </c>
      <c r="S3791" s="9" t="s">
        <v>13284</v>
      </c>
      <c r="T3791" s="9" t="str">
        <f ca="1">IFERROR(IF(AND(VLOOKUP(A3791, 'Актуальное состояние (из общего'!A:C,3,0) = "", A3791 &lt;&gt; ""), "ПРОВЕРИТЬ", VLOOKUP(A3791, 'Актуальное состояние (из общего'!A:C,3,0)), "")</f>
        <v/>
      </c>
      <c r="U3791" s="9" t="s">
        <v>13284</v>
      </c>
      <c r="V3791" s="9" t="s">
        <v>13284</v>
      </c>
      <c r="W3791" s="12"/>
      <c r="X3791" s="9" t="str">
        <f t="array" ref="X3791">IFERROR(INDEX('Адреса общежитий (скрытый)'!$B$2:$B$9, MATCH(W3791, 'Адреса общежитий (скрытый)'!$A$2:$A$9, 0)), "")</f>
        <v/>
      </c>
      <c r="Y3791" s="18"/>
      <c r="Z3791" s="18"/>
      <c r="AA3791" s="18"/>
      <c r="AB3791" s="18"/>
      <c r="AC3791" s="18"/>
    </row>
    <row r="3792" spans="1:29" ht="32.25" hidden="1" customHeight="1">
      <c r="A3792" s="17"/>
      <c r="B3792" s="9" t="s">
        <v>13284</v>
      </c>
      <c r="C3792" s="9" t="s">
        <v>13284</v>
      </c>
      <c r="D3792" s="9" t="s">
        <v>13284</v>
      </c>
      <c r="E3792" s="9" t="s">
        <v>13284</v>
      </c>
      <c r="F3792" s="9" t="s">
        <v>13284</v>
      </c>
      <c r="G3792" s="9" t="s">
        <v>13284</v>
      </c>
      <c r="H3792" s="9" t="s">
        <v>13284</v>
      </c>
      <c r="I3792" s="9" t="s">
        <v>13284</v>
      </c>
      <c r="J3792" s="9" t="s">
        <v>13284</v>
      </c>
      <c r="K3792" s="9" t="s">
        <v>13284</v>
      </c>
      <c r="L3792" s="9" t="s">
        <v>13284</v>
      </c>
      <c r="M3792" s="9" t="s">
        <v>13284</v>
      </c>
      <c r="N3792" s="9" t="s">
        <v>13284</v>
      </c>
      <c r="O3792" s="9" t="s">
        <v>13284</v>
      </c>
      <c r="P3792" s="9" t="s">
        <v>13284</v>
      </c>
      <c r="Q3792" s="9" t="s">
        <v>13284</v>
      </c>
      <c r="R3792" s="9" t="s">
        <v>13284</v>
      </c>
      <c r="S3792" s="9" t="s">
        <v>13284</v>
      </c>
      <c r="T3792" s="9" t="str">
        <f ca="1">IFERROR(IF(AND(VLOOKUP(A3792, 'Актуальное состояние (из общего'!A:C,3,0) = "", A3792 &lt;&gt; ""), "ПРОВЕРИТЬ", VLOOKUP(A3792, 'Актуальное состояние (из общего'!A:C,3,0)), "")</f>
        <v/>
      </c>
      <c r="U3792" s="9" t="s">
        <v>13284</v>
      </c>
      <c r="V3792" s="9" t="s">
        <v>13284</v>
      </c>
      <c r="W3792" s="12"/>
      <c r="X3792" s="9" t="str">
        <f t="array" ref="X3792">IFERROR(INDEX('Адреса общежитий (скрытый)'!$B$2:$B$9, MATCH(W3792, 'Адреса общежитий (скрытый)'!$A$2:$A$9, 0)), "")</f>
        <v/>
      </c>
      <c r="Y3792" s="18"/>
      <c r="Z3792" s="18"/>
      <c r="AA3792" s="18"/>
      <c r="AB3792" s="18"/>
      <c r="AC3792" s="18"/>
    </row>
    <row r="3793" spans="1:29" ht="32.25" hidden="1" customHeight="1">
      <c r="A3793" s="17"/>
      <c r="B3793" s="9" t="s">
        <v>13284</v>
      </c>
      <c r="C3793" s="9" t="s">
        <v>13284</v>
      </c>
      <c r="D3793" s="9" t="s">
        <v>13284</v>
      </c>
      <c r="E3793" s="9" t="s">
        <v>13284</v>
      </c>
      <c r="F3793" s="9" t="s">
        <v>13284</v>
      </c>
      <c r="G3793" s="9" t="s">
        <v>13284</v>
      </c>
      <c r="H3793" s="9" t="s">
        <v>13284</v>
      </c>
      <c r="I3793" s="9" t="s">
        <v>13284</v>
      </c>
      <c r="J3793" s="9" t="s">
        <v>13284</v>
      </c>
      <c r="K3793" s="9" t="s">
        <v>13284</v>
      </c>
      <c r="L3793" s="9" t="s">
        <v>13284</v>
      </c>
      <c r="M3793" s="9" t="s">
        <v>13284</v>
      </c>
      <c r="N3793" s="9" t="s">
        <v>13284</v>
      </c>
      <c r="O3793" s="9" t="s">
        <v>13284</v>
      </c>
      <c r="P3793" s="9" t="s">
        <v>13284</v>
      </c>
      <c r="Q3793" s="9" t="s">
        <v>13284</v>
      </c>
      <c r="R3793" s="9" t="s">
        <v>13284</v>
      </c>
      <c r="S3793" s="9" t="s">
        <v>13284</v>
      </c>
      <c r="T3793" s="9" t="str">
        <f ca="1">IFERROR(IF(AND(VLOOKUP(A3793, 'Актуальное состояние (из общего'!A:C,3,0) = "", A3793 &lt;&gt; ""), "ПРОВЕРИТЬ", VLOOKUP(A3793, 'Актуальное состояние (из общего'!A:C,3,0)), "")</f>
        <v/>
      </c>
      <c r="U3793" s="9" t="s">
        <v>13284</v>
      </c>
      <c r="V3793" s="9" t="s">
        <v>13284</v>
      </c>
      <c r="W3793" s="12"/>
      <c r="X3793" s="9" t="str">
        <f t="array" ref="X3793">IFERROR(INDEX('Адреса общежитий (скрытый)'!$B$2:$B$9, MATCH(W3793, 'Адреса общежитий (скрытый)'!$A$2:$A$9, 0)), "")</f>
        <v/>
      </c>
      <c r="Y3793" s="18"/>
      <c r="Z3793" s="18"/>
      <c r="AA3793" s="18"/>
      <c r="AB3793" s="18"/>
      <c r="AC3793" s="18"/>
    </row>
    <row r="3794" spans="1:29" ht="32.25" hidden="1" customHeight="1">
      <c r="A3794" s="17"/>
      <c r="B3794" s="9" t="s">
        <v>13284</v>
      </c>
      <c r="C3794" s="9" t="s">
        <v>13284</v>
      </c>
      <c r="D3794" s="9" t="s">
        <v>13284</v>
      </c>
      <c r="E3794" s="9" t="s">
        <v>13284</v>
      </c>
      <c r="F3794" s="9" t="s">
        <v>13284</v>
      </c>
      <c r="G3794" s="9" t="s">
        <v>13284</v>
      </c>
      <c r="H3794" s="9" t="s">
        <v>13284</v>
      </c>
      <c r="I3794" s="9" t="s">
        <v>13284</v>
      </c>
      <c r="J3794" s="9" t="s">
        <v>13284</v>
      </c>
      <c r="K3794" s="9" t="s">
        <v>13284</v>
      </c>
      <c r="L3794" s="9" t="s">
        <v>13284</v>
      </c>
      <c r="M3794" s="9" t="s">
        <v>13284</v>
      </c>
      <c r="N3794" s="9" t="s">
        <v>13284</v>
      </c>
      <c r="O3794" s="9" t="s">
        <v>13284</v>
      </c>
      <c r="P3794" s="9" t="s">
        <v>13284</v>
      </c>
      <c r="Q3794" s="9" t="s">
        <v>13284</v>
      </c>
      <c r="R3794" s="9" t="s">
        <v>13284</v>
      </c>
      <c r="S3794" s="9" t="s">
        <v>13284</v>
      </c>
      <c r="T3794" s="9" t="str">
        <f ca="1">IFERROR(IF(AND(VLOOKUP(A3794, 'Актуальное состояние (из общего'!A:C,3,0) = "", A3794 &lt;&gt; ""), "ПРОВЕРИТЬ", VLOOKUP(A3794, 'Актуальное состояние (из общего'!A:C,3,0)), "")</f>
        <v/>
      </c>
      <c r="U3794" s="9" t="s">
        <v>13284</v>
      </c>
      <c r="V3794" s="9" t="s">
        <v>13284</v>
      </c>
      <c r="W3794" s="12"/>
      <c r="X3794" s="9" t="str">
        <f t="array" ref="X3794">IFERROR(INDEX('Адреса общежитий (скрытый)'!$B$2:$B$9, MATCH(W3794, 'Адреса общежитий (скрытый)'!$A$2:$A$9, 0)), "")</f>
        <v/>
      </c>
      <c r="Y3794" s="18"/>
      <c r="Z3794" s="18"/>
      <c r="AA3794" s="18"/>
      <c r="AB3794" s="18"/>
      <c r="AC3794" s="18"/>
    </row>
    <row r="3795" spans="1:29" ht="32.25" hidden="1" customHeight="1">
      <c r="A3795" s="17"/>
      <c r="B3795" s="9" t="s">
        <v>13284</v>
      </c>
      <c r="C3795" s="9" t="s">
        <v>13284</v>
      </c>
      <c r="D3795" s="9" t="s">
        <v>13284</v>
      </c>
      <c r="E3795" s="9" t="s">
        <v>13284</v>
      </c>
      <c r="F3795" s="9" t="s">
        <v>13284</v>
      </c>
      <c r="G3795" s="9" t="s">
        <v>13284</v>
      </c>
      <c r="H3795" s="9" t="s">
        <v>13284</v>
      </c>
      <c r="I3795" s="9" t="s">
        <v>13284</v>
      </c>
      <c r="J3795" s="9" t="s">
        <v>13284</v>
      </c>
      <c r="K3795" s="9" t="s">
        <v>13284</v>
      </c>
      <c r="L3795" s="9" t="s">
        <v>13284</v>
      </c>
      <c r="M3795" s="9" t="s">
        <v>13284</v>
      </c>
      <c r="N3795" s="9" t="s">
        <v>13284</v>
      </c>
      <c r="O3795" s="9" t="s">
        <v>13284</v>
      </c>
      <c r="P3795" s="9" t="s">
        <v>13284</v>
      </c>
      <c r="Q3795" s="9" t="s">
        <v>13284</v>
      </c>
      <c r="R3795" s="9" t="s">
        <v>13284</v>
      </c>
      <c r="S3795" s="9" t="s">
        <v>13284</v>
      </c>
      <c r="T3795" s="9" t="str">
        <f ca="1">IFERROR(IF(AND(VLOOKUP(A3795, 'Актуальное состояние (из общего'!A:C,3,0) = "", A3795 &lt;&gt; ""), "ПРОВЕРИТЬ", VLOOKUP(A3795, 'Актуальное состояние (из общего'!A:C,3,0)), "")</f>
        <v/>
      </c>
      <c r="U3795" s="9" t="s">
        <v>13284</v>
      </c>
      <c r="V3795" s="9" t="s">
        <v>13284</v>
      </c>
      <c r="W3795" s="12"/>
      <c r="X3795" s="9" t="str">
        <f t="array" ref="X3795">IFERROR(INDEX('Адреса общежитий (скрытый)'!$B$2:$B$9, MATCH(W3795, 'Адреса общежитий (скрытый)'!$A$2:$A$9, 0)), "")</f>
        <v/>
      </c>
      <c r="Y3795" s="18"/>
      <c r="Z3795" s="18"/>
      <c r="AA3795" s="18"/>
      <c r="AB3795" s="18"/>
      <c r="AC3795" s="18"/>
    </row>
    <row r="3796" spans="1:29" ht="32.25" hidden="1" customHeight="1">
      <c r="A3796" s="17"/>
      <c r="B3796" s="9" t="s">
        <v>13284</v>
      </c>
      <c r="C3796" s="9" t="s">
        <v>13284</v>
      </c>
      <c r="D3796" s="9" t="s">
        <v>13284</v>
      </c>
      <c r="E3796" s="9" t="s">
        <v>13284</v>
      </c>
      <c r="F3796" s="9" t="s">
        <v>13284</v>
      </c>
      <c r="G3796" s="9" t="s">
        <v>13284</v>
      </c>
      <c r="H3796" s="9" t="s">
        <v>13284</v>
      </c>
      <c r="I3796" s="9" t="s">
        <v>13284</v>
      </c>
      <c r="J3796" s="9" t="s">
        <v>13284</v>
      </c>
      <c r="K3796" s="9" t="s">
        <v>13284</v>
      </c>
      <c r="L3796" s="9" t="s">
        <v>13284</v>
      </c>
      <c r="M3796" s="9" t="s">
        <v>13284</v>
      </c>
      <c r="N3796" s="9" t="s">
        <v>13284</v>
      </c>
      <c r="O3796" s="9" t="s">
        <v>13284</v>
      </c>
      <c r="P3796" s="9" t="s">
        <v>13284</v>
      </c>
      <c r="Q3796" s="9" t="s">
        <v>13284</v>
      </c>
      <c r="R3796" s="9" t="s">
        <v>13284</v>
      </c>
      <c r="S3796" s="9" t="s">
        <v>13284</v>
      </c>
      <c r="T3796" s="9" t="str">
        <f ca="1">IFERROR(IF(AND(VLOOKUP(A3796, 'Актуальное состояние (из общего'!A:C,3,0) = "", A3796 &lt;&gt; ""), "ПРОВЕРИТЬ", VLOOKUP(A3796, 'Актуальное состояние (из общего'!A:C,3,0)), "")</f>
        <v/>
      </c>
      <c r="U3796" s="9" t="s">
        <v>13284</v>
      </c>
      <c r="V3796" s="9" t="s">
        <v>13284</v>
      </c>
      <c r="W3796" s="12"/>
      <c r="X3796" s="9" t="str">
        <f t="array" ref="X3796">IFERROR(INDEX('Адреса общежитий (скрытый)'!$B$2:$B$9, MATCH(W3796, 'Адреса общежитий (скрытый)'!$A$2:$A$9, 0)), "")</f>
        <v/>
      </c>
      <c r="Y3796" s="18"/>
      <c r="Z3796" s="18"/>
      <c r="AA3796" s="18"/>
      <c r="AB3796" s="18"/>
      <c r="AC3796" s="18"/>
    </row>
    <row r="3797" spans="1:29" ht="32.25" hidden="1" customHeight="1">
      <c r="A3797" s="17"/>
      <c r="B3797" s="9" t="s">
        <v>13284</v>
      </c>
      <c r="C3797" s="9" t="s">
        <v>13284</v>
      </c>
      <c r="D3797" s="9" t="s">
        <v>13284</v>
      </c>
      <c r="E3797" s="9" t="s">
        <v>13284</v>
      </c>
      <c r="F3797" s="9" t="s">
        <v>13284</v>
      </c>
      <c r="G3797" s="9" t="s">
        <v>13284</v>
      </c>
      <c r="H3797" s="9" t="s">
        <v>13284</v>
      </c>
      <c r="I3797" s="9" t="s">
        <v>13284</v>
      </c>
      <c r="J3797" s="9" t="s">
        <v>13284</v>
      </c>
      <c r="K3797" s="9" t="s">
        <v>13284</v>
      </c>
      <c r="L3797" s="9" t="s">
        <v>13284</v>
      </c>
      <c r="M3797" s="9" t="s">
        <v>13284</v>
      </c>
      <c r="N3797" s="9" t="s">
        <v>13284</v>
      </c>
      <c r="O3797" s="9" t="s">
        <v>13284</v>
      </c>
      <c r="P3797" s="9" t="s">
        <v>13284</v>
      </c>
      <c r="Q3797" s="9" t="s">
        <v>13284</v>
      </c>
      <c r="R3797" s="9" t="s">
        <v>13284</v>
      </c>
      <c r="S3797" s="9" t="s">
        <v>13284</v>
      </c>
      <c r="T3797" s="9" t="str">
        <f ca="1">IFERROR(IF(AND(VLOOKUP(A3797, 'Актуальное состояние (из общего'!A:C,3,0) = "", A3797 &lt;&gt; ""), "ПРОВЕРИТЬ", VLOOKUP(A3797, 'Актуальное состояние (из общего'!A:C,3,0)), "")</f>
        <v/>
      </c>
      <c r="U3797" s="9" t="s">
        <v>13284</v>
      </c>
      <c r="V3797" s="9" t="s">
        <v>13284</v>
      </c>
      <c r="W3797" s="12"/>
      <c r="X3797" s="9" t="str">
        <f t="array" ref="X3797">IFERROR(INDEX('Адреса общежитий (скрытый)'!$B$2:$B$9, MATCH(W3797, 'Адреса общежитий (скрытый)'!$A$2:$A$9, 0)), "")</f>
        <v/>
      </c>
      <c r="Y3797" s="18"/>
      <c r="Z3797" s="18"/>
      <c r="AA3797" s="18"/>
      <c r="AB3797" s="18"/>
      <c r="AC3797" s="18"/>
    </row>
    <row r="3798" spans="1:29" ht="32.25" hidden="1" customHeight="1">
      <c r="A3798" s="17"/>
      <c r="B3798" s="9" t="s">
        <v>13284</v>
      </c>
      <c r="C3798" s="9" t="s">
        <v>13284</v>
      </c>
      <c r="D3798" s="9" t="s">
        <v>13284</v>
      </c>
      <c r="E3798" s="9" t="s">
        <v>13284</v>
      </c>
      <c r="F3798" s="9" t="s">
        <v>13284</v>
      </c>
      <c r="G3798" s="9" t="s">
        <v>13284</v>
      </c>
      <c r="H3798" s="9" t="s">
        <v>13284</v>
      </c>
      <c r="I3798" s="9" t="s">
        <v>13284</v>
      </c>
      <c r="J3798" s="9" t="s">
        <v>13284</v>
      </c>
      <c r="K3798" s="9" t="s">
        <v>13284</v>
      </c>
      <c r="L3798" s="9" t="s">
        <v>13284</v>
      </c>
      <c r="M3798" s="9" t="s">
        <v>13284</v>
      </c>
      <c r="N3798" s="9" t="s">
        <v>13284</v>
      </c>
      <c r="O3798" s="9" t="s">
        <v>13284</v>
      </c>
      <c r="P3798" s="9" t="s">
        <v>13284</v>
      </c>
      <c r="Q3798" s="9" t="s">
        <v>13284</v>
      </c>
      <c r="R3798" s="9" t="s">
        <v>13284</v>
      </c>
      <c r="S3798" s="9" t="s">
        <v>13284</v>
      </c>
      <c r="T3798" s="9" t="str">
        <f ca="1">IFERROR(IF(AND(VLOOKUP(A3798, 'Актуальное состояние (из общего'!A:C,3,0) = "", A3798 &lt;&gt; ""), "ПРОВЕРИТЬ", VLOOKUP(A3798, 'Актуальное состояние (из общего'!A:C,3,0)), "")</f>
        <v/>
      </c>
      <c r="U3798" s="9" t="s">
        <v>13284</v>
      </c>
      <c r="V3798" s="9" t="s">
        <v>13284</v>
      </c>
      <c r="W3798" s="12"/>
      <c r="X3798" s="9" t="str">
        <f t="array" ref="X3798">IFERROR(INDEX('Адреса общежитий (скрытый)'!$B$2:$B$9, MATCH(W3798, 'Адреса общежитий (скрытый)'!$A$2:$A$9, 0)), "")</f>
        <v/>
      </c>
      <c r="Y3798" s="18"/>
      <c r="Z3798" s="18"/>
      <c r="AA3798" s="18"/>
      <c r="AB3798" s="18"/>
      <c r="AC3798" s="18"/>
    </row>
    <row r="3799" spans="1:29" ht="32.25" hidden="1" customHeight="1">
      <c r="A3799" s="17"/>
      <c r="B3799" s="9" t="s">
        <v>13284</v>
      </c>
      <c r="C3799" s="9" t="s">
        <v>13284</v>
      </c>
      <c r="D3799" s="9" t="s">
        <v>13284</v>
      </c>
      <c r="E3799" s="9" t="s">
        <v>13284</v>
      </c>
      <c r="F3799" s="9" t="s">
        <v>13284</v>
      </c>
      <c r="G3799" s="9" t="s">
        <v>13284</v>
      </c>
      <c r="H3799" s="9" t="s">
        <v>13284</v>
      </c>
      <c r="I3799" s="9" t="s">
        <v>13284</v>
      </c>
      <c r="J3799" s="9" t="s">
        <v>13284</v>
      </c>
      <c r="K3799" s="9" t="s">
        <v>13284</v>
      </c>
      <c r="L3799" s="9" t="s">
        <v>13284</v>
      </c>
      <c r="M3799" s="9" t="s">
        <v>13284</v>
      </c>
      <c r="N3799" s="9" t="s">
        <v>13284</v>
      </c>
      <c r="O3799" s="9" t="s">
        <v>13284</v>
      </c>
      <c r="P3799" s="9" t="s">
        <v>13284</v>
      </c>
      <c r="Q3799" s="9" t="s">
        <v>13284</v>
      </c>
      <c r="R3799" s="9" t="s">
        <v>13284</v>
      </c>
      <c r="S3799" s="9" t="s">
        <v>13284</v>
      </c>
      <c r="T3799" s="9" t="str">
        <f ca="1">IFERROR(IF(AND(VLOOKUP(A3799, 'Актуальное состояние (из общего'!A:C,3,0) = "", A3799 &lt;&gt; ""), "ПРОВЕРИТЬ", VLOOKUP(A3799, 'Актуальное состояние (из общего'!A:C,3,0)), "")</f>
        <v/>
      </c>
      <c r="U3799" s="9" t="s">
        <v>13284</v>
      </c>
      <c r="V3799" s="9" t="s">
        <v>13284</v>
      </c>
      <c r="W3799" s="12"/>
      <c r="X3799" s="9" t="str">
        <f t="array" ref="X3799">IFERROR(INDEX('Адреса общежитий (скрытый)'!$B$2:$B$9, MATCH(W3799, 'Адреса общежитий (скрытый)'!$A$2:$A$9, 0)), "")</f>
        <v/>
      </c>
      <c r="Y3799" s="18"/>
      <c r="Z3799" s="18"/>
      <c r="AA3799" s="18"/>
      <c r="AB3799" s="18"/>
      <c r="AC3799" s="18"/>
    </row>
    <row r="3800" spans="1:29" ht="32.25" hidden="1" customHeight="1">
      <c r="A3800" s="17"/>
      <c r="B3800" s="9" t="s">
        <v>13284</v>
      </c>
      <c r="C3800" s="9" t="s">
        <v>13284</v>
      </c>
      <c r="D3800" s="9" t="s">
        <v>13284</v>
      </c>
      <c r="E3800" s="9" t="s">
        <v>13284</v>
      </c>
      <c r="F3800" s="9" t="s">
        <v>13284</v>
      </c>
      <c r="G3800" s="9" t="s">
        <v>13284</v>
      </c>
      <c r="H3800" s="9" t="s">
        <v>13284</v>
      </c>
      <c r="I3800" s="9" t="s">
        <v>13284</v>
      </c>
      <c r="J3800" s="9" t="s">
        <v>13284</v>
      </c>
      <c r="K3800" s="9" t="s">
        <v>13284</v>
      </c>
      <c r="L3800" s="9" t="s">
        <v>13284</v>
      </c>
      <c r="M3800" s="9" t="s">
        <v>13284</v>
      </c>
      <c r="N3800" s="9" t="s">
        <v>13284</v>
      </c>
      <c r="O3800" s="9" t="s">
        <v>13284</v>
      </c>
      <c r="P3800" s="9" t="s">
        <v>13284</v>
      </c>
      <c r="Q3800" s="9" t="s">
        <v>13284</v>
      </c>
      <c r="R3800" s="9" t="s">
        <v>13284</v>
      </c>
      <c r="S3800" s="9" t="s">
        <v>13284</v>
      </c>
      <c r="T3800" s="9" t="str">
        <f ca="1">IFERROR(IF(AND(VLOOKUP(A3800, 'Актуальное состояние (из общего'!A:C,3,0) = "", A3800 &lt;&gt; ""), "ПРОВЕРИТЬ", VLOOKUP(A3800, 'Актуальное состояние (из общего'!A:C,3,0)), "")</f>
        <v/>
      </c>
      <c r="U3800" s="9" t="s">
        <v>13284</v>
      </c>
      <c r="V3800" s="9" t="s">
        <v>13284</v>
      </c>
      <c r="W3800" s="12"/>
      <c r="X3800" s="9" t="str">
        <f t="array" ref="X3800">IFERROR(INDEX('Адреса общежитий (скрытый)'!$B$2:$B$9, MATCH(W3800, 'Адреса общежитий (скрытый)'!$A$2:$A$9, 0)), "")</f>
        <v/>
      </c>
      <c r="Y3800" s="18"/>
      <c r="Z3800" s="18"/>
      <c r="AA3800" s="18"/>
      <c r="AB3800" s="18"/>
      <c r="AC3800" s="18"/>
    </row>
    <row r="3801" spans="1:29" ht="32.25" hidden="1" customHeight="1">
      <c r="A3801" s="17"/>
      <c r="B3801" s="9" t="s">
        <v>13284</v>
      </c>
      <c r="C3801" s="9" t="s">
        <v>13284</v>
      </c>
      <c r="D3801" s="9" t="s">
        <v>13284</v>
      </c>
      <c r="E3801" s="9" t="s">
        <v>13284</v>
      </c>
      <c r="F3801" s="9" t="s">
        <v>13284</v>
      </c>
      <c r="G3801" s="9" t="s">
        <v>13284</v>
      </c>
      <c r="H3801" s="9" t="s">
        <v>13284</v>
      </c>
      <c r="I3801" s="9" t="s">
        <v>13284</v>
      </c>
      <c r="J3801" s="9" t="s">
        <v>13284</v>
      </c>
      <c r="K3801" s="9" t="s">
        <v>13284</v>
      </c>
      <c r="L3801" s="9" t="s">
        <v>13284</v>
      </c>
      <c r="M3801" s="9" t="s">
        <v>13284</v>
      </c>
      <c r="N3801" s="9" t="s">
        <v>13284</v>
      </c>
      <c r="O3801" s="9" t="s">
        <v>13284</v>
      </c>
      <c r="P3801" s="9" t="s">
        <v>13284</v>
      </c>
      <c r="Q3801" s="9" t="s">
        <v>13284</v>
      </c>
      <c r="R3801" s="9" t="s">
        <v>13284</v>
      </c>
      <c r="S3801" s="9" t="s">
        <v>13284</v>
      </c>
      <c r="T3801" s="9" t="str">
        <f ca="1">IFERROR(IF(AND(VLOOKUP(A3801, 'Актуальное состояние (из общего'!A:C,3,0) = "", A3801 &lt;&gt; ""), "ПРОВЕРИТЬ", VLOOKUP(A3801, 'Актуальное состояние (из общего'!A:C,3,0)), "")</f>
        <v/>
      </c>
      <c r="U3801" s="9" t="s">
        <v>13284</v>
      </c>
      <c r="V3801" s="9" t="s">
        <v>13284</v>
      </c>
      <c r="W3801" s="12"/>
      <c r="X3801" s="9" t="str">
        <f t="array" ref="X3801">IFERROR(INDEX('Адреса общежитий (скрытый)'!$B$2:$B$9, MATCH(W3801, 'Адреса общежитий (скрытый)'!$A$2:$A$9, 0)), "")</f>
        <v/>
      </c>
      <c r="Y3801" s="18"/>
      <c r="Z3801" s="18"/>
      <c r="AA3801" s="18"/>
      <c r="AB3801" s="18"/>
      <c r="AC3801" s="18"/>
    </row>
    <row r="3802" spans="1:29" ht="32.25" hidden="1" customHeight="1">
      <c r="A3802" s="17"/>
      <c r="B3802" s="9" t="s">
        <v>13284</v>
      </c>
      <c r="C3802" s="9" t="s">
        <v>13284</v>
      </c>
      <c r="D3802" s="9" t="s">
        <v>13284</v>
      </c>
      <c r="E3802" s="9" t="s">
        <v>13284</v>
      </c>
      <c r="F3802" s="9" t="s">
        <v>13284</v>
      </c>
      <c r="G3802" s="9" t="s">
        <v>13284</v>
      </c>
      <c r="H3802" s="9" t="s">
        <v>13284</v>
      </c>
      <c r="I3802" s="9" t="s">
        <v>13284</v>
      </c>
      <c r="J3802" s="9" t="s">
        <v>13284</v>
      </c>
      <c r="K3802" s="9" t="s">
        <v>13284</v>
      </c>
      <c r="L3802" s="9" t="s">
        <v>13284</v>
      </c>
      <c r="M3802" s="9" t="s">
        <v>13284</v>
      </c>
      <c r="N3802" s="9" t="s">
        <v>13284</v>
      </c>
      <c r="O3802" s="9" t="s">
        <v>13284</v>
      </c>
      <c r="P3802" s="9" t="s">
        <v>13284</v>
      </c>
      <c r="Q3802" s="9" t="s">
        <v>13284</v>
      </c>
      <c r="R3802" s="9" t="s">
        <v>13284</v>
      </c>
      <c r="S3802" s="9" t="s">
        <v>13284</v>
      </c>
      <c r="T3802" s="9" t="str">
        <f ca="1">IFERROR(IF(AND(VLOOKUP(A3802, 'Актуальное состояние (из общего'!A:C,3,0) = "", A3802 &lt;&gt; ""), "ПРОВЕРИТЬ", VLOOKUP(A3802, 'Актуальное состояние (из общего'!A:C,3,0)), "")</f>
        <v/>
      </c>
      <c r="U3802" s="9" t="s">
        <v>13284</v>
      </c>
      <c r="V3802" s="9" t="s">
        <v>13284</v>
      </c>
      <c r="W3802" s="12"/>
      <c r="X3802" s="9" t="str">
        <f t="array" ref="X3802">IFERROR(INDEX('Адреса общежитий (скрытый)'!$B$2:$B$9, MATCH(W3802, 'Адреса общежитий (скрытый)'!$A$2:$A$9, 0)), "")</f>
        <v/>
      </c>
      <c r="Y3802" s="18"/>
      <c r="Z3802" s="18"/>
      <c r="AA3802" s="18"/>
      <c r="AB3802" s="18"/>
      <c r="AC3802" s="18"/>
    </row>
    <row r="3803" spans="1:29" ht="32.25" hidden="1" customHeight="1">
      <c r="A3803" s="17"/>
      <c r="B3803" s="9" t="s">
        <v>13284</v>
      </c>
      <c r="C3803" s="9" t="s">
        <v>13284</v>
      </c>
      <c r="D3803" s="9" t="s">
        <v>13284</v>
      </c>
      <c r="E3803" s="9" t="s">
        <v>13284</v>
      </c>
      <c r="F3803" s="9" t="s">
        <v>13284</v>
      </c>
      <c r="G3803" s="9" t="s">
        <v>13284</v>
      </c>
      <c r="H3803" s="9" t="s">
        <v>13284</v>
      </c>
      <c r="I3803" s="9" t="s">
        <v>13284</v>
      </c>
      <c r="J3803" s="9" t="s">
        <v>13284</v>
      </c>
      <c r="K3803" s="9" t="s">
        <v>13284</v>
      </c>
      <c r="L3803" s="9" t="s">
        <v>13284</v>
      </c>
      <c r="M3803" s="9" t="s">
        <v>13284</v>
      </c>
      <c r="N3803" s="9" t="s">
        <v>13284</v>
      </c>
      <c r="O3803" s="9" t="s">
        <v>13284</v>
      </c>
      <c r="P3803" s="9" t="s">
        <v>13284</v>
      </c>
      <c r="Q3803" s="9" t="s">
        <v>13284</v>
      </c>
      <c r="R3803" s="9" t="s">
        <v>13284</v>
      </c>
      <c r="S3803" s="9" t="s">
        <v>13284</v>
      </c>
      <c r="T3803" s="9" t="str">
        <f ca="1">IFERROR(IF(AND(VLOOKUP(A3803, 'Актуальное состояние (из общего'!A:C,3,0) = "", A3803 &lt;&gt; ""), "ПРОВЕРИТЬ", VLOOKUP(A3803, 'Актуальное состояние (из общего'!A:C,3,0)), "")</f>
        <v/>
      </c>
      <c r="U3803" s="9" t="s">
        <v>13284</v>
      </c>
      <c r="V3803" s="9" t="s">
        <v>13284</v>
      </c>
      <c r="W3803" s="12"/>
      <c r="X3803" s="9" t="str">
        <f t="array" ref="X3803">IFERROR(INDEX('Адреса общежитий (скрытый)'!$B$2:$B$9, MATCH(W3803, 'Адреса общежитий (скрытый)'!$A$2:$A$9, 0)), "")</f>
        <v/>
      </c>
      <c r="Y3803" s="18"/>
      <c r="Z3803" s="18"/>
      <c r="AA3803" s="18"/>
      <c r="AB3803" s="18"/>
      <c r="AC3803" s="18"/>
    </row>
    <row r="3804" spans="1:29" ht="32.25" hidden="1" customHeight="1">
      <c r="A3804" s="17"/>
      <c r="B3804" s="9" t="s">
        <v>13284</v>
      </c>
      <c r="C3804" s="9" t="s">
        <v>13284</v>
      </c>
      <c r="D3804" s="9" t="s">
        <v>13284</v>
      </c>
      <c r="E3804" s="9" t="s">
        <v>13284</v>
      </c>
      <c r="F3804" s="9" t="s">
        <v>13284</v>
      </c>
      <c r="G3804" s="9" t="s">
        <v>13284</v>
      </c>
      <c r="H3804" s="9" t="s">
        <v>13284</v>
      </c>
      <c r="I3804" s="9" t="s">
        <v>13284</v>
      </c>
      <c r="J3804" s="9" t="s">
        <v>13284</v>
      </c>
      <c r="K3804" s="9" t="s">
        <v>13284</v>
      </c>
      <c r="L3804" s="9" t="s">
        <v>13284</v>
      </c>
      <c r="M3804" s="9" t="s">
        <v>13284</v>
      </c>
      <c r="N3804" s="9" t="s">
        <v>13284</v>
      </c>
      <c r="O3804" s="9" t="s">
        <v>13284</v>
      </c>
      <c r="P3804" s="9" t="s">
        <v>13284</v>
      </c>
      <c r="Q3804" s="9" t="s">
        <v>13284</v>
      </c>
      <c r="R3804" s="9" t="s">
        <v>13284</v>
      </c>
      <c r="S3804" s="9" t="s">
        <v>13284</v>
      </c>
      <c r="T3804" s="9" t="str">
        <f ca="1">IFERROR(IF(AND(VLOOKUP(A3804, 'Актуальное состояние (из общего'!A:C,3,0) = "", A3804 &lt;&gt; ""), "ПРОВЕРИТЬ", VLOOKUP(A3804, 'Актуальное состояние (из общего'!A:C,3,0)), "")</f>
        <v/>
      </c>
      <c r="U3804" s="9" t="s">
        <v>13284</v>
      </c>
      <c r="V3804" s="9" t="s">
        <v>13284</v>
      </c>
      <c r="W3804" s="12"/>
      <c r="X3804" s="9" t="str">
        <f t="array" ref="X3804">IFERROR(INDEX('Адреса общежитий (скрытый)'!$B$2:$B$9, MATCH(W3804, 'Адреса общежитий (скрытый)'!$A$2:$A$9, 0)), "")</f>
        <v/>
      </c>
      <c r="Y3804" s="18"/>
      <c r="Z3804" s="18"/>
      <c r="AA3804" s="18"/>
      <c r="AB3804" s="18"/>
      <c r="AC3804" s="18"/>
    </row>
    <row r="3805" spans="1:29" ht="32.25" hidden="1" customHeight="1">
      <c r="A3805" s="17"/>
      <c r="B3805" s="9" t="s">
        <v>13284</v>
      </c>
      <c r="C3805" s="9" t="s">
        <v>13284</v>
      </c>
      <c r="D3805" s="9" t="s">
        <v>13284</v>
      </c>
      <c r="E3805" s="9" t="s">
        <v>13284</v>
      </c>
      <c r="F3805" s="9" t="s">
        <v>13284</v>
      </c>
      <c r="G3805" s="9" t="s">
        <v>13284</v>
      </c>
      <c r="H3805" s="9" t="s">
        <v>13284</v>
      </c>
      <c r="I3805" s="9" t="s">
        <v>13284</v>
      </c>
      <c r="J3805" s="9" t="s">
        <v>13284</v>
      </c>
      <c r="K3805" s="9" t="s">
        <v>13284</v>
      </c>
      <c r="L3805" s="9" t="s">
        <v>13284</v>
      </c>
      <c r="M3805" s="9" t="s">
        <v>13284</v>
      </c>
      <c r="N3805" s="9" t="s">
        <v>13284</v>
      </c>
      <c r="O3805" s="9" t="s">
        <v>13284</v>
      </c>
      <c r="P3805" s="9" t="s">
        <v>13284</v>
      </c>
      <c r="Q3805" s="9" t="s">
        <v>13284</v>
      </c>
      <c r="R3805" s="9" t="s">
        <v>13284</v>
      </c>
      <c r="S3805" s="9" t="s">
        <v>13284</v>
      </c>
      <c r="T3805" s="9" t="str">
        <f ca="1">IFERROR(IF(AND(VLOOKUP(A3805, 'Актуальное состояние (из общего'!A:C,3,0) = "", A3805 &lt;&gt; ""), "ПРОВЕРИТЬ", VLOOKUP(A3805, 'Актуальное состояние (из общего'!A:C,3,0)), "")</f>
        <v/>
      </c>
      <c r="U3805" s="9" t="s">
        <v>13284</v>
      </c>
      <c r="V3805" s="9" t="s">
        <v>13284</v>
      </c>
      <c r="W3805" s="12"/>
      <c r="X3805" s="9" t="str">
        <f t="array" ref="X3805">IFERROR(INDEX('Адреса общежитий (скрытый)'!$B$2:$B$9, MATCH(W3805, 'Адреса общежитий (скрытый)'!$A$2:$A$9, 0)), "")</f>
        <v/>
      </c>
      <c r="Y3805" s="18"/>
      <c r="Z3805" s="18"/>
      <c r="AA3805" s="18"/>
      <c r="AB3805" s="18"/>
      <c r="AC3805" s="18"/>
    </row>
    <row r="3806" spans="1:29" ht="32.25" hidden="1" customHeight="1">
      <c r="A3806" s="17"/>
      <c r="B3806" s="9" t="s">
        <v>13284</v>
      </c>
      <c r="C3806" s="9" t="s">
        <v>13284</v>
      </c>
      <c r="D3806" s="9" t="s">
        <v>13284</v>
      </c>
      <c r="E3806" s="9" t="s">
        <v>13284</v>
      </c>
      <c r="F3806" s="9" t="s">
        <v>13284</v>
      </c>
      <c r="G3806" s="9" t="s">
        <v>13284</v>
      </c>
      <c r="H3806" s="9" t="s">
        <v>13284</v>
      </c>
      <c r="I3806" s="9" t="s">
        <v>13284</v>
      </c>
      <c r="J3806" s="9" t="s">
        <v>13284</v>
      </c>
      <c r="K3806" s="9" t="s">
        <v>13284</v>
      </c>
      <c r="L3806" s="9" t="s">
        <v>13284</v>
      </c>
      <c r="M3806" s="9" t="s">
        <v>13284</v>
      </c>
      <c r="N3806" s="9" t="s">
        <v>13284</v>
      </c>
      <c r="O3806" s="9" t="s">
        <v>13284</v>
      </c>
      <c r="P3806" s="9" t="s">
        <v>13284</v>
      </c>
      <c r="Q3806" s="9" t="s">
        <v>13284</v>
      </c>
      <c r="R3806" s="9" t="s">
        <v>13284</v>
      </c>
      <c r="S3806" s="9" t="s">
        <v>13284</v>
      </c>
      <c r="T3806" s="9" t="str">
        <f ca="1">IFERROR(IF(AND(VLOOKUP(A3806, 'Актуальное состояние (из общего'!A:C,3,0) = "", A3806 &lt;&gt; ""), "ПРОВЕРИТЬ", VLOOKUP(A3806, 'Актуальное состояние (из общего'!A:C,3,0)), "")</f>
        <v/>
      </c>
      <c r="U3806" s="9" t="s">
        <v>13284</v>
      </c>
      <c r="V3806" s="9" t="s">
        <v>13284</v>
      </c>
      <c r="W3806" s="12"/>
      <c r="X3806" s="9" t="str">
        <f t="array" ref="X3806">IFERROR(INDEX('Адреса общежитий (скрытый)'!$B$2:$B$9, MATCH(W3806, 'Адреса общежитий (скрытый)'!$A$2:$A$9, 0)), "")</f>
        <v/>
      </c>
      <c r="Y3806" s="18"/>
      <c r="Z3806" s="18"/>
      <c r="AA3806" s="18"/>
      <c r="AB3806" s="18"/>
      <c r="AC3806" s="18"/>
    </row>
    <row r="3807" spans="1:29" ht="32.25" hidden="1" customHeight="1">
      <c r="A3807" s="17"/>
      <c r="B3807" s="9" t="s">
        <v>13284</v>
      </c>
      <c r="C3807" s="9" t="s">
        <v>13284</v>
      </c>
      <c r="D3807" s="9" t="s">
        <v>13284</v>
      </c>
      <c r="E3807" s="9" t="s">
        <v>13284</v>
      </c>
      <c r="F3807" s="9" t="s">
        <v>13284</v>
      </c>
      <c r="G3807" s="9" t="s">
        <v>13284</v>
      </c>
      <c r="H3807" s="9" t="s">
        <v>13284</v>
      </c>
      <c r="I3807" s="9" t="s">
        <v>13284</v>
      </c>
      <c r="J3807" s="9" t="s">
        <v>13284</v>
      </c>
      <c r="K3807" s="9" t="s">
        <v>13284</v>
      </c>
      <c r="L3807" s="9" t="s">
        <v>13284</v>
      </c>
      <c r="M3807" s="9" t="s">
        <v>13284</v>
      </c>
      <c r="N3807" s="9" t="s">
        <v>13284</v>
      </c>
      <c r="O3807" s="9" t="s">
        <v>13284</v>
      </c>
      <c r="P3807" s="9" t="s">
        <v>13284</v>
      </c>
      <c r="Q3807" s="9" t="s">
        <v>13284</v>
      </c>
      <c r="R3807" s="9" t="s">
        <v>13284</v>
      </c>
      <c r="S3807" s="9" t="s">
        <v>13284</v>
      </c>
      <c r="T3807" s="9" t="str">
        <f ca="1">IFERROR(IF(AND(VLOOKUP(A3807, 'Актуальное состояние (из общего'!A:C,3,0) = "", A3807 &lt;&gt; ""), "ПРОВЕРИТЬ", VLOOKUP(A3807, 'Актуальное состояние (из общего'!A:C,3,0)), "")</f>
        <v/>
      </c>
      <c r="U3807" s="9" t="s">
        <v>13284</v>
      </c>
      <c r="V3807" s="9" t="s">
        <v>13284</v>
      </c>
      <c r="W3807" s="12"/>
      <c r="X3807" s="9" t="str">
        <f t="array" ref="X3807">IFERROR(INDEX('Адреса общежитий (скрытый)'!$B$2:$B$9, MATCH(W3807, 'Адреса общежитий (скрытый)'!$A$2:$A$9, 0)), "")</f>
        <v/>
      </c>
      <c r="Y3807" s="18"/>
      <c r="Z3807" s="18"/>
      <c r="AA3807" s="18"/>
      <c r="AB3807" s="18"/>
      <c r="AC3807" s="18"/>
    </row>
    <row r="3808" spans="1:29" ht="32.25" hidden="1" customHeight="1">
      <c r="A3808" s="17"/>
      <c r="B3808" s="9" t="s">
        <v>13284</v>
      </c>
      <c r="C3808" s="9" t="s">
        <v>13284</v>
      </c>
      <c r="D3808" s="9" t="s">
        <v>13284</v>
      </c>
      <c r="E3808" s="9" t="s">
        <v>13284</v>
      </c>
      <c r="F3808" s="9" t="s">
        <v>13284</v>
      </c>
      <c r="G3808" s="9" t="s">
        <v>13284</v>
      </c>
      <c r="H3808" s="9" t="s">
        <v>13284</v>
      </c>
      <c r="I3808" s="9" t="s">
        <v>13284</v>
      </c>
      <c r="J3808" s="9" t="s">
        <v>13284</v>
      </c>
      <c r="K3808" s="9" t="s">
        <v>13284</v>
      </c>
      <c r="L3808" s="9" t="s">
        <v>13284</v>
      </c>
      <c r="M3808" s="9" t="s">
        <v>13284</v>
      </c>
      <c r="N3808" s="9" t="s">
        <v>13284</v>
      </c>
      <c r="O3808" s="9" t="s">
        <v>13284</v>
      </c>
      <c r="P3808" s="9" t="s">
        <v>13284</v>
      </c>
      <c r="Q3808" s="9" t="s">
        <v>13284</v>
      </c>
      <c r="R3808" s="9" t="s">
        <v>13284</v>
      </c>
      <c r="S3808" s="9" t="s">
        <v>13284</v>
      </c>
      <c r="T3808" s="9" t="str">
        <f ca="1">IFERROR(IF(AND(VLOOKUP(A3808, 'Актуальное состояние (из общего'!A:C,3,0) = "", A3808 &lt;&gt; ""), "ПРОВЕРИТЬ", VLOOKUP(A3808, 'Актуальное состояние (из общего'!A:C,3,0)), "")</f>
        <v/>
      </c>
      <c r="U3808" s="9" t="s">
        <v>13284</v>
      </c>
      <c r="V3808" s="9" t="s">
        <v>13284</v>
      </c>
      <c r="W3808" s="12"/>
      <c r="X3808" s="9" t="str">
        <f t="array" ref="X3808">IFERROR(INDEX('Адреса общежитий (скрытый)'!$B$2:$B$9, MATCH(W3808, 'Адреса общежитий (скрытый)'!$A$2:$A$9, 0)), "")</f>
        <v/>
      </c>
      <c r="Y3808" s="18"/>
      <c r="Z3808" s="18"/>
      <c r="AA3808" s="18"/>
      <c r="AB3808" s="18"/>
      <c r="AC3808" s="18"/>
    </row>
    <row r="3809" spans="1:29" ht="32.25" hidden="1" customHeight="1">
      <c r="A3809" s="17"/>
      <c r="B3809" s="9" t="s">
        <v>13284</v>
      </c>
      <c r="C3809" s="9" t="s">
        <v>13284</v>
      </c>
      <c r="D3809" s="9" t="s">
        <v>13284</v>
      </c>
      <c r="E3809" s="9" t="s">
        <v>13284</v>
      </c>
      <c r="F3809" s="9" t="s">
        <v>13284</v>
      </c>
      <c r="G3809" s="9" t="s">
        <v>13284</v>
      </c>
      <c r="H3809" s="9" t="s">
        <v>13284</v>
      </c>
      <c r="I3809" s="9" t="s">
        <v>13284</v>
      </c>
      <c r="J3809" s="9" t="s">
        <v>13284</v>
      </c>
      <c r="K3809" s="9" t="s">
        <v>13284</v>
      </c>
      <c r="L3809" s="9" t="s">
        <v>13284</v>
      </c>
      <c r="M3809" s="9" t="s">
        <v>13284</v>
      </c>
      <c r="N3809" s="9" t="s">
        <v>13284</v>
      </c>
      <c r="O3809" s="9" t="s">
        <v>13284</v>
      </c>
      <c r="P3809" s="9" t="s">
        <v>13284</v>
      </c>
      <c r="Q3809" s="9" t="s">
        <v>13284</v>
      </c>
      <c r="R3809" s="9" t="s">
        <v>13284</v>
      </c>
      <c r="S3809" s="9" t="s">
        <v>13284</v>
      </c>
      <c r="T3809" s="9" t="str">
        <f ca="1">IFERROR(IF(AND(VLOOKUP(A3809, 'Актуальное состояние (из общего'!A:C,3,0) = "", A3809 &lt;&gt; ""), "ПРОВЕРИТЬ", VLOOKUP(A3809, 'Актуальное состояние (из общего'!A:C,3,0)), "")</f>
        <v/>
      </c>
      <c r="U3809" s="9" t="s">
        <v>13284</v>
      </c>
      <c r="V3809" s="9" t="s">
        <v>13284</v>
      </c>
      <c r="W3809" s="12"/>
      <c r="X3809" s="9" t="str">
        <f t="array" ref="X3809">IFERROR(INDEX('Адреса общежитий (скрытый)'!$B$2:$B$9, MATCH(W3809, 'Адреса общежитий (скрытый)'!$A$2:$A$9, 0)), "")</f>
        <v/>
      </c>
      <c r="Y3809" s="18"/>
      <c r="Z3809" s="18"/>
      <c r="AA3809" s="18"/>
      <c r="AB3809" s="18"/>
      <c r="AC3809" s="18"/>
    </row>
    <row r="3810" spans="1:29" ht="32.25" hidden="1" customHeight="1">
      <c r="A3810" s="17"/>
      <c r="B3810" s="9" t="s">
        <v>13284</v>
      </c>
      <c r="C3810" s="9" t="s">
        <v>13284</v>
      </c>
      <c r="D3810" s="9" t="s">
        <v>13284</v>
      </c>
      <c r="E3810" s="9" t="s">
        <v>13284</v>
      </c>
      <c r="F3810" s="9" t="s">
        <v>13284</v>
      </c>
      <c r="G3810" s="9" t="s">
        <v>13284</v>
      </c>
      <c r="H3810" s="9" t="s">
        <v>13284</v>
      </c>
      <c r="I3810" s="9" t="s">
        <v>13284</v>
      </c>
      <c r="J3810" s="9" t="s">
        <v>13284</v>
      </c>
      <c r="K3810" s="9" t="s">
        <v>13284</v>
      </c>
      <c r="L3810" s="9" t="s">
        <v>13284</v>
      </c>
      <c r="M3810" s="9" t="s">
        <v>13284</v>
      </c>
      <c r="N3810" s="9" t="s">
        <v>13284</v>
      </c>
      <c r="O3810" s="9" t="s">
        <v>13284</v>
      </c>
      <c r="P3810" s="9" t="s">
        <v>13284</v>
      </c>
      <c r="Q3810" s="9" t="s">
        <v>13284</v>
      </c>
      <c r="R3810" s="9" t="s">
        <v>13284</v>
      </c>
      <c r="S3810" s="9" t="s">
        <v>13284</v>
      </c>
      <c r="T3810" s="9" t="str">
        <f ca="1">IFERROR(IF(AND(VLOOKUP(A3810, 'Актуальное состояние (из общего'!A:C,3,0) = "", A3810 &lt;&gt; ""), "ПРОВЕРИТЬ", VLOOKUP(A3810, 'Актуальное состояние (из общего'!A:C,3,0)), "")</f>
        <v/>
      </c>
      <c r="U3810" s="9" t="s">
        <v>13284</v>
      </c>
      <c r="V3810" s="9" t="s">
        <v>13284</v>
      </c>
      <c r="W3810" s="12"/>
      <c r="X3810" s="9" t="str">
        <f t="array" ref="X3810">IFERROR(INDEX('Адреса общежитий (скрытый)'!$B$2:$B$9, MATCH(W3810, 'Адреса общежитий (скрытый)'!$A$2:$A$9, 0)), "")</f>
        <v/>
      </c>
      <c r="Y3810" s="18"/>
      <c r="Z3810" s="18"/>
      <c r="AA3810" s="18"/>
      <c r="AB3810" s="18"/>
      <c r="AC3810" s="18"/>
    </row>
    <row r="3811" spans="1:29" ht="32.25" hidden="1" customHeight="1">
      <c r="A3811" s="17"/>
      <c r="B3811" s="9" t="s">
        <v>13284</v>
      </c>
      <c r="C3811" s="9" t="s">
        <v>13284</v>
      </c>
      <c r="D3811" s="9" t="s">
        <v>13284</v>
      </c>
      <c r="E3811" s="9" t="s">
        <v>13284</v>
      </c>
      <c r="F3811" s="9" t="s">
        <v>13284</v>
      </c>
      <c r="G3811" s="9" t="s">
        <v>13284</v>
      </c>
      <c r="H3811" s="9" t="s">
        <v>13284</v>
      </c>
      <c r="I3811" s="9" t="s">
        <v>13284</v>
      </c>
      <c r="J3811" s="9" t="s">
        <v>13284</v>
      </c>
      <c r="K3811" s="9" t="s">
        <v>13284</v>
      </c>
      <c r="L3811" s="9" t="s">
        <v>13284</v>
      </c>
      <c r="M3811" s="9" t="s">
        <v>13284</v>
      </c>
      <c r="N3811" s="9" t="s">
        <v>13284</v>
      </c>
      <c r="O3811" s="9" t="s">
        <v>13284</v>
      </c>
      <c r="P3811" s="9" t="s">
        <v>13284</v>
      </c>
      <c r="Q3811" s="9" t="s">
        <v>13284</v>
      </c>
      <c r="R3811" s="9" t="s">
        <v>13284</v>
      </c>
      <c r="S3811" s="9" t="s">
        <v>13284</v>
      </c>
      <c r="T3811" s="9" t="str">
        <f ca="1">IFERROR(IF(AND(VLOOKUP(A3811, 'Актуальное состояние (из общего'!A:C,3,0) = "", A3811 &lt;&gt; ""), "ПРОВЕРИТЬ", VLOOKUP(A3811, 'Актуальное состояние (из общего'!A:C,3,0)), "")</f>
        <v/>
      </c>
      <c r="U3811" s="9" t="s">
        <v>13284</v>
      </c>
      <c r="V3811" s="9" t="s">
        <v>13284</v>
      </c>
      <c r="W3811" s="12"/>
      <c r="X3811" s="9" t="str">
        <f t="array" ref="X3811">IFERROR(INDEX('Адреса общежитий (скрытый)'!$B$2:$B$9, MATCH(W3811, 'Адреса общежитий (скрытый)'!$A$2:$A$9, 0)), "")</f>
        <v/>
      </c>
      <c r="Y3811" s="18"/>
      <c r="Z3811" s="18"/>
      <c r="AA3811" s="18"/>
      <c r="AB3811" s="18"/>
      <c r="AC3811" s="18"/>
    </row>
    <row r="3812" spans="1:29" ht="32.25" hidden="1" customHeight="1">
      <c r="A3812" s="17"/>
      <c r="B3812" s="9" t="s">
        <v>13284</v>
      </c>
      <c r="C3812" s="9" t="s">
        <v>13284</v>
      </c>
      <c r="D3812" s="9" t="s">
        <v>13284</v>
      </c>
      <c r="E3812" s="9" t="s">
        <v>13284</v>
      </c>
      <c r="F3812" s="9" t="s">
        <v>13284</v>
      </c>
      <c r="G3812" s="9" t="s">
        <v>13284</v>
      </c>
      <c r="H3812" s="9" t="s">
        <v>13284</v>
      </c>
      <c r="I3812" s="9" t="s">
        <v>13284</v>
      </c>
      <c r="J3812" s="9" t="s">
        <v>13284</v>
      </c>
      <c r="K3812" s="9" t="s">
        <v>13284</v>
      </c>
      <c r="L3812" s="9" t="s">
        <v>13284</v>
      </c>
      <c r="M3812" s="9" t="s">
        <v>13284</v>
      </c>
      <c r="N3812" s="9" t="s">
        <v>13284</v>
      </c>
      <c r="O3812" s="9" t="s">
        <v>13284</v>
      </c>
      <c r="P3812" s="9" t="s">
        <v>13284</v>
      </c>
      <c r="Q3812" s="9" t="s">
        <v>13284</v>
      </c>
      <c r="R3812" s="9" t="s">
        <v>13284</v>
      </c>
      <c r="S3812" s="9" t="s">
        <v>13284</v>
      </c>
      <c r="T3812" s="9" t="str">
        <f ca="1">IFERROR(IF(AND(VLOOKUP(A3812, 'Актуальное состояние (из общего'!A:C,3,0) = "", A3812 &lt;&gt; ""), "ПРОВЕРИТЬ", VLOOKUP(A3812, 'Актуальное состояние (из общего'!A:C,3,0)), "")</f>
        <v/>
      </c>
      <c r="U3812" s="9" t="s">
        <v>13284</v>
      </c>
      <c r="V3812" s="9" t="s">
        <v>13284</v>
      </c>
      <c r="W3812" s="12"/>
      <c r="X3812" s="9" t="str">
        <f t="array" ref="X3812">IFERROR(INDEX('Адреса общежитий (скрытый)'!$B$2:$B$9, MATCH(W3812, 'Адреса общежитий (скрытый)'!$A$2:$A$9, 0)), "")</f>
        <v/>
      </c>
      <c r="Y3812" s="18"/>
      <c r="Z3812" s="18"/>
      <c r="AA3812" s="18"/>
      <c r="AB3812" s="18"/>
      <c r="AC3812" s="18"/>
    </row>
    <row r="3813" spans="1:29" ht="32.25" hidden="1" customHeight="1">
      <c r="A3813" s="17"/>
      <c r="B3813" s="9" t="s">
        <v>13284</v>
      </c>
      <c r="C3813" s="9" t="s">
        <v>13284</v>
      </c>
      <c r="D3813" s="9" t="s">
        <v>13284</v>
      </c>
      <c r="E3813" s="9" t="s">
        <v>13284</v>
      </c>
      <c r="F3813" s="9" t="s">
        <v>13284</v>
      </c>
      <c r="G3813" s="9" t="s">
        <v>13284</v>
      </c>
      <c r="H3813" s="9" t="s">
        <v>13284</v>
      </c>
      <c r="I3813" s="9" t="s">
        <v>13284</v>
      </c>
      <c r="J3813" s="9" t="s">
        <v>13284</v>
      </c>
      <c r="K3813" s="9" t="s">
        <v>13284</v>
      </c>
      <c r="L3813" s="9" t="s">
        <v>13284</v>
      </c>
      <c r="M3813" s="9" t="s">
        <v>13284</v>
      </c>
      <c r="N3813" s="9" t="s">
        <v>13284</v>
      </c>
      <c r="O3813" s="9" t="s">
        <v>13284</v>
      </c>
      <c r="P3813" s="9" t="s">
        <v>13284</v>
      </c>
      <c r="Q3813" s="9" t="s">
        <v>13284</v>
      </c>
      <c r="R3813" s="9" t="s">
        <v>13284</v>
      </c>
      <c r="S3813" s="9" t="s">
        <v>13284</v>
      </c>
      <c r="T3813" s="9" t="str">
        <f ca="1">IFERROR(IF(AND(VLOOKUP(A3813, 'Актуальное состояние (из общего'!A:C,3,0) = "", A3813 &lt;&gt; ""), "ПРОВЕРИТЬ", VLOOKUP(A3813, 'Актуальное состояние (из общего'!A:C,3,0)), "")</f>
        <v/>
      </c>
      <c r="U3813" s="9" t="s">
        <v>13284</v>
      </c>
      <c r="V3813" s="9" t="s">
        <v>13284</v>
      </c>
      <c r="W3813" s="12"/>
      <c r="X3813" s="9" t="str">
        <f t="array" ref="X3813">IFERROR(INDEX('Адреса общежитий (скрытый)'!$B$2:$B$9, MATCH(W3813, 'Адреса общежитий (скрытый)'!$A$2:$A$9, 0)), "")</f>
        <v/>
      </c>
      <c r="Y3813" s="18"/>
      <c r="Z3813" s="18"/>
      <c r="AA3813" s="18"/>
      <c r="AB3813" s="18"/>
      <c r="AC3813" s="18"/>
    </row>
    <row r="3814" spans="1:29" ht="32.25" hidden="1" customHeight="1">
      <c r="A3814" s="17"/>
      <c r="B3814" s="9" t="s">
        <v>13284</v>
      </c>
      <c r="C3814" s="9" t="s">
        <v>13284</v>
      </c>
      <c r="D3814" s="9" t="s">
        <v>13284</v>
      </c>
      <c r="E3814" s="9" t="s">
        <v>13284</v>
      </c>
      <c r="F3814" s="9" t="s">
        <v>13284</v>
      </c>
      <c r="G3814" s="9" t="s">
        <v>13284</v>
      </c>
      <c r="H3814" s="9" t="s">
        <v>13284</v>
      </c>
      <c r="I3814" s="9" t="s">
        <v>13284</v>
      </c>
      <c r="J3814" s="9" t="s">
        <v>13284</v>
      </c>
      <c r="K3814" s="9" t="s">
        <v>13284</v>
      </c>
      <c r="L3814" s="9" t="s">
        <v>13284</v>
      </c>
      <c r="M3814" s="9" t="s">
        <v>13284</v>
      </c>
      <c r="N3814" s="9" t="s">
        <v>13284</v>
      </c>
      <c r="O3814" s="9" t="s">
        <v>13284</v>
      </c>
      <c r="P3814" s="9" t="s">
        <v>13284</v>
      </c>
      <c r="Q3814" s="9" t="s">
        <v>13284</v>
      </c>
      <c r="R3814" s="9" t="s">
        <v>13284</v>
      </c>
      <c r="S3814" s="9" t="s">
        <v>13284</v>
      </c>
      <c r="T3814" s="9" t="str">
        <f ca="1">IFERROR(IF(AND(VLOOKUP(A3814, 'Актуальное состояние (из общего'!A:C,3,0) = "", A3814 &lt;&gt; ""), "ПРОВЕРИТЬ", VLOOKUP(A3814, 'Актуальное состояние (из общего'!A:C,3,0)), "")</f>
        <v/>
      </c>
      <c r="U3814" s="9" t="s">
        <v>13284</v>
      </c>
      <c r="V3814" s="9" t="s">
        <v>13284</v>
      </c>
      <c r="W3814" s="12"/>
      <c r="X3814" s="9" t="str">
        <f t="array" ref="X3814">IFERROR(INDEX('Адреса общежитий (скрытый)'!$B$2:$B$9, MATCH(W3814, 'Адреса общежитий (скрытый)'!$A$2:$A$9, 0)), "")</f>
        <v/>
      </c>
      <c r="Y3814" s="18"/>
      <c r="Z3814" s="18"/>
      <c r="AA3814" s="18"/>
      <c r="AB3814" s="18"/>
      <c r="AC3814" s="18"/>
    </row>
    <row r="3815" spans="1:29" ht="32.25" hidden="1" customHeight="1">
      <c r="A3815" s="17"/>
      <c r="B3815" s="9" t="s">
        <v>13284</v>
      </c>
      <c r="C3815" s="9" t="s">
        <v>13284</v>
      </c>
      <c r="D3815" s="9" t="s">
        <v>13284</v>
      </c>
      <c r="E3815" s="9" t="s">
        <v>13284</v>
      </c>
      <c r="F3815" s="9" t="s">
        <v>13284</v>
      </c>
      <c r="G3815" s="9" t="s">
        <v>13284</v>
      </c>
      <c r="H3815" s="9" t="s">
        <v>13284</v>
      </c>
      <c r="I3815" s="9" t="s">
        <v>13284</v>
      </c>
      <c r="J3815" s="9" t="s">
        <v>13284</v>
      </c>
      <c r="K3815" s="9" t="s">
        <v>13284</v>
      </c>
      <c r="L3815" s="9" t="s">
        <v>13284</v>
      </c>
      <c r="M3815" s="9" t="s">
        <v>13284</v>
      </c>
      <c r="N3815" s="9" t="s">
        <v>13284</v>
      </c>
      <c r="O3815" s="9" t="s">
        <v>13284</v>
      </c>
      <c r="P3815" s="9" t="s">
        <v>13284</v>
      </c>
      <c r="Q3815" s="9" t="s">
        <v>13284</v>
      </c>
      <c r="R3815" s="9" t="s">
        <v>13284</v>
      </c>
      <c r="S3815" s="9" t="s">
        <v>13284</v>
      </c>
      <c r="T3815" s="9" t="str">
        <f ca="1">IFERROR(IF(AND(VLOOKUP(A3815, 'Актуальное состояние (из общего'!A:C,3,0) = "", A3815 &lt;&gt; ""), "ПРОВЕРИТЬ", VLOOKUP(A3815, 'Актуальное состояние (из общего'!A:C,3,0)), "")</f>
        <v/>
      </c>
      <c r="U3815" s="9" t="s">
        <v>13284</v>
      </c>
      <c r="V3815" s="9" t="s">
        <v>13284</v>
      </c>
      <c r="W3815" s="12"/>
      <c r="X3815" s="9" t="str">
        <f t="array" ref="X3815">IFERROR(INDEX('Адреса общежитий (скрытый)'!$B$2:$B$9, MATCH(W3815, 'Адреса общежитий (скрытый)'!$A$2:$A$9, 0)), "")</f>
        <v/>
      </c>
      <c r="Y3815" s="18"/>
      <c r="Z3815" s="18"/>
      <c r="AA3815" s="18"/>
      <c r="AB3815" s="18"/>
      <c r="AC3815" s="18"/>
    </row>
    <row r="3816" spans="1:29" ht="32.25" hidden="1" customHeight="1">
      <c r="A3816" s="17"/>
      <c r="B3816" s="9" t="s">
        <v>13284</v>
      </c>
      <c r="C3816" s="9" t="s">
        <v>13284</v>
      </c>
      <c r="D3816" s="9" t="s">
        <v>13284</v>
      </c>
      <c r="E3816" s="9" t="s">
        <v>13284</v>
      </c>
      <c r="F3816" s="9" t="s">
        <v>13284</v>
      </c>
      <c r="G3816" s="9" t="s">
        <v>13284</v>
      </c>
      <c r="H3816" s="9" t="s">
        <v>13284</v>
      </c>
      <c r="I3816" s="9" t="s">
        <v>13284</v>
      </c>
      <c r="J3816" s="9" t="s">
        <v>13284</v>
      </c>
      <c r="K3816" s="9" t="s">
        <v>13284</v>
      </c>
      <c r="L3816" s="9" t="s">
        <v>13284</v>
      </c>
      <c r="M3816" s="9" t="s">
        <v>13284</v>
      </c>
      <c r="N3816" s="9" t="s">
        <v>13284</v>
      </c>
      <c r="O3816" s="9" t="s">
        <v>13284</v>
      </c>
      <c r="P3816" s="9" t="s">
        <v>13284</v>
      </c>
      <c r="Q3816" s="9" t="s">
        <v>13284</v>
      </c>
      <c r="R3816" s="9" t="s">
        <v>13284</v>
      </c>
      <c r="S3816" s="9" t="s">
        <v>13284</v>
      </c>
      <c r="T3816" s="9" t="str">
        <f ca="1">IFERROR(IF(AND(VLOOKUP(A3816, 'Актуальное состояние (из общего'!A:C,3,0) = "", A3816 &lt;&gt; ""), "ПРОВЕРИТЬ", VLOOKUP(A3816, 'Актуальное состояние (из общего'!A:C,3,0)), "")</f>
        <v/>
      </c>
      <c r="U3816" s="9" t="s">
        <v>13284</v>
      </c>
      <c r="V3816" s="9" t="s">
        <v>13284</v>
      </c>
      <c r="W3816" s="12"/>
      <c r="X3816" s="9" t="str">
        <f t="array" ref="X3816">IFERROR(INDEX('Адреса общежитий (скрытый)'!$B$2:$B$9, MATCH(W3816, 'Адреса общежитий (скрытый)'!$A$2:$A$9, 0)), "")</f>
        <v/>
      </c>
      <c r="Y3816" s="18"/>
      <c r="Z3816" s="18"/>
      <c r="AA3816" s="18"/>
      <c r="AB3816" s="18"/>
      <c r="AC3816" s="18"/>
    </row>
    <row r="3817" spans="1:29" ht="32.25" hidden="1" customHeight="1">
      <c r="A3817" s="17"/>
      <c r="B3817" s="9" t="s">
        <v>13284</v>
      </c>
      <c r="C3817" s="9" t="s">
        <v>13284</v>
      </c>
      <c r="D3817" s="9" t="s">
        <v>13284</v>
      </c>
      <c r="E3817" s="9" t="s">
        <v>13284</v>
      </c>
      <c r="F3817" s="9" t="s">
        <v>13284</v>
      </c>
      <c r="G3817" s="9" t="s">
        <v>13284</v>
      </c>
      <c r="H3817" s="9" t="s">
        <v>13284</v>
      </c>
      <c r="I3817" s="9" t="s">
        <v>13284</v>
      </c>
      <c r="J3817" s="9" t="s">
        <v>13284</v>
      </c>
      <c r="K3817" s="9" t="s">
        <v>13284</v>
      </c>
      <c r="L3817" s="9" t="s">
        <v>13284</v>
      </c>
      <c r="M3817" s="9" t="s">
        <v>13284</v>
      </c>
      <c r="N3817" s="9" t="s">
        <v>13284</v>
      </c>
      <c r="O3817" s="9" t="s">
        <v>13284</v>
      </c>
      <c r="P3817" s="9" t="s">
        <v>13284</v>
      </c>
      <c r="Q3817" s="9" t="s">
        <v>13284</v>
      </c>
      <c r="R3817" s="9" t="s">
        <v>13284</v>
      </c>
      <c r="S3817" s="9" t="s">
        <v>13284</v>
      </c>
      <c r="T3817" s="9" t="str">
        <f ca="1">IFERROR(IF(AND(VLOOKUP(A3817, 'Актуальное состояние (из общего'!A:C,3,0) = "", A3817 &lt;&gt; ""), "ПРОВЕРИТЬ", VLOOKUP(A3817, 'Актуальное состояние (из общего'!A:C,3,0)), "")</f>
        <v/>
      </c>
      <c r="U3817" s="9" t="s">
        <v>13284</v>
      </c>
      <c r="V3817" s="9" t="s">
        <v>13284</v>
      </c>
      <c r="W3817" s="12"/>
      <c r="X3817" s="9" t="str">
        <f t="array" ref="X3817">IFERROR(INDEX('Адреса общежитий (скрытый)'!$B$2:$B$9, MATCH(W3817, 'Адреса общежитий (скрытый)'!$A$2:$A$9, 0)), "")</f>
        <v/>
      </c>
      <c r="Y3817" s="18"/>
      <c r="Z3817" s="18"/>
      <c r="AA3817" s="18"/>
      <c r="AB3817" s="18"/>
      <c r="AC3817" s="18"/>
    </row>
    <row r="3818" spans="1:29" ht="32.25" hidden="1" customHeight="1">
      <c r="A3818" s="17"/>
      <c r="B3818" s="9" t="s">
        <v>13284</v>
      </c>
      <c r="C3818" s="9" t="s">
        <v>13284</v>
      </c>
      <c r="D3818" s="9" t="s">
        <v>13284</v>
      </c>
      <c r="E3818" s="9" t="s">
        <v>13284</v>
      </c>
      <c r="F3818" s="9" t="s">
        <v>13284</v>
      </c>
      <c r="G3818" s="9" t="s">
        <v>13284</v>
      </c>
      <c r="H3818" s="9" t="s">
        <v>13284</v>
      </c>
      <c r="I3818" s="9" t="s">
        <v>13284</v>
      </c>
      <c r="J3818" s="9" t="s">
        <v>13284</v>
      </c>
      <c r="K3818" s="9" t="s">
        <v>13284</v>
      </c>
      <c r="L3818" s="9" t="s">
        <v>13284</v>
      </c>
      <c r="M3818" s="9" t="s">
        <v>13284</v>
      </c>
      <c r="N3818" s="9" t="s">
        <v>13284</v>
      </c>
      <c r="O3818" s="9" t="s">
        <v>13284</v>
      </c>
      <c r="P3818" s="9" t="s">
        <v>13284</v>
      </c>
      <c r="Q3818" s="9" t="s">
        <v>13284</v>
      </c>
      <c r="R3818" s="9" t="s">
        <v>13284</v>
      </c>
      <c r="S3818" s="9" t="s">
        <v>13284</v>
      </c>
      <c r="T3818" s="9" t="str">
        <f ca="1">IFERROR(IF(AND(VLOOKUP(A3818, 'Актуальное состояние (из общего'!A:C,3,0) = "", A3818 &lt;&gt; ""), "ПРОВЕРИТЬ", VLOOKUP(A3818, 'Актуальное состояние (из общего'!A:C,3,0)), "")</f>
        <v/>
      </c>
      <c r="U3818" s="9" t="s">
        <v>13284</v>
      </c>
      <c r="V3818" s="9" t="s">
        <v>13284</v>
      </c>
      <c r="W3818" s="12"/>
      <c r="X3818" s="9" t="str">
        <f t="array" ref="X3818">IFERROR(INDEX('Адреса общежитий (скрытый)'!$B$2:$B$9, MATCH(W3818, 'Адреса общежитий (скрытый)'!$A$2:$A$9, 0)), "")</f>
        <v/>
      </c>
      <c r="Y3818" s="18"/>
      <c r="Z3818" s="18"/>
      <c r="AA3818" s="18"/>
      <c r="AB3818" s="18"/>
      <c r="AC3818" s="18"/>
    </row>
    <row r="3819" spans="1:29" ht="32.25" hidden="1" customHeight="1">
      <c r="A3819" s="17"/>
      <c r="B3819" s="9" t="s">
        <v>13284</v>
      </c>
      <c r="C3819" s="9" t="s">
        <v>13284</v>
      </c>
      <c r="D3819" s="9" t="s">
        <v>13284</v>
      </c>
      <c r="E3819" s="9" t="s">
        <v>13284</v>
      </c>
      <c r="F3819" s="9" t="s">
        <v>13284</v>
      </c>
      <c r="G3819" s="9" t="s">
        <v>13284</v>
      </c>
      <c r="H3819" s="9" t="s">
        <v>13284</v>
      </c>
      <c r="I3819" s="9" t="s">
        <v>13284</v>
      </c>
      <c r="J3819" s="9" t="s">
        <v>13284</v>
      </c>
      <c r="K3819" s="9" t="s">
        <v>13284</v>
      </c>
      <c r="L3819" s="9" t="s">
        <v>13284</v>
      </c>
      <c r="M3819" s="9" t="s">
        <v>13284</v>
      </c>
      <c r="N3819" s="9" t="s">
        <v>13284</v>
      </c>
      <c r="O3819" s="9" t="s">
        <v>13284</v>
      </c>
      <c r="P3819" s="9" t="s">
        <v>13284</v>
      </c>
      <c r="Q3819" s="9" t="s">
        <v>13284</v>
      </c>
      <c r="R3819" s="9" t="s">
        <v>13284</v>
      </c>
      <c r="S3819" s="9" t="s">
        <v>13284</v>
      </c>
      <c r="T3819" s="9" t="str">
        <f ca="1">IFERROR(IF(AND(VLOOKUP(A3819, 'Актуальное состояние (из общего'!A:C,3,0) = "", A3819 &lt;&gt; ""), "ПРОВЕРИТЬ", VLOOKUP(A3819, 'Актуальное состояние (из общего'!A:C,3,0)), "")</f>
        <v/>
      </c>
      <c r="U3819" s="9" t="s">
        <v>13284</v>
      </c>
      <c r="V3819" s="9" t="s">
        <v>13284</v>
      </c>
      <c r="W3819" s="12"/>
      <c r="X3819" s="9" t="str">
        <f t="array" ref="X3819">IFERROR(INDEX('Адреса общежитий (скрытый)'!$B$2:$B$9, MATCH(W3819, 'Адреса общежитий (скрытый)'!$A$2:$A$9, 0)), "")</f>
        <v/>
      </c>
      <c r="Y3819" s="18"/>
      <c r="Z3819" s="18"/>
      <c r="AA3819" s="18"/>
      <c r="AB3819" s="18"/>
      <c r="AC3819" s="18"/>
    </row>
    <row r="3820" spans="1:29" ht="32.25" hidden="1" customHeight="1">
      <c r="A3820" s="17"/>
      <c r="B3820" s="9" t="s">
        <v>13284</v>
      </c>
      <c r="C3820" s="9" t="s">
        <v>13284</v>
      </c>
      <c r="D3820" s="9" t="s">
        <v>13284</v>
      </c>
      <c r="E3820" s="9" t="s">
        <v>13284</v>
      </c>
      <c r="F3820" s="9" t="s">
        <v>13284</v>
      </c>
      <c r="G3820" s="9" t="s">
        <v>13284</v>
      </c>
      <c r="H3820" s="9" t="s">
        <v>13284</v>
      </c>
      <c r="I3820" s="9" t="s">
        <v>13284</v>
      </c>
      <c r="J3820" s="9" t="s">
        <v>13284</v>
      </c>
      <c r="K3820" s="9" t="s">
        <v>13284</v>
      </c>
      <c r="L3820" s="9" t="s">
        <v>13284</v>
      </c>
      <c r="M3820" s="9" t="s">
        <v>13284</v>
      </c>
      <c r="N3820" s="9" t="s">
        <v>13284</v>
      </c>
      <c r="O3820" s="9" t="s">
        <v>13284</v>
      </c>
      <c r="P3820" s="9" t="s">
        <v>13284</v>
      </c>
      <c r="Q3820" s="9" t="s">
        <v>13284</v>
      </c>
      <c r="R3820" s="9" t="s">
        <v>13284</v>
      </c>
      <c r="S3820" s="9" t="s">
        <v>13284</v>
      </c>
      <c r="T3820" s="9" t="str">
        <f ca="1">IFERROR(IF(AND(VLOOKUP(A3820, 'Актуальное состояние (из общего'!A:C,3,0) = "", A3820 &lt;&gt; ""), "ПРОВЕРИТЬ", VLOOKUP(A3820, 'Актуальное состояние (из общего'!A:C,3,0)), "")</f>
        <v/>
      </c>
      <c r="U3820" s="9" t="s">
        <v>13284</v>
      </c>
      <c r="V3820" s="9" t="s">
        <v>13284</v>
      </c>
      <c r="W3820" s="12"/>
      <c r="X3820" s="9" t="str">
        <f t="array" ref="X3820">IFERROR(INDEX('Адреса общежитий (скрытый)'!$B$2:$B$9, MATCH(W3820, 'Адреса общежитий (скрытый)'!$A$2:$A$9, 0)), "")</f>
        <v/>
      </c>
      <c r="Y3820" s="18"/>
      <c r="Z3820" s="18"/>
      <c r="AA3820" s="18"/>
      <c r="AB3820" s="18"/>
      <c r="AC3820" s="18"/>
    </row>
    <row r="3821" spans="1:29" ht="32.25" hidden="1" customHeight="1">
      <c r="A3821" s="17"/>
      <c r="B3821" s="9" t="s">
        <v>13284</v>
      </c>
      <c r="C3821" s="9" t="s">
        <v>13284</v>
      </c>
      <c r="D3821" s="9" t="s">
        <v>13284</v>
      </c>
      <c r="E3821" s="9" t="s">
        <v>13284</v>
      </c>
      <c r="F3821" s="9" t="s">
        <v>13284</v>
      </c>
      <c r="G3821" s="9" t="s">
        <v>13284</v>
      </c>
      <c r="H3821" s="9" t="s">
        <v>13284</v>
      </c>
      <c r="I3821" s="9" t="s">
        <v>13284</v>
      </c>
      <c r="J3821" s="9" t="s">
        <v>13284</v>
      </c>
      <c r="K3821" s="9" t="s">
        <v>13284</v>
      </c>
      <c r="L3821" s="9" t="s">
        <v>13284</v>
      </c>
      <c r="M3821" s="9" t="s">
        <v>13284</v>
      </c>
      <c r="N3821" s="9" t="s">
        <v>13284</v>
      </c>
      <c r="O3821" s="9" t="s">
        <v>13284</v>
      </c>
      <c r="P3821" s="9" t="s">
        <v>13284</v>
      </c>
      <c r="Q3821" s="9" t="s">
        <v>13284</v>
      </c>
      <c r="R3821" s="9" t="s">
        <v>13284</v>
      </c>
      <c r="S3821" s="9" t="s">
        <v>13284</v>
      </c>
      <c r="T3821" s="9" t="str">
        <f ca="1">IFERROR(IF(AND(VLOOKUP(A3821, 'Актуальное состояние (из общего'!A:C,3,0) = "", A3821 &lt;&gt; ""), "ПРОВЕРИТЬ", VLOOKUP(A3821, 'Актуальное состояние (из общего'!A:C,3,0)), "")</f>
        <v/>
      </c>
      <c r="U3821" s="9" t="s">
        <v>13284</v>
      </c>
      <c r="V3821" s="9" t="s">
        <v>13284</v>
      </c>
      <c r="W3821" s="12"/>
      <c r="X3821" s="9" t="str">
        <f t="array" ref="X3821">IFERROR(INDEX('Адреса общежитий (скрытый)'!$B$2:$B$9, MATCH(W3821, 'Адреса общежитий (скрытый)'!$A$2:$A$9, 0)), "")</f>
        <v/>
      </c>
      <c r="Y3821" s="18"/>
      <c r="Z3821" s="18"/>
      <c r="AA3821" s="18"/>
      <c r="AB3821" s="18"/>
      <c r="AC3821" s="18"/>
    </row>
    <row r="3822" spans="1:29" ht="32.25" hidden="1" customHeight="1">
      <c r="A3822" s="17"/>
      <c r="B3822" s="9" t="s">
        <v>13284</v>
      </c>
      <c r="C3822" s="9" t="s">
        <v>13284</v>
      </c>
      <c r="D3822" s="9" t="s">
        <v>13284</v>
      </c>
      <c r="E3822" s="9" t="s">
        <v>13284</v>
      </c>
      <c r="F3822" s="9" t="s">
        <v>13284</v>
      </c>
      <c r="G3822" s="9" t="s">
        <v>13284</v>
      </c>
      <c r="H3822" s="9" t="s">
        <v>13284</v>
      </c>
      <c r="I3822" s="9" t="s">
        <v>13284</v>
      </c>
      <c r="J3822" s="9" t="s">
        <v>13284</v>
      </c>
      <c r="K3822" s="9" t="s">
        <v>13284</v>
      </c>
      <c r="L3822" s="9" t="s">
        <v>13284</v>
      </c>
      <c r="M3822" s="9" t="s">
        <v>13284</v>
      </c>
      <c r="N3822" s="9" t="s">
        <v>13284</v>
      </c>
      <c r="O3822" s="9" t="s">
        <v>13284</v>
      </c>
      <c r="P3822" s="9" t="s">
        <v>13284</v>
      </c>
      <c r="Q3822" s="9" t="s">
        <v>13284</v>
      </c>
      <c r="R3822" s="9" t="s">
        <v>13284</v>
      </c>
      <c r="S3822" s="9" t="s">
        <v>13284</v>
      </c>
      <c r="T3822" s="9" t="str">
        <f ca="1">IFERROR(IF(AND(VLOOKUP(A3822, 'Актуальное состояние (из общего'!A:C,3,0) = "", A3822 &lt;&gt; ""), "ПРОВЕРИТЬ", VLOOKUP(A3822, 'Актуальное состояние (из общего'!A:C,3,0)), "")</f>
        <v/>
      </c>
      <c r="U3822" s="9" t="s">
        <v>13284</v>
      </c>
      <c r="V3822" s="9" t="s">
        <v>13284</v>
      </c>
      <c r="W3822" s="12"/>
      <c r="X3822" s="9" t="str">
        <f t="array" ref="X3822">IFERROR(INDEX('Адреса общежитий (скрытый)'!$B$2:$B$9, MATCH(W3822, 'Адреса общежитий (скрытый)'!$A$2:$A$9, 0)), "")</f>
        <v/>
      </c>
      <c r="Y3822" s="18"/>
      <c r="Z3822" s="18"/>
      <c r="AA3822" s="18"/>
      <c r="AB3822" s="18"/>
      <c r="AC3822" s="18"/>
    </row>
    <row r="3823" spans="1:29" ht="32.25" hidden="1" customHeight="1">
      <c r="A3823" s="17"/>
      <c r="B3823" s="9" t="s">
        <v>13284</v>
      </c>
      <c r="C3823" s="9" t="s">
        <v>13284</v>
      </c>
      <c r="D3823" s="9" t="s">
        <v>13284</v>
      </c>
      <c r="E3823" s="9" t="s">
        <v>13284</v>
      </c>
      <c r="F3823" s="9" t="s">
        <v>13284</v>
      </c>
      <c r="G3823" s="9" t="s">
        <v>13284</v>
      </c>
      <c r="H3823" s="9" t="s">
        <v>13284</v>
      </c>
      <c r="I3823" s="9" t="s">
        <v>13284</v>
      </c>
      <c r="J3823" s="9" t="s">
        <v>13284</v>
      </c>
      <c r="K3823" s="9" t="s">
        <v>13284</v>
      </c>
      <c r="L3823" s="9" t="s">
        <v>13284</v>
      </c>
      <c r="M3823" s="9" t="s">
        <v>13284</v>
      </c>
      <c r="N3823" s="9" t="s">
        <v>13284</v>
      </c>
      <c r="O3823" s="9" t="s">
        <v>13284</v>
      </c>
      <c r="P3823" s="9" t="s">
        <v>13284</v>
      </c>
      <c r="Q3823" s="9" t="s">
        <v>13284</v>
      </c>
      <c r="R3823" s="9" t="s">
        <v>13284</v>
      </c>
      <c r="S3823" s="9" t="s">
        <v>13284</v>
      </c>
      <c r="T3823" s="9" t="str">
        <f ca="1">IFERROR(IF(AND(VLOOKUP(A3823, 'Актуальное состояние (из общего'!A:C,3,0) = "", A3823 &lt;&gt; ""), "ПРОВЕРИТЬ", VLOOKUP(A3823, 'Актуальное состояние (из общего'!A:C,3,0)), "")</f>
        <v/>
      </c>
      <c r="U3823" s="9" t="s">
        <v>13284</v>
      </c>
      <c r="V3823" s="9" t="s">
        <v>13284</v>
      </c>
      <c r="W3823" s="12"/>
      <c r="X3823" s="9" t="str">
        <f t="array" ref="X3823">IFERROR(INDEX('Адреса общежитий (скрытый)'!$B$2:$B$9, MATCH(W3823, 'Адреса общежитий (скрытый)'!$A$2:$A$9, 0)), "")</f>
        <v/>
      </c>
      <c r="Y3823" s="18"/>
      <c r="Z3823" s="18"/>
      <c r="AA3823" s="18"/>
      <c r="AB3823" s="18"/>
      <c r="AC3823" s="18"/>
    </row>
    <row r="3824" spans="1:29" ht="32.25" hidden="1" customHeight="1">
      <c r="A3824" s="17"/>
      <c r="B3824" s="9" t="s">
        <v>13284</v>
      </c>
      <c r="C3824" s="9" t="s">
        <v>13284</v>
      </c>
      <c r="D3824" s="9" t="s">
        <v>13284</v>
      </c>
      <c r="E3824" s="9" t="s">
        <v>13284</v>
      </c>
      <c r="F3824" s="9" t="s">
        <v>13284</v>
      </c>
      <c r="G3824" s="9" t="s">
        <v>13284</v>
      </c>
      <c r="H3824" s="9" t="s">
        <v>13284</v>
      </c>
      <c r="I3824" s="9" t="s">
        <v>13284</v>
      </c>
      <c r="J3824" s="9" t="s">
        <v>13284</v>
      </c>
      <c r="K3824" s="9" t="s">
        <v>13284</v>
      </c>
      <c r="L3824" s="9" t="s">
        <v>13284</v>
      </c>
      <c r="M3824" s="9" t="s">
        <v>13284</v>
      </c>
      <c r="N3824" s="9" t="s">
        <v>13284</v>
      </c>
      <c r="O3824" s="9" t="s">
        <v>13284</v>
      </c>
      <c r="P3824" s="9" t="s">
        <v>13284</v>
      </c>
      <c r="Q3824" s="9" t="s">
        <v>13284</v>
      </c>
      <c r="R3824" s="9" t="s">
        <v>13284</v>
      </c>
      <c r="S3824" s="9" t="s">
        <v>13284</v>
      </c>
      <c r="T3824" s="9" t="str">
        <f ca="1">IFERROR(IF(AND(VLOOKUP(A3824, 'Актуальное состояние (из общего'!A:C,3,0) = "", A3824 &lt;&gt; ""), "ПРОВЕРИТЬ", VLOOKUP(A3824, 'Актуальное состояние (из общего'!A:C,3,0)), "")</f>
        <v/>
      </c>
      <c r="U3824" s="9" t="s">
        <v>13284</v>
      </c>
      <c r="V3824" s="9" t="s">
        <v>13284</v>
      </c>
      <c r="W3824" s="12"/>
      <c r="X3824" s="9" t="str">
        <f t="array" ref="X3824">IFERROR(INDEX('Адреса общежитий (скрытый)'!$B$2:$B$9, MATCH(W3824, 'Адреса общежитий (скрытый)'!$A$2:$A$9, 0)), "")</f>
        <v/>
      </c>
      <c r="Y3824" s="18"/>
      <c r="Z3824" s="18"/>
      <c r="AA3824" s="18"/>
      <c r="AB3824" s="18"/>
      <c r="AC3824" s="18"/>
    </row>
    <row r="3825" spans="1:29" ht="32.25" hidden="1" customHeight="1">
      <c r="A3825" s="17"/>
      <c r="B3825" s="9" t="s">
        <v>13284</v>
      </c>
      <c r="C3825" s="9" t="s">
        <v>13284</v>
      </c>
      <c r="D3825" s="9" t="s">
        <v>13284</v>
      </c>
      <c r="E3825" s="9" t="s">
        <v>13284</v>
      </c>
      <c r="F3825" s="9" t="s">
        <v>13284</v>
      </c>
      <c r="G3825" s="9" t="s">
        <v>13284</v>
      </c>
      <c r="H3825" s="9" t="s">
        <v>13284</v>
      </c>
      <c r="I3825" s="9" t="s">
        <v>13284</v>
      </c>
      <c r="J3825" s="9" t="s">
        <v>13284</v>
      </c>
      <c r="K3825" s="9" t="s">
        <v>13284</v>
      </c>
      <c r="L3825" s="9" t="s">
        <v>13284</v>
      </c>
      <c r="M3825" s="9" t="s">
        <v>13284</v>
      </c>
      <c r="N3825" s="9" t="s">
        <v>13284</v>
      </c>
      <c r="O3825" s="9" t="s">
        <v>13284</v>
      </c>
      <c r="P3825" s="9" t="s">
        <v>13284</v>
      </c>
      <c r="Q3825" s="9" t="s">
        <v>13284</v>
      </c>
      <c r="R3825" s="9" t="s">
        <v>13284</v>
      </c>
      <c r="S3825" s="9" t="s">
        <v>13284</v>
      </c>
      <c r="T3825" s="9" t="str">
        <f ca="1">IFERROR(IF(AND(VLOOKUP(A3825, 'Актуальное состояние (из общего'!A:C,3,0) = "", A3825 &lt;&gt; ""), "ПРОВЕРИТЬ", VLOOKUP(A3825, 'Актуальное состояние (из общего'!A:C,3,0)), "")</f>
        <v/>
      </c>
      <c r="U3825" s="9" t="s">
        <v>13284</v>
      </c>
      <c r="V3825" s="9" t="s">
        <v>13284</v>
      </c>
      <c r="W3825" s="12"/>
      <c r="X3825" s="9" t="str">
        <f t="array" ref="X3825">IFERROR(INDEX('Адреса общежитий (скрытый)'!$B$2:$B$9, MATCH(W3825, 'Адреса общежитий (скрытый)'!$A$2:$A$9, 0)), "")</f>
        <v/>
      </c>
      <c r="Y3825" s="18"/>
      <c r="Z3825" s="18"/>
      <c r="AA3825" s="18"/>
      <c r="AB3825" s="18"/>
      <c r="AC3825" s="18"/>
    </row>
    <row r="3826" spans="1:29" ht="32.25" hidden="1" customHeight="1">
      <c r="A3826" s="17"/>
      <c r="B3826" s="9" t="s">
        <v>13284</v>
      </c>
      <c r="C3826" s="9" t="s">
        <v>13284</v>
      </c>
      <c r="D3826" s="9" t="s">
        <v>13284</v>
      </c>
      <c r="E3826" s="9" t="s">
        <v>13284</v>
      </c>
      <c r="F3826" s="9" t="s">
        <v>13284</v>
      </c>
      <c r="G3826" s="9" t="s">
        <v>13284</v>
      </c>
      <c r="H3826" s="9" t="s">
        <v>13284</v>
      </c>
      <c r="I3826" s="9" t="s">
        <v>13284</v>
      </c>
      <c r="J3826" s="9" t="s">
        <v>13284</v>
      </c>
      <c r="K3826" s="9" t="s">
        <v>13284</v>
      </c>
      <c r="L3826" s="9" t="s">
        <v>13284</v>
      </c>
      <c r="M3826" s="9" t="s">
        <v>13284</v>
      </c>
      <c r="N3826" s="9" t="s">
        <v>13284</v>
      </c>
      <c r="O3826" s="9" t="s">
        <v>13284</v>
      </c>
      <c r="P3826" s="9" t="s">
        <v>13284</v>
      </c>
      <c r="Q3826" s="9" t="s">
        <v>13284</v>
      </c>
      <c r="R3826" s="9" t="s">
        <v>13284</v>
      </c>
      <c r="S3826" s="9" t="s">
        <v>13284</v>
      </c>
      <c r="T3826" s="9" t="str">
        <f ca="1">IFERROR(IF(AND(VLOOKUP(A3826, 'Актуальное состояние (из общего'!A:C,3,0) = "", A3826 &lt;&gt; ""), "ПРОВЕРИТЬ", VLOOKUP(A3826, 'Актуальное состояние (из общего'!A:C,3,0)), "")</f>
        <v/>
      </c>
      <c r="U3826" s="9" t="s">
        <v>13284</v>
      </c>
      <c r="V3826" s="9" t="s">
        <v>13284</v>
      </c>
      <c r="W3826" s="12"/>
      <c r="X3826" s="9" t="str">
        <f t="array" ref="X3826">IFERROR(INDEX('Адреса общежитий (скрытый)'!$B$2:$B$9, MATCH(W3826, 'Адреса общежитий (скрытый)'!$A$2:$A$9, 0)), "")</f>
        <v/>
      </c>
      <c r="Y3826" s="18"/>
      <c r="Z3826" s="18"/>
      <c r="AA3826" s="18"/>
      <c r="AB3826" s="18"/>
      <c r="AC3826" s="18"/>
    </row>
    <row r="3827" spans="1:29" ht="32.25" hidden="1" customHeight="1">
      <c r="A3827" s="17"/>
      <c r="B3827" s="9" t="s">
        <v>13284</v>
      </c>
      <c r="C3827" s="9" t="s">
        <v>13284</v>
      </c>
      <c r="D3827" s="9" t="s">
        <v>13284</v>
      </c>
      <c r="E3827" s="9" t="s">
        <v>13284</v>
      </c>
      <c r="F3827" s="9" t="s">
        <v>13284</v>
      </c>
      <c r="G3827" s="9" t="s">
        <v>13284</v>
      </c>
      <c r="H3827" s="9" t="s">
        <v>13284</v>
      </c>
      <c r="I3827" s="9" t="s">
        <v>13284</v>
      </c>
      <c r="J3827" s="9" t="s">
        <v>13284</v>
      </c>
      <c r="K3827" s="9" t="s">
        <v>13284</v>
      </c>
      <c r="L3827" s="9" t="s">
        <v>13284</v>
      </c>
      <c r="M3827" s="9" t="s">
        <v>13284</v>
      </c>
      <c r="N3827" s="9" t="s">
        <v>13284</v>
      </c>
      <c r="O3827" s="9" t="s">
        <v>13284</v>
      </c>
      <c r="P3827" s="9" t="s">
        <v>13284</v>
      </c>
      <c r="Q3827" s="9" t="s">
        <v>13284</v>
      </c>
      <c r="R3827" s="9" t="s">
        <v>13284</v>
      </c>
      <c r="S3827" s="9" t="s">
        <v>13284</v>
      </c>
      <c r="T3827" s="9" t="str">
        <f ca="1">IFERROR(IF(AND(VLOOKUP(A3827, 'Актуальное состояние (из общего'!A:C,3,0) = "", A3827 &lt;&gt; ""), "ПРОВЕРИТЬ", VLOOKUP(A3827, 'Актуальное состояние (из общего'!A:C,3,0)), "")</f>
        <v/>
      </c>
      <c r="U3827" s="9" t="s">
        <v>13284</v>
      </c>
      <c r="V3827" s="9" t="s">
        <v>13284</v>
      </c>
      <c r="W3827" s="12"/>
      <c r="X3827" s="9" t="str">
        <f t="array" ref="X3827">IFERROR(INDEX('Адреса общежитий (скрытый)'!$B$2:$B$9, MATCH(W3827, 'Адреса общежитий (скрытый)'!$A$2:$A$9, 0)), "")</f>
        <v/>
      </c>
      <c r="Y3827" s="18"/>
      <c r="Z3827" s="18"/>
      <c r="AA3827" s="18"/>
      <c r="AB3827" s="18"/>
      <c r="AC3827" s="18"/>
    </row>
    <row r="3828" spans="1:29" ht="32.25" hidden="1" customHeight="1">
      <c r="A3828" s="17"/>
      <c r="B3828" s="9" t="s">
        <v>13284</v>
      </c>
      <c r="C3828" s="9" t="s">
        <v>13284</v>
      </c>
      <c r="D3828" s="9" t="s">
        <v>13284</v>
      </c>
      <c r="E3828" s="9" t="s">
        <v>13284</v>
      </c>
      <c r="F3828" s="9" t="s">
        <v>13284</v>
      </c>
      <c r="G3828" s="9" t="s">
        <v>13284</v>
      </c>
      <c r="H3828" s="9" t="s">
        <v>13284</v>
      </c>
      <c r="I3828" s="9" t="s">
        <v>13284</v>
      </c>
      <c r="J3828" s="9" t="s">
        <v>13284</v>
      </c>
      <c r="K3828" s="9" t="s">
        <v>13284</v>
      </c>
      <c r="L3828" s="9" t="s">
        <v>13284</v>
      </c>
      <c r="M3828" s="9" t="s">
        <v>13284</v>
      </c>
      <c r="N3828" s="9" t="s">
        <v>13284</v>
      </c>
      <c r="O3828" s="9" t="s">
        <v>13284</v>
      </c>
      <c r="P3828" s="9" t="s">
        <v>13284</v>
      </c>
      <c r="Q3828" s="9" t="s">
        <v>13284</v>
      </c>
      <c r="R3828" s="9" t="s">
        <v>13284</v>
      </c>
      <c r="S3828" s="9" t="s">
        <v>13284</v>
      </c>
      <c r="T3828" s="9" t="str">
        <f ca="1">IFERROR(IF(AND(VLOOKUP(A3828, 'Актуальное состояние (из общего'!A:C,3,0) = "", A3828 &lt;&gt; ""), "ПРОВЕРИТЬ", VLOOKUP(A3828, 'Актуальное состояние (из общего'!A:C,3,0)), "")</f>
        <v/>
      </c>
      <c r="U3828" s="9" t="s">
        <v>13284</v>
      </c>
      <c r="V3828" s="9" t="s">
        <v>13284</v>
      </c>
      <c r="W3828" s="12"/>
      <c r="X3828" s="9" t="str">
        <f t="array" ref="X3828">IFERROR(INDEX('Адреса общежитий (скрытый)'!$B$2:$B$9, MATCH(W3828, 'Адреса общежитий (скрытый)'!$A$2:$A$9, 0)), "")</f>
        <v/>
      </c>
      <c r="Y3828" s="18"/>
      <c r="Z3828" s="18"/>
      <c r="AA3828" s="18"/>
      <c r="AB3828" s="18"/>
      <c r="AC3828" s="18"/>
    </row>
    <row r="3829" spans="1:29" ht="32.25" hidden="1" customHeight="1">
      <c r="A3829" s="17"/>
      <c r="B3829" s="9" t="s">
        <v>13284</v>
      </c>
      <c r="C3829" s="9" t="s">
        <v>13284</v>
      </c>
      <c r="D3829" s="9" t="s">
        <v>13284</v>
      </c>
      <c r="E3829" s="9" t="s">
        <v>13284</v>
      </c>
      <c r="F3829" s="9" t="s">
        <v>13284</v>
      </c>
      <c r="G3829" s="9" t="s">
        <v>13284</v>
      </c>
      <c r="H3829" s="9" t="s">
        <v>13284</v>
      </c>
      <c r="I3829" s="9" t="s">
        <v>13284</v>
      </c>
      <c r="J3829" s="9" t="s">
        <v>13284</v>
      </c>
      <c r="K3829" s="9" t="s">
        <v>13284</v>
      </c>
      <c r="L3829" s="9" t="s">
        <v>13284</v>
      </c>
      <c r="M3829" s="9" t="s">
        <v>13284</v>
      </c>
      <c r="N3829" s="9" t="s">
        <v>13284</v>
      </c>
      <c r="O3829" s="9" t="s">
        <v>13284</v>
      </c>
      <c r="P3829" s="9" t="s">
        <v>13284</v>
      </c>
      <c r="Q3829" s="9" t="s">
        <v>13284</v>
      </c>
      <c r="R3829" s="9" t="s">
        <v>13284</v>
      </c>
      <c r="S3829" s="9" t="s">
        <v>13284</v>
      </c>
      <c r="T3829" s="9" t="str">
        <f ca="1">IFERROR(IF(AND(VLOOKUP(A3829, 'Актуальное состояние (из общего'!A:C,3,0) = "", A3829 &lt;&gt; ""), "ПРОВЕРИТЬ", VLOOKUP(A3829, 'Актуальное состояние (из общего'!A:C,3,0)), "")</f>
        <v/>
      </c>
      <c r="U3829" s="9" t="s">
        <v>13284</v>
      </c>
      <c r="V3829" s="9" t="s">
        <v>13284</v>
      </c>
      <c r="W3829" s="12"/>
      <c r="X3829" s="9" t="str">
        <f t="array" ref="X3829">IFERROR(INDEX('Адреса общежитий (скрытый)'!$B$2:$B$9, MATCH(W3829, 'Адреса общежитий (скрытый)'!$A$2:$A$9, 0)), "")</f>
        <v/>
      </c>
      <c r="Y3829" s="18"/>
      <c r="Z3829" s="18"/>
      <c r="AA3829" s="18"/>
      <c r="AB3829" s="18"/>
      <c r="AC3829" s="18"/>
    </row>
    <row r="3830" spans="1:29" ht="32.25" hidden="1" customHeight="1">
      <c r="A3830" s="17"/>
      <c r="B3830" s="9" t="s">
        <v>13284</v>
      </c>
      <c r="C3830" s="9" t="s">
        <v>13284</v>
      </c>
      <c r="D3830" s="9" t="s">
        <v>13284</v>
      </c>
      <c r="E3830" s="9" t="s">
        <v>13284</v>
      </c>
      <c r="F3830" s="9" t="s">
        <v>13284</v>
      </c>
      <c r="G3830" s="9" t="s">
        <v>13284</v>
      </c>
      <c r="H3830" s="9" t="s">
        <v>13284</v>
      </c>
      <c r="I3830" s="9" t="s">
        <v>13284</v>
      </c>
      <c r="J3830" s="9" t="s">
        <v>13284</v>
      </c>
      <c r="K3830" s="9" t="s">
        <v>13284</v>
      </c>
      <c r="L3830" s="9" t="s">
        <v>13284</v>
      </c>
      <c r="M3830" s="9" t="s">
        <v>13284</v>
      </c>
      <c r="N3830" s="9" t="s">
        <v>13284</v>
      </c>
      <c r="O3830" s="9" t="s">
        <v>13284</v>
      </c>
      <c r="P3830" s="9" t="s">
        <v>13284</v>
      </c>
      <c r="Q3830" s="9" t="s">
        <v>13284</v>
      </c>
      <c r="R3830" s="9" t="s">
        <v>13284</v>
      </c>
      <c r="S3830" s="9" t="s">
        <v>13284</v>
      </c>
      <c r="T3830" s="9" t="str">
        <f ca="1">IFERROR(IF(AND(VLOOKUP(A3830, 'Актуальное состояние (из общего'!A:C,3,0) = "", A3830 &lt;&gt; ""), "ПРОВЕРИТЬ", VLOOKUP(A3830, 'Актуальное состояние (из общего'!A:C,3,0)), "")</f>
        <v/>
      </c>
      <c r="U3830" s="9" t="s">
        <v>13284</v>
      </c>
      <c r="V3830" s="9" t="s">
        <v>13284</v>
      </c>
      <c r="W3830" s="12"/>
      <c r="X3830" s="9" t="str">
        <f t="array" ref="X3830">IFERROR(INDEX('Адреса общежитий (скрытый)'!$B$2:$B$9, MATCH(W3830, 'Адреса общежитий (скрытый)'!$A$2:$A$9, 0)), "")</f>
        <v/>
      </c>
      <c r="Y3830" s="18"/>
      <c r="Z3830" s="18"/>
      <c r="AA3830" s="18"/>
      <c r="AB3830" s="18"/>
      <c r="AC3830" s="18"/>
    </row>
    <row r="3831" spans="1:29" ht="32.25" hidden="1" customHeight="1">
      <c r="A3831" s="17"/>
      <c r="B3831" s="9" t="s">
        <v>13284</v>
      </c>
      <c r="C3831" s="9" t="s">
        <v>13284</v>
      </c>
      <c r="D3831" s="9" t="s">
        <v>13284</v>
      </c>
      <c r="E3831" s="9" t="s">
        <v>13284</v>
      </c>
      <c r="F3831" s="9" t="s">
        <v>13284</v>
      </c>
      <c r="G3831" s="9" t="s">
        <v>13284</v>
      </c>
      <c r="H3831" s="9" t="s">
        <v>13284</v>
      </c>
      <c r="I3831" s="9" t="s">
        <v>13284</v>
      </c>
      <c r="J3831" s="9" t="s">
        <v>13284</v>
      </c>
      <c r="K3831" s="9" t="s">
        <v>13284</v>
      </c>
      <c r="L3831" s="9" t="s">
        <v>13284</v>
      </c>
      <c r="M3831" s="9" t="s">
        <v>13284</v>
      </c>
      <c r="N3831" s="9" t="s">
        <v>13284</v>
      </c>
      <c r="O3831" s="9" t="s">
        <v>13284</v>
      </c>
      <c r="P3831" s="9" t="s">
        <v>13284</v>
      </c>
      <c r="Q3831" s="9" t="s">
        <v>13284</v>
      </c>
      <c r="R3831" s="9" t="s">
        <v>13284</v>
      </c>
      <c r="S3831" s="9" t="s">
        <v>13284</v>
      </c>
      <c r="T3831" s="9" t="str">
        <f ca="1">IFERROR(IF(AND(VLOOKUP(A3831, 'Актуальное состояние (из общего'!A:C,3,0) = "", A3831 &lt;&gt; ""), "ПРОВЕРИТЬ", VLOOKUP(A3831, 'Актуальное состояние (из общего'!A:C,3,0)), "")</f>
        <v/>
      </c>
      <c r="U3831" s="9" t="s">
        <v>13284</v>
      </c>
      <c r="V3831" s="9" t="s">
        <v>13284</v>
      </c>
      <c r="W3831" s="12"/>
      <c r="X3831" s="9" t="str">
        <f t="array" ref="X3831">IFERROR(INDEX('Адреса общежитий (скрытый)'!$B$2:$B$9, MATCH(W3831, 'Адреса общежитий (скрытый)'!$A$2:$A$9, 0)), "")</f>
        <v/>
      </c>
      <c r="Y3831" s="18"/>
      <c r="Z3831" s="18"/>
      <c r="AA3831" s="18"/>
      <c r="AB3831" s="18"/>
      <c r="AC3831" s="18"/>
    </row>
    <row r="3832" spans="1:29" ht="32.25" hidden="1" customHeight="1">
      <c r="A3832" s="17"/>
      <c r="B3832" s="9" t="s">
        <v>13284</v>
      </c>
      <c r="C3832" s="9" t="s">
        <v>13284</v>
      </c>
      <c r="D3832" s="9" t="s">
        <v>13284</v>
      </c>
      <c r="E3832" s="9" t="s">
        <v>13284</v>
      </c>
      <c r="F3832" s="9" t="s">
        <v>13284</v>
      </c>
      <c r="G3832" s="9" t="s">
        <v>13284</v>
      </c>
      <c r="H3832" s="9" t="s">
        <v>13284</v>
      </c>
      <c r="I3832" s="9" t="s">
        <v>13284</v>
      </c>
      <c r="J3832" s="9" t="s">
        <v>13284</v>
      </c>
      <c r="K3832" s="9" t="s">
        <v>13284</v>
      </c>
      <c r="L3832" s="9" t="s">
        <v>13284</v>
      </c>
      <c r="M3832" s="9" t="s">
        <v>13284</v>
      </c>
      <c r="N3832" s="9" t="s">
        <v>13284</v>
      </c>
      <c r="O3832" s="9" t="s">
        <v>13284</v>
      </c>
      <c r="P3832" s="9" t="s">
        <v>13284</v>
      </c>
      <c r="Q3832" s="9" t="s">
        <v>13284</v>
      </c>
      <c r="R3832" s="9" t="s">
        <v>13284</v>
      </c>
      <c r="S3832" s="9" t="s">
        <v>13284</v>
      </c>
      <c r="T3832" s="9" t="str">
        <f ca="1">IFERROR(IF(AND(VLOOKUP(A3832, 'Актуальное состояние (из общего'!A:C,3,0) = "", A3832 &lt;&gt; ""), "ПРОВЕРИТЬ", VLOOKUP(A3832, 'Актуальное состояние (из общего'!A:C,3,0)), "")</f>
        <v/>
      </c>
      <c r="U3832" s="9" t="s">
        <v>13284</v>
      </c>
      <c r="V3832" s="9" t="s">
        <v>13284</v>
      </c>
      <c r="W3832" s="12"/>
      <c r="X3832" s="9" t="str">
        <f t="array" ref="X3832">IFERROR(INDEX('Адреса общежитий (скрытый)'!$B$2:$B$9, MATCH(W3832, 'Адреса общежитий (скрытый)'!$A$2:$A$9, 0)), "")</f>
        <v/>
      </c>
      <c r="Y3832" s="18"/>
      <c r="Z3832" s="18"/>
      <c r="AA3832" s="18"/>
      <c r="AB3832" s="18"/>
      <c r="AC3832" s="18"/>
    </row>
    <row r="3833" spans="1:29" ht="32.25" hidden="1" customHeight="1">
      <c r="A3833" s="17"/>
      <c r="B3833" s="9" t="s">
        <v>13284</v>
      </c>
      <c r="C3833" s="9" t="s">
        <v>13284</v>
      </c>
      <c r="D3833" s="9" t="s">
        <v>13284</v>
      </c>
      <c r="E3833" s="9" t="s">
        <v>13284</v>
      </c>
      <c r="F3833" s="9" t="s">
        <v>13284</v>
      </c>
      <c r="G3833" s="9" t="s">
        <v>13284</v>
      </c>
      <c r="H3833" s="9" t="s">
        <v>13284</v>
      </c>
      <c r="I3833" s="9" t="s">
        <v>13284</v>
      </c>
      <c r="J3833" s="9" t="s">
        <v>13284</v>
      </c>
      <c r="K3833" s="9" t="s">
        <v>13284</v>
      </c>
      <c r="L3833" s="9" t="s">
        <v>13284</v>
      </c>
      <c r="M3833" s="9" t="s">
        <v>13284</v>
      </c>
      <c r="N3833" s="9" t="s">
        <v>13284</v>
      </c>
      <c r="O3833" s="9" t="s">
        <v>13284</v>
      </c>
      <c r="P3833" s="9" t="s">
        <v>13284</v>
      </c>
      <c r="Q3833" s="9" t="s">
        <v>13284</v>
      </c>
      <c r="R3833" s="9" t="s">
        <v>13284</v>
      </c>
      <c r="S3833" s="9" t="s">
        <v>13284</v>
      </c>
      <c r="T3833" s="9" t="str">
        <f ca="1">IFERROR(IF(AND(VLOOKUP(A3833, 'Актуальное состояние (из общего'!A:C,3,0) = "", A3833 &lt;&gt; ""), "ПРОВЕРИТЬ", VLOOKUP(A3833, 'Актуальное состояние (из общего'!A:C,3,0)), "")</f>
        <v/>
      </c>
      <c r="U3833" s="9" t="s">
        <v>13284</v>
      </c>
      <c r="V3833" s="9" t="s">
        <v>13284</v>
      </c>
      <c r="W3833" s="12"/>
      <c r="X3833" s="9" t="str">
        <f t="array" ref="X3833">IFERROR(INDEX('Адреса общежитий (скрытый)'!$B$2:$B$9, MATCH(W3833, 'Адреса общежитий (скрытый)'!$A$2:$A$9, 0)), "")</f>
        <v/>
      </c>
      <c r="Y3833" s="18"/>
      <c r="Z3833" s="18"/>
      <c r="AA3833" s="18"/>
      <c r="AB3833" s="18"/>
      <c r="AC3833" s="18"/>
    </row>
    <row r="3834" spans="1:29" ht="32.25" hidden="1" customHeight="1">
      <c r="A3834" s="17"/>
      <c r="B3834" s="9" t="s">
        <v>13284</v>
      </c>
      <c r="C3834" s="9" t="s">
        <v>13284</v>
      </c>
      <c r="D3834" s="9" t="s">
        <v>13284</v>
      </c>
      <c r="E3834" s="9" t="s">
        <v>13284</v>
      </c>
      <c r="F3834" s="9" t="s">
        <v>13284</v>
      </c>
      <c r="G3834" s="9" t="s">
        <v>13284</v>
      </c>
      <c r="H3834" s="9" t="s">
        <v>13284</v>
      </c>
      <c r="I3834" s="9" t="s">
        <v>13284</v>
      </c>
      <c r="J3834" s="9" t="s">
        <v>13284</v>
      </c>
      <c r="K3834" s="9" t="s">
        <v>13284</v>
      </c>
      <c r="L3834" s="9" t="s">
        <v>13284</v>
      </c>
      <c r="M3834" s="9" t="s">
        <v>13284</v>
      </c>
      <c r="N3834" s="9" t="s">
        <v>13284</v>
      </c>
      <c r="O3834" s="9" t="s">
        <v>13284</v>
      </c>
      <c r="P3834" s="9" t="s">
        <v>13284</v>
      </c>
      <c r="Q3834" s="9" t="s">
        <v>13284</v>
      </c>
      <c r="R3834" s="9" t="s">
        <v>13284</v>
      </c>
      <c r="S3834" s="9" t="s">
        <v>13284</v>
      </c>
      <c r="T3834" s="9" t="str">
        <f ca="1">IFERROR(IF(AND(VLOOKUP(A3834, 'Актуальное состояние (из общего'!A:C,3,0) = "", A3834 &lt;&gt; ""), "ПРОВЕРИТЬ", VLOOKUP(A3834, 'Актуальное состояние (из общего'!A:C,3,0)), "")</f>
        <v/>
      </c>
      <c r="U3834" s="9" t="s">
        <v>13284</v>
      </c>
      <c r="V3834" s="9" t="s">
        <v>13284</v>
      </c>
      <c r="W3834" s="12"/>
      <c r="X3834" s="9" t="str">
        <f t="array" ref="X3834">IFERROR(INDEX('Адреса общежитий (скрытый)'!$B$2:$B$9, MATCH(W3834, 'Адреса общежитий (скрытый)'!$A$2:$A$9, 0)), "")</f>
        <v/>
      </c>
      <c r="Y3834" s="18"/>
      <c r="Z3834" s="18"/>
      <c r="AA3834" s="18"/>
      <c r="AB3834" s="18"/>
      <c r="AC3834" s="18"/>
    </row>
    <row r="3835" spans="1:29" ht="32.25" hidden="1" customHeight="1">
      <c r="A3835" s="17"/>
      <c r="B3835" s="9" t="s">
        <v>13284</v>
      </c>
      <c r="C3835" s="9" t="s">
        <v>13284</v>
      </c>
      <c r="D3835" s="9" t="s">
        <v>13284</v>
      </c>
      <c r="E3835" s="9" t="s">
        <v>13284</v>
      </c>
      <c r="F3835" s="9" t="s">
        <v>13284</v>
      </c>
      <c r="G3835" s="9" t="s">
        <v>13284</v>
      </c>
      <c r="H3835" s="9" t="s">
        <v>13284</v>
      </c>
      <c r="I3835" s="9" t="s">
        <v>13284</v>
      </c>
      <c r="J3835" s="9" t="s">
        <v>13284</v>
      </c>
      <c r="K3835" s="9" t="s">
        <v>13284</v>
      </c>
      <c r="L3835" s="9" t="s">
        <v>13284</v>
      </c>
      <c r="M3835" s="9" t="s">
        <v>13284</v>
      </c>
      <c r="N3835" s="9" t="s">
        <v>13284</v>
      </c>
      <c r="O3835" s="9" t="s">
        <v>13284</v>
      </c>
      <c r="P3835" s="9" t="s">
        <v>13284</v>
      </c>
      <c r="Q3835" s="9" t="s">
        <v>13284</v>
      </c>
      <c r="R3835" s="9" t="s">
        <v>13284</v>
      </c>
      <c r="S3835" s="9" t="s">
        <v>13284</v>
      </c>
      <c r="T3835" s="9" t="str">
        <f ca="1">IFERROR(IF(AND(VLOOKUP(A3835, 'Актуальное состояние (из общего'!A:C,3,0) = "", A3835 &lt;&gt; ""), "ПРОВЕРИТЬ", VLOOKUP(A3835, 'Актуальное состояние (из общего'!A:C,3,0)), "")</f>
        <v/>
      </c>
      <c r="U3835" s="9" t="s">
        <v>13284</v>
      </c>
      <c r="V3835" s="9" t="s">
        <v>13284</v>
      </c>
      <c r="W3835" s="12"/>
      <c r="X3835" s="9" t="str">
        <f t="array" ref="X3835">IFERROR(INDEX('Адреса общежитий (скрытый)'!$B$2:$B$9, MATCH(W3835, 'Адреса общежитий (скрытый)'!$A$2:$A$9, 0)), "")</f>
        <v/>
      </c>
      <c r="Y3835" s="18"/>
      <c r="Z3835" s="18"/>
      <c r="AA3835" s="18"/>
      <c r="AB3835" s="18"/>
      <c r="AC3835" s="18"/>
    </row>
    <row r="3836" spans="1:29" ht="32.25" hidden="1" customHeight="1">
      <c r="A3836" s="17"/>
      <c r="B3836" s="9" t="s">
        <v>13284</v>
      </c>
      <c r="C3836" s="9" t="s">
        <v>13284</v>
      </c>
      <c r="D3836" s="9" t="s">
        <v>13284</v>
      </c>
      <c r="E3836" s="9" t="s">
        <v>13284</v>
      </c>
      <c r="F3836" s="9" t="s">
        <v>13284</v>
      </c>
      <c r="G3836" s="9" t="s">
        <v>13284</v>
      </c>
      <c r="H3836" s="9" t="s">
        <v>13284</v>
      </c>
      <c r="I3836" s="9" t="s">
        <v>13284</v>
      </c>
      <c r="J3836" s="9" t="s">
        <v>13284</v>
      </c>
      <c r="K3836" s="9" t="s">
        <v>13284</v>
      </c>
      <c r="L3836" s="9" t="s">
        <v>13284</v>
      </c>
      <c r="M3836" s="9" t="s">
        <v>13284</v>
      </c>
      <c r="N3836" s="9" t="s">
        <v>13284</v>
      </c>
      <c r="O3836" s="9" t="s">
        <v>13284</v>
      </c>
      <c r="P3836" s="9" t="s">
        <v>13284</v>
      </c>
      <c r="Q3836" s="9" t="s">
        <v>13284</v>
      </c>
      <c r="R3836" s="9" t="s">
        <v>13284</v>
      </c>
      <c r="S3836" s="9" t="s">
        <v>13284</v>
      </c>
      <c r="T3836" s="9" t="str">
        <f ca="1">IFERROR(IF(AND(VLOOKUP(A3836, 'Актуальное состояние (из общего'!A:C,3,0) = "", A3836 &lt;&gt; ""), "ПРОВЕРИТЬ", VLOOKUP(A3836, 'Актуальное состояние (из общего'!A:C,3,0)), "")</f>
        <v/>
      </c>
      <c r="U3836" s="9" t="s">
        <v>13284</v>
      </c>
      <c r="V3836" s="9" t="s">
        <v>13284</v>
      </c>
      <c r="W3836" s="12"/>
      <c r="X3836" s="9" t="str">
        <f t="array" ref="X3836">IFERROR(INDEX('Адреса общежитий (скрытый)'!$B$2:$B$9, MATCH(W3836, 'Адреса общежитий (скрытый)'!$A$2:$A$9, 0)), "")</f>
        <v/>
      </c>
      <c r="Y3836" s="18"/>
      <c r="Z3836" s="18"/>
      <c r="AA3836" s="18"/>
      <c r="AB3836" s="18"/>
      <c r="AC3836" s="18"/>
    </row>
    <row r="3837" spans="1:29" ht="32.25" hidden="1" customHeight="1">
      <c r="A3837" s="17"/>
      <c r="B3837" s="9" t="s">
        <v>13284</v>
      </c>
      <c r="C3837" s="9" t="s">
        <v>13284</v>
      </c>
      <c r="D3837" s="9" t="s">
        <v>13284</v>
      </c>
      <c r="E3837" s="9" t="s">
        <v>13284</v>
      </c>
      <c r="F3837" s="9" t="s">
        <v>13284</v>
      </c>
      <c r="G3837" s="9" t="s">
        <v>13284</v>
      </c>
      <c r="H3837" s="9" t="s">
        <v>13284</v>
      </c>
      <c r="I3837" s="9" t="s">
        <v>13284</v>
      </c>
      <c r="J3837" s="9" t="s">
        <v>13284</v>
      </c>
      <c r="K3837" s="9" t="s">
        <v>13284</v>
      </c>
      <c r="L3837" s="9" t="s">
        <v>13284</v>
      </c>
      <c r="M3837" s="9" t="s">
        <v>13284</v>
      </c>
      <c r="N3837" s="9" t="s">
        <v>13284</v>
      </c>
      <c r="O3837" s="9" t="s">
        <v>13284</v>
      </c>
      <c r="P3837" s="9" t="s">
        <v>13284</v>
      </c>
      <c r="Q3837" s="9" t="s">
        <v>13284</v>
      </c>
      <c r="R3837" s="9" t="s">
        <v>13284</v>
      </c>
      <c r="S3837" s="9" t="s">
        <v>13284</v>
      </c>
      <c r="T3837" s="9" t="str">
        <f ca="1">IFERROR(IF(AND(VLOOKUP(A3837, 'Актуальное состояние (из общего'!A:C,3,0) = "", A3837 &lt;&gt; ""), "ПРОВЕРИТЬ", VLOOKUP(A3837, 'Актуальное состояние (из общего'!A:C,3,0)), "")</f>
        <v/>
      </c>
      <c r="U3837" s="9" t="s">
        <v>13284</v>
      </c>
      <c r="V3837" s="9" t="s">
        <v>13284</v>
      </c>
      <c r="W3837" s="12"/>
      <c r="X3837" s="9" t="str">
        <f t="array" ref="X3837">IFERROR(INDEX('Адреса общежитий (скрытый)'!$B$2:$B$9, MATCH(W3837, 'Адреса общежитий (скрытый)'!$A$2:$A$9, 0)), "")</f>
        <v/>
      </c>
      <c r="Y3837" s="18"/>
      <c r="Z3837" s="18"/>
      <c r="AA3837" s="18"/>
      <c r="AB3837" s="18"/>
      <c r="AC3837" s="18"/>
    </row>
    <row r="3838" spans="1:29" ht="32.25" hidden="1" customHeight="1">
      <c r="A3838" s="17"/>
      <c r="B3838" s="9" t="s">
        <v>13284</v>
      </c>
      <c r="C3838" s="9" t="s">
        <v>13284</v>
      </c>
      <c r="D3838" s="9" t="s">
        <v>13284</v>
      </c>
      <c r="E3838" s="9" t="s">
        <v>13284</v>
      </c>
      <c r="F3838" s="9" t="s">
        <v>13284</v>
      </c>
      <c r="G3838" s="9" t="s">
        <v>13284</v>
      </c>
      <c r="H3838" s="9" t="s">
        <v>13284</v>
      </c>
      <c r="I3838" s="9" t="s">
        <v>13284</v>
      </c>
      <c r="J3838" s="9" t="s">
        <v>13284</v>
      </c>
      <c r="K3838" s="9" t="s">
        <v>13284</v>
      </c>
      <c r="L3838" s="9" t="s">
        <v>13284</v>
      </c>
      <c r="M3838" s="9" t="s">
        <v>13284</v>
      </c>
      <c r="N3838" s="9" t="s">
        <v>13284</v>
      </c>
      <c r="O3838" s="9" t="s">
        <v>13284</v>
      </c>
      <c r="P3838" s="9" t="s">
        <v>13284</v>
      </c>
      <c r="Q3838" s="9" t="s">
        <v>13284</v>
      </c>
      <c r="R3838" s="9" t="s">
        <v>13284</v>
      </c>
      <c r="S3838" s="9" t="s">
        <v>13284</v>
      </c>
      <c r="T3838" s="9" t="str">
        <f ca="1">IFERROR(IF(AND(VLOOKUP(A3838, 'Актуальное состояние (из общего'!A:C,3,0) = "", A3838 &lt;&gt; ""), "ПРОВЕРИТЬ", VLOOKUP(A3838, 'Актуальное состояние (из общего'!A:C,3,0)), "")</f>
        <v/>
      </c>
      <c r="U3838" s="9" t="s">
        <v>13284</v>
      </c>
      <c r="V3838" s="9" t="s">
        <v>13284</v>
      </c>
      <c r="W3838" s="12"/>
      <c r="X3838" s="9" t="str">
        <f t="array" ref="X3838">IFERROR(INDEX('Адреса общежитий (скрытый)'!$B$2:$B$9, MATCH(W3838, 'Адреса общежитий (скрытый)'!$A$2:$A$9, 0)), "")</f>
        <v/>
      </c>
      <c r="Y3838" s="18"/>
      <c r="Z3838" s="18"/>
      <c r="AA3838" s="18"/>
      <c r="AB3838" s="18"/>
      <c r="AC3838" s="18"/>
    </row>
    <row r="3839" spans="1:29" ht="32.25" hidden="1" customHeight="1">
      <c r="A3839" s="17"/>
      <c r="B3839" s="9" t="s">
        <v>13284</v>
      </c>
      <c r="C3839" s="9" t="s">
        <v>13284</v>
      </c>
      <c r="D3839" s="9" t="s">
        <v>13284</v>
      </c>
      <c r="E3839" s="9" t="s">
        <v>13284</v>
      </c>
      <c r="F3839" s="9" t="s">
        <v>13284</v>
      </c>
      <c r="G3839" s="9" t="s">
        <v>13284</v>
      </c>
      <c r="H3839" s="9" t="s">
        <v>13284</v>
      </c>
      <c r="I3839" s="9" t="s">
        <v>13284</v>
      </c>
      <c r="J3839" s="9" t="s">
        <v>13284</v>
      </c>
      <c r="K3839" s="9" t="s">
        <v>13284</v>
      </c>
      <c r="L3839" s="9" t="s">
        <v>13284</v>
      </c>
      <c r="M3839" s="9" t="s">
        <v>13284</v>
      </c>
      <c r="N3839" s="9" t="s">
        <v>13284</v>
      </c>
      <c r="O3839" s="9" t="s">
        <v>13284</v>
      </c>
      <c r="P3839" s="9" t="s">
        <v>13284</v>
      </c>
      <c r="Q3839" s="9" t="s">
        <v>13284</v>
      </c>
      <c r="R3839" s="9" t="s">
        <v>13284</v>
      </c>
      <c r="S3839" s="9" t="s">
        <v>13284</v>
      </c>
      <c r="T3839" s="9" t="str">
        <f ca="1">IFERROR(IF(AND(VLOOKUP(A3839, 'Актуальное состояние (из общего'!A:C,3,0) = "", A3839 &lt;&gt; ""), "ПРОВЕРИТЬ", VLOOKUP(A3839, 'Актуальное состояние (из общего'!A:C,3,0)), "")</f>
        <v/>
      </c>
      <c r="U3839" s="9" t="s">
        <v>13284</v>
      </c>
      <c r="V3839" s="9" t="s">
        <v>13284</v>
      </c>
      <c r="W3839" s="12"/>
      <c r="X3839" s="9" t="str">
        <f t="array" ref="X3839">IFERROR(INDEX('Адреса общежитий (скрытый)'!$B$2:$B$9, MATCH(W3839, 'Адреса общежитий (скрытый)'!$A$2:$A$9, 0)), "")</f>
        <v/>
      </c>
      <c r="Y3839" s="18"/>
      <c r="Z3839" s="18"/>
      <c r="AA3839" s="18"/>
      <c r="AB3839" s="18"/>
      <c r="AC3839" s="18"/>
    </row>
    <row r="3840" spans="1:29" ht="32.25" hidden="1" customHeight="1">
      <c r="A3840" s="17"/>
      <c r="B3840" s="9" t="s">
        <v>13284</v>
      </c>
      <c r="C3840" s="9" t="s">
        <v>13284</v>
      </c>
      <c r="D3840" s="9" t="s">
        <v>13284</v>
      </c>
      <c r="E3840" s="9" t="s">
        <v>13284</v>
      </c>
      <c r="F3840" s="9" t="s">
        <v>13284</v>
      </c>
      <c r="G3840" s="9" t="s">
        <v>13284</v>
      </c>
      <c r="H3840" s="9" t="s">
        <v>13284</v>
      </c>
      <c r="I3840" s="9" t="s">
        <v>13284</v>
      </c>
      <c r="J3840" s="9" t="s">
        <v>13284</v>
      </c>
      <c r="K3840" s="9" t="s">
        <v>13284</v>
      </c>
      <c r="L3840" s="9" t="s">
        <v>13284</v>
      </c>
      <c r="M3840" s="9" t="s">
        <v>13284</v>
      </c>
      <c r="N3840" s="9" t="s">
        <v>13284</v>
      </c>
      <c r="O3840" s="9" t="s">
        <v>13284</v>
      </c>
      <c r="P3840" s="9" t="s">
        <v>13284</v>
      </c>
      <c r="Q3840" s="9" t="s">
        <v>13284</v>
      </c>
      <c r="R3840" s="9" t="s">
        <v>13284</v>
      </c>
      <c r="S3840" s="9" t="s">
        <v>13284</v>
      </c>
      <c r="T3840" s="9" t="str">
        <f ca="1">IFERROR(IF(AND(VLOOKUP(A3840, 'Актуальное состояние (из общего'!A:C,3,0) = "", A3840 &lt;&gt; ""), "ПРОВЕРИТЬ", VLOOKUP(A3840, 'Актуальное состояние (из общего'!A:C,3,0)), "")</f>
        <v/>
      </c>
      <c r="U3840" s="9" t="s">
        <v>13284</v>
      </c>
      <c r="V3840" s="9" t="s">
        <v>13284</v>
      </c>
      <c r="W3840" s="12"/>
      <c r="X3840" s="9" t="str">
        <f t="array" ref="X3840">IFERROR(INDEX('Адреса общежитий (скрытый)'!$B$2:$B$9, MATCH(W3840, 'Адреса общежитий (скрытый)'!$A$2:$A$9, 0)), "")</f>
        <v/>
      </c>
      <c r="Y3840" s="18"/>
      <c r="Z3840" s="18"/>
      <c r="AA3840" s="18"/>
      <c r="AB3840" s="18"/>
      <c r="AC3840" s="18"/>
    </row>
    <row r="3841" spans="1:29" ht="32.25" hidden="1" customHeight="1">
      <c r="A3841" s="17"/>
      <c r="B3841" s="9" t="s">
        <v>13284</v>
      </c>
      <c r="C3841" s="9" t="s">
        <v>13284</v>
      </c>
      <c r="D3841" s="9" t="s">
        <v>13284</v>
      </c>
      <c r="E3841" s="9" t="s">
        <v>13284</v>
      </c>
      <c r="F3841" s="9" t="s">
        <v>13284</v>
      </c>
      <c r="G3841" s="9" t="s">
        <v>13284</v>
      </c>
      <c r="H3841" s="9" t="s">
        <v>13284</v>
      </c>
      <c r="I3841" s="9" t="s">
        <v>13284</v>
      </c>
      <c r="J3841" s="9" t="s">
        <v>13284</v>
      </c>
      <c r="K3841" s="9" t="s">
        <v>13284</v>
      </c>
      <c r="L3841" s="9" t="s">
        <v>13284</v>
      </c>
      <c r="M3841" s="9" t="s">
        <v>13284</v>
      </c>
      <c r="N3841" s="9" t="s">
        <v>13284</v>
      </c>
      <c r="O3841" s="9" t="s">
        <v>13284</v>
      </c>
      <c r="P3841" s="9" t="s">
        <v>13284</v>
      </c>
      <c r="Q3841" s="9" t="s">
        <v>13284</v>
      </c>
      <c r="R3841" s="9" t="s">
        <v>13284</v>
      </c>
      <c r="S3841" s="9" t="s">
        <v>13284</v>
      </c>
      <c r="T3841" s="9" t="str">
        <f ca="1">IFERROR(IF(AND(VLOOKUP(A3841, 'Актуальное состояние (из общего'!A:C,3,0) = "", A3841 &lt;&gt; ""), "ПРОВЕРИТЬ", VLOOKUP(A3841, 'Актуальное состояние (из общего'!A:C,3,0)), "")</f>
        <v/>
      </c>
      <c r="U3841" s="9" t="s">
        <v>13284</v>
      </c>
      <c r="V3841" s="9" t="s">
        <v>13284</v>
      </c>
      <c r="W3841" s="12"/>
      <c r="X3841" s="9" t="str">
        <f t="array" ref="X3841">IFERROR(INDEX('Адреса общежитий (скрытый)'!$B$2:$B$9, MATCH(W3841, 'Адреса общежитий (скрытый)'!$A$2:$A$9, 0)), "")</f>
        <v/>
      </c>
      <c r="Y3841" s="18"/>
      <c r="Z3841" s="18"/>
      <c r="AA3841" s="18"/>
      <c r="AB3841" s="18"/>
      <c r="AC3841" s="18"/>
    </row>
    <row r="3842" spans="1:29" ht="32.25" hidden="1" customHeight="1">
      <c r="A3842" s="17"/>
      <c r="B3842" s="9" t="s">
        <v>13284</v>
      </c>
      <c r="C3842" s="9" t="s">
        <v>13284</v>
      </c>
      <c r="D3842" s="9" t="s">
        <v>13284</v>
      </c>
      <c r="E3842" s="9" t="s">
        <v>13284</v>
      </c>
      <c r="F3842" s="9" t="s">
        <v>13284</v>
      </c>
      <c r="G3842" s="9" t="s">
        <v>13284</v>
      </c>
      <c r="H3842" s="9" t="s">
        <v>13284</v>
      </c>
      <c r="I3842" s="9" t="s">
        <v>13284</v>
      </c>
      <c r="J3842" s="9" t="s">
        <v>13284</v>
      </c>
      <c r="K3842" s="9" t="s">
        <v>13284</v>
      </c>
      <c r="L3842" s="9" t="s">
        <v>13284</v>
      </c>
      <c r="M3842" s="9" t="s">
        <v>13284</v>
      </c>
      <c r="N3842" s="9" t="s">
        <v>13284</v>
      </c>
      <c r="O3842" s="9" t="s">
        <v>13284</v>
      </c>
      <c r="P3842" s="9" t="s">
        <v>13284</v>
      </c>
      <c r="Q3842" s="9" t="s">
        <v>13284</v>
      </c>
      <c r="R3842" s="9" t="s">
        <v>13284</v>
      </c>
      <c r="S3842" s="9" t="s">
        <v>13284</v>
      </c>
      <c r="T3842" s="9" t="str">
        <f ca="1">IFERROR(IF(AND(VLOOKUP(A3842, 'Актуальное состояние (из общего'!A:C,3,0) = "", A3842 &lt;&gt; ""), "ПРОВЕРИТЬ", VLOOKUP(A3842, 'Актуальное состояние (из общего'!A:C,3,0)), "")</f>
        <v/>
      </c>
      <c r="U3842" s="9" t="s">
        <v>13284</v>
      </c>
      <c r="V3842" s="9" t="s">
        <v>13284</v>
      </c>
      <c r="W3842" s="12"/>
      <c r="X3842" s="9" t="str">
        <f t="array" ref="X3842">IFERROR(INDEX('Адреса общежитий (скрытый)'!$B$2:$B$9, MATCH(W3842, 'Адреса общежитий (скрытый)'!$A$2:$A$9, 0)), "")</f>
        <v/>
      </c>
      <c r="Y3842" s="18"/>
      <c r="Z3842" s="18"/>
      <c r="AA3842" s="18"/>
      <c r="AB3842" s="18"/>
      <c r="AC3842" s="18"/>
    </row>
    <row r="3843" spans="1:29" ht="32.25" hidden="1" customHeight="1">
      <c r="A3843" s="17"/>
      <c r="B3843" s="9" t="s">
        <v>13284</v>
      </c>
      <c r="C3843" s="9" t="s">
        <v>13284</v>
      </c>
      <c r="D3843" s="9" t="s">
        <v>13284</v>
      </c>
      <c r="E3843" s="9" t="s">
        <v>13284</v>
      </c>
      <c r="F3843" s="9" t="s">
        <v>13284</v>
      </c>
      <c r="G3843" s="9" t="s">
        <v>13284</v>
      </c>
      <c r="H3843" s="9" t="s">
        <v>13284</v>
      </c>
      <c r="I3843" s="9" t="s">
        <v>13284</v>
      </c>
      <c r="J3843" s="9" t="s">
        <v>13284</v>
      </c>
      <c r="K3843" s="9" t="s">
        <v>13284</v>
      </c>
      <c r="L3843" s="9" t="s">
        <v>13284</v>
      </c>
      <c r="M3843" s="9" t="s">
        <v>13284</v>
      </c>
      <c r="N3843" s="9" t="s">
        <v>13284</v>
      </c>
      <c r="O3843" s="9" t="s">
        <v>13284</v>
      </c>
      <c r="P3843" s="9" t="s">
        <v>13284</v>
      </c>
      <c r="Q3843" s="9" t="s">
        <v>13284</v>
      </c>
      <c r="R3843" s="9" t="s">
        <v>13284</v>
      </c>
      <c r="S3843" s="9" t="s">
        <v>13284</v>
      </c>
      <c r="T3843" s="9" t="str">
        <f ca="1">IFERROR(IF(AND(VLOOKUP(A3843, 'Актуальное состояние (из общего'!A:C,3,0) = "", A3843 &lt;&gt; ""), "ПРОВЕРИТЬ", VLOOKUP(A3843, 'Актуальное состояние (из общего'!A:C,3,0)), "")</f>
        <v/>
      </c>
      <c r="U3843" s="9" t="s">
        <v>13284</v>
      </c>
      <c r="V3843" s="9" t="s">
        <v>13284</v>
      </c>
      <c r="W3843" s="12"/>
      <c r="X3843" s="9" t="str">
        <f t="array" ref="X3843">IFERROR(INDEX('Адреса общежитий (скрытый)'!$B$2:$B$9, MATCH(W3843, 'Адреса общежитий (скрытый)'!$A$2:$A$9, 0)), "")</f>
        <v/>
      </c>
      <c r="Y3843" s="18"/>
      <c r="Z3843" s="18"/>
      <c r="AA3843" s="18"/>
      <c r="AB3843" s="18"/>
      <c r="AC3843" s="18"/>
    </row>
    <row r="3844" spans="1:29" ht="32.25" hidden="1" customHeight="1">
      <c r="A3844" s="17"/>
      <c r="B3844" s="9" t="s">
        <v>13284</v>
      </c>
      <c r="C3844" s="9" t="s">
        <v>13284</v>
      </c>
      <c r="D3844" s="9" t="s">
        <v>13284</v>
      </c>
      <c r="E3844" s="9" t="s">
        <v>13284</v>
      </c>
      <c r="F3844" s="9" t="s">
        <v>13284</v>
      </c>
      <c r="G3844" s="9" t="s">
        <v>13284</v>
      </c>
      <c r="H3844" s="9" t="s">
        <v>13284</v>
      </c>
      <c r="I3844" s="9" t="s">
        <v>13284</v>
      </c>
      <c r="J3844" s="9" t="s">
        <v>13284</v>
      </c>
      <c r="K3844" s="9" t="s">
        <v>13284</v>
      </c>
      <c r="L3844" s="9" t="s">
        <v>13284</v>
      </c>
      <c r="M3844" s="9" t="s">
        <v>13284</v>
      </c>
      <c r="N3844" s="9" t="s">
        <v>13284</v>
      </c>
      <c r="O3844" s="9" t="s">
        <v>13284</v>
      </c>
      <c r="P3844" s="9" t="s">
        <v>13284</v>
      </c>
      <c r="Q3844" s="9" t="s">
        <v>13284</v>
      </c>
      <c r="R3844" s="9" t="s">
        <v>13284</v>
      </c>
      <c r="S3844" s="9" t="s">
        <v>13284</v>
      </c>
      <c r="T3844" s="9" t="str">
        <f ca="1">IFERROR(IF(AND(VLOOKUP(A3844, 'Актуальное состояние (из общего'!A:C,3,0) = "", A3844 &lt;&gt; ""), "ПРОВЕРИТЬ", VLOOKUP(A3844, 'Актуальное состояние (из общего'!A:C,3,0)), "")</f>
        <v/>
      </c>
      <c r="U3844" s="9" t="s">
        <v>13284</v>
      </c>
      <c r="V3844" s="9" t="s">
        <v>13284</v>
      </c>
      <c r="W3844" s="12"/>
      <c r="X3844" s="9" t="str">
        <f t="array" ref="X3844">IFERROR(INDEX('Адреса общежитий (скрытый)'!$B$2:$B$9, MATCH(W3844, 'Адреса общежитий (скрытый)'!$A$2:$A$9, 0)), "")</f>
        <v/>
      </c>
      <c r="Y3844" s="18"/>
      <c r="Z3844" s="18"/>
      <c r="AA3844" s="18"/>
      <c r="AB3844" s="18"/>
      <c r="AC3844" s="18"/>
    </row>
    <row r="3845" spans="1:29" ht="32.25" hidden="1" customHeight="1">
      <c r="A3845" s="17"/>
      <c r="B3845" s="9" t="s">
        <v>13284</v>
      </c>
      <c r="C3845" s="9" t="s">
        <v>13284</v>
      </c>
      <c r="D3845" s="9" t="s">
        <v>13284</v>
      </c>
      <c r="E3845" s="9" t="s">
        <v>13284</v>
      </c>
      <c r="F3845" s="9" t="s">
        <v>13284</v>
      </c>
      <c r="G3845" s="9" t="s">
        <v>13284</v>
      </c>
      <c r="H3845" s="9" t="s">
        <v>13284</v>
      </c>
      <c r="I3845" s="9" t="s">
        <v>13284</v>
      </c>
      <c r="J3845" s="9" t="s">
        <v>13284</v>
      </c>
      <c r="K3845" s="9" t="s">
        <v>13284</v>
      </c>
      <c r="L3845" s="9" t="s">
        <v>13284</v>
      </c>
      <c r="M3845" s="9" t="s">
        <v>13284</v>
      </c>
      <c r="N3845" s="9" t="s">
        <v>13284</v>
      </c>
      <c r="O3845" s="9" t="s">
        <v>13284</v>
      </c>
      <c r="P3845" s="9" t="s">
        <v>13284</v>
      </c>
      <c r="Q3845" s="9" t="s">
        <v>13284</v>
      </c>
      <c r="R3845" s="9" t="s">
        <v>13284</v>
      </c>
      <c r="S3845" s="9" t="s">
        <v>13284</v>
      </c>
      <c r="T3845" s="9" t="str">
        <f ca="1">IFERROR(IF(AND(VLOOKUP(A3845, 'Актуальное состояние (из общего'!A:C,3,0) = "", A3845 &lt;&gt; ""), "ПРОВЕРИТЬ", VLOOKUP(A3845, 'Актуальное состояние (из общего'!A:C,3,0)), "")</f>
        <v/>
      </c>
      <c r="U3845" s="9" t="s">
        <v>13284</v>
      </c>
      <c r="V3845" s="9" t="s">
        <v>13284</v>
      </c>
      <c r="W3845" s="12"/>
      <c r="X3845" s="9" t="str">
        <f t="array" ref="X3845">IFERROR(INDEX('Адреса общежитий (скрытый)'!$B$2:$B$9, MATCH(W3845, 'Адреса общежитий (скрытый)'!$A$2:$A$9, 0)), "")</f>
        <v/>
      </c>
      <c r="Y3845" s="18"/>
      <c r="Z3845" s="18"/>
      <c r="AA3845" s="18"/>
      <c r="AB3845" s="18"/>
      <c r="AC3845" s="18"/>
    </row>
    <row r="3846" spans="1:29" ht="32.25" hidden="1" customHeight="1">
      <c r="A3846" s="17"/>
      <c r="B3846" s="9" t="s">
        <v>13284</v>
      </c>
      <c r="C3846" s="9" t="s">
        <v>13284</v>
      </c>
      <c r="D3846" s="9" t="s">
        <v>13284</v>
      </c>
      <c r="E3846" s="9" t="s">
        <v>13284</v>
      </c>
      <c r="F3846" s="9" t="s">
        <v>13284</v>
      </c>
      <c r="G3846" s="9" t="s">
        <v>13284</v>
      </c>
      <c r="H3846" s="9" t="s">
        <v>13284</v>
      </c>
      <c r="I3846" s="9" t="s">
        <v>13284</v>
      </c>
      <c r="J3846" s="9" t="s">
        <v>13284</v>
      </c>
      <c r="K3846" s="9" t="s">
        <v>13284</v>
      </c>
      <c r="L3846" s="9" t="s">
        <v>13284</v>
      </c>
      <c r="M3846" s="9" t="s">
        <v>13284</v>
      </c>
      <c r="N3846" s="9" t="s">
        <v>13284</v>
      </c>
      <c r="O3846" s="9" t="s">
        <v>13284</v>
      </c>
      <c r="P3846" s="9" t="s">
        <v>13284</v>
      </c>
      <c r="Q3846" s="9" t="s">
        <v>13284</v>
      </c>
      <c r="R3846" s="9" t="s">
        <v>13284</v>
      </c>
      <c r="S3846" s="9" t="s">
        <v>13284</v>
      </c>
      <c r="T3846" s="9" t="str">
        <f ca="1">IFERROR(IF(AND(VLOOKUP(A3846, 'Актуальное состояние (из общего'!A:C,3,0) = "", A3846 &lt;&gt; ""), "ПРОВЕРИТЬ", VLOOKUP(A3846, 'Актуальное состояние (из общего'!A:C,3,0)), "")</f>
        <v/>
      </c>
      <c r="U3846" s="9" t="s">
        <v>13284</v>
      </c>
      <c r="V3846" s="9" t="s">
        <v>13284</v>
      </c>
      <c r="W3846" s="12"/>
      <c r="X3846" s="9" t="str">
        <f t="array" ref="X3846">IFERROR(INDEX('Адреса общежитий (скрытый)'!$B$2:$B$9, MATCH(W3846, 'Адреса общежитий (скрытый)'!$A$2:$A$9, 0)), "")</f>
        <v/>
      </c>
      <c r="Y3846" s="18"/>
      <c r="Z3846" s="18"/>
      <c r="AA3846" s="18"/>
      <c r="AB3846" s="18"/>
      <c r="AC3846" s="18"/>
    </row>
    <row r="3847" spans="1:29" ht="32.25" hidden="1" customHeight="1">
      <c r="A3847" s="17"/>
      <c r="B3847" s="9" t="s">
        <v>13284</v>
      </c>
      <c r="C3847" s="9" t="s">
        <v>13284</v>
      </c>
      <c r="D3847" s="9" t="s">
        <v>13284</v>
      </c>
      <c r="E3847" s="9" t="s">
        <v>13284</v>
      </c>
      <c r="F3847" s="9" t="s">
        <v>13284</v>
      </c>
      <c r="G3847" s="9" t="s">
        <v>13284</v>
      </c>
      <c r="H3847" s="9" t="s">
        <v>13284</v>
      </c>
      <c r="I3847" s="9" t="s">
        <v>13284</v>
      </c>
      <c r="J3847" s="9" t="s">
        <v>13284</v>
      </c>
      <c r="K3847" s="9" t="s">
        <v>13284</v>
      </c>
      <c r="L3847" s="9" t="s">
        <v>13284</v>
      </c>
      <c r="M3847" s="9" t="s">
        <v>13284</v>
      </c>
      <c r="N3847" s="9" t="s">
        <v>13284</v>
      </c>
      <c r="O3847" s="9" t="s">
        <v>13284</v>
      </c>
      <c r="P3847" s="9" t="s">
        <v>13284</v>
      </c>
      <c r="Q3847" s="9" t="s">
        <v>13284</v>
      </c>
      <c r="R3847" s="9" t="s">
        <v>13284</v>
      </c>
      <c r="S3847" s="9" t="s">
        <v>13284</v>
      </c>
      <c r="T3847" s="9" t="str">
        <f ca="1">IFERROR(IF(AND(VLOOKUP(A3847, 'Актуальное состояние (из общего'!A:C,3,0) = "", A3847 &lt;&gt; ""), "ПРОВЕРИТЬ", VLOOKUP(A3847, 'Актуальное состояние (из общего'!A:C,3,0)), "")</f>
        <v/>
      </c>
      <c r="U3847" s="9" t="s">
        <v>13284</v>
      </c>
      <c r="V3847" s="9" t="s">
        <v>13284</v>
      </c>
      <c r="W3847" s="12"/>
      <c r="X3847" s="9" t="str">
        <f t="array" ref="X3847">IFERROR(INDEX('Адреса общежитий (скрытый)'!$B$2:$B$9, MATCH(W3847, 'Адреса общежитий (скрытый)'!$A$2:$A$9, 0)), "")</f>
        <v/>
      </c>
      <c r="Y3847" s="18"/>
      <c r="Z3847" s="18"/>
      <c r="AA3847" s="18"/>
      <c r="AB3847" s="18"/>
      <c r="AC3847" s="18"/>
    </row>
    <row r="3848" spans="1:29" ht="32.25" hidden="1" customHeight="1">
      <c r="A3848" s="17"/>
      <c r="B3848" s="9" t="s">
        <v>13284</v>
      </c>
      <c r="C3848" s="9" t="s">
        <v>13284</v>
      </c>
      <c r="D3848" s="9" t="s">
        <v>13284</v>
      </c>
      <c r="E3848" s="9" t="s">
        <v>13284</v>
      </c>
      <c r="F3848" s="9" t="s">
        <v>13284</v>
      </c>
      <c r="G3848" s="9" t="s">
        <v>13284</v>
      </c>
      <c r="H3848" s="9" t="s">
        <v>13284</v>
      </c>
      <c r="I3848" s="9" t="s">
        <v>13284</v>
      </c>
      <c r="J3848" s="9" t="s">
        <v>13284</v>
      </c>
      <c r="K3848" s="9" t="s">
        <v>13284</v>
      </c>
      <c r="L3848" s="9" t="s">
        <v>13284</v>
      </c>
      <c r="M3848" s="9" t="s">
        <v>13284</v>
      </c>
      <c r="N3848" s="9" t="s">
        <v>13284</v>
      </c>
      <c r="O3848" s="9" t="s">
        <v>13284</v>
      </c>
      <c r="P3848" s="9" t="s">
        <v>13284</v>
      </c>
      <c r="Q3848" s="9" t="s">
        <v>13284</v>
      </c>
      <c r="R3848" s="9" t="s">
        <v>13284</v>
      </c>
      <c r="S3848" s="9" t="s">
        <v>13284</v>
      </c>
      <c r="T3848" s="9" t="str">
        <f ca="1">IFERROR(IF(AND(VLOOKUP(A3848, 'Актуальное состояние (из общего'!A:C,3,0) = "", A3848 &lt;&gt; ""), "ПРОВЕРИТЬ", VLOOKUP(A3848, 'Актуальное состояние (из общего'!A:C,3,0)), "")</f>
        <v/>
      </c>
      <c r="U3848" s="9" t="s">
        <v>13284</v>
      </c>
      <c r="V3848" s="9" t="s">
        <v>13284</v>
      </c>
      <c r="W3848" s="12"/>
      <c r="X3848" s="9" t="str">
        <f t="array" ref="X3848">IFERROR(INDEX('Адреса общежитий (скрытый)'!$B$2:$B$9, MATCH(W3848, 'Адреса общежитий (скрытый)'!$A$2:$A$9, 0)), "")</f>
        <v/>
      </c>
      <c r="Y3848" s="18"/>
      <c r="Z3848" s="18"/>
      <c r="AA3848" s="18"/>
      <c r="AB3848" s="18"/>
      <c r="AC3848" s="18"/>
    </row>
    <row r="3849" spans="1:29" ht="32.25" hidden="1" customHeight="1">
      <c r="A3849" s="17"/>
      <c r="B3849" s="9" t="s">
        <v>13284</v>
      </c>
      <c r="C3849" s="9" t="s">
        <v>13284</v>
      </c>
      <c r="D3849" s="9" t="s">
        <v>13284</v>
      </c>
      <c r="E3849" s="9" t="s">
        <v>13284</v>
      </c>
      <c r="F3849" s="9" t="s">
        <v>13284</v>
      </c>
      <c r="G3849" s="9" t="s">
        <v>13284</v>
      </c>
      <c r="H3849" s="9" t="s">
        <v>13284</v>
      </c>
      <c r="I3849" s="9" t="s">
        <v>13284</v>
      </c>
      <c r="J3849" s="9" t="s">
        <v>13284</v>
      </c>
      <c r="K3849" s="9" t="s">
        <v>13284</v>
      </c>
      <c r="L3849" s="9" t="s">
        <v>13284</v>
      </c>
      <c r="M3849" s="9" t="s">
        <v>13284</v>
      </c>
      <c r="N3849" s="9" t="s">
        <v>13284</v>
      </c>
      <c r="O3849" s="9" t="s">
        <v>13284</v>
      </c>
      <c r="P3849" s="9" t="s">
        <v>13284</v>
      </c>
      <c r="Q3849" s="9" t="s">
        <v>13284</v>
      </c>
      <c r="R3849" s="9" t="s">
        <v>13284</v>
      </c>
      <c r="S3849" s="9" t="s">
        <v>13284</v>
      </c>
      <c r="T3849" s="9" t="str">
        <f ca="1">IFERROR(IF(AND(VLOOKUP(A3849, 'Актуальное состояние (из общего'!A:C,3,0) = "", A3849 &lt;&gt; ""), "ПРОВЕРИТЬ", VLOOKUP(A3849, 'Актуальное состояние (из общего'!A:C,3,0)), "")</f>
        <v/>
      </c>
      <c r="U3849" s="9" t="s">
        <v>13284</v>
      </c>
      <c r="V3849" s="9" t="s">
        <v>13284</v>
      </c>
      <c r="W3849" s="12"/>
      <c r="X3849" s="9" t="str">
        <f t="array" ref="X3849">IFERROR(INDEX('Адреса общежитий (скрытый)'!$B$2:$B$9, MATCH(W3849, 'Адреса общежитий (скрытый)'!$A$2:$A$9, 0)), "")</f>
        <v/>
      </c>
      <c r="Y3849" s="18"/>
      <c r="Z3849" s="18"/>
      <c r="AA3849" s="18"/>
      <c r="AB3849" s="18"/>
      <c r="AC3849" s="18"/>
    </row>
    <row r="3850" spans="1:29" ht="32.25" hidden="1" customHeight="1">
      <c r="A3850" s="17"/>
      <c r="B3850" s="9" t="s">
        <v>13284</v>
      </c>
      <c r="C3850" s="9" t="s">
        <v>13284</v>
      </c>
      <c r="D3850" s="9" t="s">
        <v>13284</v>
      </c>
      <c r="E3850" s="9" t="s">
        <v>13284</v>
      </c>
      <c r="F3850" s="9" t="s">
        <v>13284</v>
      </c>
      <c r="G3850" s="9" t="s">
        <v>13284</v>
      </c>
      <c r="H3850" s="9" t="s">
        <v>13284</v>
      </c>
      <c r="I3850" s="9" t="s">
        <v>13284</v>
      </c>
      <c r="J3850" s="9" t="s">
        <v>13284</v>
      </c>
      <c r="K3850" s="9" t="s">
        <v>13284</v>
      </c>
      <c r="L3850" s="9" t="s">
        <v>13284</v>
      </c>
      <c r="M3850" s="9" t="s">
        <v>13284</v>
      </c>
      <c r="N3850" s="9" t="s">
        <v>13284</v>
      </c>
      <c r="O3850" s="9" t="s">
        <v>13284</v>
      </c>
      <c r="P3850" s="9" t="s">
        <v>13284</v>
      </c>
      <c r="Q3850" s="9" t="s">
        <v>13284</v>
      </c>
      <c r="R3850" s="9" t="s">
        <v>13284</v>
      </c>
      <c r="S3850" s="9" t="s">
        <v>13284</v>
      </c>
      <c r="T3850" s="9" t="str">
        <f ca="1">IFERROR(IF(AND(VLOOKUP(A3850, 'Актуальное состояние (из общего'!A:C,3,0) = "", A3850 &lt;&gt; ""), "ПРОВЕРИТЬ", VLOOKUP(A3850, 'Актуальное состояние (из общего'!A:C,3,0)), "")</f>
        <v/>
      </c>
      <c r="U3850" s="9" t="s">
        <v>13284</v>
      </c>
      <c r="V3850" s="9" t="s">
        <v>13284</v>
      </c>
      <c r="W3850" s="12"/>
      <c r="X3850" s="9" t="str">
        <f t="array" ref="X3850">IFERROR(INDEX('Адреса общежитий (скрытый)'!$B$2:$B$9, MATCH(W3850, 'Адреса общежитий (скрытый)'!$A$2:$A$9, 0)), "")</f>
        <v/>
      </c>
      <c r="Y3850" s="18"/>
      <c r="Z3850" s="18"/>
      <c r="AA3850" s="18"/>
      <c r="AB3850" s="18"/>
      <c r="AC3850" s="18"/>
    </row>
    <row r="3851" spans="1:29" ht="32.25" hidden="1" customHeight="1">
      <c r="A3851" s="17"/>
      <c r="B3851" s="9" t="s">
        <v>13284</v>
      </c>
      <c r="C3851" s="9" t="s">
        <v>13284</v>
      </c>
      <c r="D3851" s="9" t="s">
        <v>13284</v>
      </c>
      <c r="E3851" s="9" t="s">
        <v>13284</v>
      </c>
      <c r="F3851" s="9" t="s">
        <v>13284</v>
      </c>
      <c r="G3851" s="9" t="s">
        <v>13284</v>
      </c>
      <c r="H3851" s="9" t="s">
        <v>13284</v>
      </c>
      <c r="I3851" s="9" t="s">
        <v>13284</v>
      </c>
      <c r="J3851" s="9" t="s">
        <v>13284</v>
      </c>
      <c r="K3851" s="9" t="s">
        <v>13284</v>
      </c>
      <c r="L3851" s="9" t="s">
        <v>13284</v>
      </c>
      <c r="M3851" s="9" t="s">
        <v>13284</v>
      </c>
      <c r="N3851" s="9" t="s">
        <v>13284</v>
      </c>
      <c r="O3851" s="9" t="s">
        <v>13284</v>
      </c>
      <c r="P3851" s="9" t="s">
        <v>13284</v>
      </c>
      <c r="Q3851" s="9" t="s">
        <v>13284</v>
      </c>
      <c r="R3851" s="9" t="s">
        <v>13284</v>
      </c>
      <c r="S3851" s="9" t="s">
        <v>13284</v>
      </c>
      <c r="T3851" s="9" t="str">
        <f ca="1">IFERROR(IF(AND(VLOOKUP(A3851, 'Актуальное состояние (из общего'!A:C,3,0) = "", A3851 &lt;&gt; ""), "ПРОВЕРИТЬ", VLOOKUP(A3851, 'Актуальное состояние (из общего'!A:C,3,0)), "")</f>
        <v/>
      </c>
      <c r="U3851" s="9" t="s">
        <v>13284</v>
      </c>
      <c r="V3851" s="9" t="s">
        <v>13284</v>
      </c>
      <c r="W3851" s="12"/>
      <c r="X3851" s="9" t="str">
        <f t="array" ref="X3851">IFERROR(INDEX('Адреса общежитий (скрытый)'!$B$2:$B$9, MATCH(W3851, 'Адреса общежитий (скрытый)'!$A$2:$A$9, 0)), "")</f>
        <v/>
      </c>
      <c r="Y3851" s="18"/>
      <c r="Z3851" s="18"/>
      <c r="AA3851" s="18"/>
      <c r="AB3851" s="18"/>
      <c r="AC3851" s="18"/>
    </row>
    <row r="3852" spans="1:29" ht="32.25" hidden="1" customHeight="1">
      <c r="A3852" s="17"/>
      <c r="B3852" s="9" t="s">
        <v>13284</v>
      </c>
      <c r="C3852" s="9" t="s">
        <v>13284</v>
      </c>
      <c r="D3852" s="9" t="s">
        <v>13284</v>
      </c>
      <c r="E3852" s="9" t="s">
        <v>13284</v>
      </c>
      <c r="F3852" s="9" t="s">
        <v>13284</v>
      </c>
      <c r="G3852" s="9" t="s">
        <v>13284</v>
      </c>
      <c r="H3852" s="9" t="s">
        <v>13284</v>
      </c>
      <c r="I3852" s="9" t="s">
        <v>13284</v>
      </c>
      <c r="J3852" s="9" t="s">
        <v>13284</v>
      </c>
      <c r="K3852" s="9" t="s">
        <v>13284</v>
      </c>
      <c r="L3852" s="9" t="s">
        <v>13284</v>
      </c>
      <c r="M3852" s="9" t="s">
        <v>13284</v>
      </c>
      <c r="N3852" s="9" t="s">
        <v>13284</v>
      </c>
      <c r="O3852" s="9" t="s">
        <v>13284</v>
      </c>
      <c r="P3852" s="9" t="s">
        <v>13284</v>
      </c>
      <c r="Q3852" s="9" t="s">
        <v>13284</v>
      </c>
      <c r="R3852" s="9" t="s">
        <v>13284</v>
      </c>
      <c r="S3852" s="9" t="s">
        <v>13284</v>
      </c>
      <c r="T3852" s="9" t="str">
        <f ca="1">IFERROR(IF(AND(VLOOKUP(A3852, 'Актуальное состояние (из общего'!A:C,3,0) = "", A3852 &lt;&gt; ""), "ПРОВЕРИТЬ", VLOOKUP(A3852, 'Актуальное состояние (из общего'!A:C,3,0)), "")</f>
        <v/>
      </c>
      <c r="U3852" s="9" t="s">
        <v>13284</v>
      </c>
      <c r="V3852" s="9" t="s">
        <v>13284</v>
      </c>
      <c r="W3852" s="12"/>
      <c r="X3852" s="9" t="str">
        <f t="array" ref="X3852">IFERROR(INDEX('Адреса общежитий (скрытый)'!$B$2:$B$9, MATCH(W3852, 'Адреса общежитий (скрытый)'!$A$2:$A$9, 0)), "")</f>
        <v/>
      </c>
      <c r="Y3852" s="18"/>
      <c r="Z3852" s="18"/>
      <c r="AA3852" s="18"/>
      <c r="AB3852" s="18"/>
      <c r="AC3852" s="18"/>
    </row>
    <row r="3853" spans="1:29" ht="32.25" hidden="1" customHeight="1">
      <c r="A3853" s="17"/>
      <c r="B3853" s="9" t="s">
        <v>13284</v>
      </c>
      <c r="C3853" s="9" t="s">
        <v>13284</v>
      </c>
      <c r="D3853" s="9" t="s">
        <v>13284</v>
      </c>
      <c r="E3853" s="9" t="s">
        <v>13284</v>
      </c>
      <c r="F3853" s="9" t="s">
        <v>13284</v>
      </c>
      <c r="G3853" s="9" t="s">
        <v>13284</v>
      </c>
      <c r="H3853" s="9" t="s">
        <v>13284</v>
      </c>
      <c r="I3853" s="9" t="s">
        <v>13284</v>
      </c>
      <c r="J3853" s="9" t="s">
        <v>13284</v>
      </c>
      <c r="K3853" s="9" t="s">
        <v>13284</v>
      </c>
      <c r="L3853" s="9" t="s">
        <v>13284</v>
      </c>
      <c r="M3853" s="9" t="s">
        <v>13284</v>
      </c>
      <c r="N3853" s="9" t="s">
        <v>13284</v>
      </c>
      <c r="O3853" s="9" t="s">
        <v>13284</v>
      </c>
      <c r="P3853" s="9" t="s">
        <v>13284</v>
      </c>
      <c r="Q3853" s="9" t="s">
        <v>13284</v>
      </c>
      <c r="R3853" s="9" t="s">
        <v>13284</v>
      </c>
      <c r="S3853" s="9" t="s">
        <v>13284</v>
      </c>
      <c r="T3853" s="9" t="str">
        <f ca="1">IFERROR(IF(AND(VLOOKUP(A3853, 'Актуальное состояние (из общего'!A:C,3,0) = "", A3853 &lt;&gt; ""), "ПРОВЕРИТЬ", VLOOKUP(A3853, 'Актуальное состояние (из общего'!A:C,3,0)), "")</f>
        <v/>
      </c>
      <c r="U3853" s="9" t="s">
        <v>13284</v>
      </c>
      <c r="V3853" s="9" t="s">
        <v>13284</v>
      </c>
      <c r="W3853" s="12"/>
      <c r="X3853" s="9" t="str">
        <f t="array" ref="X3853">IFERROR(INDEX('Адреса общежитий (скрытый)'!$B$2:$B$9, MATCH(W3853, 'Адреса общежитий (скрытый)'!$A$2:$A$9, 0)), "")</f>
        <v/>
      </c>
      <c r="Y3853" s="18"/>
      <c r="Z3853" s="18"/>
      <c r="AA3853" s="18"/>
      <c r="AB3853" s="18"/>
      <c r="AC3853" s="18"/>
    </row>
    <row r="3854" spans="1:29" ht="32.25" hidden="1" customHeight="1">
      <c r="A3854" s="17"/>
      <c r="B3854" s="9" t="s">
        <v>13284</v>
      </c>
      <c r="C3854" s="9" t="s">
        <v>13284</v>
      </c>
      <c r="D3854" s="9" t="s">
        <v>13284</v>
      </c>
      <c r="E3854" s="9" t="s">
        <v>13284</v>
      </c>
      <c r="F3854" s="9" t="s">
        <v>13284</v>
      </c>
      <c r="G3854" s="9" t="s">
        <v>13284</v>
      </c>
      <c r="H3854" s="9" t="s">
        <v>13284</v>
      </c>
      <c r="I3854" s="9" t="s">
        <v>13284</v>
      </c>
      <c r="J3854" s="9" t="s">
        <v>13284</v>
      </c>
      <c r="K3854" s="9" t="s">
        <v>13284</v>
      </c>
      <c r="L3854" s="9" t="s">
        <v>13284</v>
      </c>
      <c r="M3854" s="9" t="s">
        <v>13284</v>
      </c>
      <c r="N3854" s="9" t="s">
        <v>13284</v>
      </c>
      <c r="O3854" s="9" t="s">
        <v>13284</v>
      </c>
      <c r="P3854" s="9" t="s">
        <v>13284</v>
      </c>
      <c r="Q3854" s="9" t="s">
        <v>13284</v>
      </c>
      <c r="R3854" s="9" t="s">
        <v>13284</v>
      </c>
      <c r="S3854" s="9" t="s">
        <v>13284</v>
      </c>
      <c r="T3854" s="9" t="str">
        <f ca="1">IFERROR(IF(AND(VLOOKUP(A3854, 'Актуальное состояние (из общего'!A:C,3,0) = "", A3854 &lt;&gt; ""), "ПРОВЕРИТЬ", VLOOKUP(A3854, 'Актуальное состояние (из общего'!A:C,3,0)), "")</f>
        <v/>
      </c>
      <c r="U3854" s="9" t="s">
        <v>13284</v>
      </c>
      <c r="V3854" s="9" t="s">
        <v>13284</v>
      </c>
      <c r="W3854" s="12"/>
      <c r="X3854" s="9" t="str">
        <f t="array" ref="X3854">IFERROR(INDEX('Адреса общежитий (скрытый)'!$B$2:$B$9, MATCH(W3854, 'Адреса общежитий (скрытый)'!$A$2:$A$9, 0)), "")</f>
        <v/>
      </c>
      <c r="Y3854" s="18"/>
      <c r="Z3854" s="18"/>
      <c r="AA3854" s="18"/>
      <c r="AB3854" s="18"/>
      <c r="AC3854" s="18"/>
    </row>
    <row r="3855" spans="1:29" ht="32.25" hidden="1" customHeight="1">
      <c r="A3855" s="17"/>
      <c r="B3855" s="9" t="s">
        <v>13284</v>
      </c>
      <c r="C3855" s="9" t="s">
        <v>13284</v>
      </c>
      <c r="D3855" s="9" t="s">
        <v>13284</v>
      </c>
      <c r="E3855" s="9" t="s">
        <v>13284</v>
      </c>
      <c r="F3855" s="9" t="s">
        <v>13284</v>
      </c>
      <c r="G3855" s="9" t="s">
        <v>13284</v>
      </c>
      <c r="H3855" s="9" t="s">
        <v>13284</v>
      </c>
      <c r="I3855" s="9" t="s">
        <v>13284</v>
      </c>
      <c r="J3855" s="9" t="s">
        <v>13284</v>
      </c>
      <c r="K3855" s="9" t="s">
        <v>13284</v>
      </c>
      <c r="L3855" s="9" t="s">
        <v>13284</v>
      </c>
      <c r="M3855" s="9" t="s">
        <v>13284</v>
      </c>
      <c r="N3855" s="9" t="s">
        <v>13284</v>
      </c>
      <c r="O3855" s="9" t="s">
        <v>13284</v>
      </c>
      <c r="P3855" s="9" t="s">
        <v>13284</v>
      </c>
      <c r="Q3855" s="9" t="s">
        <v>13284</v>
      </c>
      <c r="R3855" s="9" t="s">
        <v>13284</v>
      </c>
      <c r="S3855" s="9" t="s">
        <v>13284</v>
      </c>
      <c r="T3855" s="9" t="str">
        <f ca="1">IFERROR(IF(AND(VLOOKUP(A3855, 'Актуальное состояние (из общего'!A:C,3,0) = "", A3855 &lt;&gt; ""), "ПРОВЕРИТЬ", VLOOKUP(A3855, 'Актуальное состояние (из общего'!A:C,3,0)), "")</f>
        <v/>
      </c>
      <c r="U3855" s="9" t="s">
        <v>13284</v>
      </c>
      <c r="V3855" s="9" t="s">
        <v>13284</v>
      </c>
      <c r="W3855" s="12"/>
      <c r="X3855" s="9" t="str">
        <f t="array" ref="X3855">IFERROR(INDEX('Адреса общежитий (скрытый)'!$B$2:$B$9, MATCH(W3855, 'Адреса общежитий (скрытый)'!$A$2:$A$9, 0)), "")</f>
        <v/>
      </c>
      <c r="Y3855" s="18"/>
      <c r="Z3855" s="18"/>
      <c r="AA3855" s="18"/>
      <c r="AB3855" s="18"/>
      <c r="AC3855" s="18"/>
    </row>
    <row r="3856" spans="1:29" ht="32.25" hidden="1" customHeight="1">
      <c r="A3856" s="17"/>
      <c r="B3856" s="9" t="s">
        <v>13284</v>
      </c>
      <c r="C3856" s="9" t="s">
        <v>13284</v>
      </c>
      <c r="D3856" s="9" t="s">
        <v>13284</v>
      </c>
      <c r="E3856" s="9" t="s">
        <v>13284</v>
      </c>
      <c r="F3856" s="9" t="s">
        <v>13284</v>
      </c>
      <c r="G3856" s="9" t="s">
        <v>13284</v>
      </c>
      <c r="H3856" s="9" t="s">
        <v>13284</v>
      </c>
      <c r="I3856" s="9" t="s">
        <v>13284</v>
      </c>
      <c r="J3856" s="9" t="s">
        <v>13284</v>
      </c>
      <c r="K3856" s="9" t="s">
        <v>13284</v>
      </c>
      <c r="L3856" s="9" t="s">
        <v>13284</v>
      </c>
      <c r="M3856" s="9" t="s">
        <v>13284</v>
      </c>
      <c r="N3856" s="9" t="s">
        <v>13284</v>
      </c>
      <c r="O3856" s="9" t="s">
        <v>13284</v>
      </c>
      <c r="P3856" s="9" t="s">
        <v>13284</v>
      </c>
      <c r="Q3856" s="9" t="s">
        <v>13284</v>
      </c>
      <c r="R3856" s="9" t="s">
        <v>13284</v>
      </c>
      <c r="S3856" s="9" t="s">
        <v>13284</v>
      </c>
      <c r="T3856" s="9" t="str">
        <f ca="1">IFERROR(IF(AND(VLOOKUP(A3856, 'Актуальное состояние (из общего'!A:C,3,0) = "", A3856 &lt;&gt; ""), "ПРОВЕРИТЬ", VLOOKUP(A3856, 'Актуальное состояние (из общего'!A:C,3,0)), "")</f>
        <v/>
      </c>
      <c r="U3856" s="9" t="s">
        <v>13284</v>
      </c>
      <c r="V3856" s="9" t="s">
        <v>13284</v>
      </c>
      <c r="W3856" s="12"/>
      <c r="X3856" s="9" t="str">
        <f t="array" ref="X3856">IFERROR(INDEX('Адреса общежитий (скрытый)'!$B$2:$B$9, MATCH(W3856, 'Адреса общежитий (скрытый)'!$A$2:$A$9, 0)), "")</f>
        <v/>
      </c>
      <c r="Y3856" s="18"/>
      <c r="Z3856" s="18"/>
      <c r="AA3856" s="18"/>
      <c r="AB3856" s="18"/>
      <c r="AC3856" s="18"/>
    </row>
    <row r="3857" spans="1:29" ht="32.25" hidden="1" customHeight="1">
      <c r="A3857" s="17"/>
      <c r="B3857" s="9" t="s">
        <v>13284</v>
      </c>
      <c r="C3857" s="9" t="s">
        <v>13284</v>
      </c>
      <c r="D3857" s="9" t="s">
        <v>13284</v>
      </c>
      <c r="E3857" s="9" t="s">
        <v>13284</v>
      </c>
      <c r="F3857" s="9" t="s">
        <v>13284</v>
      </c>
      <c r="G3857" s="9" t="s">
        <v>13284</v>
      </c>
      <c r="H3857" s="9" t="s">
        <v>13284</v>
      </c>
      <c r="I3857" s="9" t="s">
        <v>13284</v>
      </c>
      <c r="J3857" s="9" t="s">
        <v>13284</v>
      </c>
      <c r="K3857" s="9" t="s">
        <v>13284</v>
      </c>
      <c r="L3857" s="9" t="s">
        <v>13284</v>
      </c>
      <c r="M3857" s="9" t="s">
        <v>13284</v>
      </c>
      <c r="N3857" s="9" t="s">
        <v>13284</v>
      </c>
      <c r="O3857" s="9" t="s">
        <v>13284</v>
      </c>
      <c r="P3857" s="9" t="s">
        <v>13284</v>
      </c>
      <c r="Q3857" s="9" t="s">
        <v>13284</v>
      </c>
      <c r="R3857" s="9" t="s">
        <v>13284</v>
      </c>
      <c r="S3857" s="9" t="s">
        <v>13284</v>
      </c>
      <c r="T3857" s="9" t="str">
        <f ca="1">IFERROR(IF(AND(VLOOKUP(A3857, 'Актуальное состояние (из общего'!A:C,3,0) = "", A3857 &lt;&gt; ""), "ПРОВЕРИТЬ", VLOOKUP(A3857, 'Актуальное состояние (из общего'!A:C,3,0)), "")</f>
        <v/>
      </c>
      <c r="U3857" s="9" t="s">
        <v>13284</v>
      </c>
      <c r="V3857" s="9" t="s">
        <v>13284</v>
      </c>
      <c r="W3857" s="12"/>
      <c r="X3857" s="9" t="str">
        <f t="array" ref="X3857">IFERROR(INDEX('Адреса общежитий (скрытый)'!$B$2:$B$9, MATCH(W3857, 'Адреса общежитий (скрытый)'!$A$2:$A$9, 0)), "")</f>
        <v/>
      </c>
      <c r="Y3857" s="18"/>
      <c r="Z3857" s="18"/>
      <c r="AA3857" s="18"/>
      <c r="AB3857" s="18"/>
      <c r="AC3857" s="18"/>
    </row>
    <row r="3858" spans="1:29" ht="32.25" hidden="1" customHeight="1">
      <c r="A3858" s="17"/>
      <c r="B3858" s="9" t="s">
        <v>13284</v>
      </c>
      <c r="C3858" s="9" t="s">
        <v>13284</v>
      </c>
      <c r="D3858" s="9" t="s">
        <v>13284</v>
      </c>
      <c r="E3858" s="9" t="s">
        <v>13284</v>
      </c>
      <c r="F3858" s="9" t="s">
        <v>13284</v>
      </c>
      <c r="G3858" s="9" t="s">
        <v>13284</v>
      </c>
      <c r="H3858" s="9" t="s">
        <v>13284</v>
      </c>
      <c r="I3858" s="9" t="s">
        <v>13284</v>
      </c>
      <c r="J3858" s="9" t="s">
        <v>13284</v>
      </c>
      <c r="K3858" s="9" t="s">
        <v>13284</v>
      </c>
      <c r="L3858" s="9" t="s">
        <v>13284</v>
      </c>
      <c r="M3858" s="9" t="s">
        <v>13284</v>
      </c>
      <c r="N3858" s="9" t="s">
        <v>13284</v>
      </c>
      <c r="O3858" s="9" t="s">
        <v>13284</v>
      </c>
      <c r="P3858" s="9" t="s">
        <v>13284</v>
      </c>
      <c r="Q3858" s="9" t="s">
        <v>13284</v>
      </c>
      <c r="R3858" s="9" t="s">
        <v>13284</v>
      </c>
      <c r="S3858" s="9" t="s">
        <v>13284</v>
      </c>
      <c r="T3858" s="9" t="str">
        <f ca="1">IFERROR(IF(AND(VLOOKUP(A3858, 'Актуальное состояние (из общего'!A:C,3,0) = "", A3858 &lt;&gt; ""), "ПРОВЕРИТЬ", VLOOKUP(A3858, 'Актуальное состояние (из общего'!A:C,3,0)), "")</f>
        <v/>
      </c>
      <c r="U3858" s="9" t="s">
        <v>13284</v>
      </c>
      <c r="V3858" s="9" t="s">
        <v>13284</v>
      </c>
      <c r="W3858" s="12"/>
      <c r="X3858" s="9" t="str">
        <f t="array" ref="X3858">IFERROR(INDEX('Адреса общежитий (скрытый)'!$B$2:$B$9, MATCH(W3858, 'Адреса общежитий (скрытый)'!$A$2:$A$9, 0)), "")</f>
        <v/>
      </c>
      <c r="Y3858" s="18"/>
      <c r="Z3858" s="18"/>
      <c r="AA3858" s="18"/>
      <c r="AB3858" s="18"/>
      <c r="AC3858" s="18"/>
    </row>
    <row r="3859" spans="1:29" ht="32.25" hidden="1" customHeight="1">
      <c r="A3859" s="17"/>
      <c r="B3859" s="9" t="s">
        <v>13284</v>
      </c>
      <c r="C3859" s="9" t="s">
        <v>13284</v>
      </c>
      <c r="D3859" s="9" t="s">
        <v>13284</v>
      </c>
      <c r="E3859" s="9" t="s">
        <v>13284</v>
      </c>
      <c r="F3859" s="9" t="s">
        <v>13284</v>
      </c>
      <c r="G3859" s="9" t="s">
        <v>13284</v>
      </c>
      <c r="H3859" s="9" t="s">
        <v>13284</v>
      </c>
      <c r="I3859" s="9" t="s">
        <v>13284</v>
      </c>
      <c r="J3859" s="9" t="s">
        <v>13284</v>
      </c>
      <c r="K3859" s="9" t="s">
        <v>13284</v>
      </c>
      <c r="L3859" s="9" t="s">
        <v>13284</v>
      </c>
      <c r="M3859" s="9" t="s">
        <v>13284</v>
      </c>
      <c r="N3859" s="9" t="s">
        <v>13284</v>
      </c>
      <c r="O3859" s="9" t="s">
        <v>13284</v>
      </c>
      <c r="P3859" s="9" t="s">
        <v>13284</v>
      </c>
      <c r="Q3859" s="9" t="s">
        <v>13284</v>
      </c>
      <c r="R3859" s="9" t="s">
        <v>13284</v>
      </c>
      <c r="S3859" s="9" t="s">
        <v>13284</v>
      </c>
      <c r="T3859" s="9" t="str">
        <f ca="1">IFERROR(IF(AND(VLOOKUP(A3859, 'Актуальное состояние (из общего'!A:C,3,0) = "", A3859 &lt;&gt; ""), "ПРОВЕРИТЬ", VLOOKUP(A3859, 'Актуальное состояние (из общего'!A:C,3,0)), "")</f>
        <v/>
      </c>
      <c r="U3859" s="9" t="s">
        <v>13284</v>
      </c>
      <c r="V3859" s="9" t="s">
        <v>13284</v>
      </c>
      <c r="W3859" s="12"/>
      <c r="X3859" s="9" t="str">
        <f t="array" ref="X3859">IFERROR(INDEX('Адреса общежитий (скрытый)'!$B$2:$B$9, MATCH(W3859, 'Адреса общежитий (скрытый)'!$A$2:$A$9, 0)), "")</f>
        <v/>
      </c>
      <c r="Y3859" s="18"/>
      <c r="Z3859" s="18"/>
      <c r="AA3859" s="18"/>
      <c r="AB3859" s="18"/>
      <c r="AC3859" s="18"/>
    </row>
    <row r="3860" spans="1:29" ht="32.25" hidden="1" customHeight="1">
      <c r="A3860" s="17"/>
      <c r="B3860" s="9" t="s">
        <v>13284</v>
      </c>
      <c r="C3860" s="9" t="s">
        <v>13284</v>
      </c>
      <c r="D3860" s="9" t="s">
        <v>13284</v>
      </c>
      <c r="E3860" s="9" t="s">
        <v>13284</v>
      </c>
      <c r="F3860" s="9" t="s">
        <v>13284</v>
      </c>
      <c r="G3860" s="9" t="s">
        <v>13284</v>
      </c>
      <c r="H3860" s="9" t="s">
        <v>13284</v>
      </c>
      <c r="I3860" s="9" t="s">
        <v>13284</v>
      </c>
      <c r="J3860" s="9" t="s">
        <v>13284</v>
      </c>
      <c r="K3860" s="9" t="s">
        <v>13284</v>
      </c>
      <c r="L3860" s="9" t="s">
        <v>13284</v>
      </c>
      <c r="M3860" s="9" t="s">
        <v>13284</v>
      </c>
      <c r="N3860" s="9" t="s">
        <v>13284</v>
      </c>
      <c r="O3860" s="9" t="s">
        <v>13284</v>
      </c>
      <c r="P3860" s="9" t="s">
        <v>13284</v>
      </c>
      <c r="Q3860" s="9" t="s">
        <v>13284</v>
      </c>
      <c r="R3860" s="9" t="s">
        <v>13284</v>
      </c>
      <c r="S3860" s="9" t="s">
        <v>13284</v>
      </c>
      <c r="T3860" s="9" t="str">
        <f ca="1">IFERROR(IF(AND(VLOOKUP(A3860, 'Актуальное состояние (из общего'!A:C,3,0) = "", A3860 &lt;&gt; ""), "ПРОВЕРИТЬ", VLOOKUP(A3860, 'Актуальное состояние (из общего'!A:C,3,0)), "")</f>
        <v/>
      </c>
      <c r="U3860" s="9" t="s">
        <v>13284</v>
      </c>
      <c r="V3860" s="9" t="s">
        <v>13284</v>
      </c>
      <c r="W3860" s="12"/>
      <c r="X3860" s="9" t="str">
        <f t="array" ref="X3860">IFERROR(INDEX('Адреса общежитий (скрытый)'!$B$2:$B$9, MATCH(W3860, 'Адреса общежитий (скрытый)'!$A$2:$A$9, 0)), "")</f>
        <v/>
      </c>
      <c r="Y3860" s="18"/>
      <c r="Z3860" s="18"/>
      <c r="AA3860" s="18"/>
      <c r="AB3860" s="18"/>
      <c r="AC3860" s="18"/>
    </row>
    <row r="3861" spans="1:29" ht="32.25" hidden="1" customHeight="1">
      <c r="A3861" s="17"/>
      <c r="B3861" s="9" t="s">
        <v>13284</v>
      </c>
      <c r="C3861" s="9" t="s">
        <v>13284</v>
      </c>
      <c r="D3861" s="9" t="s">
        <v>13284</v>
      </c>
      <c r="E3861" s="9" t="s">
        <v>13284</v>
      </c>
      <c r="F3861" s="9" t="s">
        <v>13284</v>
      </c>
      <c r="G3861" s="9" t="s">
        <v>13284</v>
      </c>
      <c r="H3861" s="9" t="s">
        <v>13284</v>
      </c>
      <c r="I3861" s="9" t="s">
        <v>13284</v>
      </c>
      <c r="J3861" s="9" t="s">
        <v>13284</v>
      </c>
      <c r="K3861" s="9" t="s">
        <v>13284</v>
      </c>
      <c r="L3861" s="9" t="s">
        <v>13284</v>
      </c>
      <c r="M3861" s="9" t="s">
        <v>13284</v>
      </c>
      <c r="N3861" s="9" t="s">
        <v>13284</v>
      </c>
      <c r="O3861" s="9" t="s">
        <v>13284</v>
      </c>
      <c r="P3861" s="9" t="s">
        <v>13284</v>
      </c>
      <c r="Q3861" s="9" t="s">
        <v>13284</v>
      </c>
      <c r="R3861" s="9" t="s">
        <v>13284</v>
      </c>
      <c r="S3861" s="9" t="s">
        <v>13284</v>
      </c>
      <c r="T3861" s="9" t="str">
        <f ca="1">IFERROR(IF(AND(VLOOKUP(A3861, 'Актуальное состояние (из общего'!A:C,3,0) = "", A3861 &lt;&gt; ""), "ПРОВЕРИТЬ", VLOOKUP(A3861, 'Актуальное состояние (из общего'!A:C,3,0)), "")</f>
        <v/>
      </c>
      <c r="U3861" s="9" t="s">
        <v>13284</v>
      </c>
      <c r="V3861" s="9" t="s">
        <v>13284</v>
      </c>
      <c r="W3861" s="12"/>
      <c r="X3861" s="9" t="str">
        <f t="array" ref="X3861">IFERROR(INDEX('Адреса общежитий (скрытый)'!$B$2:$B$9, MATCH(W3861, 'Адреса общежитий (скрытый)'!$A$2:$A$9, 0)), "")</f>
        <v/>
      </c>
      <c r="Y3861" s="18"/>
      <c r="Z3861" s="18"/>
      <c r="AA3861" s="18"/>
      <c r="AB3861" s="18"/>
      <c r="AC3861" s="18"/>
    </row>
    <row r="3862" spans="1:29" ht="32.25" hidden="1" customHeight="1">
      <c r="A3862" s="17"/>
      <c r="B3862" s="9" t="s">
        <v>13284</v>
      </c>
      <c r="C3862" s="9" t="s">
        <v>13284</v>
      </c>
      <c r="D3862" s="9" t="s">
        <v>13284</v>
      </c>
      <c r="E3862" s="9" t="s">
        <v>13284</v>
      </c>
      <c r="F3862" s="9" t="s">
        <v>13284</v>
      </c>
      <c r="G3862" s="9" t="s">
        <v>13284</v>
      </c>
      <c r="H3862" s="9" t="s">
        <v>13284</v>
      </c>
      <c r="I3862" s="9" t="s">
        <v>13284</v>
      </c>
      <c r="J3862" s="9" t="s">
        <v>13284</v>
      </c>
      <c r="K3862" s="9" t="s">
        <v>13284</v>
      </c>
      <c r="L3862" s="9" t="s">
        <v>13284</v>
      </c>
      <c r="M3862" s="9" t="s">
        <v>13284</v>
      </c>
      <c r="N3862" s="9" t="s">
        <v>13284</v>
      </c>
      <c r="O3862" s="9" t="s">
        <v>13284</v>
      </c>
      <c r="P3862" s="9" t="s">
        <v>13284</v>
      </c>
      <c r="Q3862" s="9" t="s">
        <v>13284</v>
      </c>
      <c r="R3862" s="9" t="s">
        <v>13284</v>
      </c>
      <c r="S3862" s="9" t="s">
        <v>13284</v>
      </c>
      <c r="T3862" s="9" t="str">
        <f ca="1">IFERROR(IF(AND(VLOOKUP(A3862, 'Актуальное состояние (из общего'!A:C,3,0) = "", A3862 &lt;&gt; ""), "ПРОВЕРИТЬ", VLOOKUP(A3862, 'Актуальное состояние (из общего'!A:C,3,0)), "")</f>
        <v/>
      </c>
      <c r="U3862" s="9" t="s">
        <v>13284</v>
      </c>
      <c r="V3862" s="9" t="s">
        <v>13284</v>
      </c>
      <c r="W3862" s="12"/>
      <c r="X3862" s="9" t="str">
        <f t="array" ref="X3862">IFERROR(INDEX('Адреса общежитий (скрытый)'!$B$2:$B$9, MATCH(W3862, 'Адреса общежитий (скрытый)'!$A$2:$A$9, 0)), "")</f>
        <v/>
      </c>
      <c r="Y3862" s="18"/>
      <c r="Z3862" s="18"/>
      <c r="AA3862" s="18"/>
      <c r="AB3862" s="18"/>
      <c r="AC3862" s="18"/>
    </row>
    <row r="3863" spans="1:29" ht="32.25" hidden="1" customHeight="1">
      <c r="A3863" s="17"/>
      <c r="B3863" s="9" t="s">
        <v>13284</v>
      </c>
      <c r="C3863" s="9" t="s">
        <v>13284</v>
      </c>
      <c r="D3863" s="9" t="s">
        <v>13284</v>
      </c>
      <c r="E3863" s="9" t="s">
        <v>13284</v>
      </c>
      <c r="F3863" s="9" t="s">
        <v>13284</v>
      </c>
      <c r="G3863" s="9" t="s">
        <v>13284</v>
      </c>
      <c r="H3863" s="9" t="s">
        <v>13284</v>
      </c>
      <c r="I3863" s="9" t="s">
        <v>13284</v>
      </c>
      <c r="J3863" s="9" t="s">
        <v>13284</v>
      </c>
      <c r="K3863" s="9" t="s">
        <v>13284</v>
      </c>
      <c r="L3863" s="9" t="s">
        <v>13284</v>
      </c>
      <c r="M3863" s="9" t="s">
        <v>13284</v>
      </c>
      <c r="N3863" s="9" t="s">
        <v>13284</v>
      </c>
      <c r="O3863" s="9" t="s">
        <v>13284</v>
      </c>
      <c r="P3863" s="9" t="s">
        <v>13284</v>
      </c>
      <c r="Q3863" s="9" t="s">
        <v>13284</v>
      </c>
      <c r="R3863" s="9" t="s">
        <v>13284</v>
      </c>
      <c r="S3863" s="9" t="s">
        <v>13284</v>
      </c>
      <c r="T3863" s="9" t="str">
        <f ca="1">IFERROR(IF(AND(VLOOKUP(A3863, 'Актуальное состояние (из общего'!A:C,3,0) = "", A3863 &lt;&gt; ""), "ПРОВЕРИТЬ", VLOOKUP(A3863, 'Актуальное состояние (из общего'!A:C,3,0)), "")</f>
        <v/>
      </c>
      <c r="U3863" s="9" t="s">
        <v>13284</v>
      </c>
      <c r="V3863" s="9" t="s">
        <v>13284</v>
      </c>
      <c r="W3863" s="12"/>
      <c r="X3863" s="9" t="str">
        <f t="array" ref="X3863">IFERROR(INDEX('Адреса общежитий (скрытый)'!$B$2:$B$9, MATCH(W3863, 'Адреса общежитий (скрытый)'!$A$2:$A$9, 0)), "")</f>
        <v/>
      </c>
      <c r="Y3863" s="18"/>
      <c r="Z3863" s="18"/>
      <c r="AA3863" s="18"/>
      <c r="AB3863" s="18"/>
      <c r="AC3863" s="18"/>
    </row>
    <row r="3864" spans="1:29" ht="32.25" hidden="1" customHeight="1">
      <c r="A3864" s="17"/>
      <c r="B3864" s="9" t="s">
        <v>13284</v>
      </c>
      <c r="C3864" s="9" t="s">
        <v>13284</v>
      </c>
      <c r="D3864" s="9" t="s">
        <v>13284</v>
      </c>
      <c r="E3864" s="9" t="s">
        <v>13284</v>
      </c>
      <c r="F3864" s="9" t="s">
        <v>13284</v>
      </c>
      <c r="G3864" s="9" t="s">
        <v>13284</v>
      </c>
      <c r="H3864" s="9" t="s">
        <v>13284</v>
      </c>
      <c r="I3864" s="9" t="s">
        <v>13284</v>
      </c>
      <c r="J3864" s="9" t="s">
        <v>13284</v>
      </c>
      <c r="K3864" s="9" t="s">
        <v>13284</v>
      </c>
      <c r="L3864" s="9" t="s">
        <v>13284</v>
      </c>
      <c r="M3864" s="9" t="s">
        <v>13284</v>
      </c>
      <c r="N3864" s="9" t="s">
        <v>13284</v>
      </c>
      <c r="O3864" s="9" t="s">
        <v>13284</v>
      </c>
      <c r="P3864" s="9" t="s">
        <v>13284</v>
      </c>
      <c r="Q3864" s="9" t="s">
        <v>13284</v>
      </c>
      <c r="R3864" s="9" t="s">
        <v>13284</v>
      </c>
      <c r="S3864" s="9" t="s">
        <v>13284</v>
      </c>
      <c r="T3864" s="9" t="str">
        <f ca="1">IFERROR(IF(AND(VLOOKUP(A3864, 'Актуальное состояние (из общего'!A:C,3,0) = "", A3864 &lt;&gt; ""), "ПРОВЕРИТЬ", VLOOKUP(A3864, 'Актуальное состояние (из общего'!A:C,3,0)), "")</f>
        <v/>
      </c>
      <c r="U3864" s="9" t="s">
        <v>13284</v>
      </c>
      <c r="V3864" s="9" t="s">
        <v>13284</v>
      </c>
      <c r="W3864" s="12"/>
      <c r="X3864" s="9" t="str">
        <f t="array" ref="X3864">IFERROR(INDEX('Адреса общежитий (скрытый)'!$B$2:$B$9, MATCH(W3864, 'Адреса общежитий (скрытый)'!$A$2:$A$9, 0)), "")</f>
        <v/>
      </c>
      <c r="Y3864" s="18"/>
      <c r="Z3864" s="18"/>
      <c r="AA3864" s="18"/>
      <c r="AB3864" s="18"/>
      <c r="AC3864" s="18"/>
    </row>
    <row r="3865" spans="1:29" ht="32.25" hidden="1" customHeight="1">
      <c r="A3865" s="17"/>
      <c r="B3865" s="9" t="s">
        <v>13284</v>
      </c>
      <c r="C3865" s="9" t="s">
        <v>13284</v>
      </c>
      <c r="D3865" s="9" t="s">
        <v>13284</v>
      </c>
      <c r="E3865" s="9" t="s">
        <v>13284</v>
      </c>
      <c r="F3865" s="9" t="s">
        <v>13284</v>
      </c>
      <c r="G3865" s="9" t="s">
        <v>13284</v>
      </c>
      <c r="H3865" s="9" t="s">
        <v>13284</v>
      </c>
      <c r="I3865" s="9" t="s">
        <v>13284</v>
      </c>
      <c r="J3865" s="9" t="s">
        <v>13284</v>
      </c>
      <c r="K3865" s="9" t="s">
        <v>13284</v>
      </c>
      <c r="L3865" s="9" t="s">
        <v>13284</v>
      </c>
      <c r="M3865" s="9" t="s">
        <v>13284</v>
      </c>
      <c r="N3865" s="9" t="s">
        <v>13284</v>
      </c>
      <c r="O3865" s="9" t="s">
        <v>13284</v>
      </c>
      <c r="P3865" s="9" t="s">
        <v>13284</v>
      </c>
      <c r="Q3865" s="9" t="s">
        <v>13284</v>
      </c>
      <c r="R3865" s="9" t="s">
        <v>13284</v>
      </c>
      <c r="S3865" s="9" t="s">
        <v>13284</v>
      </c>
      <c r="T3865" s="9" t="str">
        <f ca="1">IFERROR(IF(AND(VLOOKUP(A3865, 'Актуальное состояние (из общего'!A:C,3,0) = "", A3865 &lt;&gt; ""), "ПРОВЕРИТЬ", VLOOKUP(A3865, 'Актуальное состояние (из общего'!A:C,3,0)), "")</f>
        <v/>
      </c>
      <c r="U3865" s="9" t="s">
        <v>13284</v>
      </c>
      <c r="V3865" s="9" t="s">
        <v>13284</v>
      </c>
      <c r="W3865" s="12"/>
      <c r="X3865" s="9" t="str">
        <f t="array" ref="X3865">IFERROR(INDEX('Адреса общежитий (скрытый)'!$B$2:$B$9, MATCH(W3865, 'Адреса общежитий (скрытый)'!$A$2:$A$9, 0)), "")</f>
        <v/>
      </c>
      <c r="Y3865" s="18"/>
      <c r="Z3865" s="18"/>
      <c r="AA3865" s="18"/>
      <c r="AB3865" s="18"/>
      <c r="AC3865" s="18"/>
    </row>
    <row r="3866" spans="1:29" ht="32.25" hidden="1" customHeight="1">
      <c r="A3866" s="17"/>
      <c r="B3866" s="9" t="s">
        <v>13284</v>
      </c>
      <c r="C3866" s="9" t="s">
        <v>13284</v>
      </c>
      <c r="D3866" s="9" t="s">
        <v>13284</v>
      </c>
      <c r="E3866" s="9" t="s">
        <v>13284</v>
      </c>
      <c r="F3866" s="9" t="s">
        <v>13284</v>
      </c>
      <c r="G3866" s="9" t="s">
        <v>13284</v>
      </c>
      <c r="H3866" s="9" t="s">
        <v>13284</v>
      </c>
      <c r="I3866" s="9" t="s">
        <v>13284</v>
      </c>
      <c r="J3866" s="9" t="s">
        <v>13284</v>
      </c>
      <c r="K3866" s="9" t="s">
        <v>13284</v>
      </c>
      <c r="L3866" s="9" t="s">
        <v>13284</v>
      </c>
      <c r="M3866" s="9" t="s">
        <v>13284</v>
      </c>
      <c r="N3866" s="9" t="s">
        <v>13284</v>
      </c>
      <c r="O3866" s="9" t="s">
        <v>13284</v>
      </c>
      <c r="P3866" s="9" t="s">
        <v>13284</v>
      </c>
      <c r="Q3866" s="9" t="s">
        <v>13284</v>
      </c>
      <c r="R3866" s="9" t="s">
        <v>13284</v>
      </c>
      <c r="S3866" s="9" t="s">
        <v>13284</v>
      </c>
      <c r="T3866" s="9" t="str">
        <f ca="1">IFERROR(IF(AND(VLOOKUP(A3866, 'Актуальное состояние (из общего'!A:C,3,0) = "", A3866 &lt;&gt; ""), "ПРОВЕРИТЬ", VLOOKUP(A3866, 'Актуальное состояние (из общего'!A:C,3,0)), "")</f>
        <v/>
      </c>
      <c r="U3866" s="9" t="s">
        <v>13284</v>
      </c>
      <c r="V3866" s="9" t="s">
        <v>13284</v>
      </c>
      <c r="W3866" s="12"/>
      <c r="X3866" s="9" t="str">
        <f t="array" ref="X3866">IFERROR(INDEX('Адреса общежитий (скрытый)'!$B$2:$B$9, MATCH(W3866, 'Адреса общежитий (скрытый)'!$A$2:$A$9, 0)), "")</f>
        <v/>
      </c>
      <c r="Y3866" s="18"/>
      <c r="Z3866" s="18"/>
      <c r="AA3866" s="18"/>
      <c r="AB3866" s="18"/>
      <c r="AC3866" s="18"/>
    </row>
    <row r="3867" spans="1:29" ht="32.25" hidden="1" customHeight="1">
      <c r="A3867" s="17"/>
      <c r="B3867" s="9" t="s">
        <v>13284</v>
      </c>
      <c r="C3867" s="9" t="s">
        <v>13284</v>
      </c>
      <c r="D3867" s="9" t="s">
        <v>13284</v>
      </c>
      <c r="E3867" s="9" t="s">
        <v>13284</v>
      </c>
      <c r="F3867" s="9" t="s">
        <v>13284</v>
      </c>
      <c r="G3867" s="9" t="s">
        <v>13284</v>
      </c>
      <c r="H3867" s="9" t="s">
        <v>13284</v>
      </c>
      <c r="I3867" s="9" t="s">
        <v>13284</v>
      </c>
      <c r="J3867" s="9" t="s">
        <v>13284</v>
      </c>
      <c r="K3867" s="9" t="s">
        <v>13284</v>
      </c>
      <c r="L3867" s="9" t="s">
        <v>13284</v>
      </c>
      <c r="M3867" s="9" t="s">
        <v>13284</v>
      </c>
      <c r="N3867" s="9" t="s">
        <v>13284</v>
      </c>
      <c r="O3867" s="9" t="s">
        <v>13284</v>
      </c>
      <c r="P3867" s="9" t="s">
        <v>13284</v>
      </c>
      <c r="Q3867" s="9" t="s">
        <v>13284</v>
      </c>
      <c r="R3867" s="9" t="s">
        <v>13284</v>
      </c>
      <c r="S3867" s="9" t="s">
        <v>13284</v>
      </c>
      <c r="T3867" s="9" t="str">
        <f ca="1">IFERROR(IF(AND(VLOOKUP(A3867, 'Актуальное состояние (из общего'!A:C,3,0) = "", A3867 &lt;&gt; ""), "ПРОВЕРИТЬ", VLOOKUP(A3867, 'Актуальное состояние (из общего'!A:C,3,0)), "")</f>
        <v/>
      </c>
      <c r="U3867" s="9" t="s">
        <v>13284</v>
      </c>
      <c r="V3867" s="9" t="s">
        <v>13284</v>
      </c>
      <c r="W3867" s="12"/>
      <c r="X3867" s="9" t="str">
        <f t="array" ref="X3867">IFERROR(INDEX('Адреса общежитий (скрытый)'!$B$2:$B$9, MATCH(W3867, 'Адреса общежитий (скрытый)'!$A$2:$A$9, 0)), "")</f>
        <v/>
      </c>
      <c r="Y3867" s="18"/>
      <c r="Z3867" s="18"/>
      <c r="AA3867" s="18"/>
      <c r="AB3867" s="18"/>
      <c r="AC3867" s="18"/>
    </row>
    <row r="3868" spans="1:29" ht="32.25" hidden="1" customHeight="1">
      <c r="A3868" s="17"/>
      <c r="B3868" s="9" t="s">
        <v>13284</v>
      </c>
      <c r="C3868" s="9" t="s">
        <v>13284</v>
      </c>
      <c r="D3868" s="9" t="s">
        <v>13284</v>
      </c>
      <c r="E3868" s="9" t="s">
        <v>13284</v>
      </c>
      <c r="F3868" s="9" t="s">
        <v>13284</v>
      </c>
      <c r="G3868" s="9" t="s">
        <v>13284</v>
      </c>
      <c r="H3868" s="9" t="s">
        <v>13284</v>
      </c>
      <c r="I3868" s="9" t="s">
        <v>13284</v>
      </c>
      <c r="J3868" s="9" t="s">
        <v>13284</v>
      </c>
      <c r="K3868" s="9" t="s">
        <v>13284</v>
      </c>
      <c r="L3868" s="9" t="s">
        <v>13284</v>
      </c>
      <c r="M3868" s="9" t="s">
        <v>13284</v>
      </c>
      <c r="N3868" s="9" t="s">
        <v>13284</v>
      </c>
      <c r="O3868" s="9" t="s">
        <v>13284</v>
      </c>
      <c r="P3868" s="9" t="s">
        <v>13284</v>
      </c>
      <c r="Q3868" s="9" t="s">
        <v>13284</v>
      </c>
      <c r="R3868" s="9" t="s">
        <v>13284</v>
      </c>
      <c r="S3868" s="9" t="s">
        <v>13284</v>
      </c>
      <c r="T3868" s="9" t="str">
        <f ca="1">IFERROR(IF(AND(VLOOKUP(A3868, 'Актуальное состояние (из общего'!A:C,3,0) = "", A3868 &lt;&gt; ""), "ПРОВЕРИТЬ", VLOOKUP(A3868, 'Актуальное состояние (из общего'!A:C,3,0)), "")</f>
        <v/>
      </c>
      <c r="U3868" s="9" t="s">
        <v>13284</v>
      </c>
      <c r="V3868" s="9" t="s">
        <v>13284</v>
      </c>
      <c r="W3868" s="12"/>
      <c r="X3868" s="9" t="str">
        <f t="array" ref="X3868">IFERROR(INDEX('Адреса общежитий (скрытый)'!$B$2:$B$9, MATCH(W3868, 'Адреса общежитий (скрытый)'!$A$2:$A$9, 0)), "")</f>
        <v/>
      </c>
      <c r="Y3868" s="18"/>
      <c r="Z3868" s="18"/>
      <c r="AA3868" s="18"/>
      <c r="AB3868" s="18"/>
      <c r="AC3868" s="18"/>
    </row>
    <row r="3869" spans="1:29" ht="32.25" hidden="1" customHeight="1">
      <c r="A3869" s="17"/>
      <c r="B3869" s="9" t="s">
        <v>13284</v>
      </c>
      <c r="C3869" s="9" t="s">
        <v>13284</v>
      </c>
      <c r="D3869" s="9" t="s">
        <v>13284</v>
      </c>
      <c r="E3869" s="9" t="s">
        <v>13284</v>
      </c>
      <c r="F3869" s="9" t="s">
        <v>13284</v>
      </c>
      <c r="G3869" s="9" t="s">
        <v>13284</v>
      </c>
      <c r="H3869" s="9" t="s">
        <v>13284</v>
      </c>
      <c r="I3869" s="9" t="s">
        <v>13284</v>
      </c>
      <c r="J3869" s="9" t="s">
        <v>13284</v>
      </c>
      <c r="K3869" s="9" t="s">
        <v>13284</v>
      </c>
      <c r="L3869" s="9" t="s">
        <v>13284</v>
      </c>
      <c r="M3869" s="9" t="s">
        <v>13284</v>
      </c>
      <c r="N3869" s="9" t="s">
        <v>13284</v>
      </c>
      <c r="O3869" s="9" t="s">
        <v>13284</v>
      </c>
      <c r="P3869" s="9" t="s">
        <v>13284</v>
      </c>
      <c r="Q3869" s="9" t="s">
        <v>13284</v>
      </c>
      <c r="R3869" s="9" t="s">
        <v>13284</v>
      </c>
      <c r="S3869" s="9" t="s">
        <v>13284</v>
      </c>
      <c r="T3869" s="9" t="str">
        <f ca="1">IFERROR(IF(AND(VLOOKUP(A3869, 'Актуальное состояние (из общего'!A:C,3,0) = "", A3869 &lt;&gt; ""), "ПРОВЕРИТЬ", VLOOKUP(A3869, 'Актуальное состояние (из общего'!A:C,3,0)), "")</f>
        <v/>
      </c>
      <c r="U3869" s="9" t="s">
        <v>13284</v>
      </c>
      <c r="V3869" s="9" t="s">
        <v>13284</v>
      </c>
      <c r="W3869" s="12"/>
      <c r="X3869" s="9" t="str">
        <f t="array" ref="X3869">IFERROR(INDEX('Адреса общежитий (скрытый)'!$B$2:$B$9, MATCH(W3869, 'Адреса общежитий (скрытый)'!$A$2:$A$9, 0)), "")</f>
        <v/>
      </c>
      <c r="Y3869" s="18"/>
      <c r="Z3869" s="18"/>
      <c r="AA3869" s="18"/>
      <c r="AB3869" s="18"/>
      <c r="AC3869" s="18"/>
    </row>
    <row r="3870" spans="1:29" ht="32.25" hidden="1" customHeight="1">
      <c r="A3870" s="17"/>
      <c r="B3870" s="9" t="s">
        <v>13284</v>
      </c>
      <c r="C3870" s="9" t="s">
        <v>13284</v>
      </c>
      <c r="D3870" s="9" t="s">
        <v>13284</v>
      </c>
      <c r="E3870" s="9" t="s">
        <v>13284</v>
      </c>
      <c r="F3870" s="9" t="s">
        <v>13284</v>
      </c>
      <c r="G3870" s="9" t="s">
        <v>13284</v>
      </c>
      <c r="H3870" s="9" t="s">
        <v>13284</v>
      </c>
      <c r="I3870" s="9" t="s">
        <v>13284</v>
      </c>
      <c r="J3870" s="9" t="s">
        <v>13284</v>
      </c>
      <c r="K3870" s="9" t="s">
        <v>13284</v>
      </c>
      <c r="L3870" s="9" t="s">
        <v>13284</v>
      </c>
      <c r="M3870" s="9" t="s">
        <v>13284</v>
      </c>
      <c r="N3870" s="9" t="s">
        <v>13284</v>
      </c>
      <c r="O3870" s="9" t="s">
        <v>13284</v>
      </c>
      <c r="P3870" s="9" t="s">
        <v>13284</v>
      </c>
      <c r="Q3870" s="9" t="s">
        <v>13284</v>
      </c>
      <c r="R3870" s="9" t="s">
        <v>13284</v>
      </c>
      <c r="S3870" s="9" t="s">
        <v>13284</v>
      </c>
      <c r="T3870" s="9" t="str">
        <f ca="1">IFERROR(IF(AND(VLOOKUP(A3870, 'Актуальное состояние (из общего'!A:C,3,0) = "", A3870 &lt;&gt; ""), "ПРОВЕРИТЬ", VLOOKUP(A3870, 'Актуальное состояние (из общего'!A:C,3,0)), "")</f>
        <v/>
      </c>
      <c r="U3870" s="9" t="s">
        <v>13284</v>
      </c>
      <c r="V3870" s="9" t="s">
        <v>13284</v>
      </c>
      <c r="W3870" s="12"/>
      <c r="X3870" s="9" t="str">
        <f t="array" ref="X3870">IFERROR(INDEX('Адреса общежитий (скрытый)'!$B$2:$B$9, MATCH(W3870, 'Адреса общежитий (скрытый)'!$A$2:$A$9, 0)), "")</f>
        <v/>
      </c>
      <c r="Y3870" s="18"/>
      <c r="Z3870" s="18"/>
      <c r="AA3870" s="18"/>
      <c r="AB3870" s="18"/>
      <c r="AC3870" s="18"/>
    </row>
    <row r="3871" spans="1:29" ht="32.25" hidden="1" customHeight="1">
      <c r="A3871" s="17"/>
      <c r="B3871" s="9" t="s">
        <v>13284</v>
      </c>
      <c r="C3871" s="9" t="s">
        <v>13284</v>
      </c>
      <c r="D3871" s="9" t="s">
        <v>13284</v>
      </c>
      <c r="E3871" s="9" t="s">
        <v>13284</v>
      </c>
      <c r="F3871" s="9" t="s">
        <v>13284</v>
      </c>
      <c r="G3871" s="9" t="s">
        <v>13284</v>
      </c>
      <c r="H3871" s="9" t="s">
        <v>13284</v>
      </c>
      <c r="I3871" s="9" t="s">
        <v>13284</v>
      </c>
      <c r="J3871" s="9" t="s">
        <v>13284</v>
      </c>
      <c r="K3871" s="9" t="s">
        <v>13284</v>
      </c>
      <c r="L3871" s="9" t="s">
        <v>13284</v>
      </c>
      <c r="M3871" s="9" t="s">
        <v>13284</v>
      </c>
      <c r="N3871" s="9" t="s">
        <v>13284</v>
      </c>
      <c r="O3871" s="9" t="s">
        <v>13284</v>
      </c>
      <c r="P3871" s="9" t="s">
        <v>13284</v>
      </c>
      <c r="Q3871" s="9" t="s">
        <v>13284</v>
      </c>
      <c r="R3871" s="9" t="s">
        <v>13284</v>
      </c>
      <c r="S3871" s="9" t="s">
        <v>13284</v>
      </c>
      <c r="T3871" s="9" t="str">
        <f ca="1">IFERROR(IF(AND(VLOOKUP(A3871, 'Актуальное состояние (из общего'!A:C,3,0) = "", A3871 &lt;&gt; ""), "ПРОВЕРИТЬ", VLOOKUP(A3871, 'Актуальное состояние (из общего'!A:C,3,0)), "")</f>
        <v/>
      </c>
      <c r="U3871" s="9" t="s">
        <v>13284</v>
      </c>
      <c r="V3871" s="9" t="s">
        <v>13284</v>
      </c>
      <c r="W3871" s="12"/>
      <c r="X3871" s="9" t="str">
        <f t="array" ref="X3871">IFERROR(INDEX('Адреса общежитий (скрытый)'!$B$2:$B$9, MATCH(W3871, 'Адреса общежитий (скрытый)'!$A$2:$A$9, 0)), "")</f>
        <v/>
      </c>
      <c r="Y3871" s="18"/>
      <c r="Z3871" s="18"/>
      <c r="AA3871" s="18"/>
      <c r="AB3871" s="18"/>
      <c r="AC3871" s="18"/>
    </row>
    <row r="3872" spans="1:29" ht="32.25" hidden="1" customHeight="1">
      <c r="A3872" s="17"/>
      <c r="B3872" s="9" t="s">
        <v>13284</v>
      </c>
      <c r="C3872" s="9" t="s">
        <v>13284</v>
      </c>
      <c r="D3872" s="9" t="s">
        <v>13284</v>
      </c>
      <c r="E3872" s="9" t="s">
        <v>13284</v>
      </c>
      <c r="F3872" s="9" t="s">
        <v>13284</v>
      </c>
      <c r="G3872" s="9" t="s">
        <v>13284</v>
      </c>
      <c r="H3872" s="9" t="s">
        <v>13284</v>
      </c>
      <c r="I3872" s="9" t="s">
        <v>13284</v>
      </c>
      <c r="J3872" s="9" t="s">
        <v>13284</v>
      </c>
      <c r="K3872" s="9" t="s">
        <v>13284</v>
      </c>
      <c r="L3872" s="9" t="s">
        <v>13284</v>
      </c>
      <c r="M3872" s="9" t="s">
        <v>13284</v>
      </c>
      <c r="N3872" s="9" t="s">
        <v>13284</v>
      </c>
      <c r="O3872" s="9" t="s">
        <v>13284</v>
      </c>
      <c r="P3872" s="9" t="s">
        <v>13284</v>
      </c>
      <c r="Q3872" s="9" t="s">
        <v>13284</v>
      </c>
      <c r="R3872" s="9" t="s">
        <v>13284</v>
      </c>
      <c r="S3872" s="9" t="s">
        <v>13284</v>
      </c>
      <c r="T3872" s="9" t="str">
        <f ca="1">IFERROR(IF(AND(VLOOKUP(A3872, 'Актуальное состояние (из общего'!A:C,3,0) = "", A3872 &lt;&gt; ""), "ПРОВЕРИТЬ", VLOOKUP(A3872, 'Актуальное состояние (из общего'!A:C,3,0)), "")</f>
        <v/>
      </c>
      <c r="U3872" s="9" t="s">
        <v>13284</v>
      </c>
      <c r="V3872" s="9" t="s">
        <v>13284</v>
      </c>
      <c r="W3872" s="12"/>
      <c r="X3872" s="9" t="str">
        <f t="array" ref="X3872">IFERROR(INDEX('Адреса общежитий (скрытый)'!$B$2:$B$9, MATCH(W3872, 'Адреса общежитий (скрытый)'!$A$2:$A$9, 0)), "")</f>
        <v/>
      </c>
      <c r="Y3872" s="18"/>
      <c r="Z3872" s="18"/>
      <c r="AA3872" s="18"/>
      <c r="AB3872" s="18"/>
      <c r="AC3872" s="18"/>
    </row>
    <row r="3873" spans="1:29" ht="32.25" hidden="1" customHeight="1">
      <c r="A3873" s="17"/>
      <c r="B3873" s="9" t="s">
        <v>13284</v>
      </c>
      <c r="C3873" s="9" t="s">
        <v>13284</v>
      </c>
      <c r="D3873" s="9" t="s">
        <v>13284</v>
      </c>
      <c r="E3873" s="9" t="s">
        <v>13284</v>
      </c>
      <c r="F3873" s="9" t="s">
        <v>13284</v>
      </c>
      <c r="G3873" s="9" t="s">
        <v>13284</v>
      </c>
      <c r="H3873" s="9" t="s">
        <v>13284</v>
      </c>
      <c r="I3873" s="9" t="s">
        <v>13284</v>
      </c>
      <c r="J3873" s="9" t="s">
        <v>13284</v>
      </c>
      <c r="K3873" s="9" t="s">
        <v>13284</v>
      </c>
      <c r="L3873" s="9" t="s">
        <v>13284</v>
      </c>
      <c r="M3873" s="9" t="s">
        <v>13284</v>
      </c>
      <c r="N3873" s="9" t="s">
        <v>13284</v>
      </c>
      <c r="O3873" s="9" t="s">
        <v>13284</v>
      </c>
      <c r="P3873" s="9" t="s">
        <v>13284</v>
      </c>
      <c r="Q3873" s="9" t="s">
        <v>13284</v>
      </c>
      <c r="R3873" s="9" t="s">
        <v>13284</v>
      </c>
      <c r="S3873" s="9" t="s">
        <v>13284</v>
      </c>
      <c r="T3873" s="9" t="str">
        <f ca="1">IFERROR(IF(AND(VLOOKUP(A3873, 'Актуальное состояние (из общего'!A:C,3,0) = "", A3873 &lt;&gt; ""), "ПРОВЕРИТЬ", VLOOKUP(A3873, 'Актуальное состояние (из общего'!A:C,3,0)), "")</f>
        <v/>
      </c>
      <c r="U3873" s="9" t="s">
        <v>13284</v>
      </c>
      <c r="V3873" s="9" t="s">
        <v>13284</v>
      </c>
      <c r="W3873" s="12"/>
      <c r="X3873" s="9" t="str">
        <f t="array" ref="X3873">IFERROR(INDEX('Адреса общежитий (скрытый)'!$B$2:$B$9, MATCH(W3873, 'Адреса общежитий (скрытый)'!$A$2:$A$9, 0)), "")</f>
        <v/>
      </c>
      <c r="Y3873" s="18"/>
      <c r="Z3873" s="18"/>
      <c r="AA3873" s="18"/>
      <c r="AB3873" s="18"/>
      <c r="AC3873" s="18"/>
    </row>
    <row r="3874" spans="1:29" ht="32.25" hidden="1" customHeight="1">
      <c r="A3874" s="17"/>
      <c r="B3874" s="9" t="s">
        <v>13284</v>
      </c>
      <c r="C3874" s="9" t="s">
        <v>13284</v>
      </c>
      <c r="D3874" s="9" t="s">
        <v>13284</v>
      </c>
      <c r="E3874" s="9" t="s">
        <v>13284</v>
      </c>
      <c r="F3874" s="9" t="s">
        <v>13284</v>
      </c>
      <c r="G3874" s="9" t="s">
        <v>13284</v>
      </c>
      <c r="H3874" s="9" t="s">
        <v>13284</v>
      </c>
      <c r="I3874" s="9" t="s">
        <v>13284</v>
      </c>
      <c r="J3874" s="9" t="s">
        <v>13284</v>
      </c>
      <c r="K3874" s="9" t="s">
        <v>13284</v>
      </c>
      <c r="L3874" s="9" t="s">
        <v>13284</v>
      </c>
      <c r="M3874" s="9" t="s">
        <v>13284</v>
      </c>
      <c r="N3874" s="9" t="s">
        <v>13284</v>
      </c>
      <c r="O3874" s="9" t="s">
        <v>13284</v>
      </c>
      <c r="P3874" s="9" t="s">
        <v>13284</v>
      </c>
      <c r="Q3874" s="9" t="s">
        <v>13284</v>
      </c>
      <c r="R3874" s="9" t="s">
        <v>13284</v>
      </c>
      <c r="S3874" s="9" t="s">
        <v>13284</v>
      </c>
      <c r="T3874" s="9" t="str">
        <f ca="1">IFERROR(IF(AND(VLOOKUP(A3874, 'Актуальное состояние (из общего'!A:C,3,0) = "", A3874 &lt;&gt; ""), "ПРОВЕРИТЬ", VLOOKUP(A3874, 'Актуальное состояние (из общего'!A:C,3,0)), "")</f>
        <v/>
      </c>
      <c r="U3874" s="9" t="s">
        <v>13284</v>
      </c>
      <c r="V3874" s="9" t="s">
        <v>13284</v>
      </c>
      <c r="W3874" s="12"/>
      <c r="X3874" s="9" t="str">
        <f t="array" ref="X3874">IFERROR(INDEX('Адреса общежитий (скрытый)'!$B$2:$B$9, MATCH(W3874, 'Адреса общежитий (скрытый)'!$A$2:$A$9, 0)), "")</f>
        <v/>
      </c>
      <c r="Y3874" s="18"/>
      <c r="Z3874" s="18"/>
      <c r="AA3874" s="18"/>
      <c r="AB3874" s="18"/>
      <c r="AC3874" s="18"/>
    </row>
    <row r="3875" spans="1:29" ht="32.25" hidden="1" customHeight="1">
      <c r="A3875" s="17"/>
      <c r="B3875" s="9" t="s">
        <v>13284</v>
      </c>
      <c r="C3875" s="9" t="s">
        <v>13284</v>
      </c>
      <c r="D3875" s="9" t="s">
        <v>13284</v>
      </c>
      <c r="E3875" s="9" t="s">
        <v>13284</v>
      </c>
      <c r="F3875" s="9" t="s">
        <v>13284</v>
      </c>
      <c r="G3875" s="9" t="s">
        <v>13284</v>
      </c>
      <c r="H3875" s="9" t="s">
        <v>13284</v>
      </c>
      <c r="I3875" s="9" t="s">
        <v>13284</v>
      </c>
      <c r="J3875" s="9" t="s">
        <v>13284</v>
      </c>
      <c r="K3875" s="9" t="s">
        <v>13284</v>
      </c>
      <c r="L3875" s="9" t="s">
        <v>13284</v>
      </c>
      <c r="M3875" s="9" t="s">
        <v>13284</v>
      </c>
      <c r="N3875" s="9" t="s">
        <v>13284</v>
      </c>
      <c r="O3875" s="9" t="s">
        <v>13284</v>
      </c>
      <c r="P3875" s="9" t="s">
        <v>13284</v>
      </c>
      <c r="Q3875" s="9" t="s">
        <v>13284</v>
      </c>
      <c r="R3875" s="9" t="s">
        <v>13284</v>
      </c>
      <c r="S3875" s="9" t="s">
        <v>13284</v>
      </c>
      <c r="T3875" s="9" t="str">
        <f ca="1">IFERROR(IF(AND(VLOOKUP(A3875, 'Актуальное состояние (из общего'!A:C,3,0) = "", A3875 &lt;&gt; ""), "ПРОВЕРИТЬ", VLOOKUP(A3875, 'Актуальное состояние (из общего'!A:C,3,0)), "")</f>
        <v/>
      </c>
      <c r="U3875" s="9" t="s">
        <v>13284</v>
      </c>
      <c r="V3875" s="9" t="s">
        <v>13284</v>
      </c>
      <c r="W3875" s="12"/>
      <c r="X3875" s="9" t="str">
        <f t="array" ref="X3875">IFERROR(INDEX('Адреса общежитий (скрытый)'!$B$2:$B$9, MATCH(W3875, 'Адреса общежитий (скрытый)'!$A$2:$A$9, 0)), "")</f>
        <v/>
      </c>
      <c r="Y3875" s="18"/>
      <c r="Z3875" s="18"/>
      <c r="AA3875" s="18"/>
      <c r="AB3875" s="18"/>
      <c r="AC3875" s="18"/>
    </row>
    <row r="3876" spans="1:29" ht="32.25" hidden="1" customHeight="1">
      <c r="A3876" s="17"/>
      <c r="B3876" s="9" t="s">
        <v>13284</v>
      </c>
      <c r="C3876" s="9" t="s">
        <v>13284</v>
      </c>
      <c r="D3876" s="9" t="s">
        <v>13284</v>
      </c>
      <c r="E3876" s="9" t="s">
        <v>13284</v>
      </c>
      <c r="F3876" s="9" t="s">
        <v>13284</v>
      </c>
      <c r="G3876" s="9" t="s">
        <v>13284</v>
      </c>
      <c r="H3876" s="9" t="s">
        <v>13284</v>
      </c>
      <c r="I3876" s="9" t="s">
        <v>13284</v>
      </c>
      <c r="J3876" s="9" t="s">
        <v>13284</v>
      </c>
      <c r="K3876" s="9" t="s">
        <v>13284</v>
      </c>
      <c r="L3876" s="9" t="s">
        <v>13284</v>
      </c>
      <c r="M3876" s="9" t="s">
        <v>13284</v>
      </c>
      <c r="N3876" s="9" t="s">
        <v>13284</v>
      </c>
      <c r="O3876" s="9" t="s">
        <v>13284</v>
      </c>
      <c r="P3876" s="9" t="s">
        <v>13284</v>
      </c>
      <c r="Q3876" s="9" t="s">
        <v>13284</v>
      </c>
      <c r="R3876" s="9" t="s">
        <v>13284</v>
      </c>
      <c r="S3876" s="9" t="s">
        <v>13284</v>
      </c>
      <c r="T3876" s="9" t="str">
        <f ca="1">IFERROR(IF(AND(VLOOKUP(A3876, 'Актуальное состояние (из общего'!A:C,3,0) = "", A3876 &lt;&gt; ""), "ПРОВЕРИТЬ", VLOOKUP(A3876, 'Актуальное состояние (из общего'!A:C,3,0)), "")</f>
        <v/>
      </c>
      <c r="U3876" s="9" t="s">
        <v>13284</v>
      </c>
      <c r="V3876" s="9" t="s">
        <v>13284</v>
      </c>
      <c r="W3876" s="12"/>
      <c r="X3876" s="9" t="str">
        <f t="array" ref="X3876">IFERROR(INDEX('Адреса общежитий (скрытый)'!$B$2:$B$9, MATCH(W3876, 'Адреса общежитий (скрытый)'!$A$2:$A$9, 0)), "")</f>
        <v/>
      </c>
      <c r="Y3876" s="18"/>
      <c r="Z3876" s="18"/>
      <c r="AA3876" s="18"/>
      <c r="AB3876" s="18"/>
      <c r="AC3876" s="18"/>
    </row>
    <row r="3877" spans="1:29" ht="32.25" hidden="1" customHeight="1">
      <c r="A3877" s="17"/>
      <c r="B3877" s="9" t="s">
        <v>13284</v>
      </c>
      <c r="C3877" s="9" t="s">
        <v>13284</v>
      </c>
      <c r="D3877" s="9" t="s">
        <v>13284</v>
      </c>
      <c r="E3877" s="9" t="s">
        <v>13284</v>
      </c>
      <c r="F3877" s="9" t="s">
        <v>13284</v>
      </c>
      <c r="G3877" s="9" t="s">
        <v>13284</v>
      </c>
      <c r="H3877" s="9" t="s">
        <v>13284</v>
      </c>
      <c r="I3877" s="9" t="s">
        <v>13284</v>
      </c>
      <c r="J3877" s="9" t="s">
        <v>13284</v>
      </c>
      <c r="K3877" s="9" t="s">
        <v>13284</v>
      </c>
      <c r="L3877" s="9" t="s">
        <v>13284</v>
      </c>
      <c r="M3877" s="9" t="s">
        <v>13284</v>
      </c>
      <c r="N3877" s="9" t="s">
        <v>13284</v>
      </c>
      <c r="O3877" s="9" t="s">
        <v>13284</v>
      </c>
      <c r="P3877" s="9" t="s">
        <v>13284</v>
      </c>
      <c r="Q3877" s="9" t="s">
        <v>13284</v>
      </c>
      <c r="R3877" s="9" t="s">
        <v>13284</v>
      </c>
      <c r="S3877" s="9" t="s">
        <v>13284</v>
      </c>
      <c r="T3877" s="9" t="str">
        <f ca="1">IFERROR(IF(AND(VLOOKUP(A3877, 'Актуальное состояние (из общего'!A:C,3,0) = "", A3877 &lt;&gt; ""), "ПРОВЕРИТЬ", VLOOKUP(A3877, 'Актуальное состояние (из общего'!A:C,3,0)), "")</f>
        <v/>
      </c>
      <c r="U3877" s="9" t="s">
        <v>13284</v>
      </c>
      <c r="V3877" s="9" t="s">
        <v>13284</v>
      </c>
      <c r="W3877" s="12"/>
      <c r="X3877" s="9" t="str">
        <f t="array" ref="X3877">IFERROR(INDEX('Адреса общежитий (скрытый)'!$B$2:$B$9, MATCH(W3877, 'Адреса общежитий (скрытый)'!$A$2:$A$9, 0)), "")</f>
        <v/>
      </c>
      <c r="Y3877" s="18"/>
      <c r="Z3877" s="18"/>
      <c r="AA3877" s="18"/>
      <c r="AB3877" s="18"/>
      <c r="AC3877" s="18"/>
    </row>
    <row r="3878" spans="1:29" ht="32.25" hidden="1" customHeight="1">
      <c r="A3878" s="17"/>
      <c r="B3878" s="9" t="s">
        <v>13284</v>
      </c>
      <c r="C3878" s="9" t="s">
        <v>13284</v>
      </c>
      <c r="D3878" s="9" t="s">
        <v>13284</v>
      </c>
      <c r="E3878" s="9" t="s">
        <v>13284</v>
      </c>
      <c r="F3878" s="9" t="s">
        <v>13284</v>
      </c>
      <c r="G3878" s="9" t="s">
        <v>13284</v>
      </c>
      <c r="H3878" s="9" t="s">
        <v>13284</v>
      </c>
      <c r="I3878" s="9" t="s">
        <v>13284</v>
      </c>
      <c r="J3878" s="9" t="s">
        <v>13284</v>
      </c>
      <c r="K3878" s="9" t="s">
        <v>13284</v>
      </c>
      <c r="L3878" s="9" t="s">
        <v>13284</v>
      </c>
      <c r="M3878" s="9" t="s">
        <v>13284</v>
      </c>
      <c r="N3878" s="9" t="s">
        <v>13284</v>
      </c>
      <c r="O3878" s="9" t="s">
        <v>13284</v>
      </c>
      <c r="P3878" s="9" t="s">
        <v>13284</v>
      </c>
      <c r="Q3878" s="9" t="s">
        <v>13284</v>
      </c>
      <c r="R3878" s="9" t="s">
        <v>13284</v>
      </c>
      <c r="S3878" s="9" t="s">
        <v>13284</v>
      </c>
      <c r="T3878" s="9" t="str">
        <f ca="1">IFERROR(IF(AND(VLOOKUP(A3878, 'Актуальное состояние (из общего'!A:C,3,0) = "", A3878 &lt;&gt; ""), "ПРОВЕРИТЬ", VLOOKUP(A3878, 'Актуальное состояние (из общего'!A:C,3,0)), "")</f>
        <v/>
      </c>
      <c r="U3878" s="9" t="s">
        <v>13284</v>
      </c>
      <c r="V3878" s="9" t="s">
        <v>13284</v>
      </c>
      <c r="W3878" s="12"/>
      <c r="X3878" s="9" t="str">
        <f t="array" ref="X3878">IFERROR(INDEX('Адреса общежитий (скрытый)'!$B$2:$B$9, MATCH(W3878, 'Адреса общежитий (скрытый)'!$A$2:$A$9, 0)), "")</f>
        <v/>
      </c>
      <c r="Y3878" s="18"/>
      <c r="Z3878" s="18"/>
      <c r="AA3878" s="18"/>
      <c r="AB3878" s="18"/>
      <c r="AC3878" s="18"/>
    </row>
    <row r="3879" spans="1:29" ht="32.25" hidden="1" customHeight="1">
      <c r="A3879" s="17"/>
      <c r="B3879" s="9" t="s">
        <v>13284</v>
      </c>
      <c r="C3879" s="9" t="s">
        <v>13284</v>
      </c>
      <c r="D3879" s="9" t="s">
        <v>13284</v>
      </c>
      <c r="E3879" s="9" t="s">
        <v>13284</v>
      </c>
      <c r="F3879" s="9" t="s">
        <v>13284</v>
      </c>
      <c r="G3879" s="9" t="s">
        <v>13284</v>
      </c>
      <c r="H3879" s="9" t="s">
        <v>13284</v>
      </c>
      <c r="I3879" s="9" t="s">
        <v>13284</v>
      </c>
      <c r="J3879" s="9" t="s">
        <v>13284</v>
      </c>
      <c r="K3879" s="9" t="s">
        <v>13284</v>
      </c>
      <c r="L3879" s="9" t="s">
        <v>13284</v>
      </c>
      <c r="M3879" s="9" t="s">
        <v>13284</v>
      </c>
      <c r="N3879" s="9" t="s">
        <v>13284</v>
      </c>
      <c r="O3879" s="9" t="s">
        <v>13284</v>
      </c>
      <c r="P3879" s="9" t="s">
        <v>13284</v>
      </c>
      <c r="Q3879" s="9" t="s">
        <v>13284</v>
      </c>
      <c r="R3879" s="9" t="s">
        <v>13284</v>
      </c>
      <c r="S3879" s="9" t="s">
        <v>13284</v>
      </c>
      <c r="T3879" s="9" t="str">
        <f ca="1">IFERROR(IF(AND(VLOOKUP(A3879, 'Актуальное состояние (из общего'!A:C,3,0) = "", A3879 &lt;&gt; ""), "ПРОВЕРИТЬ", VLOOKUP(A3879, 'Актуальное состояние (из общего'!A:C,3,0)), "")</f>
        <v/>
      </c>
      <c r="U3879" s="9" t="s">
        <v>13284</v>
      </c>
      <c r="V3879" s="9" t="s">
        <v>13284</v>
      </c>
      <c r="W3879" s="12"/>
      <c r="X3879" s="9" t="str">
        <f t="array" ref="X3879">IFERROR(INDEX('Адреса общежитий (скрытый)'!$B$2:$B$9, MATCH(W3879, 'Адреса общежитий (скрытый)'!$A$2:$A$9, 0)), "")</f>
        <v/>
      </c>
      <c r="Y3879" s="18"/>
      <c r="Z3879" s="18"/>
      <c r="AA3879" s="18"/>
      <c r="AB3879" s="18"/>
      <c r="AC3879" s="18"/>
    </row>
    <row r="3880" spans="1:29" ht="32.25" hidden="1" customHeight="1">
      <c r="A3880" s="17"/>
      <c r="B3880" s="9" t="s">
        <v>13284</v>
      </c>
      <c r="C3880" s="9" t="s">
        <v>13284</v>
      </c>
      <c r="D3880" s="9" t="s">
        <v>13284</v>
      </c>
      <c r="E3880" s="9" t="s">
        <v>13284</v>
      </c>
      <c r="F3880" s="9" t="s">
        <v>13284</v>
      </c>
      <c r="G3880" s="9" t="s">
        <v>13284</v>
      </c>
      <c r="H3880" s="9" t="s">
        <v>13284</v>
      </c>
      <c r="I3880" s="9" t="s">
        <v>13284</v>
      </c>
      <c r="J3880" s="9" t="s">
        <v>13284</v>
      </c>
      <c r="K3880" s="9" t="s">
        <v>13284</v>
      </c>
      <c r="L3880" s="9" t="s">
        <v>13284</v>
      </c>
      <c r="M3880" s="9" t="s">
        <v>13284</v>
      </c>
      <c r="N3880" s="9" t="s">
        <v>13284</v>
      </c>
      <c r="O3880" s="9" t="s">
        <v>13284</v>
      </c>
      <c r="P3880" s="9" t="s">
        <v>13284</v>
      </c>
      <c r="Q3880" s="9" t="s">
        <v>13284</v>
      </c>
      <c r="R3880" s="9" t="s">
        <v>13284</v>
      </c>
      <c r="S3880" s="9" t="s">
        <v>13284</v>
      </c>
      <c r="T3880" s="9" t="str">
        <f ca="1">IFERROR(IF(AND(VLOOKUP(A3880, 'Актуальное состояние (из общего'!A:C,3,0) = "", A3880 &lt;&gt; ""), "ПРОВЕРИТЬ", VLOOKUP(A3880, 'Актуальное состояние (из общего'!A:C,3,0)), "")</f>
        <v/>
      </c>
      <c r="U3880" s="9" t="s">
        <v>13284</v>
      </c>
      <c r="V3880" s="9" t="s">
        <v>13284</v>
      </c>
      <c r="W3880" s="12"/>
      <c r="X3880" s="9" t="str">
        <f t="array" ref="X3880">IFERROR(INDEX('Адреса общежитий (скрытый)'!$B$2:$B$9, MATCH(W3880, 'Адреса общежитий (скрытый)'!$A$2:$A$9, 0)), "")</f>
        <v/>
      </c>
      <c r="Y3880" s="18"/>
      <c r="Z3880" s="18"/>
      <c r="AA3880" s="18"/>
      <c r="AB3880" s="18"/>
      <c r="AC3880" s="18"/>
    </row>
    <row r="3881" spans="1:29" ht="32.25" hidden="1" customHeight="1">
      <c r="A3881" s="17"/>
      <c r="B3881" s="9" t="s">
        <v>13284</v>
      </c>
      <c r="C3881" s="9" t="s">
        <v>13284</v>
      </c>
      <c r="D3881" s="9" t="s">
        <v>13284</v>
      </c>
      <c r="E3881" s="9" t="s">
        <v>13284</v>
      </c>
      <c r="F3881" s="9" t="s">
        <v>13284</v>
      </c>
      <c r="G3881" s="9" t="s">
        <v>13284</v>
      </c>
      <c r="H3881" s="9" t="s">
        <v>13284</v>
      </c>
      <c r="I3881" s="9" t="s">
        <v>13284</v>
      </c>
      <c r="J3881" s="9" t="s">
        <v>13284</v>
      </c>
      <c r="K3881" s="9" t="s">
        <v>13284</v>
      </c>
      <c r="L3881" s="9" t="s">
        <v>13284</v>
      </c>
      <c r="M3881" s="9" t="s">
        <v>13284</v>
      </c>
      <c r="N3881" s="9" t="s">
        <v>13284</v>
      </c>
      <c r="O3881" s="9" t="s">
        <v>13284</v>
      </c>
      <c r="P3881" s="9" t="s">
        <v>13284</v>
      </c>
      <c r="Q3881" s="9" t="s">
        <v>13284</v>
      </c>
      <c r="R3881" s="9" t="s">
        <v>13284</v>
      </c>
      <c r="S3881" s="9" t="s">
        <v>13284</v>
      </c>
      <c r="T3881" s="9" t="str">
        <f ca="1">IFERROR(IF(AND(VLOOKUP(A3881, 'Актуальное состояние (из общего'!A:C,3,0) = "", A3881 &lt;&gt; ""), "ПРОВЕРИТЬ", VLOOKUP(A3881, 'Актуальное состояние (из общего'!A:C,3,0)), "")</f>
        <v/>
      </c>
      <c r="U3881" s="9" t="s">
        <v>13284</v>
      </c>
      <c r="V3881" s="9" t="s">
        <v>13284</v>
      </c>
      <c r="W3881" s="12"/>
      <c r="X3881" s="9" t="str">
        <f t="array" ref="X3881">IFERROR(INDEX('Адреса общежитий (скрытый)'!$B$2:$B$9, MATCH(W3881, 'Адреса общежитий (скрытый)'!$A$2:$A$9, 0)), "")</f>
        <v/>
      </c>
      <c r="Y3881" s="18"/>
      <c r="Z3881" s="18"/>
      <c r="AA3881" s="18"/>
      <c r="AB3881" s="18"/>
      <c r="AC3881" s="18"/>
    </row>
    <row r="3882" spans="1:29" ht="32.25" hidden="1" customHeight="1">
      <c r="A3882" s="17"/>
      <c r="B3882" s="9" t="s">
        <v>13284</v>
      </c>
      <c r="C3882" s="9" t="s">
        <v>13284</v>
      </c>
      <c r="D3882" s="9" t="s">
        <v>13284</v>
      </c>
      <c r="E3882" s="9" t="s">
        <v>13284</v>
      </c>
      <c r="F3882" s="9" t="s">
        <v>13284</v>
      </c>
      <c r="G3882" s="9" t="s">
        <v>13284</v>
      </c>
      <c r="H3882" s="9" t="s">
        <v>13284</v>
      </c>
      <c r="I3882" s="9" t="s">
        <v>13284</v>
      </c>
      <c r="J3882" s="9" t="s">
        <v>13284</v>
      </c>
      <c r="K3882" s="9" t="s">
        <v>13284</v>
      </c>
      <c r="L3882" s="9" t="s">
        <v>13284</v>
      </c>
      <c r="M3882" s="9" t="s">
        <v>13284</v>
      </c>
      <c r="N3882" s="9" t="s">
        <v>13284</v>
      </c>
      <c r="O3882" s="9" t="s">
        <v>13284</v>
      </c>
      <c r="P3882" s="9" t="s">
        <v>13284</v>
      </c>
      <c r="Q3882" s="9" t="s">
        <v>13284</v>
      </c>
      <c r="R3882" s="9" t="s">
        <v>13284</v>
      </c>
      <c r="S3882" s="9" t="s">
        <v>13284</v>
      </c>
      <c r="T3882" s="9" t="str">
        <f ca="1">IFERROR(IF(AND(VLOOKUP(A3882, 'Актуальное состояние (из общего'!A:C,3,0) = "", A3882 &lt;&gt; ""), "ПРОВЕРИТЬ", VLOOKUP(A3882, 'Актуальное состояние (из общего'!A:C,3,0)), "")</f>
        <v/>
      </c>
      <c r="U3882" s="9" t="s">
        <v>13284</v>
      </c>
      <c r="V3882" s="9" t="s">
        <v>13284</v>
      </c>
      <c r="W3882" s="12"/>
      <c r="X3882" s="9" t="str">
        <f t="array" ref="X3882">IFERROR(INDEX('Адреса общежитий (скрытый)'!$B$2:$B$9, MATCH(W3882, 'Адреса общежитий (скрытый)'!$A$2:$A$9, 0)), "")</f>
        <v/>
      </c>
      <c r="Y3882" s="18"/>
      <c r="Z3882" s="18"/>
      <c r="AA3882" s="18"/>
      <c r="AB3882" s="18"/>
      <c r="AC3882" s="18"/>
    </row>
    <row r="3883" spans="1:29" ht="32.25" hidden="1" customHeight="1">
      <c r="A3883" s="17"/>
      <c r="B3883" s="9" t="s">
        <v>13284</v>
      </c>
      <c r="C3883" s="9" t="s">
        <v>13284</v>
      </c>
      <c r="D3883" s="9" t="s">
        <v>13284</v>
      </c>
      <c r="E3883" s="9" t="s">
        <v>13284</v>
      </c>
      <c r="F3883" s="9" t="s">
        <v>13284</v>
      </c>
      <c r="G3883" s="9" t="s">
        <v>13284</v>
      </c>
      <c r="H3883" s="9" t="s">
        <v>13284</v>
      </c>
      <c r="I3883" s="9" t="s">
        <v>13284</v>
      </c>
      <c r="J3883" s="9" t="s">
        <v>13284</v>
      </c>
      <c r="K3883" s="9" t="s">
        <v>13284</v>
      </c>
      <c r="L3883" s="9" t="s">
        <v>13284</v>
      </c>
      <c r="M3883" s="9" t="s">
        <v>13284</v>
      </c>
      <c r="N3883" s="9" t="s">
        <v>13284</v>
      </c>
      <c r="O3883" s="9" t="s">
        <v>13284</v>
      </c>
      <c r="P3883" s="9" t="s">
        <v>13284</v>
      </c>
      <c r="Q3883" s="9" t="s">
        <v>13284</v>
      </c>
      <c r="R3883" s="9" t="s">
        <v>13284</v>
      </c>
      <c r="S3883" s="9" t="s">
        <v>13284</v>
      </c>
      <c r="T3883" s="9" t="str">
        <f ca="1">IFERROR(IF(AND(VLOOKUP(A3883, 'Актуальное состояние (из общего'!A:C,3,0) = "", A3883 &lt;&gt; ""), "ПРОВЕРИТЬ", VLOOKUP(A3883, 'Актуальное состояние (из общего'!A:C,3,0)), "")</f>
        <v/>
      </c>
      <c r="U3883" s="9" t="s">
        <v>13284</v>
      </c>
      <c r="V3883" s="9" t="s">
        <v>13284</v>
      </c>
      <c r="W3883" s="12"/>
      <c r="X3883" s="9" t="str">
        <f t="array" ref="X3883">IFERROR(INDEX('Адреса общежитий (скрытый)'!$B$2:$B$9, MATCH(W3883, 'Адреса общежитий (скрытый)'!$A$2:$A$9, 0)), "")</f>
        <v/>
      </c>
      <c r="Y3883" s="18"/>
      <c r="Z3883" s="18"/>
      <c r="AA3883" s="18"/>
      <c r="AB3883" s="18"/>
      <c r="AC3883" s="18"/>
    </row>
    <row r="3884" spans="1:29" ht="32.25" hidden="1" customHeight="1">
      <c r="A3884" s="17"/>
      <c r="B3884" s="9" t="s">
        <v>13284</v>
      </c>
      <c r="C3884" s="9" t="s">
        <v>13284</v>
      </c>
      <c r="D3884" s="9" t="s">
        <v>13284</v>
      </c>
      <c r="E3884" s="9" t="s">
        <v>13284</v>
      </c>
      <c r="F3884" s="9" t="s">
        <v>13284</v>
      </c>
      <c r="G3884" s="9" t="s">
        <v>13284</v>
      </c>
      <c r="H3884" s="9" t="s">
        <v>13284</v>
      </c>
      <c r="I3884" s="9" t="s">
        <v>13284</v>
      </c>
      <c r="J3884" s="9" t="s">
        <v>13284</v>
      </c>
      <c r="K3884" s="9" t="s">
        <v>13284</v>
      </c>
      <c r="L3884" s="9" t="s">
        <v>13284</v>
      </c>
      <c r="M3884" s="9" t="s">
        <v>13284</v>
      </c>
      <c r="N3884" s="9" t="s">
        <v>13284</v>
      </c>
      <c r="O3884" s="9" t="s">
        <v>13284</v>
      </c>
      <c r="P3884" s="9" t="s">
        <v>13284</v>
      </c>
      <c r="Q3884" s="9" t="s">
        <v>13284</v>
      </c>
      <c r="R3884" s="9" t="s">
        <v>13284</v>
      </c>
      <c r="S3884" s="9" t="s">
        <v>13284</v>
      </c>
      <c r="T3884" s="9" t="str">
        <f ca="1">IFERROR(IF(AND(VLOOKUP(A3884, 'Актуальное состояние (из общего'!A:C,3,0) = "", A3884 &lt;&gt; ""), "ПРОВЕРИТЬ", VLOOKUP(A3884, 'Актуальное состояние (из общего'!A:C,3,0)), "")</f>
        <v/>
      </c>
      <c r="U3884" s="9" t="s">
        <v>13284</v>
      </c>
      <c r="V3884" s="9" t="s">
        <v>13284</v>
      </c>
      <c r="W3884" s="12"/>
      <c r="X3884" s="9" t="str">
        <f t="array" ref="X3884">IFERROR(INDEX('Адреса общежитий (скрытый)'!$B$2:$B$9, MATCH(W3884, 'Адреса общежитий (скрытый)'!$A$2:$A$9, 0)), "")</f>
        <v/>
      </c>
      <c r="Y3884" s="18"/>
      <c r="Z3884" s="18"/>
      <c r="AA3884" s="18"/>
      <c r="AB3884" s="18"/>
      <c r="AC3884" s="18"/>
    </row>
    <row r="3885" spans="1:29" ht="32.25" hidden="1" customHeight="1">
      <c r="A3885" s="17"/>
      <c r="B3885" s="9" t="s">
        <v>13284</v>
      </c>
      <c r="C3885" s="9" t="s">
        <v>13284</v>
      </c>
      <c r="D3885" s="9" t="s">
        <v>13284</v>
      </c>
      <c r="E3885" s="9" t="s">
        <v>13284</v>
      </c>
      <c r="F3885" s="9" t="s">
        <v>13284</v>
      </c>
      <c r="G3885" s="9" t="s">
        <v>13284</v>
      </c>
      <c r="H3885" s="9" t="s">
        <v>13284</v>
      </c>
      <c r="I3885" s="9" t="s">
        <v>13284</v>
      </c>
      <c r="J3885" s="9" t="s">
        <v>13284</v>
      </c>
      <c r="K3885" s="9" t="s">
        <v>13284</v>
      </c>
      <c r="L3885" s="9" t="s">
        <v>13284</v>
      </c>
      <c r="M3885" s="9" t="s">
        <v>13284</v>
      </c>
      <c r="N3885" s="9" t="s">
        <v>13284</v>
      </c>
      <c r="O3885" s="9" t="s">
        <v>13284</v>
      </c>
      <c r="P3885" s="9" t="s">
        <v>13284</v>
      </c>
      <c r="Q3885" s="9" t="s">
        <v>13284</v>
      </c>
      <c r="R3885" s="9" t="s">
        <v>13284</v>
      </c>
      <c r="S3885" s="9" t="s">
        <v>13284</v>
      </c>
      <c r="T3885" s="9" t="str">
        <f ca="1">IFERROR(IF(AND(VLOOKUP(A3885, 'Актуальное состояние (из общего'!A:C,3,0) = "", A3885 &lt;&gt; ""), "ПРОВЕРИТЬ", VLOOKUP(A3885, 'Актуальное состояние (из общего'!A:C,3,0)), "")</f>
        <v/>
      </c>
      <c r="U3885" s="9" t="s">
        <v>13284</v>
      </c>
      <c r="V3885" s="9" t="s">
        <v>13284</v>
      </c>
      <c r="W3885" s="12"/>
      <c r="X3885" s="9" t="str">
        <f t="array" ref="X3885">IFERROR(INDEX('Адреса общежитий (скрытый)'!$B$2:$B$9, MATCH(W3885, 'Адреса общежитий (скрытый)'!$A$2:$A$9, 0)), "")</f>
        <v/>
      </c>
      <c r="Y3885" s="18"/>
      <c r="Z3885" s="18"/>
      <c r="AA3885" s="18"/>
      <c r="AB3885" s="18"/>
      <c r="AC3885" s="18"/>
    </row>
    <row r="3886" spans="1:29" ht="32.25" hidden="1" customHeight="1">
      <c r="A3886" s="17"/>
      <c r="B3886" s="9" t="s">
        <v>13284</v>
      </c>
      <c r="C3886" s="9" t="s">
        <v>13284</v>
      </c>
      <c r="D3886" s="9" t="s">
        <v>13284</v>
      </c>
      <c r="E3886" s="9" t="s">
        <v>13284</v>
      </c>
      <c r="F3886" s="9" t="s">
        <v>13284</v>
      </c>
      <c r="G3886" s="9" t="s">
        <v>13284</v>
      </c>
      <c r="H3886" s="9" t="s">
        <v>13284</v>
      </c>
      <c r="I3886" s="9" t="s">
        <v>13284</v>
      </c>
      <c r="J3886" s="9" t="s">
        <v>13284</v>
      </c>
      <c r="K3886" s="9" t="s">
        <v>13284</v>
      </c>
      <c r="L3886" s="9" t="s">
        <v>13284</v>
      </c>
      <c r="M3886" s="9" t="s">
        <v>13284</v>
      </c>
      <c r="N3886" s="9" t="s">
        <v>13284</v>
      </c>
      <c r="O3886" s="9" t="s">
        <v>13284</v>
      </c>
      <c r="P3886" s="9" t="s">
        <v>13284</v>
      </c>
      <c r="Q3886" s="9" t="s">
        <v>13284</v>
      </c>
      <c r="R3886" s="9" t="s">
        <v>13284</v>
      </c>
      <c r="S3886" s="9" t="s">
        <v>13284</v>
      </c>
      <c r="T3886" s="9" t="str">
        <f ca="1">IFERROR(IF(AND(VLOOKUP(A3886, 'Актуальное состояние (из общего'!A:C,3,0) = "", A3886 &lt;&gt; ""), "ПРОВЕРИТЬ", VLOOKUP(A3886, 'Актуальное состояние (из общего'!A:C,3,0)), "")</f>
        <v/>
      </c>
      <c r="U3886" s="9" t="s">
        <v>13284</v>
      </c>
      <c r="V3886" s="9" t="s">
        <v>13284</v>
      </c>
      <c r="W3886" s="12"/>
      <c r="X3886" s="9" t="str">
        <f t="array" ref="X3886">IFERROR(INDEX('Адреса общежитий (скрытый)'!$B$2:$B$9, MATCH(W3886, 'Адреса общежитий (скрытый)'!$A$2:$A$9, 0)), "")</f>
        <v/>
      </c>
      <c r="Y3886" s="18"/>
      <c r="Z3886" s="18"/>
      <c r="AA3886" s="18"/>
      <c r="AB3886" s="18"/>
      <c r="AC3886" s="18"/>
    </row>
    <row r="3887" spans="1:29" ht="32.25" hidden="1" customHeight="1">
      <c r="A3887" s="17"/>
      <c r="B3887" s="9" t="s">
        <v>13284</v>
      </c>
      <c r="C3887" s="9" t="s">
        <v>13284</v>
      </c>
      <c r="D3887" s="9" t="s">
        <v>13284</v>
      </c>
      <c r="E3887" s="9" t="s">
        <v>13284</v>
      </c>
      <c r="F3887" s="9" t="s">
        <v>13284</v>
      </c>
      <c r="G3887" s="9" t="s">
        <v>13284</v>
      </c>
      <c r="H3887" s="9" t="s">
        <v>13284</v>
      </c>
      <c r="I3887" s="9" t="s">
        <v>13284</v>
      </c>
      <c r="J3887" s="9" t="s">
        <v>13284</v>
      </c>
      <c r="K3887" s="9" t="s">
        <v>13284</v>
      </c>
      <c r="L3887" s="9" t="s">
        <v>13284</v>
      </c>
      <c r="M3887" s="9" t="s">
        <v>13284</v>
      </c>
      <c r="N3887" s="9" t="s">
        <v>13284</v>
      </c>
      <c r="O3887" s="9" t="s">
        <v>13284</v>
      </c>
      <c r="P3887" s="9" t="s">
        <v>13284</v>
      </c>
      <c r="Q3887" s="9" t="s">
        <v>13284</v>
      </c>
      <c r="R3887" s="9" t="s">
        <v>13284</v>
      </c>
      <c r="S3887" s="9" t="s">
        <v>13284</v>
      </c>
      <c r="T3887" s="9" t="str">
        <f ca="1">IFERROR(IF(AND(VLOOKUP(A3887, 'Актуальное состояние (из общего'!A:C,3,0) = "", A3887 &lt;&gt; ""), "ПРОВЕРИТЬ", VLOOKUP(A3887, 'Актуальное состояние (из общего'!A:C,3,0)), "")</f>
        <v/>
      </c>
      <c r="U3887" s="9" t="s">
        <v>13284</v>
      </c>
      <c r="V3887" s="9" t="s">
        <v>13284</v>
      </c>
      <c r="W3887" s="12"/>
      <c r="X3887" s="9" t="str">
        <f t="array" ref="X3887">IFERROR(INDEX('Адреса общежитий (скрытый)'!$B$2:$B$9, MATCH(W3887, 'Адреса общежитий (скрытый)'!$A$2:$A$9, 0)), "")</f>
        <v/>
      </c>
      <c r="Y3887" s="18"/>
      <c r="Z3887" s="18"/>
      <c r="AA3887" s="18"/>
      <c r="AB3887" s="18"/>
      <c r="AC3887" s="18"/>
    </row>
    <row r="3888" spans="1:29" ht="32.25" hidden="1" customHeight="1">
      <c r="A3888" s="17"/>
      <c r="B3888" s="9" t="s">
        <v>13284</v>
      </c>
      <c r="C3888" s="9" t="s">
        <v>13284</v>
      </c>
      <c r="D3888" s="9" t="s">
        <v>13284</v>
      </c>
      <c r="E3888" s="9" t="s">
        <v>13284</v>
      </c>
      <c r="F3888" s="9" t="s">
        <v>13284</v>
      </c>
      <c r="G3888" s="9" t="s">
        <v>13284</v>
      </c>
      <c r="H3888" s="9" t="s">
        <v>13284</v>
      </c>
      <c r="I3888" s="9" t="s">
        <v>13284</v>
      </c>
      <c r="J3888" s="9" t="s">
        <v>13284</v>
      </c>
      <c r="K3888" s="9" t="s">
        <v>13284</v>
      </c>
      <c r="L3888" s="9" t="s">
        <v>13284</v>
      </c>
      <c r="M3888" s="9" t="s">
        <v>13284</v>
      </c>
      <c r="N3888" s="9" t="s">
        <v>13284</v>
      </c>
      <c r="O3888" s="9" t="s">
        <v>13284</v>
      </c>
      <c r="P3888" s="9" t="s">
        <v>13284</v>
      </c>
      <c r="Q3888" s="9" t="s">
        <v>13284</v>
      </c>
      <c r="R3888" s="9" t="s">
        <v>13284</v>
      </c>
      <c r="S3888" s="9" t="s">
        <v>13284</v>
      </c>
      <c r="T3888" s="9" t="str">
        <f ca="1">IFERROR(IF(AND(VLOOKUP(A3888, 'Актуальное состояние (из общего'!A:C,3,0) = "", A3888 &lt;&gt; ""), "ПРОВЕРИТЬ", VLOOKUP(A3888, 'Актуальное состояние (из общего'!A:C,3,0)), "")</f>
        <v/>
      </c>
      <c r="U3888" s="9" t="s">
        <v>13284</v>
      </c>
      <c r="V3888" s="9" t="s">
        <v>13284</v>
      </c>
      <c r="W3888" s="12"/>
      <c r="X3888" s="9" t="str">
        <f t="array" ref="X3888">IFERROR(INDEX('Адреса общежитий (скрытый)'!$B$2:$B$9, MATCH(W3888, 'Адреса общежитий (скрытый)'!$A$2:$A$9, 0)), "")</f>
        <v/>
      </c>
      <c r="Y3888" s="18"/>
      <c r="Z3888" s="18"/>
      <c r="AA3888" s="18"/>
      <c r="AB3888" s="18"/>
      <c r="AC3888" s="18"/>
    </row>
    <row r="3889" spans="1:29" ht="32.25" hidden="1" customHeight="1">
      <c r="A3889" s="17"/>
      <c r="B3889" s="9" t="s">
        <v>13284</v>
      </c>
      <c r="C3889" s="9" t="s">
        <v>13284</v>
      </c>
      <c r="D3889" s="9" t="s">
        <v>13284</v>
      </c>
      <c r="E3889" s="9" t="s">
        <v>13284</v>
      </c>
      <c r="F3889" s="9" t="s">
        <v>13284</v>
      </c>
      <c r="G3889" s="9" t="s">
        <v>13284</v>
      </c>
      <c r="H3889" s="9" t="s">
        <v>13284</v>
      </c>
      <c r="I3889" s="9" t="s">
        <v>13284</v>
      </c>
      <c r="J3889" s="9" t="s">
        <v>13284</v>
      </c>
      <c r="K3889" s="9" t="s">
        <v>13284</v>
      </c>
      <c r="L3889" s="9" t="s">
        <v>13284</v>
      </c>
      <c r="M3889" s="9" t="s">
        <v>13284</v>
      </c>
      <c r="N3889" s="9" t="s">
        <v>13284</v>
      </c>
      <c r="O3889" s="9" t="s">
        <v>13284</v>
      </c>
      <c r="P3889" s="9" t="s">
        <v>13284</v>
      </c>
      <c r="Q3889" s="9" t="s">
        <v>13284</v>
      </c>
      <c r="R3889" s="9" t="s">
        <v>13284</v>
      </c>
      <c r="S3889" s="9" t="s">
        <v>13284</v>
      </c>
      <c r="T3889" s="9" t="str">
        <f ca="1">IFERROR(IF(AND(VLOOKUP(A3889, 'Актуальное состояние (из общего'!A:C,3,0) = "", A3889 &lt;&gt; ""), "ПРОВЕРИТЬ", VLOOKUP(A3889, 'Актуальное состояние (из общего'!A:C,3,0)), "")</f>
        <v/>
      </c>
      <c r="U3889" s="9" t="s">
        <v>13284</v>
      </c>
      <c r="V3889" s="9" t="s">
        <v>13284</v>
      </c>
      <c r="W3889" s="12"/>
      <c r="X3889" s="9" t="str">
        <f t="array" ref="X3889">IFERROR(INDEX('Адреса общежитий (скрытый)'!$B$2:$B$9, MATCH(W3889, 'Адреса общежитий (скрытый)'!$A$2:$A$9, 0)), "")</f>
        <v/>
      </c>
      <c r="Y3889" s="18"/>
      <c r="Z3889" s="18"/>
      <c r="AA3889" s="18"/>
      <c r="AB3889" s="18"/>
      <c r="AC3889" s="18"/>
    </row>
    <row r="3890" spans="1:29" ht="32.25" hidden="1" customHeight="1">
      <c r="A3890" s="17"/>
      <c r="B3890" s="9" t="s">
        <v>13284</v>
      </c>
      <c r="C3890" s="9" t="s">
        <v>13284</v>
      </c>
      <c r="D3890" s="9" t="s">
        <v>13284</v>
      </c>
      <c r="E3890" s="9" t="s">
        <v>13284</v>
      </c>
      <c r="F3890" s="9" t="s">
        <v>13284</v>
      </c>
      <c r="G3890" s="9" t="s">
        <v>13284</v>
      </c>
      <c r="H3890" s="9" t="s">
        <v>13284</v>
      </c>
      <c r="I3890" s="9" t="s">
        <v>13284</v>
      </c>
      <c r="J3890" s="9" t="s">
        <v>13284</v>
      </c>
      <c r="K3890" s="9" t="s">
        <v>13284</v>
      </c>
      <c r="L3890" s="9" t="s">
        <v>13284</v>
      </c>
      <c r="M3890" s="9" t="s">
        <v>13284</v>
      </c>
      <c r="N3890" s="9" t="s">
        <v>13284</v>
      </c>
      <c r="O3890" s="9" t="s">
        <v>13284</v>
      </c>
      <c r="P3890" s="9" t="s">
        <v>13284</v>
      </c>
      <c r="Q3890" s="9" t="s">
        <v>13284</v>
      </c>
      <c r="R3890" s="9" t="s">
        <v>13284</v>
      </c>
      <c r="S3890" s="9" t="s">
        <v>13284</v>
      </c>
      <c r="T3890" s="9" t="str">
        <f ca="1">IFERROR(IF(AND(VLOOKUP(A3890, 'Актуальное состояние (из общего'!A:C,3,0) = "", A3890 &lt;&gt; ""), "ПРОВЕРИТЬ", VLOOKUP(A3890, 'Актуальное состояние (из общего'!A:C,3,0)), "")</f>
        <v/>
      </c>
      <c r="U3890" s="9" t="s">
        <v>13284</v>
      </c>
      <c r="V3890" s="9" t="s">
        <v>13284</v>
      </c>
      <c r="W3890" s="12"/>
      <c r="X3890" s="9" t="str">
        <f t="array" ref="X3890">IFERROR(INDEX('Адреса общежитий (скрытый)'!$B$2:$B$9, MATCH(W3890, 'Адреса общежитий (скрытый)'!$A$2:$A$9, 0)), "")</f>
        <v/>
      </c>
      <c r="Y3890" s="18"/>
      <c r="Z3890" s="18"/>
      <c r="AA3890" s="18"/>
      <c r="AB3890" s="18"/>
      <c r="AC3890" s="18"/>
    </row>
    <row r="3891" spans="1:29" ht="32.25" hidden="1" customHeight="1">
      <c r="A3891" s="17"/>
      <c r="B3891" s="9" t="s">
        <v>13284</v>
      </c>
      <c r="C3891" s="9" t="s">
        <v>13284</v>
      </c>
      <c r="D3891" s="9" t="s">
        <v>13284</v>
      </c>
      <c r="E3891" s="9" t="s">
        <v>13284</v>
      </c>
      <c r="F3891" s="9" t="s">
        <v>13284</v>
      </c>
      <c r="G3891" s="9" t="s">
        <v>13284</v>
      </c>
      <c r="H3891" s="9" t="s">
        <v>13284</v>
      </c>
      <c r="I3891" s="9" t="s">
        <v>13284</v>
      </c>
      <c r="J3891" s="9" t="s">
        <v>13284</v>
      </c>
      <c r="K3891" s="9" t="s">
        <v>13284</v>
      </c>
      <c r="L3891" s="9" t="s">
        <v>13284</v>
      </c>
      <c r="M3891" s="9" t="s">
        <v>13284</v>
      </c>
      <c r="N3891" s="9" t="s">
        <v>13284</v>
      </c>
      <c r="O3891" s="9" t="s">
        <v>13284</v>
      </c>
      <c r="P3891" s="9" t="s">
        <v>13284</v>
      </c>
      <c r="Q3891" s="9" t="s">
        <v>13284</v>
      </c>
      <c r="R3891" s="9" t="s">
        <v>13284</v>
      </c>
      <c r="S3891" s="9" t="s">
        <v>13284</v>
      </c>
      <c r="T3891" s="9" t="str">
        <f ca="1">IFERROR(IF(AND(VLOOKUP(A3891, 'Актуальное состояние (из общего'!A:C,3,0) = "", A3891 &lt;&gt; ""), "ПРОВЕРИТЬ", VLOOKUP(A3891, 'Актуальное состояние (из общего'!A:C,3,0)), "")</f>
        <v/>
      </c>
      <c r="U3891" s="9" t="s">
        <v>13284</v>
      </c>
      <c r="V3891" s="9" t="s">
        <v>13284</v>
      </c>
      <c r="W3891" s="12"/>
      <c r="X3891" s="9" t="str">
        <f t="array" ref="X3891">IFERROR(INDEX('Адреса общежитий (скрытый)'!$B$2:$B$9, MATCH(W3891, 'Адреса общежитий (скрытый)'!$A$2:$A$9, 0)), "")</f>
        <v/>
      </c>
      <c r="Y3891" s="18"/>
      <c r="Z3891" s="18"/>
      <c r="AA3891" s="18"/>
      <c r="AB3891" s="18"/>
      <c r="AC3891" s="18"/>
    </row>
    <row r="3892" spans="1:29" ht="32.25" hidden="1" customHeight="1">
      <c r="A3892" s="17"/>
      <c r="B3892" s="9" t="s">
        <v>13284</v>
      </c>
      <c r="C3892" s="9" t="s">
        <v>13284</v>
      </c>
      <c r="D3892" s="9" t="s">
        <v>13284</v>
      </c>
      <c r="E3892" s="9" t="s">
        <v>13284</v>
      </c>
      <c r="F3892" s="9" t="s">
        <v>13284</v>
      </c>
      <c r="G3892" s="9" t="s">
        <v>13284</v>
      </c>
      <c r="H3892" s="9" t="s">
        <v>13284</v>
      </c>
      <c r="I3892" s="9" t="s">
        <v>13284</v>
      </c>
      <c r="J3892" s="9" t="s">
        <v>13284</v>
      </c>
      <c r="K3892" s="9" t="s">
        <v>13284</v>
      </c>
      <c r="L3892" s="9" t="s">
        <v>13284</v>
      </c>
      <c r="M3892" s="9" t="s">
        <v>13284</v>
      </c>
      <c r="N3892" s="9" t="s">
        <v>13284</v>
      </c>
      <c r="O3892" s="9" t="s">
        <v>13284</v>
      </c>
      <c r="P3892" s="9" t="s">
        <v>13284</v>
      </c>
      <c r="Q3892" s="9" t="s">
        <v>13284</v>
      </c>
      <c r="R3892" s="9" t="s">
        <v>13284</v>
      </c>
      <c r="S3892" s="9" t="s">
        <v>13284</v>
      </c>
      <c r="T3892" s="9" t="str">
        <f ca="1">IFERROR(IF(AND(VLOOKUP(A3892, 'Актуальное состояние (из общего'!A:C,3,0) = "", A3892 &lt;&gt; ""), "ПРОВЕРИТЬ", VLOOKUP(A3892, 'Актуальное состояние (из общего'!A:C,3,0)), "")</f>
        <v/>
      </c>
      <c r="U3892" s="9" t="s">
        <v>13284</v>
      </c>
      <c r="V3892" s="9" t="s">
        <v>13284</v>
      </c>
      <c r="W3892" s="12"/>
      <c r="X3892" s="9" t="str">
        <f t="array" ref="X3892">IFERROR(INDEX('Адреса общежитий (скрытый)'!$B$2:$B$9, MATCH(W3892, 'Адреса общежитий (скрытый)'!$A$2:$A$9, 0)), "")</f>
        <v/>
      </c>
      <c r="Y3892" s="18"/>
      <c r="Z3892" s="18"/>
      <c r="AA3892" s="18"/>
      <c r="AB3892" s="18"/>
      <c r="AC3892" s="18"/>
    </row>
    <row r="3893" spans="1:29" ht="32.25" hidden="1" customHeight="1">
      <c r="A3893" s="17"/>
      <c r="B3893" s="9" t="s">
        <v>13284</v>
      </c>
      <c r="C3893" s="9" t="s">
        <v>13284</v>
      </c>
      <c r="D3893" s="9" t="s">
        <v>13284</v>
      </c>
      <c r="E3893" s="9" t="s">
        <v>13284</v>
      </c>
      <c r="F3893" s="9" t="s">
        <v>13284</v>
      </c>
      <c r="G3893" s="9" t="s">
        <v>13284</v>
      </c>
      <c r="H3893" s="9" t="s">
        <v>13284</v>
      </c>
      <c r="I3893" s="9" t="s">
        <v>13284</v>
      </c>
      <c r="J3893" s="9" t="s">
        <v>13284</v>
      </c>
      <c r="K3893" s="9" t="s">
        <v>13284</v>
      </c>
      <c r="L3893" s="9" t="s">
        <v>13284</v>
      </c>
      <c r="M3893" s="9" t="s">
        <v>13284</v>
      </c>
      <c r="N3893" s="9" t="s">
        <v>13284</v>
      </c>
      <c r="O3893" s="9" t="s">
        <v>13284</v>
      </c>
      <c r="P3893" s="9" t="s">
        <v>13284</v>
      </c>
      <c r="Q3893" s="9" t="s">
        <v>13284</v>
      </c>
      <c r="R3893" s="9" t="s">
        <v>13284</v>
      </c>
      <c r="S3893" s="9" t="s">
        <v>13284</v>
      </c>
      <c r="T3893" s="9" t="str">
        <f ca="1">IFERROR(IF(AND(VLOOKUP(A3893, 'Актуальное состояние (из общего'!A:C,3,0) = "", A3893 &lt;&gt; ""), "ПРОВЕРИТЬ", VLOOKUP(A3893, 'Актуальное состояние (из общего'!A:C,3,0)), "")</f>
        <v/>
      </c>
      <c r="U3893" s="9" t="s">
        <v>13284</v>
      </c>
      <c r="V3893" s="9" t="s">
        <v>13284</v>
      </c>
      <c r="W3893" s="12"/>
      <c r="X3893" s="9" t="str">
        <f t="array" ref="X3893">IFERROR(INDEX('Адреса общежитий (скрытый)'!$B$2:$B$9, MATCH(W3893, 'Адреса общежитий (скрытый)'!$A$2:$A$9, 0)), "")</f>
        <v/>
      </c>
      <c r="Y3893" s="18"/>
      <c r="Z3893" s="18"/>
      <c r="AA3893" s="18"/>
      <c r="AB3893" s="18"/>
      <c r="AC3893" s="18"/>
    </row>
    <row r="3894" spans="1:29" ht="32.25" hidden="1" customHeight="1">
      <c r="A3894" s="17"/>
      <c r="B3894" s="9" t="s">
        <v>13284</v>
      </c>
      <c r="C3894" s="9" t="s">
        <v>13284</v>
      </c>
      <c r="D3894" s="9" t="s">
        <v>13284</v>
      </c>
      <c r="E3894" s="9" t="s">
        <v>13284</v>
      </c>
      <c r="F3894" s="9" t="s">
        <v>13284</v>
      </c>
      <c r="G3894" s="9" t="s">
        <v>13284</v>
      </c>
      <c r="H3894" s="9" t="s">
        <v>13284</v>
      </c>
      <c r="I3894" s="9" t="s">
        <v>13284</v>
      </c>
      <c r="J3894" s="9" t="s">
        <v>13284</v>
      </c>
      <c r="K3894" s="9" t="s">
        <v>13284</v>
      </c>
      <c r="L3894" s="9" t="s">
        <v>13284</v>
      </c>
      <c r="M3894" s="9" t="s">
        <v>13284</v>
      </c>
      <c r="N3894" s="9" t="s">
        <v>13284</v>
      </c>
      <c r="O3894" s="9" t="s">
        <v>13284</v>
      </c>
      <c r="P3894" s="9" t="s">
        <v>13284</v>
      </c>
      <c r="Q3894" s="9" t="s">
        <v>13284</v>
      </c>
      <c r="R3894" s="9" t="s">
        <v>13284</v>
      </c>
      <c r="S3894" s="9" t="s">
        <v>13284</v>
      </c>
      <c r="T3894" s="9" t="str">
        <f ca="1">IFERROR(IF(AND(VLOOKUP(A3894, 'Актуальное состояние (из общего'!A:C,3,0) = "", A3894 &lt;&gt; ""), "ПРОВЕРИТЬ", VLOOKUP(A3894, 'Актуальное состояние (из общего'!A:C,3,0)), "")</f>
        <v/>
      </c>
      <c r="U3894" s="9" t="s">
        <v>13284</v>
      </c>
      <c r="V3894" s="9" t="s">
        <v>13284</v>
      </c>
      <c r="W3894" s="12"/>
      <c r="X3894" s="9" t="str">
        <f t="array" ref="X3894">IFERROR(INDEX('Адреса общежитий (скрытый)'!$B$2:$B$9, MATCH(W3894, 'Адреса общежитий (скрытый)'!$A$2:$A$9, 0)), "")</f>
        <v/>
      </c>
      <c r="Y3894" s="18"/>
      <c r="Z3894" s="18"/>
      <c r="AA3894" s="18"/>
      <c r="AB3894" s="18"/>
      <c r="AC3894" s="18"/>
    </row>
    <row r="3895" spans="1:29" ht="32.25" hidden="1" customHeight="1">
      <c r="A3895" s="17"/>
      <c r="B3895" s="9" t="s">
        <v>13284</v>
      </c>
      <c r="C3895" s="9" t="s">
        <v>13284</v>
      </c>
      <c r="D3895" s="9" t="s">
        <v>13284</v>
      </c>
      <c r="E3895" s="9" t="s">
        <v>13284</v>
      </c>
      <c r="F3895" s="9" t="s">
        <v>13284</v>
      </c>
      <c r="G3895" s="9" t="s">
        <v>13284</v>
      </c>
      <c r="H3895" s="9" t="s">
        <v>13284</v>
      </c>
      <c r="I3895" s="9" t="s">
        <v>13284</v>
      </c>
      <c r="J3895" s="9" t="s">
        <v>13284</v>
      </c>
      <c r="K3895" s="9" t="s">
        <v>13284</v>
      </c>
      <c r="L3895" s="9" t="s">
        <v>13284</v>
      </c>
      <c r="M3895" s="9" t="s">
        <v>13284</v>
      </c>
      <c r="N3895" s="9" t="s">
        <v>13284</v>
      </c>
      <c r="O3895" s="9" t="s">
        <v>13284</v>
      </c>
      <c r="P3895" s="9" t="s">
        <v>13284</v>
      </c>
      <c r="Q3895" s="9" t="s">
        <v>13284</v>
      </c>
      <c r="R3895" s="9" t="s">
        <v>13284</v>
      </c>
      <c r="S3895" s="9" t="s">
        <v>13284</v>
      </c>
      <c r="T3895" s="9" t="str">
        <f ca="1">IFERROR(IF(AND(VLOOKUP(A3895, 'Актуальное состояние (из общего'!A:C,3,0) = "", A3895 &lt;&gt; ""), "ПРОВЕРИТЬ", VLOOKUP(A3895, 'Актуальное состояние (из общего'!A:C,3,0)), "")</f>
        <v/>
      </c>
      <c r="U3895" s="9" t="s">
        <v>13284</v>
      </c>
      <c r="V3895" s="9" t="s">
        <v>13284</v>
      </c>
      <c r="W3895" s="12"/>
      <c r="X3895" s="9" t="str">
        <f t="array" ref="X3895">IFERROR(INDEX('Адреса общежитий (скрытый)'!$B$2:$B$9, MATCH(W3895, 'Адреса общежитий (скрытый)'!$A$2:$A$9, 0)), "")</f>
        <v/>
      </c>
      <c r="Y3895" s="18"/>
      <c r="Z3895" s="18"/>
      <c r="AA3895" s="18"/>
      <c r="AB3895" s="18"/>
      <c r="AC3895" s="18"/>
    </row>
    <row r="3896" spans="1:29" ht="32.25" hidden="1" customHeight="1">
      <c r="A3896" s="17"/>
      <c r="B3896" s="9" t="s">
        <v>13284</v>
      </c>
      <c r="C3896" s="9" t="s">
        <v>13284</v>
      </c>
      <c r="D3896" s="9" t="s">
        <v>13284</v>
      </c>
      <c r="E3896" s="9" t="s">
        <v>13284</v>
      </c>
      <c r="F3896" s="9" t="s">
        <v>13284</v>
      </c>
      <c r="G3896" s="9" t="s">
        <v>13284</v>
      </c>
      <c r="H3896" s="9" t="s">
        <v>13284</v>
      </c>
      <c r="I3896" s="9" t="s">
        <v>13284</v>
      </c>
      <c r="J3896" s="9" t="s">
        <v>13284</v>
      </c>
      <c r="K3896" s="9" t="s">
        <v>13284</v>
      </c>
      <c r="L3896" s="9" t="s">
        <v>13284</v>
      </c>
      <c r="M3896" s="9" t="s">
        <v>13284</v>
      </c>
      <c r="N3896" s="9" t="s">
        <v>13284</v>
      </c>
      <c r="O3896" s="9" t="s">
        <v>13284</v>
      </c>
      <c r="P3896" s="9" t="s">
        <v>13284</v>
      </c>
      <c r="Q3896" s="9" t="s">
        <v>13284</v>
      </c>
      <c r="R3896" s="9" t="s">
        <v>13284</v>
      </c>
      <c r="S3896" s="9" t="s">
        <v>13284</v>
      </c>
      <c r="T3896" s="9" t="str">
        <f ca="1">IFERROR(IF(AND(VLOOKUP(A3896, 'Актуальное состояние (из общего'!A:C,3,0) = "", A3896 &lt;&gt; ""), "ПРОВЕРИТЬ", VLOOKUP(A3896, 'Актуальное состояние (из общего'!A:C,3,0)), "")</f>
        <v/>
      </c>
      <c r="U3896" s="9" t="s">
        <v>13284</v>
      </c>
      <c r="V3896" s="9" t="s">
        <v>13284</v>
      </c>
      <c r="W3896" s="12"/>
      <c r="X3896" s="9" t="str">
        <f t="array" ref="X3896">IFERROR(INDEX('Адреса общежитий (скрытый)'!$B$2:$B$9, MATCH(W3896, 'Адреса общежитий (скрытый)'!$A$2:$A$9, 0)), "")</f>
        <v/>
      </c>
      <c r="Y3896" s="18"/>
      <c r="Z3896" s="18"/>
      <c r="AA3896" s="18"/>
      <c r="AB3896" s="18"/>
      <c r="AC3896" s="18"/>
    </row>
    <row r="3897" spans="1:29" ht="32.25" hidden="1" customHeight="1">
      <c r="A3897" s="17"/>
      <c r="B3897" s="9" t="s">
        <v>13284</v>
      </c>
      <c r="C3897" s="9" t="s">
        <v>13284</v>
      </c>
      <c r="D3897" s="9" t="s">
        <v>13284</v>
      </c>
      <c r="E3897" s="9" t="s">
        <v>13284</v>
      </c>
      <c r="F3897" s="9" t="s">
        <v>13284</v>
      </c>
      <c r="G3897" s="9" t="s">
        <v>13284</v>
      </c>
      <c r="H3897" s="9" t="s">
        <v>13284</v>
      </c>
      <c r="I3897" s="9" t="s">
        <v>13284</v>
      </c>
      <c r="J3897" s="9" t="s">
        <v>13284</v>
      </c>
      <c r="K3897" s="9" t="s">
        <v>13284</v>
      </c>
      <c r="L3897" s="9" t="s">
        <v>13284</v>
      </c>
      <c r="M3897" s="9" t="s">
        <v>13284</v>
      </c>
      <c r="N3897" s="9" t="s">
        <v>13284</v>
      </c>
      <c r="O3897" s="9" t="s">
        <v>13284</v>
      </c>
      <c r="P3897" s="9" t="s">
        <v>13284</v>
      </c>
      <c r="Q3897" s="9" t="s">
        <v>13284</v>
      </c>
      <c r="R3897" s="9" t="s">
        <v>13284</v>
      </c>
      <c r="S3897" s="9" t="s">
        <v>13284</v>
      </c>
      <c r="T3897" s="9" t="str">
        <f ca="1">IFERROR(IF(AND(VLOOKUP(A3897, 'Актуальное состояние (из общего'!A:C,3,0) = "", A3897 &lt;&gt; ""), "ПРОВЕРИТЬ", VLOOKUP(A3897, 'Актуальное состояние (из общего'!A:C,3,0)), "")</f>
        <v/>
      </c>
      <c r="U3897" s="9" t="s">
        <v>13284</v>
      </c>
      <c r="V3897" s="9" t="s">
        <v>13284</v>
      </c>
      <c r="W3897" s="12"/>
      <c r="X3897" s="9" t="str">
        <f t="array" ref="X3897">IFERROR(INDEX('Адреса общежитий (скрытый)'!$B$2:$B$9, MATCH(W3897, 'Адреса общежитий (скрытый)'!$A$2:$A$9, 0)), "")</f>
        <v/>
      </c>
      <c r="Y3897" s="18"/>
      <c r="Z3897" s="18"/>
      <c r="AA3897" s="18"/>
      <c r="AB3897" s="18"/>
      <c r="AC3897" s="18"/>
    </row>
    <row r="3898" spans="1:29" ht="32.25" hidden="1" customHeight="1">
      <c r="A3898" s="17"/>
      <c r="B3898" s="9" t="s">
        <v>13284</v>
      </c>
      <c r="C3898" s="9" t="s">
        <v>13284</v>
      </c>
      <c r="D3898" s="9" t="s">
        <v>13284</v>
      </c>
      <c r="E3898" s="9" t="s">
        <v>13284</v>
      </c>
      <c r="F3898" s="9" t="s">
        <v>13284</v>
      </c>
      <c r="G3898" s="9" t="s">
        <v>13284</v>
      </c>
      <c r="H3898" s="9" t="s">
        <v>13284</v>
      </c>
      <c r="I3898" s="9" t="s">
        <v>13284</v>
      </c>
      <c r="J3898" s="9" t="s">
        <v>13284</v>
      </c>
      <c r="K3898" s="9" t="s">
        <v>13284</v>
      </c>
      <c r="L3898" s="9" t="s">
        <v>13284</v>
      </c>
      <c r="M3898" s="9" t="s">
        <v>13284</v>
      </c>
      <c r="N3898" s="9" t="s">
        <v>13284</v>
      </c>
      <c r="O3898" s="9" t="s">
        <v>13284</v>
      </c>
      <c r="P3898" s="9" t="s">
        <v>13284</v>
      </c>
      <c r="Q3898" s="9" t="s">
        <v>13284</v>
      </c>
      <c r="R3898" s="9" t="s">
        <v>13284</v>
      </c>
      <c r="S3898" s="9" t="s">
        <v>13284</v>
      </c>
      <c r="T3898" s="9" t="str">
        <f ca="1">IFERROR(IF(AND(VLOOKUP(A3898, 'Актуальное состояние (из общего'!A:C,3,0) = "", A3898 &lt;&gt; ""), "ПРОВЕРИТЬ", VLOOKUP(A3898, 'Актуальное состояние (из общего'!A:C,3,0)), "")</f>
        <v/>
      </c>
      <c r="U3898" s="9" t="s">
        <v>13284</v>
      </c>
      <c r="V3898" s="9" t="s">
        <v>13284</v>
      </c>
      <c r="W3898" s="12"/>
      <c r="X3898" s="9" t="str">
        <f t="array" ref="X3898">IFERROR(INDEX('Адреса общежитий (скрытый)'!$B$2:$B$9, MATCH(W3898, 'Адреса общежитий (скрытый)'!$A$2:$A$9, 0)), "")</f>
        <v/>
      </c>
      <c r="Y3898" s="18"/>
      <c r="Z3898" s="18"/>
      <c r="AA3898" s="18"/>
      <c r="AB3898" s="18"/>
      <c r="AC3898" s="18"/>
    </row>
    <row r="3899" spans="1:29" ht="32.25" hidden="1" customHeight="1">
      <c r="A3899" s="17"/>
      <c r="B3899" s="9" t="s">
        <v>13284</v>
      </c>
      <c r="C3899" s="9" t="s">
        <v>13284</v>
      </c>
      <c r="D3899" s="9" t="s">
        <v>13284</v>
      </c>
      <c r="E3899" s="9" t="s">
        <v>13284</v>
      </c>
      <c r="F3899" s="9" t="s">
        <v>13284</v>
      </c>
      <c r="G3899" s="9" t="s">
        <v>13284</v>
      </c>
      <c r="H3899" s="9" t="s">
        <v>13284</v>
      </c>
      <c r="I3899" s="9" t="s">
        <v>13284</v>
      </c>
      <c r="J3899" s="9" t="s">
        <v>13284</v>
      </c>
      <c r="K3899" s="9" t="s">
        <v>13284</v>
      </c>
      <c r="L3899" s="9" t="s">
        <v>13284</v>
      </c>
      <c r="M3899" s="9" t="s">
        <v>13284</v>
      </c>
      <c r="N3899" s="9" t="s">
        <v>13284</v>
      </c>
      <c r="O3899" s="9" t="s">
        <v>13284</v>
      </c>
      <c r="P3899" s="9" t="s">
        <v>13284</v>
      </c>
      <c r="Q3899" s="9" t="s">
        <v>13284</v>
      </c>
      <c r="R3899" s="9" t="s">
        <v>13284</v>
      </c>
      <c r="S3899" s="9" t="s">
        <v>13284</v>
      </c>
      <c r="T3899" s="9" t="str">
        <f ca="1">IFERROR(IF(AND(VLOOKUP(A3899, 'Актуальное состояние (из общего'!A:C,3,0) = "", A3899 &lt;&gt; ""), "ПРОВЕРИТЬ", VLOOKUP(A3899, 'Актуальное состояние (из общего'!A:C,3,0)), "")</f>
        <v/>
      </c>
      <c r="U3899" s="9" t="s">
        <v>13284</v>
      </c>
      <c r="V3899" s="9" t="s">
        <v>13284</v>
      </c>
      <c r="W3899" s="12"/>
      <c r="X3899" s="9" t="str">
        <f t="array" ref="X3899">IFERROR(INDEX('Адреса общежитий (скрытый)'!$B$2:$B$9, MATCH(W3899, 'Адреса общежитий (скрытый)'!$A$2:$A$9, 0)), "")</f>
        <v/>
      </c>
      <c r="Y3899" s="18"/>
      <c r="Z3899" s="18"/>
      <c r="AA3899" s="18"/>
      <c r="AB3899" s="18"/>
      <c r="AC3899" s="18"/>
    </row>
    <row r="3900" spans="1:29" ht="32.25" hidden="1" customHeight="1">
      <c r="A3900" s="17"/>
      <c r="B3900" s="9" t="s">
        <v>13284</v>
      </c>
      <c r="C3900" s="9" t="s">
        <v>13284</v>
      </c>
      <c r="D3900" s="9" t="s">
        <v>13284</v>
      </c>
      <c r="E3900" s="9" t="s">
        <v>13284</v>
      </c>
      <c r="F3900" s="9" t="s">
        <v>13284</v>
      </c>
      <c r="G3900" s="9" t="s">
        <v>13284</v>
      </c>
      <c r="H3900" s="9" t="s">
        <v>13284</v>
      </c>
      <c r="I3900" s="9" t="s">
        <v>13284</v>
      </c>
      <c r="J3900" s="9" t="s">
        <v>13284</v>
      </c>
      <c r="K3900" s="9" t="s">
        <v>13284</v>
      </c>
      <c r="L3900" s="9" t="s">
        <v>13284</v>
      </c>
      <c r="M3900" s="9" t="s">
        <v>13284</v>
      </c>
      <c r="N3900" s="9" t="s">
        <v>13284</v>
      </c>
      <c r="O3900" s="9" t="s">
        <v>13284</v>
      </c>
      <c r="P3900" s="9" t="s">
        <v>13284</v>
      </c>
      <c r="Q3900" s="9" t="s">
        <v>13284</v>
      </c>
      <c r="R3900" s="9" t="s">
        <v>13284</v>
      </c>
      <c r="S3900" s="9" t="s">
        <v>13284</v>
      </c>
      <c r="T3900" s="9" t="str">
        <f ca="1">IFERROR(IF(AND(VLOOKUP(A3900, 'Актуальное состояние (из общего'!A:C,3,0) = "", A3900 &lt;&gt; ""), "ПРОВЕРИТЬ", VLOOKUP(A3900, 'Актуальное состояние (из общего'!A:C,3,0)), "")</f>
        <v/>
      </c>
      <c r="U3900" s="9" t="s">
        <v>13284</v>
      </c>
      <c r="V3900" s="9" t="s">
        <v>13284</v>
      </c>
      <c r="W3900" s="12"/>
      <c r="X3900" s="9" t="str">
        <f t="array" ref="X3900">IFERROR(INDEX('Адреса общежитий (скрытый)'!$B$2:$B$9, MATCH(W3900, 'Адреса общежитий (скрытый)'!$A$2:$A$9, 0)), "")</f>
        <v/>
      </c>
      <c r="Y3900" s="18"/>
      <c r="Z3900" s="18"/>
      <c r="AA3900" s="18"/>
      <c r="AB3900" s="18"/>
      <c r="AC3900" s="18"/>
    </row>
    <row r="3901" spans="1:29" ht="32.25" hidden="1" customHeight="1">
      <c r="A3901" s="17"/>
      <c r="B3901" s="9" t="s">
        <v>13284</v>
      </c>
      <c r="C3901" s="9" t="s">
        <v>13284</v>
      </c>
      <c r="D3901" s="9" t="s">
        <v>13284</v>
      </c>
      <c r="E3901" s="9" t="s">
        <v>13284</v>
      </c>
      <c r="F3901" s="9" t="s">
        <v>13284</v>
      </c>
      <c r="G3901" s="9" t="s">
        <v>13284</v>
      </c>
      <c r="H3901" s="9" t="s">
        <v>13284</v>
      </c>
      <c r="I3901" s="9" t="s">
        <v>13284</v>
      </c>
      <c r="J3901" s="9" t="s">
        <v>13284</v>
      </c>
      <c r="K3901" s="9" t="s">
        <v>13284</v>
      </c>
      <c r="L3901" s="9" t="s">
        <v>13284</v>
      </c>
      <c r="M3901" s="9" t="s">
        <v>13284</v>
      </c>
      <c r="N3901" s="9" t="s">
        <v>13284</v>
      </c>
      <c r="O3901" s="9" t="s">
        <v>13284</v>
      </c>
      <c r="P3901" s="9" t="s">
        <v>13284</v>
      </c>
      <c r="Q3901" s="9" t="s">
        <v>13284</v>
      </c>
      <c r="R3901" s="9" t="s">
        <v>13284</v>
      </c>
      <c r="S3901" s="9" t="s">
        <v>13284</v>
      </c>
      <c r="T3901" s="9" t="str">
        <f ca="1">IFERROR(IF(AND(VLOOKUP(A3901, 'Актуальное состояние (из общего'!A:C,3,0) = "", A3901 &lt;&gt; ""), "ПРОВЕРИТЬ", VLOOKUP(A3901, 'Актуальное состояние (из общего'!A:C,3,0)), "")</f>
        <v/>
      </c>
      <c r="U3901" s="9" t="s">
        <v>13284</v>
      </c>
      <c r="V3901" s="9" t="s">
        <v>13284</v>
      </c>
      <c r="W3901" s="12"/>
      <c r="X3901" s="9" t="str">
        <f t="array" ref="X3901">IFERROR(INDEX('Адреса общежитий (скрытый)'!$B$2:$B$9, MATCH(W3901, 'Адреса общежитий (скрытый)'!$A$2:$A$9, 0)), "")</f>
        <v/>
      </c>
      <c r="Y3901" s="18"/>
      <c r="Z3901" s="18"/>
      <c r="AA3901" s="18"/>
      <c r="AB3901" s="18"/>
      <c r="AC3901" s="18"/>
    </row>
    <row r="3902" spans="1:29" ht="32.25" hidden="1" customHeight="1">
      <c r="A3902" s="17"/>
      <c r="B3902" s="9" t="s">
        <v>13284</v>
      </c>
      <c r="C3902" s="9" t="s">
        <v>13284</v>
      </c>
      <c r="D3902" s="9" t="s">
        <v>13284</v>
      </c>
      <c r="E3902" s="9" t="s">
        <v>13284</v>
      </c>
      <c r="F3902" s="9" t="s">
        <v>13284</v>
      </c>
      <c r="G3902" s="9" t="s">
        <v>13284</v>
      </c>
      <c r="H3902" s="9" t="s">
        <v>13284</v>
      </c>
      <c r="I3902" s="9" t="s">
        <v>13284</v>
      </c>
      <c r="J3902" s="9" t="s">
        <v>13284</v>
      </c>
      <c r="K3902" s="9" t="s">
        <v>13284</v>
      </c>
      <c r="L3902" s="9" t="s">
        <v>13284</v>
      </c>
      <c r="M3902" s="9" t="s">
        <v>13284</v>
      </c>
      <c r="N3902" s="9" t="s">
        <v>13284</v>
      </c>
      <c r="O3902" s="9" t="s">
        <v>13284</v>
      </c>
      <c r="P3902" s="9" t="s">
        <v>13284</v>
      </c>
      <c r="Q3902" s="9" t="s">
        <v>13284</v>
      </c>
      <c r="R3902" s="9" t="s">
        <v>13284</v>
      </c>
      <c r="S3902" s="9" t="s">
        <v>13284</v>
      </c>
      <c r="T3902" s="9" t="str">
        <f ca="1">IFERROR(IF(AND(VLOOKUP(A3902, 'Актуальное состояние (из общего'!A:C,3,0) = "", A3902 &lt;&gt; ""), "ПРОВЕРИТЬ", VLOOKUP(A3902, 'Актуальное состояние (из общего'!A:C,3,0)), "")</f>
        <v/>
      </c>
      <c r="U3902" s="9" t="s">
        <v>13284</v>
      </c>
      <c r="V3902" s="9" t="s">
        <v>13284</v>
      </c>
      <c r="W3902" s="12"/>
      <c r="X3902" s="9" t="str">
        <f t="array" ref="X3902">IFERROR(INDEX('Адреса общежитий (скрытый)'!$B$2:$B$9, MATCH(W3902, 'Адреса общежитий (скрытый)'!$A$2:$A$9, 0)), "")</f>
        <v/>
      </c>
      <c r="Y3902" s="18"/>
      <c r="Z3902" s="18"/>
      <c r="AA3902" s="18"/>
      <c r="AB3902" s="18"/>
      <c r="AC3902" s="18"/>
    </row>
    <row r="3903" spans="1:29" ht="32.25" hidden="1" customHeight="1">
      <c r="A3903" s="17"/>
      <c r="B3903" s="9" t="s">
        <v>13284</v>
      </c>
      <c r="C3903" s="9" t="s">
        <v>13284</v>
      </c>
      <c r="D3903" s="9" t="s">
        <v>13284</v>
      </c>
      <c r="E3903" s="9" t="s">
        <v>13284</v>
      </c>
      <c r="F3903" s="9" t="s">
        <v>13284</v>
      </c>
      <c r="G3903" s="9" t="s">
        <v>13284</v>
      </c>
      <c r="H3903" s="9" t="s">
        <v>13284</v>
      </c>
      <c r="I3903" s="9" t="s">
        <v>13284</v>
      </c>
      <c r="J3903" s="9" t="s">
        <v>13284</v>
      </c>
      <c r="K3903" s="9" t="s">
        <v>13284</v>
      </c>
      <c r="L3903" s="9" t="s">
        <v>13284</v>
      </c>
      <c r="M3903" s="9" t="s">
        <v>13284</v>
      </c>
      <c r="N3903" s="9" t="s">
        <v>13284</v>
      </c>
      <c r="O3903" s="9" t="s">
        <v>13284</v>
      </c>
      <c r="P3903" s="9" t="s">
        <v>13284</v>
      </c>
      <c r="Q3903" s="9" t="s">
        <v>13284</v>
      </c>
      <c r="R3903" s="9" t="s">
        <v>13284</v>
      </c>
      <c r="S3903" s="9" t="s">
        <v>13284</v>
      </c>
      <c r="T3903" s="9" t="str">
        <f ca="1">IFERROR(IF(AND(VLOOKUP(A3903, 'Актуальное состояние (из общего'!A:C,3,0) = "", A3903 &lt;&gt; ""), "ПРОВЕРИТЬ", VLOOKUP(A3903, 'Актуальное состояние (из общего'!A:C,3,0)), "")</f>
        <v/>
      </c>
      <c r="U3903" s="9" t="s">
        <v>13284</v>
      </c>
      <c r="V3903" s="9" t="s">
        <v>13284</v>
      </c>
      <c r="W3903" s="12"/>
      <c r="X3903" s="9" t="str">
        <f t="array" ref="X3903">IFERROR(INDEX('Адреса общежитий (скрытый)'!$B$2:$B$9, MATCH(W3903, 'Адреса общежитий (скрытый)'!$A$2:$A$9, 0)), "")</f>
        <v/>
      </c>
      <c r="Y3903" s="18"/>
      <c r="Z3903" s="18"/>
      <c r="AA3903" s="18"/>
      <c r="AB3903" s="18"/>
      <c r="AC3903" s="18"/>
    </row>
    <row r="3904" spans="1:29" ht="32.25" hidden="1" customHeight="1">
      <c r="A3904" s="17"/>
      <c r="B3904" s="9" t="s">
        <v>13284</v>
      </c>
      <c r="C3904" s="9" t="s">
        <v>13284</v>
      </c>
      <c r="D3904" s="9" t="s">
        <v>13284</v>
      </c>
      <c r="E3904" s="9" t="s">
        <v>13284</v>
      </c>
      <c r="F3904" s="9" t="s">
        <v>13284</v>
      </c>
      <c r="G3904" s="9" t="s">
        <v>13284</v>
      </c>
      <c r="H3904" s="9" t="s">
        <v>13284</v>
      </c>
      <c r="I3904" s="9" t="s">
        <v>13284</v>
      </c>
      <c r="J3904" s="9" t="s">
        <v>13284</v>
      </c>
      <c r="K3904" s="9" t="s">
        <v>13284</v>
      </c>
      <c r="L3904" s="9" t="s">
        <v>13284</v>
      </c>
      <c r="M3904" s="9" t="s">
        <v>13284</v>
      </c>
      <c r="N3904" s="9" t="s">
        <v>13284</v>
      </c>
      <c r="O3904" s="9" t="s">
        <v>13284</v>
      </c>
      <c r="P3904" s="9" t="s">
        <v>13284</v>
      </c>
      <c r="Q3904" s="9" t="s">
        <v>13284</v>
      </c>
      <c r="R3904" s="9" t="s">
        <v>13284</v>
      </c>
      <c r="S3904" s="9" t="s">
        <v>13284</v>
      </c>
      <c r="T3904" s="9" t="str">
        <f ca="1">IFERROR(IF(AND(VLOOKUP(A3904, 'Актуальное состояние (из общего'!A:C,3,0) = "", A3904 &lt;&gt; ""), "ПРОВЕРИТЬ", VLOOKUP(A3904, 'Актуальное состояние (из общего'!A:C,3,0)), "")</f>
        <v/>
      </c>
      <c r="U3904" s="9" t="s">
        <v>13284</v>
      </c>
      <c r="V3904" s="9" t="s">
        <v>13284</v>
      </c>
      <c r="W3904" s="12"/>
      <c r="X3904" s="9" t="str">
        <f t="array" ref="X3904">IFERROR(INDEX('Адреса общежитий (скрытый)'!$B$2:$B$9, MATCH(W3904, 'Адреса общежитий (скрытый)'!$A$2:$A$9, 0)), "")</f>
        <v/>
      </c>
      <c r="Y3904" s="18"/>
      <c r="Z3904" s="18"/>
      <c r="AA3904" s="18"/>
      <c r="AB3904" s="18"/>
      <c r="AC3904" s="18"/>
    </row>
    <row r="3905" spans="1:29" ht="32.25" hidden="1" customHeight="1">
      <c r="A3905" s="17"/>
      <c r="B3905" s="9" t="s">
        <v>13284</v>
      </c>
      <c r="C3905" s="9" t="s">
        <v>13284</v>
      </c>
      <c r="D3905" s="9" t="s">
        <v>13284</v>
      </c>
      <c r="E3905" s="9" t="s">
        <v>13284</v>
      </c>
      <c r="F3905" s="9" t="s">
        <v>13284</v>
      </c>
      <c r="G3905" s="9" t="s">
        <v>13284</v>
      </c>
      <c r="H3905" s="9" t="s">
        <v>13284</v>
      </c>
      <c r="I3905" s="9" t="s">
        <v>13284</v>
      </c>
      <c r="J3905" s="9" t="s">
        <v>13284</v>
      </c>
      <c r="K3905" s="9" t="s">
        <v>13284</v>
      </c>
      <c r="L3905" s="9" t="s">
        <v>13284</v>
      </c>
      <c r="M3905" s="9" t="s">
        <v>13284</v>
      </c>
      <c r="N3905" s="9" t="s">
        <v>13284</v>
      </c>
      <c r="O3905" s="9" t="s">
        <v>13284</v>
      </c>
      <c r="P3905" s="9" t="s">
        <v>13284</v>
      </c>
      <c r="Q3905" s="9" t="s">
        <v>13284</v>
      </c>
      <c r="R3905" s="9" t="s">
        <v>13284</v>
      </c>
      <c r="S3905" s="9" t="s">
        <v>13284</v>
      </c>
      <c r="T3905" s="9" t="str">
        <f ca="1">IFERROR(IF(AND(VLOOKUP(A3905, 'Актуальное состояние (из общего'!A:C,3,0) = "", A3905 &lt;&gt; ""), "ПРОВЕРИТЬ", VLOOKUP(A3905, 'Актуальное состояние (из общего'!A:C,3,0)), "")</f>
        <v/>
      </c>
      <c r="U3905" s="9" t="s">
        <v>13284</v>
      </c>
      <c r="V3905" s="9" t="s">
        <v>13284</v>
      </c>
      <c r="W3905" s="12"/>
      <c r="X3905" s="9" t="str">
        <f t="array" ref="X3905">IFERROR(INDEX('Адреса общежитий (скрытый)'!$B$2:$B$9, MATCH(W3905, 'Адреса общежитий (скрытый)'!$A$2:$A$9, 0)), "")</f>
        <v/>
      </c>
      <c r="Y3905" s="18"/>
      <c r="Z3905" s="18"/>
      <c r="AA3905" s="18"/>
      <c r="AB3905" s="18"/>
      <c r="AC3905" s="18"/>
    </row>
    <row r="3906" spans="1:29" ht="32.25" hidden="1" customHeight="1">
      <c r="A3906" s="17"/>
      <c r="B3906" s="9" t="s">
        <v>13284</v>
      </c>
      <c r="C3906" s="9" t="s">
        <v>13284</v>
      </c>
      <c r="D3906" s="9" t="s">
        <v>13284</v>
      </c>
      <c r="E3906" s="9" t="s">
        <v>13284</v>
      </c>
      <c r="F3906" s="9" t="s">
        <v>13284</v>
      </c>
      <c r="G3906" s="9" t="s">
        <v>13284</v>
      </c>
      <c r="H3906" s="9" t="s">
        <v>13284</v>
      </c>
      <c r="I3906" s="9" t="s">
        <v>13284</v>
      </c>
      <c r="J3906" s="9" t="s">
        <v>13284</v>
      </c>
      <c r="K3906" s="9" t="s">
        <v>13284</v>
      </c>
      <c r="L3906" s="9" t="s">
        <v>13284</v>
      </c>
      <c r="M3906" s="9" t="s">
        <v>13284</v>
      </c>
      <c r="N3906" s="9" t="s">
        <v>13284</v>
      </c>
      <c r="O3906" s="9" t="s">
        <v>13284</v>
      </c>
      <c r="P3906" s="9" t="s">
        <v>13284</v>
      </c>
      <c r="Q3906" s="9" t="s">
        <v>13284</v>
      </c>
      <c r="R3906" s="9" t="s">
        <v>13284</v>
      </c>
      <c r="S3906" s="9" t="s">
        <v>13284</v>
      </c>
      <c r="T3906" s="9" t="str">
        <f ca="1">IFERROR(IF(AND(VLOOKUP(A3906, 'Актуальное состояние (из общего'!A:C,3,0) = "", A3906 &lt;&gt; ""), "ПРОВЕРИТЬ", VLOOKUP(A3906, 'Актуальное состояние (из общего'!A:C,3,0)), "")</f>
        <v/>
      </c>
      <c r="U3906" s="9" t="s">
        <v>13284</v>
      </c>
      <c r="V3906" s="9" t="s">
        <v>13284</v>
      </c>
      <c r="W3906" s="12"/>
      <c r="X3906" s="9" t="str">
        <f t="array" ref="X3906">IFERROR(INDEX('Адреса общежитий (скрытый)'!$B$2:$B$9, MATCH(W3906, 'Адреса общежитий (скрытый)'!$A$2:$A$9, 0)), "")</f>
        <v/>
      </c>
      <c r="Y3906" s="18"/>
      <c r="Z3906" s="18"/>
      <c r="AA3906" s="18"/>
      <c r="AB3906" s="18"/>
      <c r="AC3906" s="18"/>
    </row>
    <row r="3907" spans="1:29" ht="32.25" hidden="1" customHeight="1">
      <c r="A3907" s="17"/>
      <c r="B3907" s="9" t="s">
        <v>13284</v>
      </c>
      <c r="C3907" s="9" t="s">
        <v>13284</v>
      </c>
      <c r="D3907" s="9" t="s">
        <v>13284</v>
      </c>
      <c r="E3907" s="9" t="s">
        <v>13284</v>
      </c>
      <c r="F3907" s="9" t="s">
        <v>13284</v>
      </c>
      <c r="G3907" s="9" t="s">
        <v>13284</v>
      </c>
      <c r="H3907" s="9" t="s">
        <v>13284</v>
      </c>
      <c r="I3907" s="9" t="s">
        <v>13284</v>
      </c>
      <c r="J3907" s="9" t="s">
        <v>13284</v>
      </c>
      <c r="K3907" s="9" t="s">
        <v>13284</v>
      </c>
      <c r="L3907" s="9" t="s">
        <v>13284</v>
      </c>
      <c r="M3907" s="9" t="s">
        <v>13284</v>
      </c>
      <c r="N3907" s="9" t="s">
        <v>13284</v>
      </c>
      <c r="O3907" s="9" t="s">
        <v>13284</v>
      </c>
      <c r="P3907" s="9" t="s">
        <v>13284</v>
      </c>
      <c r="Q3907" s="9" t="s">
        <v>13284</v>
      </c>
      <c r="R3907" s="9" t="s">
        <v>13284</v>
      </c>
      <c r="S3907" s="9" t="s">
        <v>13284</v>
      </c>
      <c r="T3907" s="9" t="str">
        <f ca="1">IFERROR(IF(AND(VLOOKUP(A3907, 'Актуальное состояние (из общего'!A:C,3,0) = "", A3907 &lt;&gt; ""), "ПРОВЕРИТЬ", VLOOKUP(A3907, 'Актуальное состояние (из общего'!A:C,3,0)), "")</f>
        <v/>
      </c>
      <c r="U3907" s="9" t="s">
        <v>13284</v>
      </c>
      <c r="V3907" s="9" t="s">
        <v>13284</v>
      </c>
      <c r="W3907" s="12"/>
      <c r="X3907" s="9" t="str">
        <f t="array" ref="X3907">IFERROR(INDEX('Адреса общежитий (скрытый)'!$B$2:$B$9, MATCH(W3907, 'Адреса общежитий (скрытый)'!$A$2:$A$9, 0)), "")</f>
        <v/>
      </c>
      <c r="Y3907" s="18"/>
      <c r="Z3907" s="18"/>
      <c r="AA3907" s="18"/>
      <c r="AB3907" s="18"/>
      <c r="AC3907" s="18"/>
    </row>
    <row r="3908" spans="1:29" ht="32.25" hidden="1" customHeight="1">
      <c r="A3908" s="17"/>
      <c r="B3908" s="9" t="s">
        <v>13284</v>
      </c>
      <c r="C3908" s="9" t="s">
        <v>13284</v>
      </c>
      <c r="D3908" s="9" t="s">
        <v>13284</v>
      </c>
      <c r="E3908" s="9" t="s">
        <v>13284</v>
      </c>
      <c r="F3908" s="9" t="s">
        <v>13284</v>
      </c>
      <c r="G3908" s="9" t="s">
        <v>13284</v>
      </c>
      <c r="H3908" s="9" t="s">
        <v>13284</v>
      </c>
      <c r="I3908" s="9" t="s">
        <v>13284</v>
      </c>
      <c r="J3908" s="9" t="s">
        <v>13284</v>
      </c>
      <c r="K3908" s="9" t="s">
        <v>13284</v>
      </c>
      <c r="L3908" s="9" t="s">
        <v>13284</v>
      </c>
      <c r="M3908" s="9" t="s">
        <v>13284</v>
      </c>
      <c r="N3908" s="9" t="s">
        <v>13284</v>
      </c>
      <c r="O3908" s="9" t="s">
        <v>13284</v>
      </c>
      <c r="P3908" s="9" t="s">
        <v>13284</v>
      </c>
      <c r="Q3908" s="9" t="s">
        <v>13284</v>
      </c>
      <c r="R3908" s="9" t="s">
        <v>13284</v>
      </c>
      <c r="S3908" s="9" t="s">
        <v>13284</v>
      </c>
      <c r="T3908" s="9" t="str">
        <f ca="1">IFERROR(IF(AND(VLOOKUP(A3908, 'Актуальное состояние (из общего'!A:C,3,0) = "", A3908 &lt;&gt; ""), "ПРОВЕРИТЬ", VLOOKUP(A3908, 'Актуальное состояние (из общего'!A:C,3,0)), "")</f>
        <v/>
      </c>
      <c r="U3908" s="9" t="s">
        <v>13284</v>
      </c>
      <c r="V3908" s="9" t="s">
        <v>13284</v>
      </c>
      <c r="W3908" s="12"/>
      <c r="X3908" s="9" t="str">
        <f t="array" ref="X3908">IFERROR(INDEX('Адреса общежитий (скрытый)'!$B$2:$B$9, MATCH(W3908, 'Адреса общежитий (скрытый)'!$A$2:$A$9, 0)), "")</f>
        <v/>
      </c>
      <c r="Y3908" s="18"/>
      <c r="Z3908" s="18"/>
      <c r="AA3908" s="18"/>
      <c r="AB3908" s="18"/>
      <c r="AC3908" s="18"/>
    </row>
    <row r="3909" spans="1:29" ht="32.25" hidden="1" customHeight="1">
      <c r="A3909" s="17"/>
      <c r="B3909" s="9" t="s">
        <v>13284</v>
      </c>
      <c r="C3909" s="9" t="s">
        <v>13284</v>
      </c>
      <c r="D3909" s="9" t="s">
        <v>13284</v>
      </c>
      <c r="E3909" s="9" t="s">
        <v>13284</v>
      </c>
      <c r="F3909" s="9" t="s">
        <v>13284</v>
      </c>
      <c r="G3909" s="9" t="s">
        <v>13284</v>
      </c>
      <c r="H3909" s="9" t="s">
        <v>13284</v>
      </c>
      <c r="I3909" s="9" t="s">
        <v>13284</v>
      </c>
      <c r="J3909" s="9" t="s">
        <v>13284</v>
      </c>
      <c r="K3909" s="9" t="s">
        <v>13284</v>
      </c>
      <c r="L3909" s="9" t="s">
        <v>13284</v>
      </c>
      <c r="M3909" s="9" t="s">
        <v>13284</v>
      </c>
      <c r="N3909" s="9" t="s">
        <v>13284</v>
      </c>
      <c r="O3909" s="9" t="s">
        <v>13284</v>
      </c>
      <c r="P3909" s="9" t="s">
        <v>13284</v>
      </c>
      <c r="Q3909" s="9" t="s">
        <v>13284</v>
      </c>
      <c r="R3909" s="9" t="s">
        <v>13284</v>
      </c>
      <c r="S3909" s="9" t="s">
        <v>13284</v>
      </c>
      <c r="T3909" s="9" t="str">
        <f ca="1">IFERROR(IF(AND(VLOOKUP(A3909, 'Актуальное состояние (из общего'!A:C,3,0) = "", A3909 &lt;&gt; ""), "ПРОВЕРИТЬ", VLOOKUP(A3909, 'Актуальное состояние (из общего'!A:C,3,0)), "")</f>
        <v/>
      </c>
      <c r="U3909" s="9" t="s">
        <v>13284</v>
      </c>
      <c r="V3909" s="9" t="s">
        <v>13284</v>
      </c>
      <c r="W3909" s="12"/>
      <c r="X3909" s="9" t="str">
        <f t="array" ref="X3909">IFERROR(INDEX('Адреса общежитий (скрытый)'!$B$2:$B$9, MATCH(W3909, 'Адреса общежитий (скрытый)'!$A$2:$A$9, 0)), "")</f>
        <v/>
      </c>
      <c r="Y3909" s="18"/>
      <c r="Z3909" s="18"/>
      <c r="AA3909" s="18"/>
      <c r="AB3909" s="18"/>
      <c r="AC3909" s="18"/>
    </row>
    <row r="3910" spans="1:29" ht="32.25" hidden="1" customHeight="1">
      <c r="A3910" s="17"/>
      <c r="B3910" s="9" t="s">
        <v>13284</v>
      </c>
      <c r="C3910" s="9" t="s">
        <v>13284</v>
      </c>
      <c r="D3910" s="9" t="s">
        <v>13284</v>
      </c>
      <c r="E3910" s="9" t="s">
        <v>13284</v>
      </c>
      <c r="F3910" s="9" t="s">
        <v>13284</v>
      </c>
      <c r="G3910" s="9" t="s">
        <v>13284</v>
      </c>
      <c r="H3910" s="9" t="s">
        <v>13284</v>
      </c>
      <c r="I3910" s="9" t="s">
        <v>13284</v>
      </c>
      <c r="J3910" s="9" t="s">
        <v>13284</v>
      </c>
      <c r="K3910" s="9" t="s">
        <v>13284</v>
      </c>
      <c r="L3910" s="9" t="s">
        <v>13284</v>
      </c>
      <c r="M3910" s="9" t="s">
        <v>13284</v>
      </c>
      <c r="N3910" s="9" t="s">
        <v>13284</v>
      </c>
      <c r="O3910" s="9" t="s">
        <v>13284</v>
      </c>
      <c r="P3910" s="9" t="s">
        <v>13284</v>
      </c>
      <c r="Q3910" s="9" t="s">
        <v>13284</v>
      </c>
      <c r="R3910" s="9" t="s">
        <v>13284</v>
      </c>
      <c r="S3910" s="9" t="s">
        <v>13284</v>
      </c>
      <c r="T3910" s="9" t="str">
        <f ca="1">IFERROR(IF(AND(VLOOKUP(A3910, 'Актуальное состояние (из общего'!A:C,3,0) = "", A3910 &lt;&gt; ""), "ПРОВЕРИТЬ", VLOOKUP(A3910, 'Актуальное состояние (из общего'!A:C,3,0)), "")</f>
        <v/>
      </c>
      <c r="U3910" s="9" t="s">
        <v>13284</v>
      </c>
      <c r="V3910" s="9" t="s">
        <v>13284</v>
      </c>
      <c r="W3910" s="12"/>
      <c r="X3910" s="9" t="str">
        <f t="array" ref="X3910">IFERROR(INDEX('Адреса общежитий (скрытый)'!$B$2:$B$9, MATCH(W3910, 'Адреса общежитий (скрытый)'!$A$2:$A$9, 0)), "")</f>
        <v/>
      </c>
      <c r="Y3910" s="18"/>
      <c r="Z3910" s="18"/>
      <c r="AA3910" s="18"/>
      <c r="AB3910" s="18"/>
      <c r="AC3910" s="18"/>
    </row>
    <row r="3911" spans="1:29" ht="32.25" hidden="1" customHeight="1">
      <c r="A3911" s="17"/>
      <c r="B3911" s="9" t="s">
        <v>13284</v>
      </c>
      <c r="C3911" s="9" t="s">
        <v>13284</v>
      </c>
      <c r="D3911" s="9" t="s">
        <v>13284</v>
      </c>
      <c r="E3911" s="9" t="s">
        <v>13284</v>
      </c>
      <c r="F3911" s="9" t="s">
        <v>13284</v>
      </c>
      <c r="G3911" s="9" t="s">
        <v>13284</v>
      </c>
      <c r="H3911" s="9" t="s">
        <v>13284</v>
      </c>
      <c r="I3911" s="9" t="s">
        <v>13284</v>
      </c>
      <c r="J3911" s="9" t="s">
        <v>13284</v>
      </c>
      <c r="K3911" s="9" t="s">
        <v>13284</v>
      </c>
      <c r="L3911" s="9" t="s">
        <v>13284</v>
      </c>
      <c r="M3911" s="9" t="s">
        <v>13284</v>
      </c>
      <c r="N3911" s="9" t="s">
        <v>13284</v>
      </c>
      <c r="O3911" s="9" t="s">
        <v>13284</v>
      </c>
      <c r="P3911" s="9" t="s">
        <v>13284</v>
      </c>
      <c r="Q3911" s="9" t="s">
        <v>13284</v>
      </c>
      <c r="R3911" s="9" t="s">
        <v>13284</v>
      </c>
      <c r="S3911" s="9" t="s">
        <v>13284</v>
      </c>
      <c r="T3911" s="9" t="str">
        <f ca="1">IFERROR(IF(AND(VLOOKUP(A3911, 'Актуальное состояние (из общего'!A:C,3,0) = "", A3911 &lt;&gt; ""), "ПРОВЕРИТЬ", VLOOKUP(A3911, 'Актуальное состояние (из общего'!A:C,3,0)), "")</f>
        <v/>
      </c>
      <c r="U3911" s="9" t="s">
        <v>13284</v>
      </c>
      <c r="V3911" s="9" t="s">
        <v>13284</v>
      </c>
      <c r="W3911" s="12"/>
      <c r="X3911" s="9" t="str">
        <f t="array" ref="X3911">IFERROR(INDEX('Адреса общежитий (скрытый)'!$B$2:$B$9, MATCH(W3911, 'Адреса общежитий (скрытый)'!$A$2:$A$9, 0)), "")</f>
        <v/>
      </c>
      <c r="Y3911" s="18"/>
      <c r="Z3911" s="18"/>
      <c r="AA3911" s="18"/>
      <c r="AB3911" s="18"/>
      <c r="AC3911" s="18"/>
    </row>
    <row r="3912" spans="1:29" ht="32.25" hidden="1" customHeight="1">
      <c r="A3912" s="17"/>
      <c r="B3912" s="9" t="s">
        <v>13284</v>
      </c>
      <c r="C3912" s="9" t="s">
        <v>13284</v>
      </c>
      <c r="D3912" s="9" t="s">
        <v>13284</v>
      </c>
      <c r="E3912" s="9" t="s">
        <v>13284</v>
      </c>
      <c r="F3912" s="9" t="s">
        <v>13284</v>
      </c>
      <c r="G3912" s="9" t="s">
        <v>13284</v>
      </c>
      <c r="H3912" s="9" t="s">
        <v>13284</v>
      </c>
      <c r="I3912" s="9" t="s">
        <v>13284</v>
      </c>
      <c r="J3912" s="9" t="s">
        <v>13284</v>
      </c>
      <c r="K3912" s="9" t="s">
        <v>13284</v>
      </c>
      <c r="L3912" s="9" t="s">
        <v>13284</v>
      </c>
      <c r="M3912" s="9" t="s">
        <v>13284</v>
      </c>
      <c r="N3912" s="9" t="s">
        <v>13284</v>
      </c>
      <c r="O3912" s="9" t="s">
        <v>13284</v>
      </c>
      <c r="P3912" s="9" t="s">
        <v>13284</v>
      </c>
      <c r="Q3912" s="9" t="s">
        <v>13284</v>
      </c>
      <c r="R3912" s="9" t="s">
        <v>13284</v>
      </c>
      <c r="S3912" s="9" t="s">
        <v>13284</v>
      </c>
      <c r="T3912" s="9" t="str">
        <f ca="1">IFERROR(IF(AND(VLOOKUP(A3912, 'Актуальное состояние (из общего'!A:C,3,0) = "", A3912 &lt;&gt; ""), "ПРОВЕРИТЬ", VLOOKUP(A3912, 'Актуальное состояние (из общего'!A:C,3,0)), "")</f>
        <v/>
      </c>
      <c r="U3912" s="9" t="s">
        <v>13284</v>
      </c>
      <c r="V3912" s="9" t="s">
        <v>13284</v>
      </c>
      <c r="W3912" s="12"/>
      <c r="X3912" s="9" t="str">
        <f t="array" ref="X3912">IFERROR(INDEX('Адреса общежитий (скрытый)'!$B$2:$B$9, MATCH(W3912, 'Адреса общежитий (скрытый)'!$A$2:$A$9, 0)), "")</f>
        <v/>
      </c>
      <c r="Y3912" s="18"/>
      <c r="Z3912" s="18"/>
      <c r="AA3912" s="18"/>
      <c r="AB3912" s="18"/>
      <c r="AC3912" s="18"/>
    </row>
    <row r="3913" spans="1:29" ht="32.25" hidden="1" customHeight="1">
      <c r="A3913" s="17"/>
      <c r="B3913" s="9" t="s">
        <v>13284</v>
      </c>
      <c r="C3913" s="9" t="s">
        <v>13284</v>
      </c>
      <c r="D3913" s="9" t="s">
        <v>13284</v>
      </c>
      <c r="E3913" s="9" t="s">
        <v>13284</v>
      </c>
      <c r="F3913" s="9" t="s">
        <v>13284</v>
      </c>
      <c r="G3913" s="9" t="s">
        <v>13284</v>
      </c>
      <c r="H3913" s="9" t="s">
        <v>13284</v>
      </c>
      <c r="I3913" s="9" t="s">
        <v>13284</v>
      </c>
      <c r="J3913" s="9" t="s">
        <v>13284</v>
      </c>
      <c r="K3913" s="9" t="s">
        <v>13284</v>
      </c>
      <c r="L3913" s="9" t="s">
        <v>13284</v>
      </c>
      <c r="M3913" s="9" t="s">
        <v>13284</v>
      </c>
      <c r="N3913" s="9" t="s">
        <v>13284</v>
      </c>
      <c r="O3913" s="9" t="s">
        <v>13284</v>
      </c>
      <c r="P3913" s="9" t="s">
        <v>13284</v>
      </c>
      <c r="Q3913" s="9" t="s">
        <v>13284</v>
      </c>
      <c r="R3913" s="9" t="s">
        <v>13284</v>
      </c>
      <c r="S3913" s="9" t="s">
        <v>13284</v>
      </c>
      <c r="T3913" s="9" t="str">
        <f ca="1">IFERROR(IF(AND(VLOOKUP(A3913, 'Актуальное состояние (из общего'!A:C,3,0) = "", A3913 &lt;&gt; ""), "ПРОВЕРИТЬ", VLOOKUP(A3913, 'Актуальное состояние (из общего'!A:C,3,0)), "")</f>
        <v/>
      </c>
      <c r="U3913" s="9" t="s">
        <v>13284</v>
      </c>
      <c r="V3913" s="9" t="s">
        <v>13284</v>
      </c>
      <c r="W3913" s="12"/>
      <c r="X3913" s="9" t="str">
        <f t="array" ref="X3913">IFERROR(INDEX('Адреса общежитий (скрытый)'!$B$2:$B$9, MATCH(W3913, 'Адреса общежитий (скрытый)'!$A$2:$A$9, 0)), "")</f>
        <v/>
      </c>
      <c r="Y3913" s="18"/>
      <c r="Z3913" s="18"/>
      <c r="AA3913" s="18"/>
      <c r="AB3913" s="18"/>
      <c r="AC3913" s="18"/>
    </row>
    <row r="3914" spans="1:29" ht="32.25" hidden="1" customHeight="1">
      <c r="A3914" s="17"/>
      <c r="B3914" s="9" t="s">
        <v>13284</v>
      </c>
      <c r="C3914" s="9" t="s">
        <v>13284</v>
      </c>
      <c r="D3914" s="9" t="s">
        <v>13284</v>
      </c>
      <c r="E3914" s="9" t="s">
        <v>13284</v>
      </c>
      <c r="F3914" s="9" t="s">
        <v>13284</v>
      </c>
      <c r="G3914" s="9" t="s">
        <v>13284</v>
      </c>
      <c r="H3914" s="9" t="s">
        <v>13284</v>
      </c>
      <c r="I3914" s="9" t="s">
        <v>13284</v>
      </c>
      <c r="J3914" s="9" t="s">
        <v>13284</v>
      </c>
      <c r="K3914" s="9" t="s">
        <v>13284</v>
      </c>
      <c r="L3914" s="9" t="s">
        <v>13284</v>
      </c>
      <c r="M3914" s="9" t="s">
        <v>13284</v>
      </c>
      <c r="N3914" s="9" t="s">
        <v>13284</v>
      </c>
      <c r="O3914" s="9" t="s">
        <v>13284</v>
      </c>
      <c r="P3914" s="9" t="s">
        <v>13284</v>
      </c>
      <c r="Q3914" s="9" t="s">
        <v>13284</v>
      </c>
      <c r="R3914" s="9" t="s">
        <v>13284</v>
      </c>
      <c r="S3914" s="9" t="s">
        <v>13284</v>
      </c>
      <c r="T3914" s="9" t="str">
        <f ca="1">IFERROR(IF(AND(VLOOKUP(A3914, 'Актуальное состояние (из общего'!A:C,3,0) = "", A3914 &lt;&gt; ""), "ПРОВЕРИТЬ", VLOOKUP(A3914, 'Актуальное состояние (из общего'!A:C,3,0)), "")</f>
        <v/>
      </c>
      <c r="U3914" s="9" t="s">
        <v>13284</v>
      </c>
      <c r="V3914" s="9" t="s">
        <v>13284</v>
      </c>
      <c r="W3914" s="12"/>
      <c r="X3914" s="9" t="str">
        <f t="array" ref="X3914">IFERROR(INDEX('Адреса общежитий (скрытый)'!$B$2:$B$9, MATCH(W3914, 'Адреса общежитий (скрытый)'!$A$2:$A$9, 0)), "")</f>
        <v/>
      </c>
      <c r="Y3914" s="18"/>
      <c r="Z3914" s="18"/>
      <c r="AA3914" s="18"/>
      <c r="AB3914" s="18"/>
      <c r="AC3914" s="18"/>
    </row>
    <row r="3915" spans="1:29" ht="32.25" hidden="1" customHeight="1">
      <c r="A3915" s="17"/>
      <c r="B3915" s="9" t="s">
        <v>13284</v>
      </c>
      <c r="C3915" s="9" t="s">
        <v>13284</v>
      </c>
      <c r="D3915" s="9" t="s">
        <v>13284</v>
      </c>
      <c r="E3915" s="9" t="s">
        <v>13284</v>
      </c>
      <c r="F3915" s="9" t="s">
        <v>13284</v>
      </c>
      <c r="G3915" s="9" t="s">
        <v>13284</v>
      </c>
      <c r="H3915" s="9" t="s">
        <v>13284</v>
      </c>
      <c r="I3915" s="9" t="s">
        <v>13284</v>
      </c>
      <c r="J3915" s="9" t="s">
        <v>13284</v>
      </c>
      <c r="K3915" s="9" t="s">
        <v>13284</v>
      </c>
      <c r="L3915" s="9" t="s">
        <v>13284</v>
      </c>
      <c r="M3915" s="9" t="s">
        <v>13284</v>
      </c>
      <c r="N3915" s="9" t="s">
        <v>13284</v>
      </c>
      <c r="O3915" s="9" t="s">
        <v>13284</v>
      </c>
      <c r="P3915" s="9" t="s">
        <v>13284</v>
      </c>
      <c r="Q3915" s="9" t="s">
        <v>13284</v>
      </c>
      <c r="R3915" s="9" t="s">
        <v>13284</v>
      </c>
      <c r="S3915" s="9" t="s">
        <v>13284</v>
      </c>
      <c r="T3915" s="9" t="str">
        <f ca="1">IFERROR(IF(AND(VLOOKUP(A3915, 'Актуальное состояние (из общего'!A:C,3,0) = "", A3915 &lt;&gt; ""), "ПРОВЕРИТЬ", VLOOKUP(A3915, 'Актуальное состояние (из общего'!A:C,3,0)), "")</f>
        <v/>
      </c>
      <c r="U3915" s="9" t="s">
        <v>13284</v>
      </c>
      <c r="V3915" s="9" t="s">
        <v>13284</v>
      </c>
      <c r="W3915" s="12"/>
      <c r="X3915" s="9" t="str">
        <f t="array" ref="X3915">IFERROR(INDEX('Адреса общежитий (скрытый)'!$B$2:$B$9, MATCH(W3915, 'Адреса общежитий (скрытый)'!$A$2:$A$9, 0)), "")</f>
        <v/>
      </c>
      <c r="Y3915" s="18"/>
      <c r="Z3915" s="18"/>
      <c r="AA3915" s="18"/>
      <c r="AB3915" s="18"/>
      <c r="AC3915" s="18"/>
    </row>
    <row r="3916" spans="1:29" ht="32.25" hidden="1" customHeight="1">
      <c r="A3916" s="17"/>
      <c r="B3916" s="9" t="s">
        <v>13284</v>
      </c>
      <c r="C3916" s="9" t="s">
        <v>13284</v>
      </c>
      <c r="D3916" s="9" t="s">
        <v>13284</v>
      </c>
      <c r="E3916" s="9" t="s">
        <v>13284</v>
      </c>
      <c r="F3916" s="9" t="s">
        <v>13284</v>
      </c>
      <c r="G3916" s="9" t="s">
        <v>13284</v>
      </c>
      <c r="H3916" s="9" t="s">
        <v>13284</v>
      </c>
      <c r="I3916" s="9" t="s">
        <v>13284</v>
      </c>
      <c r="J3916" s="9" t="s">
        <v>13284</v>
      </c>
      <c r="K3916" s="9" t="s">
        <v>13284</v>
      </c>
      <c r="L3916" s="9" t="s">
        <v>13284</v>
      </c>
      <c r="M3916" s="9" t="s">
        <v>13284</v>
      </c>
      <c r="N3916" s="9" t="s">
        <v>13284</v>
      </c>
      <c r="O3916" s="9" t="s">
        <v>13284</v>
      </c>
      <c r="P3916" s="9" t="s">
        <v>13284</v>
      </c>
      <c r="Q3916" s="9" t="s">
        <v>13284</v>
      </c>
      <c r="R3916" s="9" t="s">
        <v>13284</v>
      </c>
      <c r="S3916" s="9" t="s">
        <v>13284</v>
      </c>
      <c r="T3916" s="9" t="str">
        <f ca="1">IFERROR(IF(AND(VLOOKUP(A3916, 'Актуальное состояние (из общего'!A:C,3,0) = "", A3916 &lt;&gt; ""), "ПРОВЕРИТЬ", VLOOKUP(A3916, 'Актуальное состояние (из общего'!A:C,3,0)), "")</f>
        <v/>
      </c>
      <c r="U3916" s="9" t="s">
        <v>13284</v>
      </c>
      <c r="V3916" s="9" t="s">
        <v>13284</v>
      </c>
      <c r="W3916" s="12"/>
      <c r="X3916" s="9" t="str">
        <f t="array" ref="X3916">IFERROR(INDEX('Адреса общежитий (скрытый)'!$B$2:$B$9, MATCH(W3916, 'Адреса общежитий (скрытый)'!$A$2:$A$9, 0)), "")</f>
        <v/>
      </c>
      <c r="Y3916" s="18"/>
      <c r="Z3916" s="18"/>
      <c r="AA3916" s="18"/>
      <c r="AB3916" s="18"/>
      <c r="AC3916" s="18"/>
    </row>
    <row r="3917" spans="1:29" ht="32.25" hidden="1" customHeight="1">
      <c r="A3917" s="17"/>
      <c r="B3917" s="9" t="s">
        <v>13284</v>
      </c>
      <c r="C3917" s="9" t="s">
        <v>13284</v>
      </c>
      <c r="D3917" s="9" t="s">
        <v>13284</v>
      </c>
      <c r="E3917" s="9" t="s">
        <v>13284</v>
      </c>
      <c r="F3917" s="9" t="s">
        <v>13284</v>
      </c>
      <c r="G3917" s="9" t="s">
        <v>13284</v>
      </c>
      <c r="H3917" s="9" t="s">
        <v>13284</v>
      </c>
      <c r="I3917" s="9" t="s">
        <v>13284</v>
      </c>
      <c r="J3917" s="9" t="s">
        <v>13284</v>
      </c>
      <c r="K3917" s="9" t="s">
        <v>13284</v>
      </c>
      <c r="L3917" s="9" t="s">
        <v>13284</v>
      </c>
      <c r="M3917" s="9" t="s">
        <v>13284</v>
      </c>
      <c r="N3917" s="9" t="s">
        <v>13284</v>
      </c>
      <c r="O3917" s="9" t="s">
        <v>13284</v>
      </c>
      <c r="P3917" s="9" t="s">
        <v>13284</v>
      </c>
      <c r="Q3917" s="9" t="s">
        <v>13284</v>
      </c>
      <c r="R3917" s="9" t="s">
        <v>13284</v>
      </c>
      <c r="S3917" s="9" t="s">
        <v>13284</v>
      </c>
      <c r="T3917" s="9" t="str">
        <f ca="1">IFERROR(IF(AND(VLOOKUP(A3917, 'Актуальное состояние (из общего'!A:C,3,0) = "", A3917 &lt;&gt; ""), "ПРОВЕРИТЬ", VLOOKUP(A3917, 'Актуальное состояние (из общего'!A:C,3,0)), "")</f>
        <v/>
      </c>
      <c r="U3917" s="9" t="s">
        <v>13284</v>
      </c>
      <c r="V3917" s="9" t="s">
        <v>13284</v>
      </c>
      <c r="W3917" s="12"/>
      <c r="X3917" s="9" t="str">
        <f t="array" ref="X3917">IFERROR(INDEX('Адреса общежитий (скрытый)'!$B$2:$B$9, MATCH(W3917, 'Адреса общежитий (скрытый)'!$A$2:$A$9, 0)), "")</f>
        <v/>
      </c>
      <c r="Y3917" s="18"/>
      <c r="Z3917" s="18"/>
      <c r="AA3917" s="18"/>
      <c r="AB3917" s="18"/>
      <c r="AC3917" s="18"/>
    </row>
    <row r="3918" spans="1:29" ht="32.25" hidden="1" customHeight="1">
      <c r="A3918" s="17"/>
      <c r="B3918" s="9" t="s">
        <v>13284</v>
      </c>
      <c r="C3918" s="9" t="s">
        <v>13284</v>
      </c>
      <c r="D3918" s="9" t="s">
        <v>13284</v>
      </c>
      <c r="E3918" s="9" t="s">
        <v>13284</v>
      </c>
      <c r="F3918" s="9" t="s">
        <v>13284</v>
      </c>
      <c r="G3918" s="9" t="s">
        <v>13284</v>
      </c>
      <c r="H3918" s="9" t="s">
        <v>13284</v>
      </c>
      <c r="I3918" s="9" t="s">
        <v>13284</v>
      </c>
      <c r="J3918" s="9" t="s">
        <v>13284</v>
      </c>
      <c r="K3918" s="9" t="s">
        <v>13284</v>
      </c>
      <c r="L3918" s="9" t="s">
        <v>13284</v>
      </c>
      <c r="M3918" s="9" t="s">
        <v>13284</v>
      </c>
      <c r="N3918" s="9" t="s">
        <v>13284</v>
      </c>
      <c r="O3918" s="9" t="s">
        <v>13284</v>
      </c>
      <c r="P3918" s="9" t="s">
        <v>13284</v>
      </c>
      <c r="Q3918" s="9" t="s">
        <v>13284</v>
      </c>
      <c r="R3918" s="9" t="s">
        <v>13284</v>
      </c>
      <c r="S3918" s="9" t="s">
        <v>13284</v>
      </c>
      <c r="T3918" s="9" t="str">
        <f ca="1">IFERROR(IF(AND(VLOOKUP(A3918, 'Актуальное состояние (из общего'!A:C,3,0) = "", A3918 &lt;&gt; ""), "ПРОВЕРИТЬ", VLOOKUP(A3918, 'Актуальное состояние (из общего'!A:C,3,0)), "")</f>
        <v/>
      </c>
      <c r="U3918" s="9" t="s">
        <v>13284</v>
      </c>
      <c r="V3918" s="9" t="s">
        <v>13284</v>
      </c>
      <c r="W3918" s="12"/>
      <c r="X3918" s="9" t="str">
        <f t="array" ref="X3918">IFERROR(INDEX('Адреса общежитий (скрытый)'!$B$2:$B$9, MATCH(W3918, 'Адреса общежитий (скрытый)'!$A$2:$A$9, 0)), "")</f>
        <v/>
      </c>
      <c r="Y3918" s="18"/>
      <c r="Z3918" s="18"/>
      <c r="AA3918" s="18"/>
      <c r="AB3918" s="18"/>
      <c r="AC3918" s="18"/>
    </row>
    <row r="3919" spans="1:29" ht="32.25" hidden="1" customHeight="1">
      <c r="A3919" s="17"/>
      <c r="B3919" s="9" t="s">
        <v>13284</v>
      </c>
      <c r="C3919" s="9" t="s">
        <v>13284</v>
      </c>
      <c r="D3919" s="9" t="s">
        <v>13284</v>
      </c>
      <c r="E3919" s="9" t="s">
        <v>13284</v>
      </c>
      <c r="F3919" s="9" t="s">
        <v>13284</v>
      </c>
      <c r="G3919" s="9" t="s">
        <v>13284</v>
      </c>
      <c r="H3919" s="9" t="s">
        <v>13284</v>
      </c>
      <c r="I3919" s="9" t="s">
        <v>13284</v>
      </c>
      <c r="J3919" s="9" t="s">
        <v>13284</v>
      </c>
      <c r="K3919" s="9" t="s">
        <v>13284</v>
      </c>
      <c r="L3919" s="9" t="s">
        <v>13284</v>
      </c>
      <c r="M3919" s="9" t="s">
        <v>13284</v>
      </c>
      <c r="N3919" s="9" t="s">
        <v>13284</v>
      </c>
      <c r="O3919" s="9" t="s">
        <v>13284</v>
      </c>
      <c r="P3919" s="9" t="s">
        <v>13284</v>
      </c>
      <c r="Q3919" s="9" t="s">
        <v>13284</v>
      </c>
      <c r="R3919" s="9" t="s">
        <v>13284</v>
      </c>
      <c r="S3919" s="9" t="s">
        <v>13284</v>
      </c>
      <c r="T3919" s="9" t="str">
        <f ca="1">IFERROR(IF(AND(VLOOKUP(A3919, 'Актуальное состояние (из общего'!A:C,3,0) = "", A3919 &lt;&gt; ""), "ПРОВЕРИТЬ", VLOOKUP(A3919, 'Актуальное состояние (из общего'!A:C,3,0)), "")</f>
        <v/>
      </c>
      <c r="U3919" s="9" t="s">
        <v>13284</v>
      </c>
      <c r="V3919" s="9" t="s">
        <v>13284</v>
      </c>
      <c r="W3919" s="12"/>
      <c r="X3919" s="9" t="str">
        <f t="array" ref="X3919">IFERROR(INDEX('Адреса общежитий (скрытый)'!$B$2:$B$9, MATCH(W3919, 'Адреса общежитий (скрытый)'!$A$2:$A$9, 0)), "")</f>
        <v/>
      </c>
      <c r="Y3919" s="18"/>
      <c r="Z3919" s="18"/>
      <c r="AA3919" s="18"/>
      <c r="AB3919" s="18"/>
      <c r="AC3919" s="18"/>
    </row>
    <row r="3920" spans="1:29" ht="32.25" hidden="1" customHeight="1">
      <c r="A3920" s="17"/>
      <c r="B3920" s="9" t="s">
        <v>13284</v>
      </c>
      <c r="C3920" s="9" t="s">
        <v>13284</v>
      </c>
      <c r="D3920" s="9" t="s">
        <v>13284</v>
      </c>
      <c r="E3920" s="9" t="s">
        <v>13284</v>
      </c>
      <c r="F3920" s="9" t="s">
        <v>13284</v>
      </c>
      <c r="G3920" s="9" t="s">
        <v>13284</v>
      </c>
      <c r="H3920" s="9" t="s">
        <v>13284</v>
      </c>
      <c r="I3920" s="9" t="s">
        <v>13284</v>
      </c>
      <c r="J3920" s="9" t="s">
        <v>13284</v>
      </c>
      <c r="K3920" s="9" t="s">
        <v>13284</v>
      </c>
      <c r="L3920" s="9" t="s">
        <v>13284</v>
      </c>
      <c r="M3920" s="9" t="s">
        <v>13284</v>
      </c>
      <c r="N3920" s="9" t="s">
        <v>13284</v>
      </c>
      <c r="O3920" s="9" t="s">
        <v>13284</v>
      </c>
      <c r="P3920" s="9" t="s">
        <v>13284</v>
      </c>
      <c r="Q3920" s="9" t="s">
        <v>13284</v>
      </c>
      <c r="R3920" s="9" t="s">
        <v>13284</v>
      </c>
      <c r="S3920" s="9" t="s">
        <v>13284</v>
      </c>
      <c r="T3920" s="9" t="str">
        <f ca="1">IFERROR(IF(AND(VLOOKUP(A3920, 'Актуальное состояние (из общего'!A:C,3,0) = "", A3920 &lt;&gt; ""), "ПРОВЕРИТЬ", VLOOKUP(A3920, 'Актуальное состояние (из общего'!A:C,3,0)), "")</f>
        <v/>
      </c>
      <c r="U3920" s="9" t="s">
        <v>13284</v>
      </c>
      <c r="V3920" s="9" t="s">
        <v>13284</v>
      </c>
      <c r="W3920" s="12"/>
      <c r="X3920" s="9" t="str">
        <f t="array" ref="X3920">IFERROR(INDEX('Адреса общежитий (скрытый)'!$B$2:$B$9, MATCH(W3920, 'Адреса общежитий (скрытый)'!$A$2:$A$9, 0)), "")</f>
        <v/>
      </c>
      <c r="Y3920" s="18"/>
      <c r="Z3920" s="18"/>
      <c r="AA3920" s="18"/>
      <c r="AB3920" s="18"/>
      <c r="AC3920" s="18"/>
    </row>
    <row r="3921" spans="1:29" ht="32.25" hidden="1" customHeight="1">
      <c r="A3921" s="17"/>
      <c r="B3921" s="9" t="s">
        <v>13284</v>
      </c>
      <c r="C3921" s="9" t="s">
        <v>13284</v>
      </c>
      <c r="D3921" s="9" t="s">
        <v>13284</v>
      </c>
      <c r="E3921" s="9" t="s">
        <v>13284</v>
      </c>
      <c r="F3921" s="9" t="s">
        <v>13284</v>
      </c>
      <c r="G3921" s="9" t="s">
        <v>13284</v>
      </c>
      <c r="H3921" s="9" t="s">
        <v>13284</v>
      </c>
      <c r="I3921" s="9" t="s">
        <v>13284</v>
      </c>
      <c r="J3921" s="9" t="s">
        <v>13284</v>
      </c>
      <c r="K3921" s="9" t="s">
        <v>13284</v>
      </c>
      <c r="L3921" s="9" t="s">
        <v>13284</v>
      </c>
      <c r="M3921" s="9" t="s">
        <v>13284</v>
      </c>
      <c r="N3921" s="9" t="s">
        <v>13284</v>
      </c>
      <c r="O3921" s="9" t="s">
        <v>13284</v>
      </c>
      <c r="P3921" s="9" t="s">
        <v>13284</v>
      </c>
      <c r="Q3921" s="9" t="s">
        <v>13284</v>
      </c>
      <c r="R3921" s="9" t="s">
        <v>13284</v>
      </c>
      <c r="S3921" s="9" t="s">
        <v>13284</v>
      </c>
      <c r="T3921" s="9" t="str">
        <f ca="1">IFERROR(IF(AND(VLOOKUP(A3921, 'Актуальное состояние (из общего'!A:C,3,0) = "", A3921 &lt;&gt; ""), "ПРОВЕРИТЬ", VLOOKUP(A3921, 'Актуальное состояние (из общего'!A:C,3,0)), "")</f>
        <v/>
      </c>
      <c r="U3921" s="9" t="s">
        <v>13284</v>
      </c>
      <c r="V3921" s="9" t="s">
        <v>13284</v>
      </c>
      <c r="W3921" s="12"/>
      <c r="X3921" s="9" t="str">
        <f t="array" ref="X3921">IFERROR(INDEX('Адреса общежитий (скрытый)'!$B$2:$B$9, MATCH(W3921, 'Адреса общежитий (скрытый)'!$A$2:$A$9, 0)), "")</f>
        <v/>
      </c>
      <c r="Y3921" s="18"/>
      <c r="Z3921" s="18"/>
      <c r="AA3921" s="18"/>
      <c r="AB3921" s="18"/>
      <c r="AC3921" s="18"/>
    </row>
    <row r="3922" spans="1:29" ht="32.25" hidden="1" customHeight="1">
      <c r="A3922" s="17"/>
      <c r="B3922" s="9" t="s">
        <v>13284</v>
      </c>
      <c r="C3922" s="9" t="s">
        <v>13284</v>
      </c>
      <c r="D3922" s="9" t="s">
        <v>13284</v>
      </c>
      <c r="E3922" s="9" t="s">
        <v>13284</v>
      </c>
      <c r="F3922" s="9" t="s">
        <v>13284</v>
      </c>
      <c r="G3922" s="9" t="s">
        <v>13284</v>
      </c>
      <c r="H3922" s="9" t="s">
        <v>13284</v>
      </c>
      <c r="I3922" s="9" t="s">
        <v>13284</v>
      </c>
      <c r="J3922" s="9" t="s">
        <v>13284</v>
      </c>
      <c r="K3922" s="9" t="s">
        <v>13284</v>
      </c>
      <c r="L3922" s="9" t="s">
        <v>13284</v>
      </c>
      <c r="M3922" s="9" t="s">
        <v>13284</v>
      </c>
      <c r="N3922" s="9" t="s">
        <v>13284</v>
      </c>
      <c r="O3922" s="9" t="s">
        <v>13284</v>
      </c>
      <c r="P3922" s="9" t="s">
        <v>13284</v>
      </c>
      <c r="Q3922" s="9" t="s">
        <v>13284</v>
      </c>
      <c r="R3922" s="9" t="s">
        <v>13284</v>
      </c>
      <c r="S3922" s="9" t="s">
        <v>13284</v>
      </c>
      <c r="T3922" s="9" t="str">
        <f ca="1">IFERROR(IF(AND(VLOOKUP(A3922, 'Актуальное состояние (из общего'!A:C,3,0) = "", A3922 &lt;&gt; ""), "ПРОВЕРИТЬ", VLOOKUP(A3922, 'Актуальное состояние (из общего'!A:C,3,0)), "")</f>
        <v/>
      </c>
      <c r="U3922" s="9" t="s">
        <v>13284</v>
      </c>
      <c r="V3922" s="9" t="s">
        <v>13284</v>
      </c>
      <c r="W3922" s="12"/>
      <c r="X3922" s="9" t="str">
        <f t="array" ref="X3922">IFERROR(INDEX('Адреса общежитий (скрытый)'!$B$2:$B$9, MATCH(W3922, 'Адреса общежитий (скрытый)'!$A$2:$A$9, 0)), "")</f>
        <v/>
      </c>
      <c r="Y3922" s="18"/>
      <c r="Z3922" s="18"/>
      <c r="AA3922" s="18"/>
      <c r="AB3922" s="18"/>
      <c r="AC3922" s="18"/>
    </row>
    <row r="3923" spans="1:29" ht="32.25" hidden="1" customHeight="1">
      <c r="A3923" s="17"/>
      <c r="B3923" s="9" t="s">
        <v>13284</v>
      </c>
      <c r="C3923" s="9" t="s">
        <v>13284</v>
      </c>
      <c r="D3923" s="9" t="s">
        <v>13284</v>
      </c>
      <c r="E3923" s="9" t="s">
        <v>13284</v>
      </c>
      <c r="F3923" s="9" t="s">
        <v>13284</v>
      </c>
      <c r="G3923" s="9" t="s">
        <v>13284</v>
      </c>
      <c r="H3923" s="9" t="s">
        <v>13284</v>
      </c>
      <c r="I3923" s="9" t="s">
        <v>13284</v>
      </c>
      <c r="J3923" s="9" t="s">
        <v>13284</v>
      </c>
      <c r="K3923" s="9" t="s">
        <v>13284</v>
      </c>
      <c r="L3923" s="9" t="s">
        <v>13284</v>
      </c>
      <c r="M3923" s="9" t="s">
        <v>13284</v>
      </c>
      <c r="N3923" s="9" t="s">
        <v>13284</v>
      </c>
      <c r="O3923" s="9" t="s">
        <v>13284</v>
      </c>
      <c r="P3923" s="9" t="s">
        <v>13284</v>
      </c>
      <c r="Q3923" s="9" t="s">
        <v>13284</v>
      </c>
      <c r="R3923" s="9" t="s">
        <v>13284</v>
      </c>
      <c r="S3923" s="9" t="s">
        <v>13284</v>
      </c>
      <c r="T3923" s="9" t="str">
        <f ca="1">IFERROR(IF(AND(VLOOKUP(A3923, 'Актуальное состояние (из общего'!A:C,3,0) = "", A3923 &lt;&gt; ""), "ПРОВЕРИТЬ", VLOOKUP(A3923, 'Актуальное состояние (из общего'!A:C,3,0)), "")</f>
        <v/>
      </c>
      <c r="U3923" s="9" t="s">
        <v>13284</v>
      </c>
      <c r="V3923" s="9" t="s">
        <v>13284</v>
      </c>
      <c r="W3923" s="12"/>
      <c r="X3923" s="9" t="str">
        <f t="array" ref="X3923">IFERROR(INDEX('Адреса общежитий (скрытый)'!$B$2:$B$9, MATCH(W3923, 'Адреса общежитий (скрытый)'!$A$2:$A$9, 0)), "")</f>
        <v/>
      </c>
      <c r="Y3923" s="18"/>
      <c r="Z3923" s="18"/>
      <c r="AA3923" s="18"/>
      <c r="AB3923" s="18"/>
      <c r="AC3923" s="18"/>
    </row>
    <row r="3924" spans="1:29" ht="32.25" hidden="1" customHeight="1">
      <c r="A3924" s="17"/>
      <c r="B3924" s="9" t="s">
        <v>13284</v>
      </c>
      <c r="C3924" s="9" t="s">
        <v>13284</v>
      </c>
      <c r="D3924" s="9" t="s">
        <v>13284</v>
      </c>
      <c r="E3924" s="9" t="s">
        <v>13284</v>
      </c>
      <c r="F3924" s="9" t="s">
        <v>13284</v>
      </c>
      <c r="G3924" s="9" t="s">
        <v>13284</v>
      </c>
      <c r="H3924" s="9" t="s">
        <v>13284</v>
      </c>
      <c r="I3924" s="9" t="s">
        <v>13284</v>
      </c>
      <c r="J3924" s="9" t="s">
        <v>13284</v>
      </c>
      <c r="K3924" s="9" t="s">
        <v>13284</v>
      </c>
      <c r="L3924" s="9" t="s">
        <v>13284</v>
      </c>
      <c r="M3924" s="9" t="s">
        <v>13284</v>
      </c>
      <c r="N3924" s="9" t="s">
        <v>13284</v>
      </c>
      <c r="O3924" s="9" t="s">
        <v>13284</v>
      </c>
      <c r="P3924" s="9" t="s">
        <v>13284</v>
      </c>
      <c r="Q3924" s="9" t="s">
        <v>13284</v>
      </c>
      <c r="R3924" s="9" t="s">
        <v>13284</v>
      </c>
      <c r="S3924" s="9" t="s">
        <v>13284</v>
      </c>
      <c r="T3924" s="9" t="str">
        <f ca="1">IFERROR(IF(AND(VLOOKUP(A3924, 'Актуальное состояние (из общего'!A:C,3,0) = "", A3924 &lt;&gt; ""), "ПРОВЕРИТЬ", VLOOKUP(A3924, 'Актуальное состояние (из общего'!A:C,3,0)), "")</f>
        <v/>
      </c>
      <c r="U3924" s="9" t="s">
        <v>13284</v>
      </c>
      <c r="V3924" s="9" t="s">
        <v>13284</v>
      </c>
      <c r="W3924" s="12"/>
      <c r="X3924" s="9" t="str">
        <f t="array" ref="X3924">IFERROR(INDEX('Адреса общежитий (скрытый)'!$B$2:$B$9, MATCH(W3924, 'Адреса общежитий (скрытый)'!$A$2:$A$9, 0)), "")</f>
        <v/>
      </c>
      <c r="Y3924" s="18"/>
      <c r="Z3924" s="18"/>
      <c r="AA3924" s="18"/>
      <c r="AB3924" s="18"/>
      <c r="AC3924" s="18"/>
    </row>
    <row r="3925" spans="1:29" ht="32.25" hidden="1" customHeight="1">
      <c r="A3925" s="17"/>
      <c r="B3925" s="9" t="s">
        <v>13284</v>
      </c>
      <c r="C3925" s="9" t="s">
        <v>13284</v>
      </c>
      <c r="D3925" s="9" t="s">
        <v>13284</v>
      </c>
      <c r="E3925" s="9" t="s">
        <v>13284</v>
      </c>
      <c r="F3925" s="9" t="s">
        <v>13284</v>
      </c>
      <c r="G3925" s="9" t="s">
        <v>13284</v>
      </c>
      <c r="H3925" s="9" t="s">
        <v>13284</v>
      </c>
      <c r="I3925" s="9" t="s">
        <v>13284</v>
      </c>
      <c r="J3925" s="9" t="s">
        <v>13284</v>
      </c>
      <c r="K3925" s="9" t="s">
        <v>13284</v>
      </c>
      <c r="L3925" s="9" t="s">
        <v>13284</v>
      </c>
      <c r="M3925" s="9" t="s">
        <v>13284</v>
      </c>
      <c r="N3925" s="9" t="s">
        <v>13284</v>
      </c>
      <c r="O3925" s="9" t="s">
        <v>13284</v>
      </c>
      <c r="P3925" s="9" t="s">
        <v>13284</v>
      </c>
      <c r="Q3925" s="9" t="s">
        <v>13284</v>
      </c>
      <c r="R3925" s="9" t="s">
        <v>13284</v>
      </c>
      <c r="S3925" s="9" t="s">
        <v>13284</v>
      </c>
      <c r="T3925" s="9" t="str">
        <f ca="1">IFERROR(IF(AND(VLOOKUP(A3925, 'Актуальное состояние (из общего'!A:C,3,0) = "", A3925 &lt;&gt; ""), "ПРОВЕРИТЬ", VLOOKUP(A3925, 'Актуальное состояние (из общего'!A:C,3,0)), "")</f>
        <v/>
      </c>
      <c r="U3925" s="9" t="s">
        <v>13284</v>
      </c>
      <c r="V3925" s="9" t="s">
        <v>13284</v>
      </c>
      <c r="W3925" s="12"/>
      <c r="X3925" s="9" t="str">
        <f t="array" ref="X3925">IFERROR(INDEX('Адреса общежитий (скрытый)'!$B$2:$B$9, MATCH(W3925, 'Адреса общежитий (скрытый)'!$A$2:$A$9, 0)), "")</f>
        <v/>
      </c>
      <c r="Y3925" s="18"/>
      <c r="Z3925" s="18"/>
      <c r="AA3925" s="18"/>
      <c r="AB3925" s="18"/>
      <c r="AC3925" s="18"/>
    </row>
    <row r="3926" spans="1:29" ht="32.25" hidden="1" customHeight="1">
      <c r="A3926" s="17"/>
      <c r="B3926" s="9" t="s">
        <v>13284</v>
      </c>
      <c r="C3926" s="9" t="s">
        <v>13284</v>
      </c>
      <c r="D3926" s="9" t="s">
        <v>13284</v>
      </c>
      <c r="E3926" s="9" t="s">
        <v>13284</v>
      </c>
      <c r="F3926" s="9" t="s">
        <v>13284</v>
      </c>
      <c r="G3926" s="9" t="s">
        <v>13284</v>
      </c>
      <c r="H3926" s="9" t="s">
        <v>13284</v>
      </c>
      <c r="I3926" s="9" t="s">
        <v>13284</v>
      </c>
      <c r="J3926" s="9" t="s">
        <v>13284</v>
      </c>
      <c r="K3926" s="9" t="s">
        <v>13284</v>
      </c>
      <c r="L3926" s="9" t="s">
        <v>13284</v>
      </c>
      <c r="M3926" s="9" t="s">
        <v>13284</v>
      </c>
      <c r="N3926" s="9" t="s">
        <v>13284</v>
      </c>
      <c r="O3926" s="9" t="s">
        <v>13284</v>
      </c>
      <c r="P3926" s="9" t="s">
        <v>13284</v>
      </c>
      <c r="Q3926" s="9" t="s">
        <v>13284</v>
      </c>
      <c r="R3926" s="9" t="s">
        <v>13284</v>
      </c>
      <c r="S3926" s="9" t="s">
        <v>13284</v>
      </c>
      <c r="T3926" s="9" t="str">
        <f ca="1">IFERROR(IF(AND(VLOOKUP(A3926, 'Актуальное состояние (из общего'!A:C,3,0) = "", A3926 &lt;&gt; ""), "ПРОВЕРИТЬ", VLOOKUP(A3926, 'Актуальное состояние (из общего'!A:C,3,0)), "")</f>
        <v/>
      </c>
      <c r="U3926" s="9" t="s">
        <v>13284</v>
      </c>
      <c r="V3926" s="9" t="s">
        <v>13284</v>
      </c>
      <c r="W3926" s="12"/>
      <c r="X3926" s="9" t="str">
        <f t="array" ref="X3926">IFERROR(INDEX('Адреса общежитий (скрытый)'!$B$2:$B$9, MATCH(W3926, 'Адреса общежитий (скрытый)'!$A$2:$A$9, 0)), "")</f>
        <v/>
      </c>
      <c r="Y3926" s="18"/>
      <c r="Z3926" s="18"/>
      <c r="AA3926" s="18"/>
      <c r="AB3926" s="18"/>
      <c r="AC3926" s="18"/>
    </row>
    <row r="3927" spans="1:29" ht="32.25" hidden="1" customHeight="1">
      <c r="A3927" s="17"/>
      <c r="B3927" s="9" t="s">
        <v>13284</v>
      </c>
      <c r="C3927" s="9" t="s">
        <v>13284</v>
      </c>
      <c r="D3927" s="9" t="s">
        <v>13284</v>
      </c>
      <c r="E3927" s="9" t="s">
        <v>13284</v>
      </c>
      <c r="F3927" s="9" t="s">
        <v>13284</v>
      </c>
      <c r="G3927" s="9" t="s">
        <v>13284</v>
      </c>
      <c r="H3927" s="9" t="s">
        <v>13284</v>
      </c>
      <c r="I3927" s="9" t="s">
        <v>13284</v>
      </c>
      <c r="J3927" s="9" t="s">
        <v>13284</v>
      </c>
      <c r="K3927" s="9" t="s">
        <v>13284</v>
      </c>
      <c r="L3927" s="9" t="s">
        <v>13284</v>
      </c>
      <c r="M3927" s="9" t="s">
        <v>13284</v>
      </c>
      <c r="N3927" s="9" t="s">
        <v>13284</v>
      </c>
      <c r="O3927" s="9" t="s">
        <v>13284</v>
      </c>
      <c r="P3927" s="9" t="s">
        <v>13284</v>
      </c>
      <c r="Q3927" s="9" t="s">
        <v>13284</v>
      </c>
      <c r="R3927" s="9" t="s">
        <v>13284</v>
      </c>
      <c r="S3927" s="9" t="s">
        <v>13284</v>
      </c>
      <c r="T3927" s="9" t="str">
        <f ca="1">IFERROR(IF(AND(VLOOKUP(A3927, 'Актуальное состояние (из общего'!A:C,3,0) = "", A3927 &lt;&gt; ""), "ПРОВЕРИТЬ", VLOOKUP(A3927, 'Актуальное состояние (из общего'!A:C,3,0)), "")</f>
        <v/>
      </c>
      <c r="U3927" s="9" t="s">
        <v>13284</v>
      </c>
      <c r="V3927" s="9" t="s">
        <v>13284</v>
      </c>
      <c r="W3927" s="12"/>
      <c r="X3927" s="9" t="str">
        <f t="array" ref="X3927">IFERROR(INDEX('Адреса общежитий (скрытый)'!$B$2:$B$9, MATCH(W3927, 'Адреса общежитий (скрытый)'!$A$2:$A$9, 0)), "")</f>
        <v/>
      </c>
      <c r="Y3927" s="18"/>
      <c r="Z3927" s="18"/>
      <c r="AA3927" s="18"/>
      <c r="AB3927" s="18"/>
      <c r="AC3927" s="18"/>
    </row>
    <row r="3928" spans="1:29" ht="32.25" hidden="1" customHeight="1">
      <c r="A3928" s="17"/>
      <c r="B3928" s="9" t="s">
        <v>13284</v>
      </c>
      <c r="C3928" s="9" t="s">
        <v>13284</v>
      </c>
      <c r="D3928" s="9" t="s">
        <v>13284</v>
      </c>
      <c r="E3928" s="9" t="s">
        <v>13284</v>
      </c>
      <c r="F3928" s="9" t="s">
        <v>13284</v>
      </c>
      <c r="G3928" s="9" t="s">
        <v>13284</v>
      </c>
      <c r="H3928" s="9" t="s">
        <v>13284</v>
      </c>
      <c r="I3928" s="9" t="s">
        <v>13284</v>
      </c>
      <c r="J3928" s="9" t="s">
        <v>13284</v>
      </c>
      <c r="K3928" s="9" t="s">
        <v>13284</v>
      </c>
      <c r="L3928" s="9" t="s">
        <v>13284</v>
      </c>
      <c r="M3928" s="9" t="s">
        <v>13284</v>
      </c>
      <c r="N3928" s="9" t="s">
        <v>13284</v>
      </c>
      <c r="O3928" s="9" t="s">
        <v>13284</v>
      </c>
      <c r="P3928" s="9" t="s">
        <v>13284</v>
      </c>
      <c r="Q3928" s="9" t="s">
        <v>13284</v>
      </c>
      <c r="R3928" s="9" t="s">
        <v>13284</v>
      </c>
      <c r="S3928" s="9" t="s">
        <v>13284</v>
      </c>
      <c r="T3928" s="9" t="str">
        <f ca="1">IFERROR(IF(AND(VLOOKUP(A3928, 'Актуальное состояние (из общего'!A:C,3,0) = "", A3928 &lt;&gt; ""), "ПРОВЕРИТЬ", VLOOKUP(A3928, 'Актуальное состояние (из общего'!A:C,3,0)), "")</f>
        <v/>
      </c>
      <c r="U3928" s="9" t="s">
        <v>13284</v>
      </c>
      <c r="V3928" s="9" t="s">
        <v>13284</v>
      </c>
      <c r="W3928" s="12"/>
      <c r="X3928" s="9" t="str">
        <f t="array" ref="X3928">IFERROR(INDEX('Адреса общежитий (скрытый)'!$B$2:$B$9, MATCH(W3928, 'Адреса общежитий (скрытый)'!$A$2:$A$9, 0)), "")</f>
        <v/>
      </c>
      <c r="Y3928" s="18"/>
      <c r="Z3928" s="18"/>
      <c r="AA3928" s="18"/>
      <c r="AB3928" s="18"/>
      <c r="AC3928" s="18"/>
    </row>
    <row r="3929" spans="1:29" ht="32.25" hidden="1" customHeight="1">
      <c r="A3929" s="17"/>
      <c r="B3929" s="9" t="s">
        <v>13284</v>
      </c>
      <c r="C3929" s="9" t="s">
        <v>13284</v>
      </c>
      <c r="D3929" s="9" t="s">
        <v>13284</v>
      </c>
      <c r="E3929" s="9" t="s">
        <v>13284</v>
      </c>
      <c r="F3929" s="9" t="s">
        <v>13284</v>
      </c>
      <c r="G3929" s="9" t="s">
        <v>13284</v>
      </c>
      <c r="H3929" s="9" t="s">
        <v>13284</v>
      </c>
      <c r="I3929" s="9" t="s">
        <v>13284</v>
      </c>
      <c r="J3929" s="9" t="s">
        <v>13284</v>
      </c>
      <c r="K3929" s="9" t="s">
        <v>13284</v>
      </c>
      <c r="L3929" s="9" t="s">
        <v>13284</v>
      </c>
      <c r="M3929" s="9" t="s">
        <v>13284</v>
      </c>
      <c r="N3929" s="9" t="s">
        <v>13284</v>
      </c>
      <c r="O3929" s="9" t="s">
        <v>13284</v>
      </c>
      <c r="P3929" s="9" t="s">
        <v>13284</v>
      </c>
      <c r="Q3929" s="9" t="s">
        <v>13284</v>
      </c>
      <c r="R3929" s="9" t="s">
        <v>13284</v>
      </c>
      <c r="S3929" s="9" t="s">
        <v>13284</v>
      </c>
      <c r="T3929" s="9" t="str">
        <f ca="1">IFERROR(IF(AND(VLOOKUP(A3929, 'Актуальное состояние (из общего'!A:C,3,0) = "", A3929 &lt;&gt; ""), "ПРОВЕРИТЬ", VLOOKUP(A3929, 'Актуальное состояние (из общего'!A:C,3,0)), "")</f>
        <v/>
      </c>
      <c r="U3929" s="9" t="s">
        <v>13284</v>
      </c>
      <c r="V3929" s="9" t="s">
        <v>13284</v>
      </c>
      <c r="W3929" s="12"/>
      <c r="X3929" s="9" t="str">
        <f t="array" ref="X3929">IFERROR(INDEX('Адреса общежитий (скрытый)'!$B$2:$B$9, MATCH(W3929, 'Адреса общежитий (скрытый)'!$A$2:$A$9, 0)), "")</f>
        <v/>
      </c>
      <c r="Y3929" s="18"/>
      <c r="Z3929" s="18"/>
      <c r="AA3929" s="18"/>
      <c r="AB3929" s="18"/>
      <c r="AC3929" s="18"/>
    </row>
    <row r="3930" spans="1:29" ht="32.25" hidden="1" customHeight="1">
      <c r="A3930" s="17"/>
      <c r="B3930" s="9" t="s">
        <v>13284</v>
      </c>
      <c r="C3930" s="9" t="s">
        <v>13284</v>
      </c>
      <c r="D3930" s="9" t="s">
        <v>13284</v>
      </c>
      <c r="E3930" s="9" t="s">
        <v>13284</v>
      </c>
      <c r="F3930" s="9" t="s">
        <v>13284</v>
      </c>
      <c r="G3930" s="9" t="s">
        <v>13284</v>
      </c>
      <c r="H3930" s="9" t="s">
        <v>13284</v>
      </c>
      <c r="I3930" s="9" t="s">
        <v>13284</v>
      </c>
      <c r="J3930" s="9" t="s">
        <v>13284</v>
      </c>
      <c r="K3930" s="9" t="s">
        <v>13284</v>
      </c>
      <c r="L3930" s="9" t="s">
        <v>13284</v>
      </c>
      <c r="M3930" s="9" t="s">
        <v>13284</v>
      </c>
      <c r="N3930" s="9" t="s">
        <v>13284</v>
      </c>
      <c r="O3930" s="9" t="s">
        <v>13284</v>
      </c>
      <c r="P3930" s="9" t="s">
        <v>13284</v>
      </c>
      <c r="Q3930" s="9" t="s">
        <v>13284</v>
      </c>
      <c r="R3930" s="9" t="s">
        <v>13284</v>
      </c>
      <c r="S3930" s="9" t="s">
        <v>13284</v>
      </c>
      <c r="T3930" s="9" t="str">
        <f ca="1">IFERROR(IF(AND(VLOOKUP(A3930, 'Актуальное состояние (из общего'!A:C,3,0) = "", A3930 &lt;&gt; ""), "ПРОВЕРИТЬ", VLOOKUP(A3930, 'Актуальное состояние (из общего'!A:C,3,0)), "")</f>
        <v/>
      </c>
      <c r="U3930" s="9" t="s">
        <v>13284</v>
      </c>
      <c r="V3930" s="9" t="s">
        <v>13284</v>
      </c>
      <c r="W3930" s="12"/>
      <c r="X3930" s="9" t="str">
        <f t="array" ref="X3930">IFERROR(INDEX('Адреса общежитий (скрытый)'!$B$2:$B$9, MATCH(W3930, 'Адреса общежитий (скрытый)'!$A$2:$A$9, 0)), "")</f>
        <v/>
      </c>
      <c r="Y3930" s="18"/>
      <c r="Z3930" s="18"/>
      <c r="AA3930" s="18"/>
      <c r="AB3930" s="18"/>
      <c r="AC3930" s="18"/>
    </row>
    <row r="3931" spans="1:29" ht="32.25" hidden="1" customHeight="1">
      <c r="A3931" s="17"/>
      <c r="B3931" s="9" t="s">
        <v>13284</v>
      </c>
      <c r="C3931" s="9" t="s">
        <v>13284</v>
      </c>
      <c r="D3931" s="9" t="s">
        <v>13284</v>
      </c>
      <c r="E3931" s="9" t="s">
        <v>13284</v>
      </c>
      <c r="F3931" s="9" t="s">
        <v>13284</v>
      </c>
      <c r="G3931" s="9" t="s">
        <v>13284</v>
      </c>
      <c r="H3931" s="9" t="s">
        <v>13284</v>
      </c>
      <c r="I3931" s="9" t="s">
        <v>13284</v>
      </c>
      <c r="J3931" s="9" t="s">
        <v>13284</v>
      </c>
      <c r="K3931" s="9" t="s">
        <v>13284</v>
      </c>
      <c r="L3931" s="9" t="s">
        <v>13284</v>
      </c>
      <c r="M3931" s="9" t="s">
        <v>13284</v>
      </c>
      <c r="N3931" s="9" t="s">
        <v>13284</v>
      </c>
      <c r="O3931" s="9" t="s">
        <v>13284</v>
      </c>
      <c r="P3931" s="9" t="s">
        <v>13284</v>
      </c>
      <c r="Q3931" s="9" t="s">
        <v>13284</v>
      </c>
      <c r="R3931" s="9" t="s">
        <v>13284</v>
      </c>
      <c r="S3931" s="9" t="s">
        <v>13284</v>
      </c>
      <c r="T3931" s="9" t="str">
        <f ca="1">IFERROR(IF(AND(VLOOKUP(A3931, 'Актуальное состояние (из общего'!A:C,3,0) = "", A3931 &lt;&gt; ""), "ПРОВЕРИТЬ", VLOOKUP(A3931, 'Актуальное состояние (из общего'!A:C,3,0)), "")</f>
        <v/>
      </c>
      <c r="U3931" s="9" t="s">
        <v>13284</v>
      </c>
      <c r="V3931" s="9" t="s">
        <v>13284</v>
      </c>
      <c r="W3931" s="12"/>
      <c r="X3931" s="9" t="str">
        <f t="array" ref="X3931">IFERROR(INDEX('Адреса общежитий (скрытый)'!$B$2:$B$9, MATCH(W3931, 'Адреса общежитий (скрытый)'!$A$2:$A$9, 0)), "")</f>
        <v/>
      </c>
      <c r="Y3931" s="18"/>
      <c r="Z3931" s="18"/>
      <c r="AA3931" s="18"/>
      <c r="AB3931" s="18"/>
      <c r="AC3931" s="18"/>
    </row>
    <row r="3932" spans="1:29" ht="32.25" hidden="1" customHeight="1">
      <c r="A3932" s="17"/>
      <c r="B3932" s="9" t="s">
        <v>13284</v>
      </c>
      <c r="C3932" s="9" t="s">
        <v>13284</v>
      </c>
      <c r="D3932" s="9" t="s">
        <v>13284</v>
      </c>
      <c r="E3932" s="9" t="s">
        <v>13284</v>
      </c>
      <c r="F3932" s="9" t="s">
        <v>13284</v>
      </c>
      <c r="G3932" s="9" t="s">
        <v>13284</v>
      </c>
      <c r="H3932" s="9" t="s">
        <v>13284</v>
      </c>
      <c r="I3932" s="9" t="s">
        <v>13284</v>
      </c>
      <c r="J3932" s="9" t="s">
        <v>13284</v>
      </c>
      <c r="K3932" s="9" t="s">
        <v>13284</v>
      </c>
      <c r="L3932" s="9" t="s">
        <v>13284</v>
      </c>
      <c r="M3932" s="9" t="s">
        <v>13284</v>
      </c>
      <c r="N3932" s="9" t="s">
        <v>13284</v>
      </c>
      <c r="O3932" s="9" t="s">
        <v>13284</v>
      </c>
      <c r="P3932" s="9" t="s">
        <v>13284</v>
      </c>
      <c r="Q3932" s="9" t="s">
        <v>13284</v>
      </c>
      <c r="R3932" s="9" t="s">
        <v>13284</v>
      </c>
      <c r="S3932" s="9" t="s">
        <v>13284</v>
      </c>
      <c r="T3932" s="9" t="str">
        <f ca="1">IFERROR(IF(AND(VLOOKUP(A3932, 'Актуальное состояние (из общего'!A:C,3,0) = "", A3932 &lt;&gt; ""), "ПРОВЕРИТЬ", VLOOKUP(A3932, 'Актуальное состояние (из общего'!A:C,3,0)), "")</f>
        <v/>
      </c>
      <c r="U3932" s="9" t="s">
        <v>13284</v>
      </c>
      <c r="V3932" s="9" t="s">
        <v>13284</v>
      </c>
      <c r="W3932" s="12"/>
      <c r="X3932" s="9" t="str">
        <f t="array" ref="X3932">IFERROR(INDEX('Адреса общежитий (скрытый)'!$B$2:$B$9, MATCH(W3932, 'Адреса общежитий (скрытый)'!$A$2:$A$9, 0)), "")</f>
        <v/>
      </c>
      <c r="Y3932" s="18"/>
      <c r="Z3932" s="18"/>
      <c r="AA3932" s="18"/>
      <c r="AB3932" s="18"/>
      <c r="AC3932" s="18"/>
    </row>
    <row r="3933" spans="1:29" ht="32.25" hidden="1" customHeight="1">
      <c r="A3933" s="17"/>
      <c r="B3933" s="9" t="s">
        <v>13284</v>
      </c>
      <c r="C3933" s="9" t="s">
        <v>13284</v>
      </c>
      <c r="D3933" s="9" t="s">
        <v>13284</v>
      </c>
      <c r="E3933" s="9" t="s">
        <v>13284</v>
      </c>
      <c r="F3933" s="9" t="s">
        <v>13284</v>
      </c>
      <c r="G3933" s="9" t="s">
        <v>13284</v>
      </c>
      <c r="H3933" s="9" t="s">
        <v>13284</v>
      </c>
      <c r="I3933" s="9" t="s">
        <v>13284</v>
      </c>
      <c r="J3933" s="9" t="s">
        <v>13284</v>
      </c>
      <c r="K3933" s="9" t="s">
        <v>13284</v>
      </c>
      <c r="L3933" s="9" t="s">
        <v>13284</v>
      </c>
      <c r="M3933" s="9" t="s">
        <v>13284</v>
      </c>
      <c r="N3933" s="9" t="s">
        <v>13284</v>
      </c>
      <c r="O3933" s="9" t="s">
        <v>13284</v>
      </c>
      <c r="P3933" s="9" t="s">
        <v>13284</v>
      </c>
      <c r="Q3933" s="9" t="s">
        <v>13284</v>
      </c>
      <c r="R3933" s="9" t="s">
        <v>13284</v>
      </c>
      <c r="S3933" s="9" t="s">
        <v>13284</v>
      </c>
      <c r="T3933" s="9" t="str">
        <f ca="1">IFERROR(IF(AND(VLOOKUP(A3933, 'Актуальное состояние (из общего'!A:C,3,0) = "", A3933 &lt;&gt; ""), "ПРОВЕРИТЬ", VLOOKUP(A3933, 'Актуальное состояние (из общего'!A:C,3,0)), "")</f>
        <v/>
      </c>
      <c r="U3933" s="9" t="s">
        <v>13284</v>
      </c>
      <c r="V3933" s="9" t="s">
        <v>13284</v>
      </c>
      <c r="W3933" s="12"/>
      <c r="X3933" s="9" t="str">
        <f t="array" ref="X3933">IFERROR(INDEX('Адреса общежитий (скрытый)'!$B$2:$B$9, MATCH(W3933, 'Адреса общежитий (скрытый)'!$A$2:$A$9, 0)), "")</f>
        <v/>
      </c>
      <c r="Y3933" s="18"/>
      <c r="Z3933" s="18"/>
      <c r="AA3933" s="18"/>
      <c r="AB3933" s="18"/>
      <c r="AC3933" s="18"/>
    </row>
    <row r="3934" spans="1:29" ht="32.25" hidden="1" customHeight="1">
      <c r="A3934" s="17"/>
      <c r="B3934" s="9" t="s">
        <v>13284</v>
      </c>
      <c r="C3934" s="9" t="s">
        <v>13284</v>
      </c>
      <c r="D3934" s="9" t="s">
        <v>13284</v>
      </c>
      <c r="E3934" s="9" t="s">
        <v>13284</v>
      </c>
      <c r="F3934" s="9" t="s">
        <v>13284</v>
      </c>
      <c r="G3934" s="9" t="s">
        <v>13284</v>
      </c>
      <c r="H3934" s="9" t="s">
        <v>13284</v>
      </c>
      <c r="I3934" s="9" t="s">
        <v>13284</v>
      </c>
      <c r="J3934" s="9" t="s">
        <v>13284</v>
      </c>
      <c r="K3934" s="9" t="s">
        <v>13284</v>
      </c>
      <c r="L3934" s="9" t="s">
        <v>13284</v>
      </c>
      <c r="M3934" s="9" t="s">
        <v>13284</v>
      </c>
      <c r="N3934" s="9" t="s">
        <v>13284</v>
      </c>
      <c r="O3934" s="9" t="s">
        <v>13284</v>
      </c>
      <c r="P3934" s="9" t="s">
        <v>13284</v>
      </c>
      <c r="Q3934" s="9" t="s">
        <v>13284</v>
      </c>
      <c r="R3934" s="9" t="s">
        <v>13284</v>
      </c>
      <c r="S3934" s="9" t="s">
        <v>13284</v>
      </c>
      <c r="T3934" s="9" t="str">
        <f ca="1">IFERROR(IF(AND(VLOOKUP(A3934, 'Актуальное состояние (из общего'!A:C,3,0) = "", A3934 &lt;&gt; ""), "ПРОВЕРИТЬ", VLOOKUP(A3934, 'Актуальное состояние (из общего'!A:C,3,0)), "")</f>
        <v/>
      </c>
      <c r="U3934" s="9" t="s">
        <v>13284</v>
      </c>
      <c r="V3934" s="9" t="s">
        <v>13284</v>
      </c>
      <c r="W3934" s="12"/>
      <c r="X3934" s="9" t="str">
        <f t="array" ref="X3934">IFERROR(INDEX('Адреса общежитий (скрытый)'!$B$2:$B$9, MATCH(W3934, 'Адреса общежитий (скрытый)'!$A$2:$A$9, 0)), "")</f>
        <v/>
      </c>
      <c r="Y3934" s="18"/>
      <c r="Z3934" s="18"/>
      <c r="AA3934" s="18"/>
      <c r="AB3934" s="18"/>
      <c r="AC3934" s="18"/>
    </row>
    <row r="3935" spans="1:29" ht="32.25" hidden="1" customHeight="1">
      <c r="A3935" s="17"/>
      <c r="B3935" s="9" t="s">
        <v>13284</v>
      </c>
      <c r="C3935" s="9" t="s">
        <v>13284</v>
      </c>
      <c r="D3935" s="9" t="s">
        <v>13284</v>
      </c>
      <c r="E3935" s="9" t="s">
        <v>13284</v>
      </c>
      <c r="F3935" s="9" t="s">
        <v>13284</v>
      </c>
      <c r="G3935" s="9" t="s">
        <v>13284</v>
      </c>
      <c r="H3935" s="9" t="s">
        <v>13284</v>
      </c>
      <c r="I3935" s="9" t="s">
        <v>13284</v>
      </c>
      <c r="J3935" s="9" t="s">
        <v>13284</v>
      </c>
      <c r="K3935" s="9" t="s">
        <v>13284</v>
      </c>
      <c r="L3935" s="9" t="s">
        <v>13284</v>
      </c>
      <c r="M3935" s="9" t="s">
        <v>13284</v>
      </c>
      <c r="N3935" s="9" t="s">
        <v>13284</v>
      </c>
      <c r="O3935" s="9" t="s">
        <v>13284</v>
      </c>
      <c r="P3935" s="9" t="s">
        <v>13284</v>
      </c>
      <c r="Q3935" s="9" t="s">
        <v>13284</v>
      </c>
      <c r="R3935" s="9" t="s">
        <v>13284</v>
      </c>
      <c r="S3935" s="9" t="s">
        <v>13284</v>
      </c>
      <c r="T3935" s="9" t="str">
        <f ca="1">IFERROR(IF(AND(VLOOKUP(A3935, 'Актуальное состояние (из общего'!A:C,3,0) = "", A3935 &lt;&gt; ""), "ПРОВЕРИТЬ", VLOOKUP(A3935, 'Актуальное состояние (из общего'!A:C,3,0)), "")</f>
        <v/>
      </c>
      <c r="U3935" s="9" t="s">
        <v>13284</v>
      </c>
      <c r="V3935" s="9" t="s">
        <v>13284</v>
      </c>
      <c r="W3935" s="12"/>
      <c r="X3935" s="9" t="str">
        <f t="array" ref="X3935">IFERROR(INDEX('Адреса общежитий (скрытый)'!$B$2:$B$9, MATCH(W3935, 'Адреса общежитий (скрытый)'!$A$2:$A$9, 0)), "")</f>
        <v/>
      </c>
      <c r="Y3935" s="18"/>
      <c r="Z3935" s="18"/>
      <c r="AA3935" s="18"/>
      <c r="AB3935" s="18"/>
      <c r="AC3935" s="18"/>
    </row>
    <row r="3936" spans="1:29" ht="32.25" hidden="1" customHeight="1">
      <c r="A3936" s="17"/>
      <c r="B3936" s="9" t="s">
        <v>13284</v>
      </c>
      <c r="C3936" s="9" t="s">
        <v>13284</v>
      </c>
      <c r="D3936" s="9" t="s">
        <v>13284</v>
      </c>
      <c r="E3936" s="9" t="s">
        <v>13284</v>
      </c>
      <c r="F3936" s="9" t="s">
        <v>13284</v>
      </c>
      <c r="G3936" s="9" t="s">
        <v>13284</v>
      </c>
      <c r="H3936" s="9" t="s">
        <v>13284</v>
      </c>
      <c r="I3936" s="9" t="s">
        <v>13284</v>
      </c>
      <c r="J3936" s="9" t="s">
        <v>13284</v>
      </c>
      <c r="K3936" s="9" t="s">
        <v>13284</v>
      </c>
      <c r="L3936" s="9" t="s">
        <v>13284</v>
      </c>
      <c r="M3936" s="9" t="s">
        <v>13284</v>
      </c>
      <c r="N3936" s="9" t="s">
        <v>13284</v>
      </c>
      <c r="O3936" s="9" t="s">
        <v>13284</v>
      </c>
      <c r="P3936" s="9" t="s">
        <v>13284</v>
      </c>
      <c r="Q3936" s="9" t="s">
        <v>13284</v>
      </c>
      <c r="R3936" s="9" t="s">
        <v>13284</v>
      </c>
      <c r="S3936" s="9" t="s">
        <v>13284</v>
      </c>
      <c r="T3936" s="9" t="str">
        <f ca="1">IFERROR(IF(AND(VLOOKUP(A3936, 'Актуальное состояние (из общего'!A:C,3,0) = "", A3936 &lt;&gt; ""), "ПРОВЕРИТЬ", VLOOKUP(A3936, 'Актуальное состояние (из общего'!A:C,3,0)), "")</f>
        <v/>
      </c>
      <c r="U3936" s="9" t="s">
        <v>13284</v>
      </c>
      <c r="V3936" s="9" t="s">
        <v>13284</v>
      </c>
      <c r="W3936" s="12"/>
      <c r="X3936" s="9" t="str">
        <f t="array" ref="X3936">IFERROR(INDEX('Адреса общежитий (скрытый)'!$B$2:$B$9, MATCH(W3936, 'Адреса общежитий (скрытый)'!$A$2:$A$9, 0)), "")</f>
        <v/>
      </c>
      <c r="Y3936" s="18"/>
      <c r="Z3936" s="18"/>
      <c r="AA3936" s="18"/>
      <c r="AB3936" s="18"/>
      <c r="AC3936" s="18"/>
    </row>
    <row r="3937" spans="1:29" ht="32.25" hidden="1" customHeight="1">
      <c r="A3937" s="17"/>
      <c r="B3937" s="9" t="s">
        <v>13284</v>
      </c>
      <c r="C3937" s="9" t="s">
        <v>13284</v>
      </c>
      <c r="D3937" s="9" t="s">
        <v>13284</v>
      </c>
      <c r="E3937" s="9" t="s">
        <v>13284</v>
      </c>
      <c r="F3937" s="9" t="s">
        <v>13284</v>
      </c>
      <c r="G3937" s="9" t="s">
        <v>13284</v>
      </c>
      <c r="H3937" s="9" t="s">
        <v>13284</v>
      </c>
      <c r="I3937" s="9" t="s">
        <v>13284</v>
      </c>
      <c r="J3937" s="9" t="s">
        <v>13284</v>
      </c>
      <c r="K3937" s="9" t="s">
        <v>13284</v>
      </c>
      <c r="L3937" s="9" t="s">
        <v>13284</v>
      </c>
      <c r="M3937" s="9" t="s">
        <v>13284</v>
      </c>
      <c r="N3937" s="9" t="s">
        <v>13284</v>
      </c>
      <c r="O3937" s="9" t="s">
        <v>13284</v>
      </c>
      <c r="P3937" s="9" t="s">
        <v>13284</v>
      </c>
      <c r="Q3937" s="9" t="s">
        <v>13284</v>
      </c>
      <c r="R3937" s="9" t="s">
        <v>13284</v>
      </c>
      <c r="S3937" s="9" t="s">
        <v>13284</v>
      </c>
      <c r="T3937" s="9" t="str">
        <f ca="1">IFERROR(IF(AND(VLOOKUP(A3937, 'Актуальное состояние (из общего'!A:C,3,0) = "", A3937 &lt;&gt; ""), "ПРОВЕРИТЬ", VLOOKUP(A3937, 'Актуальное состояние (из общего'!A:C,3,0)), "")</f>
        <v/>
      </c>
      <c r="U3937" s="9" t="s">
        <v>13284</v>
      </c>
      <c r="V3937" s="9" t="s">
        <v>13284</v>
      </c>
      <c r="W3937" s="12"/>
      <c r="X3937" s="9" t="str">
        <f t="array" ref="X3937">IFERROR(INDEX('Адреса общежитий (скрытый)'!$B$2:$B$9, MATCH(W3937, 'Адреса общежитий (скрытый)'!$A$2:$A$9, 0)), "")</f>
        <v/>
      </c>
      <c r="Y3937" s="18"/>
      <c r="Z3937" s="18"/>
      <c r="AA3937" s="18"/>
      <c r="AB3937" s="18"/>
      <c r="AC3937" s="18"/>
    </row>
    <row r="3938" spans="1:29" ht="32.25" hidden="1" customHeight="1">
      <c r="A3938" s="17"/>
      <c r="B3938" s="9" t="s">
        <v>13284</v>
      </c>
      <c r="C3938" s="9" t="s">
        <v>13284</v>
      </c>
      <c r="D3938" s="9" t="s">
        <v>13284</v>
      </c>
      <c r="E3938" s="9" t="s">
        <v>13284</v>
      </c>
      <c r="F3938" s="9" t="s">
        <v>13284</v>
      </c>
      <c r="G3938" s="9" t="s">
        <v>13284</v>
      </c>
      <c r="H3938" s="9" t="s">
        <v>13284</v>
      </c>
      <c r="I3938" s="9" t="s">
        <v>13284</v>
      </c>
      <c r="J3938" s="9" t="s">
        <v>13284</v>
      </c>
      <c r="K3938" s="9" t="s">
        <v>13284</v>
      </c>
      <c r="L3938" s="9" t="s">
        <v>13284</v>
      </c>
      <c r="M3938" s="9" t="s">
        <v>13284</v>
      </c>
      <c r="N3938" s="9" t="s">
        <v>13284</v>
      </c>
      <c r="O3938" s="9" t="s">
        <v>13284</v>
      </c>
      <c r="P3938" s="9" t="s">
        <v>13284</v>
      </c>
      <c r="Q3938" s="9" t="s">
        <v>13284</v>
      </c>
      <c r="R3938" s="9" t="s">
        <v>13284</v>
      </c>
      <c r="S3938" s="9" t="s">
        <v>13284</v>
      </c>
      <c r="T3938" s="9" t="str">
        <f ca="1">IFERROR(IF(AND(VLOOKUP(A3938, 'Актуальное состояние (из общего'!A:C,3,0) = "", A3938 &lt;&gt; ""), "ПРОВЕРИТЬ", VLOOKUP(A3938, 'Актуальное состояние (из общего'!A:C,3,0)), "")</f>
        <v/>
      </c>
      <c r="U3938" s="9" t="s">
        <v>13284</v>
      </c>
      <c r="V3938" s="9" t="s">
        <v>13284</v>
      </c>
      <c r="W3938" s="12"/>
      <c r="X3938" s="9" t="str">
        <f t="array" ref="X3938">IFERROR(INDEX('Адреса общежитий (скрытый)'!$B$2:$B$9, MATCH(W3938, 'Адреса общежитий (скрытый)'!$A$2:$A$9, 0)), "")</f>
        <v/>
      </c>
      <c r="Y3938" s="18"/>
      <c r="Z3938" s="18"/>
      <c r="AA3938" s="18"/>
      <c r="AB3938" s="18"/>
      <c r="AC3938" s="18"/>
    </row>
    <row r="3939" spans="1:29" ht="32.25" hidden="1" customHeight="1">
      <c r="A3939" s="17"/>
      <c r="B3939" s="9" t="s">
        <v>13284</v>
      </c>
      <c r="C3939" s="9" t="s">
        <v>13284</v>
      </c>
      <c r="D3939" s="9" t="s">
        <v>13284</v>
      </c>
      <c r="E3939" s="9" t="s">
        <v>13284</v>
      </c>
      <c r="F3939" s="9" t="s">
        <v>13284</v>
      </c>
      <c r="G3939" s="9" t="s">
        <v>13284</v>
      </c>
      <c r="H3939" s="9" t="s">
        <v>13284</v>
      </c>
      <c r="I3939" s="9" t="s">
        <v>13284</v>
      </c>
      <c r="J3939" s="9" t="s">
        <v>13284</v>
      </c>
      <c r="K3939" s="9" t="s">
        <v>13284</v>
      </c>
      <c r="L3939" s="9" t="s">
        <v>13284</v>
      </c>
      <c r="M3939" s="9" t="s">
        <v>13284</v>
      </c>
      <c r="N3939" s="9" t="s">
        <v>13284</v>
      </c>
      <c r="O3939" s="9" t="s">
        <v>13284</v>
      </c>
      <c r="P3939" s="9" t="s">
        <v>13284</v>
      </c>
      <c r="Q3939" s="9" t="s">
        <v>13284</v>
      </c>
      <c r="R3939" s="9" t="s">
        <v>13284</v>
      </c>
      <c r="S3939" s="9" t="s">
        <v>13284</v>
      </c>
      <c r="T3939" s="9" t="str">
        <f ca="1">IFERROR(IF(AND(VLOOKUP(A3939, 'Актуальное состояние (из общего'!A:C,3,0) = "", A3939 &lt;&gt; ""), "ПРОВЕРИТЬ", VLOOKUP(A3939, 'Актуальное состояние (из общего'!A:C,3,0)), "")</f>
        <v/>
      </c>
      <c r="U3939" s="9" t="s">
        <v>13284</v>
      </c>
      <c r="V3939" s="9" t="s">
        <v>13284</v>
      </c>
      <c r="W3939" s="12"/>
      <c r="X3939" s="9" t="str">
        <f t="array" ref="X3939">IFERROR(INDEX('Адреса общежитий (скрытый)'!$B$2:$B$9, MATCH(W3939, 'Адреса общежитий (скрытый)'!$A$2:$A$9, 0)), "")</f>
        <v/>
      </c>
      <c r="Y3939" s="18"/>
      <c r="Z3939" s="18"/>
      <c r="AA3939" s="18"/>
      <c r="AB3939" s="18"/>
      <c r="AC3939" s="18"/>
    </row>
    <row r="3940" spans="1:29" ht="32.25" hidden="1" customHeight="1">
      <c r="A3940" s="17"/>
      <c r="B3940" s="9" t="s">
        <v>13284</v>
      </c>
      <c r="C3940" s="9" t="s">
        <v>13284</v>
      </c>
      <c r="D3940" s="9" t="s">
        <v>13284</v>
      </c>
      <c r="E3940" s="9" t="s">
        <v>13284</v>
      </c>
      <c r="F3940" s="9" t="s">
        <v>13284</v>
      </c>
      <c r="G3940" s="9" t="s">
        <v>13284</v>
      </c>
      <c r="H3940" s="9" t="s">
        <v>13284</v>
      </c>
      <c r="I3940" s="9" t="s">
        <v>13284</v>
      </c>
      <c r="J3940" s="9" t="s">
        <v>13284</v>
      </c>
      <c r="K3940" s="9" t="s">
        <v>13284</v>
      </c>
      <c r="L3940" s="9" t="s">
        <v>13284</v>
      </c>
      <c r="M3940" s="9" t="s">
        <v>13284</v>
      </c>
      <c r="N3940" s="9" t="s">
        <v>13284</v>
      </c>
      <c r="O3940" s="9" t="s">
        <v>13284</v>
      </c>
      <c r="P3940" s="9" t="s">
        <v>13284</v>
      </c>
      <c r="Q3940" s="9" t="s">
        <v>13284</v>
      </c>
      <c r="R3940" s="9" t="s">
        <v>13284</v>
      </c>
      <c r="S3940" s="9" t="s">
        <v>13284</v>
      </c>
      <c r="T3940" s="9" t="str">
        <f ca="1">IFERROR(IF(AND(VLOOKUP(A3940, 'Актуальное состояние (из общего'!A:C,3,0) = "", A3940 &lt;&gt; ""), "ПРОВЕРИТЬ", VLOOKUP(A3940, 'Актуальное состояние (из общего'!A:C,3,0)), "")</f>
        <v/>
      </c>
      <c r="U3940" s="9" t="s">
        <v>13284</v>
      </c>
      <c r="V3940" s="9" t="s">
        <v>13284</v>
      </c>
      <c r="W3940" s="12"/>
      <c r="X3940" s="9" t="str">
        <f t="array" ref="X3940">IFERROR(INDEX('Адреса общежитий (скрытый)'!$B$2:$B$9, MATCH(W3940, 'Адреса общежитий (скрытый)'!$A$2:$A$9, 0)), "")</f>
        <v/>
      </c>
      <c r="Y3940" s="18"/>
      <c r="Z3940" s="18"/>
      <c r="AA3940" s="18"/>
      <c r="AB3940" s="18"/>
      <c r="AC3940" s="18"/>
    </row>
    <row r="3941" spans="1:29" ht="32.25" hidden="1" customHeight="1">
      <c r="A3941" s="17"/>
      <c r="B3941" s="9" t="s">
        <v>13284</v>
      </c>
      <c r="C3941" s="9" t="s">
        <v>13284</v>
      </c>
      <c r="D3941" s="9" t="s">
        <v>13284</v>
      </c>
      <c r="E3941" s="9" t="s">
        <v>13284</v>
      </c>
      <c r="F3941" s="9" t="s">
        <v>13284</v>
      </c>
      <c r="G3941" s="9" t="s">
        <v>13284</v>
      </c>
      <c r="H3941" s="9" t="s">
        <v>13284</v>
      </c>
      <c r="I3941" s="9" t="s">
        <v>13284</v>
      </c>
      <c r="J3941" s="9" t="s">
        <v>13284</v>
      </c>
      <c r="K3941" s="9" t="s">
        <v>13284</v>
      </c>
      <c r="L3941" s="9" t="s">
        <v>13284</v>
      </c>
      <c r="M3941" s="9" t="s">
        <v>13284</v>
      </c>
      <c r="N3941" s="9" t="s">
        <v>13284</v>
      </c>
      <c r="O3941" s="9" t="s">
        <v>13284</v>
      </c>
      <c r="P3941" s="9" t="s">
        <v>13284</v>
      </c>
      <c r="Q3941" s="9" t="s">
        <v>13284</v>
      </c>
      <c r="R3941" s="9" t="s">
        <v>13284</v>
      </c>
      <c r="S3941" s="9" t="s">
        <v>13284</v>
      </c>
      <c r="T3941" s="9" t="str">
        <f ca="1">IFERROR(IF(AND(VLOOKUP(A3941, 'Актуальное состояние (из общего'!A:C,3,0) = "", A3941 &lt;&gt; ""), "ПРОВЕРИТЬ", VLOOKUP(A3941, 'Актуальное состояние (из общего'!A:C,3,0)), "")</f>
        <v/>
      </c>
      <c r="U3941" s="9" t="s">
        <v>13284</v>
      </c>
      <c r="V3941" s="9" t="s">
        <v>13284</v>
      </c>
      <c r="W3941" s="12"/>
      <c r="X3941" s="9" t="str">
        <f t="array" ref="X3941">IFERROR(INDEX('Адреса общежитий (скрытый)'!$B$2:$B$9, MATCH(W3941, 'Адреса общежитий (скрытый)'!$A$2:$A$9, 0)), "")</f>
        <v/>
      </c>
      <c r="Y3941" s="18"/>
      <c r="Z3941" s="18"/>
      <c r="AA3941" s="18"/>
      <c r="AB3941" s="18"/>
      <c r="AC3941" s="18"/>
    </row>
    <row r="3942" spans="1:29" ht="32.25" hidden="1" customHeight="1">
      <c r="A3942" s="17"/>
      <c r="B3942" s="9" t="s">
        <v>13284</v>
      </c>
      <c r="C3942" s="9" t="s">
        <v>13284</v>
      </c>
      <c r="D3942" s="9" t="s">
        <v>13284</v>
      </c>
      <c r="E3942" s="9" t="s">
        <v>13284</v>
      </c>
      <c r="F3942" s="9" t="s">
        <v>13284</v>
      </c>
      <c r="G3942" s="9" t="s">
        <v>13284</v>
      </c>
      <c r="H3942" s="9" t="s">
        <v>13284</v>
      </c>
      <c r="I3942" s="9" t="s">
        <v>13284</v>
      </c>
      <c r="J3942" s="9" t="s">
        <v>13284</v>
      </c>
      <c r="K3942" s="9" t="s">
        <v>13284</v>
      </c>
      <c r="L3942" s="9" t="s">
        <v>13284</v>
      </c>
      <c r="M3942" s="9" t="s">
        <v>13284</v>
      </c>
      <c r="N3942" s="9" t="s">
        <v>13284</v>
      </c>
      <c r="O3942" s="9" t="s">
        <v>13284</v>
      </c>
      <c r="P3942" s="9" t="s">
        <v>13284</v>
      </c>
      <c r="Q3942" s="9" t="s">
        <v>13284</v>
      </c>
      <c r="R3942" s="9" t="s">
        <v>13284</v>
      </c>
      <c r="S3942" s="9" t="s">
        <v>13284</v>
      </c>
      <c r="T3942" s="9" t="str">
        <f ca="1">IFERROR(IF(AND(VLOOKUP(A3942, 'Актуальное состояние (из общего'!A:C,3,0) = "", A3942 &lt;&gt; ""), "ПРОВЕРИТЬ", VLOOKUP(A3942, 'Актуальное состояние (из общего'!A:C,3,0)), "")</f>
        <v/>
      </c>
      <c r="U3942" s="9" t="s">
        <v>13284</v>
      </c>
      <c r="V3942" s="9" t="s">
        <v>13284</v>
      </c>
      <c r="W3942" s="12"/>
      <c r="X3942" s="9" t="str">
        <f t="array" ref="X3942">IFERROR(INDEX('Адреса общежитий (скрытый)'!$B$2:$B$9, MATCH(W3942, 'Адреса общежитий (скрытый)'!$A$2:$A$9, 0)), "")</f>
        <v/>
      </c>
      <c r="Y3942" s="18"/>
      <c r="Z3942" s="18"/>
      <c r="AA3942" s="18"/>
      <c r="AB3942" s="18"/>
      <c r="AC3942" s="18"/>
    </row>
    <row r="3943" spans="1:29" ht="32.25" hidden="1" customHeight="1">
      <c r="A3943" s="17"/>
      <c r="B3943" s="9" t="s">
        <v>13284</v>
      </c>
      <c r="C3943" s="9" t="s">
        <v>13284</v>
      </c>
      <c r="D3943" s="9" t="s">
        <v>13284</v>
      </c>
      <c r="E3943" s="9" t="s">
        <v>13284</v>
      </c>
      <c r="F3943" s="9" t="s">
        <v>13284</v>
      </c>
      <c r="G3943" s="9" t="s">
        <v>13284</v>
      </c>
      <c r="H3943" s="9" t="s">
        <v>13284</v>
      </c>
      <c r="I3943" s="9" t="s">
        <v>13284</v>
      </c>
      <c r="J3943" s="9" t="s">
        <v>13284</v>
      </c>
      <c r="K3943" s="9" t="s">
        <v>13284</v>
      </c>
      <c r="L3943" s="9" t="s">
        <v>13284</v>
      </c>
      <c r="M3943" s="9" t="s">
        <v>13284</v>
      </c>
      <c r="N3943" s="9" t="s">
        <v>13284</v>
      </c>
      <c r="O3943" s="9" t="s">
        <v>13284</v>
      </c>
      <c r="P3943" s="9" t="s">
        <v>13284</v>
      </c>
      <c r="Q3943" s="9" t="s">
        <v>13284</v>
      </c>
      <c r="R3943" s="9" t="s">
        <v>13284</v>
      </c>
      <c r="S3943" s="9" t="s">
        <v>13284</v>
      </c>
      <c r="T3943" s="9" t="str">
        <f ca="1">IFERROR(IF(AND(VLOOKUP(A3943, 'Актуальное состояние (из общего'!A:C,3,0) = "", A3943 &lt;&gt; ""), "ПРОВЕРИТЬ", VLOOKUP(A3943, 'Актуальное состояние (из общего'!A:C,3,0)), "")</f>
        <v/>
      </c>
      <c r="U3943" s="9" t="s">
        <v>13284</v>
      </c>
      <c r="V3943" s="9" t="s">
        <v>13284</v>
      </c>
      <c r="W3943" s="12"/>
      <c r="X3943" s="9" t="str">
        <f t="array" ref="X3943">IFERROR(INDEX('Адреса общежитий (скрытый)'!$B$2:$B$9, MATCH(W3943, 'Адреса общежитий (скрытый)'!$A$2:$A$9, 0)), "")</f>
        <v/>
      </c>
      <c r="Y3943" s="18"/>
      <c r="Z3943" s="18"/>
      <c r="AA3943" s="18"/>
      <c r="AB3943" s="18"/>
      <c r="AC3943" s="18"/>
    </row>
    <row r="3944" spans="1:29" ht="32.25" hidden="1" customHeight="1">
      <c r="A3944" s="17"/>
      <c r="B3944" s="9" t="s">
        <v>13284</v>
      </c>
      <c r="C3944" s="9" t="s">
        <v>13284</v>
      </c>
      <c r="D3944" s="9" t="s">
        <v>13284</v>
      </c>
      <c r="E3944" s="9" t="s">
        <v>13284</v>
      </c>
      <c r="F3944" s="9" t="s">
        <v>13284</v>
      </c>
      <c r="G3944" s="9" t="s">
        <v>13284</v>
      </c>
      <c r="H3944" s="9" t="s">
        <v>13284</v>
      </c>
      <c r="I3944" s="9" t="s">
        <v>13284</v>
      </c>
      <c r="J3944" s="9" t="s">
        <v>13284</v>
      </c>
      <c r="K3944" s="9" t="s">
        <v>13284</v>
      </c>
      <c r="L3944" s="9" t="s">
        <v>13284</v>
      </c>
      <c r="M3944" s="9" t="s">
        <v>13284</v>
      </c>
      <c r="N3944" s="9" t="s">
        <v>13284</v>
      </c>
      <c r="O3944" s="9" t="s">
        <v>13284</v>
      </c>
      <c r="P3944" s="9" t="s">
        <v>13284</v>
      </c>
      <c r="Q3944" s="9" t="s">
        <v>13284</v>
      </c>
      <c r="R3944" s="9" t="s">
        <v>13284</v>
      </c>
      <c r="S3944" s="9" t="s">
        <v>13284</v>
      </c>
      <c r="T3944" s="9" t="str">
        <f ca="1">IFERROR(IF(AND(VLOOKUP(A3944, 'Актуальное состояние (из общего'!A:C,3,0) = "", A3944 &lt;&gt; ""), "ПРОВЕРИТЬ", VLOOKUP(A3944, 'Актуальное состояние (из общего'!A:C,3,0)), "")</f>
        <v/>
      </c>
      <c r="U3944" s="9" t="s">
        <v>13284</v>
      </c>
      <c r="V3944" s="9" t="s">
        <v>13284</v>
      </c>
      <c r="W3944" s="12"/>
      <c r="X3944" s="9" t="str">
        <f t="array" ref="X3944">IFERROR(INDEX('Адреса общежитий (скрытый)'!$B$2:$B$9, MATCH(W3944, 'Адреса общежитий (скрытый)'!$A$2:$A$9, 0)), "")</f>
        <v/>
      </c>
      <c r="Y3944" s="18"/>
      <c r="Z3944" s="18"/>
      <c r="AA3944" s="18"/>
      <c r="AB3944" s="18"/>
      <c r="AC3944" s="18"/>
    </row>
    <row r="3945" spans="1:29" ht="32.25" hidden="1" customHeight="1">
      <c r="A3945" s="17"/>
      <c r="B3945" s="9" t="s">
        <v>13284</v>
      </c>
      <c r="C3945" s="9" t="s">
        <v>13284</v>
      </c>
      <c r="D3945" s="9" t="s">
        <v>13284</v>
      </c>
      <c r="E3945" s="9" t="s">
        <v>13284</v>
      </c>
      <c r="F3945" s="9" t="s">
        <v>13284</v>
      </c>
      <c r="G3945" s="9" t="s">
        <v>13284</v>
      </c>
      <c r="H3945" s="9" t="s">
        <v>13284</v>
      </c>
      <c r="I3945" s="9" t="s">
        <v>13284</v>
      </c>
      <c r="J3945" s="9" t="s">
        <v>13284</v>
      </c>
      <c r="K3945" s="9" t="s">
        <v>13284</v>
      </c>
      <c r="L3945" s="9" t="s">
        <v>13284</v>
      </c>
      <c r="M3945" s="9" t="s">
        <v>13284</v>
      </c>
      <c r="N3945" s="9" t="s">
        <v>13284</v>
      </c>
      <c r="O3945" s="9" t="s">
        <v>13284</v>
      </c>
      <c r="P3945" s="9" t="s">
        <v>13284</v>
      </c>
      <c r="Q3945" s="9" t="s">
        <v>13284</v>
      </c>
      <c r="R3945" s="9" t="s">
        <v>13284</v>
      </c>
      <c r="S3945" s="9" t="s">
        <v>13284</v>
      </c>
      <c r="T3945" s="9" t="str">
        <f ca="1">IFERROR(IF(AND(VLOOKUP(A3945, 'Актуальное состояние (из общего'!A:C,3,0) = "", A3945 &lt;&gt; ""), "ПРОВЕРИТЬ", VLOOKUP(A3945, 'Актуальное состояние (из общего'!A:C,3,0)), "")</f>
        <v/>
      </c>
      <c r="U3945" s="9" t="s">
        <v>13284</v>
      </c>
      <c r="V3945" s="9" t="s">
        <v>13284</v>
      </c>
      <c r="W3945" s="12"/>
      <c r="X3945" s="9" t="str">
        <f t="array" ref="X3945">IFERROR(INDEX('Адреса общежитий (скрытый)'!$B$2:$B$9, MATCH(W3945, 'Адреса общежитий (скрытый)'!$A$2:$A$9, 0)), "")</f>
        <v/>
      </c>
      <c r="Y3945" s="18"/>
      <c r="Z3945" s="18"/>
      <c r="AA3945" s="18"/>
      <c r="AB3945" s="18"/>
      <c r="AC3945" s="18"/>
    </row>
    <row r="3946" spans="1:29" ht="32.25" hidden="1" customHeight="1">
      <c r="A3946" s="17"/>
      <c r="B3946" s="9" t="s">
        <v>13284</v>
      </c>
      <c r="C3946" s="9" t="s">
        <v>13284</v>
      </c>
      <c r="D3946" s="9" t="s">
        <v>13284</v>
      </c>
      <c r="E3946" s="9" t="s">
        <v>13284</v>
      </c>
      <c r="F3946" s="9" t="s">
        <v>13284</v>
      </c>
      <c r="G3946" s="9" t="s">
        <v>13284</v>
      </c>
      <c r="H3946" s="9" t="s">
        <v>13284</v>
      </c>
      <c r="I3946" s="9" t="s">
        <v>13284</v>
      </c>
      <c r="J3946" s="9" t="s">
        <v>13284</v>
      </c>
      <c r="K3946" s="9" t="s">
        <v>13284</v>
      </c>
      <c r="L3946" s="9" t="s">
        <v>13284</v>
      </c>
      <c r="M3946" s="9" t="s">
        <v>13284</v>
      </c>
      <c r="N3946" s="9" t="s">
        <v>13284</v>
      </c>
      <c r="O3946" s="9" t="s">
        <v>13284</v>
      </c>
      <c r="P3946" s="9" t="s">
        <v>13284</v>
      </c>
      <c r="Q3946" s="9" t="s">
        <v>13284</v>
      </c>
      <c r="R3946" s="9" t="s">
        <v>13284</v>
      </c>
      <c r="S3946" s="9" t="s">
        <v>13284</v>
      </c>
      <c r="T3946" s="9" t="str">
        <f ca="1">IFERROR(IF(AND(VLOOKUP(A3946, 'Актуальное состояние (из общего'!A:C,3,0) = "", A3946 &lt;&gt; ""), "ПРОВЕРИТЬ", VLOOKUP(A3946, 'Актуальное состояние (из общего'!A:C,3,0)), "")</f>
        <v/>
      </c>
      <c r="U3946" s="9" t="s">
        <v>13284</v>
      </c>
      <c r="V3946" s="9" t="s">
        <v>13284</v>
      </c>
      <c r="W3946" s="12"/>
      <c r="X3946" s="9" t="str">
        <f t="array" ref="X3946">IFERROR(INDEX('Адреса общежитий (скрытый)'!$B$2:$B$9, MATCH(W3946, 'Адреса общежитий (скрытый)'!$A$2:$A$9, 0)), "")</f>
        <v/>
      </c>
      <c r="Y3946" s="18"/>
      <c r="Z3946" s="18"/>
      <c r="AA3946" s="18"/>
      <c r="AB3946" s="18"/>
      <c r="AC3946" s="18"/>
    </row>
    <row r="3947" spans="1:29" ht="32.25" hidden="1" customHeight="1">
      <c r="A3947" s="17"/>
      <c r="B3947" s="9" t="s">
        <v>13284</v>
      </c>
      <c r="C3947" s="9" t="s">
        <v>13284</v>
      </c>
      <c r="D3947" s="9" t="s">
        <v>13284</v>
      </c>
      <c r="E3947" s="9" t="s">
        <v>13284</v>
      </c>
      <c r="F3947" s="9" t="s">
        <v>13284</v>
      </c>
      <c r="G3947" s="9" t="s">
        <v>13284</v>
      </c>
      <c r="H3947" s="9" t="s">
        <v>13284</v>
      </c>
      <c r="I3947" s="9" t="s">
        <v>13284</v>
      </c>
      <c r="J3947" s="9" t="s">
        <v>13284</v>
      </c>
      <c r="K3947" s="9" t="s">
        <v>13284</v>
      </c>
      <c r="L3947" s="9" t="s">
        <v>13284</v>
      </c>
      <c r="M3947" s="9" t="s">
        <v>13284</v>
      </c>
      <c r="N3947" s="9" t="s">
        <v>13284</v>
      </c>
      <c r="O3947" s="9" t="s">
        <v>13284</v>
      </c>
      <c r="P3947" s="9" t="s">
        <v>13284</v>
      </c>
      <c r="Q3947" s="9" t="s">
        <v>13284</v>
      </c>
      <c r="R3947" s="9" t="s">
        <v>13284</v>
      </c>
      <c r="S3947" s="9" t="s">
        <v>13284</v>
      </c>
      <c r="T3947" s="9" t="str">
        <f ca="1">IFERROR(IF(AND(VLOOKUP(A3947, 'Актуальное состояние (из общего'!A:C,3,0) = "", A3947 &lt;&gt; ""), "ПРОВЕРИТЬ", VLOOKUP(A3947, 'Актуальное состояние (из общего'!A:C,3,0)), "")</f>
        <v/>
      </c>
      <c r="U3947" s="9" t="s">
        <v>13284</v>
      </c>
      <c r="V3947" s="9" t="s">
        <v>13284</v>
      </c>
      <c r="W3947" s="12"/>
      <c r="X3947" s="9" t="str">
        <f t="array" ref="X3947">IFERROR(INDEX('Адреса общежитий (скрытый)'!$B$2:$B$9, MATCH(W3947, 'Адреса общежитий (скрытый)'!$A$2:$A$9, 0)), "")</f>
        <v/>
      </c>
      <c r="Y3947" s="18"/>
      <c r="Z3947" s="18"/>
      <c r="AA3947" s="18"/>
      <c r="AB3947" s="18"/>
      <c r="AC3947" s="18"/>
    </row>
    <row r="3948" spans="1:29" ht="32.25" hidden="1" customHeight="1">
      <c r="A3948" s="17"/>
      <c r="B3948" s="9" t="s">
        <v>13284</v>
      </c>
      <c r="C3948" s="9" t="s">
        <v>13284</v>
      </c>
      <c r="D3948" s="9" t="s">
        <v>13284</v>
      </c>
      <c r="E3948" s="9" t="s">
        <v>13284</v>
      </c>
      <c r="F3948" s="9" t="s">
        <v>13284</v>
      </c>
      <c r="G3948" s="9" t="s">
        <v>13284</v>
      </c>
      <c r="H3948" s="9" t="s">
        <v>13284</v>
      </c>
      <c r="I3948" s="9" t="s">
        <v>13284</v>
      </c>
      <c r="J3948" s="9" t="s">
        <v>13284</v>
      </c>
      <c r="K3948" s="9" t="s">
        <v>13284</v>
      </c>
      <c r="L3948" s="9" t="s">
        <v>13284</v>
      </c>
      <c r="M3948" s="9" t="s">
        <v>13284</v>
      </c>
      <c r="N3948" s="9" t="s">
        <v>13284</v>
      </c>
      <c r="O3948" s="9" t="s">
        <v>13284</v>
      </c>
      <c r="P3948" s="9" t="s">
        <v>13284</v>
      </c>
      <c r="Q3948" s="9" t="s">
        <v>13284</v>
      </c>
      <c r="R3948" s="9" t="s">
        <v>13284</v>
      </c>
      <c r="S3948" s="9" t="s">
        <v>13284</v>
      </c>
      <c r="T3948" s="9" t="str">
        <f ca="1">IFERROR(IF(AND(VLOOKUP(A3948, 'Актуальное состояние (из общего'!A:C,3,0) = "", A3948 &lt;&gt; ""), "ПРОВЕРИТЬ", VLOOKUP(A3948, 'Актуальное состояние (из общего'!A:C,3,0)), "")</f>
        <v/>
      </c>
      <c r="U3948" s="9" t="s">
        <v>13284</v>
      </c>
      <c r="V3948" s="9" t="s">
        <v>13284</v>
      </c>
      <c r="W3948" s="12"/>
      <c r="X3948" s="9" t="str">
        <f t="array" ref="X3948">IFERROR(INDEX('Адреса общежитий (скрытый)'!$B$2:$B$9, MATCH(W3948, 'Адреса общежитий (скрытый)'!$A$2:$A$9, 0)), "")</f>
        <v/>
      </c>
      <c r="Y3948" s="18"/>
      <c r="Z3948" s="18"/>
      <c r="AA3948" s="18"/>
      <c r="AB3948" s="18"/>
      <c r="AC3948" s="18"/>
    </row>
    <row r="3949" spans="1:29" ht="32.25" hidden="1" customHeight="1">
      <c r="A3949" s="17"/>
      <c r="B3949" s="9" t="s">
        <v>13284</v>
      </c>
      <c r="C3949" s="9" t="s">
        <v>13284</v>
      </c>
      <c r="D3949" s="9" t="s">
        <v>13284</v>
      </c>
      <c r="E3949" s="9" t="s">
        <v>13284</v>
      </c>
      <c r="F3949" s="9" t="s">
        <v>13284</v>
      </c>
      <c r="G3949" s="9" t="s">
        <v>13284</v>
      </c>
      <c r="H3949" s="9" t="s">
        <v>13284</v>
      </c>
      <c r="I3949" s="9" t="s">
        <v>13284</v>
      </c>
      <c r="J3949" s="9" t="s">
        <v>13284</v>
      </c>
      <c r="K3949" s="9" t="s">
        <v>13284</v>
      </c>
      <c r="L3949" s="9" t="s">
        <v>13284</v>
      </c>
      <c r="M3949" s="9" t="s">
        <v>13284</v>
      </c>
      <c r="N3949" s="9" t="s">
        <v>13284</v>
      </c>
      <c r="O3949" s="9" t="s">
        <v>13284</v>
      </c>
      <c r="P3949" s="9" t="s">
        <v>13284</v>
      </c>
      <c r="Q3949" s="9" t="s">
        <v>13284</v>
      </c>
      <c r="R3949" s="9" t="s">
        <v>13284</v>
      </c>
      <c r="S3949" s="9" t="s">
        <v>13284</v>
      </c>
      <c r="T3949" s="9" t="str">
        <f ca="1">IFERROR(IF(AND(VLOOKUP(A3949, 'Актуальное состояние (из общего'!A:C,3,0) = "", A3949 &lt;&gt; ""), "ПРОВЕРИТЬ", VLOOKUP(A3949, 'Актуальное состояние (из общего'!A:C,3,0)), "")</f>
        <v/>
      </c>
      <c r="U3949" s="9" t="s">
        <v>13284</v>
      </c>
      <c r="V3949" s="9" t="s">
        <v>13284</v>
      </c>
      <c r="W3949" s="12"/>
      <c r="X3949" s="9" t="str">
        <f t="array" ref="X3949">IFERROR(INDEX('Адреса общежитий (скрытый)'!$B$2:$B$9, MATCH(W3949, 'Адреса общежитий (скрытый)'!$A$2:$A$9, 0)), "")</f>
        <v/>
      </c>
      <c r="Y3949" s="18"/>
      <c r="Z3949" s="18"/>
      <c r="AA3949" s="18"/>
      <c r="AB3949" s="18"/>
      <c r="AC3949" s="18"/>
    </row>
    <row r="3950" spans="1:29" ht="32.25" hidden="1" customHeight="1">
      <c r="A3950" s="17"/>
      <c r="B3950" s="9" t="s">
        <v>13284</v>
      </c>
      <c r="C3950" s="9" t="s">
        <v>13284</v>
      </c>
      <c r="D3950" s="9" t="s">
        <v>13284</v>
      </c>
      <c r="E3950" s="9" t="s">
        <v>13284</v>
      </c>
      <c r="F3950" s="9" t="s">
        <v>13284</v>
      </c>
      <c r="G3950" s="9" t="s">
        <v>13284</v>
      </c>
      <c r="H3950" s="9" t="s">
        <v>13284</v>
      </c>
      <c r="I3950" s="9" t="s">
        <v>13284</v>
      </c>
      <c r="J3950" s="9" t="s">
        <v>13284</v>
      </c>
      <c r="K3950" s="9" t="s">
        <v>13284</v>
      </c>
      <c r="L3950" s="9" t="s">
        <v>13284</v>
      </c>
      <c r="M3950" s="9" t="s">
        <v>13284</v>
      </c>
      <c r="N3950" s="9" t="s">
        <v>13284</v>
      </c>
      <c r="O3950" s="9" t="s">
        <v>13284</v>
      </c>
      <c r="P3950" s="9" t="s">
        <v>13284</v>
      </c>
      <c r="Q3950" s="9" t="s">
        <v>13284</v>
      </c>
      <c r="R3950" s="9" t="s">
        <v>13284</v>
      </c>
      <c r="S3950" s="9" t="s">
        <v>13284</v>
      </c>
      <c r="T3950" s="9" t="str">
        <f ca="1">IFERROR(IF(AND(VLOOKUP(A3950, 'Актуальное состояние (из общего'!A:C,3,0) = "", A3950 &lt;&gt; ""), "ПРОВЕРИТЬ", VLOOKUP(A3950, 'Актуальное состояние (из общего'!A:C,3,0)), "")</f>
        <v/>
      </c>
      <c r="U3950" s="9" t="s">
        <v>13284</v>
      </c>
      <c r="V3950" s="9" t="s">
        <v>13284</v>
      </c>
      <c r="W3950" s="12"/>
      <c r="X3950" s="9" t="str">
        <f t="array" ref="X3950">IFERROR(INDEX('Адреса общежитий (скрытый)'!$B$2:$B$9, MATCH(W3950, 'Адреса общежитий (скрытый)'!$A$2:$A$9, 0)), "")</f>
        <v/>
      </c>
      <c r="Y3950" s="18"/>
      <c r="Z3950" s="18"/>
      <c r="AA3950" s="18"/>
      <c r="AB3950" s="18"/>
      <c r="AC3950" s="18"/>
    </row>
    <row r="3951" spans="1:29" ht="32.25" hidden="1" customHeight="1">
      <c r="A3951" s="17"/>
      <c r="B3951" s="9" t="s">
        <v>13284</v>
      </c>
      <c r="C3951" s="9" t="s">
        <v>13284</v>
      </c>
      <c r="D3951" s="9" t="s">
        <v>13284</v>
      </c>
      <c r="E3951" s="9" t="s">
        <v>13284</v>
      </c>
      <c r="F3951" s="9" t="s">
        <v>13284</v>
      </c>
      <c r="G3951" s="9" t="s">
        <v>13284</v>
      </c>
      <c r="H3951" s="9" t="s">
        <v>13284</v>
      </c>
      <c r="I3951" s="9" t="s">
        <v>13284</v>
      </c>
      <c r="J3951" s="9" t="s">
        <v>13284</v>
      </c>
      <c r="K3951" s="9" t="s">
        <v>13284</v>
      </c>
      <c r="L3951" s="9" t="s">
        <v>13284</v>
      </c>
      <c r="M3951" s="9" t="s">
        <v>13284</v>
      </c>
      <c r="N3951" s="9" t="s">
        <v>13284</v>
      </c>
      <c r="O3951" s="9" t="s">
        <v>13284</v>
      </c>
      <c r="P3951" s="9" t="s">
        <v>13284</v>
      </c>
      <c r="Q3951" s="9" t="s">
        <v>13284</v>
      </c>
      <c r="R3951" s="9" t="s">
        <v>13284</v>
      </c>
      <c r="S3951" s="9" t="s">
        <v>13284</v>
      </c>
      <c r="T3951" s="9" t="str">
        <f ca="1">IFERROR(IF(AND(VLOOKUP(A3951, 'Актуальное состояние (из общего'!A:C,3,0) = "", A3951 &lt;&gt; ""), "ПРОВЕРИТЬ", VLOOKUP(A3951, 'Актуальное состояние (из общего'!A:C,3,0)), "")</f>
        <v/>
      </c>
      <c r="U3951" s="9" t="s">
        <v>13284</v>
      </c>
      <c r="V3951" s="9" t="s">
        <v>13284</v>
      </c>
      <c r="W3951" s="12"/>
      <c r="X3951" s="9" t="str">
        <f t="array" ref="X3951">IFERROR(INDEX('Адреса общежитий (скрытый)'!$B$2:$B$9, MATCH(W3951, 'Адреса общежитий (скрытый)'!$A$2:$A$9, 0)), "")</f>
        <v/>
      </c>
      <c r="Y3951" s="18"/>
      <c r="Z3951" s="18"/>
      <c r="AA3951" s="18"/>
      <c r="AB3951" s="18"/>
      <c r="AC3951" s="18"/>
    </row>
    <row r="3952" spans="1:29" ht="32.25" hidden="1" customHeight="1">
      <c r="A3952" s="17"/>
      <c r="B3952" s="9" t="s">
        <v>13284</v>
      </c>
      <c r="C3952" s="9" t="s">
        <v>13284</v>
      </c>
      <c r="D3952" s="9" t="s">
        <v>13284</v>
      </c>
      <c r="E3952" s="9" t="s">
        <v>13284</v>
      </c>
      <c r="F3952" s="9" t="s">
        <v>13284</v>
      </c>
      <c r="G3952" s="9" t="s">
        <v>13284</v>
      </c>
      <c r="H3952" s="9" t="s">
        <v>13284</v>
      </c>
      <c r="I3952" s="9" t="s">
        <v>13284</v>
      </c>
      <c r="J3952" s="9" t="s">
        <v>13284</v>
      </c>
      <c r="K3952" s="9" t="s">
        <v>13284</v>
      </c>
      <c r="L3952" s="9" t="s">
        <v>13284</v>
      </c>
      <c r="M3952" s="9" t="s">
        <v>13284</v>
      </c>
      <c r="N3952" s="9" t="s">
        <v>13284</v>
      </c>
      <c r="O3952" s="9" t="s">
        <v>13284</v>
      </c>
      <c r="P3952" s="9" t="s">
        <v>13284</v>
      </c>
      <c r="Q3952" s="9" t="s">
        <v>13284</v>
      </c>
      <c r="R3952" s="9" t="s">
        <v>13284</v>
      </c>
      <c r="S3952" s="9" t="s">
        <v>13284</v>
      </c>
      <c r="T3952" s="9" t="str">
        <f ca="1">IFERROR(IF(AND(VLOOKUP(A3952, 'Актуальное состояние (из общего'!A:C,3,0) = "", A3952 &lt;&gt; ""), "ПРОВЕРИТЬ", VLOOKUP(A3952, 'Актуальное состояние (из общего'!A:C,3,0)), "")</f>
        <v/>
      </c>
      <c r="U3952" s="9" t="s">
        <v>13284</v>
      </c>
      <c r="V3952" s="9" t="s">
        <v>13284</v>
      </c>
      <c r="W3952" s="12"/>
      <c r="X3952" s="9" t="str">
        <f t="array" ref="X3952">IFERROR(INDEX('Адреса общежитий (скрытый)'!$B$2:$B$9, MATCH(W3952, 'Адреса общежитий (скрытый)'!$A$2:$A$9, 0)), "")</f>
        <v/>
      </c>
      <c r="Y3952" s="18"/>
      <c r="Z3952" s="18"/>
      <c r="AA3952" s="18"/>
      <c r="AB3952" s="18"/>
      <c r="AC3952" s="18"/>
    </row>
    <row r="3953" spans="1:29" ht="32.25" hidden="1" customHeight="1">
      <c r="A3953" s="17"/>
      <c r="B3953" s="9" t="s">
        <v>13284</v>
      </c>
      <c r="C3953" s="9" t="s">
        <v>13284</v>
      </c>
      <c r="D3953" s="9" t="s">
        <v>13284</v>
      </c>
      <c r="E3953" s="9" t="s">
        <v>13284</v>
      </c>
      <c r="F3953" s="9" t="s">
        <v>13284</v>
      </c>
      <c r="G3953" s="9" t="s">
        <v>13284</v>
      </c>
      <c r="H3953" s="9" t="s">
        <v>13284</v>
      </c>
      <c r="I3953" s="9" t="s">
        <v>13284</v>
      </c>
      <c r="J3953" s="9" t="s">
        <v>13284</v>
      </c>
      <c r="K3953" s="9" t="s">
        <v>13284</v>
      </c>
      <c r="L3953" s="9" t="s">
        <v>13284</v>
      </c>
      <c r="M3953" s="9" t="s">
        <v>13284</v>
      </c>
      <c r="N3953" s="9" t="s">
        <v>13284</v>
      </c>
      <c r="O3953" s="9" t="s">
        <v>13284</v>
      </c>
      <c r="P3953" s="9" t="s">
        <v>13284</v>
      </c>
      <c r="Q3953" s="9" t="s">
        <v>13284</v>
      </c>
      <c r="R3953" s="9" t="s">
        <v>13284</v>
      </c>
      <c r="S3953" s="9" t="s">
        <v>13284</v>
      </c>
      <c r="T3953" s="9" t="str">
        <f ca="1">IFERROR(IF(AND(VLOOKUP(A3953, 'Актуальное состояние (из общего'!A:C,3,0) = "", A3953 &lt;&gt; ""), "ПРОВЕРИТЬ", VLOOKUP(A3953, 'Актуальное состояние (из общего'!A:C,3,0)), "")</f>
        <v/>
      </c>
      <c r="U3953" s="9" t="s">
        <v>13284</v>
      </c>
      <c r="V3953" s="9" t="s">
        <v>13284</v>
      </c>
      <c r="W3953" s="12"/>
      <c r="X3953" s="9" t="str">
        <f t="array" ref="X3953">IFERROR(INDEX('Адреса общежитий (скрытый)'!$B$2:$B$9, MATCH(W3953, 'Адреса общежитий (скрытый)'!$A$2:$A$9, 0)), "")</f>
        <v/>
      </c>
      <c r="Y3953" s="18"/>
      <c r="Z3953" s="18"/>
      <c r="AA3953" s="18"/>
      <c r="AB3953" s="18"/>
      <c r="AC3953" s="18"/>
    </row>
    <row r="3954" spans="1:29" ht="32.25" hidden="1" customHeight="1">
      <c r="A3954" s="17"/>
      <c r="B3954" s="9" t="s">
        <v>13284</v>
      </c>
      <c r="C3954" s="9" t="s">
        <v>13284</v>
      </c>
      <c r="D3954" s="9" t="s">
        <v>13284</v>
      </c>
      <c r="E3954" s="9" t="s">
        <v>13284</v>
      </c>
      <c r="F3954" s="9" t="s">
        <v>13284</v>
      </c>
      <c r="G3954" s="9" t="s">
        <v>13284</v>
      </c>
      <c r="H3954" s="9" t="s">
        <v>13284</v>
      </c>
      <c r="I3954" s="9" t="s">
        <v>13284</v>
      </c>
      <c r="J3954" s="9" t="s">
        <v>13284</v>
      </c>
      <c r="K3954" s="9" t="s">
        <v>13284</v>
      </c>
      <c r="L3954" s="9" t="s">
        <v>13284</v>
      </c>
      <c r="M3954" s="9" t="s">
        <v>13284</v>
      </c>
      <c r="N3954" s="9" t="s">
        <v>13284</v>
      </c>
      <c r="O3954" s="9" t="s">
        <v>13284</v>
      </c>
      <c r="P3954" s="9" t="s">
        <v>13284</v>
      </c>
      <c r="Q3954" s="9" t="s">
        <v>13284</v>
      </c>
      <c r="R3954" s="9" t="s">
        <v>13284</v>
      </c>
      <c r="S3954" s="9" t="s">
        <v>13284</v>
      </c>
      <c r="T3954" s="9" t="str">
        <f ca="1">IFERROR(IF(AND(VLOOKUP(A3954, 'Актуальное состояние (из общего'!A:C,3,0) = "", A3954 &lt;&gt; ""), "ПРОВЕРИТЬ", VLOOKUP(A3954, 'Актуальное состояние (из общего'!A:C,3,0)), "")</f>
        <v/>
      </c>
      <c r="U3954" s="9" t="s">
        <v>13284</v>
      </c>
      <c r="V3954" s="9" t="s">
        <v>13284</v>
      </c>
      <c r="W3954" s="12"/>
      <c r="X3954" s="9" t="str">
        <f t="array" ref="X3954">IFERROR(INDEX('Адреса общежитий (скрытый)'!$B$2:$B$9, MATCH(W3954, 'Адреса общежитий (скрытый)'!$A$2:$A$9, 0)), "")</f>
        <v/>
      </c>
      <c r="Y3954" s="18"/>
      <c r="Z3954" s="18"/>
      <c r="AA3954" s="18"/>
      <c r="AB3954" s="18"/>
      <c r="AC3954" s="18"/>
    </row>
    <row r="3955" spans="1:29" ht="32.25" hidden="1" customHeight="1">
      <c r="A3955" s="17"/>
      <c r="B3955" s="9" t="s">
        <v>13284</v>
      </c>
      <c r="C3955" s="9" t="s">
        <v>13284</v>
      </c>
      <c r="D3955" s="9" t="s">
        <v>13284</v>
      </c>
      <c r="E3955" s="9" t="s">
        <v>13284</v>
      </c>
      <c r="F3955" s="9" t="s">
        <v>13284</v>
      </c>
      <c r="G3955" s="9" t="s">
        <v>13284</v>
      </c>
      <c r="H3955" s="9" t="s">
        <v>13284</v>
      </c>
      <c r="I3955" s="9" t="s">
        <v>13284</v>
      </c>
      <c r="J3955" s="9" t="s">
        <v>13284</v>
      </c>
      <c r="K3955" s="9" t="s">
        <v>13284</v>
      </c>
      <c r="L3955" s="9" t="s">
        <v>13284</v>
      </c>
      <c r="M3955" s="9" t="s">
        <v>13284</v>
      </c>
      <c r="N3955" s="9" t="s">
        <v>13284</v>
      </c>
      <c r="O3955" s="9" t="s">
        <v>13284</v>
      </c>
      <c r="P3955" s="9" t="s">
        <v>13284</v>
      </c>
      <c r="Q3955" s="9" t="s">
        <v>13284</v>
      </c>
      <c r="R3955" s="9" t="s">
        <v>13284</v>
      </c>
      <c r="S3955" s="9" t="s">
        <v>13284</v>
      </c>
      <c r="T3955" s="9" t="str">
        <f ca="1">IFERROR(IF(AND(VLOOKUP(A3955, 'Актуальное состояние (из общего'!A:C,3,0) = "", A3955 &lt;&gt; ""), "ПРОВЕРИТЬ", VLOOKUP(A3955, 'Актуальное состояние (из общего'!A:C,3,0)), "")</f>
        <v/>
      </c>
      <c r="U3955" s="9" t="s">
        <v>13284</v>
      </c>
      <c r="V3955" s="9" t="s">
        <v>13284</v>
      </c>
      <c r="W3955" s="12"/>
      <c r="X3955" s="9" t="str">
        <f t="array" ref="X3955">IFERROR(INDEX('Адреса общежитий (скрытый)'!$B$2:$B$9, MATCH(W3955, 'Адреса общежитий (скрытый)'!$A$2:$A$9, 0)), "")</f>
        <v/>
      </c>
      <c r="Y3955" s="18"/>
      <c r="Z3955" s="18"/>
      <c r="AA3955" s="18"/>
      <c r="AB3955" s="18"/>
      <c r="AC3955" s="18"/>
    </row>
    <row r="3956" spans="1:29" ht="32.25" hidden="1" customHeight="1">
      <c r="A3956" s="17"/>
      <c r="B3956" s="9" t="s">
        <v>13284</v>
      </c>
      <c r="C3956" s="9" t="s">
        <v>13284</v>
      </c>
      <c r="D3956" s="9" t="s">
        <v>13284</v>
      </c>
      <c r="E3956" s="9" t="s">
        <v>13284</v>
      </c>
      <c r="F3956" s="9" t="s">
        <v>13284</v>
      </c>
      <c r="G3956" s="9" t="s">
        <v>13284</v>
      </c>
      <c r="H3956" s="9" t="s">
        <v>13284</v>
      </c>
      <c r="I3956" s="9" t="s">
        <v>13284</v>
      </c>
      <c r="J3956" s="9" t="s">
        <v>13284</v>
      </c>
      <c r="K3956" s="9" t="s">
        <v>13284</v>
      </c>
      <c r="L3956" s="9" t="s">
        <v>13284</v>
      </c>
      <c r="M3956" s="9" t="s">
        <v>13284</v>
      </c>
      <c r="N3956" s="9" t="s">
        <v>13284</v>
      </c>
      <c r="O3956" s="9" t="s">
        <v>13284</v>
      </c>
      <c r="P3956" s="9" t="s">
        <v>13284</v>
      </c>
      <c r="Q3956" s="9" t="s">
        <v>13284</v>
      </c>
      <c r="R3956" s="9" t="s">
        <v>13284</v>
      </c>
      <c r="S3956" s="9" t="s">
        <v>13284</v>
      </c>
      <c r="T3956" s="9" t="str">
        <f ca="1">IFERROR(IF(AND(VLOOKUP(A3956, 'Актуальное состояние (из общего'!A:C,3,0) = "", A3956 &lt;&gt; ""), "ПРОВЕРИТЬ", VLOOKUP(A3956, 'Актуальное состояние (из общего'!A:C,3,0)), "")</f>
        <v/>
      </c>
      <c r="U3956" s="9" t="s">
        <v>13284</v>
      </c>
      <c r="V3956" s="9" t="s">
        <v>13284</v>
      </c>
      <c r="W3956" s="12"/>
      <c r="X3956" s="9" t="str">
        <f t="array" ref="X3956">IFERROR(INDEX('Адреса общежитий (скрытый)'!$B$2:$B$9, MATCH(W3956, 'Адреса общежитий (скрытый)'!$A$2:$A$9, 0)), "")</f>
        <v/>
      </c>
      <c r="Y3956" s="18"/>
      <c r="Z3956" s="18"/>
      <c r="AA3956" s="18"/>
      <c r="AB3956" s="18"/>
      <c r="AC3956" s="18"/>
    </row>
    <row r="3957" spans="1:29" ht="32.25" hidden="1" customHeight="1">
      <c r="A3957" s="17"/>
      <c r="B3957" s="9" t="s">
        <v>13284</v>
      </c>
      <c r="C3957" s="9" t="s">
        <v>13284</v>
      </c>
      <c r="D3957" s="9" t="s">
        <v>13284</v>
      </c>
      <c r="E3957" s="9" t="s">
        <v>13284</v>
      </c>
      <c r="F3957" s="9" t="s">
        <v>13284</v>
      </c>
      <c r="G3957" s="9" t="s">
        <v>13284</v>
      </c>
      <c r="H3957" s="9" t="s">
        <v>13284</v>
      </c>
      <c r="I3957" s="9" t="s">
        <v>13284</v>
      </c>
      <c r="J3957" s="9" t="s">
        <v>13284</v>
      </c>
      <c r="K3957" s="9" t="s">
        <v>13284</v>
      </c>
      <c r="L3957" s="9" t="s">
        <v>13284</v>
      </c>
      <c r="M3957" s="9" t="s">
        <v>13284</v>
      </c>
      <c r="N3957" s="9" t="s">
        <v>13284</v>
      </c>
      <c r="O3957" s="9" t="s">
        <v>13284</v>
      </c>
      <c r="P3957" s="9" t="s">
        <v>13284</v>
      </c>
      <c r="Q3957" s="9" t="s">
        <v>13284</v>
      </c>
      <c r="R3957" s="9" t="s">
        <v>13284</v>
      </c>
      <c r="S3957" s="9" t="s">
        <v>13284</v>
      </c>
      <c r="T3957" s="9" t="str">
        <f ca="1">IFERROR(IF(AND(VLOOKUP(A3957, 'Актуальное состояние (из общего'!A:C,3,0) = "", A3957 &lt;&gt; ""), "ПРОВЕРИТЬ", VLOOKUP(A3957, 'Актуальное состояние (из общего'!A:C,3,0)), "")</f>
        <v/>
      </c>
      <c r="U3957" s="9" t="s">
        <v>13284</v>
      </c>
      <c r="V3957" s="9" t="s">
        <v>13284</v>
      </c>
      <c r="W3957" s="12"/>
      <c r="X3957" s="9" t="str">
        <f t="array" ref="X3957">IFERROR(INDEX('Адреса общежитий (скрытый)'!$B$2:$B$9, MATCH(W3957, 'Адреса общежитий (скрытый)'!$A$2:$A$9, 0)), "")</f>
        <v/>
      </c>
      <c r="Y3957" s="18"/>
      <c r="Z3957" s="18"/>
      <c r="AA3957" s="18"/>
      <c r="AB3957" s="18"/>
      <c r="AC3957" s="18"/>
    </row>
    <row r="3958" spans="1:29" ht="32.25" hidden="1" customHeight="1">
      <c r="A3958" s="17"/>
      <c r="B3958" s="9" t="s">
        <v>13284</v>
      </c>
      <c r="C3958" s="9" t="s">
        <v>13284</v>
      </c>
      <c r="D3958" s="9" t="s">
        <v>13284</v>
      </c>
      <c r="E3958" s="9" t="s">
        <v>13284</v>
      </c>
      <c r="F3958" s="9" t="s">
        <v>13284</v>
      </c>
      <c r="G3958" s="9" t="s">
        <v>13284</v>
      </c>
      <c r="H3958" s="9" t="s">
        <v>13284</v>
      </c>
      <c r="I3958" s="9" t="s">
        <v>13284</v>
      </c>
      <c r="J3958" s="9" t="s">
        <v>13284</v>
      </c>
      <c r="K3958" s="9" t="s">
        <v>13284</v>
      </c>
      <c r="L3958" s="9" t="s">
        <v>13284</v>
      </c>
      <c r="M3958" s="9" t="s">
        <v>13284</v>
      </c>
      <c r="N3958" s="9" t="s">
        <v>13284</v>
      </c>
      <c r="O3958" s="9" t="s">
        <v>13284</v>
      </c>
      <c r="P3958" s="9" t="s">
        <v>13284</v>
      </c>
      <c r="Q3958" s="9" t="s">
        <v>13284</v>
      </c>
      <c r="R3958" s="9" t="s">
        <v>13284</v>
      </c>
      <c r="S3958" s="9" t="s">
        <v>13284</v>
      </c>
      <c r="T3958" s="9" t="str">
        <f ca="1">IFERROR(IF(AND(VLOOKUP(A3958, 'Актуальное состояние (из общего'!A:C,3,0) = "", A3958 &lt;&gt; ""), "ПРОВЕРИТЬ", VLOOKUP(A3958, 'Актуальное состояние (из общего'!A:C,3,0)), "")</f>
        <v/>
      </c>
      <c r="U3958" s="9" t="s">
        <v>13284</v>
      </c>
      <c r="V3958" s="9" t="s">
        <v>13284</v>
      </c>
      <c r="W3958" s="12"/>
      <c r="X3958" s="9" t="str">
        <f t="array" ref="X3958">IFERROR(INDEX('Адреса общежитий (скрытый)'!$B$2:$B$9, MATCH(W3958, 'Адреса общежитий (скрытый)'!$A$2:$A$9, 0)), "")</f>
        <v/>
      </c>
      <c r="Y3958" s="18"/>
      <c r="Z3958" s="18"/>
      <c r="AA3958" s="18"/>
      <c r="AB3958" s="18"/>
      <c r="AC3958" s="18"/>
    </row>
    <row r="3959" spans="1:29" ht="32.25" hidden="1" customHeight="1">
      <c r="A3959" s="17"/>
      <c r="B3959" s="9" t="s">
        <v>13284</v>
      </c>
      <c r="C3959" s="9" t="s">
        <v>13284</v>
      </c>
      <c r="D3959" s="9" t="s">
        <v>13284</v>
      </c>
      <c r="E3959" s="9" t="s">
        <v>13284</v>
      </c>
      <c r="F3959" s="9" t="s">
        <v>13284</v>
      </c>
      <c r="G3959" s="9" t="s">
        <v>13284</v>
      </c>
      <c r="H3959" s="9" t="s">
        <v>13284</v>
      </c>
      <c r="I3959" s="9" t="s">
        <v>13284</v>
      </c>
      <c r="J3959" s="9" t="s">
        <v>13284</v>
      </c>
      <c r="K3959" s="9" t="s">
        <v>13284</v>
      </c>
      <c r="L3959" s="9" t="s">
        <v>13284</v>
      </c>
      <c r="M3959" s="9" t="s">
        <v>13284</v>
      </c>
      <c r="N3959" s="9" t="s">
        <v>13284</v>
      </c>
      <c r="O3959" s="9" t="s">
        <v>13284</v>
      </c>
      <c r="P3959" s="9" t="s">
        <v>13284</v>
      </c>
      <c r="Q3959" s="9" t="s">
        <v>13284</v>
      </c>
      <c r="R3959" s="9" t="s">
        <v>13284</v>
      </c>
      <c r="S3959" s="9" t="s">
        <v>13284</v>
      </c>
      <c r="T3959" s="9" t="str">
        <f ca="1">IFERROR(IF(AND(VLOOKUP(A3959, 'Актуальное состояние (из общего'!A:C,3,0) = "", A3959 &lt;&gt; ""), "ПРОВЕРИТЬ", VLOOKUP(A3959, 'Актуальное состояние (из общего'!A:C,3,0)), "")</f>
        <v/>
      </c>
      <c r="U3959" s="9" t="s">
        <v>13284</v>
      </c>
      <c r="V3959" s="9" t="s">
        <v>13284</v>
      </c>
      <c r="W3959" s="12"/>
      <c r="X3959" s="9" t="str">
        <f t="array" ref="X3959">IFERROR(INDEX('Адреса общежитий (скрытый)'!$B$2:$B$9, MATCH(W3959, 'Адреса общежитий (скрытый)'!$A$2:$A$9, 0)), "")</f>
        <v/>
      </c>
      <c r="Y3959" s="18"/>
      <c r="Z3959" s="18"/>
      <c r="AA3959" s="18"/>
      <c r="AB3959" s="18"/>
      <c r="AC3959" s="18"/>
    </row>
    <row r="3960" spans="1:29" ht="32.25" hidden="1" customHeight="1">
      <c r="A3960" s="17"/>
      <c r="B3960" s="9" t="s">
        <v>13284</v>
      </c>
      <c r="C3960" s="9" t="s">
        <v>13284</v>
      </c>
      <c r="D3960" s="9" t="s">
        <v>13284</v>
      </c>
      <c r="E3960" s="9" t="s">
        <v>13284</v>
      </c>
      <c r="F3960" s="9" t="s">
        <v>13284</v>
      </c>
      <c r="G3960" s="9" t="s">
        <v>13284</v>
      </c>
      <c r="H3960" s="9" t="s">
        <v>13284</v>
      </c>
      <c r="I3960" s="9" t="s">
        <v>13284</v>
      </c>
      <c r="J3960" s="9" t="s">
        <v>13284</v>
      </c>
      <c r="K3960" s="9" t="s">
        <v>13284</v>
      </c>
      <c r="L3960" s="9" t="s">
        <v>13284</v>
      </c>
      <c r="M3960" s="9" t="s">
        <v>13284</v>
      </c>
      <c r="N3960" s="9" t="s">
        <v>13284</v>
      </c>
      <c r="O3960" s="9" t="s">
        <v>13284</v>
      </c>
      <c r="P3960" s="9" t="s">
        <v>13284</v>
      </c>
      <c r="Q3960" s="9" t="s">
        <v>13284</v>
      </c>
      <c r="R3960" s="9" t="s">
        <v>13284</v>
      </c>
      <c r="S3960" s="9" t="s">
        <v>13284</v>
      </c>
      <c r="T3960" s="9" t="str">
        <f ca="1">IFERROR(IF(AND(VLOOKUP(A3960, 'Актуальное состояние (из общего'!A:C,3,0) = "", A3960 &lt;&gt; ""), "ПРОВЕРИТЬ", VLOOKUP(A3960, 'Актуальное состояние (из общего'!A:C,3,0)), "")</f>
        <v/>
      </c>
      <c r="U3960" s="9" t="s">
        <v>13284</v>
      </c>
      <c r="V3960" s="9" t="s">
        <v>13284</v>
      </c>
      <c r="W3960" s="12"/>
      <c r="X3960" s="9" t="str">
        <f t="array" ref="X3960">IFERROR(INDEX('Адреса общежитий (скрытый)'!$B$2:$B$9, MATCH(W3960, 'Адреса общежитий (скрытый)'!$A$2:$A$9, 0)), "")</f>
        <v/>
      </c>
      <c r="Y3960" s="18"/>
      <c r="Z3960" s="18"/>
      <c r="AA3960" s="18"/>
      <c r="AB3960" s="18"/>
      <c r="AC3960" s="18"/>
    </row>
    <row r="3961" spans="1:29" ht="32.25" hidden="1" customHeight="1">
      <c r="A3961" s="17"/>
      <c r="B3961" s="9" t="s">
        <v>13284</v>
      </c>
      <c r="C3961" s="9" t="s">
        <v>13284</v>
      </c>
      <c r="D3961" s="9" t="s">
        <v>13284</v>
      </c>
      <c r="E3961" s="9" t="s">
        <v>13284</v>
      </c>
      <c r="F3961" s="9" t="s">
        <v>13284</v>
      </c>
      <c r="G3961" s="9" t="s">
        <v>13284</v>
      </c>
      <c r="H3961" s="9" t="s">
        <v>13284</v>
      </c>
      <c r="I3961" s="9" t="s">
        <v>13284</v>
      </c>
      <c r="J3961" s="9" t="s">
        <v>13284</v>
      </c>
      <c r="K3961" s="9" t="s">
        <v>13284</v>
      </c>
      <c r="L3961" s="9" t="s">
        <v>13284</v>
      </c>
      <c r="M3961" s="9" t="s">
        <v>13284</v>
      </c>
      <c r="N3961" s="9" t="s">
        <v>13284</v>
      </c>
      <c r="O3961" s="9" t="s">
        <v>13284</v>
      </c>
      <c r="P3961" s="9" t="s">
        <v>13284</v>
      </c>
      <c r="Q3961" s="9" t="s">
        <v>13284</v>
      </c>
      <c r="R3961" s="9" t="s">
        <v>13284</v>
      </c>
      <c r="S3961" s="9" t="s">
        <v>13284</v>
      </c>
      <c r="T3961" s="9" t="str">
        <f ca="1">IFERROR(IF(AND(VLOOKUP(A3961, 'Актуальное состояние (из общего'!A:C,3,0) = "", A3961 &lt;&gt; ""), "ПРОВЕРИТЬ", VLOOKUP(A3961, 'Актуальное состояние (из общего'!A:C,3,0)), "")</f>
        <v/>
      </c>
      <c r="U3961" s="9" t="s">
        <v>13284</v>
      </c>
      <c r="V3961" s="9" t="s">
        <v>13284</v>
      </c>
      <c r="W3961" s="12"/>
      <c r="X3961" s="9" t="str">
        <f t="array" ref="X3961">IFERROR(INDEX('Адреса общежитий (скрытый)'!$B$2:$B$9, MATCH(W3961, 'Адреса общежитий (скрытый)'!$A$2:$A$9, 0)), "")</f>
        <v/>
      </c>
      <c r="Y3961" s="18"/>
      <c r="Z3961" s="18"/>
      <c r="AA3961" s="18"/>
      <c r="AB3961" s="18"/>
      <c r="AC3961" s="18"/>
    </row>
    <row r="3962" spans="1:29" ht="32.25" hidden="1" customHeight="1">
      <c r="A3962" s="17"/>
      <c r="B3962" s="9" t="s">
        <v>13284</v>
      </c>
      <c r="C3962" s="9" t="s">
        <v>13284</v>
      </c>
      <c r="D3962" s="9" t="s">
        <v>13284</v>
      </c>
      <c r="E3962" s="9" t="s">
        <v>13284</v>
      </c>
      <c r="F3962" s="9" t="s">
        <v>13284</v>
      </c>
      <c r="G3962" s="9" t="s">
        <v>13284</v>
      </c>
      <c r="H3962" s="9" t="s">
        <v>13284</v>
      </c>
      <c r="I3962" s="9" t="s">
        <v>13284</v>
      </c>
      <c r="J3962" s="9" t="s">
        <v>13284</v>
      </c>
      <c r="K3962" s="9" t="s">
        <v>13284</v>
      </c>
      <c r="L3962" s="9" t="s">
        <v>13284</v>
      </c>
      <c r="M3962" s="9" t="s">
        <v>13284</v>
      </c>
      <c r="N3962" s="9" t="s">
        <v>13284</v>
      </c>
      <c r="O3962" s="9" t="s">
        <v>13284</v>
      </c>
      <c r="P3962" s="9" t="s">
        <v>13284</v>
      </c>
      <c r="Q3962" s="9" t="s">
        <v>13284</v>
      </c>
      <c r="R3962" s="9" t="s">
        <v>13284</v>
      </c>
      <c r="S3962" s="9" t="s">
        <v>13284</v>
      </c>
      <c r="T3962" s="9" t="str">
        <f ca="1">IFERROR(IF(AND(VLOOKUP(A3962, 'Актуальное состояние (из общего'!A:C,3,0) = "", A3962 &lt;&gt; ""), "ПРОВЕРИТЬ", VLOOKUP(A3962, 'Актуальное состояние (из общего'!A:C,3,0)), "")</f>
        <v/>
      </c>
      <c r="U3962" s="9" t="s">
        <v>13284</v>
      </c>
      <c r="V3962" s="9" t="s">
        <v>13284</v>
      </c>
      <c r="W3962" s="12"/>
      <c r="X3962" s="9" t="str">
        <f t="array" ref="X3962">IFERROR(INDEX('Адреса общежитий (скрытый)'!$B$2:$B$9, MATCH(W3962, 'Адреса общежитий (скрытый)'!$A$2:$A$9, 0)), "")</f>
        <v/>
      </c>
      <c r="Y3962" s="18"/>
      <c r="Z3962" s="18"/>
      <c r="AA3962" s="18"/>
      <c r="AB3962" s="18"/>
      <c r="AC3962" s="18"/>
    </row>
    <row r="3963" spans="1:29" ht="32.25" hidden="1" customHeight="1">
      <c r="A3963" s="17"/>
      <c r="B3963" s="9" t="s">
        <v>13284</v>
      </c>
      <c r="C3963" s="9" t="s">
        <v>13284</v>
      </c>
      <c r="D3963" s="9" t="s">
        <v>13284</v>
      </c>
      <c r="E3963" s="9" t="s">
        <v>13284</v>
      </c>
      <c r="F3963" s="9" t="s">
        <v>13284</v>
      </c>
      <c r="G3963" s="9" t="s">
        <v>13284</v>
      </c>
      <c r="H3963" s="9" t="s">
        <v>13284</v>
      </c>
      <c r="I3963" s="9" t="s">
        <v>13284</v>
      </c>
      <c r="J3963" s="9" t="s">
        <v>13284</v>
      </c>
      <c r="K3963" s="9" t="s">
        <v>13284</v>
      </c>
      <c r="L3963" s="9" t="s">
        <v>13284</v>
      </c>
      <c r="M3963" s="9" t="s">
        <v>13284</v>
      </c>
      <c r="N3963" s="9" t="s">
        <v>13284</v>
      </c>
      <c r="O3963" s="9" t="s">
        <v>13284</v>
      </c>
      <c r="P3963" s="9" t="s">
        <v>13284</v>
      </c>
      <c r="Q3963" s="9" t="s">
        <v>13284</v>
      </c>
      <c r="R3963" s="9" t="s">
        <v>13284</v>
      </c>
      <c r="S3963" s="9" t="s">
        <v>13284</v>
      </c>
      <c r="T3963" s="9" t="str">
        <f ca="1">IFERROR(IF(AND(VLOOKUP(A3963, 'Актуальное состояние (из общего'!A:C,3,0) = "", A3963 &lt;&gt; ""), "ПРОВЕРИТЬ", VLOOKUP(A3963, 'Актуальное состояние (из общего'!A:C,3,0)), "")</f>
        <v/>
      </c>
      <c r="U3963" s="9" t="s">
        <v>13284</v>
      </c>
      <c r="V3963" s="9" t="s">
        <v>13284</v>
      </c>
      <c r="W3963" s="12"/>
      <c r="X3963" s="9" t="str">
        <f t="array" ref="X3963">IFERROR(INDEX('Адреса общежитий (скрытый)'!$B$2:$B$9, MATCH(W3963, 'Адреса общежитий (скрытый)'!$A$2:$A$9, 0)), "")</f>
        <v/>
      </c>
      <c r="Y3963" s="18"/>
      <c r="Z3963" s="18"/>
      <c r="AA3963" s="18"/>
      <c r="AB3963" s="18"/>
      <c r="AC3963" s="18"/>
    </row>
    <row r="3964" spans="1:29" ht="32.25" hidden="1" customHeight="1">
      <c r="A3964" s="17"/>
      <c r="B3964" s="9" t="s">
        <v>13284</v>
      </c>
      <c r="C3964" s="9" t="s">
        <v>13284</v>
      </c>
      <c r="D3964" s="9" t="s">
        <v>13284</v>
      </c>
      <c r="E3964" s="9" t="s">
        <v>13284</v>
      </c>
      <c r="F3964" s="9" t="s">
        <v>13284</v>
      </c>
      <c r="G3964" s="9" t="s">
        <v>13284</v>
      </c>
      <c r="H3964" s="9" t="s">
        <v>13284</v>
      </c>
      <c r="I3964" s="9" t="s">
        <v>13284</v>
      </c>
      <c r="J3964" s="9" t="s">
        <v>13284</v>
      </c>
      <c r="K3964" s="9" t="s">
        <v>13284</v>
      </c>
      <c r="L3964" s="9" t="s">
        <v>13284</v>
      </c>
      <c r="M3964" s="9" t="s">
        <v>13284</v>
      </c>
      <c r="N3964" s="9" t="s">
        <v>13284</v>
      </c>
      <c r="O3964" s="9" t="s">
        <v>13284</v>
      </c>
      <c r="P3964" s="9" t="s">
        <v>13284</v>
      </c>
      <c r="Q3964" s="9" t="s">
        <v>13284</v>
      </c>
      <c r="R3964" s="9" t="s">
        <v>13284</v>
      </c>
      <c r="S3964" s="9" t="s">
        <v>13284</v>
      </c>
      <c r="T3964" s="9" t="str">
        <f ca="1">IFERROR(IF(AND(VLOOKUP(A3964, 'Актуальное состояние (из общего'!A:C,3,0) = "", A3964 &lt;&gt; ""), "ПРОВЕРИТЬ", VLOOKUP(A3964, 'Актуальное состояние (из общего'!A:C,3,0)), "")</f>
        <v/>
      </c>
      <c r="U3964" s="9" t="s">
        <v>13284</v>
      </c>
      <c r="V3964" s="9" t="s">
        <v>13284</v>
      </c>
      <c r="W3964" s="12"/>
      <c r="X3964" s="9" t="str">
        <f t="array" ref="X3964">IFERROR(INDEX('Адреса общежитий (скрытый)'!$B$2:$B$9, MATCH(W3964, 'Адреса общежитий (скрытый)'!$A$2:$A$9, 0)), "")</f>
        <v/>
      </c>
      <c r="Y3964" s="18"/>
      <c r="Z3964" s="18"/>
      <c r="AA3964" s="18"/>
      <c r="AB3964" s="18"/>
      <c r="AC3964" s="18"/>
    </row>
    <row r="3965" spans="1:29" ht="32.25" hidden="1" customHeight="1">
      <c r="A3965" s="17"/>
      <c r="B3965" s="9" t="s">
        <v>13284</v>
      </c>
      <c r="C3965" s="9" t="s">
        <v>13284</v>
      </c>
      <c r="D3965" s="9" t="s">
        <v>13284</v>
      </c>
      <c r="E3965" s="9" t="s">
        <v>13284</v>
      </c>
      <c r="F3965" s="9" t="s">
        <v>13284</v>
      </c>
      <c r="G3965" s="9" t="s">
        <v>13284</v>
      </c>
      <c r="H3965" s="9" t="s">
        <v>13284</v>
      </c>
      <c r="I3965" s="9" t="s">
        <v>13284</v>
      </c>
      <c r="J3965" s="9" t="s">
        <v>13284</v>
      </c>
      <c r="K3965" s="9" t="s">
        <v>13284</v>
      </c>
      <c r="L3965" s="9" t="s">
        <v>13284</v>
      </c>
      <c r="M3965" s="9" t="s">
        <v>13284</v>
      </c>
      <c r="N3965" s="9" t="s">
        <v>13284</v>
      </c>
      <c r="O3965" s="9" t="s">
        <v>13284</v>
      </c>
      <c r="P3965" s="9" t="s">
        <v>13284</v>
      </c>
      <c r="Q3965" s="9" t="s">
        <v>13284</v>
      </c>
      <c r="R3965" s="9" t="s">
        <v>13284</v>
      </c>
      <c r="S3965" s="9" t="s">
        <v>13284</v>
      </c>
      <c r="T3965" s="9" t="str">
        <f ca="1">IFERROR(IF(AND(VLOOKUP(A3965, 'Актуальное состояние (из общего'!A:C,3,0) = "", A3965 &lt;&gt; ""), "ПРОВЕРИТЬ", VLOOKUP(A3965, 'Актуальное состояние (из общего'!A:C,3,0)), "")</f>
        <v/>
      </c>
      <c r="U3965" s="9" t="s">
        <v>13284</v>
      </c>
      <c r="V3965" s="9" t="s">
        <v>13284</v>
      </c>
      <c r="W3965" s="12"/>
      <c r="X3965" s="9" t="str">
        <f t="array" ref="X3965">IFERROR(INDEX('Адреса общежитий (скрытый)'!$B$2:$B$9, MATCH(W3965, 'Адреса общежитий (скрытый)'!$A$2:$A$9, 0)), "")</f>
        <v/>
      </c>
      <c r="Y3965" s="18"/>
      <c r="Z3965" s="18"/>
      <c r="AA3965" s="18"/>
      <c r="AB3965" s="18"/>
      <c r="AC3965" s="18"/>
    </row>
    <row r="3966" spans="1:29" ht="32.25" hidden="1" customHeight="1">
      <c r="A3966" s="17"/>
      <c r="B3966" s="9" t="s">
        <v>13284</v>
      </c>
      <c r="C3966" s="9" t="s">
        <v>13284</v>
      </c>
      <c r="D3966" s="9" t="s">
        <v>13284</v>
      </c>
      <c r="E3966" s="9" t="s">
        <v>13284</v>
      </c>
      <c r="F3966" s="9" t="s">
        <v>13284</v>
      </c>
      <c r="G3966" s="9" t="s">
        <v>13284</v>
      </c>
      <c r="H3966" s="9" t="s">
        <v>13284</v>
      </c>
      <c r="I3966" s="9" t="s">
        <v>13284</v>
      </c>
      <c r="J3966" s="9" t="s">
        <v>13284</v>
      </c>
      <c r="K3966" s="9" t="s">
        <v>13284</v>
      </c>
      <c r="L3966" s="9" t="s">
        <v>13284</v>
      </c>
      <c r="M3966" s="9" t="s">
        <v>13284</v>
      </c>
      <c r="N3966" s="9" t="s">
        <v>13284</v>
      </c>
      <c r="O3966" s="9" t="s">
        <v>13284</v>
      </c>
      <c r="P3966" s="9" t="s">
        <v>13284</v>
      </c>
      <c r="Q3966" s="9" t="s">
        <v>13284</v>
      </c>
      <c r="R3966" s="9" t="s">
        <v>13284</v>
      </c>
      <c r="S3966" s="9" t="s">
        <v>13284</v>
      </c>
      <c r="T3966" s="9" t="str">
        <f ca="1">IFERROR(IF(AND(VLOOKUP(A3966, 'Актуальное состояние (из общего'!A:C,3,0) = "", A3966 &lt;&gt; ""), "ПРОВЕРИТЬ", VLOOKUP(A3966, 'Актуальное состояние (из общего'!A:C,3,0)), "")</f>
        <v/>
      </c>
      <c r="U3966" s="9" t="s">
        <v>13284</v>
      </c>
      <c r="V3966" s="9" t="s">
        <v>13284</v>
      </c>
      <c r="W3966" s="12"/>
      <c r="X3966" s="9" t="str">
        <f t="array" ref="X3966">IFERROR(INDEX('Адреса общежитий (скрытый)'!$B$2:$B$9, MATCH(W3966, 'Адреса общежитий (скрытый)'!$A$2:$A$9, 0)), "")</f>
        <v/>
      </c>
      <c r="Y3966" s="18"/>
      <c r="Z3966" s="18"/>
      <c r="AA3966" s="18"/>
      <c r="AB3966" s="18"/>
      <c r="AC3966" s="18"/>
    </row>
    <row r="3967" spans="1:29" ht="32.25" hidden="1" customHeight="1">
      <c r="A3967" s="17"/>
      <c r="B3967" s="9" t="s">
        <v>13284</v>
      </c>
      <c r="C3967" s="9" t="s">
        <v>13284</v>
      </c>
      <c r="D3967" s="9" t="s">
        <v>13284</v>
      </c>
      <c r="E3967" s="9" t="s">
        <v>13284</v>
      </c>
      <c r="F3967" s="9" t="s">
        <v>13284</v>
      </c>
      <c r="G3967" s="9" t="s">
        <v>13284</v>
      </c>
      <c r="H3967" s="9" t="s">
        <v>13284</v>
      </c>
      <c r="I3967" s="9" t="s">
        <v>13284</v>
      </c>
      <c r="J3967" s="9" t="s">
        <v>13284</v>
      </c>
      <c r="K3967" s="9" t="s">
        <v>13284</v>
      </c>
      <c r="L3967" s="9" t="s">
        <v>13284</v>
      </c>
      <c r="M3967" s="9" t="s">
        <v>13284</v>
      </c>
      <c r="N3967" s="9" t="s">
        <v>13284</v>
      </c>
      <c r="O3967" s="9" t="s">
        <v>13284</v>
      </c>
      <c r="P3967" s="9" t="s">
        <v>13284</v>
      </c>
      <c r="Q3967" s="9" t="s">
        <v>13284</v>
      </c>
      <c r="R3967" s="9" t="s">
        <v>13284</v>
      </c>
      <c r="S3967" s="9" t="s">
        <v>13284</v>
      </c>
      <c r="T3967" s="9" t="str">
        <f ca="1">IFERROR(IF(AND(VLOOKUP(A3967, 'Актуальное состояние (из общего'!A:C,3,0) = "", A3967 &lt;&gt; ""), "ПРОВЕРИТЬ", VLOOKUP(A3967, 'Актуальное состояние (из общего'!A:C,3,0)), "")</f>
        <v/>
      </c>
      <c r="U3967" s="9" t="s">
        <v>13284</v>
      </c>
      <c r="V3967" s="9" t="s">
        <v>13284</v>
      </c>
      <c r="W3967" s="12"/>
      <c r="X3967" s="9" t="str">
        <f t="array" ref="X3967">IFERROR(INDEX('Адреса общежитий (скрытый)'!$B$2:$B$9, MATCH(W3967, 'Адреса общежитий (скрытый)'!$A$2:$A$9, 0)), "")</f>
        <v/>
      </c>
      <c r="Y3967" s="18"/>
      <c r="Z3967" s="18"/>
      <c r="AA3967" s="18"/>
      <c r="AB3967" s="18"/>
      <c r="AC3967" s="18"/>
    </row>
    <row r="3968" spans="1:29" ht="32.25" hidden="1" customHeight="1">
      <c r="A3968" s="17"/>
      <c r="B3968" s="9" t="s">
        <v>13284</v>
      </c>
      <c r="C3968" s="9" t="s">
        <v>13284</v>
      </c>
      <c r="D3968" s="9" t="s">
        <v>13284</v>
      </c>
      <c r="E3968" s="9" t="s">
        <v>13284</v>
      </c>
      <c r="F3968" s="9" t="s">
        <v>13284</v>
      </c>
      <c r="G3968" s="9" t="s">
        <v>13284</v>
      </c>
      <c r="H3968" s="9" t="s">
        <v>13284</v>
      </c>
      <c r="I3968" s="9" t="s">
        <v>13284</v>
      </c>
      <c r="J3968" s="9" t="s">
        <v>13284</v>
      </c>
      <c r="K3968" s="9" t="s">
        <v>13284</v>
      </c>
      <c r="L3968" s="9" t="s">
        <v>13284</v>
      </c>
      <c r="M3968" s="9" t="s">
        <v>13284</v>
      </c>
      <c r="N3968" s="9" t="s">
        <v>13284</v>
      </c>
      <c r="O3968" s="9" t="s">
        <v>13284</v>
      </c>
      <c r="P3968" s="9" t="s">
        <v>13284</v>
      </c>
      <c r="Q3968" s="9" t="s">
        <v>13284</v>
      </c>
      <c r="R3968" s="9" t="s">
        <v>13284</v>
      </c>
      <c r="S3968" s="9" t="s">
        <v>13284</v>
      </c>
      <c r="T3968" s="9" t="str">
        <f ca="1">IFERROR(IF(AND(VLOOKUP(A3968, 'Актуальное состояние (из общего'!A:C,3,0) = "", A3968 &lt;&gt; ""), "ПРОВЕРИТЬ", VLOOKUP(A3968, 'Актуальное состояние (из общего'!A:C,3,0)), "")</f>
        <v/>
      </c>
      <c r="U3968" s="9" t="s">
        <v>13284</v>
      </c>
      <c r="V3968" s="9" t="s">
        <v>13284</v>
      </c>
      <c r="W3968" s="12"/>
      <c r="X3968" s="9" t="str">
        <f t="array" ref="X3968">IFERROR(INDEX('Адреса общежитий (скрытый)'!$B$2:$B$9, MATCH(W3968, 'Адреса общежитий (скрытый)'!$A$2:$A$9, 0)), "")</f>
        <v/>
      </c>
      <c r="Y3968" s="18"/>
      <c r="Z3968" s="18"/>
      <c r="AA3968" s="18"/>
      <c r="AB3968" s="18"/>
      <c r="AC3968" s="18"/>
    </row>
    <row r="3969" spans="1:29" ht="32.25" hidden="1" customHeight="1">
      <c r="A3969" s="17"/>
      <c r="B3969" s="9" t="s">
        <v>13284</v>
      </c>
      <c r="C3969" s="9" t="s">
        <v>13284</v>
      </c>
      <c r="D3969" s="9" t="s">
        <v>13284</v>
      </c>
      <c r="E3969" s="9" t="s">
        <v>13284</v>
      </c>
      <c r="F3969" s="9" t="s">
        <v>13284</v>
      </c>
      <c r="G3969" s="9" t="s">
        <v>13284</v>
      </c>
      <c r="H3969" s="9" t="s">
        <v>13284</v>
      </c>
      <c r="I3969" s="9" t="s">
        <v>13284</v>
      </c>
      <c r="J3969" s="9" t="s">
        <v>13284</v>
      </c>
      <c r="K3969" s="9" t="s">
        <v>13284</v>
      </c>
      <c r="L3969" s="9" t="s">
        <v>13284</v>
      </c>
      <c r="M3969" s="9" t="s">
        <v>13284</v>
      </c>
      <c r="N3969" s="9" t="s">
        <v>13284</v>
      </c>
      <c r="O3969" s="9" t="s">
        <v>13284</v>
      </c>
      <c r="P3969" s="9" t="s">
        <v>13284</v>
      </c>
      <c r="Q3969" s="9" t="s">
        <v>13284</v>
      </c>
      <c r="R3969" s="9" t="s">
        <v>13284</v>
      </c>
      <c r="S3969" s="9" t="s">
        <v>13284</v>
      </c>
      <c r="T3969" s="9" t="str">
        <f ca="1">IFERROR(IF(AND(VLOOKUP(A3969, 'Актуальное состояние (из общего'!A:C,3,0) = "", A3969 &lt;&gt; ""), "ПРОВЕРИТЬ", VLOOKUP(A3969, 'Актуальное состояние (из общего'!A:C,3,0)), "")</f>
        <v/>
      </c>
      <c r="U3969" s="9" t="s">
        <v>13284</v>
      </c>
      <c r="V3969" s="9" t="s">
        <v>13284</v>
      </c>
      <c r="W3969" s="12"/>
      <c r="X3969" s="9" t="str">
        <f t="array" ref="X3969">IFERROR(INDEX('Адреса общежитий (скрытый)'!$B$2:$B$9, MATCH(W3969, 'Адреса общежитий (скрытый)'!$A$2:$A$9, 0)), "")</f>
        <v/>
      </c>
      <c r="Y3969" s="18"/>
      <c r="Z3969" s="18"/>
      <c r="AA3969" s="18"/>
      <c r="AB3969" s="18"/>
      <c r="AC3969" s="18"/>
    </row>
    <row r="3970" spans="1:29" ht="32.25" hidden="1" customHeight="1">
      <c r="A3970" s="17"/>
      <c r="B3970" s="9" t="s">
        <v>13284</v>
      </c>
      <c r="C3970" s="9" t="s">
        <v>13284</v>
      </c>
      <c r="D3970" s="9" t="s">
        <v>13284</v>
      </c>
      <c r="E3970" s="9" t="s">
        <v>13284</v>
      </c>
      <c r="F3970" s="9" t="s">
        <v>13284</v>
      </c>
      <c r="G3970" s="9" t="s">
        <v>13284</v>
      </c>
      <c r="H3970" s="9" t="s">
        <v>13284</v>
      </c>
      <c r="I3970" s="9" t="s">
        <v>13284</v>
      </c>
      <c r="J3970" s="9" t="s">
        <v>13284</v>
      </c>
      <c r="K3970" s="9" t="s">
        <v>13284</v>
      </c>
      <c r="L3970" s="9" t="s">
        <v>13284</v>
      </c>
      <c r="M3970" s="9" t="s">
        <v>13284</v>
      </c>
      <c r="N3970" s="9" t="s">
        <v>13284</v>
      </c>
      <c r="O3970" s="9" t="s">
        <v>13284</v>
      </c>
      <c r="P3970" s="9" t="s">
        <v>13284</v>
      </c>
      <c r="Q3970" s="9" t="s">
        <v>13284</v>
      </c>
      <c r="R3970" s="9" t="s">
        <v>13284</v>
      </c>
      <c r="S3970" s="9" t="s">
        <v>13284</v>
      </c>
      <c r="T3970" s="9" t="str">
        <f ca="1">IFERROR(IF(AND(VLOOKUP(A3970, 'Актуальное состояние (из общего'!A:C,3,0) = "", A3970 &lt;&gt; ""), "ПРОВЕРИТЬ", VLOOKUP(A3970, 'Актуальное состояние (из общего'!A:C,3,0)), "")</f>
        <v/>
      </c>
      <c r="U3970" s="9" t="s">
        <v>13284</v>
      </c>
      <c r="V3970" s="9" t="s">
        <v>13284</v>
      </c>
      <c r="W3970" s="12"/>
      <c r="X3970" s="9" t="str">
        <f t="array" ref="X3970">IFERROR(INDEX('Адреса общежитий (скрытый)'!$B$2:$B$9, MATCH(W3970, 'Адреса общежитий (скрытый)'!$A$2:$A$9, 0)), "")</f>
        <v/>
      </c>
      <c r="Y3970" s="18"/>
      <c r="Z3970" s="18"/>
      <c r="AA3970" s="18"/>
      <c r="AB3970" s="18"/>
      <c r="AC3970" s="18"/>
    </row>
    <row r="3971" spans="1:29" ht="32.25" hidden="1" customHeight="1">
      <c r="A3971" s="17"/>
      <c r="B3971" s="9" t="s">
        <v>13284</v>
      </c>
      <c r="C3971" s="9" t="s">
        <v>13284</v>
      </c>
      <c r="D3971" s="9" t="s">
        <v>13284</v>
      </c>
      <c r="E3971" s="9" t="s">
        <v>13284</v>
      </c>
      <c r="F3971" s="9" t="s">
        <v>13284</v>
      </c>
      <c r="G3971" s="9" t="s">
        <v>13284</v>
      </c>
      <c r="H3971" s="9" t="s">
        <v>13284</v>
      </c>
      <c r="I3971" s="9" t="s">
        <v>13284</v>
      </c>
      <c r="J3971" s="9" t="s">
        <v>13284</v>
      </c>
      <c r="K3971" s="9" t="s">
        <v>13284</v>
      </c>
      <c r="L3971" s="9" t="s">
        <v>13284</v>
      </c>
      <c r="M3971" s="9" t="s">
        <v>13284</v>
      </c>
      <c r="N3971" s="9" t="s">
        <v>13284</v>
      </c>
      <c r="O3971" s="9" t="s">
        <v>13284</v>
      </c>
      <c r="P3971" s="9" t="s">
        <v>13284</v>
      </c>
      <c r="Q3971" s="9" t="s">
        <v>13284</v>
      </c>
      <c r="R3971" s="9" t="s">
        <v>13284</v>
      </c>
      <c r="S3971" s="9" t="s">
        <v>13284</v>
      </c>
      <c r="T3971" s="9" t="str">
        <f ca="1">IFERROR(IF(AND(VLOOKUP(A3971, 'Актуальное состояние (из общего'!A:C,3,0) = "", A3971 &lt;&gt; ""), "ПРОВЕРИТЬ", VLOOKUP(A3971, 'Актуальное состояние (из общего'!A:C,3,0)), "")</f>
        <v/>
      </c>
      <c r="U3971" s="9" t="s">
        <v>13284</v>
      </c>
      <c r="V3971" s="9" t="s">
        <v>13284</v>
      </c>
      <c r="W3971" s="12"/>
      <c r="X3971" s="9" t="str">
        <f t="array" ref="X3971">IFERROR(INDEX('Адреса общежитий (скрытый)'!$B$2:$B$9, MATCH(W3971, 'Адреса общежитий (скрытый)'!$A$2:$A$9, 0)), "")</f>
        <v/>
      </c>
      <c r="Y3971" s="18"/>
      <c r="Z3971" s="18"/>
      <c r="AA3971" s="18"/>
      <c r="AB3971" s="18"/>
      <c r="AC3971" s="18"/>
    </row>
    <row r="3972" spans="1:29" ht="32.25" hidden="1" customHeight="1">
      <c r="A3972" s="17"/>
      <c r="B3972" s="9" t="s">
        <v>13284</v>
      </c>
      <c r="C3972" s="9" t="s">
        <v>13284</v>
      </c>
      <c r="D3972" s="9" t="s">
        <v>13284</v>
      </c>
      <c r="E3972" s="9" t="s">
        <v>13284</v>
      </c>
      <c r="F3972" s="9" t="s">
        <v>13284</v>
      </c>
      <c r="G3972" s="9" t="s">
        <v>13284</v>
      </c>
      <c r="H3972" s="9" t="s">
        <v>13284</v>
      </c>
      <c r="I3972" s="9" t="s">
        <v>13284</v>
      </c>
      <c r="J3972" s="9" t="s">
        <v>13284</v>
      </c>
      <c r="K3972" s="9" t="s">
        <v>13284</v>
      </c>
      <c r="L3972" s="9" t="s">
        <v>13284</v>
      </c>
      <c r="M3972" s="9" t="s">
        <v>13284</v>
      </c>
      <c r="N3972" s="9" t="s">
        <v>13284</v>
      </c>
      <c r="O3972" s="9" t="s">
        <v>13284</v>
      </c>
      <c r="P3972" s="9" t="s">
        <v>13284</v>
      </c>
      <c r="Q3972" s="9" t="s">
        <v>13284</v>
      </c>
      <c r="R3972" s="9" t="s">
        <v>13284</v>
      </c>
      <c r="S3972" s="9" t="s">
        <v>13284</v>
      </c>
      <c r="T3972" s="9" t="str">
        <f ca="1">IFERROR(IF(AND(VLOOKUP(A3972, 'Актуальное состояние (из общего'!A:C,3,0) = "", A3972 &lt;&gt; ""), "ПРОВЕРИТЬ", VLOOKUP(A3972, 'Актуальное состояние (из общего'!A:C,3,0)), "")</f>
        <v/>
      </c>
      <c r="U3972" s="9" t="s">
        <v>13284</v>
      </c>
      <c r="V3972" s="9" t="s">
        <v>13284</v>
      </c>
      <c r="W3972" s="12"/>
      <c r="X3972" s="9" t="str">
        <f t="array" ref="X3972">IFERROR(INDEX('Адреса общежитий (скрытый)'!$B$2:$B$9, MATCH(W3972, 'Адреса общежитий (скрытый)'!$A$2:$A$9, 0)), "")</f>
        <v/>
      </c>
      <c r="Y3972" s="18"/>
      <c r="Z3972" s="18"/>
      <c r="AA3972" s="18"/>
      <c r="AB3972" s="18"/>
      <c r="AC3972" s="18"/>
    </row>
    <row r="3973" spans="1:29" ht="32.25" hidden="1" customHeight="1">
      <c r="A3973" s="17"/>
      <c r="B3973" s="9" t="s">
        <v>13284</v>
      </c>
      <c r="C3973" s="9" t="s">
        <v>13284</v>
      </c>
      <c r="D3973" s="9" t="s">
        <v>13284</v>
      </c>
      <c r="E3973" s="9" t="s">
        <v>13284</v>
      </c>
      <c r="F3973" s="9" t="s">
        <v>13284</v>
      </c>
      <c r="G3973" s="9" t="s">
        <v>13284</v>
      </c>
      <c r="H3973" s="9" t="s">
        <v>13284</v>
      </c>
      <c r="I3973" s="9" t="s">
        <v>13284</v>
      </c>
      <c r="J3973" s="9" t="s">
        <v>13284</v>
      </c>
      <c r="K3973" s="9" t="s">
        <v>13284</v>
      </c>
      <c r="L3973" s="9" t="s">
        <v>13284</v>
      </c>
      <c r="M3973" s="9" t="s">
        <v>13284</v>
      </c>
      <c r="N3973" s="9" t="s">
        <v>13284</v>
      </c>
      <c r="O3973" s="9" t="s">
        <v>13284</v>
      </c>
      <c r="P3973" s="9" t="s">
        <v>13284</v>
      </c>
      <c r="Q3973" s="9" t="s">
        <v>13284</v>
      </c>
      <c r="R3973" s="9" t="s">
        <v>13284</v>
      </c>
      <c r="S3973" s="9" t="s">
        <v>13284</v>
      </c>
      <c r="T3973" s="9" t="str">
        <f ca="1">IFERROR(IF(AND(VLOOKUP(A3973, 'Актуальное состояние (из общего'!A:C,3,0) = "", A3973 &lt;&gt; ""), "ПРОВЕРИТЬ", VLOOKUP(A3973, 'Актуальное состояние (из общего'!A:C,3,0)), "")</f>
        <v/>
      </c>
      <c r="U3973" s="9" t="s">
        <v>13284</v>
      </c>
      <c r="V3973" s="9" t="s">
        <v>13284</v>
      </c>
      <c r="W3973" s="12"/>
      <c r="X3973" s="9" t="str">
        <f t="array" ref="X3973">IFERROR(INDEX('Адреса общежитий (скрытый)'!$B$2:$B$9, MATCH(W3973, 'Адреса общежитий (скрытый)'!$A$2:$A$9, 0)), "")</f>
        <v/>
      </c>
      <c r="Y3973" s="18"/>
      <c r="Z3973" s="18"/>
      <c r="AA3973" s="18"/>
      <c r="AB3973" s="18"/>
      <c r="AC3973" s="18"/>
    </row>
    <row r="3974" spans="1:29" ht="32.25" hidden="1" customHeight="1">
      <c r="A3974" s="17"/>
      <c r="B3974" s="9" t="s">
        <v>13284</v>
      </c>
      <c r="C3974" s="9" t="s">
        <v>13284</v>
      </c>
      <c r="D3974" s="9" t="s">
        <v>13284</v>
      </c>
      <c r="E3974" s="9" t="s">
        <v>13284</v>
      </c>
      <c r="F3974" s="9" t="s">
        <v>13284</v>
      </c>
      <c r="G3974" s="9" t="s">
        <v>13284</v>
      </c>
      <c r="H3974" s="9" t="s">
        <v>13284</v>
      </c>
      <c r="I3974" s="9" t="s">
        <v>13284</v>
      </c>
      <c r="J3974" s="9" t="s">
        <v>13284</v>
      </c>
      <c r="K3974" s="9" t="s">
        <v>13284</v>
      </c>
      <c r="L3974" s="9" t="s">
        <v>13284</v>
      </c>
      <c r="M3974" s="9" t="s">
        <v>13284</v>
      </c>
      <c r="N3974" s="9" t="s">
        <v>13284</v>
      </c>
      <c r="O3974" s="9" t="s">
        <v>13284</v>
      </c>
      <c r="P3974" s="9" t="s">
        <v>13284</v>
      </c>
      <c r="Q3974" s="9" t="s">
        <v>13284</v>
      </c>
      <c r="R3974" s="9" t="s">
        <v>13284</v>
      </c>
      <c r="S3974" s="9" t="s">
        <v>13284</v>
      </c>
      <c r="T3974" s="9" t="str">
        <f ca="1">IFERROR(IF(AND(VLOOKUP(A3974, 'Актуальное состояние (из общего'!A:C,3,0) = "", A3974 &lt;&gt; ""), "ПРОВЕРИТЬ", VLOOKUP(A3974, 'Актуальное состояние (из общего'!A:C,3,0)), "")</f>
        <v/>
      </c>
      <c r="U3974" s="9" t="s">
        <v>13284</v>
      </c>
      <c r="V3974" s="9" t="s">
        <v>13284</v>
      </c>
      <c r="W3974" s="12"/>
      <c r="X3974" s="9" t="str">
        <f t="array" ref="X3974">IFERROR(INDEX('Адреса общежитий (скрытый)'!$B$2:$B$9, MATCH(W3974, 'Адреса общежитий (скрытый)'!$A$2:$A$9, 0)), "")</f>
        <v/>
      </c>
      <c r="Y3974" s="18"/>
      <c r="Z3974" s="18"/>
      <c r="AA3974" s="18"/>
      <c r="AB3974" s="18"/>
      <c r="AC3974" s="18"/>
    </row>
    <row r="3975" spans="1:29" ht="32.25" hidden="1" customHeight="1">
      <c r="A3975" s="17"/>
      <c r="B3975" s="9" t="s">
        <v>13284</v>
      </c>
      <c r="C3975" s="9" t="s">
        <v>13284</v>
      </c>
      <c r="D3975" s="9" t="s">
        <v>13284</v>
      </c>
      <c r="E3975" s="9" t="s">
        <v>13284</v>
      </c>
      <c r="F3975" s="9" t="s">
        <v>13284</v>
      </c>
      <c r="G3975" s="9" t="s">
        <v>13284</v>
      </c>
      <c r="H3975" s="9" t="s">
        <v>13284</v>
      </c>
      <c r="I3975" s="9" t="s">
        <v>13284</v>
      </c>
      <c r="J3975" s="9" t="s">
        <v>13284</v>
      </c>
      <c r="K3975" s="9" t="s">
        <v>13284</v>
      </c>
      <c r="L3975" s="9" t="s">
        <v>13284</v>
      </c>
      <c r="M3975" s="9" t="s">
        <v>13284</v>
      </c>
      <c r="N3975" s="9" t="s">
        <v>13284</v>
      </c>
      <c r="O3975" s="9" t="s">
        <v>13284</v>
      </c>
      <c r="P3975" s="9" t="s">
        <v>13284</v>
      </c>
      <c r="Q3975" s="9" t="s">
        <v>13284</v>
      </c>
      <c r="R3975" s="9" t="s">
        <v>13284</v>
      </c>
      <c r="S3975" s="9" t="s">
        <v>13284</v>
      </c>
      <c r="T3975" s="9" t="str">
        <f ca="1">IFERROR(IF(AND(VLOOKUP(A3975, 'Актуальное состояние (из общего'!A:C,3,0) = "", A3975 &lt;&gt; ""), "ПРОВЕРИТЬ", VLOOKUP(A3975, 'Актуальное состояние (из общего'!A:C,3,0)), "")</f>
        <v/>
      </c>
      <c r="U3975" s="9" t="s">
        <v>13284</v>
      </c>
      <c r="V3975" s="9" t="s">
        <v>13284</v>
      </c>
      <c r="W3975" s="12"/>
      <c r="X3975" s="9" t="str">
        <f t="array" ref="X3975">IFERROR(INDEX('Адреса общежитий (скрытый)'!$B$2:$B$9, MATCH(W3975, 'Адреса общежитий (скрытый)'!$A$2:$A$9, 0)), "")</f>
        <v/>
      </c>
      <c r="Y3975" s="18"/>
      <c r="Z3975" s="18"/>
      <c r="AA3975" s="18"/>
      <c r="AB3975" s="18"/>
      <c r="AC3975" s="18"/>
    </row>
    <row r="3976" spans="1:29" ht="32.25" hidden="1" customHeight="1">
      <c r="A3976" s="17"/>
      <c r="B3976" s="9" t="s">
        <v>13284</v>
      </c>
      <c r="C3976" s="9" t="s">
        <v>13284</v>
      </c>
      <c r="D3976" s="9" t="s">
        <v>13284</v>
      </c>
      <c r="E3976" s="9" t="s">
        <v>13284</v>
      </c>
      <c r="F3976" s="9" t="s">
        <v>13284</v>
      </c>
      <c r="G3976" s="9" t="s">
        <v>13284</v>
      </c>
      <c r="H3976" s="9" t="s">
        <v>13284</v>
      </c>
      <c r="I3976" s="9" t="s">
        <v>13284</v>
      </c>
      <c r="J3976" s="9" t="s">
        <v>13284</v>
      </c>
      <c r="K3976" s="9" t="s">
        <v>13284</v>
      </c>
      <c r="L3976" s="9" t="s">
        <v>13284</v>
      </c>
      <c r="M3976" s="9" t="s">
        <v>13284</v>
      </c>
      <c r="N3976" s="9" t="s">
        <v>13284</v>
      </c>
      <c r="O3976" s="9" t="s">
        <v>13284</v>
      </c>
      <c r="P3976" s="9" t="s">
        <v>13284</v>
      </c>
      <c r="Q3976" s="9" t="s">
        <v>13284</v>
      </c>
      <c r="R3976" s="9" t="s">
        <v>13284</v>
      </c>
      <c r="S3976" s="9" t="s">
        <v>13284</v>
      </c>
      <c r="T3976" s="9" t="str">
        <f ca="1">IFERROR(IF(AND(VLOOKUP(A3976, 'Актуальное состояние (из общего'!A:C,3,0) = "", A3976 &lt;&gt; ""), "ПРОВЕРИТЬ", VLOOKUP(A3976, 'Актуальное состояние (из общего'!A:C,3,0)), "")</f>
        <v/>
      </c>
      <c r="U3976" s="9" t="s">
        <v>13284</v>
      </c>
      <c r="V3976" s="9" t="s">
        <v>13284</v>
      </c>
      <c r="W3976" s="12"/>
      <c r="X3976" s="9" t="str">
        <f t="array" ref="X3976">IFERROR(INDEX('Адреса общежитий (скрытый)'!$B$2:$B$9, MATCH(W3976, 'Адреса общежитий (скрытый)'!$A$2:$A$9, 0)), "")</f>
        <v/>
      </c>
      <c r="Y3976" s="18"/>
      <c r="Z3976" s="18"/>
      <c r="AA3976" s="18"/>
      <c r="AB3976" s="18"/>
      <c r="AC3976" s="18"/>
    </row>
    <row r="3977" spans="1:29" ht="32.25" hidden="1" customHeight="1">
      <c r="A3977" s="17"/>
      <c r="B3977" s="9" t="s">
        <v>13284</v>
      </c>
      <c r="C3977" s="9" t="s">
        <v>13284</v>
      </c>
      <c r="D3977" s="9" t="s">
        <v>13284</v>
      </c>
      <c r="E3977" s="9" t="s">
        <v>13284</v>
      </c>
      <c r="F3977" s="9" t="s">
        <v>13284</v>
      </c>
      <c r="G3977" s="9" t="s">
        <v>13284</v>
      </c>
      <c r="H3977" s="9" t="s">
        <v>13284</v>
      </c>
      <c r="I3977" s="9" t="s">
        <v>13284</v>
      </c>
      <c r="J3977" s="9" t="s">
        <v>13284</v>
      </c>
      <c r="K3977" s="9" t="s">
        <v>13284</v>
      </c>
      <c r="L3977" s="9" t="s">
        <v>13284</v>
      </c>
      <c r="M3977" s="9" t="s">
        <v>13284</v>
      </c>
      <c r="N3977" s="9" t="s">
        <v>13284</v>
      </c>
      <c r="O3977" s="9" t="s">
        <v>13284</v>
      </c>
      <c r="P3977" s="9" t="s">
        <v>13284</v>
      </c>
      <c r="Q3977" s="9" t="s">
        <v>13284</v>
      </c>
      <c r="R3977" s="9" t="s">
        <v>13284</v>
      </c>
      <c r="S3977" s="9" t="s">
        <v>13284</v>
      </c>
      <c r="T3977" s="9" t="str">
        <f ca="1">IFERROR(IF(AND(VLOOKUP(A3977, 'Актуальное состояние (из общего'!A:C,3,0) = "", A3977 &lt;&gt; ""), "ПРОВЕРИТЬ", VLOOKUP(A3977, 'Актуальное состояние (из общего'!A:C,3,0)), "")</f>
        <v/>
      </c>
      <c r="U3977" s="9" t="s">
        <v>13284</v>
      </c>
      <c r="V3977" s="9" t="s">
        <v>13284</v>
      </c>
      <c r="W3977" s="12"/>
      <c r="X3977" s="9" t="str">
        <f t="array" ref="X3977">IFERROR(INDEX('Адреса общежитий (скрытый)'!$B$2:$B$9, MATCH(W3977, 'Адреса общежитий (скрытый)'!$A$2:$A$9, 0)), "")</f>
        <v/>
      </c>
      <c r="Y3977" s="18"/>
      <c r="Z3977" s="18"/>
      <c r="AA3977" s="18"/>
      <c r="AB3977" s="18"/>
      <c r="AC3977" s="18"/>
    </row>
    <row r="3978" spans="1:29" ht="32.25" hidden="1" customHeight="1">
      <c r="A3978" s="17"/>
      <c r="B3978" s="9" t="s">
        <v>13284</v>
      </c>
      <c r="C3978" s="9" t="s">
        <v>13284</v>
      </c>
      <c r="D3978" s="9" t="s">
        <v>13284</v>
      </c>
      <c r="E3978" s="9" t="s">
        <v>13284</v>
      </c>
      <c r="F3978" s="9" t="s">
        <v>13284</v>
      </c>
      <c r="G3978" s="9" t="s">
        <v>13284</v>
      </c>
      <c r="H3978" s="9" t="s">
        <v>13284</v>
      </c>
      <c r="I3978" s="9" t="s">
        <v>13284</v>
      </c>
      <c r="J3978" s="9" t="s">
        <v>13284</v>
      </c>
      <c r="K3978" s="9" t="s">
        <v>13284</v>
      </c>
      <c r="L3978" s="9" t="s">
        <v>13284</v>
      </c>
      <c r="M3978" s="9" t="s">
        <v>13284</v>
      </c>
      <c r="N3978" s="9" t="s">
        <v>13284</v>
      </c>
      <c r="O3978" s="9" t="s">
        <v>13284</v>
      </c>
      <c r="P3978" s="9" t="s">
        <v>13284</v>
      </c>
      <c r="Q3978" s="9" t="s">
        <v>13284</v>
      </c>
      <c r="R3978" s="9" t="s">
        <v>13284</v>
      </c>
      <c r="S3978" s="9" t="s">
        <v>13284</v>
      </c>
      <c r="T3978" s="9" t="str">
        <f ca="1">IFERROR(IF(AND(VLOOKUP(A3978, 'Актуальное состояние (из общего'!A:C,3,0) = "", A3978 &lt;&gt; ""), "ПРОВЕРИТЬ", VLOOKUP(A3978, 'Актуальное состояние (из общего'!A:C,3,0)), "")</f>
        <v/>
      </c>
      <c r="U3978" s="9" t="s">
        <v>13284</v>
      </c>
      <c r="V3978" s="9" t="s">
        <v>13284</v>
      </c>
      <c r="W3978" s="12"/>
      <c r="X3978" s="9" t="str">
        <f t="array" ref="X3978">IFERROR(INDEX('Адреса общежитий (скрытый)'!$B$2:$B$9, MATCH(W3978, 'Адреса общежитий (скрытый)'!$A$2:$A$9, 0)), "")</f>
        <v/>
      </c>
      <c r="Y3978" s="18"/>
      <c r="Z3978" s="18"/>
      <c r="AA3978" s="18"/>
      <c r="AB3978" s="18"/>
      <c r="AC3978" s="18"/>
    </row>
    <row r="3979" spans="1:29" ht="32.25" hidden="1" customHeight="1">
      <c r="A3979" s="17"/>
      <c r="B3979" s="9" t="s">
        <v>13284</v>
      </c>
      <c r="C3979" s="9" t="s">
        <v>13284</v>
      </c>
      <c r="D3979" s="9" t="s">
        <v>13284</v>
      </c>
      <c r="E3979" s="9" t="s">
        <v>13284</v>
      </c>
      <c r="F3979" s="9" t="s">
        <v>13284</v>
      </c>
      <c r="G3979" s="9" t="s">
        <v>13284</v>
      </c>
      <c r="H3979" s="9" t="s">
        <v>13284</v>
      </c>
      <c r="I3979" s="9" t="s">
        <v>13284</v>
      </c>
      <c r="J3979" s="9" t="s">
        <v>13284</v>
      </c>
      <c r="K3979" s="9" t="s">
        <v>13284</v>
      </c>
      <c r="L3979" s="9" t="s">
        <v>13284</v>
      </c>
      <c r="M3979" s="9" t="s">
        <v>13284</v>
      </c>
      <c r="N3979" s="9" t="s">
        <v>13284</v>
      </c>
      <c r="O3979" s="9" t="s">
        <v>13284</v>
      </c>
      <c r="P3979" s="9" t="s">
        <v>13284</v>
      </c>
      <c r="Q3979" s="9" t="s">
        <v>13284</v>
      </c>
      <c r="R3979" s="9" t="s">
        <v>13284</v>
      </c>
      <c r="S3979" s="9" t="s">
        <v>13284</v>
      </c>
      <c r="T3979" s="9" t="str">
        <f ca="1">IFERROR(IF(AND(VLOOKUP(A3979, 'Актуальное состояние (из общего'!A:C,3,0) = "", A3979 &lt;&gt; ""), "ПРОВЕРИТЬ", VLOOKUP(A3979, 'Актуальное состояние (из общего'!A:C,3,0)), "")</f>
        <v/>
      </c>
      <c r="U3979" s="9" t="s">
        <v>13284</v>
      </c>
      <c r="V3979" s="9" t="s">
        <v>13284</v>
      </c>
      <c r="W3979" s="12"/>
      <c r="X3979" s="9" t="str">
        <f t="array" ref="X3979">IFERROR(INDEX('Адреса общежитий (скрытый)'!$B$2:$B$9, MATCH(W3979, 'Адреса общежитий (скрытый)'!$A$2:$A$9, 0)), "")</f>
        <v/>
      </c>
      <c r="Y3979" s="18"/>
      <c r="Z3979" s="18"/>
      <c r="AA3979" s="18"/>
      <c r="AB3979" s="18"/>
      <c r="AC3979" s="18"/>
    </row>
    <row r="3980" spans="1:29" ht="32.25" hidden="1" customHeight="1">
      <c r="A3980" s="17"/>
      <c r="B3980" s="9" t="s">
        <v>13284</v>
      </c>
      <c r="C3980" s="9" t="s">
        <v>13284</v>
      </c>
      <c r="D3980" s="9" t="s">
        <v>13284</v>
      </c>
      <c r="E3980" s="9" t="s">
        <v>13284</v>
      </c>
      <c r="F3980" s="9" t="s">
        <v>13284</v>
      </c>
      <c r="G3980" s="9" t="s">
        <v>13284</v>
      </c>
      <c r="H3980" s="9" t="s">
        <v>13284</v>
      </c>
      <c r="I3980" s="9" t="s">
        <v>13284</v>
      </c>
      <c r="J3980" s="9" t="s">
        <v>13284</v>
      </c>
      <c r="K3980" s="9" t="s">
        <v>13284</v>
      </c>
      <c r="L3980" s="9" t="s">
        <v>13284</v>
      </c>
      <c r="M3980" s="9" t="s">
        <v>13284</v>
      </c>
      <c r="N3980" s="9" t="s">
        <v>13284</v>
      </c>
      <c r="O3980" s="9" t="s">
        <v>13284</v>
      </c>
      <c r="P3980" s="9" t="s">
        <v>13284</v>
      </c>
      <c r="Q3980" s="9" t="s">
        <v>13284</v>
      </c>
      <c r="R3980" s="9" t="s">
        <v>13284</v>
      </c>
      <c r="S3980" s="9" t="s">
        <v>13284</v>
      </c>
      <c r="T3980" s="9" t="str">
        <f ca="1">IFERROR(IF(AND(VLOOKUP(A3980, 'Актуальное состояние (из общего'!A:C,3,0) = "", A3980 &lt;&gt; ""), "ПРОВЕРИТЬ", VLOOKUP(A3980, 'Актуальное состояние (из общего'!A:C,3,0)), "")</f>
        <v/>
      </c>
      <c r="U3980" s="9" t="s">
        <v>13284</v>
      </c>
      <c r="V3980" s="9" t="s">
        <v>13284</v>
      </c>
      <c r="W3980" s="12"/>
      <c r="X3980" s="9" t="str">
        <f t="array" ref="X3980">IFERROR(INDEX('Адреса общежитий (скрытый)'!$B$2:$B$9, MATCH(W3980, 'Адреса общежитий (скрытый)'!$A$2:$A$9, 0)), "")</f>
        <v/>
      </c>
      <c r="Y3980" s="18"/>
      <c r="Z3980" s="18"/>
      <c r="AA3980" s="18"/>
      <c r="AB3980" s="18"/>
      <c r="AC3980" s="18"/>
    </row>
    <row r="3981" spans="1:29" ht="32.25" hidden="1" customHeight="1">
      <c r="A3981" s="17"/>
      <c r="B3981" s="9" t="s">
        <v>13284</v>
      </c>
      <c r="C3981" s="9" t="s">
        <v>13284</v>
      </c>
      <c r="D3981" s="9" t="s">
        <v>13284</v>
      </c>
      <c r="E3981" s="9" t="s">
        <v>13284</v>
      </c>
      <c r="F3981" s="9" t="s">
        <v>13284</v>
      </c>
      <c r="G3981" s="9" t="s">
        <v>13284</v>
      </c>
      <c r="H3981" s="9" t="s">
        <v>13284</v>
      </c>
      <c r="I3981" s="9" t="s">
        <v>13284</v>
      </c>
      <c r="J3981" s="9" t="s">
        <v>13284</v>
      </c>
      <c r="K3981" s="9" t="s">
        <v>13284</v>
      </c>
      <c r="L3981" s="9" t="s">
        <v>13284</v>
      </c>
      <c r="M3981" s="9" t="s">
        <v>13284</v>
      </c>
      <c r="N3981" s="9" t="s">
        <v>13284</v>
      </c>
      <c r="O3981" s="9" t="s">
        <v>13284</v>
      </c>
      <c r="P3981" s="9" t="s">
        <v>13284</v>
      </c>
      <c r="Q3981" s="9" t="s">
        <v>13284</v>
      </c>
      <c r="R3981" s="9" t="s">
        <v>13284</v>
      </c>
      <c r="S3981" s="9" t="s">
        <v>13284</v>
      </c>
      <c r="T3981" s="9" t="str">
        <f ca="1">IFERROR(IF(AND(VLOOKUP(A3981, 'Актуальное состояние (из общего'!A:C,3,0) = "", A3981 &lt;&gt; ""), "ПРОВЕРИТЬ", VLOOKUP(A3981, 'Актуальное состояние (из общего'!A:C,3,0)), "")</f>
        <v/>
      </c>
      <c r="U3981" s="9" t="s">
        <v>13284</v>
      </c>
      <c r="V3981" s="9" t="s">
        <v>13284</v>
      </c>
      <c r="W3981" s="12"/>
      <c r="X3981" s="9" t="str">
        <f t="array" ref="X3981">IFERROR(INDEX('Адреса общежитий (скрытый)'!$B$2:$B$9, MATCH(W3981, 'Адреса общежитий (скрытый)'!$A$2:$A$9, 0)), "")</f>
        <v/>
      </c>
      <c r="Y3981" s="18"/>
      <c r="Z3981" s="18"/>
      <c r="AA3981" s="18"/>
      <c r="AB3981" s="18"/>
      <c r="AC3981" s="18"/>
    </row>
    <row r="3982" spans="1:29" ht="32.25" hidden="1" customHeight="1">
      <c r="A3982" s="17"/>
      <c r="B3982" s="9" t="s">
        <v>13284</v>
      </c>
      <c r="C3982" s="9" t="s">
        <v>13284</v>
      </c>
      <c r="D3982" s="9" t="s">
        <v>13284</v>
      </c>
      <c r="E3982" s="9" t="s">
        <v>13284</v>
      </c>
      <c r="F3982" s="9" t="s">
        <v>13284</v>
      </c>
      <c r="G3982" s="9" t="s">
        <v>13284</v>
      </c>
      <c r="H3982" s="9" t="s">
        <v>13284</v>
      </c>
      <c r="I3982" s="9" t="s">
        <v>13284</v>
      </c>
      <c r="J3982" s="9" t="s">
        <v>13284</v>
      </c>
      <c r="K3982" s="9" t="s">
        <v>13284</v>
      </c>
      <c r="L3982" s="9" t="s">
        <v>13284</v>
      </c>
      <c r="M3982" s="9" t="s">
        <v>13284</v>
      </c>
      <c r="N3982" s="9" t="s">
        <v>13284</v>
      </c>
      <c r="O3982" s="9" t="s">
        <v>13284</v>
      </c>
      <c r="P3982" s="9" t="s">
        <v>13284</v>
      </c>
      <c r="Q3982" s="9" t="s">
        <v>13284</v>
      </c>
      <c r="R3982" s="9" t="s">
        <v>13284</v>
      </c>
      <c r="S3982" s="9" t="s">
        <v>13284</v>
      </c>
      <c r="T3982" s="9" t="str">
        <f ca="1">IFERROR(IF(AND(VLOOKUP(A3982, 'Актуальное состояние (из общего'!A:C,3,0) = "", A3982 &lt;&gt; ""), "ПРОВЕРИТЬ", VLOOKUP(A3982, 'Актуальное состояние (из общего'!A:C,3,0)), "")</f>
        <v/>
      </c>
      <c r="U3982" s="9" t="s">
        <v>13284</v>
      </c>
      <c r="V3982" s="9" t="s">
        <v>13284</v>
      </c>
      <c r="W3982" s="12"/>
      <c r="X3982" s="9" t="str">
        <f t="array" ref="X3982">IFERROR(INDEX('Адреса общежитий (скрытый)'!$B$2:$B$9, MATCH(W3982, 'Адреса общежитий (скрытый)'!$A$2:$A$9, 0)), "")</f>
        <v/>
      </c>
      <c r="Y3982" s="18"/>
      <c r="Z3982" s="18"/>
      <c r="AA3982" s="18"/>
      <c r="AB3982" s="18"/>
      <c r="AC3982" s="18"/>
    </row>
    <row r="3983" spans="1:29" ht="32.25" hidden="1" customHeight="1">
      <c r="A3983" s="17"/>
      <c r="B3983" s="9" t="s">
        <v>13284</v>
      </c>
      <c r="C3983" s="9" t="s">
        <v>13284</v>
      </c>
      <c r="D3983" s="9" t="s">
        <v>13284</v>
      </c>
      <c r="E3983" s="9" t="s">
        <v>13284</v>
      </c>
      <c r="F3983" s="9" t="s">
        <v>13284</v>
      </c>
      <c r="G3983" s="9" t="s">
        <v>13284</v>
      </c>
      <c r="H3983" s="9" t="s">
        <v>13284</v>
      </c>
      <c r="I3983" s="9" t="s">
        <v>13284</v>
      </c>
      <c r="J3983" s="9" t="s">
        <v>13284</v>
      </c>
      <c r="K3983" s="9" t="s">
        <v>13284</v>
      </c>
      <c r="L3983" s="9" t="s">
        <v>13284</v>
      </c>
      <c r="M3983" s="9" t="s">
        <v>13284</v>
      </c>
      <c r="N3983" s="9" t="s">
        <v>13284</v>
      </c>
      <c r="O3983" s="9" t="s">
        <v>13284</v>
      </c>
      <c r="P3983" s="9" t="s">
        <v>13284</v>
      </c>
      <c r="Q3983" s="9" t="s">
        <v>13284</v>
      </c>
      <c r="R3983" s="9" t="s">
        <v>13284</v>
      </c>
      <c r="S3983" s="9" t="s">
        <v>13284</v>
      </c>
      <c r="T3983" s="9" t="str">
        <f ca="1">IFERROR(IF(AND(VLOOKUP(A3983, 'Актуальное состояние (из общего'!A:C,3,0) = "", A3983 &lt;&gt; ""), "ПРОВЕРИТЬ", VLOOKUP(A3983, 'Актуальное состояние (из общего'!A:C,3,0)), "")</f>
        <v/>
      </c>
      <c r="U3983" s="9" t="s">
        <v>13284</v>
      </c>
      <c r="V3983" s="9" t="s">
        <v>13284</v>
      </c>
      <c r="W3983" s="12"/>
      <c r="X3983" s="9" t="str">
        <f t="array" ref="X3983">IFERROR(INDEX('Адреса общежитий (скрытый)'!$B$2:$B$9, MATCH(W3983, 'Адреса общежитий (скрытый)'!$A$2:$A$9, 0)), "")</f>
        <v/>
      </c>
      <c r="Y3983" s="18"/>
      <c r="Z3983" s="18"/>
      <c r="AA3983" s="18"/>
      <c r="AB3983" s="18"/>
      <c r="AC3983" s="18"/>
    </row>
    <row r="3984" spans="1:29" ht="32.25" hidden="1" customHeight="1">
      <c r="A3984" s="17"/>
      <c r="B3984" s="9" t="s">
        <v>13284</v>
      </c>
      <c r="C3984" s="9" t="s">
        <v>13284</v>
      </c>
      <c r="D3984" s="9" t="s">
        <v>13284</v>
      </c>
      <c r="E3984" s="9" t="s">
        <v>13284</v>
      </c>
      <c r="F3984" s="9" t="s">
        <v>13284</v>
      </c>
      <c r="G3984" s="9" t="s">
        <v>13284</v>
      </c>
      <c r="H3984" s="9" t="s">
        <v>13284</v>
      </c>
      <c r="I3984" s="9" t="s">
        <v>13284</v>
      </c>
      <c r="J3984" s="9" t="s">
        <v>13284</v>
      </c>
      <c r="K3984" s="9" t="s">
        <v>13284</v>
      </c>
      <c r="L3984" s="9" t="s">
        <v>13284</v>
      </c>
      <c r="M3984" s="9" t="s">
        <v>13284</v>
      </c>
      <c r="N3984" s="9" t="s">
        <v>13284</v>
      </c>
      <c r="O3984" s="9" t="s">
        <v>13284</v>
      </c>
      <c r="P3984" s="9" t="s">
        <v>13284</v>
      </c>
      <c r="Q3984" s="9" t="s">
        <v>13284</v>
      </c>
      <c r="R3984" s="9" t="s">
        <v>13284</v>
      </c>
      <c r="S3984" s="9" t="s">
        <v>13284</v>
      </c>
      <c r="T3984" s="9" t="str">
        <f ca="1">IFERROR(IF(AND(VLOOKUP(A3984, 'Актуальное состояние (из общего'!A:C,3,0) = "", A3984 &lt;&gt; ""), "ПРОВЕРИТЬ", VLOOKUP(A3984, 'Актуальное состояние (из общего'!A:C,3,0)), "")</f>
        <v/>
      </c>
      <c r="U3984" s="9" t="s">
        <v>13284</v>
      </c>
      <c r="V3984" s="9" t="s">
        <v>13284</v>
      </c>
      <c r="W3984" s="12"/>
      <c r="X3984" s="9" t="str">
        <f t="array" ref="X3984">IFERROR(INDEX('Адреса общежитий (скрытый)'!$B$2:$B$9, MATCH(W3984, 'Адреса общежитий (скрытый)'!$A$2:$A$9, 0)), "")</f>
        <v/>
      </c>
      <c r="Y3984" s="18"/>
      <c r="Z3984" s="18"/>
      <c r="AA3984" s="18"/>
      <c r="AB3984" s="18"/>
      <c r="AC3984" s="18"/>
    </row>
    <row r="3985" spans="1:29" ht="32.25" hidden="1" customHeight="1">
      <c r="A3985" s="17"/>
      <c r="B3985" s="9" t="s">
        <v>13284</v>
      </c>
      <c r="C3985" s="9" t="s">
        <v>13284</v>
      </c>
      <c r="D3985" s="9" t="s">
        <v>13284</v>
      </c>
      <c r="E3985" s="9" t="s">
        <v>13284</v>
      </c>
      <c r="F3985" s="9" t="s">
        <v>13284</v>
      </c>
      <c r="G3985" s="9" t="s">
        <v>13284</v>
      </c>
      <c r="H3985" s="9" t="s">
        <v>13284</v>
      </c>
      <c r="I3985" s="9" t="s">
        <v>13284</v>
      </c>
      <c r="J3985" s="9" t="s">
        <v>13284</v>
      </c>
      <c r="K3985" s="9" t="s">
        <v>13284</v>
      </c>
      <c r="L3985" s="9" t="s">
        <v>13284</v>
      </c>
      <c r="M3985" s="9" t="s">
        <v>13284</v>
      </c>
      <c r="N3985" s="9" t="s">
        <v>13284</v>
      </c>
      <c r="O3985" s="9" t="s">
        <v>13284</v>
      </c>
      <c r="P3985" s="9" t="s">
        <v>13284</v>
      </c>
      <c r="Q3985" s="9" t="s">
        <v>13284</v>
      </c>
      <c r="R3985" s="9" t="s">
        <v>13284</v>
      </c>
      <c r="S3985" s="9" t="s">
        <v>13284</v>
      </c>
      <c r="T3985" s="9" t="str">
        <f ca="1">IFERROR(IF(AND(VLOOKUP(A3985, 'Актуальное состояние (из общего'!A:C,3,0) = "", A3985 &lt;&gt; ""), "ПРОВЕРИТЬ", VLOOKUP(A3985, 'Актуальное состояние (из общего'!A:C,3,0)), "")</f>
        <v/>
      </c>
      <c r="U3985" s="9" t="s">
        <v>13284</v>
      </c>
      <c r="V3985" s="9" t="s">
        <v>13284</v>
      </c>
      <c r="W3985" s="12"/>
      <c r="X3985" s="9" t="str">
        <f t="array" ref="X3985">IFERROR(INDEX('Адреса общежитий (скрытый)'!$B$2:$B$9, MATCH(W3985, 'Адреса общежитий (скрытый)'!$A$2:$A$9, 0)), "")</f>
        <v/>
      </c>
      <c r="Y3985" s="18"/>
      <c r="Z3985" s="18"/>
      <c r="AA3985" s="18"/>
      <c r="AB3985" s="18"/>
      <c r="AC3985" s="18"/>
    </row>
    <row r="3986" spans="1:29" ht="32.25" hidden="1" customHeight="1">
      <c r="A3986" s="17"/>
      <c r="B3986" s="9" t="s">
        <v>13284</v>
      </c>
      <c r="C3986" s="9" t="s">
        <v>13284</v>
      </c>
      <c r="D3986" s="9" t="s">
        <v>13284</v>
      </c>
      <c r="E3986" s="9" t="s">
        <v>13284</v>
      </c>
      <c r="F3986" s="9" t="s">
        <v>13284</v>
      </c>
      <c r="G3986" s="9" t="s">
        <v>13284</v>
      </c>
      <c r="H3986" s="9" t="s">
        <v>13284</v>
      </c>
      <c r="I3986" s="9" t="s">
        <v>13284</v>
      </c>
      <c r="J3986" s="9" t="s">
        <v>13284</v>
      </c>
      <c r="K3986" s="9" t="s">
        <v>13284</v>
      </c>
      <c r="L3986" s="9" t="s">
        <v>13284</v>
      </c>
      <c r="M3986" s="9" t="s">
        <v>13284</v>
      </c>
      <c r="N3986" s="9" t="s">
        <v>13284</v>
      </c>
      <c r="O3986" s="9" t="s">
        <v>13284</v>
      </c>
      <c r="P3986" s="9" t="s">
        <v>13284</v>
      </c>
      <c r="Q3986" s="9" t="s">
        <v>13284</v>
      </c>
      <c r="R3986" s="9" t="s">
        <v>13284</v>
      </c>
      <c r="S3986" s="9" t="s">
        <v>13284</v>
      </c>
      <c r="T3986" s="9" t="str">
        <f ca="1">IFERROR(IF(AND(VLOOKUP(A3986, 'Актуальное состояние (из общего'!A:C,3,0) = "", A3986 &lt;&gt; ""), "ПРОВЕРИТЬ", VLOOKUP(A3986, 'Актуальное состояние (из общего'!A:C,3,0)), "")</f>
        <v/>
      </c>
      <c r="U3986" s="9" t="s">
        <v>13284</v>
      </c>
      <c r="V3986" s="9" t="s">
        <v>13284</v>
      </c>
      <c r="W3986" s="12"/>
      <c r="X3986" s="9" t="str">
        <f t="array" ref="X3986">IFERROR(INDEX('Адреса общежитий (скрытый)'!$B$2:$B$9, MATCH(W3986, 'Адреса общежитий (скрытый)'!$A$2:$A$9, 0)), "")</f>
        <v/>
      </c>
      <c r="Y3986" s="18"/>
      <c r="Z3986" s="18"/>
      <c r="AA3986" s="18"/>
      <c r="AB3986" s="18"/>
      <c r="AC3986" s="18"/>
    </row>
    <row r="3987" spans="1:29" ht="32.25" hidden="1" customHeight="1">
      <c r="A3987" s="17"/>
      <c r="B3987" s="9" t="s">
        <v>13284</v>
      </c>
      <c r="C3987" s="9" t="s">
        <v>13284</v>
      </c>
      <c r="D3987" s="9" t="s">
        <v>13284</v>
      </c>
      <c r="E3987" s="9" t="s">
        <v>13284</v>
      </c>
      <c r="F3987" s="9" t="s">
        <v>13284</v>
      </c>
      <c r="G3987" s="9" t="s">
        <v>13284</v>
      </c>
      <c r="H3987" s="9" t="s">
        <v>13284</v>
      </c>
      <c r="I3987" s="9" t="s">
        <v>13284</v>
      </c>
      <c r="J3987" s="9" t="s">
        <v>13284</v>
      </c>
      <c r="K3987" s="9" t="s">
        <v>13284</v>
      </c>
      <c r="L3987" s="9" t="s">
        <v>13284</v>
      </c>
      <c r="M3987" s="9" t="s">
        <v>13284</v>
      </c>
      <c r="N3987" s="9" t="s">
        <v>13284</v>
      </c>
      <c r="O3987" s="9" t="s">
        <v>13284</v>
      </c>
      <c r="P3987" s="9" t="s">
        <v>13284</v>
      </c>
      <c r="Q3987" s="9" t="s">
        <v>13284</v>
      </c>
      <c r="R3987" s="9" t="s">
        <v>13284</v>
      </c>
      <c r="S3987" s="9" t="s">
        <v>13284</v>
      </c>
      <c r="T3987" s="9" t="str">
        <f ca="1">IFERROR(IF(AND(VLOOKUP(A3987, 'Актуальное состояние (из общего'!A:C,3,0) = "", A3987 &lt;&gt; ""), "ПРОВЕРИТЬ", VLOOKUP(A3987, 'Актуальное состояние (из общего'!A:C,3,0)), "")</f>
        <v/>
      </c>
      <c r="U3987" s="9" t="s">
        <v>13284</v>
      </c>
      <c r="V3987" s="9" t="s">
        <v>13284</v>
      </c>
      <c r="W3987" s="12"/>
      <c r="X3987" s="9" t="str">
        <f t="array" ref="X3987">IFERROR(INDEX('Адреса общежитий (скрытый)'!$B$2:$B$9, MATCH(W3987, 'Адреса общежитий (скрытый)'!$A$2:$A$9, 0)), "")</f>
        <v/>
      </c>
      <c r="Y3987" s="18"/>
      <c r="Z3987" s="18"/>
      <c r="AA3987" s="18"/>
      <c r="AB3987" s="18"/>
      <c r="AC3987" s="18"/>
    </row>
    <row r="3988" spans="1:29" ht="32.25" hidden="1" customHeight="1">
      <c r="A3988" s="17"/>
      <c r="B3988" s="9" t="s">
        <v>13284</v>
      </c>
      <c r="C3988" s="9" t="s">
        <v>13284</v>
      </c>
      <c r="D3988" s="9" t="s">
        <v>13284</v>
      </c>
      <c r="E3988" s="9" t="s">
        <v>13284</v>
      </c>
      <c r="F3988" s="9" t="s">
        <v>13284</v>
      </c>
      <c r="G3988" s="9" t="s">
        <v>13284</v>
      </c>
      <c r="H3988" s="9" t="s">
        <v>13284</v>
      </c>
      <c r="I3988" s="9" t="s">
        <v>13284</v>
      </c>
      <c r="J3988" s="9" t="s">
        <v>13284</v>
      </c>
      <c r="K3988" s="9" t="s">
        <v>13284</v>
      </c>
      <c r="L3988" s="9" t="s">
        <v>13284</v>
      </c>
      <c r="M3988" s="9" t="s">
        <v>13284</v>
      </c>
      <c r="N3988" s="9" t="s">
        <v>13284</v>
      </c>
      <c r="O3988" s="9" t="s">
        <v>13284</v>
      </c>
      <c r="P3988" s="9" t="s">
        <v>13284</v>
      </c>
      <c r="Q3988" s="9" t="s">
        <v>13284</v>
      </c>
      <c r="R3988" s="9" t="s">
        <v>13284</v>
      </c>
      <c r="S3988" s="9" t="s">
        <v>13284</v>
      </c>
      <c r="T3988" s="9" t="str">
        <f ca="1">IFERROR(IF(AND(VLOOKUP(A3988, 'Актуальное состояние (из общего'!A:C,3,0) = "", A3988 &lt;&gt; ""), "ПРОВЕРИТЬ", VLOOKUP(A3988, 'Актуальное состояние (из общего'!A:C,3,0)), "")</f>
        <v/>
      </c>
      <c r="U3988" s="9" t="s">
        <v>13284</v>
      </c>
      <c r="V3988" s="9" t="s">
        <v>13284</v>
      </c>
      <c r="W3988" s="12"/>
      <c r="X3988" s="9" t="str">
        <f t="array" ref="X3988">IFERROR(INDEX('Адреса общежитий (скрытый)'!$B$2:$B$9, MATCH(W3988, 'Адреса общежитий (скрытый)'!$A$2:$A$9, 0)), "")</f>
        <v/>
      </c>
      <c r="Y3988" s="18"/>
      <c r="Z3988" s="18"/>
      <c r="AA3988" s="18"/>
      <c r="AB3988" s="18"/>
      <c r="AC3988" s="18"/>
    </row>
    <row r="3989" spans="1:29" ht="32.25" hidden="1" customHeight="1">
      <c r="A3989" s="17"/>
      <c r="B3989" s="9" t="s">
        <v>13284</v>
      </c>
      <c r="C3989" s="9" t="s">
        <v>13284</v>
      </c>
      <c r="D3989" s="9" t="s">
        <v>13284</v>
      </c>
      <c r="E3989" s="9" t="s">
        <v>13284</v>
      </c>
      <c r="F3989" s="9" t="s">
        <v>13284</v>
      </c>
      <c r="G3989" s="9" t="s">
        <v>13284</v>
      </c>
      <c r="H3989" s="9" t="s">
        <v>13284</v>
      </c>
      <c r="I3989" s="9" t="s">
        <v>13284</v>
      </c>
      <c r="J3989" s="9" t="s">
        <v>13284</v>
      </c>
      <c r="K3989" s="9" t="s">
        <v>13284</v>
      </c>
      <c r="L3989" s="9" t="s">
        <v>13284</v>
      </c>
      <c r="M3989" s="9" t="s">
        <v>13284</v>
      </c>
      <c r="N3989" s="9" t="s">
        <v>13284</v>
      </c>
      <c r="O3989" s="9" t="s">
        <v>13284</v>
      </c>
      <c r="P3989" s="9" t="s">
        <v>13284</v>
      </c>
      <c r="Q3989" s="9" t="s">
        <v>13284</v>
      </c>
      <c r="R3989" s="9" t="s">
        <v>13284</v>
      </c>
      <c r="S3989" s="9" t="s">
        <v>13284</v>
      </c>
      <c r="T3989" s="9" t="str">
        <f ca="1">IFERROR(IF(AND(VLOOKUP(A3989, 'Актуальное состояние (из общего'!A:C,3,0) = "", A3989 &lt;&gt; ""), "ПРОВЕРИТЬ", VLOOKUP(A3989, 'Актуальное состояние (из общего'!A:C,3,0)), "")</f>
        <v/>
      </c>
      <c r="U3989" s="9" t="s">
        <v>13284</v>
      </c>
      <c r="V3989" s="9" t="s">
        <v>13284</v>
      </c>
      <c r="W3989" s="12"/>
      <c r="X3989" s="9" t="str">
        <f t="array" ref="X3989">IFERROR(INDEX('Адреса общежитий (скрытый)'!$B$2:$B$9, MATCH(W3989, 'Адреса общежитий (скрытый)'!$A$2:$A$9, 0)), "")</f>
        <v/>
      </c>
      <c r="Y3989" s="18"/>
      <c r="Z3989" s="18"/>
      <c r="AA3989" s="18"/>
      <c r="AB3989" s="18"/>
      <c r="AC3989" s="18"/>
    </row>
    <row r="3990" spans="1:29" ht="32.25" hidden="1" customHeight="1">
      <c r="A3990" s="17"/>
      <c r="B3990" s="9" t="s">
        <v>13284</v>
      </c>
      <c r="C3990" s="9" t="s">
        <v>13284</v>
      </c>
      <c r="D3990" s="9" t="s">
        <v>13284</v>
      </c>
      <c r="E3990" s="9" t="s">
        <v>13284</v>
      </c>
      <c r="F3990" s="9" t="s">
        <v>13284</v>
      </c>
      <c r="G3990" s="9" t="s">
        <v>13284</v>
      </c>
      <c r="H3990" s="9" t="s">
        <v>13284</v>
      </c>
      <c r="I3990" s="9" t="s">
        <v>13284</v>
      </c>
      <c r="J3990" s="9" t="s">
        <v>13284</v>
      </c>
      <c r="K3990" s="9" t="s">
        <v>13284</v>
      </c>
      <c r="L3990" s="9" t="s">
        <v>13284</v>
      </c>
      <c r="M3990" s="9" t="s">
        <v>13284</v>
      </c>
      <c r="N3990" s="9" t="s">
        <v>13284</v>
      </c>
      <c r="O3990" s="9" t="s">
        <v>13284</v>
      </c>
      <c r="P3990" s="9" t="s">
        <v>13284</v>
      </c>
      <c r="Q3990" s="9" t="s">
        <v>13284</v>
      </c>
      <c r="R3990" s="9" t="s">
        <v>13284</v>
      </c>
      <c r="S3990" s="9" t="s">
        <v>13284</v>
      </c>
      <c r="T3990" s="9" t="str">
        <f ca="1">IFERROR(IF(AND(VLOOKUP(A3990, 'Актуальное состояние (из общего'!A:C,3,0) = "", A3990 &lt;&gt; ""), "ПРОВЕРИТЬ", VLOOKUP(A3990, 'Актуальное состояние (из общего'!A:C,3,0)), "")</f>
        <v/>
      </c>
      <c r="U3990" s="9" t="s">
        <v>13284</v>
      </c>
      <c r="V3990" s="9" t="s">
        <v>13284</v>
      </c>
      <c r="W3990" s="12"/>
      <c r="X3990" s="9" t="str">
        <f t="array" ref="X3990">IFERROR(INDEX('Адреса общежитий (скрытый)'!$B$2:$B$9, MATCH(W3990, 'Адреса общежитий (скрытый)'!$A$2:$A$9, 0)), "")</f>
        <v/>
      </c>
      <c r="Y3990" s="18"/>
      <c r="Z3990" s="18"/>
      <c r="AA3990" s="18"/>
      <c r="AB3990" s="18"/>
      <c r="AC3990" s="18"/>
    </row>
    <row r="3991" spans="1:29" ht="32.25" hidden="1" customHeight="1">
      <c r="A3991" s="17"/>
      <c r="B3991" s="9" t="s">
        <v>13284</v>
      </c>
      <c r="C3991" s="9" t="s">
        <v>13284</v>
      </c>
      <c r="D3991" s="9" t="s">
        <v>13284</v>
      </c>
      <c r="E3991" s="9" t="s">
        <v>13284</v>
      </c>
      <c r="F3991" s="9" t="s">
        <v>13284</v>
      </c>
      <c r="G3991" s="9" t="s">
        <v>13284</v>
      </c>
      <c r="H3991" s="9" t="s">
        <v>13284</v>
      </c>
      <c r="I3991" s="9" t="s">
        <v>13284</v>
      </c>
      <c r="J3991" s="9" t="s">
        <v>13284</v>
      </c>
      <c r="K3991" s="9" t="s">
        <v>13284</v>
      </c>
      <c r="L3991" s="9" t="s">
        <v>13284</v>
      </c>
      <c r="M3991" s="9" t="s">
        <v>13284</v>
      </c>
      <c r="N3991" s="9" t="s">
        <v>13284</v>
      </c>
      <c r="O3991" s="9" t="s">
        <v>13284</v>
      </c>
      <c r="P3991" s="9" t="s">
        <v>13284</v>
      </c>
      <c r="Q3991" s="9" t="s">
        <v>13284</v>
      </c>
      <c r="R3991" s="9" t="s">
        <v>13284</v>
      </c>
      <c r="S3991" s="9" t="s">
        <v>13284</v>
      </c>
      <c r="T3991" s="9" t="str">
        <f ca="1">IFERROR(IF(AND(VLOOKUP(A3991, 'Актуальное состояние (из общего'!A:C,3,0) = "", A3991 &lt;&gt; ""), "ПРОВЕРИТЬ", VLOOKUP(A3991, 'Актуальное состояние (из общего'!A:C,3,0)), "")</f>
        <v/>
      </c>
      <c r="U3991" s="9" t="s">
        <v>13284</v>
      </c>
      <c r="V3991" s="9" t="s">
        <v>13284</v>
      </c>
      <c r="W3991" s="12"/>
      <c r="X3991" s="9" t="str">
        <f t="array" ref="X3991">IFERROR(INDEX('Адреса общежитий (скрытый)'!$B$2:$B$9, MATCH(W3991, 'Адреса общежитий (скрытый)'!$A$2:$A$9, 0)), "")</f>
        <v/>
      </c>
      <c r="Y3991" s="18"/>
      <c r="Z3991" s="18"/>
      <c r="AA3991" s="18"/>
      <c r="AB3991" s="18"/>
      <c r="AC3991" s="18"/>
    </row>
    <row r="3992" spans="1:29" ht="32.25" hidden="1" customHeight="1">
      <c r="A3992" s="17"/>
      <c r="B3992" s="9" t="s">
        <v>13284</v>
      </c>
      <c r="C3992" s="9" t="s">
        <v>13284</v>
      </c>
      <c r="D3992" s="9" t="s">
        <v>13284</v>
      </c>
      <c r="E3992" s="9" t="s">
        <v>13284</v>
      </c>
      <c r="F3992" s="9" t="s">
        <v>13284</v>
      </c>
      <c r="G3992" s="9" t="s">
        <v>13284</v>
      </c>
      <c r="H3992" s="9" t="s">
        <v>13284</v>
      </c>
      <c r="I3992" s="9" t="s">
        <v>13284</v>
      </c>
      <c r="J3992" s="9" t="s">
        <v>13284</v>
      </c>
      <c r="K3992" s="9" t="s">
        <v>13284</v>
      </c>
      <c r="L3992" s="9" t="s">
        <v>13284</v>
      </c>
      <c r="M3992" s="9" t="s">
        <v>13284</v>
      </c>
      <c r="N3992" s="9" t="s">
        <v>13284</v>
      </c>
      <c r="O3992" s="9" t="s">
        <v>13284</v>
      </c>
      <c r="P3992" s="9" t="s">
        <v>13284</v>
      </c>
      <c r="Q3992" s="9" t="s">
        <v>13284</v>
      </c>
      <c r="R3992" s="9" t="s">
        <v>13284</v>
      </c>
      <c r="S3992" s="9" t="s">
        <v>13284</v>
      </c>
      <c r="T3992" s="9" t="str">
        <f ca="1">IFERROR(IF(AND(VLOOKUP(A3992, 'Актуальное состояние (из общего'!A:C,3,0) = "", A3992 &lt;&gt; ""), "ПРОВЕРИТЬ", VLOOKUP(A3992, 'Актуальное состояние (из общего'!A:C,3,0)), "")</f>
        <v/>
      </c>
      <c r="U3992" s="9" t="s">
        <v>13284</v>
      </c>
      <c r="V3992" s="9" t="s">
        <v>13284</v>
      </c>
      <c r="W3992" s="12"/>
      <c r="X3992" s="9" t="str">
        <f t="array" ref="X3992">IFERROR(INDEX('Адреса общежитий (скрытый)'!$B$2:$B$9, MATCH(W3992, 'Адреса общежитий (скрытый)'!$A$2:$A$9, 0)), "")</f>
        <v/>
      </c>
      <c r="Y3992" s="18"/>
      <c r="Z3992" s="18"/>
      <c r="AA3992" s="18"/>
      <c r="AB3992" s="18"/>
      <c r="AC3992" s="18"/>
    </row>
    <row r="3993" spans="1:29" ht="32.25" hidden="1" customHeight="1">
      <c r="A3993" s="17"/>
      <c r="B3993" s="9" t="s">
        <v>13284</v>
      </c>
      <c r="C3993" s="9" t="s">
        <v>13284</v>
      </c>
      <c r="D3993" s="9" t="s">
        <v>13284</v>
      </c>
      <c r="E3993" s="9" t="s">
        <v>13284</v>
      </c>
      <c r="F3993" s="9" t="s">
        <v>13284</v>
      </c>
      <c r="G3993" s="9" t="s">
        <v>13284</v>
      </c>
      <c r="H3993" s="9" t="s">
        <v>13284</v>
      </c>
      <c r="I3993" s="9" t="s">
        <v>13284</v>
      </c>
      <c r="J3993" s="9" t="s">
        <v>13284</v>
      </c>
      <c r="K3993" s="9" t="s">
        <v>13284</v>
      </c>
      <c r="L3993" s="9" t="s">
        <v>13284</v>
      </c>
      <c r="M3993" s="9" t="s">
        <v>13284</v>
      </c>
      <c r="N3993" s="9" t="s">
        <v>13284</v>
      </c>
      <c r="O3993" s="9" t="s">
        <v>13284</v>
      </c>
      <c r="P3993" s="9" t="s">
        <v>13284</v>
      </c>
      <c r="Q3993" s="9" t="s">
        <v>13284</v>
      </c>
      <c r="R3993" s="9" t="s">
        <v>13284</v>
      </c>
      <c r="S3993" s="9" t="s">
        <v>13284</v>
      </c>
      <c r="T3993" s="9" t="str">
        <f ca="1">IFERROR(IF(AND(VLOOKUP(A3993, 'Актуальное состояние (из общего'!A:C,3,0) = "", A3993 &lt;&gt; ""), "ПРОВЕРИТЬ", VLOOKUP(A3993, 'Актуальное состояние (из общего'!A:C,3,0)), "")</f>
        <v/>
      </c>
      <c r="U3993" s="9" t="s">
        <v>13284</v>
      </c>
      <c r="V3993" s="9" t="s">
        <v>13284</v>
      </c>
      <c r="W3993" s="12"/>
      <c r="X3993" s="9" t="str">
        <f t="array" ref="X3993">IFERROR(INDEX('Адреса общежитий (скрытый)'!$B$2:$B$9, MATCH(W3993, 'Адреса общежитий (скрытый)'!$A$2:$A$9, 0)), "")</f>
        <v/>
      </c>
      <c r="Y3993" s="18"/>
      <c r="Z3993" s="18"/>
      <c r="AA3993" s="18"/>
      <c r="AB3993" s="18"/>
      <c r="AC3993" s="18"/>
    </row>
    <row r="3994" spans="1:29" ht="32.25" hidden="1" customHeight="1">
      <c r="A3994" s="17"/>
      <c r="B3994" s="9" t="s">
        <v>13284</v>
      </c>
      <c r="C3994" s="9" t="s">
        <v>13284</v>
      </c>
      <c r="D3994" s="9" t="s">
        <v>13284</v>
      </c>
      <c r="E3994" s="9" t="s">
        <v>13284</v>
      </c>
      <c r="F3994" s="9" t="s">
        <v>13284</v>
      </c>
      <c r="G3994" s="9" t="s">
        <v>13284</v>
      </c>
      <c r="H3994" s="9" t="s">
        <v>13284</v>
      </c>
      <c r="I3994" s="9" t="s">
        <v>13284</v>
      </c>
      <c r="J3994" s="9" t="s">
        <v>13284</v>
      </c>
      <c r="K3994" s="9" t="s">
        <v>13284</v>
      </c>
      <c r="L3994" s="9" t="s">
        <v>13284</v>
      </c>
      <c r="M3994" s="9" t="s">
        <v>13284</v>
      </c>
      <c r="N3994" s="9" t="s">
        <v>13284</v>
      </c>
      <c r="O3994" s="9" t="s">
        <v>13284</v>
      </c>
      <c r="P3994" s="9" t="s">
        <v>13284</v>
      </c>
      <c r="Q3994" s="9" t="s">
        <v>13284</v>
      </c>
      <c r="R3994" s="9" t="s">
        <v>13284</v>
      </c>
      <c r="S3994" s="9" t="s">
        <v>13284</v>
      </c>
      <c r="T3994" s="9" t="str">
        <f ca="1">IFERROR(IF(AND(VLOOKUP(A3994, 'Актуальное состояние (из общего'!A:C,3,0) = "", A3994 &lt;&gt; ""), "ПРОВЕРИТЬ", VLOOKUP(A3994, 'Актуальное состояние (из общего'!A:C,3,0)), "")</f>
        <v/>
      </c>
      <c r="U3994" s="9" t="s">
        <v>13284</v>
      </c>
      <c r="V3994" s="9" t="s">
        <v>13284</v>
      </c>
      <c r="W3994" s="12"/>
      <c r="X3994" s="9" t="str">
        <f t="array" ref="X3994">IFERROR(INDEX('Адреса общежитий (скрытый)'!$B$2:$B$9, MATCH(W3994, 'Адреса общежитий (скрытый)'!$A$2:$A$9, 0)), "")</f>
        <v/>
      </c>
      <c r="Y3994" s="18"/>
      <c r="Z3994" s="18"/>
      <c r="AA3994" s="18"/>
      <c r="AB3994" s="18"/>
      <c r="AC3994" s="18"/>
    </row>
    <row r="3995" spans="1:29" ht="32.25" hidden="1" customHeight="1">
      <c r="A3995" s="17"/>
      <c r="B3995" s="9" t="s">
        <v>13284</v>
      </c>
      <c r="C3995" s="9" t="s">
        <v>13284</v>
      </c>
      <c r="D3995" s="9" t="s">
        <v>13284</v>
      </c>
      <c r="E3995" s="9" t="s">
        <v>13284</v>
      </c>
      <c r="F3995" s="9" t="s">
        <v>13284</v>
      </c>
      <c r="G3995" s="9" t="s">
        <v>13284</v>
      </c>
      <c r="H3995" s="9" t="s">
        <v>13284</v>
      </c>
      <c r="I3995" s="9" t="s">
        <v>13284</v>
      </c>
      <c r="J3995" s="9" t="s">
        <v>13284</v>
      </c>
      <c r="K3995" s="9" t="s">
        <v>13284</v>
      </c>
      <c r="L3995" s="9" t="s">
        <v>13284</v>
      </c>
      <c r="M3995" s="9" t="s">
        <v>13284</v>
      </c>
      <c r="N3995" s="9" t="s">
        <v>13284</v>
      </c>
      <c r="O3995" s="9" t="s">
        <v>13284</v>
      </c>
      <c r="P3995" s="9" t="s">
        <v>13284</v>
      </c>
      <c r="Q3995" s="9" t="s">
        <v>13284</v>
      </c>
      <c r="R3995" s="9" t="s">
        <v>13284</v>
      </c>
      <c r="S3995" s="9" t="s">
        <v>13284</v>
      </c>
      <c r="T3995" s="9" t="str">
        <f ca="1">IFERROR(IF(AND(VLOOKUP(A3995, 'Актуальное состояние (из общего'!A:C,3,0) = "", A3995 &lt;&gt; ""), "ПРОВЕРИТЬ", VLOOKUP(A3995, 'Актуальное состояние (из общего'!A:C,3,0)), "")</f>
        <v/>
      </c>
      <c r="U3995" s="9" t="s">
        <v>13284</v>
      </c>
      <c r="V3995" s="9" t="s">
        <v>13284</v>
      </c>
      <c r="W3995" s="12"/>
      <c r="X3995" s="9" t="str">
        <f t="array" ref="X3995">IFERROR(INDEX('Адреса общежитий (скрытый)'!$B$2:$B$9, MATCH(W3995, 'Адреса общежитий (скрытый)'!$A$2:$A$9, 0)), "")</f>
        <v/>
      </c>
      <c r="Y3995" s="18"/>
      <c r="Z3995" s="18"/>
      <c r="AA3995" s="18"/>
      <c r="AB3995" s="18"/>
      <c r="AC3995" s="18"/>
    </row>
    <row r="3996" spans="1:29" ht="32.25" hidden="1" customHeight="1">
      <c r="A3996" s="17"/>
      <c r="B3996" s="9" t="s">
        <v>13284</v>
      </c>
      <c r="C3996" s="9" t="s">
        <v>13284</v>
      </c>
      <c r="D3996" s="9" t="s">
        <v>13284</v>
      </c>
      <c r="E3996" s="9" t="s">
        <v>13284</v>
      </c>
      <c r="F3996" s="9" t="s">
        <v>13284</v>
      </c>
      <c r="G3996" s="9" t="s">
        <v>13284</v>
      </c>
      <c r="H3996" s="9" t="s">
        <v>13284</v>
      </c>
      <c r="I3996" s="9" t="s">
        <v>13284</v>
      </c>
      <c r="J3996" s="9" t="s">
        <v>13284</v>
      </c>
      <c r="K3996" s="9" t="s">
        <v>13284</v>
      </c>
      <c r="L3996" s="9" t="s">
        <v>13284</v>
      </c>
      <c r="M3996" s="9" t="s">
        <v>13284</v>
      </c>
      <c r="N3996" s="9" t="s">
        <v>13284</v>
      </c>
      <c r="O3996" s="9" t="s">
        <v>13284</v>
      </c>
      <c r="P3996" s="9" t="s">
        <v>13284</v>
      </c>
      <c r="Q3996" s="9" t="s">
        <v>13284</v>
      </c>
      <c r="R3996" s="9" t="s">
        <v>13284</v>
      </c>
      <c r="S3996" s="9" t="s">
        <v>13284</v>
      </c>
      <c r="T3996" s="9" t="str">
        <f ca="1">IFERROR(IF(AND(VLOOKUP(A3996, 'Актуальное состояние (из общего'!A:C,3,0) = "", A3996 &lt;&gt; ""), "ПРОВЕРИТЬ", VLOOKUP(A3996, 'Актуальное состояние (из общего'!A:C,3,0)), "")</f>
        <v/>
      </c>
      <c r="U3996" s="9" t="s">
        <v>13284</v>
      </c>
      <c r="V3996" s="9" t="s">
        <v>13284</v>
      </c>
      <c r="W3996" s="12"/>
      <c r="X3996" s="9" t="str">
        <f t="array" ref="X3996">IFERROR(INDEX('Адреса общежитий (скрытый)'!$B$2:$B$9, MATCH(W3996, 'Адреса общежитий (скрытый)'!$A$2:$A$9, 0)), "")</f>
        <v/>
      </c>
      <c r="Y3996" s="18"/>
      <c r="Z3996" s="18"/>
      <c r="AA3996" s="18"/>
      <c r="AB3996" s="18"/>
      <c r="AC3996" s="18"/>
    </row>
    <row r="3997" spans="1:29" ht="32.25" hidden="1" customHeight="1">
      <c r="A3997" s="17"/>
      <c r="B3997" s="9" t="s">
        <v>13284</v>
      </c>
      <c r="C3997" s="9" t="s">
        <v>13284</v>
      </c>
      <c r="D3997" s="9" t="s">
        <v>13284</v>
      </c>
      <c r="E3997" s="9" t="s">
        <v>13284</v>
      </c>
      <c r="F3997" s="9" t="s">
        <v>13284</v>
      </c>
      <c r="G3997" s="9" t="s">
        <v>13284</v>
      </c>
      <c r="H3997" s="9" t="s">
        <v>13284</v>
      </c>
      <c r="I3997" s="9" t="s">
        <v>13284</v>
      </c>
      <c r="J3997" s="9" t="s">
        <v>13284</v>
      </c>
      <c r="K3997" s="9" t="s">
        <v>13284</v>
      </c>
      <c r="L3997" s="9" t="s">
        <v>13284</v>
      </c>
      <c r="M3997" s="9" t="s">
        <v>13284</v>
      </c>
      <c r="N3997" s="9" t="s">
        <v>13284</v>
      </c>
      <c r="O3997" s="9" t="s">
        <v>13284</v>
      </c>
      <c r="P3997" s="9" t="s">
        <v>13284</v>
      </c>
      <c r="Q3997" s="9" t="s">
        <v>13284</v>
      </c>
      <c r="R3997" s="9" t="s">
        <v>13284</v>
      </c>
      <c r="S3997" s="9" t="s">
        <v>13284</v>
      </c>
      <c r="T3997" s="9" t="str">
        <f ca="1">IFERROR(IF(AND(VLOOKUP(A3997, 'Актуальное состояние (из общего'!A:C,3,0) = "", A3997 &lt;&gt; ""), "ПРОВЕРИТЬ", VLOOKUP(A3997, 'Актуальное состояние (из общего'!A:C,3,0)), "")</f>
        <v/>
      </c>
      <c r="U3997" s="9" t="s">
        <v>13284</v>
      </c>
      <c r="V3997" s="9" t="s">
        <v>13284</v>
      </c>
      <c r="W3997" s="12"/>
      <c r="X3997" s="9" t="str">
        <f t="array" ref="X3997">IFERROR(INDEX('Адреса общежитий (скрытый)'!$B$2:$B$9, MATCH(W3997, 'Адреса общежитий (скрытый)'!$A$2:$A$9, 0)), "")</f>
        <v/>
      </c>
      <c r="Y3997" s="18"/>
      <c r="Z3997" s="18"/>
      <c r="AA3997" s="18"/>
      <c r="AB3997" s="18"/>
      <c r="AC3997" s="18"/>
    </row>
    <row r="3998" spans="1:29" ht="32.25" hidden="1" customHeight="1">
      <c r="A3998" s="17"/>
      <c r="B3998" s="9" t="s">
        <v>13284</v>
      </c>
      <c r="C3998" s="9" t="s">
        <v>13284</v>
      </c>
      <c r="D3998" s="9" t="s">
        <v>13284</v>
      </c>
      <c r="E3998" s="9" t="s">
        <v>13284</v>
      </c>
      <c r="F3998" s="9" t="s">
        <v>13284</v>
      </c>
      <c r="G3998" s="9" t="s">
        <v>13284</v>
      </c>
      <c r="H3998" s="9" t="s">
        <v>13284</v>
      </c>
      <c r="I3998" s="9" t="s">
        <v>13284</v>
      </c>
      <c r="J3998" s="9" t="s">
        <v>13284</v>
      </c>
      <c r="K3998" s="9" t="s">
        <v>13284</v>
      </c>
      <c r="L3998" s="9" t="s">
        <v>13284</v>
      </c>
      <c r="M3998" s="9" t="s">
        <v>13284</v>
      </c>
      <c r="N3998" s="9" t="s">
        <v>13284</v>
      </c>
      <c r="O3998" s="9" t="s">
        <v>13284</v>
      </c>
      <c r="P3998" s="9" t="s">
        <v>13284</v>
      </c>
      <c r="Q3998" s="9" t="s">
        <v>13284</v>
      </c>
      <c r="R3998" s="9" t="s">
        <v>13284</v>
      </c>
      <c r="S3998" s="9" t="s">
        <v>13284</v>
      </c>
      <c r="T3998" s="9" t="str">
        <f ca="1">IFERROR(IF(AND(VLOOKUP(A3998, 'Актуальное состояние (из общего'!A:C,3,0) = "", A3998 &lt;&gt; ""), "ПРОВЕРИТЬ", VLOOKUP(A3998, 'Актуальное состояние (из общего'!A:C,3,0)), "")</f>
        <v/>
      </c>
      <c r="U3998" s="9" t="s">
        <v>13284</v>
      </c>
      <c r="V3998" s="9" t="s">
        <v>13284</v>
      </c>
      <c r="W3998" s="12"/>
      <c r="X3998" s="9" t="str">
        <f t="array" ref="X3998">IFERROR(INDEX('Адреса общежитий (скрытый)'!$B$2:$B$9, MATCH(W3998, 'Адреса общежитий (скрытый)'!$A$2:$A$9, 0)), "")</f>
        <v/>
      </c>
      <c r="Y3998" s="18"/>
      <c r="Z3998" s="18"/>
      <c r="AA3998" s="18"/>
      <c r="AB3998" s="18"/>
      <c r="AC3998" s="18"/>
    </row>
    <row r="3999" spans="1:29" ht="32.25" hidden="1" customHeight="1">
      <c r="A3999" s="17"/>
      <c r="B3999" s="9" t="s">
        <v>13284</v>
      </c>
      <c r="C3999" s="9" t="s">
        <v>13284</v>
      </c>
      <c r="D3999" s="9" t="s">
        <v>13284</v>
      </c>
      <c r="E3999" s="9" t="s">
        <v>13284</v>
      </c>
      <c r="F3999" s="9" t="s">
        <v>13284</v>
      </c>
      <c r="G3999" s="9" t="s">
        <v>13284</v>
      </c>
      <c r="H3999" s="9" t="s">
        <v>13284</v>
      </c>
      <c r="I3999" s="9" t="s">
        <v>13284</v>
      </c>
      <c r="J3999" s="9" t="s">
        <v>13284</v>
      </c>
      <c r="K3999" s="9" t="s">
        <v>13284</v>
      </c>
      <c r="L3999" s="9" t="s">
        <v>13284</v>
      </c>
      <c r="M3999" s="9" t="s">
        <v>13284</v>
      </c>
      <c r="N3999" s="9" t="s">
        <v>13284</v>
      </c>
      <c r="O3999" s="9" t="s">
        <v>13284</v>
      </c>
      <c r="P3999" s="9" t="s">
        <v>13284</v>
      </c>
      <c r="Q3999" s="9" t="s">
        <v>13284</v>
      </c>
      <c r="R3999" s="9" t="s">
        <v>13284</v>
      </c>
      <c r="S3999" s="9" t="s">
        <v>13284</v>
      </c>
      <c r="T3999" s="9" t="str">
        <f ca="1">IFERROR(IF(AND(VLOOKUP(A3999, 'Актуальное состояние (из общего'!A:C,3,0) = "", A3999 &lt;&gt; ""), "ПРОВЕРИТЬ", VLOOKUP(A3999, 'Актуальное состояние (из общего'!A:C,3,0)), "")</f>
        <v/>
      </c>
      <c r="U3999" s="9" t="s">
        <v>13284</v>
      </c>
      <c r="V3999" s="9" t="s">
        <v>13284</v>
      </c>
      <c r="W3999" s="12"/>
      <c r="X3999" s="9" t="str">
        <f t="array" ref="X3999">IFERROR(INDEX('Адреса общежитий (скрытый)'!$B$2:$B$9, MATCH(W3999, 'Адреса общежитий (скрытый)'!$A$2:$A$9, 0)), "")</f>
        <v/>
      </c>
      <c r="Y3999" s="18"/>
      <c r="Z3999" s="18"/>
      <c r="AA3999" s="18"/>
      <c r="AB3999" s="18"/>
      <c r="AC3999" s="18"/>
    </row>
    <row r="4000" spans="1:29" ht="32.25" hidden="1" customHeight="1">
      <c r="A4000" s="17"/>
      <c r="B4000" s="9" t="s">
        <v>13284</v>
      </c>
      <c r="C4000" s="9" t="s">
        <v>13284</v>
      </c>
      <c r="D4000" s="9" t="s">
        <v>13284</v>
      </c>
      <c r="E4000" s="9" t="s">
        <v>13284</v>
      </c>
      <c r="F4000" s="9" t="s">
        <v>13284</v>
      </c>
      <c r="G4000" s="9" t="s">
        <v>13284</v>
      </c>
      <c r="H4000" s="9" t="s">
        <v>13284</v>
      </c>
      <c r="I4000" s="9" t="s">
        <v>13284</v>
      </c>
      <c r="J4000" s="9" t="s">
        <v>13284</v>
      </c>
      <c r="K4000" s="9" t="s">
        <v>13284</v>
      </c>
      <c r="L4000" s="9" t="s">
        <v>13284</v>
      </c>
      <c r="M4000" s="9" t="s">
        <v>13284</v>
      </c>
      <c r="N4000" s="9" t="s">
        <v>13284</v>
      </c>
      <c r="O4000" s="9" t="s">
        <v>13284</v>
      </c>
      <c r="P4000" s="9" t="s">
        <v>13284</v>
      </c>
      <c r="Q4000" s="9" t="s">
        <v>13284</v>
      </c>
      <c r="R4000" s="9" t="s">
        <v>13284</v>
      </c>
      <c r="S4000" s="9" t="s">
        <v>13284</v>
      </c>
      <c r="T4000" s="9" t="str">
        <f ca="1">IFERROR(IF(AND(VLOOKUP(A4000, 'Актуальное состояние (из общего'!A:C,3,0) = "", A4000 &lt;&gt; ""), "ПРОВЕРИТЬ", VLOOKUP(A4000, 'Актуальное состояние (из общего'!A:C,3,0)), "")</f>
        <v/>
      </c>
      <c r="U4000" s="9" t="s">
        <v>13284</v>
      </c>
      <c r="V4000" s="9" t="s">
        <v>13284</v>
      </c>
      <c r="W4000" s="12"/>
      <c r="X4000" s="9" t="str">
        <f t="array" ref="X4000">IFERROR(INDEX('Адреса общежитий (скрытый)'!$B$2:$B$9, MATCH(W4000, 'Адреса общежитий (скрытый)'!$A$2:$A$9, 0)), "")</f>
        <v/>
      </c>
      <c r="Y4000" s="18"/>
      <c r="Z4000" s="18"/>
      <c r="AA4000" s="18"/>
      <c r="AB4000" s="18"/>
      <c r="AC4000" s="18"/>
    </row>
    <row r="4001" spans="1:29" ht="32.25" hidden="1" customHeight="1">
      <c r="A4001" s="17"/>
      <c r="B4001" s="9" t="s">
        <v>13284</v>
      </c>
      <c r="C4001" s="9" t="s">
        <v>13284</v>
      </c>
      <c r="D4001" s="9" t="s">
        <v>13284</v>
      </c>
      <c r="E4001" s="9" t="s">
        <v>13284</v>
      </c>
      <c r="F4001" s="9" t="s">
        <v>13284</v>
      </c>
      <c r="G4001" s="9" t="s">
        <v>13284</v>
      </c>
      <c r="H4001" s="9" t="s">
        <v>13284</v>
      </c>
      <c r="I4001" s="9" t="s">
        <v>13284</v>
      </c>
      <c r="J4001" s="9" t="s">
        <v>13284</v>
      </c>
      <c r="K4001" s="9" t="s">
        <v>13284</v>
      </c>
      <c r="L4001" s="9" t="s">
        <v>13284</v>
      </c>
      <c r="M4001" s="9" t="s">
        <v>13284</v>
      </c>
      <c r="N4001" s="9" t="s">
        <v>13284</v>
      </c>
      <c r="O4001" s="9" t="s">
        <v>13284</v>
      </c>
      <c r="P4001" s="9" t="s">
        <v>13284</v>
      </c>
      <c r="Q4001" s="9" t="s">
        <v>13284</v>
      </c>
      <c r="R4001" s="9" t="s">
        <v>13284</v>
      </c>
      <c r="S4001" s="9" t="s">
        <v>13284</v>
      </c>
      <c r="T4001" s="9" t="str">
        <f ca="1">IFERROR(IF(AND(VLOOKUP(A4001, 'Актуальное состояние (из общего'!A:C,3,0) = "", A4001 &lt;&gt; ""), "ПРОВЕРИТЬ", VLOOKUP(A4001, 'Актуальное состояние (из общего'!A:C,3,0)), "")</f>
        <v/>
      </c>
      <c r="U4001" s="9" t="s">
        <v>13284</v>
      </c>
      <c r="V4001" s="9" t="s">
        <v>13284</v>
      </c>
      <c r="W4001" s="12"/>
      <c r="X4001" s="9" t="str">
        <f t="array" ref="X4001">IFERROR(INDEX('Адреса общежитий (скрытый)'!$B$2:$B$9, MATCH(W4001, 'Адреса общежитий (скрытый)'!$A$2:$A$9, 0)), "")</f>
        <v/>
      </c>
      <c r="Y4001" s="18"/>
      <c r="Z4001" s="18"/>
      <c r="AA4001" s="18"/>
      <c r="AB4001" s="18"/>
      <c r="AC4001" s="18"/>
    </row>
    <row r="4002" spans="1:29" ht="32.25" hidden="1" customHeight="1">
      <c r="A4002" s="17"/>
      <c r="B4002" s="9" t="s">
        <v>13284</v>
      </c>
      <c r="C4002" s="9" t="s">
        <v>13284</v>
      </c>
      <c r="D4002" s="9" t="s">
        <v>13284</v>
      </c>
      <c r="E4002" s="9" t="s">
        <v>13284</v>
      </c>
      <c r="F4002" s="9" t="s">
        <v>13284</v>
      </c>
      <c r="G4002" s="9" t="s">
        <v>13284</v>
      </c>
      <c r="H4002" s="9" t="s">
        <v>13284</v>
      </c>
      <c r="I4002" s="9" t="s">
        <v>13284</v>
      </c>
      <c r="J4002" s="9" t="s">
        <v>13284</v>
      </c>
      <c r="K4002" s="9" t="s">
        <v>13284</v>
      </c>
      <c r="L4002" s="9" t="s">
        <v>13284</v>
      </c>
      <c r="M4002" s="9" t="s">
        <v>13284</v>
      </c>
      <c r="N4002" s="9" t="s">
        <v>13284</v>
      </c>
      <c r="O4002" s="9" t="s">
        <v>13284</v>
      </c>
      <c r="P4002" s="9" t="s">
        <v>13284</v>
      </c>
      <c r="Q4002" s="9" t="s">
        <v>13284</v>
      </c>
      <c r="R4002" s="9" t="s">
        <v>13284</v>
      </c>
      <c r="S4002" s="9" t="s">
        <v>13284</v>
      </c>
      <c r="T4002" s="9" t="str">
        <f ca="1">IFERROR(IF(AND(VLOOKUP(A4002, 'Актуальное состояние (из общего'!A:C,3,0) = "", A4002 &lt;&gt; ""), "ПРОВЕРИТЬ", VLOOKUP(A4002, 'Актуальное состояние (из общего'!A:C,3,0)), "")</f>
        <v/>
      </c>
      <c r="U4002" s="9" t="s">
        <v>13284</v>
      </c>
      <c r="V4002" s="9" t="s">
        <v>13284</v>
      </c>
      <c r="W4002" s="12"/>
      <c r="X4002" s="9" t="str">
        <f t="array" ref="X4002">IFERROR(INDEX('Адреса общежитий (скрытый)'!$B$2:$B$9, MATCH(W4002, 'Адреса общежитий (скрытый)'!$A$2:$A$9, 0)), "")</f>
        <v/>
      </c>
      <c r="Y4002" s="18"/>
      <c r="Z4002" s="18"/>
      <c r="AA4002" s="18"/>
      <c r="AB4002" s="18"/>
      <c r="AC4002" s="18"/>
    </row>
    <row r="4003" spans="1:29" ht="32.25" hidden="1" customHeight="1">
      <c r="A4003" s="17"/>
      <c r="B4003" s="9" t="s">
        <v>13284</v>
      </c>
      <c r="C4003" s="9" t="s">
        <v>13284</v>
      </c>
      <c r="D4003" s="9" t="s">
        <v>13284</v>
      </c>
      <c r="E4003" s="9" t="s">
        <v>13284</v>
      </c>
      <c r="F4003" s="9" t="s">
        <v>13284</v>
      </c>
      <c r="G4003" s="9" t="s">
        <v>13284</v>
      </c>
      <c r="H4003" s="9" t="s">
        <v>13284</v>
      </c>
      <c r="I4003" s="9" t="s">
        <v>13284</v>
      </c>
      <c r="J4003" s="9" t="s">
        <v>13284</v>
      </c>
      <c r="K4003" s="9" t="s">
        <v>13284</v>
      </c>
      <c r="L4003" s="9" t="s">
        <v>13284</v>
      </c>
      <c r="M4003" s="9" t="s">
        <v>13284</v>
      </c>
      <c r="N4003" s="9" t="s">
        <v>13284</v>
      </c>
      <c r="O4003" s="9" t="s">
        <v>13284</v>
      </c>
      <c r="P4003" s="9" t="s">
        <v>13284</v>
      </c>
      <c r="Q4003" s="9" t="s">
        <v>13284</v>
      </c>
      <c r="R4003" s="9" t="s">
        <v>13284</v>
      </c>
      <c r="S4003" s="9" t="s">
        <v>13284</v>
      </c>
      <c r="T4003" s="9" t="str">
        <f ca="1">IFERROR(IF(AND(VLOOKUP(A4003, 'Актуальное состояние (из общего'!A:C,3,0) = "", A4003 &lt;&gt; ""), "ПРОВЕРИТЬ", VLOOKUP(A4003, 'Актуальное состояние (из общего'!A:C,3,0)), "")</f>
        <v/>
      </c>
      <c r="U4003" s="9" t="s">
        <v>13284</v>
      </c>
      <c r="V4003" s="9" t="s">
        <v>13284</v>
      </c>
      <c r="W4003" s="12"/>
      <c r="X4003" s="9" t="str">
        <f t="array" ref="X4003">IFERROR(INDEX('Адреса общежитий (скрытый)'!$B$2:$B$9, MATCH(W4003, 'Адреса общежитий (скрытый)'!$A$2:$A$9, 0)), "")</f>
        <v/>
      </c>
      <c r="Y4003" s="18"/>
      <c r="Z4003" s="18"/>
      <c r="AA4003" s="18"/>
      <c r="AB4003" s="18"/>
      <c r="AC4003" s="18"/>
    </row>
    <row r="4004" spans="1:29" ht="32.25" hidden="1" customHeight="1">
      <c r="A4004" s="17"/>
      <c r="B4004" s="9" t="s">
        <v>13284</v>
      </c>
      <c r="C4004" s="9" t="s">
        <v>13284</v>
      </c>
      <c r="D4004" s="9" t="s">
        <v>13284</v>
      </c>
      <c r="E4004" s="9" t="s">
        <v>13284</v>
      </c>
      <c r="F4004" s="9" t="s">
        <v>13284</v>
      </c>
      <c r="G4004" s="9" t="s">
        <v>13284</v>
      </c>
      <c r="H4004" s="9" t="s">
        <v>13284</v>
      </c>
      <c r="I4004" s="9" t="s">
        <v>13284</v>
      </c>
      <c r="J4004" s="9" t="s">
        <v>13284</v>
      </c>
      <c r="K4004" s="9" t="s">
        <v>13284</v>
      </c>
      <c r="L4004" s="9" t="s">
        <v>13284</v>
      </c>
      <c r="M4004" s="9" t="s">
        <v>13284</v>
      </c>
      <c r="N4004" s="9" t="s">
        <v>13284</v>
      </c>
      <c r="O4004" s="9" t="s">
        <v>13284</v>
      </c>
      <c r="P4004" s="9" t="s">
        <v>13284</v>
      </c>
      <c r="Q4004" s="9" t="s">
        <v>13284</v>
      </c>
      <c r="R4004" s="9" t="s">
        <v>13284</v>
      </c>
      <c r="S4004" s="9" t="s">
        <v>13284</v>
      </c>
      <c r="T4004" s="9" t="str">
        <f ca="1">IFERROR(IF(AND(VLOOKUP(A4004, 'Актуальное состояние (из общего'!A:C,3,0) = "", A4004 &lt;&gt; ""), "ПРОВЕРИТЬ", VLOOKUP(A4004, 'Актуальное состояние (из общего'!A:C,3,0)), "")</f>
        <v/>
      </c>
      <c r="U4004" s="9" t="s">
        <v>13284</v>
      </c>
      <c r="V4004" s="9" t="s">
        <v>13284</v>
      </c>
      <c r="W4004" s="12"/>
      <c r="X4004" s="9" t="str">
        <f t="array" ref="X4004">IFERROR(INDEX('Адреса общежитий (скрытый)'!$B$2:$B$9, MATCH(W4004, 'Адреса общежитий (скрытый)'!$A$2:$A$9, 0)), "")</f>
        <v/>
      </c>
      <c r="Y4004" s="18"/>
      <c r="Z4004" s="18"/>
      <c r="AA4004" s="18"/>
      <c r="AB4004" s="18"/>
      <c r="AC4004" s="18"/>
    </row>
    <row r="4005" spans="1:29" ht="32.25" hidden="1" customHeight="1">
      <c r="A4005" s="17"/>
      <c r="B4005" s="9" t="s">
        <v>13284</v>
      </c>
      <c r="C4005" s="9" t="s">
        <v>13284</v>
      </c>
      <c r="D4005" s="9" t="s">
        <v>13284</v>
      </c>
      <c r="E4005" s="9" t="s">
        <v>13284</v>
      </c>
      <c r="F4005" s="9" t="s">
        <v>13284</v>
      </c>
      <c r="G4005" s="9" t="s">
        <v>13284</v>
      </c>
      <c r="H4005" s="9" t="s">
        <v>13284</v>
      </c>
      <c r="I4005" s="9" t="s">
        <v>13284</v>
      </c>
      <c r="J4005" s="9" t="s">
        <v>13284</v>
      </c>
      <c r="K4005" s="9" t="s">
        <v>13284</v>
      </c>
      <c r="L4005" s="9" t="s">
        <v>13284</v>
      </c>
      <c r="M4005" s="9" t="s">
        <v>13284</v>
      </c>
      <c r="N4005" s="9" t="s">
        <v>13284</v>
      </c>
      <c r="O4005" s="9" t="s">
        <v>13284</v>
      </c>
      <c r="P4005" s="9" t="s">
        <v>13284</v>
      </c>
      <c r="Q4005" s="9" t="s">
        <v>13284</v>
      </c>
      <c r="R4005" s="9" t="s">
        <v>13284</v>
      </c>
      <c r="S4005" s="9" t="s">
        <v>13284</v>
      </c>
      <c r="T4005" s="9" t="str">
        <f ca="1">IFERROR(IF(AND(VLOOKUP(A4005, 'Актуальное состояние (из общего'!A:C,3,0) = "", A4005 &lt;&gt; ""), "ПРОВЕРИТЬ", VLOOKUP(A4005, 'Актуальное состояние (из общего'!A:C,3,0)), "")</f>
        <v/>
      </c>
      <c r="U4005" s="9" t="s">
        <v>13284</v>
      </c>
      <c r="V4005" s="9" t="s">
        <v>13284</v>
      </c>
      <c r="W4005" s="12"/>
      <c r="X4005" s="9" t="str">
        <f t="array" ref="X4005">IFERROR(INDEX('Адреса общежитий (скрытый)'!$B$2:$B$9, MATCH(W4005, 'Адреса общежитий (скрытый)'!$A$2:$A$9, 0)), "")</f>
        <v/>
      </c>
      <c r="Y4005" s="18"/>
      <c r="Z4005" s="18"/>
      <c r="AA4005" s="18"/>
      <c r="AB4005" s="18"/>
      <c r="AC4005" s="18"/>
    </row>
    <row r="4006" spans="1:29" ht="32.25" hidden="1" customHeight="1">
      <c r="A4006" s="17"/>
      <c r="B4006" s="9" t="s">
        <v>13284</v>
      </c>
      <c r="C4006" s="9" t="s">
        <v>13284</v>
      </c>
      <c r="D4006" s="9" t="s">
        <v>13284</v>
      </c>
      <c r="E4006" s="9" t="s">
        <v>13284</v>
      </c>
      <c r="F4006" s="9" t="s">
        <v>13284</v>
      </c>
      <c r="G4006" s="9" t="s">
        <v>13284</v>
      </c>
      <c r="H4006" s="9" t="s">
        <v>13284</v>
      </c>
      <c r="I4006" s="9" t="s">
        <v>13284</v>
      </c>
      <c r="J4006" s="9" t="s">
        <v>13284</v>
      </c>
      <c r="K4006" s="9" t="s">
        <v>13284</v>
      </c>
      <c r="L4006" s="9" t="s">
        <v>13284</v>
      </c>
      <c r="M4006" s="9" t="s">
        <v>13284</v>
      </c>
      <c r="N4006" s="9" t="s">
        <v>13284</v>
      </c>
      <c r="O4006" s="9" t="s">
        <v>13284</v>
      </c>
      <c r="P4006" s="9" t="s">
        <v>13284</v>
      </c>
      <c r="Q4006" s="9" t="s">
        <v>13284</v>
      </c>
      <c r="R4006" s="9" t="s">
        <v>13284</v>
      </c>
      <c r="S4006" s="9" t="s">
        <v>13284</v>
      </c>
      <c r="T4006" s="9" t="str">
        <f ca="1">IFERROR(IF(AND(VLOOKUP(A4006, 'Актуальное состояние (из общего'!A:C,3,0) = "", A4006 &lt;&gt; ""), "ПРОВЕРИТЬ", VLOOKUP(A4006, 'Актуальное состояние (из общего'!A:C,3,0)), "")</f>
        <v/>
      </c>
      <c r="U4006" s="9" t="s">
        <v>13284</v>
      </c>
      <c r="V4006" s="9" t="s">
        <v>13284</v>
      </c>
      <c r="W4006" s="12"/>
      <c r="X4006" s="9" t="str">
        <f t="array" ref="X4006">IFERROR(INDEX('Адреса общежитий (скрытый)'!$B$2:$B$9, MATCH(W4006, 'Адреса общежитий (скрытый)'!$A$2:$A$9, 0)), "")</f>
        <v/>
      </c>
      <c r="Y4006" s="18"/>
      <c r="Z4006" s="18"/>
      <c r="AA4006" s="18"/>
      <c r="AB4006" s="18"/>
      <c r="AC4006" s="18"/>
    </row>
    <row r="4007" spans="1:29" ht="32.25" hidden="1" customHeight="1">
      <c r="A4007" s="17"/>
      <c r="B4007" s="9" t="s">
        <v>13284</v>
      </c>
      <c r="C4007" s="9" t="s">
        <v>13284</v>
      </c>
      <c r="D4007" s="9" t="s">
        <v>13284</v>
      </c>
      <c r="E4007" s="9" t="s">
        <v>13284</v>
      </c>
      <c r="F4007" s="9" t="s">
        <v>13284</v>
      </c>
      <c r="G4007" s="9" t="s">
        <v>13284</v>
      </c>
      <c r="H4007" s="9" t="s">
        <v>13284</v>
      </c>
      <c r="I4007" s="9" t="s">
        <v>13284</v>
      </c>
      <c r="J4007" s="9" t="s">
        <v>13284</v>
      </c>
      <c r="K4007" s="9" t="s">
        <v>13284</v>
      </c>
      <c r="L4007" s="9" t="s">
        <v>13284</v>
      </c>
      <c r="M4007" s="9" t="s">
        <v>13284</v>
      </c>
      <c r="N4007" s="9" t="s">
        <v>13284</v>
      </c>
      <c r="O4007" s="9" t="s">
        <v>13284</v>
      </c>
      <c r="P4007" s="9" t="s">
        <v>13284</v>
      </c>
      <c r="Q4007" s="9" t="s">
        <v>13284</v>
      </c>
      <c r="R4007" s="9" t="s">
        <v>13284</v>
      </c>
      <c r="S4007" s="9" t="s">
        <v>13284</v>
      </c>
      <c r="T4007" s="9" t="str">
        <f ca="1">IFERROR(IF(AND(VLOOKUP(A4007, 'Актуальное состояние (из общего'!A:C,3,0) = "", A4007 &lt;&gt; ""), "ПРОВЕРИТЬ", VLOOKUP(A4007, 'Актуальное состояние (из общего'!A:C,3,0)), "")</f>
        <v/>
      </c>
      <c r="U4007" s="9" t="s">
        <v>13284</v>
      </c>
      <c r="V4007" s="9" t="s">
        <v>13284</v>
      </c>
      <c r="W4007" s="12"/>
      <c r="X4007" s="9" t="str">
        <f t="array" ref="X4007">IFERROR(INDEX('Адреса общежитий (скрытый)'!$B$2:$B$9, MATCH(W4007, 'Адреса общежитий (скрытый)'!$A$2:$A$9, 0)), "")</f>
        <v/>
      </c>
      <c r="Y4007" s="18"/>
      <c r="Z4007" s="18"/>
      <c r="AA4007" s="18"/>
      <c r="AB4007" s="18"/>
      <c r="AC4007" s="18"/>
    </row>
    <row r="4008" spans="1:29" ht="32.25" hidden="1" customHeight="1">
      <c r="A4008" s="17"/>
      <c r="B4008" s="9" t="s">
        <v>13284</v>
      </c>
      <c r="C4008" s="9" t="s">
        <v>13284</v>
      </c>
      <c r="D4008" s="9" t="s">
        <v>13284</v>
      </c>
      <c r="E4008" s="9" t="s">
        <v>13284</v>
      </c>
      <c r="F4008" s="9" t="s">
        <v>13284</v>
      </c>
      <c r="G4008" s="9" t="s">
        <v>13284</v>
      </c>
      <c r="H4008" s="9" t="s">
        <v>13284</v>
      </c>
      <c r="I4008" s="9" t="s">
        <v>13284</v>
      </c>
      <c r="J4008" s="9" t="s">
        <v>13284</v>
      </c>
      <c r="K4008" s="9" t="s">
        <v>13284</v>
      </c>
      <c r="L4008" s="9" t="s">
        <v>13284</v>
      </c>
      <c r="M4008" s="9" t="s">
        <v>13284</v>
      </c>
      <c r="N4008" s="9" t="s">
        <v>13284</v>
      </c>
      <c r="O4008" s="9" t="s">
        <v>13284</v>
      </c>
      <c r="P4008" s="9" t="s">
        <v>13284</v>
      </c>
      <c r="Q4008" s="9" t="s">
        <v>13284</v>
      </c>
      <c r="R4008" s="9" t="s">
        <v>13284</v>
      </c>
      <c r="S4008" s="9" t="s">
        <v>13284</v>
      </c>
      <c r="T4008" s="9" t="str">
        <f ca="1">IFERROR(IF(AND(VLOOKUP(A4008, 'Актуальное состояние (из общего'!A:C,3,0) = "", A4008 &lt;&gt; ""), "ПРОВЕРИТЬ", VLOOKUP(A4008, 'Актуальное состояние (из общего'!A:C,3,0)), "")</f>
        <v/>
      </c>
      <c r="U4008" s="9" t="s">
        <v>13284</v>
      </c>
      <c r="V4008" s="9" t="s">
        <v>13284</v>
      </c>
      <c r="W4008" s="12"/>
      <c r="X4008" s="9" t="str">
        <f t="array" ref="X4008">IFERROR(INDEX('Адреса общежитий (скрытый)'!$B$2:$B$9, MATCH(W4008, 'Адреса общежитий (скрытый)'!$A$2:$A$9, 0)), "")</f>
        <v/>
      </c>
      <c r="Y4008" s="18"/>
      <c r="Z4008" s="18"/>
      <c r="AA4008" s="18"/>
      <c r="AB4008" s="18"/>
      <c r="AC4008" s="18"/>
    </row>
    <row r="4009" spans="1:29" ht="32.25" hidden="1" customHeight="1">
      <c r="A4009" s="17"/>
      <c r="B4009" s="9" t="s">
        <v>13284</v>
      </c>
      <c r="C4009" s="9" t="s">
        <v>13284</v>
      </c>
      <c r="D4009" s="9" t="s">
        <v>13284</v>
      </c>
      <c r="E4009" s="9" t="s">
        <v>13284</v>
      </c>
      <c r="F4009" s="9" t="s">
        <v>13284</v>
      </c>
      <c r="G4009" s="9" t="s">
        <v>13284</v>
      </c>
      <c r="H4009" s="9" t="s">
        <v>13284</v>
      </c>
      <c r="I4009" s="9" t="s">
        <v>13284</v>
      </c>
      <c r="J4009" s="9" t="s">
        <v>13284</v>
      </c>
      <c r="K4009" s="9" t="s">
        <v>13284</v>
      </c>
      <c r="L4009" s="9" t="s">
        <v>13284</v>
      </c>
      <c r="M4009" s="9" t="s">
        <v>13284</v>
      </c>
      <c r="N4009" s="9" t="s">
        <v>13284</v>
      </c>
      <c r="O4009" s="9" t="s">
        <v>13284</v>
      </c>
      <c r="P4009" s="9" t="s">
        <v>13284</v>
      </c>
      <c r="Q4009" s="9" t="s">
        <v>13284</v>
      </c>
      <c r="R4009" s="9" t="s">
        <v>13284</v>
      </c>
      <c r="S4009" s="9" t="s">
        <v>13284</v>
      </c>
      <c r="T4009" s="9" t="str">
        <f ca="1">IFERROR(IF(AND(VLOOKUP(A4009, 'Актуальное состояние (из общего'!A:C,3,0) = "", A4009 &lt;&gt; ""), "ПРОВЕРИТЬ", VLOOKUP(A4009, 'Актуальное состояние (из общего'!A:C,3,0)), "")</f>
        <v/>
      </c>
      <c r="U4009" s="9" t="s">
        <v>13284</v>
      </c>
      <c r="V4009" s="9" t="s">
        <v>13284</v>
      </c>
      <c r="W4009" s="12"/>
      <c r="X4009" s="9" t="str">
        <f t="array" ref="X4009">IFERROR(INDEX('Адреса общежитий (скрытый)'!$B$2:$B$9, MATCH(W4009, 'Адреса общежитий (скрытый)'!$A$2:$A$9, 0)), "")</f>
        <v/>
      </c>
      <c r="Y4009" s="18"/>
      <c r="Z4009" s="18"/>
      <c r="AA4009" s="18"/>
      <c r="AB4009" s="18"/>
      <c r="AC4009" s="18"/>
    </row>
    <row r="4010" spans="1:29" ht="32.25" hidden="1" customHeight="1">
      <c r="A4010" s="17"/>
      <c r="B4010" s="9" t="s">
        <v>13284</v>
      </c>
      <c r="C4010" s="9" t="s">
        <v>13284</v>
      </c>
      <c r="D4010" s="9" t="s">
        <v>13284</v>
      </c>
      <c r="E4010" s="9" t="s">
        <v>13284</v>
      </c>
      <c r="F4010" s="9" t="s">
        <v>13284</v>
      </c>
      <c r="G4010" s="9" t="s">
        <v>13284</v>
      </c>
      <c r="H4010" s="9" t="s">
        <v>13284</v>
      </c>
      <c r="I4010" s="9" t="s">
        <v>13284</v>
      </c>
      <c r="J4010" s="9" t="s">
        <v>13284</v>
      </c>
      <c r="K4010" s="9" t="s">
        <v>13284</v>
      </c>
      <c r="L4010" s="9" t="s">
        <v>13284</v>
      </c>
      <c r="M4010" s="9" t="s">
        <v>13284</v>
      </c>
      <c r="N4010" s="9" t="s">
        <v>13284</v>
      </c>
      <c r="O4010" s="9" t="s">
        <v>13284</v>
      </c>
      <c r="P4010" s="9" t="s">
        <v>13284</v>
      </c>
      <c r="Q4010" s="9" t="s">
        <v>13284</v>
      </c>
      <c r="R4010" s="9" t="s">
        <v>13284</v>
      </c>
      <c r="S4010" s="9" t="s">
        <v>13284</v>
      </c>
      <c r="T4010" s="9" t="str">
        <f ca="1">IFERROR(IF(AND(VLOOKUP(A4010, 'Актуальное состояние (из общего'!A:C,3,0) = "", A4010 &lt;&gt; ""), "ПРОВЕРИТЬ", VLOOKUP(A4010, 'Актуальное состояние (из общего'!A:C,3,0)), "")</f>
        <v/>
      </c>
      <c r="U4010" s="9" t="s">
        <v>13284</v>
      </c>
      <c r="V4010" s="9" t="s">
        <v>13284</v>
      </c>
      <c r="W4010" s="12"/>
      <c r="X4010" s="9" t="str">
        <f t="array" ref="X4010">IFERROR(INDEX('Адреса общежитий (скрытый)'!$B$2:$B$9, MATCH(W4010, 'Адреса общежитий (скрытый)'!$A$2:$A$9, 0)), "")</f>
        <v/>
      </c>
      <c r="Y4010" s="18"/>
      <c r="Z4010" s="18"/>
      <c r="AA4010" s="18"/>
      <c r="AB4010" s="18"/>
      <c r="AC4010" s="18"/>
    </row>
    <row r="4011" spans="1:29" ht="32.25" hidden="1" customHeight="1">
      <c r="A4011" s="17"/>
      <c r="B4011" s="9" t="s">
        <v>13284</v>
      </c>
      <c r="C4011" s="9" t="s">
        <v>13284</v>
      </c>
      <c r="D4011" s="9" t="s">
        <v>13284</v>
      </c>
      <c r="E4011" s="9" t="s">
        <v>13284</v>
      </c>
      <c r="F4011" s="9" t="s">
        <v>13284</v>
      </c>
      <c r="G4011" s="9" t="s">
        <v>13284</v>
      </c>
      <c r="H4011" s="9" t="s">
        <v>13284</v>
      </c>
      <c r="I4011" s="9" t="s">
        <v>13284</v>
      </c>
      <c r="J4011" s="9" t="s">
        <v>13284</v>
      </c>
      <c r="K4011" s="9" t="s">
        <v>13284</v>
      </c>
      <c r="L4011" s="9" t="s">
        <v>13284</v>
      </c>
      <c r="M4011" s="9" t="s">
        <v>13284</v>
      </c>
      <c r="N4011" s="9" t="s">
        <v>13284</v>
      </c>
      <c r="O4011" s="9" t="s">
        <v>13284</v>
      </c>
      <c r="P4011" s="9" t="s">
        <v>13284</v>
      </c>
      <c r="Q4011" s="9" t="s">
        <v>13284</v>
      </c>
      <c r="R4011" s="9" t="s">
        <v>13284</v>
      </c>
      <c r="S4011" s="9" t="s">
        <v>13284</v>
      </c>
      <c r="T4011" s="9" t="str">
        <f ca="1">IFERROR(IF(AND(VLOOKUP(A4011, 'Актуальное состояние (из общего'!A:C,3,0) = "", A4011 &lt;&gt; ""), "ПРОВЕРИТЬ", VLOOKUP(A4011, 'Актуальное состояние (из общего'!A:C,3,0)), "")</f>
        <v/>
      </c>
      <c r="U4011" s="9" t="s">
        <v>13284</v>
      </c>
      <c r="V4011" s="9" t="s">
        <v>13284</v>
      </c>
      <c r="W4011" s="12"/>
      <c r="X4011" s="9" t="str">
        <f t="array" ref="X4011">IFERROR(INDEX('Адреса общежитий (скрытый)'!$B$2:$B$9, MATCH(W4011, 'Адреса общежитий (скрытый)'!$A$2:$A$9, 0)), "")</f>
        <v/>
      </c>
      <c r="Y4011" s="18"/>
      <c r="Z4011" s="18"/>
      <c r="AA4011" s="18"/>
      <c r="AB4011" s="18"/>
      <c r="AC4011" s="18"/>
    </row>
    <row r="4012" spans="1:29" ht="32.25" hidden="1" customHeight="1">
      <c r="A4012" s="17"/>
      <c r="B4012" s="9" t="s">
        <v>13284</v>
      </c>
      <c r="C4012" s="9" t="s">
        <v>13284</v>
      </c>
      <c r="D4012" s="9" t="s">
        <v>13284</v>
      </c>
      <c r="E4012" s="9" t="s">
        <v>13284</v>
      </c>
      <c r="F4012" s="9" t="s">
        <v>13284</v>
      </c>
      <c r="G4012" s="9" t="s">
        <v>13284</v>
      </c>
      <c r="H4012" s="9" t="s">
        <v>13284</v>
      </c>
      <c r="I4012" s="9" t="s">
        <v>13284</v>
      </c>
      <c r="J4012" s="9" t="s">
        <v>13284</v>
      </c>
      <c r="K4012" s="9" t="s">
        <v>13284</v>
      </c>
      <c r="L4012" s="9" t="s">
        <v>13284</v>
      </c>
      <c r="M4012" s="9" t="s">
        <v>13284</v>
      </c>
      <c r="N4012" s="9" t="s">
        <v>13284</v>
      </c>
      <c r="O4012" s="9" t="s">
        <v>13284</v>
      </c>
      <c r="P4012" s="9" t="s">
        <v>13284</v>
      </c>
      <c r="Q4012" s="9" t="s">
        <v>13284</v>
      </c>
      <c r="R4012" s="9" t="s">
        <v>13284</v>
      </c>
      <c r="S4012" s="9" t="s">
        <v>13284</v>
      </c>
      <c r="T4012" s="9" t="str">
        <f ca="1">IFERROR(IF(AND(VLOOKUP(A4012, 'Актуальное состояние (из общего'!A:C,3,0) = "", A4012 &lt;&gt; ""), "ПРОВЕРИТЬ", VLOOKUP(A4012, 'Актуальное состояние (из общего'!A:C,3,0)), "")</f>
        <v/>
      </c>
      <c r="U4012" s="9" t="s">
        <v>13284</v>
      </c>
      <c r="V4012" s="9" t="s">
        <v>13284</v>
      </c>
      <c r="W4012" s="12"/>
      <c r="X4012" s="9" t="str">
        <f t="array" ref="X4012">IFERROR(INDEX('Адреса общежитий (скрытый)'!$B$2:$B$9, MATCH(W4012, 'Адреса общежитий (скрытый)'!$A$2:$A$9, 0)), "")</f>
        <v/>
      </c>
      <c r="Y4012" s="18"/>
      <c r="Z4012" s="18"/>
      <c r="AA4012" s="18"/>
      <c r="AB4012" s="18"/>
      <c r="AC4012" s="18"/>
    </row>
    <row r="4013" spans="1:29" ht="32.25" hidden="1" customHeight="1">
      <c r="A4013" s="17"/>
      <c r="B4013" s="9" t="s">
        <v>13284</v>
      </c>
      <c r="C4013" s="9" t="s">
        <v>13284</v>
      </c>
      <c r="D4013" s="9" t="s">
        <v>13284</v>
      </c>
      <c r="E4013" s="9" t="s">
        <v>13284</v>
      </c>
      <c r="F4013" s="9" t="s">
        <v>13284</v>
      </c>
      <c r="G4013" s="9" t="s">
        <v>13284</v>
      </c>
      <c r="H4013" s="9" t="s">
        <v>13284</v>
      </c>
      <c r="I4013" s="9" t="s">
        <v>13284</v>
      </c>
      <c r="J4013" s="9" t="s">
        <v>13284</v>
      </c>
      <c r="K4013" s="9" t="s">
        <v>13284</v>
      </c>
      <c r="L4013" s="9" t="s">
        <v>13284</v>
      </c>
      <c r="M4013" s="9" t="s">
        <v>13284</v>
      </c>
      <c r="N4013" s="9" t="s">
        <v>13284</v>
      </c>
      <c r="O4013" s="9" t="s">
        <v>13284</v>
      </c>
      <c r="P4013" s="9" t="s">
        <v>13284</v>
      </c>
      <c r="Q4013" s="9" t="s">
        <v>13284</v>
      </c>
      <c r="R4013" s="9" t="s">
        <v>13284</v>
      </c>
      <c r="S4013" s="9" t="s">
        <v>13284</v>
      </c>
      <c r="T4013" s="9" t="str">
        <f ca="1">IFERROR(IF(AND(VLOOKUP(A4013, 'Актуальное состояние (из общего'!A:C,3,0) = "", A4013 &lt;&gt; ""), "ПРОВЕРИТЬ", VLOOKUP(A4013, 'Актуальное состояние (из общего'!A:C,3,0)), "")</f>
        <v/>
      </c>
      <c r="U4013" s="9" t="s">
        <v>13284</v>
      </c>
      <c r="V4013" s="9" t="s">
        <v>13284</v>
      </c>
      <c r="W4013" s="12"/>
      <c r="X4013" s="9" t="str">
        <f t="array" ref="X4013">IFERROR(INDEX('Адреса общежитий (скрытый)'!$B$2:$B$9, MATCH(W4013, 'Адреса общежитий (скрытый)'!$A$2:$A$9, 0)), "")</f>
        <v/>
      </c>
      <c r="Y4013" s="18"/>
      <c r="Z4013" s="18"/>
      <c r="AA4013" s="18"/>
      <c r="AB4013" s="18"/>
      <c r="AC4013" s="18"/>
    </row>
    <row r="4014" spans="1:29" ht="32.25" hidden="1" customHeight="1">
      <c r="A4014" s="17"/>
      <c r="B4014" s="9" t="s">
        <v>13284</v>
      </c>
      <c r="C4014" s="9" t="s">
        <v>13284</v>
      </c>
      <c r="D4014" s="9" t="s">
        <v>13284</v>
      </c>
      <c r="E4014" s="9" t="s">
        <v>13284</v>
      </c>
      <c r="F4014" s="9" t="s">
        <v>13284</v>
      </c>
      <c r="G4014" s="9" t="s">
        <v>13284</v>
      </c>
      <c r="H4014" s="9" t="s">
        <v>13284</v>
      </c>
      <c r="I4014" s="9" t="s">
        <v>13284</v>
      </c>
      <c r="J4014" s="9" t="s">
        <v>13284</v>
      </c>
      <c r="K4014" s="9" t="s">
        <v>13284</v>
      </c>
      <c r="L4014" s="9" t="s">
        <v>13284</v>
      </c>
      <c r="M4014" s="9" t="s">
        <v>13284</v>
      </c>
      <c r="N4014" s="9" t="s">
        <v>13284</v>
      </c>
      <c r="O4014" s="9" t="s">
        <v>13284</v>
      </c>
      <c r="P4014" s="9" t="s">
        <v>13284</v>
      </c>
      <c r="Q4014" s="9" t="s">
        <v>13284</v>
      </c>
      <c r="R4014" s="9" t="s">
        <v>13284</v>
      </c>
      <c r="S4014" s="9" t="s">
        <v>13284</v>
      </c>
      <c r="T4014" s="9" t="str">
        <f ca="1">IFERROR(IF(AND(VLOOKUP(A4014, 'Актуальное состояние (из общего'!A:C,3,0) = "", A4014 &lt;&gt; ""), "ПРОВЕРИТЬ", VLOOKUP(A4014, 'Актуальное состояние (из общего'!A:C,3,0)), "")</f>
        <v/>
      </c>
      <c r="U4014" s="9" t="s">
        <v>13284</v>
      </c>
      <c r="V4014" s="9" t="s">
        <v>13284</v>
      </c>
      <c r="W4014" s="12"/>
      <c r="X4014" s="9" t="str">
        <f t="array" ref="X4014">IFERROR(INDEX('Адреса общежитий (скрытый)'!$B$2:$B$9, MATCH(W4014, 'Адреса общежитий (скрытый)'!$A$2:$A$9, 0)), "")</f>
        <v/>
      </c>
      <c r="Y4014" s="18"/>
      <c r="Z4014" s="18"/>
      <c r="AA4014" s="18"/>
      <c r="AB4014" s="18"/>
      <c r="AC4014" s="18"/>
    </row>
    <row r="4015" spans="1:29" ht="32.25" hidden="1" customHeight="1">
      <c r="A4015" s="17"/>
      <c r="B4015" s="9" t="s">
        <v>13284</v>
      </c>
      <c r="C4015" s="9" t="s">
        <v>13284</v>
      </c>
      <c r="D4015" s="9" t="s">
        <v>13284</v>
      </c>
      <c r="E4015" s="9" t="s">
        <v>13284</v>
      </c>
      <c r="F4015" s="9" t="s">
        <v>13284</v>
      </c>
      <c r="G4015" s="9" t="s">
        <v>13284</v>
      </c>
      <c r="H4015" s="9" t="s">
        <v>13284</v>
      </c>
      <c r="I4015" s="9" t="s">
        <v>13284</v>
      </c>
      <c r="J4015" s="9" t="s">
        <v>13284</v>
      </c>
      <c r="K4015" s="9" t="s">
        <v>13284</v>
      </c>
      <c r="L4015" s="9" t="s">
        <v>13284</v>
      </c>
      <c r="M4015" s="9" t="s">
        <v>13284</v>
      </c>
      <c r="N4015" s="9" t="s">
        <v>13284</v>
      </c>
      <c r="O4015" s="9" t="s">
        <v>13284</v>
      </c>
      <c r="P4015" s="9" t="s">
        <v>13284</v>
      </c>
      <c r="Q4015" s="9" t="s">
        <v>13284</v>
      </c>
      <c r="R4015" s="9" t="s">
        <v>13284</v>
      </c>
      <c r="S4015" s="9" t="s">
        <v>13284</v>
      </c>
      <c r="T4015" s="9" t="str">
        <f ca="1">IFERROR(IF(AND(VLOOKUP(A4015, 'Актуальное состояние (из общего'!A:C,3,0) = "", A4015 &lt;&gt; ""), "ПРОВЕРИТЬ", VLOOKUP(A4015, 'Актуальное состояние (из общего'!A:C,3,0)), "")</f>
        <v/>
      </c>
      <c r="U4015" s="9" t="s">
        <v>13284</v>
      </c>
      <c r="V4015" s="9" t="s">
        <v>13284</v>
      </c>
      <c r="W4015" s="12"/>
      <c r="X4015" s="9" t="str">
        <f t="array" ref="X4015">IFERROR(INDEX('Адреса общежитий (скрытый)'!$B$2:$B$9, MATCH(W4015, 'Адреса общежитий (скрытый)'!$A$2:$A$9, 0)), "")</f>
        <v/>
      </c>
      <c r="Y4015" s="18"/>
      <c r="Z4015" s="18"/>
      <c r="AA4015" s="18"/>
      <c r="AB4015" s="18"/>
      <c r="AC4015" s="18"/>
    </row>
    <row r="4016" spans="1:29" ht="32.25" hidden="1" customHeight="1">
      <c r="A4016" s="17"/>
      <c r="B4016" s="9" t="s">
        <v>13284</v>
      </c>
      <c r="C4016" s="9" t="s">
        <v>13284</v>
      </c>
      <c r="D4016" s="9" t="s">
        <v>13284</v>
      </c>
      <c r="E4016" s="9" t="s">
        <v>13284</v>
      </c>
      <c r="F4016" s="9" t="s">
        <v>13284</v>
      </c>
      <c r="G4016" s="9" t="s">
        <v>13284</v>
      </c>
      <c r="H4016" s="9" t="s">
        <v>13284</v>
      </c>
      <c r="I4016" s="9" t="s">
        <v>13284</v>
      </c>
      <c r="J4016" s="9" t="s">
        <v>13284</v>
      </c>
      <c r="K4016" s="9" t="s">
        <v>13284</v>
      </c>
      <c r="L4016" s="9" t="s">
        <v>13284</v>
      </c>
      <c r="M4016" s="9" t="s">
        <v>13284</v>
      </c>
      <c r="N4016" s="9" t="s">
        <v>13284</v>
      </c>
      <c r="O4016" s="9" t="s">
        <v>13284</v>
      </c>
      <c r="P4016" s="9" t="s">
        <v>13284</v>
      </c>
      <c r="Q4016" s="9" t="s">
        <v>13284</v>
      </c>
      <c r="R4016" s="9" t="s">
        <v>13284</v>
      </c>
      <c r="S4016" s="9" t="s">
        <v>13284</v>
      </c>
      <c r="T4016" s="9" t="str">
        <f ca="1">IFERROR(IF(AND(VLOOKUP(A4016, 'Актуальное состояние (из общего'!A:C,3,0) = "", A4016 &lt;&gt; ""), "ПРОВЕРИТЬ", VLOOKUP(A4016, 'Актуальное состояние (из общего'!A:C,3,0)), "")</f>
        <v/>
      </c>
      <c r="U4016" s="9" t="s">
        <v>13284</v>
      </c>
      <c r="V4016" s="9" t="s">
        <v>13284</v>
      </c>
      <c r="W4016" s="12"/>
      <c r="X4016" s="9" t="str">
        <f t="array" ref="X4016">IFERROR(INDEX('Адреса общежитий (скрытый)'!$B$2:$B$9, MATCH(W4016, 'Адреса общежитий (скрытый)'!$A$2:$A$9, 0)), "")</f>
        <v/>
      </c>
      <c r="Y4016" s="18"/>
      <c r="Z4016" s="18"/>
      <c r="AA4016" s="18"/>
      <c r="AB4016" s="18"/>
      <c r="AC4016" s="18"/>
    </row>
    <row r="4017" spans="1:29" ht="32.25" hidden="1" customHeight="1">
      <c r="A4017" s="17"/>
      <c r="B4017" s="9" t="s">
        <v>13284</v>
      </c>
      <c r="C4017" s="9" t="s">
        <v>13284</v>
      </c>
      <c r="D4017" s="9" t="s">
        <v>13284</v>
      </c>
      <c r="E4017" s="9" t="s">
        <v>13284</v>
      </c>
      <c r="F4017" s="9" t="s">
        <v>13284</v>
      </c>
      <c r="G4017" s="9" t="s">
        <v>13284</v>
      </c>
      <c r="H4017" s="9" t="s">
        <v>13284</v>
      </c>
      <c r="I4017" s="9" t="s">
        <v>13284</v>
      </c>
      <c r="J4017" s="9" t="s">
        <v>13284</v>
      </c>
      <c r="K4017" s="9" t="s">
        <v>13284</v>
      </c>
      <c r="L4017" s="9" t="s">
        <v>13284</v>
      </c>
      <c r="M4017" s="9" t="s">
        <v>13284</v>
      </c>
      <c r="N4017" s="9" t="s">
        <v>13284</v>
      </c>
      <c r="O4017" s="9" t="s">
        <v>13284</v>
      </c>
      <c r="P4017" s="9" t="s">
        <v>13284</v>
      </c>
      <c r="Q4017" s="9" t="s">
        <v>13284</v>
      </c>
      <c r="R4017" s="9" t="s">
        <v>13284</v>
      </c>
      <c r="S4017" s="9" t="s">
        <v>13284</v>
      </c>
      <c r="T4017" s="9" t="str">
        <f ca="1">IFERROR(IF(AND(VLOOKUP(A4017, 'Актуальное состояние (из общего'!A:C,3,0) = "", A4017 &lt;&gt; ""), "ПРОВЕРИТЬ", VLOOKUP(A4017, 'Актуальное состояние (из общего'!A:C,3,0)), "")</f>
        <v/>
      </c>
      <c r="U4017" s="9" t="s">
        <v>13284</v>
      </c>
      <c r="V4017" s="9" t="s">
        <v>13284</v>
      </c>
      <c r="W4017" s="12"/>
      <c r="X4017" s="9" t="str">
        <f t="array" ref="X4017">IFERROR(INDEX('Адреса общежитий (скрытый)'!$B$2:$B$9, MATCH(W4017, 'Адреса общежитий (скрытый)'!$A$2:$A$9, 0)), "")</f>
        <v/>
      </c>
      <c r="Y4017" s="18"/>
      <c r="Z4017" s="18"/>
      <c r="AA4017" s="18"/>
      <c r="AB4017" s="18"/>
      <c r="AC4017" s="18"/>
    </row>
    <row r="4018" spans="1:29" ht="32.25" hidden="1" customHeight="1">
      <c r="A4018" s="17"/>
      <c r="B4018" s="9" t="s">
        <v>13284</v>
      </c>
      <c r="C4018" s="9" t="s">
        <v>13284</v>
      </c>
      <c r="D4018" s="9" t="s">
        <v>13284</v>
      </c>
      <c r="E4018" s="9" t="s">
        <v>13284</v>
      </c>
      <c r="F4018" s="9" t="s">
        <v>13284</v>
      </c>
      <c r="G4018" s="9" t="s">
        <v>13284</v>
      </c>
      <c r="H4018" s="9" t="s">
        <v>13284</v>
      </c>
      <c r="I4018" s="9" t="s">
        <v>13284</v>
      </c>
      <c r="J4018" s="9" t="s">
        <v>13284</v>
      </c>
      <c r="K4018" s="9" t="s">
        <v>13284</v>
      </c>
      <c r="L4018" s="9" t="s">
        <v>13284</v>
      </c>
      <c r="M4018" s="9" t="s">
        <v>13284</v>
      </c>
      <c r="N4018" s="9" t="s">
        <v>13284</v>
      </c>
      <c r="O4018" s="9" t="s">
        <v>13284</v>
      </c>
      <c r="P4018" s="9" t="s">
        <v>13284</v>
      </c>
      <c r="Q4018" s="9" t="s">
        <v>13284</v>
      </c>
      <c r="R4018" s="9" t="s">
        <v>13284</v>
      </c>
      <c r="S4018" s="9" t="s">
        <v>13284</v>
      </c>
      <c r="T4018" s="9" t="str">
        <f ca="1">IFERROR(IF(AND(VLOOKUP(A4018, 'Актуальное состояние (из общего'!A:C,3,0) = "", A4018 &lt;&gt; ""), "ПРОВЕРИТЬ", VLOOKUP(A4018, 'Актуальное состояние (из общего'!A:C,3,0)), "")</f>
        <v/>
      </c>
      <c r="U4018" s="9" t="s">
        <v>13284</v>
      </c>
      <c r="V4018" s="9" t="s">
        <v>13284</v>
      </c>
      <c r="W4018" s="12"/>
      <c r="X4018" s="9" t="str">
        <f t="array" ref="X4018">IFERROR(INDEX('Адреса общежитий (скрытый)'!$B$2:$B$9, MATCH(W4018, 'Адреса общежитий (скрытый)'!$A$2:$A$9, 0)), "")</f>
        <v/>
      </c>
      <c r="Y4018" s="18"/>
      <c r="Z4018" s="18"/>
      <c r="AA4018" s="18"/>
      <c r="AB4018" s="18"/>
      <c r="AC4018" s="18"/>
    </row>
    <row r="4019" spans="1:29" ht="32.25" hidden="1" customHeight="1">
      <c r="A4019" s="17"/>
      <c r="B4019" s="9" t="s">
        <v>13284</v>
      </c>
      <c r="C4019" s="9" t="s">
        <v>13284</v>
      </c>
      <c r="D4019" s="9" t="s">
        <v>13284</v>
      </c>
      <c r="E4019" s="9" t="s">
        <v>13284</v>
      </c>
      <c r="F4019" s="9" t="s">
        <v>13284</v>
      </c>
      <c r="G4019" s="9" t="s">
        <v>13284</v>
      </c>
      <c r="H4019" s="9" t="s">
        <v>13284</v>
      </c>
      <c r="I4019" s="9" t="s">
        <v>13284</v>
      </c>
      <c r="J4019" s="9" t="s">
        <v>13284</v>
      </c>
      <c r="K4019" s="9" t="s">
        <v>13284</v>
      </c>
      <c r="L4019" s="9" t="s">
        <v>13284</v>
      </c>
      <c r="M4019" s="9" t="s">
        <v>13284</v>
      </c>
      <c r="N4019" s="9" t="s">
        <v>13284</v>
      </c>
      <c r="O4019" s="9" t="s">
        <v>13284</v>
      </c>
      <c r="P4019" s="9" t="s">
        <v>13284</v>
      </c>
      <c r="Q4019" s="9" t="s">
        <v>13284</v>
      </c>
      <c r="R4019" s="9" t="s">
        <v>13284</v>
      </c>
      <c r="S4019" s="9" t="s">
        <v>13284</v>
      </c>
      <c r="T4019" s="9" t="str">
        <f ca="1">IFERROR(IF(AND(VLOOKUP(A4019, 'Актуальное состояние (из общего'!A:C,3,0) = "", A4019 &lt;&gt; ""), "ПРОВЕРИТЬ", VLOOKUP(A4019, 'Актуальное состояние (из общего'!A:C,3,0)), "")</f>
        <v/>
      </c>
      <c r="U4019" s="9" t="s">
        <v>13284</v>
      </c>
      <c r="V4019" s="9" t="s">
        <v>13284</v>
      </c>
      <c r="W4019" s="12"/>
      <c r="X4019" s="9" t="str">
        <f t="array" ref="X4019">IFERROR(INDEX('Адреса общежитий (скрытый)'!$B$2:$B$9, MATCH(W4019, 'Адреса общежитий (скрытый)'!$A$2:$A$9, 0)), "")</f>
        <v/>
      </c>
      <c r="Y4019" s="18"/>
      <c r="Z4019" s="18"/>
      <c r="AA4019" s="18"/>
      <c r="AB4019" s="18"/>
      <c r="AC4019" s="18"/>
    </row>
    <row r="4020" spans="1:29" ht="32.25" hidden="1" customHeight="1">
      <c r="A4020" s="17"/>
      <c r="B4020" s="9" t="s">
        <v>13284</v>
      </c>
      <c r="C4020" s="9" t="s">
        <v>13284</v>
      </c>
      <c r="D4020" s="9" t="s">
        <v>13284</v>
      </c>
      <c r="E4020" s="9" t="s">
        <v>13284</v>
      </c>
      <c r="F4020" s="9" t="s">
        <v>13284</v>
      </c>
      <c r="G4020" s="9" t="s">
        <v>13284</v>
      </c>
      <c r="H4020" s="9" t="s">
        <v>13284</v>
      </c>
      <c r="I4020" s="9" t="s">
        <v>13284</v>
      </c>
      <c r="J4020" s="9" t="s">
        <v>13284</v>
      </c>
      <c r="K4020" s="9" t="s">
        <v>13284</v>
      </c>
      <c r="L4020" s="9" t="s">
        <v>13284</v>
      </c>
      <c r="M4020" s="9" t="s">
        <v>13284</v>
      </c>
      <c r="N4020" s="9" t="s">
        <v>13284</v>
      </c>
      <c r="O4020" s="9" t="s">
        <v>13284</v>
      </c>
      <c r="P4020" s="9" t="s">
        <v>13284</v>
      </c>
      <c r="Q4020" s="9" t="s">
        <v>13284</v>
      </c>
      <c r="R4020" s="9" t="s">
        <v>13284</v>
      </c>
      <c r="S4020" s="9" t="s">
        <v>13284</v>
      </c>
      <c r="T4020" s="9" t="str">
        <f ca="1">IFERROR(IF(AND(VLOOKUP(A4020, 'Актуальное состояние (из общего'!A:C,3,0) = "", A4020 &lt;&gt; ""), "ПРОВЕРИТЬ", VLOOKUP(A4020, 'Актуальное состояние (из общего'!A:C,3,0)), "")</f>
        <v/>
      </c>
      <c r="U4020" s="9" t="s">
        <v>13284</v>
      </c>
      <c r="V4020" s="9" t="s">
        <v>13284</v>
      </c>
      <c r="W4020" s="12"/>
      <c r="X4020" s="9" t="str">
        <f t="array" ref="X4020">IFERROR(INDEX('Адреса общежитий (скрытый)'!$B$2:$B$9, MATCH(W4020, 'Адреса общежитий (скрытый)'!$A$2:$A$9, 0)), "")</f>
        <v/>
      </c>
      <c r="Y4020" s="18"/>
      <c r="Z4020" s="18"/>
      <c r="AA4020" s="18"/>
      <c r="AB4020" s="18"/>
      <c r="AC4020" s="18"/>
    </row>
    <row r="4021" spans="1:29" ht="32.25" hidden="1" customHeight="1">
      <c r="A4021" s="17"/>
      <c r="B4021" s="9" t="s">
        <v>13284</v>
      </c>
      <c r="C4021" s="9" t="s">
        <v>13284</v>
      </c>
      <c r="D4021" s="9" t="s">
        <v>13284</v>
      </c>
      <c r="E4021" s="9" t="s">
        <v>13284</v>
      </c>
      <c r="F4021" s="9" t="s">
        <v>13284</v>
      </c>
      <c r="G4021" s="9" t="s">
        <v>13284</v>
      </c>
      <c r="H4021" s="9" t="s">
        <v>13284</v>
      </c>
      <c r="I4021" s="9" t="s">
        <v>13284</v>
      </c>
      <c r="J4021" s="9" t="s">
        <v>13284</v>
      </c>
      <c r="K4021" s="9" t="s">
        <v>13284</v>
      </c>
      <c r="L4021" s="9" t="s">
        <v>13284</v>
      </c>
      <c r="M4021" s="9" t="s">
        <v>13284</v>
      </c>
      <c r="N4021" s="9" t="s">
        <v>13284</v>
      </c>
      <c r="O4021" s="9" t="s">
        <v>13284</v>
      </c>
      <c r="P4021" s="9" t="s">
        <v>13284</v>
      </c>
      <c r="Q4021" s="9" t="s">
        <v>13284</v>
      </c>
      <c r="R4021" s="9" t="s">
        <v>13284</v>
      </c>
      <c r="S4021" s="9" t="s">
        <v>13284</v>
      </c>
      <c r="T4021" s="9" t="str">
        <f ca="1">IFERROR(IF(AND(VLOOKUP(A4021, 'Актуальное состояние (из общего'!A:C,3,0) = "", A4021 &lt;&gt; ""), "ПРОВЕРИТЬ", VLOOKUP(A4021, 'Актуальное состояние (из общего'!A:C,3,0)), "")</f>
        <v/>
      </c>
      <c r="U4021" s="9" t="s">
        <v>13284</v>
      </c>
      <c r="V4021" s="9" t="s">
        <v>13284</v>
      </c>
      <c r="W4021" s="12"/>
      <c r="X4021" s="9" t="str">
        <f t="array" ref="X4021">IFERROR(INDEX('Адреса общежитий (скрытый)'!$B$2:$B$9, MATCH(W4021, 'Адреса общежитий (скрытый)'!$A$2:$A$9, 0)), "")</f>
        <v/>
      </c>
      <c r="Y4021" s="18"/>
      <c r="Z4021" s="18"/>
      <c r="AA4021" s="18"/>
      <c r="AB4021" s="18"/>
      <c r="AC4021" s="18"/>
    </row>
    <row r="4022" spans="1:29" ht="32.25" hidden="1" customHeight="1">
      <c r="A4022" s="17"/>
      <c r="B4022" s="9" t="s">
        <v>13284</v>
      </c>
      <c r="C4022" s="9" t="s">
        <v>13284</v>
      </c>
      <c r="D4022" s="9" t="s">
        <v>13284</v>
      </c>
      <c r="E4022" s="9" t="s">
        <v>13284</v>
      </c>
      <c r="F4022" s="9" t="s">
        <v>13284</v>
      </c>
      <c r="G4022" s="9" t="s">
        <v>13284</v>
      </c>
      <c r="H4022" s="9" t="s">
        <v>13284</v>
      </c>
      <c r="I4022" s="9" t="s">
        <v>13284</v>
      </c>
      <c r="J4022" s="9" t="s">
        <v>13284</v>
      </c>
      <c r="K4022" s="9" t="s">
        <v>13284</v>
      </c>
      <c r="L4022" s="9" t="s">
        <v>13284</v>
      </c>
      <c r="M4022" s="9" t="s">
        <v>13284</v>
      </c>
      <c r="N4022" s="9" t="s">
        <v>13284</v>
      </c>
      <c r="O4022" s="9" t="s">
        <v>13284</v>
      </c>
      <c r="P4022" s="9" t="s">
        <v>13284</v>
      </c>
      <c r="Q4022" s="9" t="s">
        <v>13284</v>
      </c>
      <c r="R4022" s="9" t="s">
        <v>13284</v>
      </c>
      <c r="S4022" s="9" t="s">
        <v>13284</v>
      </c>
      <c r="T4022" s="9" t="str">
        <f ca="1">IFERROR(IF(AND(VLOOKUP(A4022, 'Актуальное состояние (из общего'!A:C,3,0) = "", A4022 &lt;&gt; ""), "ПРОВЕРИТЬ", VLOOKUP(A4022, 'Актуальное состояние (из общего'!A:C,3,0)), "")</f>
        <v/>
      </c>
      <c r="U4022" s="9" t="s">
        <v>13284</v>
      </c>
      <c r="V4022" s="9" t="s">
        <v>13284</v>
      </c>
      <c r="W4022" s="12"/>
      <c r="X4022" s="9" t="str">
        <f t="array" ref="X4022">IFERROR(INDEX('Адреса общежитий (скрытый)'!$B$2:$B$9, MATCH(W4022, 'Адреса общежитий (скрытый)'!$A$2:$A$9, 0)), "")</f>
        <v/>
      </c>
      <c r="Y4022" s="18"/>
      <c r="Z4022" s="18"/>
      <c r="AA4022" s="18"/>
      <c r="AB4022" s="18"/>
      <c r="AC4022" s="18"/>
    </row>
    <row r="4023" spans="1:29" ht="32.25" hidden="1" customHeight="1">
      <c r="A4023" s="17"/>
      <c r="B4023" s="9" t="s">
        <v>13284</v>
      </c>
      <c r="C4023" s="9" t="s">
        <v>13284</v>
      </c>
      <c r="D4023" s="9" t="s">
        <v>13284</v>
      </c>
      <c r="E4023" s="9" t="s">
        <v>13284</v>
      </c>
      <c r="F4023" s="9" t="s">
        <v>13284</v>
      </c>
      <c r="G4023" s="9" t="s">
        <v>13284</v>
      </c>
      <c r="H4023" s="9" t="s">
        <v>13284</v>
      </c>
      <c r="I4023" s="9" t="s">
        <v>13284</v>
      </c>
      <c r="J4023" s="9" t="s">
        <v>13284</v>
      </c>
      <c r="K4023" s="9" t="s">
        <v>13284</v>
      </c>
      <c r="L4023" s="9" t="s">
        <v>13284</v>
      </c>
      <c r="M4023" s="9" t="s">
        <v>13284</v>
      </c>
      <c r="N4023" s="9" t="s">
        <v>13284</v>
      </c>
      <c r="O4023" s="9" t="s">
        <v>13284</v>
      </c>
      <c r="P4023" s="9" t="s">
        <v>13284</v>
      </c>
      <c r="Q4023" s="9" t="s">
        <v>13284</v>
      </c>
      <c r="R4023" s="9" t="s">
        <v>13284</v>
      </c>
      <c r="S4023" s="9" t="s">
        <v>13284</v>
      </c>
      <c r="T4023" s="9" t="str">
        <f ca="1">IFERROR(IF(AND(VLOOKUP(A4023, 'Актуальное состояние (из общего'!A:C,3,0) = "", A4023 &lt;&gt; ""), "ПРОВЕРИТЬ", VLOOKUP(A4023, 'Актуальное состояние (из общего'!A:C,3,0)), "")</f>
        <v/>
      </c>
      <c r="U4023" s="9" t="s">
        <v>13284</v>
      </c>
      <c r="V4023" s="9" t="s">
        <v>13284</v>
      </c>
      <c r="W4023" s="12"/>
      <c r="X4023" s="9" t="str">
        <f t="array" ref="X4023">IFERROR(INDEX('Адреса общежитий (скрытый)'!$B$2:$B$9, MATCH(W4023, 'Адреса общежитий (скрытый)'!$A$2:$A$9, 0)), "")</f>
        <v/>
      </c>
      <c r="Y4023" s="18"/>
      <c r="Z4023" s="18"/>
      <c r="AA4023" s="18"/>
      <c r="AB4023" s="18"/>
      <c r="AC4023" s="18"/>
    </row>
    <row r="4024" spans="1:29" ht="32.25" hidden="1" customHeight="1">
      <c r="A4024" s="17"/>
      <c r="B4024" s="9" t="s">
        <v>13284</v>
      </c>
      <c r="C4024" s="9" t="s">
        <v>13284</v>
      </c>
      <c r="D4024" s="9" t="s">
        <v>13284</v>
      </c>
      <c r="E4024" s="9" t="s">
        <v>13284</v>
      </c>
      <c r="F4024" s="9" t="s">
        <v>13284</v>
      </c>
      <c r="G4024" s="9" t="s">
        <v>13284</v>
      </c>
      <c r="H4024" s="9" t="s">
        <v>13284</v>
      </c>
      <c r="I4024" s="9" t="s">
        <v>13284</v>
      </c>
      <c r="J4024" s="9" t="s">
        <v>13284</v>
      </c>
      <c r="K4024" s="9" t="s">
        <v>13284</v>
      </c>
      <c r="L4024" s="9" t="s">
        <v>13284</v>
      </c>
      <c r="M4024" s="9" t="s">
        <v>13284</v>
      </c>
      <c r="N4024" s="9" t="s">
        <v>13284</v>
      </c>
      <c r="O4024" s="9" t="s">
        <v>13284</v>
      </c>
      <c r="P4024" s="9" t="s">
        <v>13284</v>
      </c>
      <c r="Q4024" s="9" t="s">
        <v>13284</v>
      </c>
      <c r="R4024" s="9" t="s">
        <v>13284</v>
      </c>
      <c r="S4024" s="9" t="s">
        <v>13284</v>
      </c>
      <c r="T4024" s="9" t="str">
        <f ca="1">IFERROR(IF(AND(VLOOKUP(A4024, 'Актуальное состояние (из общего'!A:C,3,0) = "", A4024 &lt;&gt; ""), "ПРОВЕРИТЬ", VLOOKUP(A4024, 'Актуальное состояние (из общего'!A:C,3,0)), "")</f>
        <v/>
      </c>
      <c r="U4024" s="9" t="s">
        <v>13284</v>
      </c>
      <c r="V4024" s="9" t="s">
        <v>13284</v>
      </c>
      <c r="W4024" s="12"/>
      <c r="X4024" s="9" t="str">
        <f t="array" ref="X4024">IFERROR(INDEX('Адреса общежитий (скрытый)'!$B$2:$B$9, MATCH(W4024, 'Адреса общежитий (скрытый)'!$A$2:$A$9, 0)), "")</f>
        <v/>
      </c>
      <c r="Y4024" s="18"/>
      <c r="Z4024" s="18"/>
      <c r="AA4024" s="18"/>
      <c r="AB4024" s="18"/>
      <c r="AC4024" s="18"/>
    </row>
    <row r="4025" spans="1:29" ht="32.25" hidden="1" customHeight="1">
      <c r="A4025" s="17"/>
      <c r="B4025" s="9" t="s">
        <v>13284</v>
      </c>
      <c r="C4025" s="9" t="s">
        <v>13284</v>
      </c>
      <c r="D4025" s="9" t="s">
        <v>13284</v>
      </c>
      <c r="E4025" s="9" t="s">
        <v>13284</v>
      </c>
      <c r="F4025" s="9" t="s">
        <v>13284</v>
      </c>
      <c r="G4025" s="9" t="s">
        <v>13284</v>
      </c>
      <c r="H4025" s="9" t="s">
        <v>13284</v>
      </c>
      <c r="I4025" s="9" t="s">
        <v>13284</v>
      </c>
      <c r="J4025" s="9" t="s">
        <v>13284</v>
      </c>
      <c r="K4025" s="9" t="s">
        <v>13284</v>
      </c>
      <c r="L4025" s="9" t="s">
        <v>13284</v>
      </c>
      <c r="M4025" s="9" t="s">
        <v>13284</v>
      </c>
      <c r="N4025" s="9" t="s">
        <v>13284</v>
      </c>
      <c r="O4025" s="9" t="s">
        <v>13284</v>
      </c>
      <c r="P4025" s="9" t="s">
        <v>13284</v>
      </c>
      <c r="Q4025" s="9" t="s">
        <v>13284</v>
      </c>
      <c r="R4025" s="9" t="s">
        <v>13284</v>
      </c>
      <c r="S4025" s="9" t="s">
        <v>13284</v>
      </c>
      <c r="T4025" s="9" t="str">
        <f ca="1">IFERROR(IF(AND(VLOOKUP(A4025, 'Актуальное состояние (из общего'!A:C,3,0) = "", A4025 &lt;&gt; ""), "ПРОВЕРИТЬ", VLOOKUP(A4025, 'Актуальное состояние (из общего'!A:C,3,0)), "")</f>
        <v/>
      </c>
      <c r="U4025" s="9" t="s">
        <v>13284</v>
      </c>
      <c r="V4025" s="9" t="s">
        <v>13284</v>
      </c>
      <c r="W4025" s="12"/>
      <c r="X4025" s="9" t="str">
        <f t="array" ref="X4025">IFERROR(INDEX('Адреса общежитий (скрытый)'!$B$2:$B$9, MATCH(W4025, 'Адреса общежитий (скрытый)'!$A$2:$A$9, 0)), "")</f>
        <v/>
      </c>
      <c r="Y4025" s="18"/>
      <c r="Z4025" s="18"/>
      <c r="AA4025" s="18"/>
      <c r="AB4025" s="18"/>
      <c r="AC4025" s="18"/>
    </row>
    <row r="4026" spans="1:29" ht="32.25" hidden="1" customHeight="1">
      <c r="A4026" s="17"/>
      <c r="B4026" s="9" t="s">
        <v>13284</v>
      </c>
      <c r="C4026" s="9" t="s">
        <v>13284</v>
      </c>
      <c r="D4026" s="9" t="s">
        <v>13284</v>
      </c>
      <c r="E4026" s="9" t="s">
        <v>13284</v>
      </c>
      <c r="F4026" s="9" t="s">
        <v>13284</v>
      </c>
      <c r="G4026" s="9" t="s">
        <v>13284</v>
      </c>
      <c r="H4026" s="9" t="s">
        <v>13284</v>
      </c>
      <c r="I4026" s="9" t="s">
        <v>13284</v>
      </c>
      <c r="J4026" s="9" t="s">
        <v>13284</v>
      </c>
      <c r="K4026" s="9" t="s">
        <v>13284</v>
      </c>
      <c r="L4026" s="9" t="s">
        <v>13284</v>
      </c>
      <c r="M4026" s="9" t="s">
        <v>13284</v>
      </c>
      <c r="N4026" s="9" t="s">
        <v>13284</v>
      </c>
      <c r="O4026" s="9" t="s">
        <v>13284</v>
      </c>
      <c r="P4026" s="9" t="s">
        <v>13284</v>
      </c>
      <c r="Q4026" s="9" t="s">
        <v>13284</v>
      </c>
      <c r="R4026" s="9" t="s">
        <v>13284</v>
      </c>
      <c r="S4026" s="9" t="s">
        <v>13284</v>
      </c>
      <c r="T4026" s="9" t="str">
        <f ca="1">IFERROR(IF(AND(VLOOKUP(A4026, 'Актуальное состояние (из общего'!A:C,3,0) = "", A4026 &lt;&gt; ""), "ПРОВЕРИТЬ", VLOOKUP(A4026, 'Актуальное состояние (из общего'!A:C,3,0)), "")</f>
        <v/>
      </c>
      <c r="U4026" s="9" t="s">
        <v>13284</v>
      </c>
      <c r="V4026" s="9" t="s">
        <v>13284</v>
      </c>
      <c r="W4026" s="12"/>
      <c r="X4026" s="9" t="str">
        <f t="array" ref="X4026">IFERROR(INDEX('Адреса общежитий (скрытый)'!$B$2:$B$9, MATCH(W4026, 'Адреса общежитий (скрытый)'!$A$2:$A$9, 0)), "")</f>
        <v/>
      </c>
      <c r="Y4026" s="18"/>
      <c r="Z4026" s="18"/>
      <c r="AA4026" s="18"/>
      <c r="AB4026" s="18"/>
      <c r="AC4026" s="18"/>
    </row>
    <row r="4027" spans="1:29" ht="32.25" hidden="1" customHeight="1">
      <c r="A4027" s="17"/>
      <c r="B4027" s="9" t="s">
        <v>13284</v>
      </c>
      <c r="C4027" s="9" t="s">
        <v>13284</v>
      </c>
      <c r="D4027" s="9" t="s">
        <v>13284</v>
      </c>
      <c r="E4027" s="9" t="s">
        <v>13284</v>
      </c>
      <c r="F4027" s="9" t="s">
        <v>13284</v>
      </c>
      <c r="G4027" s="9" t="s">
        <v>13284</v>
      </c>
      <c r="H4027" s="9" t="s">
        <v>13284</v>
      </c>
      <c r="I4027" s="9" t="s">
        <v>13284</v>
      </c>
      <c r="J4027" s="9" t="s">
        <v>13284</v>
      </c>
      <c r="K4027" s="9" t="s">
        <v>13284</v>
      </c>
      <c r="L4027" s="9" t="s">
        <v>13284</v>
      </c>
      <c r="M4027" s="9" t="s">
        <v>13284</v>
      </c>
      <c r="N4027" s="9" t="s">
        <v>13284</v>
      </c>
      <c r="O4027" s="9" t="s">
        <v>13284</v>
      </c>
      <c r="P4027" s="9" t="s">
        <v>13284</v>
      </c>
      <c r="Q4027" s="9" t="s">
        <v>13284</v>
      </c>
      <c r="R4027" s="9" t="s">
        <v>13284</v>
      </c>
      <c r="S4027" s="9" t="s">
        <v>13284</v>
      </c>
      <c r="T4027" s="9" t="str">
        <f ca="1">IFERROR(IF(AND(VLOOKUP(A4027, 'Актуальное состояние (из общего'!A:C,3,0) = "", A4027 &lt;&gt; ""), "ПРОВЕРИТЬ", VLOOKUP(A4027, 'Актуальное состояние (из общего'!A:C,3,0)), "")</f>
        <v/>
      </c>
      <c r="U4027" s="9" t="s">
        <v>13284</v>
      </c>
      <c r="V4027" s="9" t="s">
        <v>13284</v>
      </c>
      <c r="W4027" s="12"/>
      <c r="X4027" s="9" t="str">
        <f t="array" ref="X4027">IFERROR(INDEX('Адреса общежитий (скрытый)'!$B$2:$B$9, MATCH(W4027, 'Адреса общежитий (скрытый)'!$A$2:$A$9, 0)), "")</f>
        <v/>
      </c>
      <c r="Y4027" s="18"/>
      <c r="Z4027" s="18"/>
      <c r="AA4027" s="18"/>
      <c r="AB4027" s="18"/>
      <c r="AC4027" s="18"/>
    </row>
    <row r="4028" spans="1:29" ht="32.25" hidden="1" customHeight="1">
      <c r="A4028" s="17"/>
      <c r="B4028" s="9" t="s">
        <v>13284</v>
      </c>
      <c r="C4028" s="9" t="s">
        <v>13284</v>
      </c>
      <c r="D4028" s="9" t="s">
        <v>13284</v>
      </c>
      <c r="E4028" s="9" t="s">
        <v>13284</v>
      </c>
      <c r="F4028" s="9" t="s">
        <v>13284</v>
      </c>
      <c r="G4028" s="9" t="s">
        <v>13284</v>
      </c>
      <c r="H4028" s="9" t="s">
        <v>13284</v>
      </c>
      <c r="I4028" s="9" t="s">
        <v>13284</v>
      </c>
      <c r="J4028" s="9" t="s">
        <v>13284</v>
      </c>
      <c r="K4028" s="9" t="s">
        <v>13284</v>
      </c>
      <c r="L4028" s="9" t="s">
        <v>13284</v>
      </c>
      <c r="M4028" s="9" t="s">
        <v>13284</v>
      </c>
      <c r="N4028" s="9" t="s">
        <v>13284</v>
      </c>
      <c r="O4028" s="9" t="s">
        <v>13284</v>
      </c>
      <c r="P4028" s="9" t="s">
        <v>13284</v>
      </c>
      <c r="Q4028" s="9" t="s">
        <v>13284</v>
      </c>
      <c r="R4028" s="9" t="s">
        <v>13284</v>
      </c>
      <c r="S4028" s="9" t="s">
        <v>13284</v>
      </c>
      <c r="T4028" s="9" t="str">
        <f ca="1">IFERROR(IF(AND(VLOOKUP(A4028, 'Актуальное состояние (из общего'!A:C,3,0) = "", A4028 &lt;&gt; ""), "ПРОВЕРИТЬ", VLOOKUP(A4028, 'Актуальное состояние (из общего'!A:C,3,0)), "")</f>
        <v/>
      </c>
      <c r="U4028" s="9" t="s">
        <v>13284</v>
      </c>
      <c r="V4028" s="9" t="s">
        <v>13284</v>
      </c>
      <c r="W4028" s="12"/>
      <c r="X4028" s="9" t="str">
        <f t="array" ref="X4028">IFERROR(INDEX('Адреса общежитий (скрытый)'!$B$2:$B$9, MATCH(W4028, 'Адреса общежитий (скрытый)'!$A$2:$A$9, 0)), "")</f>
        <v/>
      </c>
      <c r="Y4028" s="18"/>
      <c r="Z4028" s="18"/>
      <c r="AA4028" s="18"/>
      <c r="AB4028" s="18"/>
      <c r="AC4028" s="18"/>
    </row>
    <row r="4029" spans="1:29" ht="32.25" hidden="1" customHeight="1">
      <c r="A4029" s="17"/>
      <c r="B4029" s="9" t="s">
        <v>13284</v>
      </c>
      <c r="C4029" s="9" t="s">
        <v>13284</v>
      </c>
      <c r="D4029" s="9" t="s">
        <v>13284</v>
      </c>
      <c r="E4029" s="9" t="s">
        <v>13284</v>
      </c>
      <c r="F4029" s="9" t="s">
        <v>13284</v>
      </c>
      <c r="G4029" s="9" t="s">
        <v>13284</v>
      </c>
      <c r="H4029" s="9" t="s">
        <v>13284</v>
      </c>
      <c r="I4029" s="9" t="s">
        <v>13284</v>
      </c>
      <c r="J4029" s="9" t="s">
        <v>13284</v>
      </c>
      <c r="K4029" s="9" t="s">
        <v>13284</v>
      </c>
      <c r="L4029" s="9" t="s">
        <v>13284</v>
      </c>
      <c r="M4029" s="9" t="s">
        <v>13284</v>
      </c>
      <c r="N4029" s="9" t="s">
        <v>13284</v>
      </c>
      <c r="O4029" s="9" t="s">
        <v>13284</v>
      </c>
      <c r="P4029" s="9" t="s">
        <v>13284</v>
      </c>
      <c r="Q4029" s="9" t="s">
        <v>13284</v>
      </c>
      <c r="R4029" s="9" t="s">
        <v>13284</v>
      </c>
      <c r="S4029" s="9" t="s">
        <v>13284</v>
      </c>
      <c r="T4029" s="9" t="str">
        <f ca="1">IFERROR(IF(AND(VLOOKUP(A4029, 'Актуальное состояние (из общего'!A:C,3,0) = "", A4029 &lt;&gt; ""), "ПРОВЕРИТЬ", VLOOKUP(A4029, 'Актуальное состояние (из общего'!A:C,3,0)), "")</f>
        <v/>
      </c>
      <c r="U4029" s="9" t="s">
        <v>13284</v>
      </c>
      <c r="V4029" s="9" t="s">
        <v>13284</v>
      </c>
      <c r="W4029" s="12"/>
      <c r="X4029" s="9" t="str">
        <f t="array" ref="X4029">IFERROR(INDEX('Адреса общежитий (скрытый)'!$B$2:$B$9, MATCH(W4029, 'Адреса общежитий (скрытый)'!$A$2:$A$9, 0)), "")</f>
        <v/>
      </c>
      <c r="Y4029" s="18"/>
      <c r="Z4029" s="18"/>
      <c r="AA4029" s="18"/>
      <c r="AB4029" s="18"/>
      <c r="AC4029" s="18"/>
    </row>
    <row r="4030" spans="1:29" ht="32.25" hidden="1" customHeight="1">
      <c r="A4030" s="17"/>
      <c r="B4030" s="9" t="s">
        <v>13284</v>
      </c>
      <c r="C4030" s="9" t="s">
        <v>13284</v>
      </c>
      <c r="D4030" s="9" t="s">
        <v>13284</v>
      </c>
      <c r="E4030" s="9" t="s">
        <v>13284</v>
      </c>
      <c r="F4030" s="9" t="s">
        <v>13284</v>
      </c>
      <c r="G4030" s="9" t="s">
        <v>13284</v>
      </c>
      <c r="H4030" s="9" t="s">
        <v>13284</v>
      </c>
      <c r="I4030" s="9" t="s">
        <v>13284</v>
      </c>
      <c r="J4030" s="9" t="s">
        <v>13284</v>
      </c>
      <c r="K4030" s="9" t="s">
        <v>13284</v>
      </c>
      <c r="L4030" s="9" t="s">
        <v>13284</v>
      </c>
      <c r="M4030" s="9" t="s">
        <v>13284</v>
      </c>
      <c r="N4030" s="9" t="s">
        <v>13284</v>
      </c>
      <c r="O4030" s="9" t="s">
        <v>13284</v>
      </c>
      <c r="P4030" s="9" t="s">
        <v>13284</v>
      </c>
      <c r="Q4030" s="9" t="s">
        <v>13284</v>
      </c>
      <c r="R4030" s="9" t="s">
        <v>13284</v>
      </c>
      <c r="S4030" s="9" t="s">
        <v>13284</v>
      </c>
      <c r="T4030" s="9" t="str">
        <f ca="1">IFERROR(IF(AND(VLOOKUP(A4030, 'Актуальное состояние (из общего'!A:C,3,0) = "", A4030 &lt;&gt; ""), "ПРОВЕРИТЬ", VLOOKUP(A4030, 'Актуальное состояние (из общего'!A:C,3,0)), "")</f>
        <v/>
      </c>
      <c r="U4030" s="9" t="s">
        <v>13284</v>
      </c>
      <c r="V4030" s="9" t="s">
        <v>13284</v>
      </c>
      <c r="W4030" s="12"/>
      <c r="X4030" s="9" t="str">
        <f t="array" ref="X4030">IFERROR(INDEX('Адреса общежитий (скрытый)'!$B$2:$B$9, MATCH(W4030, 'Адреса общежитий (скрытый)'!$A$2:$A$9, 0)), "")</f>
        <v/>
      </c>
      <c r="Y4030" s="18"/>
      <c r="Z4030" s="18"/>
      <c r="AA4030" s="18"/>
      <c r="AB4030" s="18"/>
      <c r="AC4030" s="18"/>
    </row>
    <row r="4031" spans="1:29" ht="32.25" hidden="1" customHeight="1">
      <c r="A4031" s="17"/>
      <c r="B4031" s="9" t="s">
        <v>13284</v>
      </c>
      <c r="C4031" s="9" t="s">
        <v>13284</v>
      </c>
      <c r="D4031" s="9" t="s">
        <v>13284</v>
      </c>
      <c r="E4031" s="9" t="s">
        <v>13284</v>
      </c>
      <c r="F4031" s="9" t="s">
        <v>13284</v>
      </c>
      <c r="G4031" s="9" t="s">
        <v>13284</v>
      </c>
      <c r="H4031" s="9" t="s">
        <v>13284</v>
      </c>
      <c r="I4031" s="9" t="s">
        <v>13284</v>
      </c>
      <c r="J4031" s="9" t="s">
        <v>13284</v>
      </c>
      <c r="K4031" s="9" t="s">
        <v>13284</v>
      </c>
      <c r="L4031" s="9" t="s">
        <v>13284</v>
      </c>
      <c r="M4031" s="9" t="s">
        <v>13284</v>
      </c>
      <c r="N4031" s="9" t="s">
        <v>13284</v>
      </c>
      <c r="O4031" s="9" t="s">
        <v>13284</v>
      </c>
      <c r="P4031" s="9" t="s">
        <v>13284</v>
      </c>
      <c r="Q4031" s="9" t="s">
        <v>13284</v>
      </c>
      <c r="R4031" s="9" t="s">
        <v>13284</v>
      </c>
      <c r="S4031" s="9" t="s">
        <v>13284</v>
      </c>
      <c r="T4031" s="9" t="str">
        <f ca="1">IFERROR(IF(AND(VLOOKUP(A4031, 'Актуальное состояние (из общего'!A:C,3,0) = "", A4031 &lt;&gt; ""), "ПРОВЕРИТЬ", VLOOKUP(A4031, 'Актуальное состояние (из общего'!A:C,3,0)), "")</f>
        <v/>
      </c>
      <c r="U4031" s="9" t="s">
        <v>13284</v>
      </c>
      <c r="V4031" s="9" t="s">
        <v>13284</v>
      </c>
      <c r="W4031" s="12"/>
      <c r="X4031" s="9" t="str">
        <f t="array" ref="X4031">IFERROR(INDEX('Адреса общежитий (скрытый)'!$B$2:$B$9, MATCH(W4031, 'Адреса общежитий (скрытый)'!$A$2:$A$9, 0)), "")</f>
        <v/>
      </c>
      <c r="Y4031" s="18"/>
      <c r="Z4031" s="18"/>
      <c r="AA4031" s="18"/>
      <c r="AB4031" s="18"/>
      <c r="AC4031" s="18"/>
    </row>
    <row r="4032" spans="1:29" ht="32.25" hidden="1" customHeight="1">
      <c r="A4032" s="17"/>
      <c r="B4032" s="9" t="s">
        <v>13284</v>
      </c>
      <c r="C4032" s="9" t="s">
        <v>13284</v>
      </c>
      <c r="D4032" s="9" t="s">
        <v>13284</v>
      </c>
      <c r="E4032" s="9" t="s">
        <v>13284</v>
      </c>
      <c r="F4032" s="9" t="s">
        <v>13284</v>
      </c>
      <c r="G4032" s="9" t="s">
        <v>13284</v>
      </c>
      <c r="H4032" s="9" t="s">
        <v>13284</v>
      </c>
      <c r="I4032" s="9" t="s">
        <v>13284</v>
      </c>
      <c r="J4032" s="9" t="s">
        <v>13284</v>
      </c>
      <c r="K4032" s="9" t="s">
        <v>13284</v>
      </c>
      <c r="L4032" s="9" t="s">
        <v>13284</v>
      </c>
      <c r="M4032" s="9" t="s">
        <v>13284</v>
      </c>
      <c r="N4032" s="9" t="s">
        <v>13284</v>
      </c>
      <c r="O4032" s="9" t="s">
        <v>13284</v>
      </c>
      <c r="P4032" s="9" t="s">
        <v>13284</v>
      </c>
      <c r="Q4032" s="9" t="s">
        <v>13284</v>
      </c>
      <c r="R4032" s="9" t="s">
        <v>13284</v>
      </c>
      <c r="S4032" s="9" t="s">
        <v>13284</v>
      </c>
      <c r="T4032" s="9" t="str">
        <f ca="1">IFERROR(IF(AND(VLOOKUP(A4032, 'Актуальное состояние (из общего'!A:C,3,0) = "", A4032 &lt;&gt; ""), "ПРОВЕРИТЬ", VLOOKUP(A4032, 'Актуальное состояние (из общего'!A:C,3,0)), "")</f>
        <v/>
      </c>
      <c r="U4032" s="9" t="s">
        <v>13284</v>
      </c>
      <c r="V4032" s="9" t="s">
        <v>13284</v>
      </c>
      <c r="W4032" s="12"/>
      <c r="X4032" s="9" t="str">
        <f t="array" ref="X4032">IFERROR(INDEX('Адреса общежитий (скрытый)'!$B$2:$B$9, MATCH(W4032, 'Адреса общежитий (скрытый)'!$A$2:$A$9, 0)), "")</f>
        <v/>
      </c>
      <c r="Y4032" s="18"/>
      <c r="Z4032" s="18"/>
      <c r="AA4032" s="18"/>
      <c r="AB4032" s="18"/>
      <c r="AC4032" s="18"/>
    </row>
    <row r="4033" spans="1:29" ht="32.25" hidden="1" customHeight="1">
      <c r="A4033" s="17"/>
      <c r="B4033" s="9" t="s">
        <v>13284</v>
      </c>
      <c r="C4033" s="9" t="s">
        <v>13284</v>
      </c>
      <c r="D4033" s="9" t="s">
        <v>13284</v>
      </c>
      <c r="E4033" s="9" t="s">
        <v>13284</v>
      </c>
      <c r="F4033" s="9" t="s">
        <v>13284</v>
      </c>
      <c r="G4033" s="9" t="s">
        <v>13284</v>
      </c>
      <c r="H4033" s="9" t="s">
        <v>13284</v>
      </c>
      <c r="I4033" s="9" t="s">
        <v>13284</v>
      </c>
      <c r="J4033" s="9" t="s">
        <v>13284</v>
      </c>
      <c r="K4033" s="9" t="s">
        <v>13284</v>
      </c>
      <c r="L4033" s="9" t="s">
        <v>13284</v>
      </c>
      <c r="M4033" s="9" t="s">
        <v>13284</v>
      </c>
      <c r="N4033" s="9" t="s">
        <v>13284</v>
      </c>
      <c r="O4033" s="9" t="s">
        <v>13284</v>
      </c>
      <c r="P4033" s="9" t="s">
        <v>13284</v>
      </c>
      <c r="Q4033" s="9" t="s">
        <v>13284</v>
      </c>
      <c r="R4033" s="9" t="s">
        <v>13284</v>
      </c>
      <c r="S4033" s="9" t="s">
        <v>13284</v>
      </c>
      <c r="T4033" s="9" t="str">
        <f ca="1">IFERROR(IF(AND(VLOOKUP(A4033, 'Актуальное состояние (из общего'!A:C,3,0) = "", A4033 &lt;&gt; ""), "ПРОВЕРИТЬ", VLOOKUP(A4033, 'Актуальное состояние (из общего'!A:C,3,0)), "")</f>
        <v/>
      </c>
      <c r="U4033" s="9" t="s">
        <v>13284</v>
      </c>
      <c r="V4033" s="9" t="s">
        <v>13284</v>
      </c>
      <c r="W4033" s="12"/>
      <c r="X4033" s="9" t="str">
        <f t="array" ref="X4033">IFERROR(INDEX('Адреса общежитий (скрытый)'!$B$2:$B$9, MATCH(W4033, 'Адреса общежитий (скрытый)'!$A$2:$A$9, 0)), "")</f>
        <v/>
      </c>
      <c r="Y4033" s="18"/>
      <c r="Z4033" s="18"/>
      <c r="AA4033" s="18"/>
      <c r="AB4033" s="18"/>
      <c r="AC4033" s="18"/>
    </row>
    <row r="4034" spans="1:29" ht="32.25" hidden="1" customHeight="1">
      <c r="A4034" s="17"/>
      <c r="B4034" s="9" t="s">
        <v>13284</v>
      </c>
      <c r="C4034" s="9" t="s">
        <v>13284</v>
      </c>
      <c r="D4034" s="9" t="s">
        <v>13284</v>
      </c>
      <c r="E4034" s="9" t="s">
        <v>13284</v>
      </c>
      <c r="F4034" s="9" t="s">
        <v>13284</v>
      </c>
      <c r="G4034" s="9" t="s">
        <v>13284</v>
      </c>
      <c r="H4034" s="9" t="s">
        <v>13284</v>
      </c>
      <c r="I4034" s="9" t="s">
        <v>13284</v>
      </c>
      <c r="J4034" s="9" t="s">
        <v>13284</v>
      </c>
      <c r="K4034" s="9" t="s">
        <v>13284</v>
      </c>
      <c r="L4034" s="9" t="s">
        <v>13284</v>
      </c>
      <c r="M4034" s="9" t="s">
        <v>13284</v>
      </c>
      <c r="N4034" s="9" t="s">
        <v>13284</v>
      </c>
      <c r="O4034" s="9" t="s">
        <v>13284</v>
      </c>
      <c r="P4034" s="9" t="s">
        <v>13284</v>
      </c>
      <c r="Q4034" s="9" t="s">
        <v>13284</v>
      </c>
      <c r="R4034" s="9" t="s">
        <v>13284</v>
      </c>
      <c r="S4034" s="9" t="s">
        <v>13284</v>
      </c>
      <c r="T4034" s="9" t="str">
        <f ca="1">IFERROR(IF(AND(VLOOKUP(A4034, 'Актуальное состояние (из общего'!A:C,3,0) = "", A4034 &lt;&gt; ""), "ПРОВЕРИТЬ", VLOOKUP(A4034, 'Актуальное состояние (из общего'!A:C,3,0)), "")</f>
        <v/>
      </c>
      <c r="U4034" s="9" t="s">
        <v>13284</v>
      </c>
      <c r="V4034" s="9" t="s">
        <v>13284</v>
      </c>
      <c r="W4034" s="12"/>
      <c r="X4034" s="9" t="str">
        <f t="array" ref="X4034">IFERROR(INDEX('Адреса общежитий (скрытый)'!$B$2:$B$9, MATCH(W4034, 'Адреса общежитий (скрытый)'!$A$2:$A$9, 0)), "")</f>
        <v/>
      </c>
      <c r="Y4034" s="18"/>
      <c r="Z4034" s="18"/>
      <c r="AA4034" s="18"/>
      <c r="AB4034" s="18"/>
      <c r="AC4034" s="18"/>
    </row>
    <row r="4035" spans="1:29" ht="32.25" hidden="1" customHeight="1">
      <c r="A4035" s="17"/>
      <c r="B4035" s="9" t="s">
        <v>13284</v>
      </c>
      <c r="C4035" s="9" t="s">
        <v>13284</v>
      </c>
      <c r="D4035" s="9" t="s">
        <v>13284</v>
      </c>
      <c r="E4035" s="9" t="s">
        <v>13284</v>
      </c>
      <c r="F4035" s="9" t="s">
        <v>13284</v>
      </c>
      <c r="G4035" s="9" t="s">
        <v>13284</v>
      </c>
      <c r="H4035" s="9" t="s">
        <v>13284</v>
      </c>
      <c r="I4035" s="9" t="s">
        <v>13284</v>
      </c>
      <c r="J4035" s="9" t="s">
        <v>13284</v>
      </c>
      <c r="K4035" s="9" t="s">
        <v>13284</v>
      </c>
      <c r="L4035" s="9" t="s">
        <v>13284</v>
      </c>
      <c r="M4035" s="9" t="s">
        <v>13284</v>
      </c>
      <c r="N4035" s="9" t="s">
        <v>13284</v>
      </c>
      <c r="O4035" s="9" t="s">
        <v>13284</v>
      </c>
      <c r="P4035" s="9" t="s">
        <v>13284</v>
      </c>
      <c r="Q4035" s="9" t="s">
        <v>13284</v>
      </c>
      <c r="R4035" s="9" t="s">
        <v>13284</v>
      </c>
      <c r="S4035" s="9" t="s">
        <v>13284</v>
      </c>
      <c r="T4035" s="9" t="str">
        <f ca="1">IFERROR(IF(AND(VLOOKUP(A4035, 'Актуальное состояние (из общего'!A:C,3,0) = "", A4035 &lt;&gt; ""), "ПРОВЕРИТЬ", VLOOKUP(A4035, 'Актуальное состояние (из общего'!A:C,3,0)), "")</f>
        <v/>
      </c>
      <c r="U4035" s="9" t="s">
        <v>13284</v>
      </c>
      <c r="V4035" s="9" t="s">
        <v>13284</v>
      </c>
      <c r="W4035" s="12"/>
      <c r="X4035" s="9" t="str">
        <f t="array" ref="X4035">IFERROR(INDEX('Адреса общежитий (скрытый)'!$B$2:$B$9, MATCH(W4035, 'Адреса общежитий (скрытый)'!$A$2:$A$9, 0)), "")</f>
        <v/>
      </c>
      <c r="Y4035" s="18"/>
      <c r="Z4035" s="18"/>
      <c r="AA4035" s="18"/>
      <c r="AB4035" s="18"/>
      <c r="AC4035" s="18"/>
    </row>
    <row r="4036" spans="1:29" ht="32.25" hidden="1" customHeight="1">
      <c r="A4036" s="17"/>
      <c r="B4036" s="9" t="s">
        <v>13284</v>
      </c>
      <c r="C4036" s="9" t="s">
        <v>13284</v>
      </c>
      <c r="D4036" s="9" t="s">
        <v>13284</v>
      </c>
      <c r="E4036" s="9" t="s">
        <v>13284</v>
      </c>
      <c r="F4036" s="9" t="s">
        <v>13284</v>
      </c>
      <c r="G4036" s="9" t="s">
        <v>13284</v>
      </c>
      <c r="H4036" s="9" t="s">
        <v>13284</v>
      </c>
      <c r="I4036" s="9" t="s">
        <v>13284</v>
      </c>
      <c r="J4036" s="9" t="s">
        <v>13284</v>
      </c>
      <c r="K4036" s="9" t="s">
        <v>13284</v>
      </c>
      <c r="L4036" s="9" t="s">
        <v>13284</v>
      </c>
      <c r="M4036" s="9" t="s">
        <v>13284</v>
      </c>
      <c r="N4036" s="9" t="s">
        <v>13284</v>
      </c>
      <c r="O4036" s="9" t="s">
        <v>13284</v>
      </c>
      <c r="P4036" s="9" t="s">
        <v>13284</v>
      </c>
      <c r="Q4036" s="9" t="s">
        <v>13284</v>
      </c>
      <c r="R4036" s="9" t="s">
        <v>13284</v>
      </c>
      <c r="S4036" s="9" t="s">
        <v>13284</v>
      </c>
      <c r="T4036" s="9" t="str">
        <f ca="1">IFERROR(IF(AND(VLOOKUP(A4036, 'Актуальное состояние (из общего'!A:C,3,0) = "", A4036 &lt;&gt; ""), "ПРОВЕРИТЬ", VLOOKUP(A4036, 'Актуальное состояние (из общего'!A:C,3,0)), "")</f>
        <v/>
      </c>
      <c r="U4036" s="9" t="s">
        <v>13284</v>
      </c>
      <c r="V4036" s="9" t="s">
        <v>13284</v>
      </c>
      <c r="W4036" s="12"/>
      <c r="X4036" s="9" t="str">
        <f t="array" ref="X4036">IFERROR(INDEX('Адреса общежитий (скрытый)'!$B$2:$B$9, MATCH(W4036, 'Адреса общежитий (скрытый)'!$A$2:$A$9, 0)), "")</f>
        <v/>
      </c>
      <c r="Y4036" s="18"/>
      <c r="Z4036" s="18"/>
      <c r="AA4036" s="18"/>
      <c r="AB4036" s="18"/>
      <c r="AC4036" s="18"/>
    </row>
    <row r="4037" spans="1:29" ht="32.25" hidden="1" customHeight="1">
      <c r="A4037" s="17"/>
      <c r="B4037" s="9" t="s">
        <v>13284</v>
      </c>
      <c r="C4037" s="9" t="s">
        <v>13284</v>
      </c>
      <c r="D4037" s="9" t="s">
        <v>13284</v>
      </c>
      <c r="E4037" s="9" t="s">
        <v>13284</v>
      </c>
      <c r="F4037" s="9" t="s">
        <v>13284</v>
      </c>
      <c r="G4037" s="9" t="s">
        <v>13284</v>
      </c>
      <c r="H4037" s="9" t="s">
        <v>13284</v>
      </c>
      <c r="I4037" s="9" t="s">
        <v>13284</v>
      </c>
      <c r="J4037" s="9" t="s">
        <v>13284</v>
      </c>
      <c r="K4037" s="9" t="s">
        <v>13284</v>
      </c>
      <c r="L4037" s="9" t="s">
        <v>13284</v>
      </c>
      <c r="M4037" s="9" t="s">
        <v>13284</v>
      </c>
      <c r="N4037" s="9" t="s">
        <v>13284</v>
      </c>
      <c r="O4037" s="9" t="s">
        <v>13284</v>
      </c>
      <c r="P4037" s="9" t="s">
        <v>13284</v>
      </c>
      <c r="Q4037" s="9" t="s">
        <v>13284</v>
      </c>
      <c r="R4037" s="9" t="s">
        <v>13284</v>
      </c>
      <c r="S4037" s="9" t="s">
        <v>13284</v>
      </c>
      <c r="T4037" s="9" t="str">
        <f ca="1">IFERROR(IF(AND(VLOOKUP(A4037, 'Актуальное состояние (из общего'!A:C,3,0) = "", A4037 &lt;&gt; ""), "ПРОВЕРИТЬ", VLOOKUP(A4037, 'Актуальное состояние (из общего'!A:C,3,0)), "")</f>
        <v/>
      </c>
      <c r="U4037" s="9" t="s">
        <v>13284</v>
      </c>
      <c r="V4037" s="9" t="s">
        <v>13284</v>
      </c>
      <c r="W4037" s="12"/>
      <c r="X4037" s="9" t="str">
        <f t="array" ref="X4037">IFERROR(INDEX('Адреса общежитий (скрытый)'!$B$2:$B$9, MATCH(W4037, 'Адреса общежитий (скрытый)'!$A$2:$A$9, 0)), "")</f>
        <v/>
      </c>
      <c r="Y4037" s="18"/>
      <c r="Z4037" s="18"/>
      <c r="AA4037" s="18"/>
      <c r="AB4037" s="18"/>
      <c r="AC4037" s="18"/>
    </row>
    <row r="4038" spans="1:29" ht="32.25" hidden="1" customHeight="1">
      <c r="A4038" s="17"/>
      <c r="B4038" s="9" t="s">
        <v>13284</v>
      </c>
      <c r="C4038" s="9" t="s">
        <v>13284</v>
      </c>
      <c r="D4038" s="9" t="s">
        <v>13284</v>
      </c>
      <c r="E4038" s="9" t="s">
        <v>13284</v>
      </c>
      <c r="F4038" s="9" t="s">
        <v>13284</v>
      </c>
      <c r="G4038" s="9" t="s">
        <v>13284</v>
      </c>
      <c r="H4038" s="9" t="s">
        <v>13284</v>
      </c>
      <c r="I4038" s="9" t="s">
        <v>13284</v>
      </c>
      <c r="J4038" s="9" t="s">
        <v>13284</v>
      </c>
      <c r="K4038" s="9" t="s">
        <v>13284</v>
      </c>
      <c r="L4038" s="9" t="s">
        <v>13284</v>
      </c>
      <c r="M4038" s="9" t="s">
        <v>13284</v>
      </c>
      <c r="N4038" s="9" t="s">
        <v>13284</v>
      </c>
      <c r="O4038" s="9" t="s">
        <v>13284</v>
      </c>
      <c r="P4038" s="9" t="s">
        <v>13284</v>
      </c>
      <c r="Q4038" s="9" t="s">
        <v>13284</v>
      </c>
      <c r="R4038" s="9" t="s">
        <v>13284</v>
      </c>
      <c r="S4038" s="9" t="s">
        <v>13284</v>
      </c>
      <c r="T4038" s="9" t="str">
        <f ca="1">IFERROR(IF(AND(VLOOKUP(A4038, 'Актуальное состояние (из общего'!A:C,3,0) = "", A4038 &lt;&gt; ""), "ПРОВЕРИТЬ", VLOOKUP(A4038, 'Актуальное состояние (из общего'!A:C,3,0)), "")</f>
        <v/>
      </c>
      <c r="U4038" s="9" t="s">
        <v>13284</v>
      </c>
      <c r="V4038" s="9" t="s">
        <v>13284</v>
      </c>
      <c r="W4038" s="12"/>
      <c r="X4038" s="9" t="str">
        <f t="array" ref="X4038">IFERROR(INDEX('Адреса общежитий (скрытый)'!$B$2:$B$9, MATCH(W4038, 'Адреса общежитий (скрытый)'!$A$2:$A$9, 0)), "")</f>
        <v/>
      </c>
      <c r="Y4038" s="18"/>
      <c r="Z4038" s="18"/>
      <c r="AA4038" s="18"/>
      <c r="AB4038" s="18"/>
      <c r="AC4038" s="18"/>
    </row>
    <row r="4039" spans="1:29" ht="32.25" hidden="1" customHeight="1">
      <c r="A4039" s="17"/>
      <c r="B4039" s="9" t="s">
        <v>13284</v>
      </c>
      <c r="C4039" s="9" t="s">
        <v>13284</v>
      </c>
      <c r="D4039" s="9" t="s">
        <v>13284</v>
      </c>
      <c r="E4039" s="9" t="s">
        <v>13284</v>
      </c>
      <c r="F4039" s="9" t="s">
        <v>13284</v>
      </c>
      <c r="G4039" s="9" t="s">
        <v>13284</v>
      </c>
      <c r="H4039" s="9" t="s">
        <v>13284</v>
      </c>
      <c r="I4039" s="9" t="s">
        <v>13284</v>
      </c>
      <c r="J4039" s="9" t="s">
        <v>13284</v>
      </c>
      <c r="K4039" s="9" t="s">
        <v>13284</v>
      </c>
      <c r="L4039" s="9" t="s">
        <v>13284</v>
      </c>
      <c r="M4039" s="9" t="s">
        <v>13284</v>
      </c>
      <c r="N4039" s="9" t="s">
        <v>13284</v>
      </c>
      <c r="O4039" s="9" t="s">
        <v>13284</v>
      </c>
      <c r="P4039" s="9" t="s">
        <v>13284</v>
      </c>
      <c r="Q4039" s="9" t="s">
        <v>13284</v>
      </c>
      <c r="R4039" s="9" t="s">
        <v>13284</v>
      </c>
      <c r="S4039" s="9" t="s">
        <v>13284</v>
      </c>
      <c r="T4039" s="9" t="str">
        <f ca="1">IFERROR(IF(AND(VLOOKUP(A4039, 'Актуальное состояние (из общего'!A:C,3,0) = "", A4039 &lt;&gt; ""), "ПРОВЕРИТЬ", VLOOKUP(A4039, 'Актуальное состояние (из общего'!A:C,3,0)), "")</f>
        <v/>
      </c>
      <c r="U4039" s="9" t="s">
        <v>13284</v>
      </c>
      <c r="V4039" s="9" t="s">
        <v>13284</v>
      </c>
      <c r="W4039" s="12"/>
      <c r="X4039" s="9" t="str">
        <f t="array" ref="X4039">IFERROR(INDEX('Адреса общежитий (скрытый)'!$B$2:$B$9, MATCH(W4039, 'Адреса общежитий (скрытый)'!$A$2:$A$9, 0)), "")</f>
        <v/>
      </c>
      <c r="Y4039" s="18"/>
      <c r="Z4039" s="18"/>
      <c r="AA4039" s="18"/>
      <c r="AB4039" s="18"/>
      <c r="AC4039" s="18"/>
    </row>
    <row r="4040" spans="1:29" ht="32.25" hidden="1" customHeight="1">
      <c r="A4040" s="17"/>
      <c r="B4040" s="9" t="s">
        <v>13284</v>
      </c>
      <c r="C4040" s="9" t="s">
        <v>13284</v>
      </c>
      <c r="D4040" s="9" t="s">
        <v>13284</v>
      </c>
      <c r="E4040" s="9" t="s">
        <v>13284</v>
      </c>
      <c r="F4040" s="9" t="s">
        <v>13284</v>
      </c>
      <c r="G4040" s="9" t="s">
        <v>13284</v>
      </c>
      <c r="H4040" s="9" t="s">
        <v>13284</v>
      </c>
      <c r="I4040" s="9" t="s">
        <v>13284</v>
      </c>
      <c r="J4040" s="9" t="s">
        <v>13284</v>
      </c>
      <c r="K4040" s="9" t="s">
        <v>13284</v>
      </c>
      <c r="L4040" s="9" t="s">
        <v>13284</v>
      </c>
      <c r="M4040" s="9" t="s">
        <v>13284</v>
      </c>
      <c r="N4040" s="9" t="s">
        <v>13284</v>
      </c>
      <c r="O4040" s="9" t="s">
        <v>13284</v>
      </c>
      <c r="P4040" s="9" t="s">
        <v>13284</v>
      </c>
      <c r="Q4040" s="9" t="s">
        <v>13284</v>
      </c>
      <c r="R4040" s="9" t="s">
        <v>13284</v>
      </c>
      <c r="S4040" s="9" t="s">
        <v>13284</v>
      </c>
      <c r="T4040" s="9" t="str">
        <f ca="1">IFERROR(IF(AND(VLOOKUP(A4040, 'Актуальное состояние (из общего'!A:C,3,0) = "", A4040 &lt;&gt; ""), "ПРОВЕРИТЬ", VLOOKUP(A4040, 'Актуальное состояние (из общего'!A:C,3,0)), "")</f>
        <v/>
      </c>
      <c r="U4040" s="9" t="s">
        <v>13284</v>
      </c>
      <c r="V4040" s="9" t="s">
        <v>13284</v>
      </c>
      <c r="W4040" s="12"/>
      <c r="X4040" s="9" t="str">
        <f t="array" ref="X4040">IFERROR(INDEX('Адреса общежитий (скрытый)'!$B$2:$B$9, MATCH(W4040, 'Адреса общежитий (скрытый)'!$A$2:$A$9, 0)), "")</f>
        <v/>
      </c>
      <c r="Y4040" s="18"/>
      <c r="Z4040" s="18"/>
      <c r="AA4040" s="18"/>
      <c r="AB4040" s="18"/>
      <c r="AC4040" s="18"/>
    </row>
    <row r="4041" spans="1:29" ht="32.25" hidden="1" customHeight="1">
      <c r="A4041" s="17"/>
      <c r="B4041" s="9" t="s">
        <v>13284</v>
      </c>
      <c r="C4041" s="9" t="s">
        <v>13284</v>
      </c>
      <c r="D4041" s="9" t="s">
        <v>13284</v>
      </c>
      <c r="E4041" s="9" t="s">
        <v>13284</v>
      </c>
      <c r="F4041" s="9" t="s">
        <v>13284</v>
      </c>
      <c r="G4041" s="9" t="s">
        <v>13284</v>
      </c>
      <c r="H4041" s="9" t="s">
        <v>13284</v>
      </c>
      <c r="I4041" s="9" t="s">
        <v>13284</v>
      </c>
      <c r="J4041" s="9" t="s">
        <v>13284</v>
      </c>
      <c r="K4041" s="9" t="s">
        <v>13284</v>
      </c>
      <c r="L4041" s="9" t="s">
        <v>13284</v>
      </c>
      <c r="M4041" s="9" t="s">
        <v>13284</v>
      </c>
      <c r="N4041" s="9" t="s">
        <v>13284</v>
      </c>
      <c r="O4041" s="9" t="s">
        <v>13284</v>
      </c>
      <c r="P4041" s="9" t="s">
        <v>13284</v>
      </c>
      <c r="Q4041" s="9" t="s">
        <v>13284</v>
      </c>
      <c r="R4041" s="9" t="s">
        <v>13284</v>
      </c>
      <c r="S4041" s="9" t="s">
        <v>13284</v>
      </c>
      <c r="T4041" s="9" t="str">
        <f ca="1">IFERROR(IF(AND(VLOOKUP(A4041, 'Актуальное состояние (из общего'!A:C,3,0) = "", A4041 &lt;&gt; ""), "ПРОВЕРИТЬ", VLOOKUP(A4041, 'Актуальное состояние (из общего'!A:C,3,0)), "")</f>
        <v/>
      </c>
      <c r="U4041" s="9" t="s">
        <v>13284</v>
      </c>
      <c r="V4041" s="9" t="s">
        <v>13284</v>
      </c>
      <c r="W4041" s="12"/>
      <c r="X4041" s="9" t="str">
        <f t="array" ref="X4041">IFERROR(INDEX('Адреса общежитий (скрытый)'!$B$2:$B$9, MATCH(W4041, 'Адреса общежитий (скрытый)'!$A$2:$A$9, 0)), "")</f>
        <v/>
      </c>
      <c r="Y4041" s="18"/>
      <c r="Z4041" s="18"/>
      <c r="AA4041" s="18"/>
      <c r="AB4041" s="18"/>
      <c r="AC4041" s="18"/>
    </row>
    <row r="4042" spans="1:29" ht="32.25" hidden="1" customHeight="1">
      <c r="A4042" s="17"/>
      <c r="B4042" s="9" t="s">
        <v>13284</v>
      </c>
      <c r="C4042" s="9" t="s">
        <v>13284</v>
      </c>
      <c r="D4042" s="9" t="s">
        <v>13284</v>
      </c>
      <c r="E4042" s="9" t="s">
        <v>13284</v>
      </c>
      <c r="F4042" s="9" t="s">
        <v>13284</v>
      </c>
      <c r="G4042" s="9" t="s">
        <v>13284</v>
      </c>
      <c r="H4042" s="9" t="s">
        <v>13284</v>
      </c>
      <c r="I4042" s="9" t="s">
        <v>13284</v>
      </c>
      <c r="J4042" s="9" t="s">
        <v>13284</v>
      </c>
      <c r="K4042" s="9" t="s">
        <v>13284</v>
      </c>
      <c r="L4042" s="9" t="s">
        <v>13284</v>
      </c>
      <c r="M4042" s="9" t="s">
        <v>13284</v>
      </c>
      <c r="N4042" s="9" t="s">
        <v>13284</v>
      </c>
      <c r="O4042" s="9" t="s">
        <v>13284</v>
      </c>
      <c r="P4042" s="9" t="s">
        <v>13284</v>
      </c>
      <c r="Q4042" s="9" t="s">
        <v>13284</v>
      </c>
      <c r="R4042" s="9" t="s">
        <v>13284</v>
      </c>
      <c r="S4042" s="9" t="s">
        <v>13284</v>
      </c>
      <c r="T4042" s="9" t="str">
        <f ca="1">IFERROR(IF(AND(VLOOKUP(A4042, 'Актуальное состояние (из общего'!A:C,3,0) = "", A4042 &lt;&gt; ""), "ПРОВЕРИТЬ", VLOOKUP(A4042, 'Актуальное состояние (из общего'!A:C,3,0)), "")</f>
        <v/>
      </c>
      <c r="U4042" s="9" t="s">
        <v>13284</v>
      </c>
      <c r="V4042" s="9" t="s">
        <v>13284</v>
      </c>
      <c r="W4042" s="12"/>
      <c r="X4042" s="9" t="str">
        <f t="array" ref="X4042">IFERROR(INDEX('Адреса общежитий (скрытый)'!$B$2:$B$9, MATCH(W4042, 'Адреса общежитий (скрытый)'!$A$2:$A$9, 0)), "")</f>
        <v/>
      </c>
      <c r="Y4042" s="18"/>
      <c r="Z4042" s="18"/>
      <c r="AA4042" s="18"/>
      <c r="AB4042" s="18"/>
      <c r="AC4042" s="18"/>
    </row>
    <row r="4043" spans="1:29" ht="32.25" hidden="1" customHeight="1">
      <c r="A4043" s="17"/>
      <c r="B4043" s="9" t="s">
        <v>13284</v>
      </c>
      <c r="C4043" s="9" t="s">
        <v>13284</v>
      </c>
      <c r="D4043" s="9" t="s">
        <v>13284</v>
      </c>
      <c r="E4043" s="9" t="s">
        <v>13284</v>
      </c>
      <c r="F4043" s="9" t="s">
        <v>13284</v>
      </c>
      <c r="G4043" s="9" t="s">
        <v>13284</v>
      </c>
      <c r="H4043" s="9" t="s">
        <v>13284</v>
      </c>
      <c r="I4043" s="9" t="s">
        <v>13284</v>
      </c>
      <c r="J4043" s="9" t="s">
        <v>13284</v>
      </c>
      <c r="K4043" s="9" t="s">
        <v>13284</v>
      </c>
      <c r="L4043" s="9" t="s">
        <v>13284</v>
      </c>
      <c r="M4043" s="9" t="s">
        <v>13284</v>
      </c>
      <c r="N4043" s="9" t="s">
        <v>13284</v>
      </c>
      <c r="O4043" s="9" t="s">
        <v>13284</v>
      </c>
      <c r="P4043" s="9" t="s">
        <v>13284</v>
      </c>
      <c r="Q4043" s="9" t="s">
        <v>13284</v>
      </c>
      <c r="R4043" s="9" t="s">
        <v>13284</v>
      </c>
      <c r="S4043" s="9" t="s">
        <v>13284</v>
      </c>
      <c r="T4043" s="9" t="str">
        <f ca="1">IFERROR(IF(AND(VLOOKUP(A4043, 'Актуальное состояние (из общего'!A:C,3,0) = "", A4043 &lt;&gt; ""), "ПРОВЕРИТЬ", VLOOKUP(A4043, 'Актуальное состояние (из общего'!A:C,3,0)), "")</f>
        <v/>
      </c>
      <c r="U4043" s="9" t="s">
        <v>13284</v>
      </c>
      <c r="V4043" s="9" t="s">
        <v>13284</v>
      </c>
      <c r="W4043" s="12"/>
      <c r="X4043" s="9" t="str">
        <f t="array" ref="X4043">IFERROR(INDEX('Адреса общежитий (скрытый)'!$B$2:$B$9, MATCH(W4043, 'Адреса общежитий (скрытый)'!$A$2:$A$9, 0)), "")</f>
        <v/>
      </c>
      <c r="Y4043" s="18"/>
      <c r="Z4043" s="18"/>
      <c r="AA4043" s="18"/>
      <c r="AB4043" s="18"/>
      <c r="AC4043" s="18"/>
    </row>
    <row r="4044" spans="1:29" ht="32.25" hidden="1" customHeight="1">
      <c r="A4044" s="17"/>
      <c r="B4044" s="9" t="s">
        <v>13284</v>
      </c>
      <c r="C4044" s="9" t="s">
        <v>13284</v>
      </c>
      <c r="D4044" s="9" t="s">
        <v>13284</v>
      </c>
      <c r="E4044" s="9" t="s">
        <v>13284</v>
      </c>
      <c r="F4044" s="9" t="s">
        <v>13284</v>
      </c>
      <c r="G4044" s="9" t="s">
        <v>13284</v>
      </c>
      <c r="H4044" s="9" t="s">
        <v>13284</v>
      </c>
      <c r="I4044" s="9" t="s">
        <v>13284</v>
      </c>
      <c r="J4044" s="9" t="s">
        <v>13284</v>
      </c>
      <c r="K4044" s="9" t="s">
        <v>13284</v>
      </c>
      <c r="L4044" s="9" t="s">
        <v>13284</v>
      </c>
      <c r="M4044" s="9" t="s">
        <v>13284</v>
      </c>
      <c r="N4044" s="9" t="s">
        <v>13284</v>
      </c>
      <c r="O4044" s="9" t="s">
        <v>13284</v>
      </c>
      <c r="P4044" s="9" t="s">
        <v>13284</v>
      </c>
      <c r="Q4044" s="9" t="s">
        <v>13284</v>
      </c>
      <c r="R4044" s="9" t="s">
        <v>13284</v>
      </c>
      <c r="S4044" s="9" t="s">
        <v>13284</v>
      </c>
      <c r="T4044" s="9" t="str">
        <f ca="1">IFERROR(IF(AND(VLOOKUP(A4044, 'Актуальное состояние (из общего'!A:C,3,0) = "", A4044 &lt;&gt; ""), "ПРОВЕРИТЬ", VLOOKUP(A4044, 'Актуальное состояние (из общего'!A:C,3,0)), "")</f>
        <v/>
      </c>
      <c r="U4044" s="9" t="s">
        <v>13284</v>
      </c>
      <c r="V4044" s="9" t="s">
        <v>13284</v>
      </c>
      <c r="W4044" s="12"/>
      <c r="X4044" s="9" t="str">
        <f t="array" ref="X4044">IFERROR(INDEX('Адреса общежитий (скрытый)'!$B$2:$B$9, MATCH(W4044, 'Адреса общежитий (скрытый)'!$A$2:$A$9, 0)), "")</f>
        <v/>
      </c>
      <c r="Y4044" s="18"/>
      <c r="Z4044" s="18"/>
      <c r="AA4044" s="18"/>
      <c r="AB4044" s="18"/>
      <c r="AC4044" s="18"/>
    </row>
    <row r="4045" spans="1:29" ht="32.25" hidden="1" customHeight="1">
      <c r="A4045" s="17"/>
      <c r="B4045" s="9" t="s">
        <v>13284</v>
      </c>
      <c r="C4045" s="9" t="s">
        <v>13284</v>
      </c>
      <c r="D4045" s="9" t="s">
        <v>13284</v>
      </c>
      <c r="E4045" s="9" t="s">
        <v>13284</v>
      </c>
      <c r="F4045" s="9" t="s">
        <v>13284</v>
      </c>
      <c r="G4045" s="9" t="s">
        <v>13284</v>
      </c>
      <c r="H4045" s="9" t="s">
        <v>13284</v>
      </c>
      <c r="I4045" s="9" t="s">
        <v>13284</v>
      </c>
      <c r="J4045" s="9" t="s">
        <v>13284</v>
      </c>
      <c r="K4045" s="9" t="s">
        <v>13284</v>
      </c>
      <c r="L4045" s="9" t="s">
        <v>13284</v>
      </c>
      <c r="M4045" s="9" t="s">
        <v>13284</v>
      </c>
      <c r="N4045" s="9" t="s">
        <v>13284</v>
      </c>
      <c r="O4045" s="9" t="s">
        <v>13284</v>
      </c>
      <c r="P4045" s="9" t="s">
        <v>13284</v>
      </c>
      <c r="Q4045" s="9" t="s">
        <v>13284</v>
      </c>
      <c r="R4045" s="9" t="s">
        <v>13284</v>
      </c>
      <c r="S4045" s="9" t="s">
        <v>13284</v>
      </c>
      <c r="T4045" s="9" t="str">
        <f ca="1">IFERROR(IF(AND(VLOOKUP(A4045, 'Актуальное состояние (из общего'!A:C,3,0) = "", A4045 &lt;&gt; ""), "ПРОВЕРИТЬ", VLOOKUP(A4045, 'Актуальное состояние (из общего'!A:C,3,0)), "")</f>
        <v/>
      </c>
      <c r="U4045" s="9" t="s">
        <v>13284</v>
      </c>
      <c r="V4045" s="9" t="s">
        <v>13284</v>
      </c>
      <c r="W4045" s="12"/>
      <c r="X4045" s="9" t="str">
        <f t="array" ref="X4045">IFERROR(INDEX('Адреса общежитий (скрытый)'!$B$2:$B$9, MATCH(W4045, 'Адреса общежитий (скрытый)'!$A$2:$A$9, 0)), "")</f>
        <v/>
      </c>
      <c r="Y4045" s="18"/>
      <c r="Z4045" s="18"/>
      <c r="AA4045" s="18"/>
      <c r="AB4045" s="18"/>
      <c r="AC4045" s="18"/>
    </row>
    <row r="4046" spans="1:29" ht="32.25" hidden="1" customHeight="1">
      <c r="A4046" s="17"/>
      <c r="B4046" s="9" t="s">
        <v>13284</v>
      </c>
      <c r="C4046" s="9" t="s">
        <v>13284</v>
      </c>
      <c r="D4046" s="9" t="s">
        <v>13284</v>
      </c>
      <c r="E4046" s="9" t="s">
        <v>13284</v>
      </c>
      <c r="F4046" s="9" t="s">
        <v>13284</v>
      </c>
      <c r="G4046" s="9" t="s">
        <v>13284</v>
      </c>
      <c r="H4046" s="9" t="s">
        <v>13284</v>
      </c>
      <c r="I4046" s="9" t="s">
        <v>13284</v>
      </c>
      <c r="J4046" s="9" t="s">
        <v>13284</v>
      </c>
      <c r="K4046" s="9" t="s">
        <v>13284</v>
      </c>
      <c r="L4046" s="9" t="s">
        <v>13284</v>
      </c>
      <c r="M4046" s="9" t="s">
        <v>13284</v>
      </c>
      <c r="N4046" s="9" t="s">
        <v>13284</v>
      </c>
      <c r="O4046" s="9" t="s">
        <v>13284</v>
      </c>
      <c r="P4046" s="9" t="s">
        <v>13284</v>
      </c>
      <c r="Q4046" s="9" t="s">
        <v>13284</v>
      </c>
      <c r="R4046" s="9" t="s">
        <v>13284</v>
      </c>
      <c r="S4046" s="9" t="s">
        <v>13284</v>
      </c>
      <c r="T4046" s="9" t="str">
        <f ca="1">IFERROR(IF(AND(VLOOKUP(A4046, 'Актуальное состояние (из общего'!A:C,3,0) = "", A4046 &lt;&gt; ""), "ПРОВЕРИТЬ", VLOOKUP(A4046, 'Актуальное состояние (из общего'!A:C,3,0)), "")</f>
        <v/>
      </c>
      <c r="U4046" s="9" t="s">
        <v>13284</v>
      </c>
      <c r="V4046" s="9" t="s">
        <v>13284</v>
      </c>
      <c r="W4046" s="12"/>
      <c r="X4046" s="9" t="str">
        <f t="array" ref="X4046">IFERROR(INDEX('Адреса общежитий (скрытый)'!$B$2:$B$9, MATCH(W4046, 'Адреса общежитий (скрытый)'!$A$2:$A$9, 0)), "")</f>
        <v/>
      </c>
      <c r="Y4046" s="18"/>
      <c r="Z4046" s="18"/>
      <c r="AA4046" s="18"/>
      <c r="AB4046" s="18"/>
      <c r="AC4046" s="18"/>
    </row>
    <row r="4047" spans="1:29" ht="32.25" hidden="1" customHeight="1">
      <c r="A4047" s="17"/>
      <c r="B4047" s="9" t="s">
        <v>13284</v>
      </c>
      <c r="C4047" s="9" t="s">
        <v>13284</v>
      </c>
      <c r="D4047" s="9" t="s">
        <v>13284</v>
      </c>
      <c r="E4047" s="9" t="s">
        <v>13284</v>
      </c>
      <c r="F4047" s="9" t="s">
        <v>13284</v>
      </c>
      <c r="G4047" s="9" t="s">
        <v>13284</v>
      </c>
      <c r="H4047" s="9" t="s">
        <v>13284</v>
      </c>
      <c r="I4047" s="9" t="s">
        <v>13284</v>
      </c>
      <c r="J4047" s="9" t="s">
        <v>13284</v>
      </c>
      <c r="K4047" s="9" t="s">
        <v>13284</v>
      </c>
      <c r="L4047" s="9" t="s">
        <v>13284</v>
      </c>
      <c r="M4047" s="9" t="s">
        <v>13284</v>
      </c>
      <c r="N4047" s="9" t="s">
        <v>13284</v>
      </c>
      <c r="O4047" s="9" t="s">
        <v>13284</v>
      </c>
      <c r="P4047" s="9" t="s">
        <v>13284</v>
      </c>
      <c r="Q4047" s="9" t="s">
        <v>13284</v>
      </c>
      <c r="R4047" s="9" t="s">
        <v>13284</v>
      </c>
      <c r="S4047" s="9" t="s">
        <v>13284</v>
      </c>
      <c r="T4047" s="9" t="str">
        <f ca="1">IFERROR(IF(AND(VLOOKUP(A4047, 'Актуальное состояние (из общего'!A:C,3,0) = "", A4047 &lt;&gt; ""), "ПРОВЕРИТЬ", VLOOKUP(A4047, 'Актуальное состояние (из общего'!A:C,3,0)), "")</f>
        <v/>
      </c>
      <c r="U4047" s="9" t="s">
        <v>13284</v>
      </c>
      <c r="V4047" s="9" t="s">
        <v>13284</v>
      </c>
      <c r="W4047" s="12"/>
      <c r="X4047" s="9" t="str">
        <f t="array" ref="X4047">IFERROR(INDEX('Адреса общежитий (скрытый)'!$B$2:$B$9, MATCH(W4047, 'Адреса общежитий (скрытый)'!$A$2:$A$9, 0)), "")</f>
        <v/>
      </c>
      <c r="Y4047" s="18"/>
      <c r="Z4047" s="18"/>
      <c r="AA4047" s="18"/>
      <c r="AB4047" s="18"/>
      <c r="AC4047" s="18"/>
    </row>
    <row r="4048" spans="1:29" ht="32.25" hidden="1" customHeight="1">
      <c r="A4048" s="17"/>
      <c r="B4048" s="9" t="s">
        <v>13284</v>
      </c>
      <c r="C4048" s="9" t="s">
        <v>13284</v>
      </c>
      <c r="D4048" s="9" t="s">
        <v>13284</v>
      </c>
      <c r="E4048" s="9" t="s">
        <v>13284</v>
      </c>
      <c r="F4048" s="9" t="s">
        <v>13284</v>
      </c>
      <c r="G4048" s="9" t="s">
        <v>13284</v>
      </c>
      <c r="H4048" s="9" t="s">
        <v>13284</v>
      </c>
      <c r="I4048" s="9" t="s">
        <v>13284</v>
      </c>
      <c r="J4048" s="9" t="s">
        <v>13284</v>
      </c>
      <c r="K4048" s="9" t="s">
        <v>13284</v>
      </c>
      <c r="L4048" s="9" t="s">
        <v>13284</v>
      </c>
      <c r="M4048" s="9" t="s">
        <v>13284</v>
      </c>
      <c r="N4048" s="9" t="s">
        <v>13284</v>
      </c>
      <c r="O4048" s="9" t="s">
        <v>13284</v>
      </c>
      <c r="P4048" s="9" t="s">
        <v>13284</v>
      </c>
      <c r="Q4048" s="9" t="s">
        <v>13284</v>
      </c>
      <c r="R4048" s="9" t="s">
        <v>13284</v>
      </c>
      <c r="S4048" s="9" t="s">
        <v>13284</v>
      </c>
      <c r="T4048" s="9" t="str">
        <f ca="1">IFERROR(IF(AND(VLOOKUP(A4048, 'Актуальное состояние (из общего'!A:C,3,0) = "", A4048 &lt;&gt; ""), "ПРОВЕРИТЬ", VLOOKUP(A4048, 'Актуальное состояние (из общего'!A:C,3,0)), "")</f>
        <v/>
      </c>
      <c r="U4048" s="9" t="s">
        <v>13284</v>
      </c>
      <c r="V4048" s="9" t="s">
        <v>13284</v>
      </c>
      <c r="W4048" s="12"/>
      <c r="X4048" s="9" t="str">
        <f t="array" ref="X4048">IFERROR(INDEX('Адреса общежитий (скрытый)'!$B$2:$B$9, MATCH(W4048, 'Адреса общежитий (скрытый)'!$A$2:$A$9, 0)), "")</f>
        <v/>
      </c>
      <c r="Y4048" s="18"/>
      <c r="Z4048" s="18"/>
      <c r="AA4048" s="18"/>
      <c r="AB4048" s="18"/>
      <c r="AC4048" s="18"/>
    </row>
    <row r="4049" spans="1:29" ht="32.25" hidden="1" customHeight="1">
      <c r="A4049" s="17"/>
      <c r="B4049" s="9" t="s">
        <v>13284</v>
      </c>
      <c r="C4049" s="9" t="s">
        <v>13284</v>
      </c>
      <c r="D4049" s="9" t="s">
        <v>13284</v>
      </c>
      <c r="E4049" s="9" t="s">
        <v>13284</v>
      </c>
      <c r="F4049" s="9" t="s">
        <v>13284</v>
      </c>
      <c r="G4049" s="9" t="s">
        <v>13284</v>
      </c>
      <c r="H4049" s="9" t="s">
        <v>13284</v>
      </c>
      <c r="I4049" s="9" t="s">
        <v>13284</v>
      </c>
      <c r="J4049" s="9" t="s">
        <v>13284</v>
      </c>
      <c r="K4049" s="9" t="s">
        <v>13284</v>
      </c>
      <c r="L4049" s="9" t="s">
        <v>13284</v>
      </c>
      <c r="M4049" s="9" t="s">
        <v>13284</v>
      </c>
      <c r="N4049" s="9" t="s">
        <v>13284</v>
      </c>
      <c r="O4049" s="9" t="s">
        <v>13284</v>
      </c>
      <c r="P4049" s="9" t="s">
        <v>13284</v>
      </c>
      <c r="Q4049" s="9" t="s">
        <v>13284</v>
      </c>
      <c r="R4049" s="9" t="s">
        <v>13284</v>
      </c>
      <c r="S4049" s="9" t="s">
        <v>13284</v>
      </c>
      <c r="T4049" s="9" t="str">
        <f ca="1">IFERROR(IF(AND(VLOOKUP(A4049, 'Актуальное состояние (из общего'!A:C,3,0) = "", A4049 &lt;&gt; ""), "ПРОВЕРИТЬ", VLOOKUP(A4049, 'Актуальное состояние (из общего'!A:C,3,0)), "")</f>
        <v/>
      </c>
      <c r="U4049" s="9" t="s">
        <v>13284</v>
      </c>
      <c r="V4049" s="9" t="s">
        <v>13284</v>
      </c>
      <c r="W4049" s="12"/>
      <c r="X4049" s="9" t="str">
        <f t="array" ref="X4049">IFERROR(INDEX('Адреса общежитий (скрытый)'!$B$2:$B$9, MATCH(W4049, 'Адреса общежитий (скрытый)'!$A$2:$A$9, 0)), "")</f>
        <v/>
      </c>
      <c r="Y4049" s="18"/>
      <c r="Z4049" s="18"/>
      <c r="AA4049" s="18"/>
      <c r="AB4049" s="18"/>
      <c r="AC4049" s="18"/>
    </row>
    <row r="4050" spans="1:29" ht="32.25" hidden="1" customHeight="1">
      <c r="A4050" s="17"/>
      <c r="B4050" s="9" t="s">
        <v>13284</v>
      </c>
      <c r="C4050" s="9" t="s">
        <v>13284</v>
      </c>
      <c r="D4050" s="9" t="s">
        <v>13284</v>
      </c>
      <c r="E4050" s="9" t="s">
        <v>13284</v>
      </c>
      <c r="F4050" s="9" t="s">
        <v>13284</v>
      </c>
      <c r="G4050" s="9" t="s">
        <v>13284</v>
      </c>
      <c r="H4050" s="9" t="s">
        <v>13284</v>
      </c>
      <c r="I4050" s="9" t="s">
        <v>13284</v>
      </c>
      <c r="J4050" s="9" t="s">
        <v>13284</v>
      </c>
      <c r="K4050" s="9" t="s">
        <v>13284</v>
      </c>
      <c r="L4050" s="9" t="s">
        <v>13284</v>
      </c>
      <c r="M4050" s="9" t="s">
        <v>13284</v>
      </c>
      <c r="N4050" s="9" t="s">
        <v>13284</v>
      </c>
      <c r="O4050" s="9" t="s">
        <v>13284</v>
      </c>
      <c r="P4050" s="9" t="s">
        <v>13284</v>
      </c>
      <c r="Q4050" s="9" t="s">
        <v>13284</v>
      </c>
      <c r="R4050" s="9" t="s">
        <v>13284</v>
      </c>
      <c r="S4050" s="9" t="s">
        <v>13284</v>
      </c>
      <c r="T4050" s="9" t="str">
        <f ca="1">IFERROR(IF(AND(VLOOKUP(A4050, 'Актуальное состояние (из общего'!A:C,3,0) = "", A4050 &lt;&gt; ""), "ПРОВЕРИТЬ", VLOOKUP(A4050, 'Актуальное состояние (из общего'!A:C,3,0)), "")</f>
        <v/>
      </c>
      <c r="U4050" s="9" t="s">
        <v>13284</v>
      </c>
      <c r="V4050" s="9" t="s">
        <v>13284</v>
      </c>
      <c r="W4050" s="12"/>
      <c r="X4050" s="9" t="str">
        <f t="array" ref="X4050">IFERROR(INDEX('Адреса общежитий (скрытый)'!$B$2:$B$9, MATCH(W4050, 'Адреса общежитий (скрытый)'!$A$2:$A$9, 0)), "")</f>
        <v/>
      </c>
      <c r="Y4050" s="18"/>
      <c r="Z4050" s="18"/>
      <c r="AA4050" s="18"/>
      <c r="AB4050" s="18"/>
      <c r="AC4050" s="18"/>
    </row>
    <row r="4051" spans="1:29" ht="32.25" hidden="1" customHeight="1">
      <c r="A4051" s="17"/>
      <c r="B4051" s="9" t="s">
        <v>13284</v>
      </c>
      <c r="C4051" s="9" t="s">
        <v>13284</v>
      </c>
      <c r="D4051" s="9" t="s">
        <v>13284</v>
      </c>
      <c r="E4051" s="9" t="s">
        <v>13284</v>
      </c>
      <c r="F4051" s="9" t="s">
        <v>13284</v>
      </c>
      <c r="G4051" s="9" t="s">
        <v>13284</v>
      </c>
      <c r="H4051" s="9" t="s">
        <v>13284</v>
      </c>
      <c r="I4051" s="9" t="s">
        <v>13284</v>
      </c>
      <c r="J4051" s="9" t="s">
        <v>13284</v>
      </c>
      <c r="K4051" s="9" t="s">
        <v>13284</v>
      </c>
      <c r="L4051" s="9" t="s">
        <v>13284</v>
      </c>
      <c r="M4051" s="9" t="s">
        <v>13284</v>
      </c>
      <c r="N4051" s="9" t="s">
        <v>13284</v>
      </c>
      <c r="O4051" s="9" t="s">
        <v>13284</v>
      </c>
      <c r="P4051" s="9" t="s">
        <v>13284</v>
      </c>
      <c r="Q4051" s="9" t="s">
        <v>13284</v>
      </c>
      <c r="R4051" s="9" t="s">
        <v>13284</v>
      </c>
      <c r="S4051" s="9" t="s">
        <v>13284</v>
      </c>
      <c r="T4051" s="9" t="str">
        <f ca="1">IFERROR(IF(AND(VLOOKUP(A4051, 'Актуальное состояние (из общего'!A:C,3,0) = "", A4051 &lt;&gt; ""), "ПРОВЕРИТЬ", VLOOKUP(A4051, 'Актуальное состояние (из общего'!A:C,3,0)), "")</f>
        <v/>
      </c>
      <c r="U4051" s="9" t="s">
        <v>13284</v>
      </c>
      <c r="V4051" s="9" t="s">
        <v>13284</v>
      </c>
      <c r="W4051" s="12"/>
      <c r="X4051" s="9" t="str">
        <f t="array" ref="X4051">IFERROR(INDEX('Адреса общежитий (скрытый)'!$B$2:$B$9, MATCH(W4051, 'Адреса общежитий (скрытый)'!$A$2:$A$9, 0)), "")</f>
        <v/>
      </c>
      <c r="Y4051" s="18"/>
      <c r="Z4051" s="18"/>
      <c r="AA4051" s="18"/>
      <c r="AB4051" s="18"/>
      <c r="AC4051" s="18"/>
    </row>
    <row r="4052" spans="1:29" ht="32.25" hidden="1" customHeight="1">
      <c r="A4052" s="17"/>
      <c r="B4052" s="9" t="s">
        <v>13284</v>
      </c>
      <c r="C4052" s="9" t="s">
        <v>13284</v>
      </c>
      <c r="D4052" s="9" t="s">
        <v>13284</v>
      </c>
      <c r="E4052" s="9" t="s">
        <v>13284</v>
      </c>
      <c r="F4052" s="9" t="s">
        <v>13284</v>
      </c>
      <c r="G4052" s="9" t="s">
        <v>13284</v>
      </c>
      <c r="H4052" s="9" t="s">
        <v>13284</v>
      </c>
      <c r="I4052" s="9" t="s">
        <v>13284</v>
      </c>
      <c r="J4052" s="9" t="s">
        <v>13284</v>
      </c>
      <c r="K4052" s="9" t="s">
        <v>13284</v>
      </c>
      <c r="L4052" s="9" t="s">
        <v>13284</v>
      </c>
      <c r="M4052" s="9" t="s">
        <v>13284</v>
      </c>
      <c r="N4052" s="9" t="s">
        <v>13284</v>
      </c>
      <c r="O4052" s="9" t="s">
        <v>13284</v>
      </c>
      <c r="P4052" s="9" t="s">
        <v>13284</v>
      </c>
      <c r="Q4052" s="9" t="s">
        <v>13284</v>
      </c>
      <c r="R4052" s="9" t="s">
        <v>13284</v>
      </c>
      <c r="S4052" s="9" t="s">
        <v>13284</v>
      </c>
      <c r="T4052" s="9" t="str">
        <f ca="1">IFERROR(IF(AND(VLOOKUP(A4052, 'Актуальное состояние (из общего'!A:C,3,0) = "", A4052 &lt;&gt; ""), "ПРОВЕРИТЬ", VLOOKUP(A4052, 'Актуальное состояние (из общего'!A:C,3,0)), "")</f>
        <v/>
      </c>
      <c r="U4052" s="9" t="s">
        <v>13284</v>
      </c>
      <c r="V4052" s="9" t="s">
        <v>13284</v>
      </c>
      <c r="W4052" s="12"/>
      <c r="X4052" s="9" t="str">
        <f t="array" ref="X4052">IFERROR(INDEX('Адреса общежитий (скрытый)'!$B$2:$B$9, MATCH(W4052, 'Адреса общежитий (скрытый)'!$A$2:$A$9, 0)), "")</f>
        <v/>
      </c>
      <c r="Y4052" s="18"/>
      <c r="Z4052" s="18"/>
      <c r="AA4052" s="18"/>
      <c r="AB4052" s="18"/>
      <c r="AC4052" s="18"/>
    </row>
    <row r="4053" spans="1:29" ht="32.25" hidden="1" customHeight="1">
      <c r="A4053" s="17"/>
      <c r="B4053" s="9" t="s">
        <v>13284</v>
      </c>
      <c r="C4053" s="9" t="s">
        <v>13284</v>
      </c>
      <c r="D4053" s="9" t="s">
        <v>13284</v>
      </c>
      <c r="E4053" s="9" t="s">
        <v>13284</v>
      </c>
      <c r="F4053" s="9" t="s">
        <v>13284</v>
      </c>
      <c r="G4053" s="9" t="s">
        <v>13284</v>
      </c>
      <c r="H4053" s="9" t="s">
        <v>13284</v>
      </c>
      <c r="I4053" s="9" t="s">
        <v>13284</v>
      </c>
      <c r="J4053" s="9" t="s">
        <v>13284</v>
      </c>
      <c r="K4053" s="9" t="s">
        <v>13284</v>
      </c>
      <c r="L4053" s="9" t="s">
        <v>13284</v>
      </c>
      <c r="M4053" s="9" t="s">
        <v>13284</v>
      </c>
      <c r="N4053" s="9" t="s">
        <v>13284</v>
      </c>
      <c r="O4053" s="9" t="s">
        <v>13284</v>
      </c>
      <c r="P4053" s="9" t="s">
        <v>13284</v>
      </c>
      <c r="Q4053" s="9" t="s">
        <v>13284</v>
      </c>
      <c r="R4053" s="9" t="s">
        <v>13284</v>
      </c>
      <c r="S4053" s="9" t="s">
        <v>13284</v>
      </c>
      <c r="T4053" s="9" t="str">
        <f ca="1">IFERROR(IF(AND(VLOOKUP(A4053, 'Актуальное состояние (из общего'!A:C,3,0) = "", A4053 &lt;&gt; ""), "ПРОВЕРИТЬ", VLOOKUP(A4053, 'Актуальное состояние (из общего'!A:C,3,0)), "")</f>
        <v/>
      </c>
      <c r="U4053" s="9" t="s">
        <v>13284</v>
      </c>
      <c r="V4053" s="9" t="s">
        <v>13284</v>
      </c>
      <c r="W4053" s="12"/>
      <c r="X4053" s="9" t="str">
        <f t="array" ref="X4053">IFERROR(INDEX('Адреса общежитий (скрытый)'!$B$2:$B$9, MATCH(W4053, 'Адреса общежитий (скрытый)'!$A$2:$A$9, 0)), "")</f>
        <v/>
      </c>
      <c r="Y4053" s="18"/>
      <c r="Z4053" s="18"/>
      <c r="AA4053" s="18"/>
      <c r="AB4053" s="18"/>
      <c r="AC4053" s="18"/>
    </row>
    <row r="4054" spans="1:29" ht="32.25" hidden="1" customHeight="1">
      <c r="A4054" s="17"/>
      <c r="B4054" s="9" t="s">
        <v>13284</v>
      </c>
      <c r="C4054" s="9" t="s">
        <v>13284</v>
      </c>
      <c r="D4054" s="9" t="s">
        <v>13284</v>
      </c>
      <c r="E4054" s="9" t="s">
        <v>13284</v>
      </c>
      <c r="F4054" s="9" t="s">
        <v>13284</v>
      </c>
      <c r="G4054" s="9" t="s">
        <v>13284</v>
      </c>
      <c r="H4054" s="9" t="s">
        <v>13284</v>
      </c>
      <c r="I4054" s="9" t="s">
        <v>13284</v>
      </c>
      <c r="J4054" s="9" t="s">
        <v>13284</v>
      </c>
      <c r="K4054" s="9" t="s">
        <v>13284</v>
      </c>
      <c r="L4054" s="9" t="s">
        <v>13284</v>
      </c>
      <c r="M4054" s="9" t="s">
        <v>13284</v>
      </c>
      <c r="N4054" s="9" t="s">
        <v>13284</v>
      </c>
      <c r="O4054" s="9" t="s">
        <v>13284</v>
      </c>
      <c r="P4054" s="9" t="s">
        <v>13284</v>
      </c>
      <c r="Q4054" s="9" t="s">
        <v>13284</v>
      </c>
      <c r="R4054" s="9" t="s">
        <v>13284</v>
      </c>
      <c r="S4054" s="9" t="s">
        <v>13284</v>
      </c>
      <c r="T4054" s="9" t="str">
        <f ca="1">IFERROR(IF(AND(VLOOKUP(A4054, 'Актуальное состояние (из общего'!A:C,3,0) = "", A4054 &lt;&gt; ""), "ПРОВЕРИТЬ", VLOOKUP(A4054, 'Актуальное состояние (из общего'!A:C,3,0)), "")</f>
        <v/>
      </c>
      <c r="U4054" s="9" t="s">
        <v>13284</v>
      </c>
      <c r="V4054" s="9" t="s">
        <v>13284</v>
      </c>
      <c r="W4054" s="12"/>
      <c r="X4054" s="9" t="str">
        <f t="array" ref="X4054">IFERROR(INDEX('Адреса общежитий (скрытый)'!$B$2:$B$9, MATCH(W4054, 'Адреса общежитий (скрытый)'!$A$2:$A$9, 0)), "")</f>
        <v/>
      </c>
      <c r="Y4054" s="18"/>
      <c r="Z4054" s="18"/>
      <c r="AA4054" s="18"/>
      <c r="AB4054" s="18"/>
      <c r="AC4054" s="18"/>
    </row>
    <row r="4055" spans="1:29" ht="32.25" hidden="1" customHeight="1">
      <c r="A4055" s="17"/>
      <c r="B4055" s="9" t="s">
        <v>13284</v>
      </c>
      <c r="C4055" s="9" t="s">
        <v>13284</v>
      </c>
      <c r="D4055" s="9" t="s">
        <v>13284</v>
      </c>
      <c r="E4055" s="9" t="s">
        <v>13284</v>
      </c>
      <c r="F4055" s="9" t="s">
        <v>13284</v>
      </c>
      <c r="G4055" s="9" t="s">
        <v>13284</v>
      </c>
      <c r="H4055" s="9" t="s">
        <v>13284</v>
      </c>
      <c r="I4055" s="9" t="s">
        <v>13284</v>
      </c>
      <c r="J4055" s="9" t="s">
        <v>13284</v>
      </c>
      <c r="K4055" s="9" t="s">
        <v>13284</v>
      </c>
      <c r="L4055" s="9" t="s">
        <v>13284</v>
      </c>
      <c r="M4055" s="9" t="s">
        <v>13284</v>
      </c>
      <c r="N4055" s="9" t="s">
        <v>13284</v>
      </c>
      <c r="O4055" s="9" t="s">
        <v>13284</v>
      </c>
      <c r="P4055" s="9" t="s">
        <v>13284</v>
      </c>
      <c r="Q4055" s="9" t="s">
        <v>13284</v>
      </c>
      <c r="R4055" s="9" t="s">
        <v>13284</v>
      </c>
      <c r="S4055" s="9" t="s">
        <v>13284</v>
      </c>
      <c r="T4055" s="9" t="str">
        <f ca="1">IFERROR(IF(AND(VLOOKUP(A4055, 'Актуальное состояние (из общего'!A:C,3,0) = "", A4055 &lt;&gt; ""), "ПРОВЕРИТЬ", VLOOKUP(A4055, 'Актуальное состояние (из общего'!A:C,3,0)), "")</f>
        <v/>
      </c>
      <c r="U4055" s="9" t="s">
        <v>13284</v>
      </c>
      <c r="V4055" s="9" t="s">
        <v>13284</v>
      </c>
      <c r="W4055" s="12"/>
      <c r="X4055" s="9" t="str">
        <f t="array" ref="X4055">IFERROR(INDEX('Адреса общежитий (скрытый)'!$B$2:$B$9, MATCH(W4055, 'Адреса общежитий (скрытый)'!$A$2:$A$9, 0)), "")</f>
        <v/>
      </c>
      <c r="Y4055" s="18"/>
      <c r="Z4055" s="18"/>
      <c r="AA4055" s="18"/>
      <c r="AB4055" s="18"/>
      <c r="AC4055" s="18"/>
    </row>
    <row r="4056" spans="1:29" ht="32.25" hidden="1" customHeight="1">
      <c r="A4056" s="17"/>
      <c r="B4056" s="9" t="s">
        <v>13284</v>
      </c>
      <c r="C4056" s="9" t="s">
        <v>13284</v>
      </c>
      <c r="D4056" s="9" t="s">
        <v>13284</v>
      </c>
      <c r="E4056" s="9" t="s">
        <v>13284</v>
      </c>
      <c r="F4056" s="9" t="s">
        <v>13284</v>
      </c>
      <c r="G4056" s="9" t="s">
        <v>13284</v>
      </c>
      <c r="H4056" s="9" t="s">
        <v>13284</v>
      </c>
      <c r="I4056" s="9" t="s">
        <v>13284</v>
      </c>
      <c r="J4056" s="9" t="s">
        <v>13284</v>
      </c>
      <c r="K4056" s="9" t="s">
        <v>13284</v>
      </c>
      <c r="L4056" s="9" t="s">
        <v>13284</v>
      </c>
      <c r="M4056" s="9" t="s">
        <v>13284</v>
      </c>
      <c r="N4056" s="9" t="s">
        <v>13284</v>
      </c>
      <c r="O4056" s="9" t="s">
        <v>13284</v>
      </c>
      <c r="P4056" s="9" t="s">
        <v>13284</v>
      </c>
      <c r="Q4056" s="9" t="s">
        <v>13284</v>
      </c>
      <c r="R4056" s="9" t="s">
        <v>13284</v>
      </c>
      <c r="S4056" s="9" t="s">
        <v>13284</v>
      </c>
      <c r="T4056" s="9" t="str">
        <f ca="1">IFERROR(IF(AND(VLOOKUP(A4056, 'Актуальное состояние (из общего'!A:C,3,0) = "", A4056 &lt;&gt; ""), "ПРОВЕРИТЬ", VLOOKUP(A4056, 'Актуальное состояние (из общего'!A:C,3,0)), "")</f>
        <v/>
      </c>
      <c r="U4056" s="9" t="s">
        <v>13284</v>
      </c>
      <c r="V4056" s="9" t="s">
        <v>13284</v>
      </c>
      <c r="W4056" s="12"/>
      <c r="X4056" s="9" t="str">
        <f t="array" ref="X4056">IFERROR(INDEX('Адреса общежитий (скрытый)'!$B$2:$B$9, MATCH(W4056, 'Адреса общежитий (скрытый)'!$A$2:$A$9, 0)), "")</f>
        <v/>
      </c>
      <c r="Y4056" s="18"/>
      <c r="Z4056" s="18"/>
      <c r="AA4056" s="18"/>
      <c r="AB4056" s="18"/>
      <c r="AC4056" s="18"/>
    </row>
    <row r="4057" spans="1:29" ht="32.25" hidden="1" customHeight="1">
      <c r="A4057" s="17"/>
      <c r="B4057" s="9" t="s">
        <v>13284</v>
      </c>
      <c r="C4057" s="9" t="s">
        <v>13284</v>
      </c>
      <c r="D4057" s="9" t="s">
        <v>13284</v>
      </c>
      <c r="E4057" s="9" t="s">
        <v>13284</v>
      </c>
      <c r="F4057" s="9" t="s">
        <v>13284</v>
      </c>
      <c r="G4057" s="9" t="s">
        <v>13284</v>
      </c>
      <c r="H4057" s="9" t="s">
        <v>13284</v>
      </c>
      <c r="I4057" s="9" t="s">
        <v>13284</v>
      </c>
      <c r="J4057" s="9" t="s">
        <v>13284</v>
      </c>
      <c r="K4057" s="9" t="s">
        <v>13284</v>
      </c>
      <c r="L4057" s="9" t="s">
        <v>13284</v>
      </c>
      <c r="M4057" s="9" t="s">
        <v>13284</v>
      </c>
      <c r="N4057" s="9" t="s">
        <v>13284</v>
      </c>
      <c r="O4057" s="9" t="s">
        <v>13284</v>
      </c>
      <c r="P4057" s="9" t="s">
        <v>13284</v>
      </c>
      <c r="Q4057" s="9" t="s">
        <v>13284</v>
      </c>
      <c r="R4057" s="9" t="s">
        <v>13284</v>
      </c>
      <c r="S4057" s="9" t="s">
        <v>13284</v>
      </c>
      <c r="T4057" s="9" t="str">
        <f ca="1">IFERROR(IF(AND(VLOOKUP(A4057, 'Актуальное состояние (из общего'!A:C,3,0) = "", A4057 &lt;&gt; ""), "ПРОВЕРИТЬ", VLOOKUP(A4057, 'Актуальное состояние (из общего'!A:C,3,0)), "")</f>
        <v/>
      </c>
      <c r="U4057" s="9" t="s">
        <v>13284</v>
      </c>
      <c r="V4057" s="9" t="s">
        <v>13284</v>
      </c>
      <c r="W4057" s="12"/>
      <c r="X4057" s="9" t="str">
        <f t="array" ref="X4057">IFERROR(INDEX('Адреса общежитий (скрытый)'!$B$2:$B$9, MATCH(W4057, 'Адреса общежитий (скрытый)'!$A$2:$A$9, 0)), "")</f>
        <v/>
      </c>
      <c r="Y4057" s="18"/>
      <c r="Z4057" s="18"/>
      <c r="AA4057" s="18"/>
      <c r="AB4057" s="18"/>
      <c r="AC4057" s="18"/>
    </row>
    <row r="4058" spans="1:29" ht="32.25" hidden="1" customHeight="1">
      <c r="A4058" s="17"/>
      <c r="B4058" s="9" t="s">
        <v>13284</v>
      </c>
      <c r="C4058" s="9" t="s">
        <v>13284</v>
      </c>
      <c r="D4058" s="9" t="s">
        <v>13284</v>
      </c>
      <c r="E4058" s="9" t="s">
        <v>13284</v>
      </c>
      <c r="F4058" s="9" t="s">
        <v>13284</v>
      </c>
      <c r="G4058" s="9" t="s">
        <v>13284</v>
      </c>
      <c r="H4058" s="9" t="s">
        <v>13284</v>
      </c>
      <c r="I4058" s="9" t="s">
        <v>13284</v>
      </c>
      <c r="J4058" s="9" t="s">
        <v>13284</v>
      </c>
      <c r="K4058" s="9" t="s">
        <v>13284</v>
      </c>
      <c r="L4058" s="9" t="s">
        <v>13284</v>
      </c>
      <c r="M4058" s="9" t="s">
        <v>13284</v>
      </c>
      <c r="N4058" s="9" t="s">
        <v>13284</v>
      </c>
      <c r="O4058" s="9" t="s">
        <v>13284</v>
      </c>
      <c r="P4058" s="9" t="s">
        <v>13284</v>
      </c>
      <c r="Q4058" s="9" t="s">
        <v>13284</v>
      </c>
      <c r="R4058" s="9" t="s">
        <v>13284</v>
      </c>
      <c r="S4058" s="9" t="s">
        <v>13284</v>
      </c>
      <c r="T4058" s="9" t="str">
        <f ca="1">IFERROR(IF(AND(VLOOKUP(A4058, 'Актуальное состояние (из общего'!A:C,3,0) = "", A4058 &lt;&gt; ""), "ПРОВЕРИТЬ", VLOOKUP(A4058, 'Актуальное состояние (из общего'!A:C,3,0)), "")</f>
        <v/>
      </c>
      <c r="U4058" s="9" t="s">
        <v>13284</v>
      </c>
      <c r="V4058" s="9" t="s">
        <v>13284</v>
      </c>
      <c r="W4058" s="12"/>
      <c r="X4058" s="9" t="str">
        <f t="array" ref="X4058">IFERROR(INDEX('Адреса общежитий (скрытый)'!$B$2:$B$9, MATCH(W4058, 'Адреса общежитий (скрытый)'!$A$2:$A$9, 0)), "")</f>
        <v/>
      </c>
      <c r="Y4058" s="18"/>
      <c r="Z4058" s="18"/>
      <c r="AA4058" s="18"/>
      <c r="AB4058" s="18"/>
      <c r="AC4058" s="18"/>
    </row>
    <row r="4059" spans="1:29" ht="32.25" hidden="1" customHeight="1">
      <c r="A4059" s="17"/>
      <c r="B4059" s="9" t="s">
        <v>13284</v>
      </c>
      <c r="C4059" s="9" t="s">
        <v>13284</v>
      </c>
      <c r="D4059" s="9" t="s">
        <v>13284</v>
      </c>
      <c r="E4059" s="9" t="s">
        <v>13284</v>
      </c>
      <c r="F4059" s="9" t="s">
        <v>13284</v>
      </c>
      <c r="G4059" s="9" t="s">
        <v>13284</v>
      </c>
      <c r="H4059" s="9" t="s">
        <v>13284</v>
      </c>
      <c r="I4059" s="9" t="s">
        <v>13284</v>
      </c>
      <c r="J4059" s="9" t="s">
        <v>13284</v>
      </c>
      <c r="K4059" s="9" t="s">
        <v>13284</v>
      </c>
      <c r="L4059" s="9" t="s">
        <v>13284</v>
      </c>
      <c r="M4059" s="9" t="s">
        <v>13284</v>
      </c>
      <c r="N4059" s="9" t="s">
        <v>13284</v>
      </c>
      <c r="O4059" s="9" t="s">
        <v>13284</v>
      </c>
      <c r="P4059" s="9" t="s">
        <v>13284</v>
      </c>
      <c r="Q4059" s="9" t="s">
        <v>13284</v>
      </c>
      <c r="R4059" s="9" t="s">
        <v>13284</v>
      </c>
      <c r="S4059" s="9" t="s">
        <v>13284</v>
      </c>
      <c r="T4059" s="9" t="str">
        <f ca="1">IFERROR(IF(AND(VLOOKUP(A4059, 'Актуальное состояние (из общего'!A:C,3,0) = "", A4059 &lt;&gt; ""), "ПРОВЕРИТЬ", VLOOKUP(A4059, 'Актуальное состояние (из общего'!A:C,3,0)), "")</f>
        <v/>
      </c>
      <c r="U4059" s="9" t="s">
        <v>13284</v>
      </c>
      <c r="V4059" s="9" t="s">
        <v>13284</v>
      </c>
      <c r="W4059" s="12"/>
      <c r="X4059" s="9" t="str">
        <f t="array" ref="X4059">IFERROR(INDEX('Адреса общежитий (скрытый)'!$B$2:$B$9, MATCH(W4059, 'Адреса общежитий (скрытый)'!$A$2:$A$9, 0)), "")</f>
        <v/>
      </c>
      <c r="Y4059" s="18"/>
      <c r="Z4059" s="18"/>
      <c r="AA4059" s="18"/>
      <c r="AB4059" s="18"/>
      <c r="AC4059" s="18"/>
    </row>
    <row r="4060" spans="1:29" ht="32.25" hidden="1" customHeight="1">
      <c r="A4060" s="17"/>
      <c r="B4060" s="9" t="s">
        <v>13284</v>
      </c>
      <c r="C4060" s="9" t="s">
        <v>13284</v>
      </c>
      <c r="D4060" s="9" t="s">
        <v>13284</v>
      </c>
      <c r="E4060" s="9" t="s">
        <v>13284</v>
      </c>
      <c r="F4060" s="9" t="s">
        <v>13284</v>
      </c>
      <c r="G4060" s="9" t="s">
        <v>13284</v>
      </c>
      <c r="H4060" s="9" t="s">
        <v>13284</v>
      </c>
      <c r="I4060" s="9" t="s">
        <v>13284</v>
      </c>
      <c r="J4060" s="9" t="s">
        <v>13284</v>
      </c>
      <c r="K4060" s="9" t="s">
        <v>13284</v>
      </c>
      <c r="L4060" s="9" t="s">
        <v>13284</v>
      </c>
      <c r="M4060" s="9" t="s">
        <v>13284</v>
      </c>
      <c r="N4060" s="9" t="s">
        <v>13284</v>
      </c>
      <c r="O4060" s="9" t="s">
        <v>13284</v>
      </c>
      <c r="P4060" s="9" t="s">
        <v>13284</v>
      </c>
      <c r="Q4060" s="9" t="s">
        <v>13284</v>
      </c>
      <c r="R4060" s="9" t="s">
        <v>13284</v>
      </c>
      <c r="S4060" s="9" t="s">
        <v>13284</v>
      </c>
      <c r="T4060" s="9" t="str">
        <f ca="1">IFERROR(IF(AND(VLOOKUP(A4060, 'Актуальное состояние (из общего'!A:C,3,0) = "", A4060 &lt;&gt; ""), "ПРОВЕРИТЬ", VLOOKUP(A4060, 'Актуальное состояние (из общего'!A:C,3,0)), "")</f>
        <v/>
      </c>
      <c r="U4060" s="9" t="s">
        <v>13284</v>
      </c>
      <c r="V4060" s="9" t="s">
        <v>13284</v>
      </c>
      <c r="W4060" s="12"/>
      <c r="X4060" s="9" t="str">
        <f t="array" ref="X4060">IFERROR(INDEX('Адреса общежитий (скрытый)'!$B$2:$B$9, MATCH(W4060, 'Адреса общежитий (скрытый)'!$A$2:$A$9, 0)), "")</f>
        <v/>
      </c>
      <c r="Y4060" s="18"/>
      <c r="Z4060" s="18"/>
      <c r="AA4060" s="18"/>
      <c r="AB4060" s="18"/>
      <c r="AC4060" s="18"/>
    </row>
    <row r="4061" spans="1:29" ht="32.25" hidden="1" customHeight="1">
      <c r="A4061" s="17"/>
      <c r="B4061" s="9" t="s">
        <v>13284</v>
      </c>
      <c r="C4061" s="9" t="s">
        <v>13284</v>
      </c>
      <c r="D4061" s="9" t="s">
        <v>13284</v>
      </c>
      <c r="E4061" s="9" t="s">
        <v>13284</v>
      </c>
      <c r="F4061" s="9" t="s">
        <v>13284</v>
      </c>
      <c r="G4061" s="9" t="s">
        <v>13284</v>
      </c>
      <c r="H4061" s="9" t="s">
        <v>13284</v>
      </c>
      <c r="I4061" s="9" t="s">
        <v>13284</v>
      </c>
      <c r="J4061" s="9" t="s">
        <v>13284</v>
      </c>
      <c r="K4061" s="9" t="s">
        <v>13284</v>
      </c>
      <c r="L4061" s="9" t="s">
        <v>13284</v>
      </c>
      <c r="M4061" s="9" t="s">
        <v>13284</v>
      </c>
      <c r="N4061" s="9" t="s">
        <v>13284</v>
      </c>
      <c r="O4061" s="9" t="s">
        <v>13284</v>
      </c>
      <c r="P4061" s="9" t="s">
        <v>13284</v>
      </c>
      <c r="Q4061" s="9" t="s">
        <v>13284</v>
      </c>
      <c r="R4061" s="9" t="s">
        <v>13284</v>
      </c>
      <c r="S4061" s="9" t="s">
        <v>13284</v>
      </c>
      <c r="T4061" s="9" t="str">
        <f ca="1">IFERROR(IF(AND(VLOOKUP(A4061, 'Актуальное состояние (из общего'!A:C,3,0) = "", A4061 &lt;&gt; ""), "ПРОВЕРИТЬ", VLOOKUP(A4061, 'Актуальное состояние (из общего'!A:C,3,0)), "")</f>
        <v/>
      </c>
      <c r="U4061" s="9" t="s">
        <v>13284</v>
      </c>
      <c r="V4061" s="9" t="s">
        <v>13284</v>
      </c>
      <c r="W4061" s="12"/>
      <c r="X4061" s="9" t="str">
        <f t="array" ref="X4061">IFERROR(INDEX('Адреса общежитий (скрытый)'!$B$2:$B$9, MATCH(W4061, 'Адреса общежитий (скрытый)'!$A$2:$A$9, 0)), "")</f>
        <v/>
      </c>
      <c r="Y4061" s="18"/>
      <c r="Z4061" s="18"/>
      <c r="AA4061" s="18"/>
      <c r="AB4061" s="18"/>
      <c r="AC4061" s="18"/>
    </row>
    <row r="4062" spans="1:29" ht="32.25" hidden="1" customHeight="1">
      <c r="A4062" s="17"/>
      <c r="B4062" s="9" t="s">
        <v>13284</v>
      </c>
      <c r="C4062" s="9" t="s">
        <v>13284</v>
      </c>
      <c r="D4062" s="9" t="s">
        <v>13284</v>
      </c>
      <c r="E4062" s="9" t="s">
        <v>13284</v>
      </c>
      <c r="F4062" s="9" t="s">
        <v>13284</v>
      </c>
      <c r="G4062" s="9" t="s">
        <v>13284</v>
      </c>
      <c r="H4062" s="9" t="s">
        <v>13284</v>
      </c>
      <c r="I4062" s="9" t="s">
        <v>13284</v>
      </c>
      <c r="J4062" s="9" t="s">
        <v>13284</v>
      </c>
      <c r="K4062" s="9" t="s">
        <v>13284</v>
      </c>
      <c r="L4062" s="9" t="s">
        <v>13284</v>
      </c>
      <c r="M4062" s="9" t="s">
        <v>13284</v>
      </c>
      <c r="N4062" s="9" t="s">
        <v>13284</v>
      </c>
      <c r="O4062" s="9" t="s">
        <v>13284</v>
      </c>
      <c r="P4062" s="9" t="s">
        <v>13284</v>
      </c>
      <c r="Q4062" s="9" t="s">
        <v>13284</v>
      </c>
      <c r="R4062" s="9" t="s">
        <v>13284</v>
      </c>
      <c r="S4062" s="9" t="s">
        <v>13284</v>
      </c>
      <c r="T4062" s="9" t="str">
        <f ca="1">IFERROR(IF(AND(VLOOKUP(A4062, 'Актуальное состояние (из общего'!A:C,3,0) = "", A4062 &lt;&gt; ""), "ПРОВЕРИТЬ", VLOOKUP(A4062, 'Актуальное состояние (из общего'!A:C,3,0)), "")</f>
        <v/>
      </c>
      <c r="U4062" s="9" t="s">
        <v>13284</v>
      </c>
      <c r="V4062" s="9" t="s">
        <v>13284</v>
      </c>
      <c r="W4062" s="12"/>
      <c r="X4062" s="9" t="str">
        <f t="array" ref="X4062">IFERROR(INDEX('Адреса общежитий (скрытый)'!$B$2:$B$9, MATCH(W4062, 'Адреса общежитий (скрытый)'!$A$2:$A$9, 0)), "")</f>
        <v/>
      </c>
      <c r="Y4062" s="18"/>
      <c r="Z4062" s="18"/>
      <c r="AA4062" s="18"/>
      <c r="AB4062" s="18"/>
      <c r="AC4062" s="18"/>
    </row>
    <row r="4063" spans="1:29" ht="32.25" hidden="1" customHeight="1">
      <c r="A4063" s="17"/>
      <c r="B4063" s="9" t="s">
        <v>13284</v>
      </c>
      <c r="C4063" s="9" t="s">
        <v>13284</v>
      </c>
      <c r="D4063" s="9" t="s">
        <v>13284</v>
      </c>
      <c r="E4063" s="9" t="s">
        <v>13284</v>
      </c>
      <c r="F4063" s="9" t="s">
        <v>13284</v>
      </c>
      <c r="G4063" s="9" t="s">
        <v>13284</v>
      </c>
      <c r="H4063" s="9" t="s">
        <v>13284</v>
      </c>
      <c r="I4063" s="9" t="s">
        <v>13284</v>
      </c>
      <c r="J4063" s="9" t="s">
        <v>13284</v>
      </c>
      <c r="K4063" s="9" t="s">
        <v>13284</v>
      </c>
      <c r="L4063" s="9" t="s">
        <v>13284</v>
      </c>
      <c r="M4063" s="9" t="s">
        <v>13284</v>
      </c>
      <c r="N4063" s="9" t="s">
        <v>13284</v>
      </c>
      <c r="O4063" s="9" t="s">
        <v>13284</v>
      </c>
      <c r="P4063" s="9" t="s">
        <v>13284</v>
      </c>
      <c r="Q4063" s="9" t="s">
        <v>13284</v>
      </c>
      <c r="R4063" s="9" t="s">
        <v>13284</v>
      </c>
      <c r="S4063" s="9" t="s">
        <v>13284</v>
      </c>
      <c r="T4063" s="9" t="str">
        <f ca="1">IFERROR(IF(AND(VLOOKUP(A4063, 'Актуальное состояние (из общего'!A:C,3,0) = "", A4063 &lt;&gt; ""), "ПРОВЕРИТЬ", VLOOKUP(A4063, 'Актуальное состояние (из общего'!A:C,3,0)), "")</f>
        <v/>
      </c>
      <c r="U4063" s="9" t="s">
        <v>13284</v>
      </c>
      <c r="V4063" s="9" t="s">
        <v>13284</v>
      </c>
      <c r="W4063" s="12"/>
      <c r="X4063" s="9" t="str">
        <f t="array" ref="X4063">IFERROR(INDEX('Адреса общежитий (скрытый)'!$B$2:$B$9, MATCH(W4063, 'Адреса общежитий (скрытый)'!$A$2:$A$9, 0)), "")</f>
        <v/>
      </c>
      <c r="Y4063" s="18"/>
      <c r="Z4063" s="18"/>
      <c r="AA4063" s="18"/>
      <c r="AB4063" s="18"/>
      <c r="AC4063" s="18"/>
    </row>
    <row r="4064" spans="1:29" ht="32.25" hidden="1" customHeight="1">
      <c r="A4064" s="17"/>
      <c r="B4064" s="9" t="s">
        <v>13284</v>
      </c>
      <c r="C4064" s="9" t="s">
        <v>13284</v>
      </c>
      <c r="D4064" s="9" t="s">
        <v>13284</v>
      </c>
      <c r="E4064" s="9" t="s">
        <v>13284</v>
      </c>
      <c r="F4064" s="9" t="s">
        <v>13284</v>
      </c>
      <c r="G4064" s="9" t="s">
        <v>13284</v>
      </c>
      <c r="H4064" s="9" t="s">
        <v>13284</v>
      </c>
      <c r="I4064" s="9" t="s">
        <v>13284</v>
      </c>
      <c r="J4064" s="9" t="s">
        <v>13284</v>
      </c>
      <c r="K4064" s="9" t="s">
        <v>13284</v>
      </c>
      <c r="L4064" s="9" t="s">
        <v>13284</v>
      </c>
      <c r="M4064" s="9" t="s">
        <v>13284</v>
      </c>
      <c r="N4064" s="9" t="s">
        <v>13284</v>
      </c>
      <c r="O4064" s="9" t="s">
        <v>13284</v>
      </c>
      <c r="P4064" s="9" t="s">
        <v>13284</v>
      </c>
      <c r="Q4064" s="9" t="s">
        <v>13284</v>
      </c>
      <c r="R4064" s="9" t="s">
        <v>13284</v>
      </c>
      <c r="S4064" s="9" t="s">
        <v>13284</v>
      </c>
      <c r="T4064" s="9" t="str">
        <f ca="1">IFERROR(IF(AND(VLOOKUP(A4064, 'Актуальное состояние (из общего'!A:C,3,0) = "", A4064 &lt;&gt; ""), "ПРОВЕРИТЬ", VLOOKUP(A4064, 'Актуальное состояние (из общего'!A:C,3,0)), "")</f>
        <v/>
      </c>
      <c r="U4064" s="9" t="s">
        <v>13284</v>
      </c>
      <c r="V4064" s="9" t="s">
        <v>13284</v>
      </c>
      <c r="W4064" s="12"/>
      <c r="X4064" s="9" t="str">
        <f t="array" ref="X4064">IFERROR(INDEX('Адреса общежитий (скрытый)'!$B$2:$B$9, MATCH(W4064, 'Адреса общежитий (скрытый)'!$A$2:$A$9, 0)), "")</f>
        <v/>
      </c>
      <c r="Y4064" s="18"/>
      <c r="Z4064" s="18"/>
      <c r="AA4064" s="18"/>
      <c r="AB4064" s="18"/>
      <c r="AC4064" s="18"/>
    </row>
    <row r="4065" spans="1:29" ht="32.25" hidden="1" customHeight="1">
      <c r="A4065" s="17"/>
      <c r="B4065" s="9" t="s">
        <v>13284</v>
      </c>
      <c r="C4065" s="9" t="s">
        <v>13284</v>
      </c>
      <c r="D4065" s="9" t="s">
        <v>13284</v>
      </c>
      <c r="E4065" s="9" t="s">
        <v>13284</v>
      </c>
      <c r="F4065" s="9" t="s">
        <v>13284</v>
      </c>
      <c r="G4065" s="9" t="s">
        <v>13284</v>
      </c>
      <c r="H4065" s="9" t="s">
        <v>13284</v>
      </c>
      <c r="I4065" s="9" t="s">
        <v>13284</v>
      </c>
      <c r="J4065" s="9" t="s">
        <v>13284</v>
      </c>
      <c r="K4065" s="9" t="s">
        <v>13284</v>
      </c>
      <c r="L4065" s="9" t="s">
        <v>13284</v>
      </c>
      <c r="M4065" s="9" t="s">
        <v>13284</v>
      </c>
      <c r="N4065" s="9" t="s">
        <v>13284</v>
      </c>
      <c r="O4065" s="9" t="s">
        <v>13284</v>
      </c>
      <c r="P4065" s="9" t="s">
        <v>13284</v>
      </c>
      <c r="Q4065" s="9" t="s">
        <v>13284</v>
      </c>
      <c r="R4065" s="9" t="s">
        <v>13284</v>
      </c>
      <c r="S4065" s="9" t="s">
        <v>13284</v>
      </c>
      <c r="T4065" s="9" t="str">
        <f ca="1">IFERROR(IF(AND(VLOOKUP(A4065, 'Актуальное состояние (из общего'!A:C,3,0) = "", A4065 &lt;&gt; ""), "ПРОВЕРИТЬ", VLOOKUP(A4065, 'Актуальное состояние (из общего'!A:C,3,0)), "")</f>
        <v/>
      </c>
      <c r="U4065" s="9" t="s">
        <v>13284</v>
      </c>
      <c r="V4065" s="9" t="s">
        <v>13284</v>
      </c>
      <c r="W4065" s="12"/>
      <c r="X4065" s="9" t="str">
        <f t="array" ref="X4065">IFERROR(INDEX('Адреса общежитий (скрытый)'!$B$2:$B$9, MATCH(W4065, 'Адреса общежитий (скрытый)'!$A$2:$A$9, 0)), "")</f>
        <v/>
      </c>
      <c r="Y4065" s="18"/>
      <c r="Z4065" s="18"/>
      <c r="AA4065" s="18"/>
      <c r="AB4065" s="18"/>
      <c r="AC4065" s="18"/>
    </row>
    <row r="4066" spans="1:29" ht="32.25" hidden="1" customHeight="1">
      <c r="A4066" s="17"/>
      <c r="B4066" s="9" t="s">
        <v>13284</v>
      </c>
      <c r="C4066" s="9" t="s">
        <v>13284</v>
      </c>
      <c r="D4066" s="9" t="s">
        <v>13284</v>
      </c>
      <c r="E4066" s="9" t="s">
        <v>13284</v>
      </c>
      <c r="F4066" s="9" t="s">
        <v>13284</v>
      </c>
      <c r="G4066" s="9" t="s">
        <v>13284</v>
      </c>
      <c r="H4066" s="9" t="s">
        <v>13284</v>
      </c>
      <c r="I4066" s="9" t="s">
        <v>13284</v>
      </c>
      <c r="J4066" s="9" t="s">
        <v>13284</v>
      </c>
      <c r="K4066" s="9" t="s">
        <v>13284</v>
      </c>
      <c r="L4066" s="9" t="s">
        <v>13284</v>
      </c>
      <c r="M4066" s="9" t="s">
        <v>13284</v>
      </c>
      <c r="N4066" s="9" t="s">
        <v>13284</v>
      </c>
      <c r="O4066" s="9" t="s">
        <v>13284</v>
      </c>
      <c r="P4066" s="9" t="s">
        <v>13284</v>
      </c>
      <c r="Q4066" s="9" t="s">
        <v>13284</v>
      </c>
      <c r="R4066" s="9" t="s">
        <v>13284</v>
      </c>
      <c r="S4066" s="9" t="s">
        <v>13284</v>
      </c>
      <c r="T4066" s="9" t="str">
        <f ca="1">IFERROR(IF(AND(VLOOKUP(A4066, 'Актуальное состояние (из общего'!A:C,3,0) = "", A4066 &lt;&gt; ""), "ПРОВЕРИТЬ", VLOOKUP(A4066, 'Актуальное состояние (из общего'!A:C,3,0)), "")</f>
        <v/>
      </c>
      <c r="U4066" s="9" t="s">
        <v>13284</v>
      </c>
      <c r="V4066" s="9" t="s">
        <v>13284</v>
      </c>
      <c r="W4066" s="12"/>
      <c r="X4066" s="9" t="str">
        <f t="array" ref="X4066">IFERROR(INDEX('Адреса общежитий (скрытый)'!$B$2:$B$9, MATCH(W4066, 'Адреса общежитий (скрытый)'!$A$2:$A$9, 0)), "")</f>
        <v/>
      </c>
      <c r="Y4066" s="18"/>
      <c r="Z4066" s="18"/>
      <c r="AA4066" s="18"/>
      <c r="AB4066" s="18"/>
      <c r="AC4066" s="18"/>
    </row>
    <row r="4067" spans="1:29" ht="32.25" hidden="1" customHeight="1">
      <c r="A4067" s="17"/>
      <c r="B4067" s="9" t="s">
        <v>13284</v>
      </c>
      <c r="C4067" s="9" t="s">
        <v>13284</v>
      </c>
      <c r="D4067" s="9" t="s">
        <v>13284</v>
      </c>
      <c r="E4067" s="9" t="s">
        <v>13284</v>
      </c>
      <c r="F4067" s="9" t="s">
        <v>13284</v>
      </c>
      <c r="G4067" s="9" t="s">
        <v>13284</v>
      </c>
      <c r="H4067" s="9" t="s">
        <v>13284</v>
      </c>
      <c r="I4067" s="9" t="s">
        <v>13284</v>
      </c>
      <c r="J4067" s="9" t="s">
        <v>13284</v>
      </c>
      <c r="K4067" s="9" t="s">
        <v>13284</v>
      </c>
      <c r="L4067" s="9" t="s">
        <v>13284</v>
      </c>
      <c r="M4067" s="9" t="s">
        <v>13284</v>
      </c>
      <c r="N4067" s="9" t="s">
        <v>13284</v>
      </c>
      <c r="O4067" s="9" t="s">
        <v>13284</v>
      </c>
      <c r="P4067" s="9" t="s">
        <v>13284</v>
      </c>
      <c r="Q4067" s="9" t="s">
        <v>13284</v>
      </c>
      <c r="R4067" s="9" t="s">
        <v>13284</v>
      </c>
      <c r="S4067" s="9" t="s">
        <v>13284</v>
      </c>
      <c r="T4067" s="9" t="str">
        <f ca="1">IFERROR(IF(AND(VLOOKUP(A4067, 'Актуальное состояние (из общего'!A:C,3,0) = "", A4067 &lt;&gt; ""), "ПРОВЕРИТЬ", VLOOKUP(A4067, 'Актуальное состояние (из общего'!A:C,3,0)), "")</f>
        <v/>
      </c>
      <c r="U4067" s="9" t="s">
        <v>13284</v>
      </c>
      <c r="V4067" s="9" t="s">
        <v>13284</v>
      </c>
      <c r="W4067" s="12"/>
      <c r="X4067" s="9" t="str">
        <f t="array" ref="X4067">IFERROR(INDEX('Адреса общежитий (скрытый)'!$B$2:$B$9, MATCH(W4067, 'Адреса общежитий (скрытый)'!$A$2:$A$9, 0)), "")</f>
        <v/>
      </c>
      <c r="Y4067" s="18"/>
      <c r="Z4067" s="18"/>
      <c r="AA4067" s="18"/>
      <c r="AB4067" s="18"/>
      <c r="AC4067" s="18"/>
    </row>
    <row r="4068" spans="1:29" ht="32.25" hidden="1" customHeight="1">
      <c r="A4068" s="17"/>
      <c r="B4068" s="9" t="s">
        <v>13284</v>
      </c>
      <c r="C4068" s="9" t="s">
        <v>13284</v>
      </c>
      <c r="D4068" s="9" t="s">
        <v>13284</v>
      </c>
      <c r="E4068" s="9" t="s">
        <v>13284</v>
      </c>
      <c r="F4068" s="9" t="s">
        <v>13284</v>
      </c>
      <c r="G4068" s="9" t="s">
        <v>13284</v>
      </c>
      <c r="H4068" s="9" t="s">
        <v>13284</v>
      </c>
      <c r="I4068" s="9" t="s">
        <v>13284</v>
      </c>
      <c r="J4068" s="9" t="s">
        <v>13284</v>
      </c>
      <c r="K4068" s="9" t="s">
        <v>13284</v>
      </c>
      <c r="L4068" s="9" t="s">
        <v>13284</v>
      </c>
      <c r="M4068" s="9" t="s">
        <v>13284</v>
      </c>
      <c r="N4068" s="9" t="s">
        <v>13284</v>
      </c>
      <c r="O4068" s="9" t="s">
        <v>13284</v>
      </c>
      <c r="P4068" s="9" t="s">
        <v>13284</v>
      </c>
      <c r="Q4068" s="9" t="s">
        <v>13284</v>
      </c>
      <c r="R4068" s="9" t="s">
        <v>13284</v>
      </c>
      <c r="S4068" s="9" t="s">
        <v>13284</v>
      </c>
      <c r="T4068" s="9" t="str">
        <f ca="1">IFERROR(IF(AND(VLOOKUP(A4068, 'Актуальное состояние (из общего'!A:C,3,0) = "", A4068 &lt;&gt; ""), "ПРОВЕРИТЬ", VLOOKUP(A4068, 'Актуальное состояние (из общего'!A:C,3,0)), "")</f>
        <v/>
      </c>
      <c r="U4068" s="9" t="s">
        <v>13284</v>
      </c>
      <c r="V4068" s="9" t="s">
        <v>13284</v>
      </c>
      <c r="W4068" s="12"/>
      <c r="X4068" s="9" t="str">
        <f t="array" ref="X4068">IFERROR(INDEX('Адреса общежитий (скрытый)'!$B$2:$B$9, MATCH(W4068, 'Адреса общежитий (скрытый)'!$A$2:$A$9, 0)), "")</f>
        <v/>
      </c>
      <c r="Y4068" s="18"/>
      <c r="Z4068" s="18"/>
      <c r="AA4068" s="18"/>
      <c r="AB4068" s="18"/>
      <c r="AC4068" s="18"/>
    </row>
    <row r="4069" spans="1:29" ht="32.25" hidden="1" customHeight="1">
      <c r="A4069" s="17"/>
      <c r="B4069" s="9" t="s">
        <v>13284</v>
      </c>
      <c r="C4069" s="9" t="s">
        <v>13284</v>
      </c>
      <c r="D4069" s="9" t="s">
        <v>13284</v>
      </c>
      <c r="E4069" s="9" t="s">
        <v>13284</v>
      </c>
      <c r="F4069" s="9" t="s">
        <v>13284</v>
      </c>
      <c r="G4069" s="9" t="s">
        <v>13284</v>
      </c>
      <c r="H4069" s="9" t="s">
        <v>13284</v>
      </c>
      <c r="I4069" s="9" t="s">
        <v>13284</v>
      </c>
      <c r="J4069" s="9" t="s">
        <v>13284</v>
      </c>
      <c r="K4069" s="9" t="s">
        <v>13284</v>
      </c>
      <c r="L4069" s="9" t="s">
        <v>13284</v>
      </c>
      <c r="M4069" s="9" t="s">
        <v>13284</v>
      </c>
      <c r="N4069" s="9" t="s">
        <v>13284</v>
      </c>
      <c r="O4069" s="9" t="s">
        <v>13284</v>
      </c>
      <c r="P4069" s="9" t="s">
        <v>13284</v>
      </c>
      <c r="Q4069" s="9" t="s">
        <v>13284</v>
      </c>
      <c r="R4069" s="9" t="s">
        <v>13284</v>
      </c>
      <c r="S4069" s="9" t="s">
        <v>13284</v>
      </c>
      <c r="T4069" s="9" t="str">
        <f ca="1">IFERROR(IF(AND(VLOOKUP(A4069, 'Актуальное состояние (из общего'!A:C,3,0) = "", A4069 &lt;&gt; ""), "ПРОВЕРИТЬ", VLOOKUP(A4069, 'Актуальное состояние (из общего'!A:C,3,0)), "")</f>
        <v/>
      </c>
      <c r="U4069" s="9" t="s">
        <v>13284</v>
      </c>
      <c r="V4069" s="9" t="s">
        <v>13284</v>
      </c>
      <c r="W4069" s="12"/>
      <c r="X4069" s="9" t="str">
        <f t="array" ref="X4069">IFERROR(INDEX('Адреса общежитий (скрытый)'!$B$2:$B$9, MATCH(W4069, 'Адреса общежитий (скрытый)'!$A$2:$A$9, 0)), "")</f>
        <v/>
      </c>
      <c r="Y4069" s="18"/>
      <c r="Z4069" s="18"/>
      <c r="AA4069" s="18"/>
      <c r="AB4069" s="18"/>
      <c r="AC4069" s="18"/>
    </row>
    <row r="4070" spans="1:29" ht="32.25" hidden="1" customHeight="1">
      <c r="A4070" s="17"/>
      <c r="B4070" s="9" t="s">
        <v>13284</v>
      </c>
      <c r="C4070" s="9" t="s">
        <v>13284</v>
      </c>
      <c r="D4070" s="9" t="s">
        <v>13284</v>
      </c>
      <c r="E4070" s="9" t="s">
        <v>13284</v>
      </c>
      <c r="F4070" s="9" t="s">
        <v>13284</v>
      </c>
      <c r="G4070" s="9" t="s">
        <v>13284</v>
      </c>
      <c r="H4070" s="9" t="s">
        <v>13284</v>
      </c>
      <c r="I4070" s="9" t="s">
        <v>13284</v>
      </c>
      <c r="J4070" s="9" t="s">
        <v>13284</v>
      </c>
      <c r="K4070" s="9" t="s">
        <v>13284</v>
      </c>
      <c r="L4070" s="9" t="s">
        <v>13284</v>
      </c>
      <c r="M4070" s="9" t="s">
        <v>13284</v>
      </c>
      <c r="N4070" s="9" t="s">
        <v>13284</v>
      </c>
      <c r="O4070" s="9" t="s">
        <v>13284</v>
      </c>
      <c r="P4070" s="9" t="s">
        <v>13284</v>
      </c>
      <c r="Q4070" s="9" t="s">
        <v>13284</v>
      </c>
      <c r="R4070" s="9" t="s">
        <v>13284</v>
      </c>
      <c r="S4070" s="9" t="s">
        <v>13284</v>
      </c>
      <c r="T4070" s="9" t="str">
        <f ca="1">IFERROR(IF(AND(VLOOKUP(A4070, 'Актуальное состояние (из общего'!A:C,3,0) = "", A4070 &lt;&gt; ""), "ПРОВЕРИТЬ", VLOOKUP(A4070, 'Актуальное состояние (из общего'!A:C,3,0)), "")</f>
        <v/>
      </c>
      <c r="U4070" s="9" t="s">
        <v>13284</v>
      </c>
      <c r="V4070" s="9" t="s">
        <v>13284</v>
      </c>
      <c r="W4070" s="12"/>
      <c r="X4070" s="9" t="str">
        <f t="array" ref="X4070">IFERROR(INDEX('Адреса общежитий (скрытый)'!$B$2:$B$9, MATCH(W4070, 'Адреса общежитий (скрытый)'!$A$2:$A$9, 0)), "")</f>
        <v/>
      </c>
      <c r="Y4070" s="18"/>
      <c r="Z4070" s="18"/>
      <c r="AA4070" s="18"/>
      <c r="AB4070" s="18"/>
      <c r="AC4070" s="18"/>
    </row>
    <row r="4071" spans="1:29" ht="32.25" hidden="1" customHeight="1">
      <c r="A4071" s="17"/>
      <c r="B4071" s="9" t="s">
        <v>13284</v>
      </c>
      <c r="C4071" s="9" t="s">
        <v>13284</v>
      </c>
      <c r="D4071" s="9" t="s">
        <v>13284</v>
      </c>
      <c r="E4071" s="9" t="s">
        <v>13284</v>
      </c>
      <c r="F4071" s="9" t="s">
        <v>13284</v>
      </c>
      <c r="G4071" s="9" t="s">
        <v>13284</v>
      </c>
      <c r="H4071" s="9" t="s">
        <v>13284</v>
      </c>
      <c r="I4071" s="9" t="s">
        <v>13284</v>
      </c>
      <c r="J4071" s="9" t="s">
        <v>13284</v>
      </c>
      <c r="K4071" s="9" t="s">
        <v>13284</v>
      </c>
      <c r="L4071" s="9" t="s">
        <v>13284</v>
      </c>
      <c r="M4071" s="9" t="s">
        <v>13284</v>
      </c>
      <c r="N4071" s="9" t="s">
        <v>13284</v>
      </c>
      <c r="O4071" s="9" t="s">
        <v>13284</v>
      </c>
      <c r="P4071" s="9" t="s">
        <v>13284</v>
      </c>
      <c r="Q4071" s="9" t="s">
        <v>13284</v>
      </c>
      <c r="R4071" s="9" t="s">
        <v>13284</v>
      </c>
      <c r="S4071" s="9" t="s">
        <v>13284</v>
      </c>
      <c r="T4071" s="9" t="str">
        <f ca="1">IFERROR(IF(AND(VLOOKUP(A4071, 'Актуальное состояние (из общего'!A:C,3,0) = "", A4071 &lt;&gt; ""), "ПРОВЕРИТЬ", VLOOKUP(A4071, 'Актуальное состояние (из общего'!A:C,3,0)), "")</f>
        <v/>
      </c>
      <c r="U4071" s="9" t="s">
        <v>13284</v>
      </c>
      <c r="V4071" s="9" t="s">
        <v>13284</v>
      </c>
      <c r="W4071" s="12"/>
      <c r="X4071" s="9" t="str">
        <f t="array" ref="X4071">IFERROR(INDEX('Адреса общежитий (скрытый)'!$B$2:$B$9, MATCH(W4071, 'Адреса общежитий (скрытый)'!$A$2:$A$9, 0)), "")</f>
        <v/>
      </c>
      <c r="Y4071" s="18"/>
      <c r="Z4071" s="18"/>
      <c r="AA4071" s="18"/>
      <c r="AB4071" s="18"/>
      <c r="AC4071" s="18"/>
    </row>
    <row r="4072" spans="1:29" ht="32.25" hidden="1" customHeight="1">
      <c r="A4072" s="17"/>
      <c r="B4072" s="9" t="s">
        <v>13284</v>
      </c>
      <c r="C4072" s="9" t="s">
        <v>13284</v>
      </c>
      <c r="D4072" s="9" t="s">
        <v>13284</v>
      </c>
      <c r="E4072" s="9" t="s">
        <v>13284</v>
      </c>
      <c r="F4072" s="9" t="s">
        <v>13284</v>
      </c>
      <c r="G4072" s="9" t="s">
        <v>13284</v>
      </c>
      <c r="H4072" s="9" t="s">
        <v>13284</v>
      </c>
      <c r="I4072" s="9" t="s">
        <v>13284</v>
      </c>
      <c r="J4072" s="9" t="s">
        <v>13284</v>
      </c>
      <c r="K4072" s="9" t="s">
        <v>13284</v>
      </c>
      <c r="L4072" s="9" t="s">
        <v>13284</v>
      </c>
      <c r="M4072" s="9" t="s">
        <v>13284</v>
      </c>
      <c r="N4072" s="9" t="s">
        <v>13284</v>
      </c>
      <c r="O4072" s="9" t="s">
        <v>13284</v>
      </c>
      <c r="P4072" s="9" t="s">
        <v>13284</v>
      </c>
      <c r="Q4072" s="9" t="s">
        <v>13284</v>
      </c>
      <c r="R4072" s="9" t="s">
        <v>13284</v>
      </c>
      <c r="S4072" s="9" t="s">
        <v>13284</v>
      </c>
      <c r="T4072" s="9" t="str">
        <f ca="1">IFERROR(IF(AND(VLOOKUP(A4072, 'Актуальное состояние (из общего'!A:C,3,0) = "", A4072 &lt;&gt; ""), "ПРОВЕРИТЬ", VLOOKUP(A4072, 'Актуальное состояние (из общего'!A:C,3,0)), "")</f>
        <v/>
      </c>
      <c r="U4072" s="9" t="s">
        <v>13284</v>
      </c>
      <c r="V4072" s="9" t="s">
        <v>13284</v>
      </c>
      <c r="W4072" s="12"/>
      <c r="X4072" s="9" t="str">
        <f t="array" ref="X4072">IFERROR(INDEX('Адреса общежитий (скрытый)'!$B$2:$B$9, MATCH(W4072, 'Адреса общежитий (скрытый)'!$A$2:$A$9, 0)), "")</f>
        <v/>
      </c>
      <c r="Y4072" s="18"/>
      <c r="Z4072" s="18"/>
      <c r="AA4072" s="18"/>
      <c r="AB4072" s="18"/>
      <c r="AC4072" s="18"/>
    </row>
    <row r="4073" spans="1:29" ht="32.25" hidden="1" customHeight="1">
      <c r="A4073" s="17"/>
      <c r="B4073" s="9" t="s">
        <v>13284</v>
      </c>
      <c r="C4073" s="9" t="s">
        <v>13284</v>
      </c>
      <c r="D4073" s="9" t="s">
        <v>13284</v>
      </c>
      <c r="E4073" s="9" t="s">
        <v>13284</v>
      </c>
      <c r="F4073" s="9" t="s">
        <v>13284</v>
      </c>
      <c r="G4073" s="9" t="s">
        <v>13284</v>
      </c>
      <c r="H4073" s="9" t="s">
        <v>13284</v>
      </c>
      <c r="I4073" s="9" t="s">
        <v>13284</v>
      </c>
      <c r="J4073" s="9" t="s">
        <v>13284</v>
      </c>
      <c r="K4073" s="9" t="s">
        <v>13284</v>
      </c>
      <c r="L4073" s="9" t="s">
        <v>13284</v>
      </c>
      <c r="M4073" s="9" t="s">
        <v>13284</v>
      </c>
      <c r="N4073" s="9" t="s">
        <v>13284</v>
      </c>
      <c r="O4073" s="9" t="s">
        <v>13284</v>
      </c>
      <c r="P4073" s="9" t="s">
        <v>13284</v>
      </c>
      <c r="Q4073" s="9" t="s">
        <v>13284</v>
      </c>
      <c r="R4073" s="9" t="s">
        <v>13284</v>
      </c>
      <c r="S4073" s="9" t="s">
        <v>13284</v>
      </c>
      <c r="T4073" s="9" t="str">
        <f ca="1">IFERROR(IF(AND(VLOOKUP(A4073, 'Актуальное состояние (из общего'!A:C,3,0) = "", A4073 &lt;&gt; ""), "ПРОВЕРИТЬ", VLOOKUP(A4073, 'Актуальное состояние (из общего'!A:C,3,0)), "")</f>
        <v/>
      </c>
      <c r="U4073" s="9" t="s">
        <v>13284</v>
      </c>
      <c r="V4073" s="9" t="s">
        <v>13284</v>
      </c>
      <c r="W4073" s="12"/>
      <c r="X4073" s="9" t="str">
        <f t="array" ref="X4073">IFERROR(INDEX('Адреса общежитий (скрытый)'!$B$2:$B$9, MATCH(W4073, 'Адреса общежитий (скрытый)'!$A$2:$A$9, 0)), "")</f>
        <v/>
      </c>
      <c r="Y4073" s="18"/>
      <c r="Z4073" s="18"/>
      <c r="AA4073" s="18"/>
      <c r="AB4073" s="18"/>
      <c r="AC4073" s="18"/>
    </row>
    <row r="4074" spans="1:29" ht="32.25" hidden="1" customHeight="1">
      <c r="A4074" s="17"/>
      <c r="B4074" s="9" t="s">
        <v>13284</v>
      </c>
      <c r="C4074" s="9" t="s">
        <v>13284</v>
      </c>
      <c r="D4074" s="9" t="s">
        <v>13284</v>
      </c>
      <c r="E4074" s="9" t="s">
        <v>13284</v>
      </c>
      <c r="F4074" s="9" t="s">
        <v>13284</v>
      </c>
      <c r="G4074" s="9" t="s">
        <v>13284</v>
      </c>
      <c r="H4074" s="9" t="s">
        <v>13284</v>
      </c>
      <c r="I4074" s="9" t="s">
        <v>13284</v>
      </c>
      <c r="J4074" s="9" t="s">
        <v>13284</v>
      </c>
      <c r="K4074" s="9" t="s">
        <v>13284</v>
      </c>
      <c r="L4074" s="9" t="s">
        <v>13284</v>
      </c>
      <c r="M4074" s="9" t="s">
        <v>13284</v>
      </c>
      <c r="N4074" s="9" t="s">
        <v>13284</v>
      </c>
      <c r="O4074" s="9" t="s">
        <v>13284</v>
      </c>
      <c r="P4074" s="9" t="s">
        <v>13284</v>
      </c>
      <c r="Q4074" s="9" t="s">
        <v>13284</v>
      </c>
      <c r="R4074" s="9" t="s">
        <v>13284</v>
      </c>
      <c r="S4074" s="9" t="s">
        <v>13284</v>
      </c>
      <c r="T4074" s="9" t="str">
        <f ca="1">IFERROR(IF(AND(VLOOKUP(A4074, 'Актуальное состояние (из общего'!A:C,3,0) = "", A4074 &lt;&gt; ""), "ПРОВЕРИТЬ", VLOOKUP(A4074, 'Актуальное состояние (из общего'!A:C,3,0)), "")</f>
        <v/>
      </c>
      <c r="U4074" s="9" t="s">
        <v>13284</v>
      </c>
      <c r="V4074" s="9" t="s">
        <v>13284</v>
      </c>
      <c r="W4074" s="12"/>
      <c r="X4074" s="9" t="str">
        <f t="array" ref="X4074">IFERROR(INDEX('Адреса общежитий (скрытый)'!$B$2:$B$9, MATCH(W4074, 'Адреса общежитий (скрытый)'!$A$2:$A$9, 0)), "")</f>
        <v/>
      </c>
      <c r="Y4074" s="18"/>
      <c r="Z4074" s="18"/>
      <c r="AA4074" s="18"/>
      <c r="AB4074" s="18"/>
      <c r="AC4074" s="18"/>
    </row>
    <row r="4075" spans="1:29" ht="32.25" hidden="1" customHeight="1">
      <c r="A4075" s="17"/>
      <c r="B4075" s="9" t="s">
        <v>13284</v>
      </c>
      <c r="C4075" s="9" t="s">
        <v>13284</v>
      </c>
      <c r="D4075" s="9" t="s">
        <v>13284</v>
      </c>
      <c r="E4075" s="9" t="s">
        <v>13284</v>
      </c>
      <c r="F4075" s="9" t="s">
        <v>13284</v>
      </c>
      <c r="G4075" s="9" t="s">
        <v>13284</v>
      </c>
      <c r="H4075" s="9" t="s">
        <v>13284</v>
      </c>
      <c r="I4075" s="9" t="s">
        <v>13284</v>
      </c>
      <c r="J4075" s="9" t="s">
        <v>13284</v>
      </c>
      <c r="K4075" s="9" t="s">
        <v>13284</v>
      </c>
      <c r="L4075" s="9" t="s">
        <v>13284</v>
      </c>
      <c r="M4075" s="9" t="s">
        <v>13284</v>
      </c>
      <c r="N4075" s="9" t="s">
        <v>13284</v>
      </c>
      <c r="O4075" s="9" t="s">
        <v>13284</v>
      </c>
      <c r="P4075" s="9" t="s">
        <v>13284</v>
      </c>
      <c r="Q4075" s="9" t="s">
        <v>13284</v>
      </c>
      <c r="R4075" s="9" t="s">
        <v>13284</v>
      </c>
      <c r="S4075" s="9" t="s">
        <v>13284</v>
      </c>
      <c r="T4075" s="9" t="str">
        <f ca="1">IFERROR(IF(AND(VLOOKUP(A4075, 'Актуальное состояние (из общего'!A:C,3,0) = "", A4075 &lt;&gt; ""), "ПРОВЕРИТЬ", VLOOKUP(A4075, 'Актуальное состояние (из общего'!A:C,3,0)), "")</f>
        <v/>
      </c>
      <c r="U4075" s="9" t="s">
        <v>13284</v>
      </c>
      <c r="V4075" s="9" t="s">
        <v>13284</v>
      </c>
      <c r="W4075" s="12"/>
      <c r="X4075" s="9" t="str">
        <f t="array" ref="X4075">IFERROR(INDEX('Адреса общежитий (скрытый)'!$B$2:$B$9, MATCH(W4075, 'Адреса общежитий (скрытый)'!$A$2:$A$9, 0)), "")</f>
        <v/>
      </c>
      <c r="Y4075" s="18"/>
      <c r="Z4075" s="18"/>
      <c r="AA4075" s="18"/>
      <c r="AB4075" s="18"/>
      <c r="AC4075" s="18"/>
    </row>
    <row r="4076" spans="1:29" ht="32.25" hidden="1" customHeight="1">
      <c r="A4076" s="17"/>
      <c r="B4076" s="9" t="s">
        <v>13284</v>
      </c>
      <c r="C4076" s="9" t="s">
        <v>13284</v>
      </c>
      <c r="D4076" s="9" t="s">
        <v>13284</v>
      </c>
      <c r="E4076" s="9" t="s">
        <v>13284</v>
      </c>
      <c r="F4076" s="9" t="s">
        <v>13284</v>
      </c>
      <c r="G4076" s="9" t="s">
        <v>13284</v>
      </c>
      <c r="H4076" s="9" t="s">
        <v>13284</v>
      </c>
      <c r="I4076" s="9" t="s">
        <v>13284</v>
      </c>
      <c r="J4076" s="9" t="s">
        <v>13284</v>
      </c>
      <c r="K4076" s="9" t="s">
        <v>13284</v>
      </c>
      <c r="L4076" s="9" t="s">
        <v>13284</v>
      </c>
      <c r="M4076" s="9" t="s">
        <v>13284</v>
      </c>
      <c r="N4076" s="9" t="s">
        <v>13284</v>
      </c>
      <c r="O4076" s="9" t="s">
        <v>13284</v>
      </c>
      <c r="P4076" s="9" t="s">
        <v>13284</v>
      </c>
      <c r="Q4076" s="9" t="s">
        <v>13284</v>
      </c>
      <c r="R4076" s="9" t="s">
        <v>13284</v>
      </c>
      <c r="S4076" s="9" t="s">
        <v>13284</v>
      </c>
      <c r="T4076" s="9" t="str">
        <f ca="1">IFERROR(IF(AND(VLOOKUP(A4076, 'Актуальное состояние (из общего'!A:C,3,0) = "", A4076 &lt;&gt; ""), "ПРОВЕРИТЬ", VLOOKUP(A4076, 'Актуальное состояние (из общего'!A:C,3,0)), "")</f>
        <v/>
      </c>
      <c r="U4076" s="9" t="s">
        <v>13284</v>
      </c>
      <c r="V4076" s="9" t="s">
        <v>13284</v>
      </c>
      <c r="W4076" s="12"/>
      <c r="X4076" s="9" t="str">
        <f t="array" ref="X4076">IFERROR(INDEX('Адреса общежитий (скрытый)'!$B$2:$B$9, MATCH(W4076, 'Адреса общежитий (скрытый)'!$A$2:$A$9, 0)), "")</f>
        <v/>
      </c>
      <c r="Y4076" s="18"/>
      <c r="Z4076" s="18"/>
      <c r="AA4076" s="18"/>
      <c r="AB4076" s="18"/>
      <c r="AC4076" s="18"/>
    </row>
    <row r="4077" spans="1:29" ht="32.25" hidden="1" customHeight="1">
      <c r="A4077" s="17"/>
      <c r="B4077" s="9" t="s">
        <v>13284</v>
      </c>
      <c r="C4077" s="9" t="s">
        <v>13284</v>
      </c>
      <c r="D4077" s="9" t="s">
        <v>13284</v>
      </c>
      <c r="E4077" s="9" t="s">
        <v>13284</v>
      </c>
      <c r="F4077" s="9" t="s">
        <v>13284</v>
      </c>
      <c r="G4077" s="9" t="s">
        <v>13284</v>
      </c>
      <c r="H4077" s="9" t="s">
        <v>13284</v>
      </c>
      <c r="I4077" s="9" t="s">
        <v>13284</v>
      </c>
      <c r="J4077" s="9" t="s">
        <v>13284</v>
      </c>
      <c r="K4077" s="9" t="s">
        <v>13284</v>
      </c>
      <c r="L4077" s="9" t="s">
        <v>13284</v>
      </c>
      <c r="M4077" s="9" t="s">
        <v>13284</v>
      </c>
      <c r="N4077" s="9" t="s">
        <v>13284</v>
      </c>
      <c r="O4077" s="9" t="s">
        <v>13284</v>
      </c>
      <c r="P4077" s="9" t="s">
        <v>13284</v>
      </c>
      <c r="Q4077" s="9" t="s">
        <v>13284</v>
      </c>
      <c r="R4077" s="9" t="s">
        <v>13284</v>
      </c>
      <c r="S4077" s="9" t="s">
        <v>13284</v>
      </c>
      <c r="T4077" s="9" t="str">
        <f ca="1">IFERROR(IF(AND(VLOOKUP(A4077, 'Актуальное состояние (из общего'!A:C,3,0) = "", A4077 &lt;&gt; ""), "ПРОВЕРИТЬ", VLOOKUP(A4077, 'Актуальное состояние (из общего'!A:C,3,0)), "")</f>
        <v/>
      </c>
      <c r="U4077" s="9" t="s">
        <v>13284</v>
      </c>
      <c r="V4077" s="9" t="s">
        <v>13284</v>
      </c>
      <c r="W4077" s="12"/>
      <c r="X4077" s="9" t="str">
        <f t="array" ref="X4077">IFERROR(INDEX('Адреса общежитий (скрытый)'!$B$2:$B$9, MATCH(W4077, 'Адреса общежитий (скрытый)'!$A$2:$A$9, 0)), "")</f>
        <v/>
      </c>
      <c r="Y4077" s="18"/>
      <c r="Z4077" s="18"/>
      <c r="AA4077" s="18"/>
      <c r="AB4077" s="18"/>
      <c r="AC4077" s="18"/>
    </row>
    <row r="4078" spans="1:29" ht="32.25" hidden="1" customHeight="1">
      <c r="A4078" s="17"/>
      <c r="B4078" s="9" t="s">
        <v>13284</v>
      </c>
      <c r="C4078" s="9" t="s">
        <v>13284</v>
      </c>
      <c r="D4078" s="9" t="s">
        <v>13284</v>
      </c>
      <c r="E4078" s="9" t="s">
        <v>13284</v>
      </c>
      <c r="F4078" s="9" t="s">
        <v>13284</v>
      </c>
      <c r="G4078" s="9" t="s">
        <v>13284</v>
      </c>
      <c r="H4078" s="9" t="s">
        <v>13284</v>
      </c>
      <c r="I4078" s="9" t="s">
        <v>13284</v>
      </c>
      <c r="J4078" s="9" t="s">
        <v>13284</v>
      </c>
      <c r="K4078" s="9" t="s">
        <v>13284</v>
      </c>
      <c r="L4078" s="9" t="s">
        <v>13284</v>
      </c>
      <c r="M4078" s="9" t="s">
        <v>13284</v>
      </c>
      <c r="N4078" s="9" t="s">
        <v>13284</v>
      </c>
      <c r="O4078" s="9" t="s">
        <v>13284</v>
      </c>
      <c r="P4078" s="9" t="s">
        <v>13284</v>
      </c>
      <c r="Q4078" s="9" t="s">
        <v>13284</v>
      </c>
      <c r="R4078" s="9" t="s">
        <v>13284</v>
      </c>
      <c r="S4078" s="9" t="s">
        <v>13284</v>
      </c>
      <c r="T4078" s="9" t="str">
        <f ca="1">IFERROR(IF(AND(VLOOKUP(A4078, 'Актуальное состояние (из общего'!A:C,3,0) = "", A4078 &lt;&gt; ""), "ПРОВЕРИТЬ", VLOOKUP(A4078, 'Актуальное состояние (из общего'!A:C,3,0)), "")</f>
        <v/>
      </c>
      <c r="U4078" s="9" t="s">
        <v>13284</v>
      </c>
      <c r="V4078" s="9" t="s">
        <v>13284</v>
      </c>
      <c r="W4078" s="12"/>
      <c r="X4078" s="9" t="str">
        <f t="array" ref="X4078">IFERROR(INDEX('Адреса общежитий (скрытый)'!$B$2:$B$9, MATCH(W4078, 'Адреса общежитий (скрытый)'!$A$2:$A$9, 0)), "")</f>
        <v/>
      </c>
      <c r="Y4078" s="18"/>
      <c r="Z4078" s="18"/>
      <c r="AA4078" s="18"/>
      <c r="AB4078" s="18"/>
      <c r="AC4078" s="18"/>
    </row>
    <row r="4079" spans="1:29" ht="32.25" hidden="1" customHeight="1">
      <c r="A4079" s="17"/>
      <c r="B4079" s="9" t="s">
        <v>13284</v>
      </c>
      <c r="C4079" s="9" t="s">
        <v>13284</v>
      </c>
      <c r="D4079" s="9" t="s">
        <v>13284</v>
      </c>
      <c r="E4079" s="9" t="s">
        <v>13284</v>
      </c>
      <c r="F4079" s="9" t="s">
        <v>13284</v>
      </c>
      <c r="G4079" s="9" t="s">
        <v>13284</v>
      </c>
      <c r="H4079" s="9" t="s">
        <v>13284</v>
      </c>
      <c r="I4079" s="9" t="s">
        <v>13284</v>
      </c>
      <c r="J4079" s="9" t="s">
        <v>13284</v>
      </c>
      <c r="K4079" s="9" t="s">
        <v>13284</v>
      </c>
      <c r="L4079" s="9" t="s">
        <v>13284</v>
      </c>
      <c r="M4079" s="9" t="s">
        <v>13284</v>
      </c>
      <c r="N4079" s="9" t="s">
        <v>13284</v>
      </c>
      <c r="O4079" s="9" t="s">
        <v>13284</v>
      </c>
      <c r="P4079" s="9" t="s">
        <v>13284</v>
      </c>
      <c r="Q4079" s="9" t="s">
        <v>13284</v>
      </c>
      <c r="R4079" s="9" t="s">
        <v>13284</v>
      </c>
      <c r="S4079" s="9" t="s">
        <v>13284</v>
      </c>
      <c r="T4079" s="9" t="str">
        <f ca="1">IFERROR(IF(AND(VLOOKUP(A4079, 'Актуальное состояние (из общего'!A:C,3,0) = "", A4079 &lt;&gt; ""), "ПРОВЕРИТЬ", VLOOKUP(A4079, 'Актуальное состояние (из общего'!A:C,3,0)), "")</f>
        <v/>
      </c>
      <c r="U4079" s="9" t="s">
        <v>13284</v>
      </c>
      <c r="V4079" s="9" t="s">
        <v>13284</v>
      </c>
      <c r="W4079" s="12"/>
      <c r="X4079" s="9" t="str">
        <f t="array" ref="X4079">IFERROR(INDEX('Адреса общежитий (скрытый)'!$B$2:$B$9, MATCH(W4079, 'Адреса общежитий (скрытый)'!$A$2:$A$9, 0)), "")</f>
        <v/>
      </c>
      <c r="Y4079" s="18"/>
      <c r="Z4079" s="18"/>
      <c r="AA4079" s="18"/>
      <c r="AB4079" s="18"/>
      <c r="AC4079" s="18"/>
    </row>
    <row r="4080" spans="1:29" ht="32.25" hidden="1" customHeight="1">
      <c r="A4080" s="17"/>
      <c r="B4080" s="9" t="s">
        <v>13284</v>
      </c>
      <c r="C4080" s="9" t="s">
        <v>13284</v>
      </c>
      <c r="D4080" s="9" t="s">
        <v>13284</v>
      </c>
      <c r="E4080" s="9" t="s">
        <v>13284</v>
      </c>
      <c r="F4080" s="9" t="s">
        <v>13284</v>
      </c>
      <c r="G4080" s="9" t="s">
        <v>13284</v>
      </c>
      <c r="H4080" s="9" t="s">
        <v>13284</v>
      </c>
      <c r="I4080" s="9" t="s">
        <v>13284</v>
      </c>
      <c r="J4080" s="9" t="s">
        <v>13284</v>
      </c>
      <c r="K4080" s="9" t="s">
        <v>13284</v>
      </c>
      <c r="L4080" s="9" t="s">
        <v>13284</v>
      </c>
      <c r="M4080" s="9" t="s">
        <v>13284</v>
      </c>
      <c r="N4080" s="9" t="s">
        <v>13284</v>
      </c>
      <c r="O4080" s="9" t="s">
        <v>13284</v>
      </c>
      <c r="P4080" s="9" t="s">
        <v>13284</v>
      </c>
      <c r="Q4080" s="9" t="s">
        <v>13284</v>
      </c>
      <c r="R4080" s="9" t="s">
        <v>13284</v>
      </c>
      <c r="S4080" s="9" t="s">
        <v>13284</v>
      </c>
      <c r="T4080" s="9" t="str">
        <f ca="1">IFERROR(IF(AND(VLOOKUP(A4080, 'Актуальное состояние (из общего'!A:C,3,0) = "", A4080 &lt;&gt; ""), "ПРОВЕРИТЬ", VLOOKUP(A4080, 'Актуальное состояние (из общего'!A:C,3,0)), "")</f>
        <v/>
      </c>
      <c r="U4080" s="9" t="s">
        <v>13284</v>
      </c>
      <c r="V4080" s="9" t="s">
        <v>13284</v>
      </c>
      <c r="W4080" s="12"/>
      <c r="X4080" s="9" t="str">
        <f t="array" ref="X4080">IFERROR(INDEX('Адреса общежитий (скрытый)'!$B$2:$B$9, MATCH(W4080, 'Адреса общежитий (скрытый)'!$A$2:$A$9, 0)), "")</f>
        <v/>
      </c>
      <c r="Y4080" s="18"/>
      <c r="Z4080" s="18"/>
      <c r="AA4080" s="18"/>
      <c r="AB4080" s="18"/>
      <c r="AC4080" s="18"/>
    </row>
    <row r="4081" spans="1:29" ht="32.25" hidden="1" customHeight="1">
      <c r="A4081" s="17"/>
      <c r="B4081" s="9" t="s">
        <v>13284</v>
      </c>
      <c r="C4081" s="9" t="s">
        <v>13284</v>
      </c>
      <c r="D4081" s="9" t="s">
        <v>13284</v>
      </c>
      <c r="E4081" s="9" t="s">
        <v>13284</v>
      </c>
      <c r="F4081" s="9" t="s">
        <v>13284</v>
      </c>
      <c r="G4081" s="9" t="s">
        <v>13284</v>
      </c>
      <c r="H4081" s="9" t="s">
        <v>13284</v>
      </c>
      <c r="I4081" s="9" t="s">
        <v>13284</v>
      </c>
      <c r="J4081" s="9" t="s">
        <v>13284</v>
      </c>
      <c r="K4081" s="9" t="s">
        <v>13284</v>
      </c>
      <c r="L4081" s="9" t="s">
        <v>13284</v>
      </c>
      <c r="M4081" s="9" t="s">
        <v>13284</v>
      </c>
      <c r="N4081" s="9" t="s">
        <v>13284</v>
      </c>
      <c r="O4081" s="9" t="s">
        <v>13284</v>
      </c>
      <c r="P4081" s="9" t="s">
        <v>13284</v>
      </c>
      <c r="Q4081" s="9" t="s">
        <v>13284</v>
      </c>
      <c r="R4081" s="9" t="s">
        <v>13284</v>
      </c>
      <c r="S4081" s="9" t="s">
        <v>13284</v>
      </c>
      <c r="T4081" s="9" t="str">
        <f ca="1">IFERROR(IF(AND(VLOOKUP(A4081, 'Актуальное состояние (из общего'!A:C,3,0) = "", A4081 &lt;&gt; ""), "ПРОВЕРИТЬ", VLOOKUP(A4081, 'Актуальное состояние (из общего'!A:C,3,0)), "")</f>
        <v/>
      </c>
      <c r="U4081" s="9" t="s">
        <v>13284</v>
      </c>
      <c r="V4081" s="9" t="s">
        <v>13284</v>
      </c>
      <c r="W4081" s="12"/>
      <c r="X4081" s="9" t="str">
        <f t="array" ref="X4081">IFERROR(INDEX('Адреса общежитий (скрытый)'!$B$2:$B$9, MATCH(W4081, 'Адреса общежитий (скрытый)'!$A$2:$A$9, 0)), "")</f>
        <v/>
      </c>
      <c r="Y4081" s="18"/>
      <c r="Z4081" s="18"/>
      <c r="AA4081" s="18"/>
      <c r="AB4081" s="18"/>
      <c r="AC4081" s="18"/>
    </row>
    <row r="4082" spans="1:29" ht="32.25" hidden="1" customHeight="1">
      <c r="A4082" s="17"/>
      <c r="B4082" s="9" t="s">
        <v>13284</v>
      </c>
      <c r="C4082" s="9" t="s">
        <v>13284</v>
      </c>
      <c r="D4082" s="9" t="s">
        <v>13284</v>
      </c>
      <c r="E4082" s="9" t="s">
        <v>13284</v>
      </c>
      <c r="F4082" s="9" t="s">
        <v>13284</v>
      </c>
      <c r="G4082" s="9" t="s">
        <v>13284</v>
      </c>
      <c r="H4082" s="9" t="s">
        <v>13284</v>
      </c>
      <c r="I4082" s="9" t="s">
        <v>13284</v>
      </c>
      <c r="J4082" s="9" t="s">
        <v>13284</v>
      </c>
      <c r="K4082" s="9" t="s">
        <v>13284</v>
      </c>
      <c r="L4082" s="9" t="s">
        <v>13284</v>
      </c>
      <c r="M4082" s="9" t="s">
        <v>13284</v>
      </c>
      <c r="N4082" s="9" t="s">
        <v>13284</v>
      </c>
      <c r="O4082" s="9" t="s">
        <v>13284</v>
      </c>
      <c r="P4082" s="9" t="s">
        <v>13284</v>
      </c>
      <c r="Q4082" s="9" t="s">
        <v>13284</v>
      </c>
      <c r="R4082" s="9" t="s">
        <v>13284</v>
      </c>
      <c r="S4082" s="9" t="s">
        <v>13284</v>
      </c>
      <c r="T4082" s="9" t="str">
        <f ca="1">IFERROR(IF(AND(VLOOKUP(A4082, 'Актуальное состояние (из общего'!A:C,3,0) = "", A4082 &lt;&gt; ""), "ПРОВЕРИТЬ", VLOOKUP(A4082, 'Актуальное состояние (из общего'!A:C,3,0)), "")</f>
        <v/>
      </c>
      <c r="U4082" s="9" t="s">
        <v>13284</v>
      </c>
      <c r="V4082" s="9" t="s">
        <v>13284</v>
      </c>
      <c r="W4082" s="12"/>
      <c r="X4082" s="9" t="str">
        <f t="array" ref="X4082">IFERROR(INDEX('Адреса общежитий (скрытый)'!$B$2:$B$9, MATCH(W4082, 'Адреса общежитий (скрытый)'!$A$2:$A$9, 0)), "")</f>
        <v/>
      </c>
      <c r="Y4082" s="18"/>
      <c r="Z4082" s="18"/>
      <c r="AA4082" s="18"/>
      <c r="AB4082" s="18"/>
      <c r="AC4082" s="18"/>
    </row>
    <row r="4083" spans="1:29" ht="32.25" hidden="1" customHeight="1">
      <c r="A4083" s="17"/>
      <c r="B4083" s="9" t="s">
        <v>13284</v>
      </c>
      <c r="C4083" s="9" t="s">
        <v>13284</v>
      </c>
      <c r="D4083" s="9" t="s">
        <v>13284</v>
      </c>
      <c r="E4083" s="9" t="s">
        <v>13284</v>
      </c>
      <c r="F4083" s="9" t="s">
        <v>13284</v>
      </c>
      <c r="G4083" s="9" t="s">
        <v>13284</v>
      </c>
      <c r="H4083" s="9" t="s">
        <v>13284</v>
      </c>
      <c r="I4083" s="9" t="s">
        <v>13284</v>
      </c>
      <c r="J4083" s="9" t="s">
        <v>13284</v>
      </c>
      <c r="K4083" s="9" t="s">
        <v>13284</v>
      </c>
      <c r="L4083" s="9" t="s">
        <v>13284</v>
      </c>
      <c r="M4083" s="9" t="s">
        <v>13284</v>
      </c>
      <c r="N4083" s="9" t="s">
        <v>13284</v>
      </c>
      <c r="O4083" s="9" t="s">
        <v>13284</v>
      </c>
      <c r="P4083" s="9" t="s">
        <v>13284</v>
      </c>
      <c r="Q4083" s="9" t="s">
        <v>13284</v>
      </c>
      <c r="R4083" s="9" t="s">
        <v>13284</v>
      </c>
      <c r="S4083" s="9" t="s">
        <v>13284</v>
      </c>
      <c r="T4083" s="9" t="str">
        <f ca="1">IFERROR(IF(AND(VLOOKUP(A4083, 'Актуальное состояние (из общего'!A:C,3,0) = "", A4083 &lt;&gt; ""), "ПРОВЕРИТЬ", VLOOKUP(A4083, 'Актуальное состояние (из общего'!A:C,3,0)), "")</f>
        <v/>
      </c>
      <c r="U4083" s="9" t="s">
        <v>13284</v>
      </c>
      <c r="V4083" s="9" t="s">
        <v>13284</v>
      </c>
      <c r="W4083" s="12"/>
      <c r="X4083" s="9" t="str">
        <f t="array" ref="X4083">IFERROR(INDEX('Адреса общежитий (скрытый)'!$B$2:$B$9, MATCH(W4083, 'Адреса общежитий (скрытый)'!$A$2:$A$9, 0)), "")</f>
        <v/>
      </c>
      <c r="Y4083" s="18"/>
      <c r="Z4083" s="18"/>
      <c r="AA4083" s="18"/>
      <c r="AB4083" s="18"/>
      <c r="AC4083" s="18"/>
    </row>
    <row r="4084" spans="1:29" ht="32.25" hidden="1" customHeight="1">
      <c r="A4084" s="17"/>
      <c r="B4084" s="9" t="s">
        <v>13284</v>
      </c>
      <c r="C4084" s="9" t="s">
        <v>13284</v>
      </c>
      <c r="D4084" s="9" t="s">
        <v>13284</v>
      </c>
      <c r="E4084" s="9" t="s">
        <v>13284</v>
      </c>
      <c r="F4084" s="9" t="s">
        <v>13284</v>
      </c>
      <c r="G4084" s="9" t="s">
        <v>13284</v>
      </c>
      <c r="H4084" s="9" t="s">
        <v>13284</v>
      </c>
      <c r="I4084" s="9" t="s">
        <v>13284</v>
      </c>
      <c r="J4084" s="9" t="s">
        <v>13284</v>
      </c>
      <c r="K4084" s="9" t="s">
        <v>13284</v>
      </c>
      <c r="L4084" s="9" t="s">
        <v>13284</v>
      </c>
      <c r="M4084" s="9" t="s">
        <v>13284</v>
      </c>
      <c r="N4084" s="9" t="s">
        <v>13284</v>
      </c>
      <c r="O4084" s="9" t="s">
        <v>13284</v>
      </c>
      <c r="P4084" s="9" t="s">
        <v>13284</v>
      </c>
      <c r="Q4084" s="9" t="s">
        <v>13284</v>
      </c>
      <c r="R4084" s="9" t="s">
        <v>13284</v>
      </c>
      <c r="S4084" s="9" t="s">
        <v>13284</v>
      </c>
      <c r="T4084" s="9" t="str">
        <f ca="1">IFERROR(IF(AND(VLOOKUP(A4084, 'Актуальное состояние (из общего'!A:C,3,0) = "", A4084 &lt;&gt; ""), "ПРОВЕРИТЬ", VLOOKUP(A4084, 'Актуальное состояние (из общего'!A:C,3,0)), "")</f>
        <v/>
      </c>
      <c r="U4084" s="9" t="s">
        <v>13284</v>
      </c>
      <c r="V4084" s="9" t="s">
        <v>13284</v>
      </c>
      <c r="W4084" s="12"/>
      <c r="X4084" s="9" t="str">
        <f t="array" ref="X4084">IFERROR(INDEX('Адреса общежитий (скрытый)'!$B$2:$B$9, MATCH(W4084, 'Адреса общежитий (скрытый)'!$A$2:$A$9, 0)), "")</f>
        <v/>
      </c>
      <c r="Y4084" s="18"/>
      <c r="Z4084" s="18"/>
      <c r="AA4084" s="18"/>
      <c r="AB4084" s="18"/>
      <c r="AC4084" s="18"/>
    </row>
    <row r="4085" spans="1:29" ht="32.25" hidden="1" customHeight="1">
      <c r="A4085" s="17"/>
      <c r="B4085" s="9" t="s">
        <v>13284</v>
      </c>
      <c r="C4085" s="9" t="s">
        <v>13284</v>
      </c>
      <c r="D4085" s="9" t="s">
        <v>13284</v>
      </c>
      <c r="E4085" s="9" t="s">
        <v>13284</v>
      </c>
      <c r="F4085" s="9" t="s">
        <v>13284</v>
      </c>
      <c r="G4085" s="9" t="s">
        <v>13284</v>
      </c>
      <c r="H4085" s="9" t="s">
        <v>13284</v>
      </c>
      <c r="I4085" s="9" t="s">
        <v>13284</v>
      </c>
      <c r="J4085" s="9" t="s">
        <v>13284</v>
      </c>
      <c r="K4085" s="9" t="s">
        <v>13284</v>
      </c>
      <c r="L4085" s="9" t="s">
        <v>13284</v>
      </c>
      <c r="M4085" s="9" t="s">
        <v>13284</v>
      </c>
      <c r="N4085" s="9" t="s">
        <v>13284</v>
      </c>
      <c r="O4085" s="9" t="s">
        <v>13284</v>
      </c>
      <c r="P4085" s="9" t="s">
        <v>13284</v>
      </c>
      <c r="Q4085" s="9" t="s">
        <v>13284</v>
      </c>
      <c r="R4085" s="9" t="s">
        <v>13284</v>
      </c>
      <c r="S4085" s="9" t="s">
        <v>13284</v>
      </c>
      <c r="T4085" s="9" t="str">
        <f ca="1">IFERROR(IF(AND(VLOOKUP(A4085, 'Актуальное состояние (из общего'!A:C,3,0) = "", A4085 &lt;&gt; ""), "ПРОВЕРИТЬ", VLOOKUP(A4085, 'Актуальное состояние (из общего'!A:C,3,0)), "")</f>
        <v/>
      </c>
      <c r="U4085" s="9" t="s">
        <v>13284</v>
      </c>
      <c r="V4085" s="9" t="s">
        <v>13284</v>
      </c>
      <c r="W4085" s="12"/>
      <c r="X4085" s="9" t="str">
        <f t="array" ref="X4085">IFERROR(INDEX('Адреса общежитий (скрытый)'!$B$2:$B$9, MATCH(W4085, 'Адреса общежитий (скрытый)'!$A$2:$A$9, 0)), "")</f>
        <v/>
      </c>
      <c r="Y4085" s="18"/>
      <c r="Z4085" s="18"/>
      <c r="AA4085" s="18"/>
      <c r="AB4085" s="18"/>
      <c r="AC4085" s="18"/>
    </row>
    <row r="4086" spans="1:29" ht="32.25" hidden="1" customHeight="1">
      <c r="A4086" s="17"/>
      <c r="B4086" s="9" t="s">
        <v>13284</v>
      </c>
      <c r="C4086" s="9" t="s">
        <v>13284</v>
      </c>
      <c r="D4086" s="9" t="s">
        <v>13284</v>
      </c>
      <c r="E4086" s="9" t="s">
        <v>13284</v>
      </c>
      <c r="F4086" s="9" t="s">
        <v>13284</v>
      </c>
      <c r="G4086" s="9" t="s">
        <v>13284</v>
      </c>
      <c r="H4086" s="9" t="s">
        <v>13284</v>
      </c>
      <c r="I4086" s="9" t="s">
        <v>13284</v>
      </c>
      <c r="J4086" s="9" t="s">
        <v>13284</v>
      </c>
      <c r="K4086" s="9" t="s">
        <v>13284</v>
      </c>
      <c r="L4086" s="9" t="s">
        <v>13284</v>
      </c>
      <c r="M4086" s="9" t="s">
        <v>13284</v>
      </c>
      <c r="N4086" s="9" t="s">
        <v>13284</v>
      </c>
      <c r="O4086" s="9" t="s">
        <v>13284</v>
      </c>
      <c r="P4086" s="9" t="s">
        <v>13284</v>
      </c>
      <c r="Q4086" s="9" t="s">
        <v>13284</v>
      </c>
      <c r="R4086" s="9" t="s">
        <v>13284</v>
      </c>
      <c r="S4086" s="9" t="s">
        <v>13284</v>
      </c>
      <c r="T4086" s="9" t="str">
        <f ca="1">IFERROR(IF(AND(VLOOKUP(A4086, 'Актуальное состояние (из общего'!A:C,3,0) = "", A4086 &lt;&gt; ""), "ПРОВЕРИТЬ", VLOOKUP(A4086, 'Актуальное состояние (из общего'!A:C,3,0)), "")</f>
        <v/>
      </c>
      <c r="U4086" s="9" t="s">
        <v>13284</v>
      </c>
      <c r="V4086" s="9" t="s">
        <v>13284</v>
      </c>
      <c r="W4086" s="12"/>
      <c r="X4086" s="9" t="str">
        <f t="array" ref="X4086">IFERROR(INDEX('Адреса общежитий (скрытый)'!$B$2:$B$9, MATCH(W4086, 'Адреса общежитий (скрытый)'!$A$2:$A$9, 0)), "")</f>
        <v/>
      </c>
      <c r="Y4086" s="18"/>
      <c r="Z4086" s="18"/>
      <c r="AA4086" s="18"/>
      <c r="AB4086" s="18"/>
      <c r="AC4086" s="18"/>
    </row>
    <row r="4087" spans="1:29" ht="32.25" hidden="1" customHeight="1">
      <c r="A4087" s="17"/>
      <c r="B4087" s="9" t="s">
        <v>13284</v>
      </c>
      <c r="C4087" s="9" t="s">
        <v>13284</v>
      </c>
      <c r="D4087" s="9" t="s">
        <v>13284</v>
      </c>
      <c r="E4087" s="9" t="s">
        <v>13284</v>
      </c>
      <c r="F4087" s="9" t="s">
        <v>13284</v>
      </c>
      <c r="G4087" s="9" t="s">
        <v>13284</v>
      </c>
      <c r="H4087" s="9" t="s">
        <v>13284</v>
      </c>
      <c r="I4087" s="9" t="s">
        <v>13284</v>
      </c>
      <c r="J4087" s="9" t="s">
        <v>13284</v>
      </c>
      <c r="K4087" s="9" t="s">
        <v>13284</v>
      </c>
      <c r="L4087" s="9" t="s">
        <v>13284</v>
      </c>
      <c r="M4087" s="9" t="s">
        <v>13284</v>
      </c>
      <c r="N4087" s="9" t="s">
        <v>13284</v>
      </c>
      <c r="O4087" s="9" t="s">
        <v>13284</v>
      </c>
      <c r="P4087" s="9" t="s">
        <v>13284</v>
      </c>
      <c r="Q4087" s="9" t="s">
        <v>13284</v>
      </c>
      <c r="R4087" s="9" t="s">
        <v>13284</v>
      </c>
      <c r="S4087" s="9" t="s">
        <v>13284</v>
      </c>
      <c r="T4087" s="9" t="str">
        <f ca="1">IFERROR(IF(AND(VLOOKUP(A4087, 'Актуальное состояние (из общего'!A:C,3,0) = "", A4087 &lt;&gt; ""), "ПРОВЕРИТЬ", VLOOKUP(A4087, 'Актуальное состояние (из общего'!A:C,3,0)), "")</f>
        <v/>
      </c>
      <c r="U4087" s="9" t="s">
        <v>13284</v>
      </c>
      <c r="V4087" s="9" t="s">
        <v>13284</v>
      </c>
      <c r="W4087" s="12"/>
      <c r="X4087" s="9" t="str">
        <f t="array" ref="X4087">IFERROR(INDEX('Адреса общежитий (скрытый)'!$B$2:$B$9, MATCH(W4087, 'Адреса общежитий (скрытый)'!$A$2:$A$9, 0)), "")</f>
        <v/>
      </c>
      <c r="Y4087" s="18"/>
      <c r="Z4087" s="18"/>
      <c r="AA4087" s="18"/>
      <c r="AB4087" s="18"/>
      <c r="AC4087" s="18"/>
    </row>
    <row r="4088" spans="1:29" ht="32.25" hidden="1" customHeight="1">
      <c r="A4088" s="17"/>
      <c r="B4088" s="9" t="s">
        <v>13284</v>
      </c>
      <c r="C4088" s="9" t="s">
        <v>13284</v>
      </c>
      <c r="D4088" s="9" t="s">
        <v>13284</v>
      </c>
      <c r="E4088" s="9" t="s">
        <v>13284</v>
      </c>
      <c r="F4088" s="9" t="s">
        <v>13284</v>
      </c>
      <c r="G4088" s="9" t="s">
        <v>13284</v>
      </c>
      <c r="H4088" s="9" t="s">
        <v>13284</v>
      </c>
      <c r="I4088" s="9" t="s">
        <v>13284</v>
      </c>
      <c r="J4088" s="9" t="s">
        <v>13284</v>
      </c>
      <c r="K4088" s="9" t="s">
        <v>13284</v>
      </c>
      <c r="L4088" s="9" t="s">
        <v>13284</v>
      </c>
      <c r="M4088" s="9" t="s">
        <v>13284</v>
      </c>
      <c r="N4088" s="9" t="s">
        <v>13284</v>
      </c>
      <c r="O4088" s="9" t="s">
        <v>13284</v>
      </c>
      <c r="P4088" s="9" t="s">
        <v>13284</v>
      </c>
      <c r="Q4088" s="9" t="s">
        <v>13284</v>
      </c>
      <c r="R4088" s="9" t="s">
        <v>13284</v>
      </c>
      <c r="S4088" s="9" t="s">
        <v>13284</v>
      </c>
      <c r="T4088" s="9" t="str">
        <f ca="1">IFERROR(IF(AND(VLOOKUP(A4088, 'Актуальное состояние (из общего'!A:C,3,0) = "", A4088 &lt;&gt; ""), "ПРОВЕРИТЬ", VLOOKUP(A4088, 'Актуальное состояние (из общего'!A:C,3,0)), "")</f>
        <v/>
      </c>
      <c r="U4088" s="9" t="s">
        <v>13284</v>
      </c>
      <c r="V4088" s="9" t="s">
        <v>13284</v>
      </c>
      <c r="W4088" s="12"/>
      <c r="X4088" s="9" t="str">
        <f t="array" ref="X4088">IFERROR(INDEX('Адреса общежитий (скрытый)'!$B$2:$B$9, MATCH(W4088, 'Адреса общежитий (скрытый)'!$A$2:$A$9, 0)), "")</f>
        <v/>
      </c>
      <c r="Y4088" s="18"/>
      <c r="Z4088" s="18"/>
      <c r="AA4088" s="18"/>
      <c r="AB4088" s="18"/>
      <c r="AC4088" s="18"/>
    </row>
    <row r="4089" spans="1:29" ht="32.25" hidden="1" customHeight="1">
      <c r="A4089" s="17"/>
      <c r="B4089" s="9" t="s">
        <v>13284</v>
      </c>
      <c r="C4089" s="9" t="s">
        <v>13284</v>
      </c>
      <c r="D4089" s="9" t="s">
        <v>13284</v>
      </c>
      <c r="E4089" s="9" t="s">
        <v>13284</v>
      </c>
      <c r="F4089" s="9" t="s">
        <v>13284</v>
      </c>
      <c r="G4089" s="9" t="s">
        <v>13284</v>
      </c>
      <c r="H4089" s="9" t="s">
        <v>13284</v>
      </c>
      <c r="I4089" s="9" t="s">
        <v>13284</v>
      </c>
      <c r="J4089" s="9" t="s">
        <v>13284</v>
      </c>
      <c r="K4089" s="9" t="s">
        <v>13284</v>
      </c>
      <c r="L4089" s="9" t="s">
        <v>13284</v>
      </c>
      <c r="M4089" s="9" t="s">
        <v>13284</v>
      </c>
      <c r="N4089" s="9" t="s">
        <v>13284</v>
      </c>
      <c r="O4089" s="9" t="s">
        <v>13284</v>
      </c>
      <c r="P4089" s="9" t="s">
        <v>13284</v>
      </c>
      <c r="Q4089" s="9" t="s">
        <v>13284</v>
      </c>
      <c r="R4089" s="9" t="s">
        <v>13284</v>
      </c>
      <c r="S4089" s="9" t="s">
        <v>13284</v>
      </c>
      <c r="T4089" s="9" t="str">
        <f ca="1">IFERROR(IF(AND(VLOOKUP(A4089, 'Актуальное состояние (из общего'!A:C,3,0) = "", A4089 &lt;&gt; ""), "ПРОВЕРИТЬ", VLOOKUP(A4089, 'Актуальное состояние (из общего'!A:C,3,0)), "")</f>
        <v/>
      </c>
      <c r="U4089" s="9" t="s">
        <v>13284</v>
      </c>
      <c r="V4089" s="9" t="s">
        <v>13284</v>
      </c>
      <c r="W4089" s="12"/>
      <c r="X4089" s="9" t="str">
        <f t="array" ref="X4089">IFERROR(INDEX('Адреса общежитий (скрытый)'!$B$2:$B$9, MATCH(W4089, 'Адреса общежитий (скрытый)'!$A$2:$A$9, 0)), "")</f>
        <v/>
      </c>
      <c r="Y4089" s="18"/>
      <c r="Z4089" s="18"/>
      <c r="AA4089" s="18"/>
      <c r="AB4089" s="18"/>
      <c r="AC4089" s="18"/>
    </row>
    <row r="4090" spans="1:29" ht="32.25" hidden="1" customHeight="1">
      <c r="A4090" s="17"/>
      <c r="B4090" s="9" t="s">
        <v>13284</v>
      </c>
      <c r="C4090" s="9" t="s">
        <v>13284</v>
      </c>
      <c r="D4090" s="9" t="s">
        <v>13284</v>
      </c>
      <c r="E4090" s="9" t="s">
        <v>13284</v>
      </c>
      <c r="F4090" s="9" t="s">
        <v>13284</v>
      </c>
      <c r="G4090" s="9" t="s">
        <v>13284</v>
      </c>
      <c r="H4090" s="9" t="s">
        <v>13284</v>
      </c>
      <c r="I4090" s="9" t="s">
        <v>13284</v>
      </c>
      <c r="J4090" s="9" t="s">
        <v>13284</v>
      </c>
      <c r="K4090" s="9" t="s">
        <v>13284</v>
      </c>
      <c r="L4090" s="9" t="s">
        <v>13284</v>
      </c>
      <c r="M4090" s="9" t="s">
        <v>13284</v>
      </c>
      <c r="N4090" s="9" t="s">
        <v>13284</v>
      </c>
      <c r="O4090" s="9" t="s">
        <v>13284</v>
      </c>
      <c r="P4090" s="9" t="s">
        <v>13284</v>
      </c>
      <c r="Q4090" s="9" t="s">
        <v>13284</v>
      </c>
      <c r="R4090" s="9" t="s">
        <v>13284</v>
      </c>
      <c r="S4090" s="9" t="s">
        <v>13284</v>
      </c>
      <c r="T4090" s="9" t="str">
        <f ca="1">IFERROR(IF(AND(VLOOKUP(A4090, 'Актуальное состояние (из общего'!A:C,3,0) = "", A4090 &lt;&gt; ""), "ПРОВЕРИТЬ", VLOOKUP(A4090, 'Актуальное состояние (из общего'!A:C,3,0)), "")</f>
        <v/>
      </c>
      <c r="U4090" s="9" t="s">
        <v>13284</v>
      </c>
      <c r="V4090" s="9" t="s">
        <v>13284</v>
      </c>
      <c r="W4090" s="12"/>
      <c r="X4090" s="9" t="str">
        <f t="array" ref="X4090">IFERROR(INDEX('Адреса общежитий (скрытый)'!$B$2:$B$9, MATCH(W4090, 'Адреса общежитий (скрытый)'!$A$2:$A$9, 0)), "")</f>
        <v/>
      </c>
      <c r="Y4090" s="18"/>
      <c r="Z4090" s="18"/>
      <c r="AA4090" s="18"/>
      <c r="AB4090" s="18"/>
      <c r="AC4090" s="18"/>
    </row>
    <row r="4091" spans="1:29" ht="32.25" hidden="1" customHeight="1">
      <c r="A4091" s="17"/>
      <c r="B4091" s="9" t="s">
        <v>13284</v>
      </c>
      <c r="C4091" s="9" t="s">
        <v>13284</v>
      </c>
      <c r="D4091" s="9" t="s">
        <v>13284</v>
      </c>
      <c r="E4091" s="9" t="s">
        <v>13284</v>
      </c>
      <c r="F4091" s="9" t="s">
        <v>13284</v>
      </c>
      <c r="G4091" s="9" t="s">
        <v>13284</v>
      </c>
      <c r="H4091" s="9" t="s">
        <v>13284</v>
      </c>
      <c r="I4091" s="9" t="s">
        <v>13284</v>
      </c>
      <c r="J4091" s="9" t="s">
        <v>13284</v>
      </c>
      <c r="K4091" s="9" t="s">
        <v>13284</v>
      </c>
      <c r="L4091" s="9" t="s">
        <v>13284</v>
      </c>
      <c r="M4091" s="9" t="s">
        <v>13284</v>
      </c>
      <c r="N4091" s="9" t="s">
        <v>13284</v>
      </c>
      <c r="O4091" s="9" t="s">
        <v>13284</v>
      </c>
      <c r="P4091" s="9" t="s">
        <v>13284</v>
      </c>
      <c r="Q4091" s="9" t="s">
        <v>13284</v>
      </c>
      <c r="R4091" s="9" t="s">
        <v>13284</v>
      </c>
      <c r="S4091" s="9" t="s">
        <v>13284</v>
      </c>
      <c r="T4091" s="9" t="str">
        <f ca="1">IFERROR(IF(AND(VLOOKUP(A4091, 'Актуальное состояние (из общего'!A:C,3,0) = "", A4091 &lt;&gt; ""), "ПРОВЕРИТЬ", VLOOKUP(A4091, 'Актуальное состояние (из общего'!A:C,3,0)), "")</f>
        <v/>
      </c>
      <c r="U4091" s="9" t="s">
        <v>13284</v>
      </c>
      <c r="V4091" s="9" t="s">
        <v>13284</v>
      </c>
      <c r="W4091" s="12"/>
      <c r="X4091" s="9" t="str">
        <f t="array" ref="X4091">IFERROR(INDEX('Адреса общежитий (скрытый)'!$B$2:$B$9, MATCH(W4091, 'Адреса общежитий (скрытый)'!$A$2:$A$9, 0)), "")</f>
        <v/>
      </c>
      <c r="Y4091" s="18"/>
      <c r="Z4091" s="18"/>
      <c r="AA4091" s="18"/>
      <c r="AB4091" s="18"/>
      <c r="AC4091" s="18"/>
    </row>
    <row r="4092" spans="1:29" ht="32.25" hidden="1" customHeight="1">
      <c r="A4092" s="17"/>
      <c r="B4092" s="9" t="s">
        <v>13284</v>
      </c>
      <c r="C4092" s="9" t="s">
        <v>13284</v>
      </c>
      <c r="D4092" s="9" t="s">
        <v>13284</v>
      </c>
      <c r="E4092" s="9" t="s">
        <v>13284</v>
      </c>
      <c r="F4092" s="9" t="s">
        <v>13284</v>
      </c>
      <c r="G4092" s="9" t="s">
        <v>13284</v>
      </c>
      <c r="H4092" s="9" t="s">
        <v>13284</v>
      </c>
      <c r="I4092" s="9" t="s">
        <v>13284</v>
      </c>
      <c r="J4092" s="9" t="s">
        <v>13284</v>
      </c>
      <c r="K4092" s="9" t="s">
        <v>13284</v>
      </c>
      <c r="L4092" s="9" t="s">
        <v>13284</v>
      </c>
      <c r="M4092" s="9" t="s">
        <v>13284</v>
      </c>
      <c r="N4092" s="9" t="s">
        <v>13284</v>
      </c>
      <c r="O4092" s="9" t="s">
        <v>13284</v>
      </c>
      <c r="P4092" s="9" t="s">
        <v>13284</v>
      </c>
      <c r="Q4092" s="9" t="s">
        <v>13284</v>
      </c>
      <c r="R4092" s="9" t="s">
        <v>13284</v>
      </c>
      <c r="S4092" s="9" t="s">
        <v>13284</v>
      </c>
      <c r="T4092" s="9" t="str">
        <f ca="1">IFERROR(IF(AND(VLOOKUP(A4092, 'Актуальное состояние (из общего'!A:C,3,0) = "", A4092 &lt;&gt; ""), "ПРОВЕРИТЬ", VLOOKUP(A4092, 'Актуальное состояние (из общего'!A:C,3,0)), "")</f>
        <v/>
      </c>
      <c r="U4092" s="9" t="s">
        <v>13284</v>
      </c>
      <c r="V4092" s="9" t="s">
        <v>13284</v>
      </c>
      <c r="W4092" s="12"/>
      <c r="X4092" s="9" t="str">
        <f t="array" ref="X4092">IFERROR(INDEX('Адреса общежитий (скрытый)'!$B$2:$B$9, MATCH(W4092, 'Адреса общежитий (скрытый)'!$A$2:$A$9, 0)), "")</f>
        <v/>
      </c>
      <c r="Y4092" s="18"/>
      <c r="Z4092" s="18"/>
      <c r="AA4092" s="18"/>
      <c r="AB4092" s="18"/>
      <c r="AC4092" s="18"/>
    </row>
    <row r="4093" spans="1:29" ht="32.25" hidden="1" customHeight="1">
      <c r="A4093" s="17"/>
      <c r="B4093" s="9" t="s">
        <v>13284</v>
      </c>
      <c r="C4093" s="9" t="s">
        <v>13284</v>
      </c>
      <c r="D4093" s="9" t="s">
        <v>13284</v>
      </c>
      <c r="E4093" s="9" t="s">
        <v>13284</v>
      </c>
      <c r="F4093" s="9" t="s">
        <v>13284</v>
      </c>
      <c r="G4093" s="9" t="s">
        <v>13284</v>
      </c>
      <c r="H4093" s="9" t="s">
        <v>13284</v>
      </c>
      <c r="I4093" s="9" t="s">
        <v>13284</v>
      </c>
      <c r="J4093" s="9" t="s">
        <v>13284</v>
      </c>
      <c r="K4093" s="9" t="s">
        <v>13284</v>
      </c>
      <c r="L4093" s="9" t="s">
        <v>13284</v>
      </c>
      <c r="M4093" s="9" t="s">
        <v>13284</v>
      </c>
      <c r="N4093" s="9" t="s">
        <v>13284</v>
      </c>
      <c r="O4093" s="9" t="s">
        <v>13284</v>
      </c>
      <c r="P4093" s="9" t="s">
        <v>13284</v>
      </c>
      <c r="Q4093" s="9" t="s">
        <v>13284</v>
      </c>
      <c r="R4093" s="9" t="s">
        <v>13284</v>
      </c>
      <c r="S4093" s="9" t="s">
        <v>13284</v>
      </c>
      <c r="T4093" s="9" t="str">
        <f ca="1">IFERROR(IF(AND(VLOOKUP(A4093, 'Актуальное состояние (из общего'!A:C,3,0) = "", A4093 &lt;&gt; ""), "ПРОВЕРИТЬ", VLOOKUP(A4093, 'Актуальное состояние (из общего'!A:C,3,0)), "")</f>
        <v/>
      </c>
      <c r="U4093" s="9" t="s">
        <v>13284</v>
      </c>
      <c r="V4093" s="9" t="s">
        <v>13284</v>
      </c>
      <c r="W4093" s="12"/>
      <c r="X4093" s="9" t="str">
        <f t="array" ref="X4093">IFERROR(INDEX('Адреса общежитий (скрытый)'!$B$2:$B$9, MATCH(W4093, 'Адреса общежитий (скрытый)'!$A$2:$A$9, 0)), "")</f>
        <v/>
      </c>
      <c r="Y4093" s="18"/>
      <c r="Z4093" s="18"/>
      <c r="AA4093" s="18"/>
      <c r="AB4093" s="18"/>
      <c r="AC4093" s="18"/>
    </row>
    <row r="4094" spans="1:29" ht="32.25" hidden="1" customHeight="1">
      <c r="A4094" s="17"/>
      <c r="B4094" s="9" t="s">
        <v>13284</v>
      </c>
      <c r="C4094" s="9" t="s">
        <v>13284</v>
      </c>
      <c r="D4094" s="9" t="s">
        <v>13284</v>
      </c>
      <c r="E4094" s="9" t="s">
        <v>13284</v>
      </c>
      <c r="F4094" s="9" t="s">
        <v>13284</v>
      </c>
      <c r="G4094" s="9" t="s">
        <v>13284</v>
      </c>
      <c r="H4094" s="9" t="s">
        <v>13284</v>
      </c>
      <c r="I4094" s="9" t="s">
        <v>13284</v>
      </c>
      <c r="J4094" s="9" t="s">
        <v>13284</v>
      </c>
      <c r="K4094" s="9" t="s">
        <v>13284</v>
      </c>
      <c r="L4094" s="9" t="s">
        <v>13284</v>
      </c>
      <c r="M4094" s="9" t="s">
        <v>13284</v>
      </c>
      <c r="N4094" s="9" t="s">
        <v>13284</v>
      </c>
      <c r="O4094" s="9" t="s">
        <v>13284</v>
      </c>
      <c r="P4094" s="9" t="s">
        <v>13284</v>
      </c>
      <c r="Q4094" s="9" t="s">
        <v>13284</v>
      </c>
      <c r="R4094" s="9" t="s">
        <v>13284</v>
      </c>
      <c r="S4094" s="9" t="s">
        <v>13284</v>
      </c>
      <c r="T4094" s="9" t="str">
        <f ca="1">IFERROR(IF(AND(VLOOKUP(A4094, 'Актуальное состояние (из общего'!A:C,3,0) = "", A4094 &lt;&gt; ""), "ПРОВЕРИТЬ", VLOOKUP(A4094, 'Актуальное состояние (из общего'!A:C,3,0)), "")</f>
        <v/>
      </c>
      <c r="U4094" s="9" t="s">
        <v>13284</v>
      </c>
      <c r="V4094" s="9" t="s">
        <v>13284</v>
      </c>
      <c r="W4094" s="12"/>
      <c r="X4094" s="9" t="str">
        <f t="array" ref="X4094">IFERROR(INDEX('Адреса общежитий (скрытый)'!$B$2:$B$9, MATCH(W4094, 'Адреса общежитий (скрытый)'!$A$2:$A$9, 0)), "")</f>
        <v/>
      </c>
      <c r="Y4094" s="18"/>
      <c r="Z4094" s="18"/>
      <c r="AA4094" s="18"/>
      <c r="AB4094" s="18"/>
      <c r="AC4094" s="18"/>
    </row>
    <row r="4095" spans="1:29" ht="32.25" hidden="1" customHeight="1">
      <c r="A4095" s="17"/>
      <c r="B4095" s="9" t="s">
        <v>13284</v>
      </c>
      <c r="C4095" s="9" t="s">
        <v>13284</v>
      </c>
      <c r="D4095" s="9" t="s">
        <v>13284</v>
      </c>
      <c r="E4095" s="9" t="s">
        <v>13284</v>
      </c>
      <c r="F4095" s="9" t="s">
        <v>13284</v>
      </c>
      <c r="G4095" s="9" t="s">
        <v>13284</v>
      </c>
      <c r="H4095" s="9" t="s">
        <v>13284</v>
      </c>
      <c r="I4095" s="9" t="s">
        <v>13284</v>
      </c>
      <c r="J4095" s="9" t="s">
        <v>13284</v>
      </c>
      <c r="K4095" s="9" t="s">
        <v>13284</v>
      </c>
      <c r="L4095" s="9" t="s">
        <v>13284</v>
      </c>
      <c r="M4095" s="9" t="s">
        <v>13284</v>
      </c>
      <c r="N4095" s="9" t="s">
        <v>13284</v>
      </c>
      <c r="O4095" s="9" t="s">
        <v>13284</v>
      </c>
      <c r="P4095" s="9" t="s">
        <v>13284</v>
      </c>
      <c r="Q4095" s="9" t="s">
        <v>13284</v>
      </c>
      <c r="R4095" s="9" t="s">
        <v>13284</v>
      </c>
      <c r="S4095" s="9" t="s">
        <v>13284</v>
      </c>
      <c r="T4095" s="9" t="str">
        <f ca="1">IFERROR(IF(AND(VLOOKUP(A4095, 'Актуальное состояние (из общего'!A:C,3,0) = "", A4095 &lt;&gt; ""), "ПРОВЕРИТЬ", VLOOKUP(A4095, 'Актуальное состояние (из общего'!A:C,3,0)), "")</f>
        <v/>
      </c>
      <c r="U4095" s="9" t="s">
        <v>13284</v>
      </c>
      <c r="V4095" s="9" t="s">
        <v>13284</v>
      </c>
      <c r="W4095" s="12"/>
      <c r="X4095" s="9" t="str">
        <f t="array" ref="X4095">IFERROR(INDEX('Адреса общежитий (скрытый)'!$B$2:$B$9, MATCH(W4095, 'Адреса общежитий (скрытый)'!$A$2:$A$9, 0)), "")</f>
        <v/>
      </c>
      <c r="Y4095" s="18"/>
      <c r="Z4095" s="18"/>
      <c r="AA4095" s="18"/>
      <c r="AB4095" s="18"/>
      <c r="AC4095" s="18"/>
    </row>
    <row r="4096" spans="1:29" ht="32.25" hidden="1" customHeight="1">
      <c r="A4096" s="17"/>
      <c r="B4096" s="9" t="s">
        <v>13284</v>
      </c>
      <c r="C4096" s="9" t="s">
        <v>13284</v>
      </c>
      <c r="D4096" s="9" t="s">
        <v>13284</v>
      </c>
      <c r="E4096" s="9" t="s">
        <v>13284</v>
      </c>
      <c r="F4096" s="9" t="s">
        <v>13284</v>
      </c>
      <c r="G4096" s="9" t="s">
        <v>13284</v>
      </c>
      <c r="H4096" s="9" t="s">
        <v>13284</v>
      </c>
      <c r="I4096" s="9" t="s">
        <v>13284</v>
      </c>
      <c r="J4096" s="9" t="s">
        <v>13284</v>
      </c>
      <c r="K4096" s="9" t="s">
        <v>13284</v>
      </c>
      <c r="L4096" s="9" t="s">
        <v>13284</v>
      </c>
      <c r="M4096" s="9" t="s">
        <v>13284</v>
      </c>
      <c r="N4096" s="9" t="s">
        <v>13284</v>
      </c>
      <c r="O4096" s="9" t="s">
        <v>13284</v>
      </c>
      <c r="P4096" s="9" t="s">
        <v>13284</v>
      </c>
      <c r="Q4096" s="9" t="s">
        <v>13284</v>
      </c>
      <c r="R4096" s="9" t="s">
        <v>13284</v>
      </c>
      <c r="S4096" s="9" t="s">
        <v>13284</v>
      </c>
      <c r="T4096" s="9" t="str">
        <f ca="1">IFERROR(IF(AND(VLOOKUP(A4096, 'Актуальное состояние (из общего'!A:C,3,0) = "", A4096 &lt;&gt; ""), "ПРОВЕРИТЬ", VLOOKUP(A4096, 'Актуальное состояние (из общего'!A:C,3,0)), "")</f>
        <v/>
      </c>
      <c r="U4096" s="9" t="s">
        <v>13284</v>
      </c>
      <c r="V4096" s="9" t="s">
        <v>13284</v>
      </c>
      <c r="W4096" s="12"/>
      <c r="X4096" s="9" t="str">
        <f t="array" ref="X4096">IFERROR(INDEX('Адреса общежитий (скрытый)'!$B$2:$B$9, MATCH(W4096, 'Адреса общежитий (скрытый)'!$A$2:$A$9, 0)), "")</f>
        <v/>
      </c>
      <c r="Y4096" s="18"/>
      <c r="Z4096" s="18"/>
      <c r="AA4096" s="18"/>
      <c r="AB4096" s="18"/>
      <c r="AC4096" s="18"/>
    </row>
    <row r="4097" spans="1:29" ht="32.25" hidden="1" customHeight="1">
      <c r="A4097" s="17"/>
      <c r="B4097" s="9" t="s">
        <v>13284</v>
      </c>
      <c r="C4097" s="9" t="s">
        <v>13284</v>
      </c>
      <c r="D4097" s="9" t="s">
        <v>13284</v>
      </c>
      <c r="E4097" s="9" t="s">
        <v>13284</v>
      </c>
      <c r="F4097" s="9" t="s">
        <v>13284</v>
      </c>
      <c r="G4097" s="9" t="s">
        <v>13284</v>
      </c>
      <c r="H4097" s="9" t="s">
        <v>13284</v>
      </c>
      <c r="I4097" s="9" t="s">
        <v>13284</v>
      </c>
      <c r="J4097" s="9" t="s">
        <v>13284</v>
      </c>
      <c r="K4097" s="9" t="s">
        <v>13284</v>
      </c>
      <c r="L4097" s="9" t="s">
        <v>13284</v>
      </c>
      <c r="M4097" s="9" t="s">
        <v>13284</v>
      </c>
      <c r="N4097" s="9" t="s">
        <v>13284</v>
      </c>
      <c r="O4097" s="9" t="s">
        <v>13284</v>
      </c>
      <c r="P4097" s="9" t="s">
        <v>13284</v>
      </c>
      <c r="Q4097" s="9" t="s">
        <v>13284</v>
      </c>
      <c r="R4097" s="9" t="s">
        <v>13284</v>
      </c>
      <c r="S4097" s="9" t="s">
        <v>13284</v>
      </c>
      <c r="T4097" s="9" t="str">
        <f ca="1">IFERROR(IF(AND(VLOOKUP(A4097, 'Актуальное состояние (из общего'!A:C,3,0) = "", A4097 &lt;&gt; ""), "ПРОВЕРИТЬ", VLOOKUP(A4097, 'Актуальное состояние (из общего'!A:C,3,0)), "")</f>
        <v/>
      </c>
      <c r="U4097" s="9" t="s">
        <v>13284</v>
      </c>
      <c r="V4097" s="9" t="s">
        <v>13284</v>
      </c>
      <c r="W4097" s="12"/>
      <c r="X4097" s="9" t="str">
        <f t="array" ref="X4097">IFERROR(INDEX('Адреса общежитий (скрытый)'!$B$2:$B$9, MATCH(W4097, 'Адреса общежитий (скрытый)'!$A$2:$A$9, 0)), "")</f>
        <v/>
      </c>
      <c r="Y4097" s="18"/>
      <c r="Z4097" s="18"/>
      <c r="AA4097" s="18"/>
      <c r="AB4097" s="18"/>
      <c r="AC4097" s="18"/>
    </row>
    <row r="4098" spans="1:29" ht="32.25" hidden="1" customHeight="1">
      <c r="A4098" s="17"/>
      <c r="B4098" s="9" t="s">
        <v>13284</v>
      </c>
      <c r="C4098" s="9" t="s">
        <v>13284</v>
      </c>
      <c r="D4098" s="9" t="s">
        <v>13284</v>
      </c>
      <c r="E4098" s="9" t="s">
        <v>13284</v>
      </c>
      <c r="F4098" s="9" t="s">
        <v>13284</v>
      </c>
      <c r="G4098" s="9" t="s">
        <v>13284</v>
      </c>
      <c r="H4098" s="9" t="s">
        <v>13284</v>
      </c>
      <c r="I4098" s="9" t="s">
        <v>13284</v>
      </c>
      <c r="J4098" s="9" t="s">
        <v>13284</v>
      </c>
      <c r="K4098" s="9" t="s">
        <v>13284</v>
      </c>
      <c r="L4098" s="9" t="s">
        <v>13284</v>
      </c>
      <c r="M4098" s="9" t="s">
        <v>13284</v>
      </c>
      <c r="N4098" s="9" t="s">
        <v>13284</v>
      </c>
      <c r="O4098" s="9" t="s">
        <v>13284</v>
      </c>
      <c r="P4098" s="9" t="s">
        <v>13284</v>
      </c>
      <c r="Q4098" s="9" t="s">
        <v>13284</v>
      </c>
      <c r="R4098" s="9" t="s">
        <v>13284</v>
      </c>
      <c r="S4098" s="9" t="s">
        <v>13284</v>
      </c>
      <c r="T4098" s="9" t="str">
        <f ca="1">IFERROR(IF(AND(VLOOKUP(A4098, 'Актуальное состояние (из общего'!A:C,3,0) = "", A4098 &lt;&gt; ""), "ПРОВЕРИТЬ", VLOOKUP(A4098, 'Актуальное состояние (из общего'!A:C,3,0)), "")</f>
        <v/>
      </c>
      <c r="U4098" s="9" t="s">
        <v>13284</v>
      </c>
      <c r="V4098" s="9" t="s">
        <v>13284</v>
      </c>
      <c r="W4098" s="12"/>
      <c r="X4098" s="9" t="str">
        <f t="array" ref="X4098">IFERROR(INDEX('Адреса общежитий (скрытый)'!$B$2:$B$9, MATCH(W4098, 'Адреса общежитий (скрытый)'!$A$2:$A$9, 0)), "")</f>
        <v/>
      </c>
      <c r="Y4098" s="18"/>
      <c r="Z4098" s="18"/>
      <c r="AA4098" s="18"/>
      <c r="AB4098" s="18"/>
      <c r="AC4098" s="18"/>
    </row>
    <row r="4099" spans="1:29" ht="32.25" hidden="1" customHeight="1">
      <c r="A4099" s="17"/>
      <c r="B4099" s="9" t="s">
        <v>13284</v>
      </c>
      <c r="C4099" s="9" t="s">
        <v>13284</v>
      </c>
      <c r="D4099" s="9" t="s">
        <v>13284</v>
      </c>
      <c r="E4099" s="9" t="s">
        <v>13284</v>
      </c>
      <c r="F4099" s="9" t="s">
        <v>13284</v>
      </c>
      <c r="G4099" s="9" t="s">
        <v>13284</v>
      </c>
      <c r="H4099" s="9" t="s">
        <v>13284</v>
      </c>
      <c r="I4099" s="9" t="s">
        <v>13284</v>
      </c>
      <c r="J4099" s="9" t="s">
        <v>13284</v>
      </c>
      <c r="K4099" s="9" t="s">
        <v>13284</v>
      </c>
      <c r="L4099" s="9" t="s">
        <v>13284</v>
      </c>
      <c r="M4099" s="9" t="s">
        <v>13284</v>
      </c>
      <c r="N4099" s="9" t="s">
        <v>13284</v>
      </c>
      <c r="O4099" s="9" t="s">
        <v>13284</v>
      </c>
      <c r="P4099" s="9" t="s">
        <v>13284</v>
      </c>
      <c r="Q4099" s="9" t="s">
        <v>13284</v>
      </c>
      <c r="R4099" s="9" t="s">
        <v>13284</v>
      </c>
      <c r="S4099" s="9" t="s">
        <v>13284</v>
      </c>
      <c r="T4099" s="9" t="str">
        <f ca="1">IFERROR(IF(AND(VLOOKUP(A4099, 'Актуальное состояние (из общего'!A:C,3,0) = "", A4099 &lt;&gt; ""), "ПРОВЕРИТЬ", VLOOKUP(A4099, 'Актуальное состояние (из общего'!A:C,3,0)), "")</f>
        <v/>
      </c>
      <c r="U4099" s="9" t="s">
        <v>13284</v>
      </c>
      <c r="V4099" s="9" t="s">
        <v>13284</v>
      </c>
      <c r="W4099" s="12"/>
      <c r="X4099" s="9" t="str">
        <f t="array" ref="X4099">IFERROR(INDEX('Адреса общежитий (скрытый)'!$B$2:$B$9, MATCH(W4099, 'Адреса общежитий (скрытый)'!$A$2:$A$9, 0)), "")</f>
        <v/>
      </c>
      <c r="Y4099" s="18"/>
      <c r="Z4099" s="18"/>
      <c r="AA4099" s="18"/>
      <c r="AB4099" s="18"/>
      <c r="AC4099" s="18"/>
    </row>
    <row r="4100" spans="1:29" ht="32.25" hidden="1" customHeight="1">
      <c r="A4100" s="17"/>
      <c r="B4100" s="9" t="s">
        <v>13284</v>
      </c>
      <c r="C4100" s="9" t="s">
        <v>13284</v>
      </c>
      <c r="D4100" s="9" t="s">
        <v>13284</v>
      </c>
      <c r="E4100" s="9" t="s">
        <v>13284</v>
      </c>
      <c r="F4100" s="9" t="s">
        <v>13284</v>
      </c>
      <c r="G4100" s="9" t="s">
        <v>13284</v>
      </c>
      <c r="H4100" s="9" t="s">
        <v>13284</v>
      </c>
      <c r="I4100" s="9" t="s">
        <v>13284</v>
      </c>
      <c r="J4100" s="9" t="s">
        <v>13284</v>
      </c>
      <c r="K4100" s="9" t="s">
        <v>13284</v>
      </c>
      <c r="L4100" s="9" t="s">
        <v>13284</v>
      </c>
      <c r="M4100" s="9" t="s">
        <v>13284</v>
      </c>
      <c r="N4100" s="9" t="s">
        <v>13284</v>
      </c>
      <c r="O4100" s="9" t="s">
        <v>13284</v>
      </c>
      <c r="P4100" s="9" t="s">
        <v>13284</v>
      </c>
      <c r="Q4100" s="9" t="s">
        <v>13284</v>
      </c>
      <c r="R4100" s="9" t="s">
        <v>13284</v>
      </c>
      <c r="S4100" s="9" t="s">
        <v>13284</v>
      </c>
      <c r="T4100" s="9" t="str">
        <f ca="1">IFERROR(IF(AND(VLOOKUP(A4100, 'Актуальное состояние (из общего'!A:C,3,0) = "", A4100 &lt;&gt; ""), "ПРОВЕРИТЬ", VLOOKUP(A4100, 'Актуальное состояние (из общего'!A:C,3,0)), "")</f>
        <v/>
      </c>
      <c r="U4100" s="9" t="s">
        <v>13284</v>
      </c>
      <c r="V4100" s="9" t="s">
        <v>13284</v>
      </c>
      <c r="W4100" s="12"/>
      <c r="X4100" s="9" t="str">
        <f t="array" ref="X4100">IFERROR(INDEX('Адреса общежитий (скрытый)'!$B$2:$B$9, MATCH(W4100, 'Адреса общежитий (скрытый)'!$A$2:$A$9, 0)), "")</f>
        <v/>
      </c>
      <c r="Y4100" s="18"/>
      <c r="Z4100" s="18"/>
      <c r="AA4100" s="18"/>
      <c r="AB4100" s="18"/>
      <c r="AC4100" s="18"/>
    </row>
    <row r="4101" spans="1:29" ht="32.25" hidden="1" customHeight="1">
      <c r="A4101" s="17"/>
      <c r="B4101" s="9" t="s">
        <v>13284</v>
      </c>
      <c r="C4101" s="9" t="s">
        <v>13284</v>
      </c>
      <c r="D4101" s="9" t="s">
        <v>13284</v>
      </c>
      <c r="E4101" s="9" t="s">
        <v>13284</v>
      </c>
      <c r="F4101" s="9" t="s">
        <v>13284</v>
      </c>
      <c r="G4101" s="9" t="s">
        <v>13284</v>
      </c>
      <c r="H4101" s="9" t="s">
        <v>13284</v>
      </c>
      <c r="I4101" s="9" t="s">
        <v>13284</v>
      </c>
      <c r="J4101" s="9" t="s">
        <v>13284</v>
      </c>
      <c r="K4101" s="9" t="s">
        <v>13284</v>
      </c>
      <c r="L4101" s="9" t="s">
        <v>13284</v>
      </c>
      <c r="M4101" s="9" t="s">
        <v>13284</v>
      </c>
      <c r="N4101" s="9" t="s">
        <v>13284</v>
      </c>
      <c r="O4101" s="9" t="s">
        <v>13284</v>
      </c>
      <c r="P4101" s="9" t="s">
        <v>13284</v>
      </c>
      <c r="Q4101" s="9" t="s">
        <v>13284</v>
      </c>
      <c r="R4101" s="9" t="s">
        <v>13284</v>
      </c>
      <c r="S4101" s="9" t="s">
        <v>13284</v>
      </c>
      <c r="T4101" s="9" t="str">
        <f ca="1">IFERROR(IF(AND(VLOOKUP(A4101, 'Актуальное состояние (из общего'!A:C,3,0) = "", A4101 &lt;&gt; ""), "ПРОВЕРИТЬ", VLOOKUP(A4101, 'Актуальное состояние (из общего'!A:C,3,0)), "")</f>
        <v/>
      </c>
      <c r="U4101" s="9" t="s">
        <v>13284</v>
      </c>
      <c r="V4101" s="9" t="s">
        <v>13284</v>
      </c>
      <c r="W4101" s="12"/>
      <c r="X4101" s="9" t="str">
        <f t="array" ref="X4101">IFERROR(INDEX('Адреса общежитий (скрытый)'!$B$2:$B$9, MATCH(W4101, 'Адреса общежитий (скрытый)'!$A$2:$A$9, 0)), "")</f>
        <v/>
      </c>
      <c r="Y4101" s="18"/>
      <c r="Z4101" s="18"/>
      <c r="AA4101" s="18"/>
      <c r="AB4101" s="18"/>
      <c r="AC4101" s="18"/>
    </row>
    <row r="4102" spans="1:29" ht="32.25" hidden="1" customHeight="1">
      <c r="A4102" s="17"/>
      <c r="B4102" s="9" t="s">
        <v>13284</v>
      </c>
      <c r="C4102" s="9" t="s">
        <v>13284</v>
      </c>
      <c r="D4102" s="9" t="s">
        <v>13284</v>
      </c>
      <c r="E4102" s="9" t="s">
        <v>13284</v>
      </c>
      <c r="F4102" s="9" t="s">
        <v>13284</v>
      </c>
      <c r="G4102" s="9" t="s">
        <v>13284</v>
      </c>
      <c r="H4102" s="9" t="s">
        <v>13284</v>
      </c>
      <c r="I4102" s="9" t="s">
        <v>13284</v>
      </c>
      <c r="J4102" s="9" t="s">
        <v>13284</v>
      </c>
      <c r="K4102" s="9" t="s">
        <v>13284</v>
      </c>
      <c r="L4102" s="9" t="s">
        <v>13284</v>
      </c>
      <c r="M4102" s="9" t="s">
        <v>13284</v>
      </c>
      <c r="N4102" s="9" t="s">
        <v>13284</v>
      </c>
      <c r="O4102" s="9" t="s">
        <v>13284</v>
      </c>
      <c r="P4102" s="9" t="s">
        <v>13284</v>
      </c>
      <c r="Q4102" s="9" t="s">
        <v>13284</v>
      </c>
      <c r="R4102" s="9" t="s">
        <v>13284</v>
      </c>
      <c r="S4102" s="9" t="s">
        <v>13284</v>
      </c>
      <c r="T4102" s="9" t="str">
        <f ca="1">IFERROR(IF(AND(VLOOKUP(A4102, 'Актуальное состояние (из общего'!A:C,3,0) = "", A4102 &lt;&gt; ""), "ПРОВЕРИТЬ", VLOOKUP(A4102, 'Актуальное состояние (из общего'!A:C,3,0)), "")</f>
        <v/>
      </c>
      <c r="U4102" s="9" t="s">
        <v>13284</v>
      </c>
      <c r="V4102" s="9" t="s">
        <v>13284</v>
      </c>
      <c r="W4102" s="12"/>
      <c r="X4102" s="9" t="str">
        <f t="array" ref="X4102">IFERROR(INDEX('Адреса общежитий (скрытый)'!$B$2:$B$9, MATCH(W4102, 'Адреса общежитий (скрытый)'!$A$2:$A$9, 0)), "")</f>
        <v/>
      </c>
      <c r="Y4102" s="18"/>
      <c r="Z4102" s="18"/>
      <c r="AA4102" s="18"/>
      <c r="AB4102" s="18"/>
      <c r="AC4102" s="18"/>
    </row>
    <row r="4103" spans="1:29" ht="32.25" hidden="1" customHeight="1">
      <c r="A4103" s="17"/>
      <c r="B4103" s="9" t="s">
        <v>13284</v>
      </c>
      <c r="C4103" s="9" t="s">
        <v>13284</v>
      </c>
      <c r="D4103" s="9" t="s">
        <v>13284</v>
      </c>
      <c r="E4103" s="9" t="s">
        <v>13284</v>
      </c>
      <c r="F4103" s="9" t="s">
        <v>13284</v>
      </c>
      <c r="G4103" s="9" t="s">
        <v>13284</v>
      </c>
      <c r="H4103" s="9" t="s">
        <v>13284</v>
      </c>
      <c r="I4103" s="9" t="s">
        <v>13284</v>
      </c>
      <c r="J4103" s="9" t="s">
        <v>13284</v>
      </c>
      <c r="K4103" s="9" t="s">
        <v>13284</v>
      </c>
      <c r="L4103" s="9" t="s">
        <v>13284</v>
      </c>
      <c r="M4103" s="9" t="s">
        <v>13284</v>
      </c>
      <c r="N4103" s="9" t="s">
        <v>13284</v>
      </c>
      <c r="O4103" s="9" t="s">
        <v>13284</v>
      </c>
      <c r="P4103" s="9" t="s">
        <v>13284</v>
      </c>
      <c r="Q4103" s="9" t="s">
        <v>13284</v>
      </c>
      <c r="R4103" s="9" t="s">
        <v>13284</v>
      </c>
      <c r="S4103" s="9" t="s">
        <v>13284</v>
      </c>
      <c r="T4103" s="9" t="str">
        <f ca="1">IFERROR(IF(AND(VLOOKUP(A4103, 'Актуальное состояние (из общего'!A:C,3,0) = "", A4103 &lt;&gt; ""), "ПРОВЕРИТЬ", VLOOKUP(A4103, 'Актуальное состояние (из общего'!A:C,3,0)), "")</f>
        <v/>
      </c>
      <c r="U4103" s="9" t="s">
        <v>13284</v>
      </c>
      <c r="V4103" s="9" t="s">
        <v>13284</v>
      </c>
      <c r="W4103" s="12"/>
      <c r="X4103" s="9" t="str">
        <f t="array" ref="X4103">IFERROR(INDEX('Адреса общежитий (скрытый)'!$B$2:$B$9, MATCH(W4103, 'Адреса общежитий (скрытый)'!$A$2:$A$9, 0)), "")</f>
        <v/>
      </c>
      <c r="Y4103" s="18"/>
      <c r="Z4103" s="18"/>
      <c r="AA4103" s="18"/>
      <c r="AB4103" s="18"/>
      <c r="AC4103" s="18"/>
    </row>
    <row r="4104" spans="1:29" ht="32.25" hidden="1" customHeight="1">
      <c r="A4104" s="17"/>
      <c r="B4104" s="9" t="s">
        <v>13284</v>
      </c>
      <c r="C4104" s="9" t="s">
        <v>13284</v>
      </c>
      <c r="D4104" s="9" t="s">
        <v>13284</v>
      </c>
      <c r="E4104" s="9" t="s">
        <v>13284</v>
      </c>
      <c r="F4104" s="9" t="s">
        <v>13284</v>
      </c>
      <c r="G4104" s="9" t="s">
        <v>13284</v>
      </c>
      <c r="H4104" s="9" t="s">
        <v>13284</v>
      </c>
      <c r="I4104" s="9" t="s">
        <v>13284</v>
      </c>
      <c r="J4104" s="9" t="s">
        <v>13284</v>
      </c>
      <c r="K4104" s="9" t="s">
        <v>13284</v>
      </c>
      <c r="L4104" s="9" t="s">
        <v>13284</v>
      </c>
      <c r="M4104" s="9" t="s">
        <v>13284</v>
      </c>
      <c r="N4104" s="9" t="s">
        <v>13284</v>
      </c>
      <c r="O4104" s="9" t="s">
        <v>13284</v>
      </c>
      <c r="P4104" s="9" t="s">
        <v>13284</v>
      </c>
      <c r="Q4104" s="9" t="s">
        <v>13284</v>
      </c>
      <c r="R4104" s="9" t="s">
        <v>13284</v>
      </c>
      <c r="S4104" s="9" t="s">
        <v>13284</v>
      </c>
      <c r="T4104" s="9" t="str">
        <f ca="1">IFERROR(IF(AND(VLOOKUP(A4104, 'Актуальное состояние (из общего'!A:C,3,0) = "", A4104 &lt;&gt; ""), "ПРОВЕРИТЬ", VLOOKUP(A4104, 'Актуальное состояние (из общего'!A:C,3,0)), "")</f>
        <v/>
      </c>
      <c r="U4104" s="9" t="s">
        <v>13284</v>
      </c>
      <c r="V4104" s="9" t="s">
        <v>13284</v>
      </c>
      <c r="W4104" s="12"/>
      <c r="X4104" s="9" t="str">
        <f t="array" ref="X4104">IFERROR(INDEX('Адреса общежитий (скрытый)'!$B$2:$B$9, MATCH(W4104, 'Адреса общежитий (скрытый)'!$A$2:$A$9, 0)), "")</f>
        <v/>
      </c>
      <c r="Y4104" s="18"/>
      <c r="Z4104" s="18"/>
      <c r="AA4104" s="18"/>
      <c r="AB4104" s="18"/>
      <c r="AC4104" s="18"/>
    </row>
    <row r="4105" spans="1:29" ht="32.25" hidden="1" customHeight="1">
      <c r="A4105" s="17"/>
      <c r="B4105" s="9" t="s">
        <v>13284</v>
      </c>
      <c r="C4105" s="9" t="s">
        <v>13284</v>
      </c>
      <c r="D4105" s="9" t="s">
        <v>13284</v>
      </c>
      <c r="E4105" s="9" t="s">
        <v>13284</v>
      </c>
      <c r="F4105" s="9" t="s">
        <v>13284</v>
      </c>
      <c r="G4105" s="9" t="s">
        <v>13284</v>
      </c>
      <c r="H4105" s="9" t="s">
        <v>13284</v>
      </c>
      <c r="I4105" s="9" t="s">
        <v>13284</v>
      </c>
      <c r="J4105" s="9" t="s">
        <v>13284</v>
      </c>
      <c r="K4105" s="9" t="s">
        <v>13284</v>
      </c>
      <c r="L4105" s="9" t="s">
        <v>13284</v>
      </c>
      <c r="M4105" s="9" t="s">
        <v>13284</v>
      </c>
      <c r="N4105" s="9" t="s">
        <v>13284</v>
      </c>
      <c r="O4105" s="9" t="s">
        <v>13284</v>
      </c>
      <c r="P4105" s="9" t="s">
        <v>13284</v>
      </c>
      <c r="Q4105" s="9" t="s">
        <v>13284</v>
      </c>
      <c r="R4105" s="9" t="s">
        <v>13284</v>
      </c>
      <c r="S4105" s="9" t="s">
        <v>13284</v>
      </c>
      <c r="T4105" s="9" t="str">
        <f ca="1">IFERROR(IF(AND(VLOOKUP(A4105, 'Актуальное состояние (из общего'!A:C,3,0) = "", A4105 &lt;&gt; ""), "ПРОВЕРИТЬ", VLOOKUP(A4105, 'Актуальное состояние (из общего'!A:C,3,0)), "")</f>
        <v/>
      </c>
      <c r="U4105" s="9" t="s">
        <v>13284</v>
      </c>
      <c r="V4105" s="9" t="s">
        <v>13284</v>
      </c>
      <c r="W4105" s="12"/>
      <c r="X4105" s="9" t="str">
        <f t="array" ref="X4105">IFERROR(INDEX('Адреса общежитий (скрытый)'!$B$2:$B$9, MATCH(W4105, 'Адреса общежитий (скрытый)'!$A$2:$A$9, 0)), "")</f>
        <v/>
      </c>
      <c r="Y4105" s="18"/>
      <c r="Z4105" s="18"/>
      <c r="AA4105" s="18"/>
      <c r="AB4105" s="18"/>
      <c r="AC4105" s="18"/>
    </row>
    <row r="4106" spans="1:29" ht="32.25" hidden="1" customHeight="1">
      <c r="A4106" s="17"/>
      <c r="B4106" s="9" t="s">
        <v>13284</v>
      </c>
      <c r="C4106" s="9" t="s">
        <v>13284</v>
      </c>
      <c r="D4106" s="9" t="s">
        <v>13284</v>
      </c>
      <c r="E4106" s="9" t="s">
        <v>13284</v>
      </c>
      <c r="F4106" s="9" t="s">
        <v>13284</v>
      </c>
      <c r="G4106" s="9" t="s">
        <v>13284</v>
      </c>
      <c r="H4106" s="9" t="s">
        <v>13284</v>
      </c>
      <c r="I4106" s="9" t="s">
        <v>13284</v>
      </c>
      <c r="J4106" s="9" t="s">
        <v>13284</v>
      </c>
      <c r="K4106" s="9" t="s">
        <v>13284</v>
      </c>
      <c r="L4106" s="9" t="s">
        <v>13284</v>
      </c>
      <c r="M4106" s="9" t="s">
        <v>13284</v>
      </c>
      <c r="N4106" s="9" t="s">
        <v>13284</v>
      </c>
      <c r="O4106" s="9" t="s">
        <v>13284</v>
      </c>
      <c r="P4106" s="9" t="s">
        <v>13284</v>
      </c>
      <c r="Q4106" s="9" t="s">
        <v>13284</v>
      </c>
      <c r="R4106" s="9" t="s">
        <v>13284</v>
      </c>
      <c r="S4106" s="9" t="s">
        <v>13284</v>
      </c>
      <c r="T4106" s="9" t="str">
        <f ca="1">IFERROR(IF(AND(VLOOKUP(A4106, 'Актуальное состояние (из общего'!A:C,3,0) = "", A4106 &lt;&gt; ""), "ПРОВЕРИТЬ", VLOOKUP(A4106, 'Актуальное состояние (из общего'!A:C,3,0)), "")</f>
        <v/>
      </c>
      <c r="U4106" s="9" t="s">
        <v>13284</v>
      </c>
      <c r="V4106" s="9" t="s">
        <v>13284</v>
      </c>
      <c r="W4106" s="12"/>
      <c r="X4106" s="9" t="str">
        <f t="array" ref="X4106">IFERROR(INDEX('Адреса общежитий (скрытый)'!$B$2:$B$9, MATCH(W4106, 'Адреса общежитий (скрытый)'!$A$2:$A$9, 0)), "")</f>
        <v/>
      </c>
      <c r="Y4106" s="18"/>
      <c r="Z4106" s="18"/>
      <c r="AA4106" s="18"/>
      <c r="AB4106" s="18"/>
      <c r="AC4106" s="18"/>
    </row>
    <row r="4107" spans="1:29" ht="32.25" hidden="1" customHeight="1">
      <c r="A4107" s="17"/>
      <c r="B4107" s="9" t="s">
        <v>13284</v>
      </c>
      <c r="C4107" s="9" t="s">
        <v>13284</v>
      </c>
      <c r="D4107" s="9" t="s">
        <v>13284</v>
      </c>
      <c r="E4107" s="9" t="s">
        <v>13284</v>
      </c>
      <c r="F4107" s="9" t="s">
        <v>13284</v>
      </c>
      <c r="G4107" s="9" t="s">
        <v>13284</v>
      </c>
      <c r="H4107" s="9" t="s">
        <v>13284</v>
      </c>
      <c r="I4107" s="9" t="s">
        <v>13284</v>
      </c>
      <c r="J4107" s="9" t="s">
        <v>13284</v>
      </c>
      <c r="K4107" s="9" t="s">
        <v>13284</v>
      </c>
      <c r="L4107" s="9" t="s">
        <v>13284</v>
      </c>
      <c r="M4107" s="9" t="s">
        <v>13284</v>
      </c>
      <c r="N4107" s="9" t="s">
        <v>13284</v>
      </c>
      <c r="O4107" s="9" t="s">
        <v>13284</v>
      </c>
      <c r="P4107" s="9" t="s">
        <v>13284</v>
      </c>
      <c r="Q4107" s="9" t="s">
        <v>13284</v>
      </c>
      <c r="R4107" s="9" t="s">
        <v>13284</v>
      </c>
      <c r="S4107" s="9" t="s">
        <v>13284</v>
      </c>
      <c r="T4107" s="9" t="str">
        <f ca="1">IFERROR(IF(AND(VLOOKUP(A4107, 'Актуальное состояние (из общего'!A:C,3,0) = "", A4107 &lt;&gt; ""), "ПРОВЕРИТЬ", VLOOKUP(A4107, 'Актуальное состояние (из общего'!A:C,3,0)), "")</f>
        <v/>
      </c>
      <c r="U4107" s="9" t="s">
        <v>13284</v>
      </c>
      <c r="V4107" s="9" t="s">
        <v>13284</v>
      </c>
      <c r="W4107" s="12"/>
      <c r="X4107" s="9" t="str">
        <f t="array" ref="X4107">IFERROR(INDEX('Адреса общежитий (скрытый)'!$B$2:$B$9, MATCH(W4107, 'Адреса общежитий (скрытый)'!$A$2:$A$9, 0)), "")</f>
        <v/>
      </c>
      <c r="Y4107" s="18"/>
      <c r="Z4107" s="18"/>
      <c r="AA4107" s="18"/>
      <c r="AB4107" s="18"/>
      <c r="AC4107" s="18"/>
    </row>
    <row r="4108" spans="1:29" ht="32.25" hidden="1" customHeight="1">
      <c r="A4108" s="17"/>
      <c r="B4108" s="9" t="s">
        <v>13284</v>
      </c>
      <c r="C4108" s="9" t="s">
        <v>13284</v>
      </c>
      <c r="D4108" s="9" t="s">
        <v>13284</v>
      </c>
      <c r="E4108" s="9" t="s">
        <v>13284</v>
      </c>
      <c r="F4108" s="9" t="s">
        <v>13284</v>
      </c>
      <c r="G4108" s="9" t="s">
        <v>13284</v>
      </c>
      <c r="H4108" s="9" t="s">
        <v>13284</v>
      </c>
      <c r="I4108" s="9" t="s">
        <v>13284</v>
      </c>
      <c r="J4108" s="9" t="s">
        <v>13284</v>
      </c>
      <c r="K4108" s="9" t="s">
        <v>13284</v>
      </c>
      <c r="L4108" s="9" t="s">
        <v>13284</v>
      </c>
      <c r="M4108" s="9" t="s">
        <v>13284</v>
      </c>
      <c r="N4108" s="9" t="s">
        <v>13284</v>
      </c>
      <c r="O4108" s="9" t="s">
        <v>13284</v>
      </c>
      <c r="P4108" s="9" t="s">
        <v>13284</v>
      </c>
      <c r="Q4108" s="9" t="s">
        <v>13284</v>
      </c>
      <c r="R4108" s="9" t="s">
        <v>13284</v>
      </c>
      <c r="S4108" s="9" t="s">
        <v>13284</v>
      </c>
      <c r="T4108" s="9" t="str">
        <f ca="1">IFERROR(IF(AND(VLOOKUP(A4108, 'Актуальное состояние (из общего'!A:C,3,0) = "", A4108 &lt;&gt; ""), "ПРОВЕРИТЬ", VLOOKUP(A4108, 'Актуальное состояние (из общего'!A:C,3,0)), "")</f>
        <v/>
      </c>
      <c r="U4108" s="9" t="s">
        <v>13284</v>
      </c>
      <c r="V4108" s="9" t="s">
        <v>13284</v>
      </c>
      <c r="W4108" s="12"/>
      <c r="X4108" s="9" t="str">
        <f t="array" ref="X4108">IFERROR(INDEX('Адреса общежитий (скрытый)'!$B$2:$B$9, MATCH(W4108, 'Адреса общежитий (скрытый)'!$A$2:$A$9, 0)), "")</f>
        <v/>
      </c>
      <c r="Y4108" s="18"/>
      <c r="Z4108" s="18"/>
      <c r="AA4108" s="18"/>
      <c r="AB4108" s="18"/>
      <c r="AC4108" s="18"/>
    </row>
    <row r="4109" spans="1:29" ht="32.25" hidden="1" customHeight="1">
      <c r="A4109" s="17"/>
      <c r="B4109" s="9" t="s">
        <v>13284</v>
      </c>
      <c r="C4109" s="9" t="s">
        <v>13284</v>
      </c>
      <c r="D4109" s="9" t="s">
        <v>13284</v>
      </c>
      <c r="E4109" s="9" t="s">
        <v>13284</v>
      </c>
      <c r="F4109" s="9" t="s">
        <v>13284</v>
      </c>
      <c r="G4109" s="9" t="s">
        <v>13284</v>
      </c>
      <c r="H4109" s="9" t="s">
        <v>13284</v>
      </c>
      <c r="I4109" s="9" t="s">
        <v>13284</v>
      </c>
      <c r="J4109" s="9" t="s">
        <v>13284</v>
      </c>
      <c r="K4109" s="9" t="s">
        <v>13284</v>
      </c>
      <c r="L4109" s="9" t="s">
        <v>13284</v>
      </c>
      <c r="M4109" s="9" t="s">
        <v>13284</v>
      </c>
      <c r="N4109" s="9" t="s">
        <v>13284</v>
      </c>
      <c r="O4109" s="9" t="s">
        <v>13284</v>
      </c>
      <c r="P4109" s="9" t="s">
        <v>13284</v>
      </c>
      <c r="Q4109" s="9" t="s">
        <v>13284</v>
      </c>
      <c r="R4109" s="9" t="s">
        <v>13284</v>
      </c>
      <c r="S4109" s="9" t="s">
        <v>13284</v>
      </c>
      <c r="T4109" s="9" t="str">
        <f ca="1">IFERROR(IF(AND(VLOOKUP(A4109, 'Актуальное состояние (из общего'!A:C,3,0) = "", A4109 &lt;&gt; ""), "ПРОВЕРИТЬ", VLOOKUP(A4109, 'Актуальное состояние (из общего'!A:C,3,0)), "")</f>
        <v/>
      </c>
      <c r="U4109" s="9" t="s">
        <v>13284</v>
      </c>
      <c r="V4109" s="9" t="s">
        <v>13284</v>
      </c>
      <c r="W4109" s="12"/>
      <c r="X4109" s="9" t="str">
        <f t="array" ref="X4109">IFERROR(INDEX('Адреса общежитий (скрытый)'!$B$2:$B$9, MATCH(W4109, 'Адреса общежитий (скрытый)'!$A$2:$A$9, 0)), "")</f>
        <v/>
      </c>
      <c r="Y4109" s="18"/>
      <c r="Z4109" s="18"/>
      <c r="AA4109" s="18"/>
      <c r="AB4109" s="18"/>
      <c r="AC4109" s="18"/>
    </row>
    <row r="4110" spans="1:29" ht="32.25" hidden="1" customHeight="1">
      <c r="A4110" s="17"/>
      <c r="B4110" s="9" t="s">
        <v>13284</v>
      </c>
      <c r="C4110" s="9" t="s">
        <v>13284</v>
      </c>
      <c r="D4110" s="9" t="s">
        <v>13284</v>
      </c>
      <c r="E4110" s="9" t="s">
        <v>13284</v>
      </c>
      <c r="F4110" s="9" t="s">
        <v>13284</v>
      </c>
      <c r="G4110" s="9" t="s">
        <v>13284</v>
      </c>
      <c r="H4110" s="9" t="s">
        <v>13284</v>
      </c>
      <c r="I4110" s="9" t="s">
        <v>13284</v>
      </c>
      <c r="J4110" s="9" t="s">
        <v>13284</v>
      </c>
      <c r="K4110" s="9" t="s">
        <v>13284</v>
      </c>
      <c r="L4110" s="9" t="s">
        <v>13284</v>
      </c>
      <c r="M4110" s="9" t="s">
        <v>13284</v>
      </c>
      <c r="N4110" s="9" t="s">
        <v>13284</v>
      </c>
      <c r="O4110" s="9" t="s">
        <v>13284</v>
      </c>
      <c r="P4110" s="9" t="s">
        <v>13284</v>
      </c>
      <c r="Q4110" s="9" t="s">
        <v>13284</v>
      </c>
      <c r="R4110" s="9" t="s">
        <v>13284</v>
      </c>
      <c r="S4110" s="9" t="s">
        <v>13284</v>
      </c>
      <c r="T4110" s="9" t="str">
        <f ca="1">IFERROR(IF(AND(VLOOKUP(A4110, 'Актуальное состояние (из общего'!A:C,3,0) = "", A4110 &lt;&gt; ""), "ПРОВЕРИТЬ", VLOOKUP(A4110, 'Актуальное состояние (из общего'!A:C,3,0)), "")</f>
        <v/>
      </c>
      <c r="U4110" s="9" t="s">
        <v>13284</v>
      </c>
      <c r="V4110" s="9" t="s">
        <v>13284</v>
      </c>
      <c r="W4110" s="12"/>
      <c r="X4110" s="9" t="str">
        <f t="array" ref="X4110">IFERROR(INDEX('Адреса общежитий (скрытый)'!$B$2:$B$9, MATCH(W4110, 'Адреса общежитий (скрытый)'!$A$2:$A$9, 0)), "")</f>
        <v/>
      </c>
      <c r="Y4110" s="18"/>
      <c r="Z4110" s="18"/>
      <c r="AA4110" s="18"/>
      <c r="AB4110" s="18"/>
      <c r="AC4110" s="18"/>
    </row>
    <row r="4111" spans="1:29" ht="32.25" hidden="1" customHeight="1">
      <c r="A4111" s="17"/>
      <c r="B4111" s="9" t="s">
        <v>13284</v>
      </c>
      <c r="C4111" s="9" t="s">
        <v>13284</v>
      </c>
      <c r="D4111" s="9" t="s">
        <v>13284</v>
      </c>
      <c r="E4111" s="9" t="s">
        <v>13284</v>
      </c>
      <c r="F4111" s="9" t="s">
        <v>13284</v>
      </c>
      <c r="G4111" s="9" t="s">
        <v>13284</v>
      </c>
      <c r="H4111" s="9" t="s">
        <v>13284</v>
      </c>
      <c r="I4111" s="9" t="s">
        <v>13284</v>
      </c>
      <c r="J4111" s="9" t="s">
        <v>13284</v>
      </c>
      <c r="K4111" s="9" t="s">
        <v>13284</v>
      </c>
      <c r="L4111" s="9" t="s">
        <v>13284</v>
      </c>
      <c r="M4111" s="9" t="s">
        <v>13284</v>
      </c>
      <c r="N4111" s="9" t="s">
        <v>13284</v>
      </c>
      <c r="O4111" s="9" t="s">
        <v>13284</v>
      </c>
      <c r="P4111" s="9" t="s">
        <v>13284</v>
      </c>
      <c r="Q4111" s="9" t="s">
        <v>13284</v>
      </c>
      <c r="R4111" s="9" t="s">
        <v>13284</v>
      </c>
      <c r="S4111" s="9" t="s">
        <v>13284</v>
      </c>
      <c r="T4111" s="9" t="str">
        <f ca="1">IFERROR(IF(AND(VLOOKUP(A4111, 'Актуальное состояние (из общего'!A:C,3,0) = "", A4111 &lt;&gt; ""), "ПРОВЕРИТЬ", VLOOKUP(A4111, 'Актуальное состояние (из общего'!A:C,3,0)), "")</f>
        <v/>
      </c>
      <c r="U4111" s="9" t="s">
        <v>13284</v>
      </c>
      <c r="V4111" s="9" t="s">
        <v>13284</v>
      </c>
      <c r="W4111" s="12"/>
      <c r="X4111" s="9" t="str">
        <f t="array" ref="X4111">IFERROR(INDEX('Адреса общежитий (скрытый)'!$B$2:$B$9, MATCH(W4111, 'Адреса общежитий (скрытый)'!$A$2:$A$9, 0)), "")</f>
        <v/>
      </c>
      <c r="Y4111" s="18"/>
      <c r="Z4111" s="18"/>
      <c r="AA4111" s="18"/>
      <c r="AB4111" s="18"/>
      <c r="AC4111" s="18"/>
    </row>
    <row r="4112" spans="1:29" ht="32.25" hidden="1" customHeight="1">
      <c r="A4112" s="17"/>
      <c r="B4112" s="9" t="s">
        <v>13284</v>
      </c>
      <c r="C4112" s="9" t="s">
        <v>13284</v>
      </c>
      <c r="D4112" s="9" t="s">
        <v>13284</v>
      </c>
      <c r="E4112" s="9" t="s">
        <v>13284</v>
      </c>
      <c r="F4112" s="9" t="s">
        <v>13284</v>
      </c>
      <c r="G4112" s="9" t="s">
        <v>13284</v>
      </c>
      <c r="H4112" s="9" t="s">
        <v>13284</v>
      </c>
      <c r="I4112" s="9" t="s">
        <v>13284</v>
      </c>
      <c r="J4112" s="9" t="s">
        <v>13284</v>
      </c>
      <c r="K4112" s="9" t="s">
        <v>13284</v>
      </c>
      <c r="L4112" s="9" t="s">
        <v>13284</v>
      </c>
      <c r="M4112" s="9" t="s">
        <v>13284</v>
      </c>
      <c r="N4112" s="9" t="s">
        <v>13284</v>
      </c>
      <c r="O4112" s="9" t="s">
        <v>13284</v>
      </c>
      <c r="P4112" s="9" t="s">
        <v>13284</v>
      </c>
      <c r="Q4112" s="9" t="s">
        <v>13284</v>
      </c>
      <c r="R4112" s="9" t="s">
        <v>13284</v>
      </c>
      <c r="S4112" s="9" t="s">
        <v>13284</v>
      </c>
      <c r="T4112" s="9" t="str">
        <f ca="1">IFERROR(IF(AND(VLOOKUP(A4112, 'Актуальное состояние (из общего'!A:C,3,0) = "", A4112 &lt;&gt; ""), "ПРОВЕРИТЬ", VLOOKUP(A4112, 'Актуальное состояние (из общего'!A:C,3,0)), "")</f>
        <v/>
      </c>
      <c r="U4112" s="9" t="s">
        <v>13284</v>
      </c>
      <c r="V4112" s="9" t="s">
        <v>13284</v>
      </c>
      <c r="W4112" s="12"/>
      <c r="X4112" s="9" t="str">
        <f t="array" ref="X4112">IFERROR(INDEX('Адреса общежитий (скрытый)'!$B$2:$B$9, MATCH(W4112, 'Адреса общежитий (скрытый)'!$A$2:$A$9, 0)), "")</f>
        <v/>
      </c>
      <c r="Y4112" s="18"/>
      <c r="Z4112" s="18"/>
      <c r="AA4112" s="18"/>
      <c r="AB4112" s="18"/>
      <c r="AC4112" s="18"/>
    </row>
    <row r="4113" spans="1:29" ht="32.25" hidden="1" customHeight="1">
      <c r="A4113" s="17"/>
      <c r="B4113" s="9" t="s">
        <v>13284</v>
      </c>
      <c r="C4113" s="9" t="s">
        <v>13284</v>
      </c>
      <c r="D4113" s="9" t="s">
        <v>13284</v>
      </c>
      <c r="E4113" s="9" t="s">
        <v>13284</v>
      </c>
      <c r="F4113" s="9" t="s">
        <v>13284</v>
      </c>
      <c r="G4113" s="9" t="s">
        <v>13284</v>
      </c>
      <c r="H4113" s="9" t="s">
        <v>13284</v>
      </c>
      <c r="I4113" s="9" t="s">
        <v>13284</v>
      </c>
      <c r="J4113" s="9" t="s">
        <v>13284</v>
      </c>
      <c r="K4113" s="9" t="s">
        <v>13284</v>
      </c>
      <c r="L4113" s="9" t="s">
        <v>13284</v>
      </c>
      <c r="M4113" s="9" t="s">
        <v>13284</v>
      </c>
      <c r="N4113" s="9" t="s">
        <v>13284</v>
      </c>
      <c r="O4113" s="9" t="s">
        <v>13284</v>
      </c>
      <c r="P4113" s="9" t="s">
        <v>13284</v>
      </c>
      <c r="Q4113" s="9" t="s">
        <v>13284</v>
      </c>
      <c r="R4113" s="9" t="s">
        <v>13284</v>
      </c>
      <c r="S4113" s="9" t="s">
        <v>13284</v>
      </c>
      <c r="T4113" s="9" t="str">
        <f ca="1">IFERROR(IF(AND(VLOOKUP(A4113, 'Актуальное состояние (из общего'!A:C,3,0) = "", A4113 &lt;&gt; ""), "ПРОВЕРИТЬ", VLOOKUP(A4113, 'Актуальное состояние (из общего'!A:C,3,0)), "")</f>
        <v/>
      </c>
      <c r="U4113" s="9" t="s">
        <v>13284</v>
      </c>
      <c r="V4113" s="9" t="s">
        <v>13284</v>
      </c>
      <c r="W4113" s="12"/>
      <c r="X4113" s="9" t="str">
        <f t="array" ref="X4113">IFERROR(INDEX('Адреса общежитий (скрытый)'!$B$2:$B$9, MATCH(W4113, 'Адреса общежитий (скрытый)'!$A$2:$A$9, 0)), "")</f>
        <v/>
      </c>
      <c r="Y4113" s="18"/>
      <c r="Z4113" s="18"/>
      <c r="AA4113" s="18"/>
      <c r="AB4113" s="18"/>
      <c r="AC4113" s="18"/>
    </row>
    <row r="4114" spans="1:29" ht="32.25" hidden="1" customHeight="1">
      <c r="A4114" s="17"/>
      <c r="B4114" s="9" t="s">
        <v>13284</v>
      </c>
      <c r="C4114" s="9" t="s">
        <v>13284</v>
      </c>
      <c r="D4114" s="9" t="s">
        <v>13284</v>
      </c>
      <c r="E4114" s="9" t="s">
        <v>13284</v>
      </c>
      <c r="F4114" s="9" t="s">
        <v>13284</v>
      </c>
      <c r="G4114" s="9" t="s">
        <v>13284</v>
      </c>
      <c r="H4114" s="9" t="s">
        <v>13284</v>
      </c>
      <c r="I4114" s="9" t="s">
        <v>13284</v>
      </c>
      <c r="J4114" s="9" t="s">
        <v>13284</v>
      </c>
      <c r="K4114" s="9" t="s">
        <v>13284</v>
      </c>
      <c r="L4114" s="9" t="s">
        <v>13284</v>
      </c>
      <c r="M4114" s="9" t="s">
        <v>13284</v>
      </c>
      <c r="N4114" s="9" t="s">
        <v>13284</v>
      </c>
      <c r="O4114" s="9" t="s">
        <v>13284</v>
      </c>
      <c r="P4114" s="9" t="s">
        <v>13284</v>
      </c>
      <c r="Q4114" s="9" t="s">
        <v>13284</v>
      </c>
      <c r="R4114" s="9" t="s">
        <v>13284</v>
      </c>
      <c r="S4114" s="9" t="s">
        <v>13284</v>
      </c>
      <c r="T4114" s="9" t="str">
        <f ca="1">IFERROR(IF(AND(VLOOKUP(A4114, 'Актуальное состояние (из общего'!A:C,3,0) = "", A4114 &lt;&gt; ""), "ПРОВЕРИТЬ", VLOOKUP(A4114, 'Актуальное состояние (из общего'!A:C,3,0)), "")</f>
        <v/>
      </c>
      <c r="U4114" s="9" t="s">
        <v>13284</v>
      </c>
      <c r="V4114" s="9" t="s">
        <v>13284</v>
      </c>
      <c r="W4114" s="12"/>
      <c r="X4114" s="9" t="str">
        <f t="array" ref="X4114">IFERROR(INDEX('Адреса общежитий (скрытый)'!$B$2:$B$9, MATCH(W4114, 'Адреса общежитий (скрытый)'!$A$2:$A$9, 0)), "")</f>
        <v/>
      </c>
      <c r="Y4114" s="18"/>
      <c r="Z4114" s="18"/>
      <c r="AA4114" s="18"/>
      <c r="AB4114" s="18"/>
      <c r="AC4114" s="18"/>
    </row>
    <row r="4115" spans="1:29" ht="32.25" hidden="1" customHeight="1">
      <c r="A4115" s="17"/>
      <c r="B4115" s="9" t="s">
        <v>13284</v>
      </c>
      <c r="C4115" s="9" t="s">
        <v>13284</v>
      </c>
      <c r="D4115" s="9" t="s">
        <v>13284</v>
      </c>
      <c r="E4115" s="9" t="s">
        <v>13284</v>
      </c>
      <c r="F4115" s="9" t="s">
        <v>13284</v>
      </c>
      <c r="G4115" s="9" t="s">
        <v>13284</v>
      </c>
      <c r="H4115" s="9" t="s">
        <v>13284</v>
      </c>
      <c r="I4115" s="9" t="s">
        <v>13284</v>
      </c>
      <c r="J4115" s="9" t="s">
        <v>13284</v>
      </c>
      <c r="K4115" s="9" t="s">
        <v>13284</v>
      </c>
      <c r="L4115" s="9" t="s">
        <v>13284</v>
      </c>
      <c r="M4115" s="9" t="s">
        <v>13284</v>
      </c>
      <c r="N4115" s="9" t="s">
        <v>13284</v>
      </c>
      <c r="O4115" s="9" t="s">
        <v>13284</v>
      </c>
      <c r="P4115" s="9" t="s">
        <v>13284</v>
      </c>
      <c r="Q4115" s="9" t="s">
        <v>13284</v>
      </c>
      <c r="R4115" s="9" t="s">
        <v>13284</v>
      </c>
      <c r="S4115" s="9" t="s">
        <v>13284</v>
      </c>
      <c r="T4115" s="9" t="str">
        <f ca="1">IFERROR(IF(AND(VLOOKUP(A4115, 'Актуальное состояние (из общего'!A:C,3,0) = "", A4115 &lt;&gt; ""), "ПРОВЕРИТЬ", VLOOKUP(A4115, 'Актуальное состояние (из общего'!A:C,3,0)), "")</f>
        <v/>
      </c>
      <c r="U4115" s="9" t="s">
        <v>13284</v>
      </c>
      <c r="V4115" s="9" t="s">
        <v>13284</v>
      </c>
      <c r="W4115" s="12"/>
      <c r="X4115" s="9" t="str">
        <f t="array" ref="X4115">IFERROR(INDEX('Адреса общежитий (скрытый)'!$B$2:$B$9, MATCH(W4115, 'Адреса общежитий (скрытый)'!$A$2:$A$9, 0)), "")</f>
        <v/>
      </c>
      <c r="Y4115" s="18"/>
      <c r="Z4115" s="18"/>
      <c r="AA4115" s="18"/>
      <c r="AB4115" s="18"/>
      <c r="AC4115" s="18"/>
    </row>
    <row r="4116" spans="1:29" ht="32.25" hidden="1" customHeight="1">
      <c r="A4116" s="17"/>
      <c r="B4116" s="9" t="s">
        <v>13284</v>
      </c>
      <c r="C4116" s="9" t="s">
        <v>13284</v>
      </c>
      <c r="D4116" s="9" t="s">
        <v>13284</v>
      </c>
      <c r="E4116" s="9" t="s">
        <v>13284</v>
      </c>
      <c r="F4116" s="9" t="s">
        <v>13284</v>
      </c>
      <c r="G4116" s="9" t="s">
        <v>13284</v>
      </c>
      <c r="H4116" s="9" t="s">
        <v>13284</v>
      </c>
      <c r="I4116" s="9" t="s">
        <v>13284</v>
      </c>
      <c r="J4116" s="9" t="s">
        <v>13284</v>
      </c>
      <c r="K4116" s="9" t="s">
        <v>13284</v>
      </c>
      <c r="L4116" s="9" t="s">
        <v>13284</v>
      </c>
      <c r="M4116" s="9" t="s">
        <v>13284</v>
      </c>
      <c r="N4116" s="9" t="s">
        <v>13284</v>
      </c>
      <c r="O4116" s="9" t="s">
        <v>13284</v>
      </c>
      <c r="P4116" s="9" t="s">
        <v>13284</v>
      </c>
      <c r="Q4116" s="9" t="s">
        <v>13284</v>
      </c>
      <c r="R4116" s="9" t="s">
        <v>13284</v>
      </c>
      <c r="S4116" s="9" t="s">
        <v>13284</v>
      </c>
      <c r="T4116" s="9" t="str">
        <f ca="1">IFERROR(IF(AND(VLOOKUP(A4116, 'Актуальное состояние (из общего'!A:C,3,0) = "", A4116 &lt;&gt; ""), "ПРОВЕРИТЬ", VLOOKUP(A4116, 'Актуальное состояние (из общего'!A:C,3,0)), "")</f>
        <v/>
      </c>
      <c r="U4116" s="9" t="s">
        <v>13284</v>
      </c>
      <c r="V4116" s="9" t="s">
        <v>13284</v>
      </c>
      <c r="W4116" s="12"/>
      <c r="X4116" s="9" t="str">
        <f t="array" ref="X4116">IFERROR(INDEX('Адреса общежитий (скрытый)'!$B$2:$B$9, MATCH(W4116, 'Адреса общежитий (скрытый)'!$A$2:$A$9, 0)), "")</f>
        <v/>
      </c>
      <c r="Y4116" s="18"/>
      <c r="Z4116" s="18"/>
      <c r="AA4116" s="18"/>
      <c r="AB4116" s="18"/>
      <c r="AC4116" s="18"/>
    </row>
    <row r="4117" spans="1:29" ht="32.25" hidden="1" customHeight="1">
      <c r="A4117" s="17"/>
      <c r="B4117" s="9" t="s">
        <v>13284</v>
      </c>
      <c r="C4117" s="9" t="s">
        <v>13284</v>
      </c>
      <c r="D4117" s="9" t="s">
        <v>13284</v>
      </c>
      <c r="E4117" s="9" t="s">
        <v>13284</v>
      </c>
      <c r="F4117" s="9" t="s">
        <v>13284</v>
      </c>
      <c r="G4117" s="9" t="s">
        <v>13284</v>
      </c>
      <c r="H4117" s="9" t="s">
        <v>13284</v>
      </c>
      <c r="I4117" s="9" t="s">
        <v>13284</v>
      </c>
      <c r="J4117" s="9" t="s">
        <v>13284</v>
      </c>
      <c r="K4117" s="9" t="s">
        <v>13284</v>
      </c>
      <c r="L4117" s="9" t="s">
        <v>13284</v>
      </c>
      <c r="M4117" s="9" t="s">
        <v>13284</v>
      </c>
      <c r="N4117" s="9" t="s">
        <v>13284</v>
      </c>
      <c r="O4117" s="9" t="s">
        <v>13284</v>
      </c>
      <c r="P4117" s="9" t="s">
        <v>13284</v>
      </c>
      <c r="Q4117" s="9" t="s">
        <v>13284</v>
      </c>
      <c r="R4117" s="9" t="s">
        <v>13284</v>
      </c>
      <c r="S4117" s="9" t="s">
        <v>13284</v>
      </c>
      <c r="T4117" s="9" t="str">
        <f ca="1">IFERROR(IF(AND(VLOOKUP(A4117, 'Актуальное состояние (из общего'!A:C,3,0) = "", A4117 &lt;&gt; ""), "ПРОВЕРИТЬ", VLOOKUP(A4117, 'Актуальное состояние (из общего'!A:C,3,0)), "")</f>
        <v/>
      </c>
      <c r="U4117" s="9" t="s">
        <v>13284</v>
      </c>
      <c r="V4117" s="9" t="s">
        <v>13284</v>
      </c>
      <c r="W4117" s="12"/>
      <c r="X4117" s="9" t="str">
        <f t="array" ref="X4117">IFERROR(INDEX('Адреса общежитий (скрытый)'!$B$2:$B$9, MATCH(W4117, 'Адреса общежитий (скрытый)'!$A$2:$A$9, 0)), "")</f>
        <v/>
      </c>
      <c r="Y4117" s="18"/>
      <c r="Z4117" s="18"/>
      <c r="AA4117" s="18"/>
      <c r="AB4117" s="18"/>
      <c r="AC4117" s="18"/>
    </row>
    <row r="4118" spans="1:29" ht="32.25" hidden="1" customHeight="1">
      <c r="A4118" s="17"/>
      <c r="B4118" s="9" t="s">
        <v>13284</v>
      </c>
      <c r="C4118" s="9" t="s">
        <v>13284</v>
      </c>
      <c r="D4118" s="9" t="s">
        <v>13284</v>
      </c>
      <c r="E4118" s="9" t="s">
        <v>13284</v>
      </c>
      <c r="F4118" s="9" t="s">
        <v>13284</v>
      </c>
      <c r="G4118" s="9" t="s">
        <v>13284</v>
      </c>
      <c r="H4118" s="9" t="s">
        <v>13284</v>
      </c>
      <c r="I4118" s="9" t="s">
        <v>13284</v>
      </c>
      <c r="J4118" s="9" t="s">
        <v>13284</v>
      </c>
      <c r="K4118" s="9" t="s">
        <v>13284</v>
      </c>
      <c r="L4118" s="9" t="s">
        <v>13284</v>
      </c>
      <c r="M4118" s="9" t="s">
        <v>13284</v>
      </c>
      <c r="N4118" s="9" t="s">
        <v>13284</v>
      </c>
      <c r="O4118" s="9" t="s">
        <v>13284</v>
      </c>
      <c r="P4118" s="9" t="s">
        <v>13284</v>
      </c>
      <c r="Q4118" s="9" t="s">
        <v>13284</v>
      </c>
      <c r="R4118" s="9" t="s">
        <v>13284</v>
      </c>
      <c r="S4118" s="9" t="s">
        <v>13284</v>
      </c>
      <c r="T4118" s="9" t="str">
        <f ca="1">IFERROR(IF(AND(VLOOKUP(A4118, 'Актуальное состояние (из общего'!A:C,3,0) = "", A4118 &lt;&gt; ""), "ПРОВЕРИТЬ", VLOOKUP(A4118, 'Актуальное состояние (из общего'!A:C,3,0)), "")</f>
        <v/>
      </c>
      <c r="U4118" s="9" t="s">
        <v>13284</v>
      </c>
      <c r="V4118" s="9" t="s">
        <v>13284</v>
      </c>
      <c r="W4118" s="12"/>
      <c r="X4118" s="9" t="str">
        <f t="array" ref="X4118">IFERROR(INDEX('Адреса общежитий (скрытый)'!$B$2:$B$9, MATCH(W4118, 'Адреса общежитий (скрытый)'!$A$2:$A$9, 0)), "")</f>
        <v/>
      </c>
      <c r="Y4118" s="18"/>
      <c r="Z4118" s="18"/>
      <c r="AA4118" s="18"/>
      <c r="AB4118" s="18"/>
      <c r="AC4118" s="18"/>
    </row>
    <row r="4119" spans="1:29" ht="32.25" hidden="1" customHeight="1">
      <c r="A4119" s="17"/>
      <c r="B4119" s="9" t="s">
        <v>13284</v>
      </c>
      <c r="C4119" s="9" t="s">
        <v>13284</v>
      </c>
      <c r="D4119" s="9" t="s">
        <v>13284</v>
      </c>
      <c r="E4119" s="9" t="s">
        <v>13284</v>
      </c>
      <c r="F4119" s="9" t="s">
        <v>13284</v>
      </c>
      <c r="G4119" s="9" t="s">
        <v>13284</v>
      </c>
      <c r="H4119" s="9" t="s">
        <v>13284</v>
      </c>
      <c r="I4119" s="9" t="s">
        <v>13284</v>
      </c>
      <c r="J4119" s="9" t="s">
        <v>13284</v>
      </c>
      <c r="K4119" s="9" t="s">
        <v>13284</v>
      </c>
      <c r="L4119" s="9" t="s">
        <v>13284</v>
      </c>
      <c r="M4119" s="9" t="s">
        <v>13284</v>
      </c>
      <c r="N4119" s="9" t="s">
        <v>13284</v>
      </c>
      <c r="O4119" s="9" t="s">
        <v>13284</v>
      </c>
      <c r="P4119" s="9" t="s">
        <v>13284</v>
      </c>
      <c r="Q4119" s="9" t="s">
        <v>13284</v>
      </c>
      <c r="R4119" s="9" t="s">
        <v>13284</v>
      </c>
      <c r="S4119" s="9" t="s">
        <v>13284</v>
      </c>
      <c r="T4119" s="9" t="str">
        <f ca="1">IFERROR(IF(AND(VLOOKUP(A4119, 'Актуальное состояние (из общего'!A:C,3,0) = "", A4119 &lt;&gt; ""), "ПРОВЕРИТЬ", VLOOKUP(A4119, 'Актуальное состояние (из общего'!A:C,3,0)), "")</f>
        <v/>
      </c>
      <c r="U4119" s="9" t="s">
        <v>13284</v>
      </c>
      <c r="V4119" s="9" t="s">
        <v>13284</v>
      </c>
      <c r="W4119" s="12"/>
      <c r="X4119" s="9" t="str">
        <f t="array" ref="X4119">IFERROR(INDEX('Адреса общежитий (скрытый)'!$B$2:$B$9, MATCH(W4119, 'Адреса общежитий (скрытый)'!$A$2:$A$9, 0)), "")</f>
        <v/>
      </c>
      <c r="Y4119" s="18"/>
      <c r="Z4119" s="18"/>
      <c r="AA4119" s="18"/>
      <c r="AB4119" s="18"/>
      <c r="AC4119" s="18"/>
    </row>
    <row r="4120" spans="1:29" ht="32.25" hidden="1" customHeight="1">
      <c r="A4120" s="17"/>
      <c r="B4120" s="9" t="s">
        <v>13284</v>
      </c>
      <c r="C4120" s="9" t="s">
        <v>13284</v>
      </c>
      <c r="D4120" s="9" t="s">
        <v>13284</v>
      </c>
      <c r="E4120" s="9" t="s">
        <v>13284</v>
      </c>
      <c r="F4120" s="9" t="s">
        <v>13284</v>
      </c>
      <c r="G4120" s="9" t="s">
        <v>13284</v>
      </c>
      <c r="H4120" s="9" t="s">
        <v>13284</v>
      </c>
      <c r="I4120" s="9" t="s">
        <v>13284</v>
      </c>
      <c r="J4120" s="9" t="s">
        <v>13284</v>
      </c>
      <c r="K4120" s="9" t="s">
        <v>13284</v>
      </c>
      <c r="L4120" s="9" t="s">
        <v>13284</v>
      </c>
      <c r="M4120" s="9" t="s">
        <v>13284</v>
      </c>
      <c r="N4120" s="9" t="s">
        <v>13284</v>
      </c>
      <c r="O4120" s="9" t="s">
        <v>13284</v>
      </c>
      <c r="P4120" s="9" t="s">
        <v>13284</v>
      </c>
      <c r="Q4120" s="9" t="s">
        <v>13284</v>
      </c>
      <c r="R4120" s="9" t="s">
        <v>13284</v>
      </c>
      <c r="S4120" s="9" t="s">
        <v>13284</v>
      </c>
      <c r="T4120" s="9" t="str">
        <f ca="1">IFERROR(IF(AND(VLOOKUP(A4120, 'Актуальное состояние (из общего'!A:C,3,0) = "", A4120 &lt;&gt; ""), "ПРОВЕРИТЬ", VLOOKUP(A4120, 'Актуальное состояние (из общего'!A:C,3,0)), "")</f>
        <v/>
      </c>
      <c r="U4120" s="9" t="s">
        <v>13284</v>
      </c>
      <c r="V4120" s="9" t="s">
        <v>13284</v>
      </c>
      <c r="W4120" s="12"/>
      <c r="X4120" s="9" t="str">
        <f t="array" ref="X4120">IFERROR(INDEX('Адреса общежитий (скрытый)'!$B$2:$B$9, MATCH(W4120, 'Адреса общежитий (скрытый)'!$A$2:$A$9, 0)), "")</f>
        <v/>
      </c>
      <c r="Y4120" s="18"/>
      <c r="Z4120" s="18"/>
      <c r="AA4120" s="18"/>
      <c r="AB4120" s="18"/>
      <c r="AC4120" s="18"/>
    </row>
    <row r="4121" spans="1:29" ht="32.25" hidden="1" customHeight="1">
      <c r="A4121" s="17"/>
      <c r="B4121" s="9" t="s">
        <v>13284</v>
      </c>
      <c r="C4121" s="9" t="s">
        <v>13284</v>
      </c>
      <c r="D4121" s="9" t="s">
        <v>13284</v>
      </c>
      <c r="E4121" s="9" t="s">
        <v>13284</v>
      </c>
      <c r="F4121" s="9" t="s">
        <v>13284</v>
      </c>
      <c r="G4121" s="9" t="s">
        <v>13284</v>
      </c>
      <c r="H4121" s="9" t="s">
        <v>13284</v>
      </c>
      <c r="I4121" s="9" t="s">
        <v>13284</v>
      </c>
      <c r="J4121" s="9" t="s">
        <v>13284</v>
      </c>
      <c r="K4121" s="9" t="s">
        <v>13284</v>
      </c>
      <c r="L4121" s="9" t="s">
        <v>13284</v>
      </c>
      <c r="M4121" s="9" t="s">
        <v>13284</v>
      </c>
      <c r="N4121" s="9" t="s">
        <v>13284</v>
      </c>
      <c r="O4121" s="9" t="s">
        <v>13284</v>
      </c>
      <c r="P4121" s="9" t="s">
        <v>13284</v>
      </c>
      <c r="Q4121" s="9" t="s">
        <v>13284</v>
      </c>
      <c r="R4121" s="9" t="s">
        <v>13284</v>
      </c>
      <c r="S4121" s="9" t="s">
        <v>13284</v>
      </c>
      <c r="T4121" s="9" t="str">
        <f ca="1">IFERROR(IF(AND(VLOOKUP(A4121, 'Актуальное состояние (из общего'!A:C,3,0) = "", A4121 &lt;&gt; ""), "ПРОВЕРИТЬ", VLOOKUP(A4121, 'Актуальное состояние (из общего'!A:C,3,0)), "")</f>
        <v/>
      </c>
      <c r="U4121" s="9" t="s">
        <v>13284</v>
      </c>
      <c r="V4121" s="9" t="s">
        <v>13284</v>
      </c>
      <c r="W4121" s="12"/>
      <c r="X4121" s="9" t="str">
        <f t="array" ref="X4121">IFERROR(INDEX('Адреса общежитий (скрытый)'!$B$2:$B$9, MATCH(W4121, 'Адреса общежитий (скрытый)'!$A$2:$A$9, 0)), "")</f>
        <v/>
      </c>
      <c r="Y4121" s="18"/>
      <c r="Z4121" s="18"/>
      <c r="AA4121" s="18"/>
      <c r="AB4121" s="18"/>
      <c r="AC4121" s="18"/>
    </row>
    <row r="4122" spans="1:29" ht="32.25" hidden="1" customHeight="1">
      <c r="A4122" s="17"/>
      <c r="B4122" s="9" t="s">
        <v>13284</v>
      </c>
      <c r="C4122" s="9" t="s">
        <v>13284</v>
      </c>
      <c r="D4122" s="9" t="s">
        <v>13284</v>
      </c>
      <c r="E4122" s="9" t="s">
        <v>13284</v>
      </c>
      <c r="F4122" s="9" t="s">
        <v>13284</v>
      </c>
      <c r="G4122" s="9" t="s">
        <v>13284</v>
      </c>
      <c r="H4122" s="9" t="s">
        <v>13284</v>
      </c>
      <c r="I4122" s="9" t="s">
        <v>13284</v>
      </c>
      <c r="J4122" s="9" t="s">
        <v>13284</v>
      </c>
      <c r="K4122" s="9" t="s">
        <v>13284</v>
      </c>
      <c r="L4122" s="9" t="s">
        <v>13284</v>
      </c>
      <c r="M4122" s="9" t="s">
        <v>13284</v>
      </c>
      <c r="N4122" s="9" t="s">
        <v>13284</v>
      </c>
      <c r="O4122" s="9" t="s">
        <v>13284</v>
      </c>
      <c r="P4122" s="9" t="s">
        <v>13284</v>
      </c>
      <c r="Q4122" s="9" t="s">
        <v>13284</v>
      </c>
      <c r="R4122" s="9" t="s">
        <v>13284</v>
      </c>
      <c r="S4122" s="9" t="s">
        <v>13284</v>
      </c>
      <c r="T4122" s="9" t="str">
        <f ca="1">IFERROR(IF(AND(VLOOKUP(A4122, 'Актуальное состояние (из общего'!A:C,3,0) = "", A4122 &lt;&gt; ""), "ПРОВЕРИТЬ", VLOOKUP(A4122, 'Актуальное состояние (из общего'!A:C,3,0)), "")</f>
        <v/>
      </c>
      <c r="U4122" s="9" t="s">
        <v>13284</v>
      </c>
      <c r="V4122" s="9" t="s">
        <v>13284</v>
      </c>
      <c r="W4122" s="12"/>
      <c r="X4122" s="9" t="str">
        <f t="array" ref="X4122">IFERROR(INDEX('Адреса общежитий (скрытый)'!$B$2:$B$9, MATCH(W4122, 'Адреса общежитий (скрытый)'!$A$2:$A$9, 0)), "")</f>
        <v/>
      </c>
      <c r="Y4122" s="18"/>
      <c r="Z4122" s="18"/>
      <c r="AA4122" s="18"/>
      <c r="AB4122" s="18"/>
      <c r="AC4122" s="18"/>
    </row>
    <row r="4123" spans="1:29" ht="32.25" hidden="1" customHeight="1">
      <c r="A4123" s="17"/>
      <c r="B4123" s="9" t="s">
        <v>13284</v>
      </c>
      <c r="C4123" s="9" t="s">
        <v>13284</v>
      </c>
      <c r="D4123" s="9" t="s">
        <v>13284</v>
      </c>
      <c r="E4123" s="9" t="s">
        <v>13284</v>
      </c>
      <c r="F4123" s="9" t="s">
        <v>13284</v>
      </c>
      <c r="G4123" s="9" t="s">
        <v>13284</v>
      </c>
      <c r="H4123" s="9" t="s">
        <v>13284</v>
      </c>
      <c r="I4123" s="9" t="s">
        <v>13284</v>
      </c>
      <c r="J4123" s="9" t="s">
        <v>13284</v>
      </c>
      <c r="K4123" s="9" t="s">
        <v>13284</v>
      </c>
      <c r="L4123" s="9" t="s">
        <v>13284</v>
      </c>
      <c r="M4123" s="9" t="s">
        <v>13284</v>
      </c>
      <c r="N4123" s="9" t="s">
        <v>13284</v>
      </c>
      <c r="O4123" s="9" t="s">
        <v>13284</v>
      </c>
      <c r="P4123" s="9" t="s">
        <v>13284</v>
      </c>
      <c r="Q4123" s="9" t="s">
        <v>13284</v>
      </c>
      <c r="R4123" s="9" t="s">
        <v>13284</v>
      </c>
      <c r="S4123" s="9" t="s">
        <v>13284</v>
      </c>
      <c r="T4123" s="9" t="str">
        <f ca="1">IFERROR(IF(AND(VLOOKUP(A4123, 'Актуальное состояние (из общего'!A:C,3,0) = "", A4123 &lt;&gt; ""), "ПРОВЕРИТЬ", VLOOKUP(A4123, 'Актуальное состояние (из общего'!A:C,3,0)), "")</f>
        <v/>
      </c>
      <c r="U4123" s="9" t="s">
        <v>13284</v>
      </c>
      <c r="V4123" s="9" t="s">
        <v>13284</v>
      </c>
      <c r="W4123" s="12"/>
      <c r="X4123" s="9" t="str">
        <f t="array" ref="X4123">IFERROR(INDEX('Адреса общежитий (скрытый)'!$B$2:$B$9, MATCH(W4123, 'Адреса общежитий (скрытый)'!$A$2:$A$9, 0)), "")</f>
        <v/>
      </c>
      <c r="Y4123" s="18"/>
      <c r="Z4123" s="18"/>
      <c r="AA4123" s="18"/>
      <c r="AB4123" s="18"/>
      <c r="AC4123" s="18"/>
    </row>
    <row r="4124" spans="1:29" ht="32.25" hidden="1" customHeight="1">
      <c r="A4124" s="17"/>
      <c r="B4124" s="9" t="s">
        <v>13284</v>
      </c>
      <c r="C4124" s="9" t="s">
        <v>13284</v>
      </c>
      <c r="D4124" s="9" t="s">
        <v>13284</v>
      </c>
      <c r="E4124" s="9" t="s">
        <v>13284</v>
      </c>
      <c r="F4124" s="9" t="s">
        <v>13284</v>
      </c>
      <c r="G4124" s="9" t="s">
        <v>13284</v>
      </c>
      <c r="H4124" s="9" t="s">
        <v>13284</v>
      </c>
      <c r="I4124" s="9" t="s">
        <v>13284</v>
      </c>
      <c r="J4124" s="9" t="s">
        <v>13284</v>
      </c>
      <c r="K4124" s="9" t="s">
        <v>13284</v>
      </c>
      <c r="L4124" s="9" t="s">
        <v>13284</v>
      </c>
      <c r="M4124" s="9" t="s">
        <v>13284</v>
      </c>
      <c r="N4124" s="9" t="s">
        <v>13284</v>
      </c>
      <c r="O4124" s="9" t="s">
        <v>13284</v>
      </c>
      <c r="P4124" s="9" t="s">
        <v>13284</v>
      </c>
      <c r="Q4124" s="9" t="s">
        <v>13284</v>
      </c>
      <c r="R4124" s="9" t="s">
        <v>13284</v>
      </c>
      <c r="S4124" s="9" t="s">
        <v>13284</v>
      </c>
      <c r="T4124" s="9" t="str">
        <f ca="1">IFERROR(IF(AND(VLOOKUP(A4124, 'Актуальное состояние (из общего'!A:C,3,0) = "", A4124 &lt;&gt; ""), "ПРОВЕРИТЬ", VLOOKUP(A4124, 'Актуальное состояние (из общего'!A:C,3,0)), "")</f>
        <v/>
      </c>
      <c r="U4124" s="9" t="s">
        <v>13284</v>
      </c>
      <c r="V4124" s="9" t="s">
        <v>13284</v>
      </c>
      <c r="W4124" s="12"/>
      <c r="X4124" s="9" t="str">
        <f t="array" ref="X4124">IFERROR(INDEX('Адреса общежитий (скрытый)'!$B$2:$B$9, MATCH(W4124, 'Адреса общежитий (скрытый)'!$A$2:$A$9, 0)), "")</f>
        <v/>
      </c>
      <c r="Y4124" s="18"/>
      <c r="Z4124" s="18"/>
      <c r="AA4124" s="18"/>
      <c r="AB4124" s="18"/>
      <c r="AC4124" s="18"/>
    </row>
    <row r="4125" spans="1:29" ht="32.25" hidden="1" customHeight="1">
      <c r="A4125" s="17"/>
      <c r="B4125" s="9" t="s">
        <v>13284</v>
      </c>
      <c r="C4125" s="9" t="s">
        <v>13284</v>
      </c>
      <c r="D4125" s="9" t="s">
        <v>13284</v>
      </c>
      <c r="E4125" s="9" t="s">
        <v>13284</v>
      </c>
      <c r="F4125" s="9" t="s">
        <v>13284</v>
      </c>
      <c r="G4125" s="9" t="s">
        <v>13284</v>
      </c>
      <c r="H4125" s="9" t="s">
        <v>13284</v>
      </c>
      <c r="I4125" s="9" t="s">
        <v>13284</v>
      </c>
      <c r="J4125" s="9" t="s">
        <v>13284</v>
      </c>
      <c r="K4125" s="9" t="s">
        <v>13284</v>
      </c>
      <c r="L4125" s="9" t="s">
        <v>13284</v>
      </c>
      <c r="M4125" s="9" t="s">
        <v>13284</v>
      </c>
      <c r="N4125" s="9" t="s">
        <v>13284</v>
      </c>
      <c r="O4125" s="9" t="s">
        <v>13284</v>
      </c>
      <c r="P4125" s="9" t="s">
        <v>13284</v>
      </c>
      <c r="Q4125" s="9" t="s">
        <v>13284</v>
      </c>
      <c r="R4125" s="9" t="s">
        <v>13284</v>
      </c>
      <c r="S4125" s="9" t="s">
        <v>13284</v>
      </c>
      <c r="T4125" s="9" t="str">
        <f ca="1">IFERROR(IF(AND(VLOOKUP(A4125, 'Актуальное состояние (из общего'!A:C,3,0) = "", A4125 &lt;&gt; ""), "ПРОВЕРИТЬ", VLOOKUP(A4125, 'Актуальное состояние (из общего'!A:C,3,0)), "")</f>
        <v/>
      </c>
      <c r="U4125" s="9" t="s">
        <v>13284</v>
      </c>
      <c r="V4125" s="9" t="s">
        <v>13284</v>
      </c>
      <c r="W4125" s="12"/>
      <c r="X4125" s="9" t="str">
        <f t="array" ref="X4125">IFERROR(INDEX('Адреса общежитий (скрытый)'!$B$2:$B$9, MATCH(W4125, 'Адреса общежитий (скрытый)'!$A$2:$A$9, 0)), "")</f>
        <v/>
      </c>
      <c r="Y4125" s="18"/>
      <c r="Z4125" s="18"/>
      <c r="AA4125" s="18"/>
      <c r="AB4125" s="18"/>
      <c r="AC4125" s="18"/>
    </row>
    <row r="4126" spans="1:29" ht="32.25" hidden="1" customHeight="1">
      <c r="A4126" s="17"/>
      <c r="B4126" s="9" t="s">
        <v>13284</v>
      </c>
      <c r="C4126" s="9" t="s">
        <v>13284</v>
      </c>
      <c r="D4126" s="9" t="s">
        <v>13284</v>
      </c>
      <c r="E4126" s="9" t="s">
        <v>13284</v>
      </c>
      <c r="F4126" s="9" t="s">
        <v>13284</v>
      </c>
      <c r="G4126" s="9" t="s">
        <v>13284</v>
      </c>
      <c r="H4126" s="9" t="s">
        <v>13284</v>
      </c>
      <c r="I4126" s="9" t="s">
        <v>13284</v>
      </c>
      <c r="J4126" s="9" t="s">
        <v>13284</v>
      </c>
      <c r="K4126" s="9" t="s">
        <v>13284</v>
      </c>
      <c r="L4126" s="9" t="s">
        <v>13284</v>
      </c>
      <c r="M4126" s="9" t="s">
        <v>13284</v>
      </c>
      <c r="N4126" s="9" t="s">
        <v>13284</v>
      </c>
      <c r="O4126" s="9" t="s">
        <v>13284</v>
      </c>
      <c r="P4126" s="9" t="s">
        <v>13284</v>
      </c>
      <c r="Q4126" s="9" t="s">
        <v>13284</v>
      </c>
      <c r="R4126" s="9" t="s">
        <v>13284</v>
      </c>
      <c r="S4126" s="9" t="s">
        <v>13284</v>
      </c>
      <c r="T4126" s="9" t="str">
        <f ca="1">IFERROR(IF(AND(VLOOKUP(A4126, 'Актуальное состояние (из общего'!A:C,3,0) = "", A4126 &lt;&gt; ""), "ПРОВЕРИТЬ", VLOOKUP(A4126, 'Актуальное состояние (из общего'!A:C,3,0)), "")</f>
        <v/>
      </c>
      <c r="U4126" s="9" t="s">
        <v>13284</v>
      </c>
      <c r="V4126" s="9" t="s">
        <v>13284</v>
      </c>
      <c r="W4126" s="12"/>
      <c r="X4126" s="9" t="str">
        <f t="array" ref="X4126">IFERROR(INDEX('Адреса общежитий (скрытый)'!$B$2:$B$9, MATCH(W4126, 'Адреса общежитий (скрытый)'!$A$2:$A$9, 0)), "")</f>
        <v/>
      </c>
      <c r="Y4126" s="18"/>
      <c r="Z4126" s="18"/>
      <c r="AA4126" s="18"/>
      <c r="AB4126" s="18"/>
      <c r="AC4126" s="18"/>
    </row>
    <row r="4127" spans="1:29" ht="32.25" hidden="1" customHeight="1">
      <c r="A4127" s="17"/>
      <c r="B4127" s="9" t="s">
        <v>13284</v>
      </c>
      <c r="C4127" s="9" t="s">
        <v>13284</v>
      </c>
      <c r="D4127" s="9" t="s">
        <v>13284</v>
      </c>
      <c r="E4127" s="9" t="s">
        <v>13284</v>
      </c>
      <c r="F4127" s="9" t="s">
        <v>13284</v>
      </c>
      <c r="G4127" s="9" t="s">
        <v>13284</v>
      </c>
      <c r="H4127" s="9" t="s">
        <v>13284</v>
      </c>
      <c r="I4127" s="9" t="s">
        <v>13284</v>
      </c>
      <c r="J4127" s="9" t="s">
        <v>13284</v>
      </c>
      <c r="K4127" s="9" t="s">
        <v>13284</v>
      </c>
      <c r="L4127" s="9" t="s">
        <v>13284</v>
      </c>
      <c r="M4127" s="9" t="s">
        <v>13284</v>
      </c>
      <c r="N4127" s="9" t="s">
        <v>13284</v>
      </c>
      <c r="O4127" s="9" t="s">
        <v>13284</v>
      </c>
      <c r="P4127" s="9" t="s">
        <v>13284</v>
      </c>
      <c r="Q4127" s="9" t="s">
        <v>13284</v>
      </c>
      <c r="R4127" s="9" t="s">
        <v>13284</v>
      </c>
      <c r="S4127" s="9" t="s">
        <v>13284</v>
      </c>
      <c r="T4127" s="9" t="str">
        <f ca="1">IFERROR(IF(AND(VLOOKUP(A4127, 'Актуальное состояние (из общего'!A:C,3,0) = "", A4127 &lt;&gt; ""), "ПРОВЕРИТЬ", VLOOKUP(A4127, 'Актуальное состояние (из общего'!A:C,3,0)), "")</f>
        <v/>
      </c>
      <c r="U4127" s="9" t="s">
        <v>13284</v>
      </c>
      <c r="V4127" s="9" t="s">
        <v>13284</v>
      </c>
      <c r="W4127" s="12"/>
      <c r="X4127" s="9" t="str">
        <f t="array" ref="X4127">IFERROR(INDEX('Адреса общежитий (скрытый)'!$B$2:$B$9, MATCH(W4127, 'Адреса общежитий (скрытый)'!$A$2:$A$9, 0)), "")</f>
        <v/>
      </c>
      <c r="Y4127" s="18"/>
      <c r="Z4127" s="18"/>
      <c r="AA4127" s="18"/>
      <c r="AB4127" s="18"/>
      <c r="AC4127" s="18"/>
    </row>
    <row r="4128" spans="1:29" ht="32.25" hidden="1" customHeight="1">
      <c r="A4128" s="17"/>
      <c r="B4128" s="9" t="s">
        <v>13284</v>
      </c>
      <c r="C4128" s="9" t="s">
        <v>13284</v>
      </c>
      <c r="D4128" s="9" t="s">
        <v>13284</v>
      </c>
      <c r="E4128" s="9" t="s">
        <v>13284</v>
      </c>
      <c r="F4128" s="9" t="s">
        <v>13284</v>
      </c>
      <c r="G4128" s="9" t="s">
        <v>13284</v>
      </c>
      <c r="H4128" s="9" t="s">
        <v>13284</v>
      </c>
      <c r="I4128" s="9" t="s">
        <v>13284</v>
      </c>
      <c r="J4128" s="9" t="s">
        <v>13284</v>
      </c>
      <c r="K4128" s="9" t="s">
        <v>13284</v>
      </c>
      <c r="L4128" s="9" t="s">
        <v>13284</v>
      </c>
      <c r="M4128" s="9" t="s">
        <v>13284</v>
      </c>
      <c r="N4128" s="9" t="s">
        <v>13284</v>
      </c>
      <c r="O4128" s="9" t="s">
        <v>13284</v>
      </c>
      <c r="P4128" s="9" t="s">
        <v>13284</v>
      </c>
      <c r="Q4128" s="9" t="s">
        <v>13284</v>
      </c>
      <c r="R4128" s="9" t="s">
        <v>13284</v>
      </c>
      <c r="S4128" s="9" t="s">
        <v>13284</v>
      </c>
      <c r="T4128" s="9" t="str">
        <f ca="1">IFERROR(IF(AND(VLOOKUP(A4128, 'Актуальное состояние (из общего'!A:C,3,0) = "", A4128 &lt;&gt; ""), "ПРОВЕРИТЬ", VLOOKUP(A4128, 'Актуальное состояние (из общего'!A:C,3,0)), "")</f>
        <v/>
      </c>
      <c r="U4128" s="9" t="s">
        <v>13284</v>
      </c>
      <c r="V4128" s="9" t="s">
        <v>13284</v>
      </c>
      <c r="W4128" s="12"/>
      <c r="X4128" s="9" t="str">
        <f t="array" ref="X4128">IFERROR(INDEX('Адреса общежитий (скрытый)'!$B$2:$B$9, MATCH(W4128, 'Адреса общежитий (скрытый)'!$A$2:$A$9, 0)), "")</f>
        <v/>
      </c>
      <c r="Y4128" s="18"/>
      <c r="Z4128" s="18"/>
      <c r="AA4128" s="18"/>
      <c r="AB4128" s="18"/>
      <c r="AC4128" s="18"/>
    </row>
    <row r="4129" spans="1:29" ht="32.25" hidden="1" customHeight="1">
      <c r="A4129" s="17"/>
      <c r="B4129" s="9" t="s">
        <v>13284</v>
      </c>
      <c r="C4129" s="9" t="s">
        <v>13284</v>
      </c>
      <c r="D4129" s="9" t="s">
        <v>13284</v>
      </c>
      <c r="E4129" s="9" t="s">
        <v>13284</v>
      </c>
      <c r="F4129" s="9" t="s">
        <v>13284</v>
      </c>
      <c r="G4129" s="9" t="s">
        <v>13284</v>
      </c>
      <c r="H4129" s="9" t="s">
        <v>13284</v>
      </c>
      <c r="I4129" s="9" t="s">
        <v>13284</v>
      </c>
      <c r="J4129" s="9" t="s">
        <v>13284</v>
      </c>
      <c r="K4129" s="9" t="s">
        <v>13284</v>
      </c>
      <c r="L4129" s="9" t="s">
        <v>13284</v>
      </c>
      <c r="M4129" s="9" t="s">
        <v>13284</v>
      </c>
      <c r="N4129" s="9" t="s">
        <v>13284</v>
      </c>
      <c r="O4129" s="9" t="s">
        <v>13284</v>
      </c>
      <c r="P4129" s="9" t="s">
        <v>13284</v>
      </c>
      <c r="Q4129" s="9" t="s">
        <v>13284</v>
      </c>
      <c r="R4129" s="9" t="s">
        <v>13284</v>
      </c>
      <c r="S4129" s="9" t="s">
        <v>13284</v>
      </c>
      <c r="T4129" s="9" t="str">
        <f ca="1">IFERROR(IF(AND(VLOOKUP(A4129, 'Актуальное состояние (из общего'!A:C,3,0) = "", A4129 &lt;&gt; ""), "ПРОВЕРИТЬ", VLOOKUP(A4129, 'Актуальное состояние (из общего'!A:C,3,0)), "")</f>
        <v/>
      </c>
      <c r="U4129" s="9" t="s">
        <v>13284</v>
      </c>
      <c r="V4129" s="9" t="s">
        <v>13284</v>
      </c>
      <c r="W4129" s="12"/>
      <c r="X4129" s="9" t="str">
        <f t="array" ref="X4129">IFERROR(INDEX('Адреса общежитий (скрытый)'!$B$2:$B$9, MATCH(W4129, 'Адреса общежитий (скрытый)'!$A$2:$A$9, 0)), "")</f>
        <v/>
      </c>
      <c r="Y4129" s="18"/>
      <c r="Z4129" s="18"/>
      <c r="AA4129" s="18"/>
      <c r="AB4129" s="18"/>
      <c r="AC4129" s="18"/>
    </row>
    <row r="4130" spans="1:29" ht="32.25" hidden="1" customHeight="1">
      <c r="A4130" s="17"/>
      <c r="B4130" s="9" t="s">
        <v>13284</v>
      </c>
      <c r="C4130" s="9" t="s">
        <v>13284</v>
      </c>
      <c r="D4130" s="9" t="s">
        <v>13284</v>
      </c>
      <c r="E4130" s="9" t="s">
        <v>13284</v>
      </c>
      <c r="F4130" s="9" t="s">
        <v>13284</v>
      </c>
      <c r="G4130" s="9" t="s">
        <v>13284</v>
      </c>
      <c r="H4130" s="9" t="s">
        <v>13284</v>
      </c>
      <c r="I4130" s="9" t="s">
        <v>13284</v>
      </c>
      <c r="J4130" s="9" t="s">
        <v>13284</v>
      </c>
      <c r="K4130" s="9" t="s">
        <v>13284</v>
      </c>
      <c r="L4130" s="9" t="s">
        <v>13284</v>
      </c>
      <c r="M4130" s="9" t="s">
        <v>13284</v>
      </c>
      <c r="N4130" s="9" t="s">
        <v>13284</v>
      </c>
      <c r="O4130" s="9" t="s">
        <v>13284</v>
      </c>
      <c r="P4130" s="9" t="s">
        <v>13284</v>
      </c>
      <c r="Q4130" s="9" t="s">
        <v>13284</v>
      </c>
      <c r="R4130" s="9" t="s">
        <v>13284</v>
      </c>
      <c r="S4130" s="9" t="s">
        <v>13284</v>
      </c>
      <c r="T4130" s="9" t="str">
        <f ca="1">IFERROR(IF(AND(VLOOKUP(A4130, 'Актуальное состояние (из общего'!A:C,3,0) = "", A4130 &lt;&gt; ""), "ПРОВЕРИТЬ", VLOOKUP(A4130, 'Актуальное состояние (из общего'!A:C,3,0)), "")</f>
        <v/>
      </c>
      <c r="U4130" s="9" t="s">
        <v>13284</v>
      </c>
      <c r="V4130" s="9" t="s">
        <v>13284</v>
      </c>
      <c r="W4130" s="12"/>
      <c r="X4130" s="9" t="str">
        <f t="array" ref="X4130">IFERROR(INDEX('Адреса общежитий (скрытый)'!$B$2:$B$9, MATCH(W4130, 'Адреса общежитий (скрытый)'!$A$2:$A$9, 0)), "")</f>
        <v/>
      </c>
      <c r="Y4130" s="18"/>
      <c r="Z4130" s="18"/>
      <c r="AA4130" s="18"/>
      <c r="AB4130" s="18"/>
      <c r="AC4130" s="18"/>
    </row>
    <row r="4131" spans="1:29" ht="32.25" hidden="1" customHeight="1">
      <c r="A4131" s="17"/>
      <c r="B4131" s="9" t="s">
        <v>13284</v>
      </c>
      <c r="C4131" s="9" t="s">
        <v>13284</v>
      </c>
      <c r="D4131" s="9" t="s">
        <v>13284</v>
      </c>
      <c r="E4131" s="9" t="s">
        <v>13284</v>
      </c>
      <c r="F4131" s="9" t="s">
        <v>13284</v>
      </c>
      <c r="G4131" s="9" t="s">
        <v>13284</v>
      </c>
      <c r="H4131" s="9" t="s">
        <v>13284</v>
      </c>
      <c r="I4131" s="9" t="s">
        <v>13284</v>
      </c>
      <c r="J4131" s="9" t="s">
        <v>13284</v>
      </c>
      <c r="K4131" s="9" t="s">
        <v>13284</v>
      </c>
      <c r="L4131" s="9" t="s">
        <v>13284</v>
      </c>
      <c r="M4131" s="9" t="s">
        <v>13284</v>
      </c>
      <c r="N4131" s="9" t="s">
        <v>13284</v>
      </c>
      <c r="O4131" s="9" t="s">
        <v>13284</v>
      </c>
      <c r="P4131" s="9" t="s">
        <v>13284</v>
      </c>
      <c r="Q4131" s="9" t="s">
        <v>13284</v>
      </c>
      <c r="R4131" s="9" t="s">
        <v>13284</v>
      </c>
      <c r="S4131" s="9" t="s">
        <v>13284</v>
      </c>
      <c r="T4131" s="9" t="str">
        <f ca="1">IFERROR(IF(AND(VLOOKUP(A4131, 'Актуальное состояние (из общего'!A:C,3,0) = "", A4131 &lt;&gt; ""), "ПРОВЕРИТЬ", VLOOKUP(A4131, 'Актуальное состояние (из общего'!A:C,3,0)), "")</f>
        <v/>
      </c>
      <c r="U4131" s="9" t="s">
        <v>13284</v>
      </c>
      <c r="V4131" s="9" t="s">
        <v>13284</v>
      </c>
      <c r="W4131" s="12"/>
      <c r="X4131" s="9" t="str">
        <f t="array" ref="X4131">IFERROR(INDEX('Адреса общежитий (скрытый)'!$B$2:$B$9, MATCH(W4131, 'Адреса общежитий (скрытый)'!$A$2:$A$9, 0)), "")</f>
        <v/>
      </c>
      <c r="Y4131" s="18"/>
      <c r="Z4131" s="18"/>
      <c r="AA4131" s="18"/>
      <c r="AB4131" s="18"/>
      <c r="AC4131" s="18"/>
    </row>
    <row r="4132" spans="1:29" ht="32.25" hidden="1" customHeight="1">
      <c r="A4132" s="17"/>
      <c r="B4132" s="9" t="s">
        <v>13284</v>
      </c>
      <c r="C4132" s="9" t="s">
        <v>13284</v>
      </c>
      <c r="D4132" s="9" t="s">
        <v>13284</v>
      </c>
      <c r="E4132" s="9" t="s">
        <v>13284</v>
      </c>
      <c r="F4132" s="9" t="s">
        <v>13284</v>
      </c>
      <c r="G4132" s="9" t="s">
        <v>13284</v>
      </c>
      <c r="H4132" s="9" t="s">
        <v>13284</v>
      </c>
      <c r="I4132" s="9" t="s">
        <v>13284</v>
      </c>
      <c r="J4132" s="9" t="s">
        <v>13284</v>
      </c>
      <c r="K4132" s="9" t="s">
        <v>13284</v>
      </c>
      <c r="L4132" s="9" t="s">
        <v>13284</v>
      </c>
      <c r="M4132" s="9" t="s">
        <v>13284</v>
      </c>
      <c r="N4132" s="9" t="s">
        <v>13284</v>
      </c>
      <c r="O4132" s="9" t="s">
        <v>13284</v>
      </c>
      <c r="P4132" s="9" t="s">
        <v>13284</v>
      </c>
      <c r="Q4132" s="9" t="s">
        <v>13284</v>
      </c>
      <c r="R4132" s="9" t="s">
        <v>13284</v>
      </c>
      <c r="S4132" s="9" t="s">
        <v>13284</v>
      </c>
      <c r="T4132" s="9" t="str">
        <f ca="1">IFERROR(IF(AND(VLOOKUP(A4132, 'Актуальное состояние (из общего'!A:C,3,0) = "", A4132 &lt;&gt; ""), "ПРОВЕРИТЬ", VLOOKUP(A4132, 'Актуальное состояние (из общего'!A:C,3,0)), "")</f>
        <v/>
      </c>
      <c r="U4132" s="9" t="s">
        <v>13284</v>
      </c>
      <c r="V4132" s="9" t="s">
        <v>13284</v>
      </c>
      <c r="W4132" s="12"/>
      <c r="X4132" s="9" t="str">
        <f t="array" ref="X4132">IFERROR(INDEX('Адреса общежитий (скрытый)'!$B$2:$B$9, MATCH(W4132, 'Адреса общежитий (скрытый)'!$A$2:$A$9, 0)), "")</f>
        <v/>
      </c>
      <c r="Y4132" s="18"/>
      <c r="Z4132" s="18"/>
      <c r="AA4132" s="18"/>
      <c r="AB4132" s="18"/>
      <c r="AC4132" s="18"/>
    </row>
    <row r="4133" spans="1:29" ht="32.25" hidden="1" customHeight="1">
      <c r="A4133" s="17"/>
      <c r="B4133" s="9" t="s">
        <v>13284</v>
      </c>
      <c r="C4133" s="9" t="s">
        <v>13284</v>
      </c>
      <c r="D4133" s="9" t="s">
        <v>13284</v>
      </c>
      <c r="E4133" s="9" t="s">
        <v>13284</v>
      </c>
      <c r="F4133" s="9" t="s">
        <v>13284</v>
      </c>
      <c r="G4133" s="9" t="s">
        <v>13284</v>
      </c>
      <c r="H4133" s="9" t="s">
        <v>13284</v>
      </c>
      <c r="I4133" s="9" t="s">
        <v>13284</v>
      </c>
      <c r="J4133" s="9" t="s">
        <v>13284</v>
      </c>
      <c r="K4133" s="9" t="s">
        <v>13284</v>
      </c>
      <c r="L4133" s="9" t="s">
        <v>13284</v>
      </c>
      <c r="M4133" s="9" t="s">
        <v>13284</v>
      </c>
      <c r="N4133" s="9" t="s">
        <v>13284</v>
      </c>
      <c r="O4133" s="9" t="s">
        <v>13284</v>
      </c>
      <c r="P4133" s="9" t="s">
        <v>13284</v>
      </c>
      <c r="Q4133" s="9" t="s">
        <v>13284</v>
      </c>
      <c r="R4133" s="9" t="s">
        <v>13284</v>
      </c>
      <c r="S4133" s="9" t="s">
        <v>13284</v>
      </c>
      <c r="T4133" s="9" t="str">
        <f ca="1">IFERROR(IF(AND(VLOOKUP(A4133, 'Актуальное состояние (из общего'!A:C,3,0) = "", A4133 &lt;&gt; ""), "ПРОВЕРИТЬ", VLOOKUP(A4133, 'Актуальное состояние (из общего'!A:C,3,0)), "")</f>
        <v/>
      </c>
      <c r="U4133" s="9" t="s">
        <v>13284</v>
      </c>
      <c r="V4133" s="9" t="s">
        <v>13284</v>
      </c>
      <c r="W4133" s="12"/>
      <c r="X4133" s="9" t="str">
        <f t="array" ref="X4133">IFERROR(INDEX('Адреса общежитий (скрытый)'!$B$2:$B$9, MATCH(W4133, 'Адреса общежитий (скрытый)'!$A$2:$A$9, 0)), "")</f>
        <v/>
      </c>
      <c r="Y4133" s="18"/>
      <c r="Z4133" s="18"/>
      <c r="AA4133" s="18"/>
      <c r="AB4133" s="18"/>
      <c r="AC4133" s="18"/>
    </row>
    <row r="4134" spans="1:29" ht="32.25" hidden="1" customHeight="1">
      <c r="A4134" s="17"/>
      <c r="B4134" s="9" t="s">
        <v>13284</v>
      </c>
      <c r="C4134" s="9" t="s">
        <v>13284</v>
      </c>
      <c r="D4134" s="9" t="s">
        <v>13284</v>
      </c>
      <c r="E4134" s="9" t="s">
        <v>13284</v>
      </c>
      <c r="F4134" s="9" t="s">
        <v>13284</v>
      </c>
      <c r="G4134" s="9" t="s">
        <v>13284</v>
      </c>
      <c r="H4134" s="9" t="s">
        <v>13284</v>
      </c>
      <c r="I4134" s="9" t="s">
        <v>13284</v>
      </c>
      <c r="J4134" s="9" t="s">
        <v>13284</v>
      </c>
      <c r="K4134" s="9" t="s">
        <v>13284</v>
      </c>
      <c r="L4134" s="9" t="s">
        <v>13284</v>
      </c>
      <c r="M4134" s="9" t="s">
        <v>13284</v>
      </c>
      <c r="N4134" s="9" t="s">
        <v>13284</v>
      </c>
      <c r="O4134" s="9" t="s">
        <v>13284</v>
      </c>
      <c r="P4134" s="9" t="s">
        <v>13284</v>
      </c>
      <c r="Q4134" s="9" t="s">
        <v>13284</v>
      </c>
      <c r="R4134" s="9" t="s">
        <v>13284</v>
      </c>
      <c r="S4134" s="9" t="s">
        <v>13284</v>
      </c>
      <c r="T4134" s="9" t="str">
        <f ca="1">IFERROR(IF(AND(VLOOKUP(A4134, 'Актуальное состояние (из общего'!A:C,3,0) = "", A4134 &lt;&gt; ""), "ПРОВЕРИТЬ", VLOOKUP(A4134, 'Актуальное состояние (из общего'!A:C,3,0)), "")</f>
        <v/>
      </c>
      <c r="U4134" s="9" t="s">
        <v>13284</v>
      </c>
      <c r="V4134" s="9" t="s">
        <v>13284</v>
      </c>
      <c r="W4134" s="12"/>
      <c r="X4134" s="9" t="str">
        <f t="array" ref="X4134">IFERROR(INDEX('Адреса общежитий (скрытый)'!$B$2:$B$9, MATCH(W4134, 'Адреса общежитий (скрытый)'!$A$2:$A$9, 0)), "")</f>
        <v/>
      </c>
      <c r="Y4134" s="18"/>
      <c r="Z4134" s="18"/>
      <c r="AA4134" s="18"/>
      <c r="AB4134" s="18"/>
      <c r="AC4134" s="18"/>
    </row>
    <row r="4135" spans="1:29" ht="32.25" hidden="1" customHeight="1">
      <c r="A4135" s="17"/>
      <c r="B4135" s="9" t="s">
        <v>13284</v>
      </c>
      <c r="C4135" s="9" t="s">
        <v>13284</v>
      </c>
      <c r="D4135" s="9" t="s">
        <v>13284</v>
      </c>
      <c r="E4135" s="9" t="s">
        <v>13284</v>
      </c>
      <c r="F4135" s="9" t="s">
        <v>13284</v>
      </c>
      <c r="G4135" s="9" t="s">
        <v>13284</v>
      </c>
      <c r="H4135" s="9" t="s">
        <v>13284</v>
      </c>
      <c r="I4135" s="9" t="s">
        <v>13284</v>
      </c>
      <c r="J4135" s="9" t="s">
        <v>13284</v>
      </c>
      <c r="K4135" s="9" t="s">
        <v>13284</v>
      </c>
      <c r="L4135" s="9" t="s">
        <v>13284</v>
      </c>
      <c r="M4135" s="9" t="s">
        <v>13284</v>
      </c>
      <c r="N4135" s="9" t="s">
        <v>13284</v>
      </c>
      <c r="O4135" s="9" t="s">
        <v>13284</v>
      </c>
      <c r="P4135" s="9" t="s">
        <v>13284</v>
      </c>
      <c r="Q4135" s="9" t="s">
        <v>13284</v>
      </c>
      <c r="R4135" s="9" t="s">
        <v>13284</v>
      </c>
      <c r="S4135" s="9" t="s">
        <v>13284</v>
      </c>
      <c r="T4135" s="9" t="str">
        <f ca="1">IFERROR(IF(AND(VLOOKUP(A4135, 'Актуальное состояние (из общего'!A:C,3,0) = "", A4135 &lt;&gt; ""), "ПРОВЕРИТЬ", VLOOKUP(A4135, 'Актуальное состояние (из общего'!A:C,3,0)), "")</f>
        <v/>
      </c>
      <c r="U4135" s="9" t="s">
        <v>13284</v>
      </c>
      <c r="V4135" s="9" t="s">
        <v>13284</v>
      </c>
      <c r="W4135" s="12"/>
      <c r="X4135" s="9" t="str">
        <f t="array" ref="X4135">IFERROR(INDEX('Адреса общежитий (скрытый)'!$B$2:$B$9, MATCH(W4135, 'Адреса общежитий (скрытый)'!$A$2:$A$9, 0)), "")</f>
        <v/>
      </c>
      <c r="Y4135" s="18"/>
      <c r="Z4135" s="18"/>
      <c r="AA4135" s="18"/>
      <c r="AB4135" s="18"/>
      <c r="AC4135" s="18"/>
    </row>
    <row r="4136" spans="1:29" ht="32.25" hidden="1" customHeight="1">
      <c r="A4136" s="17"/>
      <c r="B4136" s="9" t="s">
        <v>13284</v>
      </c>
      <c r="C4136" s="9" t="s">
        <v>13284</v>
      </c>
      <c r="D4136" s="9" t="s">
        <v>13284</v>
      </c>
      <c r="E4136" s="9" t="s">
        <v>13284</v>
      </c>
      <c r="F4136" s="9" t="s">
        <v>13284</v>
      </c>
      <c r="G4136" s="9" t="s">
        <v>13284</v>
      </c>
      <c r="H4136" s="9" t="s">
        <v>13284</v>
      </c>
      <c r="I4136" s="9" t="s">
        <v>13284</v>
      </c>
      <c r="J4136" s="9" t="s">
        <v>13284</v>
      </c>
      <c r="K4136" s="9" t="s">
        <v>13284</v>
      </c>
      <c r="L4136" s="9" t="s">
        <v>13284</v>
      </c>
      <c r="M4136" s="9" t="s">
        <v>13284</v>
      </c>
      <c r="N4136" s="9" t="s">
        <v>13284</v>
      </c>
      <c r="O4136" s="9" t="s">
        <v>13284</v>
      </c>
      <c r="P4136" s="9" t="s">
        <v>13284</v>
      </c>
      <c r="Q4136" s="9" t="s">
        <v>13284</v>
      </c>
      <c r="R4136" s="9" t="s">
        <v>13284</v>
      </c>
      <c r="S4136" s="9" t="s">
        <v>13284</v>
      </c>
      <c r="T4136" s="9" t="str">
        <f ca="1">IFERROR(IF(AND(VLOOKUP(A4136, 'Актуальное состояние (из общего'!A:C,3,0) = "", A4136 &lt;&gt; ""), "ПРОВЕРИТЬ", VLOOKUP(A4136, 'Актуальное состояние (из общего'!A:C,3,0)), "")</f>
        <v/>
      </c>
      <c r="U4136" s="9" t="s">
        <v>13284</v>
      </c>
      <c r="V4136" s="9" t="s">
        <v>13284</v>
      </c>
      <c r="W4136" s="12"/>
      <c r="X4136" s="9" t="str">
        <f t="array" ref="X4136">IFERROR(INDEX('Адреса общежитий (скрытый)'!$B$2:$B$9, MATCH(W4136, 'Адреса общежитий (скрытый)'!$A$2:$A$9, 0)), "")</f>
        <v/>
      </c>
      <c r="Y4136" s="18"/>
      <c r="Z4136" s="18"/>
      <c r="AA4136" s="18"/>
      <c r="AB4136" s="18"/>
      <c r="AC4136" s="18"/>
    </row>
    <row r="4137" spans="1:29" ht="32.25" hidden="1" customHeight="1">
      <c r="A4137" s="17"/>
      <c r="B4137" s="9" t="s">
        <v>13284</v>
      </c>
      <c r="C4137" s="9" t="s">
        <v>13284</v>
      </c>
      <c r="D4137" s="9" t="s">
        <v>13284</v>
      </c>
      <c r="E4137" s="9" t="s">
        <v>13284</v>
      </c>
      <c r="F4137" s="9" t="s">
        <v>13284</v>
      </c>
      <c r="G4137" s="9" t="s">
        <v>13284</v>
      </c>
      <c r="H4137" s="9" t="s">
        <v>13284</v>
      </c>
      <c r="I4137" s="9" t="s">
        <v>13284</v>
      </c>
      <c r="J4137" s="9" t="s">
        <v>13284</v>
      </c>
      <c r="K4137" s="9" t="s">
        <v>13284</v>
      </c>
      <c r="L4137" s="9" t="s">
        <v>13284</v>
      </c>
      <c r="M4137" s="9" t="s">
        <v>13284</v>
      </c>
      <c r="N4137" s="9" t="s">
        <v>13284</v>
      </c>
      <c r="O4137" s="9" t="s">
        <v>13284</v>
      </c>
      <c r="P4137" s="9" t="s">
        <v>13284</v>
      </c>
      <c r="Q4137" s="9" t="s">
        <v>13284</v>
      </c>
      <c r="R4137" s="9" t="s">
        <v>13284</v>
      </c>
      <c r="S4137" s="9" t="s">
        <v>13284</v>
      </c>
      <c r="T4137" s="9" t="str">
        <f ca="1">IFERROR(IF(AND(VLOOKUP(A4137, 'Актуальное состояние (из общего'!A:C,3,0) = "", A4137 &lt;&gt; ""), "ПРОВЕРИТЬ", VLOOKUP(A4137, 'Актуальное состояние (из общего'!A:C,3,0)), "")</f>
        <v/>
      </c>
      <c r="U4137" s="9" t="s">
        <v>13284</v>
      </c>
      <c r="V4137" s="9" t="s">
        <v>13284</v>
      </c>
      <c r="W4137" s="12"/>
      <c r="X4137" s="9" t="str">
        <f t="array" ref="X4137">IFERROR(INDEX('Адреса общежитий (скрытый)'!$B$2:$B$9, MATCH(W4137, 'Адреса общежитий (скрытый)'!$A$2:$A$9, 0)), "")</f>
        <v/>
      </c>
      <c r="Y4137" s="18"/>
      <c r="Z4137" s="18"/>
      <c r="AA4137" s="18"/>
      <c r="AB4137" s="18"/>
      <c r="AC4137" s="18"/>
    </row>
    <row r="4138" spans="1:29" ht="32.25" hidden="1" customHeight="1">
      <c r="A4138" s="17"/>
      <c r="B4138" s="9" t="s">
        <v>13284</v>
      </c>
      <c r="C4138" s="9" t="s">
        <v>13284</v>
      </c>
      <c r="D4138" s="9" t="s">
        <v>13284</v>
      </c>
      <c r="E4138" s="9" t="s">
        <v>13284</v>
      </c>
      <c r="F4138" s="9" t="s">
        <v>13284</v>
      </c>
      <c r="G4138" s="9" t="s">
        <v>13284</v>
      </c>
      <c r="H4138" s="9" t="s">
        <v>13284</v>
      </c>
      <c r="I4138" s="9" t="s">
        <v>13284</v>
      </c>
      <c r="J4138" s="9" t="s">
        <v>13284</v>
      </c>
      <c r="K4138" s="9" t="s">
        <v>13284</v>
      </c>
      <c r="L4138" s="9" t="s">
        <v>13284</v>
      </c>
      <c r="M4138" s="9" t="s">
        <v>13284</v>
      </c>
      <c r="N4138" s="9" t="s">
        <v>13284</v>
      </c>
      <c r="O4138" s="9" t="s">
        <v>13284</v>
      </c>
      <c r="P4138" s="9" t="s">
        <v>13284</v>
      </c>
      <c r="Q4138" s="9" t="s">
        <v>13284</v>
      </c>
      <c r="R4138" s="9" t="s">
        <v>13284</v>
      </c>
      <c r="S4138" s="9" t="s">
        <v>13284</v>
      </c>
      <c r="T4138" s="9" t="str">
        <f ca="1">IFERROR(IF(AND(VLOOKUP(A4138, 'Актуальное состояние (из общего'!A:C,3,0) = "", A4138 &lt;&gt; ""), "ПРОВЕРИТЬ", VLOOKUP(A4138, 'Актуальное состояние (из общего'!A:C,3,0)), "")</f>
        <v/>
      </c>
      <c r="U4138" s="9" t="s">
        <v>13284</v>
      </c>
      <c r="V4138" s="9" t="s">
        <v>13284</v>
      </c>
      <c r="W4138" s="12"/>
      <c r="X4138" s="9" t="str">
        <f t="array" ref="X4138">IFERROR(INDEX('Адреса общежитий (скрытый)'!$B$2:$B$9, MATCH(W4138, 'Адреса общежитий (скрытый)'!$A$2:$A$9, 0)), "")</f>
        <v/>
      </c>
      <c r="Y4138" s="18"/>
      <c r="Z4138" s="18"/>
      <c r="AA4138" s="18"/>
      <c r="AB4138" s="18"/>
      <c r="AC4138" s="18"/>
    </row>
    <row r="4139" spans="1:29" ht="32.25" hidden="1" customHeight="1">
      <c r="A4139" s="17"/>
      <c r="B4139" s="9" t="s">
        <v>13284</v>
      </c>
      <c r="C4139" s="9" t="s">
        <v>13284</v>
      </c>
      <c r="D4139" s="9" t="s">
        <v>13284</v>
      </c>
      <c r="E4139" s="9" t="s">
        <v>13284</v>
      </c>
      <c r="F4139" s="9" t="s">
        <v>13284</v>
      </c>
      <c r="G4139" s="9" t="s">
        <v>13284</v>
      </c>
      <c r="H4139" s="9" t="s">
        <v>13284</v>
      </c>
      <c r="I4139" s="9" t="s">
        <v>13284</v>
      </c>
      <c r="J4139" s="9" t="s">
        <v>13284</v>
      </c>
      <c r="K4139" s="9" t="s">
        <v>13284</v>
      </c>
      <c r="L4139" s="9" t="s">
        <v>13284</v>
      </c>
      <c r="M4139" s="9" t="s">
        <v>13284</v>
      </c>
      <c r="N4139" s="9" t="s">
        <v>13284</v>
      </c>
      <c r="O4139" s="9" t="s">
        <v>13284</v>
      </c>
      <c r="P4139" s="9" t="s">
        <v>13284</v>
      </c>
      <c r="Q4139" s="9" t="s">
        <v>13284</v>
      </c>
      <c r="R4139" s="9" t="s">
        <v>13284</v>
      </c>
      <c r="S4139" s="9" t="s">
        <v>13284</v>
      </c>
      <c r="T4139" s="9" t="str">
        <f ca="1">IFERROR(IF(AND(VLOOKUP(A4139, 'Актуальное состояние (из общего'!A:C,3,0) = "", A4139 &lt;&gt; ""), "ПРОВЕРИТЬ", VLOOKUP(A4139, 'Актуальное состояние (из общего'!A:C,3,0)), "")</f>
        <v/>
      </c>
      <c r="U4139" s="9" t="s">
        <v>13284</v>
      </c>
      <c r="V4139" s="9" t="s">
        <v>13284</v>
      </c>
      <c r="W4139" s="12"/>
      <c r="X4139" s="9" t="str">
        <f t="array" ref="X4139">IFERROR(INDEX('Адреса общежитий (скрытый)'!$B$2:$B$9, MATCH(W4139, 'Адреса общежитий (скрытый)'!$A$2:$A$9, 0)), "")</f>
        <v/>
      </c>
      <c r="Y4139" s="18"/>
      <c r="Z4139" s="18"/>
      <c r="AA4139" s="18"/>
      <c r="AB4139" s="18"/>
      <c r="AC4139" s="18"/>
    </row>
    <row r="4140" spans="1:29" ht="32.25" hidden="1" customHeight="1">
      <c r="A4140" s="17"/>
      <c r="B4140" s="9" t="s">
        <v>13284</v>
      </c>
      <c r="C4140" s="9" t="s">
        <v>13284</v>
      </c>
      <c r="D4140" s="9" t="s">
        <v>13284</v>
      </c>
      <c r="E4140" s="9" t="s">
        <v>13284</v>
      </c>
      <c r="F4140" s="9" t="s">
        <v>13284</v>
      </c>
      <c r="G4140" s="9" t="s">
        <v>13284</v>
      </c>
      <c r="H4140" s="9" t="s">
        <v>13284</v>
      </c>
      <c r="I4140" s="9" t="s">
        <v>13284</v>
      </c>
      <c r="J4140" s="9" t="s">
        <v>13284</v>
      </c>
      <c r="K4140" s="9" t="s">
        <v>13284</v>
      </c>
      <c r="L4140" s="9" t="s">
        <v>13284</v>
      </c>
      <c r="M4140" s="9" t="s">
        <v>13284</v>
      </c>
      <c r="N4140" s="9" t="s">
        <v>13284</v>
      </c>
      <c r="O4140" s="9" t="s">
        <v>13284</v>
      </c>
      <c r="P4140" s="9" t="s">
        <v>13284</v>
      </c>
      <c r="Q4140" s="9" t="s">
        <v>13284</v>
      </c>
      <c r="R4140" s="9" t="s">
        <v>13284</v>
      </c>
      <c r="S4140" s="9" t="s">
        <v>13284</v>
      </c>
      <c r="T4140" s="9" t="str">
        <f ca="1">IFERROR(IF(AND(VLOOKUP(A4140, 'Актуальное состояние (из общего'!A:C,3,0) = "", A4140 &lt;&gt; ""), "ПРОВЕРИТЬ", VLOOKUP(A4140, 'Актуальное состояние (из общего'!A:C,3,0)), "")</f>
        <v/>
      </c>
      <c r="U4140" s="9" t="s">
        <v>13284</v>
      </c>
      <c r="V4140" s="9" t="s">
        <v>13284</v>
      </c>
      <c r="W4140" s="12"/>
      <c r="X4140" s="9" t="str">
        <f t="array" ref="X4140">IFERROR(INDEX('Адреса общежитий (скрытый)'!$B$2:$B$9, MATCH(W4140, 'Адреса общежитий (скрытый)'!$A$2:$A$9, 0)), "")</f>
        <v/>
      </c>
      <c r="Y4140" s="18"/>
      <c r="Z4140" s="18"/>
      <c r="AA4140" s="18"/>
      <c r="AB4140" s="18"/>
      <c r="AC4140" s="18"/>
    </row>
    <row r="4141" spans="1:29" ht="32.25" hidden="1" customHeight="1">
      <c r="A4141" s="17"/>
      <c r="B4141" s="9" t="s">
        <v>13284</v>
      </c>
      <c r="C4141" s="9" t="s">
        <v>13284</v>
      </c>
      <c r="D4141" s="9" t="s">
        <v>13284</v>
      </c>
      <c r="E4141" s="9" t="s">
        <v>13284</v>
      </c>
      <c r="F4141" s="9" t="s">
        <v>13284</v>
      </c>
      <c r="G4141" s="9" t="s">
        <v>13284</v>
      </c>
      <c r="H4141" s="9" t="s">
        <v>13284</v>
      </c>
      <c r="I4141" s="9" t="s">
        <v>13284</v>
      </c>
      <c r="J4141" s="9" t="s">
        <v>13284</v>
      </c>
      <c r="K4141" s="9" t="s">
        <v>13284</v>
      </c>
      <c r="L4141" s="9" t="s">
        <v>13284</v>
      </c>
      <c r="M4141" s="9" t="s">
        <v>13284</v>
      </c>
      <c r="N4141" s="9" t="s">
        <v>13284</v>
      </c>
      <c r="O4141" s="9" t="s">
        <v>13284</v>
      </c>
      <c r="P4141" s="9" t="s">
        <v>13284</v>
      </c>
      <c r="Q4141" s="9" t="s">
        <v>13284</v>
      </c>
      <c r="R4141" s="9" t="s">
        <v>13284</v>
      </c>
      <c r="S4141" s="9" t="s">
        <v>13284</v>
      </c>
      <c r="T4141" s="9" t="str">
        <f ca="1">IFERROR(IF(AND(VLOOKUP(A4141, 'Актуальное состояние (из общего'!A:C,3,0) = "", A4141 &lt;&gt; ""), "ПРОВЕРИТЬ", VLOOKUP(A4141, 'Актуальное состояние (из общего'!A:C,3,0)), "")</f>
        <v/>
      </c>
      <c r="U4141" s="9" t="s">
        <v>13284</v>
      </c>
      <c r="V4141" s="9" t="s">
        <v>13284</v>
      </c>
      <c r="W4141" s="12"/>
      <c r="X4141" s="9" t="str">
        <f t="array" ref="X4141">IFERROR(INDEX('Адреса общежитий (скрытый)'!$B$2:$B$9, MATCH(W4141, 'Адреса общежитий (скрытый)'!$A$2:$A$9, 0)), "")</f>
        <v/>
      </c>
      <c r="Y4141" s="18"/>
      <c r="Z4141" s="18"/>
      <c r="AA4141" s="18"/>
      <c r="AB4141" s="18"/>
      <c r="AC4141" s="18"/>
    </row>
    <row r="4142" spans="1:29" ht="32.25" hidden="1" customHeight="1">
      <c r="A4142" s="17"/>
      <c r="B4142" s="9" t="s">
        <v>13284</v>
      </c>
      <c r="C4142" s="9" t="s">
        <v>13284</v>
      </c>
      <c r="D4142" s="9" t="s">
        <v>13284</v>
      </c>
      <c r="E4142" s="9" t="s">
        <v>13284</v>
      </c>
      <c r="F4142" s="9" t="s">
        <v>13284</v>
      </c>
      <c r="G4142" s="9" t="s">
        <v>13284</v>
      </c>
      <c r="H4142" s="9" t="s">
        <v>13284</v>
      </c>
      <c r="I4142" s="9" t="s">
        <v>13284</v>
      </c>
      <c r="J4142" s="9" t="s">
        <v>13284</v>
      </c>
      <c r="K4142" s="9" t="s">
        <v>13284</v>
      </c>
      <c r="L4142" s="9" t="s">
        <v>13284</v>
      </c>
      <c r="M4142" s="9" t="s">
        <v>13284</v>
      </c>
      <c r="N4142" s="9" t="s">
        <v>13284</v>
      </c>
      <c r="O4142" s="9" t="s">
        <v>13284</v>
      </c>
      <c r="P4142" s="9" t="s">
        <v>13284</v>
      </c>
      <c r="Q4142" s="9" t="s">
        <v>13284</v>
      </c>
      <c r="R4142" s="9" t="s">
        <v>13284</v>
      </c>
      <c r="S4142" s="9" t="s">
        <v>13284</v>
      </c>
      <c r="T4142" s="9" t="str">
        <f ca="1">IFERROR(IF(AND(VLOOKUP(A4142, 'Актуальное состояние (из общего'!A:C,3,0) = "", A4142 &lt;&gt; ""), "ПРОВЕРИТЬ", VLOOKUP(A4142, 'Актуальное состояние (из общего'!A:C,3,0)), "")</f>
        <v/>
      </c>
      <c r="U4142" s="9" t="s">
        <v>13284</v>
      </c>
      <c r="V4142" s="9" t="s">
        <v>13284</v>
      </c>
      <c r="W4142" s="12"/>
      <c r="X4142" s="9" t="str">
        <f t="array" ref="X4142">IFERROR(INDEX('Адреса общежитий (скрытый)'!$B$2:$B$9, MATCH(W4142, 'Адреса общежитий (скрытый)'!$A$2:$A$9, 0)), "")</f>
        <v/>
      </c>
      <c r="Y4142" s="18"/>
      <c r="Z4142" s="18"/>
      <c r="AA4142" s="18"/>
      <c r="AB4142" s="18"/>
      <c r="AC4142" s="18"/>
    </row>
    <row r="4143" spans="1:29" ht="32.25" hidden="1" customHeight="1">
      <c r="A4143" s="17"/>
      <c r="B4143" s="9" t="s">
        <v>13284</v>
      </c>
      <c r="C4143" s="9" t="s">
        <v>13284</v>
      </c>
      <c r="D4143" s="9" t="s">
        <v>13284</v>
      </c>
      <c r="E4143" s="9" t="s">
        <v>13284</v>
      </c>
      <c r="F4143" s="9" t="s">
        <v>13284</v>
      </c>
      <c r="G4143" s="9" t="s">
        <v>13284</v>
      </c>
      <c r="H4143" s="9" t="s">
        <v>13284</v>
      </c>
      <c r="I4143" s="9" t="s">
        <v>13284</v>
      </c>
      <c r="J4143" s="9" t="s">
        <v>13284</v>
      </c>
      <c r="K4143" s="9" t="s">
        <v>13284</v>
      </c>
      <c r="L4143" s="9" t="s">
        <v>13284</v>
      </c>
      <c r="M4143" s="9" t="s">
        <v>13284</v>
      </c>
      <c r="N4143" s="9" t="s">
        <v>13284</v>
      </c>
      <c r="O4143" s="9" t="s">
        <v>13284</v>
      </c>
      <c r="P4143" s="9" t="s">
        <v>13284</v>
      </c>
      <c r="Q4143" s="9" t="s">
        <v>13284</v>
      </c>
      <c r="R4143" s="9" t="s">
        <v>13284</v>
      </c>
      <c r="S4143" s="9" t="s">
        <v>13284</v>
      </c>
      <c r="T4143" s="9" t="str">
        <f ca="1">IFERROR(IF(AND(VLOOKUP(A4143, 'Актуальное состояние (из общего'!A:C,3,0) = "", A4143 &lt;&gt; ""), "ПРОВЕРИТЬ", VLOOKUP(A4143, 'Актуальное состояние (из общего'!A:C,3,0)), "")</f>
        <v/>
      </c>
      <c r="U4143" s="9" t="s">
        <v>13284</v>
      </c>
      <c r="V4143" s="9" t="s">
        <v>13284</v>
      </c>
      <c r="W4143" s="12"/>
      <c r="X4143" s="9" t="str">
        <f t="array" ref="X4143">IFERROR(INDEX('Адреса общежитий (скрытый)'!$B$2:$B$9, MATCH(W4143, 'Адреса общежитий (скрытый)'!$A$2:$A$9, 0)), "")</f>
        <v/>
      </c>
      <c r="Y4143" s="18"/>
      <c r="Z4143" s="18"/>
      <c r="AA4143" s="18"/>
      <c r="AB4143" s="18"/>
      <c r="AC4143" s="18"/>
    </row>
    <row r="4144" spans="1:29" ht="32.25" hidden="1" customHeight="1">
      <c r="A4144" s="17"/>
      <c r="B4144" s="9" t="s">
        <v>13284</v>
      </c>
      <c r="C4144" s="9" t="s">
        <v>13284</v>
      </c>
      <c r="D4144" s="9" t="s">
        <v>13284</v>
      </c>
      <c r="E4144" s="9" t="s">
        <v>13284</v>
      </c>
      <c r="F4144" s="9" t="s">
        <v>13284</v>
      </c>
      <c r="G4144" s="9" t="s">
        <v>13284</v>
      </c>
      <c r="H4144" s="9" t="s">
        <v>13284</v>
      </c>
      <c r="I4144" s="9" t="s">
        <v>13284</v>
      </c>
      <c r="J4144" s="9" t="s">
        <v>13284</v>
      </c>
      <c r="K4144" s="9" t="s">
        <v>13284</v>
      </c>
      <c r="L4144" s="9" t="s">
        <v>13284</v>
      </c>
      <c r="M4144" s="9" t="s">
        <v>13284</v>
      </c>
      <c r="N4144" s="9" t="s">
        <v>13284</v>
      </c>
      <c r="O4144" s="9" t="s">
        <v>13284</v>
      </c>
      <c r="P4144" s="9" t="s">
        <v>13284</v>
      </c>
      <c r="Q4144" s="9" t="s">
        <v>13284</v>
      </c>
      <c r="R4144" s="9" t="s">
        <v>13284</v>
      </c>
      <c r="S4144" s="9" t="s">
        <v>13284</v>
      </c>
      <c r="T4144" s="9" t="str">
        <f ca="1">IFERROR(IF(AND(VLOOKUP(A4144, 'Актуальное состояние (из общего'!A:C,3,0) = "", A4144 &lt;&gt; ""), "ПРОВЕРИТЬ", VLOOKUP(A4144, 'Актуальное состояние (из общего'!A:C,3,0)), "")</f>
        <v/>
      </c>
      <c r="U4144" s="9" t="s">
        <v>13284</v>
      </c>
      <c r="V4144" s="9" t="s">
        <v>13284</v>
      </c>
      <c r="W4144" s="12"/>
      <c r="X4144" s="9" t="str">
        <f t="array" ref="X4144">IFERROR(INDEX('Адреса общежитий (скрытый)'!$B$2:$B$9, MATCH(W4144, 'Адреса общежитий (скрытый)'!$A$2:$A$9, 0)), "")</f>
        <v/>
      </c>
      <c r="Y4144" s="18"/>
      <c r="Z4144" s="18"/>
      <c r="AA4144" s="18"/>
      <c r="AB4144" s="18"/>
      <c r="AC4144" s="18"/>
    </row>
    <row r="4145" spans="1:29" ht="32.25" hidden="1" customHeight="1">
      <c r="A4145" s="17"/>
      <c r="B4145" s="9" t="s">
        <v>13284</v>
      </c>
      <c r="C4145" s="9" t="s">
        <v>13284</v>
      </c>
      <c r="D4145" s="9" t="s">
        <v>13284</v>
      </c>
      <c r="E4145" s="9" t="s">
        <v>13284</v>
      </c>
      <c r="F4145" s="9" t="s">
        <v>13284</v>
      </c>
      <c r="G4145" s="9" t="s">
        <v>13284</v>
      </c>
      <c r="H4145" s="9" t="s">
        <v>13284</v>
      </c>
      <c r="I4145" s="9" t="s">
        <v>13284</v>
      </c>
      <c r="J4145" s="9" t="s">
        <v>13284</v>
      </c>
      <c r="K4145" s="9" t="s">
        <v>13284</v>
      </c>
      <c r="L4145" s="9" t="s">
        <v>13284</v>
      </c>
      <c r="M4145" s="9" t="s">
        <v>13284</v>
      </c>
      <c r="N4145" s="9" t="s">
        <v>13284</v>
      </c>
      <c r="O4145" s="9" t="s">
        <v>13284</v>
      </c>
      <c r="P4145" s="9" t="s">
        <v>13284</v>
      </c>
      <c r="Q4145" s="9" t="s">
        <v>13284</v>
      </c>
      <c r="R4145" s="9" t="s">
        <v>13284</v>
      </c>
      <c r="S4145" s="9" t="s">
        <v>13284</v>
      </c>
      <c r="T4145" s="9" t="str">
        <f ca="1">IFERROR(IF(AND(VLOOKUP(A4145, 'Актуальное состояние (из общего'!A:C,3,0) = "", A4145 &lt;&gt; ""), "ПРОВЕРИТЬ", VLOOKUP(A4145, 'Актуальное состояние (из общего'!A:C,3,0)), "")</f>
        <v/>
      </c>
      <c r="U4145" s="9" t="s">
        <v>13284</v>
      </c>
      <c r="V4145" s="9" t="s">
        <v>13284</v>
      </c>
      <c r="W4145" s="12"/>
      <c r="X4145" s="9" t="str">
        <f t="array" ref="X4145">IFERROR(INDEX('Адреса общежитий (скрытый)'!$B$2:$B$9, MATCH(W4145, 'Адреса общежитий (скрытый)'!$A$2:$A$9, 0)), "")</f>
        <v/>
      </c>
      <c r="Y4145" s="18"/>
      <c r="Z4145" s="18"/>
      <c r="AA4145" s="18"/>
      <c r="AB4145" s="18"/>
      <c r="AC4145" s="18"/>
    </row>
    <row r="4146" spans="1:29" ht="32.25" hidden="1" customHeight="1">
      <c r="A4146" s="17"/>
      <c r="B4146" s="9" t="s">
        <v>13284</v>
      </c>
      <c r="C4146" s="9" t="s">
        <v>13284</v>
      </c>
      <c r="D4146" s="9" t="s">
        <v>13284</v>
      </c>
      <c r="E4146" s="9" t="s">
        <v>13284</v>
      </c>
      <c r="F4146" s="9" t="s">
        <v>13284</v>
      </c>
      <c r="G4146" s="9" t="s">
        <v>13284</v>
      </c>
      <c r="H4146" s="9" t="s">
        <v>13284</v>
      </c>
      <c r="I4146" s="9" t="s">
        <v>13284</v>
      </c>
      <c r="J4146" s="9" t="s">
        <v>13284</v>
      </c>
      <c r="K4146" s="9" t="s">
        <v>13284</v>
      </c>
      <c r="L4146" s="9" t="s">
        <v>13284</v>
      </c>
      <c r="M4146" s="9" t="s">
        <v>13284</v>
      </c>
      <c r="N4146" s="9" t="s">
        <v>13284</v>
      </c>
      <c r="O4146" s="9" t="s">
        <v>13284</v>
      </c>
      <c r="P4146" s="9" t="s">
        <v>13284</v>
      </c>
      <c r="Q4146" s="9" t="s">
        <v>13284</v>
      </c>
      <c r="R4146" s="9" t="s">
        <v>13284</v>
      </c>
      <c r="S4146" s="9" t="s">
        <v>13284</v>
      </c>
      <c r="T4146" s="9" t="str">
        <f ca="1">IFERROR(IF(AND(VLOOKUP(A4146, 'Актуальное состояние (из общего'!A:C,3,0) = "", A4146 &lt;&gt; ""), "ПРОВЕРИТЬ", VLOOKUP(A4146, 'Актуальное состояние (из общего'!A:C,3,0)), "")</f>
        <v/>
      </c>
      <c r="U4146" s="9" t="s">
        <v>13284</v>
      </c>
      <c r="V4146" s="9" t="s">
        <v>13284</v>
      </c>
      <c r="W4146" s="12"/>
      <c r="X4146" s="9" t="str">
        <f t="array" ref="X4146">IFERROR(INDEX('Адреса общежитий (скрытый)'!$B$2:$B$9, MATCH(W4146, 'Адреса общежитий (скрытый)'!$A$2:$A$9, 0)), "")</f>
        <v/>
      </c>
      <c r="Y4146" s="18"/>
      <c r="Z4146" s="18"/>
      <c r="AA4146" s="18"/>
      <c r="AB4146" s="18"/>
      <c r="AC4146" s="18"/>
    </row>
    <row r="4147" spans="1:29" ht="32.25" hidden="1" customHeight="1">
      <c r="A4147" s="17"/>
      <c r="B4147" s="9" t="s">
        <v>13284</v>
      </c>
      <c r="C4147" s="9" t="s">
        <v>13284</v>
      </c>
      <c r="D4147" s="9" t="s">
        <v>13284</v>
      </c>
      <c r="E4147" s="9" t="s">
        <v>13284</v>
      </c>
      <c r="F4147" s="9" t="s">
        <v>13284</v>
      </c>
      <c r="G4147" s="9" t="s">
        <v>13284</v>
      </c>
      <c r="H4147" s="9" t="s">
        <v>13284</v>
      </c>
      <c r="I4147" s="9" t="s">
        <v>13284</v>
      </c>
      <c r="J4147" s="9" t="s">
        <v>13284</v>
      </c>
      <c r="K4147" s="9" t="s">
        <v>13284</v>
      </c>
      <c r="L4147" s="9" t="s">
        <v>13284</v>
      </c>
      <c r="M4147" s="9" t="s">
        <v>13284</v>
      </c>
      <c r="N4147" s="9" t="s">
        <v>13284</v>
      </c>
      <c r="O4147" s="9" t="s">
        <v>13284</v>
      </c>
      <c r="P4147" s="9" t="s">
        <v>13284</v>
      </c>
      <c r="Q4147" s="9" t="s">
        <v>13284</v>
      </c>
      <c r="R4147" s="9" t="s">
        <v>13284</v>
      </c>
      <c r="S4147" s="9" t="s">
        <v>13284</v>
      </c>
      <c r="T4147" s="9" t="str">
        <f ca="1">IFERROR(IF(AND(VLOOKUP(A4147, 'Актуальное состояние (из общего'!A:C,3,0) = "", A4147 &lt;&gt; ""), "ПРОВЕРИТЬ", VLOOKUP(A4147, 'Актуальное состояние (из общего'!A:C,3,0)), "")</f>
        <v/>
      </c>
      <c r="U4147" s="9" t="s">
        <v>13284</v>
      </c>
      <c r="V4147" s="9" t="s">
        <v>13284</v>
      </c>
      <c r="W4147" s="12"/>
      <c r="X4147" s="9" t="str">
        <f t="array" ref="X4147">IFERROR(INDEX('Адреса общежитий (скрытый)'!$B$2:$B$9, MATCH(W4147, 'Адреса общежитий (скрытый)'!$A$2:$A$9, 0)), "")</f>
        <v/>
      </c>
      <c r="Y4147" s="18"/>
      <c r="Z4147" s="18"/>
      <c r="AA4147" s="18"/>
      <c r="AB4147" s="18"/>
      <c r="AC4147" s="18"/>
    </row>
    <row r="4148" spans="1:29" ht="32.25" hidden="1" customHeight="1">
      <c r="A4148" s="17"/>
      <c r="B4148" s="9" t="s">
        <v>13284</v>
      </c>
      <c r="C4148" s="9" t="s">
        <v>13284</v>
      </c>
      <c r="D4148" s="9" t="s">
        <v>13284</v>
      </c>
      <c r="E4148" s="9" t="s">
        <v>13284</v>
      </c>
      <c r="F4148" s="9" t="s">
        <v>13284</v>
      </c>
      <c r="G4148" s="9" t="s">
        <v>13284</v>
      </c>
      <c r="H4148" s="9" t="s">
        <v>13284</v>
      </c>
      <c r="I4148" s="9" t="s">
        <v>13284</v>
      </c>
      <c r="J4148" s="9" t="s">
        <v>13284</v>
      </c>
      <c r="K4148" s="9" t="s">
        <v>13284</v>
      </c>
      <c r="L4148" s="9" t="s">
        <v>13284</v>
      </c>
      <c r="M4148" s="9" t="s">
        <v>13284</v>
      </c>
      <c r="N4148" s="9" t="s">
        <v>13284</v>
      </c>
      <c r="O4148" s="9" t="s">
        <v>13284</v>
      </c>
      <c r="P4148" s="9" t="s">
        <v>13284</v>
      </c>
      <c r="Q4148" s="9" t="s">
        <v>13284</v>
      </c>
      <c r="R4148" s="9" t="s">
        <v>13284</v>
      </c>
      <c r="S4148" s="9" t="s">
        <v>13284</v>
      </c>
      <c r="T4148" s="9" t="str">
        <f ca="1">IFERROR(IF(AND(VLOOKUP(A4148, 'Актуальное состояние (из общего'!A:C,3,0) = "", A4148 &lt;&gt; ""), "ПРОВЕРИТЬ", VLOOKUP(A4148, 'Актуальное состояние (из общего'!A:C,3,0)), "")</f>
        <v/>
      </c>
      <c r="U4148" s="9" t="s">
        <v>13284</v>
      </c>
      <c r="V4148" s="9" t="s">
        <v>13284</v>
      </c>
      <c r="W4148" s="12"/>
      <c r="X4148" s="9" t="str">
        <f t="array" ref="X4148">IFERROR(INDEX('Адреса общежитий (скрытый)'!$B$2:$B$9, MATCH(W4148, 'Адреса общежитий (скрытый)'!$A$2:$A$9, 0)), "")</f>
        <v/>
      </c>
      <c r="Y4148" s="18"/>
      <c r="Z4148" s="18"/>
      <c r="AA4148" s="18"/>
      <c r="AB4148" s="18"/>
      <c r="AC4148" s="18"/>
    </row>
    <row r="4149" spans="1:29" ht="32.25" hidden="1" customHeight="1">
      <c r="A4149" s="17"/>
      <c r="B4149" s="9" t="s">
        <v>13284</v>
      </c>
      <c r="C4149" s="9" t="s">
        <v>13284</v>
      </c>
      <c r="D4149" s="9" t="s">
        <v>13284</v>
      </c>
      <c r="E4149" s="9" t="s">
        <v>13284</v>
      </c>
      <c r="F4149" s="9" t="s">
        <v>13284</v>
      </c>
      <c r="G4149" s="9" t="s">
        <v>13284</v>
      </c>
      <c r="H4149" s="9" t="s">
        <v>13284</v>
      </c>
      <c r="I4149" s="9" t="s">
        <v>13284</v>
      </c>
      <c r="J4149" s="9" t="s">
        <v>13284</v>
      </c>
      <c r="K4149" s="9" t="s">
        <v>13284</v>
      </c>
      <c r="L4149" s="9" t="s">
        <v>13284</v>
      </c>
      <c r="M4149" s="9" t="s">
        <v>13284</v>
      </c>
      <c r="N4149" s="9" t="s">
        <v>13284</v>
      </c>
      <c r="O4149" s="9" t="s">
        <v>13284</v>
      </c>
      <c r="P4149" s="9" t="s">
        <v>13284</v>
      </c>
      <c r="Q4149" s="9" t="s">
        <v>13284</v>
      </c>
      <c r="R4149" s="9" t="s">
        <v>13284</v>
      </c>
      <c r="S4149" s="9" t="s">
        <v>13284</v>
      </c>
      <c r="T4149" s="9" t="str">
        <f ca="1">IFERROR(IF(AND(VLOOKUP(A4149, 'Актуальное состояние (из общего'!A:C,3,0) = "", A4149 &lt;&gt; ""), "ПРОВЕРИТЬ", VLOOKUP(A4149, 'Актуальное состояние (из общего'!A:C,3,0)), "")</f>
        <v/>
      </c>
      <c r="U4149" s="9" t="s">
        <v>13284</v>
      </c>
      <c r="V4149" s="9" t="s">
        <v>13284</v>
      </c>
      <c r="W4149" s="12"/>
      <c r="X4149" s="9" t="str">
        <f t="array" ref="X4149">IFERROR(INDEX('Адреса общежитий (скрытый)'!$B$2:$B$9, MATCH(W4149, 'Адреса общежитий (скрытый)'!$A$2:$A$9, 0)), "")</f>
        <v/>
      </c>
      <c r="Y4149" s="18"/>
      <c r="Z4149" s="18"/>
      <c r="AA4149" s="18"/>
      <c r="AB4149" s="18"/>
      <c r="AC4149" s="18"/>
    </row>
    <row r="4150" spans="1:29" ht="32.25" hidden="1" customHeight="1">
      <c r="A4150" s="17"/>
      <c r="B4150" s="9" t="s">
        <v>13284</v>
      </c>
      <c r="C4150" s="9" t="s">
        <v>13284</v>
      </c>
      <c r="D4150" s="9" t="s">
        <v>13284</v>
      </c>
      <c r="E4150" s="9" t="s">
        <v>13284</v>
      </c>
      <c r="F4150" s="9" t="s">
        <v>13284</v>
      </c>
      <c r="G4150" s="9" t="s">
        <v>13284</v>
      </c>
      <c r="H4150" s="9" t="s">
        <v>13284</v>
      </c>
      <c r="I4150" s="9" t="s">
        <v>13284</v>
      </c>
      <c r="J4150" s="9" t="s">
        <v>13284</v>
      </c>
      <c r="K4150" s="9" t="s">
        <v>13284</v>
      </c>
      <c r="L4150" s="9" t="s">
        <v>13284</v>
      </c>
      <c r="M4150" s="9" t="s">
        <v>13284</v>
      </c>
      <c r="N4150" s="9" t="s">
        <v>13284</v>
      </c>
      <c r="O4150" s="9" t="s">
        <v>13284</v>
      </c>
      <c r="P4150" s="9" t="s">
        <v>13284</v>
      </c>
      <c r="Q4150" s="9" t="s">
        <v>13284</v>
      </c>
      <c r="R4150" s="9" t="s">
        <v>13284</v>
      </c>
      <c r="S4150" s="9" t="s">
        <v>13284</v>
      </c>
      <c r="T4150" s="9" t="str">
        <f ca="1">IFERROR(IF(AND(VLOOKUP(A4150, 'Актуальное состояние (из общего'!A:C,3,0) = "", A4150 &lt;&gt; ""), "ПРОВЕРИТЬ", VLOOKUP(A4150, 'Актуальное состояние (из общего'!A:C,3,0)), "")</f>
        <v/>
      </c>
      <c r="U4150" s="9" t="s">
        <v>13284</v>
      </c>
      <c r="V4150" s="9" t="s">
        <v>13284</v>
      </c>
      <c r="W4150" s="12"/>
      <c r="X4150" s="9" t="str">
        <f t="array" ref="X4150">IFERROR(INDEX('Адреса общежитий (скрытый)'!$B$2:$B$9, MATCH(W4150, 'Адреса общежитий (скрытый)'!$A$2:$A$9, 0)), "")</f>
        <v/>
      </c>
      <c r="Y4150" s="18"/>
      <c r="Z4150" s="18"/>
      <c r="AA4150" s="18"/>
      <c r="AB4150" s="18"/>
      <c r="AC4150" s="18"/>
    </row>
    <row r="4151" spans="1:29" ht="32.25" hidden="1" customHeight="1">
      <c r="A4151" s="17"/>
      <c r="B4151" s="9" t="s">
        <v>13284</v>
      </c>
      <c r="C4151" s="9" t="s">
        <v>13284</v>
      </c>
      <c r="D4151" s="9" t="s">
        <v>13284</v>
      </c>
      <c r="E4151" s="9" t="s">
        <v>13284</v>
      </c>
      <c r="F4151" s="9" t="s">
        <v>13284</v>
      </c>
      <c r="G4151" s="9" t="s">
        <v>13284</v>
      </c>
      <c r="H4151" s="9" t="s">
        <v>13284</v>
      </c>
      <c r="I4151" s="9" t="s">
        <v>13284</v>
      </c>
      <c r="J4151" s="9" t="s">
        <v>13284</v>
      </c>
      <c r="K4151" s="9" t="s">
        <v>13284</v>
      </c>
      <c r="L4151" s="9" t="s">
        <v>13284</v>
      </c>
      <c r="M4151" s="9" t="s">
        <v>13284</v>
      </c>
      <c r="N4151" s="9" t="s">
        <v>13284</v>
      </c>
      <c r="O4151" s="9" t="s">
        <v>13284</v>
      </c>
      <c r="P4151" s="9" t="s">
        <v>13284</v>
      </c>
      <c r="Q4151" s="9" t="s">
        <v>13284</v>
      </c>
      <c r="R4151" s="9" t="s">
        <v>13284</v>
      </c>
      <c r="S4151" s="9" t="s">
        <v>13284</v>
      </c>
      <c r="T4151" s="9" t="str">
        <f ca="1">IFERROR(IF(AND(VLOOKUP(A4151, 'Актуальное состояние (из общего'!A:C,3,0) = "", A4151 &lt;&gt; ""), "ПРОВЕРИТЬ", VLOOKUP(A4151, 'Актуальное состояние (из общего'!A:C,3,0)), "")</f>
        <v/>
      </c>
      <c r="U4151" s="9" t="s">
        <v>13284</v>
      </c>
      <c r="V4151" s="9" t="s">
        <v>13284</v>
      </c>
      <c r="W4151" s="12"/>
      <c r="X4151" s="9" t="str">
        <f t="array" ref="X4151">IFERROR(INDEX('Адреса общежитий (скрытый)'!$B$2:$B$9, MATCH(W4151, 'Адреса общежитий (скрытый)'!$A$2:$A$9, 0)), "")</f>
        <v/>
      </c>
      <c r="Y4151" s="18"/>
      <c r="Z4151" s="18"/>
      <c r="AA4151" s="18"/>
      <c r="AB4151" s="18"/>
      <c r="AC4151" s="18"/>
    </row>
    <row r="4152" spans="1:29" ht="32.25" hidden="1" customHeight="1">
      <c r="A4152" s="17"/>
      <c r="B4152" s="9" t="s">
        <v>13284</v>
      </c>
      <c r="C4152" s="9" t="s">
        <v>13284</v>
      </c>
      <c r="D4152" s="9" t="s">
        <v>13284</v>
      </c>
      <c r="E4152" s="9" t="s">
        <v>13284</v>
      </c>
      <c r="F4152" s="9" t="s">
        <v>13284</v>
      </c>
      <c r="G4152" s="9" t="s">
        <v>13284</v>
      </c>
      <c r="H4152" s="9" t="s">
        <v>13284</v>
      </c>
      <c r="I4152" s="9" t="s">
        <v>13284</v>
      </c>
      <c r="J4152" s="9" t="s">
        <v>13284</v>
      </c>
      <c r="K4152" s="9" t="s">
        <v>13284</v>
      </c>
      <c r="L4152" s="9" t="s">
        <v>13284</v>
      </c>
      <c r="M4152" s="9" t="s">
        <v>13284</v>
      </c>
      <c r="N4152" s="9" t="s">
        <v>13284</v>
      </c>
      <c r="O4152" s="9" t="s">
        <v>13284</v>
      </c>
      <c r="P4152" s="9" t="s">
        <v>13284</v>
      </c>
      <c r="Q4152" s="9" t="s">
        <v>13284</v>
      </c>
      <c r="R4152" s="9" t="s">
        <v>13284</v>
      </c>
      <c r="S4152" s="9" t="s">
        <v>13284</v>
      </c>
      <c r="T4152" s="9" t="str">
        <f ca="1">IFERROR(IF(AND(VLOOKUP(A4152, 'Актуальное состояние (из общего'!A:C,3,0) = "", A4152 &lt;&gt; ""), "ПРОВЕРИТЬ", VLOOKUP(A4152, 'Актуальное состояние (из общего'!A:C,3,0)), "")</f>
        <v/>
      </c>
      <c r="U4152" s="9" t="s">
        <v>13284</v>
      </c>
      <c r="V4152" s="9" t="s">
        <v>13284</v>
      </c>
      <c r="W4152" s="12"/>
      <c r="X4152" s="9" t="str">
        <f t="array" ref="X4152">IFERROR(INDEX('Адреса общежитий (скрытый)'!$B$2:$B$9, MATCH(W4152, 'Адреса общежитий (скрытый)'!$A$2:$A$9, 0)), "")</f>
        <v/>
      </c>
      <c r="Y4152" s="18"/>
      <c r="Z4152" s="18"/>
      <c r="AA4152" s="18"/>
      <c r="AB4152" s="18"/>
      <c r="AC4152" s="18"/>
    </row>
    <row r="4153" spans="1:29" ht="32.25" hidden="1" customHeight="1">
      <c r="A4153" s="17"/>
      <c r="B4153" s="9" t="s">
        <v>13284</v>
      </c>
      <c r="C4153" s="9" t="s">
        <v>13284</v>
      </c>
      <c r="D4153" s="9" t="s">
        <v>13284</v>
      </c>
      <c r="E4153" s="9" t="s">
        <v>13284</v>
      </c>
      <c r="F4153" s="9" t="s">
        <v>13284</v>
      </c>
      <c r="G4153" s="9" t="s">
        <v>13284</v>
      </c>
      <c r="H4153" s="9" t="s">
        <v>13284</v>
      </c>
      <c r="I4153" s="9" t="s">
        <v>13284</v>
      </c>
      <c r="J4153" s="9" t="s">
        <v>13284</v>
      </c>
      <c r="K4153" s="9" t="s">
        <v>13284</v>
      </c>
      <c r="L4153" s="9" t="s">
        <v>13284</v>
      </c>
      <c r="M4153" s="9" t="s">
        <v>13284</v>
      </c>
      <c r="N4153" s="9" t="s">
        <v>13284</v>
      </c>
      <c r="O4153" s="9" t="s">
        <v>13284</v>
      </c>
      <c r="P4153" s="9" t="s">
        <v>13284</v>
      </c>
      <c r="Q4153" s="9" t="s">
        <v>13284</v>
      </c>
      <c r="R4153" s="9" t="s">
        <v>13284</v>
      </c>
      <c r="S4153" s="9" t="s">
        <v>13284</v>
      </c>
      <c r="T4153" s="9" t="str">
        <f ca="1">IFERROR(IF(AND(VLOOKUP(A4153, 'Актуальное состояние (из общего'!A:C,3,0) = "", A4153 &lt;&gt; ""), "ПРОВЕРИТЬ", VLOOKUP(A4153, 'Актуальное состояние (из общего'!A:C,3,0)), "")</f>
        <v/>
      </c>
      <c r="U4153" s="9" t="s">
        <v>13284</v>
      </c>
      <c r="V4153" s="9" t="s">
        <v>13284</v>
      </c>
      <c r="W4153" s="12"/>
      <c r="X4153" s="9" t="str">
        <f t="array" ref="X4153">IFERROR(INDEX('Адреса общежитий (скрытый)'!$B$2:$B$9, MATCH(W4153, 'Адреса общежитий (скрытый)'!$A$2:$A$9, 0)), "")</f>
        <v/>
      </c>
      <c r="Y4153" s="18"/>
      <c r="Z4153" s="18"/>
      <c r="AA4153" s="18"/>
      <c r="AB4153" s="18"/>
      <c r="AC4153" s="18"/>
    </row>
    <row r="4154" spans="1:29" ht="32.25" hidden="1" customHeight="1">
      <c r="A4154" s="17"/>
      <c r="B4154" s="9" t="s">
        <v>13284</v>
      </c>
      <c r="C4154" s="9" t="s">
        <v>13284</v>
      </c>
      <c r="D4154" s="9" t="s">
        <v>13284</v>
      </c>
      <c r="E4154" s="9" t="s">
        <v>13284</v>
      </c>
      <c r="F4154" s="9" t="s">
        <v>13284</v>
      </c>
      <c r="G4154" s="9" t="s">
        <v>13284</v>
      </c>
      <c r="H4154" s="9" t="s">
        <v>13284</v>
      </c>
      <c r="I4154" s="9" t="s">
        <v>13284</v>
      </c>
      <c r="J4154" s="9" t="s">
        <v>13284</v>
      </c>
      <c r="K4154" s="9" t="s">
        <v>13284</v>
      </c>
      <c r="L4154" s="9" t="s">
        <v>13284</v>
      </c>
      <c r="M4154" s="9" t="s">
        <v>13284</v>
      </c>
      <c r="N4154" s="9" t="s">
        <v>13284</v>
      </c>
      <c r="O4154" s="9" t="s">
        <v>13284</v>
      </c>
      <c r="P4154" s="9" t="s">
        <v>13284</v>
      </c>
      <c r="Q4154" s="9" t="s">
        <v>13284</v>
      </c>
      <c r="R4154" s="9" t="s">
        <v>13284</v>
      </c>
      <c r="S4154" s="9" t="s">
        <v>13284</v>
      </c>
      <c r="T4154" s="9" t="str">
        <f ca="1">IFERROR(IF(AND(VLOOKUP(A4154, 'Актуальное состояние (из общего'!A:C,3,0) = "", A4154 &lt;&gt; ""), "ПРОВЕРИТЬ", VLOOKUP(A4154, 'Актуальное состояние (из общего'!A:C,3,0)), "")</f>
        <v/>
      </c>
      <c r="U4154" s="9" t="s">
        <v>13284</v>
      </c>
      <c r="V4154" s="9" t="s">
        <v>13284</v>
      </c>
      <c r="W4154" s="12"/>
      <c r="X4154" s="9" t="str">
        <f t="array" ref="X4154">IFERROR(INDEX('Адреса общежитий (скрытый)'!$B$2:$B$9, MATCH(W4154, 'Адреса общежитий (скрытый)'!$A$2:$A$9, 0)), "")</f>
        <v/>
      </c>
      <c r="Y4154" s="18"/>
      <c r="Z4154" s="18"/>
      <c r="AA4154" s="18"/>
      <c r="AB4154" s="18"/>
      <c r="AC4154" s="18"/>
    </row>
    <row r="4155" spans="1:29" ht="32.25" hidden="1" customHeight="1">
      <c r="A4155" s="17"/>
      <c r="B4155" s="9" t="s">
        <v>13284</v>
      </c>
      <c r="C4155" s="9" t="s">
        <v>13284</v>
      </c>
      <c r="D4155" s="9" t="s">
        <v>13284</v>
      </c>
      <c r="E4155" s="9" t="s">
        <v>13284</v>
      </c>
      <c r="F4155" s="9" t="s">
        <v>13284</v>
      </c>
      <c r="G4155" s="9" t="s">
        <v>13284</v>
      </c>
      <c r="H4155" s="9" t="s">
        <v>13284</v>
      </c>
      <c r="I4155" s="9" t="s">
        <v>13284</v>
      </c>
      <c r="J4155" s="9" t="s">
        <v>13284</v>
      </c>
      <c r="K4155" s="9" t="s">
        <v>13284</v>
      </c>
      <c r="L4155" s="9" t="s">
        <v>13284</v>
      </c>
      <c r="M4155" s="9" t="s">
        <v>13284</v>
      </c>
      <c r="N4155" s="9" t="s">
        <v>13284</v>
      </c>
      <c r="O4155" s="9" t="s">
        <v>13284</v>
      </c>
      <c r="P4155" s="9" t="s">
        <v>13284</v>
      </c>
      <c r="Q4155" s="9" t="s">
        <v>13284</v>
      </c>
      <c r="R4155" s="9" t="s">
        <v>13284</v>
      </c>
      <c r="S4155" s="9" t="s">
        <v>13284</v>
      </c>
      <c r="T4155" s="9" t="str">
        <f ca="1">IFERROR(IF(AND(VLOOKUP(A4155, 'Актуальное состояние (из общего'!A:C,3,0) = "", A4155 &lt;&gt; ""), "ПРОВЕРИТЬ", VLOOKUP(A4155, 'Актуальное состояние (из общего'!A:C,3,0)), "")</f>
        <v/>
      </c>
      <c r="U4155" s="9" t="s">
        <v>13284</v>
      </c>
      <c r="V4155" s="9" t="s">
        <v>13284</v>
      </c>
      <c r="W4155" s="12"/>
      <c r="X4155" s="9" t="str">
        <f t="array" ref="X4155">IFERROR(INDEX('Адреса общежитий (скрытый)'!$B$2:$B$9, MATCH(W4155, 'Адреса общежитий (скрытый)'!$A$2:$A$9, 0)), "")</f>
        <v/>
      </c>
      <c r="Y4155" s="18"/>
      <c r="Z4155" s="18"/>
      <c r="AA4155" s="18"/>
      <c r="AB4155" s="18"/>
      <c r="AC4155" s="18"/>
    </row>
    <row r="4156" spans="1:29" ht="32.25" hidden="1" customHeight="1">
      <c r="A4156" s="17"/>
      <c r="B4156" s="9" t="s">
        <v>13284</v>
      </c>
      <c r="C4156" s="9" t="s">
        <v>13284</v>
      </c>
      <c r="D4156" s="9" t="s">
        <v>13284</v>
      </c>
      <c r="E4156" s="9" t="s">
        <v>13284</v>
      </c>
      <c r="F4156" s="9" t="s">
        <v>13284</v>
      </c>
      <c r="G4156" s="9" t="s">
        <v>13284</v>
      </c>
      <c r="H4156" s="9" t="s">
        <v>13284</v>
      </c>
      <c r="I4156" s="9" t="s">
        <v>13284</v>
      </c>
      <c r="J4156" s="9" t="s">
        <v>13284</v>
      </c>
      <c r="K4156" s="9" t="s">
        <v>13284</v>
      </c>
      <c r="L4156" s="9" t="s">
        <v>13284</v>
      </c>
      <c r="M4156" s="9" t="s">
        <v>13284</v>
      </c>
      <c r="N4156" s="9" t="s">
        <v>13284</v>
      </c>
      <c r="O4156" s="9" t="s">
        <v>13284</v>
      </c>
      <c r="P4156" s="9" t="s">
        <v>13284</v>
      </c>
      <c r="Q4156" s="9" t="s">
        <v>13284</v>
      </c>
      <c r="R4156" s="9" t="s">
        <v>13284</v>
      </c>
      <c r="S4156" s="9" t="s">
        <v>13284</v>
      </c>
      <c r="T4156" s="9" t="str">
        <f ca="1">IFERROR(IF(AND(VLOOKUP(A4156, 'Актуальное состояние (из общего'!A:C,3,0) = "", A4156 &lt;&gt; ""), "ПРОВЕРИТЬ", VLOOKUP(A4156, 'Актуальное состояние (из общего'!A:C,3,0)), "")</f>
        <v/>
      </c>
      <c r="U4156" s="9" t="s">
        <v>13284</v>
      </c>
      <c r="V4156" s="9" t="s">
        <v>13284</v>
      </c>
      <c r="W4156" s="12"/>
      <c r="X4156" s="9" t="str">
        <f t="array" ref="X4156">IFERROR(INDEX('Адреса общежитий (скрытый)'!$B$2:$B$9, MATCH(W4156, 'Адреса общежитий (скрытый)'!$A$2:$A$9, 0)), "")</f>
        <v/>
      </c>
      <c r="Y4156" s="18"/>
      <c r="Z4156" s="18"/>
      <c r="AA4156" s="18"/>
      <c r="AB4156" s="18"/>
      <c r="AC4156" s="18"/>
    </row>
    <row r="4157" spans="1:29" ht="32.25" hidden="1" customHeight="1">
      <c r="A4157" s="17"/>
      <c r="B4157" s="9" t="s">
        <v>13284</v>
      </c>
      <c r="C4157" s="9" t="s">
        <v>13284</v>
      </c>
      <c r="D4157" s="9" t="s">
        <v>13284</v>
      </c>
      <c r="E4157" s="9" t="s">
        <v>13284</v>
      </c>
      <c r="F4157" s="9" t="s">
        <v>13284</v>
      </c>
      <c r="G4157" s="9" t="s">
        <v>13284</v>
      </c>
      <c r="H4157" s="9" t="s">
        <v>13284</v>
      </c>
      <c r="I4157" s="9" t="s">
        <v>13284</v>
      </c>
      <c r="J4157" s="9" t="s">
        <v>13284</v>
      </c>
      <c r="K4157" s="9" t="s">
        <v>13284</v>
      </c>
      <c r="L4157" s="9" t="s">
        <v>13284</v>
      </c>
      <c r="M4157" s="9" t="s">
        <v>13284</v>
      </c>
      <c r="N4157" s="9" t="s">
        <v>13284</v>
      </c>
      <c r="O4157" s="9" t="s">
        <v>13284</v>
      </c>
      <c r="P4157" s="9" t="s">
        <v>13284</v>
      </c>
      <c r="Q4157" s="9" t="s">
        <v>13284</v>
      </c>
      <c r="R4157" s="9" t="s">
        <v>13284</v>
      </c>
      <c r="S4157" s="9" t="s">
        <v>13284</v>
      </c>
      <c r="T4157" s="9" t="str">
        <f ca="1">IFERROR(IF(AND(VLOOKUP(A4157, 'Актуальное состояние (из общего'!A:C,3,0) = "", A4157 &lt;&gt; ""), "ПРОВЕРИТЬ", VLOOKUP(A4157, 'Актуальное состояние (из общего'!A:C,3,0)), "")</f>
        <v/>
      </c>
      <c r="U4157" s="9" t="s">
        <v>13284</v>
      </c>
      <c r="V4157" s="9" t="s">
        <v>13284</v>
      </c>
      <c r="W4157" s="12"/>
      <c r="X4157" s="9" t="str">
        <f t="array" ref="X4157">IFERROR(INDEX('Адреса общежитий (скрытый)'!$B$2:$B$9, MATCH(W4157, 'Адреса общежитий (скрытый)'!$A$2:$A$9, 0)), "")</f>
        <v/>
      </c>
      <c r="Y4157" s="18"/>
      <c r="Z4157" s="18"/>
      <c r="AA4157" s="18"/>
      <c r="AB4157" s="18"/>
      <c r="AC4157" s="18"/>
    </row>
    <row r="4158" spans="1:29" ht="32.25" hidden="1" customHeight="1">
      <c r="A4158" s="17"/>
      <c r="B4158" s="9" t="s">
        <v>13284</v>
      </c>
      <c r="C4158" s="9" t="s">
        <v>13284</v>
      </c>
      <c r="D4158" s="9" t="s">
        <v>13284</v>
      </c>
      <c r="E4158" s="9" t="s">
        <v>13284</v>
      </c>
      <c r="F4158" s="9" t="s">
        <v>13284</v>
      </c>
      <c r="G4158" s="9" t="s">
        <v>13284</v>
      </c>
      <c r="H4158" s="9" t="s">
        <v>13284</v>
      </c>
      <c r="I4158" s="9" t="s">
        <v>13284</v>
      </c>
      <c r="J4158" s="9" t="s">
        <v>13284</v>
      </c>
      <c r="K4158" s="9" t="s">
        <v>13284</v>
      </c>
      <c r="L4158" s="9" t="s">
        <v>13284</v>
      </c>
      <c r="M4158" s="9" t="s">
        <v>13284</v>
      </c>
      <c r="N4158" s="9" t="s">
        <v>13284</v>
      </c>
      <c r="O4158" s="9" t="s">
        <v>13284</v>
      </c>
      <c r="P4158" s="9" t="s">
        <v>13284</v>
      </c>
      <c r="Q4158" s="9" t="s">
        <v>13284</v>
      </c>
      <c r="R4158" s="9" t="s">
        <v>13284</v>
      </c>
      <c r="S4158" s="9" t="s">
        <v>13284</v>
      </c>
      <c r="T4158" s="9" t="str">
        <f ca="1">IFERROR(IF(AND(VLOOKUP(A4158, 'Актуальное состояние (из общего'!A:C,3,0) = "", A4158 &lt;&gt; ""), "ПРОВЕРИТЬ", VLOOKUP(A4158, 'Актуальное состояние (из общего'!A:C,3,0)), "")</f>
        <v/>
      </c>
      <c r="U4158" s="9" t="s">
        <v>13284</v>
      </c>
      <c r="V4158" s="9" t="s">
        <v>13284</v>
      </c>
      <c r="W4158" s="12"/>
      <c r="X4158" s="9" t="str">
        <f t="array" ref="X4158">IFERROR(INDEX('Адреса общежитий (скрытый)'!$B$2:$B$9, MATCH(W4158, 'Адреса общежитий (скрытый)'!$A$2:$A$9, 0)), "")</f>
        <v/>
      </c>
      <c r="Y4158" s="18"/>
      <c r="Z4158" s="18"/>
      <c r="AA4158" s="18"/>
      <c r="AB4158" s="18"/>
      <c r="AC4158" s="18"/>
    </row>
    <row r="4159" spans="1:29" ht="32.25" hidden="1" customHeight="1">
      <c r="A4159" s="17"/>
      <c r="B4159" s="9" t="s">
        <v>13284</v>
      </c>
      <c r="C4159" s="9" t="s">
        <v>13284</v>
      </c>
      <c r="D4159" s="9" t="s">
        <v>13284</v>
      </c>
      <c r="E4159" s="9" t="s">
        <v>13284</v>
      </c>
      <c r="F4159" s="9" t="s">
        <v>13284</v>
      </c>
      <c r="G4159" s="9" t="s">
        <v>13284</v>
      </c>
      <c r="H4159" s="9" t="s">
        <v>13284</v>
      </c>
      <c r="I4159" s="9" t="s">
        <v>13284</v>
      </c>
      <c r="J4159" s="9" t="s">
        <v>13284</v>
      </c>
      <c r="K4159" s="9" t="s">
        <v>13284</v>
      </c>
      <c r="L4159" s="9" t="s">
        <v>13284</v>
      </c>
      <c r="M4159" s="9" t="s">
        <v>13284</v>
      </c>
      <c r="N4159" s="9" t="s">
        <v>13284</v>
      </c>
      <c r="O4159" s="9" t="s">
        <v>13284</v>
      </c>
      <c r="P4159" s="9" t="s">
        <v>13284</v>
      </c>
      <c r="Q4159" s="9" t="s">
        <v>13284</v>
      </c>
      <c r="R4159" s="9" t="s">
        <v>13284</v>
      </c>
      <c r="S4159" s="9" t="s">
        <v>13284</v>
      </c>
      <c r="T4159" s="9" t="str">
        <f ca="1">IFERROR(IF(AND(VLOOKUP(A4159, 'Актуальное состояние (из общего'!A:C,3,0) = "", A4159 &lt;&gt; ""), "ПРОВЕРИТЬ", VLOOKUP(A4159, 'Актуальное состояние (из общего'!A:C,3,0)), "")</f>
        <v/>
      </c>
      <c r="U4159" s="9" t="s">
        <v>13284</v>
      </c>
      <c r="V4159" s="9" t="s">
        <v>13284</v>
      </c>
      <c r="W4159" s="12"/>
      <c r="X4159" s="9" t="str">
        <f t="array" ref="X4159">IFERROR(INDEX('Адреса общежитий (скрытый)'!$B$2:$B$9, MATCH(W4159, 'Адреса общежитий (скрытый)'!$A$2:$A$9, 0)), "")</f>
        <v/>
      </c>
      <c r="Y4159" s="18"/>
      <c r="Z4159" s="18"/>
      <c r="AA4159" s="18"/>
      <c r="AB4159" s="18"/>
      <c r="AC4159" s="18"/>
    </row>
    <row r="4160" spans="1:29" ht="32.25" hidden="1" customHeight="1">
      <c r="A4160" s="17"/>
      <c r="B4160" s="9" t="s">
        <v>13284</v>
      </c>
      <c r="C4160" s="9" t="s">
        <v>13284</v>
      </c>
      <c r="D4160" s="9" t="s">
        <v>13284</v>
      </c>
      <c r="E4160" s="9" t="s">
        <v>13284</v>
      </c>
      <c r="F4160" s="9" t="s">
        <v>13284</v>
      </c>
      <c r="G4160" s="9" t="s">
        <v>13284</v>
      </c>
      <c r="H4160" s="9" t="s">
        <v>13284</v>
      </c>
      <c r="I4160" s="9" t="s">
        <v>13284</v>
      </c>
      <c r="J4160" s="9" t="s">
        <v>13284</v>
      </c>
      <c r="K4160" s="9" t="s">
        <v>13284</v>
      </c>
      <c r="L4160" s="9" t="s">
        <v>13284</v>
      </c>
      <c r="M4160" s="9" t="s">
        <v>13284</v>
      </c>
      <c r="N4160" s="9" t="s">
        <v>13284</v>
      </c>
      <c r="O4160" s="9" t="s">
        <v>13284</v>
      </c>
      <c r="P4160" s="9" t="s">
        <v>13284</v>
      </c>
      <c r="Q4160" s="9" t="s">
        <v>13284</v>
      </c>
      <c r="R4160" s="9" t="s">
        <v>13284</v>
      </c>
      <c r="S4160" s="9" t="s">
        <v>13284</v>
      </c>
      <c r="T4160" s="9" t="str">
        <f ca="1">IFERROR(IF(AND(VLOOKUP(A4160, 'Актуальное состояние (из общего'!A:C,3,0) = "", A4160 &lt;&gt; ""), "ПРОВЕРИТЬ", VLOOKUP(A4160, 'Актуальное состояние (из общего'!A:C,3,0)), "")</f>
        <v/>
      </c>
      <c r="U4160" s="9" t="s">
        <v>13284</v>
      </c>
      <c r="V4160" s="9" t="s">
        <v>13284</v>
      </c>
      <c r="W4160" s="12"/>
      <c r="X4160" s="9" t="str">
        <f t="array" ref="X4160">IFERROR(INDEX('Адреса общежитий (скрытый)'!$B$2:$B$9, MATCH(W4160, 'Адреса общежитий (скрытый)'!$A$2:$A$9, 0)), "")</f>
        <v/>
      </c>
      <c r="Y4160" s="18"/>
      <c r="Z4160" s="18"/>
      <c r="AA4160" s="18"/>
      <c r="AB4160" s="18"/>
      <c r="AC4160" s="18"/>
    </row>
    <row r="4161" spans="1:29" ht="32.25" hidden="1" customHeight="1">
      <c r="A4161" s="17"/>
      <c r="B4161" s="9" t="s">
        <v>13284</v>
      </c>
      <c r="C4161" s="9" t="s">
        <v>13284</v>
      </c>
      <c r="D4161" s="9" t="s">
        <v>13284</v>
      </c>
      <c r="E4161" s="9" t="s">
        <v>13284</v>
      </c>
      <c r="F4161" s="9" t="s">
        <v>13284</v>
      </c>
      <c r="G4161" s="9" t="s">
        <v>13284</v>
      </c>
      <c r="H4161" s="9" t="s">
        <v>13284</v>
      </c>
      <c r="I4161" s="9" t="s">
        <v>13284</v>
      </c>
      <c r="J4161" s="9" t="s">
        <v>13284</v>
      </c>
      <c r="K4161" s="9" t="s">
        <v>13284</v>
      </c>
      <c r="L4161" s="9" t="s">
        <v>13284</v>
      </c>
      <c r="M4161" s="9" t="s">
        <v>13284</v>
      </c>
      <c r="N4161" s="9" t="s">
        <v>13284</v>
      </c>
      <c r="O4161" s="9" t="s">
        <v>13284</v>
      </c>
      <c r="P4161" s="9" t="s">
        <v>13284</v>
      </c>
      <c r="Q4161" s="9" t="s">
        <v>13284</v>
      </c>
      <c r="R4161" s="9" t="s">
        <v>13284</v>
      </c>
      <c r="S4161" s="9" t="s">
        <v>13284</v>
      </c>
      <c r="T4161" s="9" t="str">
        <f ca="1">IFERROR(IF(AND(VLOOKUP(A4161, 'Актуальное состояние (из общего'!A:C,3,0) = "", A4161 &lt;&gt; ""), "ПРОВЕРИТЬ", VLOOKUP(A4161, 'Актуальное состояние (из общего'!A:C,3,0)), "")</f>
        <v/>
      </c>
      <c r="U4161" s="9" t="s">
        <v>13284</v>
      </c>
      <c r="V4161" s="9" t="s">
        <v>13284</v>
      </c>
      <c r="W4161" s="12"/>
      <c r="X4161" s="9" t="str">
        <f t="array" ref="X4161">IFERROR(INDEX('Адреса общежитий (скрытый)'!$B$2:$B$9, MATCH(W4161, 'Адреса общежитий (скрытый)'!$A$2:$A$9, 0)), "")</f>
        <v/>
      </c>
      <c r="Y4161" s="18"/>
      <c r="Z4161" s="18"/>
      <c r="AA4161" s="18"/>
      <c r="AB4161" s="18"/>
      <c r="AC4161" s="18"/>
    </row>
    <row r="4162" spans="1:29" ht="32.25" hidden="1" customHeight="1">
      <c r="A4162" s="17"/>
      <c r="B4162" s="9" t="s">
        <v>13284</v>
      </c>
      <c r="C4162" s="9" t="s">
        <v>13284</v>
      </c>
      <c r="D4162" s="9" t="s">
        <v>13284</v>
      </c>
      <c r="E4162" s="9" t="s">
        <v>13284</v>
      </c>
      <c r="F4162" s="9" t="s">
        <v>13284</v>
      </c>
      <c r="G4162" s="9" t="s">
        <v>13284</v>
      </c>
      <c r="H4162" s="9" t="s">
        <v>13284</v>
      </c>
      <c r="I4162" s="9" t="s">
        <v>13284</v>
      </c>
      <c r="J4162" s="9" t="s">
        <v>13284</v>
      </c>
      <c r="K4162" s="9" t="s">
        <v>13284</v>
      </c>
      <c r="L4162" s="9" t="s">
        <v>13284</v>
      </c>
      <c r="M4162" s="9" t="s">
        <v>13284</v>
      </c>
      <c r="N4162" s="9" t="s">
        <v>13284</v>
      </c>
      <c r="O4162" s="9" t="s">
        <v>13284</v>
      </c>
      <c r="P4162" s="9" t="s">
        <v>13284</v>
      </c>
      <c r="Q4162" s="9" t="s">
        <v>13284</v>
      </c>
      <c r="R4162" s="9" t="s">
        <v>13284</v>
      </c>
      <c r="S4162" s="9" t="s">
        <v>13284</v>
      </c>
      <c r="T4162" s="9" t="str">
        <f ca="1">IFERROR(IF(AND(VLOOKUP(A4162, 'Актуальное состояние (из общего'!A:C,3,0) = "", A4162 &lt;&gt; ""), "ПРОВЕРИТЬ", VLOOKUP(A4162, 'Актуальное состояние (из общего'!A:C,3,0)), "")</f>
        <v/>
      </c>
      <c r="U4162" s="9" t="s">
        <v>13284</v>
      </c>
      <c r="V4162" s="9" t="s">
        <v>13284</v>
      </c>
      <c r="W4162" s="12"/>
      <c r="X4162" s="9" t="str">
        <f t="array" ref="X4162">IFERROR(INDEX('Адреса общежитий (скрытый)'!$B$2:$B$9, MATCH(W4162, 'Адреса общежитий (скрытый)'!$A$2:$A$9, 0)), "")</f>
        <v/>
      </c>
      <c r="Y4162" s="18"/>
      <c r="Z4162" s="18"/>
      <c r="AA4162" s="18"/>
      <c r="AB4162" s="18"/>
      <c r="AC4162" s="18"/>
    </row>
    <row r="4163" spans="1:29" ht="32.25" hidden="1" customHeight="1">
      <c r="A4163" s="17"/>
      <c r="B4163" s="9" t="s">
        <v>13284</v>
      </c>
      <c r="C4163" s="9" t="s">
        <v>13284</v>
      </c>
      <c r="D4163" s="9" t="s">
        <v>13284</v>
      </c>
      <c r="E4163" s="9" t="s">
        <v>13284</v>
      </c>
      <c r="F4163" s="9" t="s">
        <v>13284</v>
      </c>
      <c r="G4163" s="9" t="s">
        <v>13284</v>
      </c>
      <c r="H4163" s="9" t="s">
        <v>13284</v>
      </c>
      <c r="I4163" s="9" t="s">
        <v>13284</v>
      </c>
      <c r="J4163" s="9" t="s">
        <v>13284</v>
      </c>
      <c r="K4163" s="9" t="s">
        <v>13284</v>
      </c>
      <c r="L4163" s="9" t="s">
        <v>13284</v>
      </c>
      <c r="M4163" s="9" t="s">
        <v>13284</v>
      </c>
      <c r="N4163" s="9" t="s">
        <v>13284</v>
      </c>
      <c r="O4163" s="9" t="s">
        <v>13284</v>
      </c>
      <c r="P4163" s="9" t="s">
        <v>13284</v>
      </c>
      <c r="Q4163" s="9" t="s">
        <v>13284</v>
      </c>
      <c r="R4163" s="9" t="s">
        <v>13284</v>
      </c>
      <c r="S4163" s="9" t="s">
        <v>13284</v>
      </c>
      <c r="T4163" s="9" t="str">
        <f ca="1">IFERROR(IF(AND(VLOOKUP(A4163, 'Актуальное состояние (из общего'!A:C,3,0) = "", A4163 &lt;&gt; ""), "ПРОВЕРИТЬ", VLOOKUP(A4163, 'Актуальное состояние (из общего'!A:C,3,0)), "")</f>
        <v/>
      </c>
      <c r="U4163" s="9" t="s">
        <v>13284</v>
      </c>
      <c r="V4163" s="9" t="s">
        <v>13284</v>
      </c>
      <c r="W4163" s="12"/>
      <c r="X4163" s="9" t="str">
        <f t="array" ref="X4163">IFERROR(INDEX('Адреса общежитий (скрытый)'!$B$2:$B$9, MATCH(W4163, 'Адреса общежитий (скрытый)'!$A$2:$A$9, 0)), "")</f>
        <v/>
      </c>
      <c r="Y4163" s="18"/>
      <c r="Z4163" s="18"/>
      <c r="AA4163" s="18"/>
      <c r="AB4163" s="18"/>
      <c r="AC4163" s="18"/>
    </row>
    <row r="4164" spans="1:29" ht="32.25" hidden="1" customHeight="1">
      <c r="A4164" s="17"/>
      <c r="B4164" s="9" t="s">
        <v>13284</v>
      </c>
      <c r="C4164" s="9" t="s">
        <v>13284</v>
      </c>
      <c r="D4164" s="9" t="s">
        <v>13284</v>
      </c>
      <c r="E4164" s="9" t="s">
        <v>13284</v>
      </c>
      <c r="F4164" s="9" t="s">
        <v>13284</v>
      </c>
      <c r="G4164" s="9" t="s">
        <v>13284</v>
      </c>
      <c r="H4164" s="9" t="s">
        <v>13284</v>
      </c>
      <c r="I4164" s="9" t="s">
        <v>13284</v>
      </c>
      <c r="J4164" s="9" t="s">
        <v>13284</v>
      </c>
      <c r="K4164" s="9" t="s">
        <v>13284</v>
      </c>
      <c r="L4164" s="9" t="s">
        <v>13284</v>
      </c>
      <c r="M4164" s="9" t="s">
        <v>13284</v>
      </c>
      <c r="N4164" s="9" t="s">
        <v>13284</v>
      </c>
      <c r="O4164" s="9" t="s">
        <v>13284</v>
      </c>
      <c r="P4164" s="9" t="s">
        <v>13284</v>
      </c>
      <c r="Q4164" s="9" t="s">
        <v>13284</v>
      </c>
      <c r="R4164" s="9" t="s">
        <v>13284</v>
      </c>
      <c r="S4164" s="9" t="s">
        <v>13284</v>
      </c>
      <c r="T4164" s="9" t="str">
        <f ca="1">IFERROR(IF(AND(VLOOKUP(A4164, 'Актуальное состояние (из общего'!A:C,3,0) = "", A4164 &lt;&gt; ""), "ПРОВЕРИТЬ", VLOOKUP(A4164, 'Актуальное состояние (из общего'!A:C,3,0)), "")</f>
        <v/>
      </c>
      <c r="U4164" s="9" t="s">
        <v>13284</v>
      </c>
      <c r="V4164" s="9" t="s">
        <v>13284</v>
      </c>
      <c r="W4164" s="12"/>
      <c r="X4164" s="9" t="str">
        <f t="array" ref="X4164">IFERROR(INDEX('Адреса общежитий (скрытый)'!$B$2:$B$9, MATCH(W4164, 'Адреса общежитий (скрытый)'!$A$2:$A$9, 0)), "")</f>
        <v/>
      </c>
      <c r="Y4164" s="18"/>
      <c r="Z4164" s="18"/>
      <c r="AA4164" s="18"/>
      <c r="AB4164" s="18"/>
      <c r="AC4164" s="18"/>
    </row>
    <row r="4165" spans="1:29" ht="32.25" hidden="1" customHeight="1">
      <c r="A4165" s="17"/>
      <c r="B4165" s="9" t="s">
        <v>13284</v>
      </c>
      <c r="C4165" s="9" t="s">
        <v>13284</v>
      </c>
      <c r="D4165" s="9" t="s">
        <v>13284</v>
      </c>
      <c r="E4165" s="9" t="s">
        <v>13284</v>
      </c>
      <c r="F4165" s="9" t="s">
        <v>13284</v>
      </c>
      <c r="G4165" s="9" t="s">
        <v>13284</v>
      </c>
      <c r="H4165" s="9" t="s">
        <v>13284</v>
      </c>
      <c r="I4165" s="9" t="s">
        <v>13284</v>
      </c>
      <c r="J4165" s="9" t="s">
        <v>13284</v>
      </c>
      <c r="K4165" s="9" t="s">
        <v>13284</v>
      </c>
      <c r="L4165" s="9" t="s">
        <v>13284</v>
      </c>
      <c r="M4165" s="9" t="s">
        <v>13284</v>
      </c>
      <c r="N4165" s="9" t="s">
        <v>13284</v>
      </c>
      <c r="O4165" s="9" t="s">
        <v>13284</v>
      </c>
      <c r="P4165" s="9" t="s">
        <v>13284</v>
      </c>
      <c r="Q4165" s="9" t="s">
        <v>13284</v>
      </c>
      <c r="R4165" s="9" t="s">
        <v>13284</v>
      </c>
      <c r="S4165" s="9" t="s">
        <v>13284</v>
      </c>
      <c r="T4165" s="9" t="str">
        <f ca="1">IFERROR(IF(AND(VLOOKUP(A4165, 'Актуальное состояние (из общего'!A:C,3,0) = "", A4165 &lt;&gt; ""), "ПРОВЕРИТЬ", VLOOKUP(A4165, 'Актуальное состояние (из общего'!A:C,3,0)), "")</f>
        <v/>
      </c>
      <c r="U4165" s="9" t="s">
        <v>13284</v>
      </c>
      <c r="V4165" s="9" t="s">
        <v>13284</v>
      </c>
      <c r="W4165" s="12"/>
      <c r="X4165" s="9" t="str">
        <f t="array" ref="X4165">IFERROR(INDEX('Адреса общежитий (скрытый)'!$B$2:$B$9, MATCH(W4165, 'Адреса общежитий (скрытый)'!$A$2:$A$9, 0)), "")</f>
        <v/>
      </c>
      <c r="Y4165" s="18"/>
      <c r="Z4165" s="18"/>
      <c r="AA4165" s="18"/>
      <c r="AB4165" s="18"/>
      <c r="AC4165" s="18"/>
    </row>
    <row r="4166" spans="1:29" ht="32.25" hidden="1" customHeight="1">
      <c r="A4166" s="17"/>
      <c r="B4166" s="9" t="s">
        <v>13284</v>
      </c>
      <c r="C4166" s="9" t="s">
        <v>13284</v>
      </c>
      <c r="D4166" s="9" t="s">
        <v>13284</v>
      </c>
      <c r="E4166" s="9" t="s">
        <v>13284</v>
      </c>
      <c r="F4166" s="9" t="s">
        <v>13284</v>
      </c>
      <c r="G4166" s="9" t="s">
        <v>13284</v>
      </c>
      <c r="H4166" s="9" t="s">
        <v>13284</v>
      </c>
      <c r="I4166" s="9" t="s">
        <v>13284</v>
      </c>
      <c r="J4166" s="9" t="s">
        <v>13284</v>
      </c>
      <c r="K4166" s="9" t="s">
        <v>13284</v>
      </c>
      <c r="L4166" s="9" t="s">
        <v>13284</v>
      </c>
      <c r="M4166" s="9" t="s">
        <v>13284</v>
      </c>
      <c r="N4166" s="9" t="s">
        <v>13284</v>
      </c>
      <c r="O4166" s="9" t="s">
        <v>13284</v>
      </c>
      <c r="P4166" s="9" t="s">
        <v>13284</v>
      </c>
      <c r="Q4166" s="9" t="s">
        <v>13284</v>
      </c>
      <c r="R4166" s="9" t="s">
        <v>13284</v>
      </c>
      <c r="S4166" s="9" t="s">
        <v>13284</v>
      </c>
      <c r="T4166" s="9" t="str">
        <f ca="1">IFERROR(IF(AND(VLOOKUP(A4166, 'Актуальное состояние (из общего'!A:C,3,0) = "", A4166 &lt;&gt; ""), "ПРОВЕРИТЬ", VLOOKUP(A4166, 'Актуальное состояние (из общего'!A:C,3,0)), "")</f>
        <v/>
      </c>
      <c r="U4166" s="9" t="s">
        <v>13284</v>
      </c>
      <c r="V4166" s="9" t="s">
        <v>13284</v>
      </c>
      <c r="W4166" s="12"/>
      <c r="X4166" s="9" t="str">
        <f t="array" ref="X4166">IFERROR(INDEX('Адреса общежитий (скрытый)'!$B$2:$B$9, MATCH(W4166, 'Адреса общежитий (скрытый)'!$A$2:$A$9, 0)), "")</f>
        <v/>
      </c>
      <c r="Y4166" s="18"/>
      <c r="Z4166" s="18"/>
      <c r="AA4166" s="18"/>
      <c r="AB4166" s="18"/>
      <c r="AC4166" s="18"/>
    </row>
    <row r="4167" spans="1:29" ht="32.25" hidden="1" customHeight="1">
      <c r="A4167" s="17"/>
      <c r="B4167" s="9" t="s">
        <v>13284</v>
      </c>
      <c r="C4167" s="9" t="s">
        <v>13284</v>
      </c>
      <c r="D4167" s="9" t="s">
        <v>13284</v>
      </c>
      <c r="E4167" s="9" t="s">
        <v>13284</v>
      </c>
      <c r="F4167" s="9" t="s">
        <v>13284</v>
      </c>
      <c r="G4167" s="9" t="s">
        <v>13284</v>
      </c>
      <c r="H4167" s="9" t="s">
        <v>13284</v>
      </c>
      <c r="I4167" s="9" t="s">
        <v>13284</v>
      </c>
      <c r="J4167" s="9" t="s">
        <v>13284</v>
      </c>
      <c r="K4167" s="9" t="s">
        <v>13284</v>
      </c>
      <c r="L4167" s="9" t="s">
        <v>13284</v>
      </c>
      <c r="M4167" s="9" t="s">
        <v>13284</v>
      </c>
      <c r="N4167" s="9" t="s">
        <v>13284</v>
      </c>
      <c r="O4167" s="9" t="s">
        <v>13284</v>
      </c>
      <c r="P4167" s="9" t="s">
        <v>13284</v>
      </c>
      <c r="Q4167" s="9" t="s">
        <v>13284</v>
      </c>
      <c r="R4167" s="9" t="s">
        <v>13284</v>
      </c>
      <c r="S4167" s="9" t="s">
        <v>13284</v>
      </c>
      <c r="T4167" s="9" t="str">
        <f ca="1">IFERROR(IF(AND(VLOOKUP(A4167, 'Актуальное состояние (из общего'!A:C,3,0) = "", A4167 &lt;&gt; ""), "ПРОВЕРИТЬ", VLOOKUP(A4167, 'Актуальное состояние (из общего'!A:C,3,0)), "")</f>
        <v/>
      </c>
      <c r="U4167" s="9" t="s">
        <v>13284</v>
      </c>
      <c r="V4167" s="9" t="s">
        <v>13284</v>
      </c>
      <c r="W4167" s="12"/>
      <c r="X4167" s="9" t="str">
        <f t="array" ref="X4167">IFERROR(INDEX('Адреса общежитий (скрытый)'!$B$2:$B$9, MATCH(W4167, 'Адреса общежитий (скрытый)'!$A$2:$A$9, 0)), "")</f>
        <v/>
      </c>
      <c r="Y4167" s="18"/>
      <c r="Z4167" s="18"/>
      <c r="AA4167" s="18"/>
      <c r="AB4167" s="18"/>
      <c r="AC4167" s="18"/>
    </row>
    <row r="4168" spans="1:29" ht="32.25" hidden="1" customHeight="1">
      <c r="A4168" s="17"/>
      <c r="B4168" s="9" t="s">
        <v>13284</v>
      </c>
      <c r="C4168" s="9" t="s">
        <v>13284</v>
      </c>
      <c r="D4168" s="9" t="s">
        <v>13284</v>
      </c>
      <c r="E4168" s="9" t="s">
        <v>13284</v>
      </c>
      <c r="F4168" s="9" t="s">
        <v>13284</v>
      </c>
      <c r="G4168" s="9" t="s">
        <v>13284</v>
      </c>
      <c r="H4168" s="9" t="s">
        <v>13284</v>
      </c>
      <c r="I4168" s="9" t="s">
        <v>13284</v>
      </c>
      <c r="J4168" s="9" t="s">
        <v>13284</v>
      </c>
      <c r="K4168" s="9" t="s">
        <v>13284</v>
      </c>
      <c r="L4168" s="9" t="s">
        <v>13284</v>
      </c>
      <c r="M4168" s="9" t="s">
        <v>13284</v>
      </c>
      <c r="N4168" s="9" t="s">
        <v>13284</v>
      </c>
      <c r="O4168" s="9" t="s">
        <v>13284</v>
      </c>
      <c r="P4168" s="9" t="s">
        <v>13284</v>
      </c>
      <c r="Q4168" s="9" t="s">
        <v>13284</v>
      </c>
      <c r="R4168" s="9" t="s">
        <v>13284</v>
      </c>
      <c r="S4168" s="9" t="s">
        <v>13284</v>
      </c>
      <c r="T4168" s="9" t="str">
        <f ca="1">IFERROR(IF(AND(VLOOKUP(A4168, 'Актуальное состояние (из общего'!A:C,3,0) = "", A4168 &lt;&gt; ""), "ПРОВЕРИТЬ", VLOOKUP(A4168, 'Актуальное состояние (из общего'!A:C,3,0)), "")</f>
        <v/>
      </c>
      <c r="U4168" s="9" t="s">
        <v>13284</v>
      </c>
      <c r="V4168" s="9" t="s">
        <v>13284</v>
      </c>
      <c r="W4168" s="12"/>
      <c r="X4168" s="9" t="str">
        <f t="array" ref="X4168">IFERROR(INDEX('Адреса общежитий (скрытый)'!$B$2:$B$9, MATCH(W4168, 'Адреса общежитий (скрытый)'!$A$2:$A$9, 0)), "")</f>
        <v/>
      </c>
      <c r="Y4168" s="18"/>
      <c r="Z4168" s="18"/>
      <c r="AA4168" s="18"/>
      <c r="AB4168" s="18"/>
      <c r="AC4168" s="18"/>
    </row>
    <row r="4169" spans="1:29" ht="32.25" hidden="1" customHeight="1">
      <c r="A4169" s="17"/>
      <c r="B4169" s="9" t="s">
        <v>13284</v>
      </c>
      <c r="C4169" s="9" t="s">
        <v>13284</v>
      </c>
      <c r="D4169" s="9" t="s">
        <v>13284</v>
      </c>
      <c r="E4169" s="9" t="s">
        <v>13284</v>
      </c>
      <c r="F4169" s="9" t="s">
        <v>13284</v>
      </c>
      <c r="G4169" s="9" t="s">
        <v>13284</v>
      </c>
      <c r="H4169" s="9" t="s">
        <v>13284</v>
      </c>
      <c r="I4169" s="9" t="s">
        <v>13284</v>
      </c>
      <c r="J4169" s="9" t="s">
        <v>13284</v>
      </c>
      <c r="K4169" s="9" t="s">
        <v>13284</v>
      </c>
      <c r="L4169" s="9" t="s">
        <v>13284</v>
      </c>
      <c r="M4169" s="9" t="s">
        <v>13284</v>
      </c>
      <c r="N4169" s="9" t="s">
        <v>13284</v>
      </c>
      <c r="O4169" s="9" t="s">
        <v>13284</v>
      </c>
      <c r="P4169" s="9" t="s">
        <v>13284</v>
      </c>
      <c r="Q4169" s="9" t="s">
        <v>13284</v>
      </c>
      <c r="R4169" s="9" t="s">
        <v>13284</v>
      </c>
      <c r="S4169" s="9" t="s">
        <v>13284</v>
      </c>
      <c r="T4169" s="9" t="str">
        <f ca="1">IFERROR(IF(AND(VLOOKUP(A4169, 'Актуальное состояние (из общего'!A:C,3,0) = "", A4169 &lt;&gt; ""), "ПРОВЕРИТЬ", VLOOKUP(A4169, 'Актуальное состояние (из общего'!A:C,3,0)), "")</f>
        <v/>
      </c>
      <c r="U4169" s="9" t="s">
        <v>13284</v>
      </c>
      <c r="V4169" s="9" t="s">
        <v>13284</v>
      </c>
      <c r="W4169" s="12"/>
      <c r="X4169" s="9" t="str">
        <f t="array" ref="X4169">IFERROR(INDEX('Адреса общежитий (скрытый)'!$B$2:$B$9, MATCH(W4169, 'Адреса общежитий (скрытый)'!$A$2:$A$9, 0)), "")</f>
        <v/>
      </c>
      <c r="Y4169" s="18"/>
      <c r="Z4169" s="18"/>
      <c r="AA4169" s="18"/>
      <c r="AB4169" s="18"/>
      <c r="AC4169" s="18"/>
    </row>
    <row r="4170" spans="1:29" ht="32.25" hidden="1" customHeight="1">
      <c r="A4170" s="17"/>
      <c r="B4170" s="9" t="s">
        <v>13284</v>
      </c>
      <c r="C4170" s="9" t="s">
        <v>13284</v>
      </c>
      <c r="D4170" s="9" t="s">
        <v>13284</v>
      </c>
      <c r="E4170" s="9" t="s">
        <v>13284</v>
      </c>
      <c r="F4170" s="9" t="s">
        <v>13284</v>
      </c>
      <c r="G4170" s="9" t="s">
        <v>13284</v>
      </c>
      <c r="H4170" s="9" t="s">
        <v>13284</v>
      </c>
      <c r="I4170" s="9" t="s">
        <v>13284</v>
      </c>
      <c r="J4170" s="9" t="s">
        <v>13284</v>
      </c>
      <c r="K4170" s="9" t="s">
        <v>13284</v>
      </c>
      <c r="L4170" s="9" t="s">
        <v>13284</v>
      </c>
      <c r="M4170" s="9" t="s">
        <v>13284</v>
      </c>
      <c r="N4170" s="9" t="s">
        <v>13284</v>
      </c>
      <c r="O4170" s="9" t="s">
        <v>13284</v>
      </c>
      <c r="P4170" s="9" t="s">
        <v>13284</v>
      </c>
      <c r="Q4170" s="9" t="s">
        <v>13284</v>
      </c>
      <c r="R4170" s="9" t="s">
        <v>13284</v>
      </c>
      <c r="S4170" s="9" t="s">
        <v>13284</v>
      </c>
      <c r="T4170" s="9" t="str">
        <f ca="1">IFERROR(IF(AND(VLOOKUP(A4170, 'Актуальное состояние (из общего'!A:C,3,0) = "", A4170 &lt;&gt; ""), "ПРОВЕРИТЬ", VLOOKUP(A4170, 'Актуальное состояние (из общего'!A:C,3,0)), "")</f>
        <v/>
      </c>
      <c r="U4170" s="9" t="s">
        <v>13284</v>
      </c>
      <c r="V4170" s="9" t="s">
        <v>13284</v>
      </c>
      <c r="W4170" s="12"/>
      <c r="X4170" s="9" t="str">
        <f t="array" ref="X4170">IFERROR(INDEX('Адреса общежитий (скрытый)'!$B$2:$B$9, MATCH(W4170, 'Адреса общежитий (скрытый)'!$A$2:$A$9, 0)), "")</f>
        <v/>
      </c>
      <c r="Y4170" s="18"/>
      <c r="Z4170" s="18"/>
      <c r="AA4170" s="18"/>
      <c r="AB4170" s="18"/>
      <c r="AC4170" s="18"/>
    </row>
    <row r="4171" spans="1:29" ht="32.25" hidden="1" customHeight="1">
      <c r="A4171" s="17"/>
      <c r="B4171" s="9" t="s">
        <v>13284</v>
      </c>
      <c r="C4171" s="9" t="s">
        <v>13284</v>
      </c>
      <c r="D4171" s="9" t="s">
        <v>13284</v>
      </c>
      <c r="E4171" s="9" t="s">
        <v>13284</v>
      </c>
      <c r="F4171" s="9" t="s">
        <v>13284</v>
      </c>
      <c r="G4171" s="9" t="s">
        <v>13284</v>
      </c>
      <c r="H4171" s="9" t="s">
        <v>13284</v>
      </c>
      <c r="I4171" s="9" t="s">
        <v>13284</v>
      </c>
      <c r="J4171" s="9" t="s">
        <v>13284</v>
      </c>
      <c r="K4171" s="9" t="s">
        <v>13284</v>
      </c>
      <c r="L4171" s="9" t="s">
        <v>13284</v>
      </c>
      <c r="M4171" s="9" t="s">
        <v>13284</v>
      </c>
      <c r="N4171" s="9" t="s">
        <v>13284</v>
      </c>
      <c r="O4171" s="9" t="s">
        <v>13284</v>
      </c>
      <c r="P4171" s="9" t="s">
        <v>13284</v>
      </c>
      <c r="Q4171" s="9" t="s">
        <v>13284</v>
      </c>
      <c r="R4171" s="9" t="s">
        <v>13284</v>
      </c>
      <c r="S4171" s="9" t="s">
        <v>13284</v>
      </c>
      <c r="T4171" s="9" t="str">
        <f ca="1">IFERROR(IF(AND(VLOOKUP(A4171, 'Актуальное состояние (из общего'!A:C,3,0) = "", A4171 &lt;&gt; ""), "ПРОВЕРИТЬ", VLOOKUP(A4171, 'Актуальное состояние (из общего'!A:C,3,0)), "")</f>
        <v/>
      </c>
      <c r="U4171" s="9" t="s">
        <v>13284</v>
      </c>
      <c r="V4171" s="9" t="s">
        <v>13284</v>
      </c>
      <c r="W4171" s="12"/>
      <c r="X4171" s="9" t="str">
        <f t="array" ref="X4171">IFERROR(INDEX('Адреса общежитий (скрытый)'!$B$2:$B$9, MATCH(W4171, 'Адреса общежитий (скрытый)'!$A$2:$A$9, 0)), "")</f>
        <v/>
      </c>
      <c r="Y4171" s="18"/>
      <c r="Z4171" s="18"/>
      <c r="AA4171" s="18"/>
      <c r="AB4171" s="18"/>
      <c r="AC4171" s="18"/>
    </row>
    <row r="4172" spans="1:29" ht="32.25" hidden="1" customHeight="1">
      <c r="A4172" s="17"/>
      <c r="B4172" s="9" t="s">
        <v>13284</v>
      </c>
      <c r="C4172" s="9" t="s">
        <v>13284</v>
      </c>
      <c r="D4172" s="9" t="s">
        <v>13284</v>
      </c>
      <c r="E4172" s="9" t="s">
        <v>13284</v>
      </c>
      <c r="F4172" s="9" t="s">
        <v>13284</v>
      </c>
      <c r="G4172" s="9" t="s">
        <v>13284</v>
      </c>
      <c r="H4172" s="9" t="s">
        <v>13284</v>
      </c>
      <c r="I4172" s="9" t="s">
        <v>13284</v>
      </c>
      <c r="J4172" s="9" t="s">
        <v>13284</v>
      </c>
      <c r="K4172" s="9" t="s">
        <v>13284</v>
      </c>
      <c r="L4172" s="9" t="s">
        <v>13284</v>
      </c>
      <c r="M4172" s="9" t="s">
        <v>13284</v>
      </c>
      <c r="N4172" s="9" t="s">
        <v>13284</v>
      </c>
      <c r="O4172" s="9" t="s">
        <v>13284</v>
      </c>
      <c r="P4172" s="9" t="s">
        <v>13284</v>
      </c>
      <c r="Q4172" s="9" t="s">
        <v>13284</v>
      </c>
      <c r="R4172" s="9" t="s">
        <v>13284</v>
      </c>
      <c r="S4172" s="9" t="s">
        <v>13284</v>
      </c>
      <c r="T4172" s="9" t="str">
        <f ca="1">IFERROR(IF(AND(VLOOKUP(A4172, 'Актуальное состояние (из общего'!A:C,3,0) = "", A4172 &lt;&gt; ""), "ПРОВЕРИТЬ", VLOOKUP(A4172, 'Актуальное состояние (из общего'!A:C,3,0)), "")</f>
        <v/>
      </c>
      <c r="U4172" s="9" t="s">
        <v>13284</v>
      </c>
      <c r="V4172" s="9" t="s">
        <v>13284</v>
      </c>
      <c r="W4172" s="12"/>
      <c r="X4172" s="9" t="str">
        <f t="array" ref="X4172">IFERROR(INDEX('Адреса общежитий (скрытый)'!$B$2:$B$9, MATCH(W4172, 'Адреса общежитий (скрытый)'!$A$2:$A$9, 0)), "")</f>
        <v/>
      </c>
      <c r="Y4172" s="18"/>
      <c r="Z4172" s="18"/>
      <c r="AA4172" s="18"/>
      <c r="AB4172" s="18"/>
      <c r="AC4172" s="18"/>
    </row>
    <row r="4173" spans="1:29" ht="32.25" hidden="1" customHeight="1">
      <c r="A4173" s="17"/>
      <c r="B4173" s="9" t="s">
        <v>13284</v>
      </c>
      <c r="C4173" s="9" t="s">
        <v>13284</v>
      </c>
      <c r="D4173" s="9" t="s">
        <v>13284</v>
      </c>
      <c r="E4173" s="9" t="s">
        <v>13284</v>
      </c>
      <c r="F4173" s="9" t="s">
        <v>13284</v>
      </c>
      <c r="G4173" s="9" t="s">
        <v>13284</v>
      </c>
      <c r="H4173" s="9" t="s">
        <v>13284</v>
      </c>
      <c r="I4173" s="9" t="s">
        <v>13284</v>
      </c>
      <c r="J4173" s="9" t="s">
        <v>13284</v>
      </c>
      <c r="K4173" s="9" t="s">
        <v>13284</v>
      </c>
      <c r="L4173" s="9" t="s">
        <v>13284</v>
      </c>
      <c r="M4173" s="9" t="s">
        <v>13284</v>
      </c>
      <c r="N4173" s="9" t="s">
        <v>13284</v>
      </c>
      <c r="O4173" s="9" t="s">
        <v>13284</v>
      </c>
      <c r="P4173" s="9" t="s">
        <v>13284</v>
      </c>
      <c r="Q4173" s="9" t="s">
        <v>13284</v>
      </c>
      <c r="R4173" s="9" t="s">
        <v>13284</v>
      </c>
      <c r="S4173" s="9" t="s">
        <v>13284</v>
      </c>
      <c r="T4173" s="9" t="str">
        <f ca="1">IFERROR(IF(AND(VLOOKUP(A4173, 'Актуальное состояние (из общего'!A:C,3,0) = "", A4173 &lt;&gt; ""), "ПРОВЕРИТЬ", VLOOKUP(A4173, 'Актуальное состояние (из общего'!A:C,3,0)), "")</f>
        <v/>
      </c>
      <c r="U4173" s="9" t="s">
        <v>13284</v>
      </c>
      <c r="V4173" s="9" t="s">
        <v>13284</v>
      </c>
      <c r="W4173" s="12"/>
      <c r="X4173" s="9" t="str">
        <f t="array" ref="X4173">IFERROR(INDEX('Адреса общежитий (скрытый)'!$B$2:$B$9, MATCH(W4173, 'Адреса общежитий (скрытый)'!$A$2:$A$9, 0)), "")</f>
        <v/>
      </c>
      <c r="Y4173" s="18"/>
      <c r="Z4173" s="18"/>
      <c r="AA4173" s="18"/>
      <c r="AB4173" s="18"/>
      <c r="AC4173" s="18"/>
    </row>
    <row r="4174" spans="1:29" ht="32.25" hidden="1" customHeight="1">
      <c r="A4174" s="17"/>
      <c r="B4174" s="9" t="s">
        <v>13284</v>
      </c>
      <c r="C4174" s="9" t="s">
        <v>13284</v>
      </c>
      <c r="D4174" s="9" t="s">
        <v>13284</v>
      </c>
      <c r="E4174" s="9" t="s">
        <v>13284</v>
      </c>
      <c r="F4174" s="9" t="s">
        <v>13284</v>
      </c>
      <c r="G4174" s="9" t="s">
        <v>13284</v>
      </c>
      <c r="H4174" s="9" t="s">
        <v>13284</v>
      </c>
      <c r="I4174" s="9" t="s">
        <v>13284</v>
      </c>
      <c r="J4174" s="9" t="s">
        <v>13284</v>
      </c>
      <c r="K4174" s="9" t="s">
        <v>13284</v>
      </c>
      <c r="L4174" s="9" t="s">
        <v>13284</v>
      </c>
      <c r="M4174" s="9" t="s">
        <v>13284</v>
      </c>
      <c r="N4174" s="9" t="s">
        <v>13284</v>
      </c>
      <c r="O4174" s="9" t="s">
        <v>13284</v>
      </c>
      <c r="P4174" s="9" t="s">
        <v>13284</v>
      </c>
      <c r="Q4174" s="9" t="s">
        <v>13284</v>
      </c>
      <c r="R4174" s="9" t="s">
        <v>13284</v>
      </c>
      <c r="S4174" s="9" t="s">
        <v>13284</v>
      </c>
      <c r="T4174" s="9" t="str">
        <f ca="1">IFERROR(IF(AND(VLOOKUP(A4174, 'Актуальное состояние (из общего'!A:C,3,0) = "", A4174 &lt;&gt; ""), "ПРОВЕРИТЬ", VLOOKUP(A4174, 'Актуальное состояние (из общего'!A:C,3,0)), "")</f>
        <v/>
      </c>
      <c r="U4174" s="9" t="s">
        <v>13284</v>
      </c>
      <c r="V4174" s="9" t="s">
        <v>13284</v>
      </c>
      <c r="W4174" s="12"/>
      <c r="X4174" s="9" t="str">
        <f t="array" ref="X4174">IFERROR(INDEX('Адреса общежитий (скрытый)'!$B$2:$B$9, MATCH(W4174, 'Адреса общежитий (скрытый)'!$A$2:$A$9, 0)), "")</f>
        <v/>
      </c>
      <c r="Y4174" s="18"/>
      <c r="Z4174" s="18"/>
      <c r="AA4174" s="18"/>
      <c r="AB4174" s="18"/>
      <c r="AC4174" s="18"/>
    </row>
    <row r="4175" spans="1:29" ht="32.25" hidden="1" customHeight="1">
      <c r="A4175" s="17"/>
      <c r="B4175" s="9" t="s">
        <v>13284</v>
      </c>
      <c r="C4175" s="9" t="s">
        <v>13284</v>
      </c>
      <c r="D4175" s="9" t="s">
        <v>13284</v>
      </c>
      <c r="E4175" s="9" t="s">
        <v>13284</v>
      </c>
      <c r="F4175" s="9" t="s">
        <v>13284</v>
      </c>
      <c r="G4175" s="9" t="s">
        <v>13284</v>
      </c>
      <c r="H4175" s="9" t="s">
        <v>13284</v>
      </c>
      <c r="I4175" s="9" t="s">
        <v>13284</v>
      </c>
      <c r="J4175" s="9" t="s">
        <v>13284</v>
      </c>
      <c r="K4175" s="9" t="s">
        <v>13284</v>
      </c>
      <c r="L4175" s="9" t="s">
        <v>13284</v>
      </c>
      <c r="M4175" s="9" t="s">
        <v>13284</v>
      </c>
      <c r="N4175" s="9" t="s">
        <v>13284</v>
      </c>
      <c r="O4175" s="9" t="s">
        <v>13284</v>
      </c>
      <c r="P4175" s="9" t="s">
        <v>13284</v>
      </c>
      <c r="Q4175" s="9" t="s">
        <v>13284</v>
      </c>
      <c r="R4175" s="9" t="s">
        <v>13284</v>
      </c>
      <c r="S4175" s="9" t="s">
        <v>13284</v>
      </c>
      <c r="T4175" s="9" t="str">
        <f ca="1">IFERROR(IF(AND(VLOOKUP(A4175, 'Актуальное состояние (из общего'!A:C,3,0) = "", A4175 &lt;&gt; ""), "ПРОВЕРИТЬ", VLOOKUP(A4175, 'Актуальное состояние (из общего'!A:C,3,0)), "")</f>
        <v/>
      </c>
      <c r="U4175" s="9" t="s">
        <v>13284</v>
      </c>
      <c r="V4175" s="9" t="s">
        <v>13284</v>
      </c>
      <c r="W4175" s="12"/>
      <c r="X4175" s="9" t="str">
        <f t="array" ref="X4175">IFERROR(INDEX('Адреса общежитий (скрытый)'!$B$2:$B$9, MATCH(W4175, 'Адреса общежитий (скрытый)'!$A$2:$A$9, 0)), "")</f>
        <v/>
      </c>
      <c r="Y4175" s="18"/>
      <c r="Z4175" s="18"/>
      <c r="AA4175" s="18"/>
      <c r="AB4175" s="18"/>
      <c r="AC4175" s="18"/>
    </row>
    <row r="4176" spans="1:29" ht="32.25" hidden="1" customHeight="1">
      <c r="A4176" s="17"/>
      <c r="B4176" s="9" t="s">
        <v>13284</v>
      </c>
      <c r="C4176" s="9" t="s">
        <v>13284</v>
      </c>
      <c r="D4176" s="9" t="s">
        <v>13284</v>
      </c>
      <c r="E4176" s="9" t="s">
        <v>13284</v>
      </c>
      <c r="F4176" s="9" t="s">
        <v>13284</v>
      </c>
      <c r="G4176" s="9" t="s">
        <v>13284</v>
      </c>
      <c r="H4176" s="9" t="s">
        <v>13284</v>
      </c>
      <c r="I4176" s="9" t="s">
        <v>13284</v>
      </c>
      <c r="J4176" s="9" t="s">
        <v>13284</v>
      </c>
      <c r="K4176" s="9" t="s">
        <v>13284</v>
      </c>
      <c r="L4176" s="9" t="s">
        <v>13284</v>
      </c>
      <c r="M4176" s="9" t="s">
        <v>13284</v>
      </c>
      <c r="N4176" s="9" t="s">
        <v>13284</v>
      </c>
      <c r="O4176" s="9" t="s">
        <v>13284</v>
      </c>
      <c r="P4176" s="9" t="s">
        <v>13284</v>
      </c>
      <c r="Q4176" s="9" t="s">
        <v>13284</v>
      </c>
      <c r="R4176" s="9" t="s">
        <v>13284</v>
      </c>
      <c r="S4176" s="9" t="s">
        <v>13284</v>
      </c>
      <c r="T4176" s="9" t="str">
        <f ca="1">IFERROR(IF(AND(VLOOKUP(A4176, 'Актуальное состояние (из общего'!A:C,3,0) = "", A4176 &lt;&gt; ""), "ПРОВЕРИТЬ", VLOOKUP(A4176, 'Актуальное состояние (из общего'!A:C,3,0)), "")</f>
        <v/>
      </c>
      <c r="U4176" s="9" t="s">
        <v>13284</v>
      </c>
      <c r="V4176" s="9" t="s">
        <v>13284</v>
      </c>
      <c r="W4176" s="12"/>
      <c r="X4176" s="9" t="str">
        <f t="array" ref="X4176">IFERROR(INDEX('Адреса общежитий (скрытый)'!$B$2:$B$9, MATCH(W4176, 'Адреса общежитий (скрытый)'!$A$2:$A$9, 0)), "")</f>
        <v/>
      </c>
      <c r="Y4176" s="18"/>
      <c r="Z4176" s="18"/>
      <c r="AA4176" s="18"/>
      <c r="AB4176" s="18"/>
      <c r="AC4176" s="18"/>
    </row>
    <row r="4177" spans="1:29" ht="32.25" hidden="1" customHeight="1">
      <c r="A4177" s="17"/>
      <c r="B4177" s="9" t="s">
        <v>13284</v>
      </c>
      <c r="C4177" s="9" t="s">
        <v>13284</v>
      </c>
      <c r="D4177" s="9" t="s">
        <v>13284</v>
      </c>
      <c r="E4177" s="9" t="s">
        <v>13284</v>
      </c>
      <c r="F4177" s="9" t="s">
        <v>13284</v>
      </c>
      <c r="G4177" s="9" t="s">
        <v>13284</v>
      </c>
      <c r="H4177" s="9" t="s">
        <v>13284</v>
      </c>
      <c r="I4177" s="9" t="s">
        <v>13284</v>
      </c>
      <c r="J4177" s="9" t="s">
        <v>13284</v>
      </c>
      <c r="K4177" s="9" t="s">
        <v>13284</v>
      </c>
      <c r="L4177" s="9" t="s">
        <v>13284</v>
      </c>
      <c r="M4177" s="9" t="s">
        <v>13284</v>
      </c>
      <c r="N4177" s="9" t="s">
        <v>13284</v>
      </c>
      <c r="O4177" s="9" t="s">
        <v>13284</v>
      </c>
      <c r="P4177" s="9" t="s">
        <v>13284</v>
      </c>
      <c r="Q4177" s="9" t="s">
        <v>13284</v>
      </c>
      <c r="R4177" s="9" t="s">
        <v>13284</v>
      </c>
      <c r="S4177" s="9" t="s">
        <v>13284</v>
      </c>
      <c r="T4177" s="9" t="str">
        <f ca="1">IFERROR(IF(AND(VLOOKUP(A4177, 'Актуальное состояние (из общего'!A:C,3,0) = "", A4177 &lt;&gt; ""), "ПРОВЕРИТЬ", VLOOKUP(A4177, 'Актуальное состояние (из общего'!A:C,3,0)), "")</f>
        <v/>
      </c>
      <c r="U4177" s="9" t="s">
        <v>13284</v>
      </c>
      <c r="V4177" s="9" t="s">
        <v>13284</v>
      </c>
      <c r="W4177" s="12"/>
      <c r="X4177" s="9" t="str">
        <f t="array" ref="X4177">IFERROR(INDEX('Адреса общежитий (скрытый)'!$B$2:$B$9, MATCH(W4177, 'Адреса общежитий (скрытый)'!$A$2:$A$9, 0)), "")</f>
        <v/>
      </c>
      <c r="Y4177" s="18"/>
      <c r="Z4177" s="18"/>
      <c r="AA4177" s="18"/>
      <c r="AB4177" s="18"/>
      <c r="AC4177" s="18"/>
    </row>
    <row r="4178" spans="1:29" ht="32.25" hidden="1" customHeight="1">
      <c r="A4178" s="17"/>
      <c r="B4178" s="9" t="s">
        <v>13284</v>
      </c>
      <c r="C4178" s="9" t="s">
        <v>13284</v>
      </c>
      <c r="D4178" s="9" t="s">
        <v>13284</v>
      </c>
      <c r="E4178" s="9" t="s">
        <v>13284</v>
      </c>
      <c r="F4178" s="9" t="s">
        <v>13284</v>
      </c>
      <c r="G4178" s="9" t="s">
        <v>13284</v>
      </c>
      <c r="H4178" s="9" t="s">
        <v>13284</v>
      </c>
      <c r="I4178" s="9" t="s">
        <v>13284</v>
      </c>
      <c r="J4178" s="9" t="s">
        <v>13284</v>
      </c>
      <c r="K4178" s="9" t="s">
        <v>13284</v>
      </c>
      <c r="L4178" s="9" t="s">
        <v>13284</v>
      </c>
      <c r="M4178" s="9" t="s">
        <v>13284</v>
      </c>
      <c r="N4178" s="9" t="s">
        <v>13284</v>
      </c>
      <c r="O4178" s="9" t="s">
        <v>13284</v>
      </c>
      <c r="P4178" s="9" t="s">
        <v>13284</v>
      </c>
      <c r="Q4178" s="9" t="s">
        <v>13284</v>
      </c>
      <c r="R4178" s="9" t="s">
        <v>13284</v>
      </c>
      <c r="S4178" s="9" t="s">
        <v>13284</v>
      </c>
      <c r="T4178" s="9" t="str">
        <f ca="1">IFERROR(IF(AND(VLOOKUP(A4178, 'Актуальное состояние (из общего'!A:C,3,0) = "", A4178 &lt;&gt; ""), "ПРОВЕРИТЬ", VLOOKUP(A4178, 'Актуальное состояние (из общего'!A:C,3,0)), "")</f>
        <v/>
      </c>
      <c r="U4178" s="9" t="s">
        <v>13284</v>
      </c>
      <c r="V4178" s="9" t="s">
        <v>13284</v>
      </c>
      <c r="W4178" s="12"/>
      <c r="X4178" s="9" t="str">
        <f t="array" ref="X4178">IFERROR(INDEX('Адреса общежитий (скрытый)'!$B$2:$B$9, MATCH(W4178, 'Адреса общежитий (скрытый)'!$A$2:$A$9, 0)), "")</f>
        <v/>
      </c>
      <c r="Y4178" s="18"/>
      <c r="Z4178" s="18"/>
      <c r="AA4178" s="18"/>
      <c r="AB4178" s="18"/>
      <c r="AC4178" s="18"/>
    </row>
    <row r="4179" spans="1:29" ht="32.25" hidden="1" customHeight="1">
      <c r="A4179" s="17"/>
      <c r="B4179" s="9" t="s">
        <v>13284</v>
      </c>
      <c r="C4179" s="9" t="s">
        <v>13284</v>
      </c>
      <c r="D4179" s="9" t="s">
        <v>13284</v>
      </c>
      <c r="E4179" s="9" t="s">
        <v>13284</v>
      </c>
      <c r="F4179" s="9" t="s">
        <v>13284</v>
      </c>
      <c r="G4179" s="9" t="s">
        <v>13284</v>
      </c>
      <c r="H4179" s="9" t="s">
        <v>13284</v>
      </c>
      <c r="I4179" s="9" t="s">
        <v>13284</v>
      </c>
      <c r="J4179" s="9" t="s">
        <v>13284</v>
      </c>
      <c r="K4179" s="9" t="s">
        <v>13284</v>
      </c>
      <c r="L4179" s="9" t="s">
        <v>13284</v>
      </c>
      <c r="M4179" s="9" t="s">
        <v>13284</v>
      </c>
      <c r="N4179" s="9" t="s">
        <v>13284</v>
      </c>
      <c r="O4179" s="9" t="s">
        <v>13284</v>
      </c>
      <c r="P4179" s="9" t="s">
        <v>13284</v>
      </c>
      <c r="Q4179" s="9" t="s">
        <v>13284</v>
      </c>
      <c r="R4179" s="9" t="s">
        <v>13284</v>
      </c>
      <c r="S4179" s="9" t="s">
        <v>13284</v>
      </c>
      <c r="T4179" s="9" t="str">
        <f ca="1">IFERROR(IF(AND(VLOOKUP(A4179, 'Актуальное состояние (из общего'!A:C,3,0) = "", A4179 &lt;&gt; ""), "ПРОВЕРИТЬ", VLOOKUP(A4179, 'Актуальное состояние (из общего'!A:C,3,0)), "")</f>
        <v/>
      </c>
      <c r="U4179" s="9" t="s">
        <v>13284</v>
      </c>
      <c r="V4179" s="9" t="s">
        <v>13284</v>
      </c>
      <c r="W4179" s="12"/>
      <c r="X4179" s="9" t="str">
        <f t="array" ref="X4179">IFERROR(INDEX('Адреса общежитий (скрытый)'!$B$2:$B$9, MATCH(W4179, 'Адреса общежитий (скрытый)'!$A$2:$A$9, 0)), "")</f>
        <v/>
      </c>
      <c r="Y4179" s="18"/>
      <c r="Z4179" s="18"/>
      <c r="AA4179" s="18"/>
      <c r="AB4179" s="18"/>
      <c r="AC4179" s="18"/>
    </row>
    <row r="4180" spans="1:29" ht="32.25" hidden="1" customHeight="1">
      <c r="A4180" s="17"/>
      <c r="B4180" s="9" t="s">
        <v>13284</v>
      </c>
      <c r="C4180" s="9" t="s">
        <v>13284</v>
      </c>
      <c r="D4180" s="9" t="s">
        <v>13284</v>
      </c>
      <c r="E4180" s="9" t="s">
        <v>13284</v>
      </c>
      <c r="F4180" s="9" t="s">
        <v>13284</v>
      </c>
      <c r="G4180" s="9" t="s">
        <v>13284</v>
      </c>
      <c r="H4180" s="9" t="s">
        <v>13284</v>
      </c>
      <c r="I4180" s="9" t="s">
        <v>13284</v>
      </c>
      <c r="J4180" s="9" t="s">
        <v>13284</v>
      </c>
      <c r="K4180" s="9" t="s">
        <v>13284</v>
      </c>
      <c r="L4180" s="9" t="s">
        <v>13284</v>
      </c>
      <c r="M4180" s="9" t="s">
        <v>13284</v>
      </c>
      <c r="N4180" s="9" t="s">
        <v>13284</v>
      </c>
      <c r="O4180" s="9" t="s">
        <v>13284</v>
      </c>
      <c r="P4180" s="9" t="s">
        <v>13284</v>
      </c>
      <c r="Q4180" s="9" t="s">
        <v>13284</v>
      </c>
      <c r="R4180" s="9" t="s">
        <v>13284</v>
      </c>
      <c r="S4180" s="9" t="s">
        <v>13284</v>
      </c>
      <c r="T4180" s="9" t="str">
        <f ca="1">IFERROR(IF(AND(VLOOKUP(A4180, 'Актуальное состояние (из общего'!A:C,3,0) = "", A4180 &lt;&gt; ""), "ПРОВЕРИТЬ", VLOOKUP(A4180, 'Актуальное состояние (из общего'!A:C,3,0)), "")</f>
        <v/>
      </c>
      <c r="U4180" s="9" t="s">
        <v>13284</v>
      </c>
      <c r="V4180" s="9" t="s">
        <v>13284</v>
      </c>
      <c r="W4180" s="12"/>
      <c r="X4180" s="9" t="str">
        <f t="array" ref="X4180">IFERROR(INDEX('Адреса общежитий (скрытый)'!$B$2:$B$9, MATCH(W4180, 'Адреса общежитий (скрытый)'!$A$2:$A$9, 0)), "")</f>
        <v/>
      </c>
      <c r="Y4180" s="18"/>
      <c r="Z4180" s="18"/>
      <c r="AA4180" s="18"/>
      <c r="AB4180" s="18"/>
      <c r="AC4180" s="18"/>
    </row>
    <row r="4181" spans="1:29" ht="32.25" hidden="1" customHeight="1">
      <c r="A4181" s="17"/>
      <c r="B4181" s="9" t="s">
        <v>13284</v>
      </c>
      <c r="C4181" s="9" t="s">
        <v>13284</v>
      </c>
      <c r="D4181" s="9" t="s">
        <v>13284</v>
      </c>
      <c r="E4181" s="9" t="s">
        <v>13284</v>
      </c>
      <c r="F4181" s="9" t="s">
        <v>13284</v>
      </c>
      <c r="G4181" s="9" t="s">
        <v>13284</v>
      </c>
      <c r="H4181" s="9" t="s">
        <v>13284</v>
      </c>
      <c r="I4181" s="9" t="s">
        <v>13284</v>
      </c>
      <c r="J4181" s="9" t="s">
        <v>13284</v>
      </c>
      <c r="K4181" s="9" t="s">
        <v>13284</v>
      </c>
      <c r="L4181" s="9" t="s">
        <v>13284</v>
      </c>
      <c r="M4181" s="9" t="s">
        <v>13284</v>
      </c>
      <c r="N4181" s="9" t="s">
        <v>13284</v>
      </c>
      <c r="O4181" s="9" t="s">
        <v>13284</v>
      </c>
      <c r="P4181" s="9" t="s">
        <v>13284</v>
      </c>
      <c r="Q4181" s="9" t="s">
        <v>13284</v>
      </c>
      <c r="R4181" s="9" t="s">
        <v>13284</v>
      </c>
      <c r="S4181" s="9" t="s">
        <v>13284</v>
      </c>
      <c r="T4181" s="9" t="str">
        <f ca="1">IFERROR(IF(AND(VLOOKUP(A4181, 'Актуальное состояние (из общего'!A:C,3,0) = "", A4181 &lt;&gt; ""), "ПРОВЕРИТЬ", VLOOKUP(A4181, 'Актуальное состояние (из общего'!A:C,3,0)), "")</f>
        <v/>
      </c>
      <c r="U4181" s="9" t="s">
        <v>13284</v>
      </c>
      <c r="V4181" s="9" t="s">
        <v>13284</v>
      </c>
      <c r="W4181" s="12"/>
      <c r="X4181" s="9" t="str">
        <f t="array" ref="X4181">IFERROR(INDEX('Адреса общежитий (скрытый)'!$B$2:$B$9, MATCH(W4181, 'Адреса общежитий (скрытый)'!$A$2:$A$9, 0)), "")</f>
        <v/>
      </c>
      <c r="Y4181" s="18"/>
      <c r="Z4181" s="18"/>
      <c r="AA4181" s="18"/>
      <c r="AB4181" s="18"/>
      <c r="AC4181" s="18"/>
    </row>
    <row r="4182" spans="1:29" ht="32.25" hidden="1" customHeight="1">
      <c r="A4182" s="17"/>
      <c r="B4182" s="9" t="s">
        <v>13284</v>
      </c>
      <c r="C4182" s="9" t="s">
        <v>13284</v>
      </c>
      <c r="D4182" s="9" t="s">
        <v>13284</v>
      </c>
      <c r="E4182" s="9" t="s">
        <v>13284</v>
      </c>
      <c r="F4182" s="9" t="s">
        <v>13284</v>
      </c>
      <c r="G4182" s="9" t="s">
        <v>13284</v>
      </c>
      <c r="H4182" s="9" t="s">
        <v>13284</v>
      </c>
      <c r="I4182" s="9" t="s">
        <v>13284</v>
      </c>
      <c r="J4182" s="9" t="s">
        <v>13284</v>
      </c>
      <c r="K4182" s="9" t="s">
        <v>13284</v>
      </c>
      <c r="L4182" s="9" t="s">
        <v>13284</v>
      </c>
      <c r="M4182" s="9" t="s">
        <v>13284</v>
      </c>
      <c r="N4182" s="9" t="s">
        <v>13284</v>
      </c>
      <c r="O4182" s="9" t="s">
        <v>13284</v>
      </c>
      <c r="P4182" s="9" t="s">
        <v>13284</v>
      </c>
      <c r="Q4182" s="9" t="s">
        <v>13284</v>
      </c>
      <c r="R4182" s="9" t="s">
        <v>13284</v>
      </c>
      <c r="S4182" s="9" t="s">
        <v>13284</v>
      </c>
      <c r="T4182" s="9" t="str">
        <f ca="1">IFERROR(IF(AND(VLOOKUP(A4182, 'Актуальное состояние (из общего'!A:C,3,0) = "", A4182 &lt;&gt; ""), "ПРОВЕРИТЬ", VLOOKUP(A4182, 'Актуальное состояние (из общего'!A:C,3,0)), "")</f>
        <v/>
      </c>
      <c r="U4182" s="9" t="s">
        <v>13284</v>
      </c>
      <c r="V4182" s="9" t="s">
        <v>13284</v>
      </c>
      <c r="W4182" s="12"/>
      <c r="X4182" s="9" t="str">
        <f t="array" ref="X4182">IFERROR(INDEX('Адреса общежитий (скрытый)'!$B$2:$B$9, MATCH(W4182, 'Адреса общежитий (скрытый)'!$A$2:$A$9, 0)), "")</f>
        <v/>
      </c>
      <c r="Y4182" s="18"/>
      <c r="Z4182" s="18"/>
      <c r="AA4182" s="18"/>
      <c r="AB4182" s="18"/>
      <c r="AC4182" s="18"/>
    </row>
    <row r="4183" spans="1:29" ht="32.25" hidden="1" customHeight="1">
      <c r="A4183" s="17"/>
      <c r="B4183" s="9" t="s">
        <v>13284</v>
      </c>
      <c r="C4183" s="9" t="s">
        <v>13284</v>
      </c>
      <c r="D4183" s="9" t="s">
        <v>13284</v>
      </c>
      <c r="E4183" s="9" t="s">
        <v>13284</v>
      </c>
      <c r="F4183" s="9" t="s">
        <v>13284</v>
      </c>
      <c r="G4183" s="9" t="s">
        <v>13284</v>
      </c>
      <c r="H4183" s="9" t="s">
        <v>13284</v>
      </c>
      <c r="I4183" s="9" t="s">
        <v>13284</v>
      </c>
      <c r="J4183" s="9" t="s">
        <v>13284</v>
      </c>
      <c r="K4183" s="9" t="s">
        <v>13284</v>
      </c>
      <c r="L4183" s="9" t="s">
        <v>13284</v>
      </c>
      <c r="M4183" s="9" t="s">
        <v>13284</v>
      </c>
      <c r="N4183" s="9" t="s">
        <v>13284</v>
      </c>
      <c r="O4183" s="9" t="s">
        <v>13284</v>
      </c>
      <c r="P4183" s="9" t="s">
        <v>13284</v>
      </c>
      <c r="Q4183" s="9" t="s">
        <v>13284</v>
      </c>
      <c r="R4183" s="9" t="s">
        <v>13284</v>
      </c>
      <c r="S4183" s="9" t="s">
        <v>13284</v>
      </c>
      <c r="T4183" s="9" t="str">
        <f ca="1">IFERROR(IF(AND(VLOOKUP(A4183, 'Актуальное состояние (из общего'!A:C,3,0) = "", A4183 &lt;&gt; ""), "ПРОВЕРИТЬ", VLOOKUP(A4183, 'Актуальное состояние (из общего'!A:C,3,0)), "")</f>
        <v/>
      </c>
      <c r="U4183" s="9" t="s">
        <v>13284</v>
      </c>
      <c r="V4183" s="9" t="s">
        <v>13284</v>
      </c>
      <c r="W4183" s="12"/>
      <c r="X4183" s="9" t="str">
        <f t="array" ref="X4183">IFERROR(INDEX('Адреса общежитий (скрытый)'!$B$2:$B$9, MATCH(W4183, 'Адреса общежитий (скрытый)'!$A$2:$A$9, 0)), "")</f>
        <v/>
      </c>
      <c r="Y4183" s="18"/>
      <c r="Z4183" s="18"/>
      <c r="AA4183" s="18"/>
      <c r="AB4183" s="18"/>
      <c r="AC4183" s="18"/>
    </row>
    <row r="4184" spans="1:29" ht="32.25" hidden="1" customHeight="1">
      <c r="A4184" s="17"/>
      <c r="B4184" s="9" t="s">
        <v>13284</v>
      </c>
      <c r="C4184" s="9" t="s">
        <v>13284</v>
      </c>
      <c r="D4184" s="9" t="s">
        <v>13284</v>
      </c>
      <c r="E4184" s="9" t="s">
        <v>13284</v>
      </c>
      <c r="F4184" s="9" t="s">
        <v>13284</v>
      </c>
      <c r="G4184" s="9" t="s">
        <v>13284</v>
      </c>
      <c r="H4184" s="9" t="s">
        <v>13284</v>
      </c>
      <c r="I4184" s="9" t="s">
        <v>13284</v>
      </c>
      <c r="J4184" s="9" t="s">
        <v>13284</v>
      </c>
      <c r="K4184" s="9" t="s">
        <v>13284</v>
      </c>
      <c r="L4184" s="9" t="s">
        <v>13284</v>
      </c>
      <c r="M4184" s="9" t="s">
        <v>13284</v>
      </c>
      <c r="N4184" s="9" t="s">
        <v>13284</v>
      </c>
      <c r="O4184" s="9" t="s">
        <v>13284</v>
      </c>
      <c r="P4184" s="9" t="s">
        <v>13284</v>
      </c>
      <c r="Q4184" s="9" t="s">
        <v>13284</v>
      </c>
      <c r="R4184" s="9" t="s">
        <v>13284</v>
      </c>
      <c r="S4184" s="9" t="s">
        <v>13284</v>
      </c>
      <c r="T4184" s="9" t="str">
        <f ca="1">IFERROR(IF(AND(VLOOKUP(A4184, 'Актуальное состояние (из общего'!A:C,3,0) = "", A4184 &lt;&gt; ""), "ПРОВЕРИТЬ", VLOOKUP(A4184, 'Актуальное состояние (из общего'!A:C,3,0)), "")</f>
        <v/>
      </c>
      <c r="U4184" s="9" t="s">
        <v>13284</v>
      </c>
      <c r="V4184" s="9" t="s">
        <v>13284</v>
      </c>
      <c r="W4184" s="12"/>
      <c r="X4184" s="9" t="str">
        <f t="array" ref="X4184">IFERROR(INDEX('Адреса общежитий (скрытый)'!$B$2:$B$9, MATCH(W4184, 'Адреса общежитий (скрытый)'!$A$2:$A$9, 0)), "")</f>
        <v/>
      </c>
      <c r="Y4184" s="18"/>
      <c r="Z4184" s="18"/>
      <c r="AA4184" s="18"/>
      <c r="AB4184" s="18"/>
      <c r="AC4184" s="18"/>
    </row>
    <row r="4185" spans="1:29" ht="32.25" hidden="1" customHeight="1">
      <c r="A4185" s="17"/>
      <c r="B4185" s="9" t="s">
        <v>13284</v>
      </c>
      <c r="C4185" s="9" t="s">
        <v>13284</v>
      </c>
      <c r="D4185" s="9" t="s">
        <v>13284</v>
      </c>
      <c r="E4185" s="9" t="s">
        <v>13284</v>
      </c>
      <c r="F4185" s="9" t="s">
        <v>13284</v>
      </c>
      <c r="G4185" s="9" t="s">
        <v>13284</v>
      </c>
      <c r="H4185" s="9" t="s">
        <v>13284</v>
      </c>
      <c r="I4185" s="9" t="s">
        <v>13284</v>
      </c>
      <c r="J4185" s="9" t="s">
        <v>13284</v>
      </c>
      <c r="K4185" s="9" t="s">
        <v>13284</v>
      </c>
      <c r="L4185" s="9" t="s">
        <v>13284</v>
      </c>
      <c r="M4185" s="9" t="s">
        <v>13284</v>
      </c>
      <c r="N4185" s="9" t="s">
        <v>13284</v>
      </c>
      <c r="O4185" s="9" t="s">
        <v>13284</v>
      </c>
      <c r="P4185" s="9" t="s">
        <v>13284</v>
      </c>
      <c r="Q4185" s="9" t="s">
        <v>13284</v>
      </c>
      <c r="R4185" s="9" t="s">
        <v>13284</v>
      </c>
      <c r="S4185" s="9" t="s">
        <v>13284</v>
      </c>
      <c r="T4185" s="9" t="str">
        <f ca="1">IFERROR(IF(AND(VLOOKUP(A4185, 'Актуальное состояние (из общего'!A:C,3,0) = "", A4185 &lt;&gt; ""), "ПРОВЕРИТЬ", VLOOKUP(A4185, 'Актуальное состояние (из общего'!A:C,3,0)), "")</f>
        <v/>
      </c>
      <c r="U4185" s="9" t="s">
        <v>13284</v>
      </c>
      <c r="V4185" s="9" t="s">
        <v>13284</v>
      </c>
      <c r="W4185" s="12"/>
      <c r="X4185" s="9" t="str">
        <f t="array" ref="X4185">IFERROR(INDEX('Адреса общежитий (скрытый)'!$B$2:$B$9, MATCH(W4185, 'Адреса общежитий (скрытый)'!$A$2:$A$9, 0)), "")</f>
        <v/>
      </c>
      <c r="Y4185" s="18"/>
      <c r="Z4185" s="18"/>
      <c r="AA4185" s="18"/>
      <c r="AB4185" s="18"/>
      <c r="AC4185" s="18"/>
    </row>
    <row r="4186" spans="1:29" ht="32.25" hidden="1" customHeight="1">
      <c r="A4186" s="17"/>
      <c r="B4186" s="9" t="s">
        <v>13284</v>
      </c>
      <c r="C4186" s="9" t="s">
        <v>13284</v>
      </c>
      <c r="D4186" s="9" t="s">
        <v>13284</v>
      </c>
      <c r="E4186" s="9" t="s">
        <v>13284</v>
      </c>
      <c r="F4186" s="9" t="s">
        <v>13284</v>
      </c>
      <c r="G4186" s="9" t="s">
        <v>13284</v>
      </c>
      <c r="H4186" s="9" t="s">
        <v>13284</v>
      </c>
      <c r="I4186" s="9" t="s">
        <v>13284</v>
      </c>
      <c r="J4186" s="9" t="s">
        <v>13284</v>
      </c>
      <c r="K4186" s="9" t="s">
        <v>13284</v>
      </c>
      <c r="L4186" s="9" t="s">
        <v>13284</v>
      </c>
      <c r="M4186" s="9" t="s">
        <v>13284</v>
      </c>
      <c r="N4186" s="9" t="s">
        <v>13284</v>
      </c>
      <c r="O4186" s="9" t="s">
        <v>13284</v>
      </c>
      <c r="P4186" s="9" t="s">
        <v>13284</v>
      </c>
      <c r="Q4186" s="9" t="s">
        <v>13284</v>
      </c>
      <c r="R4186" s="9" t="s">
        <v>13284</v>
      </c>
      <c r="S4186" s="9" t="s">
        <v>13284</v>
      </c>
      <c r="T4186" s="9" t="str">
        <f ca="1">IFERROR(IF(AND(VLOOKUP(A4186, 'Актуальное состояние (из общего'!A:C,3,0) = "", A4186 &lt;&gt; ""), "ПРОВЕРИТЬ", VLOOKUP(A4186, 'Актуальное состояние (из общего'!A:C,3,0)), "")</f>
        <v/>
      </c>
      <c r="U4186" s="9" t="s">
        <v>13284</v>
      </c>
      <c r="V4186" s="9" t="s">
        <v>13284</v>
      </c>
      <c r="W4186" s="12"/>
      <c r="X4186" s="9" t="str">
        <f t="array" ref="X4186">IFERROR(INDEX('Адреса общежитий (скрытый)'!$B$2:$B$9, MATCH(W4186, 'Адреса общежитий (скрытый)'!$A$2:$A$9, 0)), "")</f>
        <v/>
      </c>
      <c r="Y4186" s="18"/>
      <c r="Z4186" s="18"/>
      <c r="AA4186" s="18"/>
      <c r="AB4186" s="18"/>
      <c r="AC4186" s="18"/>
    </row>
    <row r="4187" spans="1:29" ht="32.25" hidden="1" customHeight="1">
      <c r="A4187" s="17"/>
      <c r="B4187" s="9" t="s">
        <v>13284</v>
      </c>
      <c r="C4187" s="9" t="s">
        <v>13284</v>
      </c>
      <c r="D4187" s="9" t="s">
        <v>13284</v>
      </c>
      <c r="E4187" s="9" t="s">
        <v>13284</v>
      </c>
      <c r="F4187" s="9" t="s">
        <v>13284</v>
      </c>
      <c r="G4187" s="9" t="s">
        <v>13284</v>
      </c>
      <c r="H4187" s="9" t="s">
        <v>13284</v>
      </c>
      <c r="I4187" s="9" t="s">
        <v>13284</v>
      </c>
      <c r="J4187" s="9" t="s">
        <v>13284</v>
      </c>
      <c r="K4187" s="9" t="s">
        <v>13284</v>
      </c>
      <c r="L4187" s="9" t="s">
        <v>13284</v>
      </c>
      <c r="M4187" s="9" t="s">
        <v>13284</v>
      </c>
      <c r="N4187" s="9" t="s">
        <v>13284</v>
      </c>
      <c r="O4187" s="9" t="s">
        <v>13284</v>
      </c>
      <c r="P4187" s="9" t="s">
        <v>13284</v>
      </c>
      <c r="Q4187" s="9" t="s">
        <v>13284</v>
      </c>
      <c r="R4187" s="9" t="s">
        <v>13284</v>
      </c>
      <c r="S4187" s="9" t="s">
        <v>13284</v>
      </c>
      <c r="T4187" s="9" t="str">
        <f ca="1">IFERROR(IF(AND(VLOOKUP(A4187, 'Актуальное состояние (из общего'!A:C,3,0) = "", A4187 &lt;&gt; ""), "ПРОВЕРИТЬ", VLOOKUP(A4187, 'Актуальное состояние (из общего'!A:C,3,0)), "")</f>
        <v/>
      </c>
      <c r="U4187" s="9" t="s">
        <v>13284</v>
      </c>
      <c r="V4187" s="9" t="s">
        <v>13284</v>
      </c>
      <c r="W4187" s="12"/>
      <c r="X4187" s="9" t="str">
        <f t="array" ref="X4187">IFERROR(INDEX('Адреса общежитий (скрытый)'!$B$2:$B$9, MATCH(W4187, 'Адреса общежитий (скрытый)'!$A$2:$A$9, 0)), "")</f>
        <v/>
      </c>
      <c r="Y4187" s="18"/>
      <c r="Z4187" s="18"/>
      <c r="AA4187" s="18"/>
      <c r="AB4187" s="18"/>
      <c r="AC4187" s="18"/>
    </row>
    <row r="4188" spans="1:29" ht="32.25" hidden="1" customHeight="1">
      <c r="A4188" s="17"/>
      <c r="B4188" s="9" t="s">
        <v>13284</v>
      </c>
      <c r="C4188" s="9" t="s">
        <v>13284</v>
      </c>
      <c r="D4188" s="9" t="s">
        <v>13284</v>
      </c>
      <c r="E4188" s="9" t="s">
        <v>13284</v>
      </c>
      <c r="F4188" s="9" t="s">
        <v>13284</v>
      </c>
      <c r="G4188" s="9" t="s">
        <v>13284</v>
      </c>
      <c r="H4188" s="9" t="s">
        <v>13284</v>
      </c>
      <c r="I4188" s="9" t="s">
        <v>13284</v>
      </c>
      <c r="J4188" s="9" t="s">
        <v>13284</v>
      </c>
      <c r="K4188" s="9" t="s">
        <v>13284</v>
      </c>
      <c r="L4188" s="9" t="s">
        <v>13284</v>
      </c>
      <c r="M4188" s="9" t="s">
        <v>13284</v>
      </c>
      <c r="N4188" s="9" t="s">
        <v>13284</v>
      </c>
      <c r="O4188" s="9" t="s">
        <v>13284</v>
      </c>
      <c r="P4188" s="9" t="s">
        <v>13284</v>
      </c>
      <c r="Q4188" s="9" t="s">
        <v>13284</v>
      </c>
      <c r="R4188" s="9" t="s">
        <v>13284</v>
      </c>
      <c r="S4188" s="9" t="s">
        <v>13284</v>
      </c>
      <c r="T4188" s="9" t="str">
        <f ca="1">IFERROR(IF(AND(VLOOKUP(A4188, 'Актуальное состояние (из общего'!A:C,3,0) = "", A4188 &lt;&gt; ""), "ПРОВЕРИТЬ", VLOOKUP(A4188, 'Актуальное состояние (из общего'!A:C,3,0)), "")</f>
        <v/>
      </c>
      <c r="U4188" s="9" t="s">
        <v>13284</v>
      </c>
      <c r="V4188" s="9" t="s">
        <v>13284</v>
      </c>
      <c r="W4188" s="12"/>
      <c r="X4188" s="9" t="str">
        <f t="array" ref="X4188">IFERROR(INDEX('Адреса общежитий (скрытый)'!$B$2:$B$9, MATCH(W4188, 'Адреса общежитий (скрытый)'!$A$2:$A$9, 0)), "")</f>
        <v/>
      </c>
      <c r="Y4188" s="18"/>
      <c r="Z4188" s="18"/>
      <c r="AA4188" s="18"/>
      <c r="AB4188" s="18"/>
      <c r="AC4188" s="18"/>
    </row>
    <row r="4189" spans="1:29" ht="32.25" hidden="1" customHeight="1">
      <c r="A4189" s="17"/>
      <c r="B4189" s="9" t="s">
        <v>13284</v>
      </c>
      <c r="C4189" s="9" t="s">
        <v>13284</v>
      </c>
      <c r="D4189" s="9" t="s">
        <v>13284</v>
      </c>
      <c r="E4189" s="9" t="s">
        <v>13284</v>
      </c>
      <c r="F4189" s="9" t="s">
        <v>13284</v>
      </c>
      <c r="G4189" s="9" t="s">
        <v>13284</v>
      </c>
      <c r="H4189" s="9" t="s">
        <v>13284</v>
      </c>
      <c r="I4189" s="9" t="s">
        <v>13284</v>
      </c>
      <c r="J4189" s="9" t="s">
        <v>13284</v>
      </c>
      <c r="K4189" s="9" t="s">
        <v>13284</v>
      </c>
      <c r="L4189" s="9" t="s">
        <v>13284</v>
      </c>
      <c r="M4189" s="9" t="s">
        <v>13284</v>
      </c>
      <c r="N4189" s="9" t="s">
        <v>13284</v>
      </c>
      <c r="O4189" s="9" t="s">
        <v>13284</v>
      </c>
      <c r="P4189" s="9" t="s">
        <v>13284</v>
      </c>
      <c r="Q4189" s="9" t="s">
        <v>13284</v>
      </c>
      <c r="R4189" s="9" t="s">
        <v>13284</v>
      </c>
      <c r="S4189" s="9" t="s">
        <v>13284</v>
      </c>
      <c r="T4189" s="9" t="str">
        <f ca="1">IFERROR(IF(AND(VLOOKUP(A4189, 'Актуальное состояние (из общего'!A:C,3,0) = "", A4189 &lt;&gt; ""), "ПРОВЕРИТЬ", VLOOKUP(A4189, 'Актуальное состояние (из общего'!A:C,3,0)), "")</f>
        <v/>
      </c>
      <c r="U4189" s="9" t="s">
        <v>13284</v>
      </c>
      <c r="V4189" s="9" t="s">
        <v>13284</v>
      </c>
      <c r="W4189" s="12"/>
      <c r="X4189" s="9" t="str">
        <f t="array" ref="X4189">IFERROR(INDEX('Адреса общежитий (скрытый)'!$B$2:$B$9, MATCH(W4189, 'Адреса общежитий (скрытый)'!$A$2:$A$9, 0)), "")</f>
        <v/>
      </c>
      <c r="Y4189" s="18"/>
      <c r="Z4189" s="18"/>
      <c r="AA4189" s="18"/>
      <c r="AB4189" s="18"/>
      <c r="AC4189" s="18"/>
    </row>
    <row r="4190" spans="1:29" ht="32.25" hidden="1" customHeight="1">
      <c r="A4190" s="17"/>
      <c r="B4190" s="9" t="s">
        <v>13284</v>
      </c>
      <c r="C4190" s="9" t="s">
        <v>13284</v>
      </c>
      <c r="D4190" s="9" t="s">
        <v>13284</v>
      </c>
      <c r="E4190" s="9" t="s">
        <v>13284</v>
      </c>
      <c r="F4190" s="9" t="s">
        <v>13284</v>
      </c>
      <c r="G4190" s="9" t="s">
        <v>13284</v>
      </c>
      <c r="H4190" s="9" t="s">
        <v>13284</v>
      </c>
      <c r="I4190" s="9" t="s">
        <v>13284</v>
      </c>
      <c r="J4190" s="9" t="s">
        <v>13284</v>
      </c>
      <c r="K4190" s="9" t="s">
        <v>13284</v>
      </c>
      <c r="L4190" s="9" t="s">
        <v>13284</v>
      </c>
      <c r="M4190" s="9" t="s">
        <v>13284</v>
      </c>
      <c r="N4190" s="9" t="s">
        <v>13284</v>
      </c>
      <c r="O4190" s="9" t="s">
        <v>13284</v>
      </c>
      <c r="P4190" s="9" t="s">
        <v>13284</v>
      </c>
      <c r="Q4190" s="9" t="s">
        <v>13284</v>
      </c>
      <c r="R4190" s="9" t="s">
        <v>13284</v>
      </c>
      <c r="S4190" s="9" t="s">
        <v>13284</v>
      </c>
      <c r="T4190" s="9" t="str">
        <f ca="1">IFERROR(IF(AND(VLOOKUP(A4190, 'Актуальное состояние (из общего'!A:C,3,0) = "", A4190 &lt;&gt; ""), "ПРОВЕРИТЬ", VLOOKUP(A4190, 'Актуальное состояние (из общего'!A:C,3,0)), "")</f>
        <v/>
      </c>
      <c r="U4190" s="9" t="s">
        <v>13284</v>
      </c>
      <c r="V4190" s="9" t="s">
        <v>13284</v>
      </c>
      <c r="W4190" s="12"/>
      <c r="X4190" s="9" t="str">
        <f t="array" ref="X4190">IFERROR(INDEX('Адреса общежитий (скрытый)'!$B$2:$B$9, MATCH(W4190, 'Адреса общежитий (скрытый)'!$A$2:$A$9, 0)), "")</f>
        <v/>
      </c>
      <c r="Y4190" s="18"/>
      <c r="Z4190" s="18"/>
      <c r="AA4190" s="18"/>
      <c r="AB4190" s="18"/>
      <c r="AC4190" s="18"/>
    </row>
    <row r="4191" spans="1:29" ht="32.25" hidden="1" customHeight="1">
      <c r="A4191" s="17"/>
      <c r="B4191" s="9" t="s">
        <v>13284</v>
      </c>
      <c r="C4191" s="9" t="s">
        <v>13284</v>
      </c>
      <c r="D4191" s="9" t="s">
        <v>13284</v>
      </c>
      <c r="E4191" s="9" t="s">
        <v>13284</v>
      </c>
      <c r="F4191" s="9" t="s">
        <v>13284</v>
      </c>
      <c r="G4191" s="9" t="s">
        <v>13284</v>
      </c>
      <c r="H4191" s="9" t="s">
        <v>13284</v>
      </c>
      <c r="I4191" s="9" t="s">
        <v>13284</v>
      </c>
      <c r="J4191" s="9" t="s">
        <v>13284</v>
      </c>
      <c r="K4191" s="9" t="s">
        <v>13284</v>
      </c>
      <c r="L4191" s="9" t="s">
        <v>13284</v>
      </c>
      <c r="M4191" s="9" t="s">
        <v>13284</v>
      </c>
      <c r="N4191" s="9" t="s">
        <v>13284</v>
      </c>
      <c r="O4191" s="9" t="s">
        <v>13284</v>
      </c>
      <c r="P4191" s="9" t="s">
        <v>13284</v>
      </c>
      <c r="Q4191" s="9" t="s">
        <v>13284</v>
      </c>
      <c r="R4191" s="9" t="s">
        <v>13284</v>
      </c>
      <c r="S4191" s="9" t="s">
        <v>13284</v>
      </c>
      <c r="T4191" s="9" t="str">
        <f ca="1">IFERROR(IF(AND(VLOOKUP(A4191, 'Актуальное состояние (из общего'!A:C,3,0) = "", A4191 &lt;&gt; ""), "ПРОВЕРИТЬ", VLOOKUP(A4191, 'Актуальное состояние (из общего'!A:C,3,0)), "")</f>
        <v/>
      </c>
      <c r="U4191" s="9" t="s">
        <v>13284</v>
      </c>
      <c r="V4191" s="9" t="s">
        <v>13284</v>
      </c>
      <c r="W4191" s="12"/>
      <c r="X4191" s="9" t="str">
        <f t="array" ref="X4191">IFERROR(INDEX('Адреса общежитий (скрытый)'!$B$2:$B$9, MATCH(W4191, 'Адреса общежитий (скрытый)'!$A$2:$A$9, 0)), "")</f>
        <v/>
      </c>
      <c r="Y4191" s="18"/>
      <c r="Z4191" s="18"/>
      <c r="AA4191" s="18"/>
      <c r="AB4191" s="18"/>
      <c r="AC4191" s="18"/>
    </row>
    <row r="4192" spans="1:29" ht="32.25" hidden="1" customHeight="1">
      <c r="A4192" s="17"/>
      <c r="B4192" s="9" t="s">
        <v>13284</v>
      </c>
      <c r="C4192" s="9" t="s">
        <v>13284</v>
      </c>
      <c r="D4192" s="9" t="s">
        <v>13284</v>
      </c>
      <c r="E4192" s="9" t="s">
        <v>13284</v>
      </c>
      <c r="F4192" s="9" t="s">
        <v>13284</v>
      </c>
      <c r="G4192" s="9" t="s">
        <v>13284</v>
      </c>
      <c r="H4192" s="9" t="s">
        <v>13284</v>
      </c>
      <c r="I4192" s="9" t="s">
        <v>13284</v>
      </c>
      <c r="J4192" s="9" t="s">
        <v>13284</v>
      </c>
      <c r="K4192" s="9" t="s">
        <v>13284</v>
      </c>
      <c r="L4192" s="9" t="s">
        <v>13284</v>
      </c>
      <c r="M4192" s="9" t="s">
        <v>13284</v>
      </c>
      <c r="N4192" s="9" t="s">
        <v>13284</v>
      </c>
      <c r="O4192" s="9" t="s">
        <v>13284</v>
      </c>
      <c r="P4192" s="9" t="s">
        <v>13284</v>
      </c>
      <c r="Q4192" s="9" t="s">
        <v>13284</v>
      </c>
      <c r="R4192" s="9" t="s">
        <v>13284</v>
      </c>
      <c r="S4192" s="9" t="s">
        <v>13284</v>
      </c>
      <c r="T4192" s="9" t="str">
        <f ca="1">IFERROR(IF(AND(VLOOKUP(A4192, 'Актуальное состояние (из общего'!A:C,3,0) = "", A4192 &lt;&gt; ""), "ПРОВЕРИТЬ", VLOOKUP(A4192, 'Актуальное состояние (из общего'!A:C,3,0)), "")</f>
        <v/>
      </c>
      <c r="U4192" s="9" t="s">
        <v>13284</v>
      </c>
      <c r="V4192" s="9" t="s">
        <v>13284</v>
      </c>
      <c r="W4192" s="12"/>
      <c r="X4192" s="9" t="str">
        <f t="array" ref="X4192">IFERROR(INDEX('Адреса общежитий (скрытый)'!$B$2:$B$9, MATCH(W4192, 'Адреса общежитий (скрытый)'!$A$2:$A$9, 0)), "")</f>
        <v/>
      </c>
      <c r="Y4192" s="18"/>
      <c r="Z4192" s="18"/>
      <c r="AA4192" s="18"/>
      <c r="AB4192" s="18"/>
      <c r="AC4192" s="18"/>
    </row>
    <row r="4193" spans="1:29" ht="32.25" hidden="1" customHeight="1">
      <c r="A4193" s="17"/>
      <c r="B4193" s="9" t="s">
        <v>13284</v>
      </c>
      <c r="C4193" s="9" t="s">
        <v>13284</v>
      </c>
      <c r="D4193" s="9" t="s">
        <v>13284</v>
      </c>
      <c r="E4193" s="9" t="s">
        <v>13284</v>
      </c>
      <c r="F4193" s="9" t="s">
        <v>13284</v>
      </c>
      <c r="G4193" s="9" t="s">
        <v>13284</v>
      </c>
      <c r="H4193" s="9" t="s">
        <v>13284</v>
      </c>
      <c r="I4193" s="9" t="s">
        <v>13284</v>
      </c>
      <c r="J4193" s="9" t="s">
        <v>13284</v>
      </c>
      <c r="K4193" s="9" t="s">
        <v>13284</v>
      </c>
      <c r="L4193" s="9" t="s">
        <v>13284</v>
      </c>
      <c r="M4193" s="9" t="s">
        <v>13284</v>
      </c>
      <c r="N4193" s="9" t="s">
        <v>13284</v>
      </c>
      <c r="O4193" s="9" t="s">
        <v>13284</v>
      </c>
      <c r="P4193" s="9" t="s">
        <v>13284</v>
      </c>
      <c r="Q4193" s="9" t="s">
        <v>13284</v>
      </c>
      <c r="R4193" s="9" t="s">
        <v>13284</v>
      </c>
      <c r="S4193" s="9" t="s">
        <v>13284</v>
      </c>
      <c r="T4193" s="9" t="str">
        <f ca="1">IFERROR(IF(AND(VLOOKUP(A4193, 'Актуальное состояние (из общего'!A:C,3,0) = "", A4193 &lt;&gt; ""), "ПРОВЕРИТЬ", VLOOKUP(A4193, 'Актуальное состояние (из общего'!A:C,3,0)), "")</f>
        <v/>
      </c>
      <c r="U4193" s="9" t="s">
        <v>13284</v>
      </c>
      <c r="V4193" s="9" t="s">
        <v>13284</v>
      </c>
      <c r="W4193" s="12"/>
      <c r="X4193" s="9" t="str">
        <f t="array" ref="X4193">IFERROR(INDEX('Адреса общежитий (скрытый)'!$B$2:$B$9, MATCH(W4193, 'Адреса общежитий (скрытый)'!$A$2:$A$9, 0)), "")</f>
        <v/>
      </c>
      <c r="Y4193" s="18"/>
      <c r="Z4193" s="18"/>
      <c r="AA4193" s="18"/>
      <c r="AB4193" s="18"/>
      <c r="AC4193" s="18"/>
    </row>
    <row r="4194" spans="1:29" ht="32.25" hidden="1" customHeight="1">
      <c r="A4194" s="17"/>
      <c r="B4194" s="9" t="s">
        <v>13284</v>
      </c>
      <c r="C4194" s="9" t="s">
        <v>13284</v>
      </c>
      <c r="D4194" s="9" t="s">
        <v>13284</v>
      </c>
      <c r="E4194" s="9" t="s">
        <v>13284</v>
      </c>
      <c r="F4194" s="9" t="s">
        <v>13284</v>
      </c>
      <c r="G4194" s="9" t="s">
        <v>13284</v>
      </c>
      <c r="H4194" s="9" t="s">
        <v>13284</v>
      </c>
      <c r="I4194" s="9" t="s">
        <v>13284</v>
      </c>
      <c r="J4194" s="9" t="s">
        <v>13284</v>
      </c>
      <c r="K4194" s="9" t="s">
        <v>13284</v>
      </c>
      <c r="L4194" s="9" t="s">
        <v>13284</v>
      </c>
      <c r="M4194" s="9" t="s">
        <v>13284</v>
      </c>
      <c r="N4194" s="9" t="s">
        <v>13284</v>
      </c>
      <c r="O4194" s="9" t="s">
        <v>13284</v>
      </c>
      <c r="P4194" s="9" t="s">
        <v>13284</v>
      </c>
      <c r="Q4194" s="9" t="s">
        <v>13284</v>
      </c>
      <c r="R4194" s="9" t="s">
        <v>13284</v>
      </c>
      <c r="S4194" s="9" t="s">
        <v>13284</v>
      </c>
      <c r="T4194" s="9" t="str">
        <f ca="1">IFERROR(IF(AND(VLOOKUP(A4194, 'Актуальное состояние (из общего'!A:C,3,0) = "", A4194 &lt;&gt; ""), "ПРОВЕРИТЬ", VLOOKUP(A4194, 'Актуальное состояние (из общего'!A:C,3,0)), "")</f>
        <v/>
      </c>
      <c r="U4194" s="9" t="s">
        <v>13284</v>
      </c>
      <c r="V4194" s="9" t="s">
        <v>13284</v>
      </c>
      <c r="W4194" s="12"/>
      <c r="X4194" s="9" t="str">
        <f t="array" ref="X4194">IFERROR(INDEX('Адреса общежитий (скрытый)'!$B$2:$B$9, MATCH(W4194, 'Адреса общежитий (скрытый)'!$A$2:$A$9, 0)), "")</f>
        <v/>
      </c>
      <c r="Y4194" s="18"/>
      <c r="Z4194" s="18"/>
      <c r="AA4194" s="18"/>
      <c r="AB4194" s="18"/>
      <c r="AC4194" s="18"/>
    </row>
    <row r="4195" spans="1:29" ht="32.25" hidden="1" customHeight="1">
      <c r="A4195" s="17"/>
      <c r="B4195" s="9" t="s">
        <v>13284</v>
      </c>
      <c r="C4195" s="9" t="s">
        <v>13284</v>
      </c>
      <c r="D4195" s="9" t="s">
        <v>13284</v>
      </c>
      <c r="E4195" s="9" t="s">
        <v>13284</v>
      </c>
      <c r="F4195" s="9" t="s">
        <v>13284</v>
      </c>
      <c r="G4195" s="9" t="s">
        <v>13284</v>
      </c>
      <c r="H4195" s="9" t="s">
        <v>13284</v>
      </c>
      <c r="I4195" s="9" t="s">
        <v>13284</v>
      </c>
      <c r="J4195" s="9" t="s">
        <v>13284</v>
      </c>
      <c r="K4195" s="9" t="s">
        <v>13284</v>
      </c>
      <c r="L4195" s="9" t="s">
        <v>13284</v>
      </c>
      <c r="M4195" s="9" t="s">
        <v>13284</v>
      </c>
      <c r="N4195" s="9" t="s">
        <v>13284</v>
      </c>
      <c r="O4195" s="9" t="s">
        <v>13284</v>
      </c>
      <c r="P4195" s="9" t="s">
        <v>13284</v>
      </c>
      <c r="Q4195" s="9" t="s">
        <v>13284</v>
      </c>
      <c r="R4195" s="9" t="s">
        <v>13284</v>
      </c>
      <c r="S4195" s="9" t="s">
        <v>13284</v>
      </c>
      <c r="T4195" s="9" t="str">
        <f ca="1">IFERROR(IF(AND(VLOOKUP(A4195, 'Актуальное состояние (из общего'!A:C,3,0) = "", A4195 &lt;&gt; ""), "ПРОВЕРИТЬ", VLOOKUP(A4195, 'Актуальное состояние (из общего'!A:C,3,0)), "")</f>
        <v/>
      </c>
      <c r="U4195" s="9" t="s">
        <v>13284</v>
      </c>
      <c r="V4195" s="9" t="s">
        <v>13284</v>
      </c>
      <c r="W4195" s="12"/>
      <c r="X4195" s="9" t="str">
        <f t="array" ref="X4195">IFERROR(INDEX('Адреса общежитий (скрытый)'!$B$2:$B$9, MATCH(W4195, 'Адреса общежитий (скрытый)'!$A$2:$A$9, 0)), "")</f>
        <v/>
      </c>
      <c r="Y4195" s="18"/>
      <c r="Z4195" s="18"/>
      <c r="AA4195" s="18"/>
      <c r="AB4195" s="18"/>
      <c r="AC4195" s="18"/>
    </row>
    <row r="4196" spans="1:29" ht="32.25" hidden="1" customHeight="1">
      <c r="A4196" s="17"/>
      <c r="B4196" s="9" t="s">
        <v>13284</v>
      </c>
      <c r="C4196" s="9" t="s">
        <v>13284</v>
      </c>
      <c r="D4196" s="9" t="s">
        <v>13284</v>
      </c>
      <c r="E4196" s="9" t="s">
        <v>13284</v>
      </c>
      <c r="F4196" s="9" t="s">
        <v>13284</v>
      </c>
      <c r="G4196" s="9" t="s">
        <v>13284</v>
      </c>
      <c r="H4196" s="9" t="s">
        <v>13284</v>
      </c>
      <c r="I4196" s="9" t="s">
        <v>13284</v>
      </c>
      <c r="J4196" s="9" t="s">
        <v>13284</v>
      </c>
      <c r="K4196" s="9" t="s">
        <v>13284</v>
      </c>
      <c r="L4196" s="9" t="s">
        <v>13284</v>
      </c>
      <c r="M4196" s="9" t="s">
        <v>13284</v>
      </c>
      <c r="N4196" s="9" t="s">
        <v>13284</v>
      </c>
      <c r="O4196" s="9" t="s">
        <v>13284</v>
      </c>
      <c r="P4196" s="9" t="s">
        <v>13284</v>
      </c>
      <c r="Q4196" s="9" t="s">
        <v>13284</v>
      </c>
      <c r="R4196" s="9" t="s">
        <v>13284</v>
      </c>
      <c r="S4196" s="9" t="s">
        <v>13284</v>
      </c>
      <c r="T4196" s="9" t="str">
        <f ca="1">IFERROR(IF(AND(VLOOKUP(A4196, 'Актуальное состояние (из общего'!A:C,3,0) = "", A4196 &lt;&gt; ""), "ПРОВЕРИТЬ", VLOOKUP(A4196, 'Актуальное состояние (из общего'!A:C,3,0)), "")</f>
        <v/>
      </c>
      <c r="U4196" s="9" t="s">
        <v>13284</v>
      </c>
      <c r="V4196" s="9" t="s">
        <v>13284</v>
      </c>
      <c r="W4196" s="12"/>
      <c r="X4196" s="9" t="str">
        <f t="array" ref="X4196">IFERROR(INDEX('Адреса общежитий (скрытый)'!$B$2:$B$9, MATCH(W4196, 'Адреса общежитий (скрытый)'!$A$2:$A$9, 0)), "")</f>
        <v/>
      </c>
      <c r="Y4196" s="18"/>
      <c r="Z4196" s="18"/>
      <c r="AA4196" s="18"/>
      <c r="AB4196" s="18"/>
      <c r="AC4196" s="18"/>
    </row>
    <row r="4197" spans="1:29" ht="32.25" hidden="1" customHeight="1">
      <c r="A4197" s="17"/>
      <c r="B4197" s="9" t="s">
        <v>13284</v>
      </c>
      <c r="C4197" s="9" t="s">
        <v>13284</v>
      </c>
      <c r="D4197" s="9" t="s">
        <v>13284</v>
      </c>
      <c r="E4197" s="9" t="s">
        <v>13284</v>
      </c>
      <c r="F4197" s="9" t="s">
        <v>13284</v>
      </c>
      <c r="G4197" s="9" t="s">
        <v>13284</v>
      </c>
      <c r="H4197" s="9" t="s">
        <v>13284</v>
      </c>
      <c r="I4197" s="9" t="s">
        <v>13284</v>
      </c>
      <c r="J4197" s="9" t="s">
        <v>13284</v>
      </c>
      <c r="K4197" s="9" t="s">
        <v>13284</v>
      </c>
      <c r="L4197" s="9" t="s">
        <v>13284</v>
      </c>
      <c r="M4197" s="9" t="s">
        <v>13284</v>
      </c>
      <c r="N4197" s="9" t="s">
        <v>13284</v>
      </c>
      <c r="O4197" s="9" t="s">
        <v>13284</v>
      </c>
      <c r="P4197" s="9" t="s">
        <v>13284</v>
      </c>
      <c r="Q4197" s="9" t="s">
        <v>13284</v>
      </c>
      <c r="R4197" s="9" t="s">
        <v>13284</v>
      </c>
      <c r="S4197" s="9" t="s">
        <v>13284</v>
      </c>
      <c r="T4197" s="9" t="str">
        <f ca="1">IFERROR(IF(AND(VLOOKUP(A4197, 'Актуальное состояние (из общего'!A:C,3,0) = "", A4197 &lt;&gt; ""), "ПРОВЕРИТЬ", VLOOKUP(A4197, 'Актуальное состояние (из общего'!A:C,3,0)), "")</f>
        <v/>
      </c>
      <c r="U4197" s="9" t="s">
        <v>13284</v>
      </c>
      <c r="V4197" s="9" t="s">
        <v>13284</v>
      </c>
      <c r="W4197" s="12"/>
      <c r="X4197" s="9" t="str">
        <f t="array" ref="X4197">IFERROR(INDEX('Адреса общежитий (скрытый)'!$B$2:$B$9, MATCH(W4197, 'Адреса общежитий (скрытый)'!$A$2:$A$9, 0)), "")</f>
        <v/>
      </c>
      <c r="Y4197" s="18"/>
      <c r="Z4197" s="18"/>
      <c r="AA4197" s="18"/>
      <c r="AB4197" s="18"/>
      <c r="AC4197" s="18"/>
    </row>
    <row r="4198" spans="1:29" ht="32.25" hidden="1" customHeight="1">
      <c r="A4198" s="17"/>
      <c r="B4198" s="9" t="s">
        <v>13284</v>
      </c>
      <c r="C4198" s="9" t="s">
        <v>13284</v>
      </c>
      <c r="D4198" s="9" t="s">
        <v>13284</v>
      </c>
      <c r="E4198" s="9" t="s">
        <v>13284</v>
      </c>
      <c r="F4198" s="9" t="s">
        <v>13284</v>
      </c>
      <c r="G4198" s="9" t="s">
        <v>13284</v>
      </c>
      <c r="H4198" s="9" t="s">
        <v>13284</v>
      </c>
      <c r="I4198" s="9" t="s">
        <v>13284</v>
      </c>
      <c r="J4198" s="9" t="s">
        <v>13284</v>
      </c>
      <c r="K4198" s="9" t="s">
        <v>13284</v>
      </c>
      <c r="L4198" s="9" t="s">
        <v>13284</v>
      </c>
      <c r="M4198" s="9" t="s">
        <v>13284</v>
      </c>
      <c r="N4198" s="9" t="s">
        <v>13284</v>
      </c>
      <c r="O4198" s="9" t="s">
        <v>13284</v>
      </c>
      <c r="P4198" s="9" t="s">
        <v>13284</v>
      </c>
      <c r="Q4198" s="9" t="s">
        <v>13284</v>
      </c>
      <c r="R4198" s="9" t="s">
        <v>13284</v>
      </c>
      <c r="S4198" s="9" t="s">
        <v>13284</v>
      </c>
      <c r="T4198" s="9" t="str">
        <f ca="1">IFERROR(IF(AND(VLOOKUP(A4198, 'Актуальное состояние (из общего'!A:C,3,0) = "", A4198 &lt;&gt; ""), "ПРОВЕРИТЬ", VLOOKUP(A4198, 'Актуальное состояние (из общего'!A:C,3,0)), "")</f>
        <v/>
      </c>
      <c r="U4198" s="9" t="s">
        <v>13284</v>
      </c>
      <c r="V4198" s="9" t="s">
        <v>13284</v>
      </c>
      <c r="W4198" s="12"/>
      <c r="X4198" s="9" t="str">
        <f t="array" ref="X4198">IFERROR(INDEX('Адреса общежитий (скрытый)'!$B$2:$B$9, MATCH(W4198, 'Адреса общежитий (скрытый)'!$A$2:$A$9, 0)), "")</f>
        <v/>
      </c>
      <c r="Y4198" s="18"/>
      <c r="Z4198" s="18"/>
      <c r="AA4198" s="18"/>
      <c r="AB4198" s="18"/>
      <c r="AC4198" s="18"/>
    </row>
    <row r="4199" spans="1:29" ht="32.25" hidden="1" customHeight="1">
      <c r="A4199" s="17"/>
      <c r="B4199" s="9" t="s">
        <v>13284</v>
      </c>
      <c r="C4199" s="9" t="s">
        <v>13284</v>
      </c>
      <c r="D4199" s="9" t="s">
        <v>13284</v>
      </c>
      <c r="E4199" s="9" t="s">
        <v>13284</v>
      </c>
      <c r="F4199" s="9" t="s">
        <v>13284</v>
      </c>
      <c r="G4199" s="9" t="s">
        <v>13284</v>
      </c>
      <c r="H4199" s="9" t="s">
        <v>13284</v>
      </c>
      <c r="I4199" s="9" t="s">
        <v>13284</v>
      </c>
      <c r="J4199" s="9" t="s">
        <v>13284</v>
      </c>
      <c r="K4199" s="9" t="s">
        <v>13284</v>
      </c>
      <c r="L4199" s="9" t="s">
        <v>13284</v>
      </c>
      <c r="M4199" s="9" t="s">
        <v>13284</v>
      </c>
      <c r="N4199" s="9" t="s">
        <v>13284</v>
      </c>
      <c r="O4199" s="9" t="s">
        <v>13284</v>
      </c>
      <c r="P4199" s="9" t="s">
        <v>13284</v>
      </c>
      <c r="Q4199" s="9" t="s">
        <v>13284</v>
      </c>
      <c r="R4199" s="9" t="s">
        <v>13284</v>
      </c>
      <c r="S4199" s="9" t="s">
        <v>13284</v>
      </c>
      <c r="T4199" s="9" t="str">
        <f ca="1">IFERROR(IF(AND(VLOOKUP(A4199, 'Актуальное состояние (из общего'!A:C,3,0) = "", A4199 &lt;&gt; ""), "ПРОВЕРИТЬ", VLOOKUP(A4199, 'Актуальное состояние (из общего'!A:C,3,0)), "")</f>
        <v/>
      </c>
      <c r="U4199" s="9" t="s">
        <v>13284</v>
      </c>
      <c r="V4199" s="9" t="s">
        <v>13284</v>
      </c>
      <c r="W4199" s="12"/>
      <c r="X4199" s="9" t="str">
        <f t="array" ref="X4199">IFERROR(INDEX('Адреса общежитий (скрытый)'!$B$2:$B$9, MATCH(W4199, 'Адреса общежитий (скрытый)'!$A$2:$A$9, 0)), "")</f>
        <v/>
      </c>
      <c r="Y4199" s="18"/>
      <c r="Z4199" s="18"/>
      <c r="AA4199" s="18"/>
      <c r="AB4199" s="18"/>
      <c r="AC4199" s="18"/>
    </row>
    <row r="4200" spans="1:29" ht="32.25" hidden="1" customHeight="1">
      <c r="A4200" s="17"/>
      <c r="B4200" s="9" t="s">
        <v>13284</v>
      </c>
      <c r="C4200" s="9" t="s">
        <v>13284</v>
      </c>
      <c r="D4200" s="9" t="s">
        <v>13284</v>
      </c>
      <c r="E4200" s="9" t="s">
        <v>13284</v>
      </c>
      <c r="F4200" s="9" t="s">
        <v>13284</v>
      </c>
      <c r="G4200" s="9" t="s">
        <v>13284</v>
      </c>
      <c r="H4200" s="9" t="s">
        <v>13284</v>
      </c>
      <c r="I4200" s="9" t="s">
        <v>13284</v>
      </c>
      <c r="J4200" s="9" t="s">
        <v>13284</v>
      </c>
      <c r="K4200" s="9" t="s">
        <v>13284</v>
      </c>
      <c r="L4200" s="9" t="s">
        <v>13284</v>
      </c>
      <c r="M4200" s="9" t="s">
        <v>13284</v>
      </c>
      <c r="N4200" s="9" t="s">
        <v>13284</v>
      </c>
      <c r="O4200" s="9" t="s">
        <v>13284</v>
      </c>
      <c r="P4200" s="9" t="s">
        <v>13284</v>
      </c>
      <c r="Q4200" s="9" t="s">
        <v>13284</v>
      </c>
      <c r="R4200" s="9" t="s">
        <v>13284</v>
      </c>
      <c r="S4200" s="9" t="s">
        <v>13284</v>
      </c>
      <c r="T4200" s="9" t="str">
        <f ca="1">IFERROR(IF(AND(VLOOKUP(A4200, 'Актуальное состояние (из общего'!A:C,3,0) = "", A4200 &lt;&gt; ""), "ПРОВЕРИТЬ", VLOOKUP(A4200, 'Актуальное состояние (из общего'!A:C,3,0)), "")</f>
        <v/>
      </c>
      <c r="U4200" s="9" t="s">
        <v>13284</v>
      </c>
      <c r="V4200" s="9" t="s">
        <v>13284</v>
      </c>
      <c r="W4200" s="12"/>
      <c r="X4200" s="9" t="str">
        <f t="array" ref="X4200">IFERROR(INDEX('Адреса общежитий (скрытый)'!$B$2:$B$9, MATCH(W4200, 'Адреса общежитий (скрытый)'!$A$2:$A$9, 0)), "")</f>
        <v/>
      </c>
      <c r="Y4200" s="18"/>
      <c r="Z4200" s="18"/>
      <c r="AA4200" s="18"/>
      <c r="AB4200" s="18"/>
      <c r="AC4200" s="18"/>
    </row>
    <row r="4201" spans="1:29" ht="32.25" hidden="1" customHeight="1">
      <c r="A4201" s="17"/>
      <c r="B4201" s="9" t="s">
        <v>13284</v>
      </c>
      <c r="C4201" s="9" t="s">
        <v>13284</v>
      </c>
      <c r="D4201" s="9" t="s">
        <v>13284</v>
      </c>
      <c r="E4201" s="9" t="s">
        <v>13284</v>
      </c>
      <c r="F4201" s="9" t="s">
        <v>13284</v>
      </c>
      <c r="G4201" s="9" t="s">
        <v>13284</v>
      </c>
      <c r="H4201" s="9" t="s">
        <v>13284</v>
      </c>
      <c r="I4201" s="9" t="s">
        <v>13284</v>
      </c>
      <c r="J4201" s="9" t="s">
        <v>13284</v>
      </c>
      <c r="K4201" s="9" t="s">
        <v>13284</v>
      </c>
      <c r="L4201" s="9" t="s">
        <v>13284</v>
      </c>
      <c r="M4201" s="9" t="s">
        <v>13284</v>
      </c>
      <c r="N4201" s="9" t="s">
        <v>13284</v>
      </c>
      <c r="O4201" s="9" t="s">
        <v>13284</v>
      </c>
      <c r="P4201" s="9" t="s">
        <v>13284</v>
      </c>
      <c r="Q4201" s="9" t="s">
        <v>13284</v>
      </c>
      <c r="R4201" s="9" t="s">
        <v>13284</v>
      </c>
      <c r="S4201" s="9" t="s">
        <v>13284</v>
      </c>
      <c r="T4201" s="9" t="str">
        <f ca="1">IFERROR(IF(AND(VLOOKUP(A4201, 'Актуальное состояние (из общего'!A:C,3,0) = "", A4201 &lt;&gt; ""), "ПРОВЕРИТЬ", VLOOKUP(A4201, 'Актуальное состояние (из общего'!A:C,3,0)), "")</f>
        <v/>
      </c>
      <c r="U4201" s="9" t="s">
        <v>13284</v>
      </c>
      <c r="V4201" s="9" t="s">
        <v>13284</v>
      </c>
      <c r="W4201" s="12"/>
      <c r="X4201" s="9" t="str">
        <f t="array" ref="X4201">IFERROR(INDEX('Адреса общежитий (скрытый)'!$B$2:$B$9, MATCH(W4201, 'Адреса общежитий (скрытый)'!$A$2:$A$9, 0)), "")</f>
        <v/>
      </c>
      <c r="Y4201" s="18"/>
      <c r="Z4201" s="18"/>
      <c r="AA4201" s="18"/>
      <c r="AB4201" s="18"/>
      <c r="AC4201" s="18"/>
    </row>
    <row r="4202" spans="1:29" ht="32.25" hidden="1" customHeight="1">
      <c r="A4202" s="17"/>
      <c r="B4202" s="9" t="s">
        <v>13284</v>
      </c>
      <c r="C4202" s="9" t="s">
        <v>13284</v>
      </c>
      <c r="D4202" s="9" t="s">
        <v>13284</v>
      </c>
      <c r="E4202" s="9" t="s">
        <v>13284</v>
      </c>
      <c r="F4202" s="9" t="s">
        <v>13284</v>
      </c>
      <c r="G4202" s="9" t="s">
        <v>13284</v>
      </c>
      <c r="H4202" s="9" t="s">
        <v>13284</v>
      </c>
      <c r="I4202" s="9" t="s">
        <v>13284</v>
      </c>
      <c r="J4202" s="9" t="s">
        <v>13284</v>
      </c>
      <c r="K4202" s="9" t="s">
        <v>13284</v>
      </c>
      <c r="L4202" s="9" t="s">
        <v>13284</v>
      </c>
      <c r="M4202" s="9" t="s">
        <v>13284</v>
      </c>
      <c r="N4202" s="9" t="s">
        <v>13284</v>
      </c>
      <c r="O4202" s="9" t="s">
        <v>13284</v>
      </c>
      <c r="P4202" s="9" t="s">
        <v>13284</v>
      </c>
      <c r="Q4202" s="9" t="s">
        <v>13284</v>
      </c>
      <c r="R4202" s="9" t="s">
        <v>13284</v>
      </c>
      <c r="S4202" s="9" t="s">
        <v>13284</v>
      </c>
      <c r="T4202" s="9" t="str">
        <f ca="1">IFERROR(IF(AND(VLOOKUP(A4202, 'Актуальное состояние (из общего'!A:C,3,0) = "", A4202 &lt;&gt; ""), "ПРОВЕРИТЬ", VLOOKUP(A4202, 'Актуальное состояние (из общего'!A:C,3,0)), "")</f>
        <v/>
      </c>
      <c r="U4202" s="9" t="s">
        <v>13284</v>
      </c>
      <c r="V4202" s="9" t="s">
        <v>13284</v>
      </c>
      <c r="W4202" s="12"/>
      <c r="X4202" s="9" t="str">
        <f t="array" ref="X4202">IFERROR(INDEX('Адреса общежитий (скрытый)'!$B$2:$B$9, MATCH(W4202, 'Адреса общежитий (скрытый)'!$A$2:$A$9, 0)), "")</f>
        <v/>
      </c>
      <c r="Y4202" s="18"/>
      <c r="Z4202" s="18"/>
      <c r="AA4202" s="18"/>
      <c r="AB4202" s="18"/>
      <c r="AC4202" s="18"/>
    </row>
    <row r="4203" spans="1:29" ht="32.25" hidden="1" customHeight="1">
      <c r="A4203" s="17"/>
      <c r="B4203" s="9" t="s">
        <v>13284</v>
      </c>
      <c r="C4203" s="9" t="s">
        <v>13284</v>
      </c>
      <c r="D4203" s="9" t="s">
        <v>13284</v>
      </c>
      <c r="E4203" s="9" t="s">
        <v>13284</v>
      </c>
      <c r="F4203" s="9" t="s">
        <v>13284</v>
      </c>
      <c r="G4203" s="9" t="s">
        <v>13284</v>
      </c>
      <c r="H4203" s="9" t="s">
        <v>13284</v>
      </c>
      <c r="I4203" s="9" t="s">
        <v>13284</v>
      </c>
      <c r="J4203" s="9" t="s">
        <v>13284</v>
      </c>
      <c r="K4203" s="9" t="s">
        <v>13284</v>
      </c>
      <c r="L4203" s="9" t="s">
        <v>13284</v>
      </c>
      <c r="M4203" s="9" t="s">
        <v>13284</v>
      </c>
      <c r="N4203" s="9" t="s">
        <v>13284</v>
      </c>
      <c r="O4203" s="9" t="s">
        <v>13284</v>
      </c>
      <c r="P4203" s="9" t="s">
        <v>13284</v>
      </c>
      <c r="Q4203" s="9" t="s">
        <v>13284</v>
      </c>
      <c r="R4203" s="9" t="s">
        <v>13284</v>
      </c>
      <c r="S4203" s="9" t="s">
        <v>13284</v>
      </c>
      <c r="T4203" s="9" t="str">
        <f ca="1">IFERROR(IF(AND(VLOOKUP(A4203, 'Актуальное состояние (из общего'!A:C,3,0) = "", A4203 &lt;&gt; ""), "ПРОВЕРИТЬ", VLOOKUP(A4203, 'Актуальное состояние (из общего'!A:C,3,0)), "")</f>
        <v/>
      </c>
      <c r="U4203" s="9" t="s">
        <v>13284</v>
      </c>
      <c r="V4203" s="9" t="s">
        <v>13284</v>
      </c>
      <c r="W4203" s="12"/>
      <c r="X4203" s="9" t="str">
        <f t="array" ref="X4203">IFERROR(INDEX('Адреса общежитий (скрытый)'!$B$2:$B$9, MATCH(W4203, 'Адреса общежитий (скрытый)'!$A$2:$A$9, 0)), "")</f>
        <v/>
      </c>
      <c r="Y4203" s="18"/>
      <c r="Z4203" s="18"/>
      <c r="AA4203" s="18"/>
      <c r="AB4203" s="18"/>
      <c r="AC4203" s="18"/>
    </row>
    <row r="4204" spans="1:29" ht="32.25" hidden="1" customHeight="1">
      <c r="A4204" s="17"/>
      <c r="B4204" s="9" t="s">
        <v>13284</v>
      </c>
      <c r="C4204" s="9" t="s">
        <v>13284</v>
      </c>
      <c r="D4204" s="9" t="s">
        <v>13284</v>
      </c>
      <c r="E4204" s="9" t="s">
        <v>13284</v>
      </c>
      <c r="F4204" s="9" t="s">
        <v>13284</v>
      </c>
      <c r="G4204" s="9" t="s">
        <v>13284</v>
      </c>
      <c r="H4204" s="9" t="s">
        <v>13284</v>
      </c>
      <c r="I4204" s="9" t="s">
        <v>13284</v>
      </c>
      <c r="J4204" s="9" t="s">
        <v>13284</v>
      </c>
      <c r="K4204" s="9" t="s">
        <v>13284</v>
      </c>
      <c r="L4204" s="9" t="s">
        <v>13284</v>
      </c>
      <c r="M4204" s="9" t="s">
        <v>13284</v>
      </c>
      <c r="N4204" s="9" t="s">
        <v>13284</v>
      </c>
      <c r="O4204" s="9" t="s">
        <v>13284</v>
      </c>
      <c r="P4204" s="9" t="s">
        <v>13284</v>
      </c>
      <c r="Q4204" s="9" t="s">
        <v>13284</v>
      </c>
      <c r="R4204" s="9" t="s">
        <v>13284</v>
      </c>
      <c r="S4204" s="9" t="s">
        <v>13284</v>
      </c>
      <c r="T4204" s="9" t="str">
        <f ca="1">IFERROR(IF(AND(VLOOKUP(A4204, 'Актуальное состояние (из общего'!A:C,3,0) = "", A4204 &lt;&gt; ""), "ПРОВЕРИТЬ", VLOOKUP(A4204, 'Актуальное состояние (из общего'!A:C,3,0)), "")</f>
        <v/>
      </c>
      <c r="U4204" s="9" t="s">
        <v>13284</v>
      </c>
      <c r="V4204" s="9" t="s">
        <v>13284</v>
      </c>
      <c r="W4204" s="12"/>
      <c r="X4204" s="9" t="str">
        <f t="array" ref="X4204">IFERROR(INDEX('Адреса общежитий (скрытый)'!$B$2:$B$9, MATCH(W4204, 'Адреса общежитий (скрытый)'!$A$2:$A$9, 0)), "")</f>
        <v/>
      </c>
      <c r="Y4204" s="18"/>
      <c r="Z4204" s="18"/>
      <c r="AA4204" s="18"/>
      <c r="AB4204" s="18"/>
      <c r="AC4204" s="18"/>
    </row>
    <row r="4205" spans="1:29" ht="32.25" hidden="1" customHeight="1">
      <c r="A4205" s="17"/>
      <c r="B4205" s="9" t="s">
        <v>13284</v>
      </c>
      <c r="C4205" s="9" t="s">
        <v>13284</v>
      </c>
      <c r="D4205" s="9" t="s">
        <v>13284</v>
      </c>
      <c r="E4205" s="9" t="s">
        <v>13284</v>
      </c>
      <c r="F4205" s="9" t="s">
        <v>13284</v>
      </c>
      <c r="G4205" s="9" t="s">
        <v>13284</v>
      </c>
      <c r="H4205" s="9" t="s">
        <v>13284</v>
      </c>
      <c r="I4205" s="9" t="s">
        <v>13284</v>
      </c>
      <c r="J4205" s="9" t="s">
        <v>13284</v>
      </c>
      <c r="K4205" s="9" t="s">
        <v>13284</v>
      </c>
      <c r="L4205" s="9" t="s">
        <v>13284</v>
      </c>
      <c r="M4205" s="9" t="s">
        <v>13284</v>
      </c>
      <c r="N4205" s="9" t="s">
        <v>13284</v>
      </c>
      <c r="O4205" s="9" t="s">
        <v>13284</v>
      </c>
      <c r="P4205" s="9" t="s">
        <v>13284</v>
      </c>
      <c r="Q4205" s="9" t="s">
        <v>13284</v>
      </c>
      <c r="R4205" s="9" t="s">
        <v>13284</v>
      </c>
      <c r="S4205" s="9" t="s">
        <v>13284</v>
      </c>
      <c r="T4205" s="9" t="str">
        <f ca="1">IFERROR(IF(AND(VLOOKUP(A4205, 'Актуальное состояние (из общего'!A:C,3,0) = "", A4205 &lt;&gt; ""), "ПРОВЕРИТЬ", VLOOKUP(A4205, 'Актуальное состояние (из общего'!A:C,3,0)), "")</f>
        <v/>
      </c>
      <c r="U4205" s="9" t="s">
        <v>13284</v>
      </c>
      <c r="V4205" s="9" t="s">
        <v>13284</v>
      </c>
      <c r="W4205" s="12"/>
      <c r="X4205" s="9" t="str">
        <f t="array" ref="X4205">IFERROR(INDEX('Адреса общежитий (скрытый)'!$B$2:$B$9, MATCH(W4205, 'Адреса общежитий (скрытый)'!$A$2:$A$9, 0)), "")</f>
        <v/>
      </c>
      <c r="Y4205" s="18"/>
      <c r="Z4205" s="18"/>
      <c r="AA4205" s="18"/>
      <c r="AB4205" s="18"/>
      <c r="AC4205" s="18"/>
    </row>
    <row r="4206" spans="1:29" ht="32.25" hidden="1" customHeight="1">
      <c r="A4206" s="17"/>
      <c r="B4206" s="9" t="s">
        <v>13284</v>
      </c>
      <c r="C4206" s="9" t="s">
        <v>13284</v>
      </c>
      <c r="D4206" s="9" t="s">
        <v>13284</v>
      </c>
      <c r="E4206" s="9" t="s">
        <v>13284</v>
      </c>
      <c r="F4206" s="9" t="s">
        <v>13284</v>
      </c>
      <c r="G4206" s="9" t="s">
        <v>13284</v>
      </c>
      <c r="H4206" s="9" t="s">
        <v>13284</v>
      </c>
      <c r="I4206" s="9" t="s">
        <v>13284</v>
      </c>
      <c r="J4206" s="9" t="s">
        <v>13284</v>
      </c>
      <c r="K4206" s="9" t="s">
        <v>13284</v>
      </c>
      <c r="L4206" s="9" t="s">
        <v>13284</v>
      </c>
      <c r="M4206" s="9" t="s">
        <v>13284</v>
      </c>
      <c r="N4206" s="9" t="s">
        <v>13284</v>
      </c>
      <c r="O4206" s="9" t="s">
        <v>13284</v>
      </c>
      <c r="P4206" s="9" t="s">
        <v>13284</v>
      </c>
      <c r="Q4206" s="9" t="s">
        <v>13284</v>
      </c>
      <c r="R4206" s="9" t="s">
        <v>13284</v>
      </c>
      <c r="S4206" s="9" t="s">
        <v>13284</v>
      </c>
      <c r="T4206" s="9" t="str">
        <f ca="1">IFERROR(IF(AND(VLOOKUP(A4206, 'Актуальное состояние (из общего'!A:C,3,0) = "", A4206 &lt;&gt; ""), "ПРОВЕРИТЬ", VLOOKUP(A4206, 'Актуальное состояние (из общего'!A:C,3,0)), "")</f>
        <v/>
      </c>
      <c r="U4206" s="9" t="s">
        <v>13284</v>
      </c>
      <c r="V4206" s="9" t="s">
        <v>13284</v>
      </c>
      <c r="W4206" s="12"/>
      <c r="X4206" s="9" t="str">
        <f t="array" ref="X4206">IFERROR(INDEX('Адреса общежитий (скрытый)'!$B$2:$B$9, MATCH(W4206, 'Адреса общежитий (скрытый)'!$A$2:$A$9, 0)), "")</f>
        <v/>
      </c>
      <c r="Y4206" s="18"/>
      <c r="Z4206" s="18"/>
      <c r="AA4206" s="18"/>
      <c r="AB4206" s="18"/>
      <c r="AC4206" s="18"/>
    </row>
    <row r="4207" spans="1:29" ht="32.25" hidden="1" customHeight="1">
      <c r="A4207" s="17"/>
      <c r="B4207" s="9" t="s">
        <v>13284</v>
      </c>
      <c r="C4207" s="9" t="s">
        <v>13284</v>
      </c>
      <c r="D4207" s="9" t="s">
        <v>13284</v>
      </c>
      <c r="E4207" s="9" t="s">
        <v>13284</v>
      </c>
      <c r="F4207" s="9" t="s">
        <v>13284</v>
      </c>
      <c r="G4207" s="9" t="s">
        <v>13284</v>
      </c>
      <c r="H4207" s="9" t="s">
        <v>13284</v>
      </c>
      <c r="I4207" s="9" t="s">
        <v>13284</v>
      </c>
      <c r="J4207" s="9" t="s">
        <v>13284</v>
      </c>
      <c r="K4207" s="9" t="s">
        <v>13284</v>
      </c>
      <c r="L4207" s="9" t="s">
        <v>13284</v>
      </c>
      <c r="M4207" s="9" t="s">
        <v>13284</v>
      </c>
      <c r="N4207" s="9" t="s">
        <v>13284</v>
      </c>
      <c r="O4207" s="9" t="s">
        <v>13284</v>
      </c>
      <c r="P4207" s="9" t="s">
        <v>13284</v>
      </c>
      <c r="Q4207" s="9" t="s">
        <v>13284</v>
      </c>
      <c r="R4207" s="9" t="s">
        <v>13284</v>
      </c>
      <c r="S4207" s="9" t="s">
        <v>13284</v>
      </c>
      <c r="T4207" s="9" t="str">
        <f ca="1">IFERROR(IF(AND(VLOOKUP(A4207, 'Актуальное состояние (из общего'!A:C,3,0) = "", A4207 &lt;&gt; ""), "ПРОВЕРИТЬ", VLOOKUP(A4207, 'Актуальное состояние (из общего'!A:C,3,0)), "")</f>
        <v/>
      </c>
      <c r="U4207" s="9" t="s">
        <v>13284</v>
      </c>
      <c r="V4207" s="9" t="s">
        <v>13284</v>
      </c>
      <c r="W4207" s="12"/>
      <c r="X4207" s="9" t="str">
        <f t="array" ref="X4207">IFERROR(INDEX('Адреса общежитий (скрытый)'!$B$2:$B$9, MATCH(W4207, 'Адреса общежитий (скрытый)'!$A$2:$A$9, 0)), "")</f>
        <v/>
      </c>
      <c r="Y4207" s="18"/>
      <c r="Z4207" s="18"/>
      <c r="AA4207" s="18"/>
      <c r="AB4207" s="18"/>
      <c r="AC4207" s="18"/>
    </row>
    <row r="4208" spans="1:29" ht="32.25" hidden="1" customHeight="1">
      <c r="A4208" s="17"/>
      <c r="B4208" s="9" t="s">
        <v>13284</v>
      </c>
      <c r="C4208" s="9" t="s">
        <v>13284</v>
      </c>
      <c r="D4208" s="9" t="s">
        <v>13284</v>
      </c>
      <c r="E4208" s="9" t="s">
        <v>13284</v>
      </c>
      <c r="F4208" s="9" t="s">
        <v>13284</v>
      </c>
      <c r="G4208" s="9" t="s">
        <v>13284</v>
      </c>
      <c r="H4208" s="9" t="s">
        <v>13284</v>
      </c>
      <c r="I4208" s="9" t="s">
        <v>13284</v>
      </c>
      <c r="J4208" s="9" t="s">
        <v>13284</v>
      </c>
      <c r="K4208" s="9" t="s">
        <v>13284</v>
      </c>
      <c r="L4208" s="9" t="s">
        <v>13284</v>
      </c>
      <c r="M4208" s="9" t="s">
        <v>13284</v>
      </c>
      <c r="N4208" s="9" t="s">
        <v>13284</v>
      </c>
      <c r="O4208" s="9" t="s">
        <v>13284</v>
      </c>
      <c r="P4208" s="9" t="s">
        <v>13284</v>
      </c>
      <c r="Q4208" s="9" t="s">
        <v>13284</v>
      </c>
      <c r="R4208" s="9" t="s">
        <v>13284</v>
      </c>
      <c r="S4208" s="9" t="s">
        <v>13284</v>
      </c>
      <c r="T4208" s="9" t="str">
        <f ca="1">IFERROR(IF(AND(VLOOKUP(A4208, 'Актуальное состояние (из общего'!A:C,3,0) = "", A4208 &lt;&gt; ""), "ПРОВЕРИТЬ", VLOOKUP(A4208, 'Актуальное состояние (из общего'!A:C,3,0)), "")</f>
        <v/>
      </c>
      <c r="U4208" s="9" t="s">
        <v>13284</v>
      </c>
      <c r="V4208" s="9" t="s">
        <v>13284</v>
      </c>
      <c r="W4208" s="12"/>
      <c r="X4208" s="9" t="str">
        <f t="array" ref="X4208">IFERROR(INDEX('Адреса общежитий (скрытый)'!$B$2:$B$9, MATCH(W4208, 'Адреса общежитий (скрытый)'!$A$2:$A$9, 0)), "")</f>
        <v/>
      </c>
      <c r="Y4208" s="18"/>
      <c r="Z4208" s="18"/>
      <c r="AA4208" s="18"/>
      <c r="AB4208" s="18"/>
      <c r="AC4208" s="18"/>
    </row>
    <row r="4209" spans="1:29" ht="32.25" hidden="1" customHeight="1">
      <c r="A4209" s="17"/>
      <c r="B4209" s="9" t="s">
        <v>13284</v>
      </c>
      <c r="C4209" s="9" t="s">
        <v>13284</v>
      </c>
      <c r="D4209" s="9" t="s">
        <v>13284</v>
      </c>
      <c r="E4209" s="9" t="s">
        <v>13284</v>
      </c>
      <c r="F4209" s="9" t="s">
        <v>13284</v>
      </c>
      <c r="G4209" s="9" t="s">
        <v>13284</v>
      </c>
      <c r="H4209" s="9" t="s">
        <v>13284</v>
      </c>
      <c r="I4209" s="9" t="s">
        <v>13284</v>
      </c>
      <c r="J4209" s="9" t="s">
        <v>13284</v>
      </c>
      <c r="K4209" s="9" t="s">
        <v>13284</v>
      </c>
      <c r="L4209" s="9" t="s">
        <v>13284</v>
      </c>
      <c r="M4209" s="9" t="s">
        <v>13284</v>
      </c>
      <c r="N4209" s="9" t="s">
        <v>13284</v>
      </c>
      <c r="O4209" s="9" t="s">
        <v>13284</v>
      </c>
      <c r="P4209" s="9" t="s">
        <v>13284</v>
      </c>
      <c r="Q4209" s="9" t="s">
        <v>13284</v>
      </c>
      <c r="R4209" s="9" t="s">
        <v>13284</v>
      </c>
      <c r="S4209" s="9" t="s">
        <v>13284</v>
      </c>
      <c r="T4209" s="9" t="str">
        <f ca="1">IFERROR(IF(AND(VLOOKUP(A4209, 'Актуальное состояние (из общего'!A:C,3,0) = "", A4209 &lt;&gt; ""), "ПРОВЕРИТЬ", VLOOKUP(A4209, 'Актуальное состояние (из общего'!A:C,3,0)), "")</f>
        <v/>
      </c>
      <c r="U4209" s="9" t="s">
        <v>13284</v>
      </c>
      <c r="V4209" s="9" t="s">
        <v>13284</v>
      </c>
      <c r="W4209" s="12"/>
      <c r="X4209" s="9" t="str">
        <f t="array" ref="X4209">IFERROR(INDEX('Адреса общежитий (скрытый)'!$B$2:$B$9, MATCH(W4209, 'Адреса общежитий (скрытый)'!$A$2:$A$9, 0)), "")</f>
        <v/>
      </c>
      <c r="Y4209" s="18"/>
      <c r="Z4209" s="18"/>
      <c r="AA4209" s="18"/>
      <c r="AB4209" s="18"/>
      <c r="AC4209" s="18"/>
    </row>
    <row r="4210" spans="1:29" ht="32.25" hidden="1" customHeight="1">
      <c r="A4210" s="17"/>
      <c r="B4210" s="9" t="s">
        <v>13284</v>
      </c>
      <c r="C4210" s="9" t="s">
        <v>13284</v>
      </c>
      <c r="D4210" s="9" t="s">
        <v>13284</v>
      </c>
      <c r="E4210" s="9" t="s">
        <v>13284</v>
      </c>
      <c r="F4210" s="9" t="s">
        <v>13284</v>
      </c>
      <c r="G4210" s="9" t="s">
        <v>13284</v>
      </c>
      <c r="H4210" s="9" t="s">
        <v>13284</v>
      </c>
      <c r="I4210" s="9" t="s">
        <v>13284</v>
      </c>
      <c r="J4210" s="9" t="s">
        <v>13284</v>
      </c>
      <c r="K4210" s="9" t="s">
        <v>13284</v>
      </c>
      <c r="L4210" s="9" t="s">
        <v>13284</v>
      </c>
      <c r="M4210" s="9" t="s">
        <v>13284</v>
      </c>
      <c r="N4210" s="9" t="s">
        <v>13284</v>
      </c>
      <c r="O4210" s="9" t="s">
        <v>13284</v>
      </c>
      <c r="P4210" s="9" t="s">
        <v>13284</v>
      </c>
      <c r="Q4210" s="9" t="s">
        <v>13284</v>
      </c>
      <c r="R4210" s="9" t="s">
        <v>13284</v>
      </c>
      <c r="S4210" s="9" t="s">
        <v>13284</v>
      </c>
      <c r="T4210" s="9" t="str">
        <f ca="1">IFERROR(IF(AND(VLOOKUP(A4210, 'Актуальное состояние (из общего'!A:C,3,0) = "", A4210 &lt;&gt; ""), "ПРОВЕРИТЬ", VLOOKUP(A4210, 'Актуальное состояние (из общего'!A:C,3,0)), "")</f>
        <v/>
      </c>
      <c r="U4210" s="9" t="s">
        <v>13284</v>
      </c>
      <c r="V4210" s="9" t="s">
        <v>13284</v>
      </c>
      <c r="W4210" s="12"/>
      <c r="X4210" s="9" t="str">
        <f t="array" ref="X4210">IFERROR(INDEX('Адреса общежитий (скрытый)'!$B$2:$B$9, MATCH(W4210, 'Адреса общежитий (скрытый)'!$A$2:$A$9, 0)), "")</f>
        <v/>
      </c>
      <c r="Y4210" s="18"/>
      <c r="Z4210" s="18"/>
      <c r="AA4210" s="18"/>
      <c r="AB4210" s="18"/>
      <c r="AC4210" s="18"/>
    </row>
    <row r="4211" spans="1:29" ht="32.25" hidden="1" customHeight="1">
      <c r="A4211" s="17"/>
      <c r="B4211" s="9" t="s">
        <v>13284</v>
      </c>
      <c r="C4211" s="9" t="s">
        <v>13284</v>
      </c>
      <c r="D4211" s="9" t="s">
        <v>13284</v>
      </c>
      <c r="E4211" s="9" t="s">
        <v>13284</v>
      </c>
      <c r="F4211" s="9" t="s">
        <v>13284</v>
      </c>
      <c r="G4211" s="9" t="s">
        <v>13284</v>
      </c>
      <c r="H4211" s="9" t="s">
        <v>13284</v>
      </c>
      <c r="I4211" s="9" t="s">
        <v>13284</v>
      </c>
      <c r="J4211" s="9" t="s">
        <v>13284</v>
      </c>
      <c r="K4211" s="9" t="s">
        <v>13284</v>
      </c>
      <c r="L4211" s="9" t="s">
        <v>13284</v>
      </c>
      <c r="M4211" s="9" t="s">
        <v>13284</v>
      </c>
      <c r="N4211" s="9" t="s">
        <v>13284</v>
      </c>
      <c r="O4211" s="9" t="s">
        <v>13284</v>
      </c>
      <c r="P4211" s="9" t="s">
        <v>13284</v>
      </c>
      <c r="Q4211" s="9" t="s">
        <v>13284</v>
      </c>
      <c r="R4211" s="9" t="s">
        <v>13284</v>
      </c>
      <c r="S4211" s="9" t="s">
        <v>13284</v>
      </c>
      <c r="T4211" s="9" t="str">
        <f ca="1">IFERROR(IF(AND(VLOOKUP(A4211, 'Актуальное состояние (из общего'!A:C,3,0) = "", A4211 &lt;&gt; ""), "ПРОВЕРИТЬ", VLOOKUP(A4211, 'Актуальное состояние (из общего'!A:C,3,0)), "")</f>
        <v/>
      </c>
      <c r="U4211" s="9" t="s">
        <v>13284</v>
      </c>
      <c r="V4211" s="9" t="s">
        <v>13284</v>
      </c>
      <c r="W4211" s="12"/>
      <c r="X4211" s="9" t="str">
        <f t="array" ref="X4211">IFERROR(INDEX('Адреса общежитий (скрытый)'!$B$2:$B$9, MATCH(W4211, 'Адреса общежитий (скрытый)'!$A$2:$A$9, 0)), "")</f>
        <v/>
      </c>
      <c r="Y4211" s="18"/>
      <c r="Z4211" s="18"/>
      <c r="AA4211" s="18"/>
      <c r="AB4211" s="18"/>
      <c r="AC4211" s="18"/>
    </row>
    <row r="4212" spans="1:29" ht="32.25" hidden="1" customHeight="1">
      <c r="A4212" s="17"/>
      <c r="B4212" s="9" t="s">
        <v>13284</v>
      </c>
      <c r="C4212" s="9" t="s">
        <v>13284</v>
      </c>
      <c r="D4212" s="9" t="s">
        <v>13284</v>
      </c>
      <c r="E4212" s="9" t="s">
        <v>13284</v>
      </c>
      <c r="F4212" s="9" t="s">
        <v>13284</v>
      </c>
      <c r="G4212" s="9" t="s">
        <v>13284</v>
      </c>
      <c r="H4212" s="9" t="s">
        <v>13284</v>
      </c>
      <c r="I4212" s="9" t="s">
        <v>13284</v>
      </c>
      <c r="J4212" s="9" t="s">
        <v>13284</v>
      </c>
      <c r="K4212" s="9" t="s">
        <v>13284</v>
      </c>
      <c r="L4212" s="9" t="s">
        <v>13284</v>
      </c>
      <c r="M4212" s="9" t="s">
        <v>13284</v>
      </c>
      <c r="N4212" s="9" t="s">
        <v>13284</v>
      </c>
      <c r="O4212" s="9" t="s">
        <v>13284</v>
      </c>
      <c r="P4212" s="9" t="s">
        <v>13284</v>
      </c>
      <c r="Q4212" s="9" t="s">
        <v>13284</v>
      </c>
      <c r="R4212" s="9" t="s">
        <v>13284</v>
      </c>
      <c r="S4212" s="9" t="s">
        <v>13284</v>
      </c>
      <c r="T4212" s="9" t="str">
        <f ca="1">IFERROR(IF(AND(VLOOKUP(A4212, 'Актуальное состояние (из общего'!A:C,3,0) = "", A4212 &lt;&gt; ""), "ПРОВЕРИТЬ", VLOOKUP(A4212, 'Актуальное состояние (из общего'!A:C,3,0)), "")</f>
        <v/>
      </c>
      <c r="U4212" s="9" t="s">
        <v>13284</v>
      </c>
      <c r="V4212" s="9" t="s">
        <v>13284</v>
      </c>
      <c r="W4212" s="12"/>
      <c r="X4212" s="9" t="str">
        <f t="array" ref="X4212">IFERROR(INDEX('Адреса общежитий (скрытый)'!$B$2:$B$9, MATCH(W4212, 'Адреса общежитий (скрытый)'!$A$2:$A$9, 0)), "")</f>
        <v/>
      </c>
      <c r="Y4212" s="18"/>
      <c r="Z4212" s="18"/>
      <c r="AA4212" s="18"/>
      <c r="AB4212" s="18"/>
      <c r="AC4212" s="18"/>
    </row>
    <row r="4213" spans="1:29" ht="32.25" hidden="1" customHeight="1">
      <c r="A4213" s="17"/>
      <c r="B4213" s="9" t="s">
        <v>13284</v>
      </c>
      <c r="C4213" s="9" t="s">
        <v>13284</v>
      </c>
      <c r="D4213" s="9" t="s">
        <v>13284</v>
      </c>
      <c r="E4213" s="9" t="s">
        <v>13284</v>
      </c>
      <c r="F4213" s="9" t="s">
        <v>13284</v>
      </c>
      <c r="G4213" s="9" t="s">
        <v>13284</v>
      </c>
      <c r="H4213" s="9" t="s">
        <v>13284</v>
      </c>
      <c r="I4213" s="9" t="s">
        <v>13284</v>
      </c>
      <c r="J4213" s="9" t="s">
        <v>13284</v>
      </c>
      <c r="K4213" s="9" t="s">
        <v>13284</v>
      </c>
      <c r="L4213" s="9" t="s">
        <v>13284</v>
      </c>
      <c r="M4213" s="9" t="s">
        <v>13284</v>
      </c>
      <c r="N4213" s="9" t="s">
        <v>13284</v>
      </c>
      <c r="O4213" s="9" t="s">
        <v>13284</v>
      </c>
      <c r="P4213" s="9" t="s">
        <v>13284</v>
      </c>
      <c r="Q4213" s="9" t="s">
        <v>13284</v>
      </c>
      <c r="R4213" s="9" t="s">
        <v>13284</v>
      </c>
      <c r="S4213" s="9" t="s">
        <v>13284</v>
      </c>
      <c r="T4213" s="9" t="str">
        <f ca="1">IFERROR(IF(AND(VLOOKUP(A4213, 'Актуальное состояние (из общего'!A:C,3,0) = "", A4213 &lt;&gt; ""), "ПРОВЕРИТЬ", VLOOKUP(A4213, 'Актуальное состояние (из общего'!A:C,3,0)), "")</f>
        <v/>
      </c>
      <c r="U4213" s="9" t="s">
        <v>13284</v>
      </c>
      <c r="V4213" s="9" t="s">
        <v>13284</v>
      </c>
      <c r="W4213" s="12"/>
      <c r="X4213" s="9" t="str">
        <f t="array" ref="X4213">IFERROR(INDEX('Адреса общежитий (скрытый)'!$B$2:$B$9, MATCH(W4213, 'Адреса общежитий (скрытый)'!$A$2:$A$9, 0)), "")</f>
        <v/>
      </c>
      <c r="Y4213" s="18"/>
      <c r="Z4213" s="18"/>
      <c r="AA4213" s="18"/>
      <c r="AB4213" s="18"/>
      <c r="AC4213" s="18"/>
    </row>
    <row r="4214" spans="1:29" ht="32.25" hidden="1" customHeight="1">
      <c r="A4214" s="17"/>
      <c r="B4214" s="9" t="s">
        <v>13284</v>
      </c>
      <c r="C4214" s="9" t="s">
        <v>13284</v>
      </c>
      <c r="D4214" s="9" t="s">
        <v>13284</v>
      </c>
      <c r="E4214" s="9" t="s">
        <v>13284</v>
      </c>
      <c r="F4214" s="9" t="s">
        <v>13284</v>
      </c>
      <c r="G4214" s="9" t="s">
        <v>13284</v>
      </c>
      <c r="H4214" s="9" t="s">
        <v>13284</v>
      </c>
      <c r="I4214" s="9" t="s">
        <v>13284</v>
      </c>
      <c r="J4214" s="9" t="s">
        <v>13284</v>
      </c>
      <c r="K4214" s="9" t="s">
        <v>13284</v>
      </c>
      <c r="L4214" s="9" t="s">
        <v>13284</v>
      </c>
      <c r="M4214" s="9" t="s">
        <v>13284</v>
      </c>
      <c r="N4214" s="9" t="s">
        <v>13284</v>
      </c>
      <c r="O4214" s="9" t="s">
        <v>13284</v>
      </c>
      <c r="P4214" s="9" t="s">
        <v>13284</v>
      </c>
      <c r="Q4214" s="9" t="s">
        <v>13284</v>
      </c>
      <c r="R4214" s="9" t="s">
        <v>13284</v>
      </c>
      <c r="S4214" s="9" t="s">
        <v>13284</v>
      </c>
      <c r="T4214" s="9" t="str">
        <f ca="1">IFERROR(IF(AND(VLOOKUP(A4214, 'Актуальное состояние (из общего'!A:C,3,0) = "", A4214 &lt;&gt; ""), "ПРОВЕРИТЬ", VLOOKUP(A4214, 'Актуальное состояние (из общего'!A:C,3,0)), "")</f>
        <v/>
      </c>
      <c r="U4214" s="9" t="s">
        <v>13284</v>
      </c>
      <c r="V4214" s="9" t="s">
        <v>13284</v>
      </c>
      <c r="W4214" s="12"/>
      <c r="X4214" s="9" t="str">
        <f t="array" ref="X4214">IFERROR(INDEX('Адреса общежитий (скрытый)'!$B$2:$B$9, MATCH(W4214, 'Адреса общежитий (скрытый)'!$A$2:$A$9, 0)), "")</f>
        <v/>
      </c>
      <c r="Y4214" s="18"/>
      <c r="Z4214" s="18"/>
      <c r="AA4214" s="18"/>
      <c r="AB4214" s="18"/>
      <c r="AC4214" s="18"/>
    </row>
    <row r="4215" spans="1:29" ht="32.25" hidden="1" customHeight="1">
      <c r="A4215" s="17"/>
      <c r="B4215" s="9" t="s">
        <v>13284</v>
      </c>
      <c r="C4215" s="9" t="s">
        <v>13284</v>
      </c>
      <c r="D4215" s="9" t="s">
        <v>13284</v>
      </c>
      <c r="E4215" s="9" t="s">
        <v>13284</v>
      </c>
      <c r="F4215" s="9" t="s">
        <v>13284</v>
      </c>
      <c r="G4215" s="9" t="s">
        <v>13284</v>
      </c>
      <c r="H4215" s="9" t="s">
        <v>13284</v>
      </c>
      <c r="I4215" s="9" t="s">
        <v>13284</v>
      </c>
      <c r="J4215" s="9" t="s">
        <v>13284</v>
      </c>
      <c r="K4215" s="9" t="s">
        <v>13284</v>
      </c>
      <c r="L4215" s="9" t="s">
        <v>13284</v>
      </c>
      <c r="M4215" s="9" t="s">
        <v>13284</v>
      </c>
      <c r="N4215" s="9" t="s">
        <v>13284</v>
      </c>
      <c r="O4215" s="9" t="s">
        <v>13284</v>
      </c>
      <c r="P4215" s="9" t="s">
        <v>13284</v>
      </c>
      <c r="Q4215" s="9" t="s">
        <v>13284</v>
      </c>
      <c r="R4215" s="9" t="s">
        <v>13284</v>
      </c>
      <c r="S4215" s="9" t="s">
        <v>13284</v>
      </c>
      <c r="T4215" s="9" t="str">
        <f ca="1">IFERROR(IF(AND(VLOOKUP(A4215, 'Актуальное состояние (из общего'!A:C,3,0) = "", A4215 &lt;&gt; ""), "ПРОВЕРИТЬ", VLOOKUP(A4215, 'Актуальное состояние (из общего'!A:C,3,0)), "")</f>
        <v/>
      </c>
      <c r="U4215" s="9" t="s">
        <v>13284</v>
      </c>
      <c r="V4215" s="9" t="s">
        <v>13284</v>
      </c>
      <c r="W4215" s="12"/>
      <c r="X4215" s="9" t="str">
        <f t="array" ref="X4215">IFERROR(INDEX('Адреса общежитий (скрытый)'!$B$2:$B$9, MATCH(W4215, 'Адреса общежитий (скрытый)'!$A$2:$A$9, 0)), "")</f>
        <v/>
      </c>
      <c r="Y4215" s="18"/>
      <c r="Z4215" s="18"/>
      <c r="AA4215" s="18"/>
      <c r="AB4215" s="18"/>
      <c r="AC4215" s="18"/>
    </row>
    <row r="4216" spans="1:29" ht="32.25" hidden="1" customHeight="1">
      <c r="A4216" s="17"/>
      <c r="B4216" s="9" t="s">
        <v>13284</v>
      </c>
      <c r="C4216" s="9" t="s">
        <v>13284</v>
      </c>
      <c r="D4216" s="9" t="s">
        <v>13284</v>
      </c>
      <c r="E4216" s="9" t="s">
        <v>13284</v>
      </c>
      <c r="F4216" s="9" t="s">
        <v>13284</v>
      </c>
      <c r="G4216" s="9" t="s">
        <v>13284</v>
      </c>
      <c r="H4216" s="9" t="s">
        <v>13284</v>
      </c>
      <c r="I4216" s="9" t="s">
        <v>13284</v>
      </c>
      <c r="J4216" s="9" t="s">
        <v>13284</v>
      </c>
      <c r="K4216" s="9" t="s">
        <v>13284</v>
      </c>
      <c r="L4216" s="9" t="s">
        <v>13284</v>
      </c>
      <c r="M4216" s="9" t="s">
        <v>13284</v>
      </c>
      <c r="N4216" s="9" t="s">
        <v>13284</v>
      </c>
      <c r="O4216" s="9" t="s">
        <v>13284</v>
      </c>
      <c r="P4216" s="9" t="s">
        <v>13284</v>
      </c>
      <c r="Q4216" s="9" t="s">
        <v>13284</v>
      </c>
      <c r="R4216" s="9" t="s">
        <v>13284</v>
      </c>
      <c r="S4216" s="9" t="s">
        <v>13284</v>
      </c>
      <c r="T4216" s="9" t="str">
        <f ca="1">IFERROR(IF(AND(VLOOKUP(A4216, 'Актуальное состояние (из общего'!A:C,3,0) = "", A4216 &lt;&gt; ""), "ПРОВЕРИТЬ", VLOOKUP(A4216, 'Актуальное состояние (из общего'!A:C,3,0)), "")</f>
        <v/>
      </c>
      <c r="U4216" s="9" t="s">
        <v>13284</v>
      </c>
      <c r="V4216" s="9" t="s">
        <v>13284</v>
      </c>
      <c r="W4216" s="12"/>
      <c r="X4216" s="9" t="str">
        <f t="array" ref="X4216">IFERROR(INDEX('Адреса общежитий (скрытый)'!$B$2:$B$9, MATCH(W4216, 'Адреса общежитий (скрытый)'!$A$2:$A$9, 0)), "")</f>
        <v/>
      </c>
      <c r="Y4216" s="18"/>
      <c r="Z4216" s="18"/>
      <c r="AA4216" s="18"/>
      <c r="AB4216" s="18"/>
      <c r="AC4216" s="18"/>
    </row>
    <row r="4217" spans="1:29" ht="32.25" hidden="1" customHeight="1">
      <c r="A4217" s="17"/>
      <c r="B4217" s="9" t="s">
        <v>13284</v>
      </c>
      <c r="C4217" s="9" t="s">
        <v>13284</v>
      </c>
      <c r="D4217" s="9" t="s">
        <v>13284</v>
      </c>
      <c r="E4217" s="9" t="s">
        <v>13284</v>
      </c>
      <c r="F4217" s="9" t="s">
        <v>13284</v>
      </c>
      <c r="G4217" s="9" t="s">
        <v>13284</v>
      </c>
      <c r="H4217" s="9" t="s">
        <v>13284</v>
      </c>
      <c r="I4217" s="9" t="s">
        <v>13284</v>
      </c>
      <c r="J4217" s="9" t="s">
        <v>13284</v>
      </c>
      <c r="K4217" s="9" t="s">
        <v>13284</v>
      </c>
      <c r="L4217" s="9" t="s">
        <v>13284</v>
      </c>
      <c r="M4217" s="9" t="s">
        <v>13284</v>
      </c>
      <c r="N4217" s="9" t="s">
        <v>13284</v>
      </c>
      <c r="O4217" s="9" t="s">
        <v>13284</v>
      </c>
      <c r="P4217" s="9" t="s">
        <v>13284</v>
      </c>
      <c r="Q4217" s="9" t="s">
        <v>13284</v>
      </c>
      <c r="R4217" s="9" t="s">
        <v>13284</v>
      </c>
      <c r="S4217" s="9" t="s">
        <v>13284</v>
      </c>
      <c r="T4217" s="9" t="str">
        <f ca="1">IFERROR(IF(AND(VLOOKUP(A4217, 'Актуальное состояние (из общего'!A:C,3,0) = "", A4217 &lt;&gt; ""), "ПРОВЕРИТЬ", VLOOKUP(A4217, 'Актуальное состояние (из общего'!A:C,3,0)), "")</f>
        <v/>
      </c>
      <c r="U4217" s="9" t="s">
        <v>13284</v>
      </c>
      <c r="V4217" s="9" t="s">
        <v>13284</v>
      </c>
      <c r="W4217" s="12"/>
      <c r="X4217" s="9" t="str">
        <f t="array" ref="X4217">IFERROR(INDEX('Адреса общежитий (скрытый)'!$B$2:$B$9, MATCH(W4217, 'Адреса общежитий (скрытый)'!$A$2:$A$9, 0)), "")</f>
        <v/>
      </c>
      <c r="Y4217" s="18"/>
      <c r="Z4217" s="18"/>
      <c r="AA4217" s="18"/>
      <c r="AB4217" s="18"/>
      <c r="AC4217" s="18"/>
    </row>
    <row r="4218" spans="1:29" ht="32.25" hidden="1" customHeight="1">
      <c r="A4218" s="17"/>
      <c r="B4218" s="9" t="s">
        <v>13284</v>
      </c>
      <c r="C4218" s="9" t="s">
        <v>13284</v>
      </c>
      <c r="D4218" s="9" t="s">
        <v>13284</v>
      </c>
      <c r="E4218" s="9" t="s">
        <v>13284</v>
      </c>
      <c r="F4218" s="9" t="s">
        <v>13284</v>
      </c>
      <c r="G4218" s="9" t="s">
        <v>13284</v>
      </c>
      <c r="H4218" s="9" t="s">
        <v>13284</v>
      </c>
      <c r="I4218" s="9" t="s">
        <v>13284</v>
      </c>
      <c r="J4218" s="9" t="s">
        <v>13284</v>
      </c>
      <c r="K4218" s="9" t="s">
        <v>13284</v>
      </c>
      <c r="L4218" s="9" t="s">
        <v>13284</v>
      </c>
      <c r="M4218" s="9" t="s">
        <v>13284</v>
      </c>
      <c r="N4218" s="9" t="s">
        <v>13284</v>
      </c>
      <c r="O4218" s="9" t="s">
        <v>13284</v>
      </c>
      <c r="P4218" s="9" t="s">
        <v>13284</v>
      </c>
      <c r="Q4218" s="9" t="s">
        <v>13284</v>
      </c>
      <c r="R4218" s="9" t="s">
        <v>13284</v>
      </c>
      <c r="S4218" s="9" t="s">
        <v>13284</v>
      </c>
      <c r="T4218" s="9" t="str">
        <f ca="1">IFERROR(IF(AND(VLOOKUP(A4218, 'Актуальное состояние (из общего'!A:C,3,0) = "", A4218 &lt;&gt; ""), "ПРОВЕРИТЬ", VLOOKUP(A4218, 'Актуальное состояние (из общего'!A:C,3,0)), "")</f>
        <v/>
      </c>
      <c r="U4218" s="9" t="s">
        <v>13284</v>
      </c>
      <c r="V4218" s="9" t="s">
        <v>13284</v>
      </c>
      <c r="W4218" s="12"/>
      <c r="X4218" s="9" t="str">
        <f t="array" ref="X4218">IFERROR(INDEX('Адреса общежитий (скрытый)'!$B$2:$B$9, MATCH(W4218, 'Адреса общежитий (скрытый)'!$A$2:$A$9, 0)), "")</f>
        <v/>
      </c>
      <c r="Y4218" s="18"/>
      <c r="Z4218" s="18"/>
      <c r="AA4218" s="18"/>
      <c r="AB4218" s="18"/>
      <c r="AC4218" s="18"/>
    </row>
    <row r="4219" spans="1:29" ht="32.25" hidden="1" customHeight="1">
      <c r="A4219" s="17"/>
      <c r="B4219" s="9" t="s">
        <v>13284</v>
      </c>
      <c r="C4219" s="9" t="s">
        <v>13284</v>
      </c>
      <c r="D4219" s="9" t="s">
        <v>13284</v>
      </c>
      <c r="E4219" s="9" t="s">
        <v>13284</v>
      </c>
      <c r="F4219" s="9" t="s">
        <v>13284</v>
      </c>
      <c r="G4219" s="9" t="s">
        <v>13284</v>
      </c>
      <c r="H4219" s="9" t="s">
        <v>13284</v>
      </c>
      <c r="I4219" s="9" t="s">
        <v>13284</v>
      </c>
      <c r="J4219" s="9" t="s">
        <v>13284</v>
      </c>
      <c r="K4219" s="9" t="s">
        <v>13284</v>
      </c>
      <c r="L4219" s="9" t="s">
        <v>13284</v>
      </c>
      <c r="M4219" s="9" t="s">
        <v>13284</v>
      </c>
      <c r="N4219" s="9" t="s">
        <v>13284</v>
      </c>
      <c r="O4219" s="9" t="s">
        <v>13284</v>
      </c>
      <c r="P4219" s="9" t="s">
        <v>13284</v>
      </c>
      <c r="Q4219" s="9" t="s">
        <v>13284</v>
      </c>
      <c r="R4219" s="9" t="s">
        <v>13284</v>
      </c>
      <c r="S4219" s="9" t="s">
        <v>13284</v>
      </c>
      <c r="T4219" s="9" t="str">
        <f ca="1">IFERROR(IF(AND(VLOOKUP(A4219, 'Актуальное состояние (из общего'!A:C,3,0) = "", A4219 &lt;&gt; ""), "ПРОВЕРИТЬ", VLOOKUP(A4219, 'Актуальное состояние (из общего'!A:C,3,0)), "")</f>
        <v/>
      </c>
      <c r="U4219" s="9" t="s">
        <v>13284</v>
      </c>
      <c r="V4219" s="9" t="s">
        <v>13284</v>
      </c>
      <c r="W4219" s="12"/>
      <c r="X4219" s="9" t="str">
        <f t="array" ref="X4219">IFERROR(INDEX('Адреса общежитий (скрытый)'!$B$2:$B$9, MATCH(W4219, 'Адреса общежитий (скрытый)'!$A$2:$A$9, 0)), "")</f>
        <v/>
      </c>
      <c r="Y4219" s="18"/>
      <c r="Z4219" s="18"/>
      <c r="AA4219" s="18"/>
      <c r="AB4219" s="18"/>
      <c r="AC4219" s="18"/>
    </row>
    <row r="4220" spans="1:29" ht="32.25" hidden="1" customHeight="1">
      <c r="A4220" s="17"/>
      <c r="B4220" s="9" t="s">
        <v>13284</v>
      </c>
      <c r="C4220" s="9" t="s">
        <v>13284</v>
      </c>
      <c r="D4220" s="9" t="s">
        <v>13284</v>
      </c>
      <c r="E4220" s="9" t="s">
        <v>13284</v>
      </c>
      <c r="F4220" s="9" t="s">
        <v>13284</v>
      </c>
      <c r="G4220" s="9" t="s">
        <v>13284</v>
      </c>
      <c r="H4220" s="9" t="s">
        <v>13284</v>
      </c>
      <c r="I4220" s="9" t="s">
        <v>13284</v>
      </c>
      <c r="J4220" s="9" t="s">
        <v>13284</v>
      </c>
      <c r="K4220" s="9" t="s">
        <v>13284</v>
      </c>
      <c r="L4220" s="9" t="s">
        <v>13284</v>
      </c>
      <c r="M4220" s="9" t="s">
        <v>13284</v>
      </c>
      <c r="N4220" s="9" t="s">
        <v>13284</v>
      </c>
      <c r="O4220" s="9" t="s">
        <v>13284</v>
      </c>
      <c r="P4220" s="9" t="s">
        <v>13284</v>
      </c>
      <c r="Q4220" s="9" t="s">
        <v>13284</v>
      </c>
      <c r="R4220" s="9" t="s">
        <v>13284</v>
      </c>
      <c r="S4220" s="9" t="s">
        <v>13284</v>
      </c>
      <c r="T4220" s="9" t="str">
        <f ca="1">IFERROR(IF(AND(VLOOKUP(A4220, 'Актуальное состояние (из общего'!A:C,3,0) = "", A4220 &lt;&gt; ""), "ПРОВЕРИТЬ", VLOOKUP(A4220, 'Актуальное состояние (из общего'!A:C,3,0)), "")</f>
        <v/>
      </c>
      <c r="U4220" s="9" t="s">
        <v>13284</v>
      </c>
      <c r="V4220" s="9" t="s">
        <v>13284</v>
      </c>
      <c r="W4220" s="12"/>
      <c r="X4220" s="9" t="str">
        <f t="array" ref="X4220">IFERROR(INDEX('Адреса общежитий (скрытый)'!$B$2:$B$9, MATCH(W4220, 'Адреса общежитий (скрытый)'!$A$2:$A$9, 0)), "")</f>
        <v/>
      </c>
      <c r="Y4220" s="18"/>
      <c r="Z4220" s="18"/>
      <c r="AA4220" s="18"/>
      <c r="AB4220" s="18"/>
      <c r="AC4220" s="18"/>
    </row>
    <row r="4221" spans="1:29" ht="32.25" hidden="1" customHeight="1">
      <c r="A4221" s="17"/>
      <c r="B4221" s="9" t="s">
        <v>13284</v>
      </c>
      <c r="C4221" s="9" t="s">
        <v>13284</v>
      </c>
      <c r="D4221" s="9" t="s">
        <v>13284</v>
      </c>
      <c r="E4221" s="9" t="s">
        <v>13284</v>
      </c>
      <c r="F4221" s="9" t="s">
        <v>13284</v>
      </c>
      <c r="G4221" s="9" t="s">
        <v>13284</v>
      </c>
      <c r="H4221" s="9" t="s">
        <v>13284</v>
      </c>
      <c r="I4221" s="9" t="s">
        <v>13284</v>
      </c>
      <c r="J4221" s="9" t="s">
        <v>13284</v>
      </c>
      <c r="K4221" s="9" t="s">
        <v>13284</v>
      </c>
      <c r="L4221" s="9" t="s">
        <v>13284</v>
      </c>
      <c r="M4221" s="9" t="s">
        <v>13284</v>
      </c>
      <c r="N4221" s="9" t="s">
        <v>13284</v>
      </c>
      <c r="O4221" s="9" t="s">
        <v>13284</v>
      </c>
      <c r="P4221" s="9" t="s">
        <v>13284</v>
      </c>
      <c r="Q4221" s="9" t="s">
        <v>13284</v>
      </c>
      <c r="R4221" s="9" t="s">
        <v>13284</v>
      </c>
      <c r="S4221" s="9" t="s">
        <v>13284</v>
      </c>
      <c r="T4221" s="9" t="str">
        <f ca="1">IFERROR(IF(AND(VLOOKUP(A4221, 'Актуальное состояние (из общего'!A:C,3,0) = "", A4221 &lt;&gt; ""), "ПРОВЕРИТЬ", VLOOKUP(A4221, 'Актуальное состояние (из общего'!A:C,3,0)), "")</f>
        <v/>
      </c>
      <c r="U4221" s="9" t="s">
        <v>13284</v>
      </c>
      <c r="V4221" s="9" t="s">
        <v>13284</v>
      </c>
      <c r="W4221" s="12"/>
      <c r="X4221" s="9" t="str">
        <f t="array" ref="X4221">IFERROR(INDEX('Адреса общежитий (скрытый)'!$B$2:$B$9, MATCH(W4221, 'Адреса общежитий (скрытый)'!$A$2:$A$9, 0)), "")</f>
        <v/>
      </c>
      <c r="Y4221" s="18"/>
      <c r="Z4221" s="18"/>
      <c r="AA4221" s="18"/>
      <c r="AB4221" s="18"/>
      <c r="AC4221" s="18"/>
    </row>
    <row r="4222" spans="1:29" ht="32.25" hidden="1" customHeight="1">
      <c r="A4222" s="17"/>
      <c r="B4222" s="9" t="s">
        <v>13284</v>
      </c>
      <c r="C4222" s="9" t="s">
        <v>13284</v>
      </c>
      <c r="D4222" s="9" t="s">
        <v>13284</v>
      </c>
      <c r="E4222" s="9" t="s">
        <v>13284</v>
      </c>
      <c r="F4222" s="9" t="s">
        <v>13284</v>
      </c>
      <c r="G4222" s="9" t="s">
        <v>13284</v>
      </c>
      <c r="H4222" s="9" t="s">
        <v>13284</v>
      </c>
      <c r="I4222" s="9" t="s">
        <v>13284</v>
      </c>
      <c r="J4222" s="9" t="s">
        <v>13284</v>
      </c>
      <c r="K4222" s="9" t="s">
        <v>13284</v>
      </c>
      <c r="L4222" s="9" t="s">
        <v>13284</v>
      </c>
      <c r="M4222" s="9" t="s">
        <v>13284</v>
      </c>
      <c r="N4222" s="9" t="s">
        <v>13284</v>
      </c>
      <c r="O4222" s="9" t="s">
        <v>13284</v>
      </c>
      <c r="P4222" s="9" t="s">
        <v>13284</v>
      </c>
      <c r="Q4222" s="9" t="s">
        <v>13284</v>
      </c>
      <c r="R4222" s="9" t="s">
        <v>13284</v>
      </c>
      <c r="S4222" s="9" t="s">
        <v>13284</v>
      </c>
      <c r="T4222" s="9" t="str">
        <f ca="1">IFERROR(IF(AND(VLOOKUP(A4222, 'Актуальное состояние (из общего'!A:C,3,0) = "", A4222 &lt;&gt; ""), "ПРОВЕРИТЬ", VLOOKUP(A4222, 'Актуальное состояние (из общего'!A:C,3,0)), "")</f>
        <v/>
      </c>
      <c r="U4222" s="9" t="s">
        <v>13284</v>
      </c>
      <c r="V4222" s="9" t="s">
        <v>13284</v>
      </c>
      <c r="W4222" s="12"/>
      <c r="X4222" s="9" t="str">
        <f t="array" ref="X4222">IFERROR(INDEX('Адреса общежитий (скрытый)'!$B$2:$B$9, MATCH(W4222, 'Адреса общежитий (скрытый)'!$A$2:$A$9, 0)), "")</f>
        <v/>
      </c>
      <c r="Y4222" s="18"/>
      <c r="Z4222" s="18"/>
      <c r="AA4222" s="18"/>
      <c r="AB4222" s="18"/>
      <c r="AC4222" s="18"/>
    </row>
    <row r="4223" spans="1:29" ht="32.25" hidden="1" customHeight="1">
      <c r="A4223" s="17"/>
      <c r="B4223" s="9" t="s">
        <v>13284</v>
      </c>
      <c r="C4223" s="9" t="s">
        <v>13284</v>
      </c>
      <c r="D4223" s="9" t="s">
        <v>13284</v>
      </c>
      <c r="E4223" s="9" t="s">
        <v>13284</v>
      </c>
      <c r="F4223" s="9" t="s">
        <v>13284</v>
      </c>
      <c r="G4223" s="9" t="s">
        <v>13284</v>
      </c>
      <c r="H4223" s="9" t="s">
        <v>13284</v>
      </c>
      <c r="I4223" s="9" t="s">
        <v>13284</v>
      </c>
      <c r="J4223" s="9" t="s">
        <v>13284</v>
      </c>
      <c r="K4223" s="9" t="s">
        <v>13284</v>
      </c>
      <c r="L4223" s="9" t="s">
        <v>13284</v>
      </c>
      <c r="M4223" s="9" t="s">
        <v>13284</v>
      </c>
      <c r="N4223" s="9" t="s">
        <v>13284</v>
      </c>
      <c r="O4223" s="9" t="s">
        <v>13284</v>
      </c>
      <c r="P4223" s="9" t="s">
        <v>13284</v>
      </c>
      <c r="Q4223" s="9" t="s">
        <v>13284</v>
      </c>
      <c r="R4223" s="9" t="s">
        <v>13284</v>
      </c>
      <c r="S4223" s="9" t="s">
        <v>13284</v>
      </c>
      <c r="T4223" s="9" t="str">
        <f ca="1">IFERROR(IF(AND(VLOOKUP(A4223, 'Актуальное состояние (из общего'!A:C,3,0) = "", A4223 &lt;&gt; ""), "ПРОВЕРИТЬ", VLOOKUP(A4223, 'Актуальное состояние (из общего'!A:C,3,0)), "")</f>
        <v/>
      </c>
      <c r="U4223" s="9" t="s">
        <v>13284</v>
      </c>
      <c r="V4223" s="9" t="s">
        <v>13284</v>
      </c>
      <c r="W4223" s="12"/>
      <c r="X4223" s="9" t="str">
        <f t="array" ref="X4223">IFERROR(INDEX('Адреса общежитий (скрытый)'!$B$2:$B$9, MATCH(W4223, 'Адреса общежитий (скрытый)'!$A$2:$A$9, 0)), "")</f>
        <v/>
      </c>
      <c r="Y4223" s="18"/>
      <c r="Z4223" s="18"/>
      <c r="AA4223" s="18"/>
      <c r="AB4223" s="18"/>
      <c r="AC4223" s="18"/>
    </row>
    <row r="4224" spans="1:29" ht="32.25" hidden="1" customHeight="1">
      <c r="A4224" s="17"/>
      <c r="B4224" s="9" t="s">
        <v>13284</v>
      </c>
      <c r="C4224" s="9" t="s">
        <v>13284</v>
      </c>
      <c r="D4224" s="9" t="s">
        <v>13284</v>
      </c>
      <c r="E4224" s="9" t="s">
        <v>13284</v>
      </c>
      <c r="F4224" s="9" t="s">
        <v>13284</v>
      </c>
      <c r="G4224" s="9" t="s">
        <v>13284</v>
      </c>
      <c r="H4224" s="9" t="s">
        <v>13284</v>
      </c>
      <c r="I4224" s="9" t="s">
        <v>13284</v>
      </c>
      <c r="J4224" s="9" t="s">
        <v>13284</v>
      </c>
      <c r="K4224" s="9" t="s">
        <v>13284</v>
      </c>
      <c r="L4224" s="9" t="s">
        <v>13284</v>
      </c>
      <c r="M4224" s="9" t="s">
        <v>13284</v>
      </c>
      <c r="N4224" s="9" t="s">
        <v>13284</v>
      </c>
      <c r="O4224" s="9" t="s">
        <v>13284</v>
      </c>
      <c r="P4224" s="9" t="s">
        <v>13284</v>
      </c>
      <c r="Q4224" s="9" t="s">
        <v>13284</v>
      </c>
      <c r="R4224" s="9" t="s">
        <v>13284</v>
      </c>
      <c r="S4224" s="9" t="s">
        <v>13284</v>
      </c>
      <c r="T4224" s="9" t="str">
        <f ca="1">IFERROR(IF(AND(VLOOKUP(A4224, 'Актуальное состояние (из общего'!A:C,3,0) = "", A4224 &lt;&gt; ""), "ПРОВЕРИТЬ", VLOOKUP(A4224, 'Актуальное состояние (из общего'!A:C,3,0)), "")</f>
        <v/>
      </c>
      <c r="U4224" s="9" t="s">
        <v>13284</v>
      </c>
      <c r="V4224" s="9" t="s">
        <v>13284</v>
      </c>
      <c r="W4224" s="12"/>
      <c r="X4224" s="9" t="str">
        <f t="array" ref="X4224">IFERROR(INDEX('Адреса общежитий (скрытый)'!$B$2:$B$9, MATCH(W4224, 'Адреса общежитий (скрытый)'!$A$2:$A$9, 0)), "")</f>
        <v/>
      </c>
      <c r="Y4224" s="18"/>
      <c r="Z4224" s="18"/>
      <c r="AA4224" s="18"/>
      <c r="AB4224" s="18"/>
      <c r="AC4224" s="18"/>
    </row>
    <row r="4225" spans="1:29" ht="32.25" hidden="1" customHeight="1">
      <c r="A4225" s="17"/>
      <c r="B4225" s="9" t="s">
        <v>13284</v>
      </c>
      <c r="C4225" s="9" t="s">
        <v>13284</v>
      </c>
      <c r="D4225" s="9" t="s">
        <v>13284</v>
      </c>
      <c r="E4225" s="9" t="s">
        <v>13284</v>
      </c>
      <c r="F4225" s="9" t="s">
        <v>13284</v>
      </c>
      <c r="G4225" s="9" t="s">
        <v>13284</v>
      </c>
      <c r="H4225" s="9" t="s">
        <v>13284</v>
      </c>
      <c r="I4225" s="9" t="s">
        <v>13284</v>
      </c>
      <c r="J4225" s="9" t="s">
        <v>13284</v>
      </c>
      <c r="K4225" s="9" t="s">
        <v>13284</v>
      </c>
      <c r="L4225" s="9" t="s">
        <v>13284</v>
      </c>
      <c r="M4225" s="9" t="s">
        <v>13284</v>
      </c>
      <c r="N4225" s="9" t="s">
        <v>13284</v>
      </c>
      <c r="O4225" s="9" t="s">
        <v>13284</v>
      </c>
      <c r="P4225" s="9" t="s">
        <v>13284</v>
      </c>
      <c r="Q4225" s="9" t="s">
        <v>13284</v>
      </c>
      <c r="R4225" s="9" t="s">
        <v>13284</v>
      </c>
      <c r="S4225" s="9" t="s">
        <v>13284</v>
      </c>
      <c r="T4225" s="9" t="str">
        <f ca="1">IFERROR(IF(AND(VLOOKUP(A4225, 'Актуальное состояние (из общего'!A:C,3,0) = "", A4225 &lt;&gt; ""), "ПРОВЕРИТЬ", VLOOKUP(A4225, 'Актуальное состояние (из общего'!A:C,3,0)), "")</f>
        <v/>
      </c>
      <c r="U4225" s="9" t="s">
        <v>13284</v>
      </c>
      <c r="V4225" s="9" t="s">
        <v>13284</v>
      </c>
      <c r="W4225" s="12"/>
      <c r="X4225" s="9" t="str">
        <f t="array" ref="X4225">IFERROR(INDEX('Адреса общежитий (скрытый)'!$B$2:$B$9, MATCH(W4225, 'Адреса общежитий (скрытый)'!$A$2:$A$9, 0)), "")</f>
        <v/>
      </c>
      <c r="Y4225" s="18"/>
      <c r="Z4225" s="18"/>
      <c r="AA4225" s="18"/>
      <c r="AB4225" s="18"/>
      <c r="AC4225" s="18"/>
    </row>
    <row r="4226" spans="1:29" ht="32.25" hidden="1" customHeight="1">
      <c r="A4226" s="17"/>
      <c r="B4226" s="9" t="s">
        <v>13284</v>
      </c>
      <c r="C4226" s="9" t="s">
        <v>13284</v>
      </c>
      <c r="D4226" s="9" t="s">
        <v>13284</v>
      </c>
      <c r="E4226" s="9" t="s">
        <v>13284</v>
      </c>
      <c r="F4226" s="9" t="s">
        <v>13284</v>
      </c>
      <c r="G4226" s="9" t="s">
        <v>13284</v>
      </c>
      <c r="H4226" s="9" t="s">
        <v>13284</v>
      </c>
      <c r="I4226" s="9" t="s">
        <v>13284</v>
      </c>
      <c r="J4226" s="9" t="s">
        <v>13284</v>
      </c>
      <c r="K4226" s="9" t="s">
        <v>13284</v>
      </c>
      <c r="L4226" s="9" t="s">
        <v>13284</v>
      </c>
      <c r="M4226" s="9" t="s">
        <v>13284</v>
      </c>
      <c r="N4226" s="9" t="s">
        <v>13284</v>
      </c>
      <c r="O4226" s="9" t="s">
        <v>13284</v>
      </c>
      <c r="P4226" s="9" t="s">
        <v>13284</v>
      </c>
      <c r="Q4226" s="9" t="s">
        <v>13284</v>
      </c>
      <c r="R4226" s="9" t="s">
        <v>13284</v>
      </c>
      <c r="S4226" s="9" t="s">
        <v>13284</v>
      </c>
      <c r="T4226" s="9" t="str">
        <f ca="1">IFERROR(IF(AND(VLOOKUP(A4226, 'Актуальное состояние (из общего'!A:C,3,0) = "", A4226 &lt;&gt; ""), "ПРОВЕРИТЬ", VLOOKUP(A4226, 'Актуальное состояние (из общего'!A:C,3,0)), "")</f>
        <v/>
      </c>
      <c r="U4226" s="9" t="s">
        <v>13284</v>
      </c>
      <c r="V4226" s="9" t="s">
        <v>13284</v>
      </c>
      <c r="W4226" s="12"/>
      <c r="X4226" s="9" t="str">
        <f t="array" ref="X4226">IFERROR(INDEX('Адреса общежитий (скрытый)'!$B$2:$B$9, MATCH(W4226, 'Адреса общежитий (скрытый)'!$A$2:$A$9, 0)), "")</f>
        <v/>
      </c>
      <c r="Y4226" s="18"/>
      <c r="Z4226" s="18"/>
      <c r="AA4226" s="18"/>
      <c r="AB4226" s="18"/>
      <c r="AC4226" s="18"/>
    </row>
    <row r="4227" spans="1:29" ht="32.25" hidden="1" customHeight="1">
      <c r="A4227" s="17"/>
      <c r="B4227" s="9" t="s">
        <v>13284</v>
      </c>
      <c r="C4227" s="9" t="s">
        <v>13284</v>
      </c>
      <c r="D4227" s="9" t="s">
        <v>13284</v>
      </c>
      <c r="E4227" s="9" t="s">
        <v>13284</v>
      </c>
      <c r="F4227" s="9" t="s">
        <v>13284</v>
      </c>
      <c r="G4227" s="9" t="s">
        <v>13284</v>
      </c>
      <c r="H4227" s="9" t="s">
        <v>13284</v>
      </c>
      <c r="I4227" s="9" t="s">
        <v>13284</v>
      </c>
      <c r="J4227" s="9" t="s">
        <v>13284</v>
      </c>
      <c r="K4227" s="9" t="s">
        <v>13284</v>
      </c>
      <c r="L4227" s="9" t="s">
        <v>13284</v>
      </c>
      <c r="M4227" s="9" t="s">
        <v>13284</v>
      </c>
      <c r="N4227" s="9" t="s">
        <v>13284</v>
      </c>
      <c r="O4227" s="9" t="s">
        <v>13284</v>
      </c>
      <c r="P4227" s="9" t="s">
        <v>13284</v>
      </c>
      <c r="Q4227" s="9" t="s">
        <v>13284</v>
      </c>
      <c r="R4227" s="9" t="s">
        <v>13284</v>
      </c>
      <c r="S4227" s="9" t="s">
        <v>13284</v>
      </c>
      <c r="T4227" s="9" t="str">
        <f ca="1">IFERROR(IF(AND(VLOOKUP(A4227, 'Актуальное состояние (из общего'!A:C,3,0) = "", A4227 &lt;&gt; ""), "ПРОВЕРИТЬ", VLOOKUP(A4227, 'Актуальное состояние (из общего'!A:C,3,0)), "")</f>
        <v/>
      </c>
      <c r="U4227" s="9" t="s">
        <v>13284</v>
      </c>
      <c r="V4227" s="9" t="s">
        <v>13284</v>
      </c>
      <c r="W4227" s="12"/>
      <c r="X4227" s="9" t="str">
        <f t="array" ref="X4227">IFERROR(INDEX('Адреса общежитий (скрытый)'!$B$2:$B$9, MATCH(W4227, 'Адреса общежитий (скрытый)'!$A$2:$A$9, 0)), "")</f>
        <v/>
      </c>
      <c r="Y4227" s="18"/>
      <c r="Z4227" s="18"/>
      <c r="AA4227" s="18"/>
      <c r="AB4227" s="18"/>
      <c r="AC4227" s="18"/>
    </row>
    <row r="4228" spans="1:29" ht="32.25" hidden="1" customHeight="1">
      <c r="A4228" s="17"/>
      <c r="B4228" s="9" t="s">
        <v>13284</v>
      </c>
      <c r="C4228" s="9" t="s">
        <v>13284</v>
      </c>
      <c r="D4228" s="9" t="s">
        <v>13284</v>
      </c>
      <c r="E4228" s="9" t="s">
        <v>13284</v>
      </c>
      <c r="F4228" s="9" t="s">
        <v>13284</v>
      </c>
      <c r="G4228" s="9" t="s">
        <v>13284</v>
      </c>
      <c r="H4228" s="9" t="s">
        <v>13284</v>
      </c>
      <c r="I4228" s="9" t="s">
        <v>13284</v>
      </c>
      <c r="J4228" s="9" t="s">
        <v>13284</v>
      </c>
      <c r="K4228" s="9" t="s">
        <v>13284</v>
      </c>
      <c r="L4228" s="9" t="s">
        <v>13284</v>
      </c>
      <c r="M4228" s="9" t="s">
        <v>13284</v>
      </c>
      <c r="N4228" s="9" t="s">
        <v>13284</v>
      </c>
      <c r="O4228" s="9" t="s">
        <v>13284</v>
      </c>
      <c r="P4228" s="9" t="s">
        <v>13284</v>
      </c>
      <c r="Q4228" s="9" t="s">
        <v>13284</v>
      </c>
      <c r="R4228" s="9" t="s">
        <v>13284</v>
      </c>
      <c r="S4228" s="9" t="s">
        <v>13284</v>
      </c>
      <c r="T4228" s="9" t="str">
        <f ca="1">IFERROR(IF(AND(VLOOKUP(A4228, 'Актуальное состояние (из общего'!A:C,3,0) = "", A4228 &lt;&gt; ""), "ПРОВЕРИТЬ", VLOOKUP(A4228, 'Актуальное состояние (из общего'!A:C,3,0)), "")</f>
        <v/>
      </c>
      <c r="U4228" s="9" t="s">
        <v>13284</v>
      </c>
      <c r="V4228" s="9" t="s">
        <v>13284</v>
      </c>
      <c r="W4228" s="12"/>
      <c r="X4228" s="9" t="str">
        <f t="array" ref="X4228">IFERROR(INDEX('Адреса общежитий (скрытый)'!$B$2:$B$9, MATCH(W4228, 'Адреса общежитий (скрытый)'!$A$2:$A$9, 0)), "")</f>
        <v/>
      </c>
      <c r="Y4228" s="18"/>
      <c r="Z4228" s="18"/>
      <c r="AA4228" s="18"/>
      <c r="AB4228" s="18"/>
      <c r="AC4228" s="18"/>
    </row>
    <row r="4229" spans="1:29" ht="32.25" hidden="1" customHeight="1">
      <c r="A4229" s="17"/>
      <c r="B4229" s="9" t="s">
        <v>13284</v>
      </c>
      <c r="C4229" s="9" t="s">
        <v>13284</v>
      </c>
      <c r="D4229" s="9" t="s">
        <v>13284</v>
      </c>
      <c r="E4229" s="9" t="s">
        <v>13284</v>
      </c>
      <c r="F4229" s="9" t="s">
        <v>13284</v>
      </c>
      <c r="G4229" s="9" t="s">
        <v>13284</v>
      </c>
      <c r="H4229" s="9" t="s">
        <v>13284</v>
      </c>
      <c r="I4229" s="9" t="s">
        <v>13284</v>
      </c>
      <c r="J4229" s="9" t="s">
        <v>13284</v>
      </c>
      <c r="K4229" s="9" t="s">
        <v>13284</v>
      </c>
      <c r="L4229" s="9" t="s">
        <v>13284</v>
      </c>
      <c r="M4229" s="9" t="s">
        <v>13284</v>
      </c>
      <c r="N4229" s="9" t="s">
        <v>13284</v>
      </c>
      <c r="O4229" s="9" t="s">
        <v>13284</v>
      </c>
      <c r="P4229" s="9" t="s">
        <v>13284</v>
      </c>
      <c r="Q4229" s="9" t="s">
        <v>13284</v>
      </c>
      <c r="R4229" s="9" t="s">
        <v>13284</v>
      </c>
      <c r="S4229" s="9" t="s">
        <v>13284</v>
      </c>
      <c r="T4229" s="9" t="str">
        <f ca="1">IFERROR(IF(AND(VLOOKUP(A4229, 'Актуальное состояние (из общего'!A:C,3,0) = "", A4229 &lt;&gt; ""), "ПРОВЕРИТЬ", VLOOKUP(A4229, 'Актуальное состояние (из общего'!A:C,3,0)), "")</f>
        <v/>
      </c>
      <c r="U4229" s="9" t="s">
        <v>13284</v>
      </c>
      <c r="V4229" s="9" t="s">
        <v>13284</v>
      </c>
      <c r="W4229" s="12"/>
      <c r="X4229" s="9" t="str">
        <f t="array" ref="X4229">IFERROR(INDEX('Адреса общежитий (скрытый)'!$B$2:$B$9, MATCH(W4229, 'Адреса общежитий (скрытый)'!$A$2:$A$9, 0)), "")</f>
        <v/>
      </c>
      <c r="Y4229" s="18"/>
      <c r="Z4229" s="18"/>
      <c r="AA4229" s="18"/>
      <c r="AB4229" s="18"/>
      <c r="AC4229" s="18"/>
    </row>
    <row r="4230" spans="1:29" ht="32.25" hidden="1" customHeight="1">
      <c r="A4230" s="17"/>
      <c r="B4230" s="9" t="s">
        <v>13284</v>
      </c>
      <c r="C4230" s="9" t="s">
        <v>13284</v>
      </c>
      <c r="D4230" s="9" t="s">
        <v>13284</v>
      </c>
      <c r="E4230" s="9" t="s">
        <v>13284</v>
      </c>
      <c r="F4230" s="9" t="s">
        <v>13284</v>
      </c>
      <c r="G4230" s="9" t="s">
        <v>13284</v>
      </c>
      <c r="H4230" s="9" t="s">
        <v>13284</v>
      </c>
      <c r="I4230" s="9" t="s">
        <v>13284</v>
      </c>
      <c r="J4230" s="9" t="s">
        <v>13284</v>
      </c>
      <c r="K4230" s="9" t="s">
        <v>13284</v>
      </c>
      <c r="L4230" s="9" t="s">
        <v>13284</v>
      </c>
      <c r="M4230" s="9" t="s">
        <v>13284</v>
      </c>
      <c r="N4230" s="9" t="s">
        <v>13284</v>
      </c>
      <c r="O4230" s="9" t="s">
        <v>13284</v>
      </c>
      <c r="P4230" s="9" t="s">
        <v>13284</v>
      </c>
      <c r="Q4230" s="9" t="s">
        <v>13284</v>
      </c>
      <c r="R4230" s="9" t="s">
        <v>13284</v>
      </c>
      <c r="S4230" s="9" t="s">
        <v>13284</v>
      </c>
      <c r="T4230" s="9" t="str">
        <f ca="1">IFERROR(IF(AND(VLOOKUP(A4230, 'Актуальное состояние (из общего'!A:C,3,0) = "", A4230 &lt;&gt; ""), "ПРОВЕРИТЬ", VLOOKUP(A4230, 'Актуальное состояние (из общего'!A:C,3,0)), "")</f>
        <v/>
      </c>
      <c r="U4230" s="9" t="s">
        <v>13284</v>
      </c>
      <c r="V4230" s="9" t="s">
        <v>13284</v>
      </c>
      <c r="W4230" s="12"/>
      <c r="X4230" s="9" t="str">
        <f t="array" ref="X4230">IFERROR(INDEX('Адреса общежитий (скрытый)'!$B$2:$B$9, MATCH(W4230, 'Адреса общежитий (скрытый)'!$A$2:$A$9, 0)), "")</f>
        <v/>
      </c>
      <c r="Y4230" s="18"/>
      <c r="Z4230" s="18"/>
      <c r="AA4230" s="18"/>
      <c r="AB4230" s="18"/>
      <c r="AC4230" s="18"/>
    </row>
    <row r="4231" spans="1:29" ht="32.25" hidden="1" customHeight="1">
      <c r="A4231" s="17"/>
      <c r="B4231" s="9" t="s">
        <v>13284</v>
      </c>
      <c r="C4231" s="9" t="s">
        <v>13284</v>
      </c>
      <c r="D4231" s="9" t="s">
        <v>13284</v>
      </c>
      <c r="E4231" s="9" t="s">
        <v>13284</v>
      </c>
      <c r="F4231" s="9" t="s">
        <v>13284</v>
      </c>
      <c r="G4231" s="9" t="s">
        <v>13284</v>
      </c>
      <c r="H4231" s="9" t="s">
        <v>13284</v>
      </c>
      <c r="I4231" s="9" t="s">
        <v>13284</v>
      </c>
      <c r="J4231" s="9" t="s">
        <v>13284</v>
      </c>
      <c r="K4231" s="9" t="s">
        <v>13284</v>
      </c>
      <c r="L4231" s="9" t="s">
        <v>13284</v>
      </c>
      <c r="M4231" s="9" t="s">
        <v>13284</v>
      </c>
      <c r="N4231" s="9" t="s">
        <v>13284</v>
      </c>
      <c r="O4231" s="9" t="s">
        <v>13284</v>
      </c>
      <c r="P4231" s="9" t="s">
        <v>13284</v>
      </c>
      <c r="Q4231" s="9" t="s">
        <v>13284</v>
      </c>
      <c r="R4231" s="9" t="s">
        <v>13284</v>
      </c>
      <c r="S4231" s="9" t="s">
        <v>13284</v>
      </c>
      <c r="T4231" s="9" t="str">
        <f ca="1">IFERROR(IF(AND(VLOOKUP(A4231, 'Актуальное состояние (из общего'!A:C,3,0) = "", A4231 &lt;&gt; ""), "ПРОВЕРИТЬ", VLOOKUP(A4231, 'Актуальное состояние (из общего'!A:C,3,0)), "")</f>
        <v/>
      </c>
      <c r="U4231" s="9" t="s">
        <v>13284</v>
      </c>
      <c r="V4231" s="9" t="s">
        <v>13284</v>
      </c>
      <c r="W4231" s="12"/>
      <c r="X4231" s="9" t="str">
        <f t="array" ref="X4231">IFERROR(INDEX('Адреса общежитий (скрытый)'!$B$2:$B$9, MATCH(W4231, 'Адреса общежитий (скрытый)'!$A$2:$A$9, 0)), "")</f>
        <v/>
      </c>
      <c r="Y4231" s="18"/>
      <c r="Z4231" s="18"/>
      <c r="AA4231" s="18"/>
      <c r="AB4231" s="18"/>
      <c r="AC4231" s="18"/>
    </row>
    <row r="4232" spans="1:29" ht="32.25" hidden="1" customHeight="1">
      <c r="A4232" s="17"/>
      <c r="B4232" s="9" t="s">
        <v>13284</v>
      </c>
      <c r="C4232" s="9" t="s">
        <v>13284</v>
      </c>
      <c r="D4232" s="9" t="s">
        <v>13284</v>
      </c>
      <c r="E4232" s="9" t="s">
        <v>13284</v>
      </c>
      <c r="F4232" s="9" t="s">
        <v>13284</v>
      </c>
      <c r="G4232" s="9" t="s">
        <v>13284</v>
      </c>
      <c r="H4232" s="9" t="s">
        <v>13284</v>
      </c>
      <c r="I4232" s="9" t="s">
        <v>13284</v>
      </c>
      <c r="J4232" s="9" t="s">
        <v>13284</v>
      </c>
      <c r="K4232" s="9" t="s">
        <v>13284</v>
      </c>
      <c r="L4232" s="9" t="s">
        <v>13284</v>
      </c>
      <c r="M4232" s="9" t="s">
        <v>13284</v>
      </c>
      <c r="N4232" s="9" t="s">
        <v>13284</v>
      </c>
      <c r="O4232" s="9" t="s">
        <v>13284</v>
      </c>
      <c r="P4232" s="9" t="s">
        <v>13284</v>
      </c>
      <c r="Q4232" s="9" t="s">
        <v>13284</v>
      </c>
      <c r="R4232" s="9" t="s">
        <v>13284</v>
      </c>
      <c r="S4232" s="9" t="s">
        <v>13284</v>
      </c>
      <c r="T4232" s="9" t="str">
        <f ca="1">IFERROR(IF(AND(VLOOKUP(A4232, 'Актуальное состояние (из общего'!A:C,3,0) = "", A4232 &lt;&gt; ""), "ПРОВЕРИТЬ", VLOOKUP(A4232, 'Актуальное состояние (из общего'!A:C,3,0)), "")</f>
        <v/>
      </c>
      <c r="U4232" s="9" t="s">
        <v>13284</v>
      </c>
      <c r="V4232" s="9" t="s">
        <v>13284</v>
      </c>
      <c r="W4232" s="12"/>
      <c r="X4232" s="9" t="str">
        <f t="array" ref="X4232">IFERROR(INDEX('Адреса общежитий (скрытый)'!$B$2:$B$9, MATCH(W4232, 'Адреса общежитий (скрытый)'!$A$2:$A$9, 0)), "")</f>
        <v/>
      </c>
      <c r="Y4232" s="18"/>
      <c r="Z4232" s="18"/>
      <c r="AA4232" s="18"/>
      <c r="AB4232" s="18"/>
      <c r="AC4232" s="18"/>
    </row>
    <row r="4233" spans="1:29" ht="32.25" hidden="1" customHeight="1">
      <c r="A4233" s="17"/>
      <c r="B4233" s="9" t="s">
        <v>13284</v>
      </c>
      <c r="C4233" s="9" t="s">
        <v>13284</v>
      </c>
      <c r="D4233" s="9" t="s">
        <v>13284</v>
      </c>
      <c r="E4233" s="9" t="s">
        <v>13284</v>
      </c>
      <c r="F4233" s="9" t="s">
        <v>13284</v>
      </c>
      <c r="G4233" s="9" t="s">
        <v>13284</v>
      </c>
      <c r="H4233" s="9" t="s">
        <v>13284</v>
      </c>
      <c r="I4233" s="9" t="s">
        <v>13284</v>
      </c>
      <c r="J4233" s="9" t="s">
        <v>13284</v>
      </c>
      <c r="K4233" s="9" t="s">
        <v>13284</v>
      </c>
      <c r="L4233" s="9" t="s">
        <v>13284</v>
      </c>
      <c r="M4233" s="9" t="s">
        <v>13284</v>
      </c>
      <c r="N4233" s="9" t="s">
        <v>13284</v>
      </c>
      <c r="O4233" s="9" t="s">
        <v>13284</v>
      </c>
      <c r="P4233" s="9" t="s">
        <v>13284</v>
      </c>
      <c r="Q4233" s="9" t="s">
        <v>13284</v>
      </c>
      <c r="R4233" s="9" t="s">
        <v>13284</v>
      </c>
      <c r="S4233" s="9" t="s">
        <v>13284</v>
      </c>
      <c r="T4233" s="9" t="str">
        <f ca="1">IFERROR(IF(AND(VLOOKUP(A4233, 'Актуальное состояние (из общего'!A:C,3,0) = "", A4233 &lt;&gt; ""), "ПРОВЕРИТЬ", VLOOKUP(A4233, 'Актуальное состояние (из общего'!A:C,3,0)), "")</f>
        <v/>
      </c>
      <c r="U4233" s="9" t="s">
        <v>13284</v>
      </c>
      <c r="V4233" s="9" t="s">
        <v>13284</v>
      </c>
      <c r="W4233" s="12"/>
      <c r="X4233" s="9" t="str">
        <f t="array" ref="X4233">IFERROR(INDEX('Адреса общежитий (скрытый)'!$B$2:$B$9, MATCH(W4233, 'Адреса общежитий (скрытый)'!$A$2:$A$9, 0)), "")</f>
        <v/>
      </c>
      <c r="Y4233" s="18"/>
      <c r="Z4233" s="18"/>
      <c r="AA4233" s="18"/>
      <c r="AB4233" s="18"/>
      <c r="AC4233" s="18"/>
    </row>
    <row r="4234" spans="1:29" ht="32.25" hidden="1" customHeight="1">
      <c r="A4234" s="17"/>
      <c r="B4234" s="9" t="s">
        <v>13284</v>
      </c>
      <c r="C4234" s="9" t="s">
        <v>13284</v>
      </c>
      <c r="D4234" s="9" t="s">
        <v>13284</v>
      </c>
      <c r="E4234" s="9" t="s">
        <v>13284</v>
      </c>
      <c r="F4234" s="9" t="s">
        <v>13284</v>
      </c>
      <c r="G4234" s="9" t="s">
        <v>13284</v>
      </c>
      <c r="H4234" s="9" t="s">
        <v>13284</v>
      </c>
      <c r="I4234" s="9" t="s">
        <v>13284</v>
      </c>
      <c r="J4234" s="9" t="s">
        <v>13284</v>
      </c>
      <c r="K4234" s="9" t="s">
        <v>13284</v>
      </c>
      <c r="L4234" s="9" t="s">
        <v>13284</v>
      </c>
      <c r="M4234" s="9" t="s">
        <v>13284</v>
      </c>
      <c r="N4234" s="9" t="s">
        <v>13284</v>
      </c>
      <c r="O4234" s="9" t="s">
        <v>13284</v>
      </c>
      <c r="P4234" s="9" t="s">
        <v>13284</v>
      </c>
      <c r="Q4234" s="9" t="s">
        <v>13284</v>
      </c>
      <c r="R4234" s="9" t="s">
        <v>13284</v>
      </c>
      <c r="S4234" s="9" t="s">
        <v>13284</v>
      </c>
      <c r="T4234" s="9" t="str">
        <f ca="1">IFERROR(IF(AND(VLOOKUP(A4234, 'Актуальное состояние (из общего'!A:C,3,0) = "", A4234 &lt;&gt; ""), "ПРОВЕРИТЬ", VLOOKUP(A4234, 'Актуальное состояние (из общего'!A:C,3,0)), "")</f>
        <v/>
      </c>
      <c r="U4234" s="9" t="s">
        <v>13284</v>
      </c>
      <c r="V4234" s="9" t="s">
        <v>13284</v>
      </c>
      <c r="W4234" s="12"/>
      <c r="X4234" s="9" t="str">
        <f t="array" ref="X4234">IFERROR(INDEX('Адреса общежитий (скрытый)'!$B$2:$B$9, MATCH(W4234, 'Адреса общежитий (скрытый)'!$A$2:$A$9, 0)), "")</f>
        <v/>
      </c>
      <c r="Y4234" s="18"/>
      <c r="Z4234" s="18"/>
      <c r="AA4234" s="18"/>
      <c r="AB4234" s="18"/>
      <c r="AC4234" s="18"/>
    </row>
    <row r="4235" spans="1:29" ht="32.25" hidden="1" customHeight="1">
      <c r="A4235" s="17"/>
      <c r="B4235" s="9" t="s">
        <v>13284</v>
      </c>
      <c r="C4235" s="9" t="s">
        <v>13284</v>
      </c>
      <c r="D4235" s="9" t="s">
        <v>13284</v>
      </c>
      <c r="E4235" s="9" t="s">
        <v>13284</v>
      </c>
      <c r="F4235" s="9" t="s">
        <v>13284</v>
      </c>
      <c r="G4235" s="9" t="s">
        <v>13284</v>
      </c>
      <c r="H4235" s="9" t="s">
        <v>13284</v>
      </c>
      <c r="I4235" s="9" t="s">
        <v>13284</v>
      </c>
      <c r="J4235" s="9" t="s">
        <v>13284</v>
      </c>
      <c r="K4235" s="9" t="s">
        <v>13284</v>
      </c>
      <c r="L4235" s="9" t="s">
        <v>13284</v>
      </c>
      <c r="M4235" s="9" t="s">
        <v>13284</v>
      </c>
      <c r="N4235" s="9" t="s">
        <v>13284</v>
      </c>
      <c r="O4235" s="9" t="s">
        <v>13284</v>
      </c>
      <c r="P4235" s="9" t="s">
        <v>13284</v>
      </c>
      <c r="Q4235" s="9" t="s">
        <v>13284</v>
      </c>
      <c r="R4235" s="9" t="s">
        <v>13284</v>
      </c>
      <c r="S4235" s="9" t="s">
        <v>13284</v>
      </c>
      <c r="T4235" s="9" t="str">
        <f ca="1">IFERROR(IF(AND(VLOOKUP(A4235, 'Актуальное состояние (из общего'!A:C,3,0) = "", A4235 &lt;&gt; ""), "ПРОВЕРИТЬ", VLOOKUP(A4235, 'Актуальное состояние (из общего'!A:C,3,0)), "")</f>
        <v/>
      </c>
      <c r="U4235" s="9" t="s">
        <v>13284</v>
      </c>
      <c r="V4235" s="9" t="s">
        <v>13284</v>
      </c>
      <c r="W4235" s="12"/>
      <c r="X4235" s="9" t="str">
        <f t="array" ref="X4235">IFERROR(INDEX('Адреса общежитий (скрытый)'!$B$2:$B$9, MATCH(W4235, 'Адреса общежитий (скрытый)'!$A$2:$A$9, 0)), "")</f>
        <v/>
      </c>
      <c r="Y4235" s="18"/>
      <c r="Z4235" s="18"/>
      <c r="AA4235" s="18"/>
      <c r="AB4235" s="18"/>
      <c r="AC4235" s="18"/>
    </row>
    <row r="4236" spans="1:29" ht="32.25" hidden="1" customHeight="1">
      <c r="A4236" s="17"/>
      <c r="B4236" s="9" t="s">
        <v>13284</v>
      </c>
      <c r="C4236" s="9" t="s">
        <v>13284</v>
      </c>
      <c r="D4236" s="9" t="s">
        <v>13284</v>
      </c>
      <c r="E4236" s="9" t="s">
        <v>13284</v>
      </c>
      <c r="F4236" s="9" t="s">
        <v>13284</v>
      </c>
      <c r="G4236" s="9" t="s">
        <v>13284</v>
      </c>
      <c r="H4236" s="9" t="s">
        <v>13284</v>
      </c>
      <c r="I4236" s="9" t="s">
        <v>13284</v>
      </c>
      <c r="J4236" s="9" t="s">
        <v>13284</v>
      </c>
      <c r="K4236" s="9" t="s">
        <v>13284</v>
      </c>
      <c r="L4236" s="9" t="s">
        <v>13284</v>
      </c>
      <c r="M4236" s="9" t="s">
        <v>13284</v>
      </c>
      <c r="N4236" s="9" t="s">
        <v>13284</v>
      </c>
      <c r="O4236" s="9" t="s">
        <v>13284</v>
      </c>
      <c r="P4236" s="9" t="s">
        <v>13284</v>
      </c>
      <c r="Q4236" s="9" t="s">
        <v>13284</v>
      </c>
      <c r="R4236" s="9" t="s">
        <v>13284</v>
      </c>
      <c r="S4236" s="9" t="s">
        <v>13284</v>
      </c>
      <c r="T4236" s="9" t="str">
        <f ca="1">IFERROR(IF(AND(VLOOKUP(A4236, 'Актуальное состояние (из общего'!A:C,3,0) = "", A4236 &lt;&gt; ""), "ПРОВЕРИТЬ", VLOOKUP(A4236, 'Актуальное состояние (из общего'!A:C,3,0)), "")</f>
        <v/>
      </c>
      <c r="U4236" s="9" t="s">
        <v>13284</v>
      </c>
      <c r="V4236" s="9" t="s">
        <v>13284</v>
      </c>
      <c r="W4236" s="12"/>
      <c r="X4236" s="9" t="str">
        <f t="array" ref="X4236">IFERROR(INDEX('Адреса общежитий (скрытый)'!$B$2:$B$9, MATCH(W4236, 'Адреса общежитий (скрытый)'!$A$2:$A$9, 0)), "")</f>
        <v/>
      </c>
      <c r="Y4236" s="18"/>
      <c r="Z4236" s="18"/>
      <c r="AA4236" s="18"/>
      <c r="AB4236" s="18"/>
      <c r="AC4236" s="18"/>
    </row>
    <row r="4237" spans="1:29" ht="32.25" hidden="1" customHeight="1">
      <c r="A4237" s="17"/>
      <c r="B4237" s="9" t="s">
        <v>13284</v>
      </c>
      <c r="C4237" s="9" t="s">
        <v>13284</v>
      </c>
      <c r="D4237" s="9" t="s">
        <v>13284</v>
      </c>
      <c r="E4237" s="9" t="s">
        <v>13284</v>
      </c>
      <c r="F4237" s="9" t="s">
        <v>13284</v>
      </c>
      <c r="G4237" s="9" t="s">
        <v>13284</v>
      </c>
      <c r="H4237" s="9" t="s">
        <v>13284</v>
      </c>
      <c r="I4237" s="9" t="s">
        <v>13284</v>
      </c>
      <c r="J4237" s="9" t="s">
        <v>13284</v>
      </c>
      <c r="K4237" s="9" t="s">
        <v>13284</v>
      </c>
      <c r="L4237" s="9" t="s">
        <v>13284</v>
      </c>
      <c r="M4237" s="9" t="s">
        <v>13284</v>
      </c>
      <c r="N4237" s="9" t="s">
        <v>13284</v>
      </c>
      <c r="O4237" s="9" t="s">
        <v>13284</v>
      </c>
      <c r="P4237" s="9" t="s">
        <v>13284</v>
      </c>
      <c r="Q4237" s="9" t="s">
        <v>13284</v>
      </c>
      <c r="R4237" s="9" t="s">
        <v>13284</v>
      </c>
      <c r="S4237" s="9" t="s">
        <v>13284</v>
      </c>
      <c r="T4237" s="9" t="str">
        <f ca="1">IFERROR(IF(AND(VLOOKUP(A4237, 'Актуальное состояние (из общего'!A:C,3,0) = "", A4237 &lt;&gt; ""), "ПРОВЕРИТЬ", VLOOKUP(A4237, 'Актуальное состояние (из общего'!A:C,3,0)), "")</f>
        <v/>
      </c>
      <c r="U4237" s="9" t="s">
        <v>13284</v>
      </c>
      <c r="V4237" s="9" t="s">
        <v>13284</v>
      </c>
      <c r="W4237" s="12"/>
      <c r="X4237" s="9" t="str">
        <f t="array" ref="X4237">IFERROR(INDEX('Адреса общежитий (скрытый)'!$B$2:$B$9, MATCH(W4237, 'Адреса общежитий (скрытый)'!$A$2:$A$9, 0)), "")</f>
        <v/>
      </c>
      <c r="Y4237" s="18"/>
      <c r="Z4237" s="18"/>
      <c r="AA4237" s="18"/>
      <c r="AB4237" s="18"/>
      <c r="AC4237" s="18"/>
    </row>
    <row r="4238" spans="1:29" ht="32.25" hidden="1" customHeight="1">
      <c r="A4238" s="17"/>
      <c r="B4238" s="9" t="s">
        <v>13284</v>
      </c>
      <c r="C4238" s="9" t="s">
        <v>13284</v>
      </c>
      <c r="D4238" s="9" t="s">
        <v>13284</v>
      </c>
      <c r="E4238" s="9" t="s">
        <v>13284</v>
      </c>
      <c r="F4238" s="9" t="s">
        <v>13284</v>
      </c>
      <c r="G4238" s="9" t="s">
        <v>13284</v>
      </c>
      <c r="H4238" s="9" t="s">
        <v>13284</v>
      </c>
      <c r="I4238" s="9" t="s">
        <v>13284</v>
      </c>
      <c r="J4238" s="9" t="s">
        <v>13284</v>
      </c>
      <c r="K4238" s="9" t="s">
        <v>13284</v>
      </c>
      <c r="L4238" s="9" t="s">
        <v>13284</v>
      </c>
      <c r="M4238" s="9" t="s">
        <v>13284</v>
      </c>
      <c r="N4238" s="9" t="s">
        <v>13284</v>
      </c>
      <c r="O4238" s="9" t="s">
        <v>13284</v>
      </c>
      <c r="P4238" s="9" t="s">
        <v>13284</v>
      </c>
      <c r="Q4238" s="9" t="s">
        <v>13284</v>
      </c>
      <c r="R4238" s="9" t="s">
        <v>13284</v>
      </c>
      <c r="S4238" s="9" t="s">
        <v>13284</v>
      </c>
      <c r="T4238" s="9" t="str">
        <f ca="1">IFERROR(IF(AND(VLOOKUP(A4238, 'Актуальное состояние (из общего'!A:C,3,0) = "", A4238 &lt;&gt; ""), "ПРОВЕРИТЬ", VLOOKUP(A4238, 'Актуальное состояние (из общего'!A:C,3,0)), "")</f>
        <v/>
      </c>
      <c r="U4238" s="9" t="s">
        <v>13284</v>
      </c>
      <c r="V4238" s="9" t="s">
        <v>13284</v>
      </c>
      <c r="W4238" s="12"/>
      <c r="X4238" s="9" t="str">
        <f t="array" ref="X4238">IFERROR(INDEX('Адреса общежитий (скрытый)'!$B$2:$B$9, MATCH(W4238, 'Адреса общежитий (скрытый)'!$A$2:$A$9, 0)), "")</f>
        <v/>
      </c>
      <c r="Y4238" s="18"/>
      <c r="Z4238" s="18"/>
      <c r="AA4238" s="18"/>
      <c r="AB4238" s="18"/>
      <c r="AC4238" s="18"/>
    </row>
    <row r="4239" spans="1:29" ht="32.25" hidden="1" customHeight="1">
      <c r="A4239" s="17"/>
      <c r="B4239" s="9" t="s">
        <v>13284</v>
      </c>
      <c r="C4239" s="9" t="s">
        <v>13284</v>
      </c>
      <c r="D4239" s="9" t="s">
        <v>13284</v>
      </c>
      <c r="E4239" s="9" t="s">
        <v>13284</v>
      </c>
      <c r="F4239" s="9" t="s">
        <v>13284</v>
      </c>
      <c r="G4239" s="9" t="s">
        <v>13284</v>
      </c>
      <c r="H4239" s="9" t="s">
        <v>13284</v>
      </c>
      <c r="I4239" s="9" t="s">
        <v>13284</v>
      </c>
      <c r="J4239" s="9" t="s">
        <v>13284</v>
      </c>
      <c r="K4239" s="9" t="s">
        <v>13284</v>
      </c>
      <c r="L4239" s="9" t="s">
        <v>13284</v>
      </c>
      <c r="M4239" s="9" t="s">
        <v>13284</v>
      </c>
      <c r="N4239" s="9" t="s">
        <v>13284</v>
      </c>
      <c r="O4239" s="9" t="s">
        <v>13284</v>
      </c>
      <c r="P4239" s="9" t="s">
        <v>13284</v>
      </c>
      <c r="Q4239" s="9" t="s">
        <v>13284</v>
      </c>
      <c r="R4239" s="9" t="s">
        <v>13284</v>
      </c>
      <c r="S4239" s="9" t="s">
        <v>13284</v>
      </c>
      <c r="T4239" s="9" t="str">
        <f ca="1">IFERROR(IF(AND(VLOOKUP(A4239, 'Актуальное состояние (из общего'!A:C,3,0) = "", A4239 &lt;&gt; ""), "ПРОВЕРИТЬ", VLOOKUP(A4239, 'Актуальное состояние (из общего'!A:C,3,0)), "")</f>
        <v/>
      </c>
      <c r="U4239" s="9" t="s">
        <v>13284</v>
      </c>
      <c r="V4239" s="9" t="s">
        <v>13284</v>
      </c>
      <c r="W4239" s="12"/>
      <c r="X4239" s="9" t="str">
        <f t="array" ref="X4239">IFERROR(INDEX('Адреса общежитий (скрытый)'!$B$2:$B$9, MATCH(W4239, 'Адреса общежитий (скрытый)'!$A$2:$A$9, 0)), "")</f>
        <v/>
      </c>
      <c r="Y4239" s="18"/>
      <c r="Z4239" s="18"/>
      <c r="AA4239" s="18"/>
      <c r="AB4239" s="18"/>
      <c r="AC4239" s="18"/>
    </row>
    <row r="4240" spans="1:29" ht="32.25" hidden="1" customHeight="1">
      <c r="A4240" s="17"/>
      <c r="B4240" s="9" t="s">
        <v>13284</v>
      </c>
      <c r="C4240" s="9" t="s">
        <v>13284</v>
      </c>
      <c r="D4240" s="9" t="s">
        <v>13284</v>
      </c>
      <c r="E4240" s="9" t="s">
        <v>13284</v>
      </c>
      <c r="F4240" s="9" t="s">
        <v>13284</v>
      </c>
      <c r="G4240" s="9" t="s">
        <v>13284</v>
      </c>
      <c r="H4240" s="9" t="s">
        <v>13284</v>
      </c>
      <c r="I4240" s="9" t="s">
        <v>13284</v>
      </c>
      <c r="J4240" s="9" t="s">
        <v>13284</v>
      </c>
      <c r="K4240" s="9" t="s">
        <v>13284</v>
      </c>
      <c r="L4240" s="9" t="s">
        <v>13284</v>
      </c>
      <c r="M4240" s="9" t="s">
        <v>13284</v>
      </c>
      <c r="N4240" s="9" t="s">
        <v>13284</v>
      </c>
      <c r="O4240" s="9" t="s">
        <v>13284</v>
      </c>
      <c r="P4240" s="9" t="s">
        <v>13284</v>
      </c>
      <c r="Q4240" s="9" t="s">
        <v>13284</v>
      </c>
      <c r="R4240" s="9" t="s">
        <v>13284</v>
      </c>
      <c r="S4240" s="9" t="s">
        <v>13284</v>
      </c>
      <c r="T4240" s="9" t="str">
        <f ca="1">IFERROR(IF(AND(VLOOKUP(A4240, 'Актуальное состояние (из общего'!A:C,3,0) = "", A4240 &lt;&gt; ""), "ПРОВЕРИТЬ", VLOOKUP(A4240, 'Актуальное состояние (из общего'!A:C,3,0)), "")</f>
        <v/>
      </c>
      <c r="U4240" s="9" t="s">
        <v>13284</v>
      </c>
      <c r="V4240" s="9" t="s">
        <v>13284</v>
      </c>
      <c r="W4240" s="12"/>
      <c r="X4240" s="9" t="str">
        <f t="array" ref="X4240">IFERROR(INDEX('Адреса общежитий (скрытый)'!$B$2:$B$9, MATCH(W4240, 'Адреса общежитий (скрытый)'!$A$2:$A$9, 0)), "")</f>
        <v/>
      </c>
      <c r="Y4240" s="18"/>
      <c r="Z4240" s="18"/>
      <c r="AA4240" s="18"/>
      <c r="AB4240" s="18"/>
      <c r="AC4240" s="18"/>
    </row>
    <row r="4241" spans="1:29" ht="32.25" hidden="1" customHeight="1">
      <c r="A4241" s="17"/>
      <c r="B4241" s="9" t="s">
        <v>13284</v>
      </c>
      <c r="C4241" s="9" t="s">
        <v>13284</v>
      </c>
      <c r="D4241" s="9" t="s">
        <v>13284</v>
      </c>
      <c r="E4241" s="9" t="s">
        <v>13284</v>
      </c>
      <c r="F4241" s="9" t="s">
        <v>13284</v>
      </c>
      <c r="G4241" s="9" t="s">
        <v>13284</v>
      </c>
      <c r="H4241" s="9" t="s">
        <v>13284</v>
      </c>
      <c r="I4241" s="9" t="s">
        <v>13284</v>
      </c>
      <c r="J4241" s="9" t="s">
        <v>13284</v>
      </c>
      <c r="K4241" s="9" t="s">
        <v>13284</v>
      </c>
      <c r="L4241" s="9" t="s">
        <v>13284</v>
      </c>
      <c r="M4241" s="9" t="s">
        <v>13284</v>
      </c>
      <c r="N4241" s="9" t="s">
        <v>13284</v>
      </c>
      <c r="O4241" s="9" t="s">
        <v>13284</v>
      </c>
      <c r="P4241" s="9" t="s">
        <v>13284</v>
      </c>
      <c r="Q4241" s="9" t="s">
        <v>13284</v>
      </c>
      <c r="R4241" s="9" t="s">
        <v>13284</v>
      </c>
      <c r="S4241" s="9" t="s">
        <v>13284</v>
      </c>
      <c r="T4241" s="9" t="str">
        <f ca="1">IFERROR(IF(AND(VLOOKUP(A4241, 'Актуальное состояние (из общего'!A:C,3,0) = "", A4241 &lt;&gt; ""), "ПРОВЕРИТЬ", VLOOKUP(A4241, 'Актуальное состояние (из общего'!A:C,3,0)), "")</f>
        <v/>
      </c>
      <c r="U4241" s="9" t="s">
        <v>13284</v>
      </c>
      <c r="V4241" s="9" t="s">
        <v>13284</v>
      </c>
      <c r="W4241" s="12"/>
      <c r="X4241" s="9" t="str">
        <f t="array" ref="X4241">IFERROR(INDEX('Адреса общежитий (скрытый)'!$B$2:$B$9, MATCH(W4241, 'Адреса общежитий (скрытый)'!$A$2:$A$9, 0)), "")</f>
        <v/>
      </c>
      <c r="Y4241" s="18"/>
      <c r="Z4241" s="18"/>
      <c r="AA4241" s="18"/>
      <c r="AB4241" s="18"/>
      <c r="AC4241" s="18"/>
    </row>
    <row r="4242" spans="1:29" ht="32.25" hidden="1" customHeight="1">
      <c r="A4242" s="17"/>
      <c r="B4242" s="9" t="s">
        <v>13284</v>
      </c>
      <c r="C4242" s="9" t="s">
        <v>13284</v>
      </c>
      <c r="D4242" s="9" t="s">
        <v>13284</v>
      </c>
      <c r="E4242" s="9" t="s">
        <v>13284</v>
      </c>
      <c r="F4242" s="9" t="s">
        <v>13284</v>
      </c>
      <c r="G4242" s="9" t="s">
        <v>13284</v>
      </c>
      <c r="H4242" s="9" t="s">
        <v>13284</v>
      </c>
      <c r="I4242" s="9" t="s">
        <v>13284</v>
      </c>
      <c r="J4242" s="9" t="s">
        <v>13284</v>
      </c>
      <c r="K4242" s="9" t="s">
        <v>13284</v>
      </c>
      <c r="L4242" s="9" t="s">
        <v>13284</v>
      </c>
      <c r="M4242" s="9" t="s">
        <v>13284</v>
      </c>
      <c r="N4242" s="9" t="s">
        <v>13284</v>
      </c>
      <c r="O4242" s="9" t="s">
        <v>13284</v>
      </c>
      <c r="P4242" s="9" t="s">
        <v>13284</v>
      </c>
      <c r="Q4242" s="9" t="s">
        <v>13284</v>
      </c>
      <c r="R4242" s="9" t="s">
        <v>13284</v>
      </c>
      <c r="S4242" s="9" t="s">
        <v>13284</v>
      </c>
      <c r="T4242" s="9" t="str">
        <f ca="1">IFERROR(IF(AND(VLOOKUP(A4242, 'Актуальное состояние (из общего'!A:C,3,0) = "", A4242 &lt;&gt; ""), "ПРОВЕРИТЬ", VLOOKUP(A4242, 'Актуальное состояние (из общего'!A:C,3,0)), "")</f>
        <v/>
      </c>
      <c r="U4242" s="9" t="s">
        <v>13284</v>
      </c>
      <c r="V4242" s="9" t="s">
        <v>13284</v>
      </c>
      <c r="W4242" s="12"/>
      <c r="X4242" s="9" t="str">
        <f t="array" ref="X4242">IFERROR(INDEX('Адреса общежитий (скрытый)'!$B$2:$B$9, MATCH(W4242, 'Адреса общежитий (скрытый)'!$A$2:$A$9, 0)), "")</f>
        <v/>
      </c>
      <c r="Y4242" s="18"/>
      <c r="Z4242" s="18"/>
      <c r="AA4242" s="18"/>
      <c r="AB4242" s="18"/>
      <c r="AC4242" s="18"/>
    </row>
    <row r="4243" spans="1:29" ht="32.25" hidden="1" customHeight="1">
      <c r="A4243" s="17"/>
      <c r="B4243" s="9" t="s">
        <v>13284</v>
      </c>
      <c r="C4243" s="9" t="s">
        <v>13284</v>
      </c>
      <c r="D4243" s="9" t="s">
        <v>13284</v>
      </c>
      <c r="E4243" s="9" t="s">
        <v>13284</v>
      </c>
      <c r="F4243" s="9" t="s">
        <v>13284</v>
      </c>
      <c r="G4243" s="9" t="s">
        <v>13284</v>
      </c>
      <c r="H4243" s="9" t="s">
        <v>13284</v>
      </c>
      <c r="I4243" s="9" t="s">
        <v>13284</v>
      </c>
      <c r="J4243" s="9" t="s">
        <v>13284</v>
      </c>
      <c r="K4243" s="9" t="s">
        <v>13284</v>
      </c>
      <c r="L4243" s="9" t="s">
        <v>13284</v>
      </c>
      <c r="M4243" s="9" t="s">
        <v>13284</v>
      </c>
      <c r="N4243" s="9" t="s">
        <v>13284</v>
      </c>
      <c r="O4243" s="9" t="s">
        <v>13284</v>
      </c>
      <c r="P4243" s="9" t="s">
        <v>13284</v>
      </c>
      <c r="Q4243" s="9" t="s">
        <v>13284</v>
      </c>
      <c r="R4243" s="9" t="s">
        <v>13284</v>
      </c>
      <c r="S4243" s="9" t="s">
        <v>13284</v>
      </c>
      <c r="T4243" s="9" t="str">
        <f ca="1">IFERROR(IF(AND(VLOOKUP(A4243, 'Актуальное состояние (из общего'!A:C,3,0) = "", A4243 &lt;&gt; ""), "ПРОВЕРИТЬ", VLOOKUP(A4243, 'Актуальное состояние (из общего'!A:C,3,0)), "")</f>
        <v/>
      </c>
      <c r="U4243" s="9" t="s">
        <v>13284</v>
      </c>
      <c r="V4243" s="9" t="s">
        <v>13284</v>
      </c>
      <c r="W4243" s="12"/>
      <c r="X4243" s="9" t="str">
        <f t="array" ref="X4243">IFERROR(INDEX('Адреса общежитий (скрытый)'!$B$2:$B$9, MATCH(W4243, 'Адреса общежитий (скрытый)'!$A$2:$A$9, 0)), "")</f>
        <v/>
      </c>
      <c r="Y4243" s="18"/>
      <c r="Z4243" s="18"/>
      <c r="AA4243" s="18"/>
      <c r="AB4243" s="18"/>
      <c r="AC4243" s="18"/>
    </row>
    <row r="4244" spans="1:29" ht="32.25" hidden="1" customHeight="1">
      <c r="A4244" s="17"/>
      <c r="B4244" s="9" t="s">
        <v>13284</v>
      </c>
      <c r="C4244" s="9" t="s">
        <v>13284</v>
      </c>
      <c r="D4244" s="9" t="s">
        <v>13284</v>
      </c>
      <c r="E4244" s="9" t="s">
        <v>13284</v>
      </c>
      <c r="F4244" s="9" t="s">
        <v>13284</v>
      </c>
      <c r="G4244" s="9" t="s">
        <v>13284</v>
      </c>
      <c r="H4244" s="9" t="s">
        <v>13284</v>
      </c>
      <c r="I4244" s="9" t="s">
        <v>13284</v>
      </c>
      <c r="J4244" s="9" t="s">
        <v>13284</v>
      </c>
      <c r="K4244" s="9" t="s">
        <v>13284</v>
      </c>
      <c r="L4244" s="9" t="s">
        <v>13284</v>
      </c>
      <c r="M4244" s="9" t="s">
        <v>13284</v>
      </c>
      <c r="N4244" s="9" t="s">
        <v>13284</v>
      </c>
      <c r="O4244" s="9" t="s">
        <v>13284</v>
      </c>
      <c r="P4244" s="9" t="s">
        <v>13284</v>
      </c>
      <c r="Q4244" s="9" t="s">
        <v>13284</v>
      </c>
      <c r="R4244" s="9" t="s">
        <v>13284</v>
      </c>
      <c r="S4244" s="9" t="s">
        <v>13284</v>
      </c>
      <c r="T4244" s="9" t="str">
        <f ca="1">IFERROR(IF(AND(VLOOKUP(A4244, 'Актуальное состояние (из общего'!A:C,3,0) = "", A4244 &lt;&gt; ""), "ПРОВЕРИТЬ", VLOOKUP(A4244, 'Актуальное состояние (из общего'!A:C,3,0)), "")</f>
        <v/>
      </c>
      <c r="U4244" s="9" t="s">
        <v>13284</v>
      </c>
      <c r="V4244" s="9" t="s">
        <v>13284</v>
      </c>
      <c r="W4244" s="12"/>
      <c r="X4244" s="9" t="str">
        <f t="array" ref="X4244">IFERROR(INDEX('Адреса общежитий (скрытый)'!$B$2:$B$9, MATCH(W4244, 'Адреса общежитий (скрытый)'!$A$2:$A$9, 0)), "")</f>
        <v/>
      </c>
      <c r="Y4244" s="18"/>
      <c r="Z4244" s="18"/>
      <c r="AA4244" s="18"/>
      <c r="AB4244" s="18"/>
      <c r="AC4244" s="18"/>
    </row>
    <row r="4245" spans="1:29" ht="32.25" hidden="1" customHeight="1">
      <c r="A4245" s="17"/>
      <c r="B4245" s="9" t="s">
        <v>13284</v>
      </c>
      <c r="C4245" s="9" t="s">
        <v>13284</v>
      </c>
      <c r="D4245" s="9" t="s">
        <v>13284</v>
      </c>
      <c r="E4245" s="9" t="s">
        <v>13284</v>
      </c>
      <c r="F4245" s="9" t="s">
        <v>13284</v>
      </c>
      <c r="G4245" s="9" t="s">
        <v>13284</v>
      </c>
      <c r="H4245" s="9" t="s">
        <v>13284</v>
      </c>
      <c r="I4245" s="9" t="s">
        <v>13284</v>
      </c>
      <c r="J4245" s="9" t="s">
        <v>13284</v>
      </c>
      <c r="K4245" s="9" t="s">
        <v>13284</v>
      </c>
      <c r="L4245" s="9" t="s">
        <v>13284</v>
      </c>
      <c r="M4245" s="9" t="s">
        <v>13284</v>
      </c>
      <c r="N4245" s="9" t="s">
        <v>13284</v>
      </c>
      <c r="O4245" s="9" t="s">
        <v>13284</v>
      </c>
      <c r="P4245" s="9" t="s">
        <v>13284</v>
      </c>
      <c r="Q4245" s="9" t="s">
        <v>13284</v>
      </c>
      <c r="R4245" s="9" t="s">
        <v>13284</v>
      </c>
      <c r="S4245" s="9" t="s">
        <v>13284</v>
      </c>
      <c r="T4245" s="9" t="str">
        <f ca="1">IFERROR(IF(AND(VLOOKUP(A4245, 'Актуальное состояние (из общего'!A:C,3,0) = "", A4245 &lt;&gt; ""), "ПРОВЕРИТЬ", VLOOKUP(A4245, 'Актуальное состояние (из общего'!A:C,3,0)), "")</f>
        <v/>
      </c>
      <c r="U4245" s="9" t="s">
        <v>13284</v>
      </c>
      <c r="V4245" s="9" t="s">
        <v>13284</v>
      </c>
      <c r="W4245" s="12"/>
      <c r="X4245" s="9" t="str">
        <f t="array" ref="X4245">IFERROR(INDEX('Адреса общежитий (скрытый)'!$B$2:$B$9, MATCH(W4245, 'Адреса общежитий (скрытый)'!$A$2:$A$9, 0)), "")</f>
        <v/>
      </c>
      <c r="Y4245" s="18"/>
      <c r="Z4245" s="18"/>
      <c r="AA4245" s="18"/>
      <c r="AB4245" s="18"/>
      <c r="AC4245" s="18"/>
    </row>
    <row r="4246" spans="1:29" ht="32.25" hidden="1" customHeight="1">
      <c r="A4246" s="17"/>
      <c r="B4246" s="9" t="s">
        <v>13284</v>
      </c>
      <c r="C4246" s="9" t="s">
        <v>13284</v>
      </c>
      <c r="D4246" s="9" t="s">
        <v>13284</v>
      </c>
      <c r="E4246" s="9" t="s">
        <v>13284</v>
      </c>
      <c r="F4246" s="9" t="s">
        <v>13284</v>
      </c>
      <c r="G4246" s="9" t="s">
        <v>13284</v>
      </c>
      <c r="H4246" s="9" t="s">
        <v>13284</v>
      </c>
      <c r="I4246" s="9" t="s">
        <v>13284</v>
      </c>
      <c r="J4246" s="9" t="s">
        <v>13284</v>
      </c>
      <c r="K4246" s="9" t="s">
        <v>13284</v>
      </c>
      <c r="L4246" s="9" t="s">
        <v>13284</v>
      </c>
      <c r="M4246" s="9" t="s">
        <v>13284</v>
      </c>
      <c r="N4246" s="9" t="s">
        <v>13284</v>
      </c>
      <c r="O4246" s="9" t="s">
        <v>13284</v>
      </c>
      <c r="P4246" s="9" t="s">
        <v>13284</v>
      </c>
      <c r="Q4246" s="9" t="s">
        <v>13284</v>
      </c>
      <c r="R4246" s="9" t="s">
        <v>13284</v>
      </c>
      <c r="S4246" s="9" t="s">
        <v>13284</v>
      </c>
      <c r="T4246" s="9" t="str">
        <f ca="1">IFERROR(IF(AND(VLOOKUP(A4246, 'Актуальное состояние (из общего'!A:C,3,0) = "", A4246 &lt;&gt; ""), "ПРОВЕРИТЬ", VLOOKUP(A4246, 'Актуальное состояние (из общего'!A:C,3,0)), "")</f>
        <v/>
      </c>
      <c r="U4246" s="9" t="s">
        <v>13284</v>
      </c>
      <c r="V4246" s="9" t="s">
        <v>13284</v>
      </c>
      <c r="W4246" s="12"/>
      <c r="X4246" s="9" t="str">
        <f t="array" ref="X4246">IFERROR(INDEX('Адреса общежитий (скрытый)'!$B$2:$B$9, MATCH(W4246, 'Адреса общежитий (скрытый)'!$A$2:$A$9, 0)), "")</f>
        <v/>
      </c>
      <c r="Y4246" s="18"/>
      <c r="Z4246" s="18"/>
      <c r="AA4246" s="18"/>
      <c r="AB4246" s="18"/>
      <c r="AC4246" s="18"/>
    </row>
    <row r="4247" spans="1:29" ht="32.25" hidden="1" customHeight="1">
      <c r="A4247" s="17"/>
      <c r="B4247" s="9" t="s">
        <v>13284</v>
      </c>
      <c r="C4247" s="9" t="s">
        <v>13284</v>
      </c>
      <c r="D4247" s="9" t="s">
        <v>13284</v>
      </c>
      <c r="E4247" s="9" t="s">
        <v>13284</v>
      </c>
      <c r="F4247" s="9" t="s">
        <v>13284</v>
      </c>
      <c r="G4247" s="9" t="s">
        <v>13284</v>
      </c>
      <c r="H4247" s="9" t="s">
        <v>13284</v>
      </c>
      <c r="I4247" s="9" t="s">
        <v>13284</v>
      </c>
      <c r="J4247" s="9" t="s">
        <v>13284</v>
      </c>
      <c r="K4247" s="9" t="s">
        <v>13284</v>
      </c>
      <c r="L4247" s="9" t="s">
        <v>13284</v>
      </c>
      <c r="M4247" s="9" t="s">
        <v>13284</v>
      </c>
      <c r="N4247" s="9" t="s">
        <v>13284</v>
      </c>
      <c r="O4247" s="9" t="s">
        <v>13284</v>
      </c>
      <c r="P4247" s="9" t="s">
        <v>13284</v>
      </c>
      <c r="Q4247" s="9" t="s">
        <v>13284</v>
      </c>
      <c r="R4247" s="9" t="s">
        <v>13284</v>
      </c>
      <c r="S4247" s="9" t="s">
        <v>13284</v>
      </c>
      <c r="T4247" s="9" t="str">
        <f ca="1">IFERROR(IF(AND(VLOOKUP(A4247, 'Актуальное состояние (из общего'!A:C,3,0) = "", A4247 &lt;&gt; ""), "ПРОВЕРИТЬ", VLOOKUP(A4247, 'Актуальное состояние (из общего'!A:C,3,0)), "")</f>
        <v/>
      </c>
      <c r="U4247" s="9" t="s">
        <v>13284</v>
      </c>
      <c r="V4247" s="9" t="s">
        <v>13284</v>
      </c>
      <c r="W4247" s="12"/>
      <c r="X4247" s="9" t="str">
        <f t="array" ref="X4247">IFERROR(INDEX('Адреса общежитий (скрытый)'!$B$2:$B$9, MATCH(W4247, 'Адреса общежитий (скрытый)'!$A$2:$A$9, 0)), "")</f>
        <v/>
      </c>
      <c r="Y4247" s="18"/>
      <c r="Z4247" s="18"/>
      <c r="AA4247" s="18"/>
      <c r="AB4247" s="18"/>
      <c r="AC4247" s="18"/>
    </row>
    <row r="4248" spans="1:29" ht="32.25" hidden="1" customHeight="1">
      <c r="A4248" s="17"/>
      <c r="B4248" s="9" t="s">
        <v>13284</v>
      </c>
      <c r="C4248" s="9" t="s">
        <v>13284</v>
      </c>
      <c r="D4248" s="9" t="s">
        <v>13284</v>
      </c>
      <c r="E4248" s="9" t="s">
        <v>13284</v>
      </c>
      <c r="F4248" s="9" t="s">
        <v>13284</v>
      </c>
      <c r="G4248" s="9" t="s">
        <v>13284</v>
      </c>
      <c r="H4248" s="9" t="s">
        <v>13284</v>
      </c>
      <c r="I4248" s="9" t="s">
        <v>13284</v>
      </c>
      <c r="J4248" s="9" t="s">
        <v>13284</v>
      </c>
      <c r="K4248" s="9" t="s">
        <v>13284</v>
      </c>
      <c r="L4248" s="9" t="s">
        <v>13284</v>
      </c>
      <c r="M4248" s="9" t="s">
        <v>13284</v>
      </c>
      <c r="N4248" s="9" t="s">
        <v>13284</v>
      </c>
      <c r="O4248" s="9" t="s">
        <v>13284</v>
      </c>
      <c r="P4248" s="9" t="s">
        <v>13284</v>
      </c>
      <c r="Q4248" s="9" t="s">
        <v>13284</v>
      </c>
      <c r="R4248" s="9" t="s">
        <v>13284</v>
      </c>
      <c r="S4248" s="9" t="s">
        <v>13284</v>
      </c>
      <c r="T4248" s="9" t="str">
        <f ca="1">IFERROR(IF(AND(VLOOKUP(A4248, 'Актуальное состояние (из общего'!A:C,3,0) = "", A4248 &lt;&gt; ""), "ПРОВЕРИТЬ", VLOOKUP(A4248, 'Актуальное состояние (из общего'!A:C,3,0)), "")</f>
        <v/>
      </c>
      <c r="U4248" s="9" t="s">
        <v>13284</v>
      </c>
      <c r="V4248" s="9" t="s">
        <v>13284</v>
      </c>
      <c r="W4248" s="12"/>
      <c r="X4248" s="9" t="str">
        <f t="array" ref="X4248">IFERROR(INDEX('Адреса общежитий (скрытый)'!$B$2:$B$9, MATCH(W4248, 'Адреса общежитий (скрытый)'!$A$2:$A$9, 0)), "")</f>
        <v/>
      </c>
      <c r="Y4248" s="18"/>
      <c r="Z4248" s="18"/>
      <c r="AA4248" s="18"/>
      <c r="AB4248" s="18"/>
      <c r="AC4248" s="18"/>
    </row>
    <row r="4249" spans="1:29" ht="32.25" hidden="1" customHeight="1">
      <c r="A4249" s="17"/>
      <c r="B4249" s="9" t="s">
        <v>13284</v>
      </c>
      <c r="C4249" s="9" t="s">
        <v>13284</v>
      </c>
      <c r="D4249" s="9" t="s">
        <v>13284</v>
      </c>
      <c r="E4249" s="9" t="s">
        <v>13284</v>
      </c>
      <c r="F4249" s="9" t="s">
        <v>13284</v>
      </c>
      <c r="G4249" s="9" t="s">
        <v>13284</v>
      </c>
      <c r="H4249" s="9" t="s">
        <v>13284</v>
      </c>
      <c r="I4249" s="9" t="s">
        <v>13284</v>
      </c>
      <c r="J4249" s="9" t="s">
        <v>13284</v>
      </c>
      <c r="K4249" s="9" t="s">
        <v>13284</v>
      </c>
      <c r="L4249" s="9" t="s">
        <v>13284</v>
      </c>
      <c r="M4249" s="9" t="s">
        <v>13284</v>
      </c>
      <c r="N4249" s="9" t="s">
        <v>13284</v>
      </c>
      <c r="O4249" s="9" t="s">
        <v>13284</v>
      </c>
      <c r="P4249" s="9" t="s">
        <v>13284</v>
      </c>
      <c r="Q4249" s="9" t="s">
        <v>13284</v>
      </c>
      <c r="R4249" s="9" t="s">
        <v>13284</v>
      </c>
      <c r="S4249" s="9" t="s">
        <v>13284</v>
      </c>
      <c r="T4249" s="9" t="str">
        <f ca="1">IFERROR(IF(AND(VLOOKUP(A4249, 'Актуальное состояние (из общего'!A:C,3,0) = "", A4249 &lt;&gt; ""), "ПРОВЕРИТЬ", VLOOKUP(A4249, 'Актуальное состояние (из общего'!A:C,3,0)), "")</f>
        <v/>
      </c>
      <c r="U4249" s="9" t="s">
        <v>13284</v>
      </c>
      <c r="V4249" s="9" t="s">
        <v>13284</v>
      </c>
      <c r="W4249" s="12"/>
      <c r="X4249" s="9" t="str">
        <f t="array" ref="X4249">IFERROR(INDEX('Адреса общежитий (скрытый)'!$B$2:$B$9, MATCH(W4249, 'Адреса общежитий (скрытый)'!$A$2:$A$9, 0)), "")</f>
        <v/>
      </c>
      <c r="Y4249" s="18"/>
      <c r="Z4249" s="18"/>
      <c r="AA4249" s="18"/>
      <c r="AB4249" s="18"/>
      <c r="AC4249" s="18"/>
    </row>
    <row r="4250" spans="1:29" ht="32.25" hidden="1" customHeight="1">
      <c r="A4250" s="17"/>
      <c r="B4250" s="9" t="s">
        <v>13284</v>
      </c>
      <c r="C4250" s="9" t="s">
        <v>13284</v>
      </c>
      <c r="D4250" s="9" t="s">
        <v>13284</v>
      </c>
      <c r="E4250" s="9" t="s">
        <v>13284</v>
      </c>
      <c r="F4250" s="9" t="s">
        <v>13284</v>
      </c>
      <c r="G4250" s="9" t="s">
        <v>13284</v>
      </c>
      <c r="H4250" s="9" t="s">
        <v>13284</v>
      </c>
      <c r="I4250" s="9" t="s">
        <v>13284</v>
      </c>
      <c r="J4250" s="9" t="s">
        <v>13284</v>
      </c>
      <c r="K4250" s="9" t="s">
        <v>13284</v>
      </c>
      <c r="L4250" s="9" t="s">
        <v>13284</v>
      </c>
      <c r="M4250" s="9" t="s">
        <v>13284</v>
      </c>
      <c r="N4250" s="9" t="s">
        <v>13284</v>
      </c>
      <c r="O4250" s="9" t="s">
        <v>13284</v>
      </c>
      <c r="P4250" s="9" t="s">
        <v>13284</v>
      </c>
      <c r="Q4250" s="9" t="s">
        <v>13284</v>
      </c>
      <c r="R4250" s="9" t="s">
        <v>13284</v>
      </c>
      <c r="S4250" s="9" t="s">
        <v>13284</v>
      </c>
      <c r="T4250" s="9" t="str">
        <f ca="1">IFERROR(IF(AND(VLOOKUP(A4250, 'Актуальное состояние (из общего'!A:C,3,0) = "", A4250 &lt;&gt; ""), "ПРОВЕРИТЬ", VLOOKUP(A4250, 'Актуальное состояние (из общего'!A:C,3,0)), "")</f>
        <v/>
      </c>
      <c r="U4250" s="9" t="s">
        <v>13284</v>
      </c>
      <c r="V4250" s="9" t="s">
        <v>13284</v>
      </c>
      <c r="W4250" s="12"/>
      <c r="X4250" s="9" t="str">
        <f t="array" ref="X4250">IFERROR(INDEX('Адреса общежитий (скрытый)'!$B$2:$B$9, MATCH(W4250, 'Адреса общежитий (скрытый)'!$A$2:$A$9, 0)), "")</f>
        <v/>
      </c>
      <c r="Y4250" s="18"/>
      <c r="Z4250" s="18"/>
      <c r="AA4250" s="18"/>
      <c r="AB4250" s="18"/>
      <c r="AC4250" s="18"/>
    </row>
    <row r="4251" spans="1:29" ht="32.25" hidden="1" customHeight="1">
      <c r="A4251" s="17"/>
      <c r="B4251" s="9" t="s">
        <v>13284</v>
      </c>
      <c r="C4251" s="9" t="s">
        <v>13284</v>
      </c>
      <c r="D4251" s="9" t="s">
        <v>13284</v>
      </c>
      <c r="E4251" s="9" t="s">
        <v>13284</v>
      </c>
      <c r="F4251" s="9" t="s">
        <v>13284</v>
      </c>
      <c r="G4251" s="9" t="s">
        <v>13284</v>
      </c>
      <c r="H4251" s="9" t="s">
        <v>13284</v>
      </c>
      <c r="I4251" s="9" t="s">
        <v>13284</v>
      </c>
      <c r="J4251" s="9" t="s">
        <v>13284</v>
      </c>
      <c r="K4251" s="9" t="s">
        <v>13284</v>
      </c>
      <c r="L4251" s="9" t="s">
        <v>13284</v>
      </c>
      <c r="M4251" s="9" t="s">
        <v>13284</v>
      </c>
      <c r="N4251" s="9" t="s">
        <v>13284</v>
      </c>
      <c r="O4251" s="9" t="s">
        <v>13284</v>
      </c>
      <c r="P4251" s="9" t="s">
        <v>13284</v>
      </c>
      <c r="Q4251" s="9" t="s">
        <v>13284</v>
      </c>
      <c r="R4251" s="9" t="s">
        <v>13284</v>
      </c>
      <c r="S4251" s="9" t="s">
        <v>13284</v>
      </c>
      <c r="T4251" s="9" t="str">
        <f ca="1">IFERROR(IF(AND(VLOOKUP(A4251, 'Актуальное состояние (из общего'!A:C,3,0) = "", A4251 &lt;&gt; ""), "ПРОВЕРИТЬ", VLOOKUP(A4251, 'Актуальное состояние (из общего'!A:C,3,0)), "")</f>
        <v/>
      </c>
      <c r="U4251" s="9" t="s">
        <v>13284</v>
      </c>
      <c r="V4251" s="9" t="s">
        <v>13284</v>
      </c>
      <c r="W4251" s="12"/>
      <c r="X4251" s="9" t="str">
        <f t="array" ref="X4251">IFERROR(INDEX('Адреса общежитий (скрытый)'!$B$2:$B$9, MATCH(W4251, 'Адреса общежитий (скрытый)'!$A$2:$A$9, 0)), "")</f>
        <v/>
      </c>
      <c r="Y4251" s="18"/>
      <c r="Z4251" s="18"/>
      <c r="AA4251" s="18"/>
      <c r="AB4251" s="18"/>
      <c r="AC4251" s="18"/>
    </row>
    <row r="4252" spans="1:29" ht="32.25" hidden="1" customHeight="1">
      <c r="A4252" s="17"/>
      <c r="B4252" s="9" t="s">
        <v>13284</v>
      </c>
      <c r="C4252" s="9" t="s">
        <v>13284</v>
      </c>
      <c r="D4252" s="9" t="s">
        <v>13284</v>
      </c>
      <c r="E4252" s="9" t="s">
        <v>13284</v>
      </c>
      <c r="F4252" s="9" t="s">
        <v>13284</v>
      </c>
      <c r="G4252" s="9" t="s">
        <v>13284</v>
      </c>
      <c r="H4252" s="9" t="s">
        <v>13284</v>
      </c>
      <c r="I4252" s="9" t="s">
        <v>13284</v>
      </c>
      <c r="J4252" s="9" t="s">
        <v>13284</v>
      </c>
      <c r="K4252" s="9" t="s">
        <v>13284</v>
      </c>
      <c r="L4252" s="9" t="s">
        <v>13284</v>
      </c>
      <c r="M4252" s="9" t="s">
        <v>13284</v>
      </c>
      <c r="N4252" s="9" t="s">
        <v>13284</v>
      </c>
      <c r="O4252" s="9" t="s">
        <v>13284</v>
      </c>
      <c r="P4252" s="9" t="s">
        <v>13284</v>
      </c>
      <c r="Q4252" s="9" t="s">
        <v>13284</v>
      </c>
      <c r="R4252" s="9" t="s">
        <v>13284</v>
      </c>
      <c r="S4252" s="9" t="s">
        <v>13284</v>
      </c>
      <c r="T4252" s="9" t="str">
        <f ca="1">IFERROR(IF(AND(VLOOKUP(A4252, 'Актуальное состояние (из общего'!A:C,3,0) = "", A4252 &lt;&gt; ""), "ПРОВЕРИТЬ", VLOOKUP(A4252, 'Актуальное состояние (из общего'!A:C,3,0)), "")</f>
        <v/>
      </c>
      <c r="U4252" s="9" t="s">
        <v>13284</v>
      </c>
      <c r="V4252" s="9" t="s">
        <v>13284</v>
      </c>
      <c r="W4252" s="12"/>
      <c r="X4252" s="9" t="str">
        <f t="array" ref="X4252">IFERROR(INDEX('Адреса общежитий (скрытый)'!$B$2:$B$9, MATCH(W4252, 'Адреса общежитий (скрытый)'!$A$2:$A$9, 0)), "")</f>
        <v/>
      </c>
      <c r="Y4252" s="18"/>
      <c r="Z4252" s="18"/>
      <c r="AA4252" s="18"/>
      <c r="AB4252" s="18"/>
      <c r="AC4252" s="18"/>
    </row>
    <row r="4253" spans="1:29" ht="32.25" hidden="1" customHeight="1">
      <c r="A4253" s="17"/>
      <c r="B4253" s="9" t="s">
        <v>13284</v>
      </c>
      <c r="C4253" s="9" t="s">
        <v>13284</v>
      </c>
      <c r="D4253" s="9" t="s">
        <v>13284</v>
      </c>
      <c r="E4253" s="9" t="s">
        <v>13284</v>
      </c>
      <c r="F4253" s="9" t="s">
        <v>13284</v>
      </c>
      <c r="G4253" s="9" t="s">
        <v>13284</v>
      </c>
      <c r="H4253" s="9" t="s">
        <v>13284</v>
      </c>
      <c r="I4253" s="9" t="s">
        <v>13284</v>
      </c>
      <c r="J4253" s="9" t="s">
        <v>13284</v>
      </c>
      <c r="K4253" s="9" t="s">
        <v>13284</v>
      </c>
      <c r="L4253" s="9" t="s">
        <v>13284</v>
      </c>
      <c r="M4253" s="9" t="s">
        <v>13284</v>
      </c>
      <c r="N4253" s="9" t="s">
        <v>13284</v>
      </c>
      <c r="O4253" s="9" t="s">
        <v>13284</v>
      </c>
      <c r="P4253" s="9" t="s">
        <v>13284</v>
      </c>
      <c r="Q4253" s="9" t="s">
        <v>13284</v>
      </c>
      <c r="R4253" s="9" t="s">
        <v>13284</v>
      </c>
      <c r="S4253" s="9" t="s">
        <v>13284</v>
      </c>
      <c r="T4253" s="9" t="str">
        <f ca="1">IFERROR(IF(AND(VLOOKUP(A4253, 'Актуальное состояние (из общего'!A:C,3,0) = "", A4253 &lt;&gt; ""), "ПРОВЕРИТЬ", VLOOKUP(A4253, 'Актуальное состояние (из общего'!A:C,3,0)), "")</f>
        <v/>
      </c>
      <c r="U4253" s="9" t="s">
        <v>13284</v>
      </c>
      <c r="V4253" s="9" t="s">
        <v>13284</v>
      </c>
      <c r="W4253" s="12"/>
      <c r="X4253" s="9" t="str">
        <f t="array" ref="X4253">IFERROR(INDEX('Адреса общежитий (скрытый)'!$B$2:$B$9, MATCH(W4253, 'Адреса общежитий (скрытый)'!$A$2:$A$9, 0)), "")</f>
        <v/>
      </c>
      <c r="Y4253" s="18"/>
      <c r="Z4253" s="18"/>
      <c r="AA4253" s="18"/>
      <c r="AB4253" s="18"/>
      <c r="AC4253" s="18"/>
    </row>
    <row r="4254" spans="1:29" ht="32.25" hidden="1" customHeight="1">
      <c r="A4254" s="17"/>
      <c r="B4254" s="9" t="s">
        <v>13284</v>
      </c>
      <c r="C4254" s="9" t="s">
        <v>13284</v>
      </c>
      <c r="D4254" s="9" t="s">
        <v>13284</v>
      </c>
      <c r="E4254" s="9" t="s">
        <v>13284</v>
      </c>
      <c r="F4254" s="9" t="s">
        <v>13284</v>
      </c>
      <c r="G4254" s="9" t="s">
        <v>13284</v>
      </c>
      <c r="H4254" s="9" t="s">
        <v>13284</v>
      </c>
      <c r="I4254" s="9" t="s">
        <v>13284</v>
      </c>
      <c r="J4254" s="9" t="s">
        <v>13284</v>
      </c>
      <c r="K4254" s="9" t="s">
        <v>13284</v>
      </c>
      <c r="L4254" s="9" t="s">
        <v>13284</v>
      </c>
      <c r="M4254" s="9" t="s">
        <v>13284</v>
      </c>
      <c r="N4254" s="9" t="s">
        <v>13284</v>
      </c>
      <c r="O4254" s="9" t="s">
        <v>13284</v>
      </c>
      <c r="P4254" s="9" t="s">
        <v>13284</v>
      </c>
      <c r="Q4254" s="9" t="s">
        <v>13284</v>
      </c>
      <c r="R4254" s="9" t="s">
        <v>13284</v>
      </c>
      <c r="S4254" s="9" t="s">
        <v>13284</v>
      </c>
      <c r="T4254" s="9" t="str">
        <f ca="1">IFERROR(IF(AND(VLOOKUP(A4254, 'Актуальное состояние (из общего'!A:C,3,0) = "", A4254 &lt;&gt; ""), "ПРОВЕРИТЬ", VLOOKUP(A4254, 'Актуальное состояние (из общего'!A:C,3,0)), "")</f>
        <v/>
      </c>
      <c r="U4254" s="9" t="s">
        <v>13284</v>
      </c>
      <c r="V4254" s="9" t="s">
        <v>13284</v>
      </c>
      <c r="W4254" s="12"/>
      <c r="X4254" s="9" t="str">
        <f t="array" ref="X4254">IFERROR(INDEX('Адреса общежитий (скрытый)'!$B$2:$B$9, MATCH(W4254, 'Адреса общежитий (скрытый)'!$A$2:$A$9, 0)), "")</f>
        <v/>
      </c>
      <c r="Y4254" s="18"/>
      <c r="Z4254" s="18"/>
      <c r="AA4254" s="18"/>
      <c r="AB4254" s="18"/>
      <c r="AC4254" s="18"/>
    </row>
    <row r="4255" spans="1:29" ht="32.25" hidden="1" customHeight="1">
      <c r="A4255" s="17"/>
      <c r="B4255" s="9" t="s">
        <v>13284</v>
      </c>
      <c r="C4255" s="9" t="s">
        <v>13284</v>
      </c>
      <c r="D4255" s="9" t="s">
        <v>13284</v>
      </c>
      <c r="E4255" s="9" t="s">
        <v>13284</v>
      </c>
      <c r="F4255" s="9" t="s">
        <v>13284</v>
      </c>
      <c r="G4255" s="9" t="s">
        <v>13284</v>
      </c>
      <c r="H4255" s="9" t="s">
        <v>13284</v>
      </c>
      <c r="I4255" s="9" t="s">
        <v>13284</v>
      </c>
      <c r="J4255" s="9" t="s">
        <v>13284</v>
      </c>
      <c r="K4255" s="9" t="s">
        <v>13284</v>
      </c>
      <c r="L4255" s="9" t="s">
        <v>13284</v>
      </c>
      <c r="M4255" s="9" t="s">
        <v>13284</v>
      </c>
      <c r="N4255" s="9" t="s">
        <v>13284</v>
      </c>
      <c r="O4255" s="9" t="s">
        <v>13284</v>
      </c>
      <c r="P4255" s="9" t="s">
        <v>13284</v>
      </c>
      <c r="Q4255" s="9" t="s">
        <v>13284</v>
      </c>
      <c r="R4255" s="9" t="s">
        <v>13284</v>
      </c>
      <c r="S4255" s="9" t="s">
        <v>13284</v>
      </c>
      <c r="T4255" s="9" t="str">
        <f ca="1">IFERROR(IF(AND(VLOOKUP(A4255, 'Актуальное состояние (из общего'!A:C,3,0) = "", A4255 &lt;&gt; ""), "ПРОВЕРИТЬ", VLOOKUP(A4255, 'Актуальное состояние (из общего'!A:C,3,0)), "")</f>
        <v/>
      </c>
      <c r="U4255" s="9" t="s">
        <v>13284</v>
      </c>
      <c r="V4255" s="9" t="s">
        <v>13284</v>
      </c>
      <c r="W4255" s="12"/>
      <c r="X4255" s="9" t="str">
        <f t="array" ref="X4255">IFERROR(INDEX('Адреса общежитий (скрытый)'!$B$2:$B$9, MATCH(W4255, 'Адреса общежитий (скрытый)'!$A$2:$A$9, 0)), "")</f>
        <v/>
      </c>
      <c r="Y4255" s="18"/>
      <c r="Z4255" s="18"/>
      <c r="AA4255" s="18"/>
      <c r="AB4255" s="18"/>
      <c r="AC4255" s="18"/>
    </row>
    <row r="4256" spans="1:29" ht="32.25" hidden="1" customHeight="1">
      <c r="A4256" s="17"/>
      <c r="B4256" s="9" t="s">
        <v>13284</v>
      </c>
      <c r="C4256" s="9" t="s">
        <v>13284</v>
      </c>
      <c r="D4256" s="9" t="s">
        <v>13284</v>
      </c>
      <c r="E4256" s="9" t="s">
        <v>13284</v>
      </c>
      <c r="F4256" s="9" t="s">
        <v>13284</v>
      </c>
      <c r="G4256" s="9" t="s">
        <v>13284</v>
      </c>
      <c r="H4256" s="9" t="s">
        <v>13284</v>
      </c>
      <c r="I4256" s="9" t="s">
        <v>13284</v>
      </c>
      <c r="J4256" s="9" t="s">
        <v>13284</v>
      </c>
      <c r="K4256" s="9" t="s">
        <v>13284</v>
      </c>
      <c r="L4256" s="9" t="s">
        <v>13284</v>
      </c>
      <c r="M4256" s="9" t="s">
        <v>13284</v>
      </c>
      <c r="N4256" s="9" t="s">
        <v>13284</v>
      </c>
      <c r="O4256" s="9" t="s">
        <v>13284</v>
      </c>
      <c r="P4256" s="9" t="s">
        <v>13284</v>
      </c>
      <c r="Q4256" s="9" t="s">
        <v>13284</v>
      </c>
      <c r="R4256" s="9" t="s">
        <v>13284</v>
      </c>
      <c r="S4256" s="9" t="s">
        <v>13284</v>
      </c>
      <c r="T4256" s="9" t="str">
        <f ca="1">IFERROR(IF(AND(VLOOKUP(A4256, 'Актуальное состояние (из общего'!A:C,3,0) = "", A4256 &lt;&gt; ""), "ПРОВЕРИТЬ", VLOOKUP(A4256, 'Актуальное состояние (из общего'!A:C,3,0)), "")</f>
        <v/>
      </c>
      <c r="U4256" s="9" t="s">
        <v>13284</v>
      </c>
      <c r="V4256" s="9" t="s">
        <v>13284</v>
      </c>
      <c r="W4256" s="12"/>
      <c r="X4256" s="9" t="str">
        <f t="array" ref="X4256">IFERROR(INDEX('Адреса общежитий (скрытый)'!$B$2:$B$9, MATCH(W4256, 'Адреса общежитий (скрытый)'!$A$2:$A$9, 0)), "")</f>
        <v/>
      </c>
      <c r="Y4256" s="18"/>
      <c r="Z4256" s="18"/>
      <c r="AA4256" s="18"/>
      <c r="AB4256" s="18"/>
      <c r="AC4256" s="18"/>
    </row>
    <row r="4257" spans="1:29" ht="32.25" hidden="1" customHeight="1">
      <c r="A4257" s="17"/>
      <c r="B4257" s="9" t="s">
        <v>13284</v>
      </c>
      <c r="C4257" s="9" t="s">
        <v>13284</v>
      </c>
      <c r="D4257" s="9" t="s">
        <v>13284</v>
      </c>
      <c r="E4257" s="9" t="s">
        <v>13284</v>
      </c>
      <c r="F4257" s="9" t="s">
        <v>13284</v>
      </c>
      <c r="G4257" s="9" t="s">
        <v>13284</v>
      </c>
      <c r="H4257" s="9" t="s">
        <v>13284</v>
      </c>
      <c r="I4257" s="9" t="s">
        <v>13284</v>
      </c>
      <c r="J4257" s="9" t="s">
        <v>13284</v>
      </c>
      <c r="K4257" s="9" t="s">
        <v>13284</v>
      </c>
      <c r="L4257" s="9" t="s">
        <v>13284</v>
      </c>
      <c r="M4257" s="9" t="s">
        <v>13284</v>
      </c>
      <c r="N4257" s="9" t="s">
        <v>13284</v>
      </c>
      <c r="O4257" s="9" t="s">
        <v>13284</v>
      </c>
      <c r="P4257" s="9" t="s">
        <v>13284</v>
      </c>
      <c r="Q4257" s="9" t="s">
        <v>13284</v>
      </c>
      <c r="R4257" s="9" t="s">
        <v>13284</v>
      </c>
      <c r="S4257" s="9" t="s">
        <v>13284</v>
      </c>
      <c r="T4257" s="9" t="str">
        <f ca="1">IFERROR(IF(AND(VLOOKUP(A4257, 'Актуальное состояние (из общего'!A:C,3,0) = "", A4257 &lt;&gt; ""), "ПРОВЕРИТЬ", VLOOKUP(A4257, 'Актуальное состояние (из общего'!A:C,3,0)), "")</f>
        <v/>
      </c>
      <c r="U4257" s="9" t="s">
        <v>13284</v>
      </c>
      <c r="V4257" s="9" t="s">
        <v>13284</v>
      </c>
      <c r="W4257" s="12"/>
      <c r="X4257" s="9" t="str">
        <f t="array" ref="X4257">IFERROR(INDEX('Адреса общежитий (скрытый)'!$B$2:$B$9, MATCH(W4257, 'Адреса общежитий (скрытый)'!$A$2:$A$9, 0)), "")</f>
        <v/>
      </c>
      <c r="Y4257" s="18"/>
      <c r="Z4257" s="18"/>
      <c r="AA4257" s="18"/>
      <c r="AB4257" s="18"/>
      <c r="AC4257" s="18"/>
    </row>
    <row r="4258" spans="1:29" ht="32.25" hidden="1" customHeight="1">
      <c r="A4258" s="17"/>
      <c r="B4258" s="9" t="s">
        <v>13284</v>
      </c>
      <c r="C4258" s="9" t="s">
        <v>13284</v>
      </c>
      <c r="D4258" s="9" t="s">
        <v>13284</v>
      </c>
      <c r="E4258" s="9" t="s">
        <v>13284</v>
      </c>
      <c r="F4258" s="9" t="s">
        <v>13284</v>
      </c>
      <c r="G4258" s="9" t="s">
        <v>13284</v>
      </c>
      <c r="H4258" s="9" t="s">
        <v>13284</v>
      </c>
      <c r="I4258" s="9" t="s">
        <v>13284</v>
      </c>
      <c r="J4258" s="9" t="s">
        <v>13284</v>
      </c>
      <c r="K4258" s="9" t="s">
        <v>13284</v>
      </c>
      <c r="L4258" s="9" t="s">
        <v>13284</v>
      </c>
      <c r="M4258" s="9" t="s">
        <v>13284</v>
      </c>
      <c r="N4258" s="9" t="s">
        <v>13284</v>
      </c>
      <c r="O4258" s="9" t="s">
        <v>13284</v>
      </c>
      <c r="P4258" s="9" t="s">
        <v>13284</v>
      </c>
      <c r="Q4258" s="9" t="s">
        <v>13284</v>
      </c>
      <c r="R4258" s="9" t="s">
        <v>13284</v>
      </c>
      <c r="S4258" s="9" t="s">
        <v>13284</v>
      </c>
      <c r="T4258" s="9" t="str">
        <f ca="1">IFERROR(IF(AND(VLOOKUP(A4258, 'Актуальное состояние (из общего'!A:C,3,0) = "", A4258 &lt;&gt; ""), "ПРОВЕРИТЬ", VLOOKUP(A4258, 'Актуальное состояние (из общего'!A:C,3,0)), "")</f>
        <v/>
      </c>
      <c r="U4258" s="9" t="s">
        <v>13284</v>
      </c>
      <c r="V4258" s="9" t="s">
        <v>13284</v>
      </c>
      <c r="W4258" s="12"/>
      <c r="X4258" s="9" t="str">
        <f t="array" ref="X4258">IFERROR(INDEX('Адреса общежитий (скрытый)'!$B$2:$B$9, MATCH(W4258, 'Адреса общежитий (скрытый)'!$A$2:$A$9, 0)), "")</f>
        <v/>
      </c>
      <c r="Y4258" s="18"/>
      <c r="Z4258" s="18"/>
      <c r="AA4258" s="18"/>
      <c r="AB4258" s="18"/>
      <c r="AC4258" s="18"/>
    </row>
    <row r="4259" spans="1:29" ht="32.25" hidden="1" customHeight="1">
      <c r="A4259" s="17"/>
      <c r="B4259" s="9" t="s">
        <v>13284</v>
      </c>
      <c r="C4259" s="9" t="s">
        <v>13284</v>
      </c>
      <c r="D4259" s="9" t="s">
        <v>13284</v>
      </c>
      <c r="E4259" s="9" t="s">
        <v>13284</v>
      </c>
      <c r="F4259" s="9" t="s">
        <v>13284</v>
      </c>
      <c r="G4259" s="9" t="s">
        <v>13284</v>
      </c>
      <c r="H4259" s="9" t="s">
        <v>13284</v>
      </c>
      <c r="I4259" s="9" t="s">
        <v>13284</v>
      </c>
      <c r="J4259" s="9" t="s">
        <v>13284</v>
      </c>
      <c r="K4259" s="9" t="s">
        <v>13284</v>
      </c>
      <c r="L4259" s="9" t="s">
        <v>13284</v>
      </c>
      <c r="M4259" s="9" t="s">
        <v>13284</v>
      </c>
      <c r="N4259" s="9" t="s">
        <v>13284</v>
      </c>
      <c r="O4259" s="9" t="s">
        <v>13284</v>
      </c>
      <c r="P4259" s="9" t="s">
        <v>13284</v>
      </c>
      <c r="Q4259" s="9" t="s">
        <v>13284</v>
      </c>
      <c r="R4259" s="9" t="s">
        <v>13284</v>
      </c>
      <c r="S4259" s="9" t="s">
        <v>13284</v>
      </c>
      <c r="T4259" s="9" t="str">
        <f ca="1">IFERROR(IF(AND(VLOOKUP(A4259, 'Актуальное состояние (из общего'!A:C,3,0) = "", A4259 &lt;&gt; ""), "ПРОВЕРИТЬ", VLOOKUP(A4259, 'Актуальное состояние (из общего'!A:C,3,0)), "")</f>
        <v/>
      </c>
      <c r="U4259" s="9" t="s">
        <v>13284</v>
      </c>
      <c r="V4259" s="9" t="s">
        <v>13284</v>
      </c>
      <c r="W4259" s="12"/>
      <c r="X4259" s="9" t="str">
        <f t="array" ref="X4259">IFERROR(INDEX('Адреса общежитий (скрытый)'!$B$2:$B$9, MATCH(W4259, 'Адреса общежитий (скрытый)'!$A$2:$A$9, 0)), "")</f>
        <v/>
      </c>
      <c r="Y4259" s="18"/>
      <c r="Z4259" s="18"/>
      <c r="AA4259" s="18"/>
      <c r="AB4259" s="18"/>
      <c r="AC4259" s="18"/>
    </row>
    <row r="4260" spans="1:29" ht="32.25" hidden="1" customHeight="1">
      <c r="A4260" s="17"/>
      <c r="B4260" s="9" t="s">
        <v>13284</v>
      </c>
      <c r="C4260" s="9" t="s">
        <v>13284</v>
      </c>
      <c r="D4260" s="9" t="s">
        <v>13284</v>
      </c>
      <c r="E4260" s="9" t="s">
        <v>13284</v>
      </c>
      <c r="F4260" s="9" t="s">
        <v>13284</v>
      </c>
      <c r="G4260" s="9" t="s">
        <v>13284</v>
      </c>
      <c r="H4260" s="9" t="s">
        <v>13284</v>
      </c>
      <c r="I4260" s="9" t="s">
        <v>13284</v>
      </c>
      <c r="J4260" s="9" t="s">
        <v>13284</v>
      </c>
      <c r="K4260" s="9" t="s">
        <v>13284</v>
      </c>
      <c r="L4260" s="9" t="s">
        <v>13284</v>
      </c>
      <c r="M4260" s="9" t="s">
        <v>13284</v>
      </c>
      <c r="N4260" s="9" t="s">
        <v>13284</v>
      </c>
      <c r="O4260" s="9" t="s">
        <v>13284</v>
      </c>
      <c r="P4260" s="9" t="s">
        <v>13284</v>
      </c>
      <c r="Q4260" s="9" t="s">
        <v>13284</v>
      </c>
      <c r="R4260" s="9" t="s">
        <v>13284</v>
      </c>
      <c r="S4260" s="9" t="s">
        <v>13284</v>
      </c>
      <c r="T4260" s="9" t="str">
        <f ca="1">IFERROR(IF(AND(VLOOKUP(A4260, 'Актуальное состояние (из общего'!A:C,3,0) = "", A4260 &lt;&gt; ""), "ПРОВЕРИТЬ", VLOOKUP(A4260, 'Актуальное состояние (из общего'!A:C,3,0)), "")</f>
        <v/>
      </c>
      <c r="U4260" s="9" t="s">
        <v>13284</v>
      </c>
      <c r="V4260" s="9" t="s">
        <v>13284</v>
      </c>
      <c r="W4260" s="12"/>
      <c r="X4260" s="9" t="str">
        <f t="array" ref="X4260">IFERROR(INDEX('Адреса общежитий (скрытый)'!$B$2:$B$9, MATCH(W4260, 'Адреса общежитий (скрытый)'!$A$2:$A$9, 0)), "")</f>
        <v/>
      </c>
      <c r="Y4260" s="18"/>
      <c r="Z4260" s="18"/>
      <c r="AA4260" s="18"/>
      <c r="AB4260" s="18"/>
      <c r="AC4260" s="18"/>
    </row>
    <row r="4261" spans="1:29" ht="32.25" hidden="1" customHeight="1">
      <c r="A4261" s="17"/>
      <c r="B4261" s="9" t="s">
        <v>13284</v>
      </c>
      <c r="C4261" s="9" t="s">
        <v>13284</v>
      </c>
      <c r="D4261" s="9" t="s">
        <v>13284</v>
      </c>
      <c r="E4261" s="9" t="s">
        <v>13284</v>
      </c>
      <c r="F4261" s="9" t="s">
        <v>13284</v>
      </c>
      <c r="G4261" s="9" t="s">
        <v>13284</v>
      </c>
      <c r="H4261" s="9" t="s">
        <v>13284</v>
      </c>
      <c r="I4261" s="9" t="s">
        <v>13284</v>
      </c>
      <c r="J4261" s="9" t="s">
        <v>13284</v>
      </c>
      <c r="K4261" s="9" t="s">
        <v>13284</v>
      </c>
      <c r="L4261" s="9" t="s">
        <v>13284</v>
      </c>
      <c r="M4261" s="9" t="s">
        <v>13284</v>
      </c>
      <c r="N4261" s="9" t="s">
        <v>13284</v>
      </c>
      <c r="O4261" s="9" t="s">
        <v>13284</v>
      </c>
      <c r="P4261" s="9" t="s">
        <v>13284</v>
      </c>
      <c r="Q4261" s="9" t="s">
        <v>13284</v>
      </c>
      <c r="R4261" s="9" t="s">
        <v>13284</v>
      </c>
      <c r="S4261" s="9" t="s">
        <v>13284</v>
      </c>
      <c r="T4261" s="9" t="str">
        <f ca="1">IFERROR(IF(AND(VLOOKUP(A4261, 'Актуальное состояние (из общего'!A:C,3,0) = "", A4261 &lt;&gt; ""), "ПРОВЕРИТЬ", VLOOKUP(A4261, 'Актуальное состояние (из общего'!A:C,3,0)), "")</f>
        <v/>
      </c>
      <c r="U4261" s="9" t="s">
        <v>13284</v>
      </c>
      <c r="V4261" s="9" t="s">
        <v>13284</v>
      </c>
      <c r="W4261" s="12"/>
      <c r="X4261" s="9" t="str">
        <f t="array" ref="X4261">IFERROR(INDEX('Адреса общежитий (скрытый)'!$B$2:$B$9, MATCH(W4261, 'Адреса общежитий (скрытый)'!$A$2:$A$9, 0)), "")</f>
        <v/>
      </c>
      <c r="Y4261" s="18"/>
      <c r="Z4261" s="18"/>
      <c r="AA4261" s="18"/>
      <c r="AB4261" s="18"/>
      <c r="AC4261" s="18"/>
    </row>
    <row r="4262" spans="1:29" ht="32.25" hidden="1" customHeight="1">
      <c r="A4262" s="17"/>
      <c r="B4262" s="9" t="s">
        <v>13284</v>
      </c>
      <c r="C4262" s="9" t="s">
        <v>13284</v>
      </c>
      <c r="D4262" s="9" t="s">
        <v>13284</v>
      </c>
      <c r="E4262" s="9" t="s">
        <v>13284</v>
      </c>
      <c r="F4262" s="9" t="s">
        <v>13284</v>
      </c>
      <c r="G4262" s="9" t="s">
        <v>13284</v>
      </c>
      <c r="H4262" s="9" t="s">
        <v>13284</v>
      </c>
      <c r="I4262" s="9" t="s">
        <v>13284</v>
      </c>
      <c r="J4262" s="9" t="s">
        <v>13284</v>
      </c>
      <c r="K4262" s="9" t="s">
        <v>13284</v>
      </c>
      <c r="L4262" s="9" t="s">
        <v>13284</v>
      </c>
      <c r="M4262" s="9" t="s">
        <v>13284</v>
      </c>
      <c r="N4262" s="9" t="s">
        <v>13284</v>
      </c>
      <c r="O4262" s="9" t="s">
        <v>13284</v>
      </c>
      <c r="P4262" s="9" t="s">
        <v>13284</v>
      </c>
      <c r="Q4262" s="9" t="s">
        <v>13284</v>
      </c>
      <c r="R4262" s="9" t="s">
        <v>13284</v>
      </c>
      <c r="S4262" s="9" t="s">
        <v>13284</v>
      </c>
      <c r="T4262" s="9" t="str">
        <f ca="1">IFERROR(IF(AND(VLOOKUP(A4262, 'Актуальное состояние (из общего'!A:C,3,0) = "", A4262 &lt;&gt; ""), "ПРОВЕРИТЬ", VLOOKUP(A4262, 'Актуальное состояние (из общего'!A:C,3,0)), "")</f>
        <v/>
      </c>
      <c r="U4262" s="9" t="s">
        <v>13284</v>
      </c>
      <c r="V4262" s="9" t="s">
        <v>13284</v>
      </c>
      <c r="W4262" s="12"/>
      <c r="X4262" s="9" t="str">
        <f t="array" ref="X4262">IFERROR(INDEX('Адреса общежитий (скрытый)'!$B$2:$B$9, MATCH(W4262, 'Адреса общежитий (скрытый)'!$A$2:$A$9, 0)), "")</f>
        <v/>
      </c>
      <c r="Y4262" s="18"/>
      <c r="Z4262" s="18"/>
      <c r="AA4262" s="18"/>
      <c r="AB4262" s="18"/>
      <c r="AC4262" s="18"/>
    </row>
    <row r="4263" spans="1:29" ht="32.25" hidden="1" customHeight="1">
      <c r="A4263" s="17"/>
      <c r="B4263" s="9" t="s">
        <v>13284</v>
      </c>
      <c r="C4263" s="9" t="s">
        <v>13284</v>
      </c>
      <c r="D4263" s="9" t="s">
        <v>13284</v>
      </c>
      <c r="E4263" s="9" t="s">
        <v>13284</v>
      </c>
      <c r="F4263" s="9" t="s">
        <v>13284</v>
      </c>
      <c r="G4263" s="9" t="s">
        <v>13284</v>
      </c>
      <c r="H4263" s="9" t="s">
        <v>13284</v>
      </c>
      <c r="I4263" s="9" t="s">
        <v>13284</v>
      </c>
      <c r="J4263" s="9" t="s">
        <v>13284</v>
      </c>
      <c r="K4263" s="9" t="s">
        <v>13284</v>
      </c>
      <c r="L4263" s="9" t="s">
        <v>13284</v>
      </c>
      <c r="M4263" s="9" t="s">
        <v>13284</v>
      </c>
      <c r="N4263" s="9" t="s">
        <v>13284</v>
      </c>
      <c r="O4263" s="9" t="s">
        <v>13284</v>
      </c>
      <c r="P4263" s="9" t="s">
        <v>13284</v>
      </c>
      <c r="Q4263" s="9" t="s">
        <v>13284</v>
      </c>
      <c r="R4263" s="9" t="s">
        <v>13284</v>
      </c>
      <c r="S4263" s="9" t="s">
        <v>13284</v>
      </c>
      <c r="T4263" s="9" t="str">
        <f ca="1">IFERROR(IF(AND(VLOOKUP(A4263, 'Актуальное состояние (из общего'!A:C,3,0) = "", A4263 &lt;&gt; ""), "ПРОВЕРИТЬ", VLOOKUP(A4263, 'Актуальное состояние (из общего'!A:C,3,0)), "")</f>
        <v/>
      </c>
      <c r="U4263" s="9" t="s">
        <v>13284</v>
      </c>
      <c r="V4263" s="9" t="s">
        <v>13284</v>
      </c>
      <c r="W4263" s="12"/>
      <c r="X4263" s="9" t="str">
        <f t="array" ref="X4263">IFERROR(INDEX('Адреса общежитий (скрытый)'!$B$2:$B$9, MATCH(W4263, 'Адреса общежитий (скрытый)'!$A$2:$A$9, 0)), "")</f>
        <v/>
      </c>
      <c r="Y4263" s="18"/>
      <c r="Z4263" s="18"/>
      <c r="AA4263" s="18"/>
      <c r="AB4263" s="18"/>
      <c r="AC4263" s="18"/>
    </row>
    <row r="4264" spans="1:29" ht="32.25" hidden="1" customHeight="1">
      <c r="A4264" s="17"/>
      <c r="B4264" s="9" t="s">
        <v>13284</v>
      </c>
      <c r="C4264" s="9" t="s">
        <v>13284</v>
      </c>
      <c r="D4264" s="9" t="s">
        <v>13284</v>
      </c>
      <c r="E4264" s="9" t="s">
        <v>13284</v>
      </c>
      <c r="F4264" s="9" t="s">
        <v>13284</v>
      </c>
      <c r="G4264" s="9" t="s">
        <v>13284</v>
      </c>
      <c r="H4264" s="9" t="s">
        <v>13284</v>
      </c>
      <c r="I4264" s="9" t="s">
        <v>13284</v>
      </c>
      <c r="J4264" s="9" t="s">
        <v>13284</v>
      </c>
      <c r="K4264" s="9" t="s">
        <v>13284</v>
      </c>
      <c r="L4264" s="9" t="s">
        <v>13284</v>
      </c>
      <c r="M4264" s="9" t="s">
        <v>13284</v>
      </c>
      <c r="N4264" s="9" t="s">
        <v>13284</v>
      </c>
      <c r="O4264" s="9" t="s">
        <v>13284</v>
      </c>
      <c r="P4264" s="9" t="s">
        <v>13284</v>
      </c>
      <c r="Q4264" s="9" t="s">
        <v>13284</v>
      </c>
      <c r="R4264" s="9" t="s">
        <v>13284</v>
      </c>
      <c r="S4264" s="9" t="s">
        <v>13284</v>
      </c>
      <c r="T4264" s="9" t="str">
        <f ca="1">IFERROR(IF(AND(VLOOKUP(A4264, 'Актуальное состояние (из общего'!A:C,3,0) = "", A4264 &lt;&gt; ""), "ПРОВЕРИТЬ", VLOOKUP(A4264, 'Актуальное состояние (из общего'!A:C,3,0)), "")</f>
        <v/>
      </c>
      <c r="U4264" s="9" t="s">
        <v>13284</v>
      </c>
      <c r="V4264" s="9" t="s">
        <v>13284</v>
      </c>
      <c r="W4264" s="12"/>
      <c r="X4264" s="9" t="str">
        <f t="array" ref="X4264">IFERROR(INDEX('Адреса общежитий (скрытый)'!$B$2:$B$9, MATCH(W4264, 'Адреса общежитий (скрытый)'!$A$2:$A$9, 0)), "")</f>
        <v/>
      </c>
      <c r="Y4264" s="18"/>
      <c r="Z4264" s="18"/>
      <c r="AA4264" s="18"/>
      <c r="AB4264" s="18"/>
      <c r="AC4264" s="18"/>
    </row>
    <row r="4265" spans="1:29" ht="32.25" hidden="1" customHeight="1">
      <c r="A4265" s="17"/>
      <c r="B4265" s="9" t="s">
        <v>13284</v>
      </c>
      <c r="C4265" s="9" t="s">
        <v>13284</v>
      </c>
      <c r="D4265" s="9" t="s">
        <v>13284</v>
      </c>
      <c r="E4265" s="9" t="s">
        <v>13284</v>
      </c>
      <c r="F4265" s="9" t="s">
        <v>13284</v>
      </c>
      <c r="G4265" s="9" t="s">
        <v>13284</v>
      </c>
      <c r="H4265" s="9" t="s">
        <v>13284</v>
      </c>
      <c r="I4265" s="9" t="s">
        <v>13284</v>
      </c>
      <c r="J4265" s="9" t="s">
        <v>13284</v>
      </c>
      <c r="K4265" s="9" t="s">
        <v>13284</v>
      </c>
      <c r="L4265" s="9" t="s">
        <v>13284</v>
      </c>
      <c r="M4265" s="9" t="s">
        <v>13284</v>
      </c>
      <c r="N4265" s="9" t="s">
        <v>13284</v>
      </c>
      <c r="O4265" s="9" t="s">
        <v>13284</v>
      </c>
      <c r="P4265" s="9" t="s">
        <v>13284</v>
      </c>
      <c r="Q4265" s="9" t="s">
        <v>13284</v>
      </c>
      <c r="R4265" s="9" t="s">
        <v>13284</v>
      </c>
      <c r="S4265" s="9" t="s">
        <v>13284</v>
      </c>
      <c r="T4265" s="9" t="str">
        <f ca="1">IFERROR(IF(AND(VLOOKUP(A4265, 'Актуальное состояние (из общего'!A:C,3,0) = "", A4265 &lt;&gt; ""), "ПРОВЕРИТЬ", VLOOKUP(A4265, 'Актуальное состояние (из общего'!A:C,3,0)), "")</f>
        <v/>
      </c>
      <c r="U4265" s="9" t="s">
        <v>13284</v>
      </c>
      <c r="V4265" s="9" t="s">
        <v>13284</v>
      </c>
      <c r="W4265" s="12"/>
      <c r="X4265" s="9" t="str">
        <f t="array" ref="X4265">IFERROR(INDEX('Адреса общежитий (скрытый)'!$B$2:$B$9, MATCH(W4265, 'Адреса общежитий (скрытый)'!$A$2:$A$9, 0)), "")</f>
        <v/>
      </c>
      <c r="Y4265" s="18"/>
      <c r="Z4265" s="18"/>
      <c r="AA4265" s="18"/>
      <c r="AB4265" s="18"/>
      <c r="AC4265" s="18"/>
    </row>
    <row r="4266" spans="1:29" ht="32.25" hidden="1" customHeight="1">
      <c r="A4266" s="17"/>
      <c r="B4266" s="9" t="s">
        <v>13284</v>
      </c>
      <c r="C4266" s="9" t="s">
        <v>13284</v>
      </c>
      <c r="D4266" s="9" t="s">
        <v>13284</v>
      </c>
      <c r="E4266" s="9" t="s">
        <v>13284</v>
      </c>
      <c r="F4266" s="9" t="s">
        <v>13284</v>
      </c>
      <c r="G4266" s="9" t="s">
        <v>13284</v>
      </c>
      <c r="H4266" s="9" t="s">
        <v>13284</v>
      </c>
      <c r="I4266" s="9" t="s">
        <v>13284</v>
      </c>
      <c r="J4266" s="9" t="s">
        <v>13284</v>
      </c>
      <c r="K4266" s="9" t="s">
        <v>13284</v>
      </c>
      <c r="L4266" s="9" t="s">
        <v>13284</v>
      </c>
      <c r="M4266" s="9" t="s">
        <v>13284</v>
      </c>
      <c r="N4266" s="9" t="s">
        <v>13284</v>
      </c>
      <c r="O4266" s="9" t="s">
        <v>13284</v>
      </c>
      <c r="P4266" s="9" t="s">
        <v>13284</v>
      </c>
      <c r="Q4266" s="9" t="s">
        <v>13284</v>
      </c>
      <c r="R4266" s="9" t="s">
        <v>13284</v>
      </c>
      <c r="S4266" s="9" t="s">
        <v>13284</v>
      </c>
      <c r="T4266" s="9" t="str">
        <f ca="1">IFERROR(IF(AND(VLOOKUP(A4266, 'Актуальное состояние (из общего'!A:C,3,0) = "", A4266 &lt;&gt; ""), "ПРОВЕРИТЬ", VLOOKUP(A4266, 'Актуальное состояние (из общего'!A:C,3,0)), "")</f>
        <v/>
      </c>
      <c r="U4266" s="9" t="s">
        <v>13284</v>
      </c>
      <c r="V4266" s="9" t="s">
        <v>13284</v>
      </c>
      <c r="W4266" s="12"/>
      <c r="X4266" s="9" t="str">
        <f t="array" ref="X4266">IFERROR(INDEX('Адреса общежитий (скрытый)'!$B$2:$B$9, MATCH(W4266, 'Адреса общежитий (скрытый)'!$A$2:$A$9, 0)), "")</f>
        <v/>
      </c>
      <c r="Y4266" s="18"/>
      <c r="Z4266" s="18"/>
      <c r="AA4266" s="18"/>
      <c r="AB4266" s="18"/>
      <c r="AC4266" s="18"/>
    </row>
    <row r="4267" spans="1:29" ht="32.25" hidden="1" customHeight="1">
      <c r="A4267" s="17"/>
      <c r="B4267" s="9" t="s">
        <v>13284</v>
      </c>
      <c r="C4267" s="9" t="s">
        <v>13284</v>
      </c>
      <c r="D4267" s="9" t="s">
        <v>13284</v>
      </c>
      <c r="E4267" s="9" t="s">
        <v>13284</v>
      </c>
      <c r="F4267" s="9" t="s">
        <v>13284</v>
      </c>
      <c r="G4267" s="9" t="s">
        <v>13284</v>
      </c>
      <c r="H4267" s="9" t="s">
        <v>13284</v>
      </c>
      <c r="I4267" s="9" t="s">
        <v>13284</v>
      </c>
      <c r="J4267" s="9" t="s">
        <v>13284</v>
      </c>
      <c r="K4267" s="9" t="s">
        <v>13284</v>
      </c>
      <c r="L4267" s="9" t="s">
        <v>13284</v>
      </c>
      <c r="M4267" s="9" t="s">
        <v>13284</v>
      </c>
      <c r="N4267" s="9" t="s">
        <v>13284</v>
      </c>
      <c r="O4267" s="9" t="s">
        <v>13284</v>
      </c>
      <c r="P4267" s="9" t="s">
        <v>13284</v>
      </c>
      <c r="Q4267" s="9" t="s">
        <v>13284</v>
      </c>
      <c r="R4267" s="9" t="s">
        <v>13284</v>
      </c>
      <c r="S4267" s="9" t="s">
        <v>13284</v>
      </c>
      <c r="T4267" s="9" t="str">
        <f ca="1">IFERROR(IF(AND(VLOOKUP(A4267, 'Актуальное состояние (из общего'!A:C,3,0) = "", A4267 &lt;&gt; ""), "ПРОВЕРИТЬ", VLOOKUP(A4267, 'Актуальное состояние (из общего'!A:C,3,0)), "")</f>
        <v/>
      </c>
      <c r="U4267" s="9" t="s">
        <v>13284</v>
      </c>
      <c r="V4267" s="9" t="s">
        <v>13284</v>
      </c>
      <c r="W4267" s="12"/>
      <c r="X4267" s="9" t="str">
        <f t="array" ref="X4267">IFERROR(INDEX('Адреса общежитий (скрытый)'!$B$2:$B$9, MATCH(W4267, 'Адреса общежитий (скрытый)'!$A$2:$A$9, 0)), "")</f>
        <v/>
      </c>
      <c r="Y4267" s="18"/>
      <c r="Z4267" s="18"/>
      <c r="AA4267" s="18"/>
      <c r="AB4267" s="18"/>
      <c r="AC4267" s="18"/>
    </row>
    <row r="4268" spans="1:29" ht="32.25" hidden="1" customHeight="1">
      <c r="A4268" s="17"/>
      <c r="B4268" s="9" t="s">
        <v>13284</v>
      </c>
      <c r="C4268" s="9" t="s">
        <v>13284</v>
      </c>
      <c r="D4268" s="9" t="s">
        <v>13284</v>
      </c>
      <c r="E4268" s="9" t="s">
        <v>13284</v>
      </c>
      <c r="F4268" s="9" t="s">
        <v>13284</v>
      </c>
      <c r="G4268" s="9" t="s">
        <v>13284</v>
      </c>
      <c r="H4268" s="9" t="s">
        <v>13284</v>
      </c>
      <c r="I4268" s="9" t="s">
        <v>13284</v>
      </c>
      <c r="J4268" s="9" t="s">
        <v>13284</v>
      </c>
      <c r="K4268" s="9" t="s">
        <v>13284</v>
      </c>
      <c r="L4268" s="9" t="s">
        <v>13284</v>
      </c>
      <c r="M4268" s="9" t="s">
        <v>13284</v>
      </c>
      <c r="N4268" s="9" t="s">
        <v>13284</v>
      </c>
      <c r="O4268" s="9" t="s">
        <v>13284</v>
      </c>
      <c r="P4268" s="9" t="s">
        <v>13284</v>
      </c>
      <c r="Q4268" s="9" t="s">
        <v>13284</v>
      </c>
      <c r="R4268" s="9" t="s">
        <v>13284</v>
      </c>
      <c r="S4268" s="9" t="s">
        <v>13284</v>
      </c>
      <c r="T4268" s="9" t="str">
        <f ca="1">IFERROR(IF(AND(VLOOKUP(A4268, 'Актуальное состояние (из общего'!A:C,3,0) = "", A4268 &lt;&gt; ""), "ПРОВЕРИТЬ", VLOOKUP(A4268, 'Актуальное состояние (из общего'!A:C,3,0)), "")</f>
        <v/>
      </c>
      <c r="U4268" s="9" t="s">
        <v>13284</v>
      </c>
      <c r="V4268" s="9" t="s">
        <v>13284</v>
      </c>
      <c r="W4268" s="12"/>
      <c r="X4268" s="9" t="str">
        <f t="array" ref="X4268">IFERROR(INDEX('Адреса общежитий (скрытый)'!$B$2:$B$9, MATCH(W4268, 'Адреса общежитий (скрытый)'!$A$2:$A$9, 0)), "")</f>
        <v/>
      </c>
      <c r="Y4268" s="18"/>
      <c r="Z4268" s="18"/>
      <c r="AA4268" s="18"/>
      <c r="AB4268" s="18"/>
      <c r="AC4268" s="18"/>
    </row>
    <row r="4269" spans="1:29" ht="32.25" hidden="1" customHeight="1">
      <c r="A4269" s="17"/>
      <c r="B4269" s="9" t="s">
        <v>13284</v>
      </c>
      <c r="C4269" s="9" t="s">
        <v>13284</v>
      </c>
      <c r="D4269" s="9" t="s">
        <v>13284</v>
      </c>
      <c r="E4269" s="9" t="s">
        <v>13284</v>
      </c>
      <c r="F4269" s="9" t="s">
        <v>13284</v>
      </c>
      <c r="G4269" s="9" t="s">
        <v>13284</v>
      </c>
      <c r="H4269" s="9" t="s">
        <v>13284</v>
      </c>
      <c r="I4269" s="9" t="s">
        <v>13284</v>
      </c>
      <c r="J4269" s="9" t="s">
        <v>13284</v>
      </c>
      <c r="K4269" s="9" t="s">
        <v>13284</v>
      </c>
      <c r="L4269" s="9" t="s">
        <v>13284</v>
      </c>
      <c r="M4269" s="9" t="s">
        <v>13284</v>
      </c>
      <c r="N4269" s="9" t="s">
        <v>13284</v>
      </c>
      <c r="O4269" s="9" t="s">
        <v>13284</v>
      </c>
      <c r="P4269" s="9" t="s">
        <v>13284</v>
      </c>
      <c r="Q4269" s="9" t="s">
        <v>13284</v>
      </c>
      <c r="R4269" s="9" t="s">
        <v>13284</v>
      </c>
      <c r="S4269" s="9" t="s">
        <v>13284</v>
      </c>
      <c r="T4269" s="9" t="str">
        <f ca="1">IFERROR(IF(AND(VLOOKUP(A4269, 'Актуальное состояние (из общего'!A:C,3,0) = "", A4269 &lt;&gt; ""), "ПРОВЕРИТЬ", VLOOKUP(A4269, 'Актуальное состояние (из общего'!A:C,3,0)), "")</f>
        <v/>
      </c>
      <c r="U4269" s="9" t="s">
        <v>13284</v>
      </c>
      <c r="V4269" s="9" t="s">
        <v>13284</v>
      </c>
      <c r="W4269" s="12"/>
      <c r="X4269" s="9" t="str">
        <f t="array" ref="X4269">IFERROR(INDEX('Адреса общежитий (скрытый)'!$B$2:$B$9, MATCH(W4269, 'Адреса общежитий (скрытый)'!$A$2:$A$9, 0)), "")</f>
        <v/>
      </c>
      <c r="Y4269" s="18"/>
      <c r="Z4269" s="18"/>
      <c r="AA4269" s="18"/>
      <c r="AB4269" s="18"/>
      <c r="AC4269" s="18"/>
    </row>
    <row r="4270" spans="1:29" ht="32.25" hidden="1" customHeight="1">
      <c r="A4270" s="17"/>
      <c r="B4270" s="9" t="s">
        <v>13284</v>
      </c>
      <c r="C4270" s="9" t="s">
        <v>13284</v>
      </c>
      <c r="D4270" s="9" t="s">
        <v>13284</v>
      </c>
      <c r="E4270" s="9" t="s">
        <v>13284</v>
      </c>
      <c r="F4270" s="9" t="s">
        <v>13284</v>
      </c>
      <c r="G4270" s="9" t="s">
        <v>13284</v>
      </c>
      <c r="H4270" s="9" t="s">
        <v>13284</v>
      </c>
      <c r="I4270" s="9" t="s">
        <v>13284</v>
      </c>
      <c r="J4270" s="9" t="s">
        <v>13284</v>
      </c>
      <c r="K4270" s="9" t="s">
        <v>13284</v>
      </c>
      <c r="L4270" s="9" t="s">
        <v>13284</v>
      </c>
      <c r="M4270" s="9" t="s">
        <v>13284</v>
      </c>
      <c r="N4270" s="9" t="s">
        <v>13284</v>
      </c>
      <c r="O4270" s="9" t="s">
        <v>13284</v>
      </c>
      <c r="P4270" s="9" t="s">
        <v>13284</v>
      </c>
      <c r="Q4270" s="9" t="s">
        <v>13284</v>
      </c>
      <c r="R4270" s="9" t="s">
        <v>13284</v>
      </c>
      <c r="S4270" s="9" t="s">
        <v>13284</v>
      </c>
      <c r="T4270" s="9" t="str">
        <f ca="1">IFERROR(IF(AND(VLOOKUP(A4270, 'Актуальное состояние (из общего'!A:C,3,0) = "", A4270 &lt;&gt; ""), "ПРОВЕРИТЬ", VLOOKUP(A4270, 'Актуальное состояние (из общего'!A:C,3,0)), "")</f>
        <v/>
      </c>
      <c r="U4270" s="9" t="s">
        <v>13284</v>
      </c>
      <c r="V4270" s="9" t="s">
        <v>13284</v>
      </c>
      <c r="W4270" s="12"/>
      <c r="X4270" s="9" t="str">
        <f t="array" ref="X4270">IFERROR(INDEX('Адреса общежитий (скрытый)'!$B$2:$B$9, MATCH(W4270, 'Адреса общежитий (скрытый)'!$A$2:$A$9, 0)), "")</f>
        <v/>
      </c>
      <c r="Y4270" s="18"/>
      <c r="Z4270" s="18"/>
      <c r="AA4270" s="18"/>
      <c r="AB4270" s="18"/>
      <c r="AC4270" s="18"/>
    </row>
    <row r="4271" spans="1:29" ht="32.25" hidden="1" customHeight="1">
      <c r="A4271" s="17"/>
      <c r="B4271" s="9" t="s">
        <v>13284</v>
      </c>
      <c r="C4271" s="9" t="s">
        <v>13284</v>
      </c>
      <c r="D4271" s="9" t="s">
        <v>13284</v>
      </c>
      <c r="E4271" s="9" t="s">
        <v>13284</v>
      </c>
      <c r="F4271" s="9" t="s">
        <v>13284</v>
      </c>
      <c r="G4271" s="9" t="s">
        <v>13284</v>
      </c>
      <c r="H4271" s="9" t="s">
        <v>13284</v>
      </c>
      <c r="I4271" s="9" t="s">
        <v>13284</v>
      </c>
      <c r="J4271" s="9" t="s">
        <v>13284</v>
      </c>
      <c r="K4271" s="9" t="s">
        <v>13284</v>
      </c>
      <c r="L4271" s="9" t="s">
        <v>13284</v>
      </c>
      <c r="M4271" s="9" t="s">
        <v>13284</v>
      </c>
      <c r="N4271" s="9" t="s">
        <v>13284</v>
      </c>
      <c r="O4271" s="9" t="s">
        <v>13284</v>
      </c>
      <c r="P4271" s="9" t="s">
        <v>13284</v>
      </c>
      <c r="Q4271" s="9" t="s">
        <v>13284</v>
      </c>
      <c r="R4271" s="9" t="s">
        <v>13284</v>
      </c>
      <c r="S4271" s="9" t="s">
        <v>13284</v>
      </c>
      <c r="T4271" s="9" t="str">
        <f ca="1">IFERROR(IF(AND(VLOOKUP(A4271, 'Актуальное состояние (из общего'!A:C,3,0) = "", A4271 &lt;&gt; ""), "ПРОВЕРИТЬ", VLOOKUP(A4271, 'Актуальное состояние (из общего'!A:C,3,0)), "")</f>
        <v/>
      </c>
      <c r="U4271" s="9" t="s">
        <v>13284</v>
      </c>
      <c r="V4271" s="9" t="s">
        <v>13284</v>
      </c>
      <c r="W4271" s="12"/>
      <c r="X4271" s="9" t="str">
        <f t="array" ref="X4271">IFERROR(INDEX('Адреса общежитий (скрытый)'!$B$2:$B$9, MATCH(W4271, 'Адреса общежитий (скрытый)'!$A$2:$A$9, 0)), "")</f>
        <v/>
      </c>
      <c r="Y4271" s="18"/>
      <c r="Z4271" s="18"/>
      <c r="AA4271" s="18"/>
      <c r="AB4271" s="18"/>
      <c r="AC4271" s="18"/>
    </row>
    <row r="4272" spans="1:29" ht="32.25" hidden="1" customHeight="1">
      <c r="A4272" s="17"/>
      <c r="B4272" s="9" t="s">
        <v>13284</v>
      </c>
      <c r="C4272" s="9" t="s">
        <v>13284</v>
      </c>
      <c r="D4272" s="9" t="s">
        <v>13284</v>
      </c>
      <c r="E4272" s="9" t="s">
        <v>13284</v>
      </c>
      <c r="F4272" s="9" t="s">
        <v>13284</v>
      </c>
      <c r="G4272" s="9" t="s">
        <v>13284</v>
      </c>
      <c r="H4272" s="9" t="s">
        <v>13284</v>
      </c>
      <c r="I4272" s="9" t="s">
        <v>13284</v>
      </c>
      <c r="J4272" s="9" t="s">
        <v>13284</v>
      </c>
      <c r="K4272" s="9" t="s">
        <v>13284</v>
      </c>
      <c r="L4272" s="9" t="s">
        <v>13284</v>
      </c>
      <c r="M4272" s="9" t="s">
        <v>13284</v>
      </c>
      <c r="N4272" s="9" t="s">
        <v>13284</v>
      </c>
      <c r="O4272" s="9" t="s">
        <v>13284</v>
      </c>
      <c r="P4272" s="9" t="s">
        <v>13284</v>
      </c>
      <c r="Q4272" s="9" t="s">
        <v>13284</v>
      </c>
      <c r="R4272" s="9" t="s">
        <v>13284</v>
      </c>
      <c r="S4272" s="9" t="s">
        <v>13284</v>
      </c>
      <c r="T4272" s="9" t="str">
        <f ca="1">IFERROR(IF(AND(VLOOKUP(A4272, 'Актуальное состояние (из общего'!A:C,3,0) = "", A4272 &lt;&gt; ""), "ПРОВЕРИТЬ", VLOOKUP(A4272, 'Актуальное состояние (из общего'!A:C,3,0)), "")</f>
        <v/>
      </c>
      <c r="U4272" s="9" t="s">
        <v>13284</v>
      </c>
      <c r="V4272" s="9" t="s">
        <v>13284</v>
      </c>
      <c r="W4272" s="12"/>
      <c r="X4272" s="9" t="str">
        <f t="array" ref="X4272">IFERROR(INDEX('Адреса общежитий (скрытый)'!$B$2:$B$9, MATCH(W4272, 'Адреса общежитий (скрытый)'!$A$2:$A$9, 0)), "")</f>
        <v/>
      </c>
      <c r="Y4272" s="18"/>
      <c r="Z4272" s="18"/>
      <c r="AA4272" s="18"/>
      <c r="AB4272" s="18"/>
      <c r="AC4272" s="18"/>
    </row>
    <row r="4273" spans="1:29" ht="32.25" hidden="1" customHeight="1">
      <c r="A4273" s="17"/>
      <c r="B4273" s="9" t="s">
        <v>13284</v>
      </c>
      <c r="C4273" s="9" t="s">
        <v>13284</v>
      </c>
      <c r="D4273" s="9" t="s">
        <v>13284</v>
      </c>
      <c r="E4273" s="9" t="s">
        <v>13284</v>
      </c>
      <c r="F4273" s="9" t="s">
        <v>13284</v>
      </c>
      <c r="G4273" s="9" t="s">
        <v>13284</v>
      </c>
      <c r="H4273" s="9" t="s">
        <v>13284</v>
      </c>
      <c r="I4273" s="9" t="s">
        <v>13284</v>
      </c>
      <c r="J4273" s="9" t="s">
        <v>13284</v>
      </c>
      <c r="K4273" s="9" t="s">
        <v>13284</v>
      </c>
      <c r="L4273" s="9" t="s">
        <v>13284</v>
      </c>
      <c r="M4273" s="9" t="s">
        <v>13284</v>
      </c>
      <c r="N4273" s="9" t="s">
        <v>13284</v>
      </c>
      <c r="O4273" s="9" t="s">
        <v>13284</v>
      </c>
      <c r="P4273" s="9" t="s">
        <v>13284</v>
      </c>
      <c r="Q4273" s="9" t="s">
        <v>13284</v>
      </c>
      <c r="R4273" s="9" t="s">
        <v>13284</v>
      </c>
      <c r="S4273" s="9" t="s">
        <v>13284</v>
      </c>
      <c r="T4273" s="9" t="str">
        <f ca="1">IFERROR(IF(AND(VLOOKUP(A4273, 'Актуальное состояние (из общего'!A:C,3,0) = "", A4273 &lt;&gt; ""), "ПРОВЕРИТЬ", VLOOKUP(A4273, 'Актуальное состояние (из общего'!A:C,3,0)), "")</f>
        <v/>
      </c>
      <c r="U4273" s="9" t="s">
        <v>13284</v>
      </c>
      <c r="V4273" s="9" t="s">
        <v>13284</v>
      </c>
      <c r="W4273" s="12"/>
      <c r="X4273" s="9" t="str">
        <f t="array" ref="X4273">IFERROR(INDEX('Адреса общежитий (скрытый)'!$B$2:$B$9, MATCH(W4273, 'Адреса общежитий (скрытый)'!$A$2:$A$9, 0)), "")</f>
        <v/>
      </c>
      <c r="Y4273" s="18"/>
      <c r="Z4273" s="18"/>
      <c r="AA4273" s="18"/>
      <c r="AB4273" s="18"/>
      <c r="AC4273" s="18"/>
    </row>
    <row r="4274" spans="1:29" ht="32.25" hidden="1" customHeight="1">
      <c r="A4274" s="17"/>
      <c r="B4274" s="9" t="s">
        <v>13284</v>
      </c>
      <c r="C4274" s="9" t="s">
        <v>13284</v>
      </c>
      <c r="D4274" s="9" t="s">
        <v>13284</v>
      </c>
      <c r="E4274" s="9" t="s">
        <v>13284</v>
      </c>
      <c r="F4274" s="9" t="s">
        <v>13284</v>
      </c>
      <c r="G4274" s="9" t="s">
        <v>13284</v>
      </c>
      <c r="H4274" s="9" t="s">
        <v>13284</v>
      </c>
      <c r="I4274" s="9" t="s">
        <v>13284</v>
      </c>
      <c r="J4274" s="9" t="s">
        <v>13284</v>
      </c>
      <c r="K4274" s="9" t="s">
        <v>13284</v>
      </c>
      <c r="L4274" s="9" t="s">
        <v>13284</v>
      </c>
      <c r="M4274" s="9" t="s">
        <v>13284</v>
      </c>
      <c r="N4274" s="9" t="s">
        <v>13284</v>
      </c>
      <c r="O4274" s="9" t="s">
        <v>13284</v>
      </c>
      <c r="P4274" s="9" t="s">
        <v>13284</v>
      </c>
      <c r="Q4274" s="9" t="s">
        <v>13284</v>
      </c>
      <c r="R4274" s="9" t="s">
        <v>13284</v>
      </c>
      <c r="S4274" s="9" t="s">
        <v>13284</v>
      </c>
      <c r="T4274" s="9" t="str">
        <f ca="1">IFERROR(IF(AND(VLOOKUP(A4274, 'Актуальное состояние (из общего'!A:C,3,0) = "", A4274 &lt;&gt; ""), "ПРОВЕРИТЬ", VLOOKUP(A4274, 'Актуальное состояние (из общего'!A:C,3,0)), "")</f>
        <v/>
      </c>
      <c r="U4274" s="9" t="s">
        <v>13284</v>
      </c>
      <c r="V4274" s="9" t="s">
        <v>13284</v>
      </c>
      <c r="W4274" s="12"/>
      <c r="X4274" s="9" t="str">
        <f t="array" ref="X4274">IFERROR(INDEX('Адреса общежитий (скрытый)'!$B$2:$B$9, MATCH(W4274, 'Адреса общежитий (скрытый)'!$A$2:$A$9, 0)), "")</f>
        <v/>
      </c>
      <c r="Y4274" s="18"/>
      <c r="Z4274" s="18"/>
      <c r="AA4274" s="18"/>
      <c r="AB4274" s="18"/>
      <c r="AC4274" s="18"/>
    </row>
    <row r="4275" spans="1:29" ht="32.25" hidden="1" customHeight="1">
      <c r="A4275" s="17"/>
      <c r="B4275" s="9" t="s">
        <v>13284</v>
      </c>
      <c r="C4275" s="9" t="s">
        <v>13284</v>
      </c>
      <c r="D4275" s="9" t="s">
        <v>13284</v>
      </c>
      <c r="E4275" s="9" t="s">
        <v>13284</v>
      </c>
      <c r="F4275" s="9" t="s">
        <v>13284</v>
      </c>
      <c r="G4275" s="9" t="s">
        <v>13284</v>
      </c>
      <c r="H4275" s="9" t="s">
        <v>13284</v>
      </c>
      <c r="I4275" s="9" t="s">
        <v>13284</v>
      </c>
      <c r="J4275" s="9" t="s">
        <v>13284</v>
      </c>
      <c r="K4275" s="9" t="s">
        <v>13284</v>
      </c>
      <c r="L4275" s="9" t="s">
        <v>13284</v>
      </c>
      <c r="M4275" s="9" t="s">
        <v>13284</v>
      </c>
      <c r="N4275" s="9" t="s">
        <v>13284</v>
      </c>
      <c r="O4275" s="9" t="s">
        <v>13284</v>
      </c>
      <c r="P4275" s="9" t="s">
        <v>13284</v>
      </c>
      <c r="Q4275" s="9" t="s">
        <v>13284</v>
      </c>
      <c r="R4275" s="9" t="s">
        <v>13284</v>
      </c>
      <c r="S4275" s="9" t="s">
        <v>13284</v>
      </c>
      <c r="T4275" s="9" t="str">
        <f ca="1">IFERROR(IF(AND(VLOOKUP(A4275, 'Актуальное состояние (из общего'!A:C,3,0) = "", A4275 &lt;&gt; ""), "ПРОВЕРИТЬ", VLOOKUP(A4275, 'Актуальное состояние (из общего'!A:C,3,0)), "")</f>
        <v/>
      </c>
      <c r="U4275" s="9" t="s">
        <v>13284</v>
      </c>
      <c r="V4275" s="9" t="s">
        <v>13284</v>
      </c>
      <c r="W4275" s="12"/>
      <c r="X4275" s="9" t="str">
        <f t="array" ref="X4275">IFERROR(INDEX('Адреса общежитий (скрытый)'!$B$2:$B$9, MATCH(W4275, 'Адреса общежитий (скрытый)'!$A$2:$A$9, 0)), "")</f>
        <v/>
      </c>
      <c r="Y4275" s="18"/>
      <c r="Z4275" s="18"/>
      <c r="AA4275" s="18"/>
      <c r="AB4275" s="18"/>
      <c r="AC4275" s="18"/>
    </row>
    <row r="4276" spans="1:29" ht="32.25" hidden="1" customHeight="1">
      <c r="A4276" s="17"/>
      <c r="B4276" s="9" t="s">
        <v>13284</v>
      </c>
      <c r="C4276" s="9" t="s">
        <v>13284</v>
      </c>
      <c r="D4276" s="9" t="s">
        <v>13284</v>
      </c>
      <c r="E4276" s="9" t="s">
        <v>13284</v>
      </c>
      <c r="F4276" s="9" t="s">
        <v>13284</v>
      </c>
      <c r="G4276" s="9" t="s">
        <v>13284</v>
      </c>
      <c r="H4276" s="9" t="s">
        <v>13284</v>
      </c>
      <c r="I4276" s="9" t="s">
        <v>13284</v>
      </c>
      <c r="J4276" s="9" t="s">
        <v>13284</v>
      </c>
      <c r="K4276" s="9" t="s">
        <v>13284</v>
      </c>
      <c r="L4276" s="9" t="s">
        <v>13284</v>
      </c>
      <c r="M4276" s="9" t="s">
        <v>13284</v>
      </c>
      <c r="N4276" s="9" t="s">
        <v>13284</v>
      </c>
      <c r="O4276" s="9" t="s">
        <v>13284</v>
      </c>
      <c r="P4276" s="9" t="s">
        <v>13284</v>
      </c>
      <c r="Q4276" s="9" t="s">
        <v>13284</v>
      </c>
      <c r="R4276" s="9" t="s">
        <v>13284</v>
      </c>
      <c r="S4276" s="9" t="s">
        <v>13284</v>
      </c>
      <c r="T4276" s="9" t="str">
        <f ca="1">IFERROR(IF(AND(VLOOKUP(A4276, 'Актуальное состояние (из общего'!A:C,3,0) = "", A4276 &lt;&gt; ""), "ПРОВЕРИТЬ", VLOOKUP(A4276, 'Актуальное состояние (из общего'!A:C,3,0)), "")</f>
        <v/>
      </c>
      <c r="U4276" s="9" t="s">
        <v>13284</v>
      </c>
      <c r="V4276" s="9" t="s">
        <v>13284</v>
      </c>
      <c r="W4276" s="12"/>
      <c r="X4276" s="9" t="str">
        <f t="array" ref="X4276">IFERROR(INDEX('Адреса общежитий (скрытый)'!$B$2:$B$9, MATCH(W4276, 'Адреса общежитий (скрытый)'!$A$2:$A$9, 0)), "")</f>
        <v/>
      </c>
      <c r="Y4276" s="18"/>
      <c r="Z4276" s="18"/>
      <c r="AA4276" s="18"/>
      <c r="AB4276" s="18"/>
      <c r="AC4276" s="18"/>
    </row>
    <row r="4277" spans="1:29" ht="32.25" hidden="1" customHeight="1">
      <c r="A4277" s="17"/>
      <c r="B4277" s="9" t="s">
        <v>13284</v>
      </c>
      <c r="C4277" s="9" t="s">
        <v>13284</v>
      </c>
      <c r="D4277" s="9" t="s">
        <v>13284</v>
      </c>
      <c r="E4277" s="9" t="s">
        <v>13284</v>
      </c>
      <c r="F4277" s="9" t="s">
        <v>13284</v>
      </c>
      <c r="G4277" s="9" t="s">
        <v>13284</v>
      </c>
      <c r="H4277" s="9" t="s">
        <v>13284</v>
      </c>
      <c r="I4277" s="9" t="s">
        <v>13284</v>
      </c>
      <c r="J4277" s="9" t="s">
        <v>13284</v>
      </c>
      <c r="K4277" s="9" t="s">
        <v>13284</v>
      </c>
      <c r="L4277" s="9" t="s">
        <v>13284</v>
      </c>
      <c r="M4277" s="9" t="s">
        <v>13284</v>
      </c>
      <c r="N4277" s="9" t="s">
        <v>13284</v>
      </c>
      <c r="O4277" s="9" t="s">
        <v>13284</v>
      </c>
      <c r="P4277" s="9" t="s">
        <v>13284</v>
      </c>
      <c r="Q4277" s="9" t="s">
        <v>13284</v>
      </c>
      <c r="R4277" s="9" t="s">
        <v>13284</v>
      </c>
      <c r="S4277" s="9" t="s">
        <v>13284</v>
      </c>
      <c r="T4277" s="9" t="str">
        <f ca="1">IFERROR(IF(AND(VLOOKUP(A4277, 'Актуальное состояние (из общего'!A:C,3,0) = "", A4277 &lt;&gt; ""), "ПРОВЕРИТЬ", VLOOKUP(A4277, 'Актуальное состояние (из общего'!A:C,3,0)), "")</f>
        <v/>
      </c>
      <c r="U4277" s="9" t="s">
        <v>13284</v>
      </c>
      <c r="V4277" s="9" t="s">
        <v>13284</v>
      </c>
      <c r="W4277" s="12"/>
      <c r="X4277" s="9" t="str">
        <f t="array" ref="X4277">IFERROR(INDEX('Адреса общежитий (скрытый)'!$B$2:$B$9, MATCH(W4277, 'Адреса общежитий (скрытый)'!$A$2:$A$9, 0)), "")</f>
        <v/>
      </c>
      <c r="Y4277" s="18"/>
      <c r="Z4277" s="18"/>
      <c r="AA4277" s="18"/>
      <c r="AB4277" s="18"/>
      <c r="AC4277" s="18"/>
    </row>
    <row r="4278" spans="1:29" ht="32.25" hidden="1" customHeight="1">
      <c r="A4278" s="17"/>
      <c r="B4278" s="9" t="s">
        <v>13284</v>
      </c>
      <c r="C4278" s="9" t="s">
        <v>13284</v>
      </c>
      <c r="D4278" s="9" t="s">
        <v>13284</v>
      </c>
      <c r="E4278" s="9" t="s">
        <v>13284</v>
      </c>
      <c r="F4278" s="9" t="s">
        <v>13284</v>
      </c>
      <c r="G4278" s="9" t="s">
        <v>13284</v>
      </c>
      <c r="H4278" s="9" t="s">
        <v>13284</v>
      </c>
      <c r="I4278" s="9" t="s">
        <v>13284</v>
      </c>
      <c r="J4278" s="9" t="s">
        <v>13284</v>
      </c>
      <c r="K4278" s="9" t="s">
        <v>13284</v>
      </c>
      <c r="L4278" s="9" t="s">
        <v>13284</v>
      </c>
      <c r="M4278" s="9" t="s">
        <v>13284</v>
      </c>
      <c r="N4278" s="9" t="s">
        <v>13284</v>
      </c>
      <c r="O4278" s="9" t="s">
        <v>13284</v>
      </c>
      <c r="P4278" s="9" t="s">
        <v>13284</v>
      </c>
      <c r="Q4278" s="9" t="s">
        <v>13284</v>
      </c>
      <c r="R4278" s="9" t="s">
        <v>13284</v>
      </c>
      <c r="S4278" s="9" t="s">
        <v>13284</v>
      </c>
      <c r="T4278" s="9" t="str">
        <f ca="1">IFERROR(IF(AND(VLOOKUP(A4278, 'Актуальное состояние (из общего'!A:C,3,0) = "", A4278 &lt;&gt; ""), "ПРОВЕРИТЬ", VLOOKUP(A4278, 'Актуальное состояние (из общего'!A:C,3,0)), "")</f>
        <v/>
      </c>
      <c r="U4278" s="9" t="s">
        <v>13284</v>
      </c>
      <c r="V4278" s="9" t="s">
        <v>13284</v>
      </c>
      <c r="W4278" s="12"/>
      <c r="X4278" s="9" t="str">
        <f t="array" ref="X4278">IFERROR(INDEX('Адреса общежитий (скрытый)'!$B$2:$B$9, MATCH(W4278, 'Адреса общежитий (скрытый)'!$A$2:$A$9, 0)), "")</f>
        <v/>
      </c>
      <c r="Y4278" s="18"/>
      <c r="Z4278" s="18"/>
      <c r="AA4278" s="18"/>
      <c r="AB4278" s="18"/>
      <c r="AC4278" s="18"/>
    </row>
    <row r="4279" spans="1:29" ht="32.25" hidden="1" customHeight="1">
      <c r="A4279" s="17"/>
      <c r="B4279" s="9" t="s">
        <v>13284</v>
      </c>
      <c r="C4279" s="9" t="s">
        <v>13284</v>
      </c>
      <c r="D4279" s="9" t="s">
        <v>13284</v>
      </c>
      <c r="E4279" s="9" t="s">
        <v>13284</v>
      </c>
      <c r="F4279" s="9" t="s">
        <v>13284</v>
      </c>
      <c r="G4279" s="9" t="s">
        <v>13284</v>
      </c>
      <c r="H4279" s="9" t="s">
        <v>13284</v>
      </c>
      <c r="I4279" s="9" t="s">
        <v>13284</v>
      </c>
      <c r="J4279" s="9" t="s">
        <v>13284</v>
      </c>
      <c r="K4279" s="9" t="s">
        <v>13284</v>
      </c>
      <c r="L4279" s="9" t="s">
        <v>13284</v>
      </c>
      <c r="M4279" s="9" t="s">
        <v>13284</v>
      </c>
      <c r="N4279" s="9" t="s">
        <v>13284</v>
      </c>
      <c r="O4279" s="9" t="s">
        <v>13284</v>
      </c>
      <c r="P4279" s="9" t="s">
        <v>13284</v>
      </c>
      <c r="Q4279" s="9" t="s">
        <v>13284</v>
      </c>
      <c r="R4279" s="9" t="s">
        <v>13284</v>
      </c>
      <c r="S4279" s="9" t="s">
        <v>13284</v>
      </c>
      <c r="T4279" s="9" t="str">
        <f ca="1">IFERROR(IF(AND(VLOOKUP(A4279, 'Актуальное состояние (из общего'!A:C,3,0) = "", A4279 &lt;&gt; ""), "ПРОВЕРИТЬ", VLOOKUP(A4279, 'Актуальное состояние (из общего'!A:C,3,0)), "")</f>
        <v/>
      </c>
      <c r="U4279" s="9" t="s">
        <v>13284</v>
      </c>
      <c r="V4279" s="9" t="s">
        <v>13284</v>
      </c>
      <c r="W4279" s="12"/>
      <c r="X4279" s="9" t="str">
        <f t="array" ref="X4279">IFERROR(INDEX('Адреса общежитий (скрытый)'!$B$2:$B$9, MATCH(W4279, 'Адреса общежитий (скрытый)'!$A$2:$A$9, 0)), "")</f>
        <v/>
      </c>
      <c r="Y4279" s="18"/>
      <c r="Z4279" s="18"/>
      <c r="AA4279" s="18"/>
      <c r="AB4279" s="18"/>
      <c r="AC4279" s="18"/>
    </row>
    <row r="4280" spans="1:29" ht="32.25" hidden="1" customHeight="1">
      <c r="A4280" s="17"/>
      <c r="B4280" s="9" t="s">
        <v>13284</v>
      </c>
      <c r="C4280" s="9" t="s">
        <v>13284</v>
      </c>
      <c r="D4280" s="9" t="s">
        <v>13284</v>
      </c>
      <c r="E4280" s="9" t="s">
        <v>13284</v>
      </c>
      <c r="F4280" s="9" t="s">
        <v>13284</v>
      </c>
      <c r="G4280" s="9" t="s">
        <v>13284</v>
      </c>
      <c r="H4280" s="9" t="s">
        <v>13284</v>
      </c>
      <c r="I4280" s="9" t="s">
        <v>13284</v>
      </c>
      <c r="J4280" s="9" t="s">
        <v>13284</v>
      </c>
      <c r="K4280" s="9" t="s">
        <v>13284</v>
      </c>
      <c r="L4280" s="9" t="s">
        <v>13284</v>
      </c>
      <c r="M4280" s="9" t="s">
        <v>13284</v>
      </c>
      <c r="N4280" s="9" t="s">
        <v>13284</v>
      </c>
      <c r="O4280" s="9" t="s">
        <v>13284</v>
      </c>
      <c r="P4280" s="9" t="s">
        <v>13284</v>
      </c>
      <c r="Q4280" s="9" t="s">
        <v>13284</v>
      </c>
      <c r="R4280" s="9" t="s">
        <v>13284</v>
      </c>
      <c r="S4280" s="9" t="s">
        <v>13284</v>
      </c>
      <c r="T4280" s="9" t="str">
        <f ca="1">IFERROR(IF(AND(VLOOKUP(A4280, 'Актуальное состояние (из общего'!A:C,3,0) = "", A4280 &lt;&gt; ""), "ПРОВЕРИТЬ", VLOOKUP(A4280, 'Актуальное состояние (из общего'!A:C,3,0)), "")</f>
        <v/>
      </c>
      <c r="U4280" s="9" t="s">
        <v>13284</v>
      </c>
      <c r="V4280" s="9" t="s">
        <v>13284</v>
      </c>
      <c r="W4280" s="12"/>
      <c r="X4280" s="9" t="str">
        <f t="array" ref="X4280">IFERROR(INDEX('Адреса общежитий (скрытый)'!$B$2:$B$9, MATCH(W4280, 'Адреса общежитий (скрытый)'!$A$2:$A$9, 0)), "")</f>
        <v/>
      </c>
      <c r="Y4280" s="18"/>
      <c r="Z4280" s="18"/>
      <c r="AA4280" s="18"/>
      <c r="AB4280" s="18"/>
      <c r="AC4280" s="18"/>
    </row>
    <row r="4281" spans="1:29" ht="32.25" hidden="1" customHeight="1">
      <c r="A4281" s="17"/>
      <c r="B4281" s="9" t="s">
        <v>13284</v>
      </c>
      <c r="C4281" s="9" t="s">
        <v>13284</v>
      </c>
      <c r="D4281" s="9" t="s">
        <v>13284</v>
      </c>
      <c r="E4281" s="9" t="s">
        <v>13284</v>
      </c>
      <c r="F4281" s="9" t="s">
        <v>13284</v>
      </c>
      <c r="G4281" s="9" t="s">
        <v>13284</v>
      </c>
      <c r="H4281" s="9" t="s">
        <v>13284</v>
      </c>
      <c r="I4281" s="9" t="s">
        <v>13284</v>
      </c>
      <c r="J4281" s="9" t="s">
        <v>13284</v>
      </c>
      <c r="K4281" s="9" t="s">
        <v>13284</v>
      </c>
      <c r="L4281" s="9" t="s">
        <v>13284</v>
      </c>
      <c r="M4281" s="9" t="s">
        <v>13284</v>
      </c>
      <c r="N4281" s="9" t="s">
        <v>13284</v>
      </c>
      <c r="O4281" s="9" t="s">
        <v>13284</v>
      </c>
      <c r="P4281" s="9" t="s">
        <v>13284</v>
      </c>
      <c r="Q4281" s="9" t="s">
        <v>13284</v>
      </c>
      <c r="R4281" s="9" t="s">
        <v>13284</v>
      </c>
      <c r="S4281" s="9" t="s">
        <v>13284</v>
      </c>
      <c r="T4281" s="9" t="str">
        <f ca="1">IFERROR(IF(AND(VLOOKUP(A4281, 'Актуальное состояние (из общего'!A:C,3,0) = "", A4281 &lt;&gt; ""), "ПРОВЕРИТЬ", VLOOKUP(A4281, 'Актуальное состояние (из общего'!A:C,3,0)), "")</f>
        <v/>
      </c>
      <c r="U4281" s="9" t="s">
        <v>13284</v>
      </c>
      <c r="V4281" s="9" t="s">
        <v>13284</v>
      </c>
      <c r="W4281" s="12"/>
      <c r="X4281" s="9" t="str">
        <f t="array" ref="X4281">IFERROR(INDEX('Адреса общежитий (скрытый)'!$B$2:$B$9, MATCH(W4281, 'Адреса общежитий (скрытый)'!$A$2:$A$9, 0)), "")</f>
        <v/>
      </c>
      <c r="Y4281" s="18"/>
      <c r="Z4281" s="18"/>
      <c r="AA4281" s="18"/>
      <c r="AB4281" s="18"/>
      <c r="AC4281" s="18"/>
    </row>
    <row r="4282" spans="1:29" ht="32.25" hidden="1" customHeight="1">
      <c r="A4282" s="17"/>
      <c r="B4282" s="9" t="s">
        <v>13284</v>
      </c>
      <c r="C4282" s="9" t="s">
        <v>13284</v>
      </c>
      <c r="D4282" s="9" t="s">
        <v>13284</v>
      </c>
      <c r="E4282" s="9" t="s">
        <v>13284</v>
      </c>
      <c r="F4282" s="9" t="s">
        <v>13284</v>
      </c>
      <c r="G4282" s="9" t="s">
        <v>13284</v>
      </c>
      <c r="H4282" s="9" t="s">
        <v>13284</v>
      </c>
      <c r="I4282" s="9" t="s">
        <v>13284</v>
      </c>
      <c r="J4282" s="9" t="s">
        <v>13284</v>
      </c>
      <c r="K4282" s="9" t="s">
        <v>13284</v>
      </c>
      <c r="L4282" s="9" t="s">
        <v>13284</v>
      </c>
      <c r="M4282" s="9" t="s">
        <v>13284</v>
      </c>
      <c r="N4282" s="9" t="s">
        <v>13284</v>
      </c>
      <c r="O4282" s="9" t="s">
        <v>13284</v>
      </c>
      <c r="P4282" s="9" t="s">
        <v>13284</v>
      </c>
      <c r="Q4282" s="9" t="s">
        <v>13284</v>
      </c>
      <c r="R4282" s="9" t="s">
        <v>13284</v>
      </c>
      <c r="S4282" s="9" t="s">
        <v>13284</v>
      </c>
      <c r="T4282" s="9" t="str">
        <f ca="1">IFERROR(IF(AND(VLOOKUP(A4282, 'Актуальное состояние (из общего'!A:C,3,0) = "", A4282 &lt;&gt; ""), "ПРОВЕРИТЬ", VLOOKUP(A4282, 'Актуальное состояние (из общего'!A:C,3,0)), "")</f>
        <v/>
      </c>
      <c r="U4282" s="9" t="s">
        <v>13284</v>
      </c>
      <c r="V4282" s="9" t="s">
        <v>13284</v>
      </c>
      <c r="W4282" s="12"/>
      <c r="X4282" s="9" t="str">
        <f t="array" ref="X4282">IFERROR(INDEX('Адреса общежитий (скрытый)'!$B$2:$B$9, MATCH(W4282, 'Адреса общежитий (скрытый)'!$A$2:$A$9, 0)), "")</f>
        <v/>
      </c>
      <c r="Y4282" s="18"/>
      <c r="Z4282" s="18"/>
      <c r="AA4282" s="18"/>
      <c r="AB4282" s="18"/>
      <c r="AC4282" s="18"/>
    </row>
    <row r="4283" spans="1:29" ht="32.25" hidden="1" customHeight="1">
      <c r="A4283" s="17"/>
      <c r="B4283" s="9" t="s">
        <v>13284</v>
      </c>
      <c r="C4283" s="9" t="s">
        <v>13284</v>
      </c>
      <c r="D4283" s="9" t="s">
        <v>13284</v>
      </c>
      <c r="E4283" s="9" t="s">
        <v>13284</v>
      </c>
      <c r="F4283" s="9" t="s">
        <v>13284</v>
      </c>
      <c r="G4283" s="9" t="s">
        <v>13284</v>
      </c>
      <c r="H4283" s="9" t="s">
        <v>13284</v>
      </c>
      <c r="I4283" s="9" t="s">
        <v>13284</v>
      </c>
      <c r="J4283" s="9" t="s">
        <v>13284</v>
      </c>
      <c r="K4283" s="9" t="s">
        <v>13284</v>
      </c>
      <c r="L4283" s="9" t="s">
        <v>13284</v>
      </c>
      <c r="M4283" s="9" t="s">
        <v>13284</v>
      </c>
      <c r="N4283" s="9" t="s">
        <v>13284</v>
      </c>
      <c r="O4283" s="9" t="s">
        <v>13284</v>
      </c>
      <c r="P4283" s="9" t="s">
        <v>13284</v>
      </c>
      <c r="Q4283" s="9" t="s">
        <v>13284</v>
      </c>
      <c r="R4283" s="9" t="s">
        <v>13284</v>
      </c>
      <c r="S4283" s="9" t="s">
        <v>13284</v>
      </c>
      <c r="T4283" s="9" t="str">
        <f ca="1">IFERROR(IF(AND(VLOOKUP(A4283, 'Актуальное состояние (из общего'!A:C,3,0) = "", A4283 &lt;&gt; ""), "ПРОВЕРИТЬ", VLOOKUP(A4283, 'Актуальное состояние (из общего'!A:C,3,0)), "")</f>
        <v/>
      </c>
      <c r="U4283" s="9" t="s">
        <v>13284</v>
      </c>
      <c r="V4283" s="9" t="s">
        <v>13284</v>
      </c>
      <c r="W4283" s="12"/>
      <c r="X4283" s="9" t="str">
        <f t="array" ref="X4283">IFERROR(INDEX('Адреса общежитий (скрытый)'!$B$2:$B$9, MATCH(W4283, 'Адреса общежитий (скрытый)'!$A$2:$A$9, 0)), "")</f>
        <v/>
      </c>
      <c r="Y4283" s="18"/>
      <c r="Z4283" s="18"/>
      <c r="AA4283" s="18"/>
      <c r="AB4283" s="18"/>
      <c r="AC4283" s="18"/>
    </row>
    <row r="4284" spans="1:29" ht="32.25" hidden="1" customHeight="1">
      <c r="A4284" s="17"/>
      <c r="B4284" s="9" t="s">
        <v>13284</v>
      </c>
      <c r="C4284" s="9" t="s">
        <v>13284</v>
      </c>
      <c r="D4284" s="9" t="s">
        <v>13284</v>
      </c>
      <c r="E4284" s="9" t="s">
        <v>13284</v>
      </c>
      <c r="F4284" s="9" t="s">
        <v>13284</v>
      </c>
      <c r="G4284" s="9" t="s">
        <v>13284</v>
      </c>
      <c r="H4284" s="9" t="s">
        <v>13284</v>
      </c>
      <c r="I4284" s="9" t="s">
        <v>13284</v>
      </c>
      <c r="J4284" s="9" t="s">
        <v>13284</v>
      </c>
      <c r="K4284" s="9" t="s">
        <v>13284</v>
      </c>
      <c r="L4284" s="9" t="s">
        <v>13284</v>
      </c>
      <c r="M4284" s="9" t="s">
        <v>13284</v>
      </c>
      <c r="N4284" s="9" t="s">
        <v>13284</v>
      </c>
      <c r="O4284" s="9" t="s">
        <v>13284</v>
      </c>
      <c r="P4284" s="9" t="s">
        <v>13284</v>
      </c>
      <c r="Q4284" s="9" t="s">
        <v>13284</v>
      </c>
      <c r="R4284" s="9" t="s">
        <v>13284</v>
      </c>
      <c r="S4284" s="9" t="s">
        <v>13284</v>
      </c>
      <c r="T4284" s="9" t="str">
        <f ca="1">IFERROR(IF(AND(VLOOKUP(A4284, 'Актуальное состояние (из общего'!A:C,3,0) = "", A4284 &lt;&gt; ""), "ПРОВЕРИТЬ", VLOOKUP(A4284, 'Актуальное состояние (из общего'!A:C,3,0)), "")</f>
        <v/>
      </c>
      <c r="U4284" s="9" t="s">
        <v>13284</v>
      </c>
      <c r="V4284" s="9" t="s">
        <v>13284</v>
      </c>
      <c r="W4284" s="12"/>
      <c r="X4284" s="9" t="str">
        <f t="array" ref="X4284">IFERROR(INDEX('Адреса общежитий (скрытый)'!$B$2:$B$9, MATCH(W4284, 'Адреса общежитий (скрытый)'!$A$2:$A$9, 0)), "")</f>
        <v/>
      </c>
      <c r="Y4284" s="18"/>
      <c r="Z4284" s="18"/>
      <c r="AA4284" s="18"/>
      <c r="AB4284" s="18"/>
      <c r="AC4284" s="18"/>
    </row>
    <row r="4285" spans="1:29" ht="32.25" hidden="1" customHeight="1">
      <c r="A4285" s="17"/>
      <c r="B4285" s="9" t="s">
        <v>13284</v>
      </c>
      <c r="C4285" s="9" t="s">
        <v>13284</v>
      </c>
      <c r="D4285" s="9" t="s">
        <v>13284</v>
      </c>
      <c r="E4285" s="9" t="s">
        <v>13284</v>
      </c>
      <c r="F4285" s="9" t="s">
        <v>13284</v>
      </c>
      <c r="G4285" s="9" t="s">
        <v>13284</v>
      </c>
      <c r="H4285" s="9" t="s">
        <v>13284</v>
      </c>
      <c r="I4285" s="9" t="s">
        <v>13284</v>
      </c>
      <c r="J4285" s="9" t="s">
        <v>13284</v>
      </c>
      <c r="K4285" s="9" t="s">
        <v>13284</v>
      </c>
      <c r="L4285" s="9" t="s">
        <v>13284</v>
      </c>
      <c r="M4285" s="9" t="s">
        <v>13284</v>
      </c>
      <c r="N4285" s="9" t="s">
        <v>13284</v>
      </c>
      <c r="O4285" s="9" t="s">
        <v>13284</v>
      </c>
      <c r="P4285" s="9" t="s">
        <v>13284</v>
      </c>
      <c r="Q4285" s="9" t="s">
        <v>13284</v>
      </c>
      <c r="R4285" s="9" t="s">
        <v>13284</v>
      </c>
      <c r="S4285" s="9" t="s">
        <v>13284</v>
      </c>
      <c r="T4285" s="9" t="str">
        <f ca="1">IFERROR(IF(AND(VLOOKUP(A4285, 'Актуальное состояние (из общего'!A:C,3,0) = "", A4285 &lt;&gt; ""), "ПРОВЕРИТЬ", VLOOKUP(A4285, 'Актуальное состояние (из общего'!A:C,3,0)), "")</f>
        <v/>
      </c>
      <c r="U4285" s="9" t="s">
        <v>13284</v>
      </c>
      <c r="V4285" s="9" t="s">
        <v>13284</v>
      </c>
      <c r="W4285" s="12"/>
      <c r="X4285" s="9" t="str">
        <f t="array" ref="X4285">IFERROR(INDEX('Адреса общежитий (скрытый)'!$B$2:$B$9, MATCH(W4285, 'Адреса общежитий (скрытый)'!$A$2:$A$9, 0)), "")</f>
        <v/>
      </c>
      <c r="Y4285" s="18"/>
      <c r="Z4285" s="18"/>
      <c r="AA4285" s="18"/>
      <c r="AB4285" s="18"/>
      <c r="AC4285" s="18"/>
    </row>
    <row r="4286" spans="1:29" ht="32.25" hidden="1" customHeight="1">
      <c r="A4286" s="17"/>
      <c r="B4286" s="9" t="s">
        <v>13284</v>
      </c>
      <c r="C4286" s="9" t="s">
        <v>13284</v>
      </c>
      <c r="D4286" s="9" t="s">
        <v>13284</v>
      </c>
      <c r="E4286" s="9" t="s">
        <v>13284</v>
      </c>
      <c r="F4286" s="9" t="s">
        <v>13284</v>
      </c>
      <c r="G4286" s="9" t="s">
        <v>13284</v>
      </c>
      <c r="H4286" s="9" t="s">
        <v>13284</v>
      </c>
      <c r="I4286" s="9" t="s">
        <v>13284</v>
      </c>
      <c r="J4286" s="9" t="s">
        <v>13284</v>
      </c>
      <c r="K4286" s="9" t="s">
        <v>13284</v>
      </c>
      <c r="L4286" s="9" t="s">
        <v>13284</v>
      </c>
      <c r="M4286" s="9" t="s">
        <v>13284</v>
      </c>
      <c r="N4286" s="9" t="s">
        <v>13284</v>
      </c>
      <c r="O4286" s="9" t="s">
        <v>13284</v>
      </c>
      <c r="P4286" s="9" t="s">
        <v>13284</v>
      </c>
      <c r="Q4286" s="9" t="s">
        <v>13284</v>
      </c>
      <c r="R4286" s="9" t="s">
        <v>13284</v>
      </c>
      <c r="S4286" s="9" t="s">
        <v>13284</v>
      </c>
      <c r="T4286" s="9" t="str">
        <f ca="1">IFERROR(IF(AND(VLOOKUP(A4286, 'Актуальное состояние (из общего'!A:C,3,0) = "", A4286 &lt;&gt; ""), "ПРОВЕРИТЬ", VLOOKUP(A4286, 'Актуальное состояние (из общего'!A:C,3,0)), "")</f>
        <v/>
      </c>
      <c r="U4286" s="9" t="s">
        <v>13284</v>
      </c>
      <c r="V4286" s="9" t="s">
        <v>13284</v>
      </c>
      <c r="W4286" s="12"/>
      <c r="X4286" s="9" t="str">
        <f t="array" ref="X4286">IFERROR(INDEX('Адреса общежитий (скрытый)'!$B$2:$B$9, MATCH(W4286, 'Адреса общежитий (скрытый)'!$A$2:$A$9, 0)), "")</f>
        <v/>
      </c>
      <c r="Y4286" s="18"/>
      <c r="Z4286" s="18"/>
      <c r="AA4286" s="18"/>
      <c r="AB4286" s="18"/>
      <c r="AC4286" s="18"/>
    </row>
    <row r="4287" spans="1:29" ht="32.25" hidden="1" customHeight="1">
      <c r="A4287" s="17"/>
      <c r="B4287" s="9" t="s">
        <v>13284</v>
      </c>
      <c r="C4287" s="9" t="s">
        <v>13284</v>
      </c>
      <c r="D4287" s="9" t="s">
        <v>13284</v>
      </c>
      <c r="E4287" s="9" t="s">
        <v>13284</v>
      </c>
      <c r="F4287" s="9" t="s">
        <v>13284</v>
      </c>
      <c r="G4287" s="9" t="s">
        <v>13284</v>
      </c>
      <c r="H4287" s="9" t="s">
        <v>13284</v>
      </c>
      <c r="I4287" s="9" t="s">
        <v>13284</v>
      </c>
      <c r="J4287" s="9" t="s">
        <v>13284</v>
      </c>
      <c r="K4287" s="9" t="s">
        <v>13284</v>
      </c>
      <c r="L4287" s="9" t="s">
        <v>13284</v>
      </c>
      <c r="M4287" s="9" t="s">
        <v>13284</v>
      </c>
      <c r="N4287" s="9" t="s">
        <v>13284</v>
      </c>
      <c r="O4287" s="9" t="s">
        <v>13284</v>
      </c>
      <c r="P4287" s="9" t="s">
        <v>13284</v>
      </c>
      <c r="Q4287" s="9" t="s">
        <v>13284</v>
      </c>
      <c r="R4287" s="9" t="s">
        <v>13284</v>
      </c>
      <c r="S4287" s="9" t="s">
        <v>13284</v>
      </c>
      <c r="T4287" s="9" t="str">
        <f ca="1">IFERROR(IF(AND(VLOOKUP(A4287, 'Актуальное состояние (из общего'!A:C,3,0) = "", A4287 &lt;&gt; ""), "ПРОВЕРИТЬ", VLOOKUP(A4287, 'Актуальное состояние (из общего'!A:C,3,0)), "")</f>
        <v/>
      </c>
      <c r="U4287" s="9" t="s">
        <v>13284</v>
      </c>
      <c r="V4287" s="9" t="s">
        <v>13284</v>
      </c>
      <c r="W4287" s="12"/>
      <c r="X4287" s="9" t="str">
        <f t="array" ref="X4287">IFERROR(INDEX('Адреса общежитий (скрытый)'!$B$2:$B$9, MATCH(W4287, 'Адреса общежитий (скрытый)'!$A$2:$A$9, 0)), "")</f>
        <v/>
      </c>
      <c r="Y4287" s="18"/>
      <c r="Z4287" s="18"/>
      <c r="AA4287" s="18"/>
      <c r="AB4287" s="18"/>
      <c r="AC4287" s="18"/>
    </row>
    <row r="4288" spans="1:29" ht="32.25" hidden="1" customHeight="1">
      <c r="A4288" s="17"/>
      <c r="B4288" s="9" t="s">
        <v>13284</v>
      </c>
      <c r="C4288" s="9" t="s">
        <v>13284</v>
      </c>
      <c r="D4288" s="9" t="s">
        <v>13284</v>
      </c>
      <c r="E4288" s="9" t="s">
        <v>13284</v>
      </c>
      <c r="F4288" s="9" t="s">
        <v>13284</v>
      </c>
      <c r="G4288" s="9" t="s">
        <v>13284</v>
      </c>
      <c r="H4288" s="9" t="s">
        <v>13284</v>
      </c>
      <c r="I4288" s="9" t="s">
        <v>13284</v>
      </c>
      <c r="J4288" s="9" t="s">
        <v>13284</v>
      </c>
      <c r="K4288" s="9" t="s">
        <v>13284</v>
      </c>
      <c r="L4288" s="9" t="s">
        <v>13284</v>
      </c>
      <c r="M4288" s="9" t="s">
        <v>13284</v>
      </c>
      <c r="N4288" s="9" t="s">
        <v>13284</v>
      </c>
      <c r="O4288" s="9" t="s">
        <v>13284</v>
      </c>
      <c r="P4288" s="9" t="s">
        <v>13284</v>
      </c>
      <c r="Q4288" s="9" t="s">
        <v>13284</v>
      </c>
      <c r="R4288" s="9" t="s">
        <v>13284</v>
      </c>
      <c r="S4288" s="9" t="s">
        <v>13284</v>
      </c>
      <c r="T4288" s="9" t="str">
        <f ca="1">IFERROR(IF(AND(VLOOKUP(A4288, 'Актуальное состояние (из общего'!A:C,3,0) = "", A4288 &lt;&gt; ""), "ПРОВЕРИТЬ", VLOOKUP(A4288, 'Актуальное состояние (из общего'!A:C,3,0)), "")</f>
        <v/>
      </c>
      <c r="U4288" s="9" t="s">
        <v>13284</v>
      </c>
      <c r="V4288" s="9" t="s">
        <v>13284</v>
      </c>
      <c r="W4288" s="12"/>
      <c r="X4288" s="9" t="str">
        <f t="array" ref="X4288">IFERROR(INDEX('Адреса общежитий (скрытый)'!$B$2:$B$9, MATCH(W4288, 'Адреса общежитий (скрытый)'!$A$2:$A$9, 0)), "")</f>
        <v/>
      </c>
      <c r="Y4288" s="18"/>
      <c r="Z4288" s="18"/>
      <c r="AA4288" s="18"/>
      <c r="AB4288" s="18"/>
      <c r="AC4288" s="18"/>
    </row>
    <row r="4289" spans="1:29" ht="32.25" hidden="1" customHeight="1">
      <c r="A4289" s="17"/>
      <c r="B4289" s="9" t="s">
        <v>13284</v>
      </c>
      <c r="C4289" s="9" t="s">
        <v>13284</v>
      </c>
      <c r="D4289" s="9" t="s">
        <v>13284</v>
      </c>
      <c r="E4289" s="9" t="s">
        <v>13284</v>
      </c>
      <c r="F4289" s="9" t="s">
        <v>13284</v>
      </c>
      <c r="G4289" s="9" t="s">
        <v>13284</v>
      </c>
      <c r="H4289" s="9" t="s">
        <v>13284</v>
      </c>
      <c r="I4289" s="9" t="s">
        <v>13284</v>
      </c>
      <c r="J4289" s="9" t="s">
        <v>13284</v>
      </c>
      <c r="K4289" s="9" t="s">
        <v>13284</v>
      </c>
      <c r="L4289" s="9" t="s">
        <v>13284</v>
      </c>
      <c r="M4289" s="9" t="s">
        <v>13284</v>
      </c>
      <c r="N4289" s="9" t="s">
        <v>13284</v>
      </c>
      <c r="O4289" s="9" t="s">
        <v>13284</v>
      </c>
      <c r="P4289" s="9" t="s">
        <v>13284</v>
      </c>
      <c r="Q4289" s="9" t="s">
        <v>13284</v>
      </c>
      <c r="R4289" s="9" t="s">
        <v>13284</v>
      </c>
      <c r="S4289" s="9" t="s">
        <v>13284</v>
      </c>
      <c r="T4289" s="9" t="str">
        <f ca="1">IFERROR(IF(AND(VLOOKUP(A4289, 'Актуальное состояние (из общего'!A:C,3,0) = "", A4289 &lt;&gt; ""), "ПРОВЕРИТЬ", VLOOKUP(A4289, 'Актуальное состояние (из общего'!A:C,3,0)), "")</f>
        <v/>
      </c>
      <c r="U4289" s="9" t="s">
        <v>13284</v>
      </c>
      <c r="V4289" s="9" t="s">
        <v>13284</v>
      </c>
      <c r="W4289" s="12"/>
      <c r="X4289" s="9" t="str">
        <f t="array" ref="X4289">IFERROR(INDEX('Адреса общежитий (скрытый)'!$B$2:$B$9, MATCH(W4289, 'Адреса общежитий (скрытый)'!$A$2:$A$9, 0)), "")</f>
        <v/>
      </c>
      <c r="Y4289" s="18"/>
      <c r="Z4289" s="18"/>
      <c r="AA4289" s="18"/>
      <c r="AB4289" s="18"/>
      <c r="AC4289" s="18"/>
    </row>
    <row r="4290" spans="1:29" ht="32.25" hidden="1" customHeight="1">
      <c r="A4290" s="17"/>
      <c r="B4290" s="9" t="s">
        <v>13284</v>
      </c>
      <c r="C4290" s="9" t="s">
        <v>13284</v>
      </c>
      <c r="D4290" s="9" t="s">
        <v>13284</v>
      </c>
      <c r="E4290" s="9" t="s">
        <v>13284</v>
      </c>
      <c r="F4290" s="9" t="s">
        <v>13284</v>
      </c>
      <c r="G4290" s="9" t="s">
        <v>13284</v>
      </c>
      <c r="H4290" s="9" t="s">
        <v>13284</v>
      </c>
      <c r="I4290" s="9" t="s">
        <v>13284</v>
      </c>
      <c r="J4290" s="9" t="s">
        <v>13284</v>
      </c>
      <c r="K4290" s="9" t="s">
        <v>13284</v>
      </c>
      <c r="L4290" s="9" t="s">
        <v>13284</v>
      </c>
      <c r="M4290" s="9" t="s">
        <v>13284</v>
      </c>
      <c r="N4290" s="9" t="s">
        <v>13284</v>
      </c>
      <c r="O4290" s="9" t="s">
        <v>13284</v>
      </c>
      <c r="P4290" s="9" t="s">
        <v>13284</v>
      </c>
      <c r="Q4290" s="9" t="s">
        <v>13284</v>
      </c>
      <c r="R4290" s="9" t="s">
        <v>13284</v>
      </c>
      <c r="S4290" s="9" t="s">
        <v>13284</v>
      </c>
      <c r="T4290" s="9" t="str">
        <f ca="1">IFERROR(IF(AND(VLOOKUP(A4290, 'Актуальное состояние (из общего'!A:C,3,0) = "", A4290 &lt;&gt; ""), "ПРОВЕРИТЬ", VLOOKUP(A4290, 'Актуальное состояние (из общего'!A:C,3,0)), "")</f>
        <v/>
      </c>
      <c r="U4290" s="9" t="s">
        <v>13284</v>
      </c>
      <c r="V4290" s="9" t="s">
        <v>13284</v>
      </c>
      <c r="W4290" s="12"/>
      <c r="X4290" s="9" t="str">
        <f t="array" ref="X4290">IFERROR(INDEX('Адреса общежитий (скрытый)'!$B$2:$B$9, MATCH(W4290, 'Адреса общежитий (скрытый)'!$A$2:$A$9, 0)), "")</f>
        <v/>
      </c>
      <c r="Y4290" s="18"/>
      <c r="Z4290" s="18"/>
      <c r="AA4290" s="18"/>
      <c r="AB4290" s="18"/>
      <c r="AC4290" s="18"/>
    </row>
    <row r="4291" spans="1:29" ht="32.25" hidden="1" customHeight="1">
      <c r="A4291" s="17"/>
      <c r="B4291" s="9" t="s">
        <v>13284</v>
      </c>
      <c r="C4291" s="9" t="s">
        <v>13284</v>
      </c>
      <c r="D4291" s="9" t="s">
        <v>13284</v>
      </c>
      <c r="E4291" s="9" t="s">
        <v>13284</v>
      </c>
      <c r="F4291" s="9" t="s">
        <v>13284</v>
      </c>
      <c r="G4291" s="9" t="s">
        <v>13284</v>
      </c>
      <c r="H4291" s="9" t="s">
        <v>13284</v>
      </c>
      <c r="I4291" s="9" t="s">
        <v>13284</v>
      </c>
      <c r="J4291" s="9" t="s">
        <v>13284</v>
      </c>
      <c r="K4291" s="9" t="s">
        <v>13284</v>
      </c>
      <c r="L4291" s="9" t="s">
        <v>13284</v>
      </c>
      <c r="M4291" s="9" t="s">
        <v>13284</v>
      </c>
      <c r="N4291" s="9" t="s">
        <v>13284</v>
      </c>
      <c r="O4291" s="9" t="s">
        <v>13284</v>
      </c>
      <c r="P4291" s="9" t="s">
        <v>13284</v>
      </c>
      <c r="Q4291" s="9" t="s">
        <v>13284</v>
      </c>
      <c r="R4291" s="9" t="s">
        <v>13284</v>
      </c>
      <c r="S4291" s="9" t="s">
        <v>13284</v>
      </c>
      <c r="T4291" s="9" t="str">
        <f ca="1">IFERROR(IF(AND(VLOOKUP(A4291, 'Актуальное состояние (из общего'!A:C,3,0) = "", A4291 &lt;&gt; ""), "ПРОВЕРИТЬ", VLOOKUP(A4291, 'Актуальное состояние (из общего'!A:C,3,0)), "")</f>
        <v/>
      </c>
      <c r="U4291" s="9" t="s">
        <v>13284</v>
      </c>
      <c r="V4291" s="9" t="s">
        <v>13284</v>
      </c>
      <c r="W4291" s="12"/>
      <c r="X4291" s="9" t="str">
        <f t="array" ref="X4291">IFERROR(INDEX('Адреса общежитий (скрытый)'!$B$2:$B$9, MATCH(W4291, 'Адреса общежитий (скрытый)'!$A$2:$A$9, 0)), "")</f>
        <v/>
      </c>
      <c r="Y4291" s="18"/>
      <c r="Z4291" s="18"/>
      <c r="AA4291" s="18"/>
      <c r="AB4291" s="18"/>
      <c r="AC4291" s="18"/>
    </row>
    <row r="4292" spans="1:29" ht="32.25" hidden="1" customHeight="1">
      <c r="A4292" s="17"/>
      <c r="B4292" s="9" t="s">
        <v>13284</v>
      </c>
      <c r="C4292" s="9" t="s">
        <v>13284</v>
      </c>
      <c r="D4292" s="9" t="s">
        <v>13284</v>
      </c>
      <c r="E4292" s="9" t="s">
        <v>13284</v>
      </c>
      <c r="F4292" s="9" t="s">
        <v>13284</v>
      </c>
      <c r="G4292" s="9" t="s">
        <v>13284</v>
      </c>
      <c r="H4292" s="9" t="s">
        <v>13284</v>
      </c>
      <c r="I4292" s="9" t="s">
        <v>13284</v>
      </c>
      <c r="J4292" s="9" t="s">
        <v>13284</v>
      </c>
      <c r="K4292" s="9" t="s">
        <v>13284</v>
      </c>
      <c r="L4292" s="9" t="s">
        <v>13284</v>
      </c>
      <c r="M4292" s="9" t="s">
        <v>13284</v>
      </c>
      <c r="N4292" s="9" t="s">
        <v>13284</v>
      </c>
      <c r="O4292" s="9" t="s">
        <v>13284</v>
      </c>
      <c r="P4292" s="9" t="s">
        <v>13284</v>
      </c>
      <c r="Q4292" s="9" t="s">
        <v>13284</v>
      </c>
      <c r="R4292" s="9" t="s">
        <v>13284</v>
      </c>
      <c r="S4292" s="9" t="s">
        <v>13284</v>
      </c>
      <c r="T4292" s="9" t="str">
        <f ca="1">IFERROR(IF(AND(VLOOKUP(A4292, 'Актуальное состояние (из общего'!A:C,3,0) = "", A4292 &lt;&gt; ""), "ПРОВЕРИТЬ", VLOOKUP(A4292, 'Актуальное состояние (из общего'!A:C,3,0)), "")</f>
        <v/>
      </c>
      <c r="U4292" s="9" t="s">
        <v>13284</v>
      </c>
      <c r="V4292" s="9" t="s">
        <v>13284</v>
      </c>
      <c r="W4292" s="12"/>
      <c r="X4292" s="9" t="str">
        <f t="array" ref="X4292">IFERROR(INDEX('Адреса общежитий (скрытый)'!$B$2:$B$9, MATCH(W4292, 'Адреса общежитий (скрытый)'!$A$2:$A$9, 0)), "")</f>
        <v/>
      </c>
      <c r="Y4292" s="18"/>
      <c r="Z4292" s="18"/>
      <c r="AA4292" s="18"/>
      <c r="AB4292" s="18"/>
      <c r="AC4292" s="18"/>
    </row>
    <row r="4293" spans="1:29" ht="32.25" hidden="1" customHeight="1">
      <c r="A4293" s="17"/>
      <c r="B4293" s="9" t="s">
        <v>13284</v>
      </c>
      <c r="C4293" s="9" t="s">
        <v>13284</v>
      </c>
      <c r="D4293" s="9" t="s">
        <v>13284</v>
      </c>
      <c r="E4293" s="9" t="s">
        <v>13284</v>
      </c>
      <c r="F4293" s="9" t="s">
        <v>13284</v>
      </c>
      <c r="G4293" s="9" t="s">
        <v>13284</v>
      </c>
      <c r="H4293" s="9" t="s">
        <v>13284</v>
      </c>
      <c r="I4293" s="9" t="s">
        <v>13284</v>
      </c>
      <c r="J4293" s="9" t="s">
        <v>13284</v>
      </c>
      <c r="K4293" s="9" t="s">
        <v>13284</v>
      </c>
      <c r="L4293" s="9" t="s">
        <v>13284</v>
      </c>
      <c r="M4293" s="9" t="s">
        <v>13284</v>
      </c>
      <c r="N4293" s="9" t="s">
        <v>13284</v>
      </c>
      <c r="O4293" s="9" t="s">
        <v>13284</v>
      </c>
      <c r="P4293" s="9" t="s">
        <v>13284</v>
      </c>
      <c r="Q4293" s="9" t="s">
        <v>13284</v>
      </c>
      <c r="R4293" s="9" t="s">
        <v>13284</v>
      </c>
      <c r="S4293" s="9" t="s">
        <v>13284</v>
      </c>
      <c r="T4293" s="9" t="str">
        <f ca="1">IFERROR(IF(AND(VLOOKUP(A4293, 'Актуальное состояние (из общего'!A:C,3,0) = "", A4293 &lt;&gt; ""), "ПРОВЕРИТЬ", VLOOKUP(A4293, 'Актуальное состояние (из общего'!A:C,3,0)), "")</f>
        <v/>
      </c>
      <c r="U4293" s="9" t="s">
        <v>13284</v>
      </c>
      <c r="V4293" s="9" t="s">
        <v>13284</v>
      </c>
      <c r="W4293" s="12"/>
      <c r="X4293" s="9" t="str">
        <f t="array" ref="X4293">IFERROR(INDEX('Адреса общежитий (скрытый)'!$B$2:$B$9, MATCH(W4293, 'Адреса общежитий (скрытый)'!$A$2:$A$9, 0)), "")</f>
        <v/>
      </c>
      <c r="Y4293" s="18"/>
      <c r="Z4293" s="18"/>
      <c r="AA4293" s="18"/>
      <c r="AB4293" s="18"/>
      <c r="AC4293" s="18"/>
    </row>
    <row r="4294" spans="1:29" ht="32.25" hidden="1" customHeight="1">
      <c r="A4294" s="17"/>
      <c r="B4294" s="9" t="s">
        <v>13284</v>
      </c>
      <c r="C4294" s="9" t="s">
        <v>13284</v>
      </c>
      <c r="D4294" s="9" t="s">
        <v>13284</v>
      </c>
      <c r="E4294" s="9" t="s">
        <v>13284</v>
      </c>
      <c r="F4294" s="9" t="s">
        <v>13284</v>
      </c>
      <c r="G4294" s="9" t="s">
        <v>13284</v>
      </c>
      <c r="H4294" s="9" t="s">
        <v>13284</v>
      </c>
      <c r="I4294" s="9" t="s">
        <v>13284</v>
      </c>
      <c r="J4294" s="9" t="s">
        <v>13284</v>
      </c>
      <c r="K4294" s="9" t="s">
        <v>13284</v>
      </c>
      <c r="L4294" s="9" t="s">
        <v>13284</v>
      </c>
      <c r="M4294" s="9" t="s">
        <v>13284</v>
      </c>
      <c r="N4294" s="9" t="s">
        <v>13284</v>
      </c>
      <c r="O4294" s="9" t="s">
        <v>13284</v>
      </c>
      <c r="P4294" s="9" t="s">
        <v>13284</v>
      </c>
      <c r="Q4294" s="9" t="s">
        <v>13284</v>
      </c>
      <c r="R4294" s="9" t="s">
        <v>13284</v>
      </c>
      <c r="S4294" s="9" t="s">
        <v>13284</v>
      </c>
      <c r="T4294" s="9" t="str">
        <f ca="1">IFERROR(IF(AND(VLOOKUP(A4294, 'Актуальное состояние (из общего'!A:C,3,0) = "", A4294 &lt;&gt; ""), "ПРОВЕРИТЬ", VLOOKUP(A4294, 'Актуальное состояние (из общего'!A:C,3,0)), "")</f>
        <v/>
      </c>
      <c r="U4294" s="9" t="s">
        <v>13284</v>
      </c>
      <c r="V4294" s="9" t="s">
        <v>13284</v>
      </c>
      <c r="W4294" s="12"/>
      <c r="X4294" s="9" t="str">
        <f t="array" ref="X4294">IFERROR(INDEX('Адреса общежитий (скрытый)'!$B$2:$B$9, MATCH(W4294, 'Адреса общежитий (скрытый)'!$A$2:$A$9, 0)), "")</f>
        <v/>
      </c>
      <c r="Y4294" s="18"/>
      <c r="Z4294" s="18"/>
      <c r="AA4294" s="18"/>
      <c r="AB4294" s="18"/>
      <c r="AC4294" s="18"/>
    </row>
    <row r="4295" spans="1:29" ht="32.25" hidden="1" customHeight="1">
      <c r="A4295" s="17"/>
      <c r="B4295" s="9" t="s">
        <v>13284</v>
      </c>
      <c r="C4295" s="9" t="s">
        <v>13284</v>
      </c>
      <c r="D4295" s="9" t="s">
        <v>13284</v>
      </c>
      <c r="E4295" s="9" t="s">
        <v>13284</v>
      </c>
      <c r="F4295" s="9" t="s">
        <v>13284</v>
      </c>
      <c r="G4295" s="9" t="s">
        <v>13284</v>
      </c>
      <c r="H4295" s="9" t="s">
        <v>13284</v>
      </c>
      <c r="I4295" s="9" t="s">
        <v>13284</v>
      </c>
      <c r="J4295" s="9" t="s">
        <v>13284</v>
      </c>
      <c r="K4295" s="9" t="s">
        <v>13284</v>
      </c>
      <c r="L4295" s="9" t="s">
        <v>13284</v>
      </c>
      <c r="M4295" s="9" t="s">
        <v>13284</v>
      </c>
      <c r="N4295" s="9" t="s">
        <v>13284</v>
      </c>
      <c r="O4295" s="9" t="s">
        <v>13284</v>
      </c>
      <c r="P4295" s="9" t="s">
        <v>13284</v>
      </c>
      <c r="Q4295" s="9" t="s">
        <v>13284</v>
      </c>
      <c r="R4295" s="9" t="s">
        <v>13284</v>
      </c>
      <c r="S4295" s="9" t="s">
        <v>13284</v>
      </c>
      <c r="T4295" s="9" t="str">
        <f ca="1">IFERROR(IF(AND(VLOOKUP(A4295, 'Актуальное состояние (из общего'!A:C,3,0) = "", A4295 &lt;&gt; ""), "ПРОВЕРИТЬ", VLOOKUP(A4295, 'Актуальное состояние (из общего'!A:C,3,0)), "")</f>
        <v/>
      </c>
      <c r="U4295" s="9" t="s">
        <v>13284</v>
      </c>
      <c r="V4295" s="9" t="s">
        <v>13284</v>
      </c>
      <c r="W4295" s="12"/>
      <c r="X4295" s="9" t="str">
        <f t="array" ref="X4295">IFERROR(INDEX('Адреса общежитий (скрытый)'!$B$2:$B$9, MATCH(W4295, 'Адреса общежитий (скрытый)'!$A$2:$A$9, 0)), "")</f>
        <v/>
      </c>
      <c r="Y4295" s="18"/>
      <c r="Z4295" s="18"/>
      <c r="AA4295" s="18"/>
      <c r="AB4295" s="18"/>
      <c r="AC4295" s="18"/>
    </row>
    <row r="4296" spans="1:29" ht="32.25" hidden="1" customHeight="1">
      <c r="A4296" s="17"/>
      <c r="B4296" s="9" t="s">
        <v>13284</v>
      </c>
      <c r="C4296" s="9" t="s">
        <v>13284</v>
      </c>
      <c r="D4296" s="9" t="s">
        <v>13284</v>
      </c>
      <c r="E4296" s="9" t="s">
        <v>13284</v>
      </c>
      <c r="F4296" s="9" t="s">
        <v>13284</v>
      </c>
      <c r="G4296" s="9" t="s">
        <v>13284</v>
      </c>
      <c r="H4296" s="9" t="s">
        <v>13284</v>
      </c>
      <c r="I4296" s="9" t="s">
        <v>13284</v>
      </c>
      <c r="J4296" s="9" t="s">
        <v>13284</v>
      </c>
      <c r="K4296" s="9" t="s">
        <v>13284</v>
      </c>
      <c r="L4296" s="9" t="s">
        <v>13284</v>
      </c>
      <c r="M4296" s="9" t="s">
        <v>13284</v>
      </c>
      <c r="N4296" s="9" t="s">
        <v>13284</v>
      </c>
      <c r="O4296" s="9" t="s">
        <v>13284</v>
      </c>
      <c r="P4296" s="9" t="s">
        <v>13284</v>
      </c>
      <c r="Q4296" s="9" t="s">
        <v>13284</v>
      </c>
      <c r="R4296" s="9" t="s">
        <v>13284</v>
      </c>
      <c r="S4296" s="9" t="s">
        <v>13284</v>
      </c>
      <c r="T4296" s="9" t="str">
        <f ca="1">IFERROR(IF(AND(VLOOKUP(A4296, 'Актуальное состояние (из общего'!A:C,3,0) = "", A4296 &lt;&gt; ""), "ПРОВЕРИТЬ", VLOOKUP(A4296, 'Актуальное состояние (из общего'!A:C,3,0)), "")</f>
        <v/>
      </c>
      <c r="U4296" s="9" t="s">
        <v>13284</v>
      </c>
      <c r="V4296" s="9" t="s">
        <v>13284</v>
      </c>
      <c r="W4296" s="12"/>
      <c r="X4296" s="9" t="str">
        <f t="array" ref="X4296">IFERROR(INDEX('Адреса общежитий (скрытый)'!$B$2:$B$9, MATCH(W4296, 'Адреса общежитий (скрытый)'!$A$2:$A$9, 0)), "")</f>
        <v/>
      </c>
      <c r="Y4296" s="18"/>
      <c r="Z4296" s="18"/>
      <c r="AA4296" s="18"/>
      <c r="AB4296" s="18"/>
      <c r="AC4296" s="18"/>
    </row>
    <row r="4297" spans="1:29" ht="32.25" hidden="1" customHeight="1">
      <c r="A4297" s="17"/>
      <c r="B4297" s="9" t="s">
        <v>13284</v>
      </c>
      <c r="C4297" s="9" t="s">
        <v>13284</v>
      </c>
      <c r="D4297" s="9" t="s">
        <v>13284</v>
      </c>
      <c r="E4297" s="9" t="s">
        <v>13284</v>
      </c>
      <c r="F4297" s="9" t="s">
        <v>13284</v>
      </c>
      <c r="G4297" s="9" t="s">
        <v>13284</v>
      </c>
      <c r="H4297" s="9" t="s">
        <v>13284</v>
      </c>
      <c r="I4297" s="9" t="s">
        <v>13284</v>
      </c>
      <c r="J4297" s="9" t="s">
        <v>13284</v>
      </c>
      <c r="K4297" s="9" t="s">
        <v>13284</v>
      </c>
      <c r="L4297" s="9" t="s">
        <v>13284</v>
      </c>
      <c r="M4297" s="9" t="s">
        <v>13284</v>
      </c>
      <c r="N4297" s="9" t="s">
        <v>13284</v>
      </c>
      <c r="O4297" s="9" t="s">
        <v>13284</v>
      </c>
      <c r="P4297" s="9" t="s">
        <v>13284</v>
      </c>
      <c r="Q4297" s="9" t="s">
        <v>13284</v>
      </c>
      <c r="R4297" s="9" t="s">
        <v>13284</v>
      </c>
      <c r="S4297" s="9" t="s">
        <v>13284</v>
      </c>
      <c r="T4297" s="9" t="str">
        <f ca="1">IFERROR(IF(AND(VLOOKUP(A4297, 'Актуальное состояние (из общего'!A:C,3,0) = "", A4297 &lt;&gt; ""), "ПРОВЕРИТЬ", VLOOKUP(A4297, 'Актуальное состояние (из общего'!A:C,3,0)), "")</f>
        <v/>
      </c>
      <c r="U4297" s="9" t="s">
        <v>13284</v>
      </c>
      <c r="V4297" s="9" t="s">
        <v>13284</v>
      </c>
      <c r="W4297" s="12"/>
      <c r="X4297" s="9" t="str">
        <f t="array" ref="X4297">IFERROR(INDEX('Адреса общежитий (скрытый)'!$B$2:$B$9, MATCH(W4297, 'Адреса общежитий (скрытый)'!$A$2:$A$9, 0)), "")</f>
        <v/>
      </c>
      <c r="Y4297" s="18"/>
      <c r="Z4297" s="18"/>
      <c r="AA4297" s="18"/>
      <c r="AB4297" s="18"/>
      <c r="AC4297" s="18"/>
    </row>
    <row r="4298" spans="1:29" ht="32.25" hidden="1" customHeight="1">
      <c r="A4298" s="17"/>
      <c r="B4298" s="9" t="s">
        <v>13284</v>
      </c>
      <c r="C4298" s="9" t="s">
        <v>13284</v>
      </c>
      <c r="D4298" s="9" t="s">
        <v>13284</v>
      </c>
      <c r="E4298" s="9" t="s">
        <v>13284</v>
      </c>
      <c r="F4298" s="9" t="s">
        <v>13284</v>
      </c>
      <c r="G4298" s="9" t="s">
        <v>13284</v>
      </c>
      <c r="H4298" s="9" t="s">
        <v>13284</v>
      </c>
      <c r="I4298" s="9" t="s">
        <v>13284</v>
      </c>
      <c r="J4298" s="9" t="s">
        <v>13284</v>
      </c>
      <c r="K4298" s="9" t="s">
        <v>13284</v>
      </c>
      <c r="L4298" s="9" t="s">
        <v>13284</v>
      </c>
      <c r="M4298" s="9" t="s">
        <v>13284</v>
      </c>
      <c r="N4298" s="9" t="s">
        <v>13284</v>
      </c>
      <c r="O4298" s="9" t="s">
        <v>13284</v>
      </c>
      <c r="P4298" s="9" t="s">
        <v>13284</v>
      </c>
      <c r="Q4298" s="9" t="s">
        <v>13284</v>
      </c>
      <c r="R4298" s="9" t="s">
        <v>13284</v>
      </c>
      <c r="S4298" s="9" t="s">
        <v>13284</v>
      </c>
      <c r="T4298" s="9" t="str">
        <f ca="1">IFERROR(IF(AND(VLOOKUP(A4298, 'Актуальное состояние (из общего'!A:C,3,0) = "", A4298 &lt;&gt; ""), "ПРОВЕРИТЬ", VLOOKUP(A4298, 'Актуальное состояние (из общего'!A:C,3,0)), "")</f>
        <v/>
      </c>
      <c r="U4298" s="9" t="s">
        <v>13284</v>
      </c>
      <c r="V4298" s="9" t="s">
        <v>13284</v>
      </c>
      <c r="W4298" s="12"/>
      <c r="X4298" s="9" t="str">
        <f t="array" ref="X4298">IFERROR(INDEX('Адреса общежитий (скрытый)'!$B$2:$B$9, MATCH(W4298, 'Адреса общежитий (скрытый)'!$A$2:$A$9, 0)), "")</f>
        <v/>
      </c>
      <c r="Y4298" s="18"/>
      <c r="Z4298" s="18"/>
      <c r="AA4298" s="18"/>
      <c r="AB4298" s="18"/>
      <c r="AC4298" s="18"/>
    </row>
    <row r="4299" spans="1:29" ht="32.25" hidden="1" customHeight="1">
      <c r="A4299" s="17"/>
      <c r="B4299" s="9" t="s">
        <v>13284</v>
      </c>
      <c r="C4299" s="9" t="s">
        <v>13284</v>
      </c>
      <c r="D4299" s="9" t="s">
        <v>13284</v>
      </c>
      <c r="E4299" s="9" t="s">
        <v>13284</v>
      </c>
      <c r="F4299" s="9" t="s">
        <v>13284</v>
      </c>
      <c r="G4299" s="9" t="s">
        <v>13284</v>
      </c>
      <c r="H4299" s="9" t="s">
        <v>13284</v>
      </c>
      <c r="I4299" s="9" t="s">
        <v>13284</v>
      </c>
      <c r="J4299" s="9" t="s">
        <v>13284</v>
      </c>
      <c r="K4299" s="9" t="s">
        <v>13284</v>
      </c>
      <c r="L4299" s="9" t="s">
        <v>13284</v>
      </c>
      <c r="M4299" s="9" t="s">
        <v>13284</v>
      </c>
      <c r="N4299" s="9" t="s">
        <v>13284</v>
      </c>
      <c r="O4299" s="9" t="s">
        <v>13284</v>
      </c>
      <c r="P4299" s="9" t="s">
        <v>13284</v>
      </c>
      <c r="Q4299" s="9" t="s">
        <v>13284</v>
      </c>
      <c r="R4299" s="9" t="s">
        <v>13284</v>
      </c>
      <c r="S4299" s="9" t="s">
        <v>13284</v>
      </c>
      <c r="T4299" s="9" t="str">
        <f ca="1">IFERROR(IF(AND(VLOOKUP(A4299, 'Актуальное состояние (из общего'!A:C,3,0) = "", A4299 &lt;&gt; ""), "ПРОВЕРИТЬ", VLOOKUP(A4299, 'Актуальное состояние (из общего'!A:C,3,0)), "")</f>
        <v/>
      </c>
      <c r="U4299" s="9" t="s">
        <v>13284</v>
      </c>
      <c r="V4299" s="9" t="s">
        <v>13284</v>
      </c>
      <c r="W4299" s="12"/>
      <c r="X4299" s="9" t="str">
        <f t="array" ref="X4299">IFERROR(INDEX('Адреса общежитий (скрытый)'!$B$2:$B$9, MATCH(W4299, 'Адреса общежитий (скрытый)'!$A$2:$A$9, 0)), "")</f>
        <v/>
      </c>
      <c r="Y4299" s="18"/>
      <c r="Z4299" s="18"/>
      <c r="AA4299" s="18"/>
      <c r="AB4299" s="18"/>
      <c r="AC4299" s="18"/>
    </row>
    <row r="4300" spans="1:29" ht="32.25" hidden="1" customHeight="1">
      <c r="A4300" s="17"/>
      <c r="B4300" s="9" t="s">
        <v>13284</v>
      </c>
      <c r="C4300" s="9" t="s">
        <v>13284</v>
      </c>
      <c r="D4300" s="9" t="s">
        <v>13284</v>
      </c>
      <c r="E4300" s="9" t="s">
        <v>13284</v>
      </c>
      <c r="F4300" s="9" t="s">
        <v>13284</v>
      </c>
      <c r="G4300" s="9" t="s">
        <v>13284</v>
      </c>
      <c r="H4300" s="9" t="s">
        <v>13284</v>
      </c>
      <c r="I4300" s="9" t="s">
        <v>13284</v>
      </c>
      <c r="J4300" s="9" t="s">
        <v>13284</v>
      </c>
      <c r="K4300" s="9" t="s">
        <v>13284</v>
      </c>
      <c r="L4300" s="9" t="s">
        <v>13284</v>
      </c>
      <c r="M4300" s="9" t="s">
        <v>13284</v>
      </c>
      <c r="N4300" s="9" t="s">
        <v>13284</v>
      </c>
      <c r="O4300" s="9" t="s">
        <v>13284</v>
      </c>
      <c r="P4300" s="9" t="s">
        <v>13284</v>
      </c>
      <c r="Q4300" s="9" t="s">
        <v>13284</v>
      </c>
      <c r="R4300" s="9" t="s">
        <v>13284</v>
      </c>
      <c r="S4300" s="9" t="s">
        <v>13284</v>
      </c>
      <c r="T4300" s="9" t="str">
        <f ca="1">IFERROR(IF(AND(VLOOKUP(A4300, 'Актуальное состояние (из общего'!A:C,3,0) = "", A4300 &lt;&gt; ""), "ПРОВЕРИТЬ", VLOOKUP(A4300, 'Актуальное состояние (из общего'!A:C,3,0)), "")</f>
        <v/>
      </c>
      <c r="U4300" s="9" t="s">
        <v>13284</v>
      </c>
      <c r="V4300" s="9" t="s">
        <v>13284</v>
      </c>
      <c r="W4300" s="12"/>
      <c r="X4300" s="9" t="str">
        <f t="array" ref="X4300">IFERROR(INDEX('Адреса общежитий (скрытый)'!$B$2:$B$9, MATCH(W4300, 'Адреса общежитий (скрытый)'!$A$2:$A$9, 0)), "")</f>
        <v/>
      </c>
      <c r="Y4300" s="18"/>
      <c r="Z4300" s="18"/>
      <c r="AA4300" s="18"/>
      <c r="AB4300" s="18"/>
      <c r="AC4300" s="18"/>
    </row>
    <row r="4301" spans="1:29" ht="32.25" hidden="1" customHeight="1">
      <c r="A4301" s="17"/>
      <c r="B4301" s="9" t="s">
        <v>13284</v>
      </c>
      <c r="C4301" s="9" t="s">
        <v>13284</v>
      </c>
      <c r="D4301" s="9" t="s">
        <v>13284</v>
      </c>
      <c r="E4301" s="9" t="s">
        <v>13284</v>
      </c>
      <c r="F4301" s="9" t="s">
        <v>13284</v>
      </c>
      <c r="G4301" s="9" t="s">
        <v>13284</v>
      </c>
      <c r="H4301" s="9" t="s">
        <v>13284</v>
      </c>
      <c r="I4301" s="9" t="s">
        <v>13284</v>
      </c>
      <c r="J4301" s="9" t="s">
        <v>13284</v>
      </c>
      <c r="K4301" s="9" t="s">
        <v>13284</v>
      </c>
      <c r="L4301" s="9" t="s">
        <v>13284</v>
      </c>
      <c r="M4301" s="9" t="s">
        <v>13284</v>
      </c>
      <c r="N4301" s="9" t="s">
        <v>13284</v>
      </c>
      <c r="O4301" s="9" t="s">
        <v>13284</v>
      </c>
      <c r="P4301" s="9" t="s">
        <v>13284</v>
      </c>
      <c r="Q4301" s="9" t="s">
        <v>13284</v>
      </c>
      <c r="R4301" s="9" t="s">
        <v>13284</v>
      </c>
      <c r="S4301" s="9" t="s">
        <v>13284</v>
      </c>
      <c r="T4301" s="9" t="str">
        <f ca="1">IFERROR(IF(AND(VLOOKUP(A4301, 'Актуальное состояние (из общего'!A:C,3,0) = "", A4301 &lt;&gt; ""), "ПРОВЕРИТЬ", VLOOKUP(A4301, 'Актуальное состояние (из общего'!A:C,3,0)), "")</f>
        <v/>
      </c>
      <c r="U4301" s="9" t="s">
        <v>13284</v>
      </c>
      <c r="V4301" s="9" t="s">
        <v>13284</v>
      </c>
      <c r="W4301" s="12"/>
      <c r="X4301" s="9" t="str">
        <f t="array" ref="X4301">IFERROR(INDEX('Адреса общежитий (скрытый)'!$B$2:$B$9, MATCH(W4301, 'Адреса общежитий (скрытый)'!$A$2:$A$9, 0)), "")</f>
        <v/>
      </c>
      <c r="Y4301" s="18"/>
      <c r="Z4301" s="18"/>
      <c r="AA4301" s="18"/>
      <c r="AB4301" s="18"/>
      <c r="AC4301" s="18"/>
    </row>
    <row r="4302" spans="1:29" ht="32.25" hidden="1" customHeight="1">
      <c r="A4302" s="17"/>
      <c r="B4302" s="9" t="s">
        <v>13284</v>
      </c>
      <c r="C4302" s="9" t="s">
        <v>13284</v>
      </c>
      <c r="D4302" s="9" t="s">
        <v>13284</v>
      </c>
      <c r="E4302" s="9" t="s">
        <v>13284</v>
      </c>
      <c r="F4302" s="9" t="s">
        <v>13284</v>
      </c>
      <c r="G4302" s="9" t="s">
        <v>13284</v>
      </c>
      <c r="H4302" s="9" t="s">
        <v>13284</v>
      </c>
      <c r="I4302" s="9" t="s">
        <v>13284</v>
      </c>
      <c r="J4302" s="9" t="s">
        <v>13284</v>
      </c>
      <c r="K4302" s="9" t="s">
        <v>13284</v>
      </c>
      <c r="L4302" s="9" t="s">
        <v>13284</v>
      </c>
      <c r="M4302" s="9" t="s">
        <v>13284</v>
      </c>
      <c r="N4302" s="9" t="s">
        <v>13284</v>
      </c>
      <c r="O4302" s="9" t="s">
        <v>13284</v>
      </c>
      <c r="P4302" s="9" t="s">
        <v>13284</v>
      </c>
      <c r="Q4302" s="9" t="s">
        <v>13284</v>
      </c>
      <c r="R4302" s="9" t="s">
        <v>13284</v>
      </c>
      <c r="S4302" s="9" t="s">
        <v>13284</v>
      </c>
      <c r="T4302" s="9" t="str">
        <f ca="1">IFERROR(IF(AND(VLOOKUP(A4302, 'Актуальное состояние (из общего'!A:C,3,0) = "", A4302 &lt;&gt; ""), "ПРОВЕРИТЬ", VLOOKUP(A4302, 'Актуальное состояние (из общего'!A:C,3,0)), "")</f>
        <v/>
      </c>
      <c r="U4302" s="9" t="s">
        <v>13284</v>
      </c>
      <c r="V4302" s="9" t="s">
        <v>13284</v>
      </c>
      <c r="W4302" s="12"/>
      <c r="X4302" s="9" t="str">
        <f t="array" ref="X4302">IFERROR(INDEX('Адреса общежитий (скрытый)'!$B$2:$B$9, MATCH(W4302, 'Адреса общежитий (скрытый)'!$A$2:$A$9, 0)), "")</f>
        <v/>
      </c>
      <c r="Y4302" s="18"/>
      <c r="Z4302" s="18"/>
      <c r="AA4302" s="18"/>
      <c r="AB4302" s="18"/>
      <c r="AC4302" s="18"/>
    </row>
    <row r="4303" spans="1:29" ht="32.25" hidden="1" customHeight="1">
      <c r="A4303" s="17"/>
      <c r="B4303" s="9" t="s">
        <v>13284</v>
      </c>
      <c r="C4303" s="9" t="s">
        <v>13284</v>
      </c>
      <c r="D4303" s="9" t="s">
        <v>13284</v>
      </c>
      <c r="E4303" s="9" t="s">
        <v>13284</v>
      </c>
      <c r="F4303" s="9" t="s">
        <v>13284</v>
      </c>
      <c r="G4303" s="9" t="s">
        <v>13284</v>
      </c>
      <c r="H4303" s="9" t="s">
        <v>13284</v>
      </c>
      <c r="I4303" s="9" t="s">
        <v>13284</v>
      </c>
      <c r="J4303" s="9" t="s">
        <v>13284</v>
      </c>
      <c r="K4303" s="9" t="s">
        <v>13284</v>
      </c>
      <c r="L4303" s="9" t="s">
        <v>13284</v>
      </c>
      <c r="M4303" s="9" t="s">
        <v>13284</v>
      </c>
      <c r="N4303" s="9" t="s">
        <v>13284</v>
      </c>
      <c r="O4303" s="9" t="s">
        <v>13284</v>
      </c>
      <c r="P4303" s="9" t="s">
        <v>13284</v>
      </c>
      <c r="Q4303" s="9" t="s">
        <v>13284</v>
      </c>
      <c r="R4303" s="9" t="s">
        <v>13284</v>
      </c>
      <c r="S4303" s="9" t="s">
        <v>13284</v>
      </c>
      <c r="T4303" s="9" t="str">
        <f ca="1">IFERROR(IF(AND(VLOOKUP(A4303, 'Актуальное состояние (из общего'!A:C,3,0) = "", A4303 &lt;&gt; ""), "ПРОВЕРИТЬ", VLOOKUP(A4303, 'Актуальное состояние (из общего'!A:C,3,0)), "")</f>
        <v/>
      </c>
      <c r="U4303" s="9" t="s">
        <v>13284</v>
      </c>
      <c r="V4303" s="9" t="s">
        <v>13284</v>
      </c>
      <c r="W4303" s="12"/>
      <c r="X4303" s="9" t="str">
        <f t="array" ref="X4303">IFERROR(INDEX('Адреса общежитий (скрытый)'!$B$2:$B$9, MATCH(W4303, 'Адреса общежитий (скрытый)'!$A$2:$A$9, 0)), "")</f>
        <v/>
      </c>
      <c r="Y4303" s="18"/>
      <c r="Z4303" s="18"/>
      <c r="AA4303" s="18"/>
      <c r="AB4303" s="18"/>
      <c r="AC4303" s="18"/>
    </row>
    <row r="4304" spans="1:29" ht="32.25" hidden="1" customHeight="1">
      <c r="A4304" s="17"/>
      <c r="B4304" s="9" t="s">
        <v>13284</v>
      </c>
      <c r="C4304" s="9" t="s">
        <v>13284</v>
      </c>
      <c r="D4304" s="9" t="s">
        <v>13284</v>
      </c>
      <c r="E4304" s="9" t="s">
        <v>13284</v>
      </c>
      <c r="F4304" s="9" t="s">
        <v>13284</v>
      </c>
      <c r="G4304" s="9" t="s">
        <v>13284</v>
      </c>
      <c r="H4304" s="9" t="s">
        <v>13284</v>
      </c>
      <c r="I4304" s="9" t="s">
        <v>13284</v>
      </c>
      <c r="J4304" s="9" t="s">
        <v>13284</v>
      </c>
      <c r="K4304" s="9" t="s">
        <v>13284</v>
      </c>
      <c r="L4304" s="9" t="s">
        <v>13284</v>
      </c>
      <c r="M4304" s="9" t="s">
        <v>13284</v>
      </c>
      <c r="N4304" s="9" t="s">
        <v>13284</v>
      </c>
      <c r="O4304" s="9" t="s">
        <v>13284</v>
      </c>
      <c r="P4304" s="9" t="s">
        <v>13284</v>
      </c>
      <c r="Q4304" s="9" t="s">
        <v>13284</v>
      </c>
      <c r="R4304" s="9" t="s">
        <v>13284</v>
      </c>
      <c r="S4304" s="9" t="s">
        <v>13284</v>
      </c>
      <c r="T4304" s="9" t="str">
        <f ca="1">IFERROR(IF(AND(VLOOKUP(A4304, 'Актуальное состояние (из общего'!A:C,3,0) = "", A4304 &lt;&gt; ""), "ПРОВЕРИТЬ", VLOOKUP(A4304, 'Актуальное состояние (из общего'!A:C,3,0)), "")</f>
        <v/>
      </c>
      <c r="U4304" s="9" t="s">
        <v>13284</v>
      </c>
      <c r="V4304" s="9" t="s">
        <v>13284</v>
      </c>
      <c r="W4304" s="12"/>
      <c r="X4304" s="9" t="str">
        <f t="array" ref="X4304">IFERROR(INDEX('Адреса общежитий (скрытый)'!$B$2:$B$9, MATCH(W4304, 'Адреса общежитий (скрытый)'!$A$2:$A$9, 0)), "")</f>
        <v/>
      </c>
      <c r="Y4304" s="18"/>
      <c r="Z4304" s="18"/>
      <c r="AA4304" s="18"/>
      <c r="AB4304" s="18"/>
      <c r="AC4304" s="18"/>
    </row>
    <row r="4305" spans="1:29" ht="32.25" hidden="1" customHeight="1">
      <c r="A4305" s="17"/>
      <c r="B4305" s="9" t="s">
        <v>13284</v>
      </c>
      <c r="C4305" s="9" t="s">
        <v>13284</v>
      </c>
      <c r="D4305" s="9" t="s">
        <v>13284</v>
      </c>
      <c r="E4305" s="9" t="s">
        <v>13284</v>
      </c>
      <c r="F4305" s="9" t="s">
        <v>13284</v>
      </c>
      <c r="G4305" s="9" t="s">
        <v>13284</v>
      </c>
      <c r="H4305" s="9" t="s">
        <v>13284</v>
      </c>
      <c r="I4305" s="9" t="s">
        <v>13284</v>
      </c>
      <c r="J4305" s="9" t="s">
        <v>13284</v>
      </c>
      <c r="K4305" s="9" t="s">
        <v>13284</v>
      </c>
      <c r="L4305" s="9" t="s">
        <v>13284</v>
      </c>
      <c r="M4305" s="9" t="s">
        <v>13284</v>
      </c>
      <c r="N4305" s="9" t="s">
        <v>13284</v>
      </c>
      <c r="O4305" s="9" t="s">
        <v>13284</v>
      </c>
      <c r="P4305" s="9" t="s">
        <v>13284</v>
      </c>
      <c r="Q4305" s="9" t="s">
        <v>13284</v>
      </c>
      <c r="R4305" s="9" t="s">
        <v>13284</v>
      </c>
      <c r="S4305" s="9" t="s">
        <v>13284</v>
      </c>
      <c r="T4305" s="9" t="str">
        <f ca="1">IFERROR(IF(AND(VLOOKUP(A4305, 'Актуальное состояние (из общего'!A:C,3,0) = "", A4305 &lt;&gt; ""), "ПРОВЕРИТЬ", VLOOKUP(A4305, 'Актуальное состояние (из общего'!A:C,3,0)), "")</f>
        <v/>
      </c>
      <c r="U4305" s="9" t="s">
        <v>13284</v>
      </c>
      <c r="V4305" s="9" t="s">
        <v>13284</v>
      </c>
      <c r="W4305" s="12"/>
      <c r="X4305" s="9" t="str">
        <f t="array" ref="X4305">IFERROR(INDEX('Адреса общежитий (скрытый)'!$B$2:$B$9, MATCH(W4305, 'Адреса общежитий (скрытый)'!$A$2:$A$9, 0)), "")</f>
        <v/>
      </c>
      <c r="Y4305" s="18"/>
      <c r="Z4305" s="18"/>
      <c r="AA4305" s="18"/>
      <c r="AB4305" s="18"/>
      <c r="AC4305" s="18"/>
    </row>
    <row r="4306" spans="1:29" ht="32.25" hidden="1" customHeight="1">
      <c r="A4306" s="17"/>
      <c r="B4306" s="9" t="s">
        <v>13284</v>
      </c>
      <c r="C4306" s="9" t="s">
        <v>13284</v>
      </c>
      <c r="D4306" s="9" t="s">
        <v>13284</v>
      </c>
      <c r="E4306" s="9" t="s">
        <v>13284</v>
      </c>
      <c r="F4306" s="9" t="s">
        <v>13284</v>
      </c>
      <c r="G4306" s="9" t="s">
        <v>13284</v>
      </c>
      <c r="H4306" s="9" t="s">
        <v>13284</v>
      </c>
      <c r="I4306" s="9" t="s">
        <v>13284</v>
      </c>
      <c r="J4306" s="9" t="s">
        <v>13284</v>
      </c>
      <c r="K4306" s="9" t="s">
        <v>13284</v>
      </c>
      <c r="L4306" s="9" t="s">
        <v>13284</v>
      </c>
      <c r="M4306" s="9" t="s">
        <v>13284</v>
      </c>
      <c r="N4306" s="9" t="s">
        <v>13284</v>
      </c>
      <c r="O4306" s="9" t="s">
        <v>13284</v>
      </c>
      <c r="P4306" s="9" t="s">
        <v>13284</v>
      </c>
      <c r="Q4306" s="9" t="s">
        <v>13284</v>
      </c>
      <c r="R4306" s="9" t="s">
        <v>13284</v>
      </c>
      <c r="S4306" s="9" t="s">
        <v>13284</v>
      </c>
      <c r="T4306" s="9" t="str">
        <f ca="1">IFERROR(IF(AND(VLOOKUP(A4306, 'Актуальное состояние (из общего'!A:C,3,0) = "", A4306 &lt;&gt; ""), "ПРОВЕРИТЬ", VLOOKUP(A4306, 'Актуальное состояние (из общего'!A:C,3,0)), "")</f>
        <v/>
      </c>
      <c r="U4306" s="9" t="s">
        <v>13284</v>
      </c>
      <c r="V4306" s="9" t="s">
        <v>13284</v>
      </c>
      <c r="W4306" s="12"/>
      <c r="X4306" s="9" t="str">
        <f t="array" ref="X4306">IFERROR(INDEX('Адреса общежитий (скрытый)'!$B$2:$B$9, MATCH(W4306, 'Адреса общежитий (скрытый)'!$A$2:$A$9, 0)), "")</f>
        <v/>
      </c>
      <c r="Y4306" s="18"/>
      <c r="Z4306" s="18"/>
      <c r="AA4306" s="18"/>
      <c r="AB4306" s="18"/>
      <c r="AC4306" s="18"/>
    </row>
    <row r="4307" spans="1:29" ht="32.25" hidden="1" customHeight="1">
      <c r="A4307" s="17"/>
      <c r="B4307" s="9" t="s">
        <v>13284</v>
      </c>
      <c r="C4307" s="9" t="s">
        <v>13284</v>
      </c>
      <c r="D4307" s="9" t="s">
        <v>13284</v>
      </c>
      <c r="E4307" s="9" t="s">
        <v>13284</v>
      </c>
      <c r="F4307" s="9" t="s">
        <v>13284</v>
      </c>
      <c r="G4307" s="9" t="s">
        <v>13284</v>
      </c>
      <c r="H4307" s="9" t="s">
        <v>13284</v>
      </c>
      <c r="I4307" s="9" t="s">
        <v>13284</v>
      </c>
      <c r="J4307" s="9" t="s">
        <v>13284</v>
      </c>
      <c r="K4307" s="9" t="s">
        <v>13284</v>
      </c>
      <c r="L4307" s="9" t="s">
        <v>13284</v>
      </c>
      <c r="M4307" s="9" t="s">
        <v>13284</v>
      </c>
      <c r="N4307" s="9" t="s">
        <v>13284</v>
      </c>
      <c r="O4307" s="9" t="s">
        <v>13284</v>
      </c>
      <c r="P4307" s="9" t="s">
        <v>13284</v>
      </c>
      <c r="Q4307" s="9" t="s">
        <v>13284</v>
      </c>
      <c r="R4307" s="9" t="s">
        <v>13284</v>
      </c>
      <c r="S4307" s="9" t="s">
        <v>13284</v>
      </c>
      <c r="T4307" s="9" t="str">
        <f ca="1">IFERROR(IF(AND(VLOOKUP(A4307, 'Актуальное состояние (из общего'!A:C,3,0) = "", A4307 &lt;&gt; ""), "ПРОВЕРИТЬ", VLOOKUP(A4307, 'Актуальное состояние (из общего'!A:C,3,0)), "")</f>
        <v/>
      </c>
      <c r="U4307" s="9" t="s">
        <v>13284</v>
      </c>
      <c r="V4307" s="9" t="s">
        <v>13284</v>
      </c>
      <c r="W4307" s="12"/>
      <c r="X4307" s="9" t="str">
        <f t="array" ref="X4307">IFERROR(INDEX('Адреса общежитий (скрытый)'!$B$2:$B$9, MATCH(W4307, 'Адреса общежитий (скрытый)'!$A$2:$A$9, 0)), "")</f>
        <v/>
      </c>
      <c r="Y4307" s="18"/>
      <c r="Z4307" s="18"/>
      <c r="AA4307" s="18"/>
      <c r="AB4307" s="18"/>
      <c r="AC4307" s="18"/>
    </row>
    <row r="4308" spans="1:29" ht="32.25" hidden="1" customHeight="1">
      <c r="A4308" s="17"/>
      <c r="B4308" s="9" t="s">
        <v>13284</v>
      </c>
      <c r="C4308" s="9" t="s">
        <v>13284</v>
      </c>
      <c r="D4308" s="9" t="s">
        <v>13284</v>
      </c>
      <c r="E4308" s="9" t="s">
        <v>13284</v>
      </c>
      <c r="F4308" s="9" t="s">
        <v>13284</v>
      </c>
      <c r="G4308" s="9" t="s">
        <v>13284</v>
      </c>
      <c r="H4308" s="9" t="s">
        <v>13284</v>
      </c>
      <c r="I4308" s="9" t="s">
        <v>13284</v>
      </c>
      <c r="J4308" s="9" t="s">
        <v>13284</v>
      </c>
      <c r="K4308" s="9" t="s">
        <v>13284</v>
      </c>
      <c r="L4308" s="9" t="s">
        <v>13284</v>
      </c>
      <c r="M4308" s="9" t="s">
        <v>13284</v>
      </c>
      <c r="N4308" s="9" t="s">
        <v>13284</v>
      </c>
      <c r="O4308" s="9" t="s">
        <v>13284</v>
      </c>
      <c r="P4308" s="9" t="s">
        <v>13284</v>
      </c>
      <c r="Q4308" s="9" t="s">
        <v>13284</v>
      </c>
      <c r="R4308" s="9" t="s">
        <v>13284</v>
      </c>
      <c r="S4308" s="9" t="s">
        <v>13284</v>
      </c>
      <c r="T4308" s="9" t="str">
        <f ca="1">IFERROR(IF(AND(VLOOKUP(A4308, 'Актуальное состояние (из общего'!A:C,3,0) = "", A4308 &lt;&gt; ""), "ПРОВЕРИТЬ", VLOOKUP(A4308, 'Актуальное состояние (из общего'!A:C,3,0)), "")</f>
        <v/>
      </c>
      <c r="U4308" s="9" t="s">
        <v>13284</v>
      </c>
      <c r="V4308" s="9" t="s">
        <v>13284</v>
      </c>
      <c r="W4308" s="12"/>
      <c r="X4308" s="9" t="str">
        <f t="array" ref="X4308">IFERROR(INDEX('Адреса общежитий (скрытый)'!$B$2:$B$9, MATCH(W4308, 'Адреса общежитий (скрытый)'!$A$2:$A$9, 0)), "")</f>
        <v/>
      </c>
      <c r="Y4308" s="18"/>
      <c r="Z4308" s="18"/>
      <c r="AA4308" s="18"/>
      <c r="AB4308" s="18"/>
      <c r="AC4308" s="18"/>
    </row>
    <row r="4309" spans="1:29" ht="32.25" hidden="1" customHeight="1">
      <c r="A4309" s="17"/>
      <c r="B4309" s="9" t="s">
        <v>13284</v>
      </c>
      <c r="C4309" s="9" t="s">
        <v>13284</v>
      </c>
      <c r="D4309" s="9" t="s">
        <v>13284</v>
      </c>
      <c r="E4309" s="9" t="s">
        <v>13284</v>
      </c>
      <c r="F4309" s="9" t="s">
        <v>13284</v>
      </c>
      <c r="G4309" s="9" t="s">
        <v>13284</v>
      </c>
      <c r="H4309" s="9" t="s">
        <v>13284</v>
      </c>
      <c r="I4309" s="9" t="s">
        <v>13284</v>
      </c>
      <c r="J4309" s="9" t="s">
        <v>13284</v>
      </c>
      <c r="K4309" s="9" t="s">
        <v>13284</v>
      </c>
      <c r="L4309" s="9" t="s">
        <v>13284</v>
      </c>
      <c r="M4309" s="9" t="s">
        <v>13284</v>
      </c>
      <c r="N4309" s="9" t="s">
        <v>13284</v>
      </c>
      <c r="O4309" s="9" t="s">
        <v>13284</v>
      </c>
      <c r="P4309" s="9" t="s">
        <v>13284</v>
      </c>
      <c r="Q4309" s="9" t="s">
        <v>13284</v>
      </c>
      <c r="R4309" s="9" t="s">
        <v>13284</v>
      </c>
      <c r="S4309" s="9" t="s">
        <v>13284</v>
      </c>
      <c r="T4309" s="9" t="str">
        <f ca="1">IFERROR(IF(AND(VLOOKUP(A4309, 'Актуальное состояние (из общего'!A:C,3,0) = "", A4309 &lt;&gt; ""), "ПРОВЕРИТЬ", VLOOKUP(A4309, 'Актуальное состояние (из общего'!A:C,3,0)), "")</f>
        <v/>
      </c>
      <c r="U4309" s="9" t="s">
        <v>13284</v>
      </c>
      <c r="V4309" s="9" t="s">
        <v>13284</v>
      </c>
      <c r="W4309" s="12"/>
      <c r="X4309" s="9" t="str">
        <f t="array" ref="X4309">IFERROR(INDEX('Адреса общежитий (скрытый)'!$B$2:$B$9, MATCH(W4309, 'Адреса общежитий (скрытый)'!$A$2:$A$9, 0)), "")</f>
        <v/>
      </c>
      <c r="Y4309" s="18"/>
      <c r="Z4309" s="18"/>
      <c r="AA4309" s="18"/>
      <c r="AB4309" s="18"/>
      <c r="AC4309" s="18"/>
    </row>
    <row r="4310" spans="1:29" ht="32.25" hidden="1" customHeight="1">
      <c r="A4310" s="17"/>
      <c r="B4310" s="9" t="s">
        <v>13284</v>
      </c>
      <c r="C4310" s="9" t="s">
        <v>13284</v>
      </c>
      <c r="D4310" s="9" t="s">
        <v>13284</v>
      </c>
      <c r="E4310" s="9" t="s">
        <v>13284</v>
      </c>
      <c r="F4310" s="9" t="s">
        <v>13284</v>
      </c>
      <c r="G4310" s="9" t="s">
        <v>13284</v>
      </c>
      <c r="H4310" s="9" t="s">
        <v>13284</v>
      </c>
      <c r="I4310" s="9" t="s">
        <v>13284</v>
      </c>
      <c r="J4310" s="9" t="s">
        <v>13284</v>
      </c>
      <c r="K4310" s="9" t="s">
        <v>13284</v>
      </c>
      <c r="L4310" s="9" t="s">
        <v>13284</v>
      </c>
      <c r="M4310" s="9" t="s">
        <v>13284</v>
      </c>
      <c r="N4310" s="9" t="s">
        <v>13284</v>
      </c>
      <c r="O4310" s="9" t="s">
        <v>13284</v>
      </c>
      <c r="P4310" s="9" t="s">
        <v>13284</v>
      </c>
      <c r="Q4310" s="9" t="s">
        <v>13284</v>
      </c>
      <c r="R4310" s="9" t="s">
        <v>13284</v>
      </c>
      <c r="S4310" s="9" t="s">
        <v>13284</v>
      </c>
      <c r="T4310" s="9" t="str">
        <f ca="1">IFERROR(IF(AND(VLOOKUP(A4310, 'Актуальное состояние (из общего'!A:C,3,0) = "", A4310 &lt;&gt; ""), "ПРОВЕРИТЬ", VLOOKUP(A4310, 'Актуальное состояние (из общего'!A:C,3,0)), "")</f>
        <v/>
      </c>
      <c r="U4310" s="9" t="s">
        <v>13284</v>
      </c>
      <c r="V4310" s="9" t="s">
        <v>13284</v>
      </c>
      <c r="W4310" s="12"/>
      <c r="X4310" s="9" t="str">
        <f t="array" ref="X4310">IFERROR(INDEX('Адреса общежитий (скрытый)'!$B$2:$B$9, MATCH(W4310, 'Адреса общежитий (скрытый)'!$A$2:$A$9, 0)), "")</f>
        <v/>
      </c>
      <c r="Y4310" s="18"/>
      <c r="Z4310" s="18"/>
      <c r="AA4310" s="18"/>
      <c r="AB4310" s="18"/>
      <c r="AC4310" s="18"/>
    </row>
    <row r="4311" spans="1:29" ht="32.25" hidden="1" customHeight="1">
      <c r="A4311" s="17"/>
      <c r="B4311" s="9" t="s">
        <v>13284</v>
      </c>
      <c r="C4311" s="9" t="s">
        <v>13284</v>
      </c>
      <c r="D4311" s="9" t="s">
        <v>13284</v>
      </c>
      <c r="E4311" s="9" t="s">
        <v>13284</v>
      </c>
      <c r="F4311" s="9" t="s">
        <v>13284</v>
      </c>
      <c r="G4311" s="9" t="s">
        <v>13284</v>
      </c>
      <c r="H4311" s="9" t="s">
        <v>13284</v>
      </c>
      <c r="I4311" s="9" t="s">
        <v>13284</v>
      </c>
      <c r="J4311" s="9" t="s">
        <v>13284</v>
      </c>
      <c r="K4311" s="9" t="s">
        <v>13284</v>
      </c>
      <c r="L4311" s="9" t="s">
        <v>13284</v>
      </c>
      <c r="M4311" s="9" t="s">
        <v>13284</v>
      </c>
      <c r="N4311" s="9" t="s">
        <v>13284</v>
      </c>
      <c r="O4311" s="9" t="s">
        <v>13284</v>
      </c>
      <c r="P4311" s="9" t="s">
        <v>13284</v>
      </c>
      <c r="Q4311" s="9" t="s">
        <v>13284</v>
      </c>
      <c r="R4311" s="9" t="s">
        <v>13284</v>
      </c>
      <c r="S4311" s="9" t="s">
        <v>13284</v>
      </c>
      <c r="T4311" s="9" t="str">
        <f ca="1">IFERROR(IF(AND(VLOOKUP(A4311, 'Актуальное состояние (из общего'!A:C,3,0) = "", A4311 &lt;&gt; ""), "ПРОВЕРИТЬ", VLOOKUP(A4311, 'Актуальное состояние (из общего'!A:C,3,0)), "")</f>
        <v/>
      </c>
      <c r="U4311" s="9" t="s">
        <v>13284</v>
      </c>
      <c r="V4311" s="9" t="s">
        <v>13284</v>
      </c>
      <c r="W4311" s="12"/>
      <c r="X4311" s="9" t="str">
        <f t="array" ref="X4311">IFERROR(INDEX('Адреса общежитий (скрытый)'!$B$2:$B$9, MATCH(W4311, 'Адреса общежитий (скрытый)'!$A$2:$A$9, 0)), "")</f>
        <v/>
      </c>
      <c r="Y4311" s="18"/>
      <c r="Z4311" s="18"/>
      <c r="AA4311" s="18"/>
      <c r="AB4311" s="18"/>
      <c r="AC4311" s="18"/>
    </row>
    <row r="4312" spans="1:29" ht="32.25" hidden="1" customHeight="1">
      <c r="A4312" s="17"/>
      <c r="B4312" s="9" t="s">
        <v>13284</v>
      </c>
      <c r="C4312" s="9" t="s">
        <v>13284</v>
      </c>
      <c r="D4312" s="9" t="s">
        <v>13284</v>
      </c>
      <c r="E4312" s="9" t="s">
        <v>13284</v>
      </c>
      <c r="F4312" s="9" t="s">
        <v>13284</v>
      </c>
      <c r="G4312" s="9" t="s">
        <v>13284</v>
      </c>
      <c r="H4312" s="9" t="s">
        <v>13284</v>
      </c>
      <c r="I4312" s="9" t="s">
        <v>13284</v>
      </c>
      <c r="J4312" s="9" t="s">
        <v>13284</v>
      </c>
      <c r="K4312" s="9" t="s">
        <v>13284</v>
      </c>
      <c r="L4312" s="9" t="s">
        <v>13284</v>
      </c>
      <c r="M4312" s="9" t="s">
        <v>13284</v>
      </c>
      <c r="N4312" s="9" t="s">
        <v>13284</v>
      </c>
      <c r="O4312" s="9" t="s">
        <v>13284</v>
      </c>
      <c r="P4312" s="9" t="s">
        <v>13284</v>
      </c>
      <c r="Q4312" s="9" t="s">
        <v>13284</v>
      </c>
      <c r="R4312" s="9" t="s">
        <v>13284</v>
      </c>
      <c r="S4312" s="9" t="s">
        <v>13284</v>
      </c>
      <c r="T4312" s="9" t="str">
        <f ca="1">IFERROR(IF(AND(VLOOKUP(A4312, 'Актуальное состояние (из общего'!A:C,3,0) = "", A4312 &lt;&gt; ""), "ПРОВЕРИТЬ", VLOOKUP(A4312, 'Актуальное состояние (из общего'!A:C,3,0)), "")</f>
        <v/>
      </c>
      <c r="U4312" s="9" t="s">
        <v>13284</v>
      </c>
      <c r="V4312" s="9" t="s">
        <v>13284</v>
      </c>
      <c r="W4312" s="12"/>
      <c r="X4312" s="9" t="str">
        <f t="array" ref="X4312">IFERROR(INDEX('Адреса общежитий (скрытый)'!$B$2:$B$9, MATCH(W4312, 'Адреса общежитий (скрытый)'!$A$2:$A$9, 0)), "")</f>
        <v/>
      </c>
      <c r="Y4312" s="18"/>
      <c r="Z4312" s="18"/>
      <c r="AA4312" s="18"/>
      <c r="AB4312" s="18"/>
      <c r="AC4312" s="18"/>
    </row>
    <row r="4313" spans="1:29" ht="32.25" hidden="1" customHeight="1">
      <c r="A4313" s="17"/>
      <c r="B4313" s="9" t="s">
        <v>13284</v>
      </c>
      <c r="C4313" s="9" t="s">
        <v>13284</v>
      </c>
      <c r="D4313" s="9" t="s">
        <v>13284</v>
      </c>
      <c r="E4313" s="9" t="s">
        <v>13284</v>
      </c>
      <c r="F4313" s="9" t="s">
        <v>13284</v>
      </c>
      <c r="G4313" s="9" t="s">
        <v>13284</v>
      </c>
      <c r="H4313" s="9" t="s">
        <v>13284</v>
      </c>
      <c r="I4313" s="9" t="s">
        <v>13284</v>
      </c>
      <c r="J4313" s="9" t="s">
        <v>13284</v>
      </c>
      <c r="K4313" s="9" t="s">
        <v>13284</v>
      </c>
      <c r="L4313" s="9" t="s">
        <v>13284</v>
      </c>
      <c r="M4313" s="9" t="s">
        <v>13284</v>
      </c>
      <c r="N4313" s="9" t="s">
        <v>13284</v>
      </c>
      <c r="O4313" s="9" t="s">
        <v>13284</v>
      </c>
      <c r="P4313" s="9" t="s">
        <v>13284</v>
      </c>
      <c r="Q4313" s="9" t="s">
        <v>13284</v>
      </c>
      <c r="R4313" s="9" t="s">
        <v>13284</v>
      </c>
      <c r="S4313" s="9" t="s">
        <v>13284</v>
      </c>
      <c r="T4313" s="9" t="str">
        <f ca="1">IFERROR(IF(AND(VLOOKUP(A4313, 'Актуальное состояние (из общего'!A:C,3,0) = "", A4313 &lt;&gt; ""), "ПРОВЕРИТЬ", VLOOKUP(A4313, 'Актуальное состояние (из общего'!A:C,3,0)), "")</f>
        <v/>
      </c>
      <c r="U4313" s="9" t="s">
        <v>13284</v>
      </c>
      <c r="V4313" s="9" t="s">
        <v>13284</v>
      </c>
      <c r="W4313" s="12"/>
      <c r="X4313" s="9" t="str">
        <f t="array" ref="X4313">IFERROR(INDEX('Адреса общежитий (скрытый)'!$B$2:$B$9, MATCH(W4313, 'Адреса общежитий (скрытый)'!$A$2:$A$9, 0)), "")</f>
        <v/>
      </c>
      <c r="Y4313" s="18"/>
      <c r="Z4313" s="18"/>
      <c r="AA4313" s="18"/>
      <c r="AB4313" s="18"/>
      <c r="AC4313" s="18"/>
    </row>
    <row r="4314" spans="1:29" ht="32.25" hidden="1" customHeight="1">
      <c r="A4314" s="17"/>
      <c r="B4314" s="9" t="s">
        <v>13284</v>
      </c>
      <c r="C4314" s="9" t="s">
        <v>13284</v>
      </c>
      <c r="D4314" s="9" t="s">
        <v>13284</v>
      </c>
      <c r="E4314" s="9" t="s">
        <v>13284</v>
      </c>
      <c r="F4314" s="9" t="s">
        <v>13284</v>
      </c>
      <c r="G4314" s="9" t="s">
        <v>13284</v>
      </c>
      <c r="H4314" s="9" t="s">
        <v>13284</v>
      </c>
      <c r="I4314" s="9" t="s">
        <v>13284</v>
      </c>
      <c r="J4314" s="9" t="s">
        <v>13284</v>
      </c>
      <c r="K4314" s="9" t="s">
        <v>13284</v>
      </c>
      <c r="L4314" s="9" t="s">
        <v>13284</v>
      </c>
      <c r="M4314" s="9" t="s">
        <v>13284</v>
      </c>
      <c r="N4314" s="9" t="s">
        <v>13284</v>
      </c>
      <c r="O4314" s="9" t="s">
        <v>13284</v>
      </c>
      <c r="P4314" s="9" t="s">
        <v>13284</v>
      </c>
      <c r="Q4314" s="9" t="s">
        <v>13284</v>
      </c>
      <c r="R4314" s="9" t="s">
        <v>13284</v>
      </c>
      <c r="S4314" s="9" t="s">
        <v>13284</v>
      </c>
      <c r="T4314" s="9" t="str">
        <f ca="1">IFERROR(IF(AND(VLOOKUP(A4314, 'Актуальное состояние (из общего'!A:C,3,0) = "", A4314 &lt;&gt; ""), "ПРОВЕРИТЬ", VLOOKUP(A4314, 'Актуальное состояние (из общего'!A:C,3,0)), "")</f>
        <v/>
      </c>
      <c r="U4314" s="9" t="s">
        <v>13284</v>
      </c>
      <c r="V4314" s="9" t="s">
        <v>13284</v>
      </c>
      <c r="W4314" s="12"/>
      <c r="X4314" s="9" t="str">
        <f t="array" ref="X4314">IFERROR(INDEX('Адреса общежитий (скрытый)'!$B$2:$B$9, MATCH(W4314, 'Адреса общежитий (скрытый)'!$A$2:$A$9, 0)), "")</f>
        <v/>
      </c>
      <c r="Y4314" s="18"/>
      <c r="Z4314" s="18"/>
      <c r="AA4314" s="18"/>
      <c r="AB4314" s="18"/>
      <c r="AC4314" s="18"/>
    </row>
    <row r="4315" spans="1:29" ht="32.25" hidden="1" customHeight="1">
      <c r="A4315" s="17"/>
      <c r="B4315" s="9" t="s">
        <v>13284</v>
      </c>
      <c r="C4315" s="9" t="s">
        <v>13284</v>
      </c>
      <c r="D4315" s="9" t="s">
        <v>13284</v>
      </c>
      <c r="E4315" s="9" t="s">
        <v>13284</v>
      </c>
      <c r="F4315" s="9" t="s">
        <v>13284</v>
      </c>
      <c r="G4315" s="9" t="s">
        <v>13284</v>
      </c>
      <c r="H4315" s="9" t="s">
        <v>13284</v>
      </c>
      <c r="I4315" s="9" t="s">
        <v>13284</v>
      </c>
      <c r="J4315" s="9" t="s">
        <v>13284</v>
      </c>
      <c r="K4315" s="9" t="s">
        <v>13284</v>
      </c>
      <c r="L4315" s="9" t="s">
        <v>13284</v>
      </c>
      <c r="M4315" s="9" t="s">
        <v>13284</v>
      </c>
      <c r="N4315" s="9" t="s">
        <v>13284</v>
      </c>
      <c r="O4315" s="9" t="s">
        <v>13284</v>
      </c>
      <c r="P4315" s="9" t="s">
        <v>13284</v>
      </c>
      <c r="Q4315" s="9" t="s">
        <v>13284</v>
      </c>
      <c r="R4315" s="9" t="s">
        <v>13284</v>
      </c>
      <c r="S4315" s="9" t="s">
        <v>13284</v>
      </c>
      <c r="T4315" s="9" t="str">
        <f ca="1">IFERROR(IF(AND(VLOOKUP(A4315, 'Актуальное состояние (из общего'!A:C,3,0) = "", A4315 &lt;&gt; ""), "ПРОВЕРИТЬ", VLOOKUP(A4315, 'Актуальное состояние (из общего'!A:C,3,0)), "")</f>
        <v/>
      </c>
      <c r="U4315" s="9" t="s">
        <v>13284</v>
      </c>
      <c r="V4315" s="9" t="s">
        <v>13284</v>
      </c>
      <c r="W4315" s="12"/>
      <c r="X4315" s="9" t="str">
        <f t="array" ref="X4315">IFERROR(INDEX('Адреса общежитий (скрытый)'!$B$2:$B$9, MATCH(W4315, 'Адреса общежитий (скрытый)'!$A$2:$A$9, 0)), "")</f>
        <v/>
      </c>
      <c r="Y4315" s="18"/>
      <c r="Z4315" s="18"/>
      <c r="AA4315" s="18"/>
      <c r="AB4315" s="18"/>
      <c r="AC4315" s="18"/>
    </row>
    <row r="4316" spans="1:29" ht="32.25" hidden="1" customHeight="1">
      <c r="A4316" s="17"/>
      <c r="B4316" s="9" t="s">
        <v>13284</v>
      </c>
      <c r="C4316" s="9" t="s">
        <v>13284</v>
      </c>
      <c r="D4316" s="9" t="s">
        <v>13284</v>
      </c>
      <c r="E4316" s="9" t="s">
        <v>13284</v>
      </c>
      <c r="F4316" s="9" t="s">
        <v>13284</v>
      </c>
      <c r="G4316" s="9" t="s">
        <v>13284</v>
      </c>
      <c r="H4316" s="9" t="s">
        <v>13284</v>
      </c>
      <c r="I4316" s="9" t="s">
        <v>13284</v>
      </c>
      <c r="J4316" s="9" t="s">
        <v>13284</v>
      </c>
      <c r="K4316" s="9" t="s">
        <v>13284</v>
      </c>
      <c r="L4316" s="9" t="s">
        <v>13284</v>
      </c>
      <c r="M4316" s="9" t="s">
        <v>13284</v>
      </c>
      <c r="N4316" s="9" t="s">
        <v>13284</v>
      </c>
      <c r="O4316" s="9" t="s">
        <v>13284</v>
      </c>
      <c r="P4316" s="9" t="s">
        <v>13284</v>
      </c>
      <c r="Q4316" s="9" t="s">
        <v>13284</v>
      </c>
      <c r="R4316" s="9" t="s">
        <v>13284</v>
      </c>
      <c r="S4316" s="9" t="s">
        <v>13284</v>
      </c>
      <c r="T4316" s="9" t="str">
        <f ca="1">IFERROR(IF(AND(VLOOKUP(A4316, 'Актуальное состояние (из общего'!A:C,3,0) = "", A4316 &lt;&gt; ""), "ПРОВЕРИТЬ", VLOOKUP(A4316, 'Актуальное состояние (из общего'!A:C,3,0)), "")</f>
        <v/>
      </c>
      <c r="U4316" s="9" t="s">
        <v>13284</v>
      </c>
      <c r="V4316" s="9" t="s">
        <v>13284</v>
      </c>
      <c r="W4316" s="12"/>
      <c r="X4316" s="9" t="str">
        <f t="array" ref="X4316">IFERROR(INDEX('Адреса общежитий (скрытый)'!$B$2:$B$9, MATCH(W4316, 'Адреса общежитий (скрытый)'!$A$2:$A$9, 0)), "")</f>
        <v/>
      </c>
      <c r="Y4316" s="18"/>
      <c r="Z4316" s="18"/>
      <c r="AA4316" s="18"/>
      <c r="AB4316" s="18"/>
      <c r="AC4316" s="18"/>
    </row>
    <row r="4317" spans="1:29" ht="32.25" hidden="1" customHeight="1">
      <c r="A4317" s="17"/>
      <c r="B4317" s="9" t="s">
        <v>13284</v>
      </c>
      <c r="C4317" s="9" t="s">
        <v>13284</v>
      </c>
      <c r="D4317" s="9" t="s">
        <v>13284</v>
      </c>
      <c r="E4317" s="9" t="s">
        <v>13284</v>
      </c>
      <c r="F4317" s="9" t="s">
        <v>13284</v>
      </c>
      <c r="G4317" s="9" t="s">
        <v>13284</v>
      </c>
      <c r="H4317" s="9" t="s">
        <v>13284</v>
      </c>
      <c r="I4317" s="9" t="s">
        <v>13284</v>
      </c>
      <c r="J4317" s="9" t="s">
        <v>13284</v>
      </c>
      <c r="K4317" s="9" t="s">
        <v>13284</v>
      </c>
      <c r="L4317" s="9" t="s">
        <v>13284</v>
      </c>
      <c r="M4317" s="9" t="s">
        <v>13284</v>
      </c>
      <c r="N4317" s="9" t="s">
        <v>13284</v>
      </c>
      <c r="O4317" s="9" t="s">
        <v>13284</v>
      </c>
      <c r="P4317" s="9" t="s">
        <v>13284</v>
      </c>
      <c r="Q4317" s="9" t="s">
        <v>13284</v>
      </c>
      <c r="R4317" s="9" t="s">
        <v>13284</v>
      </c>
      <c r="S4317" s="9" t="s">
        <v>13284</v>
      </c>
      <c r="T4317" s="9" t="str">
        <f ca="1">IFERROR(IF(AND(VLOOKUP(A4317, 'Актуальное состояние (из общего'!A:C,3,0) = "", A4317 &lt;&gt; ""), "ПРОВЕРИТЬ", VLOOKUP(A4317, 'Актуальное состояние (из общего'!A:C,3,0)), "")</f>
        <v/>
      </c>
      <c r="U4317" s="9" t="s">
        <v>13284</v>
      </c>
      <c r="V4317" s="9" t="s">
        <v>13284</v>
      </c>
      <c r="W4317" s="12"/>
      <c r="X4317" s="9" t="str">
        <f t="array" ref="X4317">IFERROR(INDEX('Адреса общежитий (скрытый)'!$B$2:$B$9, MATCH(W4317, 'Адреса общежитий (скрытый)'!$A$2:$A$9, 0)), "")</f>
        <v/>
      </c>
      <c r="Y4317" s="18"/>
      <c r="Z4317" s="18"/>
      <c r="AA4317" s="18"/>
      <c r="AB4317" s="18"/>
      <c r="AC4317" s="18"/>
    </row>
    <row r="4318" spans="1:29" ht="32.25" hidden="1" customHeight="1">
      <c r="A4318" s="17"/>
      <c r="B4318" s="9" t="s">
        <v>13284</v>
      </c>
      <c r="C4318" s="9" t="s">
        <v>13284</v>
      </c>
      <c r="D4318" s="9" t="s">
        <v>13284</v>
      </c>
      <c r="E4318" s="9" t="s">
        <v>13284</v>
      </c>
      <c r="F4318" s="9" t="s">
        <v>13284</v>
      </c>
      <c r="G4318" s="9" t="s">
        <v>13284</v>
      </c>
      <c r="H4318" s="9" t="s">
        <v>13284</v>
      </c>
      <c r="I4318" s="9" t="s">
        <v>13284</v>
      </c>
      <c r="J4318" s="9" t="s">
        <v>13284</v>
      </c>
      <c r="K4318" s="9" t="s">
        <v>13284</v>
      </c>
      <c r="L4318" s="9" t="s">
        <v>13284</v>
      </c>
      <c r="M4318" s="9" t="s">
        <v>13284</v>
      </c>
      <c r="N4318" s="9" t="s">
        <v>13284</v>
      </c>
      <c r="O4318" s="9" t="s">
        <v>13284</v>
      </c>
      <c r="P4318" s="9" t="s">
        <v>13284</v>
      </c>
      <c r="Q4318" s="9" t="s">
        <v>13284</v>
      </c>
      <c r="R4318" s="9" t="s">
        <v>13284</v>
      </c>
      <c r="S4318" s="9" t="s">
        <v>13284</v>
      </c>
      <c r="T4318" s="9" t="str">
        <f ca="1">IFERROR(IF(AND(VLOOKUP(A4318, 'Актуальное состояние (из общего'!A:C,3,0) = "", A4318 &lt;&gt; ""), "ПРОВЕРИТЬ", VLOOKUP(A4318, 'Актуальное состояние (из общего'!A:C,3,0)), "")</f>
        <v/>
      </c>
      <c r="U4318" s="9" t="s">
        <v>13284</v>
      </c>
      <c r="V4318" s="9" t="s">
        <v>13284</v>
      </c>
      <c r="W4318" s="12"/>
      <c r="X4318" s="9" t="str">
        <f t="array" ref="X4318">IFERROR(INDEX('Адреса общежитий (скрытый)'!$B$2:$B$9, MATCH(W4318, 'Адреса общежитий (скрытый)'!$A$2:$A$9, 0)), "")</f>
        <v/>
      </c>
      <c r="Y4318" s="18"/>
      <c r="Z4318" s="18"/>
      <c r="AA4318" s="18"/>
      <c r="AB4318" s="18"/>
      <c r="AC4318" s="18"/>
    </row>
    <row r="4319" spans="1:29" ht="32.25" hidden="1" customHeight="1">
      <c r="A4319" s="17"/>
      <c r="B4319" s="9" t="s">
        <v>13284</v>
      </c>
      <c r="C4319" s="9" t="s">
        <v>13284</v>
      </c>
      <c r="D4319" s="9" t="s">
        <v>13284</v>
      </c>
      <c r="E4319" s="9" t="s">
        <v>13284</v>
      </c>
      <c r="F4319" s="9" t="s">
        <v>13284</v>
      </c>
      <c r="G4319" s="9" t="s">
        <v>13284</v>
      </c>
      <c r="H4319" s="9" t="s">
        <v>13284</v>
      </c>
      <c r="I4319" s="9" t="s">
        <v>13284</v>
      </c>
      <c r="J4319" s="9" t="s">
        <v>13284</v>
      </c>
      <c r="K4319" s="9" t="s">
        <v>13284</v>
      </c>
      <c r="L4319" s="9" t="s">
        <v>13284</v>
      </c>
      <c r="M4319" s="9" t="s">
        <v>13284</v>
      </c>
      <c r="N4319" s="9" t="s">
        <v>13284</v>
      </c>
      <c r="O4319" s="9" t="s">
        <v>13284</v>
      </c>
      <c r="P4319" s="9" t="s">
        <v>13284</v>
      </c>
      <c r="Q4319" s="9" t="s">
        <v>13284</v>
      </c>
      <c r="R4319" s="9" t="s">
        <v>13284</v>
      </c>
      <c r="S4319" s="9" t="s">
        <v>13284</v>
      </c>
      <c r="T4319" s="9" t="str">
        <f ca="1">IFERROR(IF(AND(VLOOKUP(A4319, 'Актуальное состояние (из общего'!A:C,3,0) = "", A4319 &lt;&gt; ""), "ПРОВЕРИТЬ", VLOOKUP(A4319, 'Актуальное состояние (из общего'!A:C,3,0)), "")</f>
        <v/>
      </c>
      <c r="U4319" s="9" t="s">
        <v>13284</v>
      </c>
      <c r="V4319" s="9" t="s">
        <v>13284</v>
      </c>
      <c r="W4319" s="12"/>
      <c r="X4319" s="9" t="str">
        <f t="array" ref="X4319">IFERROR(INDEX('Адреса общежитий (скрытый)'!$B$2:$B$9, MATCH(W4319, 'Адреса общежитий (скрытый)'!$A$2:$A$9, 0)), "")</f>
        <v/>
      </c>
      <c r="Y4319" s="18"/>
      <c r="Z4319" s="18"/>
      <c r="AA4319" s="18"/>
      <c r="AB4319" s="18"/>
      <c r="AC4319" s="18"/>
    </row>
    <row r="4320" spans="1:29" ht="32.25" hidden="1" customHeight="1">
      <c r="A4320" s="17"/>
      <c r="B4320" s="9" t="s">
        <v>13284</v>
      </c>
      <c r="C4320" s="9" t="s">
        <v>13284</v>
      </c>
      <c r="D4320" s="9" t="s">
        <v>13284</v>
      </c>
      <c r="E4320" s="9" t="s">
        <v>13284</v>
      </c>
      <c r="F4320" s="9" t="s">
        <v>13284</v>
      </c>
      <c r="G4320" s="9" t="s">
        <v>13284</v>
      </c>
      <c r="H4320" s="9" t="s">
        <v>13284</v>
      </c>
      <c r="I4320" s="9" t="s">
        <v>13284</v>
      </c>
      <c r="J4320" s="9" t="s">
        <v>13284</v>
      </c>
      <c r="K4320" s="9" t="s">
        <v>13284</v>
      </c>
      <c r="L4320" s="9" t="s">
        <v>13284</v>
      </c>
      <c r="M4320" s="9" t="s">
        <v>13284</v>
      </c>
      <c r="N4320" s="9" t="s">
        <v>13284</v>
      </c>
      <c r="O4320" s="9" t="s">
        <v>13284</v>
      </c>
      <c r="P4320" s="9" t="s">
        <v>13284</v>
      </c>
      <c r="Q4320" s="9" t="s">
        <v>13284</v>
      </c>
      <c r="R4320" s="9" t="s">
        <v>13284</v>
      </c>
      <c r="S4320" s="9" t="s">
        <v>13284</v>
      </c>
      <c r="T4320" s="9" t="str">
        <f ca="1">IFERROR(IF(AND(VLOOKUP(A4320, 'Актуальное состояние (из общего'!A:C,3,0) = "", A4320 &lt;&gt; ""), "ПРОВЕРИТЬ", VLOOKUP(A4320, 'Актуальное состояние (из общего'!A:C,3,0)), "")</f>
        <v/>
      </c>
      <c r="U4320" s="9" t="s">
        <v>13284</v>
      </c>
      <c r="V4320" s="9" t="s">
        <v>13284</v>
      </c>
      <c r="W4320" s="12"/>
      <c r="X4320" s="9" t="str">
        <f t="array" ref="X4320">IFERROR(INDEX('Адреса общежитий (скрытый)'!$B$2:$B$9, MATCH(W4320, 'Адреса общежитий (скрытый)'!$A$2:$A$9, 0)), "")</f>
        <v/>
      </c>
      <c r="Y4320" s="18"/>
      <c r="Z4320" s="18"/>
      <c r="AA4320" s="18"/>
      <c r="AB4320" s="18"/>
      <c r="AC4320" s="18"/>
    </row>
    <row r="4321" spans="1:29" ht="32.25" hidden="1" customHeight="1">
      <c r="A4321" s="17"/>
      <c r="B4321" s="9" t="s">
        <v>13284</v>
      </c>
      <c r="C4321" s="9" t="s">
        <v>13284</v>
      </c>
      <c r="D4321" s="9" t="s">
        <v>13284</v>
      </c>
      <c r="E4321" s="9" t="s">
        <v>13284</v>
      </c>
      <c r="F4321" s="9" t="s">
        <v>13284</v>
      </c>
      <c r="G4321" s="9" t="s">
        <v>13284</v>
      </c>
      <c r="H4321" s="9" t="s">
        <v>13284</v>
      </c>
      <c r="I4321" s="9" t="s">
        <v>13284</v>
      </c>
      <c r="J4321" s="9" t="s">
        <v>13284</v>
      </c>
      <c r="K4321" s="9" t="s">
        <v>13284</v>
      </c>
      <c r="L4321" s="9" t="s">
        <v>13284</v>
      </c>
      <c r="M4321" s="9" t="s">
        <v>13284</v>
      </c>
      <c r="N4321" s="9" t="s">
        <v>13284</v>
      </c>
      <c r="O4321" s="9" t="s">
        <v>13284</v>
      </c>
      <c r="P4321" s="9" t="s">
        <v>13284</v>
      </c>
      <c r="Q4321" s="9" t="s">
        <v>13284</v>
      </c>
      <c r="R4321" s="9" t="s">
        <v>13284</v>
      </c>
      <c r="S4321" s="9" t="s">
        <v>13284</v>
      </c>
      <c r="T4321" s="9" t="str">
        <f ca="1">IFERROR(IF(AND(VLOOKUP(A4321, 'Актуальное состояние (из общего'!A:C,3,0) = "", A4321 &lt;&gt; ""), "ПРОВЕРИТЬ", VLOOKUP(A4321, 'Актуальное состояние (из общего'!A:C,3,0)), "")</f>
        <v/>
      </c>
      <c r="U4321" s="9" t="s">
        <v>13284</v>
      </c>
      <c r="V4321" s="9" t="s">
        <v>13284</v>
      </c>
      <c r="W4321" s="12"/>
      <c r="X4321" s="9" t="str">
        <f t="array" ref="X4321">IFERROR(INDEX('Адреса общежитий (скрытый)'!$B$2:$B$9, MATCH(W4321, 'Адреса общежитий (скрытый)'!$A$2:$A$9, 0)), "")</f>
        <v/>
      </c>
      <c r="Y4321" s="18"/>
      <c r="Z4321" s="18"/>
      <c r="AA4321" s="18"/>
      <c r="AB4321" s="18"/>
      <c r="AC4321" s="18"/>
    </row>
    <row r="4322" spans="1:29" ht="32.25" hidden="1" customHeight="1">
      <c r="A4322" s="17"/>
      <c r="B4322" s="9" t="s">
        <v>13284</v>
      </c>
      <c r="C4322" s="9" t="s">
        <v>13284</v>
      </c>
      <c r="D4322" s="9" t="s">
        <v>13284</v>
      </c>
      <c r="E4322" s="9" t="s">
        <v>13284</v>
      </c>
      <c r="F4322" s="9" t="s">
        <v>13284</v>
      </c>
      <c r="G4322" s="9" t="s">
        <v>13284</v>
      </c>
      <c r="H4322" s="9" t="s">
        <v>13284</v>
      </c>
      <c r="I4322" s="9" t="s">
        <v>13284</v>
      </c>
      <c r="J4322" s="9" t="s">
        <v>13284</v>
      </c>
      <c r="K4322" s="9" t="s">
        <v>13284</v>
      </c>
      <c r="L4322" s="9" t="s">
        <v>13284</v>
      </c>
      <c r="M4322" s="9" t="s">
        <v>13284</v>
      </c>
      <c r="N4322" s="9" t="s">
        <v>13284</v>
      </c>
      <c r="O4322" s="9" t="s">
        <v>13284</v>
      </c>
      <c r="P4322" s="9" t="s">
        <v>13284</v>
      </c>
      <c r="Q4322" s="9" t="s">
        <v>13284</v>
      </c>
      <c r="R4322" s="9" t="s">
        <v>13284</v>
      </c>
      <c r="S4322" s="9" t="s">
        <v>13284</v>
      </c>
      <c r="T4322" s="9" t="str">
        <f ca="1">IFERROR(IF(AND(VLOOKUP(A4322, 'Актуальное состояние (из общего'!A:C,3,0) = "", A4322 &lt;&gt; ""), "ПРОВЕРИТЬ", VLOOKUP(A4322, 'Актуальное состояние (из общего'!A:C,3,0)), "")</f>
        <v/>
      </c>
      <c r="U4322" s="9" t="s">
        <v>13284</v>
      </c>
      <c r="V4322" s="9" t="s">
        <v>13284</v>
      </c>
      <c r="W4322" s="12"/>
      <c r="X4322" s="9" t="str">
        <f t="array" ref="X4322">IFERROR(INDEX('Адреса общежитий (скрытый)'!$B$2:$B$9, MATCH(W4322, 'Адреса общежитий (скрытый)'!$A$2:$A$9, 0)), "")</f>
        <v/>
      </c>
      <c r="Y4322" s="18"/>
      <c r="Z4322" s="18"/>
      <c r="AA4322" s="18"/>
      <c r="AB4322" s="18"/>
      <c r="AC4322" s="18"/>
    </row>
    <row r="4323" spans="1:29" ht="32.25" hidden="1" customHeight="1">
      <c r="A4323" s="17"/>
      <c r="B4323" s="9" t="s">
        <v>13284</v>
      </c>
      <c r="C4323" s="9" t="s">
        <v>13284</v>
      </c>
      <c r="D4323" s="9" t="s">
        <v>13284</v>
      </c>
      <c r="E4323" s="9" t="s">
        <v>13284</v>
      </c>
      <c r="F4323" s="9" t="s">
        <v>13284</v>
      </c>
      <c r="G4323" s="9" t="s">
        <v>13284</v>
      </c>
      <c r="H4323" s="9" t="s">
        <v>13284</v>
      </c>
      <c r="I4323" s="9" t="s">
        <v>13284</v>
      </c>
      <c r="J4323" s="9" t="s">
        <v>13284</v>
      </c>
      <c r="K4323" s="9" t="s">
        <v>13284</v>
      </c>
      <c r="L4323" s="9" t="s">
        <v>13284</v>
      </c>
      <c r="M4323" s="9" t="s">
        <v>13284</v>
      </c>
      <c r="N4323" s="9" t="s">
        <v>13284</v>
      </c>
      <c r="O4323" s="9" t="s">
        <v>13284</v>
      </c>
      <c r="P4323" s="9" t="s">
        <v>13284</v>
      </c>
      <c r="Q4323" s="9" t="s">
        <v>13284</v>
      </c>
      <c r="R4323" s="9" t="s">
        <v>13284</v>
      </c>
      <c r="S4323" s="9" t="s">
        <v>13284</v>
      </c>
      <c r="T4323" s="9" t="str">
        <f ca="1">IFERROR(IF(AND(VLOOKUP(A4323, 'Актуальное состояние (из общего'!A:C,3,0) = "", A4323 &lt;&gt; ""), "ПРОВЕРИТЬ", VLOOKUP(A4323, 'Актуальное состояние (из общего'!A:C,3,0)), "")</f>
        <v/>
      </c>
      <c r="U4323" s="9" t="s">
        <v>13284</v>
      </c>
      <c r="V4323" s="9" t="s">
        <v>13284</v>
      </c>
      <c r="W4323" s="12"/>
      <c r="X4323" s="9" t="str">
        <f t="array" ref="X4323">IFERROR(INDEX('Адреса общежитий (скрытый)'!$B$2:$B$9, MATCH(W4323, 'Адреса общежитий (скрытый)'!$A$2:$A$9, 0)), "")</f>
        <v/>
      </c>
      <c r="Y4323" s="18"/>
      <c r="Z4323" s="18"/>
      <c r="AA4323" s="18"/>
      <c r="AB4323" s="18"/>
      <c r="AC4323" s="18"/>
    </row>
    <row r="4324" spans="1:29" ht="32.25" hidden="1" customHeight="1">
      <c r="A4324" s="17"/>
      <c r="B4324" s="9" t="s">
        <v>13284</v>
      </c>
      <c r="C4324" s="9" t="s">
        <v>13284</v>
      </c>
      <c r="D4324" s="9" t="s">
        <v>13284</v>
      </c>
      <c r="E4324" s="9" t="s">
        <v>13284</v>
      </c>
      <c r="F4324" s="9" t="s">
        <v>13284</v>
      </c>
      <c r="G4324" s="9" t="s">
        <v>13284</v>
      </c>
      <c r="H4324" s="9" t="s">
        <v>13284</v>
      </c>
      <c r="I4324" s="9" t="s">
        <v>13284</v>
      </c>
      <c r="J4324" s="9" t="s">
        <v>13284</v>
      </c>
      <c r="K4324" s="9" t="s">
        <v>13284</v>
      </c>
      <c r="L4324" s="9" t="s">
        <v>13284</v>
      </c>
      <c r="M4324" s="9" t="s">
        <v>13284</v>
      </c>
      <c r="N4324" s="9" t="s">
        <v>13284</v>
      </c>
      <c r="O4324" s="9" t="s">
        <v>13284</v>
      </c>
      <c r="P4324" s="9" t="s">
        <v>13284</v>
      </c>
      <c r="Q4324" s="9" t="s">
        <v>13284</v>
      </c>
      <c r="R4324" s="9" t="s">
        <v>13284</v>
      </c>
      <c r="S4324" s="9" t="s">
        <v>13284</v>
      </c>
      <c r="T4324" s="9" t="str">
        <f ca="1">IFERROR(IF(AND(VLOOKUP(A4324, 'Актуальное состояние (из общего'!A:C,3,0) = "", A4324 &lt;&gt; ""), "ПРОВЕРИТЬ", VLOOKUP(A4324, 'Актуальное состояние (из общего'!A:C,3,0)), "")</f>
        <v/>
      </c>
      <c r="U4324" s="9" t="s">
        <v>13284</v>
      </c>
      <c r="V4324" s="9" t="s">
        <v>13284</v>
      </c>
      <c r="W4324" s="12"/>
      <c r="X4324" s="9" t="str">
        <f t="array" ref="X4324">IFERROR(INDEX('Адреса общежитий (скрытый)'!$B$2:$B$9, MATCH(W4324, 'Адреса общежитий (скрытый)'!$A$2:$A$9, 0)), "")</f>
        <v/>
      </c>
      <c r="Y4324" s="18"/>
      <c r="Z4324" s="18"/>
      <c r="AA4324" s="18"/>
      <c r="AB4324" s="18"/>
      <c r="AC4324" s="18"/>
    </row>
    <row r="4325" spans="1:29" ht="32.25" hidden="1" customHeight="1">
      <c r="A4325" s="17"/>
      <c r="B4325" s="9" t="s">
        <v>13284</v>
      </c>
      <c r="C4325" s="9" t="s">
        <v>13284</v>
      </c>
      <c r="D4325" s="9" t="s">
        <v>13284</v>
      </c>
      <c r="E4325" s="9" t="s">
        <v>13284</v>
      </c>
      <c r="F4325" s="9" t="s">
        <v>13284</v>
      </c>
      <c r="G4325" s="9" t="s">
        <v>13284</v>
      </c>
      <c r="H4325" s="9" t="s">
        <v>13284</v>
      </c>
      <c r="I4325" s="9" t="s">
        <v>13284</v>
      </c>
      <c r="J4325" s="9" t="s">
        <v>13284</v>
      </c>
      <c r="K4325" s="9" t="s">
        <v>13284</v>
      </c>
      <c r="L4325" s="9" t="s">
        <v>13284</v>
      </c>
      <c r="M4325" s="9" t="s">
        <v>13284</v>
      </c>
      <c r="N4325" s="9" t="s">
        <v>13284</v>
      </c>
      <c r="O4325" s="9" t="s">
        <v>13284</v>
      </c>
      <c r="P4325" s="9" t="s">
        <v>13284</v>
      </c>
      <c r="Q4325" s="9" t="s">
        <v>13284</v>
      </c>
      <c r="R4325" s="9" t="s">
        <v>13284</v>
      </c>
      <c r="S4325" s="9" t="s">
        <v>13284</v>
      </c>
      <c r="T4325" s="9" t="str">
        <f ca="1">IFERROR(IF(AND(VLOOKUP(A4325, 'Актуальное состояние (из общего'!A:C,3,0) = "", A4325 &lt;&gt; ""), "ПРОВЕРИТЬ", VLOOKUP(A4325, 'Актуальное состояние (из общего'!A:C,3,0)), "")</f>
        <v/>
      </c>
      <c r="U4325" s="9" t="s">
        <v>13284</v>
      </c>
      <c r="V4325" s="9" t="s">
        <v>13284</v>
      </c>
      <c r="W4325" s="12"/>
      <c r="X4325" s="9" t="str">
        <f t="array" ref="X4325">IFERROR(INDEX('Адреса общежитий (скрытый)'!$B$2:$B$9, MATCH(W4325, 'Адреса общежитий (скрытый)'!$A$2:$A$9, 0)), "")</f>
        <v/>
      </c>
      <c r="Y4325" s="18"/>
      <c r="Z4325" s="18"/>
      <c r="AA4325" s="18"/>
      <c r="AB4325" s="18"/>
      <c r="AC4325" s="18"/>
    </row>
    <row r="4326" spans="1:29" ht="32.25" hidden="1" customHeight="1">
      <c r="A4326" s="17"/>
      <c r="B4326" s="9" t="s">
        <v>13284</v>
      </c>
      <c r="C4326" s="9" t="s">
        <v>13284</v>
      </c>
      <c r="D4326" s="9" t="s">
        <v>13284</v>
      </c>
      <c r="E4326" s="9" t="s">
        <v>13284</v>
      </c>
      <c r="F4326" s="9" t="s">
        <v>13284</v>
      </c>
      <c r="G4326" s="9" t="s">
        <v>13284</v>
      </c>
      <c r="H4326" s="9" t="s">
        <v>13284</v>
      </c>
      <c r="I4326" s="9" t="s">
        <v>13284</v>
      </c>
      <c r="J4326" s="9" t="s">
        <v>13284</v>
      </c>
      <c r="K4326" s="9" t="s">
        <v>13284</v>
      </c>
      <c r="L4326" s="9" t="s">
        <v>13284</v>
      </c>
      <c r="M4326" s="9" t="s">
        <v>13284</v>
      </c>
      <c r="N4326" s="9" t="s">
        <v>13284</v>
      </c>
      <c r="O4326" s="9" t="s">
        <v>13284</v>
      </c>
      <c r="P4326" s="9" t="s">
        <v>13284</v>
      </c>
      <c r="Q4326" s="9" t="s">
        <v>13284</v>
      </c>
      <c r="R4326" s="9" t="s">
        <v>13284</v>
      </c>
      <c r="S4326" s="9" t="s">
        <v>13284</v>
      </c>
      <c r="T4326" s="9" t="str">
        <f ca="1">IFERROR(IF(AND(VLOOKUP(A4326, 'Актуальное состояние (из общего'!A:C,3,0) = "", A4326 &lt;&gt; ""), "ПРОВЕРИТЬ", VLOOKUP(A4326, 'Актуальное состояние (из общего'!A:C,3,0)), "")</f>
        <v/>
      </c>
      <c r="U4326" s="9" t="s">
        <v>13284</v>
      </c>
      <c r="V4326" s="9" t="s">
        <v>13284</v>
      </c>
      <c r="W4326" s="12"/>
      <c r="X4326" s="9" t="str">
        <f t="array" ref="X4326">IFERROR(INDEX('Адреса общежитий (скрытый)'!$B$2:$B$9, MATCH(W4326, 'Адреса общежитий (скрытый)'!$A$2:$A$9, 0)), "")</f>
        <v/>
      </c>
      <c r="Y4326" s="18"/>
      <c r="Z4326" s="18"/>
      <c r="AA4326" s="18"/>
      <c r="AB4326" s="18"/>
      <c r="AC4326" s="18"/>
    </row>
    <row r="4327" spans="1:29" ht="32.25" hidden="1" customHeight="1">
      <c r="A4327" s="17"/>
      <c r="B4327" s="9" t="s">
        <v>13284</v>
      </c>
      <c r="C4327" s="9" t="s">
        <v>13284</v>
      </c>
      <c r="D4327" s="9" t="s">
        <v>13284</v>
      </c>
      <c r="E4327" s="9" t="s">
        <v>13284</v>
      </c>
      <c r="F4327" s="9" t="s">
        <v>13284</v>
      </c>
      <c r="G4327" s="9" t="s">
        <v>13284</v>
      </c>
      <c r="H4327" s="9" t="s">
        <v>13284</v>
      </c>
      <c r="I4327" s="9" t="s">
        <v>13284</v>
      </c>
      <c r="J4327" s="9" t="s">
        <v>13284</v>
      </c>
      <c r="K4327" s="9" t="s">
        <v>13284</v>
      </c>
      <c r="L4327" s="9" t="s">
        <v>13284</v>
      </c>
      <c r="M4327" s="9" t="s">
        <v>13284</v>
      </c>
      <c r="N4327" s="9" t="s">
        <v>13284</v>
      </c>
      <c r="O4327" s="9" t="s">
        <v>13284</v>
      </c>
      <c r="P4327" s="9" t="s">
        <v>13284</v>
      </c>
      <c r="Q4327" s="9" t="s">
        <v>13284</v>
      </c>
      <c r="R4327" s="9" t="s">
        <v>13284</v>
      </c>
      <c r="S4327" s="9" t="s">
        <v>13284</v>
      </c>
      <c r="T4327" s="9" t="str">
        <f ca="1">IFERROR(IF(AND(VLOOKUP(A4327, 'Актуальное состояние (из общего'!A:C,3,0) = "", A4327 &lt;&gt; ""), "ПРОВЕРИТЬ", VLOOKUP(A4327, 'Актуальное состояние (из общего'!A:C,3,0)), "")</f>
        <v/>
      </c>
      <c r="U4327" s="9" t="s">
        <v>13284</v>
      </c>
      <c r="V4327" s="9" t="s">
        <v>13284</v>
      </c>
      <c r="W4327" s="12"/>
      <c r="X4327" s="9" t="str">
        <f t="array" ref="X4327">IFERROR(INDEX('Адреса общежитий (скрытый)'!$B$2:$B$9, MATCH(W4327, 'Адреса общежитий (скрытый)'!$A$2:$A$9, 0)), "")</f>
        <v/>
      </c>
      <c r="Y4327" s="18"/>
      <c r="Z4327" s="18"/>
      <c r="AA4327" s="18"/>
      <c r="AB4327" s="18"/>
      <c r="AC4327" s="18"/>
    </row>
    <row r="4328" spans="1:29" ht="32.25" hidden="1" customHeight="1">
      <c r="A4328" s="17"/>
      <c r="B4328" s="9" t="s">
        <v>13284</v>
      </c>
      <c r="C4328" s="9" t="s">
        <v>13284</v>
      </c>
      <c r="D4328" s="9" t="s">
        <v>13284</v>
      </c>
      <c r="E4328" s="9" t="s">
        <v>13284</v>
      </c>
      <c r="F4328" s="9" t="s">
        <v>13284</v>
      </c>
      <c r="G4328" s="9" t="s">
        <v>13284</v>
      </c>
      <c r="H4328" s="9" t="s">
        <v>13284</v>
      </c>
      <c r="I4328" s="9" t="s">
        <v>13284</v>
      </c>
      <c r="J4328" s="9" t="s">
        <v>13284</v>
      </c>
      <c r="K4328" s="9" t="s">
        <v>13284</v>
      </c>
      <c r="L4328" s="9" t="s">
        <v>13284</v>
      </c>
      <c r="M4328" s="9" t="s">
        <v>13284</v>
      </c>
      <c r="N4328" s="9" t="s">
        <v>13284</v>
      </c>
      <c r="O4328" s="9" t="s">
        <v>13284</v>
      </c>
      <c r="P4328" s="9" t="s">
        <v>13284</v>
      </c>
      <c r="Q4328" s="9" t="s">
        <v>13284</v>
      </c>
      <c r="R4328" s="9" t="s">
        <v>13284</v>
      </c>
      <c r="S4328" s="9" t="s">
        <v>13284</v>
      </c>
      <c r="T4328" s="9" t="str">
        <f ca="1">IFERROR(IF(AND(VLOOKUP(A4328, 'Актуальное состояние (из общего'!A:C,3,0) = "", A4328 &lt;&gt; ""), "ПРОВЕРИТЬ", VLOOKUP(A4328, 'Актуальное состояние (из общего'!A:C,3,0)), "")</f>
        <v/>
      </c>
      <c r="U4328" s="9" t="s">
        <v>13284</v>
      </c>
      <c r="V4328" s="9" t="s">
        <v>13284</v>
      </c>
      <c r="W4328" s="12"/>
      <c r="X4328" s="9" t="str">
        <f t="array" ref="X4328">IFERROR(INDEX('Адреса общежитий (скрытый)'!$B$2:$B$9, MATCH(W4328, 'Адреса общежитий (скрытый)'!$A$2:$A$9, 0)), "")</f>
        <v/>
      </c>
      <c r="Y4328" s="18"/>
      <c r="Z4328" s="18"/>
      <c r="AA4328" s="18"/>
      <c r="AB4328" s="18"/>
      <c r="AC4328" s="18"/>
    </row>
    <row r="4329" spans="1:29" ht="32.25" hidden="1" customHeight="1">
      <c r="A4329" s="17"/>
      <c r="B4329" s="9" t="s">
        <v>13284</v>
      </c>
      <c r="C4329" s="9" t="s">
        <v>13284</v>
      </c>
      <c r="D4329" s="9" t="s">
        <v>13284</v>
      </c>
      <c r="E4329" s="9" t="s">
        <v>13284</v>
      </c>
      <c r="F4329" s="9" t="s">
        <v>13284</v>
      </c>
      <c r="G4329" s="9" t="s">
        <v>13284</v>
      </c>
      <c r="H4329" s="9" t="s">
        <v>13284</v>
      </c>
      <c r="I4329" s="9" t="s">
        <v>13284</v>
      </c>
      <c r="J4329" s="9" t="s">
        <v>13284</v>
      </c>
      <c r="K4329" s="9" t="s">
        <v>13284</v>
      </c>
      <c r="L4329" s="9" t="s">
        <v>13284</v>
      </c>
      <c r="M4329" s="9" t="s">
        <v>13284</v>
      </c>
      <c r="N4329" s="9" t="s">
        <v>13284</v>
      </c>
      <c r="O4329" s="9" t="s">
        <v>13284</v>
      </c>
      <c r="P4329" s="9" t="s">
        <v>13284</v>
      </c>
      <c r="Q4329" s="9" t="s">
        <v>13284</v>
      </c>
      <c r="R4329" s="9" t="s">
        <v>13284</v>
      </c>
      <c r="S4329" s="9" t="s">
        <v>13284</v>
      </c>
      <c r="T4329" s="9" t="str">
        <f ca="1">IFERROR(IF(AND(VLOOKUP(A4329, 'Актуальное состояние (из общего'!A:C,3,0) = "", A4329 &lt;&gt; ""), "ПРОВЕРИТЬ", VLOOKUP(A4329, 'Актуальное состояние (из общего'!A:C,3,0)), "")</f>
        <v/>
      </c>
      <c r="U4329" s="9" t="s">
        <v>13284</v>
      </c>
      <c r="V4329" s="9" t="s">
        <v>13284</v>
      </c>
      <c r="W4329" s="12"/>
      <c r="X4329" s="9" t="str">
        <f t="array" ref="X4329">IFERROR(INDEX('Адреса общежитий (скрытый)'!$B$2:$B$9, MATCH(W4329, 'Адреса общежитий (скрытый)'!$A$2:$A$9, 0)), "")</f>
        <v/>
      </c>
      <c r="Y4329" s="18"/>
      <c r="Z4329" s="18"/>
      <c r="AA4329" s="18"/>
      <c r="AB4329" s="18"/>
      <c r="AC4329" s="18"/>
    </row>
    <row r="4330" spans="1:29" ht="32.25" hidden="1" customHeight="1">
      <c r="A4330" s="17"/>
      <c r="B4330" s="9" t="s">
        <v>13284</v>
      </c>
      <c r="C4330" s="9" t="s">
        <v>13284</v>
      </c>
      <c r="D4330" s="9" t="s">
        <v>13284</v>
      </c>
      <c r="E4330" s="9" t="s">
        <v>13284</v>
      </c>
      <c r="F4330" s="9" t="s">
        <v>13284</v>
      </c>
      <c r="G4330" s="9" t="s">
        <v>13284</v>
      </c>
      <c r="H4330" s="9" t="s">
        <v>13284</v>
      </c>
      <c r="I4330" s="9" t="s">
        <v>13284</v>
      </c>
      <c r="J4330" s="9" t="s">
        <v>13284</v>
      </c>
      <c r="K4330" s="9" t="s">
        <v>13284</v>
      </c>
      <c r="L4330" s="9" t="s">
        <v>13284</v>
      </c>
      <c r="M4330" s="9" t="s">
        <v>13284</v>
      </c>
      <c r="N4330" s="9" t="s">
        <v>13284</v>
      </c>
      <c r="O4330" s="9" t="s">
        <v>13284</v>
      </c>
      <c r="P4330" s="9" t="s">
        <v>13284</v>
      </c>
      <c r="Q4330" s="9" t="s">
        <v>13284</v>
      </c>
      <c r="R4330" s="9" t="s">
        <v>13284</v>
      </c>
      <c r="S4330" s="9" t="s">
        <v>13284</v>
      </c>
      <c r="T4330" s="9" t="str">
        <f ca="1">IFERROR(IF(AND(VLOOKUP(A4330, 'Актуальное состояние (из общего'!A:C,3,0) = "", A4330 &lt;&gt; ""), "ПРОВЕРИТЬ", VLOOKUP(A4330, 'Актуальное состояние (из общего'!A:C,3,0)), "")</f>
        <v/>
      </c>
      <c r="U4330" s="9" t="s">
        <v>13284</v>
      </c>
      <c r="V4330" s="9" t="s">
        <v>13284</v>
      </c>
      <c r="W4330" s="12"/>
      <c r="X4330" s="9" t="str">
        <f t="array" ref="X4330">IFERROR(INDEX('Адреса общежитий (скрытый)'!$B$2:$B$9, MATCH(W4330, 'Адреса общежитий (скрытый)'!$A$2:$A$9, 0)), "")</f>
        <v/>
      </c>
      <c r="Y4330" s="18"/>
      <c r="Z4330" s="18"/>
      <c r="AA4330" s="18"/>
      <c r="AB4330" s="18"/>
      <c r="AC4330" s="18"/>
    </row>
    <row r="4331" spans="1:29" ht="32.25" hidden="1" customHeight="1">
      <c r="A4331" s="17"/>
      <c r="B4331" s="9" t="s">
        <v>13284</v>
      </c>
      <c r="C4331" s="9" t="s">
        <v>13284</v>
      </c>
      <c r="D4331" s="9" t="s">
        <v>13284</v>
      </c>
      <c r="E4331" s="9" t="s">
        <v>13284</v>
      </c>
      <c r="F4331" s="9" t="s">
        <v>13284</v>
      </c>
      <c r="G4331" s="9" t="s">
        <v>13284</v>
      </c>
      <c r="H4331" s="9" t="s">
        <v>13284</v>
      </c>
      <c r="I4331" s="9" t="s">
        <v>13284</v>
      </c>
      <c r="J4331" s="9" t="s">
        <v>13284</v>
      </c>
      <c r="K4331" s="9" t="s">
        <v>13284</v>
      </c>
      <c r="L4331" s="9" t="s">
        <v>13284</v>
      </c>
      <c r="M4331" s="9" t="s">
        <v>13284</v>
      </c>
      <c r="N4331" s="9" t="s">
        <v>13284</v>
      </c>
      <c r="O4331" s="9" t="s">
        <v>13284</v>
      </c>
      <c r="P4331" s="9" t="s">
        <v>13284</v>
      </c>
      <c r="Q4331" s="9" t="s">
        <v>13284</v>
      </c>
      <c r="R4331" s="9" t="s">
        <v>13284</v>
      </c>
      <c r="S4331" s="9" t="s">
        <v>13284</v>
      </c>
      <c r="T4331" s="9" t="str">
        <f ca="1">IFERROR(IF(AND(VLOOKUP(A4331, 'Актуальное состояние (из общего'!A:C,3,0) = "", A4331 &lt;&gt; ""), "ПРОВЕРИТЬ", VLOOKUP(A4331, 'Актуальное состояние (из общего'!A:C,3,0)), "")</f>
        <v/>
      </c>
      <c r="U4331" s="9" t="s">
        <v>13284</v>
      </c>
      <c r="V4331" s="9" t="s">
        <v>13284</v>
      </c>
      <c r="W4331" s="12"/>
      <c r="X4331" s="9" t="str">
        <f t="array" ref="X4331">IFERROR(INDEX('Адреса общежитий (скрытый)'!$B$2:$B$9, MATCH(W4331, 'Адреса общежитий (скрытый)'!$A$2:$A$9, 0)), "")</f>
        <v/>
      </c>
      <c r="Y4331" s="18"/>
      <c r="Z4331" s="18"/>
      <c r="AA4331" s="18"/>
      <c r="AB4331" s="18"/>
      <c r="AC4331" s="18"/>
    </row>
    <row r="4332" spans="1:29" ht="32.25" hidden="1" customHeight="1">
      <c r="A4332" s="17"/>
      <c r="B4332" s="9" t="s">
        <v>13284</v>
      </c>
      <c r="C4332" s="9" t="s">
        <v>13284</v>
      </c>
      <c r="D4332" s="9" t="s">
        <v>13284</v>
      </c>
      <c r="E4332" s="9" t="s">
        <v>13284</v>
      </c>
      <c r="F4332" s="9" t="s">
        <v>13284</v>
      </c>
      <c r="G4332" s="9" t="s">
        <v>13284</v>
      </c>
      <c r="H4332" s="9" t="s">
        <v>13284</v>
      </c>
      <c r="I4332" s="9" t="s">
        <v>13284</v>
      </c>
      <c r="J4332" s="9" t="s">
        <v>13284</v>
      </c>
      <c r="K4332" s="9" t="s">
        <v>13284</v>
      </c>
      <c r="L4332" s="9" t="s">
        <v>13284</v>
      </c>
      <c r="M4332" s="9" t="s">
        <v>13284</v>
      </c>
      <c r="N4332" s="9" t="s">
        <v>13284</v>
      </c>
      <c r="O4332" s="9" t="s">
        <v>13284</v>
      </c>
      <c r="P4332" s="9" t="s">
        <v>13284</v>
      </c>
      <c r="Q4332" s="9" t="s">
        <v>13284</v>
      </c>
      <c r="R4332" s="9" t="s">
        <v>13284</v>
      </c>
      <c r="S4332" s="9" t="s">
        <v>13284</v>
      </c>
      <c r="T4332" s="9" t="str">
        <f ca="1">IFERROR(IF(AND(VLOOKUP(A4332, 'Актуальное состояние (из общего'!A:C,3,0) = "", A4332 &lt;&gt; ""), "ПРОВЕРИТЬ", VLOOKUP(A4332, 'Актуальное состояние (из общего'!A:C,3,0)), "")</f>
        <v/>
      </c>
      <c r="U4332" s="9" t="s">
        <v>13284</v>
      </c>
      <c r="V4332" s="9" t="s">
        <v>13284</v>
      </c>
      <c r="W4332" s="12"/>
      <c r="X4332" s="9" t="str">
        <f t="array" ref="X4332">IFERROR(INDEX('Адреса общежитий (скрытый)'!$B$2:$B$9, MATCH(W4332, 'Адреса общежитий (скрытый)'!$A$2:$A$9, 0)), "")</f>
        <v/>
      </c>
      <c r="Y4332" s="18"/>
      <c r="Z4332" s="18"/>
      <c r="AA4332" s="18"/>
      <c r="AB4332" s="18"/>
      <c r="AC4332" s="18"/>
    </row>
    <row r="4333" spans="1:29" ht="32.25" hidden="1" customHeight="1">
      <c r="A4333" s="17"/>
      <c r="B4333" s="9" t="s">
        <v>13284</v>
      </c>
      <c r="C4333" s="9" t="s">
        <v>13284</v>
      </c>
      <c r="D4333" s="9" t="s">
        <v>13284</v>
      </c>
      <c r="E4333" s="9" t="s">
        <v>13284</v>
      </c>
      <c r="F4333" s="9" t="s">
        <v>13284</v>
      </c>
      <c r="G4333" s="9" t="s">
        <v>13284</v>
      </c>
      <c r="H4333" s="9" t="s">
        <v>13284</v>
      </c>
      <c r="I4333" s="9" t="s">
        <v>13284</v>
      </c>
      <c r="J4333" s="9" t="s">
        <v>13284</v>
      </c>
      <c r="K4333" s="9" t="s">
        <v>13284</v>
      </c>
      <c r="L4333" s="9" t="s">
        <v>13284</v>
      </c>
      <c r="M4333" s="9" t="s">
        <v>13284</v>
      </c>
      <c r="N4333" s="9" t="s">
        <v>13284</v>
      </c>
      <c r="O4333" s="9" t="s">
        <v>13284</v>
      </c>
      <c r="P4333" s="9" t="s">
        <v>13284</v>
      </c>
      <c r="Q4333" s="9" t="s">
        <v>13284</v>
      </c>
      <c r="R4333" s="9" t="s">
        <v>13284</v>
      </c>
      <c r="S4333" s="9" t="s">
        <v>13284</v>
      </c>
      <c r="T4333" s="9" t="str">
        <f ca="1">IFERROR(IF(AND(VLOOKUP(A4333, 'Актуальное состояние (из общего'!A:C,3,0) = "", A4333 &lt;&gt; ""), "ПРОВЕРИТЬ", VLOOKUP(A4333, 'Актуальное состояние (из общего'!A:C,3,0)), "")</f>
        <v/>
      </c>
      <c r="U4333" s="9" t="s">
        <v>13284</v>
      </c>
      <c r="V4333" s="9" t="s">
        <v>13284</v>
      </c>
      <c r="W4333" s="12"/>
      <c r="X4333" s="9" t="str">
        <f t="array" ref="X4333">IFERROR(INDEX('Адреса общежитий (скрытый)'!$B$2:$B$9, MATCH(W4333, 'Адреса общежитий (скрытый)'!$A$2:$A$9, 0)), "")</f>
        <v/>
      </c>
      <c r="Y4333" s="18"/>
      <c r="Z4333" s="18"/>
      <c r="AA4333" s="18"/>
      <c r="AB4333" s="18"/>
      <c r="AC4333" s="18"/>
    </row>
    <row r="4334" spans="1:29" ht="32.25" hidden="1" customHeight="1">
      <c r="A4334" s="17"/>
      <c r="B4334" s="9" t="s">
        <v>13284</v>
      </c>
      <c r="C4334" s="9" t="s">
        <v>13284</v>
      </c>
      <c r="D4334" s="9" t="s">
        <v>13284</v>
      </c>
      <c r="E4334" s="9" t="s">
        <v>13284</v>
      </c>
      <c r="F4334" s="9" t="s">
        <v>13284</v>
      </c>
      <c r="G4334" s="9" t="s">
        <v>13284</v>
      </c>
      <c r="H4334" s="9" t="s">
        <v>13284</v>
      </c>
      <c r="I4334" s="9" t="s">
        <v>13284</v>
      </c>
      <c r="J4334" s="9" t="s">
        <v>13284</v>
      </c>
      <c r="K4334" s="9" t="s">
        <v>13284</v>
      </c>
      <c r="L4334" s="9" t="s">
        <v>13284</v>
      </c>
      <c r="M4334" s="9" t="s">
        <v>13284</v>
      </c>
      <c r="N4334" s="9" t="s">
        <v>13284</v>
      </c>
      <c r="O4334" s="9" t="s">
        <v>13284</v>
      </c>
      <c r="P4334" s="9" t="s">
        <v>13284</v>
      </c>
      <c r="Q4334" s="9" t="s">
        <v>13284</v>
      </c>
      <c r="R4334" s="9" t="s">
        <v>13284</v>
      </c>
      <c r="S4334" s="9" t="s">
        <v>13284</v>
      </c>
      <c r="T4334" s="9" t="str">
        <f ca="1">IFERROR(IF(AND(VLOOKUP(A4334, 'Актуальное состояние (из общего'!A:C,3,0) = "", A4334 &lt;&gt; ""), "ПРОВЕРИТЬ", VLOOKUP(A4334, 'Актуальное состояние (из общего'!A:C,3,0)), "")</f>
        <v/>
      </c>
      <c r="U4334" s="9" t="s">
        <v>13284</v>
      </c>
      <c r="V4334" s="9" t="s">
        <v>13284</v>
      </c>
      <c r="W4334" s="12"/>
      <c r="X4334" s="9" t="str">
        <f t="array" ref="X4334">IFERROR(INDEX('Адреса общежитий (скрытый)'!$B$2:$B$9, MATCH(W4334, 'Адреса общежитий (скрытый)'!$A$2:$A$9, 0)), "")</f>
        <v/>
      </c>
      <c r="Y4334" s="18"/>
      <c r="Z4334" s="18"/>
      <c r="AA4334" s="18"/>
      <c r="AB4334" s="18"/>
      <c r="AC4334" s="18"/>
    </row>
    <row r="4335" spans="1:29" ht="32.25" hidden="1" customHeight="1">
      <c r="A4335" s="17"/>
      <c r="B4335" s="9" t="s">
        <v>13284</v>
      </c>
      <c r="C4335" s="9" t="s">
        <v>13284</v>
      </c>
      <c r="D4335" s="9" t="s">
        <v>13284</v>
      </c>
      <c r="E4335" s="9" t="s">
        <v>13284</v>
      </c>
      <c r="F4335" s="9" t="s">
        <v>13284</v>
      </c>
      <c r="G4335" s="9" t="s">
        <v>13284</v>
      </c>
      <c r="H4335" s="9" t="s">
        <v>13284</v>
      </c>
      <c r="I4335" s="9" t="s">
        <v>13284</v>
      </c>
      <c r="J4335" s="9" t="s">
        <v>13284</v>
      </c>
      <c r="K4335" s="9" t="s">
        <v>13284</v>
      </c>
      <c r="L4335" s="9" t="s">
        <v>13284</v>
      </c>
      <c r="M4335" s="9" t="s">
        <v>13284</v>
      </c>
      <c r="N4335" s="9" t="s">
        <v>13284</v>
      </c>
      <c r="O4335" s="9" t="s">
        <v>13284</v>
      </c>
      <c r="P4335" s="9" t="s">
        <v>13284</v>
      </c>
      <c r="Q4335" s="9" t="s">
        <v>13284</v>
      </c>
      <c r="R4335" s="9" t="s">
        <v>13284</v>
      </c>
      <c r="S4335" s="9" t="s">
        <v>13284</v>
      </c>
      <c r="T4335" s="9" t="str">
        <f ca="1">IFERROR(IF(AND(VLOOKUP(A4335, 'Актуальное состояние (из общего'!A:C,3,0) = "", A4335 &lt;&gt; ""), "ПРОВЕРИТЬ", VLOOKUP(A4335, 'Актуальное состояние (из общего'!A:C,3,0)), "")</f>
        <v/>
      </c>
      <c r="U4335" s="9" t="s">
        <v>13284</v>
      </c>
      <c r="V4335" s="9" t="s">
        <v>13284</v>
      </c>
      <c r="W4335" s="12"/>
      <c r="X4335" s="9" t="str">
        <f t="array" ref="X4335">IFERROR(INDEX('Адреса общежитий (скрытый)'!$B$2:$B$9, MATCH(W4335, 'Адреса общежитий (скрытый)'!$A$2:$A$9, 0)), "")</f>
        <v/>
      </c>
      <c r="Y4335" s="18"/>
      <c r="Z4335" s="18"/>
      <c r="AA4335" s="18"/>
      <c r="AB4335" s="18"/>
      <c r="AC4335" s="18"/>
    </row>
    <row r="4336" spans="1:29" ht="32.25" hidden="1" customHeight="1">
      <c r="A4336" s="17"/>
      <c r="B4336" s="9" t="s">
        <v>13284</v>
      </c>
      <c r="C4336" s="9" t="s">
        <v>13284</v>
      </c>
      <c r="D4336" s="9" t="s">
        <v>13284</v>
      </c>
      <c r="E4336" s="9" t="s">
        <v>13284</v>
      </c>
      <c r="F4336" s="9" t="s">
        <v>13284</v>
      </c>
      <c r="G4336" s="9" t="s">
        <v>13284</v>
      </c>
      <c r="H4336" s="9" t="s">
        <v>13284</v>
      </c>
      <c r="I4336" s="9" t="s">
        <v>13284</v>
      </c>
      <c r="J4336" s="9" t="s">
        <v>13284</v>
      </c>
      <c r="K4336" s="9" t="s">
        <v>13284</v>
      </c>
      <c r="L4336" s="9" t="s">
        <v>13284</v>
      </c>
      <c r="M4336" s="9" t="s">
        <v>13284</v>
      </c>
      <c r="N4336" s="9" t="s">
        <v>13284</v>
      </c>
      <c r="O4336" s="9" t="s">
        <v>13284</v>
      </c>
      <c r="P4336" s="9" t="s">
        <v>13284</v>
      </c>
      <c r="Q4336" s="9" t="s">
        <v>13284</v>
      </c>
      <c r="R4336" s="9" t="s">
        <v>13284</v>
      </c>
      <c r="S4336" s="9" t="s">
        <v>13284</v>
      </c>
      <c r="T4336" s="9" t="str">
        <f ca="1">IFERROR(IF(AND(VLOOKUP(A4336, 'Актуальное состояние (из общего'!A:C,3,0) = "", A4336 &lt;&gt; ""), "ПРОВЕРИТЬ", VLOOKUP(A4336, 'Актуальное состояние (из общего'!A:C,3,0)), "")</f>
        <v/>
      </c>
      <c r="U4336" s="9" t="s">
        <v>13284</v>
      </c>
      <c r="V4336" s="9" t="s">
        <v>13284</v>
      </c>
      <c r="W4336" s="12"/>
      <c r="X4336" s="9" t="str">
        <f t="array" ref="X4336">IFERROR(INDEX('Адреса общежитий (скрытый)'!$B$2:$B$9, MATCH(W4336, 'Адреса общежитий (скрытый)'!$A$2:$A$9, 0)), "")</f>
        <v/>
      </c>
      <c r="Y4336" s="18"/>
      <c r="Z4336" s="18"/>
      <c r="AA4336" s="18"/>
      <c r="AB4336" s="18"/>
      <c r="AC4336" s="18"/>
    </row>
    <row r="4337" spans="1:29" ht="32.25" hidden="1" customHeight="1">
      <c r="A4337" s="17"/>
      <c r="B4337" s="9" t="s">
        <v>13284</v>
      </c>
      <c r="C4337" s="9" t="s">
        <v>13284</v>
      </c>
      <c r="D4337" s="9" t="s">
        <v>13284</v>
      </c>
      <c r="E4337" s="9" t="s">
        <v>13284</v>
      </c>
      <c r="F4337" s="9" t="s">
        <v>13284</v>
      </c>
      <c r="G4337" s="9" t="s">
        <v>13284</v>
      </c>
      <c r="H4337" s="9" t="s">
        <v>13284</v>
      </c>
      <c r="I4337" s="9" t="s">
        <v>13284</v>
      </c>
      <c r="J4337" s="9" t="s">
        <v>13284</v>
      </c>
      <c r="K4337" s="9" t="s">
        <v>13284</v>
      </c>
      <c r="L4337" s="9" t="s">
        <v>13284</v>
      </c>
      <c r="M4337" s="9" t="s">
        <v>13284</v>
      </c>
      <c r="N4337" s="9" t="s">
        <v>13284</v>
      </c>
      <c r="O4337" s="9" t="s">
        <v>13284</v>
      </c>
      <c r="P4337" s="9" t="s">
        <v>13284</v>
      </c>
      <c r="Q4337" s="9" t="s">
        <v>13284</v>
      </c>
      <c r="R4337" s="9" t="s">
        <v>13284</v>
      </c>
      <c r="S4337" s="9" t="s">
        <v>13284</v>
      </c>
      <c r="T4337" s="9" t="str">
        <f ca="1">IFERROR(IF(AND(VLOOKUP(A4337, 'Актуальное состояние (из общего'!A:C,3,0) = "", A4337 &lt;&gt; ""), "ПРОВЕРИТЬ", VLOOKUP(A4337, 'Актуальное состояние (из общего'!A:C,3,0)), "")</f>
        <v/>
      </c>
      <c r="U4337" s="9" t="s">
        <v>13284</v>
      </c>
      <c r="V4337" s="9" t="s">
        <v>13284</v>
      </c>
      <c r="W4337" s="12"/>
      <c r="X4337" s="9" t="str">
        <f t="array" ref="X4337">IFERROR(INDEX('Адреса общежитий (скрытый)'!$B$2:$B$9, MATCH(W4337, 'Адреса общежитий (скрытый)'!$A$2:$A$9, 0)), "")</f>
        <v/>
      </c>
      <c r="Y4337" s="18"/>
      <c r="Z4337" s="18"/>
      <c r="AA4337" s="18"/>
      <c r="AB4337" s="18"/>
      <c r="AC4337" s="18"/>
    </row>
    <row r="4338" spans="1:29" ht="32.25" hidden="1" customHeight="1">
      <c r="A4338" s="17"/>
      <c r="B4338" s="9" t="s">
        <v>13284</v>
      </c>
      <c r="C4338" s="9" t="s">
        <v>13284</v>
      </c>
      <c r="D4338" s="9" t="s">
        <v>13284</v>
      </c>
      <c r="E4338" s="9" t="s">
        <v>13284</v>
      </c>
      <c r="F4338" s="9" t="s">
        <v>13284</v>
      </c>
      <c r="G4338" s="9" t="s">
        <v>13284</v>
      </c>
      <c r="H4338" s="9" t="s">
        <v>13284</v>
      </c>
      <c r="I4338" s="9" t="s">
        <v>13284</v>
      </c>
      <c r="J4338" s="9" t="s">
        <v>13284</v>
      </c>
      <c r="K4338" s="9" t="s">
        <v>13284</v>
      </c>
      <c r="L4338" s="9" t="s">
        <v>13284</v>
      </c>
      <c r="M4338" s="9" t="s">
        <v>13284</v>
      </c>
      <c r="N4338" s="9" t="s">
        <v>13284</v>
      </c>
      <c r="O4338" s="9" t="s">
        <v>13284</v>
      </c>
      <c r="P4338" s="9" t="s">
        <v>13284</v>
      </c>
      <c r="Q4338" s="9" t="s">
        <v>13284</v>
      </c>
      <c r="R4338" s="9" t="s">
        <v>13284</v>
      </c>
      <c r="S4338" s="9" t="s">
        <v>13284</v>
      </c>
      <c r="T4338" s="9" t="str">
        <f ca="1">IFERROR(IF(AND(VLOOKUP(A4338, 'Актуальное состояние (из общего'!A:C,3,0) = "", A4338 &lt;&gt; ""), "ПРОВЕРИТЬ", VLOOKUP(A4338, 'Актуальное состояние (из общего'!A:C,3,0)), "")</f>
        <v/>
      </c>
      <c r="U4338" s="9" t="s">
        <v>13284</v>
      </c>
      <c r="V4338" s="9" t="s">
        <v>13284</v>
      </c>
      <c r="W4338" s="12"/>
      <c r="X4338" s="9" t="str">
        <f t="array" ref="X4338">IFERROR(INDEX('Адреса общежитий (скрытый)'!$B$2:$B$9, MATCH(W4338, 'Адреса общежитий (скрытый)'!$A$2:$A$9, 0)), "")</f>
        <v/>
      </c>
      <c r="Y4338" s="18"/>
      <c r="Z4338" s="18"/>
      <c r="AA4338" s="18"/>
      <c r="AB4338" s="18"/>
      <c r="AC4338" s="18"/>
    </row>
    <row r="4339" spans="1:29" ht="32.25" hidden="1" customHeight="1">
      <c r="A4339" s="17"/>
      <c r="B4339" s="9" t="s">
        <v>13284</v>
      </c>
      <c r="C4339" s="9" t="s">
        <v>13284</v>
      </c>
      <c r="D4339" s="9" t="s">
        <v>13284</v>
      </c>
      <c r="E4339" s="9" t="s">
        <v>13284</v>
      </c>
      <c r="F4339" s="9" t="s">
        <v>13284</v>
      </c>
      <c r="G4339" s="9" t="s">
        <v>13284</v>
      </c>
      <c r="H4339" s="9" t="s">
        <v>13284</v>
      </c>
      <c r="I4339" s="9" t="s">
        <v>13284</v>
      </c>
      <c r="J4339" s="9" t="s">
        <v>13284</v>
      </c>
      <c r="K4339" s="9" t="s">
        <v>13284</v>
      </c>
      <c r="L4339" s="9" t="s">
        <v>13284</v>
      </c>
      <c r="M4339" s="9" t="s">
        <v>13284</v>
      </c>
      <c r="N4339" s="9" t="s">
        <v>13284</v>
      </c>
      <c r="O4339" s="9" t="s">
        <v>13284</v>
      </c>
      <c r="P4339" s="9" t="s">
        <v>13284</v>
      </c>
      <c r="Q4339" s="9" t="s">
        <v>13284</v>
      </c>
      <c r="R4339" s="9" t="s">
        <v>13284</v>
      </c>
      <c r="S4339" s="9" t="s">
        <v>13284</v>
      </c>
      <c r="T4339" s="9" t="str">
        <f ca="1">IFERROR(IF(AND(VLOOKUP(A4339, 'Актуальное состояние (из общего'!A:C,3,0) = "", A4339 &lt;&gt; ""), "ПРОВЕРИТЬ", VLOOKUP(A4339, 'Актуальное состояние (из общего'!A:C,3,0)), "")</f>
        <v/>
      </c>
      <c r="U4339" s="9" t="s">
        <v>13284</v>
      </c>
      <c r="V4339" s="9" t="s">
        <v>13284</v>
      </c>
      <c r="W4339" s="12"/>
      <c r="X4339" s="9" t="str">
        <f t="array" ref="X4339">IFERROR(INDEX('Адреса общежитий (скрытый)'!$B$2:$B$9, MATCH(W4339, 'Адреса общежитий (скрытый)'!$A$2:$A$9, 0)), "")</f>
        <v/>
      </c>
      <c r="Y4339" s="18"/>
      <c r="Z4339" s="18"/>
      <c r="AA4339" s="18"/>
      <c r="AB4339" s="18"/>
      <c r="AC4339" s="18"/>
    </row>
    <row r="4340" spans="1:29" ht="32.25" hidden="1" customHeight="1">
      <c r="A4340" s="17"/>
      <c r="B4340" s="9" t="s">
        <v>13284</v>
      </c>
      <c r="C4340" s="9" t="s">
        <v>13284</v>
      </c>
      <c r="D4340" s="9" t="s">
        <v>13284</v>
      </c>
      <c r="E4340" s="9" t="s">
        <v>13284</v>
      </c>
      <c r="F4340" s="9" t="s">
        <v>13284</v>
      </c>
      <c r="G4340" s="9" t="s">
        <v>13284</v>
      </c>
      <c r="H4340" s="9" t="s">
        <v>13284</v>
      </c>
      <c r="I4340" s="9" t="s">
        <v>13284</v>
      </c>
      <c r="J4340" s="9" t="s">
        <v>13284</v>
      </c>
      <c r="K4340" s="9" t="s">
        <v>13284</v>
      </c>
      <c r="L4340" s="9" t="s">
        <v>13284</v>
      </c>
      <c r="M4340" s="9" t="s">
        <v>13284</v>
      </c>
      <c r="N4340" s="9" t="s">
        <v>13284</v>
      </c>
      <c r="O4340" s="9" t="s">
        <v>13284</v>
      </c>
      <c r="P4340" s="9" t="s">
        <v>13284</v>
      </c>
      <c r="Q4340" s="9" t="s">
        <v>13284</v>
      </c>
      <c r="R4340" s="9" t="s">
        <v>13284</v>
      </c>
      <c r="S4340" s="9" t="s">
        <v>13284</v>
      </c>
      <c r="T4340" s="9" t="str">
        <f ca="1">IFERROR(IF(AND(VLOOKUP(A4340, 'Актуальное состояние (из общего'!A:C,3,0) = "", A4340 &lt;&gt; ""), "ПРОВЕРИТЬ", VLOOKUP(A4340, 'Актуальное состояние (из общего'!A:C,3,0)), "")</f>
        <v/>
      </c>
      <c r="U4340" s="9" t="s">
        <v>13284</v>
      </c>
      <c r="V4340" s="9" t="s">
        <v>13284</v>
      </c>
      <c r="W4340" s="12"/>
      <c r="X4340" s="9" t="str">
        <f t="array" ref="X4340">IFERROR(INDEX('Адреса общежитий (скрытый)'!$B$2:$B$9, MATCH(W4340, 'Адреса общежитий (скрытый)'!$A$2:$A$9, 0)), "")</f>
        <v/>
      </c>
      <c r="Y4340" s="18"/>
      <c r="Z4340" s="18"/>
      <c r="AA4340" s="18"/>
      <c r="AB4340" s="18"/>
      <c r="AC4340" s="18"/>
    </row>
    <row r="4341" spans="1:29" ht="32.25" hidden="1" customHeight="1">
      <c r="A4341" s="17"/>
      <c r="B4341" s="9" t="s">
        <v>13284</v>
      </c>
      <c r="C4341" s="9" t="s">
        <v>13284</v>
      </c>
      <c r="D4341" s="9" t="s">
        <v>13284</v>
      </c>
      <c r="E4341" s="9" t="s">
        <v>13284</v>
      </c>
      <c r="F4341" s="9" t="s">
        <v>13284</v>
      </c>
      <c r="G4341" s="9" t="s">
        <v>13284</v>
      </c>
      <c r="H4341" s="9" t="s">
        <v>13284</v>
      </c>
      <c r="I4341" s="9" t="s">
        <v>13284</v>
      </c>
      <c r="J4341" s="9" t="s">
        <v>13284</v>
      </c>
      <c r="K4341" s="9" t="s">
        <v>13284</v>
      </c>
      <c r="L4341" s="9" t="s">
        <v>13284</v>
      </c>
      <c r="M4341" s="9" t="s">
        <v>13284</v>
      </c>
      <c r="N4341" s="9" t="s">
        <v>13284</v>
      </c>
      <c r="O4341" s="9" t="s">
        <v>13284</v>
      </c>
      <c r="P4341" s="9" t="s">
        <v>13284</v>
      </c>
      <c r="Q4341" s="9" t="s">
        <v>13284</v>
      </c>
      <c r="R4341" s="9" t="s">
        <v>13284</v>
      </c>
      <c r="S4341" s="9" t="s">
        <v>13284</v>
      </c>
      <c r="T4341" s="9" t="str">
        <f ca="1">IFERROR(IF(AND(VLOOKUP(A4341, 'Актуальное состояние (из общего'!A:C,3,0) = "", A4341 &lt;&gt; ""), "ПРОВЕРИТЬ", VLOOKUP(A4341, 'Актуальное состояние (из общего'!A:C,3,0)), "")</f>
        <v/>
      </c>
      <c r="U4341" s="9" t="s">
        <v>13284</v>
      </c>
      <c r="V4341" s="9" t="s">
        <v>13284</v>
      </c>
      <c r="W4341" s="12"/>
      <c r="X4341" s="9" t="str">
        <f t="array" ref="X4341">IFERROR(INDEX('Адреса общежитий (скрытый)'!$B$2:$B$9, MATCH(W4341, 'Адреса общежитий (скрытый)'!$A$2:$A$9, 0)), "")</f>
        <v/>
      </c>
      <c r="Y4341" s="18"/>
      <c r="Z4341" s="18"/>
      <c r="AA4341" s="18"/>
      <c r="AB4341" s="18"/>
      <c r="AC4341" s="18"/>
    </row>
    <row r="4342" spans="1:29" ht="32.25" hidden="1" customHeight="1">
      <c r="A4342" s="17"/>
      <c r="B4342" s="9" t="s">
        <v>13284</v>
      </c>
      <c r="C4342" s="9" t="s">
        <v>13284</v>
      </c>
      <c r="D4342" s="9" t="s">
        <v>13284</v>
      </c>
      <c r="E4342" s="9" t="s">
        <v>13284</v>
      </c>
      <c r="F4342" s="9" t="s">
        <v>13284</v>
      </c>
      <c r="G4342" s="9" t="s">
        <v>13284</v>
      </c>
      <c r="H4342" s="9" t="s">
        <v>13284</v>
      </c>
      <c r="I4342" s="9" t="s">
        <v>13284</v>
      </c>
      <c r="J4342" s="9" t="s">
        <v>13284</v>
      </c>
      <c r="K4342" s="9" t="s">
        <v>13284</v>
      </c>
      <c r="L4342" s="9" t="s">
        <v>13284</v>
      </c>
      <c r="M4342" s="9" t="s">
        <v>13284</v>
      </c>
      <c r="N4342" s="9" t="s">
        <v>13284</v>
      </c>
      <c r="O4342" s="9" t="s">
        <v>13284</v>
      </c>
      <c r="P4342" s="9" t="s">
        <v>13284</v>
      </c>
      <c r="Q4342" s="9" t="s">
        <v>13284</v>
      </c>
      <c r="R4342" s="9" t="s">
        <v>13284</v>
      </c>
      <c r="S4342" s="9" t="s">
        <v>13284</v>
      </c>
      <c r="T4342" s="9" t="str">
        <f ca="1">IFERROR(IF(AND(VLOOKUP(A4342, 'Актуальное состояние (из общего'!A:C,3,0) = "", A4342 &lt;&gt; ""), "ПРОВЕРИТЬ", VLOOKUP(A4342, 'Актуальное состояние (из общего'!A:C,3,0)), "")</f>
        <v/>
      </c>
      <c r="U4342" s="9" t="s">
        <v>13284</v>
      </c>
      <c r="V4342" s="9" t="s">
        <v>13284</v>
      </c>
      <c r="W4342" s="12"/>
      <c r="X4342" s="9" t="str">
        <f t="array" ref="X4342">IFERROR(INDEX('Адреса общежитий (скрытый)'!$B$2:$B$9, MATCH(W4342, 'Адреса общежитий (скрытый)'!$A$2:$A$9, 0)), "")</f>
        <v/>
      </c>
      <c r="Y4342" s="18"/>
      <c r="Z4342" s="18"/>
      <c r="AA4342" s="18"/>
      <c r="AB4342" s="18"/>
      <c r="AC4342" s="18"/>
    </row>
    <row r="4343" spans="1:29" ht="32.25" hidden="1" customHeight="1">
      <c r="A4343" s="17"/>
      <c r="B4343" s="9" t="s">
        <v>13284</v>
      </c>
      <c r="C4343" s="9" t="s">
        <v>13284</v>
      </c>
      <c r="D4343" s="9" t="s">
        <v>13284</v>
      </c>
      <c r="E4343" s="9" t="s">
        <v>13284</v>
      </c>
      <c r="F4343" s="9" t="s">
        <v>13284</v>
      </c>
      <c r="G4343" s="9" t="s">
        <v>13284</v>
      </c>
      <c r="H4343" s="9" t="s">
        <v>13284</v>
      </c>
      <c r="I4343" s="9" t="s">
        <v>13284</v>
      </c>
      <c r="J4343" s="9" t="s">
        <v>13284</v>
      </c>
      <c r="K4343" s="9" t="s">
        <v>13284</v>
      </c>
      <c r="L4343" s="9" t="s">
        <v>13284</v>
      </c>
      <c r="M4343" s="9" t="s">
        <v>13284</v>
      </c>
      <c r="N4343" s="9" t="s">
        <v>13284</v>
      </c>
      <c r="O4343" s="9" t="s">
        <v>13284</v>
      </c>
      <c r="P4343" s="9" t="s">
        <v>13284</v>
      </c>
      <c r="Q4343" s="9" t="s">
        <v>13284</v>
      </c>
      <c r="R4343" s="9" t="s">
        <v>13284</v>
      </c>
      <c r="S4343" s="9" t="s">
        <v>13284</v>
      </c>
      <c r="T4343" s="9" t="str">
        <f ca="1">IFERROR(IF(AND(VLOOKUP(A4343, 'Актуальное состояние (из общего'!A:C,3,0) = "", A4343 &lt;&gt; ""), "ПРОВЕРИТЬ", VLOOKUP(A4343, 'Актуальное состояние (из общего'!A:C,3,0)), "")</f>
        <v/>
      </c>
      <c r="U4343" s="9" t="s">
        <v>13284</v>
      </c>
      <c r="V4343" s="9" t="s">
        <v>13284</v>
      </c>
      <c r="W4343" s="12"/>
      <c r="X4343" s="9" t="str">
        <f t="array" ref="X4343">IFERROR(INDEX('Адреса общежитий (скрытый)'!$B$2:$B$9, MATCH(W4343, 'Адреса общежитий (скрытый)'!$A$2:$A$9, 0)), "")</f>
        <v/>
      </c>
      <c r="Y4343" s="18"/>
      <c r="Z4343" s="18"/>
      <c r="AA4343" s="18"/>
      <c r="AB4343" s="18"/>
      <c r="AC4343" s="18"/>
    </row>
    <row r="4344" spans="1:29" ht="32.25" hidden="1" customHeight="1">
      <c r="A4344" s="17"/>
      <c r="B4344" s="9" t="s">
        <v>13284</v>
      </c>
      <c r="C4344" s="9" t="s">
        <v>13284</v>
      </c>
      <c r="D4344" s="9" t="s">
        <v>13284</v>
      </c>
      <c r="E4344" s="9" t="s">
        <v>13284</v>
      </c>
      <c r="F4344" s="9" t="s">
        <v>13284</v>
      </c>
      <c r="G4344" s="9" t="s">
        <v>13284</v>
      </c>
      <c r="H4344" s="9" t="s">
        <v>13284</v>
      </c>
      <c r="I4344" s="9" t="s">
        <v>13284</v>
      </c>
      <c r="J4344" s="9" t="s">
        <v>13284</v>
      </c>
      <c r="K4344" s="9" t="s">
        <v>13284</v>
      </c>
      <c r="L4344" s="9" t="s">
        <v>13284</v>
      </c>
      <c r="M4344" s="9" t="s">
        <v>13284</v>
      </c>
      <c r="N4344" s="9" t="s">
        <v>13284</v>
      </c>
      <c r="O4344" s="9" t="s">
        <v>13284</v>
      </c>
      <c r="P4344" s="9" t="s">
        <v>13284</v>
      </c>
      <c r="Q4344" s="9" t="s">
        <v>13284</v>
      </c>
      <c r="R4344" s="9" t="s">
        <v>13284</v>
      </c>
      <c r="S4344" s="9" t="s">
        <v>13284</v>
      </c>
      <c r="T4344" s="9" t="str">
        <f ca="1">IFERROR(IF(AND(VLOOKUP(A4344, 'Актуальное состояние (из общего'!A:C,3,0) = "", A4344 &lt;&gt; ""), "ПРОВЕРИТЬ", VLOOKUP(A4344, 'Актуальное состояние (из общего'!A:C,3,0)), "")</f>
        <v/>
      </c>
      <c r="U4344" s="9" t="s">
        <v>13284</v>
      </c>
      <c r="V4344" s="9" t="s">
        <v>13284</v>
      </c>
      <c r="W4344" s="12"/>
      <c r="X4344" s="9" t="str">
        <f t="array" ref="X4344">IFERROR(INDEX('Адреса общежитий (скрытый)'!$B$2:$B$9, MATCH(W4344, 'Адреса общежитий (скрытый)'!$A$2:$A$9, 0)), "")</f>
        <v/>
      </c>
      <c r="Y4344" s="18"/>
      <c r="Z4344" s="18"/>
      <c r="AA4344" s="18"/>
      <c r="AB4344" s="18"/>
      <c r="AC4344" s="18"/>
    </row>
    <row r="4345" spans="1:29" ht="32.25" hidden="1" customHeight="1">
      <c r="A4345" s="17"/>
      <c r="B4345" s="9" t="s">
        <v>13284</v>
      </c>
      <c r="C4345" s="9" t="s">
        <v>13284</v>
      </c>
      <c r="D4345" s="9" t="s">
        <v>13284</v>
      </c>
      <c r="E4345" s="9" t="s">
        <v>13284</v>
      </c>
      <c r="F4345" s="9" t="s">
        <v>13284</v>
      </c>
      <c r="G4345" s="9" t="s">
        <v>13284</v>
      </c>
      <c r="H4345" s="9" t="s">
        <v>13284</v>
      </c>
      <c r="I4345" s="9" t="s">
        <v>13284</v>
      </c>
      <c r="J4345" s="9" t="s">
        <v>13284</v>
      </c>
      <c r="K4345" s="9" t="s">
        <v>13284</v>
      </c>
      <c r="L4345" s="9" t="s">
        <v>13284</v>
      </c>
      <c r="M4345" s="9" t="s">
        <v>13284</v>
      </c>
      <c r="N4345" s="9" t="s">
        <v>13284</v>
      </c>
      <c r="O4345" s="9" t="s">
        <v>13284</v>
      </c>
      <c r="P4345" s="9" t="s">
        <v>13284</v>
      </c>
      <c r="Q4345" s="9" t="s">
        <v>13284</v>
      </c>
      <c r="R4345" s="9" t="s">
        <v>13284</v>
      </c>
      <c r="S4345" s="9" t="s">
        <v>13284</v>
      </c>
      <c r="T4345" s="9" t="str">
        <f ca="1">IFERROR(IF(AND(VLOOKUP(A4345, 'Актуальное состояние (из общего'!A:C,3,0) = "", A4345 &lt;&gt; ""), "ПРОВЕРИТЬ", VLOOKUP(A4345, 'Актуальное состояние (из общего'!A:C,3,0)), "")</f>
        <v/>
      </c>
      <c r="U4345" s="9" t="s">
        <v>13284</v>
      </c>
      <c r="V4345" s="9" t="s">
        <v>13284</v>
      </c>
      <c r="W4345" s="12"/>
      <c r="X4345" s="9" t="str">
        <f t="array" ref="X4345">IFERROR(INDEX('Адреса общежитий (скрытый)'!$B$2:$B$9, MATCH(W4345, 'Адреса общежитий (скрытый)'!$A$2:$A$9, 0)), "")</f>
        <v/>
      </c>
      <c r="Y4345" s="18"/>
      <c r="Z4345" s="18"/>
      <c r="AA4345" s="18"/>
      <c r="AB4345" s="18"/>
      <c r="AC4345" s="18"/>
    </row>
    <row r="4346" spans="1:29" ht="32.25" hidden="1" customHeight="1">
      <c r="A4346" s="17"/>
      <c r="B4346" s="9" t="s">
        <v>13284</v>
      </c>
      <c r="C4346" s="9" t="s">
        <v>13284</v>
      </c>
      <c r="D4346" s="9" t="s">
        <v>13284</v>
      </c>
      <c r="E4346" s="9" t="s">
        <v>13284</v>
      </c>
      <c r="F4346" s="9" t="s">
        <v>13284</v>
      </c>
      <c r="G4346" s="9" t="s">
        <v>13284</v>
      </c>
      <c r="H4346" s="9" t="s">
        <v>13284</v>
      </c>
      <c r="I4346" s="9" t="s">
        <v>13284</v>
      </c>
      <c r="J4346" s="9" t="s">
        <v>13284</v>
      </c>
      <c r="K4346" s="9" t="s">
        <v>13284</v>
      </c>
      <c r="L4346" s="9" t="s">
        <v>13284</v>
      </c>
      <c r="M4346" s="9" t="s">
        <v>13284</v>
      </c>
      <c r="N4346" s="9" t="s">
        <v>13284</v>
      </c>
      <c r="O4346" s="9" t="s">
        <v>13284</v>
      </c>
      <c r="P4346" s="9" t="s">
        <v>13284</v>
      </c>
      <c r="Q4346" s="9" t="s">
        <v>13284</v>
      </c>
      <c r="R4346" s="9" t="s">
        <v>13284</v>
      </c>
      <c r="S4346" s="9" t="s">
        <v>13284</v>
      </c>
      <c r="T4346" s="9" t="str">
        <f ca="1">IFERROR(IF(AND(VLOOKUP(A4346, 'Актуальное состояние (из общего'!A:C,3,0) = "", A4346 &lt;&gt; ""), "ПРОВЕРИТЬ", VLOOKUP(A4346, 'Актуальное состояние (из общего'!A:C,3,0)), "")</f>
        <v/>
      </c>
      <c r="U4346" s="9" t="s">
        <v>13284</v>
      </c>
      <c r="V4346" s="9" t="s">
        <v>13284</v>
      </c>
      <c r="W4346" s="12"/>
      <c r="X4346" s="9" t="str">
        <f t="array" ref="X4346">IFERROR(INDEX('Адреса общежитий (скрытый)'!$B$2:$B$9, MATCH(W4346, 'Адреса общежитий (скрытый)'!$A$2:$A$9, 0)), "")</f>
        <v/>
      </c>
      <c r="Y4346" s="18"/>
      <c r="Z4346" s="18"/>
      <c r="AA4346" s="18"/>
      <c r="AB4346" s="18"/>
      <c r="AC4346" s="18"/>
    </row>
    <row r="4347" spans="1:29" ht="32.25" hidden="1" customHeight="1">
      <c r="A4347" s="17"/>
      <c r="B4347" s="9" t="s">
        <v>13284</v>
      </c>
      <c r="C4347" s="9" t="s">
        <v>13284</v>
      </c>
      <c r="D4347" s="9" t="s">
        <v>13284</v>
      </c>
      <c r="E4347" s="9" t="s">
        <v>13284</v>
      </c>
      <c r="F4347" s="9" t="s">
        <v>13284</v>
      </c>
      <c r="G4347" s="9" t="s">
        <v>13284</v>
      </c>
      <c r="H4347" s="9" t="s">
        <v>13284</v>
      </c>
      <c r="I4347" s="9" t="s">
        <v>13284</v>
      </c>
      <c r="J4347" s="9" t="s">
        <v>13284</v>
      </c>
      <c r="K4347" s="9" t="s">
        <v>13284</v>
      </c>
      <c r="L4347" s="9" t="s">
        <v>13284</v>
      </c>
      <c r="M4347" s="9" t="s">
        <v>13284</v>
      </c>
      <c r="N4347" s="9" t="s">
        <v>13284</v>
      </c>
      <c r="O4347" s="9" t="s">
        <v>13284</v>
      </c>
      <c r="P4347" s="9" t="s">
        <v>13284</v>
      </c>
      <c r="Q4347" s="9" t="s">
        <v>13284</v>
      </c>
      <c r="R4347" s="9" t="s">
        <v>13284</v>
      </c>
      <c r="S4347" s="9" t="s">
        <v>13284</v>
      </c>
      <c r="T4347" s="9" t="str">
        <f ca="1">IFERROR(IF(AND(VLOOKUP(A4347, 'Актуальное состояние (из общего'!A:C,3,0) = "", A4347 &lt;&gt; ""), "ПРОВЕРИТЬ", VLOOKUP(A4347, 'Актуальное состояние (из общего'!A:C,3,0)), "")</f>
        <v/>
      </c>
      <c r="U4347" s="9" t="s">
        <v>13284</v>
      </c>
      <c r="V4347" s="9" t="s">
        <v>13284</v>
      </c>
      <c r="W4347" s="12"/>
      <c r="X4347" s="9" t="str">
        <f t="array" ref="X4347">IFERROR(INDEX('Адреса общежитий (скрытый)'!$B$2:$B$9, MATCH(W4347, 'Адреса общежитий (скрытый)'!$A$2:$A$9, 0)), "")</f>
        <v/>
      </c>
      <c r="Y4347" s="18"/>
      <c r="Z4347" s="18"/>
      <c r="AA4347" s="18"/>
      <c r="AB4347" s="18"/>
      <c r="AC4347" s="18"/>
    </row>
    <row r="4348" spans="1:29" ht="32.25" hidden="1" customHeight="1">
      <c r="A4348" s="17"/>
      <c r="B4348" s="9" t="s">
        <v>13284</v>
      </c>
      <c r="C4348" s="9" t="s">
        <v>13284</v>
      </c>
      <c r="D4348" s="9" t="s">
        <v>13284</v>
      </c>
      <c r="E4348" s="9" t="s">
        <v>13284</v>
      </c>
      <c r="F4348" s="9" t="s">
        <v>13284</v>
      </c>
      <c r="G4348" s="9" t="s">
        <v>13284</v>
      </c>
      <c r="H4348" s="9" t="s">
        <v>13284</v>
      </c>
      <c r="I4348" s="9" t="s">
        <v>13284</v>
      </c>
      <c r="J4348" s="9" t="s">
        <v>13284</v>
      </c>
      <c r="K4348" s="9" t="s">
        <v>13284</v>
      </c>
      <c r="L4348" s="9" t="s">
        <v>13284</v>
      </c>
      <c r="M4348" s="9" t="s">
        <v>13284</v>
      </c>
      <c r="N4348" s="9" t="s">
        <v>13284</v>
      </c>
      <c r="O4348" s="9" t="s">
        <v>13284</v>
      </c>
      <c r="P4348" s="9" t="s">
        <v>13284</v>
      </c>
      <c r="Q4348" s="9" t="s">
        <v>13284</v>
      </c>
      <c r="R4348" s="9" t="s">
        <v>13284</v>
      </c>
      <c r="S4348" s="9" t="s">
        <v>13284</v>
      </c>
      <c r="T4348" s="9" t="str">
        <f ca="1">IFERROR(IF(AND(VLOOKUP(A4348, 'Актуальное состояние (из общего'!A:C,3,0) = "", A4348 &lt;&gt; ""), "ПРОВЕРИТЬ", VLOOKUP(A4348, 'Актуальное состояние (из общего'!A:C,3,0)), "")</f>
        <v/>
      </c>
      <c r="U4348" s="9" t="s">
        <v>13284</v>
      </c>
      <c r="V4348" s="9" t="s">
        <v>13284</v>
      </c>
      <c r="W4348" s="12"/>
      <c r="X4348" s="9" t="str">
        <f t="array" ref="X4348">IFERROR(INDEX('Адреса общежитий (скрытый)'!$B$2:$B$9, MATCH(W4348, 'Адреса общежитий (скрытый)'!$A$2:$A$9, 0)), "")</f>
        <v/>
      </c>
      <c r="Y4348" s="18"/>
      <c r="Z4348" s="18"/>
      <c r="AA4348" s="18"/>
      <c r="AB4348" s="18"/>
      <c r="AC4348" s="18"/>
    </row>
    <row r="4349" spans="1:29" ht="32.25" hidden="1" customHeight="1">
      <c r="A4349" s="17"/>
      <c r="B4349" s="9" t="s">
        <v>13284</v>
      </c>
      <c r="C4349" s="9" t="s">
        <v>13284</v>
      </c>
      <c r="D4349" s="9" t="s">
        <v>13284</v>
      </c>
      <c r="E4349" s="9" t="s">
        <v>13284</v>
      </c>
      <c r="F4349" s="9" t="s">
        <v>13284</v>
      </c>
      <c r="G4349" s="9" t="s">
        <v>13284</v>
      </c>
      <c r="H4349" s="9" t="s">
        <v>13284</v>
      </c>
      <c r="I4349" s="9" t="s">
        <v>13284</v>
      </c>
      <c r="J4349" s="9" t="s">
        <v>13284</v>
      </c>
      <c r="K4349" s="9" t="s">
        <v>13284</v>
      </c>
      <c r="L4349" s="9" t="s">
        <v>13284</v>
      </c>
      <c r="M4349" s="9" t="s">
        <v>13284</v>
      </c>
      <c r="N4349" s="9" t="s">
        <v>13284</v>
      </c>
      <c r="O4349" s="9" t="s">
        <v>13284</v>
      </c>
      <c r="P4349" s="9" t="s">
        <v>13284</v>
      </c>
      <c r="Q4349" s="9" t="s">
        <v>13284</v>
      </c>
      <c r="R4349" s="9" t="s">
        <v>13284</v>
      </c>
      <c r="S4349" s="9" t="s">
        <v>13284</v>
      </c>
      <c r="T4349" s="9" t="str">
        <f ca="1">IFERROR(IF(AND(VLOOKUP(A4349, 'Актуальное состояние (из общего'!A:C,3,0) = "", A4349 &lt;&gt; ""), "ПРОВЕРИТЬ", VLOOKUP(A4349, 'Актуальное состояние (из общего'!A:C,3,0)), "")</f>
        <v/>
      </c>
      <c r="U4349" s="9" t="s">
        <v>13284</v>
      </c>
      <c r="V4349" s="9" t="s">
        <v>13284</v>
      </c>
      <c r="W4349" s="12"/>
      <c r="X4349" s="9" t="str">
        <f t="array" ref="X4349">IFERROR(INDEX('Адреса общежитий (скрытый)'!$B$2:$B$9, MATCH(W4349, 'Адреса общежитий (скрытый)'!$A$2:$A$9, 0)), "")</f>
        <v/>
      </c>
      <c r="Y4349" s="18"/>
      <c r="Z4349" s="18"/>
      <c r="AA4349" s="18"/>
      <c r="AB4349" s="18"/>
      <c r="AC4349" s="18"/>
    </row>
    <row r="4350" spans="1:29" ht="32.25" hidden="1" customHeight="1">
      <c r="A4350" s="17"/>
      <c r="B4350" s="9" t="s">
        <v>13284</v>
      </c>
      <c r="C4350" s="9" t="s">
        <v>13284</v>
      </c>
      <c r="D4350" s="9" t="s">
        <v>13284</v>
      </c>
      <c r="E4350" s="9" t="s">
        <v>13284</v>
      </c>
      <c r="F4350" s="9" t="s">
        <v>13284</v>
      </c>
      <c r="G4350" s="9" t="s">
        <v>13284</v>
      </c>
      <c r="H4350" s="9" t="s">
        <v>13284</v>
      </c>
      <c r="I4350" s="9" t="s">
        <v>13284</v>
      </c>
      <c r="J4350" s="9" t="s">
        <v>13284</v>
      </c>
      <c r="K4350" s="9" t="s">
        <v>13284</v>
      </c>
      <c r="L4350" s="9" t="s">
        <v>13284</v>
      </c>
      <c r="M4350" s="9" t="s">
        <v>13284</v>
      </c>
      <c r="N4350" s="9" t="s">
        <v>13284</v>
      </c>
      <c r="O4350" s="9" t="s">
        <v>13284</v>
      </c>
      <c r="P4350" s="9" t="s">
        <v>13284</v>
      </c>
      <c r="Q4350" s="9" t="s">
        <v>13284</v>
      </c>
      <c r="R4350" s="9" t="s">
        <v>13284</v>
      </c>
      <c r="S4350" s="9" t="s">
        <v>13284</v>
      </c>
      <c r="T4350" s="9" t="str">
        <f ca="1">IFERROR(IF(AND(VLOOKUP(A4350, 'Актуальное состояние (из общего'!A:C,3,0) = "", A4350 &lt;&gt; ""), "ПРОВЕРИТЬ", VLOOKUP(A4350, 'Актуальное состояние (из общего'!A:C,3,0)), "")</f>
        <v/>
      </c>
      <c r="U4350" s="9" t="s">
        <v>13284</v>
      </c>
      <c r="V4350" s="9" t="s">
        <v>13284</v>
      </c>
      <c r="W4350" s="12"/>
      <c r="X4350" s="9" t="str">
        <f t="array" ref="X4350">IFERROR(INDEX('Адреса общежитий (скрытый)'!$B$2:$B$9, MATCH(W4350, 'Адреса общежитий (скрытый)'!$A$2:$A$9, 0)), "")</f>
        <v/>
      </c>
      <c r="Y4350" s="18"/>
      <c r="Z4350" s="18"/>
      <c r="AA4350" s="18"/>
      <c r="AB4350" s="18"/>
      <c r="AC4350" s="18"/>
    </row>
    <row r="4351" spans="1:29" ht="32.25" hidden="1" customHeight="1">
      <c r="A4351" s="17"/>
      <c r="B4351" s="9" t="s">
        <v>13284</v>
      </c>
      <c r="C4351" s="9" t="s">
        <v>13284</v>
      </c>
      <c r="D4351" s="9" t="s">
        <v>13284</v>
      </c>
      <c r="E4351" s="9" t="s">
        <v>13284</v>
      </c>
      <c r="F4351" s="9" t="s">
        <v>13284</v>
      </c>
      <c r="G4351" s="9" t="s">
        <v>13284</v>
      </c>
      <c r="H4351" s="9" t="s">
        <v>13284</v>
      </c>
      <c r="I4351" s="9" t="s">
        <v>13284</v>
      </c>
      <c r="J4351" s="9" t="s">
        <v>13284</v>
      </c>
      <c r="K4351" s="9" t="s">
        <v>13284</v>
      </c>
      <c r="L4351" s="9" t="s">
        <v>13284</v>
      </c>
      <c r="M4351" s="9" t="s">
        <v>13284</v>
      </c>
      <c r="N4351" s="9" t="s">
        <v>13284</v>
      </c>
      <c r="O4351" s="9" t="s">
        <v>13284</v>
      </c>
      <c r="P4351" s="9" t="s">
        <v>13284</v>
      </c>
      <c r="Q4351" s="9" t="s">
        <v>13284</v>
      </c>
      <c r="R4351" s="9" t="s">
        <v>13284</v>
      </c>
      <c r="S4351" s="9" t="s">
        <v>13284</v>
      </c>
      <c r="T4351" s="9" t="str">
        <f ca="1">IFERROR(IF(AND(VLOOKUP(A4351, 'Актуальное состояние (из общего'!A:C,3,0) = "", A4351 &lt;&gt; ""), "ПРОВЕРИТЬ", VLOOKUP(A4351, 'Актуальное состояние (из общего'!A:C,3,0)), "")</f>
        <v/>
      </c>
      <c r="U4351" s="9" t="s">
        <v>13284</v>
      </c>
      <c r="V4351" s="9" t="s">
        <v>13284</v>
      </c>
      <c r="W4351" s="12"/>
      <c r="X4351" s="9" t="str">
        <f t="array" ref="X4351">IFERROR(INDEX('Адреса общежитий (скрытый)'!$B$2:$B$9, MATCH(W4351, 'Адреса общежитий (скрытый)'!$A$2:$A$9, 0)), "")</f>
        <v/>
      </c>
      <c r="Y4351" s="18"/>
      <c r="Z4351" s="18"/>
      <c r="AA4351" s="18"/>
      <c r="AB4351" s="18"/>
      <c r="AC4351" s="18"/>
    </row>
    <row r="4352" spans="1:29" ht="32.25" hidden="1" customHeight="1">
      <c r="A4352" s="17"/>
      <c r="B4352" s="9" t="s">
        <v>13284</v>
      </c>
      <c r="C4352" s="9" t="s">
        <v>13284</v>
      </c>
      <c r="D4352" s="9" t="s">
        <v>13284</v>
      </c>
      <c r="E4352" s="9" t="s">
        <v>13284</v>
      </c>
      <c r="F4352" s="9" t="s">
        <v>13284</v>
      </c>
      <c r="G4352" s="9" t="s">
        <v>13284</v>
      </c>
      <c r="H4352" s="9" t="s">
        <v>13284</v>
      </c>
      <c r="I4352" s="9" t="s">
        <v>13284</v>
      </c>
      <c r="J4352" s="9" t="s">
        <v>13284</v>
      </c>
      <c r="K4352" s="9" t="s">
        <v>13284</v>
      </c>
      <c r="L4352" s="9" t="s">
        <v>13284</v>
      </c>
      <c r="M4352" s="9" t="s">
        <v>13284</v>
      </c>
      <c r="N4352" s="9" t="s">
        <v>13284</v>
      </c>
      <c r="O4352" s="9" t="s">
        <v>13284</v>
      </c>
      <c r="P4352" s="9" t="s">
        <v>13284</v>
      </c>
      <c r="Q4352" s="9" t="s">
        <v>13284</v>
      </c>
      <c r="R4352" s="9" t="s">
        <v>13284</v>
      </c>
      <c r="S4352" s="9" t="s">
        <v>13284</v>
      </c>
      <c r="T4352" s="9" t="str">
        <f ca="1">IFERROR(IF(AND(VLOOKUP(A4352, 'Актуальное состояние (из общего'!A:C,3,0) = "", A4352 &lt;&gt; ""), "ПРОВЕРИТЬ", VLOOKUP(A4352, 'Актуальное состояние (из общего'!A:C,3,0)), "")</f>
        <v/>
      </c>
      <c r="U4352" s="9" t="s">
        <v>13284</v>
      </c>
      <c r="V4352" s="9" t="s">
        <v>13284</v>
      </c>
      <c r="W4352" s="12"/>
      <c r="X4352" s="9" t="str">
        <f t="array" ref="X4352">IFERROR(INDEX('Адреса общежитий (скрытый)'!$B$2:$B$9, MATCH(W4352, 'Адреса общежитий (скрытый)'!$A$2:$A$9, 0)), "")</f>
        <v/>
      </c>
      <c r="Y4352" s="18"/>
      <c r="Z4352" s="18"/>
      <c r="AA4352" s="18"/>
      <c r="AB4352" s="18"/>
      <c r="AC4352" s="18"/>
    </row>
    <row r="4353" spans="1:29" ht="32.25" hidden="1" customHeight="1">
      <c r="A4353" s="17"/>
      <c r="B4353" s="9" t="s">
        <v>13284</v>
      </c>
      <c r="C4353" s="9" t="s">
        <v>13284</v>
      </c>
      <c r="D4353" s="9" t="s">
        <v>13284</v>
      </c>
      <c r="E4353" s="9" t="s">
        <v>13284</v>
      </c>
      <c r="F4353" s="9" t="s">
        <v>13284</v>
      </c>
      <c r="G4353" s="9" t="s">
        <v>13284</v>
      </c>
      <c r="H4353" s="9" t="s">
        <v>13284</v>
      </c>
      <c r="I4353" s="9" t="s">
        <v>13284</v>
      </c>
      <c r="J4353" s="9" t="s">
        <v>13284</v>
      </c>
      <c r="K4353" s="9" t="s">
        <v>13284</v>
      </c>
      <c r="L4353" s="9" t="s">
        <v>13284</v>
      </c>
      <c r="M4353" s="9" t="s">
        <v>13284</v>
      </c>
      <c r="N4353" s="9" t="s">
        <v>13284</v>
      </c>
      <c r="O4353" s="9" t="s">
        <v>13284</v>
      </c>
      <c r="P4353" s="9" t="s">
        <v>13284</v>
      </c>
      <c r="Q4353" s="9" t="s">
        <v>13284</v>
      </c>
      <c r="R4353" s="9" t="s">
        <v>13284</v>
      </c>
      <c r="S4353" s="9" t="s">
        <v>13284</v>
      </c>
      <c r="T4353" s="9" t="str">
        <f ca="1">IFERROR(IF(AND(VLOOKUP(A4353, 'Актуальное состояние (из общего'!A:C,3,0) = "", A4353 &lt;&gt; ""), "ПРОВЕРИТЬ", VLOOKUP(A4353, 'Актуальное состояние (из общего'!A:C,3,0)), "")</f>
        <v/>
      </c>
      <c r="U4353" s="9" t="s">
        <v>13284</v>
      </c>
      <c r="V4353" s="9" t="s">
        <v>13284</v>
      </c>
      <c r="W4353" s="12"/>
      <c r="X4353" s="9" t="str">
        <f t="array" ref="X4353">IFERROR(INDEX('Адреса общежитий (скрытый)'!$B$2:$B$9, MATCH(W4353, 'Адреса общежитий (скрытый)'!$A$2:$A$9, 0)), "")</f>
        <v/>
      </c>
      <c r="Y4353" s="18"/>
      <c r="Z4353" s="18"/>
      <c r="AA4353" s="18"/>
      <c r="AB4353" s="18"/>
      <c r="AC4353" s="18"/>
    </row>
    <row r="4354" spans="1:29" ht="32.25" hidden="1" customHeight="1">
      <c r="A4354" s="17"/>
      <c r="B4354" s="9" t="s">
        <v>13284</v>
      </c>
      <c r="C4354" s="9" t="s">
        <v>13284</v>
      </c>
      <c r="D4354" s="9" t="s">
        <v>13284</v>
      </c>
      <c r="E4354" s="9" t="s">
        <v>13284</v>
      </c>
      <c r="F4354" s="9" t="s">
        <v>13284</v>
      </c>
      <c r="G4354" s="9" t="s">
        <v>13284</v>
      </c>
      <c r="H4354" s="9" t="s">
        <v>13284</v>
      </c>
      <c r="I4354" s="9" t="s">
        <v>13284</v>
      </c>
      <c r="J4354" s="9" t="s">
        <v>13284</v>
      </c>
      <c r="K4354" s="9" t="s">
        <v>13284</v>
      </c>
      <c r="L4354" s="9" t="s">
        <v>13284</v>
      </c>
      <c r="M4354" s="9" t="s">
        <v>13284</v>
      </c>
      <c r="N4354" s="9" t="s">
        <v>13284</v>
      </c>
      <c r="O4354" s="9" t="s">
        <v>13284</v>
      </c>
      <c r="P4354" s="9" t="s">
        <v>13284</v>
      </c>
      <c r="Q4354" s="9" t="s">
        <v>13284</v>
      </c>
      <c r="R4354" s="9" t="s">
        <v>13284</v>
      </c>
      <c r="S4354" s="9" t="s">
        <v>13284</v>
      </c>
      <c r="T4354" s="9" t="str">
        <f ca="1">IFERROR(IF(AND(VLOOKUP(A4354, 'Актуальное состояние (из общего'!A:C,3,0) = "", A4354 &lt;&gt; ""), "ПРОВЕРИТЬ", VLOOKUP(A4354, 'Актуальное состояние (из общего'!A:C,3,0)), "")</f>
        <v/>
      </c>
      <c r="U4354" s="9" t="s">
        <v>13284</v>
      </c>
      <c r="V4354" s="9" t="s">
        <v>13284</v>
      </c>
      <c r="W4354" s="12"/>
      <c r="X4354" s="9" t="str">
        <f t="array" ref="X4354">IFERROR(INDEX('Адреса общежитий (скрытый)'!$B$2:$B$9, MATCH(W4354, 'Адреса общежитий (скрытый)'!$A$2:$A$9, 0)), "")</f>
        <v/>
      </c>
      <c r="Y4354" s="18"/>
      <c r="Z4354" s="18"/>
      <c r="AA4354" s="18"/>
      <c r="AB4354" s="18"/>
      <c r="AC4354" s="18"/>
    </row>
    <row r="4355" spans="1:29" ht="32.25" hidden="1" customHeight="1">
      <c r="A4355" s="17"/>
      <c r="B4355" s="9" t="s">
        <v>13284</v>
      </c>
      <c r="C4355" s="9" t="s">
        <v>13284</v>
      </c>
      <c r="D4355" s="9" t="s">
        <v>13284</v>
      </c>
      <c r="E4355" s="9" t="s">
        <v>13284</v>
      </c>
      <c r="F4355" s="9" t="s">
        <v>13284</v>
      </c>
      <c r="G4355" s="9" t="s">
        <v>13284</v>
      </c>
      <c r="H4355" s="9" t="s">
        <v>13284</v>
      </c>
      <c r="I4355" s="9" t="s">
        <v>13284</v>
      </c>
      <c r="J4355" s="9" t="s">
        <v>13284</v>
      </c>
      <c r="K4355" s="9" t="s">
        <v>13284</v>
      </c>
      <c r="L4355" s="9" t="s">
        <v>13284</v>
      </c>
      <c r="M4355" s="9" t="s">
        <v>13284</v>
      </c>
      <c r="N4355" s="9" t="s">
        <v>13284</v>
      </c>
      <c r="O4355" s="9" t="s">
        <v>13284</v>
      </c>
      <c r="P4355" s="9" t="s">
        <v>13284</v>
      </c>
      <c r="Q4355" s="9" t="s">
        <v>13284</v>
      </c>
      <c r="R4355" s="9" t="s">
        <v>13284</v>
      </c>
      <c r="S4355" s="9" t="s">
        <v>13284</v>
      </c>
      <c r="T4355" s="9" t="str">
        <f ca="1">IFERROR(IF(AND(VLOOKUP(A4355, 'Актуальное состояние (из общего'!A:C,3,0) = "", A4355 &lt;&gt; ""), "ПРОВЕРИТЬ", VLOOKUP(A4355, 'Актуальное состояние (из общего'!A:C,3,0)), "")</f>
        <v/>
      </c>
      <c r="U4355" s="9" t="s">
        <v>13284</v>
      </c>
      <c r="V4355" s="9" t="s">
        <v>13284</v>
      </c>
      <c r="W4355" s="12"/>
      <c r="X4355" s="9" t="str">
        <f t="array" ref="X4355">IFERROR(INDEX('Адреса общежитий (скрытый)'!$B$2:$B$9, MATCH(W4355, 'Адреса общежитий (скрытый)'!$A$2:$A$9, 0)), "")</f>
        <v/>
      </c>
      <c r="Y4355" s="18"/>
      <c r="Z4355" s="18"/>
      <c r="AA4355" s="18"/>
      <c r="AB4355" s="18"/>
      <c r="AC4355" s="18"/>
    </row>
    <row r="4356" spans="1:29" ht="32.25" hidden="1" customHeight="1">
      <c r="A4356" s="17"/>
      <c r="B4356" s="9" t="s">
        <v>13284</v>
      </c>
      <c r="C4356" s="9" t="s">
        <v>13284</v>
      </c>
      <c r="D4356" s="9" t="s">
        <v>13284</v>
      </c>
      <c r="E4356" s="9" t="s">
        <v>13284</v>
      </c>
      <c r="F4356" s="9" t="s">
        <v>13284</v>
      </c>
      <c r="G4356" s="9" t="s">
        <v>13284</v>
      </c>
      <c r="H4356" s="9" t="s">
        <v>13284</v>
      </c>
      <c r="I4356" s="9" t="s">
        <v>13284</v>
      </c>
      <c r="J4356" s="9" t="s">
        <v>13284</v>
      </c>
      <c r="K4356" s="9" t="s">
        <v>13284</v>
      </c>
      <c r="L4356" s="9" t="s">
        <v>13284</v>
      </c>
      <c r="M4356" s="9" t="s">
        <v>13284</v>
      </c>
      <c r="N4356" s="9" t="s">
        <v>13284</v>
      </c>
      <c r="O4356" s="9" t="s">
        <v>13284</v>
      </c>
      <c r="P4356" s="9" t="s">
        <v>13284</v>
      </c>
      <c r="Q4356" s="9" t="s">
        <v>13284</v>
      </c>
      <c r="R4356" s="9" t="s">
        <v>13284</v>
      </c>
      <c r="S4356" s="9" t="s">
        <v>13284</v>
      </c>
      <c r="T4356" s="9" t="str">
        <f ca="1">IFERROR(IF(AND(VLOOKUP(A4356, 'Актуальное состояние (из общего'!A:C,3,0) = "", A4356 &lt;&gt; ""), "ПРОВЕРИТЬ", VLOOKUP(A4356, 'Актуальное состояние (из общего'!A:C,3,0)), "")</f>
        <v/>
      </c>
      <c r="U4356" s="9" t="s">
        <v>13284</v>
      </c>
      <c r="V4356" s="9" t="s">
        <v>13284</v>
      </c>
      <c r="W4356" s="12"/>
      <c r="X4356" s="9" t="str">
        <f t="array" ref="X4356">IFERROR(INDEX('Адреса общежитий (скрытый)'!$B$2:$B$9, MATCH(W4356, 'Адреса общежитий (скрытый)'!$A$2:$A$9, 0)), "")</f>
        <v/>
      </c>
      <c r="Y4356" s="18"/>
      <c r="Z4356" s="18"/>
      <c r="AA4356" s="18"/>
      <c r="AB4356" s="18"/>
      <c r="AC4356" s="18"/>
    </row>
    <row r="4357" spans="1:29" ht="32.25" hidden="1" customHeight="1">
      <c r="A4357" s="17"/>
      <c r="B4357" s="9" t="s">
        <v>13284</v>
      </c>
      <c r="C4357" s="9" t="s">
        <v>13284</v>
      </c>
      <c r="D4357" s="9" t="s">
        <v>13284</v>
      </c>
      <c r="E4357" s="9" t="s">
        <v>13284</v>
      </c>
      <c r="F4357" s="9" t="s">
        <v>13284</v>
      </c>
      <c r="G4357" s="9" t="s">
        <v>13284</v>
      </c>
      <c r="H4357" s="9" t="s">
        <v>13284</v>
      </c>
      <c r="I4357" s="9" t="s">
        <v>13284</v>
      </c>
      <c r="J4357" s="9" t="s">
        <v>13284</v>
      </c>
      <c r="K4357" s="9" t="s">
        <v>13284</v>
      </c>
      <c r="L4357" s="9" t="s">
        <v>13284</v>
      </c>
      <c r="M4357" s="9" t="s">
        <v>13284</v>
      </c>
      <c r="N4357" s="9" t="s">
        <v>13284</v>
      </c>
      <c r="O4357" s="9" t="s">
        <v>13284</v>
      </c>
      <c r="P4357" s="9" t="s">
        <v>13284</v>
      </c>
      <c r="Q4357" s="9" t="s">
        <v>13284</v>
      </c>
      <c r="R4357" s="9" t="s">
        <v>13284</v>
      </c>
      <c r="S4357" s="9" t="s">
        <v>13284</v>
      </c>
      <c r="T4357" s="9" t="str">
        <f ca="1">IFERROR(IF(AND(VLOOKUP(A4357, 'Актуальное состояние (из общего'!A:C,3,0) = "", A4357 &lt;&gt; ""), "ПРОВЕРИТЬ", VLOOKUP(A4357, 'Актуальное состояние (из общего'!A:C,3,0)), "")</f>
        <v/>
      </c>
      <c r="U4357" s="9" t="s">
        <v>13284</v>
      </c>
      <c r="V4357" s="9" t="s">
        <v>13284</v>
      </c>
      <c r="W4357" s="12"/>
      <c r="X4357" s="9" t="str">
        <f t="array" ref="X4357">IFERROR(INDEX('Адреса общежитий (скрытый)'!$B$2:$B$9, MATCH(W4357, 'Адреса общежитий (скрытый)'!$A$2:$A$9, 0)), "")</f>
        <v/>
      </c>
      <c r="Y4357" s="18"/>
      <c r="Z4357" s="18"/>
      <c r="AA4357" s="18"/>
      <c r="AB4357" s="18"/>
      <c r="AC4357" s="18"/>
    </row>
    <row r="4358" spans="1:29" ht="32.25" hidden="1" customHeight="1">
      <c r="A4358" s="17"/>
      <c r="B4358" s="9" t="s">
        <v>13284</v>
      </c>
      <c r="C4358" s="9" t="s">
        <v>13284</v>
      </c>
      <c r="D4358" s="9" t="s">
        <v>13284</v>
      </c>
      <c r="E4358" s="9" t="s">
        <v>13284</v>
      </c>
      <c r="F4358" s="9" t="s">
        <v>13284</v>
      </c>
      <c r="G4358" s="9" t="s">
        <v>13284</v>
      </c>
      <c r="H4358" s="9" t="s">
        <v>13284</v>
      </c>
      <c r="I4358" s="9" t="s">
        <v>13284</v>
      </c>
      <c r="J4358" s="9" t="s">
        <v>13284</v>
      </c>
      <c r="K4358" s="9" t="s">
        <v>13284</v>
      </c>
      <c r="L4358" s="9" t="s">
        <v>13284</v>
      </c>
      <c r="M4358" s="9" t="s">
        <v>13284</v>
      </c>
      <c r="N4358" s="9" t="s">
        <v>13284</v>
      </c>
      <c r="O4358" s="9" t="s">
        <v>13284</v>
      </c>
      <c r="P4358" s="9" t="s">
        <v>13284</v>
      </c>
      <c r="Q4358" s="9" t="s">
        <v>13284</v>
      </c>
      <c r="R4358" s="9" t="s">
        <v>13284</v>
      </c>
      <c r="S4358" s="9" t="s">
        <v>13284</v>
      </c>
      <c r="T4358" s="9" t="str">
        <f ca="1">IFERROR(IF(AND(VLOOKUP(A4358, 'Актуальное состояние (из общего'!A:C,3,0) = "", A4358 &lt;&gt; ""), "ПРОВЕРИТЬ", VLOOKUP(A4358, 'Актуальное состояние (из общего'!A:C,3,0)), "")</f>
        <v/>
      </c>
      <c r="U4358" s="9" t="s">
        <v>13284</v>
      </c>
      <c r="V4358" s="9" t="s">
        <v>13284</v>
      </c>
      <c r="W4358" s="12"/>
      <c r="X4358" s="9" t="str">
        <f t="array" ref="X4358">IFERROR(INDEX('Адреса общежитий (скрытый)'!$B$2:$B$9, MATCH(W4358, 'Адреса общежитий (скрытый)'!$A$2:$A$9, 0)), "")</f>
        <v/>
      </c>
      <c r="Y4358" s="18"/>
      <c r="Z4358" s="18"/>
      <c r="AA4358" s="18"/>
      <c r="AB4358" s="18"/>
      <c r="AC4358" s="18"/>
    </row>
    <row r="4359" spans="1:29" ht="32.25" hidden="1" customHeight="1">
      <c r="A4359" s="17"/>
      <c r="B4359" s="9" t="s">
        <v>13284</v>
      </c>
      <c r="C4359" s="9" t="s">
        <v>13284</v>
      </c>
      <c r="D4359" s="9" t="s">
        <v>13284</v>
      </c>
      <c r="E4359" s="9" t="s">
        <v>13284</v>
      </c>
      <c r="F4359" s="9" t="s">
        <v>13284</v>
      </c>
      <c r="G4359" s="9" t="s">
        <v>13284</v>
      </c>
      <c r="H4359" s="9" t="s">
        <v>13284</v>
      </c>
      <c r="I4359" s="9" t="s">
        <v>13284</v>
      </c>
      <c r="J4359" s="9" t="s">
        <v>13284</v>
      </c>
      <c r="K4359" s="9" t="s">
        <v>13284</v>
      </c>
      <c r="L4359" s="9" t="s">
        <v>13284</v>
      </c>
      <c r="M4359" s="9" t="s">
        <v>13284</v>
      </c>
      <c r="N4359" s="9" t="s">
        <v>13284</v>
      </c>
      <c r="O4359" s="9" t="s">
        <v>13284</v>
      </c>
      <c r="P4359" s="9" t="s">
        <v>13284</v>
      </c>
      <c r="Q4359" s="9" t="s">
        <v>13284</v>
      </c>
      <c r="R4359" s="9" t="s">
        <v>13284</v>
      </c>
      <c r="S4359" s="9" t="s">
        <v>13284</v>
      </c>
      <c r="T4359" s="9" t="str">
        <f ca="1">IFERROR(IF(AND(VLOOKUP(A4359, 'Актуальное состояние (из общего'!A:C,3,0) = "", A4359 &lt;&gt; ""), "ПРОВЕРИТЬ", VLOOKUP(A4359, 'Актуальное состояние (из общего'!A:C,3,0)), "")</f>
        <v/>
      </c>
      <c r="U4359" s="9" t="s">
        <v>13284</v>
      </c>
      <c r="V4359" s="9" t="s">
        <v>13284</v>
      </c>
      <c r="W4359" s="12"/>
      <c r="X4359" s="9" t="str">
        <f t="array" ref="X4359">IFERROR(INDEX('Адреса общежитий (скрытый)'!$B$2:$B$9, MATCH(W4359, 'Адреса общежитий (скрытый)'!$A$2:$A$9, 0)), "")</f>
        <v/>
      </c>
      <c r="Y4359" s="18"/>
      <c r="Z4359" s="18"/>
      <c r="AA4359" s="18"/>
      <c r="AB4359" s="18"/>
      <c r="AC4359" s="18"/>
    </row>
    <row r="4360" spans="1:29" ht="32.25" hidden="1" customHeight="1">
      <c r="A4360" s="17"/>
      <c r="B4360" s="9" t="s">
        <v>13284</v>
      </c>
      <c r="C4360" s="9" t="s">
        <v>13284</v>
      </c>
      <c r="D4360" s="9" t="s">
        <v>13284</v>
      </c>
      <c r="E4360" s="9" t="s">
        <v>13284</v>
      </c>
      <c r="F4360" s="9" t="s">
        <v>13284</v>
      </c>
      <c r="G4360" s="9" t="s">
        <v>13284</v>
      </c>
      <c r="H4360" s="9" t="s">
        <v>13284</v>
      </c>
      <c r="I4360" s="9" t="s">
        <v>13284</v>
      </c>
      <c r="J4360" s="9" t="s">
        <v>13284</v>
      </c>
      <c r="K4360" s="9" t="s">
        <v>13284</v>
      </c>
      <c r="L4360" s="9" t="s">
        <v>13284</v>
      </c>
      <c r="M4360" s="9" t="s">
        <v>13284</v>
      </c>
      <c r="N4360" s="9" t="s">
        <v>13284</v>
      </c>
      <c r="O4360" s="9" t="s">
        <v>13284</v>
      </c>
      <c r="P4360" s="9" t="s">
        <v>13284</v>
      </c>
      <c r="Q4360" s="9" t="s">
        <v>13284</v>
      </c>
      <c r="R4360" s="9" t="s">
        <v>13284</v>
      </c>
      <c r="S4360" s="9" t="s">
        <v>13284</v>
      </c>
      <c r="T4360" s="9" t="str">
        <f ca="1">IFERROR(IF(AND(VLOOKUP(A4360, 'Актуальное состояние (из общего'!A:C,3,0) = "", A4360 &lt;&gt; ""), "ПРОВЕРИТЬ", VLOOKUP(A4360, 'Актуальное состояние (из общего'!A:C,3,0)), "")</f>
        <v/>
      </c>
      <c r="U4360" s="9" t="s">
        <v>13284</v>
      </c>
      <c r="V4360" s="9" t="s">
        <v>13284</v>
      </c>
      <c r="W4360" s="12"/>
      <c r="X4360" s="9" t="str">
        <f t="array" ref="X4360">IFERROR(INDEX('Адреса общежитий (скрытый)'!$B$2:$B$9, MATCH(W4360, 'Адреса общежитий (скрытый)'!$A$2:$A$9, 0)), "")</f>
        <v/>
      </c>
      <c r="Y4360" s="18"/>
      <c r="Z4360" s="18"/>
      <c r="AA4360" s="18"/>
      <c r="AB4360" s="18"/>
      <c r="AC4360" s="18"/>
    </row>
    <row r="4361" spans="1:29" ht="32.25" hidden="1" customHeight="1">
      <c r="A4361" s="17"/>
      <c r="B4361" s="9" t="s">
        <v>13284</v>
      </c>
      <c r="C4361" s="9" t="s">
        <v>13284</v>
      </c>
      <c r="D4361" s="9" t="s">
        <v>13284</v>
      </c>
      <c r="E4361" s="9" t="s">
        <v>13284</v>
      </c>
      <c r="F4361" s="9" t="s">
        <v>13284</v>
      </c>
      <c r="G4361" s="9" t="s">
        <v>13284</v>
      </c>
      <c r="H4361" s="9" t="s">
        <v>13284</v>
      </c>
      <c r="I4361" s="9" t="s">
        <v>13284</v>
      </c>
      <c r="J4361" s="9" t="s">
        <v>13284</v>
      </c>
      <c r="K4361" s="9" t="s">
        <v>13284</v>
      </c>
      <c r="L4361" s="9" t="s">
        <v>13284</v>
      </c>
      <c r="M4361" s="9" t="s">
        <v>13284</v>
      </c>
      <c r="N4361" s="9" t="s">
        <v>13284</v>
      </c>
      <c r="O4361" s="9" t="s">
        <v>13284</v>
      </c>
      <c r="P4361" s="9" t="s">
        <v>13284</v>
      </c>
      <c r="Q4361" s="9" t="s">
        <v>13284</v>
      </c>
      <c r="R4361" s="9" t="s">
        <v>13284</v>
      </c>
      <c r="S4361" s="9" t="s">
        <v>13284</v>
      </c>
      <c r="T4361" s="9" t="str">
        <f ca="1">IFERROR(IF(AND(VLOOKUP(A4361, 'Актуальное состояние (из общего'!A:C,3,0) = "", A4361 &lt;&gt; ""), "ПРОВЕРИТЬ", VLOOKUP(A4361, 'Актуальное состояние (из общего'!A:C,3,0)), "")</f>
        <v/>
      </c>
      <c r="U4361" s="9" t="s">
        <v>13284</v>
      </c>
      <c r="V4361" s="9" t="s">
        <v>13284</v>
      </c>
      <c r="W4361" s="12"/>
      <c r="X4361" s="9" t="str">
        <f t="array" ref="X4361">IFERROR(INDEX('Адреса общежитий (скрытый)'!$B$2:$B$9, MATCH(W4361, 'Адреса общежитий (скрытый)'!$A$2:$A$9, 0)), "")</f>
        <v/>
      </c>
      <c r="Y4361" s="18"/>
      <c r="Z4361" s="18"/>
      <c r="AA4361" s="18"/>
      <c r="AB4361" s="18"/>
      <c r="AC4361" s="18"/>
    </row>
    <row r="4362" spans="1:29" ht="32.25" hidden="1" customHeight="1">
      <c r="A4362" s="17"/>
      <c r="B4362" s="9" t="s">
        <v>13284</v>
      </c>
      <c r="C4362" s="9" t="s">
        <v>13284</v>
      </c>
      <c r="D4362" s="9" t="s">
        <v>13284</v>
      </c>
      <c r="E4362" s="9" t="s">
        <v>13284</v>
      </c>
      <c r="F4362" s="9" t="s">
        <v>13284</v>
      </c>
      <c r="G4362" s="9" t="s">
        <v>13284</v>
      </c>
      <c r="H4362" s="9" t="s">
        <v>13284</v>
      </c>
      <c r="I4362" s="9" t="s">
        <v>13284</v>
      </c>
      <c r="J4362" s="9" t="s">
        <v>13284</v>
      </c>
      <c r="K4362" s="9" t="s">
        <v>13284</v>
      </c>
      <c r="L4362" s="9" t="s">
        <v>13284</v>
      </c>
      <c r="M4362" s="9" t="s">
        <v>13284</v>
      </c>
      <c r="N4362" s="9" t="s">
        <v>13284</v>
      </c>
      <c r="O4362" s="9" t="s">
        <v>13284</v>
      </c>
      <c r="P4362" s="9" t="s">
        <v>13284</v>
      </c>
      <c r="Q4362" s="9" t="s">
        <v>13284</v>
      </c>
      <c r="R4362" s="9" t="s">
        <v>13284</v>
      </c>
      <c r="S4362" s="9" t="s">
        <v>13284</v>
      </c>
      <c r="T4362" s="9" t="str">
        <f ca="1">IFERROR(IF(AND(VLOOKUP(A4362, 'Актуальное состояние (из общего'!A:C,3,0) = "", A4362 &lt;&gt; ""), "ПРОВЕРИТЬ", VLOOKUP(A4362, 'Актуальное состояние (из общего'!A:C,3,0)), "")</f>
        <v/>
      </c>
      <c r="U4362" s="9" t="s">
        <v>13284</v>
      </c>
      <c r="V4362" s="9" t="s">
        <v>13284</v>
      </c>
      <c r="W4362" s="12"/>
      <c r="X4362" s="9" t="str">
        <f t="array" ref="X4362">IFERROR(INDEX('Адреса общежитий (скрытый)'!$B$2:$B$9, MATCH(W4362, 'Адреса общежитий (скрытый)'!$A$2:$A$9, 0)), "")</f>
        <v/>
      </c>
      <c r="Y4362" s="18"/>
      <c r="Z4362" s="18"/>
      <c r="AA4362" s="18"/>
      <c r="AB4362" s="18"/>
      <c r="AC4362" s="18"/>
    </row>
    <row r="4363" spans="1:29" ht="32.25" hidden="1" customHeight="1">
      <c r="A4363" s="17"/>
      <c r="B4363" s="9" t="s">
        <v>13284</v>
      </c>
      <c r="C4363" s="9" t="s">
        <v>13284</v>
      </c>
      <c r="D4363" s="9" t="s">
        <v>13284</v>
      </c>
      <c r="E4363" s="9" t="s">
        <v>13284</v>
      </c>
      <c r="F4363" s="9" t="s">
        <v>13284</v>
      </c>
      <c r="G4363" s="9" t="s">
        <v>13284</v>
      </c>
      <c r="H4363" s="9" t="s">
        <v>13284</v>
      </c>
      <c r="I4363" s="9" t="s">
        <v>13284</v>
      </c>
      <c r="J4363" s="9" t="s">
        <v>13284</v>
      </c>
      <c r="K4363" s="9" t="s">
        <v>13284</v>
      </c>
      <c r="L4363" s="9" t="s">
        <v>13284</v>
      </c>
      <c r="M4363" s="9" t="s">
        <v>13284</v>
      </c>
      <c r="N4363" s="9" t="s">
        <v>13284</v>
      </c>
      <c r="O4363" s="9" t="s">
        <v>13284</v>
      </c>
      <c r="P4363" s="9" t="s">
        <v>13284</v>
      </c>
      <c r="Q4363" s="9" t="s">
        <v>13284</v>
      </c>
      <c r="R4363" s="9" t="s">
        <v>13284</v>
      </c>
      <c r="S4363" s="9" t="s">
        <v>13284</v>
      </c>
      <c r="T4363" s="9" t="str">
        <f ca="1">IFERROR(IF(AND(VLOOKUP(A4363, 'Актуальное состояние (из общего'!A:C,3,0) = "", A4363 &lt;&gt; ""), "ПРОВЕРИТЬ", VLOOKUP(A4363, 'Актуальное состояние (из общего'!A:C,3,0)), "")</f>
        <v/>
      </c>
      <c r="U4363" s="9" t="s">
        <v>13284</v>
      </c>
      <c r="V4363" s="9" t="s">
        <v>13284</v>
      </c>
      <c r="W4363" s="12"/>
      <c r="X4363" s="9" t="str">
        <f t="array" ref="X4363">IFERROR(INDEX('Адреса общежитий (скрытый)'!$B$2:$B$9, MATCH(W4363, 'Адреса общежитий (скрытый)'!$A$2:$A$9, 0)), "")</f>
        <v/>
      </c>
      <c r="Y4363" s="18"/>
      <c r="Z4363" s="18"/>
      <c r="AA4363" s="18"/>
      <c r="AB4363" s="18"/>
      <c r="AC4363" s="18"/>
    </row>
    <row r="4364" spans="1:29" ht="32.25" hidden="1" customHeight="1">
      <c r="A4364" s="17"/>
      <c r="B4364" s="9" t="s">
        <v>13284</v>
      </c>
      <c r="C4364" s="9" t="s">
        <v>13284</v>
      </c>
      <c r="D4364" s="9" t="s">
        <v>13284</v>
      </c>
      <c r="E4364" s="9" t="s">
        <v>13284</v>
      </c>
      <c r="F4364" s="9" t="s">
        <v>13284</v>
      </c>
      <c r="G4364" s="9" t="s">
        <v>13284</v>
      </c>
      <c r="H4364" s="9" t="s">
        <v>13284</v>
      </c>
      <c r="I4364" s="9" t="s">
        <v>13284</v>
      </c>
      <c r="J4364" s="9" t="s">
        <v>13284</v>
      </c>
      <c r="K4364" s="9" t="s">
        <v>13284</v>
      </c>
      <c r="L4364" s="9" t="s">
        <v>13284</v>
      </c>
      <c r="M4364" s="9" t="s">
        <v>13284</v>
      </c>
      <c r="N4364" s="9" t="s">
        <v>13284</v>
      </c>
      <c r="O4364" s="9" t="s">
        <v>13284</v>
      </c>
      <c r="P4364" s="9" t="s">
        <v>13284</v>
      </c>
      <c r="Q4364" s="9" t="s">
        <v>13284</v>
      </c>
      <c r="R4364" s="9" t="s">
        <v>13284</v>
      </c>
      <c r="S4364" s="9" t="s">
        <v>13284</v>
      </c>
      <c r="T4364" s="9" t="str">
        <f ca="1">IFERROR(IF(AND(VLOOKUP(A4364, 'Актуальное состояние (из общего'!A:C,3,0) = "", A4364 &lt;&gt; ""), "ПРОВЕРИТЬ", VLOOKUP(A4364, 'Актуальное состояние (из общего'!A:C,3,0)), "")</f>
        <v/>
      </c>
      <c r="U4364" s="9" t="s">
        <v>13284</v>
      </c>
      <c r="V4364" s="9" t="s">
        <v>13284</v>
      </c>
      <c r="W4364" s="12"/>
      <c r="X4364" s="9" t="str">
        <f t="array" ref="X4364">IFERROR(INDEX('Адреса общежитий (скрытый)'!$B$2:$B$9, MATCH(W4364, 'Адреса общежитий (скрытый)'!$A$2:$A$9, 0)), "")</f>
        <v/>
      </c>
      <c r="Y4364" s="18"/>
      <c r="Z4364" s="18"/>
      <c r="AA4364" s="18"/>
      <c r="AB4364" s="18"/>
      <c r="AC4364" s="18"/>
    </row>
    <row r="4365" spans="1:29" ht="32.25" hidden="1" customHeight="1">
      <c r="A4365" s="17"/>
      <c r="B4365" s="9" t="s">
        <v>13284</v>
      </c>
      <c r="C4365" s="9" t="s">
        <v>13284</v>
      </c>
      <c r="D4365" s="9" t="s">
        <v>13284</v>
      </c>
      <c r="E4365" s="9" t="s">
        <v>13284</v>
      </c>
      <c r="F4365" s="9" t="s">
        <v>13284</v>
      </c>
      <c r="G4365" s="9" t="s">
        <v>13284</v>
      </c>
      <c r="H4365" s="9" t="s">
        <v>13284</v>
      </c>
      <c r="I4365" s="9" t="s">
        <v>13284</v>
      </c>
      <c r="J4365" s="9" t="s">
        <v>13284</v>
      </c>
      <c r="K4365" s="9" t="s">
        <v>13284</v>
      </c>
      <c r="L4365" s="9" t="s">
        <v>13284</v>
      </c>
      <c r="M4365" s="9" t="s">
        <v>13284</v>
      </c>
      <c r="N4365" s="9" t="s">
        <v>13284</v>
      </c>
      <c r="O4365" s="9" t="s">
        <v>13284</v>
      </c>
      <c r="P4365" s="9" t="s">
        <v>13284</v>
      </c>
      <c r="Q4365" s="9" t="s">
        <v>13284</v>
      </c>
      <c r="R4365" s="9" t="s">
        <v>13284</v>
      </c>
      <c r="S4365" s="9" t="s">
        <v>13284</v>
      </c>
      <c r="T4365" s="9" t="str">
        <f ca="1">IFERROR(IF(AND(VLOOKUP(A4365, 'Актуальное состояние (из общего'!A:C,3,0) = "", A4365 &lt;&gt; ""), "ПРОВЕРИТЬ", VLOOKUP(A4365, 'Актуальное состояние (из общего'!A:C,3,0)), "")</f>
        <v/>
      </c>
      <c r="U4365" s="9" t="s">
        <v>13284</v>
      </c>
      <c r="V4365" s="9" t="s">
        <v>13284</v>
      </c>
      <c r="W4365" s="12"/>
      <c r="X4365" s="9" t="str">
        <f t="array" ref="X4365">IFERROR(INDEX('Адреса общежитий (скрытый)'!$B$2:$B$9, MATCH(W4365, 'Адреса общежитий (скрытый)'!$A$2:$A$9, 0)), "")</f>
        <v/>
      </c>
      <c r="Y4365" s="18"/>
      <c r="Z4365" s="18"/>
      <c r="AA4365" s="18"/>
      <c r="AB4365" s="18"/>
      <c r="AC4365" s="18"/>
    </row>
    <row r="4366" spans="1:29" ht="32.25" hidden="1" customHeight="1">
      <c r="A4366" s="17"/>
      <c r="B4366" s="9" t="s">
        <v>13284</v>
      </c>
      <c r="C4366" s="9" t="s">
        <v>13284</v>
      </c>
      <c r="D4366" s="9" t="s">
        <v>13284</v>
      </c>
      <c r="E4366" s="9" t="s">
        <v>13284</v>
      </c>
      <c r="F4366" s="9" t="s">
        <v>13284</v>
      </c>
      <c r="G4366" s="9" t="s">
        <v>13284</v>
      </c>
      <c r="H4366" s="9" t="s">
        <v>13284</v>
      </c>
      <c r="I4366" s="9" t="s">
        <v>13284</v>
      </c>
      <c r="J4366" s="9" t="s">
        <v>13284</v>
      </c>
      <c r="K4366" s="9" t="s">
        <v>13284</v>
      </c>
      <c r="L4366" s="9" t="s">
        <v>13284</v>
      </c>
      <c r="M4366" s="9" t="s">
        <v>13284</v>
      </c>
      <c r="N4366" s="9" t="s">
        <v>13284</v>
      </c>
      <c r="O4366" s="9" t="s">
        <v>13284</v>
      </c>
      <c r="P4366" s="9" t="s">
        <v>13284</v>
      </c>
      <c r="Q4366" s="9" t="s">
        <v>13284</v>
      </c>
      <c r="R4366" s="9" t="s">
        <v>13284</v>
      </c>
      <c r="S4366" s="9" t="s">
        <v>13284</v>
      </c>
      <c r="T4366" s="9" t="str">
        <f ca="1">IFERROR(IF(AND(VLOOKUP(A4366, 'Актуальное состояние (из общего'!A:C,3,0) = "", A4366 &lt;&gt; ""), "ПРОВЕРИТЬ", VLOOKUP(A4366, 'Актуальное состояние (из общего'!A:C,3,0)), "")</f>
        <v/>
      </c>
      <c r="U4366" s="9" t="s">
        <v>13284</v>
      </c>
      <c r="V4366" s="9" t="s">
        <v>13284</v>
      </c>
      <c r="W4366" s="12"/>
      <c r="X4366" s="9" t="str">
        <f t="array" ref="X4366">IFERROR(INDEX('Адреса общежитий (скрытый)'!$B$2:$B$9, MATCH(W4366, 'Адреса общежитий (скрытый)'!$A$2:$A$9, 0)), "")</f>
        <v/>
      </c>
      <c r="Y4366" s="18"/>
      <c r="Z4366" s="18"/>
      <c r="AA4366" s="18"/>
      <c r="AB4366" s="18"/>
      <c r="AC4366" s="18"/>
    </row>
    <row r="4367" spans="1:29" ht="32.25" hidden="1" customHeight="1">
      <c r="A4367" s="17"/>
      <c r="B4367" s="9" t="s">
        <v>13284</v>
      </c>
      <c r="C4367" s="9" t="s">
        <v>13284</v>
      </c>
      <c r="D4367" s="9" t="s">
        <v>13284</v>
      </c>
      <c r="E4367" s="9" t="s">
        <v>13284</v>
      </c>
      <c r="F4367" s="9" t="s">
        <v>13284</v>
      </c>
      <c r="G4367" s="9" t="s">
        <v>13284</v>
      </c>
      <c r="H4367" s="9" t="s">
        <v>13284</v>
      </c>
      <c r="I4367" s="9" t="s">
        <v>13284</v>
      </c>
      <c r="J4367" s="9" t="s">
        <v>13284</v>
      </c>
      <c r="K4367" s="9" t="s">
        <v>13284</v>
      </c>
      <c r="L4367" s="9" t="s">
        <v>13284</v>
      </c>
      <c r="M4367" s="9" t="s">
        <v>13284</v>
      </c>
      <c r="N4367" s="9" t="s">
        <v>13284</v>
      </c>
      <c r="O4367" s="9" t="s">
        <v>13284</v>
      </c>
      <c r="P4367" s="9" t="s">
        <v>13284</v>
      </c>
      <c r="Q4367" s="9" t="s">
        <v>13284</v>
      </c>
      <c r="R4367" s="9" t="s">
        <v>13284</v>
      </c>
      <c r="S4367" s="9" t="s">
        <v>13284</v>
      </c>
      <c r="T4367" s="9" t="str">
        <f ca="1">IFERROR(IF(AND(VLOOKUP(A4367, 'Актуальное состояние (из общего'!A:C,3,0) = "", A4367 &lt;&gt; ""), "ПРОВЕРИТЬ", VLOOKUP(A4367, 'Актуальное состояние (из общего'!A:C,3,0)), "")</f>
        <v/>
      </c>
      <c r="U4367" s="9" t="s">
        <v>13284</v>
      </c>
      <c r="V4367" s="9" t="s">
        <v>13284</v>
      </c>
      <c r="W4367" s="12"/>
      <c r="X4367" s="9" t="str">
        <f t="array" ref="X4367">IFERROR(INDEX('Адреса общежитий (скрытый)'!$B$2:$B$9, MATCH(W4367, 'Адреса общежитий (скрытый)'!$A$2:$A$9, 0)), "")</f>
        <v/>
      </c>
      <c r="Y4367" s="18"/>
      <c r="Z4367" s="18"/>
      <c r="AA4367" s="18"/>
      <c r="AB4367" s="18"/>
      <c r="AC4367" s="18"/>
    </row>
    <row r="4368" spans="1:29" ht="32.25" hidden="1" customHeight="1">
      <c r="A4368" s="17"/>
      <c r="B4368" s="9" t="s">
        <v>13284</v>
      </c>
      <c r="C4368" s="9" t="s">
        <v>13284</v>
      </c>
      <c r="D4368" s="9" t="s">
        <v>13284</v>
      </c>
      <c r="E4368" s="9" t="s">
        <v>13284</v>
      </c>
      <c r="F4368" s="9" t="s">
        <v>13284</v>
      </c>
      <c r="G4368" s="9" t="s">
        <v>13284</v>
      </c>
      <c r="H4368" s="9" t="s">
        <v>13284</v>
      </c>
      <c r="I4368" s="9" t="s">
        <v>13284</v>
      </c>
      <c r="J4368" s="9" t="s">
        <v>13284</v>
      </c>
      <c r="K4368" s="9" t="s">
        <v>13284</v>
      </c>
      <c r="L4368" s="9" t="s">
        <v>13284</v>
      </c>
      <c r="M4368" s="9" t="s">
        <v>13284</v>
      </c>
      <c r="N4368" s="9" t="s">
        <v>13284</v>
      </c>
      <c r="O4368" s="9" t="s">
        <v>13284</v>
      </c>
      <c r="P4368" s="9" t="s">
        <v>13284</v>
      </c>
      <c r="Q4368" s="9" t="s">
        <v>13284</v>
      </c>
      <c r="R4368" s="9" t="s">
        <v>13284</v>
      </c>
      <c r="S4368" s="9" t="s">
        <v>13284</v>
      </c>
      <c r="T4368" s="9" t="str">
        <f ca="1">IFERROR(IF(AND(VLOOKUP(A4368, 'Актуальное состояние (из общего'!A:C,3,0) = "", A4368 &lt;&gt; ""), "ПРОВЕРИТЬ", VLOOKUP(A4368, 'Актуальное состояние (из общего'!A:C,3,0)), "")</f>
        <v/>
      </c>
      <c r="U4368" s="9" t="s">
        <v>13284</v>
      </c>
      <c r="V4368" s="9" t="s">
        <v>13284</v>
      </c>
      <c r="W4368" s="12"/>
      <c r="X4368" s="9" t="str">
        <f t="array" ref="X4368">IFERROR(INDEX('Адреса общежитий (скрытый)'!$B$2:$B$9, MATCH(W4368, 'Адреса общежитий (скрытый)'!$A$2:$A$9, 0)), "")</f>
        <v/>
      </c>
      <c r="Y4368" s="18"/>
      <c r="Z4368" s="18"/>
      <c r="AA4368" s="18"/>
      <c r="AB4368" s="18"/>
      <c r="AC4368" s="18"/>
    </row>
    <row r="4369" spans="1:29" ht="32.25" hidden="1" customHeight="1">
      <c r="A4369" s="17"/>
      <c r="B4369" s="9" t="s">
        <v>13284</v>
      </c>
      <c r="C4369" s="9" t="s">
        <v>13284</v>
      </c>
      <c r="D4369" s="9" t="s">
        <v>13284</v>
      </c>
      <c r="E4369" s="9" t="s">
        <v>13284</v>
      </c>
      <c r="F4369" s="9" t="s">
        <v>13284</v>
      </c>
      <c r="G4369" s="9" t="s">
        <v>13284</v>
      </c>
      <c r="H4369" s="9" t="s">
        <v>13284</v>
      </c>
      <c r="I4369" s="9" t="s">
        <v>13284</v>
      </c>
      <c r="J4369" s="9" t="s">
        <v>13284</v>
      </c>
      <c r="K4369" s="9" t="s">
        <v>13284</v>
      </c>
      <c r="L4369" s="9" t="s">
        <v>13284</v>
      </c>
      <c r="M4369" s="9" t="s">
        <v>13284</v>
      </c>
      <c r="N4369" s="9" t="s">
        <v>13284</v>
      </c>
      <c r="O4369" s="9" t="s">
        <v>13284</v>
      </c>
      <c r="P4369" s="9" t="s">
        <v>13284</v>
      </c>
      <c r="Q4369" s="9" t="s">
        <v>13284</v>
      </c>
      <c r="R4369" s="9" t="s">
        <v>13284</v>
      </c>
      <c r="S4369" s="9" t="s">
        <v>13284</v>
      </c>
      <c r="T4369" s="9" t="str">
        <f ca="1">IFERROR(IF(AND(VLOOKUP(A4369, 'Актуальное состояние (из общего'!A:C,3,0) = "", A4369 &lt;&gt; ""), "ПРОВЕРИТЬ", VLOOKUP(A4369, 'Актуальное состояние (из общего'!A:C,3,0)), "")</f>
        <v/>
      </c>
      <c r="U4369" s="9" t="s">
        <v>13284</v>
      </c>
      <c r="V4369" s="9" t="s">
        <v>13284</v>
      </c>
      <c r="W4369" s="12"/>
      <c r="X4369" s="9" t="str">
        <f t="array" ref="X4369">IFERROR(INDEX('Адреса общежитий (скрытый)'!$B$2:$B$9, MATCH(W4369, 'Адреса общежитий (скрытый)'!$A$2:$A$9, 0)), "")</f>
        <v/>
      </c>
      <c r="Y4369" s="18"/>
      <c r="Z4369" s="18"/>
      <c r="AA4369" s="18"/>
      <c r="AB4369" s="18"/>
      <c r="AC4369" s="18"/>
    </row>
    <row r="4370" spans="1:29" ht="32.25" hidden="1" customHeight="1">
      <c r="A4370" s="17"/>
      <c r="B4370" s="9" t="s">
        <v>13284</v>
      </c>
      <c r="C4370" s="9" t="s">
        <v>13284</v>
      </c>
      <c r="D4370" s="9" t="s">
        <v>13284</v>
      </c>
      <c r="E4370" s="9" t="s">
        <v>13284</v>
      </c>
      <c r="F4370" s="9" t="s">
        <v>13284</v>
      </c>
      <c r="G4370" s="9" t="s">
        <v>13284</v>
      </c>
      <c r="H4370" s="9" t="s">
        <v>13284</v>
      </c>
      <c r="I4370" s="9" t="s">
        <v>13284</v>
      </c>
      <c r="J4370" s="9" t="s">
        <v>13284</v>
      </c>
      <c r="K4370" s="9" t="s">
        <v>13284</v>
      </c>
      <c r="L4370" s="9" t="s">
        <v>13284</v>
      </c>
      <c r="M4370" s="9" t="s">
        <v>13284</v>
      </c>
      <c r="N4370" s="9" t="s">
        <v>13284</v>
      </c>
      <c r="O4370" s="9" t="s">
        <v>13284</v>
      </c>
      <c r="P4370" s="9" t="s">
        <v>13284</v>
      </c>
      <c r="Q4370" s="9" t="s">
        <v>13284</v>
      </c>
      <c r="R4370" s="9" t="s">
        <v>13284</v>
      </c>
      <c r="S4370" s="9" t="s">
        <v>13284</v>
      </c>
      <c r="T4370" s="9" t="str">
        <f ca="1">IFERROR(IF(AND(VLOOKUP(A4370, 'Актуальное состояние (из общего'!A:C,3,0) = "", A4370 &lt;&gt; ""), "ПРОВЕРИТЬ", VLOOKUP(A4370, 'Актуальное состояние (из общего'!A:C,3,0)), "")</f>
        <v/>
      </c>
      <c r="U4370" s="9" t="s">
        <v>13284</v>
      </c>
      <c r="V4370" s="9" t="s">
        <v>13284</v>
      </c>
      <c r="W4370" s="12"/>
      <c r="X4370" s="9" t="str">
        <f t="array" ref="X4370">IFERROR(INDEX('Адреса общежитий (скрытый)'!$B$2:$B$9, MATCH(W4370, 'Адреса общежитий (скрытый)'!$A$2:$A$9, 0)), "")</f>
        <v/>
      </c>
      <c r="Y4370" s="18"/>
      <c r="Z4370" s="18"/>
      <c r="AA4370" s="18"/>
      <c r="AB4370" s="18"/>
      <c r="AC4370" s="18"/>
    </row>
    <row r="4371" spans="1:29" ht="32.25" hidden="1" customHeight="1">
      <c r="A4371" s="17"/>
      <c r="B4371" s="9" t="s">
        <v>13284</v>
      </c>
      <c r="C4371" s="9" t="s">
        <v>13284</v>
      </c>
      <c r="D4371" s="9" t="s">
        <v>13284</v>
      </c>
      <c r="E4371" s="9" t="s">
        <v>13284</v>
      </c>
      <c r="F4371" s="9" t="s">
        <v>13284</v>
      </c>
      <c r="G4371" s="9" t="s">
        <v>13284</v>
      </c>
      <c r="H4371" s="9" t="s">
        <v>13284</v>
      </c>
      <c r="I4371" s="9" t="s">
        <v>13284</v>
      </c>
      <c r="J4371" s="9" t="s">
        <v>13284</v>
      </c>
      <c r="K4371" s="9" t="s">
        <v>13284</v>
      </c>
      <c r="L4371" s="9" t="s">
        <v>13284</v>
      </c>
      <c r="M4371" s="9" t="s">
        <v>13284</v>
      </c>
      <c r="N4371" s="9" t="s">
        <v>13284</v>
      </c>
      <c r="O4371" s="9" t="s">
        <v>13284</v>
      </c>
      <c r="P4371" s="9" t="s">
        <v>13284</v>
      </c>
      <c r="Q4371" s="9" t="s">
        <v>13284</v>
      </c>
      <c r="R4371" s="9" t="s">
        <v>13284</v>
      </c>
      <c r="S4371" s="9" t="s">
        <v>13284</v>
      </c>
      <c r="T4371" s="9" t="str">
        <f ca="1">IFERROR(IF(AND(VLOOKUP(A4371, 'Актуальное состояние (из общего'!A:C,3,0) = "", A4371 &lt;&gt; ""), "ПРОВЕРИТЬ", VLOOKUP(A4371, 'Актуальное состояние (из общего'!A:C,3,0)), "")</f>
        <v/>
      </c>
      <c r="U4371" s="9" t="s">
        <v>13284</v>
      </c>
      <c r="V4371" s="9" t="s">
        <v>13284</v>
      </c>
      <c r="W4371" s="12"/>
      <c r="X4371" s="9" t="str">
        <f t="array" ref="X4371">IFERROR(INDEX('Адреса общежитий (скрытый)'!$B$2:$B$9, MATCH(W4371, 'Адреса общежитий (скрытый)'!$A$2:$A$9, 0)), "")</f>
        <v/>
      </c>
      <c r="Y4371" s="18"/>
      <c r="Z4371" s="18"/>
      <c r="AA4371" s="18"/>
      <c r="AB4371" s="18"/>
      <c r="AC4371" s="18"/>
    </row>
    <row r="4372" spans="1:29" ht="32.25" hidden="1" customHeight="1">
      <c r="A4372" s="17"/>
      <c r="B4372" s="9" t="s">
        <v>13284</v>
      </c>
      <c r="C4372" s="9" t="s">
        <v>13284</v>
      </c>
      <c r="D4372" s="9" t="s">
        <v>13284</v>
      </c>
      <c r="E4372" s="9" t="s">
        <v>13284</v>
      </c>
      <c r="F4372" s="9" t="s">
        <v>13284</v>
      </c>
      <c r="G4372" s="9" t="s">
        <v>13284</v>
      </c>
      <c r="H4372" s="9" t="s">
        <v>13284</v>
      </c>
      <c r="I4372" s="9" t="s">
        <v>13284</v>
      </c>
      <c r="J4372" s="9" t="s">
        <v>13284</v>
      </c>
      <c r="K4372" s="9" t="s">
        <v>13284</v>
      </c>
      <c r="L4372" s="9" t="s">
        <v>13284</v>
      </c>
      <c r="M4372" s="9" t="s">
        <v>13284</v>
      </c>
      <c r="N4372" s="9" t="s">
        <v>13284</v>
      </c>
      <c r="O4372" s="9" t="s">
        <v>13284</v>
      </c>
      <c r="P4372" s="9" t="s">
        <v>13284</v>
      </c>
      <c r="Q4372" s="9" t="s">
        <v>13284</v>
      </c>
      <c r="R4372" s="9" t="s">
        <v>13284</v>
      </c>
      <c r="S4372" s="9" t="s">
        <v>13284</v>
      </c>
      <c r="T4372" s="9" t="str">
        <f ca="1">IFERROR(IF(AND(VLOOKUP(A4372, 'Актуальное состояние (из общего'!A:C,3,0) = "", A4372 &lt;&gt; ""), "ПРОВЕРИТЬ", VLOOKUP(A4372, 'Актуальное состояние (из общего'!A:C,3,0)), "")</f>
        <v/>
      </c>
      <c r="U4372" s="9" t="s">
        <v>13284</v>
      </c>
      <c r="V4372" s="9" t="s">
        <v>13284</v>
      </c>
      <c r="W4372" s="12"/>
      <c r="X4372" s="9" t="str">
        <f t="array" ref="X4372">IFERROR(INDEX('Адреса общежитий (скрытый)'!$B$2:$B$9, MATCH(W4372, 'Адреса общежитий (скрытый)'!$A$2:$A$9, 0)), "")</f>
        <v/>
      </c>
      <c r="Y4372" s="18"/>
      <c r="Z4372" s="18"/>
      <c r="AA4372" s="18"/>
      <c r="AB4372" s="18"/>
      <c r="AC4372" s="18"/>
    </row>
    <row r="4373" spans="1:29" ht="32.25" hidden="1" customHeight="1">
      <c r="A4373" s="17"/>
      <c r="B4373" s="9" t="s">
        <v>13284</v>
      </c>
      <c r="C4373" s="9" t="s">
        <v>13284</v>
      </c>
      <c r="D4373" s="9" t="s">
        <v>13284</v>
      </c>
      <c r="E4373" s="9" t="s">
        <v>13284</v>
      </c>
      <c r="F4373" s="9" t="s">
        <v>13284</v>
      </c>
      <c r="G4373" s="9" t="s">
        <v>13284</v>
      </c>
      <c r="H4373" s="9" t="s">
        <v>13284</v>
      </c>
      <c r="I4373" s="9" t="s">
        <v>13284</v>
      </c>
      <c r="J4373" s="9" t="s">
        <v>13284</v>
      </c>
      <c r="K4373" s="9" t="s">
        <v>13284</v>
      </c>
      <c r="L4373" s="9" t="s">
        <v>13284</v>
      </c>
      <c r="M4373" s="9" t="s">
        <v>13284</v>
      </c>
      <c r="N4373" s="9" t="s">
        <v>13284</v>
      </c>
      <c r="O4373" s="9" t="s">
        <v>13284</v>
      </c>
      <c r="P4373" s="9" t="s">
        <v>13284</v>
      </c>
      <c r="Q4373" s="9" t="s">
        <v>13284</v>
      </c>
      <c r="R4373" s="9" t="s">
        <v>13284</v>
      </c>
      <c r="S4373" s="9" t="s">
        <v>13284</v>
      </c>
      <c r="T4373" s="9" t="str">
        <f ca="1">IFERROR(IF(AND(VLOOKUP(A4373, 'Актуальное состояние (из общего'!A:C,3,0) = "", A4373 &lt;&gt; ""), "ПРОВЕРИТЬ", VLOOKUP(A4373, 'Актуальное состояние (из общего'!A:C,3,0)), "")</f>
        <v/>
      </c>
      <c r="U4373" s="9" t="s">
        <v>13284</v>
      </c>
      <c r="V4373" s="9" t="s">
        <v>13284</v>
      </c>
      <c r="W4373" s="12"/>
      <c r="X4373" s="9" t="str">
        <f t="array" ref="X4373">IFERROR(INDEX('Адреса общежитий (скрытый)'!$B$2:$B$9, MATCH(W4373, 'Адреса общежитий (скрытый)'!$A$2:$A$9, 0)), "")</f>
        <v/>
      </c>
      <c r="Y4373" s="18"/>
      <c r="Z4373" s="18"/>
      <c r="AA4373" s="18"/>
      <c r="AB4373" s="18"/>
      <c r="AC4373" s="18"/>
    </row>
    <row r="4374" spans="1:29" ht="32.25" hidden="1" customHeight="1">
      <c r="A4374" s="17"/>
      <c r="B4374" s="9" t="s">
        <v>13284</v>
      </c>
      <c r="C4374" s="9" t="s">
        <v>13284</v>
      </c>
      <c r="D4374" s="9" t="s">
        <v>13284</v>
      </c>
      <c r="E4374" s="9" t="s">
        <v>13284</v>
      </c>
      <c r="F4374" s="9" t="s">
        <v>13284</v>
      </c>
      <c r="G4374" s="9" t="s">
        <v>13284</v>
      </c>
      <c r="H4374" s="9" t="s">
        <v>13284</v>
      </c>
      <c r="I4374" s="9" t="s">
        <v>13284</v>
      </c>
      <c r="J4374" s="9" t="s">
        <v>13284</v>
      </c>
      <c r="K4374" s="9" t="s">
        <v>13284</v>
      </c>
      <c r="L4374" s="9" t="s">
        <v>13284</v>
      </c>
      <c r="M4374" s="9" t="s">
        <v>13284</v>
      </c>
      <c r="N4374" s="9" t="s">
        <v>13284</v>
      </c>
      <c r="O4374" s="9" t="s">
        <v>13284</v>
      </c>
      <c r="P4374" s="9" t="s">
        <v>13284</v>
      </c>
      <c r="Q4374" s="9" t="s">
        <v>13284</v>
      </c>
      <c r="R4374" s="9" t="s">
        <v>13284</v>
      </c>
      <c r="S4374" s="9" t="s">
        <v>13284</v>
      </c>
      <c r="T4374" s="9" t="str">
        <f ca="1">IFERROR(IF(AND(VLOOKUP(A4374, 'Актуальное состояние (из общего'!A:C,3,0) = "", A4374 &lt;&gt; ""), "ПРОВЕРИТЬ", VLOOKUP(A4374, 'Актуальное состояние (из общего'!A:C,3,0)), "")</f>
        <v/>
      </c>
      <c r="U4374" s="9" t="s">
        <v>13284</v>
      </c>
      <c r="V4374" s="9" t="s">
        <v>13284</v>
      </c>
      <c r="W4374" s="12"/>
      <c r="X4374" s="9" t="str">
        <f t="array" ref="X4374">IFERROR(INDEX('Адреса общежитий (скрытый)'!$B$2:$B$9, MATCH(W4374, 'Адреса общежитий (скрытый)'!$A$2:$A$9, 0)), "")</f>
        <v/>
      </c>
      <c r="Y4374" s="18"/>
      <c r="Z4374" s="18"/>
      <c r="AA4374" s="18"/>
      <c r="AB4374" s="18"/>
      <c r="AC4374" s="18"/>
    </row>
    <row r="4375" spans="1:29" ht="32.25" hidden="1" customHeight="1">
      <c r="A4375" s="17"/>
      <c r="B4375" s="9" t="s">
        <v>13284</v>
      </c>
      <c r="C4375" s="9" t="s">
        <v>13284</v>
      </c>
      <c r="D4375" s="9" t="s">
        <v>13284</v>
      </c>
      <c r="E4375" s="9" t="s">
        <v>13284</v>
      </c>
      <c r="F4375" s="9" t="s">
        <v>13284</v>
      </c>
      <c r="G4375" s="9" t="s">
        <v>13284</v>
      </c>
      <c r="H4375" s="9" t="s">
        <v>13284</v>
      </c>
      <c r="I4375" s="9" t="s">
        <v>13284</v>
      </c>
      <c r="J4375" s="9" t="s">
        <v>13284</v>
      </c>
      <c r="K4375" s="9" t="s">
        <v>13284</v>
      </c>
      <c r="L4375" s="9" t="s">
        <v>13284</v>
      </c>
      <c r="M4375" s="9" t="s">
        <v>13284</v>
      </c>
      <c r="N4375" s="9" t="s">
        <v>13284</v>
      </c>
      <c r="O4375" s="9" t="s">
        <v>13284</v>
      </c>
      <c r="P4375" s="9" t="s">
        <v>13284</v>
      </c>
      <c r="Q4375" s="9" t="s">
        <v>13284</v>
      </c>
      <c r="R4375" s="9" t="s">
        <v>13284</v>
      </c>
      <c r="S4375" s="9" t="s">
        <v>13284</v>
      </c>
      <c r="T4375" s="9" t="str">
        <f ca="1">IFERROR(IF(AND(VLOOKUP(A4375, 'Актуальное состояние (из общего'!A:C,3,0) = "", A4375 &lt;&gt; ""), "ПРОВЕРИТЬ", VLOOKUP(A4375, 'Актуальное состояние (из общего'!A:C,3,0)), "")</f>
        <v/>
      </c>
      <c r="U4375" s="9" t="s">
        <v>13284</v>
      </c>
      <c r="V4375" s="9" t="s">
        <v>13284</v>
      </c>
      <c r="W4375" s="12"/>
      <c r="X4375" s="9" t="str">
        <f t="array" ref="X4375">IFERROR(INDEX('Адреса общежитий (скрытый)'!$B$2:$B$9, MATCH(W4375, 'Адреса общежитий (скрытый)'!$A$2:$A$9, 0)), "")</f>
        <v/>
      </c>
      <c r="Y4375" s="18"/>
      <c r="Z4375" s="18"/>
      <c r="AA4375" s="18"/>
      <c r="AB4375" s="18"/>
      <c r="AC4375" s="18"/>
    </row>
    <row r="4376" spans="1:29" ht="32.25" hidden="1" customHeight="1">
      <c r="A4376" s="17"/>
      <c r="B4376" s="9" t="s">
        <v>13284</v>
      </c>
      <c r="C4376" s="9" t="s">
        <v>13284</v>
      </c>
      <c r="D4376" s="9" t="s">
        <v>13284</v>
      </c>
      <c r="E4376" s="9" t="s">
        <v>13284</v>
      </c>
      <c r="F4376" s="9" t="s">
        <v>13284</v>
      </c>
      <c r="G4376" s="9" t="s">
        <v>13284</v>
      </c>
      <c r="H4376" s="9" t="s">
        <v>13284</v>
      </c>
      <c r="I4376" s="9" t="s">
        <v>13284</v>
      </c>
      <c r="J4376" s="9" t="s">
        <v>13284</v>
      </c>
      <c r="K4376" s="9" t="s">
        <v>13284</v>
      </c>
      <c r="L4376" s="9" t="s">
        <v>13284</v>
      </c>
      <c r="M4376" s="9" t="s">
        <v>13284</v>
      </c>
      <c r="N4376" s="9" t="s">
        <v>13284</v>
      </c>
      <c r="O4376" s="9" t="s">
        <v>13284</v>
      </c>
      <c r="P4376" s="9" t="s">
        <v>13284</v>
      </c>
      <c r="Q4376" s="9" t="s">
        <v>13284</v>
      </c>
      <c r="R4376" s="9" t="s">
        <v>13284</v>
      </c>
      <c r="S4376" s="9" t="s">
        <v>13284</v>
      </c>
      <c r="T4376" s="9" t="str">
        <f ca="1">IFERROR(IF(AND(VLOOKUP(A4376, 'Актуальное состояние (из общего'!A:C,3,0) = "", A4376 &lt;&gt; ""), "ПРОВЕРИТЬ", VLOOKUP(A4376, 'Актуальное состояние (из общего'!A:C,3,0)), "")</f>
        <v/>
      </c>
      <c r="U4376" s="9" t="s">
        <v>13284</v>
      </c>
      <c r="V4376" s="9" t="s">
        <v>13284</v>
      </c>
      <c r="W4376" s="12"/>
      <c r="X4376" s="9" t="str">
        <f t="array" ref="X4376">IFERROR(INDEX('Адреса общежитий (скрытый)'!$B$2:$B$9, MATCH(W4376, 'Адреса общежитий (скрытый)'!$A$2:$A$9, 0)), "")</f>
        <v/>
      </c>
      <c r="Y4376" s="18"/>
      <c r="Z4376" s="18"/>
      <c r="AA4376" s="18"/>
      <c r="AB4376" s="18"/>
      <c r="AC4376" s="18"/>
    </row>
    <row r="4377" spans="1:29" ht="32.25" hidden="1" customHeight="1">
      <c r="A4377" s="17"/>
      <c r="B4377" s="9" t="s">
        <v>13284</v>
      </c>
      <c r="C4377" s="9" t="s">
        <v>13284</v>
      </c>
      <c r="D4377" s="9" t="s">
        <v>13284</v>
      </c>
      <c r="E4377" s="9" t="s">
        <v>13284</v>
      </c>
      <c r="F4377" s="9" t="s">
        <v>13284</v>
      </c>
      <c r="G4377" s="9" t="s">
        <v>13284</v>
      </c>
      <c r="H4377" s="9" t="s">
        <v>13284</v>
      </c>
      <c r="I4377" s="9" t="s">
        <v>13284</v>
      </c>
      <c r="J4377" s="9" t="s">
        <v>13284</v>
      </c>
      <c r="K4377" s="9" t="s">
        <v>13284</v>
      </c>
      <c r="L4377" s="9" t="s">
        <v>13284</v>
      </c>
      <c r="M4377" s="9" t="s">
        <v>13284</v>
      </c>
      <c r="N4377" s="9" t="s">
        <v>13284</v>
      </c>
      <c r="O4377" s="9" t="s">
        <v>13284</v>
      </c>
      <c r="P4377" s="9" t="s">
        <v>13284</v>
      </c>
      <c r="Q4377" s="9" t="s">
        <v>13284</v>
      </c>
      <c r="R4377" s="9" t="s">
        <v>13284</v>
      </c>
      <c r="S4377" s="9" t="s">
        <v>13284</v>
      </c>
      <c r="T4377" s="9" t="str">
        <f ca="1">IFERROR(IF(AND(VLOOKUP(A4377, 'Актуальное состояние (из общего'!A:C,3,0) = "", A4377 &lt;&gt; ""), "ПРОВЕРИТЬ", VLOOKUP(A4377, 'Актуальное состояние (из общего'!A:C,3,0)), "")</f>
        <v/>
      </c>
      <c r="U4377" s="9" t="s">
        <v>13284</v>
      </c>
      <c r="V4377" s="9" t="s">
        <v>13284</v>
      </c>
      <c r="W4377" s="12"/>
      <c r="X4377" s="9" t="str">
        <f t="array" ref="X4377">IFERROR(INDEX('Адреса общежитий (скрытый)'!$B$2:$B$9, MATCH(W4377, 'Адреса общежитий (скрытый)'!$A$2:$A$9, 0)), "")</f>
        <v/>
      </c>
      <c r="Y4377" s="18"/>
      <c r="Z4377" s="18"/>
      <c r="AA4377" s="18"/>
      <c r="AB4377" s="18"/>
      <c r="AC4377" s="18"/>
    </row>
    <row r="4378" spans="1:29" ht="32.25" hidden="1" customHeight="1">
      <c r="A4378" s="17"/>
      <c r="B4378" s="9" t="s">
        <v>13284</v>
      </c>
      <c r="C4378" s="9" t="s">
        <v>13284</v>
      </c>
      <c r="D4378" s="9" t="s">
        <v>13284</v>
      </c>
      <c r="E4378" s="9" t="s">
        <v>13284</v>
      </c>
      <c r="F4378" s="9" t="s">
        <v>13284</v>
      </c>
      <c r="G4378" s="9" t="s">
        <v>13284</v>
      </c>
      <c r="H4378" s="9" t="s">
        <v>13284</v>
      </c>
      <c r="I4378" s="9" t="s">
        <v>13284</v>
      </c>
      <c r="J4378" s="9" t="s">
        <v>13284</v>
      </c>
      <c r="K4378" s="9" t="s">
        <v>13284</v>
      </c>
      <c r="L4378" s="9" t="s">
        <v>13284</v>
      </c>
      <c r="M4378" s="9" t="s">
        <v>13284</v>
      </c>
      <c r="N4378" s="9" t="s">
        <v>13284</v>
      </c>
      <c r="O4378" s="9" t="s">
        <v>13284</v>
      </c>
      <c r="P4378" s="9" t="s">
        <v>13284</v>
      </c>
      <c r="Q4378" s="9" t="s">
        <v>13284</v>
      </c>
      <c r="R4378" s="9" t="s">
        <v>13284</v>
      </c>
      <c r="S4378" s="9" t="s">
        <v>13284</v>
      </c>
      <c r="T4378" s="9" t="str">
        <f ca="1">IFERROR(IF(AND(VLOOKUP(A4378, 'Актуальное состояние (из общего'!A:C,3,0) = "", A4378 &lt;&gt; ""), "ПРОВЕРИТЬ", VLOOKUP(A4378, 'Актуальное состояние (из общего'!A:C,3,0)), "")</f>
        <v/>
      </c>
      <c r="U4378" s="9" t="s">
        <v>13284</v>
      </c>
      <c r="V4378" s="9" t="s">
        <v>13284</v>
      </c>
      <c r="W4378" s="12"/>
      <c r="X4378" s="9" t="str">
        <f t="array" ref="X4378">IFERROR(INDEX('Адреса общежитий (скрытый)'!$B$2:$B$9, MATCH(W4378, 'Адреса общежитий (скрытый)'!$A$2:$A$9, 0)), "")</f>
        <v/>
      </c>
      <c r="Y4378" s="18"/>
      <c r="Z4378" s="18"/>
      <c r="AA4378" s="18"/>
      <c r="AB4378" s="18"/>
      <c r="AC4378" s="18"/>
    </row>
    <row r="4379" spans="1:29" ht="32.25" hidden="1" customHeight="1">
      <c r="A4379" s="17"/>
      <c r="B4379" s="9" t="s">
        <v>13284</v>
      </c>
      <c r="C4379" s="9" t="s">
        <v>13284</v>
      </c>
      <c r="D4379" s="9" t="s">
        <v>13284</v>
      </c>
      <c r="E4379" s="9" t="s">
        <v>13284</v>
      </c>
      <c r="F4379" s="9" t="s">
        <v>13284</v>
      </c>
      <c r="G4379" s="9" t="s">
        <v>13284</v>
      </c>
      <c r="H4379" s="9" t="s">
        <v>13284</v>
      </c>
      <c r="I4379" s="9" t="s">
        <v>13284</v>
      </c>
      <c r="J4379" s="9" t="s">
        <v>13284</v>
      </c>
      <c r="K4379" s="9" t="s">
        <v>13284</v>
      </c>
      <c r="L4379" s="9" t="s">
        <v>13284</v>
      </c>
      <c r="M4379" s="9" t="s">
        <v>13284</v>
      </c>
      <c r="N4379" s="9" t="s">
        <v>13284</v>
      </c>
      <c r="O4379" s="9" t="s">
        <v>13284</v>
      </c>
      <c r="P4379" s="9" t="s">
        <v>13284</v>
      </c>
      <c r="Q4379" s="9" t="s">
        <v>13284</v>
      </c>
      <c r="R4379" s="9" t="s">
        <v>13284</v>
      </c>
      <c r="S4379" s="9" t="s">
        <v>13284</v>
      </c>
      <c r="T4379" s="9" t="str">
        <f ca="1">IFERROR(IF(AND(VLOOKUP(A4379, 'Актуальное состояние (из общего'!A:C,3,0) = "", A4379 &lt;&gt; ""), "ПРОВЕРИТЬ", VLOOKUP(A4379, 'Актуальное состояние (из общего'!A:C,3,0)), "")</f>
        <v/>
      </c>
      <c r="U4379" s="9" t="s">
        <v>13284</v>
      </c>
      <c r="V4379" s="9" t="s">
        <v>13284</v>
      </c>
      <c r="W4379" s="12"/>
      <c r="X4379" s="9" t="str">
        <f t="array" ref="X4379">IFERROR(INDEX('Адреса общежитий (скрытый)'!$B$2:$B$9, MATCH(W4379, 'Адреса общежитий (скрытый)'!$A$2:$A$9, 0)), "")</f>
        <v/>
      </c>
      <c r="Y4379" s="18"/>
      <c r="Z4379" s="18"/>
      <c r="AA4379" s="18"/>
      <c r="AB4379" s="18"/>
      <c r="AC4379" s="18"/>
    </row>
    <row r="4380" spans="1:29" ht="32.25" hidden="1" customHeight="1">
      <c r="A4380" s="17"/>
      <c r="B4380" s="9" t="s">
        <v>13284</v>
      </c>
      <c r="C4380" s="9" t="s">
        <v>13284</v>
      </c>
      <c r="D4380" s="9" t="s">
        <v>13284</v>
      </c>
      <c r="E4380" s="9" t="s">
        <v>13284</v>
      </c>
      <c r="F4380" s="9" t="s">
        <v>13284</v>
      </c>
      <c r="G4380" s="9" t="s">
        <v>13284</v>
      </c>
      <c r="H4380" s="9" t="s">
        <v>13284</v>
      </c>
      <c r="I4380" s="9" t="s">
        <v>13284</v>
      </c>
      <c r="J4380" s="9" t="s">
        <v>13284</v>
      </c>
      <c r="K4380" s="9" t="s">
        <v>13284</v>
      </c>
      <c r="L4380" s="9" t="s">
        <v>13284</v>
      </c>
      <c r="M4380" s="9" t="s">
        <v>13284</v>
      </c>
      <c r="N4380" s="9" t="s">
        <v>13284</v>
      </c>
      <c r="O4380" s="9" t="s">
        <v>13284</v>
      </c>
      <c r="P4380" s="9" t="s">
        <v>13284</v>
      </c>
      <c r="Q4380" s="9" t="s">
        <v>13284</v>
      </c>
      <c r="R4380" s="9" t="s">
        <v>13284</v>
      </c>
      <c r="S4380" s="9" t="s">
        <v>13284</v>
      </c>
      <c r="T4380" s="9" t="str">
        <f ca="1">IFERROR(IF(AND(VLOOKUP(A4380, 'Актуальное состояние (из общего'!A:C,3,0) = "", A4380 &lt;&gt; ""), "ПРОВЕРИТЬ", VLOOKUP(A4380, 'Актуальное состояние (из общего'!A:C,3,0)), "")</f>
        <v/>
      </c>
      <c r="U4380" s="9" t="s">
        <v>13284</v>
      </c>
      <c r="V4380" s="9" t="s">
        <v>13284</v>
      </c>
      <c r="W4380" s="12"/>
      <c r="X4380" s="9" t="str">
        <f t="array" ref="X4380">IFERROR(INDEX('Адреса общежитий (скрытый)'!$B$2:$B$9, MATCH(W4380, 'Адреса общежитий (скрытый)'!$A$2:$A$9, 0)), "")</f>
        <v/>
      </c>
      <c r="Y4380" s="18"/>
      <c r="Z4380" s="18"/>
      <c r="AA4380" s="18"/>
      <c r="AB4380" s="18"/>
      <c r="AC4380" s="18"/>
    </row>
    <row r="4381" spans="1:29" ht="32.25" hidden="1" customHeight="1">
      <c r="A4381" s="17"/>
      <c r="B4381" s="9" t="s">
        <v>13284</v>
      </c>
      <c r="C4381" s="9" t="s">
        <v>13284</v>
      </c>
      <c r="D4381" s="9" t="s">
        <v>13284</v>
      </c>
      <c r="E4381" s="9" t="s">
        <v>13284</v>
      </c>
      <c r="F4381" s="9" t="s">
        <v>13284</v>
      </c>
      <c r="G4381" s="9" t="s">
        <v>13284</v>
      </c>
      <c r="H4381" s="9" t="s">
        <v>13284</v>
      </c>
      <c r="I4381" s="9" t="s">
        <v>13284</v>
      </c>
      <c r="J4381" s="9" t="s">
        <v>13284</v>
      </c>
      <c r="K4381" s="9" t="s">
        <v>13284</v>
      </c>
      <c r="L4381" s="9" t="s">
        <v>13284</v>
      </c>
      <c r="M4381" s="9" t="s">
        <v>13284</v>
      </c>
      <c r="N4381" s="9" t="s">
        <v>13284</v>
      </c>
      <c r="O4381" s="9" t="s">
        <v>13284</v>
      </c>
      <c r="P4381" s="9" t="s">
        <v>13284</v>
      </c>
      <c r="Q4381" s="9" t="s">
        <v>13284</v>
      </c>
      <c r="R4381" s="9" t="s">
        <v>13284</v>
      </c>
      <c r="S4381" s="9" t="s">
        <v>13284</v>
      </c>
      <c r="T4381" s="9" t="str">
        <f ca="1">IFERROR(IF(AND(VLOOKUP(A4381, 'Актуальное состояние (из общего'!A:C,3,0) = "", A4381 &lt;&gt; ""), "ПРОВЕРИТЬ", VLOOKUP(A4381, 'Актуальное состояние (из общего'!A:C,3,0)), "")</f>
        <v/>
      </c>
      <c r="U4381" s="9" t="s">
        <v>13284</v>
      </c>
      <c r="V4381" s="9" t="s">
        <v>13284</v>
      </c>
      <c r="W4381" s="12"/>
      <c r="X4381" s="9" t="str">
        <f t="array" ref="X4381">IFERROR(INDEX('Адреса общежитий (скрытый)'!$B$2:$B$9, MATCH(W4381, 'Адреса общежитий (скрытый)'!$A$2:$A$9, 0)), "")</f>
        <v/>
      </c>
      <c r="Y4381" s="18"/>
      <c r="Z4381" s="18"/>
      <c r="AA4381" s="18"/>
      <c r="AB4381" s="18"/>
      <c r="AC4381" s="18"/>
    </row>
    <row r="4382" spans="1:29" ht="32.25" hidden="1" customHeight="1">
      <c r="A4382" s="17"/>
      <c r="B4382" s="9" t="s">
        <v>13284</v>
      </c>
      <c r="C4382" s="9" t="s">
        <v>13284</v>
      </c>
      <c r="D4382" s="9" t="s">
        <v>13284</v>
      </c>
      <c r="E4382" s="9" t="s">
        <v>13284</v>
      </c>
      <c r="F4382" s="9" t="s">
        <v>13284</v>
      </c>
      <c r="G4382" s="9" t="s">
        <v>13284</v>
      </c>
      <c r="H4382" s="9" t="s">
        <v>13284</v>
      </c>
      <c r="I4382" s="9" t="s">
        <v>13284</v>
      </c>
      <c r="J4382" s="9" t="s">
        <v>13284</v>
      </c>
      <c r="K4382" s="9" t="s">
        <v>13284</v>
      </c>
      <c r="L4382" s="9" t="s">
        <v>13284</v>
      </c>
      <c r="M4382" s="9" t="s">
        <v>13284</v>
      </c>
      <c r="N4382" s="9" t="s">
        <v>13284</v>
      </c>
      <c r="O4382" s="9" t="s">
        <v>13284</v>
      </c>
      <c r="P4382" s="9" t="s">
        <v>13284</v>
      </c>
      <c r="Q4382" s="9" t="s">
        <v>13284</v>
      </c>
      <c r="R4382" s="9" t="s">
        <v>13284</v>
      </c>
      <c r="S4382" s="9" t="s">
        <v>13284</v>
      </c>
      <c r="T4382" s="9" t="str">
        <f ca="1">IFERROR(IF(AND(VLOOKUP(A4382, 'Актуальное состояние (из общего'!A:C,3,0) = "", A4382 &lt;&gt; ""), "ПРОВЕРИТЬ", VLOOKUP(A4382, 'Актуальное состояние (из общего'!A:C,3,0)), "")</f>
        <v/>
      </c>
      <c r="U4382" s="9" t="s">
        <v>13284</v>
      </c>
      <c r="V4382" s="9" t="s">
        <v>13284</v>
      </c>
      <c r="W4382" s="12"/>
      <c r="X4382" s="9" t="str">
        <f t="array" ref="X4382">IFERROR(INDEX('Адреса общежитий (скрытый)'!$B$2:$B$9, MATCH(W4382, 'Адреса общежитий (скрытый)'!$A$2:$A$9, 0)), "")</f>
        <v/>
      </c>
      <c r="Y4382" s="18"/>
      <c r="Z4382" s="18"/>
      <c r="AA4382" s="18"/>
      <c r="AB4382" s="18"/>
      <c r="AC4382" s="18"/>
    </row>
    <row r="4383" spans="1:29" ht="32.25" hidden="1" customHeight="1">
      <c r="A4383" s="17"/>
      <c r="B4383" s="9" t="s">
        <v>13284</v>
      </c>
      <c r="C4383" s="9" t="s">
        <v>13284</v>
      </c>
      <c r="D4383" s="9" t="s">
        <v>13284</v>
      </c>
      <c r="E4383" s="9" t="s">
        <v>13284</v>
      </c>
      <c r="F4383" s="9" t="s">
        <v>13284</v>
      </c>
      <c r="G4383" s="9" t="s">
        <v>13284</v>
      </c>
      <c r="H4383" s="9" t="s">
        <v>13284</v>
      </c>
      <c r="I4383" s="9" t="s">
        <v>13284</v>
      </c>
      <c r="J4383" s="9" t="s">
        <v>13284</v>
      </c>
      <c r="K4383" s="9" t="s">
        <v>13284</v>
      </c>
      <c r="L4383" s="9" t="s">
        <v>13284</v>
      </c>
      <c r="M4383" s="9" t="s">
        <v>13284</v>
      </c>
      <c r="N4383" s="9" t="s">
        <v>13284</v>
      </c>
      <c r="O4383" s="9" t="s">
        <v>13284</v>
      </c>
      <c r="P4383" s="9" t="s">
        <v>13284</v>
      </c>
      <c r="Q4383" s="9" t="s">
        <v>13284</v>
      </c>
      <c r="R4383" s="9" t="s">
        <v>13284</v>
      </c>
      <c r="S4383" s="9" t="s">
        <v>13284</v>
      </c>
      <c r="T4383" s="9" t="str">
        <f ca="1">IFERROR(IF(AND(VLOOKUP(A4383, 'Актуальное состояние (из общего'!A:C,3,0) = "", A4383 &lt;&gt; ""), "ПРОВЕРИТЬ", VLOOKUP(A4383, 'Актуальное состояние (из общего'!A:C,3,0)), "")</f>
        <v/>
      </c>
      <c r="U4383" s="9" t="s">
        <v>13284</v>
      </c>
      <c r="V4383" s="9" t="s">
        <v>13284</v>
      </c>
      <c r="W4383" s="12"/>
      <c r="X4383" s="9" t="str">
        <f t="array" ref="X4383">IFERROR(INDEX('Адреса общежитий (скрытый)'!$B$2:$B$9, MATCH(W4383, 'Адреса общежитий (скрытый)'!$A$2:$A$9, 0)), "")</f>
        <v/>
      </c>
      <c r="Y4383" s="18"/>
      <c r="Z4383" s="18"/>
      <c r="AA4383" s="18"/>
      <c r="AB4383" s="18"/>
      <c r="AC4383" s="18"/>
    </row>
    <row r="4384" spans="1:29" ht="32.25" hidden="1" customHeight="1">
      <c r="A4384" s="17"/>
      <c r="B4384" s="9" t="s">
        <v>13284</v>
      </c>
      <c r="C4384" s="9" t="s">
        <v>13284</v>
      </c>
      <c r="D4384" s="9" t="s">
        <v>13284</v>
      </c>
      <c r="E4384" s="9" t="s">
        <v>13284</v>
      </c>
      <c r="F4384" s="9" t="s">
        <v>13284</v>
      </c>
      <c r="G4384" s="9" t="s">
        <v>13284</v>
      </c>
      <c r="H4384" s="9" t="s">
        <v>13284</v>
      </c>
      <c r="I4384" s="9" t="s">
        <v>13284</v>
      </c>
      <c r="J4384" s="9" t="s">
        <v>13284</v>
      </c>
      <c r="K4384" s="9" t="s">
        <v>13284</v>
      </c>
      <c r="L4384" s="9" t="s">
        <v>13284</v>
      </c>
      <c r="M4384" s="9" t="s">
        <v>13284</v>
      </c>
      <c r="N4384" s="9" t="s">
        <v>13284</v>
      </c>
      <c r="O4384" s="9" t="s">
        <v>13284</v>
      </c>
      <c r="P4384" s="9" t="s">
        <v>13284</v>
      </c>
      <c r="Q4384" s="9" t="s">
        <v>13284</v>
      </c>
      <c r="R4384" s="9" t="s">
        <v>13284</v>
      </c>
      <c r="S4384" s="9" t="s">
        <v>13284</v>
      </c>
      <c r="T4384" s="9" t="str">
        <f ca="1">IFERROR(IF(AND(VLOOKUP(A4384, 'Актуальное состояние (из общего'!A:C,3,0) = "", A4384 &lt;&gt; ""), "ПРОВЕРИТЬ", VLOOKUP(A4384, 'Актуальное состояние (из общего'!A:C,3,0)), "")</f>
        <v/>
      </c>
      <c r="U4384" s="9" t="s">
        <v>13284</v>
      </c>
      <c r="V4384" s="9" t="s">
        <v>13284</v>
      </c>
      <c r="W4384" s="12"/>
      <c r="X4384" s="9" t="str">
        <f t="array" ref="X4384">IFERROR(INDEX('Адреса общежитий (скрытый)'!$B$2:$B$9, MATCH(W4384, 'Адреса общежитий (скрытый)'!$A$2:$A$9, 0)), "")</f>
        <v/>
      </c>
      <c r="Y4384" s="18"/>
      <c r="Z4384" s="18"/>
      <c r="AA4384" s="18"/>
      <c r="AB4384" s="18"/>
      <c r="AC4384" s="18"/>
    </row>
    <row r="4385" spans="1:29" ht="32.25" hidden="1" customHeight="1">
      <c r="A4385" s="17"/>
      <c r="B4385" s="9" t="s">
        <v>13284</v>
      </c>
      <c r="C4385" s="9" t="s">
        <v>13284</v>
      </c>
      <c r="D4385" s="9" t="s">
        <v>13284</v>
      </c>
      <c r="E4385" s="9" t="s">
        <v>13284</v>
      </c>
      <c r="F4385" s="9" t="s">
        <v>13284</v>
      </c>
      <c r="G4385" s="9" t="s">
        <v>13284</v>
      </c>
      <c r="H4385" s="9" t="s">
        <v>13284</v>
      </c>
      <c r="I4385" s="9" t="s">
        <v>13284</v>
      </c>
      <c r="J4385" s="9" t="s">
        <v>13284</v>
      </c>
      <c r="K4385" s="9" t="s">
        <v>13284</v>
      </c>
      <c r="L4385" s="9" t="s">
        <v>13284</v>
      </c>
      <c r="M4385" s="9" t="s">
        <v>13284</v>
      </c>
      <c r="N4385" s="9" t="s">
        <v>13284</v>
      </c>
      <c r="O4385" s="9" t="s">
        <v>13284</v>
      </c>
      <c r="P4385" s="9" t="s">
        <v>13284</v>
      </c>
      <c r="Q4385" s="9" t="s">
        <v>13284</v>
      </c>
      <c r="R4385" s="9" t="s">
        <v>13284</v>
      </c>
      <c r="S4385" s="9" t="s">
        <v>13284</v>
      </c>
      <c r="T4385" s="9" t="str">
        <f ca="1">IFERROR(IF(AND(VLOOKUP(A4385, 'Актуальное состояние (из общего'!A:C,3,0) = "", A4385 &lt;&gt; ""), "ПРОВЕРИТЬ", VLOOKUP(A4385, 'Актуальное состояние (из общего'!A:C,3,0)), "")</f>
        <v/>
      </c>
      <c r="U4385" s="9" t="s">
        <v>13284</v>
      </c>
      <c r="V4385" s="9" t="s">
        <v>13284</v>
      </c>
      <c r="W4385" s="12"/>
      <c r="X4385" s="9" t="str">
        <f t="array" ref="X4385">IFERROR(INDEX('Адреса общежитий (скрытый)'!$B$2:$B$9, MATCH(W4385, 'Адреса общежитий (скрытый)'!$A$2:$A$9, 0)), "")</f>
        <v/>
      </c>
      <c r="Y4385" s="18"/>
      <c r="Z4385" s="18"/>
      <c r="AA4385" s="18"/>
      <c r="AB4385" s="18"/>
      <c r="AC4385" s="18"/>
    </row>
    <row r="4386" spans="1:29" ht="32.25" hidden="1" customHeight="1">
      <c r="A4386" s="17"/>
      <c r="B4386" s="9" t="s">
        <v>13284</v>
      </c>
      <c r="C4386" s="9" t="s">
        <v>13284</v>
      </c>
      <c r="D4386" s="9" t="s">
        <v>13284</v>
      </c>
      <c r="E4386" s="9" t="s">
        <v>13284</v>
      </c>
      <c r="F4386" s="9" t="s">
        <v>13284</v>
      </c>
      <c r="G4386" s="9" t="s">
        <v>13284</v>
      </c>
      <c r="H4386" s="9" t="s">
        <v>13284</v>
      </c>
      <c r="I4386" s="9" t="s">
        <v>13284</v>
      </c>
      <c r="J4386" s="9" t="s">
        <v>13284</v>
      </c>
      <c r="K4386" s="9" t="s">
        <v>13284</v>
      </c>
      <c r="L4386" s="9" t="s">
        <v>13284</v>
      </c>
      <c r="M4386" s="9" t="s">
        <v>13284</v>
      </c>
      <c r="N4386" s="9" t="s">
        <v>13284</v>
      </c>
      <c r="O4386" s="9" t="s">
        <v>13284</v>
      </c>
      <c r="P4386" s="9" t="s">
        <v>13284</v>
      </c>
      <c r="Q4386" s="9" t="s">
        <v>13284</v>
      </c>
      <c r="R4386" s="9" t="s">
        <v>13284</v>
      </c>
      <c r="S4386" s="9" t="s">
        <v>13284</v>
      </c>
      <c r="T4386" s="9" t="str">
        <f ca="1">IFERROR(IF(AND(VLOOKUP(A4386, 'Актуальное состояние (из общего'!A:C,3,0) = "", A4386 &lt;&gt; ""), "ПРОВЕРИТЬ", VLOOKUP(A4386, 'Актуальное состояние (из общего'!A:C,3,0)), "")</f>
        <v/>
      </c>
      <c r="U4386" s="9" t="s">
        <v>13284</v>
      </c>
      <c r="V4386" s="9" t="s">
        <v>13284</v>
      </c>
      <c r="W4386" s="12"/>
      <c r="X4386" s="9" t="str">
        <f t="array" ref="X4386">IFERROR(INDEX('Адреса общежитий (скрытый)'!$B$2:$B$9, MATCH(W4386, 'Адреса общежитий (скрытый)'!$A$2:$A$9, 0)), "")</f>
        <v/>
      </c>
      <c r="Y4386" s="18"/>
      <c r="Z4386" s="18"/>
      <c r="AA4386" s="18"/>
      <c r="AB4386" s="18"/>
      <c r="AC4386" s="18"/>
    </row>
    <row r="4387" spans="1:29" ht="32.25" hidden="1" customHeight="1">
      <c r="A4387" s="17"/>
      <c r="B4387" s="9" t="s">
        <v>13284</v>
      </c>
      <c r="C4387" s="9" t="s">
        <v>13284</v>
      </c>
      <c r="D4387" s="9" t="s">
        <v>13284</v>
      </c>
      <c r="E4387" s="9" t="s">
        <v>13284</v>
      </c>
      <c r="F4387" s="9" t="s">
        <v>13284</v>
      </c>
      <c r="G4387" s="9" t="s">
        <v>13284</v>
      </c>
      <c r="H4387" s="9" t="s">
        <v>13284</v>
      </c>
      <c r="I4387" s="9" t="s">
        <v>13284</v>
      </c>
      <c r="J4387" s="9" t="s">
        <v>13284</v>
      </c>
      <c r="K4387" s="9" t="s">
        <v>13284</v>
      </c>
      <c r="L4387" s="9" t="s">
        <v>13284</v>
      </c>
      <c r="M4387" s="9" t="s">
        <v>13284</v>
      </c>
      <c r="N4387" s="9" t="s">
        <v>13284</v>
      </c>
      <c r="O4387" s="9" t="s">
        <v>13284</v>
      </c>
      <c r="P4387" s="9" t="s">
        <v>13284</v>
      </c>
      <c r="Q4387" s="9" t="s">
        <v>13284</v>
      </c>
      <c r="R4387" s="9" t="s">
        <v>13284</v>
      </c>
      <c r="S4387" s="9" t="s">
        <v>13284</v>
      </c>
      <c r="T4387" s="9" t="str">
        <f ca="1">IFERROR(IF(AND(VLOOKUP(A4387, 'Актуальное состояние (из общего'!A:C,3,0) = "", A4387 &lt;&gt; ""), "ПРОВЕРИТЬ", VLOOKUP(A4387, 'Актуальное состояние (из общего'!A:C,3,0)), "")</f>
        <v/>
      </c>
      <c r="U4387" s="9" t="s">
        <v>13284</v>
      </c>
      <c r="V4387" s="9" t="s">
        <v>13284</v>
      </c>
      <c r="W4387" s="12"/>
      <c r="X4387" s="9" t="str">
        <f t="array" ref="X4387">IFERROR(INDEX('Адреса общежитий (скрытый)'!$B$2:$B$9, MATCH(W4387, 'Адреса общежитий (скрытый)'!$A$2:$A$9, 0)), "")</f>
        <v/>
      </c>
      <c r="Y4387" s="18"/>
      <c r="Z4387" s="18"/>
      <c r="AA4387" s="18"/>
      <c r="AB4387" s="18"/>
      <c r="AC4387" s="18"/>
    </row>
    <row r="4388" spans="1:29" ht="32.25" hidden="1" customHeight="1">
      <c r="A4388" s="17"/>
      <c r="B4388" s="9" t="s">
        <v>13284</v>
      </c>
      <c r="C4388" s="9" t="s">
        <v>13284</v>
      </c>
      <c r="D4388" s="9" t="s">
        <v>13284</v>
      </c>
      <c r="E4388" s="9" t="s">
        <v>13284</v>
      </c>
      <c r="F4388" s="9" t="s">
        <v>13284</v>
      </c>
      <c r="G4388" s="9" t="s">
        <v>13284</v>
      </c>
      <c r="H4388" s="9" t="s">
        <v>13284</v>
      </c>
      <c r="I4388" s="9" t="s">
        <v>13284</v>
      </c>
      <c r="J4388" s="9" t="s">
        <v>13284</v>
      </c>
      <c r="K4388" s="9" t="s">
        <v>13284</v>
      </c>
      <c r="L4388" s="9" t="s">
        <v>13284</v>
      </c>
      <c r="M4388" s="9" t="s">
        <v>13284</v>
      </c>
      <c r="N4388" s="9" t="s">
        <v>13284</v>
      </c>
      <c r="O4388" s="9" t="s">
        <v>13284</v>
      </c>
      <c r="P4388" s="9" t="s">
        <v>13284</v>
      </c>
      <c r="Q4388" s="9" t="s">
        <v>13284</v>
      </c>
      <c r="R4388" s="9" t="s">
        <v>13284</v>
      </c>
      <c r="S4388" s="9" t="s">
        <v>13284</v>
      </c>
      <c r="T4388" s="9" t="str">
        <f ca="1">IFERROR(IF(AND(VLOOKUP(A4388, 'Актуальное состояние (из общего'!A:C,3,0) = "", A4388 &lt;&gt; ""), "ПРОВЕРИТЬ", VLOOKUP(A4388, 'Актуальное состояние (из общего'!A:C,3,0)), "")</f>
        <v/>
      </c>
      <c r="U4388" s="9" t="s">
        <v>13284</v>
      </c>
      <c r="V4388" s="9" t="s">
        <v>13284</v>
      </c>
      <c r="W4388" s="12"/>
      <c r="X4388" s="9" t="str">
        <f t="array" ref="X4388">IFERROR(INDEX('Адреса общежитий (скрытый)'!$B$2:$B$9, MATCH(W4388, 'Адреса общежитий (скрытый)'!$A$2:$A$9, 0)), "")</f>
        <v/>
      </c>
      <c r="Y4388" s="18"/>
      <c r="Z4388" s="18"/>
      <c r="AA4388" s="18"/>
      <c r="AB4388" s="18"/>
      <c r="AC4388" s="18"/>
    </row>
    <row r="4389" spans="1:29" ht="32.25" hidden="1" customHeight="1">
      <c r="A4389" s="17"/>
      <c r="B4389" s="9" t="s">
        <v>13284</v>
      </c>
      <c r="C4389" s="9" t="s">
        <v>13284</v>
      </c>
      <c r="D4389" s="9" t="s">
        <v>13284</v>
      </c>
      <c r="E4389" s="9" t="s">
        <v>13284</v>
      </c>
      <c r="F4389" s="9" t="s">
        <v>13284</v>
      </c>
      <c r="G4389" s="9" t="s">
        <v>13284</v>
      </c>
      <c r="H4389" s="9" t="s">
        <v>13284</v>
      </c>
      <c r="I4389" s="9" t="s">
        <v>13284</v>
      </c>
      <c r="J4389" s="9" t="s">
        <v>13284</v>
      </c>
      <c r="K4389" s="9" t="s">
        <v>13284</v>
      </c>
      <c r="L4389" s="9" t="s">
        <v>13284</v>
      </c>
      <c r="M4389" s="9" t="s">
        <v>13284</v>
      </c>
      <c r="N4389" s="9" t="s">
        <v>13284</v>
      </c>
      <c r="O4389" s="9" t="s">
        <v>13284</v>
      </c>
      <c r="P4389" s="9" t="s">
        <v>13284</v>
      </c>
      <c r="Q4389" s="9" t="s">
        <v>13284</v>
      </c>
      <c r="R4389" s="9" t="s">
        <v>13284</v>
      </c>
      <c r="S4389" s="9" t="s">
        <v>13284</v>
      </c>
      <c r="T4389" s="9" t="str">
        <f ca="1">IFERROR(IF(AND(VLOOKUP(A4389, 'Актуальное состояние (из общего'!A:C,3,0) = "", A4389 &lt;&gt; ""), "ПРОВЕРИТЬ", VLOOKUP(A4389, 'Актуальное состояние (из общего'!A:C,3,0)), "")</f>
        <v/>
      </c>
      <c r="U4389" s="9" t="s">
        <v>13284</v>
      </c>
      <c r="V4389" s="9" t="s">
        <v>13284</v>
      </c>
      <c r="W4389" s="12"/>
      <c r="X4389" s="9" t="str">
        <f t="array" ref="X4389">IFERROR(INDEX('Адреса общежитий (скрытый)'!$B$2:$B$9, MATCH(W4389, 'Адреса общежитий (скрытый)'!$A$2:$A$9, 0)), "")</f>
        <v/>
      </c>
      <c r="Y4389" s="18"/>
      <c r="Z4389" s="18"/>
      <c r="AA4389" s="18"/>
      <c r="AB4389" s="18"/>
      <c r="AC4389" s="18"/>
    </row>
    <row r="4390" spans="1:29" ht="32.25" hidden="1" customHeight="1">
      <c r="A4390" s="17"/>
      <c r="B4390" s="9" t="s">
        <v>13284</v>
      </c>
      <c r="C4390" s="9" t="s">
        <v>13284</v>
      </c>
      <c r="D4390" s="9" t="s">
        <v>13284</v>
      </c>
      <c r="E4390" s="9" t="s">
        <v>13284</v>
      </c>
      <c r="F4390" s="9" t="s">
        <v>13284</v>
      </c>
      <c r="G4390" s="9" t="s">
        <v>13284</v>
      </c>
      <c r="H4390" s="9" t="s">
        <v>13284</v>
      </c>
      <c r="I4390" s="9" t="s">
        <v>13284</v>
      </c>
      <c r="J4390" s="9" t="s">
        <v>13284</v>
      </c>
      <c r="K4390" s="9" t="s">
        <v>13284</v>
      </c>
      <c r="L4390" s="9" t="s">
        <v>13284</v>
      </c>
      <c r="M4390" s="9" t="s">
        <v>13284</v>
      </c>
      <c r="N4390" s="9" t="s">
        <v>13284</v>
      </c>
      <c r="O4390" s="9" t="s">
        <v>13284</v>
      </c>
      <c r="P4390" s="9" t="s">
        <v>13284</v>
      </c>
      <c r="Q4390" s="9" t="s">
        <v>13284</v>
      </c>
      <c r="R4390" s="9" t="s">
        <v>13284</v>
      </c>
      <c r="S4390" s="9" t="s">
        <v>13284</v>
      </c>
      <c r="T4390" s="9" t="str">
        <f ca="1">IFERROR(IF(AND(VLOOKUP(A4390, 'Актуальное состояние (из общего'!A:C,3,0) = "", A4390 &lt;&gt; ""), "ПРОВЕРИТЬ", VLOOKUP(A4390, 'Актуальное состояние (из общего'!A:C,3,0)), "")</f>
        <v/>
      </c>
      <c r="U4390" s="9" t="s">
        <v>13284</v>
      </c>
      <c r="V4390" s="9" t="s">
        <v>13284</v>
      </c>
      <c r="W4390" s="12"/>
      <c r="X4390" s="9" t="str">
        <f t="array" ref="X4390">IFERROR(INDEX('Адреса общежитий (скрытый)'!$B$2:$B$9, MATCH(W4390, 'Адреса общежитий (скрытый)'!$A$2:$A$9, 0)), "")</f>
        <v/>
      </c>
      <c r="Y4390" s="18"/>
      <c r="Z4390" s="18"/>
      <c r="AA4390" s="18"/>
      <c r="AB4390" s="18"/>
      <c r="AC4390" s="18"/>
    </row>
    <row r="4391" spans="1:29" ht="32.25" hidden="1" customHeight="1">
      <c r="A4391" s="17"/>
      <c r="B4391" s="9" t="s">
        <v>13284</v>
      </c>
      <c r="C4391" s="9" t="s">
        <v>13284</v>
      </c>
      <c r="D4391" s="9" t="s">
        <v>13284</v>
      </c>
      <c r="E4391" s="9" t="s">
        <v>13284</v>
      </c>
      <c r="F4391" s="9" t="s">
        <v>13284</v>
      </c>
      <c r="G4391" s="9" t="s">
        <v>13284</v>
      </c>
      <c r="H4391" s="9" t="s">
        <v>13284</v>
      </c>
      <c r="I4391" s="9" t="s">
        <v>13284</v>
      </c>
      <c r="J4391" s="9" t="s">
        <v>13284</v>
      </c>
      <c r="K4391" s="9" t="s">
        <v>13284</v>
      </c>
      <c r="L4391" s="9" t="s">
        <v>13284</v>
      </c>
      <c r="M4391" s="9" t="s">
        <v>13284</v>
      </c>
      <c r="N4391" s="9" t="s">
        <v>13284</v>
      </c>
      <c r="O4391" s="9" t="s">
        <v>13284</v>
      </c>
      <c r="P4391" s="9" t="s">
        <v>13284</v>
      </c>
      <c r="Q4391" s="9" t="s">
        <v>13284</v>
      </c>
      <c r="R4391" s="9" t="s">
        <v>13284</v>
      </c>
      <c r="S4391" s="9" t="s">
        <v>13284</v>
      </c>
      <c r="T4391" s="9" t="str">
        <f ca="1">IFERROR(IF(AND(VLOOKUP(A4391, 'Актуальное состояние (из общего'!A:C,3,0) = "", A4391 &lt;&gt; ""), "ПРОВЕРИТЬ", VLOOKUP(A4391, 'Актуальное состояние (из общего'!A:C,3,0)), "")</f>
        <v/>
      </c>
      <c r="U4391" s="9" t="s">
        <v>13284</v>
      </c>
      <c r="V4391" s="9" t="s">
        <v>13284</v>
      </c>
      <c r="W4391" s="12"/>
      <c r="X4391" s="9" t="str">
        <f t="array" ref="X4391">IFERROR(INDEX('Адреса общежитий (скрытый)'!$B$2:$B$9, MATCH(W4391, 'Адреса общежитий (скрытый)'!$A$2:$A$9, 0)), "")</f>
        <v/>
      </c>
      <c r="Y4391" s="18"/>
      <c r="Z4391" s="18"/>
      <c r="AA4391" s="18"/>
      <c r="AB4391" s="18"/>
      <c r="AC4391" s="18"/>
    </row>
    <row r="4392" spans="1:29" ht="32.25" hidden="1" customHeight="1">
      <c r="A4392" s="17"/>
      <c r="B4392" s="9" t="s">
        <v>13284</v>
      </c>
      <c r="C4392" s="9" t="s">
        <v>13284</v>
      </c>
      <c r="D4392" s="9" t="s">
        <v>13284</v>
      </c>
      <c r="E4392" s="9" t="s">
        <v>13284</v>
      </c>
      <c r="F4392" s="9" t="s">
        <v>13284</v>
      </c>
      <c r="G4392" s="9" t="s">
        <v>13284</v>
      </c>
      <c r="H4392" s="9" t="s">
        <v>13284</v>
      </c>
      <c r="I4392" s="9" t="s">
        <v>13284</v>
      </c>
      <c r="J4392" s="9" t="s">
        <v>13284</v>
      </c>
      <c r="K4392" s="9" t="s">
        <v>13284</v>
      </c>
      <c r="L4392" s="9" t="s">
        <v>13284</v>
      </c>
      <c r="M4392" s="9" t="s">
        <v>13284</v>
      </c>
      <c r="N4392" s="9" t="s">
        <v>13284</v>
      </c>
      <c r="O4392" s="9" t="s">
        <v>13284</v>
      </c>
      <c r="P4392" s="9" t="s">
        <v>13284</v>
      </c>
      <c r="Q4392" s="9" t="s">
        <v>13284</v>
      </c>
      <c r="R4392" s="9" t="s">
        <v>13284</v>
      </c>
      <c r="S4392" s="9" t="s">
        <v>13284</v>
      </c>
      <c r="T4392" s="9" t="str">
        <f ca="1">IFERROR(IF(AND(VLOOKUP(A4392, 'Актуальное состояние (из общего'!A:C,3,0) = "", A4392 &lt;&gt; ""), "ПРОВЕРИТЬ", VLOOKUP(A4392, 'Актуальное состояние (из общего'!A:C,3,0)), "")</f>
        <v/>
      </c>
      <c r="U4392" s="9" t="s">
        <v>13284</v>
      </c>
      <c r="V4392" s="9" t="s">
        <v>13284</v>
      </c>
      <c r="W4392" s="12"/>
      <c r="X4392" s="9" t="str">
        <f t="array" ref="X4392">IFERROR(INDEX('Адреса общежитий (скрытый)'!$B$2:$B$9, MATCH(W4392, 'Адреса общежитий (скрытый)'!$A$2:$A$9, 0)), "")</f>
        <v/>
      </c>
      <c r="Y4392" s="18"/>
      <c r="Z4392" s="18"/>
      <c r="AA4392" s="18"/>
      <c r="AB4392" s="18"/>
      <c r="AC4392" s="18"/>
    </row>
    <row r="4393" spans="1:29" ht="32.25" hidden="1" customHeight="1">
      <c r="A4393" s="17"/>
      <c r="B4393" s="9" t="s">
        <v>13284</v>
      </c>
      <c r="C4393" s="9" t="s">
        <v>13284</v>
      </c>
      <c r="D4393" s="9" t="s">
        <v>13284</v>
      </c>
      <c r="E4393" s="9" t="s">
        <v>13284</v>
      </c>
      <c r="F4393" s="9" t="s">
        <v>13284</v>
      </c>
      <c r="G4393" s="9" t="s">
        <v>13284</v>
      </c>
      <c r="H4393" s="9" t="s">
        <v>13284</v>
      </c>
      <c r="I4393" s="9" t="s">
        <v>13284</v>
      </c>
      <c r="J4393" s="9" t="s">
        <v>13284</v>
      </c>
      <c r="K4393" s="9" t="s">
        <v>13284</v>
      </c>
      <c r="L4393" s="9" t="s">
        <v>13284</v>
      </c>
      <c r="M4393" s="9" t="s">
        <v>13284</v>
      </c>
      <c r="N4393" s="9" t="s">
        <v>13284</v>
      </c>
      <c r="O4393" s="9" t="s">
        <v>13284</v>
      </c>
      <c r="P4393" s="9" t="s">
        <v>13284</v>
      </c>
      <c r="Q4393" s="9" t="s">
        <v>13284</v>
      </c>
      <c r="R4393" s="9" t="s">
        <v>13284</v>
      </c>
      <c r="S4393" s="9" t="s">
        <v>13284</v>
      </c>
      <c r="T4393" s="9" t="str">
        <f ca="1">IFERROR(IF(AND(VLOOKUP(A4393, 'Актуальное состояние (из общего'!A:C,3,0) = "", A4393 &lt;&gt; ""), "ПРОВЕРИТЬ", VLOOKUP(A4393, 'Актуальное состояние (из общего'!A:C,3,0)), "")</f>
        <v/>
      </c>
      <c r="U4393" s="9" t="s">
        <v>13284</v>
      </c>
      <c r="V4393" s="9" t="s">
        <v>13284</v>
      </c>
      <c r="W4393" s="12"/>
      <c r="X4393" s="9" t="str">
        <f t="array" ref="X4393">IFERROR(INDEX('Адреса общежитий (скрытый)'!$B$2:$B$9, MATCH(W4393, 'Адреса общежитий (скрытый)'!$A$2:$A$9, 0)), "")</f>
        <v/>
      </c>
      <c r="Y4393" s="18"/>
      <c r="Z4393" s="18"/>
      <c r="AA4393" s="18"/>
      <c r="AB4393" s="18"/>
      <c r="AC4393" s="18"/>
    </row>
    <row r="4394" spans="1:29" ht="32.25" hidden="1" customHeight="1">
      <c r="A4394" s="17"/>
      <c r="B4394" s="9" t="s">
        <v>13284</v>
      </c>
      <c r="C4394" s="9" t="s">
        <v>13284</v>
      </c>
      <c r="D4394" s="9" t="s">
        <v>13284</v>
      </c>
      <c r="E4394" s="9" t="s">
        <v>13284</v>
      </c>
      <c r="F4394" s="9" t="s">
        <v>13284</v>
      </c>
      <c r="G4394" s="9" t="s">
        <v>13284</v>
      </c>
      <c r="H4394" s="9" t="s">
        <v>13284</v>
      </c>
      <c r="I4394" s="9" t="s">
        <v>13284</v>
      </c>
      <c r="J4394" s="9" t="s">
        <v>13284</v>
      </c>
      <c r="K4394" s="9" t="s">
        <v>13284</v>
      </c>
      <c r="L4394" s="9" t="s">
        <v>13284</v>
      </c>
      <c r="M4394" s="9" t="s">
        <v>13284</v>
      </c>
      <c r="N4394" s="9" t="s">
        <v>13284</v>
      </c>
      <c r="O4394" s="9" t="s">
        <v>13284</v>
      </c>
      <c r="P4394" s="9" t="s">
        <v>13284</v>
      </c>
      <c r="Q4394" s="9" t="s">
        <v>13284</v>
      </c>
      <c r="R4394" s="9" t="s">
        <v>13284</v>
      </c>
      <c r="S4394" s="9" t="s">
        <v>13284</v>
      </c>
      <c r="T4394" s="9" t="str">
        <f ca="1">IFERROR(IF(AND(VLOOKUP(A4394, 'Актуальное состояние (из общего'!A:C,3,0) = "", A4394 &lt;&gt; ""), "ПРОВЕРИТЬ", VLOOKUP(A4394, 'Актуальное состояние (из общего'!A:C,3,0)), "")</f>
        <v/>
      </c>
      <c r="U4394" s="9" t="s">
        <v>13284</v>
      </c>
      <c r="V4394" s="9" t="s">
        <v>13284</v>
      </c>
      <c r="W4394" s="12"/>
      <c r="X4394" s="9" t="str">
        <f t="array" ref="X4394">IFERROR(INDEX('Адреса общежитий (скрытый)'!$B$2:$B$9, MATCH(W4394, 'Адреса общежитий (скрытый)'!$A$2:$A$9, 0)), "")</f>
        <v/>
      </c>
      <c r="Y4394" s="18"/>
      <c r="Z4394" s="18"/>
      <c r="AA4394" s="18"/>
      <c r="AB4394" s="18"/>
      <c r="AC4394" s="18"/>
    </row>
    <row r="4395" spans="1:29" ht="32.25" hidden="1" customHeight="1">
      <c r="A4395" s="17"/>
      <c r="B4395" s="9" t="s">
        <v>13284</v>
      </c>
      <c r="C4395" s="9" t="s">
        <v>13284</v>
      </c>
      <c r="D4395" s="9" t="s">
        <v>13284</v>
      </c>
      <c r="E4395" s="9" t="s">
        <v>13284</v>
      </c>
      <c r="F4395" s="9" t="s">
        <v>13284</v>
      </c>
      <c r="G4395" s="9" t="s">
        <v>13284</v>
      </c>
      <c r="H4395" s="9" t="s">
        <v>13284</v>
      </c>
      <c r="I4395" s="9" t="s">
        <v>13284</v>
      </c>
      <c r="J4395" s="9" t="s">
        <v>13284</v>
      </c>
      <c r="K4395" s="9" t="s">
        <v>13284</v>
      </c>
      <c r="L4395" s="9" t="s">
        <v>13284</v>
      </c>
      <c r="M4395" s="9" t="s">
        <v>13284</v>
      </c>
      <c r="N4395" s="9" t="s">
        <v>13284</v>
      </c>
      <c r="O4395" s="9" t="s">
        <v>13284</v>
      </c>
      <c r="P4395" s="9" t="s">
        <v>13284</v>
      </c>
      <c r="Q4395" s="9" t="s">
        <v>13284</v>
      </c>
      <c r="R4395" s="9" t="s">
        <v>13284</v>
      </c>
      <c r="S4395" s="9" t="s">
        <v>13284</v>
      </c>
      <c r="T4395" s="9" t="str">
        <f ca="1">IFERROR(IF(AND(VLOOKUP(A4395, 'Актуальное состояние (из общего'!A:C,3,0) = "", A4395 &lt;&gt; ""), "ПРОВЕРИТЬ", VLOOKUP(A4395, 'Актуальное состояние (из общего'!A:C,3,0)), "")</f>
        <v/>
      </c>
      <c r="U4395" s="9" t="s">
        <v>13284</v>
      </c>
      <c r="V4395" s="9" t="s">
        <v>13284</v>
      </c>
      <c r="W4395" s="12"/>
      <c r="X4395" s="9" t="str">
        <f t="array" ref="X4395">IFERROR(INDEX('Адреса общежитий (скрытый)'!$B$2:$B$9, MATCH(W4395, 'Адреса общежитий (скрытый)'!$A$2:$A$9, 0)), "")</f>
        <v/>
      </c>
      <c r="Y4395" s="18"/>
      <c r="Z4395" s="18"/>
      <c r="AA4395" s="18"/>
      <c r="AB4395" s="18"/>
      <c r="AC4395" s="18"/>
    </row>
    <row r="4396" spans="1:29" ht="32.25" hidden="1" customHeight="1">
      <c r="A4396" s="17"/>
      <c r="B4396" s="9" t="s">
        <v>13284</v>
      </c>
      <c r="C4396" s="9" t="s">
        <v>13284</v>
      </c>
      <c r="D4396" s="9" t="s">
        <v>13284</v>
      </c>
      <c r="E4396" s="9" t="s">
        <v>13284</v>
      </c>
      <c r="F4396" s="9" t="s">
        <v>13284</v>
      </c>
      <c r="G4396" s="9" t="s">
        <v>13284</v>
      </c>
      <c r="H4396" s="9" t="s">
        <v>13284</v>
      </c>
      <c r="I4396" s="9" t="s">
        <v>13284</v>
      </c>
      <c r="J4396" s="9" t="s">
        <v>13284</v>
      </c>
      <c r="K4396" s="9" t="s">
        <v>13284</v>
      </c>
      <c r="L4396" s="9" t="s">
        <v>13284</v>
      </c>
      <c r="M4396" s="9" t="s">
        <v>13284</v>
      </c>
      <c r="N4396" s="9" t="s">
        <v>13284</v>
      </c>
      <c r="O4396" s="9" t="s">
        <v>13284</v>
      </c>
      <c r="P4396" s="9" t="s">
        <v>13284</v>
      </c>
      <c r="Q4396" s="9" t="s">
        <v>13284</v>
      </c>
      <c r="R4396" s="9" t="s">
        <v>13284</v>
      </c>
      <c r="S4396" s="9" t="s">
        <v>13284</v>
      </c>
      <c r="T4396" s="9" t="str">
        <f ca="1">IFERROR(IF(AND(VLOOKUP(A4396, 'Актуальное состояние (из общего'!A:C,3,0) = "", A4396 &lt;&gt; ""), "ПРОВЕРИТЬ", VLOOKUP(A4396, 'Актуальное состояние (из общего'!A:C,3,0)), "")</f>
        <v/>
      </c>
      <c r="U4396" s="9" t="s">
        <v>13284</v>
      </c>
      <c r="V4396" s="9" t="s">
        <v>13284</v>
      </c>
      <c r="W4396" s="12"/>
      <c r="X4396" s="9" t="str">
        <f t="array" ref="X4396">IFERROR(INDEX('Адреса общежитий (скрытый)'!$B$2:$B$9, MATCH(W4396, 'Адреса общежитий (скрытый)'!$A$2:$A$9, 0)), "")</f>
        <v/>
      </c>
      <c r="Y4396" s="18"/>
      <c r="Z4396" s="18"/>
      <c r="AA4396" s="18"/>
      <c r="AB4396" s="18"/>
      <c r="AC4396" s="18"/>
    </row>
    <row r="4397" spans="1:29" ht="32.25" hidden="1" customHeight="1">
      <c r="A4397" s="17"/>
      <c r="B4397" s="9" t="s">
        <v>13284</v>
      </c>
      <c r="C4397" s="9" t="s">
        <v>13284</v>
      </c>
      <c r="D4397" s="9" t="s">
        <v>13284</v>
      </c>
      <c r="E4397" s="9" t="s">
        <v>13284</v>
      </c>
      <c r="F4397" s="9" t="s">
        <v>13284</v>
      </c>
      <c r="G4397" s="9" t="s">
        <v>13284</v>
      </c>
      <c r="H4397" s="9" t="s">
        <v>13284</v>
      </c>
      <c r="I4397" s="9" t="s">
        <v>13284</v>
      </c>
      <c r="J4397" s="9" t="s">
        <v>13284</v>
      </c>
      <c r="K4397" s="9" t="s">
        <v>13284</v>
      </c>
      <c r="L4397" s="9" t="s">
        <v>13284</v>
      </c>
      <c r="M4397" s="9" t="s">
        <v>13284</v>
      </c>
      <c r="N4397" s="9" t="s">
        <v>13284</v>
      </c>
      <c r="O4397" s="9" t="s">
        <v>13284</v>
      </c>
      <c r="P4397" s="9" t="s">
        <v>13284</v>
      </c>
      <c r="Q4397" s="9" t="s">
        <v>13284</v>
      </c>
      <c r="R4397" s="9" t="s">
        <v>13284</v>
      </c>
      <c r="S4397" s="9" t="s">
        <v>13284</v>
      </c>
      <c r="T4397" s="9" t="str">
        <f ca="1">IFERROR(IF(AND(VLOOKUP(A4397, 'Актуальное состояние (из общего'!A:C,3,0) = "", A4397 &lt;&gt; ""), "ПРОВЕРИТЬ", VLOOKUP(A4397, 'Актуальное состояние (из общего'!A:C,3,0)), "")</f>
        <v/>
      </c>
      <c r="U4397" s="9" t="s">
        <v>13284</v>
      </c>
      <c r="V4397" s="9" t="s">
        <v>13284</v>
      </c>
      <c r="W4397" s="12"/>
      <c r="X4397" s="9" t="str">
        <f t="array" ref="X4397">IFERROR(INDEX('Адреса общежитий (скрытый)'!$B$2:$B$9, MATCH(W4397, 'Адреса общежитий (скрытый)'!$A$2:$A$9, 0)), "")</f>
        <v/>
      </c>
      <c r="Y4397" s="18"/>
      <c r="Z4397" s="18"/>
      <c r="AA4397" s="18"/>
      <c r="AB4397" s="18"/>
      <c r="AC4397" s="18"/>
    </row>
    <row r="4398" spans="1:29" ht="32.25" hidden="1" customHeight="1">
      <c r="A4398" s="17"/>
      <c r="B4398" s="9" t="s">
        <v>13284</v>
      </c>
      <c r="C4398" s="9" t="s">
        <v>13284</v>
      </c>
      <c r="D4398" s="9" t="s">
        <v>13284</v>
      </c>
      <c r="E4398" s="9" t="s">
        <v>13284</v>
      </c>
      <c r="F4398" s="9" t="s">
        <v>13284</v>
      </c>
      <c r="G4398" s="9" t="s">
        <v>13284</v>
      </c>
      <c r="H4398" s="9" t="s">
        <v>13284</v>
      </c>
      <c r="I4398" s="9" t="s">
        <v>13284</v>
      </c>
      <c r="J4398" s="9" t="s">
        <v>13284</v>
      </c>
      <c r="K4398" s="9" t="s">
        <v>13284</v>
      </c>
      <c r="L4398" s="9" t="s">
        <v>13284</v>
      </c>
      <c r="M4398" s="9" t="s">
        <v>13284</v>
      </c>
      <c r="N4398" s="9" t="s">
        <v>13284</v>
      </c>
      <c r="O4398" s="9" t="s">
        <v>13284</v>
      </c>
      <c r="P4398" s="9" t="s">
        <v>13284</v>
      </c>
      <c r="Q4398" s="9" t="s">
        <v>13284</v>
      </c>
      <c r="R4398" s="9" t="s">
        <v>13284</v>
      </c>
      <c r="S4398" s="9" t="s">
        <v>13284</v>
      </c>
      <c r="T4398" s="9" t="str">
        <f ca="1">IFERROR(IF(AND(VLOOKUP(A4398, 'Актуальное состояние (из общего'!A:C,3,0) = "", A4398 &lt;&gt; ""), "ПРОВЕРИТЬ", VLOOKUP(A4398, 'Актуальное состояние (из общего'!A:C,3,0)), "")</f>
        <v/>
      </c>
      <c r="U4398" s="9" t="s">
        <v>13284</v>
      </c>
      <c r="V4398" s="9" t="s">
        <v>13284</v>
      </c>
      <c r="W4398" s="12"/>
      <c r="X4398" s="9" t="str">
        <f t="array" ref="X4398">IFERROR(INDEX('Адреса общежитий (скрытый)'!$B$2:$B$9, MATCH(W4398, 'Адреса общежитий (скрытый)'!$A$2:$A$9, 0)), "")</f>
        <v/>
      </c>
      <c r="Y4398" s="18"/>
      <c r="Z4398" s="18"/>
      <c r="AA4398" s="18"/>
      <c r="AB4398" s="18"/>
      <c r="AC4398" s="18"/>
    </row>
    <row r="4399" spans="1:29" ht="32.25" hidden="1" customHeight="1">
      <c r="A4399" s="17"/>
      <c r="B4399" s="9" t="s">
        <v>13284</v>
      </c>
      <c r="C4399" s="9" t="s">
        <v>13284</v>
      </c>
      <c r="D4399" s="9" t="s">
        <v>13284</v>
      </c>
      <c r="E4399" s="9" t="s">
        <v>13284</v>
      </c>
      <c r="F4399" s="9" t="s">
        <v>13284</v>
      </c>
      <c r="G4399" s="9" t="s">
        <v>13284</v>
      </c>
      <c r="H4399" s="9" t="s">
        <v>13284</v>
      </c>
      <c r="I4399" s="9" t="s">
        <v>13284</v>
      </c>
      <c r="J4399" s="9" t="s">
        <v>13284</v>
      </c>
      <c r="K4399" s="9" t="s">
        <v>13284</v>
      </c>
      <c r="L4399" s="9" t="s">
        <v>13284</v>
      </c>
      <c r="M4399" s="9" t="s">
        <v>13284</v>
      </c>
      <c r="N4399" s="9" t="s">
        <v>13284</v>
      </c>
      <c r="O4399" s="9" t="s">
        <v>13284</v>
      </c>
      <c r="P4399" s="9" t="s">
        <v>13284</v>
      </c>
      <c r="Q4399" s="9" t="s">
        <v>13284</v>
      </c>
      <c r="R4399" s="9" t="s">
        <v>13284</v>
      </c>
      <c r="S4399" s="9" t="s">
        <v>13284</v>
      </c>
      <c r="T4399" s="9" t="str">
        <f ca="1">IFERROR(IF(AND(VLOOKUP(A4399, 'Актуальное состояние (из общего'!A:C,3,0) = "", A4399 &lt;&gt; ""), "ПРОВЕРИТЬ", VLOOKUP(A4399, 'Актуальное состояние (из общего'!A:C,3,0)), "")</f>
        <v/>
      </c>
      <c r="U4399" s="9" t="s">
        <v>13284</v>
      </c>
      <c r="V4399" s="9" t="s">
        <v>13284</v>
      </c>
      <c r="W4399" s="12"/>
      <c r="X4399" s="9" t="str">
        <f t="array" ref="X4399">IFERROR(INDEX('Адреса общежитий (скрытый)'!$B$2:$B$9, MATCH(W4399, 'Адреса общежитий (скрытый)'!$A$2:$A$9, 0)), "")</f>
        <v/>
      </c>
      <c r="Y4399" s="18"/>
      <c r="Z4399" s="18"/>
      <c r="AA4399" s="18"/>
      <c r="AB4399" s="18"/>
      <c r="AC4399" s="18"/>
    </row>
    <row r="4400" spans="1:29" ht="32.25" hidden="1" customHeight="1">
      <c r="A4400" s="17"/>
      <c r="B4400" s="9" t="s">
        <v>13284</v>
      </c>
      <c r="C4400" s="9" t="s">
        <v>13284</v>
      </c>
      <c r="D4400" s="9" t="s">
        <v>13284</v>
      </c>
      <c r="E4400" s="9" t="s">
        <v>13284</v>
      </c>
      <c r="F4400" s="9" t="s">
        <v>13284</v>
      </c>
      <c r="G4400" s="9" t="s">
        <v>13284</v>
      </c>
      <c r="H4400" s="9" t="s">
        <v>13284</v>
      </c>
      <c r="I4400" s="9" t="s">
        <v>13284</v>
      </c>
      <c r="J4400" s="9" t="s">
        <v>13284</v>
      </c>
      <c r="K4400" s="9" t="s">
        <v>13284</v>
      </c>
      <c r="L4400" s="9" t="s">
        <v>13284</v>
      </c>
      <c r="M4400" s="9" t="s">
        <v>13284</v>
      </c>
      <c r="N4400" s="9" t="s">
        <v>13284</v>
      </c>
      <c r="O4400" s="9" t="s">
        <v>13284</v>
      </c>
      <c r="P4400" s="9" t="s">
        <v>13284</v>
      </c>
      <c r="Q4400" s="9" t="s">
        <v>13284</v>
      </c>
      <c r="R4400" s="9" t="s">
        <v>13284</v>
      </c>
      <c r="S4400" s="9" t="s">
        <v>13284</v>
      </c>
      <c r="T4400" s="9" t="str">
        <f ca="1">IFERROR(IF(AND(VLOOKUP(A4400, 'Актуальное состояние (из общего'!A:C,3,0) = "", A4400 &lt;&gt; ""), "ПРОВЕРИТЬ", VLOOKUP(A4400, 'Актуальное состояние (из общего'!A:C,3,0)), "")</f>
        <v/>
      </c>
      <c r="U4400" s="9" t="s">
        <v>13284</v>
      </c>
      <c r="V4400" s="9" t="s">
        <v>13284</v>
      </c>
      <c r="W4400" s="12"/>
      <c r="X4400" s="9" t="str">
        <f t="array" ref="X4400">IFERROR(INDEX('Адреса общежитий (скрытый)'!$B$2:$B$9, MATCH(W4400, 'Адреса общежитий (скрытый)'!$A$2:$A$9, 0)), "")</f>
        <v/>
      </c>
      <c r="Y4400" s="18"/>
      <c r="Z4400" s="18"/>
      <c r="AA4400" s="18"/>
      <c r="AB4400" s="18"/>
      <c r="AC4400" s="18"/>
    </row>
    <row r="4401" spans="1:29" ht="32.25" hidden="1" customHeight="1">
      <c r="A4401" s="17"/>
      <c r="B4401" s="9" t="s">
        <v>13284</v>
      </c>
      <c r="C4401" s="9" t="s">
        <v>13284</v>
      </c>
      <c r="D4401" s="9" t="s">
        <v>13284</v>
      </c>
      <c r="E4401" s="9" t="s">
        <v>13284</v>
      </c>
      <c r="F4401" s="9" t="s">
        <v>13284</v>
      </c>
      <c r="G4401" s="9" t="s">
        <v>13284</v>
      </c>
      <c r="H4401" s="9" t="s">
        <v>13284</v>
      </c>
      <c r="I4401" s="9" t="s">
        <v>13284</v>
      </c>
      <c r="J4401" s="9" t="s">
        <v>13284</v>
      </c>
      <c r="K4401" s="9" t="s">
        <v>13284</v>
      </c>
      <c r="L4401" s="9" t="s">
        <v>13284</v>
      </c>
      <c r="M4401" s="9" t="s">
        <v>13284</v>
      </c>
      <c r="N4401" s="9" t="s">
        <v>13284</v>
      </c>
      <c r="O4401" s="9" t="s">
        <v>13284</v>
      </c>
      <c r="P4401" s="9" t="s">
        <v>13284</v>
      </c>
      <c r="Q4401" s="9" t="s">
        <v>13284</v>
      </c>
      <c r="R4401" s="9" t="s">
        <v>13284</v>
      </c>
      <c r="S4401" s="9" t="s">
        <v>13284</v>
      </c>
      <c r="T4401" s="9" t="str">
        <f ca="1">IFERROR(IF(AND(VLOOKUP(A4401, 'Актуальное состояние (из общего'!A:C,3,0) = "", A4401 &lt;&gt; ""), "ПРОВЕРИТЬ", VLOOKUP(A4401, 'Актуальное состояние (из общего'!A:C,3,0)), "")</f>
        <v/>
      </c>
      <c r="U4401" s="9" t="s">
        <v>13284</v>
      </c>
      <c r="V4401" s="9" t="s">
        <v>13284</v>
      </c>
      <c r="W4401" s="12"/>
      <c r="X4401" s="9" t="str">
        <f t="array" ref="X4401">IFERROR(INDEX('Адреса общежитий (скрытый)'!$B$2:$B$9, MATCH(W4401, 'Адреса общежитий (скрытый)'!$A$2:$A$9, 0)), "")</f>
        <v/>
      </c>
      <c r="Y4401" s="18"/>
      <c r="Z4401" s="18"/>
      <c r="AA4401" s="18"/>
      <c r="AB4401" s="18"/>
      <c r="AC4401" s="18"/>
    </row>
    <row r="4402" spans="1:29" ht="32.25" hidden="1" customHeight="1">
      <c r="A4402" s="17"/>
      <c r="B4402" s="9" t="s">
        <v>13284</v>
      </c>
      <c r="C4402" s="9" t="s">
        <v>13284</v>
      </c>
      <c r="D4402" s="9" t="s">
        <v>13284</v>
      </c>
      <c r="E4402" s="9" t="s">
        <v>13284</v>
      </c>
      <c r="F4402" s="9" t="s">
        <v>13284</v>
      </c>
      <c r="G4402" s="9" t="s">
        <v>13284</v>
      </c>
      <c r="H4402" s="9" t="s">
        <v>13284</v>
      </c>
      <c r="I4402" s="9" t="s">
        <v>13284</v>
      </c>
      <c r="J4402" s="9" t="s">
        <v>13284</v>
      </c>
      <c r="K4402" s="9" t="s">
        <v>13284</v>
      </c>
      <c r="L4402" s="9" t="s">
        <v>13284</v>
      </c>
      <c r="M4402" s="9" t="s">
        <v>13284</v>
      </c>
      <c r="N4402" s="9" t="s">
        <v>13284</v>
      </c>
      <c r="O4402" s="9" t="s">
        <v>13284</v>
      </c>
      <c r="P4402" s="9" t="s">
        <v>13284</v>
      </c>
      <c r="Q4402" s="9" t="s">
        <v>13284</v>
      </c>
      <c r="R4402" s="9" t="s">
        <v>13284</v>
      </c>
      <c r="S4402" s="9" t="s">
        <v>13284</v>
      </c>
      <c r="T4402" s="9" t="str">
        <f ca="1">IFERROR(IF(AND(VLOOKUP(A4402, 'Актуальное состояние (из общего'!A:C,3,0) = "", A4402 &lt;&gt; ""), "ПРОВЕРИТЬ", VLOOKUP(A4402, 'Актуальное состояние (из общего'!A:C,3,0)), "")</f>
        <v/>
      </c>
      <c r="U4402" s="9" t="s">
        <v>13284</v>
      </c>
      <c r="V4402" s="9" t="s">
        <v>13284</v>
      </c>
      <c r="W4402" s="12"/>
      <c r="X4402" s="9" t="str">
        <f t="array" ref="X4402">IFERROR(INDEX('Адреса общежитий (скрытый)'!$B$2:$B$9, MATCH(W4402, 'Адреса общежитий (скрытый)'!$A$2:$A$9, 0)), "")</f>
        <v/>
      </c>
      <c r="Y4402" s="18"/>
      <c r="Z4402" s="18"/>
      <c r="AA4402" s="18"/>
      <c r="AB4402" s="18"/>
      <c r="AC4402" s="18"/>
    </row>
    <row r="4403" spans="1:29" ht="32.25" hidden="1" customHeight="1">
      <c r="A4403" s="17"/>
      <c r="B4403" s="9" t="s">
        <v>13284</v>
      </c>
      <c r="C4403" s="9" t="s">
        <v>13284</v>
      </c>
      <c r="D4403" s="9" t="s">
        <v>13284</v>
      </c>
      <c r="E4403" s="9" t="s">
        <v>13284</v>
      </c>
      <c r="F4403" s="9" t="s">
        <v>13284</v>
      </c>
      <c r="G4403" s="9" t="s">
        <v>13284</v>
      </c>
      <c r="H4403" s="9" t="s">
        <v>13284</v>
      </c>
      <c r="I4403" s="9" t="s">
        <v>13284</v>
      </c>
      <c r="J4403" s="9" t="s">
        <v>13284</v>
      </c>
      <c r="K4403" s="9" t="s">
        <v>13284</v>
      </c>
      <c r="L4403" s="9" t="s">
        <v>13284</v>
      </c>
      <c r="M4403" s="9" t="s">
        <v>13284</v>
      </c>
      <c r="N4403" s="9" t="s">
        <v>13284</v>
      </c>
      <c r="O4403" s="9" t="s">
        <v>13284</v>
      </c>
      <c r="P4403" s="9" t="s">
        <v>13284</v>
      </c>
      <c r="Q4403" s="9" t="s">
        <v>13284</v>
      </c>
      <c r="R4403" s="9" t="s">
        <v>13284</v>
      </c>
      <c r="S4403" s="9" t="s">
        <v>13284</v>
      </c>
      <c r="T4403" s="9" t="str">
        <f ca="1">IFERROR(IF(AND(VLOOKUP(A4403, 'Актуальное состояние (из общего'!A:C,3,0) = "", A4403 &lt;&gt; ""), "ПРОВЕРИТЬ", VLOOKUP(A4403, 'Актуальное состояние (из общего'!A:C,3,0)), "")</f>
        <v/>
      </c>
      <c r="U4403" s="9" t="s">
        <v>13284</v>
      </c>
      <c r="V4403" s="9" t="s">
        <v>13284</v>
      </c>
      <c r="W4403" s="12"/>
      <c r="X4403" s="9" t="str">
        <f t="array" ref="X4403">IFERROR(INDEX('Адреса общежитий (скрытый)'!$B$2:$B$9, MATCH(W4403, 'Адреса общежитий (скрытый)'!$A$2:$A$9, 0)), "")</f>
        <v/>
      </c>
      <c r="Y4403" s="18"/>
      <c r="Z4403" s="18"/>
      <c r="AA4403" s="18"/>
      <c r="AB4403" s="18"/>
      <c r="AC4403" s="18"/>
    </row>
    <row r="4404" spans="1:29" ht="32.25" hidden="1" customHeight="1">
      <c r="A4404" s="17"/>
      <c r="B4404" s="9" t="s">
        <v>13284</v>
      </c>
      <c r="C4404" s="9" t="s">
        <v>13284</v>
      </c>
      <c r="D4404" s="9" t="s">
        <v>13284</v>
      </c>
      <c r="E4404" s="9" t="s">
        <v>13284</v>
      </c>
      <c r="F4404" s="9" t="s">
        <v>13284</v>
      </c>
      <c r="G4404" s="9" t="s">
        <v>13284</v>
      </c>
      <c r="H4404" s="9" t="s">
        <v>13284</v>
      </c>
      <c r="I4404" s="9" t="s">
        <v>13284</v>
      </c>
      <c r="J4404" s="9" t="s">
        <v>13284</v>
      </c>
      <c r="K4404" s="9" t="s">
        <v>13284</v>
      </c>
      <c r="L4404" s="9" t="s">
        <v>13284</v>
      </c>
      <c r="M4404" s="9" t="s">
        <v>13284</v>
      </c>
      <c r="N4404" s="9" t="s">
        <v>13284</v>
      </c>
      <c r="O4404" s="9" t="s">
        <v>13284</v>
      </c>
      <c r="P4404" s="9" t="s">
        <v>13284</v>
      </c>
      <c r="Q4404" s="9" t="s">
        <v>13284</v>
      </c>
      <c r="R4404" s="9" t="s">
        <v>13284</v>
      </c>
      <c r="S4404" s="9" t="s">
        <v>13284</v>
      </c>
      <c r="T4404" s="9" t="str">
        <f ca="1">IFERROR(IF(AND(VLOOKUP(A4404, 'Актуальное состояние (из общего'!A:C,3,0) = "", A4404 &lt;&gt; ""), "ПРОВЕРИТЬ", VLOOKUP(A4404, 'Актуальное состояние (из общего'!A:C,3,0)), "")</f>
        <v/>
      </c>
      <c r="U4404" s="9" t="s">
        <v>13284</v>
      </c>
      <c r="V4404" s="9" t="s">
        <v>13284</v>
      </c>
      <c r="W4404" s="12"/>
      <c r="X4404" s="9" t="str">
        <f t="array" ref="X4404">IFERROR(INDEX('Адреса общежитий (скрытый)'!$B$2:$B$9, MATCH(W4404, 'Адреса общежитий (скрытый)'!$A$2:$A$9, 0)), "")</f>
        <v/>
      </c>
      <c r="Y4404" s="18"/>
      <c r="Z4404" s="18"/>
      <c r="AA4404" s="18"/>
      <c r="AB4404" s="18"/>
      <c r="AC4404" s="18"/>
    </row>
    <row r="4405" spans="1:29" ht="32.25" hidden="1" customHeight="1">
      <c r="A4405" s="17"/>
      <c r="B4405" s="9" t="s">
        <v>13284</v>
      </c>
      <c r="C4405" s="9" t="s">
        <v>13284</v>
      </c>
      <c r="D4405" s="9" t="s">
        <v>13284</v>
      </c>
      <c r="E4405" s="9" t="s">
        <v>13284</v>
      </c>
      <c r="F4405" s="9" t="s">
        <v>13284</v>
      </c>
      <c r="G4405" s="9" t="s">
        <v>13284</v>
      </c>
      <c r="H4405" s="9" t="s">
        <v>13284</v>
      </c>
      <c r="I4405" s="9" t="s">
        <v>13284</v>
      </c>
      <c r="J4405" s="9" t="s">
        <v>13284</v>
      </c>
      <c r="K4405" s="9" t="s">
        <v>13284</v>
      </c>
      <c r="L4405" s="9" t="s">
        <v>13284</v>
      </c>
      <c r="M4405" s="9" t="s">
        <v>13284</v>
      </c>
      <c r="N4405" s="9" t="s">
        <v>13284</v>
      </c>
      <c r="O4405" s="9" t="s">
        <v>13284</v>
      </c>
      <c r="P4405" s="9" t="s">
        <v>13284</v>
      </c>
      <c r="Q4405" s="9" t="s">
        <v>13284</v>
      </c>
      <c r="R4405" s="9" t="s">
        <v>13284</v>
      </c>
      <c r="S4405" s="9" t="s">
        <v>13284</v>
      </c>
      <c r="T4405" s="9" t="str">
        <f ca="1">IFERROR(IF(AND(VLOOKUP(A4405, 'Актуальное состояние (из общего'!A:C,3,0) = "", A4405 &lt;&gt; ""), "ПРОВЕРИТЬ", VLOOKUP(A4405, 'Актуальное состояние (из общего'!A:C,3,0)), "")</f>
        <v/>
      </c>
      <c r="U4405" s="9" t="s">
        <v>13284</v>
      </c>
      <c r="V4405" s="9" t="s">
        <v>13284</v>
      </c>
      <c r="W4405" s="12"/>
      <c r="X4405" s="9" t="str">
        <f t="array" ref="X4405">IFERROR(INDEX('Адреса общежитий (скрытый)'!$B$2:$B$9, MATCH(W4405, 'Адреса общежитий (скрытый)'!$A$2:$A$9, 0)), "")</f>
        <v/>
      </c>
      <c r="Y4405" s="18"/>
      <c r="Z4405" s="18"/>
      <c r="AA4405" s="18"/>
      <c r="AB4405" s="18"/>
      <c r="AC4405" s="18"/>
    </row>
    <row r="4406" spans="1:29" ht="32.25" hidden="1" customHeight="1">
      <c r="A4406" s="17"/>
      <c r="B4406" s="9" t="s">
        <v>13284</v>
      </c>
      <c r="C4406" s="9" t="s">
        <v>13284</v>
      </c>
      <c r="D4406" s="9" t="s">
        <v>13284</v>
      </c>
      <c r="E4406" s="9" t="s">
        <v>13284</v>
      </c>
      <c r="F4406" s="9" t="s">
        <v>13284</v>
      </c>
      <c r="G4406" s="9" t="s">
        <v>13284</v>
      </c>
      <c r="H4406" s="9" t="s">
        <v>13284</v>
      </c>
      <c r="I4406" s="9" t="s">
        <v>13284</v>
      </c>
      <c r="J4406" s="9" t="s">
        <v>13284</v>
      </c>
      <c r="K4406" s="9" t="s">
        <v>13284</v>
      </c>
      <c r="L4406" s="9" t="s">
        <v>13284</v>
      </c>
      <c r="M4406" s="9" t="s">
        <v>13284</v>
      </c>
      <c r="N4406" s="9" t="s">
        <v>13284</v>
      </c>
      <c r="O4406" s="9" t="s">
        <v>13284</v>
      </c>
      <c r="P4406" s="9" t="s">
        <v>13284</v>
      </c>
      <c r="Q4406" s="9" t="s">
        <v>13284</v>
      </c>
      <c r="R4406" s="9" t="s">
        <v>13284</v>
      </c>
      <c r="S4406" s="9" t="s">
        <v>13284</v>
      </c>
      <c r="T4406" s="9" t="str">
        <f ca="1">IFERROR(IF(AND(VLOOKUP(A4406, 'Актуальное состояние (из общего'!A:C,3,0) = "", A4406 &lt;&gt; ""), "ПРОВЕРИТЬ", VLOOKUP(A4406, 'Актуальное состояние (из общего'!A:C,3,0)), "")</f>
        <v/>
      </c>
      <c r="U4406" s="9" t="s">
        <v>13284</v>
      </c>
      <c r="V4406" s="9" t="s">
        <v>13284</v>
      </c>
      <c r="W4406" s="12"/>
      <c r="X4406" s="9" t="str">
        <f t="array" ref="X4406">IFERROR(INDEX('Адреса общежитий (скрытый)'!$B$2:$B$9, MATCH(W4406, 'Адреса общежитий (скрытый)'!$A$2:$A$9, 0)), "")</f>
        <v/>
      </c>
      <c r="Y4406" s="18"/>
      <c r="Z4406" s="18"/>
      <c r="AA4406" s="18"/>
      <c r="AB4406" s="18"/>
      <c r="AC4406" s="18"/>
    </row>
    <row r="4407" spans="1:29" ht="32.25" hidden="1" customHeight="1">
      <c r="A4407" s="17"/>
      <c r="B4407" s="9" t="s">
        <v>13284</v>
      </c>
      <c r="C4407" s="9" t="s">
        <v>13284</v>
      </c>
      <c r="D4407" s="9" t="s">
        <v>13284</v>
      </c>
      <c r="E4407" s="9" t="s">
        <v>13284</v>
      </c>
      <c r="F4407" s="9" t="s">
        <v>13284</v>
      </c>
      <c r="G4407" s="9" t="s">
        <v>13284</v>
      </c>
      <c r="H4407" s="9" t="s">
        <v>13284</v>
      </c>
      <c r="I4407" s="9" t="s">
        <v>13284</v>
      </c>
      <c r="J4407" s="9" t="s">
        <v>13284</v>
      </c>
      <c r="K4407" s="9" t="s">
        <v>13284</v>
      </c>
      <c r="L4407" s="9" t="s">
        <v>13284</v>
      </c>
      <c r="M4407" s="9" t="s">
        <v>13284</v>
      </c>
      <c r="N4407" s="9" t="s">
        <v>13284</v>
      </c>
      <c r="O4407" s="9" t="s">
        <v>13284</v>
      </c>
      <c r="P4407" s="9" t="s">
        <v>13284</v>
      </c>
      <c r="Q4407" s="9" t="s">
        <v>13284</v>
      </c>
      <c r="R4407" s="9" t="s">
        <v>13284</v>
      </c>
      <c r="S4407" s="9" t="s">
        <v>13284</v>
      </c>
      <c r="T4407" s="9" t="str">
        <f ca="1">IFERROR(IF(AND(VLOOKUP(A4407, 'Актуальное состояние (из общего'!A:C,3,0) = "", A4407 &lt;&gt; ""), "ПРОВЕРИТЬ", VLOOKUP(A4407, 'Актуальное состояние (из общего'!A:C,3,0)), "")</f>
        <v/>
      </c>
      <c r="U4407" s="9" t="s">
        <v>13284</v>
      </c>
      <c r="V4407" s="9" t="s">
        <v>13284</v>
      </c>
      <c r="W4407" s="12"/>
      <c r="X4407" s="9" t="str">
        <f t="array" ref="X4407">IFERROR(INDEX('Адреса общежитий (скрытый)'!$B$2:$B$9, MATCH(W4407, 'Адреса общежитий (скрытый)'!$A$2:$A$9, 0)), "")</f>
        <v/>
      </c>
      <c r="Y4407" s="18"/>
      <c r="Z4407" s="18"/>
      <c r="AA4407" s="18"/>
      <c r="AB4407" s="18"/>
      <c r="AC4407" s="18"/>
    </row>
    <row r="4408" spans="1:29" ht="32.25" hidden="1" customHeight="1">
      <c r="A4408" s="17"/>
      <c r="B4408" s="9" t="s">
        <v>13284</v>
      </c>
      <c r="C4408" s="9" t="s">
        <v>13284</v>
      </c>
      <c r="D4408" s="9" t="s">
        <v>13284</v>
      </c>
      <c r="E4408" s="9" t="s">
        <v>13284</v>
      </c>
      <c r="F4408" s="9" t="s">
        <v>13284</v>
      </c>
      <c r="G4408" s="9" t="s">
        <v>13284</v>
      </c>
      <c r="H4408" s="9" t="s">
        <v>13284</v>
      </c>
      <c r="I4408" s="9" t="s">
        <v>13284</v>
      </c>
      <c r="J4408" s="9" t="s">
        <v>13284</v>
      </c>
      <c r="K4408" s="9" t="s">
        <v>13284</v>
      </c>
      <c r="L4408" s="9" t="s">
        <v>13284</v>
      </c>
      <c r="M4408" s="9" t="s">
        <v>13284</v>
      </c>
      <c r="N4408" s="9" t="s">
        <v>13284</v>
      </c>
      <c r="O4408" s="9" t="s">
        <v>13284</v>
      </c>
      <c r="P4408" s="9" t="s">
        <v>13284</v>
      </c>
      <c r="Q4408" s="9" t="s">
        <v>13284</v>
      </c>
      <c r="R4408" s="9" t="s">
        <v>13284</v>
      </c>
      <c r="S4408" s="9" t="s">
        <v>13284</v>
      </c>
      <c r="T4408" s="9" t="str">
        <f ca="1">IFERROR(IF(AND(VLOOKUP(A4408, 'Актуальное состояние (из общего'!A:C,3,0) = "", A4408 &lt;&gt; ""), "ПРОВЕРИТЬ", VLOOKUP(A4408, 'Актуальное состояние (из общего'!A:C,3,0)), "")</f>
        <v/>
      </c>
      <c r="U4408" s="9" t="s">
        <v>13284</v>
      </c>
      <c r="V4408" s="9" t="s">
        <v>13284</v>
      </c>
      <c r="W4408" s="12"/>
      <c r="X4408" s="9" t="str">
        <f t="array" ref="X4408">IFERROR(INDEX('Адреса общежитий (скрытый)'!$B$2:$B$9, MATCH(W4408, 'Адреса общежитий (скрытый)'!$A$2:$A$9, 0)), "")</f>
        <v/>
      </c>
      <c r="Y4408" s="18"/>
      <c r="Z4408" s="18"/>
      <c r="AA4408" s="18"/>
      <c r="AB4408" s="18"/>
      <c r="AC4408" s="18"/>
    </row>
    <row r="4409" spans="1:29" ht="32.25" hidden="1" customHeight="1">
      <c r="A4409" s="17"/>
      <c r="B4409" s="9" t="s">
        <v>13284</v>
      </c>
      <c r="C4409" s="9" t="s">
        <v>13284</v>
      </c>
      <c r="D4409" s="9" t="s">
        <v>13284</v>
      </c>
      <c r="E4409" s="9" t="s">
        <v>13284</v>
      </c>
      <c r="F4409" s="9" t="s">
        <v>13284</v>
      </c>
      <c r="G4409" s="9" t="s">
        <v>13284</v>
      </c>
      <c r="H4409" s="9" t="s">
        <v>13284</v>
      </c>
      <c r="I4409" s="9" t="s">
        <v>13284</v>
      </c>
      <c r="J4409" s="9" t="s">
        <v>13284</v>
      </c>
      <c r="K4409" s="9" t="s">
        <v>13284</v>
      </c>
      <c r="L4409" s="9" t="s">
        <v>13284</v>
      </c>
      <c r="M4409" s="9" t="s">
        <v>13284</v>
      </c>
      <c r="N4409" s="9" t="s">
        <v>13284</v>
      </c>
      <c r="O4409" s="9" t="s">
        <v>13284</v>
      </c>
      <c r="P4409" s="9" t="s">
        <v>13284</v>
      </c>
      <c r="Q4409" s="9" t="s">
        <v>13284</v>
      </c>
      <c r="R4409" s="9" t="s">
        <v>13284</v>
      </c>
      <c r="S4409" s="9" t="s">
        <v>13284</v>
      </c>
      <c r="T4409" s="9" t="str">
        <f ca="1">IFERROR(IF(AND(VLOOKUP(A4409, 'Актуальное состояние (из общего'!A:C,3,0) = "", A4409 &lt;&gt; ""), "ПРОВЕРИТЬ", VLOOKUP(A4409, 'Актуальное состояние (из общего'!A:C,3,0)), "")</f>
        <v/>
      </c>
      <c r="U4409" s="9" t="s">
        <v>13284</v>
      </c>
      <c r="V4409" s="9" t="s">
        <v>13284</v>
      </c>
      <c r="W4409" s="12"/>
      <c r="X4409" s="9" t="str">
        <f t="array" ref="X4409">IFERROR(INDEX('Адреса общежитий (скрытый)'!$B$2:$B$9, MATCH(W4409, 'Адреса общежитий (скрытый)'!$A$2:$A$9, 0)), "")</f>
        <v/>
      </c>
      <c r="Y4409" s="18"/>
      <c r="Z4409" s="18"/>
      <c r="AA4409" s="18"/>
      <c r="AB4409" s="18"/>
      <c r="AC4409" s="18"/>
    </row>
    <row r="4410" spans="1:29" ht="32.25" hidden="1" customHeight="1">
      <c r="A4410" s="17"/>
      <c r="B4410" s="9" t="s">
        <v>13284</v>
      </c>
      <c r="C4410" s="9" t="s">
        <v>13284</v>
      </c>
      <c r="D4410" s="9" t="s">
        <v>13284</v>
      </c>
      <c r="E4410" s="9" t="s">
        <v>13284</v>
      </c>
      <c r="F4410" s="9" t="s">
        <v>13284</v>
      </c>
      <c r="G4410" s="9" t="s">
        <v>13284</v>
      </c>
      <c r="H4410" s="9" t="s">
        <v>13284</v>
      </c>
      <c r="I4410" s="9" t="s">
        <v>13284</v>
      </c>
      <c r="J4410" s="9" t="s">
        <v>13284</v>
      </c>
      <c r="K4410" s="9" t="s">
        <v>13284</v>
      </c>
      <c r="L4410" s="9" t="s">
        <v>13284</v>
      </c>
      <c r="M4410" s="9" t="s">
        <v>13284</v>
      </c>
      <c r="N4410" s="9" t="s">
        <v>13284</v>
      </c>
      <c r="O4410" s="9" t="s">
        <v>13284</v>
      </c>
      <c r="P4410" s="9" t="s">
        <v>13284</v>
      </c>
      <c r="Q4410" s="9" t="s">
        <v>13284</v>
      </c>
      <c r="R4410" s="9" t="s">
        <v>13284</v>
      </c>
      <c r="S4410" s="9" t="s">
        <v>13284</v>
      </c>
      <c r="T4410" s="9" t="str">
        <f ca="1">IFERROR(IF(AND(VLOOKUP(A4410, 'Актуальное состояние (из общего'!A:C,3,0) = "", A4410 &lt;&gt; ""), "ПРОВЕРИТЬ", VLOOKUP(A4410, 'Актуальное состояние (из общего'!A:C,3,0)), "")</f>
        <v/>
      </c>
      <c r="U4410" s="9" t="s">
        <v>13284</v>
      </c>
      <c r="V4410" s="9" t="s">
        <v>13284</v>
      </c>
      <c r="W4410" s="12"/>
      <c r="X4410" s="9" t="str">
        <f t="array" ref="X4410">IFERROR(INDEX('Адреса общежитий (скрытый)'!$B$2:$B$9, MATCH(W4410, 'Адреса общежитий (скрытый)'!$A$2:$A$9, 0)), "")</f>
        <v/>
      </c>
      <c r="Y4410" s="18"/>
      <c r="Z4410" s="18"/>
      <c r="AA4410" s="18"/>
      <c r="AB4410" s="18"/>
      <c r="AC4410" s="18"/>
    </row>
    <row r="4411" spans="1:29" ht="32.25" hidden="1" customHeight="1">
      <c r="A4411" s="17"/>
      <c r="B4411" s="9" t="s">
        <v>13284</v>
      </c>
      <c r="C4411" s="9" t="s">
        <v>13284</v>
      </c>
      <c r="D4411" s="9" t="s">
        <v>13284</v>
      </c>
      <c r="E4411" s="9" t="s">
        <v>13284</v>
      </c>
      <c r="F4411" s="9" t="s">
        <v>13284</v>
      </c>
      <c r="G4411" s="9" t="s">
        <v>13284</v>
      </c>
      <c r="H4411" s="9" t="s">
        <v>13284</v>
      </c>
      <c r="I4411" s="9" t="s">
        <v>13284</v>
      </c>
      <c r="J4411" s="9" t="s">
        <v>13284</v>
      </c>
      <c r="K4411" s="9" t="s">
        <v>13284</v>
      </c>
      <c r="L4411" s="9" t="s">
        <v>13284</v>
      </c>
      <c r="M4411" s="9" t="s">
        <v>13284</v>
      </c>
      <c r="N4411" s="9" t="s">
        <v>13284</v>
      </c>
      <c r="O4411" s="9" t="s">
        <v>13284</v>
      </c>
      <c r="P4411" s="9" t="s">
        <v>13284</v>
      </c>
      <c r="Q4411" s="9" t="s">
        <v>13284</v>
      </c>
      <c r="R4411" s="9" t="s">
        <v>13284</v>
      </c>
      <c r="S4411" s="9" t="s">
        <v>13284</v>
      </c>
      <c r="T4411" s="9" t="str">
        <f ca="1">IFERROR(IF(AND(VLOOKUP(A4411, 'Актуальное состояние (из общего'!A:C,3,0) = "", A4411 &lt;&gt; ""), "ПРОВЕРИТЬ", VLOOKUP(A4411, 'Актуальное состояние (из общего'!A:C,3,0)), "")</f>
        <v/>
      </c>
      <c r="U4411" s="9" t="s">
        <v>13284</v>
      </c>
      <c r="V4411" s="9" t="s">
        <v>13284</v>
      </c>
      <c r="W4411" s="12"/>
      <c r="X4411" s="9" t="str">
        <f t="array" ref="X4411">IFERROR(INDEX('Адреса общежитий (скрытый)'!$B$2:$B$9, MATCH(W4411, 'Адреса общежитий (скрытый)'!$A$2:$A$9, 0)), "")</f>
        <v/>
      </c>
      <c r="Y4411" s="18"/>
      <c r="Z4411" s="18"/>
      <c r="AA4411" s="18"/>
      <c r="AB4411" s="18"/>
      <c r="AC4411" s="18"/>
    </row>
    <row r="4412" spans="1:29" ht="32.25" hidden="1" customHeight="1">
      <c r="A4412" s="17"/>
      <c r="B4412" s="9" t="s">
        <v>13284</v>
      </c>
      <c r="C4412" s="9" t="s">
        <v>13284</v>
      </c>
      <c r="D4412" s="9" t="s">
        <v>13284</v>
      </c>
      <c r="E4412" s="9" t="s">
        <v>13284</v>
      </c>
      <c r="F4412" s="9" t="s">
        <v>13284</v>
      </c>
      <c r="G4412" s="9" t="s">
        <v>13284</v>
      </c>
      <c r="H4412" s="9" t="s">
        <v>13284</v>
      </c>
      <c r="I4412" s="9" t="s">
        <v>13284</v>
      </c>
      <c r="J4412" s="9" t="s">
        <v>13284</v>
      </c>
      <c r="K4412" s="9" t="s">
        <v>13284</v>
      </c>
      <c r="L4412" s="9" t="s">
        <v>13284</v>
      </c>
      <c r="M4412" s="9" t="s">
        <v>13284</v>
      </c>
      <c r="N4412" s="9" t="s">
        <v>13284</v>
      </c>
      <c r="O4412" s="9" t="s">
        <v>13284</v>
      </c>
      <c r="P4412" s="9" t="s">
        <v>13284</v>
      </c>
      <c r="Q4412" s="9" t="s">
        <v>13284</v>
      </c>
      <c r="R4412" s="9" t="s">
        <v>13284</v>
      </c>
      <c r="S4412" s="9" t="s">
        <v>13284</v>
      </c>
      <c r="T4412" s="9" t="str">
        <f ca="1">IFERROR(IF(AND(VLOOKUP(A4412, 'Актуальное состояние (из общего'!A:C,3,0) = "", A4412 &lt;&gt; ""), "ПРОВЕРИТЬ", VLOOKUP(A4412, 'Актуальное состояние (из общего'!A:C,3,0)), "")</f>
        <v/>
      </c>
      <c r="U4412" s="9" t="s">
        <v>13284</v>
      </c>
      <c r="V4412" s="9" t="s">
        <v>13284</v>
      </c>
      <c r="W4412" s="12"/>
      <c r="X4412" s="9" t="str">
        <f t="array" ref="X4412">IFERROR(INDEX('Адреса общежитий (скрытый)'!$B$2:$B$9, MATCH(W4412, 'Адреса общежитий (скрытый)'!$A$2:$A$9, 0)), "")</f>
        <v/>
      </c>
      <c r="Y4412" s="18"/>
      <c r="Z4412" s="18"/>
      <c r="AA4412" s="18"/>
      <c r="AB4412" s="18"/>
      <c r="AC4412" s="18"/>
    </row>
    <row r="4413" spans="1:29" ht="32.25" hidden="1" customHeight="1">
      <c r="A4413" s="17"/>
      <c r="B4413" s="9" t="s">
        <v>13284</v>
      </c>
      <c r="C4413" s="9" t="s">
        <v>13284</v>
      </c>
      <c r="D4413" s="9" t="s">
        <v>13284</v>
      </c>
      <c r="E4413" s="9" t="s">
        <v>13284</v>
      </c>
      <c r="F4413" s="9" t="s">
        <v>13284</v>
      </c>
      <c r="G4413" s="9" t="s">
        <v>13284</v>
      </c>
      <c r="H4413" s="9" t="s">
        <v>13284</v>
      </c>
      <c r="I4413" s="9" t="s">
        <v>13284</v>
      </c>
      <c r="J4413" s="9" t="s">
        <v>13284</v>
      </c>
      <c r="K4413" s="9" t="s">
        <v>13284</v>
      </c>
      <c r="L4413" s="9" t="s">
        <v>13284</v>
      </c>
      <c r="M4413" s="9" t="s">
        <v>13284</v>
      </c>
      <c r="N4413" s="9" t="s">
        <v>13284</v>
      </c>
      <c r="O4413" s="9" t="s">
        <v>13284</v>
      </c>
      <c r="P4413" s="9" t="s">
        <v>13284</v>
      </c>
      <c r="Q4413" s="9" t="s">
        <v>13284</v>
      </c>
      <c r="R4413" s="9" t="s">
        <v>13284</v>
      </c>
      <c r="S4413" s="9" t="s">
        <v>13284</v>
      </c>
      <c r="T4413" s="9" t="str">
        <f ca="1">IFERROR(IF(AND(VLOOKUP(A4413, 'Актуальное состояние (из общего'!A:C,3,0) = "", A4413 &lt;&gt; ""), "ПРОВЕРИТЬ", VLOOKUP(A4413, 'Актуальное состояние (из общего'!A:C,3,0)), "")</f>
        <v/>
      </c>
      <c r="U4413" s="9" t="s">
        <v>13284</v>
      </c>
      <c r="V4413" s="9" t="s">
        <v>13284</v>
      </c>
      <c r="W4413" s="12"/>
      <c r="X4413" s="9" t="str">
        <f t="array" ref="X4413">IFERROR(INDEX('Адреса общежитий (скрытый)'!$B$2:$B$9, MATCH(W4413, 'Адреса общежитий (скрытый)'!$A$2:$A$9, 0)), "")</f>
        <v/>
      </c>
      <c r="Y4413" s="18"/>
      <c r="Z4413" s="18"/>
      <c r="AA4413" s="18"/>
      <c r="AB4413" s="18"/>
      <c r="AC4413" s="18"/>
    </row>
    <row r="4414" spans="1:29" ht="32.25" hidden="1" customHeight="1">
      <c r="A4414" s="17"/>
      <c r="B4414" s="9" t="s">
        <v>13284</v>
      </c>
      <c r="C4414" s="9" t="s">
        <v>13284</v>
      </c>
      <c r="D4414" s="9" t="s">
        <v>13284</v>
      </c>
      <c r="E4414" s="9" t="s">
        <v>13284</v>
      </c>
      <c r="F4414" s="9" t="s">
        <v>13284</v>
      </c>
      <c r="G4414" s="9" t="s">
        <v>13284</v>
      </c>
      <c r="H4414" s="9" t="s">
        <v>13284</v>
      </c>
      <c r="I4414" s="9" t="s">
        <v>13284</v>
      </c>
      <c r="J4414" s="9" t="s">
        <v>13284</v>
      </c>
      <c r="K4414" s="9" t="s">
        <v>13284</v>
      </c>
      <c r="L4414" s="9" t="s">
        <v>13284</v>
      </c>
      <c r="M4414" s="9" t="s">
        <v>13284</v>
      </c>
      <c r="N4414" s="9" t="s">
        <v>13284</v>
      </c>
      <c r="O4414" s="9" t="s">
        <v>13284</v>
      </c>
      <c r="P4414" s="9" t="s">
        <v>13284</v>
      </c>
      <c r="Q4414" s="9" t="s">
        <v>13284</v>
      </c>
      <c r="R4414" s="9" t="s">
        <v>13284</v>
      </c>
      <c r="S4414" s="9" t="s">
        <v>13284</v>
      </c>
      <c r="T4414" s="9" t="str">
        <f ca="1">IFERROR(IF(AND(VLOOKUP(A4414, 'Актуальное состояние (из общего'!A:C,3,0) = "", A4414 &lt;&gt; ""), "ПРОВЕРИТЬ", VLOOKUP(A4414, 'Актуальное состояние (из общего'!A:C,3,0)), "")</f>
        <v/>
      </c>
      <c r="U4414" s="9" t="s">
        <v>13284</v>
      </c>
      <c r="V4414" s="9" t="s">
        <v>13284</v>
      </c>
      <c r="W4414" s="12"/>
      <c r="X4414" s="9" t="str">
        <f t="array" ref="X4414">IFERROR(INDEX('Адреса общежитий (скрытый)'!$B$2:$B$9, MATCH(W4414, 'Адреса общежитий (скрытый)'!$A$2:$A$9, 0)), "")</f>
        <v/>
      </c>
      <c r="Y4414" s="18"/>
      <c r="Z4414" s="18"/>
      <c r="AA4414" s="18"/>
      <c r="AB4414" s="18"/>
      <c r="AC4414" s="18"/>
    </row>
    <row r="4415" spans="1:29" ht="32.25" hidden="1" customHeight="1">
      <c r="A4415" s="17"/>
      <c r="B4415" s="9" t="s">
        <v>13284</v>
      </c>
      <c r="C4415" s="9" t="s">
        <v>13284</v>
      </c>
      <c r="D4415" s="9" t="s">
        <v>13284</v>
      </c>
      <c r="E4415" s="9" t="s">
        <v>13284</v>
      </c>
      <c r="F4415" s="9" t="s">
        <v>13284</v>
      </c>
      <c r="G4415" s="9" t="s">
        <v>13284</v>
      </c>
      <c r="H4415" s="9" t="s">
        <v>13284</v>
      </c>
      <c r="I4415" s="9" t="s">
        <v>13284</v>
      </c>
      <c r="J4415" s="9" t="s">
        <v>13284</v>
      </c>
      <c r="K4415" s="9" t="s">
        <v>13284</v>
      </c>
      <c r="L4415" s="9" t="s">
        <v>13284</v>
      </c>
      <c r="M4415" s="9" t="s">
        <v>13284</v>
      </c>
      <c r="N4415" s="9" t="s">
        <v>13284</v>
      </c>
      <c r="O4415" s="9" t="s">
        <v>13284</v>
      </c>
      <c r="P4415" s="9" t="s">
        <v>13284</v>
      </c>
      <c r="Q4415" s="9" t="s">
        <v>13284</v>
      </c>
      <c r="R4415" s="9" t="s">
        <v>13284</v>
      </c>
      <c r="S4415" s="9" t="s">
        <v>13284</v>
      </c>
      <c r="T4415" s="9" t="str">
        <f ca="1">IFERROR(IF(AND(VLOOKUP(A4415, 'Актуальное состояние (из общего'!A:C,3,0) = "", A4415 &lt;&gt; ""), "ПРОВЕРИТЬ", VLOOKUP(A4415, 'Актуальное состояние (из общего'!A:C,3,0)), "")</f>
        <v/>
      </c>
      <c r="U4415" s="9" t="s">
        <v>13284</v>
      </c>
      <c r="V4415" s="9" t="s">
        <v>13284</v>
      </c>
      <c r="W4415" s="12"/>
      <c r="X4415" s="9" t="str">
        <f t="array" ref="X4415">IFERROR(INDEX('Адреса общежитий (скрытый)'!$B$2:$B$9, MATCH(W4415, 'Адреса общежитий (скрытый)'!$A$2:$A$9, 0)), "")</f>
        <v/>
      </c>
      <c r="Y4415" s="18"/>
      <c r="Z4415" s="18"/>
      <c r="AA4415" s="18"/>
      <c r="AB4415" s="18"/>
      <c r="AC4415" s="18"/>
    </row>
    <row r="4416" spans="1:29" ht="32.25" hidden="1" customHeight="1">
      <c r="A4416" s="17"/>
      <c r="B4416" s="9" t="s">
        <v>13284</v>
      </c>
      <c r="C4416" s="9" t="s">
        <v>13284</v>
      </c>
      <c r="D4416" s="9" t="s">
        <v>13284</v>
      </c>
      <c r="E4416" s="9" t="s">
        <v>13284</v>
      </c>
      <c r="F4416" s="9" t="s">
        <v>13284</v>
      </c>
      <c r="G4416" s="9" t="s">
        <v>13284</v>
      </c>
      <c r="H4416" s="9" t="s">
        <v>13284</v>
      </c>
      <c r="I4416" s="9" t="s">
        <v>13284</v>
      </c>
      <c r="J4416" s="9" t="s">
        <v>13284</v>
      </c>
      <c r="K4416" s="9" t="s">
        <v>13284</v>
      </c>
      <c r="L4416" s="9" t="s">
        <v>13284</v>
      </c>
      <c r="M4416" s="9" t="s">
        <v>13284</v>
      </c>
      <c r="N4416" s="9" t="s">
        <v>13284</v>
      </c>
      <c r="O4416" s="9" t="s">
        <v>13284</v>
      </c>
      <c r="P4416" s="9" t="s">
        <v>13284</v>
      </c>
      <c r="Q4416" s="9" t="s">
        <v>13284</v>
      </c>
      <c r="R4416" s="9" t="s">
        <v>13284</v>
      </c>
      <c r="S4416" s="9" t="s">
        <v>13284</v>
      </c>
      <c r="T4416" s="9" t="str">
        <f ca="1">IFERROR(IF(AND(VLOOKUP(A4416, 'Актуальное состояние (из общего'!A:C,3,0) = "", A4416 &lt;&gt; ""), "ПРОВЕРИТЬ", VLOOKUP(A4416, 'Актуальное состояние (из общего'!A:C,3,0)), "")</f>
        <v/>
      </c>
      <c r="U4416" s="9" t="s">
        <v>13284</v>
      </c>
      <c r="V4416" s="9" t="s">
        <v>13284</v>
      </c>
      <c r="W4416" s="12"/>
      <c r="X4416" s="9" t="str">
        <f t="array" ref="X4416">IFERROR(INDEX('Адреса общежитий (скрытый)'!$B$2:$B$9, MATCH(W4416, 'Адреса общежитий (скрытый)'!$A$2:$A$9, 0)), "")</f>
        <v/>
      </c>
      <c r="Y4416" s="18"/>
      <c r="Z4416" s="18"/>
      <c r="AA4416" s="18"/>
      <c r="AB4416" s="18"/>
      <c r="AC4416" s="18"/>
    </row>
    <row r="4417" spans="1:29" ht="32.25" hidden="1" customHeight="1">
      <c r="A4417" s="17"/>
      <c r="B4417" s="9" t="s">
        <v>13284</v>
      </c>
      <c r="C4417" s="9" t="s">
        <v>13284</v>
      </c>
      <c r="D4417" s="9" t="s">
        <v>13284</v>
      </c>
      <c r="E4417" s="9" t="s">
        <v>13284</v>
      </c>
      <c r="F4417" s="9" t="s">
        <v>13284</v>
      </c>
      <c r="G4417" s="9" t="s">
        <v>13284</v>
      </c>
      <c r="H4417" s="9" t="s">
        <v>13284</v>
      </c>
      <c r="I4417" s="9" t="s">
        <v>13284</v>
      </c>
      <c r="J4417" s="9" t="s">
        <v>13284</v>
      </c>
      <c r="K4417" s="9" t="s">
        <v>13284</v>
      </c>
      <c r="L4417" s="9" t="s">
        <v>13284</v>
      </c>
      <c r="M4417" s="9" t="s">
        <v>13284</v>
      </c>
      <c r="N4417" s="9" t="s">
        <v>13284</v>
      </c>
      <c r="O4417" s="9" t="s">
        <v>13284</v>
      </c>
      <c r="P4417" s="9" t="s">
        <v>13284</v>
      </c>
      <c r="Q4417" s="9" t="s">
        <v>13284</v>
      </c>
      <c r="R4417" s="9" t="s">
        <v>13284</v>
      </c>
      <c r="S4417" s="9" t="s">
        <v>13284</v>
      </c>
      <c r="T4417" s="9" t="str">
        <f ca="1">IFERROR(IF(AND(VLOOKUP(A4417, 'Актуальное состояние (из общего'!A:C,3,0) = "", A4417 &lt;&gt; ""), "ПРОВЕРИТЬ", VLOOKUP(A4417, 'Актуальное состояние (из общего'!A:C,3,0)), "")</f>
        <v/>
      </c>
      <c r="U4417" s="9" t="s">
        <v>13284</v>
      </c>
      <c r="V4417" s="9" t="s">
        <v>13284</v>
      </c>
      <c r="W4417" s="12"/>
      <c r="X4417" s="9" t="str">
        <f t="array" ref="X4417">IFERROR(INDEX('Адреса общежитий (скрытый)'!$B$2:$B$9, MATCH(W4417, 'Адреса общежитий (скрытый)'!$A$2:$A$9, 0)), "")</f>
        <v/>
      </c>
      <c r="Y4417" s="18"/>
      <c r="Z4417" s="18"/>
      <c r="AA4417" s="18"/>
      <c r="AB4417" s="18"/>
      <c r="AC4417" s="18"/>
    </row>
    <row r="4418" spans="1:29" ht="32.25" hidden="1" customHeight="1">
      <c r="A4418" s="17"/>
      <c r="B4418" s="9" t="s">
        <v>13284</v>
      </c>
      <c r="C4418" s="9" t="s">
        <v>13284</v>
      </c>
      <c r="D4418" s="9" t="s">
        <v>13284</v>
      </c>
      <c r="E4418" s="9" t="s">
        <v>13284</v>
      </c>
      <c r="F4418" s="9" t="s">
        <v>13284</v>
      </c>
      <c r="G4418" s="9" t="s">
        <v>13284</v>
      </c>
      <c r="H4418" s="9" t="s">
        <v>13284</v>
      </c>
      <c r="I4418" s="9" t="s">
        <v>13284</v>
      </c>
      <c r="J4418" s="9" t="s">
        <v>13284</v>
      </c>
      <c r="K4418" s="9" t="s">
        <v>13284</v>
      </c>
      <c r="L4418" s="9" t="s">
        <v>13284</v>
      </c>
      <c r="M4418" s="9" t="s">
        <v>13284</v>
      </c>
      <c r="N4418" s="9" t="s">
        <v>13284</v>
      </c>
      <c r="O4418" s="9" t="s">
        <v>13284</v>
      </c>
      <c r="P4418" s="9" t="s">
        <v>13284</v>
      </c>
      <c r="Q4418" s="9" t="s">
        <v>13284</v>
      </c>
      <c r="R4418" s="9" t="s">
        <v>13284</v>
      </c>
      <c r="S4418" s="9" t="s">
        <v>13284</v>
      </c>
      <c r="T4418" s="9" t="str">
        <f ca="1">IFERROR(IF(AND(VLOOKUP(A4418, 'Актуальное состояние (из общего'!A:C,3,0) = "", A4418 &lt;&gt; ""), "ПРОВЕРИТЬ", VLOOKUP(A4418, 'Актуальное состояние (из общего'!A:C,3,0)), "")</f>
        <v/>
      </c>
      <c r="U4418" s="9" t="s">
        <v>13284</v>
      </c>
      <c r="V4418" s="9" t="s">
        <v>13284</v>
      </c>
      <c r="W4418" s="12"/>
      <c r="X4418" s="9" t="str">
        <f t="array" ref="X4418">IFERROR(INDEX('Адреса общежитий (скрытый)'!$B$2:$B$9, MATCH(W4418, 'Адреса общежитий (скрытый)'!$A$2:$A$9, 0)), "")</f>
        <v/>
      </c>
      <c r="Y4418" s="18"/>
      <c r="Z4418" s="18"/>
      <c r="AA4418" s="18"/>
      <c r="AB4418" s="18"/>
      <c r="AC4418" s="18"/>
    </row>
    <row r="4419" spans="1:29" ht="32.25" hidden="1" customHeight="1">
      <c r="A4419" s="17"/>
      <c r="B4419" s="9" t="s">
        <v>13284</v>
      </c>
      <c r="C4419" s="9" t="s">
        <v>13284</v>
      </c>
      <c r="D4419" s="9" t="s">
        <v>13284</v>
      </c>
      <c r="E4419" s="9" t="s">
        <v>13284</v>
      </c>
      <c r="F4419" s="9" t="s">
        <v>13284</v>
      </c>
      <c r="G4419" s="9" t="s">
        <v>13284</v>
      </c>
      <c r="H4419" s="9" t="s">
        <v>13284</v>
      </c>
      <c r="I4419" s="9" t="s">
        <v>13284</v>
      </c>
      <c r="J4419" s="9" t="s">
        <v>13284</v>
      </c>
      <c r="K4419" s="9" t="s">
        <v>13284</v>
      </c>
      <c r="L4419" s="9" t="s">
        <v>13284</v>
      </c>
      <c r="M4419" s="9" t="s">
        <v>13284</v>
      </c>
      <c r="N4419" s="9" t="s">
        <v>13284</v>
      </c>
      <c r="O4419" s="9" t="s">
        <v>13284</v>
      </c>
      <c r="P4419" s="9" t="s">
        <v>13284</v>
      </c>
      <c r="Q4419" s="9" t="s">
        <v>13284</v>
      </c>
      <c r="R4419" s="9" t="s">
        <v>13284</v>
      </c>
      <c r="S4419" s="9" t="s">
        <v>13284</v>
      </c>
      <c r="T4419" s="9" t="str">
        <f ca="1">IFERROR(IF(AND(VLOOKUP(A4419, 'Актуальное состояние (из общего'!A:C,3,0) = "", A4419 &lt;&gt; ""), "ПРОВЕРИТЬ", VLOOKUP(A4419, 'Актуальное состояние (из общего'!A:C,3,0)), "")</f>
        <v/>
      </c>
      <c r="U4419" s="9" t="s">
        <v>13284</v>
      </c>
      <c r="V4419" s="9" t="s">
        <v>13284</v>
      </c>
      <c r="W4419" s="12"/>
      <c r="X4419" s="9" t="str">
        <f t="array" ref="X4419">IFERROR(INDEX('Адреса общежитий (скрытый)'!$B$2:$B$9, MATCH(W4419, 'Адреса общежитий (скрытый)'!$A$2:$A$9, 0)), "")</f>
        <v/>
      </c>
      <c r="Y4419" s="18"/>
      <c r="Z4419" s="18"/>
      <c r="AA4419" s="18"/>
      <c r="AB4419" s="18"/>
      <c r="AC4419" s="18"/>
    </row>
    <row r="4420" spans="1:29" ht="32.25" hidden="1" customHeight="1">
      <c r="A4420" s="17"/>
      <c r="B4420" s="9" t="s">
        <v>13284</v>
      </c>
      <c r="C4420" s="9" t="s">
        <v>13284</v>
      </c>
      <c r="D4420" s="9" t="s">
        <v>13284</v>
      </c>
      <c r="E4420" s="9" t="s">
        <v>13284</v>
      </c>
      <c r="F4420" s="9" t="s">
        <v>13284</v>
      </c>
      <c r="G4420" s="9" t="s">
        <v>13284</v>
      </c>
      <c r="H4420" s="9" t="s">
        <v>13284</v>
      </c>
      <c r="I4420" s="9" t="s">
        <v>13284</v>
      </c>
      <c r="J4420" s="9" t="s">
        <v>13284</v>
      </c>
      <c r="K4420" s="9" t="s">
        <v>13284</v>
      </c>
      <c r="L4420" s="9" t="s">
        <v>13284</v>
      </c>
      <c r="M4420" s="9" t="s">
        <v>13284</v>
      </c>
      <c r="N4420" s="9" t="s">
        <v>13284</v>
      </c>
      <c r="O4420" s="9" t="s">
        <v>13284</v>
      </c>
      <c r="P4420" s="9" t="s">
        <v>13284</v>
      </c>
      <c r="Q4420" s="9" t="s">
        <v>13284</v>
      </c>
      <c r="R4420" s="9" t="s">
        <v>13284</v>
      </c>
      <c r="S4420" s="9" t="s">
        <v>13284</v>
      </c>
      <c r="T4420" s="9" t="str">
        <f ca="1">IFERROR(IF(AND(VLOOKUP(A4420, 'Актуальное состояние (из общего'!A:C,3,0) = "", A4420 &lt;&gt; ""), "ПРОВЕРИТЬ", VLOOKUP(A4420, 'Актуальное состояние (из общего'!A:C,3,0)), "")</f>
        <v/>
      </c>
      <c r="U4420" s="9" t="s">
        <v>13284</v>
      </c>
      <c r="V4420" s="9" t="s">
        <v>13284</v>
      </c>
      <c r="W4420" s="12"/>
      <c r="X4420" s="9" t="str">
        <f t="array" ref="X4420">IFERROR(INDEX('Адреса общежитий (скрытый)'!$B$2:$B$9, MATCH(W4420, 'Адреса общежитий (скрытый)'!$A$2:$A$9, 0)), "")</f>
        <v/>
      </c>
      <c r="Y4420" s="18"/>
      <c r="Z4420" s="18"/>
      <c r="AA4420" s="18"/>
      <c r="AB4420" s="18"/>
      <c r="AC4420" s="18"/>
    </row>
    <row r="4421" spans="1:29" ht="32.25" hidden="1" customHeight="1">
      <c r="A4421" s="17"/>
      <c r="B4421" s="9" t="s">
        <v>13284</v>
      </c>
      <c r="C4421" s="9" t="s">
        <v>13284</v>
      </c>
      <c r="D4421" s="9" t="s">
        <v>13284</v>
      </c>
      <c r="E4421" s="9" t="s">
        <v>13284</v>
      </c>
      <c r="F4421" s="9" t="s">
        <v>13284</v>
      </c>
      <c r="G4421" s="9" t="s">
        <v>13284</v>
      </c>
      <c r="H4421" s="9" t="s">
        <v>13284</v>
      </c>
      <c r="I4421" s="9" t="s">
        <v>13284</v>
      </c>
      <c r="J4421" s="9" t="s">
        <v>13284</v>
      </c>
      <c r="K4421" s="9" t="s">
        <v>13284</v>
      </c>
      <c r="L4421" s="9" t="s">
        <v>13284</v>
      </c>
      <c r="M4421" s="9" t="s">
        <v>13284</v>
      </c>
      <c r="N4421" s="9" t="s">
        <v>13284</v>
      </c>
      <c r="O4421" s="9" t="s">
        <v>13284</v>
      </c>
      <c r="P4421" s="9" t="s">
        <v>13284</v>
      </c>
      <c r="Q4421" s="9" t="s">
        <v>13284</v>
      </c>
      <c r="R4421" s="9" t="s">
        <v>13284</v>
      </c>
      <c r="S4421" s="9" t="s">
        <v>13284</v>
      </c>
      <c r="T4421" s="9" t="str">
        <f ca="1">IFERROR(IF(AND(VLOOKUP(A4421, 'Актуальное состояние (из общего'!A:C,3,0) = "", A4421 &lt;&gt; ""), "ПРОВЕРИТЬ", VLOOKUP(A4421, 'Актуальное состояние (из общего'!A:C,3,0)), "")</f>
        <v/>
      </c>
      <c r="U4421" s="9" t="s">
        <v>13284</v>
      </c>
      <c r="V4421" s="9" t="s">
        <v>13284</v>
      </c>
      <c r="W4421" s="12"/>
      <c r="X4421" s="9" t="str">
        <f t="array" ref="X4421">IFERROR(INDEX('Адреса общежитий (скрытый)'!$B$2:$B$9, MATCH(W4421, 'Адреса общежитий (скрытый)'!$A$2:$A$9, 0)), "")</f>
        <v/>
      </c>
      <c r="Y4421" s="18"/>
      <c r="Z4421" s="18"/>
      <c r="AA4421" s="18"/>
      <c r="AB4421" s="18"/>
      <c r="AC4421" s="18"/>
    </row>
    <row r="4422" spans="1:29" ht="32.25" hidden="1" customHeight="1">
      <c r="A4422" s="17"/>
      <c r="B4422" s="9" t="s">
        <v>13284</v>
      </c>
      <c r="C4422" s="9" t="s">
        <v>13284</v>
      </c>
      <c r="D4422" s="9" t="s">
        <v>13284</v>
      </c>
      <c r="E4422" s="9" t="s">
        <v>13284</v>
      </c>
      <c r="F4422" s="9" t="s">
        <v>13284</v>
      </c>
      <c r="G4422" s="9" t="s">
        <v>13284</v>
      </c>
      <c r="H4422" s="9" t="s">
        <v>13284</v>
      </c>
      <c r="I4422" s="9" t="s">
        <v>13284</v>
      </c>
      <c r="J4422" s="9" t="s">
        <v>13284</v>
      </c>
      <c r="K4422" s="9" t="s">
        <v>13284</v>
      </c>
      <c r="L4422" s="9" t="s">
        <v>13284</v>
      </c>
      <c r="M4422" s="9" t="s">
        <v>13284</v>
      </c>
      <c r="N4422" s="9" t="s">
        <v>13284</v>
      </c>
      <c r="O4422" s="9" t="s">
        <v>13284</v>
      </c>
      <c r="P4422" s="9" t="s">
        <v>13284</v>
      </c>
      <c r="Q4422" s="9" t="s">
        <v>13284</v>
      </c>
      <c r="R4422" s="9" t="s">
        <v>13284</v>
      </c>
      <c r="S4422" s="9" t="s">
        <v>13284</v>
      </c>
      <c r="T4422" s="9" t="str">
        <f ca="1">IFERROR(IF(AND(VLOOKUP(A4422, 'Актуальное состояние (из общего'!A:C,3,0) = "", A4422 &lt;&gt; ""), "ПРОВЕРИТЬ", VLOOKUP(A4422, 'Актуальное состояние (из общего'!A:C,3,0)), "")</f>
        <v/>
      </c>
      <c r="U4422" s="9" t="s">
        <v>13284</v>
      </c>
      <c r="V4422" s="9" t="s">
        <v>13284</v>
      </c>
      <c r="W4422" s="12"/>
      <c r="X4422" s="9" t="str">
        <f t="array" ref="X4422">IFERROR(INDEX('Адреса общежитий (скрытый)'!$B$2:$B$9, MATCH(W4422, 'Адреса общежитий (скрытый)'!$A$2:$A$9, 0)), "")</f>
        <v/>
      </c>
      <c r="Y4422" s="18"/>
      <c r="Z4422" s="18"/>
      <c r="AA4422" s="18"/>
      <c r="AB4422" s="18"/>
      <c r="AC4422" s="18"/>
    </row>
    <row r="4423" spans="1:29" ht="32.25" hidden="1" customHeight="1">
      <c r="A4423" s="17"/>
      <c r="B4423" s="9" t="s">
        <v>13284</v>
      </c>
      <c r="C4423" s="9" t="s">
        <v>13284</v>
      </c>
      <c r="D4423" s="9" t="s">
        <v>13284</v>
      </c>
      <c r="E4423" s="9" t="s">
        <v>13284</v>
      </c>
      <c r="F4423" s="9" t="s">
        <v>13284</v>
      </c>
      <c r="G4423" s="9" t="s">
        <v>13284</v>
      </c>
      <c r="H4423" s="9" t="s">
        <v>13284</v>
      </c>
      <c r="I4423" s="9" t="s">
        <v>13284</v>
      </c>
      <c r="J4423" s="9" t="s">
        <v>13284</v>
      </c>
      <c r="K4423" s="9" t="s">
        <v>13284</v>
      </c>
      <c r="L4423" s="9" t="s">
        <v>13284</v>
      </c>
      <c r="M4423" s="9" t="s">
        <v>13284</v>
      </c>
      <c r="N4423" s="9" t="s">
        <v>13284</v>
      </c>
      <c r="O4423" s="9" t="s">
        <v>13284</v>
      </c>
      <c r="P4423" s="9" t="s">
        <v>13284</v>
      </c>
      <c r="Q4423" s="9" t="s">
        <v>13284</v>
      </c>
      <c r="R4423" s="9" t="s">
        <v>13284</v>
      </c>
      <c r="S4423" s="9" t="s">
        <v>13284</v>
      </c>
      <c r="T4423" s="9" t="str">
        <f ca="1">IFERROR(IF(AND(VLOOKUP(A4423, 'Актуальное состояние (из общего'!A:C,3,0) = "", A4423 &lt;&gt; ""), "ПРОВЕРИТЬ", VLOOKUP(A4423, 'Актуальное состояние (из общего'!A:C,3,0)), "")</f>
        <v/>
      </c>
      <c r="U4423" s="9" t="s">
        <v>13284</v>
      </c>
      <c r="V4423" s="9" t="s">
        <v>13284</v>
      </c>
      <c r="W4423" s="12"/>
      <c r="X4423" s="9" t="str">
        <f t="array" ref="X4423">IFERROR(INDEX('Адреса общежитий (скрытый)'!$B$2:$B$9, MATCH(W4423, 'Адреса общежитий (скрытый)'!$A$2:$A$9, 0)), "")</f>
        <v/>
      </c>
      <c r="Y4423" s="18"/>
      <c r="Z4423" s="18"/>
      <c r="AA4423" s="18"/>
      <c r="AB4423" s="18"/>
      <c r="AC4423" s="18"/>
    </row>
    <row r="4424" spans="1:29" ht="32.25" hidden="1" customHeight="1">
      <c r="A4424" s="17"/>
      <c r="B4424" s="9" t="s">
        <v>13284</v>
      </c>
      <c r="C4424" s="9" t="s">
        <v>13284</v>
      </c>
      <c r="D4424" s="9" t="s">
        <v>13284</v>
      </c>
      <c r="E4424" s="9" t="s">
        <v>13284</v>
      </c>
      <c r="F4424" s="9" t="s">
        <v>13284</v>
      </c>
      <c r="G4424" s="9" t="s">
        <v>13284</v>
      </c>
      <c r="H4424" s="9" t="s">
        <v>13284</v>
      </c>
      <c r="I4424" s="9" t="s">
        <v>13284</v>
      </c>
      <c r="J4424" s="9" t="s">
        <v>13284</v>
      </c>
      <c r="K4424" s="9" t="s">
        <v>13284</v>
      </c>
      <c r="L4424" s="9" t="s">
        <v>13284</v>
      </c>
      <c r="M4424" s="9" t="s">
        <v>13284</v>
      </c>
      <c r="N4424" s="9" t="s">
        <v>13284</v>
      </c>
      <c r="O4424" s="9" t="s">
        <v>13284</v>
      </c>
      <c r="P4424" s="9" t="s">
        <v>13284</v>
      </c>
      <c r="Q4424" s="9" t="s">
        <v>13284</v>
      </c>
      <c r="R4424" s="9" t="s">
        <v>13284</v>
      </c>
      <c r="S4424" s="9" t="s">
        <v>13284</v>
      </c>
      <c r="T4424" s="9" t="str">
        <f ca="1">IFERROR(IF(AND(VLOOKUP(A4424, 'Актуальное состояние (из общего'!A:C,3,0) = "", A4424 &lt;&gt; ""), "ПРОВЕРИТЬ", VLOOKUP(A4424, 'Актуальное состояние (из общего'!A:C,3,0)), "")</f>
        <v/>
      </c>
      <c r="U4424" s="9" t="s">
        <v>13284</v>
      </c>
      <c r="V4424" s="9" t="s">
        <v>13284</v>
      </c>
      <c r="W4424" s="12"/>
      <c r="X4424" s="9" t="str">
        <f t="array" ref="X4424">IFERROR(INDEX('Адреса общежитий (скрытый)'!$B$2:$B$9, MATCH(W4424, 'Адреса общежитий (скрытый)'!$A$2:$A$9, 0)), "")</f>
        <v/>
      </c>
      <c r="Y4424" s="18"/>
      <c r="Z4424" s="18"/>
      <c r="AA4424" s="18"/>
      <c r="AB4424" s="18"/>
      <c r="AC4424" s="18"/>
    </row>
    <row r="4425" spans="1:29" ht="32.25" hidden="1" customHeight="1">
      <c r="A4425" s="17"/>
      <c r="B4425" s="9" t="s">
        <v>13284</v>
      </c>
      <c r="C4425" s="9" t="s">
        <v>13284</v>
      </c>
      <c r="D4425" s="9" t="s">
        <v>13284</v>
      </c>
      <c r="E4425" s="9" t="s">
        <v>13284</v>
      </c>
      <c r="F4425" s="9" t="s">
        <v>13284</v>
      </c>
      <c r="G4425" s="9" t="s">
        <v>13284</v>
      </c>
      <c r="H4425" s="9" t="s">
        <v>13284</v>
      </c>
      <c r="I4425" s="9" t="s">
        <v>13284</v>
      </c>
      <c r="J4425" s="9" t="s">
        <v>13284</v>
      </c>
      <c r="K4425" s="9" t="s">
        <v>13284</v>
      </c>
      <c r="L4425" s="9" t="s">
        <v>13284</v>
      </c>
      <c r="M4425" s="9" t="s">
        <v>13284</v>
      </c>
      <c r="N4425" s="9" t="s">
        <v>13284</v>
      </c>
      <c r="O4425" s="9" t="s">
        <v>13284</v>
      </c>
      <c r="P4425" s="9" t="s">
        <v>13284</v>
      </c>
      <c r="Q4425" s="9" t="s">
        <v>13284</v>
      </c>
      <c r="R4425" s="9" t="s">
        <v>13284</v>
      </c>
      <c r="S4425" s="9" t="s">
        <v>13284</v>
      </c>
      <c r="T4425" s="9" t="str">
        <f ca="1">IFERROR(IF(AND(VLOOKUP(A4425, 'Актуальное состояние (из общего'!A:C,3,0) = "", A4425 &lt;&gt; ""), "ПРОВЕРИТЬ", VLOOKUP(A4425, 'Актуальное состояние (из общего'!A:C,3,0)), "")</f>
        <v/>
      </c>
      <c r="U4425" s="9" t="s">
        <v>13284</v>
      </c>
      <c r="V4425" s="9" t="s">
        <v>13284</v>
      </c>
      <c r="W4425" s="12"/>
      <c r="X4425" s="9" t="str">
        <f t="array" ref="X4425">IFERROR(INDEX('Адреса общежитий (скрытый)'!$B$2:$B$9, MATCH(W4425, 'Адреса общежитий (скрытый)'!$A$2:$A$9, 0)), "")</f>
        <v/>
      </c>
      <c r="Y4425" s="18"/>
      <c r="Z4425" s="18"/>
      <c r="AA4425" s="18"/>
      <c r="AB4425" s="18"/>
      <c r="AC4425" s="18"/>
    </row>
    <row r="4426" spans="1:29" ht="32.25" hidden="1" customHeight="1">
      <c r="A4426" s="17"/>
      <c r="B4426" s="9" t="s">
        <v>13284</v>
      </c>
      <c r="C4426" s="9" t="s">
        <v>13284</v>
      </c>
      <c r="D4426" s="9" t="s">
        <v>13284</v>
      </c>
      <c r="E4426" s="9" t="s">
        <v>13284</v>
      </c>
      <c r="F4426" s="9" t="s">
        <v>13284</v>
      </c>
      <c r="G4426" s="9" t="s">
        <v>13284</v>
      </c>
      <c r="H4426" s="9" t="s">
        <v>13284</v>
      </c>
      <c r="I4426" s="9" t="s">
        <v>13284</v>
      </c>
      <c r="J4426" s="9" t="s">
        <v>13284</v>
      </c>
      <c r="K4426" s="9" t="s">
        <v>13284</v>
      </c>
      <c r="L4426" s="9" t="s">
        <v>13284</v>
      </c>
      <c r="M4426" s="9" t="s">
        <v>13284</v>
      </c>
      <c r="N4426" s="9" t="s">
        <v>13284</v>
      </c>
      <c r="O4426" s="9" t="s">
        <v>13284</v>
      </c>
      <c r="P4426" s="9" t="s">
        <v>13284</v>
      </c>
      <c r="Q4426" s="9" t="s">
        <v>13284</v>
      </c>
      <c r="R4426" s="9" t="s">
        <v>13284</v>
      </c>
      <c r="S4426" s="9" t="s">
        <v>13284</v>
      </c>
      <c r="T4426" s="9" t="str">
        <f ca="1">IFERROR(IF(AND(VLOOKUP(A4426, 'Актуальное состояние (из общего'!A:C,3,0) = "", A4426 &lt;&gt; ""), "ПРОВЕРИТЬ", VLOOKUP(A4426, 'Актуальное состояние (из общего'!A:C,3,0)), "")</f>
        <v/>
      </c>
      <c r="U4426" s="9" t="s">
        <v>13284</v>
      </c>
      <c r="V4426" s="9" t="s">
        <v>13284</v>
      </c>
      <c r="W4426" s="12"/>
      <c r="X4426" s="9" t="str">
        <f t="array" ref="X4426">IFERROR(INDEX('Адреса общежитий (скрытый)'!$B$2:$B$9, MATCH(W4426, 'Адреса общежитий (скрытый)'!$A$2:$A$9, 0)), "")</f>
        <v/>
      </c>
      <c r="Y4426" s="18"/>
      <c r="Z4426" s="18"/>
      <c r="AA4426" s="18"/>
      <c r="AB4426" s="18"/>
      <c r="AC4426" s="18"/>
    </row>
    <row r="4427" spans="1:29" ht="32.25" hidden="1" customHeight="1">
      <c r="A4427" s="17"/>
      <c r="B4427" s="9" t="s">
        <v>13284</v>
      </c>
      <c r="C4427" s="9" t="s">
        <v>13284</v>
      </c>
      <c r="D4427" s="9" t="s">
        <v>13284</v>
      </c>
      <c r="E4427" s="9" t="s">
        <v>13284</v>
      </c>
      <c r="F4427" s="9" t="s">
        <v>13284</v>
      </c>
      <c r="G4427" s="9" t="s">
        <v>13284</v>
      </c>
      <c r="H4427" s="9" t="s">
        <v>13284</v>
      </c>
      <c r="I4427" s="9" t="s">
        <v>13284</v>
      </c>
      <c r="J4427" s="9" t="s">
        <v>13284</v>
      </c>
      <c r="K4427" s="9" t="s">
        <v>13284</v>
      </c>
      <c r="L4427" s="9" t="s">
        <v>13284</v>
      </c>
      <c r="M4427" s="9" t="s">
        <v>13284</v>
      </c>
      <c r="N4427" s="9" t="s">
        <v>13284</v>
      </c>
      <c r="O4427" s="9" t="s">
        <v>13284</v>
      </c>
      <c r="P4427" s="9" t="s">
        <v>13284</v>
      </c>
      <c r="Q4427" s="9" t="s">
        <v>13284</v>
      </c>
      <c r="R4427" s="9" t="s">
        <v>13284</v>
      </c>
      <c r="S4427" s="9" t="s">
        <v>13284</v>
      </c>
      <c r="T4427" s="9" t="str">
        <f ca="1">IFERROR(IF(AND(VLOOKUP(A4427, 'Актуальное состояние (из общего'!A:C,3,0) = "", A4427 &lt;&gt; ""), "ПРОВЕРИТЬ", VLOOKUP(A4427, 'Актуальное состояние (из общего'!A:C,3,0)), "")</f>
        <v/>
      </c>
      <c r="U4427" s="9" t="s">
        <v>13284</v>
      </c>
      <c r="V4427" s="9" t="s">
        <v>13284</v>
      </c>
      <c r="W4427" s="12"/>
      <c r="X4427" s="9" t="str">
        <f t="array" ref="X4427">IFERROR(INDEX('Адреса общежитий (скрытый)'!$B$2:$B$9, MATCH(W4427, 'Адреса общежитий (скрытый)'!$A$2:$A$9, 0)), "")</f>
        <v/>
      </c>
      <c r="Y4427" s="18"/>
      <c r="Z4427" s="18"/>
      <c r="AA4427" s="18"/>
      <c r="AB4427" s="18"/>
      <c r="AC4427" s="18"/>
    </row>
    <row r="4428" spans="1:29" ht="32.25" hidden="1" customHeight="1">
      <c r="A4428" s="17"/>
      <c r="B4428" s="9" t="s">
        <v>13284</v>
      </c>
      <c r="C4428" s="9" t="s">
        <v>13284</v>
      </c>
      <c r="D4428" s="9" t="s">
        <v>13284</v>
      </c>
      <c r="E4428" s="9" t="s">
        <v>13284</v>
      </c>
      <c r="F4428" s="9" t="s">
        <v>13284</v>
      </c>
      <c r="G4428" s="9" t="s">
        <v>13284</v>
      </c>
      <c r="H4428" s="9" t="s">
        <v>13284</v>
      </c>
      <c r="I4428" s="9" t="s">
        <v>13284</v>
      </c>
      <c r="J4428" s="9" t="s">
        <v>13284</v>
      </c>
      <c r="K4428" s="9" t="s">
        <v>13284</v>
      </c>
      <c r="L4428" s="9" t="s">
        <v>13284</v>
      </c>
      <c r="M4428" s="9" t="s">
        <v>13284</v>
      </c>
      <c r="N4428" s="9" t="s">
        <v>13284</v>
      </c>
      <c r="O4428" s="9" t="s">
        <v>13284</v>
      </c>
      <c r="P4428" s="9" t="s">
        <v>13284</v>
      </c>
      <c r="Q4428" s="9" t="s">
        <v>13284</v>
      </c>
      <c r="R4428" s="9" t="s">
        <v>13284</v>
      </c>
      <c r="S4428" s="9" t="s">
        <v>13284</v>
      </c>
      <c r="T4428" s="9" t="str">
        <f ca="1">IFERROR(IF(AND(VLOOKUP(A4428, 'Актуальное состояние (из общего'!A:C,3,0) = "", A4428 &lt;&gt; ""), "ПРОВЕРИТЬ", VLOOKUP(A4428, 'Актуальное состояние (из общего'!A:C,3,0)), "")</f>
        <v/>
      </c>
      <c r="U4428" s="9" t="s">
        <v>13284</v>
      </c>
      <c r="V4428" s="9" t="s">
        <v>13284</v>
      </c>
      <c r="W4428" s="12"/>
      <c r="X4428" s="9" t="str">
        <f t="array" ref="X4428">IFERROR(INDEX('Адреса общежитий (скрытый)'!$B$2:$B$9, MATCH(W4428, 'Адреса общежитий (скрытый)'!$A$2:$A$9, 0)), "")</f>
        <v/>
      </c>
      <c r="Y4428" s="18"/>
      <c r="Z4428" s="18"/>
      <c r="AA4428" s="18"/>
      <c r="AB4428" s="18"/>
      <c r="AC4428" s="18"/>
    </row>
    <row r="4429" spans="1:29" ht="32.25" hidden="1" customHeight="1">
      <c r="A4429" s="17"/>
      <c r="B4429" s="9" t="s">
        <v>13284</v>
      </c>
      <c r="C4429" s="9" t="s">
        <v>13284</v>
      </c>
      <c r="D4429" s="9" t="s">
        <v>13284</v>
      </c>
      <c r="E4429" s="9" t="s">
        <v>13284</v>
      </c>
      <c r="F4429" s="9" t="s">
        <v>13284</v>
      </c>
      <c r="G4429" s="9" t="s">
        <v>13284</v>
      </c>
      <c r="H4429" s="9" t="s">
        <v>13284</v>
      </c>
      <c r="I4429" s="9" t="s">
        <v>13284</v>
      </c>
      <c r="J4429" s="9" t="s">
        <v>13284</v>
      </c>
      <c r="K4429" s="9" t="s">
        <v>13284</v>
      </c>
      <c r="L4429" s="9" t="s">
        <v>13284</v>
      </c>
      <c r="M4429" s="9" t="s">
        <v>13284</v>
      </c>
      <c r="N4429" s="9" t="s">
        <v>13284</v>
      </c>
      <c r="O4429" s="9" t="s">
        <v>13284</v>
      </c>
      <c r="P4429" s="9" t="s">
        <v>13284</v>
      </c>
      <c r="Q4429" s="9" t="s">
        <v>13284</v>
      </c>
      <c r="R4429" s="9" t="s">
        <v>13284</v>
      </c>
      <c r="S4429" s="9" t="s">
        <v>13284</v>
      </c>
      <c r="T4429" s="9" t="str">
        <f ca="1">IFERROR(IF(AND(VLOOKUP(A4429, 'Актуальное состояние (из общего'!A:C,3,0) = "", A4429 &lt;&gt; ""), "ПРОВЕРИТЬ", VLOOKUP(A4429, 'Актуальное состояние (из общего'!A:C,3,0)), "")</f>
        <v/>
      </c>
      <c r="U4429" s="9" t="s">
        <v>13284</v>
      </c>
      <c r="V4429" s="9" t="s">
        <v>13284</v>
      </c>
      <c r="W4429" s="12"/>
      <c r="X4429" s="9" t="str">
        <f t="array" ref="X4429">IFERROR(INDEX('Адреса общежитий (скрытый)'!$B$2:$B$9, MATCH(W4429, 'Адреса общежитий (скрытый)'!$A$2:$A$9, 0)), "")</f>
        <v/>
      </c>
      <c r="Y4429" s="18"/>
      <c r="Z4429" s="18"/>
      <c r="AA4429" s="18"/>
      <c r="AB4429" s="18"/>
      <c r="AC4429" s="18"/>
    </row>
    <row r="4430" spans="1:29" ht="32.25" hidden="1" customHeight="1">
      <c r="A4430" s="17"/>
      <c r="B4430" s="9" t="s">
        <v>13284</v>
      </c>
      <c r="C4430" s="9" t="s">
        <v>13284</v>
      </c>
      <c r="D4430" s="9" t="s">
        <v>13284</v>
      </c>
      <c r="E4430" s="9" t="s">
        <v>13284</v>
      </c>
      <c r="F4430" s="9" t="s">
        <v>13284</v>
      </c>
      <c r="G4430" s="9" t="s">
        <v>13284</v>
      </c>
      <c r="H4430" s="9" t="s">
        <v>13284</v>
      </c>
      <c r="I4430" s="9" t="s">
        <v>13284</v>
      </c>
      <c r="J4430" s="9" t="s">
        <v>13284</v>
      </c>
      <c r="K4430" s="9" t="s">
        <v>13284</v>
      </c>
      <c r="L4430" s="9" t="s">
        <v>13284</v>
      </c>
      <c r="M4430" s="9" t="s">
        <v>13284</v>
      </c>
      <c r="N4430" s="9" t="s">
        <v>13284</v>
      </c>
      <c r="O4430" s="9" t="s">
        <v>13284</v>
      </c>
      <c r="P4430" s="9" t="s">
        <v>13284</v>
      </c>
      <c r="Q4430" s="9" t="s">
        <v>13284</v>
      </c>
      <c r="R4430" s="9" t="s">
        <v>13284</v>
      </c>
      <c r="S4430" s="9" t="s">
        <v>13284</v>
      </c>
      <c r="T4430" s="9" t="str">
        <f ca="1">IFERROR(IF(AND(VLOOKUP(A4430, 'Актуальное состояние (из общего'!A:C,3,0) = "", A4430 &lt;&gt; ""), "ПРОВЕРИТЬ", VLOOKUP(A4430, 'Актуальное состояние (из общего'!A:C,3,0)), "")</f>
        <v/>
      </c>
      <c r="U4430" s="9" t="s">
        <v>13284</v>
      </c>
      <c r="V4430" s="9" t="s">
        <v>13284</v>
      </c>
      <c r="W4430" s="12"/>
      <c r="X4430" s="9" t="str">
        <f t="array" ref="X4430">IFERROR(INDEX('Адреса общежитий (скрытый)'!$B$2:$B$9, MATCH(W4430, 'Адреса общежитий (скрытый)'!$A$2:$A$9, 0)), "")</f>
        <v/>
      </c>
      <c r="Y4430" s="18"/>
      <c r="Z4430" s="18"/>
      <c r="AA4430" s="18"/>
      <c r="AB4430" s="18"/>
      <c r="AC4430" s="18"/>
    </row>
    <row r="4431" spans="1:29" ht="32.25" hidden="1" customHeight="1">
      <c r="A4431" s="17"/>
      <c r="B4431" s="9" t="s">
        <v>13284</v>
      </c>
      <c r="C4431" s="9" t="s">
        <v>13284</v>
      </c>
      <c r="D4431" s="9" t="s">
        <v>13284</v>
      </c>
      <c r="E4431" s="9" t="s">
        <v>13284</v>
      </c>
      <c r="F4431" s="9" t="s">
        <v>13284</v>
      </c>
      <c r="G4431" s="9" t="s">
        <v>13284</v>
      </c>
      <c r="H4431" s="9" t="s">
        <v>13284</v>
      </c>
      <c r="I4431" s="9" t="s">
        <v>13284</v>
      </c>
      <c r="J4431" s="9" t="s">
        <v>13284</v>
      </c>
      <c r="K4431" s="9" t="s">
        <v>13284</v>
      </c>
      <c r="L4431" s="9" t="s">
        <v>13284</v>
      </c>
      <c r="M4431" s="9" t="s">
        <v>13284</v>
      </c>
      <c r="N4431" s="9" t="s">
        <v>13284</v>
      </c>
      <c r="O4431" s="9" t="s">
        <v>13284</v>
      </c>
      <c r="P4431" s="9" t="s">
        <v>13284</v>
      </c>
      <c r="Q4431" s="9" t="s">
        <v>13284</v>
      </c>
      <c r="R4431" s="9" t="s">
        <v>13284</v>
      </c>
      <c r="S4431" s="9" t="s">
        <v>13284</v>
      </c>
      <c r="T4431" s="9" t="str">
        <f ca="1">IFERROR(IF(AND(VLOOKUP(A4431, 'Актуальное состояние (из общего'!A:C,3,0) = "", A4431 &lt;&gt; ""), "ПРОВЕРИТЬ", VLOOKUP(A4431, 'Актуальное состояние (из общего'!A:C,3,0)), "")</f>
        <v/>
      </c>
      <c r="U4431" s="9" t="s">
        <v>13284</v>
      </c>
      <c r="V4431" s="9" t="s">
        <v>13284</v>
      </c>
      <c r="W4431" s="12"/>
      <c r="X4431" s="9" t="str">
        <f t="array" ref="X4431">IFERROR(INDEX('Адреса общежитий (скрытый)'!$B$2:$B$9, MATCH(W4431, 'Адреса общежитий (скрытый)'!$A$2:$A$9, 0)), "")</f>
        <v/>
      </c>
      <c r="Y4431" s="18"/>
      <c r="Z4431" s="18"/>
      <c r="AA4431" s="18"/>
      <c r="AB4431" s="18"/>
      <c r="AC4431" s="18"/>
    </row>
    <row r="4432" spans="1:29" ht="32.25" hidden="1" customHeight="1">
      <c r="A4432" s="17"/>
      <c r="B4432" s="9" t="s">
        <v>13284</v>
      </c>
      <c r="C4432" s="9" t="s">
        <v>13284</v>
      </c>
      <c r="D4432" s="9" t="s">
        <v>13284</v>
      </c>
      <c r="E4432" s="9" t="s">
        <v>13284</v>
      </c>
      <c r="F4432" s="9" t="s">
        <v>13284</v>
      </c>
      <c r="G4432" s="9" t="s">
        <v>13284</v>
      </c>
      <c r="H4432" s="9" t="s">
        <v>13284</v>
      </c>
      <c r="I4432" s="9" t="s">
        <v>13284</v>
      </c>
      <c r="J4432" s="9" t="s">
        <v>13284</v>
      </c>
      <c r="K4432" s="9" t="s">
        <v>13284</v>
      </c>
      <c r="L4432" s="9" t="s">
        <v>13284</v>
      </c>
      <c r="M4432" s="9" t="s">
        <v>13284</v>
      </c>
      <c r="N4432" s="9" t="s">
        <v>13284</v>
      </c>
      <c r="O4432" s="9" t="s">
        <v>13284</v>
      </c>
      <c r="P4432" s="9" t="s">
        <v>13284</v>
      </c>
      <c r="Q4432" s="9" t="s">
        <v>13284</v>
      </c>
      <c r="R4432" s="9" t="s">
        <v>13284</v>
      </c>
      <c r="S4432" s="9" t="s">
        <v>13284</v>
      </c>
      <c r="T4432" s="9" t="str">
        <f ca="1">IFERROR(IF(AND(VLOOKUP(A4432, 'Актуальное состояние (из общего'!A:C,3,0) = "", A4432 &lt;&gt; ""), "ПРОВЕРИТЬ", VLOOKUP(A4432, 'Актуальное состояние (из общего'!A:C,3,0)), "")</f>
        <v/>
      </c>
      <c r="U4432" s="9" t="s">
        <v>13284</v>
      </c>
      <c r="V4432" s="9" t="s">
        <v>13284</v>
      </c>
      <c r="W4432" s="12"/>
      <c r="X4432" s="9" t="str">
        <f t="array" ref="X4432">IFERROR(INDEX('Адреса общежитий (скрытый)'!$B$2:$B$9, MATCH(W4432, 'Адреса общежитий (скрытый)'!$A$2:$A$9, 0)), "")</f>
        <v/>
      </c>
      <c r="Y4432" s="18"/>
      <c r="Z4432" s="18"/>
      <c r="AA4432" s="18"/>
      <c r="AB4432" s="18"/>
      <c r="AC4432" s="18"/>
    </row>
    <row r="4433" spans="1:29" ht="32.25" hidden="1" customHeight="1">
      <c r="A4433" s="17"/>
      <c r="B4433" s="9" t="s">
        <v>13284</v>
      </c>
      <c r="C4433" s="9" t="s">
        <v>13284</v>
      </c>
      <c r="D4433" s="9" t="s">
        <v>13284</v>
      </c>
      <c r="E4433" s="9" t="s">
        <v>13284</v>
      </c>
      <c r="F4433" s="9" t="s">
        <v>13284</v>
      </c>
      <c r="G4433" s="9" t="s">
        <v>13284</v>
      </c>
      <c r="H4433" s="9" t="s">
        <v>13284</v>
      </c>
      <c r="I4433" s="9" t="s">
        <v>13284</v>
      </c>
      <c r="J4433" s="9" t="s">
        <v>13284</v>
      </c>
      <c r="K4433" s="9" t="s">
        <v>13284</v>
      </c>
      <c r="L4433" s="9" t="s">
        <v>13284</v>
      </c>
      <c r="M4433" s="9" t="s">
        <v>13284</v>
      </c>
      <c r="N4433" s="9" t="s">
        <v>13284</v>
      </c>
      <c r="O4433" s="9" t="s">
        <v>13284</v>
      </c>
      <c r="P4433" s="9" t="s">
        <v>13284</v>
      </c>
      <c r="Q4433" s="9" t="s">
        <v>13284</v>
      </c>
      <c r="R4433" s="9" t="s">
        <v>13284</v>
      </c>
      <c r="S4433" s="9" t="s">
        <v>13284</v>
      </c>
      <c r="T4433" s="9" t="str">
        <f ca="1">IFERROR(IF(AND(VLOOKUP(A4433, 'Актуальное состояние (из общего'!A:C,3,0) = "", A4433 &lt;&gt; ""), "ПРОВЕРИТЬ", VLOOKUP(A4433, 'Актуальное состояние (из общего'!A:C,3,0)), "")</f>
        <v/>
      </c>
      <c r="U4433" s="9" t="s">
        <v>13284</v>
      </c>
      <c r="V4433" s="9" t="s">
        <v>13284</v>
      </c>
      <c r="W4433" s="12"/>
      <c r="X4433" s="9" t="str">
        <f t="array" ref="X4433">IFERROR(INDEX('Адреса общежитий (скрытый)'!$B$2:$B$9, MATCH(W4433, 'Адреса общежитий (скрытый)'!$A$2:$A$9, 0)), "")</f>
        <v/>
      </c>
      <c r="Y4433" s="18"/>
      <c r="Z4433" s="18"/>
      <c r="AA4433" s="18"/>
      <c r="AB4433" s="18"/>
      <c r="AC4433" s="18"/>
    </row>
    <row r="4434" spans="1:29" ht="32.25" hidden="1" customHeight="1">
      <c r="A4434" s="17"/>
      <c r="B4434" s="9" t="s">
        <v>13284</v>
      </c>
      <c r="C4434" s="9" t="s">
        <v>13284</v>
      </c>
      <c r="D4434" s="9" t="s">
        <v>13284</v>
      </c>
      <c r="E4434" s="9" t="s">
        <v>13284</v>
      </c>
      <c r="F4434" s="9" t="s">
        <v>13284</v>
      </c>
      <c r="G4434" s="9" t="s">
        <v>13284</v>
      </c>
      <c r="H4434" s="9" t="s">
        <v>13284</v>
      </c>
      <c r="I4434" s="9" t="s">
        <v>13284</v>
      </c>
      <c r="J4434" s="9" t="s">
        <v>13284</v>
      </c>
      <c r="K4434" s="9" t="s">
        <v>13284</v>
      </c>
      <c r="L4434" s="9" t="s">
        <v>13284</v>
      </c>
      <c r="M4434" s="9" t="s">
        <v>13284</v>
      </c>
      <c r="N4434" s="9" t="s">
        <v>13284</v>
      </c>
      <c r="O4434" s="9" t="s">
        <v>13284</v>
      </c>
      <c r="P4434" s="9" t="s">
        <v>13284</v>
      </c>
      <c r="Q4434" s="9" t="s">
        <v>13284</v>
      </c>
      <c r="R4434" s="9" t="s">
        <v>13284</v>
      </c>
      <c r="S4434" s="9" t="s">
        <v>13284</v>
      </c>
      <c r="T4434" s="9" t="str">
        <f ca="1">IFERROR(IF(AND(VLOOKUP(A4434, 'Актуальное состояние (из общего'!A:C,3,0) = "", A4434 &lt;&gt; ""), "ПРОВЕРИТЬ", VLOOKUP(A4434, 'Актуальное состояние (из общего'!A:C,3,0)), "")</f>
        <v/>
      </c>
      <c r="U4434" s="9" t="s">
        <v>13284</v>
      </c>
      <c r="V4434" s="9" t="s">
        <v>13284</v>
      </c>
      <c r="W4434" s="12"/>
      <c r="X4434" s="9" t="str">
        <f t="array" ref="X4434">IFERROR(INDEX('Адреса общежитий (скрытый)'!$B$2:$B$9, MATCH(W4434, 'Адреса общежитий (скрытый)'!$A$2:$A$9, 0)), "")</f>
        <v/>
      </c>
      <c r="Y4434" s="18"/>
      <c r="Z4434" s="18"/>
      <c r="AA4434" s="18"/>
      <c r="AB4434" s="18"/>
      <c r="AC4434" s="18"/>
    </row>
    <row r="4435" spans="1:29" ht="32.25" hidden="1" customHeight="1">
      <c r="A4435" s="17"/>
      <c r="B4435" s="9" t="s">
        <v>13284</v>
      </c>
      <c r="C4435" s="9" t="s">
        <v>13284</v>
      </c>
      <c r="D4435" s="9" t="s">
        <v>13284</v>
      </c>
      <c r="E4435" s="9" t="s">
        <v>13284</v>
      </c>
      <c r="F4435" s="9" t="s">
        <v>13284</v>
      </c>
      <c r="G4435" s="9" t="s">
        <v>13284</v>
      </c>
      <c r="H4435" s="9" t="s">
        <v>13284</v>
      </c>
      <c r="I4435" s="9" t="s">
        <v>13284</v>
      </c>
      <c r="J4435" s="9" t="s">
        <v>13284</v>
      </c>
      <c r="K4435" s="9" t="s">
        <v>13284</v>
      </c>
      <c r="L4435" s="9" t="s">
        <v>13284</v>
      </c>
      <c r="M4435" s="9" t="s">
        <v>13284</v>
      </c>
      <c r="N4435" s="9" t="s">
        <v>13284</v>
      </c>
      <c r="O4435" s="9" t="s">
        <v>13284</v>
      </c>
      <c r="P4435" s="9" t="s">
        <v>13284</v>
      </c>
      <c r="Q4435" s="9" t="s">
        <v>13284</v>
      </c>
      <c r="R4435" s="9" t="s">
        <v>13284</v>
      </c>
      <c r="S4435" s="9" t="s">
        <v>13284</v>
      </c>
      <c r="T4435" s="9" t="str">
        <f ca="1">IFERROR(IF(AND(VLOOKUP(A4435, 'Актуальное состояние (из общего'!A:C,3,0) = "", A4435 &lt;&gt; ""), "ПРОВЕРИТЬ", VLOOKUP(A4435, 'Актуальное состояние (из общего'!A:C,3,0)), "")</f>
        <v/>
      </c>
      <c r="U4435" s="9" t="s">
        <v>13284</v>
      </c>
      <c r="V4435" s="9" t="s">
        <v>13284</v>
      </c>
      <c r="W4435" s="12"/>
      <c r="X4435" s="9" t="str">
        <f t="array" ref="X4435">IFERROR(INDEX('Адреса общежитий (скрытый)'!$B$2:$B$9, MATCH(W4435, 'Адреса общежитий (скрытый)'!$A$2:$A$9, 0)), "")</f>
        <v/>
      </c>
      <c r="Y4435" s="18"/>
      <c r="Z4435" s="18"/>
      <c r="AA4435" s="18"/>
      <c r="AB4435" s="18"/>
      <c r="AC4435" s="18"/>
    </row>
    <row r="4436" spans="1:29" ht="32.25" hidden="1" customHeight="1">
      <c r="A4436" s="17"/>
      <c r="B4436" s="9" t="s">
        <v>13284</v>
      </c>
      <c r="C4436" s="9" t="s">
        <v>13284</v>
      </c>
      <c r="D4436" s="9" t="s">
        <v>13284</v>
      </c>
      <c r="E4436" s="9" t="s">
        <v>13284</v>
      </c>
      <c r="F4436" s="9" t="s">
        <v>13284</v>
      </c>
      <c r="G4436" s="9" t="s">
        <v>13284</v>
      </c>
      <c r="H4436" s="9" t="s">
        <v>13284</v>
      </c>
      <c r="I4436" s="9" t="s">
        <v>13284</v>
      </c>
      <c r="J4436" s="9" t="s">
        <v>13284</v>
      </c>
      <c r="K4436" s="9" t="s">
        <v>13284</v>
      </c>
      <c r="L4436" s="9" t="s">
        <v>13284</v>
      </c>
      <c r="M4436" s="9" t="s">
        <v>13284</v>
      </c>
      <c r="N4436" s="9" t="s">
        <v>13284</v>
      </c>
      <c r="O4436" s="9" t="s">
        <v>13284</v>
      </c>
      <c r="P4436" s="9" t="s">
        <v>13284</v>
      </c>
      <c r="Q4436" s="9" t="s">
        <v>13284</v>
      </c>
      <c r="R4436" s="9" t="s">
        <v>13284</v>
      </c>
      <c r="S4436" s="9" t="s">
        <v>13284</v>
      </c>
      <c r="T4436" s="9" t="str">
        <f ca="1">IFERROR(IF(AND(VLOOKUP(A4436, 'Актуальное состояние (из общего'!A:C,3,0) = "", A4436 &lt;&gt; ""), "ПРОВЕРИТЬ", VLOOKUP(A4436, 'Актуальное состояние (из общего'!A:C,3,0)), "")</f>
        <v/>
      </c>
      <c r="U4436" s="9" t="s">
        <v>13284</v>
      </c>
      <c r="V4436" s="9" t="s">
        <v>13284</v>
      </c>
      <c r="W4436" s="12"/>
      <c r="X4436" s="9" t="str">
        <f t="array" ref="X4436">IFERROR(INDEX('Адреса общежитий (скрытый)'!$B$2:$B$9, MATCH(W4436, 'Адреса общежитий (скрытый)'!$A$2:$A$9, 0)), "")</f>
        <v/>
      </c>
      <c r="Y4436" s="18"/>
      <c r="Z4436" s="18"/>
      <c r="AA4436" s="18"/>
      <c r="AB4436" s="18"/>
      <c r="AC4436" s="18"/>
    </row>
    <row r="4437" spans="1:29" ht="32.25" hidden="1" customHeight="1">
      <c r="A4437" s="17"/>
      <c r="B4437" s="9" t="s">
        <v>13284</v>
      </c>
      <c r="C4437" s="9" t="s">
        <v>13284</v>
      </c>
      <c r="D4437" s="9" t="s">
        <v>13284</v>
      </c>
      <c r="E4437" s="9" t="s">
        <v>13284</v>
      </c>
      <c r="F4437" s="9" t="s">
        <v>13284</v>
      </c>
      <c r="G4437" s="9" t="s">
        <v>13284</v>
      </c>
      <c r="H4437" s="9" t="s">
        <v>13284</v>
      </c>
      <c r="I4437" s="9" t="s">
        <v>13284</v>
      </c>
      <c r="J4437" s="9" t="s">
        <v>13284</v>
      </c>
      <c r="K4437" s="9" t="s">
        <v>13284</v>
      </c>
      <c r="L4437" s="9" t="s">
        <v>13284</v>
      </c>
      <c r="M4437" s="9" t="s">
        <v>13284</v>
      </c>
      <c r="N4437" s="9" t="s">
        <v>13284</v>
      </c>
      <c r="O4437" s="9" t="s">
        <v>13284</v>
      </c>
      <c r="P4437" s="9" t="s">
        <v>13284</v>
      </c>
      <c r="Q4437" s="9" t="s">
        <v>13284</v>
      </c>
      <c r="R4437" s="9" t="s">
        <v>13284</v>
      </c>
      <c r="S4437" s="9" t="s">
        <v>13284</v>
      </c>
      <c r="T4437" s="9" t="str">
        <f ca="1">IFERROR(IF(AND(VLOOKUP(A4437, 'Актуальное состояние (из общего'!A:C,3,0) = "", A4437 &lt;&gt; ""), "ПРОВЕРИТЬ", VLOOKUP(A4437, 'Актуальное состояние (из общего'!A:C,3,0)), "")</f>
        <v/>
      </c>
      <c r="U4437" s="9" t="s">
        <v>13284</v>
      </c>
      <c r="V4437" s="9" t="s">
        <v>13284</v>
      </c>
      <c r="W4437" s="12"/>
      <c r="X4437" s="9" t="str">
        <f t="array" ref="X4437">IFERROR(INDEX('Адреса общежитий (скрытый)'!$B$2:$B$9, MATCH(W4437, 'Адреса общежитий (скрытый)'!$A$2:$A$9, 0)), "")</f>
        <v/>
      </c>
      <c r="Y4437" s="18"/>
      <c r="Z4437" s="18"/>
      <c r="AA4437" s="18"/>
      <c r="AB4437" s="18"/>
      <c r="AC4437" s="18"/>
    </row>
    <row r="4438" spans="1:29" ht="32.25" hidden="1" customHeight="1">
      <c r="A4438" s="17"/>
      <c r="B4438" s="9" t="s">
        <v>13284</v>
      </c>
      <c r="C4438" s="9" t="s">
        <v>13284</v>
      </c>
      <c r="D4438" s="9" t="s">
        <v>13284</v>
      </c>
      <c r="E4438" s="9" t="s">
        <v>13284</v>
      </c>
      <c r="F4438" s="9" t="s">
        <v>13284</v>
      </c>
      <c r="G4438" s="9" t="s">
        <v>13284</v>
      </c>
      <c r="H4438" s="9" t="s">
        <v>13284</v>
      </c>
      <c r="I4438" s="9" t="s">
        <v>13284</v>
      </c>
      <c r="J4438" s="9" t="s">
        <v>13284</v>
      </c>
      <c r="K4438" s="9" t="s">
        <v>13284</v>
      </c>
      <c r="L4438" s="9" t="s">
        <v>13284</v>
      </c>
      <c r="M4438" s="9" t="s">
        <v>13284</v>
      </c>
      <c r="N4438" s="9" t="s">
        <v>13284</v>
      </c>
      <c r="O4438" s="9" t="s">
        <v>13284</v>
      </c>
      <c r="P4438" s="9" t="s">
        <v>13284</v>
      </c>
      <c r="Q4438" s="9" t="s">
        <v>13284</v>
      </c>
      <c r="R4438" s="9" t="s">
        <v>13284</v>
      </c>
      <c r="S4438" s="9" t="s">
        <v>13284</v>
      </c>
      <c r="T4438" s="9" t="str">
        <f ca="1">IFERROR(IF(AND(VLOOKUP(A4438, 'Актуальное состояние (из общего'!A:C,3,0) = "", A4438 &lt;&gt; ""), "ПРОВЕРИТЬ", VLOOKUP(A4438, 'Актуальное состояние (из общего'!A:C,3,0)), "")</f>
        <v/>
      </c>
      <c r="U4438" s="9" t="s">
        <v>13284</v>
      </c>
      <c r="V4438" s="9" t="s">
        <v>13284</v>
      </c>
      <c r="W4438" s="12"/>
      <c r="X4438" s="9" t="str">
        <f t="array" ref="X4438">IFERROR(INDEX('Адреса общежитий (скрытый)'!$B$2:$B$9, MATCH(W4438, 'Адреса общежитий (скрытый)'!$A$2:$A$9, 0)), "")</f>
        <v/>
      </c>
      <c r="Y4438" s="18"/>
      <c r="Z4438" s="18"/>
      <c r="AA4438" s="18"/>
      <c r="AB4438" s="18"/>
      <c r="AC4438" s="18"/>
    </row>
    <row r="4439" spans="1:29" ht="32.25" hidden="1" customHeight="1">
      <c r="A4439" s="17"/>
      <c r="B4439" s="9" t="s">
        <v>13284</v>
      </c>
      <c r="C4439" s="9" t="s">
        <v>13284</v>
      </c>
      <c r="D4439" s="9" t="s">
        <v>13284</v>
      </c>
      <c r="E4439" s="9" t="s">
        <v>13284</v>
      </c>
      <c r="F4439" s="9" t="s">
        <v>13284</v>
      </c>
      <c r="G4439" s="9" t="s">
        <v>13284</v>
      </c>
      <c r="H4439" s="9" t="s">
        <v>13284</v>
      </c>
      <c r="I4439" s="9" t="s">
        <v>13284</v>
      </c>
      <c r="J4439" s="9" t="s">
        <v>13284</v>
      </c>
      <c r="K4439" s="9" t="s">
        <v>13284</v>
      </c>
      <c r="L4439" s="9" t="s">
        <v>13284</v>
      </c>
      <c r="M4439" s="9" t="s">
        <v>13284</v>
      </c>
      <c r="N4439" s="9" t="s">
        <v>13284</v>
      </c>
      <c r="O4439" s="9" t="s">
        <v>13284</v>
      </c>
      <c r="P4439" s="9" t="s">
        <v>13284</v>
      </c>
      <c r="Q4439" s="9" t="s">
        <v>13284</v>
      </c>
      <c r="R4439" s="9" t="s">
        <v>13284</v>
      </c>
      <c r="S4439" s="9" t="s">
        <v>13284</v>
      </c>
      <c r="T4439" s="9" t="str">
        <f ca="1">IFERROR(IF(AND(VLOOKUP(A4439, 'Актуальное состояние (из общего'!A:C,3,0) = "", A4439 &lt;&gt; ""), "ПРОВЕРИТЬ", VLOOKUP(A4439, 'Актуальное состояние (из общего'!A:C,3,0)), "")</f>
        <v/>
      </c>
      <c r="U4439" s="9" t="s">
        <v>13284</v>
      </c>
      <c r="V4439" s="9" t="s">
        <v>13284</v>
      </c>
      <c r="W4439" s="12"/>
      <c r="X4439" s="9" t="str">
        <f t="array" ref="X4439">IFERROR(INDEX('Адреса общежитий (скрытый)'!$B$2:$B$9, MATCH(W4439, 'Адреса общежитий (скрытый)'!$A$2:$A$9, 0)), "")</f>
        <v/>
      </c>
      <c r="Y4439" s="18"/>
      <c r="Z4439" s="18"/>
      <c r="AA4439" s="18"/>
      <c r="AB4439" s="18"/>
      <c r="AC4439" s="18"/>
    </row>
    <row r="4440" spans="1:29" ht="32.25" hidden="1" customHeight="1">
      <c r="A4440" s="17"/>
      <c r="B4440" s="9" t="s">
        <v>13284</v>
      </c>
      <c r="C4440" s="9" t="s">
        <v>13284</v>
      </c>
      <c r="D4440" s="9" t="s">
        <v>13284</v>
      </c>
      <c r="E4440" s="9" t="s">
        <v>13284</v>
      </c>
      <c r="F4440" s="9" t="s">
        <v>13284</v>
      </c>
      <c r="G4440" s="9" t="s">
        <v>13284</v>
      </c>
      <c r="H4440" s="9" t="s">
        <v>13284</v>
      </c>
      <c r="I4440" s="9" t="s">
        <v>13284</v>
      </c>
      <c r="J4440" s="9" t="s">
        <v>13284</v>
      </c>
      <c r="K4440" s="9" t="s">
        <v>13284</v>
      </c>
      <c r="L4440" s="9" t="s">
        <v>13284</v>
      </c>
      <c r="M4440" s="9" t="s">
        <v>13284</v>
      </c>
      <c r="N4440" s="9" t="s">
        <v>13284</v>
      </c>
      <c r="O4440" s="9" t="s">
        <v>13284</v>
      </c>
      <c r="P4440" s="9" t="s">
        <v>13284</v>
      </c>
      <c r="Q4440" s="9" t="s">
        <v>13284</v>
      </c>
      <c r="R4440" s="9" t="s">
        <v>13284</v>
      </c>
      <c r="S4440" s="9" t="s">
        <v>13284</v>
      </c>
      <c r="T4440" s="9" t="str">
        <f ca="1">IFERROR(IF(AND(VLOOKUP(A4440, 'Актуальное состояние (из общего'!A:C,3,0) = "", A4440 &lt;&gt; ""), "ПРОВЕРИТЬ", VLOOKUP(A4440, 'Актуальное состояние (из общего'!A:C,3,0)), "")</f>
        <v/>
      </c>
      <c r="U4440" s="9" t="s">
        <v>13284</v>
      </c>
      <c r="V4440" s="9" t="s">
        <v>13284</v>
      </c>
      <c r="W4440" s="12"/>
      <c r="X4440" s="9" t="str">
        <f t="array" ref="X4440">IFERROR(INDEX('Адреса общежитий (скрытый)'!$B$2:$B$9, MATCH(W4440, 'Адреса общежитий (скрытый)'!$A$2:$A$9, 0)), "")</f>
        <v/>
      </c>
      <c r="Y4440" s="18"/>
      <c r="Z4440" s="18"/>
      <c r="AA4440" s="18"/>
      <c r="AB4440" s="18"/>
      <c r="AC4440" s="18"/>
    </row>
    <row r="4441" spans="1:29" ht="32.25" hidden="1" customHeight="1">
      <c r="A4441" s="17"/>
      <c r="B4441" s="9" t="s">
        <v>13284</v>
      </c>
      <c r="C4441" s="9" t="s">
        <v>13284</v>
      </c>
      <c r="D4441" s="9" t="s">
        <v>13284</v>
      </c>
      <c r="E4441" s="9" t="s">
        <v>13284</v>
      </c>
      <c r="F4441" s="9" t="s">
        <v>13284</v>
      </c>
      <c r="G4441" s="9" t="s">
        <v>13284</v>
      </c>
      <c r="H4441" s="9" t="s">
        <v>13284</v>
      </c>
      <c r="I4441" s="9" t="s">
        <v>13284</v>
      </c>
      <c r="J4441" s="9" t="s">
        <v>13284</v>
      </c>
      <c r="K4441" s="9" t="s">
        <v>13284</v>
      </c>
      <c r="L4441" s="9" t="s">
        <v>13284</v>
      </c>
      <c r="M4441" s="9" t="s">
        <v>13284</v>
      </c>
      <c r="N4441" s="9" t="s">
        <v>13284</v>
      </c>
      <c r="O4441" s="9" t="s">
        <v>13284</v>
      </c>
      <c r="P4441" s="9" t="s">
        <v>13284</v>
      </c>
      <c r="Q4441" s="9" t="s">
        <v>13284</v>
      </c>
      <c r="R4441" s="9" t="s">
        <v>13284</v>
      </c>
      <c r="S4441" s="9" t="s">
        <v>13284</v>
      </c>
      <c r="T4441" s="9" t="str">
        <f ca="1">IFERROR(IF(AND(VLOOKUP(A4441, 'Актуальное состояние (из общего'!A:C,3,0) = "", A4441 &lt;&gt; ""), "ПРОВЕРИТЬ", VLOOKUP(A4441, 'Актуальное состояние (из общего'!A:C,3,0)), "")</f>
        <v/>
      </c>
      <c r="U4441" s="9" t="s">
        <v>13284</v>
      </c>
      <c r="V4441" s="9" t="s">
        <v>13284</v>
      </c>
      <c r="W4441" s="12"/>
      <c r="X4441" s="9" t="str">
        <f t="array" ref="X4441">IFERROR(INDEX('Адреса общежитий (скрытый)'!$B$2:$B$9, MATCH(W4441, 'Адреса общежитий (скрытый)'!$A$2:$A$9, 0)), "")</f>
        <v/>
      </c>
      <c r="Y4441" s="18"/>
      <c r="Z4441" s="18"/>
      <c r="AA4441" s="18"/>
      <c r="AB4441" s="18"/>
      <c r="AC4441" s="18"/>
    </row>
    <row r="4442" spans="1:29" ht="32.25" hidden="1" customHeight="1">
      <c r="A4442" s="17"/>
      <c r="B4442" s="9" t="s">
        <v>13284</v>
      </c>
      <c r="C4442" s="9" t="s">
        <v>13284</v>
      </c>
      <c r="D4442" s="9" t="s">
        <v>13284</v>
      </c>
      <c r="E4442" s="9" t="s">
        <v>13284</v>
      </c>
      <c r="F4442" s="9" t="s">
        <v>13284</v>
      </c>
      <c r="G4442" s="9" t="s">
        <v>13284</v>
      </c>
      <c r="H4442" s="9" t="s">
        <v>13284</v>
      </c>
      <c r="I4442" s="9" t="s">
        <v>13284</v>
      </c>
      <c r="J4442" s="9" t="s">
        <v>13284</v>
      </c>
      <c r="K4442" s="9" t="s">
        <v>13284</v>
      </c>
      <c r="L4442" s="9" t="s">
        <v>13284</v>
      </c>
      <c r="M4442" s="9" t="s">
        <v>13284</v>
      </c>
      <c r="N4442" s="9" t="s">
        <v>13284</v>
      </c>
      <c r="O4442" s="9" t="s">
        <v>13284</v>
      </c>
      <c r="P4442" s="9" t="s">
        <v>13284</v>
      </c>
      <c r="Q4442" s="9" t="s">
        <v>13284</v>
      </c>
      <c r="R4442" s="9" t="s">
        <v>13284</v>
      </c>
      <c r="S4442" s="9" t="s">
        <v>13284</v>
      </c>
      <c r="T4442" s="9" t="str">
        <f ca="1">IFERROR(IF(AND(VLOOKUP(A4442, 'Актуальное состояние (из общего'!A:C,3,0) = "", A4442 &lt;&gt; ""), "ПРОВЕРИТЬ", VLOOKUP(A4442, 'Актуальное состояние (из общего'!A:C,3,0)), "")</f>
        <v/>
      </c>
      <c r="U4442" s="9" t="s">
        <v>13284</v>
      </c>
      <c r="V4442" s="9" t="s">
        <v>13284</v>
      </c>
      <c r="W4442" s="12"/>
      <c r="X4442" s="9" t="str">
        <f t="array" ref="X4442">IFERROR(INDEX('Адреса общежитий (скрытый)'!$B$2:$B$9, MATCH(W4442, 'Адреса общежитий (скрытый)'!$A$2:$A$9, 0)), "")</f>
        <v/>
      </c>
      <c r="Y4442" s="18"/>
      <c r="Z4442" s="18"/>
      <c r="AA4442" s="18"/>
      <c r="AB4442" s="18"/>
      <c r="AC4442" s="18"/>
    </row>
    <row r="4443" spans="1:29" ht="32.25" hidden="1" customHeight="1">
      <c r="A4443" s="17"/>
      <c r="B4443" s="9" t="s">
        <v>13284</v>
      </c>
      <c r="C4443" s="9" t="s">
        <v>13284</v>
      </c>
      <c r="D4443" s="9" t="s">
        <v>13284</v>
      </c>
      <c r="E4443" s="9" t="s">
        <v>13284</v>
      </c>
      <c r="F4443" s="9" t="s">
        <v>13284</v>
      </c>
      <c r="G4443" s="9" t="s">
        <v>13284</v>
      </c>
      <c r="H4443" s="9" t="s">
        <v>13284</v>
      </c>
      <c r="I4443" s="9" t="s">
        <v>13284</v>
      </c>
      <c r="J4443" s="9" t="s">
        <v>13284</v>
      </c>
      <c r="K4443" s="9" t="s">
        <v>13284</v>
      </c>
      <c r="L4443" s="9" t="s">
        <v>13284</v>
      </c>
      <c r="M4443" s="9" t="s">
        <v>13284</v>
      </c>
      <c r="N4443" s="9" t="s">
        <v>13284</v>
      </c>
      <c r="O4443" s="9" t="s">
        <v>13284</v>
      </c>
      <c r="P4443" s="9" t="s">
        <v>13284</v>
      </c>
      <c r="Q4443" s="9" t="s">
        <v>13284</v>
      </c>
      <c r="R4443" s="9" t="s">
        <v>13284</v>
      </c>
      <c r="S4443" s="9" t="s">
        <v>13284</v>
      </c>
      <c r="T4443" s="9" t="str">
        <f ca="1">IFERROR(IF(AND(VLOOKUP(A4443, 'Актуальное состояние (из общего'!A:C,3,0) = "", A4443 &lt;&gt; ""), "ПРОВЕРИТЬ", VLOOKUP(A4443, 'Актуальное состояние (из общего'!A:C,3,0)), "")</f>
        <v/>
      </c>
      <c r="U4443" s="9" t="s">
        <v>13284</v>
      </c>
      <c r="V4443" s="9" t="s">
        <v>13284</v>
      </c>
      <c r="W4443" s="12"/>
      <c r="X4443" s="9" t="str">
        <f t="array" ref="X4443">IFERROR(INDEX('Адреса общежитий (скрытый)'!$B$2:$B$9, MATCH(W4443, 'Адреса общежитий (скрытый)'!$A$2:$A$9, 0)), "")</f>
        <v/>
      </c>
      <c r="Y4443" s="18"/>
      <c r="Z4443" s="18"/>
      <c r="AA4443" s="18"/>
      <c r="AB4443" s="18"/>
      <c r="AC4443" s="18"/>
    </row>
    <row r="4444" spans="1:29" ht="32.25" hidden="1" customHeight="1">
      <c r="A4444" s="17"/>
      <c r="B4444" s="9" t="s">
        <v>13284</v>
      </c>
      <c r="C4444" s="9" t="s">
        <v>13284</v>
      </c>
      <c r="D4444" s="9" t="s">
        <v>13284</v>
      </c>
      <c r="E4444" s="9" t="s">
        <v>13284</v>
      </c>
      <c r="F4444" s="9" t="s">
        <v>13284</v>
      </c>
      <c r="G4444" s="9" t="s">
        <v>13284</v>
      </c>
      <c r="H4444" s="9" t="s">
        <v>13284</v>
      </c>
      <c r="I4444" s="9" t="s">
        <v>13284</v>
      </c>
      <c r="J4444" s="9" t="s">
        <v>13284</v>
      </c>
      <c r="K4444" s="9" t="s">
        <v>13284</v>
      </c>
      <c r="L4444" s="9" t="s">
        <v>13284</v>
      </c>
      <c r="M4444" s="9" t="s">
        <v>13284</v>
      </c>
      <c r="N4444" s="9" t="s">
        <v>13284</v>
      </c>
      <c r="O4444" s="9" t="s">
        <v>13284</v>
      </c>
      <c r="P4444" s="9" t="s">
        <v>13284</v>
      </c>
      <c r="Q4444" s="9" t="s">
        <v>13284</v>
      </c>
      <c r="R4444" s="9" t="s">
        <v>13284</v>
      </c>
      <c r="S4444" s="9" t="s">
        <v>13284</v>
      </c>
      <c r="T4444" s="9" t="str">
        <f ca="1">IFERROR(IF(AND(VLOOKUP(A4444, 'Актуальное состояние (из общего'!A:C,3,0) = "", A4444 &lt;&gt; ""), "ПРОВЕРИТЬ", VLOOKUP(A4444, 'Актуальное состояние (из общего'!A:C,3,0)), "")</f>
        <v/>
      </c>
      <c r="U4444" s="9" t="s">
        <v>13284</v>
      </c>
      <c r="V4444" s="9" t="s">
        <v>13284</v>
      </c>
      <c r="W4444" s="12"/>
      <c r="X4444" s="9" t="str">
        <f t="array" ref="X4444">IFERROR(INDEX('Адреса общежитий (скрытый)'!$B$2:$B$9, MATCH(W4444, 'Адреса общежитий (скрытый)'!$A$2:$A$9, 0)), "")</f>
        <v/>
      </c>
      <c r="Y4444" s="18"/>
      <c r="Z4444" s="18"/>
      <c r="AA4444" s="18"/>
      <c r="AB4444" s="18"/>
      <c r="AC4444" s="18"/>
    </row>
    <row r="4445" spans="1:29" ht="32.25" hidden="1" customHeight="1">
      <c r="A4445" s="17"/>
      <c r="B4445" s="9" t="s">
        <v>13284</v>
      </c>
      <c r="C4445" s="9" t="s">
        <v>13284</v>
      </c>
      <c r="D4445" s="9" t="s">
        <v>13284</v>
      </c>
      <c r="E4445" s="9" t="s">
        <v>13284</v>
      </c>
      <c r="F4445" s="9" t="s">
        <v>13284</v>
      </c>
      <c r="G4445" s="9" t="s">
        <v>13284</v>
      </c>
      <c r="H4445" s="9" t="s">
        <v>13284</v>
      </c>
      <c r="I4445" s="9" t="s">
        <v>13284</v>
      </c>
      <c r="J4445" s="9" t="s">
        <v>13284</v>
      </c>
      <c r="K4445" s="9" t="s">
        <v>13284</v>
      </c>
      <c r="L4445" s="9" t="s">
        <v>13284</v>
      </c>
      <c r="M4445" s="9" t="s">
        <v>13284</v>
      </c>
      <c r="N4445" s="9" t="s">
        <v>13284</v>
      </c>
      <c r="O4445" s="9" t="s">
        <v>13284</v>
      </c>
      <c r="P4445" s="9" t="s">
        <v>13284</v>
      </c>
      <c r="Q4445" s="9" t="s">
        <v>13284</v>
      </c>
      <c r="R4445" s="9" t="s">
        <v>13284</v>
      </c>
      <c r="S4445" s="9" t="s">
        <v>13284</v>
      </c>
      <c r="T4445" s="9" t="str">
        <f ca="1">IFERROR(IF(AND(VLOOKUP(A4445, 'Актуальное состояние (из общего'!A:C,3,0) = "", A4445 &lt;&gt; ""), "ПРОВЕРИТЬ", VLOOKUP(A4445, 'Актуальное состояние (из общего'!A:C,3,0)), "")</f>
        <v/>
      </c>
      <c r="U4445" s="9" t="s">
        <v>13284</v>
      </c>
      <c r="V4445" s="9" t="s">
        <v>13284</v>
      </c>
      <c r="W4445" s="12"/>
      <c r="X4445" s="9" t="str">
        <f t="array" ref="X4445">IFERROR(INDEX('Адреса общежитий (скрытый)'!$B$2:$B$9, MATCH(W4445, 'Адреса общежитий (скрытый)'!$A$2:$A$9, 0)), "")</f>
        <v/>
      </c>
      <c r="Y4445" s="18"/>
      <c r="Z4445" s="18"/>
      <c r="AA4445" s="18"/>
      <c r="AB4445" s="18"/>
      <c r="AC4445" s="18"/>
    </row>
    <row r="4446" spans="1:29" ht="32.25" hidden="1" customHeight="1">
      <c r="A4446" s="17"/>
      <c r="B4446" s="9" t="s">
        <v>13284</v>
      </c>
      <c r="C4446" s="9" t="s">
        <v>13284</v>
      </c>
      <c r="D4446" s="9" t="s">
        <v>13284</v>
      </c>
      <c r="E4446" s="9" t="s">
        <v>13284</v>
      </c>
      <c r="F4446" s="9" t="s">
        <v>13284</v>
      </c>
      <c r="G4446" s="9" t="s">
        <v>13284</v>
      </c>
      <c r="H4446" s="9" t="s">
        <v>13284</v>
      </c>
      <c r="I4446" s="9" t="s">
        <v>13284</v>
      </c>
      <c r="J4446" s="9" t="s">
        <v>13284</v>
      </c>
      <c r="K4446" s="9" t="s">
        <v>13284</v>
      </c>
      <c r="L4446" s="9" t="s">
        <v>13284</v>
      </c>
      <c r="M4446" s="9" t="s">
        <v>13284</v>
      </c>
      <c r="N4446" s="9" t="s">
        <v>13284</v>
      </c>
      <c r="O4446" s="9" t="s">
        <v>13284</v>
      </c>
      <c r="P4446" s="9" t="s">
        <v>13284</v>
      </c>
      <c r="Q4446" s="9" t="s">
        <v>13284</v>
      </c>
      <c r="R4446" s="9" t="s">
        <v>13284</v>
      </c>
      <c r="S4446" s="9" t="s">
        <v>13284</v>
      </c>
      <c r="T4446" s="9" t="str">
        <f ca="1">IFERROR(IF(AND(VLOOKUP(A4446, 'Актуальное состояние (из общего'!A:C,3,0) = "", A4446 &lt;&gt; ""), "ПРОВЕРИТЬ", VLOOKUP(A4446, 'Актуальное состояние (из общего'!A:C,3,0)), "")</f>
        <v/>
      </c>
      <c r="U4446" s="9" t="s">
        <v>13284</v>
      </c>
      <c r="V4446" s="9" t="s">
        <v>13284</v>
      </c>
      <c r="W4446" s="12"/>
      <c r="X4446" s="9" t="str">
        <f t="array" ref="X4446">IFERROR(INDEX('Адреса общежитий (скрытый)'!$B$2:$B$9, MATCH(W4446, 'Адреса общежитий (скрытый)'!$A$2:$A$9, 0)), "")</f>
        <v/>
      </c>
      <c r="Y4446" s="18"/>
      <c r="Z4446" s="18"/>
      <c r="AA4446" s="18"/>
      <c r="AB4446" s="18"/>
      <c r="AC4446" s="18"/>
    </row>
    <row r="4447" spans="1:29" ht="32.25" hidden="1" customHeight="1">
      <c r="A4447" s="17"/>
      <c r="B4447" s="9" t="s">
        <v>13284</v>
      </c>
      <c r="C4447" s="9" t="s">
        <v>13284</v>
      </c>
      <c r="D4447" s="9" t="s">
        <v>13284</v>
      </c>
      <c r="E4447" s="9" t="s">
        <v>13284</v>
      </c>
      <c r="F4447" s="9" t="s">
        <v>13284</v>
      </c>
      <c r="G4447" s="9" t="s">
        <v>13284</v>
      </c>
      <c r="H4447" s="9" t="s">
        <v>13284</v>
      </c>
      <c r="I4447" s="9" t="s">
        <v>13284</v>
      </c>
      <c r="J4447" s="9" t="s">
        <v>13284</v>
      </c>
      <c r="K4447" s="9" t="s">
        <v>13284</v>
      </c>
      <c r="L4447" s="9" t="s">
        <v>13284</v>
      </c>
      <c r="M4447" s="9" t="s">
        <v>13284</v>
      </c>
      <c r="N4447" s="9" t="s">
        <v>13284</v>
      </c>
      <c r="O4447" s="9" t="s">
        <v>13284</v>
      </c>
      <c r="P4447" s="9" t="s">
        <v>13284</v>
      </c>
      <c r="Q4447" s="9" t="s">
        <v>13284</v>
      </c>
      <c r="R4447" s="9" t="s">
        <v>13284</v>
      </c>
      <c r="S4447" s="9" t="s">
        <v>13284</v>
      </c>
      <c r="T4447" s="9" t="str">
        <f ca="1">IFERROR(IF(AND(VLOOKUP(A4447, 'Актуальное состояние (из общего'!A:C,3,0) = "", A4447 &lt;&gt; ""), "ПРОВЕРИТЬ", VLOOKUP(A4447, 'Актуальное состояние (из общего'!A:C,3,0)), "")</f>
        <v/>
      </c>
      <c r="U4447" s="9" t="s">
        <v>13284</v>
      </c>
      <c r="V4447" s="9" t="s">
        <v>13284</v>
      </c>
      <c r="W4447" s="12"/>
      <c r="X4447" s="9" t="str">
        <f t="array" ref="X4447">IFERROR(INDEX('Адреса общежитий (скрытый)'!$B$2:$B$9, MATCH(W4447, 'Адреса общежитий (скрытый)'!$A$2:$A$9, 0)), "")</f>
        <v/>
      </c>
      <c r="Y4447" s="18"/>
      <c r="Z4447" s="18"/>
      <c r="AA4447" s="18"/>
      <c r="AB4447" s="18"/>
      <c r="AC4447" s="18"/>
    </row>
    <row r="4448" spans="1:29" ht="32.25" hidden="1" customHeight="1">
      <c r="A4448" s="17"/>
      <c r="B4448" s="9" t="s">
        <v>13284</v>
      </c>
      <c r="C4448" s="9" t="s">
        <v>13284</v>
      </c>
      <c r="D4448" s="9" t="s">
        <v>13284</v>
      </c>
      <c r="E4448" s="9" t="s">
        <v>13284</v>
      </c>
      <c r="F4448" s="9" t="s">
        <v>13284</v>
      </c>
      <c r="G4448" s="9" t="s">
        <v>13284</v>
      </c>
      <c r="H4448" s="9" t="s">
        <v>13284</v>
      </c>
      <c r="I4448" s="9" t="s">
        <v>13284</v>
      </c>
      <c r="J4448" s="9" t="s">
        <v>13284</v>
      </c>
      <c r="K4448" s="9" t="s">
        <v>13284</v>
      </c>
      <c r="L4448" s="9" t="s">
        <v>13284</v>
      </c>
      <c r="M4448" s="9" t="s">
        <v>13284</v>
      </c>
      <c r="N4448" s="9" t="s">
        <v>13284</v>
      </c>
      <c r="O4448" s="9" t="s">
        <v>13284</v>
      </c>
      <c r="P4448" s="9" t="s">
        <v>13284</v>
      </c>
      <c r="Q4448" s="9" t="s">
        <v>13284</v>
      </c>
      <c r="R4448" s="9" t="s">
        <v>13284</v>
      </c>
      <c r="S4448" s="9" t="s">
        <v>13284</v>
      </c>
      <c r="T4448" s="9" t="str">
        <f ca="1">IFERROR(IF(AND(VLOOKUP(A4448, 'Актуальное состояние (из общего'!A:C,3,0) = "", A4448 &lt;&gt; ""), "ПРОВЕРИТЬ", VLOOKUP(A4448, 'Актуальное состояние (из общего'!A:C,3,0)), "")</f>
        <v/>
      </c>
      <c r="U4448" s="9" t="s">
        <v>13284</v>
      </c>
      <c r="V4448" s="9" t="s">
        <v>13284</v>
      </c>
      <c r="W4448" s="12"/>
      <c r="X4448" s="9" t="str">
        <f t="array" ref="X4448">IFERROR(INDEX('Адреса общежитий (скрытый)'!$B$2:$B$9, MATCH(W4448, 'Адреса общежитий (скрытый)'!$A$2:$A$9, 0)), "")</f>
        <v/>
      </c>
      <c r="Y4448" s="18"/>
      <c r="Z4448" s="18"/>
      <c r="AA4448" s="18"/>
      <c r="AB4448" s="18"/>
      <c r="AC4448" s="18"/>
    </row>
    <row r="4449" spans="1:29" ht="32.25" hidden="1" customHeight="1">
      <c r="A4449" s="17"/>
      <c r="B4449" s="9" t="s">
        <v>13284</v>
      </c>
      <c r="C4449" s="9" t="s">
        <v>13284</v>
      </c>
      <c r="D4449" s="9" t="s">
        <v>13284</v>
      </c>
      <c r="E4449" s="9" t="s">
        <v>13284</v>
      </c>
      <c r="F4449" s="9" t="s">
        <v>13284</v>
      </c>
      <c r="G4449" s="9" t="s">
        <v>13284</v>
      </c>
      <c r="H4449" s="9" t="s">
        <v>13284</v>
      </c>
      <c r="I4449" s="9" t="s">
        <v>13284</v>
      </c>
      <c r="J4449" s="9" t="s">
        <v>13284</v>
      </c>
      <c r="K4449" s="9" t="s">
        <v>13284</v>
      </c>
      <c r="L4449" s="9" t="s">
        <v>13284</v>
      </c>
      <c r="M4449" s="9" t="s">
        <v>13284</v>
      </c>
      <c r="N4449" s="9" t="s">
        <v>13284</v>
      </c>
      <c r="O4449" s="9" t="s">
        <v>13284</v>
      </c>
      <c r="P4449" s="9" t="s">
        <v>13284</v>
      </c>
      <c r="Q4449" s="9" t="s">
        <v>13284</v>
      </c>
      <c r="R4449" s="9" t="s">
        <v>13284</v>
      </c>
      <c r="S4449" s="9" t="s">
        <v>13284</v>
      </c>
      <c r="T4449" s="9" t="str">
        <f ca="1">IFERROR(IF(AND(VLOOKUP(A4449, 'Актуальное состояние (из общего'!A:C,3,0) = "", A4449 &lt;&gt; ""), "ПРОВЕРИТЬ", VLOOKUP(A4449, 'Актуальное состояние (из общего'!A:C,3,0)), "")</f>
        <v/>
      </c>
      <c r="U4449" s="9" t="s">
        <v>13284</v>
      </c>
      <c r="V4449" s="9" t="s">
        <v>13284</v>
      </c>
      <c r="W4449" s="12"/>
      <c r="X4449" s="9" t="str">
        <f t="array" ref="X4449">IFERROR(INDEX('Адреса общежитий (скрытый)'!$B$2:$B$9, MATCH(W4449, 'Адреса общежитий (скрытый)'!$A$2:$A$9, 0)), "")</f>
        <v/>
      </c>
      <c r="Y4449" s="18"/>
      <c r="Z4449" s="18"/>
      <c r="AA4449" s="18"/>
      <c r="AB4449" s="18"/>
      <c r="AC4449" s="18"/>
    </row>
    <row r="4450" spans="1:29" ht="32.25" hidden="1" customHeight="1">
      <c r="A4450" s="17"/>
      <c r="B4450" s="9" t="s">
        <v>13284</v>
      </c>
      <c r="C4450" s="9" t="s">
        <v>13284</v>
      </c>
      <c r="D4450" s="9" t="s">
        <v>13284</v>
      </c>
      <c r="E4450" s="9" t="s">
        <v>13284</v>
      </c>
      <c r="F4450" s="9" t="s">
        <v>13284</v>
      </c>
      <c r="G4450" s="9" t="s">
        <v>13284</v>
      </c>
      <c r="H4450" s="9" t="s">
        <v>13284</v>
      </c>
      <c r="I4450" s="9" t="s">
        <v>13284</v>
      </c>
      <c r="J4450" s="9" t="s">
        <v>13284</v>
      </c>
      <c r="K4450" s="9" t="s">
        <v>13284</v>
      </c>
      <c r="L4450" s="9" t="s">
        <v>13284</v>
      </c>
      <c r="M4450" s="9" t="s">
        <v>13284</v>
      </c>
      <c r="N4450" s="9" t="s">
        <v>13284</v>
      </c>
      <c r="O4450" s="9" t="s">
        <v>13284</v>
      </c>
      <c r="P4450" s="9" t="s">
        <v>13284</v>
      </c>
      <c r="Q4450" s="9" t="s">
        <v>13284</v>
      </c>
      <c r="R4450" s="9" t="s">
        <v>13284</v>
      </c>
      <c r="S4450" s="9" t="s">
        <v>13284</v>
      </c>
      <c r="T4450" s="9" t="str">
        <f ca="1">IFERROR(IF(AND(VLOOKUP(A4450, 'Актуальное состояние (из общего'!A:C,3,0) = "", A4450 &lt;&gt; ""), "ПРОВЕРИТЬ", VLOOKUP(A4450, 'Актуальное состояние (из общего'!A:C,3,0)), "")</f>
        <v/>
      </c>
      <c r="U4450" s="9" t="s">
        <v>13284</v>
      </c>
      <c r="V4450" s="9" t="s">
        <v>13284</v>
      </c>
      <c r="W4450" s="12"/>
      <c r="X4450" s="9" t="str">
        <f t="array" ref="X4450">IFERROR(INDEX('Адреса общежитий (скрытый)'!$B$2:$B$9, MATCH(W4450, 'Адреса общежитий (скрытый)'!$A$2:$A$9, 0)), "")</f>
        <v/>
      </c>
      <c r="Y4450" s="18"/>
      <c r="Z4450" s="18"/>
      <c r="AA4450" s="18"/>
      <c r="AB4450" s="18"/>
      <c r="AC4450" s="18"/>
    </row>
    <row r="4451" spans="1:29" ht="32.25" hidden="1" customHeight="1">
      <c r="A4451" s="17"/>
      <c r="B4451" s="9" t="s">
        <v>13284</v>
      </c>
      <c r="C4451" s="9" t="s">
        <v>13284</v>
      </c>
      <c r="D4451" s="9" t="s">
        <v>13284</v>
      </c>
      <c r="E4451" s="9" t="s">
        <v>13284</v>
      </c>
      <c r="F4451" s="9" t="s">
        <v>13284</v>
      </c>
      <c r="G4451" s="9" t="s">
        <v>13284</v>
      </c>
      <c r="H4451" s="9" t="s">
        <v>13284</v>
      </c>
      <c r="I4451" s="9" t="s">
        <v>13284</v>
      </c>
      <c r="J4451" s="9" t="s">
        <v>13284</v>
      </c>
      <c r="K4451" s="9" t="s">
        <v>13284</v>
      </c>
      <c r="L4451" s="9" t="s">
        <v>13284</v>
      </c>
      <c r="M4451" s="9" t="s">
        <v>13284</v>
      </c>
      <c r="N4451" s="9" t="s">
        <v>13284</v>
      </c>
      <c r="O4451" s="9" t="s">
        <v>13284</v>
      </c>
      <c r="P4451" s="9" t="s">
        <v>13284</v>
      </c>
      <c r="Q4451" s="9" t="s">
        <v>13284</v>
      </c>
      <c r="R4451" s="9" t="s">
        <v>13284</v>
      </c>
      <c r="S4451" s="9" t="s">
        <v>13284</v>
      </c>
      <c r="T4451" s="9" t="str">
        <f ca="1">IFERROR(IF(AND(VLOOKUP(A4451, 'Актуальное состояние (из общего'!A:C,3,0) = "", A4451 &lt;&gt; ""), "ПРОВЕРИТЬ", VLOOKUP(A4451, 'Актуальное состояние (из общего'!A:C,3,0)), "")</f>
        <v/>
      </c>
      <c r="U4451" s="9" t="s">
        <v>13284</v>
      </c>
      <c r="V4451" s="9" t="s">
        <v>13284</v>
      </c>
      <c r="W4451" s="12"/>
      <c r="X4451" s="9" t="str">
        <f t="array" ref="X4451">IFERROR(INDEX('Адреса общежитий (скрытый)'!$B$2:$B$9, MATCH(W4451, 'Адреса общежитий (скрытый)'!$A$2:$A$9, 0)), "")</f>
        <v/>
      </c>
      <c r="Y4451" s="18"/>
      <c r="Z4451" s="18"/>
      <c r="AA4451" s="18"/>
      <c r="AB4451" s="18"/>
      <c r="AC4451" s="18"/>
    </row>
    <row r="4452" spans="1:29" ht="32.25" hidden="1" customHeight="1">
      <c r="A4452" s="17"/>
      <c r="B4452" s="9" t="s">
        <v>13284</v>
      </c>
      <c r="C4452" s="9" t="s">
        <v>13284</v>
      </c>
      <c r="D4452" s="9" t="s">
        <v>13284</v>
      </c>
      <c r="E4452" s="9" t="s">
        <v>13284</v>
      </c>
      <c r="F4452" s="9" t="s">
        <v>13284</v>
      </c>
      <c r="G4452" s="9" t="s">
        <v>13284</v>
      </c>
      <c r="H4452" s="9" t="s">
        <v>13284</v>
      </c>
      <c r="I4452" s="9" t="s">
        <v>13284</v>
      </c>
      <c r="J4452" s="9" t="s">
        <v>13284</v>
      </c>
      <c r="K4452" s="9" t="s">
        <v>13284</v>
      </c>
      <c r="L4452" s="9" t="s">
        <v>13284</v>
      </c>
      <c r="M4452" s="9" t="s">
        <v>13284</v>
      </c>
      <c r="N4452" s="9" t="s">
        <v>13284</v>
      </c>
      <c r="O4452" s="9" t="s">
        <v>13284</v>
      </c>
      <c r="P4452" s="9" t="s">
        <v>13284</v>
      </c>
      <c r="Q4452" s="9" t="s">
        <v>13284</v>
      </c>
      <c r="R4452" s="9" t="s">
        <v>13284</v>
      </c>
      <c r="S4452" s="9" t="s">
        <v>13284</v>
      </c>
      <c r="T4452" s="9" t="str">
        <f ca="1">IFERROR(IF(AND(VLOOKUP(A4452, 'Актуальное состояние (из общего'!A:C,3,0) = "", A4452 &lt;&gt; ""), "ПРОВЕРИТЬ", VLOOKUP(A4452, 'Актуальное состояние (из общего'!A:C,3,0)), "")</f>
        <v/>
      </c>
      <c r="U4452" s="9" t="s">
        <v>13284</v>
      </c>
      <c r="V4452" s="9" t="s">
        <v>13284</v>
      </c>
      <c r="W4452" s="12"/>
      <c r="X4452" s="9" t="str">
        <f t="array" ref="X4452">IFERROR(INDEX('Адреса общежитий (скрытый)'!$B$2:$B$9, MATCH(W4452, 'Адреса общежитий (скрытый)'!$A$2:$A$9, 0)), "")</f>
        <v/>
      </c>
      <c r="Y4452" s="18"/>
      <c r="Z4452" s="18"/>
      <c r="AA4452" s="18"/>
      <c r="AB4452" s="18"/>
      <c r="AC4452" s="18"/>
    </row>
    <row r="4453" spans="1:29" ht="32.25" hidden="1" customHeight="1">
      <c r="A4453" s="17"/>
      <c r="B4453" s="9" t="s">
        <v>13284</v>
      </c>
      <c r="C4453" s="9" t="s">
        <v>13284</v>
      </c>
      <c r="D4453" s="9" t="s">
        <v>13284</v>
      </c>
      <c r="E4453" s="9" t="s">
        <v>13284</v>
      </c>
      <c r="F4453" s="9" t="s">
        <v>13284</v>
      </c>
      <c r="G4453" s="9" t="s">
        <v>13284</v>
      </c>
      <c r="H4453" s="9" t="s">
        <v>13284</v>
      </c>
      <c r="I4453" s="9" t="s">
        <v>13284</v>
      </c>
      <c r="J4453" s="9" t="s">
        <v>13284</v>
      </c>
      <c r="K4453" s="9" t="s">
        <v>13284</v>
      </c>
      <c r="L4453" s="9" t="s">
        <v>13284</v>
      </c>
      <c r="M4453" s="9" t="s">
        <v>13284</v>
      </c>
      <c r="N4453" s="9" t="s">
        <v>13284</v>
      </c>
      <c r="O4453" s="9" t="s">
        <v>13284</v>
      </c>
      <c r="P4453" s="9" t="s">
        <v>13284</v>
      </c>
      <c r="Q4453" s="9" t="s">
        <v>13284</v>
      </c>
      <c r="R4453" s="9" t="s">
        <v>13284</v>
      </c>
      <c r="S4453" s="9" t="s">
        <v>13284</v>
      </c>
      <c r="T4453" s="9" t="str">
        <f ca="1">IFERROR(IF(AND(VLOOKUP(A4453, 'Актуальное состояние (из общего'!A:C,3,0) = "", A4453 &lt;&gt; ""), "ПРОВЕРИТЬ", VLOOKUP(A4453, 'Актуальное состояние (из общего'!A:C,3,0)), "")</f>
        <v/>
      </c>
      <c r="U4453" s="9" t="s">
        <v>13284</v>
      </c>
      <c r="V4453" s="9" t="s">
        <v>13284</v>
      </c>
      <c r="W4453" s="12"/>
      <c r="X4453" s="9" t="str">
        <f t="array" ref="X4453">IFERROR(INDEX('Адреса общежитий (скрытый)'!$B$2:$B$9, MATCH(W4453, 'Адреса общежитий (скрытый)'!$A$2:$A$9, 0)), "")</f>
        <v/>
      </c>
      <c r="Y4453" s="18"/>
      <c r="Z4453" s="18"/>
      <c r="AA4453" s="18"/>
      <c r="AB4453" s="18"/>
      <c r="AC4453" s="18"/>
    </row>
    <row r="4454" spans="1:29" ht="32.25" hidden="1" customHeight="1">
      <c r="A4454" s="17"/>
      <c r="B4454" s="9" t="s">
        <v>13284</v>
      </c>
      <c r="C4454" s="9" t="s">
        <v>13284</v>
      </c>
      <c r="D4454" s="9" t="s">
        <v>13284</v>
      </c>
      <c r="E4454" s="9" t="s">
        <v>13284</v>
      </c>
      <c r="F4454" s="9" t="s">
        <v>13284</v>
      </c>
      <c r="G4454" s="9" t="s">
        <v>13284</v>
      </c>
      <c r="H4454" s="9" t="s">
        <v>13284</v>
      </c>
      <c r="I4454" s="9" t="s">
        <v>13284</v>
      </c>
      <c r="J4454" s="9" t="s">
        <v>13284</v>
      </c>
      <c r="K4454" s="9" t="s">
        <v>13284</v>
      </c>
      <c r="L4454" s="9" t="s">
        <v>13284</v>
      </c>
      <c r="M4454" s="9" t="s">
        <v>13284</v>
      </c>
      <c r="N4454" s="9" t="s">
        <v>13284</v>
      </c>
      <c r="O4454" s="9" t="s">
        <v>13284</v>
      </c>
      <c r="P4454" s="9" t="s">
        <v>13284</v>
      </c>
      <c r="Q4454" s="9" t="s">
        <v>13284</v>
      </c>
      <c r="R4454" s="9" t="s">
        <v>13284</v>
      </c>
      <c r="S4454" s="9" t="s">
        <v>13284</v>
      </c>
      <c r="T4454" s="9" t="str">
        <f ca="1">IFERROR(IF(AND(VLOOKUP(A4454, 'Актуальное состояние (из общего'!A:C,3,0) = "", A4454 &lt;&gt; ""), "ПРОВЕРИТЬ", VLOOKUP(A4454, 'Актуальное состояние (из общего'!A:C,3,0)), "")</f>
        <v/>
      </c>
      <c r="U4454" s="9" t="s">
        <v>13284</v>
      </c>
      <c r="V4454" s="9" t="s">
        <v>13284</v>
      </c>
      <c r="W4454" s="12"/>
      <c r="X4454" s="9" t="str">
        <f t="array" ref="X4454">IFERROR(INDEX('Адреса общежитий (скрытый)'!$B$2:$B$9, MATCH(W4454, 'Адреса общежитий (скрытый)'!$A$2:$A$9, 0)), "")</f>
        <v/>
      </c>
      <c r="Y4454" s="18"/>
      <c r="Z4454" s="18"/>
      <c r="AA4454" s="18"/>
      <c r="AB4454" s="18"/>
      <c r="AC4454" s="18"/>
    </row>
    <row r="4455" spans="1:29" ht="32.25" hidden="1" customHeight="1">
      <c r="A4455" s="17"/>
      <c r="B4455" s="9" t="s">
        <v>13284</v>
      </c>
      <c r="C4455" s="9" t="s">
        <v>13284</v>
      </c>
      <c r="D4455" s="9" t="s">
        <v>13284</v>
      </c>
      <c r="E4455" s="9" t="s">
        <v>13284</v>
      </c>
      <c r="F4455" s="9" t="s">
        <v>13284</v>
      </c>
      <c r="G4455" s="9" t="s">
        <v>13284</v>
      </c>
      <c r="H4455" s="9" t="s">
        <v>13284</v>
      </c>
      <c r="I4455" s="9" t="s">
        <v>13284</v>
      </c>
      <c r="J4455" s="9" t="s">
        <v>13284</v>
      </c>
      <c r="K4455" s="9" t="s">
        <v>13284</v>
      </c>
      <c r="L4455" s="9" t="s">
        <v>13284</v>
      </c>
      <c r="M4455" s="9" t="s">
        <v>13284</v>
      </c>
      <c r="N4455" s="9" t="s">
        <v>13284</v>
      </c>
      <c r="O4455" s="9" t="s">
        <v>13284</v>
      </c>
      <c r="P4455" s="9" t="s">
        <v>13284</v>
      </c>
      <c r="Q4455" s="9" t="s">
        <v>13284</v>
      </c>
      <c r="R4455" s="9" t="s">
        <v>13284</v>
      </c>
      <c r="S4455" s="9" t="s">
        <v>13284</v>
      </c>
      <c r="T4455" s="9" t="str">
        <f ca="1">IFERROR(IF(AND(VLOOKUP(A4455, 'Актуальное состояние (из общего'!A:C,3,0) = "", A4455 &lt;&gt; ""), "ПРОВЕРИТЬ", VLOOKUP(A4455, 'Актуальное состояние (из общего'!A:C,3,0)), "")</f>
        <v/>
      </c>
      <c r="U4455" s="9" t="s">
        <v>13284</v>
      </c>
      <c r="V4455" s="9" t="s">
        <v>13284</v>
      </c>
      <c r="W4455" s="12"/>
      <c r="X4455" s="9" t="str">
        <f t="array" ref="X4455">IFERROR(INDEX('Адреса общежитий (скрытый)'!$B$2:$B$9, MATCH(W4455, 'Адреса общежитий (скрытый)'!$A$2:$A$9, 0)), "")</f>
        <v/>
      </c>
      <c r="Y4455" s="18"/>
      <c r="Z4455" s="18"/>
      <c r="AA4455" s="18"/>
      <c r="AB4455" s="18"/>
      <c r="AC4455" s="18"/>
    </row>
    <row r="4456" spans="1:29" ht="32.25" hidden="1" customHeight="1">
      <c r="A4456" s="17"/>
      <c r="B4456" s="9" t="s">
        <v>13284</v>
      </c>
      <c r="C4456" s="9" t="s">
        <v>13284</v>
      </c>
      <c r="D4456" s="9" t="s">
        <v>13284</v>
      </c>
      <c r="E4456" s="9" t="s">
        <v>13284</v>
      </c>
      <c r="F4456" s="9" t="s">
        <v>13284</v>
      </c>
      <c r="G4456" s="9" t="s">
        <v>13284</v>
      </c>
      <c r="H4456" s="9" t="s">
        <v>13284</v>
      </c>
      <c r="I4456" s="9" t="s">
        <v>13284</v>
      </c>
      <c r="J4456" s="9" t="s">
        <v>13284</v>
      </c>
      <c r="K4456" s="9" t="s">
        <v>13284</v>
      </c>
      <c r="L4456" s="9" t="s">
        <v>13284</v>
      </c>
      <c r="M4456" s="9" t="s">
        <v>13284</v>
      </c>
      <c r="N4456" s="9" t="s">
        <v>13284</v>
      </c>
      <c r="O4456" s="9" t="s">
        <v>13284</v>
      </c>
      <c r="P4456" s="9" t="s">
        <v>13284</v>
      </c>
      <c r="Q4456" s="9" t="s">
        <v>13284</v>
      </c>
      <c r="R4456" s="9" t="s">
        <v>13284</v>
      </c>
      <c r="S4456" s="9" t="s">
        <v>13284</v>
      </c>
      <c r="T4456" s="9" t="str">
        <f ca="1">IFERROR(IF(AND(VLOOKUP(A4456, 'Актуальное состояние (из общего'!A:C,3,0) = "", A4456 &lt;&gt; ""), "ПРОВЕРИТЬ", VLOOKUP(A4456, 'Актуальное состояние (из общего'!A:C,3,0)), "")</f>
        <v/>
      </c>
      <c r="U4456" s="9" t="s">
        <v>13284</v>
      </c>
      <c r="V4456" s="9" t="s">
        <v>13284</v>
      </c>
      <c r="W4456" s="12"/>
      <c r="X4456" s="9" t="str">
        <f t="array" ref="X4456">IFERROR(INDEX('Адреса общежитий (скрытый)'!$B$2:$B$9, MATCH(W4456, 'Адреса общежитий (скрытый)'!$A$2:$A$9, 0)), "")</f>
        <v/>
      </c>
      <c r="Y4456" s="18"/>
      <c r="Z4456" s="18"/>
      <c r="AA4456" s="18"/>
      <c r="AB4456" s="18"/>
      <c r="AC4456" s="18"/>
    </row>
    <row r="4457" spans="1:29" ht="32.25" hidden="1" customHeight="1">
      <c r="A4457" s="17"/>
      <c r="B4457" s="9" t="s">
        <v>13284</v>
      </c>
      <c r="C4457" s="9" t="s">
        <v>13284</v>
      </c>
      <c r="D4457" s="9" t="s">
        <v>13284</v>
      </c>
      <c r="E4457" s="9" t="s">
        <v>13284</v>
      </c>
      <c r="F4457" s="9" t="s">
        <v>13284</v>
      </c>
      <c r="G4457" s="9" t="s">
        <v>13284</v>
      </c>
      <c r="H4457" s="9" t="s">
        <v>13284</v>
      </c>
      <c r="I4457" s="9" t="s">
        <v>13284</v>
      </c>
      <c r="J4457" s="9" t="s">
        <v>13284</v>
      </c>
      <c r="K4457" s="9" t="s">
        <v>13284</v>
      </c>
      <c r="L4457" s="9" t="s">
        <v>13284</v>
      </c>
      <c r="M4457" s="9" t="s">
        <v>13284</v>
      </c>
      <c r="N4457" s="9" t="s">
        <v>13284</v>
      </c>
      <c r="O4457" s="9" t="s">
        <v>13284</v>
      </c>
      <c r="P4457" s="9" t="s">
        <v>13284</v>
      </c>
      <c r="Q4457" s="9" t="s">
        <v>13284</v>
      </c>
      <c r="R4457" s="9" t="s">
        <v>13284</v>
      </c>
      <c r="S4457" s="9" t="s">
        <v>13284</v>
      </c>
      <c r="T4457" s="9" t="str">
        <f ca="1">IFERROR(IF(AND(VLOOKUP(A4457, 'Актуальное состояние (из общего'!A:C,3,0) = "", A4457 &lt;&gt; ""), "ПРОВЕРИТЬ", VLOOKUP(A4457, 'Актуальное состояние (из общего'!A:C,3,0)), "")</f>
        <v/>
      </c>
      <c r="U4457" s="9" t="s">
        <v>13284</v>
      </c>
      <c r="V4457" s="9" t="s">
        <v>13284</v>
      </c>
      <c r="W4457" s="12"/>
      <c r="X4457" s="9" t="str">
        <f t="array" ref="X4457">IFERROR(INDEX('Адреса общежитий (скрытый)'!$B$2:$B$9, MATCH(W4457, 'Адреса общежитий (скрытый)'!$A$2:$A$9, 0)), "")</f>
        <v/>
      </c>
      <c r="Y4457" s="18"/>
      <c r="Z4457" s="18"/>
      <c r="AA4457" s="18"/>
      <c r="AB4457" s="18"/>
      <c r="AC4457" s="18"/>
    </row>
    <row r="4458" spans="1:29" ht="32.25" hidden="1" customHeight="1">
      <c r="A4458" s="17"/>
      <c r="B4458" s="9" t="s">
        <v>13284</v>
      </c>
      <c r="C4458" s="9" t="s">
        <v>13284</v>
      </c>
      <c r="D4458" s="9" t="s">
        <v>13284</v>
      </c>
      <c r="E4458" s="9" t="s">
        <v>13284</v>
      </c>
      <c r="F4458" s="9" t="s">
        <v>13284</v>
      </c>
      <c r="G4458" s="9" t="s">
        <v>13284</v>
      </c>
      <c r="H4458" s="9" t="s">
        <v>13284</v>
      </c>
      <c r="I4458" s="9" t="s">
        <v>13284</v>
      </c>
      <c r="J4458" s="9" t="s">
        <v>13284</v>
      </c>
      <c r="K4458" s="9" t="s">
        <v>13284</v>
      </c>
      <c r="L4458" s="9" t="s">
        <v>13284</v>
      </c>
      <c r="M4458" s="9" t="s">
        <v>13284</v>
      </c>
      <c r="N4458" s="9" t="s">
        <v>13284</v>
      </c>
      <c r="O4458" s="9" t="s">
        <v>13284</v>
      </c>
      <c r="P4458" s="9" t="s">
        <v>13284</v>
      </c>
      <c r="Q4458" s="9" t="s">
        <v>13284</v>
      </c>
      <c r="R4458" s="9" t="s">
        <v>13284</v>
      </c>
      <c r="S4458" s="9" t="s">
        <v>13284</v>
      </c>
      <c r="T4458" s="9" t="str">
        <f ca="1">IFERROR(IF(AND(VLOOKUP(A4458, 'Актуальное состояние (из общего'!A:C,3,0) = "", A4458 &lt;&gt; ""), "ПРОВЕРИТЬ", VLOOKUP(A4458, 'Актуальное состояние (из общего'!A:C,3,0)), "")</f>
        <v/>
      </c>
      <c r="U4458" s="9" t="s">
        <v>13284</v>
      </c>
      <c r="V4458" s="9" t="s">
        <v>13284</v>
      </c>
      <c r="W4458" s="12"/>
      <c r="X4458" s="9" t="str">
        <f t="array" ref="X4458">IFERROR(INDEX('Адреса общежитий (скрытый)'!$B$2:$B$9, MATCH(W4458, 'Адреса общежитий (скрытый)'!$A$2:$A$9, 0)), "")</f>
        <v/>
      </c>
      <c r="Y4458" s="18"/>
      <c r="Z4458" s="18"/>
      <c r="AA4458" s="18"/>
      <c r="AB4458" s="18"/>
      <c r="AC4458" s="18"/>
    </row>
    <row r="4459" spans="1:29" ht="32.25" hidden="1" customHeight="1">
      <c r="A4459" s="17"/>
      <c r="B4459" s="9" t="s">
        <v>13284</v>
      </c>
      <c r="C4459" s="9" t="s">
        <v>13284</v>
      </c>
      <c r="D4459" s="9" t="s">
        <v>13284</v>
      </c>
      <c r="E4459" s="9" t="s">
        <v>13284</v>
      </c>
      <c r="F4459" s="9" t="s">
        <v>13284</v>
      </c>
      <c r="G4459" s="9" t="s">
        <v>13284</v>
      </c>
      <c r="H4459" s="9" t="s">
        <v>13284</v>
      </c>
      <c r="I4459" s="9" t="s">
        <v>13284</v>
      </c>
      <c r="J4459" s="9" t="s">
        <v>13284</v>
      </c>
      <c r="K4459" s="9" t="s">
        <v>13284</v>
      </c>
      <c r="L4459" s="9" t="s">
        <v>13284</v>
      </c>
      <c r="M4459" s="9" t="s">
        <v>13284</v>
      </c>
      <c r="N4459" s="9" t="s">
        <v>13284</v>
      </c>
      <c r="O4459" s="9" t="s">
        <v>13284</v>
      </c>
      <c r="P4459" s="9" t="s">
        <v>13284</v>
      </c>
      <c r="Q4459" s="9" t="s">
        <v>13284</v>
      </c>
      <c r="R4459" s="9" t="s">
        <v>13284</v>
      </c>
      <c r="S4459" s="9" t="s">
        <v>13284</v>
      </c>
      <c r="T4459" s="9" t="str">
        <f ca="1">IFERROR(IF(AND(VLOOKUP(A4459, 'Актуальное состояние (из общего'!A:C,3,0) = "", A4459 &lt;&gt; ""), "ПРОВЕРИТЬ", VLOOKUP(A4459, 'Актуальное состояние (из общего'!A:C,3,0)), "")</f>
        <v/>
      </c>
      <c r="U4459" s="9" t="s">
        <v>13284</v>
      </c>
      <c r="V4459" s="9" t="s">
        <v>13284</v>
      </c>
      <c r="W4459" s="12"/>
      <c r="X4459" s="9" t="str">
        <f t="array" ref="X4459">IFERROR(INDEX('Адреса общежитий (скрытый)'!$B$2:$B$9, MATCH(W4459, 'Адреса общежитий (скрытый)'!$A$2:$A$9, 0)), "")</f>
        <v/>
      </c>
      <c r="Y4459" s="18"/>
      <c r="Z4459" s="18"/>
      <c r="AA4459" s="18"/>
      <c r="AB4459" s="18"/>
      <c r="AC4459" s="18"/>
    </row>
    <row r="4460" spans="1:29" ht="32.25" hidden="1" customHeight="1">
      <c r="A4460" s="17"/>
      <c r="B4460" s="9" t="s">
        <v>13284</v>
      </c>
      <c r="C4460" s="9" t="s">
        <v>13284</v>
      </c>
      <c r="D4460" s="9" t="s">
        <v>13284</v>
      </c>
      <c r="E4460" s="9" t="s">
        <v>13284</v>
      </c>
      <c r="F4460" s="9" t="s">
        <v>13284</v>
      </c>
      <c r="G4460" s="9" t="s">
        <v>13284</v>
      </c>
      <c r="H4460" s="9" t="s">
        <v>13284</v>
      </c>
      <c r="I4460" s="9" t="s">
        <v>13284</v>
      </c>
      <c r="J4460" s="9" t="s">
        <v>13284</v>
      </c>
      <c r="K4460" s="9" t="s">
        <v>13284</v>
      </c>
      <c r="L4460" s="9" t="s">
        <v>13284</v>
      </c>
      <c r="M4460" s="9" t="s">
        <v>13284</v>
      </c>
      <c r="N4460" s="9" t="s">
        <v>13284</v>
      </c>
      <c r="O4460" s="9" t="s">
        <v>13284</v>
      </c>
      <c r="P4460" s="9" t="s">
        <v>13284</v>
      </c>
      <c r="Q4460" s="9" t="s">
        <v>13284</v>
      </c>
      <c r="R4460" s="9" t="s">
        <v>13284</v>
      </c>
      <c r="S4460" s="9" t="s">
        <v>13284</v>
      </c>
      <c r="T4460" s="9" t="str">
        <f ca="1">IFERROR(IF(AND(VLOOKUP(A4460, 'Актуальное состояние (из общего'!A:C,3,0) = "", A4460 &lt;&gt; ""), "ПРОВЕРИТЬ", VLOOKUP(A4460, 'Актуальное состояние (из общего'!A:C,3,0)), "")</f>
        <v/>
      </c>
      <c r="U4460" s="9" t="s">
        <v>13284</v>
      </c>
      <c r="V4460" s="9" t="s">
        <v>13284</v>
      </c>
      <c r="W4460" s="12"/>
      <c r="X4460" s="9" t="str">
        <f t="array" ref="X4460">IFERROR(INDEX('Адреса общежитий (скрытый)'!$B$2:$B$9, MATCH(W4460, 'Адреса общежитий (скрытый)'!$A$2:$A$9, 0)), "")</f>
        <v/>
      </c>
      <c r="Y4460" s="18"/>
      <c r="Z4460" s="18"/>
      <c r="AA4460" s="18"/>
      <c r="AB4460" s="18"/>
      <c r="AC4460" s="18"/>
    </row>
    <row r="4461" spans="1:29" ht="32.25" hidden="1" customHeight="1">
      <c r="A4461" s="17"/>
      <c r="B4461" s="9" t="s">
        <v>13284</v>
      </c>
      <c r="C4461" s="9" t="s">
        <v>13284</v>
      </c>
      <c r="D4461" s="9" t="s">
        <v>13284</v>
      </c>
      <c r="E4461" s="9" t="s">
        <v>13284</v>
      </c>
      <c r="F4461" s="9" t="s">
        <v>13284</v>
      </c>
      <c r="G4461" s="9" t="s">
        <v>13284</v>
      </c>
      <c r="H4461" s="9" t="s">
        <v>13284</v>
      </c>
      <c r="I4461" s="9" t="s">
        <v>13284</v>
      </c>
      <c r="J4461" s="9" t="s">
        <v>13284</v>
      </c>
      <c r="K4461" s="9" t="s">
        <v>13284</v>
      </c>
      <c r="L4461" s="9" t="s">
        <v>13284</v>
      </c>
      <c r="M4461" s="9" t="s">
        <v>13284</v>
      </c>
      <c r="N4461" s="9" t="s">
        <v>13284</v>
      </c>
      <c r="O4461" s="9" t="s">
        <v>13284</v>
      </c>
      <c r="P4461" s="9" t="s">
        <v>13284</v>
      </c>
      <c r="Q4461" s="9" t="s">
        <v>13284</v>
      </c>
      <c r="R4461" s="9" t="s">
        <v>13284</v>
      </c>
      <c r="S4461" s="9" t="s">
        <v>13284</v>
      </c>
      <c r="T4461" s="9" t="str">
        <f ca="1">IFERROR(IF(AND(VLOOKUP(A4461, 'Актуальное состояние (из общего'!A:C,3,0) = "", A4461 &lt;&gt; ""), "ПРОВЕРИТЬ", VLOOKUP(A4461, 'Актуальное состояние (из общего'!A:C,3,0)), "")</f>
        <v/>
      </c>
      <c r="U4461" s="9" t="s">
        <v>13284</v>
      </c>
      <c r="V4461" s="9" t="s">
        <v>13284</v>
      </c>
      <c r="W4461" s="12"/>
      <c r="X4461" s="9" t="str">
        <f t="array" ref="X4461">IFERROR(INDEX('Адреса общежитий (скрытый)'!$B$2:$B$9, MATCH(W4461, 'Адреса общежитий (скрытый)'!$A$2:$A$9, 0)), "")</f>
        <v/>
      </c>
      <c r="Y4461" s="18"/>
      <c r="Z4461" s="18"/>
      <c r="AA4461" s="18"/>
      <c r="AB4461" s="18"/>
      <c r="AC4461" s="18"/>
    </row>
    <row r="4462" spans="1:29" ht="32.25" hidden="1" customHeight="1">
      <c r="A4462" s="17"/>
      <c r="B4462" s="9" t="s">
        <v>13284</v>
      </c>
      <c r="C4462" s="9" t="s">
        <v>13284</v>
      </c>
      <c r="D4462" s="9" t="s">
        <v>13284</v>
      </c>
      <c r="E4462" s="9" t="s">
        <v>13284</v>
      </c>
      <c r="F4462" s="9" t="s">
        <v>13284</v>
      </c>
      <c r="G4462" s="9" t="s">
        <v>13284</v>
      </c>
      <c r="H4462" s="9" t="s">
        <v>13284</v>
      </c>
      <c r="I4462" s="9" t="s">
        <v>13284</v>
      </c>
      <c r="J4462" s="9" t="s">
        <v>13284</v>
      </c>
      <c r="K4462" s="9" t="s">
        <v>13284</v>
      </c>
      <c r="L4462" s="9" t="s">
        <v>13284</v>
      </c>
      <c r="M4462" s="9" t="s">
        <v>13284</v>
      </c>
      <c r="N4462" s="9" t="s">
        <v>13284</v>
      </c>
      <c r="O4462" s="9" t="s">
        <v>13284</v>
      </c>
      <c r="P4462" s="9" t="s">
        <v>13284</v>
      </c>
      <c r="Q4462" s="9" t="s">
        <v>13284</v>
      </c>
      <c r="R4462" s="9" t="s">
        <v>13284</v>
      </c>
      <c r="S4462" s="9" t="s">
        <v>13284</v>
      </c>
      <c r="T4462" s="9" t="str">
        <f ca="1">IFERROR(IF(AND(VLOOKUP(A4462, 'Актуальное состояние (из общего'!A:C,3,0) = "", A4462 &lt;&gt; ""), "ПРОВЕРИТЬ", VLOOKUP(A4462, 'Актуальное состояние (из общего'!A:C,3,0)), "")</f>
        <v/>
      </c>
      <c r="U4462" s="9" t="s">
        <v>13284</v>
      </c>
      <c r="V4462" s="9" t="s">
        <v>13284</v>
      </c>
      <c r="W4462" s="12"/>
      <c r="X4462" s="9" t="str">
        <f t="array" ref="X4462">IFERROR(INDEX('Адреса общежитий (скрытый)'!$B$2:$B$9, MATCH(W4462, 'Адреса общежитий (скрытый)'!$A$2:$A$9, 0)), "")</f>
        <v/>
      </c>
      <c r="Y4462" s="18"/>
      <c r="Z4462" s="18"/>
      <c r="AA4462" s="18"/>
      <c r="AB4462" s="18"/>
      <c r="AC4462" s="18"/>
    </row>
    <row r="4463" spans="1:29" ht="32.25" hidden="1" customHeight="1">
      <c r="A4463" s="17"/>
      <c r="B4463" s="9" t="s">
        <v>13284</v>
      </c>
      <c r="C4463" s="9" t="s">
        <v>13284</v>
      </c>
      <c r="D4463" s="9" t="s">
        <v>13284</v>
      </c>
      <c r="E4463" s="9" t="s">
        <v>13284</v>
      </c>
      <c r="F4463" s="9" t="s">
        <v>13284</v>
      </c>
      <c r="G4463" s="9" t="s">
        <v>13284</v>
      </c>
      <c r="H4463" s="9" t="s">
        <v>13284</v>
      </c>
      <c r="I4463" s="9" t="s">
        <v>13284</v>
      </c>
      <c r="J4463" s="9" t="s">
        <v>13284</v>
      </c>
      <c r="K4463" s="9" t="s">
        <v>13284</v>
      </c>
      <c r="L4463" s="9" t="s">
        <v>13284</v>
      </c>
      <c r="M4463" s="9" t="s">
        <v>13284</v>
      </c>
      <c r="N4463" s="9" t="s">
        <v>13284</v>
      </c>
      <c r="O4463" s="9" t="s">
        <v>13284</v>
      </c>
      <c r="P4463" s="9" t="s">
        <v>13284</v>
      </c>
      <c r="Q4463" s="9" t="s">
        <v>13284</v>
      </c>
      <c r="R4463" s="9" t="s">
        <v>13284</v>
      </c>
      <c r="S4463" s="9" t="s">
        <v>13284</v>
      </c>
      <c r="T4463" s="9" t="str">
        <f ca="1">IFERROR(IF(AND(VLOOKUP(A4463, 'Актуальное состояние (из общего'!A:C,3,0) = "", A4463 &lt;&gt; ""), "ПРОВЕРИТЬ", VLOOKUP(A4463, 'Актуальное состояние (из общего'!A:C,3,0)), "")</f>
        <v/>
      </c>
      <c r="U4463" s="9" t="s">
        <v>13284</v>
      </c>
      <c r="V4463" s="9" t="s">
        <v>13284</v>
      </c>
      <c r="W4463" s="12"/>
      <c r="X4463" s="9" t="str">
        <f t="array" ref="X4463">IFERROR(INDEX('Адреса общежитий (скрытый)'!$B$2:$B$9, MATCH(W4463, 'Адреса общежитий (скрытый)'!$A$2:$A$9, 0)), "")</f>
        <v/>
      </c>
      <c r="Y4463" s="18"/>
      <c r="Z4463" s="18"/>
      <c r="AA4463" s="18"/>
      <c r="AB4463" s="18"/>
      <c r="AC4463" s="18"/>
    </row>
    <row r="4464" spans="1:29" ht="32.25" hidden="1" customHeight="1">
      <c r="A4464" s="17"/>
      <c r="B4464" s="9" t="s">
        <v>13284</v>
      </c>
      <c r="C4464" s="9" t="s">
        <v>13284</v>
      </c>
      <c r="D4464" s="9" t="s">
        <v>13284</v>
      </c>
      <c r="E4464" s="9" t="s">
        <v>13284</v>
      </c>
      <c r="F4464" s="9" t="s">
        <v>13284</v>
      </c>
      <c r="G4464" s="9" t="s">
        <v>13284</v>
      </c>
      <c r="H4464" s="9" t="s">
        <v>13284</v>
      </c>
      <c r="I4464" s="9" t="s">
        <v>13284</v>
      </c>
      <c r="J4464" s="9" t="s">
        <v>13284</v>
      </c>
      <c r="K4464" s="9" t="s">
        <v>13284</v>
      </c>
      <c r="L4464" s="9" t="s">
        <v>13284</v>
      </c>
      <c r="M4464" s="9" t="s">
        <v>13284</v>
      </c>
      <c r="N4464" s="9" t="s">
        <v>13284</v>
      </c>
      <c r="O4464" s="9" t="s">
        <v>13284</v>
      </c>
      <c r="P4464" s="9" t="s">
        <v>13284</v>
      </c>
      <c r="Q4464" s="9" t="s">
        <v>13284</v>
      </c>
      <c r="R4464" s="9" t="s">
        <v>13284</v>
      </c>
      <c r="S4464" s="9" t="s">
        <v>13284</v>
      </c>
      <c r="T4464" s="9" t="str">
        <f ca="1">IFERROR(IF(AND(VLOOKUP(A4464, 'Актуальное состояние (из общего'!A:C,3,0) = "", A4464 &lt;&gt; ""), "ПРОВЕРИТЬ", VLOOKUP(A4464, 'Актуальное состояние (из общего'!A:C,3,0)), "")</f>
        <v/>
      </c>
      <c r="U4464" s="9" t="s">
        <v>13284</v>
      </c>
      <c r="V4464" s="9" t="s">
        <v>13284</v>
      </c>
      <c r="W4464" s="12"/>
      <c r="X4464" s="9" t="str">
        <f t="array" ref="X4464">IFERROR(INDEX('Адреса общежитий (скрытый)'!$B$2:$B$9, MATCH(W4464, 'Адреса общежитий (скрытый)'!$A$2:$A$9, 0)), "")</f>
        <v/>
      </c>
      <c r="Y4464" s="18"/>
      <c r="Z4464" s="18"/>
      <c r="AA4464" s="18"/>
      <c r="AB4464" s="18"/>
      <c r="AC4464" s="18"/>
    </row>
    <row r="4465" spans="1:29" ht="32.25" hidden="1" customHeight="1">
      <c r="A4465" s="17"/>
      <c r="B4465" s="9" t="s">
        <v>13284</v>
      </c>
      <c r="C4465" s="9" t="s">
        <v>13284</v>
      </c>
      <c r="D4465" s="9" t="s">
        <v>13284</v>
      </c>
      <c r="E4465" s="9" t="s">
        <v>13284</v>
      </c>
      <c r="F4465" s="9" t="s">
        <v>13284</v>
      </c>
      <c r="G4465" s="9" t="s">
        <v>13284</v>
      </c>
      <c r="H4465" s="9" t="s">
        <v>13284</v>
      </c>
      <c r="I4465" s="9" t="s">
        <v>13284</v>
      </c>
      <c r="J4465" s="9" t="s">
        <v>13284</v>
      </c>
      <c r="K4465" s="9" t="s">
        <v>13284</v>
      </c>
      <c r="L4465" s="9" t="s">
        <v>13284</v>
      </c>
      <c r="M4465" s="9" t="s">
        <v>13284</v>
      </c>
      <c r="N4465" s="9" t="s">
        <v>13284</v>
      </c>
      <c r="O4465" s="9" t="s">
        <v>13284</v>
      </c>
      <c r="P4465" s="9" t="s">
        <v>13284</v>
      </c>
      <c r="Q4465" s="9" t="s">
        <v>13284</v>
      </c>
      <c r="R4465" s="9" t="s">
        <v>13284</v>
      </c>
      <c r="S4465" s="9" t="s">
        <v>13284</v>
      </c>
      <c r="T4465" s="9" t="str">
        <f ca="1">IFERROR(IF(AND(VLOOKUP(A4465, 'Актуальное состояние (из общего'!A:C,3,0) = "", A4465 &lt;&gt; ""), "ПРОВЕРИТЬ", VLOOKUP(A4465, 'Актуальное состояние (из общего'!A:C,3,0)), "")</f>
        <v/>
      </c>
      <c r="U4465" s="9" t="s">
        <v>13284</v>
      </c>
      <c r="V4465" s="9" t="s">
        <v>13284</v>
      </c>
      <c r="W4465" s="12"/>
      <c r="X4465" s="9" t="str">
        <f t="array" ref="X4465">IFERROR(INDEX('Адреса общежитий (скрытый)'!$B$2:$B$9, MATCH(W4465, 'Адреса общежитий (скрытый)'!$A$2:$A$9, 0)), "")</f>
        <v/>
      </c>
      <c r="Y4465" s="18"/>
      <c r="Z4465" s="18"/>
      <c r="AA4465" s="18"/>
      <c r="AB4465" s="18"/>
      <c r="AC4465" s="18"/>
    </row>
    <row r="4466" spans="1:29" ht="32.25" hidden="1" customHeight="1">
      <c r="A4466" s="17"/>
      <c r="B4466" s="9" t="s">
        <v>13284</v>
      </c>
      <c r="C4466" s="9" t="s">
        <v>13284</v>
      </c>
      <c r="D4466" s="9" t="s">
        <v>13284</v>
      </c>
      <c r="E4466" s="9" t="s">
        <v>13284</v>
      </c>
      <c r="F4466" s="9" t="s">
        <v>13284</v>
      </c>
      <c r="G4466" s="9" t="s">
        <v>13284</v>
      </c>
      <c r="H4466" s="9" t="s">
        <v>13284</v>
      </c>
      <c r="I4466" s="9" t="s">
        <v>13284</v>
      </c>
      <c r="J4466" s="9" t="s">
        <v>13284</v>
      </c>
      <c r="K4466" s="9" t="s">
        <v>13284</v>
      </c>
      <c r="L4466" s="9" t="s">
        <v>13284</v>
      </c>
      <c r="M4466" s="9" t="s">
        <v>13284</v>
      </c>
      <c r="N4466" s="9" t="s">
        <v>13284</v>
      </c>
      <c r="O4466" s="9" t="s">
        <v>13284</v>
      </c>
      <c r="P4466" s="9" t="s">
        <v>13284</v>
      </c>
      <c r="Q4466" s="9" t="s">
        <v>13284</v>
      </c>
      <c r="R4466" s="9" t="s">
        <v>13284</v>
      </c>
      <c r="S4466" s="9" t="s">
        <v>13284</v>
      </c>
      <c r="T4466" s="9" t="str">
        <f ca="1">IFERROR(IF(AND(VLOOKUP(A4466, 'Актуальное состояние (из общего'!A:C,3,0) = "", A4466 &lt;&gt; ""), "ПРОВЕРИТЬ", VLOOKUP(A4466, 'Актуальное состояние (из общего'!A:C,3,0)), "")</f>
        <v/>
      </c>
      <c r="U4466" s="9" t="s">
        <v>13284</v>
      </c>
      <c r="V4466" s="9" t="s">
        <v>13284</v>
      </c>
      <c r="W4466" s="12"/>
      <c r="X4466" s="9" t="str">
        <f t="array" ref="X4466">IFERROR(INDEX('Адреса общежитий (скрытый)'!$B$2:$B$9, MATCH(W4466, 'Адреса общежитий (скрытый)'!$A$2:$A$9, 0)), "")</f>
        <v/>
      </c>
      <c r="Y4466" s="18"/>
      <c r="Z4466" s="18"/>
      <c r="AA4466" s="18"/>
      <c r="AB4466" s="18"/>
      <c r="AC4466" s="18"/>
    </row>
    <row r="4467" spans="1:29" ht="32.25" hidden="1" customHeight="1">
      <c r="A4467" s="17"/>
      <c r="B4467" s="9" t="s">
        <v>13284</v>
      </c>
      <c r="C4467" s="9" t="s">
        <v>13284</v>
      </c>
      <c r="D4467" s="9" t="s">
        <v>13284</v>
      </c>
      <c r="E4467" s="9" t="s">
        <v>13284</v>
      </c>
      <c r="F4467" s="9" t="s">
        <v>13284</v>
      </c>
      <c r="G4467" s="9" t="s">
        <v>13284</v>
      </c>
      <c r="H4467" s="9" t="s">
        <v>13284</v>
      </c>
      <c r="I4467" s="9" t="s">
        <v>13284</v>
      </c>
      <c r="J4467" s="9" t="s">
        <v>13284</v>
      </c>
      <c r="K4467" s="9" t="s">
        <v>13284</v>
      </c>
      <c r="L4467" s="9" t="s">
        <v>13284</v>
      </c>
      <c r="M4467" s="9" t="s">
        <v>13284</v>
      </c>
      <c r="N4467" s="9" t="s">
        <v>13284</v>
      </c>
      <c r="O4467" s="9" t="s">
        <v>13284</v>
      </c>
      <c r="P4467" s="9" t="s">
        <v>13284</v>
      </c>
      <c r="Q4467" s="9" t="s">
        <v>13284</v>
      </c>
      <c r="R4467" s="9" t="s">
        <v>13284</v>
      </c>
      <c r="S4467" s="9" t="s">
        <v>13284</v>
      </c>
      <c r="T4467" s="9" t="str">
        <f ca="1">IFERROR(IF(AND(VLOOKUP(A4467, 'Актуальное состояние (из общего'!A:C,3,0) = "", A4467 &lt;&gt; ""), "ПРОВЕРИТЬ", VLOOKUP(A4467, 'Актуальное состояние (из общего'!A:C,3,0)), "")</f>
        <v/>
      </c>
      <c r="U4467" s="9" t="s">
        <v>13284</v>
      </c>
      <c r="V4467" s="9" t="s">
        <v>13284</v>
      </c>
      <c r="W4467" s="12"/>
      <c r="X4467" s="9" t="str">
        <f t="array" ref="X4467">IFERROR(INDEX('Адреса общежитий (скрытый)'!$B$2:$B$9, MATCH(W4467, 'Адреса общежитий (скрытый)'!$A$2:$A$9, 0)), "")</f>
        <v/>
      </c>
      <c r="Y4467" s="18"/>
      <c r="Z4467" s="18"/>
      <c r="AA4467" s="18"/>
      <c r="AB4467" s="18"/>
      <c r="AC4467" s="18"/>
    </row>
    <row r="4468" spans="1:29" ht="32.25" hidden="1" customHeight="1">
      <c r="A4468" s="17"/>
      <c r="B4468" s="9" t="s">
        <v>13284</v>
      </c>
      <c r="C4468" s="9" t="s">
        <v>13284</v>
      </c>
      <c r="D4468" s="9" t="s">
        <v>13284</v>
      </c>
      <c r="E4468" s="9" t="s">
        <v>13284</v>
      </c>
      <c r="F4468" s="9" t="s">
        <v>13284</v>
      </c>
      <c r="G4468" s="9" t="s">
        <v>13284</v>
      </c>
      <c r="H4468" s="9" t="s">
        <v>13284</v>
      </c>
      <c r="I4468" s="9" t="s">
        <v>13284</v>
      </c>
      <c r="J4468" s="9" t="s">
        <v>13284</v>
      </c>
      <c r="K4468" s="9" t="s">
        <v>13284</v>
      </c>
      <c r="L4468" s="9" t="s">
        <v>13284</v>
      </c>
      <c r="M4468" s="9" t="s">
        <v>13284</v>
      </c>
      <c r="N4468" s="9" t="s">
        <v>13284</v>
      </c>
      <c r="O4468" s="9" t="s">
        <v>13284</v>
      </c>
      <c r="P4468" s="9" t="s">
        <v>13284</v>
      </c>
      <c r="Q4468" s="9" t="s">
        <v>13284</v>
      </c>
      <c r="R4468" s="9" t="s">
        <v>13284</v>
      </c>
      <c r="S4468" s="9" t="s">
        <v>13284</v>
      </c>
      <c r="T4468" s="9" t="str">
        <f ca="1">IFERROR(IF(AND(VLOOKUP(A4468, 'Актуальное состояние (из общего'!A:C,3,0) = "", A4468 &lt;&gt; ""), "ПРОВЕРИТЬ", VLOOKUP(A4468, 'Актуальное состояние (из общего'!A:C,3,0)), "")</f>
        <v/>
      </c>
      <c r="U4468" s="9" t="s">
        <v>13284</v>
      </c>
      <c r="V4468" s="9" t="s">
        <v>13284</v>
      </c>
      <c r="W4468" s="12"/>
      <c r="X4468" s="9" t="str">
        <f t="array" ref="X4468">IFERROR(INDEX('Адреса общежитий (скрытый)'!$B$2:$B$9, MATCH(W4468, 'Адреса общежитий (скрытый)'!$A$2:$A$9, 0)), "")</f>
        <v/>
      </c>
      <c r="Y4468" s="18"/>
      <c r="Z4468" s="18"/>
      <c r="AA4468" s="18"/>
      <c r="AB4468" s="18"/>
      <c r="AC4468" s="18"/>
    </row>
    <row r="4469" spans="1:29" ht="32.25" hidden="1" customHeight="1">
      <c r="A4469" s="17"/>
      <c r="B4469" s="9" t="s">
        <v>13284</v>
      </c>
      <c r="C4469" s="9" t="s">
        <v>13284</v>
      </c>
      <c r="D4469" s="9" t="s">
        <v>13284</v>
      </c>
      <c r="E4469" s="9" t="s">
        <v>13284</v>
      </c>
      <c r="F4469" s="9" t="s">
        <v>13284</v>
      </c>
      <c r="G4469" s="9" t="s">
        <v>13284</v>
      </c>
      <c r="H4469" s="9" t="s">
        <v>13284</v>
      </c>
      <c r="I4469" s="9" t="s">
        <v>13284</v>
      </c>
      <c r="J4469" s="9" t="s">
        <v>13284</v>
      </c>
      <c r="K4469" s="9" t="s">
        <v>13284</v>
      </c>
      <c r="L4469" s="9" t="s">
        <v>13284</v>
      </c>
      <c r="M4469" s="9" t="s">
        <v>13284</v>
      </c>
      <c r="N4469" s="9" t="s">
        <v>13284</v>
      </c>
      <c r="O4469" s="9" t="s">
        <v>13284</v>
      </c>
      <c r="P4469" s="9" t="s">
        <v>13284</v>
      </c>
      <c r="Q4469" s="9" t="s">
        <v>13284</v>
      </c>
      <c r="R4469" s="9" t="s">
        <v>13284</v>
      </c>
      <c r="S4469" s="9" t="s">
        <v>13284</v>
      </c>
      <c r="T4469" s="9" t="str">
        <f ca="1">IFERROR(IF(AND(VLOOKUP(A4469, 'Актуальное состояние (из общего'!A:C,3,0) = "", A4469 &lt;&gt; ""), "ПРОВЕРИТЬ", VLOOKUP(A4469, 'Актуальное состояние (из общего'!A:C,3,0)), "")</f>
        <v/>
      </c>
      <c r="U4469" s="9" t="s">
        <v>13284</v>
      </c>
      <c r="V4469" s="9" t="s">
        <v>13284</v>
      </c>
      <c r="W4469" s="12"/>
      <c r="X4469" s="9" t="str">
        <f t="array" ref="X4469">IFERROR(INDEX('Адреса общежитий (скрытый)'!$B$2:$B$9, MATCH(W4469, 'Адреса общежитий (скрытый)'!$A$2:$A$9, 0)), "")</f>
        <v/>
      </c>
      <c r="Y4469" s="18"/>
      <c r="Z4469" s="18"/>
      <c r="AA4469" s="18"/>
      <c r="AB4469" s="18"/>
      <c r="AC4469" s="18"/>
    </row>
    <row r="4470" spans="1:29" ht="32.25" hidden="1" customHeight="1">
      <c r="A4470" s="17"/>
      <c r="B4470" s="9" t="s">
        <v>13284</v>
      </c>
      <c r="C4470" s="9" t="s">
        <v>13284</v>
      </c>
      <c r="D4470" s="9" t="s">
        <v>13284</v>
      </c>
      <c r="E4470" s="9" t="s">
        <v>13284</v>
      </c>
      <c r="F4470" s="9" t="s">
        <v>13284</v>
      </c>
      <c r="G4470" s="9" t="s">
        <v>13284</v>
      </c>
      <c r="H4470" s="9" t="s">
        <v>13284</v>
      </c>
      <c r="I4470" s="9" t="s">
        <v>13284</v>
      </c>
      <c r="J4470" s="9" t="s">
        <v>13284</v>
      </c>
      <c r="K4470" s="9" t="s">
        <v>13284</v>
      </c>
      <c r="L4470" s="9" t="s">
        <v>13284</v>
      </c>
      <c r="M4470" s="9" t="s">
        <v>13284</v>
      </c>
      <c r="N4470" s="9" t="s">
        <v>13284</v>
      </c>
      <c r="O4470" s="9" t="s">
        <v>13284</v>
      </c>
      <c r="P4470" s="9" t="s">
        <v>13284</v>
      </c>
      <c r="Q4470" s="9" t="s">
        <v>13284</v>
      </c>
      <c r="R4470" s="9" t="s">
        <v>13284</v>
      </c>
      <c r="S4470" s="9" t="s">
        <v>13284</v>
      </c>
      <c r="T4470" s="9" t="str">
        <f ca="1">IFERROR(IF(AND(VLOOKUP(A4470, 'Актуальное состояние (из общего'!A:C,3,0) = "", A4470 &lt;&gt; ""), "ПРОВЕРИТЬ", VLOOKUP(A4470, 'Актуальное состояние (из общего'!A:C,3,0)), "")</f>
        <v/>
      </c>
      <c r="U4470" s="9" t="s">
        <v>13284</v>
      </c>
      <c r="V4470" s="9" t="s">
        <v>13284</v>
      </c>
      <c r="W4470" s="12"/>
      <c r="X4470" s="9" t="str">
        <f t="array" ref="X4470">IFERROR(INDEX('Адреса общежитий (скрытый)'!$B$2:$B$9, MATCH(W4470, 'Адреса общежитий (скрытый)'!$A$2:$A$9, 0)), "")</f>
        <v/>
      </c>
      <c r="Y4470" s="18"/>
      <c r="Z4470" s="18"/>
      <c r="AA4470" s="18"/>
      <c r="AB4470" s="18"/>
      <c r="AC4470" s="18"/>
    </row>
    <row r="4471" spans="1:29" ht="32.25" hidden="1" customHeight="1">
      <c r="A4471" s="17"/>
      <c r="B4471" s="9" t="s">
        <v>13284</v>
      </c>
      <c r="C4471" s="9" t="s">
        <v>13284</v>
      </c>
      <c r="D4471" s="9" t="s">
        <v>13284</v>
      </c>
      <c r="E4471" s="9" t="s">
        <v>13284</v>
      </c>
      <c r="F4471" s="9" t="s">
        <v>13284</v>
      </c>
      <c r="G4471" s="9" t="s">
        <v>13284</v>
      </c>
      <c r="H4471" s="9" t="s">
        <v>13284</v>
      </c>
      <c r="I4471" s="9" t="s">
        <v>13284</v>
      </c>
      <c r="J4471" s="9" t="s">
        <v>13284</v>
      </c>
      <c r="K4471" s="9" t="s">
        <v>13284</v>
      </c>
      <c r="L4471" s="9" t="s">
        <v>13284</v>
      </c>
      <c r="M4471" s="9" t="s">
        <v>13284</v>
      </c>
      <c r="N4471" s="9" t="s">
        <v>13284</v>
      </c>
      <c r="O4471" s="9" t="s">
        <v>13284</v>
      </c>
      <c r="P4471" s="9" t="s">
        <v>13284</v>
      </c>
      <c r="Q4471" s="9" t="s">
        <v>13284</v>
      </c>
      <c r="R4471" s="9" t="s">
        <v>13284</v>
      </c>
      <c r="S4471" s="9" t="s">
        <v>13284</v>
      </c>
      <c r="T4471" s="9" t="str">
        <f ca="1">IFERROR(IF(AND(VLOOKUP(A4471, 'Актуальное состояние (из общего'!A:C,3,0) = "", A4471 &lt;&gt; ""), "ПРОВЕРИТЬ", VLOOKUP(A4471, 'Актуальное состояние (из общего'!A:C,3,0)), "")</f>
        <v/>
      </c>
      <c r="U4471" s="9" t="s">
        <v>13284</v>
      </c>
      <c r="V4471" s="9" t="s">
        <v>13284</v>
      </c>
      <c r="W4471" s="12"/>
      <c r="X4471" s="9" t="str">
        <f t="array" ref="X4471">IFERROR(INDEX('Адреса общежитий (скрытый)'!$B$2:$B$9, MATCH(W4471, 'Адреса общежитий (скрытый)'!$A$2:$A$9, 0)), "")</f>
        <v/>
      </c>
      <c r="Y4471" s="18"/>
      <c r="Z4471" s="18"/>
      <c r="AA4471" s="18"/>
      <c r="AB4471" s="18"/>
      <c r="AC4471" s="18"/>
    </row>
    <row r="4472" spans="1:29" ht="32.25" hidden="1" customHeight="1">
      <c r="A4472" s="17"/>
      <c r="B4472" s="9" t="s">
        <v>13284</v>
      </c>
      <c r="C4472" s="9" t="s">
        <v>13284</v>
      </c>
      <c r="D4472" s="9" t="s">
        <v>13284</v>
      </c>
      <c r="E4472" s="9" t="s">
        <v>13284</v>
      </c>
      <c r="F4472" s="9" t="s">
        <v>13284</v>
      </c>
      <c r="G4472" s="9" t="s">
        <v>13284</v>
      </c>
      <c r="H4472" s="9" t="s">
        <v>13284</v>
      </c>
      <c r="I4472" s="9" t="s">
        <v>13284</v>
      </c>
      <c r="J4472" s="9" t="s">
        <v>13284</v>
      </c>
      <c r="K4472" s="9" t="s">
        <v>13284</v>
      </c>
      <c r="L4472" s="9" t="s">
        <v>13284</v>
      </c>
      <c r="M4472" s="9" t="s">
        <v>13284</v>
      </c>
      <c r="N4472" s="9" t="s">
        <v>13284</v>
      </c>
      <c r="O4472" s="9" t="s">
        <v>13284</v>
      </c>
      <c r="P4472" s="9" t="s">
        <v>13284</v>
      </c>
      <c r="Q4472" s="9" t="s">
        <v>13284</v>
      </c>
      <c r="R4472" s="9" t="s">
        <v>13284</v>
      </c>
      <c r="S4472" s="9" t="s">
        <v>13284</v>
      </c>
      <c r="T4472" s="9" t="str">
        <f ca="1">IFERROR(IF(AND(VLOOKUP(A4472, 'Актуальное состояние (из общего'!A:C,3,0) = "", A4472 &lt;&gt; ""), "ПРОВЕРИТЬ", VLOOKUP(A4472, 'Актуальное состояние (из общего'!A:C,3,0)), "")</f>
        <v/>
      </c>
      <c r="U4472" s="9" t="s">
        <v>13284</v>
      </c>
      <c r="V4472" s="9" t="s">
        <v>13284</v>
      </c>
      <c r="W4472" s="12"/>
      <c r="X4472" s="9" t="str">
        <f t="array" ref="X4472">IFERROR(INDEX('Адреса общежитий (скрытый)'!$B$2:$B$9, MATCH(W4472, 'Адреса общежитий (скрытый)'!$A$2:$A$9, 0)), "")</f>
        <v/>
      </c>
      <c r="Y4472" s="18"/>
      <c r="Z4472" s="18"/>
      <c r="AA4472" s="18"/>
      <c r="AB4472" s="18"/>
      <c r="AC4472" s="18"/>
    </row>
    <row r="4473" spans="1:29" ht="32.25" hidden="1" customHeight="1">
      <c r="A4473" s="17"/>
      <c r="B4473" s="9" t="s">
        <v>13284</v>
      </c>
      <c r="C4473" s="9" t="s">
        <v>13284</v>
      </c>
      <c r="D4473" s="9" t="s">
        <v>13284</v>
      </c>
      <c r="E4473" s="9" t="s">
        <v>13284</v>
      </c>
      <c r="F4473" s="9" t="s">
        <v>13284</v>
      </c>
      <c r="G4473" s="9" t="s">
        <v>13284</v>
      </c>
      <c r="H4473" s="9" t="s">
        <v>13284</v>
      </c>
      <c r="I4473" s="9" t="s">
        <v>13284</v>
      </c>
      <c r="J4473" s="9" t="s">
        <v>13284</v>
      </c>
      <c r="K4473" s="9" t="s">
        <v>13284</v>
      </c>
      <c r="L4473" s="9" t="s">
        <v>13284</v>
      </c>
      <c r="M4473" s="9" t="s">
        <v>13284</v>
      </c>
      <c r="N4473" s="9" t="s">
        <v>13284</v>
      </c>
      <c r="O4473" s="9" t="s">
        <v>13284</v>
      </c>
      <c r="P4473" s="9" t="s">
        <v>13284</v>
      </c>
      <c r="Q4473" s="9" t="s">
        <v>13284</v>
      </c>
      <c r="R4473" s="9" t="s">
        <v>13284</v>
      </c>
      <c r="S4473" s="9" t="s">
        <v>13284</v>
      </c>
      <c r="T4473" s="9" t="str">
        <f ca="1">IFERROR(IF(AND(VLOOKUP(A4473, 'Актуальное состояние (из общего'!A:C,3,0) = "", A4473 &lt;&gt; ""), "ПРОВЕРИТЬ", VLOOKUP(A4473, 'Актуальное состояние (из общего'!A:C,3,0)), "")</f>
        <v/>
      </c>
      <c r="U4473" s="9" t="s">
        <v>13284</v>
      </c>
      <c r="V4473" s="9" t="s">
        <v>13284</v>
      </c>
      <c r="W4473" s="12"/>
      <c r="X4473" s="9" t="str">
        <f t="array" ref="X4473">IFERROR(INDEX('Адреса общежитий (скрытый)'!$B$2:$B$9, MATCH(W4473, 'Адреса общежитий (скрытый)'!$A$2:$A$9, 0)), "")</f>
        <v/>
      </c>
      <c r="Y4473" s="18"/>
      <c r="Z4473" s="18"/>
      <c r="AA4473" s="18"/>
      <c r="AB4473" s="18"/>
      <c r="AC4473" s="18"/>
    </row>
    <row r="4474" spans="1:29" ht="32.25" hidden="1" customHeight="1">
      <c r="A4474" s="17"/>
      <c r="B4474" s="9" t="s">
        <v>13284</v>
      </c>
      <c r="C4474" s="9" t="s">
        <v>13284</v>
      </c>
      <c r="D4474" s="9" t="s">
        <v>13284</v>
      </c>
      <c r="E4474" s="9" t="s">
        <v>13284</v>
      </c>
      <c r="F4474" s="9" t="s">
        <v>13284</v>
      </c>
      <c r="G4474" s="9" t="s">
        <v>13284</v>
      </c>
      <c r="H4474" s="9" t="s">
        <v>13284</v>
      </c>
      <c r="I4474" s="9" t="s">
        <v>13284</v>
      </c>
      <c r="J4474" s="9" t="s">
        <v>13284</v>
      </c>
      <c r="K4474" s="9" t="s">
        <v>13284</v>
      </c>
      <c r="L4474" s="9" t="s">
        <v>13284</v>
      </c>
      <c r="M4474" s="9" t="s">
        <v>13284</v>
      </c>
      <c r="N4474" s="9" t="s">
        <v>13284</v>
      </c>
      <c r="O4474" s="9" t="s">
        <v>13284</v>
      </c>
      <c r="P4474" s="9" t="s">
        <v>13284</v>
      </c>
      <c r="Q4474" s="9" t="s">
        <v>13284</v>
      </c>
      <c r="R4474" s="9" t="s">
        <v>13284</v>
      </c>
      <c r="S4474" s="9" t="s">
        <v>13284</v>
      </c>
      <c r="T4474" s="9" t="str">
        <f ca="1">IFERROR(IF(AND(VLOOKUP(A4474, 'Актуальное состояние (из общего'!A:C,3,0) = "", A4474 &lt;&gt; ""), "ПРОВЕРИТЬ", VLOOKUP(A4474, 'Актуальное состояние (из общего'!A:C,3,0)), "")</f>
        <v/>
      </c>
      <c r="U4474" s="9" t="s">
        <v>13284</v>
      </c>
      <c r="V4474" s="9" t="s">
        <v>13284</v>
      </c>
      <c r="W4474" s="12"/>
      <c r="X4474" s="9" t="str">
        <f t="array" ref="X4474">IFERROR(INDEX('Адреса общежитий (скрытый)'!$B$2:$B$9, MATCH(W4474, 'Адреса общежитий (скрытый)'!$A$2:$A$9, 0)), "")</f>
        <v/>
      </c>
      <c r="Y4474" s="18"/>
      <c r="Z4474" s="18"/>
      <c r="AA4474" s="18"/>
      <c r="AB4474" s="18"/>
      <c r="AC4474" s="18"/>
    </row>
    <row r="4475" spans="1:29" ht="32.25" hidden="1" customHeight="1">
      <c r="A4475" s="17"/>
      <c r="B4475" s="9" t="s">
        <v>13284</v>
      </c>
      <c r="C4475" s="9" t="s">
        <v>13284</v>
      </c>
      <c r="D4475" s="9" t="s">
        <v>13284</v>
      </c>
      <c r="E4475" s="9" t="s">
        <v>13284</v>
      </c>
      <c r="F4475" s="9" t="s">
        <v>13284</v>
      </c>
      <c r="G4475" s="9" t="s">
        <v>13284</v>
      </c>
      <c r="H4475" s="9" t="s">
        <v>13284</v>
      </c>
      <c r="I4475" s="9" t="s">
        <v>13284</v>
      </c>
      <c r="J4475" s="9" t="s">
        <v>13284</v>
      </c>
      <c r="K4475" s="9" t="s">
        <v>13284</v>
      </c>
      <c r="L4475" s="9" t="s">
        <v>13284</v>
      </c>
      <c r="M4475" s="9" t="s">
        <v>13284</v>
      </c>
      <c r="N4475" s="9" t="s">
        <v>13284</v>
      </c>
      <c r="O4475" s="9" t="s">
        <v>13284</v>
      </c>
      <c r="P4475" s="9" t="s">
        <v>13284</v>
      </c>
      <c r="Q4475" s="9" t="s">
        <v>13284</v>
      </c>
      <c r="R4475" s="9" t="s">
        <v>13284</v>
      </c>
      <c r="S4475" s="9" t="s">
        <v>13284</v>
      </c>
      <c r="T4475" s="9" t="str">
        <f ca="1">IFERROR(IF(AND(VLOOKUP(A4475, 'Актуальное состояние (из общего'!A:C,3,0) = "", A4475 &lt;&gt; ""), "ПРОВЕРИТЬ", VLOOKUP(A4475, 'Актуальное состояние (из общего'!A:C,3,0)), "")</f>
        <v/>
      </c>
      <c r="U4475" s="9" t="s">
        <v>13284</v>
      </c>
      <c r="V4475" s="9" t="s">
        <v>13284</v>
      </c>
      <c r="W4475" s="12"/>
      <c r="X4475" s="9" t="str">
        <f t="array" ref="X4475">IFERROR(INDEX('Адреса общежитий (скрытый)'!$B$2:$B$9, MATCH(W4475, 'Адреса общежитий (скрытый)'!$A$2:$A$9, 0)), "")</f>
        <v/>
      </c>
      <c r="Y4475" s="18"/>
      <c r="Z4475" s="18"/>
      <c r="AA4475" s="18"/>
      <c r="AB4475" s="18"/>
      <c r="AC4475" s="18"/>
    </row>
    <row r="4476" spans="1:29" ht="32.25" hidden="1" customHeight="1">
      <c r="A4476" s="17"/>
      <c r="B4476" s="9" t="s">
        <v>13284</v>
      </c>
      <c r="C4476" s="9" t="s">
        <v>13284</v>
      </c>
      <c r="D4476" s="9" t="s">
        <v>13284</v>
      </c>
      <c r="E4476" s="9" t="s">
        <v>13284</v>
      </c>
      <c r="F4476" s="9" t="s">
        <v>13284</v>
      </c>
      <c r="G4476" s="9" t="s">
        <v>13284</v>
      </c>
      <c r="H4476" s="9" t="s">
        <v>13284</v>
      </c>
      <c r="I4476" s="9" t="s">
        <v>13284</v>
      </c>
      <c r="J4476" s="9" t="s">
        <v>13284</v>
      </c>
      <c r="K4476" s="9" t="s">
        <v>13284</v>
      </c>
      <c r="L4476" s="9" t="s">
        <v>13284</v>
      </c>
      <c r="M4476" s="9" t="s">
        <v>13284</v>
      </c>
      <c r="N4476" s="9" t="s">
        <v>13284</v>
      </c>
      <c r="O4476" s="9" t="s">
        <v>13284</v>
      </c>
      <c r="P4476" s="9" t="s">
        <v>13284</v>
      </c>
      <c r="Q4476" s="9" t="s">
        <v>13284</v>
      </c>
      <c r="R4476" s="9" t="s">
        <v>13284</v>
      </c>
      <c r="S4476" s="9" t="s">
        <v>13284</v>
      </c>
      <c r="T4476" s="9" t="str">
        <f ca="1">IFERROR(IF(AND(VLOOKUP(A4476, 'Актуальное состояние (из общего'!A:C,3,0) = "", A4476 &lt;&gt; ""), "ПРОВЕРИТЬ", VLOOKUP(A4476, 'Актуальное состояние (из общего'!A:C,3,0)), "")</f>
        <v/>
      </c>
      <c r="U4476" s="9" t="s">
        <v>13284</v>
      </c>
      <c r="V4476" s="9" t="s">
        <v>13284</v>
      </c>
      <c r="W4476" s="12"/>
      <c r="X4476" s="9" t="str">
        <f t="array" ref="X4476">IFERROR(INDEX('Адреса общежитий (скрытый)'!$B$2:$B$9, MATCH(W4476, 'Адреса общежитий (скрытый)'!$A$2:$A$9, 0)), "")</f>
        <v/>
      </c>
      <c r="Y4476" s="18"/>
      <c r="Z4476" s="18"/>
      <c r="AA4476" s="18"/>
      <c r="AB4476" s="18"/>
      <c r="AC4476" s="18"/>
    </row>
    <row r="4477" spans="1:29" ht="32.25" hidden="1" customHeight="1">
      <c r="A4477" s="17"/>
      <c r="B4477" s="9" t="s">
        <v>13284</v>
      </c>
      <c r="C4477" s="9" t="s">
        <v>13284</v>
      </c>
      <c r="D4477" s="9" t="s">
        <v>13284</v>
      </c>
      <c r="E4477" s="9" t="s">
        <v>13284</v>
      </c>
      <c r="F4477" s="9" t="s">
        <v>13284</v>
      </c>
      <c r="G4477" s="9" t="s">
        <v>13284</v>
      </c>
      <c r="H4477" s="9" t="s">
        <v>13284</v>
      </c>
      <c r="I4477" s="9" t="s">
        <v>13284</v>
      </c>
      <c r="J4477" s="9" t="s">
        <v>13284</v>
      </c>
      <c r="K4477" s="9" t="s">
        <v>13284</v>
      </c>
      <c r="L4477" s="9" t="s">
        <v>13284</v>
      </c>
      <c r="M4477" s="9" t="s">
        <v>13284</v>
      </c>
      <c r="N4477" s="9" t="s">
        <v>13284</v>
      </c>
      <c r="O4477" s="9" t="s">
        <v>13284</v>
      </c>
      <c r="P4477" s="9" t="s">
        <v>13284</v>
      </c>
      <c r="Q4477" s="9" t="s">
        <v>13284</v>
      </c>
      <c r="R4477" s="9" t="s">
        <v>13284</v>
      </c>
      <c r="S4477" s="9" t="s">
        <v>13284</v>
      </c>
      <c r="T4477" s="9" t="str">
        <f ca="1">IFERROR(IF(AND(VLOOKUP(A4477, 'Актуальное состояние (из общего'!A:C,3,0) = "", A4477 &lt;&gt; ""), "ПРОВЕРИТЬ", VLOOKUP(A4477, 'Актуальное состояние (из общего'!A:C,3,0)), "")</f>
        <v/>
      </c>
      <c r="U4477" s="9" t="s">
        <v>13284</v>
      </c>
      <c r="V4477" s="9" t="s">
        <v>13284</v>
      </c>
      <c r="W4477" s="12"/>
      <c r="X4477" s="9" t="str">
        <f t="array" ref="X4477">IFERROR(INDEX('Адреса общежитий (скрытый)'!$B$2:$B$9, MATCH(W4477, 'Адреса общежитий (скрытый)'!$A$2:$A$9, 0)), "")</f>
        <v/>
      </c>
      <c r="Y4477" s="18"/>
      <c r="Z4477" s="18"/>
      <c r="AA4477" s="18"/>
      <c r="AB4477" s="18"/>
      <c r="AC4477" s="18"/>
    </row>
    <row r="4478" spans="1:29" ht="32.25" hidden="1" customHeight="1">
      <c r="A4478" s="17"/>
      <c r="B4478" s="9" t="s">
        <v>13284</v>
      </c>
      <c r="C4478" s="9" t="s">
        <v>13284</v>
      </c>
      <c r="D4478" s="9" t="s">
        <v>13284</v>
      </c>
      <c r="E4478" s="9" t="s">
        <v>13284</v>
      </c>
      <c r="F4478" s="9" t="s">
        <v>13284</v>
      </c>
      <c r="G4478" s="9" t="s">
        <v>13284</v>
      </c>
      <c r="H4478" s="9" t="s">
        <v>13284</v>
      </c>
      <c r="I4478" s="9" t="s">
        <v>13284</v>
      </c>
      <c r="J4478" s="9" t="s">
        <v>13284</v>
      </c>
      <c r="K4478" s="9" t="s">
        <v>13284</v>
      </c>
      <c r="L4478" s="9" t="s">
        <v>13284</v>
      </c>
      <c r="M4478" s="9" t="s">
        <v>13284</v>
      </c>
      <c r="N4478" s="9" t="s">
        <v>13284</v>
      </c>
      <c r="O4478" s="9" t="s">
        <v>13284</v>
      </c>
      <c r="P4478" s="9" t="s">
        <v>13284</v>
      </c>
      <c r="Q4478" s="9" t="s">
        <v>13284</v>
      </c>
      <c r="R4478" s="9" t="s">
        <v>13284</v>
      </c>
      <c r="S4478" s="9" t="s">
        <v>13284</v>
      </c>
      <c r="T4478" s="9" t="str">
        <f ca="1">IFERROR(IF(AND(VLOOKUP(A4478, 'Актуальное состояние (из общего'!A:C,3,0) = "", A4478 &lt;&gt; ""), "ПРОВЕРИТЬ", VLOOKUP(A4478, 'Актуальное состояние (из общего'!A:C,3,0)), "")</f>
        <v/>
      </c>
      <c r="U4478" s="9" t="s">
        <v>13284</v>
      </c>
      <c r="V4478" s="9" t="s">
        <v>13284</v>
      </c>
      <c r="W4478" s="12"/>
      <c r="X4478" s="9" t="str">
        <f t="array" ref="X4478">IFERROR(INDEX('Адреса общежитий (скрытый)'!$B$2:$B$9, MATCH(W4478, 'Адреса общежитий (скрытый)'!$A$2:$A$9, 0)), "")</f>
        <v/>
      </c>
      <c r="Y4478" s="18"/>
      <c r="Z4478" s="18"/>
      <c r="AA4478" s="18"/>
      <c r="AB4478" s="18"/>
      <c r="AC4478" s="18"/>
    </row>
    <row r="4479" spans="1:29" ht="32.25" hidden="1" customHeight="1">
      <c r="A4479" s="17"/>
      <c r="B4479" s="9" t="s">
        <v>13284</v>
      </c>
      <c r="C4479" s="9" t="s">
        <v>13284</v>
      </c>
      <c r="D4479" s="9" t="s">
        <v>13284</v>
      </c>
      <c r="E4479" s="9" t="s">
        <v>13284</v>
      </c>
      <c r="F4479" s="9" t="s">
        <v>13284</v>
      </c>
      <c r="G4479" s="9" t="s">
        <v>13284</v>
      </c>
      <c r="H4479" s="9" t="s">
        <v>13284</v>
      </c>
      <c r="I4479" s="9" t="s">
        <v>13284</v>
      </c>
      <c r="J4479" s="9" t="s">
        <v>13284</v>
      </c>
      <c r="K4479" s="9" t="s">
        <v>13284</v>
      </c>
      <c r="L4479" s="9" t="s">
        <v>13284</v>
      </c>
      <c r="M4479" s="9" t="s">
        <v>13284</v>
      </c>
      <c r="N4479" s="9" t="s">
        <v>13284</v>
      </c>
      <c r="O4479" s="9" t="s">
        <v>13284</v>
      </c>
      <c r="P4479" s="9" t="s">
        <v>13284</v>
      </c>
      <c r="Q4479" s="9" t="s">
        <v>13284</v>
      </c>
      <c r="R4479" s="9" t="s">
        <v>13284</v>
      </c>
      <c r="S4479" s="9" t="s">
        <v>13284</v>
      </c>
      <c r="T4479" s="9" t="str">
        <f ca="1">IFERROR(IF(AND(VLOOKUP(A4479, 'Актуальное состояние (из общего'!A:C,3,0) = "", A4479 &lt;&gt; ""), "ПРОВЕРИТЬ", VLOOKUP(A4479, 'Актуальное состояние (из общего'!A:C,3,0)), "")</f>
        <v/>
      </c>
      <c r="U4479" s="9" t="s">
        <v>13284</v>
      </c>
      <c r="V4479" s="9" t="s">
        <v>13284</v>
      </c>
      <c r="W4479" s="12"/>
      <c r="X4479" s="9" t="str">
        <f t="array" ref="X4479">IFERROR(INDEX('Адреса общежитий (скрытый)'!$B$2:$B$9, MATCH(W4479, 'Адреса общежитий (скрытый)'!$A$2:$A$9, 0)), "")</f>
        <v/>
      </c>
      <c r="Y4479" s="18"/>
      <c r="Z4479" s="18"/>
      <c r="AA4479" s="18"/>
      <c r="AB4479" s="18"/>
      <c r="AC4479" s="18"/>
    </row>
    <row r="4480" spans="1:29" ht="32.25" hidden="1" customHeight="1">
      <c r="A4480" s="17"/>
      <c r="B4480" s="9" t="s">
        <v>13284</v>
      </c>
      <c r="C4480" s="9" t="s">
        <v>13284</v>
      </c>
      <c r="D4480" s="9" t="s">
        <v>13284</v>
      </c>
      <c r="E4480" s="9" t="s">
        <v>13284</v>
      </c>
      <c r="F4480" s="9" t="s">
        <v>13284</v>
      </c>
      <c r="G4480" s="9" t="s">
        <v>13284</v>
      </c>
      <c r="H4480" s="9" t="s">
        <v>13284</v>
      </c>
      <c r="I4480" s="9" t="s">
        <v>13284</v>
      </c>
      <c r="J4480" s="9" t="s">
        <v>13284</v>
      </c>
      <c r="K4480" s="9" t="s">
        <v>13284</v>
      </c>
      <c r="L4480" s="9" t="s">
        <v>13284</v>
      </c>
      <c r="M4480" s="9" t="s">
        <v>13284</v>
      </c>
      <c r="N4480" s="9" t="s">
        <v>13284</v>
      </c>
      <c r="O4480" s="9" t="s">
        <v>13284</v>
      </c>
      <c r="P4480" s="9" t="s">
        <v>13284</v>
      </c>
      <c r="Q4480" s="9" t="s">
        <v>13284</v>
      </c>
      <c r="R4480" s="9" t="s">
        <v>13284</v>
      </c>
      <c r="S4480" s="9" t="s">
        <v>13284</v>
      </c>
      <c r="T4480" s="9" t="str">
        <f ca="1">IFERROR(IF(AND(VLOOKUP(A4480, 'Актуальное состояние (из общего'!A:C,3,0) = "", A4480 &lt;&gt; ""), "ПРОВЕРИТЬ", VLOOKUP(A4480, 'Актуальное состояние (из общего'!A:C,3,0)), "")</f>
        <v/>
      </c>
      <c r="U4480" s="9" t="s">
        <v>13284</v>
      </c>
      <c r="V4480" s="9" t="s">
        <v>13284</v>
      </c>
      <c r="W4480" s="12"/>
      <c r="X4480" s="9" t="str">
        <f t="array" ref="X4480">IFERROR(INDEX('Адреса общежитий (скрытый)'!$B$2:$B$9, MATCH(W4480, 'Адреса общежитий (скрытый)'!$A$2:$A$9, 0)), "")</f>
        <v/>
      </c>
      <c r="Y4480" s="18"/>
      <c r="Z4480" s="18"/>
      <c r="AA4480" s="18"/>
      <c r="AB4480" s="18"/>
      <c r="AC4480" s="18"/>
    </row>
    <row r="4481" spans="1:29" ht="32.25" hidden="1" customHeight="1">
      <c r="A4481" s="17"/>
      <c r="B4481" s="9" t="s">
        <v>13284</v>
      </c>
      <c r="C4481" s="9" t="s">
        <v>13284</v>
      </c>
      <c r="D4481" s="9" t="s">
        <v>13284</v>
      </c>
      <c r="E4481" s="9" t="s">
        <v>13284</v>
      </c>
      <c r="F4481" s="9" t="s">
        <v>13284</v>
      </c>
      <c r="G4481" s="9" t="s">
        <v>13284</v>
      </c>
      <c r="H4481" s="9" t="s">
        <v>13284</v>
      </c>
      <c r="I4481" s="9" t="s">
        <v>13284</v>
      </c>
      <c r="J4481" s="9" t="s">
        <v>13284</v>
      </c>
      <c r="K4481" s="9" t="s">
        <v>13284</v>
      </c>
      <c r="L4481" s="9" t="s">
        <v>13284</v>
      </c>
      <c r="M4481" s="9" t="s">
        <v>13284</v>
      </c>
      <c r="N4481" s="9" t="s">
        <v>13284</v>
      </c>
      <c r="O4481" s="9" t="s">
        <v>13284</v>
      </c>
      <c r="P4481" s="9" t="s">
        <v>13284</v>
      </c>
      <c r="Q4481" s="9" t="s">
        <v>13284</v>
      </c>
      <c r="R4481" s="9" t="s">
        <v>13284</v>
      </c>
      <c r="S4481" s="9" t="s">
        <v>13284</v>
      </c>
      <c r="T4481" s="9" t="str">
        <f ca="1">IFERROR(IF(AND(VLOOKUP(A4481, 'Актуальное состояние (из общего'!A:C,3,0) = "", A4481 &lt;&gt; ""), "ПРОВЕРИТЬ", VLOOKUP(A4481, 'Актуальное состояние (из общего'!A:C,3,0)), "")</f>
        <v/>
      </c>
      <c r="U4481" s="9" t="s">
        <v>13284</v>
      </c>
      <c r="V4481" s="9" t="s">
        <v>13284</v>
      </c>
      <c r="W4481" s="12"/>
      <c r="X4481" s="9" t="str">
        <f t="array" ref="X4481">IFERROR(INDEX('Адреса общежитий (скрытый)'!$B$2:$B$9, MATCH(W4481, 'Адреса общежитий (скрытый)'!$A$2:$A$9, 0)), "")</f>
        <v/>
      </c>
      <c r="Y4481" s="18"/>
      <c r="Z4481" s="18"/>
      <c r="AA4481" s="18"/>
      <c r="AB4481" s="18"/>
      <c r="AC4481" s="18"/>
    </row>
    <row r="4482" spans="1:29" ht="32.25" hidden="1" customHeight="1">
      <c r="A4482" s="17"/>
      <c r="B4482" s="9" t="s">
        <v>13284</v>
      </c>
      <c r="C4482" s="9" t="s">
        <v>13284</v>
      </c>
      <c r="D4482" s="9" t="s">
        <v>13284</v>
      </c>
      <c r="E4482" s="9" t="s">
        <v>13284</v>
      </c>
      <c r="F4482" s="9" t="s">
        <v>13284</v>
      </c>
      <c r="G4482" s="9" t="s">
        <v>13284</v>
      </c>
      <c r="H4482" s="9" t="s">
        <v>13284</v>
      </c>
      <c r="I4482" s="9" t="s">
        <v>13284</v>
      </c>
      <c r="J4482" s="9" t="s">
        <v>13284</v>
      </c>
      <c r="K4482" s="9" t="s">
        <v>13284</v>
      </c>
      <c r="L4482" s="9" t="s">
        <v>13284</v>
      </c>
      <c r="M4482" s="9" t="s">
        <v>13284</v>
      </c>
      <c r="N4482" s="9" t="s">
        <v>13284</v>
      </c>
      <c r="O4482" s="9" t="s">
        <v>13284</v>
      </c>
      <c r="P4482" s="9" t="s">
        <v>13284</v>
      </c>
      <c r="Q4482" s="9" t="s">
        <v>13284</v>
      </c>
      <c r="R4482" s="9" t="s">
        <v>13284</v>
      </c>
      <c r="S4482" s="9" t="s">
        <v>13284</v>
      </c>
      <c r="T4482" s="9" t="str">
        <f ca="1">IFERROR(IF(AND(VLOOKUP(A4482, 'Актуальное состояние (из общего'!A:C,3,0) = "", A4482 &lt;&gt; ""), "ПРОВЕРИТЬ", VLOOKUP(A4482, 'Актуальное состояние (из общего'!A:C,3,0)), "")</f>
        <v/>
      </c>
      <c r="U4482" s="9" t="s">
        <v>13284</v>
      </c>
      <c r="V4482" s="9" t="s">
        <v>13284</v>
      </c>
      <c r="W4482" s="12"/>
      <c r="X4482" s="9" t="str">
        <f t="array" ref="X4482">IFERROR(INDEX('Адреса общежитий (скрытый)'!$B$2:$B$9, MATCH(W4482, 'Адреса общежитий (скрытый)'!$A$2:$A$9, 0)), "")</f>
        <v/>
      </c>
      <c r="Y4482" s="18"/>
      <c r="Z4482" s="18"/>
      <c r="AA4482" s="18"/>
      <c r="AB4482" s="18"/>
      <c r="AC4482" s="18"/>
    </row>
    <row r="4483" spans="1:29" ht="32.25" hidden="1" customHeight="1">
      <c r="A4483" s="17"/>
      <c r="B4483" s="9" t="s">
        <v>13284</v>
      </c>
      <c r="C4483" s="9" t="s">
        <v>13284</v>
      </c>
      <c r="D4483" s="9" t="s">
        <v>13284</v>
      </c>
      <c r="E4483" s="9" t="s">
        <v>13284</v>
      </c>
      <c r="F4483" s="9" t="s">
        <v>13284</v>
      </c>
      <c r="G4483" s="9" t="s">
        <v>13284</v>
      </c>
      <c r="H4483" s="9" t="s">
        <v>13284</v>
      </c>
      <c r="I4483" s="9" t="s">
        <v>13284</v>
      </c>
      <c r="J4483" s="9" t="s">
        <v>13284</v>
      </c>
      <c r="K4483" s="9" t="s">
        <v>13284</v>
      </c>
      <c r="L4483" s="9" t="s">
        <v>13284</v>
      </c>
      <c r="M4483" s="9" t="s">
        <v>13284</v>
      </c>
      <c r="N4483" s="9" t="s">
        <v>13284</v>
      </c>
      <c r="O4483" s="9" t="s">
        <v>13284</v>
      </c>
      <c r="P4483" s="9" t="s">
        <v>13284</v>
      </c>
      <c r="Q4483" s="9" t="s">
        <v>13284</v>
      </c>
      <c r="R4483" s="9" t="s">
        <v>13284</v>
      </c>
      <c r="S4483" s="9" t="s">
        <v>13284</v>
      </c>
      <c r="T4483" s="9" t="str">
        <f ca="1">IFERROR(IF(AND(VLOOKUP(A4483, 'Актуальное состояние (из общего'!A:C,3,0) = "", A4483 &lt;&gt; ""), "ПРОВЕРИТЬ", VLOOKUP(A4483, 'Актуальное состояние (из общего'!A:C,3,0)), "")</f>
        <v/>
      </c>
      <c r="U4483" s="9" t="s">
        <v>13284</v>
      </c>
      <c r="V4483" s="9" t="s">
        <v>13284</v>
      </c>
      <c r="W4483" s="12"/>
      <c r="X4483" s="9" t="str">
        <f t="array" ref="X4483">IFERROR(INDEX('Адреса общежитий (скрытый)'!$B$2:$B$9, MATCH(W4483, 'Адреса общежитий (скрытый)'!$A$2:$A$9, 0)), "")</f>
        <v/>
      </c>
      <c r="Y4483" s="18"/>
      <c r="Z4483" s="18"/>
      <c r="AA4483" s="18"/>
      <c r="AB4483" s="18"/>
      <c r="AC4483" s="18"/>
    </row>
    <row r="4484" spans="1:29" ht="32.25" hidden="1" customHeight="1">
      <c r="A4484" s="17"/>
      <c r="B4484" s="9" t="s">
        <v>13284</v>
      </c>
      <c r="C4484" s="9" t="s">
        <v>13284</v>
      </c>
      <c r="D4484" s="9" t="s">
        <v>13284</v>
      </c>
      <c r="E4484" s="9" t="s">
        <v>13284</v>
      </c>
      <c r="F4484" s="9" t="s">
        <v>13284</v>
      </c>
      <c r="G4484" s="9" t="s">
        <v>13284</v>
      </c>
      <c r="H4484" s="9" t="s">
        <v>13284</v>
      </c>
      <c r="I4484" s="9" t="s">
        <v>13284</v>
      </c>
      <c r="J4484" s="9" t="s">
        <v>13284</v>
      </c>
      <c r="K4484" s="9" t="s">
        <v>13284</v>
      </c>
      <c r="L4484" s="9" t="s">
        <v>13284</v>
      </c>
      <c r="M4484" s="9" t="s">
        <v>13284</v>
      </c>
      <c r="N4484" s="9" t="s">
        <v>13284</v>
      </c>
      <c r="O4484" s="9" t="s">
        <v>13284</v>
      </c>
      <c r="P4484" s="9" t="s">
        <v>13284</v>
      </c>
      <c r="Q4484" s="9" t="s">
        <v>13284</v>
      </c>
      <c r="R4484" s="9" t="s">
        <v>13284</v>
      </c>
      <c r="S4484" s="9" t="s">
        <v>13284</v>
      </c>
      <c r="T4484" s="9" t="str">
        <f ca="1">IFERROR(IF(AND(VLOOKUP(A4484, 'Актуальное состояние (из общего'!A:C,3,0) = "", A4484 &lt;&gt; ""), "ПРОВЕРИТЬ", VLOOKUP(A4484, 'Актуальное состояние (из общего'!A:C,3,0)), "")</f>
        <v/>
      </c>
      <c r="U4484" s="9" t="s">
        <v>13284</v>
      </c>
      <c r="V4484" s="9" t="s">
        <v>13284</v>
      </c>
      <c r="W4484" s="12"/>
      <c r="X4484" s="9" t="str">
        <f t="array" ref="X4484">IFERROR(INDEX('Адреса общежитий (скрытый)'!$B$2:$B$9, MATCH(W4484, 'Адреса общежитий (скрытый)'!$A$2:$A$9, 0)), "")</f>
        <v/>
      </c>
      <c r="Y4484" s="18"/>
      <c r="Z4484" s="18"/>
      <c r="AA4484" s="18"/>
      <c r="AB4484" s="18"/>
      <c r="AC4484" s="18"/>
    </row>
    <row r="4485" spans="1:29" ht="32.25" hidden="1" customHeight="1">
      <c r="A4485" s="17"/>
      <c r="B4485" s="9" t="s">
        <v>13284</v>
      </c>
      <c r="C4485" s="9" t="s">
        <v>13284</v>
      </c>
      <c r="D4485" s="9" t="s">
        <v>13284</v>
      </c>
      <c r="E4485" s="9" t="s">
        <v>13284</v>
      </c>
      <c r="F4485" s="9" t="s">
        <v>13284</v>
      </c>
      <c r="G4485" s="9" t="s">
        <v>13284</v>
      </c>
      <c r="H4485" s="9" t="s">
        <v>13284</v>
      </c>
      <c r="I4485" s="9" t="s">
        <v>13284</v>
      </c>
      <c r="J4485" s="9" t="s">
        <v>13284</v>
      </c>
      <c r="K4485" s="9" t="s">
        <v>13284</v>
      </c>
      <c r="L4485" s="9" t="s">
        <v>13284</v>
      </c>
      <c r="M4485" s="9" t="s">
        <v>13284</v>
      </c>
      <c r="N4485" s="9" t="s">
        <v>13284</v>
      </c>
      <c r="O4485" s="9" t="s">
        <v>13284</v>
      </c>
      <c r="P4485" s="9" t="s">
        <v>13284</v>
      </c>
      <c r="Q4485" s="9" t="s">
        <v>13284</v>
      </c>
      <c r="R4485" s="9" t="s">
        <v>13284</v>
      </c>
      <c r="S4485" s="9" t="s">
        <v>13284</v>
      </c>
      <c r="T4485" s="9" t="str">
        <f ca="1">IFERROR(IF(AND(VLOOKUP(A4485, 'Актуальное состояние (из общего'!A:C,3,0) = "", A4485 &lt;&gt; ""), "ПРОВЕРИТЬ", VLOOKUP(A4485, 'Актуальное состояние (из общего'!A:C,3,0)), "")</f>
        <v/>
      </c>
      <c r="U4485" s="9" t="s">
        <v>13284</v>
      </c>
      <c r="V4485" s="9" t="s">
        <v>13284</v>
      </c>
      <c r="W4485" s="12"/>
      <c r="X4485" s="9" t="str">
        <f t="array" ref="X4485">IFERROR(INDEX('Адреса общежитий (скрытый)'!$B$2:$B$9, MATCH(W4485, 'Адреса общежитий (скрытый)'!$A$2:$A$9, 0)), "")</f>
        <v/>
      </c>
      <c r="Y4485" s="18"/>
      <c r="Z4485" s="18"/>
      <c r="AA4485" s="18"/>
      <c r="AB4485" s="18"/>
      <c r="AC4485" s="18"/>
    </row>
    <row r="4486" spans="1:29" ht="32.25" hidden="1" customHeight="1">
      <c r="A4486" s="17"/>
      <c r="B4486" s="9" t="s">
        <v>13284</v>
      </c>
      <c r="C4486" s="9" t="s">
        <v>13284</v>
      </c>
      <c r="D4486" s="9" t="s">
        <v>13284</v>
      </c>
      <c r="E4486" s="9" t="s">
        <v>13284</v>
      </c>
      <c r="F4486" s="9" t="s">
        <v>13284</v>
      </c>
      <c r="G4486" s="9" t="s">
        <v>13284</v>
      </c>
      <c r="H4486" s="9" t="s">
        <v>13284</v>
      </c>
      <c r="I4486" s="9" t="s">
        <v>13284</v>
      </c>
      <c r="J4486" s="9" t="s">
        <v>13284</v>
      </c>
      <c r="K4486" s="9" t="s">
        <v>13284</v>
      </c>
      <c r="L4486" s="9" t="s">
        <v>13284</v>
      </c>
      <c r="M4486" s="9" t="s">
        <v>13284</v>
      </c>
      <c r="N4486" s="9" t="s">
        <v>13284</v>
      </c>
      <c r="O4486" s="9" t="s">
        <v>13284</v>
      </c>
      <c r="P4486" s="9" t="s">
        <v>13284</v>
      </c>
      <c r="Q4486" s="9" t="s">
        <v>13284</v>
      </c>
      <c r="R4486" s="9" t="s">
        <v>13284</v>
      </c>
      <c r="S4486" s="9" t="s">
        <v>13284</v>
      </c>
      <c r="T4486" s="9" t="str">
        <f ca="1">IFERROR(IF(AND(VLOOKUP(A4486, 'Актуальное состояние (из общего'!A:C,3,0) = "", A4486 &lt;&gt; ""), "ПРОВЕРИТЬ", VLOOKUP(A4486, 'Актуальное состояние (из общего'!A:C,3,0)), "")</f>
        <v/>
      </c>
      <c r="U4486" s="9" t="s">
        <v>13284</v>
      </c>
      <c r="V4486" s="9" t="s">
        <v>13284</v>
      </c>
      <c r="W4486" s="12"/>
      <c r="X4486" s="9" t="str">
        <f t="array" ref="X4486">IFERROR(INDEX('Адреса общежитий (скрытый)'!$B$2:$B$9, MATCH(W4486, 'Адреса общежитий (скрытый)'!$A$2:$A$9, 0)), "")</f>
        <v/>
      </c>
      <c r="Y4486" s="18"/>
      <c r="Z4486" s="18"/>
      <c r="AA4486" s="18"/>
      <c r="AB4486" s="18"/>
      <c r="AC4486" s="18"/>
    </row>
    <row r="4487" spans="1:29" ht="32.25" hidden="1" customHeight="1">
      <c r="A4487" s="17"/>
      <c r="B4487" s="9" t="s">
        <v>13284</v>
      </c>
      <c r="C4487" s="9" t="s">
        <v>13284</v>
      </c>
      <c r="D4487" s="9" t="s">
        <v>13284</v>
      </c>
      <c r="E4487" s="9" t="s">
        <v>13284</v>
      </c>
      <c r="F4487" s="9" t="s">
        <v>13284</v>
      </c>
      <c r="G4487" s="9" t="s">
        <v>13284</v>
      </c>
      <c r="H4487" s="9" t="s">
        <v>13284</v>
      </c>
      <c r="I4487" s="9" t="s">
        <v>13284</v>
      </c>
      <c r="J4487" s="9" t="s">
        <v>13284</v>
      </c>
      <c r="K4487" s="9" t="s">
        <v>13284</v>
      </c>
      <c r="L4487" s="9" t="s">
        <v>13284</v>
      </c>
      <c r="M4487" s="9" t="s">
        <v>13284</v>
      </c>
      <c r="N4487" s="9" t="s">
        <v>13284</v>
      </c>
      <c r="O4487" s="9" t="s">
        <v>13284</v>
      </c>
      <c r="P4487" s="9" t="s">
        <v>13284</v>
      </c>
      <c r="Q4487" s="9" t="s">
        <v>13284</v>
      </c>
      <c r="R4487" s="9" t="s">
        <v>13284</v>
      </c>
      <c r="S4487" s="9" t="s">
        <v>13284</v>
      </c>
      <c r="T4487" s="9" t="str">
        <f ca="1">IFERROR(IF(AND(VLOOKUP(A4487, 'Актуальное состояние (из общего'!A:C,3,0) = "", A4487 &lt;&gt; ""), "ПРОВЕРИТЬ", VLOOKUP(A4487, 'Актуальное состояние (из общего'!A:C,3,0)), "")</f>
        <v/>
      </c>
      <c r="U4487" s="9" t="s">
        <v>13284</v>
      </c>
      <c r="V4487" s="9" t="s">
        <v>13284</v>
      </c>
      <c r="W4487" s="12"/>
      <c r="X4487" s="9" t="str">
        <f t="array" ref="X4487">IFERROR(INDEX('Адреса общежитий (скрытый)'!$B$2:$B$9, MATCH(W4487, 'Адреса общежитий (скрытый)'!$A$2:$A$9, 0)), "")</f>
        <v/>
      </c>
      <c r="Y4487" s="18"/>
      <c r="Z4487" s="18"/>
      <c r="AA4487" s="18"/>
      <c r="AB4487" s="18"/>
      <c r="AC4487" s="18"/>
    </row>
    <row r="4488" spans="1:29" ht="32.25" hidden="1" customHeight="1">
      <c r="A4488" s="17"/>
      <c r="B4488" s="9" t="s">
        <v>13284</v>
      </c>
      <c r="C4488" s="9" t="s">
        <v>13284</v>
      </c>
      <c r="D4488" s="9" t="s">
        <v>13284</v>
      </c>
      <c r="E4488" s="9" t="s">
        <v>13284</v>
      </c>
      <c r="F4488" s="9" t="s">
        <v>13284</v>
      </c>
      <c r="G4488" s="9" t="s">
        <v>13284</v>
      </c>
      <c r="H4488" s="9" t="s">
        <v>13284</v>
      </c>
      <c r="I4488" s="9" t="s">
        <v>13284</v>
      </c>
      <c r="J4488" s="9" t="s">
        <v>13284</v>
      </c>
      <c r="K4488" s="9" t="s">
        <v>13284</v>
      </c>
      <c r="L4488" s="9" t="s">
        <v>13284</v>
      </c>
      <c r="M4488" s="9" t="s">
        <v>13284</v>
      </c>
      <c r="N4488" s="9" t="s">
        <v>13284</v>
      </c>
      <c r="O4488" s="9" t="s">
        <v>13284</v>
      </c>
      <c r="P4488" s="9" t="s">
        <v>13284</v>
      </c>
      <c r="Q4488" s="9" t="s">
        <v>13284</v>
      </c>
      <c r="R4488" s="9" t="s">
        <v>13284</v>
      </c>
      <c r="S4488" s="9" t="s">
        <v>13284</v>
      </c>
      <c r="T4488" s="9" t="str">
        <f ca="1">IFERROR(IF(AND(VLOOKUP(A4488, 'Актуальное состояние (из общего'!A:C,3,0) = "", A4488 &lt;&gt; ""), "ПРОВЕРИТЬ", VLOOKUP(A4488, 'Актуальное состояние (из общего'!A:C,3,0)), "")</f>
        <v/>
      </c>
      <c r="U4488" s="9" t="s">
        <v>13284</v>
      </c>
      <c r="V4488" s="9" t="s">
        <v>13284</v>
      </c>
      <c r="W4488" s="12"/>
      <c r="X4488" s="9" t="str">
        <f t="array" ref="X4488">IFERROR(INDEX('Адреса общежитий (скрытый)'!$B$2:$B$9, MATCH(W4488, 'Адреса общежитий (скрытый)'!$A$2:$A$9, 0)), "")</f>
        <v/>
      </c>
      <c r="Y4488" s="18"/>
      <c r="Z4488" s="18"/>
      <c r="AA4488" s="18"/>
      <c r="AB4488" s="18"/>
      <c r="AC4488" s="18"/>
    </row>
    <row r="4489" spans="1:29" ht="32.25" hidden="1" customHeight="1">
      <c r="A4489" s="17"/>
      <c r="B4489" s="9" t="s">
        <v>13284</v>
      </c>
      <c r="C4489" s="9" t="s">
        <v>13284</v>
      </c>
      <c r="D4489" s="9" t="s">
        <v>13284</v>
      </c>
      <c r="E4489" s="9" t="s">
        <v>13284</v>
      </c>
      <c r="F4489" s="9" t="s">
        <v>13284</v>
      </c>
      <c r="G4489" s="9" t="s">
        <v>13284</v>
      </c>
      <c r="H4489" s="9" t="s">
        <v>13284</v>
      </c>
      <c r="I4489" s="9" t="s">
        <v>13284</v>
      </c>
      <c r="J4489" s="9" t="s">
        <v>13284</v>
      </c>
      <c r="K4489" s="9" t="s">
        <v>13284</v>
      </c>
      <c r="L4489" s="9" t="s">
        <v>13284</v>
      </c>
      <c r="M4489" s="9" t="s">
        <v>13284</v>
      </c>
      <c r="N4489" s="9" t="s">
        <v>13284</v>
      </c>
      <c r="O4489" s="9" t="s">
        <v>13284</v>
      </c>
      <c r="P4489" s="9" t="s">
        <v>13284</v>
      </c>
      <c r="Q4489" s="9" t="s">
        <v>13284</v>
      </c>
      <c r="R4489" s="9" t="s">
        <v>13284</v>
      </c>
      <c r="S4489" s="9" t="s">
        <v>13284</v>
      </c>
      <c r="T4489" s="9" t="str">
        <f ca="1">IFERROR(IF(AND(VLOOKUP(A4489, 'Актуальное состояние (из общего'!A:C,3,0) = "", A4489 &lt;&gt; ""), "ПРОВЕРИТЬ", VLOOKUP(A4489, 'Актуальное состояние (из общего'!A:C,3,0)), "")</f>
        <v/>
      </c>
      <c r="U4489" s="9" t="s">
        <v>13284</v>
      </c>
      <c r="V4489" s="9" t="s">
        <v>13284</v>
      </c>
      <c r="W4489" s="12"/>
      <c r="X4489" s="9" t="str">
        <f t="array" ref="X4489">IFERROR(INDEX('Адреса общежитий (скрытый)'!$B$2:$B$9, MATCH(W4489, 'Адреса общежитий (скрытый)'!$A$2:$A$9, 0)), "")</f>
        <v/>
      </c>
      <c r="Y4489" s="18"/>
      <c r="Z4489" s="18"/>
      <c r="AA4489" s="18"/>
      <c r="AB4489" s="18"/>
      <c r="AC4489" s="18"/>
    </row>
    <row r="4490" spans="1:29" ht="32.25" hidden="1" customHeight="1">
      <c r="A4490" s="17"/>
      <c r="B4490" s="9" t="s">
        <v>13284</v>
      </c>
      <c r="C4490" s="9" t="s">
        <v>13284</v>
      </c>
      <c r="D4490" s="9" t="s">
        <v>13284</v>
      </c>
      <c r="E4490" s="9" t="s">
        <v>13284</v>
      </c>
      <c r="F4490" s="9" t="s">
        <v>13284</v>
      </c>
      <c r="G4490" s="9" t="s">
        <v>13284</v>
      </c>
      <c r="H4490" s="9" t="s">
        <v>13284</v>
      </c>
      <c r="I4490" s="9" t="s">
        <v>13284</v>
      </c>
      <c r="J4490" s="9" t="s">
        <v>13284</v>
      </c>
      <c r="K4490" s="9" t="s">
        <v>13284</v>
      </c>
      <c r="L4490" s="9" t="s">
        <v>13284</v>
      </c>
      <c r="M4490" s="9" t="s">
        <v>13284</v>
      </c>
      <c r="N4490" s="9" t="s">
        <v>13284</v>
      </c>
      <c r="O4490" s="9" t="s">
        <v>13284</v>
      </c>
      <c r="P4490" s="9" t="s">
        <v>13284</v>
      </c>
      <c r="Q4490" s="9" t="s">
        <v>13284</v>
      </c>
      <c r="R4490" s="9" t="s">
        <v>13284</v>
      </c>
      <c r="S4490" s="9" t="s">
        <v>13284</v>
      </c>
      <c r="T4490" s="9" t="str">
        <f ca="1">IFERROR(IF(AND(VLOOKUP(A4490, 'Актуальное состояние (из общего'!A:C,3,0) = "", A4490 &lt;&gt; ""), "ПРОВЕРИТЬ", VLOOKUP(A4490, 'Актуальное состояние (из общего'!A:C,3,0)), "")</f>
        <v/>
      </c>
      <c r="U4490" s="9" t="s">
        <v>13284</v>
      </c>
      <c r="V4490" s="9" t="s">
        <v>13284</v>
      </c>
      <c r="W4490" s="12"/>
      <c r="X4490" s="9" t="str">
        <f t="array" ref="X4490">IFERROR(INDEX('Адреса общежитий (скрытый)'!$B$2:$B$9, MATCH(W4490, 'Адреса общежитий (скрытый)'!$A$2:$A$9, 0)), "")</f>
        <v/>
      </c>
      <c r="Y4490" s="18"/>
      <c r="Z4490" s="18"/>
      <c r="AA4490" s="18"/>
      <c r="AB4490" s="18"/>
      <c r="AC4490" s="18"/>
    </row>
    <row r="4491" spans="1:29" ht="32.25" hidden="1" customHeight="1">
      <c r="A4491" s="17"/>
      <c r="B4491" s="9" t="s">
        <v>13284</v>
      </c>
      <c r="C4491" s="9" t="s">
        <v>13284</v>
      </c>
      <c r="D4491" s="9" t="s">
        <v>13284</v>
      </c>
      <c r="E4491" s="9" t="s">
        <v>13284</v>
      </c>
      <c r="F4491" s="9" t="s">
        <v>13284</v>
      </c>
      <c r="G4491" s="9" t="s">
        <v>13284</v>
      </c>
      <c r="H4491" s="9" t="s">
        <v>13284</v>
      </c>
      <c r="I4491" s="9" t="s">
        <v>13284</v>
      </c>
      <c r="J4491" s="9" t="s">
        <v>13284</v>
      </c>
      <c r="K4491" s="9" t="s">
        <v>13284</v>
      </c>
      <c r="L4491" s="9" t="s">
        <v>13284</v>
      </c>
      <c r="M4491" s="9" t="s">
        <v>13284</v>
      </c>
      <c r="N4491" s="9" t="s">
        <v>13284</v>
      </c>
      <c r="O4491" s="9" t="s">
        <v>13284</v>
      </c>
      <c r="P4491" s="9" t="s">
        <v>13284</v>
      </c>
      <c r="Q4491" s="9" t="s">
        <v>13284</v>
      </c>
      <c r="R4491" s="9" t="s">
        <v>13284</v>
      </c>
      <c r="S4491" s="9" t="s">
        <v>13284</v>
      </c>
      <c r="T4491" s="9" t="str">
        <f ca="1">IFERROR(IF(AND(VLOOKUP(A4491, 'Актуальное состояние (из общего'!A:C,3,0) = "", A4491 &lt;&gt; ""), "ПРОВЕРИТЬ", VLOOKUP(A4491, 'Актуальное состояние (из общего'!A:C,3,0)), "")</f>
        <v/>
      </c>
      <c r="U4491" s="9" t="s">
        <v>13284</v>
      </c>
      <c r="V4491" s="9" t="s">
        <v>13284</v>
      </c>
      <c r="W4491" s="12"/>
      <c r="X4491" s="9" t="str">
        <f t="array" ref="X4491">IFERROR(INDEX('Адреса общежитий (скрытый)'!$B$2:$B$9, MATCH(W4491, 'Адреса общежитий (скрытый)'!$A$2:$A$9, 0)), "")</f>
        <v/>
      </c>
      <c r="Y4491" s="18"/>
      <c r="Z4491" s="18"/>
      <c r="AA4491" s="18"/>
      <c r="AB4491" s="18"/>
      <c r="AC4491" s="18"/>
    </row>
    <row r="4492" spans="1:29" ht="32.25" hidden="1" customHeight="1">
      <c r="A4492" s="17"/>
      <c r="B4492" s="9" t="s">
        <v>13284</v>
      </c>
      <c r="C4492" s="9" t="s">
        <v>13284</v>
      </c>
      <c r="D4492" s="9" t="s">
        <v>13284</v>
      </c>
      <c r="E4492" s="9" t="s">
        <v>13284</v>
      </c>
      <c r="F4492" s="9" t="s">
        <v>13284</v>
      </c>
      <c r="G4492" s="9" t="s">
        <v>13284</v>
      </c>
      <c r="H4492" s="9" t="s">
        <v>13284</v>
      </c>
      <c r="I4492" s="9" t="s">
        <v>13284</v>
      </c>
      <c r="J4492" s="9" t="s">
        <v>13284</v>
      </c>
      <c r="K4492" s="9" t="s">
        <v>13284</v>
      </c>
      <c r="L4492" s="9" t="s">
        <v>13284</v>
      </c>
      <c r="M4492" s="9" t="s">
        <v>13284</v>
      </c>
      <c r="N4492" s="9" t="s">
        <v>13284</v>
      </c>
      <c r="O4492" s="9" t="s">
        <v>13284</v>
      </c>
      <c r="P4492" s="9" t="s">
        <v>13284</v>
      </c>
      <c r="Q4492" s="9" t="s">
        <v>13284</v>
      </c>
      <c r="R4492" s="9" t="s">
        <v>13284</v>
      </c>
      <c r="S4492" s="9" t="s">
        <v>13284</v>
      </c>
      <c r="T4492" s="9" t="str">
        <f ca="1">IFERROR(IF(AND(VLOOKUP(A4492, 'Актуальное состояние (из общего'!A:C,3,0) = "", A4492 &lt;&gt; ""), "ПРОВЕРИТЬ", VLOOKUP(A4492, 'Актуальное состояние (из общего'!A:C,3,0)), "")</f>
        <v/>
      </c>
      <c r="U4492" s="9" t="s">
        <v>13284</v>
      </c>
      <c r="V4492" s="9" t="s">
        <v>13284</v>
      </c>
      <c r="W4492" s="12"/>
      <c r="X4492" s="9" t="str">
        <f t="array" ref="X4492">IFERROR(INDEX('Адреса общежитий (скрытый)'!$B$2:$B$9, MATCH(W4492, 'Адреса общежитий (скрытый)'!$A$2:$A$9, 0)), "")</f>
        <v/>
      </c>
      <c r="Y4492" s="18"/>
      <c r="Z4492" s="18"/>
      <c r="AA4492" s="18"/>
      <c r="AB4492" s="18"/>
      <c r="AC4492" s="18"/>
    </row>
    <row r="4493" spans="1:29" ht="32.25" hidden="1" customHeight="1">
      <c r="A4493" s="17"/>
      <c r="B4493" s="9" t="s">
        <v>13284</v>
      </c>
      <c r="C4493" s="9" t="s">
        <v>13284</v>
      </c>
      <c r="D4493" s="9" t="s">
        <v>13284</v>
      </c>
      <c r="E4493" s="9" t="s">
        <v>13284</v>
      </c>
      <c r="F4493" s="9" t="s">
        <v>13284</v>
      </c>
      <c r="G4493" s="9" t="s">
        <v>13284</v>
      </c>
      <c r="H4493" s="9" t="s">
        <v>13284</v>
      </c>
      <c r="I4493" s="9" t="s">
        <v>13284</v>
      </c>
      <c r="J4493" s="9" t="s">
        <v>13284</v>
      </c>
      <c r="K4493" s="9" t="s">
        <v>13284</v>
      </c>
      <c r="L4493" s="9" t="s">
        <v>13284</v>
      </c>
      <c r="M4493" s="9" t="s">
        <v>13284</v>
      </c>
      <c r="N4493" s="9" t="s">
        <v>13284</v>
      </c>
      <c r="O4493" s="9" t="s">
        <v>13284</v>
      </c>
      <c r="P4493" s="9" t="s">
        <v>13284</v>
      </c>
      <c r="Q4493" s="9" t="s">
        <v>13284</v>
      </c>
      <c r="R4493" s="9" t="s">
        <v>13284</v>
      </c>
      <c r="S4493" s="9" t="s">
        <v>13284</v>
      </c>
      <c r="T4493" s="9" t="str">
        <f ca="1">IFERROR(IF(AND(VLOOKUP(A4493, 'Актуальное состояние (из общего'!A:C,3,0) = "", A4493 &lt;&gt; ""), "ПРОВЕРИТЬ", VLOOKUP(A4493, 'Актуальное состояние (из общего'!A:C,3,0)), "")</f>
        <v/>
      </c>
      <c r="U4493" s="9" t="s">
        <v>13284</v>
      </c>
      <c r="V4493" s="9" t="s">
        <v>13284</v>
      </c>
      <c r="W4493" s="12"/>
      <c r="X4493" s="9" t="str">
        <f t="array" ref="X4493">IFERROR(INDEX('Адреса общежитий (скрытый)'!$B$2:$B$9, MATCH(W4493, 'Адреса общежитий (скрытый)'!$A$2:$A$9, 0)), "")</f>
        <v/>
      </c>
      <c r="Y4493" s="18"/>
      <c r="Z4493" s="18"/>
      <c r="AA4493" s="18"/>
      <c r="AB4493" s="18"/>
      <c r="AC4493" s="18"/>
    </row>
    <row r="4494" spans="1:29" ht="32.25" hidden="1" customHeight="1">
      <c r="A4494" s="17"/>
      <c r="B4494" s="9" t="s">
        <v>13284</v>
      </c>
      <c r="C4494" s="9" t="s">
        <v>13284</v>
      </c>
      <c r="D4494" s="9" t="s">
        <v>13284</v>
      </c>
      <c r="E4494" s="9" t="s">
        <v>13284</v>
      </c>
      <c r="F4494" s="9" t="s">
        <v>13284</v>
      </c>
      <c r="G4494" s="9" t="s">
        <v>13284</v>
      </c>
      <c r="H4494" s="9" t="s">
        <v>13284</v>
      </c>
      <c r="I4494" s="9" t="s">
        <v>13284</v>
      </c>
      <c r="J4494" s="9" t="s">
        <v>13284</v>
      </c>
      <c r="K4494" s="9" t="s">
        <v>13284</v>
      </c>
      <c r="L4494" s="9" t="s">
        <v>13284</v>
      </c>
      <c r="M4494" s="9" t="s">
        <v>13284</v>
      </c>
      <c r="N4494" s="9" t="s">
        <v>13284</v>
      </c>
      <c r="O4494" s="9" t="s">
        <v>13284</v>
      </c>
      <c r="P4494" s="9" t="s">
        <v>13284</v>
      </c>
      <c r="Q4494" s="9" t="s">
        <v>13284</v>
      </c>
      <c r="R4494" s="9" t="s">
        <v>13284</v>
      </c>
      <c r="S4494" s="9" t="s">
        <v>13284</v>
      </c>
      <c r="T4494" s="9" t="str">
        <f ca="1">IFERROR(IF(AND(VLOOKUP(A4494, 'Актуальное состояние (из общего'!A:C,3,0) = "", A4494 &lt;&gt; ""), "ПРОВЕРИТЬ", VLOOKUP(A4494, 'Актуальное состояние (из общего'!A:C,3,0)), "")</f>
        <v/>
      </c>
      <c r="U4494" s="9" t="s">
        <v>13284</v>
      </c>
      <c r="V4494" s="9" t="s">
        <v>13284</v>
      </c>
      <c r="W4494" s="12"/>
      <c r="X4494" s="9" t="str">
        <f t="array" ref="X4494">IFERROR(INDEX('Адреса общежитий (скрытый)'!$B$2:$B$9, MATCH(W4494, 'Адреса общежитий (скрытый)'!$A$2:$A$9, 0)), "")</f>
        <v/>
      </c>
      <c r="Y4494" s="18"/>
      <c r="Z4494" s="18"/>
      <c r="AA4494" s="18"/>
      <c r="AB4494" s="18"/>
      <c r="AC4494" s="18"/>
    </row>
    <row r="4495" spans="1:29" ht="32.25" hidden="1" customHeight="1">
      <c r="A4495" s="17"/>
      <c r="B4495" s="9" t="s">
        <v>13284</v>
      </c>
      <c r="C4495" s="9" t="s">
        <v>13284</v>
      </c>
      <c r="D4495" s="9" t="s">
        <v>13284</v>
      </c>
      <c r="E4495" s="9" t="s">
        <v>13284</v>
      </c>
      <c r="F4495" s="9" t="s">
        <v>13284</v>
      </c>
      <c r="G4495" s="9" t="s">
        <v>13284</v>
      </c>
      <c r="H4495" s="9" t="s">
        <v>13284</v>
      </c>
      <c r="I4495" s="9" t="s">
        <v>13284</v>
      </c>
      <c r="J4495" s="9" t="s">
        <v>13284</v>
      </c>
      <c r="K4495" s="9" t="s">
        <v>13284</v>
      </c>
      <c r="L4495" s="9" t="s">
        <v>13284</v>
      </c>
      <c r="M4495" s="9" t="s">
        <v>13284</v>
      </c>
      <c r="N4495" s="9" t="s">
        <v>13284</v>
      </c>
      <c r="O4495" s="9" t="s">
        <v>13284</v>
      </c>
      <c r="P4495" s="9" t="s">
        <v>13284</v>
      </c>
      <c r="Q4495" s="9" t="s">
        <v>13284</v>
      </c>
      <c r="R4495" s="9" t="s">
        <v>13284</v>
      </c>
      <c r="S4495" s="9" t="s">
        <v>13284</v>
      </c>
      <c r="T4495" s="9" t="str">
        <f ca="1">IFERROR(IF(AND(VLOOKUP(A4495, 'Актуальное состояние (из общего'!A:C,3,0) = "", A4495 &lt;&gt; ""), "ПРОВЕРИТЬ", VLOOKUP(A4495, 'Актуальное состояние (из общего'!A:C,3,0)), "")</f>
        <v/>
      </c>
      <c r="U4495" s="9" t="s">
        <v>13284</v>
      </c>
      <c r="V4495" s="9" t="s">
        <v>13284</v>
      </c>
      <c r="W4495" s="12"/>
      <c r="X4495" s="9" t="str">
        <f t="array" ref="X4495">IFERROR(INDEX('Адреса общежитий (скрытый)'!$B$2:$B$9, MATCH(W4495, 'Адреса общежитий (скрытый)'!$A$2:$A$9, 0)), "")</f>
        <v/>
      </c>
      <c r="Y4495" s="18"/>
      <c r="Z4495" s="18"/>
      <c r="AA4495" s="18"/>
      <c r="AB4495" s="18"/>
      <c r="AC4495" s="18"/>
    </row>
    <row r="4496" spans="1:29" ht="32.25" hidden="1" customHeight="1">
      <c r="A4496" s="17"/>
      <c r="B4496" s="9" t="s">
        <v>13284</v>
      </c>
      <c r="C4496" s="9" t="s">
        <v>13284</v>
      </c>
      <c r="D4496" s="9" t="s">
        <v>13284</v>
      </c>
      <c r="E4496" s="9" t="s">
        <v>13284</v>
      </c>
      <c r="F4496" s="9" t="s">
        <v>13284</v>
      </c>
      <c r="G4496" s="9" t="s">
        <v>13284</v>
      </c>
      <c r="H4496" s="9" t="s">
        <v>13284</v>
      </c>
      <c r="I4496" s="9" t="s">
        <v>13284</v>
      </c>
      <c r="J4496" s="9" t="s">
        <v>13284</v>
      </c>
      <c r="K4496" s="9" t="s">
        <v>13284</v>
      </c>
      <c r="L4496" s="9" t="s">
        <v>13284</v>
      </c>
      <c r="M4496" s="9" t="s">
        <v>13284</v>
      </c>
      <c r="N4496" s="9" t="s">
        <v>13284</v>
      </c>
      <c r="O4496" s="9" t="s">
        <v>13284</v>
      </c>
      <c r="P4496" s="9" t="s">
        <v>13284</v>
      </c>
      <c r="Q4496" s="9" t="s">
        <v>13284</v>
      </c>
      <c r="R4496" s="9" t="s">
        <v>13284</v>
      </c>
      <c r="S4496" s="9" t="s">
        <v>13284</v>
      </c>
      <c r="T4496" s="9" t="str">
        <f ca="1">IFERROR(IF(AND(VLOOKUP(A4496, 'Актуальное состояние (из общего'!A:C,3,0) = "", A4496 &lt;&gt; ""), "ПРОВЕРИТЬ", VLOOKUP(A4496, 'Актуальное состояние (из общего'!A:C,3,0)), "")</f>
        <v/>
      </c>
      <c r="U4496" s="9" t="s">
        <v>13284</v>
      </c>
      <c r="V4496" s="9" t="s">
        <v>13284</v>
      </c>
      <c r="W4496" s="12"/>
      <c r="X4496" s="9" t="str">
        <f t="array" ref="X4496">IFERROR(INDEX('Адреса общежитий (скрытый)'!$B$2:$B$9, MATCH(W4496, 'Адреса общежитий (скрытый)'!$A$2:$A$9, 0)), "")</f>
        <v/>
      </c>
      <c r="Y4496" s="18"/>
      <c r="Z4496" s="18"/>
      <c r="AA4496" s="18"/>
      <c r="AB4496" s="18"/>
      <c r="AC4496" s="18"/>
    </row>
    <row r="4497" spans="1:29" ht="32.25" hidden="1" customHeight="1">
      <c r="A4497" s="17"/>
      <c r="B4497" s="9" t="s">
        <v>13284</v>
      </c>
      <c r="C4497" s="9" t="s">
        <v>13284</v>
      </c>
      <c r="D4497" s="9" t="s">
        <v>13284</v>
      </c>
      <c r="E4497" s="9" t="s">
        <v>13284</v>
      </c>
      <c r="F4497" s="9" t="s">
        <v>13284</v>
      </c>
      <c r="G4497" s="9" t="s">
        <v>13284</v>
      </c>
      <c r="H4497" s="9" t="s">
        <v>13284</v>
      </c>
      <c r="I4497" s="9" t="s">
        <v>13284</v>
      </c>
      <c r="J4497" s="9" t="s">
        <v>13284</v>
      </c>
      <c r="K4497" s="9" t="s">
        <v>13284</v>
      </c>
      <c r="L4497" s="9" t="s">
        <v>13284</v>
      </c>
      <c r="M4497" s="9" t="s">
        <v>13284</v>
      </c>
      <c r="N4497" s="9" t="s">
        <v>13284</v>
      </c>
      <c r="O4497" s="9" t="s">
        <v>13284</v>
      </c>
      <c r="P4497" s="9" t="s">
        <v>13284</v>
      </c>
      <c r="Q4497" s="9" t="s">
        <v>13284</v>
      </c>
      <c r="R4497" s="9" t="s">
        <v>13284</v>
      </c>
      <c r="S4497" s="9" t="s">
        <v>13284</v>
      </c>
      <c r="T4497" s="9" t="str">
        <f ca="1">IFERROR(IF(AND(VLOOKUP(A4497, 'Актуальное состояние (из общего'!A:C,3,0) = "", A4497 &lt;&gt; ""), "ПРОВЕРИТЬ", VLOOKUP(A4497, 'Актуальное состояние (из общего'!A:C,3,0)), "")</f>
        <v/>
      </c>
      <c r="U4497" s="9" t="s">
        <v>13284</v>
      </c>
      <c r="V4497" s="9" t="s">
        <v>13284</v>
      </c>
      <c r="W4497" s="12"/>
      <c r="X4497" s="9" t="str">
        <f t="array" ref="X4497">IFERROR(INDEX('Адреса общежитий (скрытый)'!$B$2:$B$9, MATCH(W4497, 'Адреса общежитий (скрытый)'!$A$2:$A$9, 0)), "")</f>
        <v/>
      </c>
      <c r="Y4497" s="18"/>
      <c r="Z4497" s="18"/>
      <c r="AA4497" s="18"/>
      <c r="AB4497" s="18"/>
      <c r="AC4497" s="18"/>
    </row>
    <row r="4498" spans="1:29" ht="32.25" hidden="1" customHeight="1">
      <c r="A4498" s="17"/>
      <c r="B4498" s="9" t="s">
        <v>13284</v>
      </c>
      <c r="C4498" s="9" t="s">
        <v>13284</v>
      </c>
      <c r="D4498" s="9" t="s">
        <v>13284</v>
      </c>
      <c r="E4498" s="9" t="s">
        <v>13284</v>
      </c>
      <c r="F4498" s="9" t="s">
        <v>13284</v>
      </c>
      <c r="G4498" s="9" t="s">
        <v>13284</v>
      </c>
      <c r="H4498" s="9" t="s">
        <v>13284</v>
      </c>
      <c r="I4498" s="9" t="s">
        <v>13284</v>
      </c>
      <c r="J4498" s="9" t="s">
        <v>13284</v>
      </c>
      <c r="K4498" s="9" t="s">
        <v>13284</v>
      </c>
      <c r="L4498" s="9" t="s">
        <v>13284</v>
      </c>
      <c r="M4498" s="9" t="s">
        <v>13284</v>
      </c>
      <c r="N4498" s="9" t="s">
        <v>13284</v>
      </c>
      <c r="O4498" s="9" t="s">
        <v>13284</v>
      </c>
      <c r="P4498" s="9" t="s">
        <v>13284</v>
      </c>
      <c r="Q4498" s="9" t="s">
        <v>13284</v>
      </c>
      <c r="R4498" s="9" t="s">
        <v>13284</v>
      </c>
      <c r="S4498" s="9" t="s">
        <v>13284</v>
      </c>
      <c r="T4498" s="9" t="str">
        <f ca="1">IFERROR(IF(AND(VLOOKUP(A4498, 'Актуальное состояние (из общего'!A:C,3,0) = "", A4498 &lt;&gt; ""), "ПРОВЕРИТЬ", VLOOKUP(A4498, 'Актуальное состояние (из общего'!A:C,3,0)), "")</f>
        <v/>
      </c>
      <c r="U4498" s="9" t="s">
        <v>13284</v>
      </c>
      <c r="V4498" s="9" t="s">
        <v>13284</v>
      </c>
      <c r="W4498" s="12"/>
      <c r="X4498" s="9" t="str">
        <f t="array" ref="X4498">IFERROR(INDEX('Адреса общежитий (скрытый)'!$B$2:$B$9, MATCH(W4498, 'Адреса общежитий (скрытый)'!$A$2:$A$9, 0)), "")</f>
        <v/>
      </c>
      <c r="Y4498" s="18"/>
      <c r="Z4498" s="18"/>
      <c r="AA4498" s="18"/>
      <c r="AB4498" s="18"/>
      <c r="AC4498" s="18"/>
    </row>
    <row r="4499" spans="1:29" ht="32.25" hidden="1" customHeight="1">
      <c r="A4499" s="17"/>
      <c r="B4499" s="9" t="s">
        <v>13284</v>
      </c>
      <c r="C4499" s="9" t="s">
        <v>13284</v>
      </c>
      <c r="D4499" s="9" t="s">
        <v>13284</v>
      </c>
      <c r="E4499" s="9" t="s">
        <v>13284</v>
      </c>
      <c r="F4499" s="9" t="s">
        <v>13284</v>
      </c>
      <c r="G4499" s="9" t="s">
        <v>13284</v>
      </c>
      <c r="H4499" s="9" t="s">
        <v>13284</v>
      </c>
      <c r="I4499" s="9" t="s">
        <v>13284</v>
      </c>
      <c r="J4499" s="9" t="s">
        <v>13284</v>
      </c>
      <c r="K4499" s="9" t="s">
        <v>13284</v>
      </c>
      <c r="L4499" s="9" t="s">
        <v>13284</v>
      </c>
      <c r="M4499" s="9" t="s">
        <v>13284</v>
      </c>
      <c r="N4499" s="9" t="s">
        <v>13284</v>
      </c>
      <c r="O4499" s="9" t="s">
        <v>13284</v>
      </c>
      <c r="P4499" s="9" t="s">
        <v>13284</v>
      </c>
      <c r="Q4499" s="9" t="s">
        <v>13284</v>
      </c>
      <c r="R4499" s="9" t="s">
        <v>13284</v>
      </c>
      <c r="S4499" s="9" t="s">
        <v>13284</v>
      </c>
      <c r="T4499" s="9" t="str">
        <f ca="1">IFERROR(IF(AND(VLOOKUP(A4499, 'Актуальное состояние (из общего'!A:C,3,0) = "", A4499 &lt;&gt; ""), "ПРОВЕРИТЬ", VLOOKUP(A4499, 'Актуальное состояние (из общего'!A:C,3,0)), "")</f>
        <v/>
      </c>
      <c r="U4499" s="9" t="s">
        <v>13284</v>
      </c>
      <c r="V4499" s="9" t="s">
        <v>13284</v>
      </c>
      <c r="W4499" s="12"/>
      <c r="X4499" s="9" t="str">
        <f t="array" ref="X4499">IFERROR(INDEX('Адреса общежитий (скрытый)'!$B$2:$B$9, MATCH(W4499, 'Адреса общежитий (скрытый)'!$A$2:$A$9, 0)), "")</f>
        <v/>
      </c>
      <c r="Y4499" s="18"/>
      <c r="Z4499" s="18"/>
      <c r="AA4499" s="18"/>
      <c r="AB4499" s="18"/>
      <c r="AC4499" s="18"/>
    </row>
    <row r="4500" spans="1:29" ht="32.25" hidden="1" customHeight="1">
      <c r="A4500" s="17"/>
      <c r="B4500" s="9" t="s">
        <v>13284</v>
      </c>
      <c r="C4500" s="9" t="s">
        <v>13284</v>
      </c>
      <c r="D4500" s="9" t="s">
        <v>13284</v>
      </c>
      <c r="E4500" s="9" t="s">
        <v>13284</v>
      </c>
      <c r="F4500" s="9" t="s">
        <v>13284</v>
      </c>
      <c r="G4500" s="9" t="s">
        <v>13284</v>
      </c>
      <c r="H4500" s="9" t="s">
        <v>13284</v>
      </c>
      <c r="I4500" s="9" t="s">
        <v>13284</v>
      </c>
      <c r="J4500" s="9" t="s">
        <v>13284</v>
      </c>
      <c r="K4500" s="9" t="s">
        <v>13284</v>
      </c>
      <c r="L4500" s="9" t="s">
        <v>13284</v>
      </c>
      <c r="M4500" s="9" t="s">
        <v>13284</v>
      </c>
      <c r="N4500" s="9" t="s">
        <v>13284</v>
      </c>
      <c r="O4500" s="9" t="s">
        <v>13284</v>
      </c>
      <c r="P4500" s="9" t="s">
        <v>13284</v>
      </c>
      <c r="Q4500" s="9" t="s">
        <v>13284</v>
      </c>
      <c r="R4500" s="9" t="s">
        <v>13284</v>
      </c>
      <c r="S4500" s="9" t="s">
        <v>13284</v>
      </c>
      <c r="T4500" s="9" t="str">
        <f ca="1">IFERROR(IF(AND(VLOOKUP(A4500, 'Актуальное состояние (из общего'!A:C,3,0) = "", A4500 &lt;&gt; ""), "ПРОВЕРИТЬ", VLOOKUP(A4500, 'Актуальное состояние (из общего'!A:C,3,0)), "")</f>
        <v/>
      </c>
      <c r="U4500" s="9" t="s">
        <v>13284</v>
      </c>
      <c r="V4500" s="9" t="s">
        <v>13284</v>
      </c>
      <c r="W4500" s="12"/>
      <c r="X4500" s="9" t="str">
        <f t="array" ref="X4500">IFERROR(INDEX('Адреса общежитий (скрытый)'!$B$2:$B$9, MATCH(W4500, 'Адреса общежитий (скрытый)'!$A$2:$A$9, 0)), "")</f>
        <v/>
      </c>
      <c r="Y4500" s="18"/>
      <c r="Z4500" s="18"/>
      <c r="AA4500" s="18"/>
      <c r="AB4500" s="18"/>
      <c r="AC4500" s="18"/>
    </row>
    <row r="4501" spans="1:29" ht="32.25" hidden="1" customHeight="1">
      <c r="A4501" s="17"/>
      <c r="B4501" s="9" t="s">
        <v>13284</v>
      </c>
      <c r="C4501" s="9" t="s">
        <v>13284</v>
      </c>
      <c r="D4501" s="9" t="s">
        <v>13284</v>
      </c>
      <c r="E4501" s="9" t="s">
        <v>13284</v>
      </c>
      <c r="F4501" s="9" t="s">
        <v>13284</v>
      </c>
      <c r="G4501" s="9" t="s">
        <v>13284</v>
      </c>
      <c r="H4501" s="9" t="s">
        <v>13284</v>
      </c>
      <c r="I4501" s="9" t="s">
        <v>13284</v>
      </c>
      <c r="J4501" s="9" t="s">
        <v>13284</v>
      </c>
      <c r="K4501" s="9" t="s">
        <v>13284</v>
      </c>
      <c r="L4501" s="9" t="s">
        <v>13284</v>
      </c>
      <c r="M4501" s="9" t="s">
        <v>13284</v>
      </c>
      <c r="N4501" s="9" t="s">
        <v>13284</v>
      </c>
      <c r="O4501" s="9" t="s">
        <v>13284</v>
      </c>
      <c r="P4501" s="9" t="s">
        <v>13284</v>
      </c>
      <c r="Q4501" s="9" t="s">
        <v>13284</v>
      </c>
      <c r="R4501" s="9" t="s">
        <v>13284</v>
      </c>
      <c r="S4501" s="9" t="s">
        <v>13284</v>
      </c>
      <c r="T4501" s="9" t="str">
        <f ca="1">IFERROR(IF(AND(VLOOKUP(A4501, 'Актуальное состояние (из общего'!A:C,3,0) = "", A4501 &lt;&gt; ""), "ПРОВЕРИТЬ", VLOOKUP(A4501, 'Актуальное состояние (из общего'!A:C,3,0)), "")</f>
        <v/>
      </c>
      <c r="U4501" s="9" t="s">
        <v>13284</v>
      </c>
      <c r="V4501" s="9" t="s">
        <v>13284</v>
      </c>
      <c r="W4501" s="12"/>
      <c r="X4501" s="9" t="str">
        <f t="array" ref="X4501">IFERROR(INDEX('Адреса общежитий (скрытый)'!$B$2:$B$9, MATCH(W4501, 'Адреса общежитий (скрытый)'!$A$2:$A$9, 0)), "")</f>
        <v/>
      </c>
      <c r="Y4501" s="18"/>
      <c r="Z4501" s="18"/>
      <c r="AA4501" s="18"/>
      <c r="AB4501" s="18"/>
      <c r="AC4501" s="18"/>
    </row>
    <row r="4502" spans="1:29" ht="32.25" hidden="1" customHeight="1">
      <c r="A4502" s="17"/>
      <c r="B4502" s="9" t="s">
        <v>13284</v>
      </c>
      <c r="C4502" s="9" t="s">
        <v>13284</v>
      </c>
      <c r="D4502" s="9" t="s">
        <v>13284</v>
      </c>
      <c r="E4502" s="9" t="s">
        <v>13284</v>
      </c>
      <c r="F4502" s="9" t="s">
        <v>13284</v>
      </c>
      <c r="G4502" s="9" t="s">
        <v>13284</v>
      </c>
      <c r="H4502" s="9" t="s">
        <v>13284</v>
      </c>
      <c r="I4502" s="9" t="s">
        <v>13284</v>
      </c>
      <c r="J4502" s="9" t="s">
        <v>13284</v>
      </c>
      <c r="K4502" s="9" t="s">
        <v>13284</v>
      </c>
      <c r="L4502" s="9" t="s">
        <v>13284</v>
      </c>
      <c r="M4502" s="9" t="s">
        <v>13284</v>
      </c>
      <c r="N4502" s="9" t="s">
        <v>13284</v>
      </c>
      <c r="O4502" s="9" t="s">
        <v>13284</v>
      </c>
      <c r="P4502" s="9" t="s">
        <v>13284</v>
      </c>
      <c r="Q4502" s="9" t="s">
        <v>13284</v>
      </c>
      <c r="R4502" s="9" t="s">
        <v>13284</v>
      </c>
      <c r="S4502" s="9" t="s">
        <v>13284</v>
      </c>
      <c r="T4502" s="9" t="str">
        <f ca="1">IFERROR(IF(AND(VLOOKUP(A4502, 'Актуальное состояние (из общего'!A:C,3,0) = "", A4502 &lt;&gt; ""), "ПРОВЕРИТЬ", VLOOKUP(A4502, 'Актуальное состояние (из общего'!A:C,3,0)), "")</f>
        <v/>
      </c>
      <c r="U4502" s="9" t="s">
        <v>13284</v>
      </c>
      <c r="V4502" s="9" t="s">
        <v>13284</v>
      </c>
      <c r="W4502" s="12"/>
      <c r="X4502" s="9" t="str">
        <f t="array" ref="X4502">IFERROR(INDEX('Адреса общежитий (скрытый)'!$B$2:$B$9, MATCH(W4502, 'Адреса общежитий (скрытый)'!$A$2:$A$9, 0)), "")</f>
        <v/>
      </c>
      <c r="Y4502" s="18"/>
      <c r="Z4502" s="18"/>
      <c r="AA4502" s="18"/>
      <c r="AB4502" s="18"/>
      <c r="AC4502" s="18"/>
    </row>
    <row r="4503" spans="1:29" ht="32.25" hidden="1" customHeight="1">
      <c r="A4503" s="17"/>
      <c r="B4503" s="9" t="s">
        <v>13284</v>
      </c>
      <c r="C4503" s="9" t="s">
        <v>13284</v>
      </c>
      <c r="D4503" s="9" t="s">
        <v>13284</v>
      </c>
      <c r="E4503" s="9" t="s">
        <v>13284</v>
      </c>
      <c r="F4503" s="9" t="s">
        <v>13284</v>
      </c>
      <c r="G4503" s="9" t="s">
        <v>13284</v>
      </c>
      <c r="H4503" s="9" t="s">
        <v>13284</v>
      </c>
      <c r="I4503" s="9" t="s">
        <v>13284</v>
      </c>
      <c r="J4503" s="9" t="s">
        <v>13284</v>
      </c>
      <c r="K4503" s="9" t="s">
        <v>13284</v>
      </c>
      <c r="L4503" s="9" t="s">
        <v>13284</v>
      </c>
      <c r="M4503" s="9" t="s">
        <v>13284</v>
      </c>
      <c r="N4503" s="9" t="s">
        <v>13284</v>
      </c>
      <c r="O4503" s="9" t="s">
        <v>13284</v>
      </c>
      <c r="P4503" s="9" t="s">
        <v>13284</v>
      </c>
      <c r="Q4503" s="9" t="s">
        <v>13284</v>
      </c>
      <c r="R4503" s="9" t="s">
        <v>13284</v>
      </c>
      <c r="S4503" s="9" t="s">
        <v>13284</v>
      </c>
      <c r="T4503" s="9" t="str">
        <f ca="1">IFERROR(IF(AND(VLOOKUP(A4503, 'Актуальное состояние (из общего'!A:C,3,0) = "", A4503 &lt;&gt; ""), "ПРОВЕРИТЬ", VLOOKUP(A4503, 'Актуальное состояние (из общего'!A:C,3,0)), "")</f>
        <v/>
      </c>
      <c r="U4503" s="9" t="s">
        <v>13284</v>
      </c>
      <c r="V4503" s="9" t="s">
        <v>13284</v>
      </c>
      <c r="W4503" s="12"/>
      <c r="X4503" s="9" t="str">
        <f t="array" ref="X4503">IFERROR(INDEX('Адреса общежитий (скрытый)'!$B$2:$B$9, MATCH(W4503, 'Адреса общежитий (скрытый)'!$A$2:$A$9, 0)), "")</f>
        <v/>
      </c>
      <c r="Y4503" s="18"/>
      <c r="Z4503" s="18"/>
      <c r="AA4503" s="18"/>
      <c r="AB4503" s="18"/>
      <c r="AC4503" s="18"/>
    </row>
    <row r="4504" spans="1:29" ht="32.25" hidden="1" customHeight="1">
      <c r="A4504" s="17"/>
      <c r="B4504" s="9" t="s">
        <v>13284</v>
      </c>
      <c r="C4504" s="9" t="s">
        <v>13284</v>
      </c>
      <c r="D4504" s="9" t="s">
        <v>13284</v>
      </c>
      <c r="E4504" s="9" t="s">
        <v>13284</v>
      </c>
      <c r="F4504" s="9" t="s">
        <v>13284</v>
      </c>
      <c r="G4504" s="9" t="s">
        <v>13284</v>
      </c>
      <c r="H4504" s="9" t="s">
        <v>13284</v>
      </c>
      <c r="I4504" s="9" t="s">
        <v>13284</v>
      </c>
      <c r="J4504" s="9" t="s">
        <v>13284</v>
      </c>
      <c r="K4504" s="9" t="s">
        <v>13284</v>
      </c>
      <c r="L4504" s="9" t="s">
        <v>13284</v>
      </c>
      <c r="M4504" s="9" t="s">
        <v>13284</v>
      </c>
      <c r="N4504" s="9" t="s">
        <v>13284</v>
      </c>
      <c r="O4504" s="9" t="s">
        <v>13284</v>
      </c>
      <c r="P4504" s="9" t="s">
        <v>13284</v>
      </c>
      <c r="Q4504" s="9" t="s">
        <v>13284</v>
      </c>
      <c r="R4504" s="9" t="s">
        <v>13284</v>
      </c>
      <c r="S4504" s="9" t="s">
        <v>13284</v>
      </c>
      <c r="T4504" s="9" t="str">
        <f ca="1">IFERROR(IF(AND(VLOOKUP(A4504, 'Актуальное состояние (из общего'!A:C,3,0) = "", A4504 &lt;&gt; ""), "ПРОВЕРИТЬ", VLOOKUP(A4504, 'Актуальное состояние (из общего'!A:C,3,0)), "")</f>
        <v/>
      </c>
      <c r="U4504" s="9" t="s">
        <v>13284</v>
      </c>
      <c r="V4504" s="9" t="s">
        <v>13284</v>
      </c>
      <c r="W4504" s="12"/>
      <c r="X4504" s="9" t="str">
        <f t="array" ref="X4504">IFERROR(INDEX('Адреса общежитий (скрытый)'!$B$2:$B$9, MATCH(W4504, 'Адреса общежитий (скрытый)'!$A$2:$A$9, 0)), "")</f>
        <v/>
      </c>
      <c r="Y4504" s="18"/>
      <c r="Z4504" s="18"/>
      <c r="AA4504" s="18"/>
      <c r="AB4504" s="18"/>
      <c r="AC4504" s="18"/>
    </row>
    <row r="4505" spans="1:29" ht="32.25" hidden="1" customHeight="1">
      <c r="A4505" s="17"/>
      <c r="B4505" s="9" t="s">
        <v>13284</v>
      </c>
      <c r="C4505" s="9" t="s">
        <v>13284</v>
      </c>
      <c r="D4505" s="9" t="s">
        <v>13284</v>
      </c>
      <c r="E4505" s="9" t="s">
        <v>13284</v>
      </c>
      <c r="F4505" s="9" t="s">
        <v>13284</v>
      </c>
      <c r="G4505" s="9" t="s">
        <v>13284</v>
      </c>
      <c r="H4505" s="9" t="s">
        <v>13284</v>
      </c>
      <c r="I4505" s="9" t="s">
        <v>13284</v>
      </c>
      <c r="J4505" s="9" t="s">
        <v>13284</v>
      </c>
      <c r="K4505" s="9" t="s">
        <v>13284</v>
      </c>
      <c r="L4505" s="9" t="s">
        <v>13284</v>
      </c>
      <c r="M4505" s="9" t="s">
        <v>13284</v>
      </c>
      <c r="N4505" s="9" t="s">
        <v>13284</v>
      </c>
      <c r="O4505" s="9" t="s">
        <v>13284</v>
      </c>
      <c r="P4505" s="9" t="s">
        <v>13284</v>
      </c>
      <c r="Q4505" s="9" t="s">
        <v>13284</v>
      </c>
      <c r="R4505" s="9" t="s">
        <v>13284</v>
      </c>
      <c r="S4505" s="9" t="s">
        <v>13284</v>
      </c>
      <c r="T4505" s="9" t="str">
        <f ca="1">IFERROR(IF(AND(VLOOKUP(A4505, 'Актуальное состояние (из общего'!A:C,3,0) = "", A4505 &lt;&gt; ""), "ПРОВЕРИТЬ", VLOOKUP(A4505, 'Актуальное состояние (из общего'!A:C,3,0)), "")</f>
        <v/>
      </c>
      <c r="U4505" s="9" t="s">
        <v>13284</v>
      </c>
      <c r="V4505" s="9" t="s">
        <v>13284</v>
      </c>
      <c r="W4505" s="12"/>
      <c r="X4505" s="9" t="str">
        <f t="array" ref="X4505">IFERROR(INDEX('Адреса общежитий (скрытый)'!$B$2:$B$9, MATCH(W4505, 'Адреса общежитий (скрытый)'!$A$2:$A$9, 0)), "")</f>
        <v/>
      </c>
      <c r="Y4505" s="18"/>
      <c r="Z4505" s="18"/>
      <c r="AA4505" s="18"/>
      <c r="AB4505" s="18"/>
      <c r="AC4505" s="18"/>
    </row>
    <row r="4506" spans="1:29" ht="32.25" hidden="1" customHeight="1">
      <c r="A4506" s="17"/>
      <c r="B4506" s="9" t="s">
        <v>13284</v>
      </c>
      <c r="C4506" s="9" t="s">
        <v>13284</v>
      </c>
      <c r="D4506" s="9" t="s">
        <v>13284</v>
      </c>
      <c r="E4506" s="9" t="s">
        <v>13284</v>
      </c>
      <c r="F4506" s="9" t="s">
        <v>13284</v>
      </c>
      <c r="G4506" s="9" t="s">
        <v>13284</v>
      </c>
      <c r="H4506" s="9" t="s">
        <v>13284</v>
      </c>
      <c r="I4506" s="9" t="s">
        <v>13284</v>
      </c>
      <c r="J4506" s="9" t="s">
        <v>13284</v>
      </c>
      <c r="K4506" s="9" t="s">
        <v>13284</v>
      </c>
      <c r="L4506" s="9" t="s">
        <v>13284</v>
      </c>
      <c r="M4506" s="9" t="s">
        <v>13284</v>
      </c>
      <c r="N4506" s="9" t="s">
        <v>13284</v>
      </c>
      <c r="O4506" s="9" t="s">
        <v>13284</v>
      </c>
      <c r="P4506" s="9" t="s">
        <v>13284</v>
      </c>
      <c r="Q4506" s="9" t="s">
        <v>13284</v>
      </c>
      <c r="R4506" s="9" t="s">
        <v>13284</v>
      </c>
      <c r="S4506" s="9" t="s">
        <v>13284</v>
      </c>
      <c r="T4506" s="9" t="str">
        <f ca="1">IFERROR(IF(AND(VLOOKUP(A4506, 'Актуальное состояние (из общего'!A:C,3,0) = "", A4506 &lt;&gt; ""), "ПРОВЕРИТЬ", VLOOKUP(A4506, 'Актуальное состояние (из общего'!A:C,3,0)), "")</f>
        <v/>
      </c>
      <c r="U4506" s="9" t="s">
        <v>13284</v>
      </c>
      <c r="V4506" s="9" t="s">
        <v>13284</v>
      </c>
      <c r="W4506" s="12"/>
      <c r="X4506" s="9" t="str">
        <f t="array" ref="X4506">IFERROR(INDEX('Адреса общежитий (скрытый)'!$B$2:$B$9, MATCH(W4506, 'Адреса общежитий (скрытый)'!$A$2:$A$9, 0)), "")</f>
        <v/>
      </c>
      <c r="Y4506" s="18"/>
      <c r="Z4506" s="18"/>
      <c r="AA4506" s="18"/>
      <c r="AB4506" s="18"/>
      <c r="AC4506" s="18"/>
    </row>
    <row r="4507" spans="1:29" ht="32.25" hidden="1" customHeight="1">
      <c r="A4507" s="17"/>
      <c r="B4507" s="9" t="s">
        <v>13284</v>
      </c>
      <c r="C4507" s="9" t="s">
        <v>13284</v>
      </c>
      <c r="D4507" s="9" t="s">
        <v>13284</v>
      </c>
      <c r="E4507" s="9" t="s">
        <v>13284</v>
      </c>
      <c r="F4507" s="9" t="s">
        <v>13284</v>
      </c>
      <c r="G4507" s="9" t="s">
        <v>13284</v>
      </c>
      <c r="H4507" s="9" t="s">
        <v>13284</v>
      </c>
      <c r="I4507" s="9" t="s">
        <v>13284</v>
      </c>
      <c r="J4507" s="9" t="s">
        <v>13284</v>
      </c>
      <c r="K4507" s="9" t="s">
        <v>13284</v>
      </c>
      <c r="L4507" s="9" t="s">
        <v>13284</v>
      </c>
      <c r="M4507" s="9" t="s">
        <v>13284</v>
      </c>
      <c r="N4507" s="9" t="s">
        <v>13284</v>
      </c>
      <c r="O4507" s="9" t="s">
        <v>13284</v>
      </c>
      <c r="P4507" s="9" t="s">
        <v>13284</v>
      </c>
      <c r="Q4507" s="9" t="s">
        <v>13284</v>
      </c>
      <c r="R4507" s="9" t="s">
        <v>13284</v>
      </c>
      <c r="S4507" s="9" t="s">
        <v>13284</v>
      </c>
      <c r="T4507" s="9" t="str">
        <f ca="1">IFERROR(IF(AND(VLOOKUP(A4507, 'Актуальное состояние (из общего'!A:C,3,0) = "", A4507 &lt;&gt; ""), "ПРОВЕРИТЬ", VLOOKUP(A4507, 'Актуальное состояние (из общего'!A:C,3,0)), "")</f>
        <v/>
      </c>
      <c r="U4507" s="9" t="s">
        <v>13284</v>
      </c>
      <c r="V4507" s="9" t="s">
        <v>13284</v>
      </c>
      <c r="W4507" s="12"/>
      <c r="X4507" s="9" t="str">
        <f t="array" ref="X4507">IFERROR(INDEX('Адреса общежитий (скрытый)'!$B$2:$B$9, MATCH(W4507, 'Адреса общежитий (скрытый)'!$A$2:$A$9, 0)), "")</f>
        <v/>
      </c>
      <c r="Y4507" s="18"/>
      <c r="Z4507" s="18"/>
      <c r="AA4507" s="18"/>
      <c r="AB4507" s="18"/>
      <c r="AC4507" s="18"/>
    </row>
    <row r="4508" spans="1:29" ht="32.25" hidden="1" customHeight="1">
      <c r="A4508" s="17"/>
      <c r="B4508" s="9" t="s">
        <v>13284</v>
      </c>
      <c r="C4508" s="9" t="s">
        <v>13284</v>
      </c>
      <c r="D4508" s="9" t="s">
        <v>13284</v>
      </c>
      <c r="E4508" s="9" t="s">
        <v>13284</v>
      </c>
      <c r="F4508" s="9" t="s">
        <v>13284</v>
      </c>
      <c r="G4508" s="9" t="s">
        <v>13284</v>
      </c>
      <c r="H4508" s="9" t="s">
        <v>13284</v>
      </c>
      <c r="I4508" s="9" t="s">
        <v>13284</v>
      </c>
      <c r="J4508" s="9" t="s">
        <v>13284</v>
      </c>
      <c r="K4508" s="9" t="s">
        <v>13284</v>
      </c>
      <c r="L4508" s="9" t="s">
        <v>13284</v>
      </c>
      <c r="M4508" s="9" t="s">
        <v>13284</v>
      </c>
      <c r="N4508" s="9" t="s">
        <v>13284</v>
      </c>
      <c r="O4508" s="9" t="s">
        <v>13284</v>
      </c>
      <c r="P4508" s="9" t="s">
        <v>13284</v>
      </c>
      <c r="Q4508" s="9" t="s">
        <v>13284</v>
      </c>
      <c r="R4508" s="9" t="s">
        <v>13284</v>
      </c>
      <c r="S4508" s="9" t="s">
        <v>13284</v>
      </c>
      <c r="T4508" s="9" t="str">
        <f ca="1">IFERROR(IF(AND(VLOOKUP(A4508, 'Актуальное состояние (из общего'!A:C,3,0) = "", A4508 &lt;&gt; ""), "ПРОВЕРИТЬ", VLOOKUP(A4508, 'Актуальное состояние (из общего'!A:C,3,0)), "")</f>
        <v/>
      </c>
      <c r="U4508" s="9" t="s">
        <v>13284</v>
      </c>
      <c r="V4508" s="9" t="s">
        <v>13284</v>
      </c>
      <c r="W4508" s="12"/>
      <c r="X4508" s="9" t="str">
        <f t="array" ref="X4508">IFERROR(INDEX('Адреса общежитий (скрытый)'!$B$2:$B$9, MATCH(W4508, 'Адреса общежитий (скрытый)'!$A$2:$A$9, 0)), "")</f>
        <v/>
      </c>
      <c r="Y4508" s="18"/>
      <c r="Z4508" s="18"/>
      <c r="AA4508" s="18"/>
      <c r="AB4508" s="18"/>
      <c r="AC4508" s="18"/>
    </row>
    <row r="4509" spans="1:29" ht="32.25" hidden="1" customHeight="1">
      <c r="A4509" s="17"/>
      <c r="B4509" s="9" t="s">
        <v>13284</v>
      </c>
      <c r="C4509" s="9" t="s">
        <v>13284</v>
      </c>
      <c r="D4509" s="9" t="s">
        <v>13284</v>
      </c>
      <c r="E4509" s="9" t="s">
        <v>13284</v>
      </c>
      <c r="F4509" s="9" t="s">
        <v>13284</v>
      </c>
      <c r="G4509" s="9" t="s">
        <v>13284</v>
      </c>
      <c r="H4509" s="9" t="s">
        <v>13284</v>
      </c>
      <c r="I4509" s="9" t="s">
        <v>13284</v>
      </c>
      <c r="J4509" s="9" t="s">
        <v>13284</v>
      </c>
      <c r="K4509" s="9" t="s">
        <v>13284</v>
      </c>
      <c r="L4509" s="9" t="s">
        <v>13284</v>
      </c>
      <c r="M4509" s="9" t="s">
        <v>13284</v>
      </c>
      <c r="N4509" s="9" t="s">
        <v>13284</v>
      </c>
      <c r="O4509" s="9" t="s">
        <v>13284</v>
      </c>
      <c r="P4509" s="9" t="s">
        <v>13284</v>
      </c>
      <c r="Q4509" s="9" t="s">
        <v>13284</v>
      </c>
      <c r="R4509" s="9" t="s">
        <v>13284</v>
      </c>
      <c r="S4509" s="9" t="s">
        <v>13284</v>
      </c>
      <c r="T4509" s="9" t="str">
        <f ca="1">IFERROR(IF(AND(VLOOKUP(A4509, 'Актуальное состояние (из общего'!A:C,3,0) = "", A4509 &lt;&gt; ""), "ПРОВЕРИТЬ", VLOOKUP(A4509, 'Актуальное состояние (из общего'!A:C,3,0)), "")</f>
        <v/>
      </c>
      <c r="U4509" s="9" t="s">
        <v>13284</v>
      </c>
      <c r="V4509" s="9" t="s">
        <v>13284</v>
      </c>
      <c r="W4509" s="12"/>
      <c r="X4509" s="9" t="str">
        <f t="array" ref="X4509">IFERROR(INDEX('Адреса общежитий (скрытый)'!$B$2:$B$9, MATCH(W4509, 'Адреса общежитий (скрытый)'!$A$2:$A$9, 0)), "")</f>
        <v/>
      </c>
      <c r="Y4509" s="18"/>
      <c r="Z4509" s="18"/>
      <c r="AA4509" s="18"/>
      <c r="AB4509" s="18"/>
      <c r="AC4509" s="18"/>
    </row>
    <row r="4510" spans="1:29" ht="32.25" hidden="1" customHeight="1">
      <c r="A4510" s="17"/>
      <c r="B4510" s="9" t="s">
        <v>13284</v>
      </c>
      <c r="C4510" s="9" t="s">
        <v>13284</v>
      </c>
      <c r="D4510" s="9" t="s">
        <v>13284</v>
      </c>
      <c r="E4510" s="9" t="s">
        <v>13284</v>
      </c>
      <c r="F4510" s="9" t="s">
        <v>13284</v>
      </c>
      <c r="G4510" s="9" t="s">
        <v>13284</v>
      </c>
      <c r="H4510" s="9" t="s">
        <v>13284</v>
      </c>
      <c r="I4510" s="9" t="s">
        <v>13284</v>
      </c>
      <c r="J4510" s="9" t="s">
        <v>13284</v>
      </c>
      <c r="K4510" s="9" t="s">
        <v>13284</v>
      </c>
      <c r="L4510" s="9" t="s">
        <v>13284</v>
      </c>
      <c r="M4510" s="9" t="s">
        <v>13284</v>
      </c>
      <c r="N4510" s="9" t="s">
        <v>13284</v>
      </c>
      <c r="O4510" s="9" t="s">
        <v>13284</v>
      </c>
      <c r="P4510" s="9" t="s">
        <v>13284</v>
      </c>
      <c r="Q4510" s="9" t="s">
        <v>13284</v>
      </c>
      <c r="R4510" s="9" t="s">
        <v>13284</v>
      </c>
      <c r="S4510" s="9" t="s">
        <v>13284</v>
      </c>
      <c r="T4510" s="9" t="str">
        <f ca="1">IFERROR(IF(AND(VLOOKUP(A4510, 'Актуальное состояние (из общего'!A:C,3,0) = "", A4510 &lt;&gt; ""), "ПРОВЕРИТЬ", VLOOKUP(A4510, 'Актуальное состояние (из общего'!A:C,3,0)), "")</f>
        <v/>
      </c>
      <c r="U4510" s="9" t="s">
        <v>13284</v>
      </c>
      <c r="V4510" s="9" t="s">
        <v>13284</v>
      </c>
      <c r="W4510" s="12"/>
      <c r="X4510" s="9" t="str">
        <f t="array" ref="X4510">IFERROR(INDEX('Адреса общежитий (скрытый)'!$B$2:$B$9, MATCH(W4510, 'Адреса общежитий (скрытый)'!$A$2:$A$9, 0)), "")</f>
        <v/>
      </c>
      <c r="Y4510" s="18"/>
      <c r="Z4510" s="18"/>
      <c r="AA4510" s="18"/>
      <c r="AB4510" s="18"/>
      <c r="AC4510" s="18"/>
    </row>
    <row r="4511" spans="1:29" ht="32.25" hidden="1" customHeight="1">
      <c r="A4511" s="17"/>
      <c r="B4511" s="9" t="s">
        <v>13284</v>
      </c>
      <c r="C4511" s="9" t="s">
        <v>13284</v>
      </c>
      <c r="D4511" s="9" t="s">
        <v>13284</v>
      </c>
      <c r="E4511" s="9" t="s">
        <v>13284</v>
      </c>
      <c r="F4511" s="9" t="s">
        <v>13284</v>
      </c>
      <c r="G4511" s="9" t="s">
        <v>13284</v>
      </c>
      <c r="H4511" s="9" t="s">
        <v>13284</v>
      </c>
      <c r="I4511" s="9" t="s">
        <v>13284</v>
      </c>
      <c r="J4511" s="9" t="s">
        <v>13284</v>
      </c>
      <c r="K4511" s="9" t="s">
        <v>13284</v>
      </c>
      <c r="L4511" s="9" t="s">
        <v>13284</v>
      </c>
      <c r="M4511" s="9" t="s">
        <v>13284</v>
      </c>
      <c r="N4511" s="9" t="s">
        <v>13284</v>
      </c>
      <c r="O4511" s="9" t="s">
        <v>13284</v>
      </c>
      <c r="P4511" s="9" t="s">
        <v>13284</v>
      </c>
      <c r="Q4511" s="9" t="s">
        <v>13284</v>
      </c>
      <c r="R4511" s="9" t="s">
        <v>13284</v>
      </c>
      <c r="S4511" s="9" t="s">
        <v>13284</v>
      </c>
      <c r="T4511" s="9" t="str">
        <f ca="1">IFERROR(IF(AND(VLOOKUP(A4511, 'Актуальное состояние (из общего'!A:C,3,0) = "", A4511 &lt;&gt; ""), "ПРОВЕРИТЬ", VLOOKUP(A4511, 'Актуальное состояние (из общего'!A:C,3,0)), "")</f>
        <v/>
      </c>
      <c r="U4511" s="9" t="s">
        <v>13284</v>
      </c>
      <c r="V4511" s="9" t="s">
        <v>13284</v>
      </c>
      <c r="W4511" s="12"/>
      <c r="X4511" s="9" t="str">
        <f t="array" ref="X4511">IFERROR(INDEX('Адреса общежитий (скрытый)'!$B$2:$B$9, MATCH(W4511, 'Адреса общежитий (скрытый)'!$A$2:$A$9, 0)), "")</f>
        <v/>
      </c>
      <c r="Y4511" s="18"/>
      <c r="Z4511" s="18"/>
      <c r="AA4511" s="18"/>
      <c r="AB4511" s="18"/>
      <c r="AC4511" s="18"/>
    </row>
    <row r="4512" spans="1:29" ht="32.25" hidden="1" customHeight="1">
      <c r="A4512" s="17"/>
      <c r="B4512" s="9" t="s">
        <v>13284</v>
      </c>
      <c r="C4512" s="9" t="s">
        <v>13284</v>
      </c>
      <c r="D4512" s="9" t="s">
        <v>13284</v>
      </c>
      <c r="E4512" s="9" t="s">
        <v>13284</v>
      </c>
      <c r="F4512" s="9" t="s">
        <v>13284</v>
      </c>
      <c r="G4512" s="9" t="s">
        <v>13284</v>
      </c>
      <c r="H4512" s="9" t="s">
        <v>13284</v>
      </c>
      <c r="I4512" s="9" t="s">
        <v>13284</v>
      </c>
      <c r="J4512" s="9" t="s">
        <v>13284</v>
      </c>
      <c r="K4512" s="9" t="s">
        <v>13284</v>
      </c>
      <c r="L4512" s="9" t="s">
        <v>13284</v>
      </c>
      <c r="M4512" s="9" t="s">
        <v>13284</v>
      </c>
      <c r="N4512" s="9" t="s">
        <v>13284</v>
      </c>
      <c r="O4512" s="9" t="s">
        <v>13284</v>
      </c>
      <c r="P4512" s="9" t="s">
        <v>13284</v>
      </c>
      <c r="Q4512" s="9" t="s">
        <v>13284</v>
      </c>
      <c r="R4512" s="9" t="s">
        <v>13284</v>
      </c>
      <c r="S4512" s="9" t="s">
        <v>13284</v>
      </c>
      <c r="T4512" s="9" t="str">
        <f ca="1">IFERROR(IF(AND(VLOOKUP(A4512, 'Актуальное состояние (из общего'!A:C,3,0) = "", A4512 &lt;&gt; ""), "ПРОВЕРИТЬ", VLOOKUP(A4512, 'Актуальное состояние (из общего'!A:C,3,0)), "")</f>
        <v/>
      </c>
      <c r="U4512" s="9" t="s">
        <v>13284</v>
      </c>
      <c r="V4512" s="9" t="s">
        <v>13284</v>
      </c>
      <c r="W4512" s="12"/>
      <c r="X4512" s="9" t="str">
        <f t="array" ref="X4512">IFERROR(INDEX('Адреса общежитий (скрытый)'!$B$2:$B$9, MATCH(W4512, 'Адреса общежитий (скрытый)'!$A$2:$A$9, 0)), "")</f>
        <v/>
      </c>
      <c r="Y4512" s="18"/>
      <c r="Z4512" s="18"/>
      <c r="AA4512" s="18"/>
      <c r="AB4512" s="18"/>
      <c r="AC4512" s="18"/>
    </row>
    <row r="4513" spans="1:29" ht="32.25" hidden="1" customHeight="1">
      <c r="A4513" s="17"/>
      <c r="B4513" s="9" t="s">
        <v>13284</v>
      </c>
      <c r="C4513" s="9" t="s">
        <v>13284</v>
      </c>
      <c r="D4513" s="9" t="s">
        <v>13284</v>
      </c>
      <c r="E4513" s="9" t="s">
        <v>13284</v>
      </c>
      <c r="F4513" s="9" t="s">
        <v>13284</v>
      </c>
      <c r="G4513" s="9" t="s">
        <v>13284</v>
      </c>
      <c r="H4513" s="9" t="s">
        <v>13284</v>
      </c>
      <c r="I4513" s="9" t="s">
        <v>13284</v>
      </c>
      <c r="J4513" s="9" t="s">
        <v>13284</v>
      </c>
      <c r="K4513" s="9" t="s">
        <v>13284</v>
      </c>
      <c r="L4513" s="9" t="s">
        <v>13284</v>
      </c>
      <c r="M4513" s="9" t="s">
        <v>13284</v>
      </c>
      <c r="N4513" s="9" t="s">
        <v>13284</v>
      </c>
      <c r="O4513" s="9" t="s">
        <v>13284</v>
      </c>
      <c r="P4513" s="9" t="s">
        <v>13284</v>
      </c>
      <c r="Q4513" s="9" t="s">
        <v>13284</v>
      </c>
      <c r="R4513" s="9" t="s">
        <v>13284</v>
      </c>
      <c r="S4513" s="9" t="s">
        <v>13284</v>
      </c>
      <c r="T4513" s="9" t="str">
        <f ca="1">IFERROR(IF(AND(VLOOKUP(A4513, 'Актуальное состояние (из общего'!A:C,3,0) = "", A4513 &lt;&gt; ""), "ПРОВЕРИТЬ", VLOOKUP(A4513, 'Актуальное состояние (из общего'!A:C,3,0)), "")</f>
        <v/>
      </c>
      <c r="U4513" s="9" t="s">
        <v>13284</v>
      </c>
      <c r="V4513" s="9" t="s">
        <v>13284</v>
      </c>
      <c r="W4513" s="12"/>
      <c r="X4513" s="9" t="str">
        <f t="array" ref="X4513">IFERROR(INDEX('Адреса общежитий (скрытый)'!$B$2:$B$9, MATCH(W4513, 'Адреса общежитий (скрытый)'!$A$2:$A$9, 0)), "")</f>
        <v/>
      </c>
      <c r="Y4513" s="18"/>
      <c r="Z4513" s="18"/>
      <c r="AA4513" s="18"/>
      <c r="AB4513" s="18"/>
      <c r="AC4513" s="18"/>
    </row>
    <row r="4514" spans="1:29" ht="32.25" hidden="1" customHeight="1">
      <c r="A4514" s="17"/>
      <c r="B4514" s="9" t="s">
        <v>13284</v>
      </c>
      <c r="C4514" s="9" t="s">
        <v>13284</v>
      </c>
      <c r="D4514" s="9" t="s">
        <v>13284</v>
      </c>
      <c r="E4514" s="9" t="s">
        <v>13284</v>
      </c>
      <c r="F4514" s="9" t="s">
        <v>13284</v>
      </c>
      <c r="G4514" s="9" t="s">
        <v>13284</v>
      </c>
      <c r="H4514" s="9" t="s">
        <v>13284</v>
      </c>
      <c r="I4514" s="9" t="s">
        <v>13284</v>
      </c>
      <c r="J4514" s="9" t="s">
        <v>13284</v>
      </c>
      <c r="K4514" s="9" t="s">
        <v>13284</v>
      </c>
      <c r="L4514" s="9" t="s">
        <v>13284</v>
      </c>
      <c r="M4514" s="9" t="s">
        <v>13284</v>
      </c>
      <c r="N4514" s="9" t="s">
        <v>13284</v>
      </c>
      <c r="O4514" s="9" t="s">
        <v>13284</v>
      </c>
      <c r="P4514" s="9" t="s">
        <v>13284</v>
      </c>
      <c r="Q4514" s="9" t="s">
        <v>13284</v>
      </c>
      <c r="R4514" s="9" t="s">
        <v>13284</v>
      </c>
      <c r="S4514" s="9" t="s">
        <v>13284</v>
      </c>
      <c r="T4514" s="9" t="str">
        <f ca="1">IFERROR(IF(AND(VLOOKUP(A4514, 'Актуальное состояние (из общего'!A:C,3,0) = "", A4514 &lt;&gt; ""), "ПРОВЕРИТЬ", VLOOKUP(A4514, 'Актуальное состояние (из общего'!A:C,3,0)), "")</f>
        <v/>
      </c>
      <c r="U4514" s="9" t="s">
        <v>13284</v>
      </c>
      <c r="V4514" s="9" t="s">
        <v>13284</v>
      </c>
      <c r="W4514" s="12"/>
      <c r="X4514" s="9" t="str">
        <f t="array" ref="X4514">IFERROR(INDEX('Адреса общежитий (скрытый)'!$B$2:$B$9, MATCH(W4514, 'Адреса общежитий (скрытый)'!$A$2:$A$9, 0)), "")</f>
        <v/>
      </c>
      <c r="Y4514" s="18"/>
      <c r="Z4514" s="18"/>
      <c r="AA4514" s="18"/>
      <c r="AB4514" s="18"/>
      <c r="AC4514" s="18"/>
    </row>
    <row r="4515" spans="1:29" ht="32.25" hidden="1" customHeight="1">
      <c r="A4515" s="17"/>
      <c r="B4515" s="9" t="s">
        <v>13284</v>
      </c>
      <c r="C4515" s="9" t="s">
        <v>13284</v>
      </c>
      <c r="D4515" s="9" t="s">
        <v>13284</v>
      </c>
      <c r="E4515" s="9" t="s">
        <v>13284</v>
      </c>
      <c r="F4515" s="9" t="s">
        <v>13284</v>
      </c>
      <c r="G4515" s="9" t="s">
        <v>13284</v>
      </c>
      <c r="H4515" s="9" t="s">
        <v>13284</v>
      </c>
      <c r="I4515" s="9" t="s">
        <v>13284</v>
      </c>
      <c r="J4515" s="9" t="s">
        <v>13284</v>
      </c>
      <c r="K4515" s="9" t="s">
        <v>13284</v>
      </c>
      <c r="L4515" s="9" t="s">
        <v>13284</v>
      </c>
      <c r="M4515" s="9" t="s">
        <v>13284</v>
      </c>
      <c r="N4515" s="9" t="s">
        <v>13284</v>
      </c>
      <c r="O4515" s="9" t="s">
        <v>13284</v>
      </c>
      <c r="P4515" s="9" t="s">
        <v>13284</v>
      </c>
      <c r="Q4515" s="9" t="s">
        <v>13284</v>
      </c>
      <c r="R4515" s="9" t="s">
        <v>13284</v>
      </c>
      <c r="S4515" s="9" t="s">
        <v>13284</v>
      </c>
      <c r="T4515" s="9" t="str">
        <f ca="1">IFERROR(IF(AND(VLOOKUP(A4515, 'Актуальное состояние (из общего'!A:C,3,0) = "", A4515 &lt;&gt; ""), "ПРОВЕРИТЬ", VLOOKUP(A4515, 'Актуальное состояние (из общего'!A:C,3,0)), "")</f>
        <v/>
      </c>
      <c r="U4515" s="9" t="s">
        <v>13284</v>
      </c>
      <c r="V4515" s="9" t="s">
        <v>13284</v>
      </c>
      <c r="W4515" s="12"/>
      <c r="X4515" s="9" t="str">
        <f t="array" ref="X4515">IFERROR(INDEX('Адреса общежитий (скрытый)'!$B$2:$B$9, MATCH(W4515, 'Адреса общежитий (скрытый)'!$A$2:$A$9, 0)), "")</f>
        <v/>
      </c>
      <c r="Y4515" s="18"/>
      <c r="Z4515" s="18"/>
      <c r="AA4515" s="18"/>
      <c r="AB4515" s="18"/>
      <c r="AC4515" s="18"/>
    </row>
    <row r="4516" spans="1:29" ht="32.25" hidden="1" customHeight="1">
      <c r="A4516" s="17"/>
      <c r="B4516" s="9" t="s">
        <v>13284</v>
      </c>
      <c r="C4516" s="9" t="s">
        <v>13284</v>
      </c>
      <c r="D4516" s="9" t="s">
        <v>13284</v>
      </c>
      <c r="E4516" s="9" t="s">
        <v>13284</v>
      </c>
      <c r="F4516" s="9" t="s">
        <v>13284</v>
      </c>
      <c r="G4516" s="9" t="s">
        <v>13284</v>
      </c>
      <c r="H4516" s="9" t="s">
        <v>13284</v>
      </c>
      <c r="I4516" s="9" t="s">
        <v>13284</v>
      </c>
      <c r="J4516" s="9" t="s">
        <v>13284</v>
      </c>
      <c r="K4516" s="9" t="s">
        <v>13284</v>
      </c>
      <c r="L4516" s="9" t="s">
        <v>13284</v>
      </c>
      <c r="M4516" s="9" t="s">
        <v>13284</v>
      </c>
      <c r="N4516" s="9" t="s">
        <v>13284</v>
      </c>
      <c r="O4516" s="9" t="s">
        <v>13284</v>
      </c>
      <c r="P4516" s="9" t="s">
        <v>13284</v>
      </c>
      <c r="Q4516" s="9" t="s">
        <v>13284</v>
      </c>
      <c r="R4516" s="9" t="s">
        <v>13284</v>
      </c>
      <c r="S4516" s="9" t="s">
        <v>13284</v>
      </c>
      <c r="T4516" s="9" t="str">
        <f ca="1">IFERROR(IF(AND(VLOOKUP(A4516, 'Актуальное состояние (из общего'!A:C,3,0) = "", A4516 &lt;&gt; ""), "ПРОВЕРИТЬ", VLOOKUP(A4516, 'Актуальное состояние (из общего'!A:C,3,0)), "")</f>
        <v/>
      </c>
      <c r="U4516" s="9" t="s">
        <v>13284</v>
      </c>
      <c r="V4516" s="9" t="s">
        <v>13284</v>
      </c>
      <c r="W4516" s="12"/>
      <c r="X4516" s="9" t="str">
        <f t="array" ref="X4516">IFERROR(INDEX('Адреса общежитий (скрытый)'!$B$2:$B$9, MATCH(W4516, 'Адреса общежитий (скрытый)'!$A$2:$A$9, 0)), "")</f>
        <v/>
      </c>
      <c r="Y4516" s="18"/>
      <c r="Z4516" s="18"/>
      <c r="AA4516" s="18"/>
      <c r="AB4516" s="18"/>
      <c r="AC4516" s="18"/>
    </row>
    <row r="4517" spans="1:29" ht="32.25" hidden="1" customHeight="1">
      <c r="A4517" s="17"/>
      <c r="B4517" s="9" t="s">
        <v>13284</v>
      </c>
      <c r="C4517" s="9" t="s">
        <v>13284</v>
      </c>
      <c r="D4517" s="9" t="s">
        <v>13284</v>
      </c>
      <c r="E4517" s="9" t="s">
        <v>13284</v>
      </c>
      <c r="F4517" s="9" t="s">
        <v>13284</v>
      </c>
      <c r="G4517" s="9" t="s">
        <v>13284</v>
      </c>
      <c r="H4517" s="9" t="s">
        <v>13284</v>
      </c>
      <c r="I4517" s="9" t="s">
        <v>13284</v>
      </c>
      <c r="J4517" s="9" t="s">
        <v>13284</v>
      </c>
      <c r="K4517" s="9" t="s">
        <v>13284</v>
      </c>
      <c r="L4517" s="9" t="s">
        <v>13284</v>
      </c>
      <c r="M4517" s="9" t="s">
        <v>13284</v>
      </c>
      <c r="N4517" s="9" t="s">
        <v>13284</v>
      </c>
      <c r="O4517" s="9" t="s">
        <v>13284</v>
      </c>
      <c r="P4517" s="9" t="s">
        <v>13284</v>
      </c>
      <c r="Q4517" s="9" t="s">
        <v>13284</v>
      </c>
      <c r="R4517" s="9" t="s">
        <v>13284</v>
      </c>
      <c r="S4517" s="9" t="s">
        <v>13284</v>
      </c>
      <c r="T4517" s="9" t="str">
        <f ca="1">IFERROR(IF(AND(VLOOKUP(A4517, 'Актуальное состояние (из общего'!A:C,3,0) = "", A4517 &lt;&gt; ""), "ПРОВЕРИТЬ", VLOOKUP(A4517, 'Актуальное состояние (из общего'!A:C,3,0)), "")</f>
        <v/>
      </c>
      <c r="U4517" s="9" t="s">
        <v>13284</v>
      </c>
      <c r="V4517" s="9" t="s">
        <v>13284</v>
      </c>
      <c r="W4517" s="12"/>
      <c r="X4517" s="9" t="str">
        <f t="array" ref="X4517">IFERROR(INDEX('Адреса общежитий (скрытый)'!$B$2:$B$9, MATCH(W4517, 'Адреса общежитий (скрытый)'!$A$2:$A$9, 0)), "")</f>
        <v/>
      </c>
      <c r="Y4517" s="18"/>
      <c r="Z4517" s="18"/>
      <c r="AA4517" s="18"/>
      <c r="AB4517" s="18"/>
      <c r="AC4517" s="18"/>
    </row>
    <row r="4518" spans="1:29" ht="32.25" hidden="1" customHeight="1">
      <c r="A4518" s="17"/>
      <c r="B4518" s="9" t="s">
        <v>13284</v>
      </c>
      <c r="C4518" s="9" t="s">
        <v>13284</v>
      </c>
      <c r="D4518" s="9" t="s">
        <v>13284</v>
      </c>
      <c r="E4518" s="9" t="s">
        <v>13284</v>
      </c>
      <c r="F4518" s="9" t="s">
        <v>13284</v>
      </c>
      <c r="G4518" s="9" t="s">
        <v>13284</v>
      </c>
      <c r="H4518" s="9" t="s">
        <v>13284</v>
      </c>
      <c r="I4518" s="9" t="s">
        <v>13284</v>
      </c>
      <c r="J4518" s="9" t="s">
        <v>13284</v>
      </c>
      <c r="K4518" s="9" t="s">
        <v>13284</v>
      </c>
      <c r="L4518" s="9" t="s">
        <v>13284</v>
      </c>
      <c r="M4518" s="9" t="s">
        <v>13284</v>
      </c>
      <c r="N4518" s="9" t="s">
        <v>13284</v>
      </c>
      <c r="O4518" s="9" t="s">
        <v>13284</v>
      </c>
      <c r="P4518" s="9" t="s">
        <v>13284</v>
      </c>
      <c r="Q4518" s="9" t="s">
        <v>13284</v>
      </c>
      <c r="R4518" s="9" t="s">
        <v>13284</v>
      </c>
      <c r="S4518" s="9" t="s">
        <v>13284</v>
      </c>
      <c r="T4518" s="9" t="str">
        <f ca="1">IFERROR(IF(AND(VLOOKUP(A4518, 'Актуальное состояние (из общего'!A:C,3,0) = "", A4518 &lt;&gt; ""), "ПРОВЕРИТЬ", VLOOKUP(A4518, 'Актуальное состояние (из общего'!A:C,3,0)), "")</f>
        <v/>
      </c>
      <c r="U4518" s="9" t="s">
        <v>13284</v>
      </c>
      <c r="V4518" s="9" t="s">
        <v>13284</v>
      </c>
      <c r="W4518" s="12"/>
      <c r="X4518" s="9" t="str">
        <f t="array" ref="X4518">IFERROR(INDEX('Адреса общежитий (скрытый)'!$B$2:$B$9, MATCH(W4518, 'Адреса общежитий (скрытый)'!$A$2:$A$9, 0)), "")</f>
        <v/>
      </c>
      <c r="Y4518" s="18"/>
      <c r="Z4518" s="18"/>
      <c r="AA4518" s="18"/>
      <c r="AB4518" s="18"/>
      <c r="AC4518" s="18"/>
    </row>
    <row r="4519" spans="1:29" ht="32.25" hidden="1" customHeight="1">
      <c r="A4519" s="17"/>
      <c r="B4519" s="9" t="s">
        <v>13284</v>
      </c>
      <c r="C4519" s="9" t="s">
        <v>13284</v>
      </c>
      <c r="D4519" s="9" t="s">
        <v>13284</v>
      </c>
      <c r="E4519" s="9" t="s">
        <v>13284</v>
      </c>
      <c r="F4519" s="9" t="s">
        <v>13284</v>
      </c>
      <c r="G4519" s="9" t="s">
        <v>13284</v>
      </c>
      <c r="H4519" s="9" t="s">
        <v>13284</v>
      </c>
      <c r="I4519" s="9" t="s">
        <v>13284</v>
      </c>
      <c r="J4519" s="9" t="s">
        <v>13284</v>
      </c>
      <c r="K4519" s="9" t="s">
        <v>13284</v>
      </c>
      <c r="L4519" s="9" t="s">
        <v>13284</v>
      </c>
      <c r="M4519" s="9" t="s">
        <v>13284</v>
      </c>
      <c r="N4519" s="9" t="s">
        <v>13284</v>
      </c>
      <c r="O4519" s="9" t="s">
        <v>13284</v>
      </c>
      <c r="P4519" s="9" t="s">
        <v>13284</v>
      </c>
      <c r="Q4519" s="9" t="s">
        <v>13284</v>
      </c>
      <c r="R4519" s="9" t="s">
        <v>13284</v>
      </c>
      <c r="S4519" s="9" t="s">
        <v>13284</v>
      </c>
      <c r="T4519" s="9" t="str">
        <f ca="1">IFERROR(IF(AND(VLOOKUP(A4519, 'Актуальное состояние (из общего'!A:C,3,0) = "", A4519 &lt;&gt; ""), "ПРОВЕРИТЬ", VLOOKUP(A4519, 'Актуальное состояние (из общего'!A:C,3,0)), "")</f>
        <v/>
      </c>
      <c r="U4519" s="9" t="s">
        <v>13284</v>
      </c>
      <c r="V4519" s="9" t="s">
        <v>13284</v>
      </c>
      <c r="W4519" s="12"/>
      <c r="X4519" s="9" t="str">
        <f t="array" ref="X4519">IFERROR(INDEX('Адреса общежитий (скрытый)'!$B$2:$B$9, MATCH(W4519, 'Адреса общежитий (скрытый)'!$A$2:$A$9, 0)), "")</f>
        <v/>
      </c>
      <c r="Y4519" s="18"/>
      <c r="Z4519" s="18"/>
      <c r="AA4519" s="18"/>
      <c r="AB4519" s="18"/>
      <c r="AC4519" s="18"/>
    </row>
    <row r="4520" spans="1:29" ht="32.25" hidden="1" customHeight="1">
      <c r="A4520" s="17"/>
      <c r="B4520" s="9" t="s">
        <v>13284</v>
      </c>
      <c r="C4520" s="9" t="s">
        <v>13284</v>
      </c>
      <c r="D4520" s="9" t="s">
        <v>13284</v>
      </c>
      <c r="E4520" s="9" t="s">
        <v>13284</v>
      </c>
      <c r="F4520" s="9" t="s">
        <v>13284</v>
      </c>
      <c r="G4520" s="9" t="s">
        <v>13284</v>
      </c>
      <c r="H4520" s="9" t="s">
        <v>13284</v>
      </c>
      <c r="I4520" s="9" t="s">
        <v>13284</v>
      </c>
      <c r="J4520" s="9" t="s">
        <v>13284</v>
      </c>
      <c r="K4520" s="9" t="s">
        <v>13284</v>
      </c>
      <c r="L4520" s="9" t="s">
        <v>13284</v>
      </c>
      <c r="M4520" s="9" t="s">
        <v>13284</v>
      </c>
      <c r="N4520" s="9" t="s">
        <v>13284</v>
      </c>
      <c r="O4520" s="9" t="s">
        <v>13284</v>
      </c>
      <c r="P4520" s="9" t="s">
        <v>13284</v>
      </c>
      <c r="Q4520" s="9" t="s">
        <v>13284</v>
      </c>
      <c r="R4520" s="9" t="s">
        <v>13284</v>
      </c>
      <c r="S4520" s="9" t="s">
        <v>13284</v>
      </c>
      <c r="T4520" s="9" t="str">
        <f ca="1">IFERROR(IF(AND(VLOOKUP(A4520, 'Актуальное состояние (из общего'!A:C,3,0) = "", A4520 &lt;&gt; ""), "ПРОВЕРИТЬ", VLOOKUP(A4520, 'Актуальное состояние (из общего'!A:C,3,0)), "")</f>
        <v/>
      </c>
      <c r="U4520" s="9" t="s">
        <v>13284</v>
      </c>
      <c r="V4520" s="9" t="s">
        <v>13284</v>
      </c>
      <c r="W4520" s="12"/>
      <c r="X4520" s="9" t="str">
        <f t="array" ref="X4520">IFERROR(INDEX('Адреса общежитий (скрытый)'!$B$2:$B$9, MATCH(W4520, 'Адреса общежитий (скрытый)'!$A$2:$A$9, 0)), "")</f>
        <v/>
      </c>
      <c r="Y4520" s="18"/>
      <c r="Z4520" s="18"/>
      <c r="AA4520" s="18"/>
      <c r="AB4520" s="18"/>
      <c r="AC4520" s="18"/>
    </row>
    <row r="4521" spans="1:29" ht="32.25" hidden="1" customHeight="1">
      <c r="A4521" s="17"/>
      <c r="B4521" s="9" t="s">
        <v>13284</v>
      </c>
      <c r="C4521" s="9" t="s">
        <v>13284</v>
      </c>
      <c r="D4521" s="9" t="s">
        <v>13284</v>
      </c>
      <c r="E4521" s="9" t="s">
        <v>13284</v>
      </c>
      <c r="F4521" s="9" t="s">
        <v>13284</v>
      </c>
      <c r="G4521" s="9" t="s">
        <v>13284</v>
      </c>
      <c r="H4521" s="9" t="s">
        <v>13284</v>
      </c>
      <c r="I4521" s="9" t="s">
        <v>13284</v>
      </c>
      <c r="J4521" s="9" t="s">
        <v>13284</v>
      </c>
      <c r="K4521" s="9" t="s">
        <v>13284</v>
      </c>
      <c r="L4521" s="9" t="s">
        <v>13284</v>
      </c>
      <c r="M4521" s="9" t="s">
        <v>13284</v>
      </c>
      <c r="N4521" s="9" t="s">
        <v>13284</v>
      </c>
      <c r="O4521" s="9" t="s">
        <v>13284</v>
      </c>
      <c r="P4521" s="9" t="s">
        <v>13284</v>
      </c>
      <c r="Q4521" s="9" t="s">
        <v>13284</v>
      </c>
      <c r="R4521" s="9" t="s">
        <v>13284</v>
      </c>
      <c r="S4521" s="9" t="s">
        <v>13284</v>
      </c>
      <c r="T4521" s="9" t="str">
        <f ca="1">IFERROR(IF(AND(VLOOKUP(A4521, 'Актуальное состояние (из общего'!A:C,3,0) = "", A4521 &lt;&gt; ""), "ПРОВЕРИТЬ", VLOOKUP(A4521, 'Актуальное состояние (из общего'!A:C,3,0)), "")</f>
        <v/>
      </c>
      <c r="U4521" s="9" t="s">
        <v>13284</v>
      </c>
      <c r="V4521" s="9" t="s">
        <v>13284</v>
      </c>
      <c r="W4521" s="12"/>
      <c r="X4521" s="9" t="str">
        <f t="array" ref="X4521">IFERROR(INDEX('Адреса общежитий (скрытый)'!$B$2:$B$9, MATCH(W4521, 'Адреса общежитий (скрытый)'!$A$2:$A$9, 0)), "")</f>
        <v/>
      </c>
      <c r="Y4521" s="18"/>
      <c r="Z4521" s="18"/>
      <c r="AA4521" s="18"/>
      <c r="AB4521" s="18"/>
      <c r="AC4521" s="18"/>
    </row>
    <row r="4522" spans="1:29" ht="32.25" hidden="1" customHeight="1">
      <c r="A4522" s="17"/>
      <c r="B4522" s="9" t="s">
        <v>13284</v>
      </c>
      <c r="C4522" s="9" t="s">
        <v>13284</v>
      </c>
      <c r="D4522" s="9" t="s">
        <v>13284</v>
      </c>
      <c r="E4522" s="9" t="s">
        <v>13284</v>
      </c>
      <c r="F4522" s="9" t="s">
        <v>13284</v>
      </c>
      <c r="G4522" s="9" t="s">
        <v>13284</v>
      </c>
      <c r="H4522" s="9" t="s">
        <v>13284</v>
      </c>
      <c r="I4522" s="9" t="s">
        <v>13284</v>
      </c>
      <c r="J4522" s="9" t="s">
        <v>13284</v>
      </c>
      <c r="K4522" s="9" t="s">
        <v>13284</v>
      </c>
      <c r="L4522" s="9" t="s">
        <v>13284</v>
      </c>
      <c r="M4522" s="9" t="s">
        <v>13284</v>
      </c>
      <c r="N4522" s="9" t="s">
        <v>13284</v>
      </c>
      <c r="O4522" s="9" t="s">
        <v>13284</v>
      </c>
      <c r="P4522" s="9" t="s">
        <v>13284</v>
      </c>
      <c r="Q4522" s="9" t="s">
        <v>13284</v>
      </c>
      <c r="R4522" s="9" t="s">
        <v>13284</v>
      </c>
      <c r="S4522" s="9" t="s">
        <v>13284</v>
      </c>
      <c r="T4522" s="9" t="str">
        <f ca="1">IFERROR(IF(AND(VLOOKUP(A4522, 'Актуальное состояние (из общего'!A:C,3,0) = "", A4522 &lt;&gt; ""), "ПРОВЕРИТЬ", VLOOKUP(A4522, 'Актуальное состояние (из общего'!A:C,3,0)), "")</f>
        <v/>
      </c>
      <c r="U4522" s="9" t="s">
        <v>13284</v>
      </c>
      <c r="V4522" s="9" t="s">
        <v>13284</v>
      </c>
      <c r="W4522" s="12"/>
      <c r="X4522" s="9" t="str">
        <f t="array" ref="X4522">IFERROR(INDEX('Адреса общежитий (скрытый)'!$B$2:$B$9, MATCH(W4522, 'Адреса общежитий (скрытый)'!$A$2:$A$9, 0)), "")</f>
        <v/>
      </c>
      <c r="Y4522" s="18"/>
      <c r="Z4522" s="18"/>
      <c r="AA4522" s="18"/>
      <c r="AB4522" s="18"/>
      <c r="AC4522" s="18"/>
    </row>
    <row r="4523" spans="1:29" ht="32.25" hidden="1" customHeight="1">
      <c r="A4523" s="17"/>
      <c r="B4523" s="9" t="s">
        <v>13284</v>
      </c>
      <c r="C4523" s="9" t="s">
        <v>13284</v>
      </c>
      <c r="D4523" s="9" t="s">
        <v>13284</v>
      </c>
      <c r="E4523" s="9" t="s">
        <v>13284</v>
      </c>
      <c r="F4523" s="9" t="s">
        <v>13284</v>
      </c>
      <c r="G4523" s="9" t="s">
        <v>13284</v>
      </c>
      <c r="H4523" s="9" t="s">
        <v>13284</v>
      </c>
      <c r="I4523" s="9" t="s">
        <v>13284</v>
      </c>
      <c r="J4523" s="9" t="s">
        <v>13284</v>
      </c>
      <c r="K4523" s="9" t="s">
        <v>13284</v>
      </c>
      <c r="L4523" s="9" t="s">
        <v>13284</v>
      </c>
      <c r="M4523" s="9" t="s">
        <v>13284</v>
      </c>
      <c r="N4523" s="9" t="s">
        <v>13284</v>
      </c>
      <c r="O4523" s="9" t="s">
        <v>13284</v>
      </c>
      <c r="P4523" s="9" t="s">
        <v>13284</v>
      </c>
      <c r="Q4523" s="9" t="s">
        <v>13284</v>
      </c>
      <c r="R4523" s="9" t="s">
        <v>13284</v>
      </c>
      <c r="S4523" s="9" t="s">
        <v>13284</v>
      </c>
      <c r="T4523" s="9" t="str">
        <f ca="1">IFERROR(IF(AND(VLOOKUP(A4523, 'Актуальное состояние (из общего'!A:C,3,0) = "", A4523 &lt;&gt; ""), "ПРОВЕРИТЬ", VLOOKUP(A4523, 'Актуальное состояние (из общего'!A:C,3,0)), "")</f>
        <v/>
      </c>
      <c r="U4523" s="9" t="s">
        <v>13284</v>
      </c>
      <c r="V4523" s="9" t="s">
        <v>13284</v>
      </c>
      <c r="W4523" s="12"/>
      <c r="X4523" s="9" t="str">
        <f t="array" ref="X4523">IFERROR(INDEX('Адреса общежитий (скрытый)'!$B$2:$B$9, MATCH(W4523, 'Адреса общежитий (скрытый)'!$A$2:$A$9, 0)), "")</f>
        <v/>
      </c>
      <c r="Y4523" s="18"/>
      <c r="Z4523" s="18"/>
      <c r="AA4523" s="18"/>
      <c r="AB4523" s="18"/>
      <c r="AC4523" s="18"/>
    </row>
    <row r="4524" spans="1:29" ht="32.25" hidden="1" customHeight="1">
      <c r="A4524" s="17"/>
      <c r="B4524" s="9" t="s">
        <v>13284</v>
      </c>
      <c r="C4524" s="9" t="s">
        <v>13284</v>
      </c>
      <c r="D4524" s="9" t="s">
        <v>13284</v>
      </c>
      <c r="E4524" s="9" t="s">
        <v>13284</v>
      </c>
      <c r="F4524" s="9" t="s">
        <v>13284</v>
      </c>
      <c r="G4524" s="9" t="s">
        <v>13284</v>
      </c>
      <c r="H4524" s="9" t="s">
        <v>13284</v>
      </c>
      <c r="I4524" s="9" t="s">
        <v>13284</v>
      </c>
      <c r="J4524" s="9" t="s">
        <v>13284</v>
      </c>
      <c r="K4524" s="9" t="s">
        <v>13284</v>
      </c>
      <c r="L4524" s="9" t="s">
        <v>13284</v>
      </c>
      <c r="M4524" s="9" t="s">
        <v>13284</v>
      </c>
      <c r="N4524" s="9" t="s">
        <v>13284</v>
      </c>
      <c r="O4524" s="9" t="s">
        <v>13284</v>
      </c>
      <c r="P4524" s="9" t="s">
        <v>13284</v>
      </c>
      <c r="Q4524" s="9" t="s">
        <v>13284</v>
      </c>
      <c r="R4524" s="9" t="s">
        <v>13284</v>
      </c>
      <c r="S4524" s="9" t="s">
        <v>13284</v>
      </c>
      <c r="T4524" s="9" t="str">
        <f ca="1">IFERROR(IF(AND(VLOOKUP(A4524, 'Актуальное состояние (из общего'!A:C,3,0) = "", A4524 &lt;&gt; ""), "ПРОВЕРИТЬ", VLOOKUP(A4524, 'Актуальное состояние (из общего'!A:C,3,0)), "")</f>
        <v/>
      </c>
      <c r="U4524" s="9" t="s">
        <v>13284</v>
      </c>
      <c r="V4524" s="9" t="s">
        <v>13284</v>
      </c>
      <c r="W4524" s="12"/>
      <c r="X4524" s="9" t="str">
        <f t="array" ref="X4524">IFERROR(INDEX('Адреса общежитий (скрытый)'!$B$2:$B$9, MATCH(W4524, 'Адреса общежитий (скрытый)'!$A$2:$A$9, 0)), "")</f>
        <v/>
      </c>
      <c r="Y4524" s="18"/>
      <c r="Z4524" s="18"/>
      <c r="AA4524" s="18"/>
      <c r="AB4524" s="18"/>
      <c r="AC4524" s="18"/>
    </row>
    <row r="4525" spans="1:29" ht="32.25" hidden="1" customHeight="1">
      <c r="A4525" s="17"/>
      <c r="B4525" s="9" t="s">
        <v>13284</v>
      </c>
      <c r="C4525" s="9" t="s">
        <v>13284</v>
      </c>
      <c r="D4525" s="9" t="s">
        <v>13284</v>
      </c>
      <c r="E4525" s="9" t="s">
        <v>13284</v>
      </c>
      <c r="F4525" s="9" t="s">
        <v>13284</v>
      </c>
      <c r="G4525" s="9" t="s">
        <v>13284</v>
      </c>
      <c r="H4525" s="9" t="s">
        <v>13284</v>
      </c>
      <c r="I4525" s="9" t="s">
        <v>13284</v>
      </c>
      <c r="J4525" s="9" t="s">
        <v>13284</v>
      </c>
      <c r="K4525" s="9" t="s">
        <v>13284</v>
      </c>
      <c r="L4525" s="9" t="s">
        <v>13284</v>
      </c>
      <c r="M4525" s="9" t="s">
        <v>13284</v>
      </c>
      <c r="N4525" s="9" t="s">
        <v>13284</v>
      </c>
      <c r="O4525" s="9" t="s">
        <v>13284</v>
      </c>
      <c r="P4525" s="9" t="s">
        <v>13284</v>
      </c>
      <c r="Q4525" s="9" t="s">
        <v>13284</v>
      </c>
      <c r="R4525" s="9" t="s">
        <v>13284</v>
      </c>
      <c r="S4525" s="9" t="s">
        <v>13284</v>
      </c>
      <c r="T4525" s="9" t="str">
        <f ca="1">IFERROR(IF(AND(VLOOKUP(A4525, 'Актуальное состояние (из общего'!A:C,3,0) = "", A4525 &lt;&gt; ""), "ПРОВЕРИТЬ", VLOOKUP(A4525, 'Актуальное состояние (из общего'!A:C,3,0)), "")</f>
        <v/>
      </c>
      <c r="U4525" s="9" t="s">
        <v>13284</v>
      </c>
      <c r="V4525" s="9" t="s">
        <v>13284</v>
      </c>
      <c r="W4525" s="12"/>
      <c r="X4525" s="9" t="str">
        <f t="array" ref="X4525">IFERROR(INDEX('Адреса общежитий (скрытый)'!$B$2:$B$9, MATCH(W4525, 'Адреса общежитий (скрытый)'!$A$2:$A$9, 0)), "")</f>
        <v/>
      </c>
      <c r="Y4525" s="18"/>
      <c r="Z4525" s="18"/>
      <c r="AA4525" s="18"/>
      <c r="AB4525" s="18"/>
      <c r="AC4525" s="18"/>
    </row>
    <row r="4526" spans="1:29" ht="32.25" hidden="1" customHeight="1">
      <c r="A4526" s="17"/>
      <c r="B4526" s="9" t="s">
        <v>13284</v>
      </c>
      <c r="C4526" s="9" t="s">
        <v>13284</v>
      </c>
      <c r="D4526" s="9" t="s">
        <v>13284</v>
      </c>
      <c r="E4526" s="9" t="s">
        <v>13284</v>
      </c>
      <c r="F4526" s="9" t="s">
        <v>13284</v>
      </c>
      <c r="G4526" s="9" t="s">
        <v>13284</v>
      </c>
      <c r="H4526" s="9" t="s">
        <v>13284</v>
      </c>
      <c r="I4526" s="9" t="s">
        <v>13284</v>
      </c>
      <c r="J4526" s="9" t="s">
        <v>13284</v>
      </c>
      <c r="K4526" s="9" t="s">
        <v>13284</v>
      </c>
      <c r="L4526" s="9" t="s">
        <v>13284</v>
      </c>
      <c r="M4526" s="9" t="s">
        <v>13284</v>
      </c>
      <c r="N4526" s="9" t="s">
        <v>13284</v>
      </c>
      <c r="O4526" s="9" t="s">
        <v>13284</v>
      </c>
      <c r="P4526" s="9" t="s">
        <v>13284</v>
      </c>
      <c r="Q4526" s="9" t="s">
        <v>13284</v>
      </c>
      <c r="R4526" s="9" t="s">
        <v>13284</v>
      </c>
      <c r="S4526" s="9" t="s">
        <v>13284</v>
      </c>
      <c r="T4526" s="9" t="str">
        <f ca="1">IFERROR(IF(AND(VLOOKUP(A4526, 'Актуальное состояние (из общего'!A:C,3,0) = "", A4526 &lt;&gt; ""), "ПРОВЕРИТЬ", VLOOKUP(A4526, 'Актуальное состояние (из общего'!A:C,3,0)), "")</f>
        <v/>
      </c>
      <c r="U4526" s="9" t="s">
        <v>13284</v>
      </c>
      <c r="V4526" s="9" t="s">
        <v>13284</v>
      </c>
      <c r="W4526" s="12"/>
      <c r="X4526" s="9" t="str">
        <f t="array" ref="X4526">IFERROR(INDEX('Адреса общежитий (скрытый)'!$B$2:$B$9, MATCH(W4526, 'Адреса общежитий (скрытый)'!$A$2:$A$9, 0)), "")</f>
        <v/>
      </c>
      <c r="Y4526" s="18"/>
      <c r="Z4526" s="18"/>
      <c r="AA4526" s="18"/>
      <c r="AB4526" s="18"/>
      <c r="AC4526" s="18"/>
    </row>
    <row r="4527" spans="1:29" ht="32.25" hidden="1" customHeight="1">
      <c r="A4527" s="17"/>
      <c r="B4527" s="9" t="s">
        <v>13284</v>
      </c>
      <c r="C4527" s="9" t="s">
        <v>13284</v>
      </c>
      <c r="D4527" s="9" t="s">
        <v>13284</v>
      </c>
      <c r="E4527" s="9" t="s">
        <v>13284</v>
      </c>
      <c r="F4527" s="9" t="s">
        <v>13284</v>
      </c>
      <c r="G4527" s="9" t="s">
        <v>13284</v>
      </c>
      <c r="H4527" s="9" t="s">
        <v>13284</v>
      </c>
      <c r="I4527" s="9" t="s">
        <v>13284</v>
      </c>
      <c r="J4527" s="9" t="s">
        <v>13284</v>
      </c>
      <c r="K4527" s="9" t="s">
        <v>13284</v>
      </c>
      <c r="L4527" s="9" t="s">
        <v>13284</v>
      </c>
      <c r="M4527" s="9" t="s">
        <v>13284</v>
      </c>
      <c r="N4527" s="9" t="s">
        <v>13284</v>
      </c>
      <c r="O4527" s="9" t="s">
        <v>13284</v>
      </c>
      <c r="P4527" s="9" t="s">
        <v>13284</v>
      </c>
      <c r="Q4527" s="9" t="s">
        <v>13284</v>
      </c>
      <c r="R4527" s="9" t="s">
        <v>13284</v>
      </c>
      <c r="S4527" s="9" t="s">
        <v>13284</v>
      </c>
      <c r="T4527" s="9" t="str">
        <f ca="1">IFERROR(IF(AND(VLOOKUP(A4527, 'Актуальное состояние (из общего'!A:C,3,0) = "", A4527 &lt;&gt; ""), "ПРОВЕРИТЬ", VLOOKUP(A4527, 'Актуальное состояние (из общего'!A:C,3,0)), "")</f>
        <v/>
      </c>
      <c r="U4527" s="9" t="s">
        <v>13284</v>
      </c>
      <c r="V4527" s="9" t="s">
        <v>13284</v>
      </c>
      <c r="W4527" s="12"/>
      <c r="X4527" s="9" t="str">
        <f t="array" ref="X4527">IFERROR(INDEX('Адреса общежитий (скрытый)'!$B$2:$B$9, MATCH(W4527, 'Адреса общежитий (скрытый)'!$A$2:$A$9, 0)), "")</f>
        <v/>
      </c>
      <c r="Y4527" s="18"/>
      <c r="Z4527" s="18"/>
      <c r="AA4527" s="18"/>
      <c r="AB4527" s="18"/>
      <c r="AC4527" s="18"/>
    </row>
    <row r="4528" spans="1:29" ht="32.25" hidden="1" customHeight="1">
      <c r="A4528" s="17"/>
      <c r="B4528" s="9" t="s">
        <v>13284</v>
      </c>
      <c r="C4528" s="9" t="s">
        <v>13284</v>
      </c>
      <c r="D4528" s="9" t="s">
        <v>13284</v>
      </c>
      <c r="E4528" s="9" t="s">
        <v>13284</v>
      </c>
      <c r="F4528" s="9" t="s">
        <v>13284</v>
      </c>
      <c r="G4528" s="9" t="s">
        <v>13284</v>
      </c>
      <c r="H4528" s="9" t="s">
        <v>13284</v>
      </c>
      <c r="I4528" s="9" t="s">
        <v>13284</v>
      </c>
      <c r="J4528" s="9" t="s">
        <v>13284</v>
      </c>
      <c r="K4528" s="9" t="s">
        <v>13284</v>
      </c>
      <c r="L4528" s="9" t="s">
        <v>13284</v>
      </c>
      <c r="M4528" s="9" t="s">
        <v>13284</v>
      </c>
      <c r="N4528" s="9" t="s">
        <v>13284</v>
      </c>
      <c r="O4528" s="9" t="s">
        <v>13284</v>
      </c>
      <c r="P4528" s="9" t="s">
        <v>13284</v>
      </c>
      <c r="Q4528" s="9" t="s">
        <v>13284</v>
      </c>
      <c r="R4528" s="9" t="s">
        <v>13284</v>
      </c>
      <c r="S4528" s="9" t="s">
        <v>13284</v>
      </c>
      <c r="T4528" s="9" t="str">
        <f ca="1">IFERROR(IF(AND(VLOOKUP(A4528, 'Актуальное состояние (из общего'!A:C,3,0) = "", A4528 &lt;&gt; ""), "ПРОВЕРИТЬ", VLOOKUP(A4528, 'Актуальное состояние (из общего'!A:C,3,0)), "")</f>
        <v/>
      </c>
      <c r="U4528" s="9" t="s">
        <v>13284</v>
      </c>
      <c r="V4528" s="9" t="s">
        <v>13284</v>
      </c>
      <c r="W4528" s="12"/>
      <c r="X4528" s="9" t="str">
        <f t="array" ref="X4528">IFERROR(INDEX('Адреса общежитий (скрытый)'!$B$2:$B$9, MATCH(W4528, 'Адреса общежитий (скрытый)'!$A$2:$A$9, 0)), "")</f>
        <v/>
      </c>
      <c r="Y4528" s="18"/>
      <c r="Z4528" s="18"/>
      <c r="AA4528" s="18"/>
      <c r="AB4528" s="18"/>
      <c r="AC4528" s="18"/>
    </row>
    <row r="4529" spans="1:29" ht="32.25" hidden="1" customHeight="1">
      <c r="A4529" s="17"/>
      <c r="B4529" s="9" t="s">
        <v>13284</v>
      </c>
      <c r="C4529" s="9" t="s">
        <v>13284</v>
      </c>
      <c r="D4529" s="9" t="s">
        <v>13284</v>
      </c>
      <c r="E4529" s="9" t="s">
        <v>13284</v>
      </c>
      <c r="F4529" s="9" t="s">
        <v>13284</v>
      </c>
      <c r="G4529" s="9" t="s">
        <v>13284</v>
      </c>
      <c r="H4529" s="9" t="s">
        <v>13284</v>
      </c>
      <c r="I4529" s="9" t="s">
        <v>13284</v>
      </c>
      <c r="J4529" s="9" t="s">
        <v>13284</v>
      </c>
      <c r="K4529" s="9" t="s">
        <v>13284</v>
      </c>
      <c r="L4529" s="9" t="s">
        <v>13284</v>
      </c>
      <c r="M4529" s="9" t="s">
        <v>13284</v>
      </c>
      <c r="N4529" s="9" t="s">
        <v>13284</v>
      </c>
      <c r="O4529" s="9" t="s">
        <v>13284</v>
      </c>
      <c r="P4529" s="9" t="s">
        <v>13284</v>
      </c>
      <c r="Q4529" s="9" t="s">
        <v>13284</v>
      </c>
      <c r="R4529" s="9" t="s">
        <v>13284</v>
      </c>
      <c r="S4529" s="9" t="s">
        <v>13284</v>
      </c>
      <c r="T4529" s="9" t="str">
        <f ca="1">IFERROR(IF(AND(VLOOKUP(A4529, 'Актуальное состояние (из общего'!A:C,3,0) = "", A4529 &lt;&gt; ""), "ПРОВЕРИТЬ", VLOOKUP(A4529, 'Актуальное состояние (из общего'!A:C,3,0)), "")</f>
        <v/>
      </c>
      <c r="U4529" s="9" t="s">
        <v>13284</v>
      </c>
      <c r="V4529" s="9" t="s">
        <v>13284</v>
      </c>
      <c r="W4529" s="12"/>
      <c r="X4529" s="9" t="str">
        <f t="array" ref="X4529">IFERROR(INDEX('Адреса общежитий (скрытый)'!$B$2:$B$9, MATCH(W4529, 'Адреса общежитий (скрытый)'!$A$2:$A$9, 0)), "")</f>
        <v/>
      </c>
      <c r="Y4529" s="18"/>
      <c r="Z4529" s="18"/>
      <c r="AA4529" s="18"/>
      <c r="AB4529" s="18"/>
      <c r="AC4529" s="18"/>
    </row>
    <row r="4530" spans="1:29" ht="32.25" hidden="1" customHeight="1">
      <c r="A4530" s="17"/>
      <c r="B4530" s="9" t="s">
        <v>13284</v>
      </c>
      <c r="C4530" s="9" t="s">
        <v>13284</v>
      </c>
      <c r="D4530" s="9" t="s">
        <v>13284</v>
      </c>
      <c r="E4530" s="9" t="s">
        <v>13284</v>
      </c>
      <c r="F4530" s="9" t="s">
        <v>13284</v>
      </c>
      <c r="G4530" s="9" t="s">
        <v>13284</v>
      </c>
      <c r="H4530" s="9" t="s">
        <v>13284</v>
      </c>
      <c r="I4530" s="9" t="s">
        <v>13284</v>
      </c>
      <c r="J4530" s="9" t="s">
        <v>13284</v>
      </c>
      <c r="K4530" s="9" t="s">
        <v>13284</v>
      </c>
      <c r="L4530" s="9" t="s">
        <v>13284</v>
      </c>
      <c r="M4530" s="9" t="s">
        <v>13284</v>
      </c>
      <c r="N4530" s="9" t="s">
        <v>13284</v>
      </c>
      <c r="O4530" s="9" t="s">
        <v>13284</v>
      </c>
      <c r="P4530" s="9" t="s">
        <v>13284</v>
      </c>
      <c r="Q4530" s="9" t="s">
        <v>13284</v>
      </c>
      <c r="R4530" s="9" t="s">
        <v>13284</v>
      </c>
      <c r="S4530" s="9" t="s">
        <v>13284</v>
      </c>
      <c r="T4530" s="9" t="str">
        <f ca="1">IFERROR(IF(AND(VLOOKUP(A4530, 'Актуальное состояние (из общего'!A:C,3,0) = "", A4530 &lt;&gt; ""), "ПРОВЕРИТЬ", VLOOKUP(A4530, 'Актуальное состояние (из общего'!A:C,3,0)), "")</f>
        <v/>
      </c>
      <c r="U4530" s="9" t="s">
        <v>13284</v>
      </c>
      <c r="V4530" s="9" t="s">
        <v>13284</v>
      </c>
      <c r="W4530" s="12"/>
      <c r="X4530" s="9" t="str">
        <f t="array" ref="X4530">IFERROR(INDEX('Адреса общежитий (скрытый)'!$B$2:$B$9, MATCH(W4530, 'Адреса общежитий (скрытый)'!$A$2:$A$9, 0)), "")</f>
        <v/>
      </c>
      <c r="Y4530" s="18"/>
      <c r="Z4530" s="18"/>
      <c r="AA4530" s="18"/>
      <c r="AB4530" s="18"/>
      <c r="AC4530" s="18"/>
    </row>
    <row r="4531" spans="1:29" ht="32.25" hidden="1" customHeight="1">
      <c r="A4531" s="17"/>
      <c r="B4531" s="9" t="s">
        <v>13284</v>
      </c>
      <c r="C4531" s="9" t="s">
        <v>13284</v>
      </c>
      <c r="D4531" s="9" t="s">
        <v>13284</v>
      </c>
      <c r="E4531" s="9" t="s">
        <v>13284</v>
      </c>
      <c r="F4531" s="9" t="s">
        <v>13284</v>
      </c>
      <c r="G4531" s="9" t="s">
        <v>13284</v>
      </c>
      <c r="H4531" s="9" t="s">
        <v>13284</v>
      </c>
      <c r="I4531" s="9" t="s">
        <v>13284</v>
      </c>
      <c r="J4531" s="9" t="s">
        <v>13284</v>
      </c>
      <c r="K4531" s="9" t="s">
        <v>13284</v>
      </c>
      <c r="L4531" s="9" t="s">
        <v>13284</v>
      </c>
      <c r="M4531" s="9" t="s">
        <v>13284</v>
      </c>
      <c r="N4531" s="9" t="s">
        <v>13284</v>
      </c>
      <c r="O4531" s="9" t="s">
        <v>13284</v>
      </c>
      <c r="P4531" s="9" t="s">
        <v>13284</v>
      </c>
      <c r="Q4531" s="9" t="s">
        <v>13284</v>
      </c>
      <c r="R4531" s="9" t="s">
        <v>13284</v>
      </c>
      <c r="S4531" s="9" t="s">
        <v>13284</v>
      </c>
      <c r="T4531" s="9" t="str">
        <f ca="1">IFERROR(IF(AND(VLOOKUP(A4531, 'Актуальное состояние (из общего'!A:C,3,0) = "", A4531 &lt;&gt; ""), "ПРОВЕРИТЬ", VLOOKUP(A4531, 'Актуальное состояние (из общего'!A:C,3,0)), "")</f>
        <v/>
      </c>
      <c r="U4531" s="9" t="s">
        <v>13284</v>
      </c>
      <c r="V4531" s="9" t="s">
        <v>13284</v>
      </c>
      <c r="W4531" s="12"/>
      <c r="X4531" s="9" t="str">
        <f t="array" ref="X4531">IFERROR(INDEX('Адреса общежитий (скрытый)'!$B$2:$B$9, MATCH(W4531, 'Адреса общежитий (скрытый)'!$A$2:$A$9, 0)), "")</f>
        <v/>
      </c>
      <c r="Y4531" s="18"/>
      <c r="Z4531" s="18"/>
      <c r="AA4531" s="18"/>
      <c r="AB4531" s="18"/>
      <c r="AC4531" s="18"/>
    </row>
    <row r="4532" spans="1:29" ht="32.25" hidden="1" customHeight="1">
      <c r="A4532" s="17"/>
      <c r="B4532" s="9" t="s">
        <v>13284</v>
      </c>
      <c r="C4532" s="9" t="s">
        <v>13284</v>
      </c>
      <c r="D4532" s="9" t="s">
        <v>13284</v>
      </c>
      <c r="E4532" s="9" t="s">
        <v>13284</v>
      </c>
      <c r="F4532" s="9" t="s">
        <v>13284</v>
      </c>
      <c r="G4532" s="9" t="s">
        <v>13284</v>
      </c>
      <c r="H4532" s="9" t="s">
        <v>13284</v>
      </c>
      <c r="I4532" s="9" t="s">
        <v>13284</v>
      </c>
      <c r="J4532" s="9" t="s">
        <v>13284</v>
      </c>
      <c r="K4532" s="9" t="s">
        <v>13284</v>
      </c>
      <c r="L4532" s="9" t="s">
        <v>13284</v>
      </c>
      <c r="M4532" s="9" t="s">
        <v>13284</v>
      </c>
      <c r="N4532" s="9" t="s">
        <v>13284</v>
      </c>
      <c r="O4532" s="9" t="s">
        <v>13284</v>
      </c>
      <c r="P4532" s="9" t="s">
        <v>13284</v>
      </c>
      <c r="Q4532" s="9" t="s">
        <v>13284</v>
      </c>
      <c r="R4532" s="9" t="s">
        <v>13284</v>
      </c>
      <c r="S4532" s="9" t="s">
        <v>13284</v>
      </c>
      <c r="T4532" s="9" t="str">
        <f ca="1">IFERROR(IF(AND(VLOOKUP(A4532, 'Актуальное состояние (из общего'!A:C,3,0) = "", A4532 &lt;&gt; ""), "ПРОВЕРИТЬ", VLOOKUP(A4532, 'Актуальное состояние (из общего'!A:C,3,0)), "")</f>
        <v/>
      </c>
      <c r="U4532" s="9" t="s">
        <v>13284</v>
      </c>
      <c r="V4532" s="9" t="s">
        <v>13284</v>
      </c>
      <c r="W4532" s="12"/>
      <c r="X4532" s="9" t="str">
        <f t="array" ref="X4532">IFERROR(INDEX('Адреса общежитий (скрытый)'!$B$2:$B$9, MATCH(W4532, 'Адреса общежитий (скрытый)'!$A$2:$A$9, 0)), "")</f>
        <v/>
      </c>
      <c r="Y4532" s="18"/>
      <c r="Z4532" s="18"/>
      <c r="AA4532" s="18"/>
      <c r="AB4532" s="18"/>
      <c r="AC4532" s="18"/>
    </row>
    <row r="4533" spans="1:29" ht="32.25" hidden="1" customHeight="1">
      <c r="A4533" s="17"/>
      <c r="B4533" s="9" t="s">
        <v>13284</v>
      </c>
      <c r="C4533" s="9" t="s">
        <v>13284</v>
      </c>
      <c r="D4533" s="9" t="s">
        <v>13284</v>
      </c>
      <c r="E4533" s="9" t="s">
        <v>13284</v>
      </c>
      <c r="F4533" s="9" t="s">
        <v>13284</v>
      </c>
      <c r="G4533" s="9" t="s">
        <v>13284</v>
      </c>
      <c r="H4533" s="9" t="s">
        <v>13284</v>
      </c>
      <c r="I4533" s="9" t="s">
        <v>13284</v>
      </c>
      <c r="J4533" s="9" t="s">
        <v>13284</v>
      </c>
      <c r="K4533" s="9" t="s">
        <v>13284</v>
      </c>
      <c r="L4533" s="9" t="s">
        <v>13284</v>
      </c>
      <c r="M4533" s="9" t="s">
        <v>13284</v>
      </c>
      <c r="N4533" s="9" t="s">
        <v>13284</v>
      </c>
      <c r="O4533" s="9" t="s">
        <v>13284</v>
      </c>
      <c r="P4533" s="9" t="s">
        <v>13284</v>
      </c>
      <c r="Q4533" s="9" t="s">
        <v>13284</v>
      </c>
      <c r="R4533" s="9" t="s">
        <v>13284</v>
      </c>
      <c r="S4533" s="9" t="s">
        <v>13284</v>
      </c>
      <c r="T4533" s="9" t="str">
        <f ca="1">IFERROR(IF(AND(VLOOKUP(A4533, 'Актуальное состояние (из общего'!A:C,3,0) = "", A4533 &lt;&gt; ""), "ПРОВЕРИТЬ", VLOOKUP(A4533, 'Актуальное состояние (из общего'!A:C,3,0)), "")</f>
        <v/>
      </c>
      <c r="U4533" s="9" t="s">
        <v>13284</v>
      </c>
      <c r="V4533" s="9" t="s">
        <v>13284</v>
      </c>
      <c r="W4533" s="12"/>
      <c r="X4533" s="9" t="str">
        <f t="array" ref="X4533">IFERROR(INDEX('Адреса общежитий (скрытый)'!$B$2:$B$9, MATCH(W4533, 'Адреса общежитий (скрытый)'!$A$2:$A$9, 0)), "")</f>
        <v/>
      </c>
      <c r="Y4533" s="18"/>
      <c r="Z4533" s="18"/>
      <c r="AA4533" s="18"/>
      <c r="AB4533" s="18"/>
      <c r="AC4533" s="18"/>
    </row>
    <row r="4534" spans="1:29" ht="32.25" hidden="1" customHeight="1">
      <c r="A4534" s="17"/>
      <c r="B4534" s="9" t="s">
        <v>13284</v>
      </c>
      <c r="C4534" s="9" t="s">
        <v>13284</v>
      </c>
      <c r="D4534" s="9" t="s">
        <v>13284</v>
      </c>
      <c r="E4534" s="9" t="s">
        <v>13284</v>
      </c>
      <c r="F4534" s="9" t="s">
        <v>13284</v>
      </c>
      <c r="G4534" s="9" t="s">
        <v>13284</v>
      </c>
      <c r="H4534" s="9" t="s">
        <v>13284</v>
      </c>
      <c r="I4534" s="9" t="s">
        <v>13284</v>
      </c>
      <c r="J4534" s="9" t="s">
        <v>13284</v>
      </c>
      <c r="K4534" s="9" t="s">
        <v>13284</v>
      </c>
      <c r="L4534" s="9" t="s">
        <v>13284</v>
      </c>
      <c r="M4534" s="9" t="s">
        <v>13284</v>
      </c>
      <c r="N4534" s="9" t="s">
        <v>13284</v>
      </c>
      <c r="O4534" s="9" t="s">
        <v>13284</v>
      </c>
      <c r="P4534" s="9" t="s">
        <v>13284</v>
      </c>
      <c r="Q4534" s="9" t="s">
        <v>13284</v>
      </c>
      <c r="R4534" s="9" t="s">
        <v>13284</v>
      </c>
      <c r="S4534" s="9" t="s">
        <v>13284</v>
      </c>
      <c r="T4534" s="9" t="str">
        <f ca="1">IFERROR(IF(AND(VLOOKUP(A4534, 'Актуальное состояние (из общего'!A:C,3,0) = "", A4534 &lt;&gt; ""), "ПРОВЕРИТЬ", VLOOKUP(A4534, 'Актуальное состояние (из общего'!A:C,3,0)), "")</f>
        <v/>
      </c>
      <c r="U4534" s="9" t="s">
        <v>13284</v>
      </c>
      <c r="V4534" s="9" t="s">
        <v>13284</v>
      </c>
      <c r="W4534" s="12"/>
      <c r="X4534" s="9" t="str">
        <f t="array" ref="X4534">IFERROR(INDEX('Адреса общежитий (скрытый)'!$B$2:$B$9, MATCH(W4534, 'Адреса общежитий (скрытый)'!$A$2:$A$9, 0)), "")</f>
        <v/>
      </c>
      <c r="Y4534" s="18"/>
      <c r="Z4534" s="18"/>
      <c r="AA4534" s="18"/>
      <c r="AB4534" s="18"/>
      <c r="AC4534" s="18"/>
    </row>
    <row r="4535" spans="1:29" ht="32.25" hidden="1" customHeight="1">
      <c r="A4535" s="17"/>
      <c r="B4535" s="9" t="s">
        <v>13284</v>
      </c>
      <c r="C4535" s="9" t="s">
        <v>13284</v>
      </c>
      <c r="D4535" s="9" t="s">
        <v>13284</v>
      </c>
      <c r="E4535" s="9" t="s">
        <v>13284</v>
      </c>
      <c r="F4535" s="9" t="s">
        <v>13284</v>
      </c>
      <c r="G4535" s="9" t="s">
        <v>13284</v>
      </c>
      <c r="H4535" s="9" t="s">
        <v>13284</v>
      </c>
      <c r="I4535" s="9" t="s">
        <v>13284</v>
      </c>
      <c r="J4535" s="9" t="s">
        <v>13284</v>
      </c>
      <c r="K4535" s="9" t="s">
        <v>13284</v>
      </c>
      <c r="L4535" s="9" t="s">
        <v>13284</v>
      </c>
      <c r="M4535" s="9" t="s">
        <v>13284</v>
      </c>
      <c r="N4535" s="9" t="s">
        <v>13284</v>
      </c>
      <c r="O4535" s="9" t="s">
        <v>13284</v>
      </c>
      <c r="P4535" s="9" t="s">
        <v>13284</v>
      </c>
      <c r="Q4535" s="9" t="s">
        <v>13284</v>
      </c>
      <c r="R4535" s="9" t="s">
        <v>13284</v>
      </c>
      <c r="S4535" s="9" t="s">
        <v>13284</v>
      </c>
      <c r="T4535" s="9" t="str">
        <f ca="1">IFERROR(IF(AND(VLOOKUP(A4535, 'Актуальное состояние (из общего'!A:C,3,0) = "", A4535 &lt;&gt; ""), "ПРОВЕРИТЬ", VLOOKUP(A4535, 'Актуальное состояние (из общего'!A:C,3,0)), "")</f>
        <v/>
      </c>
      <c r="U4535" s="9" t="s">
        <v>13284</v>
      </c>
      <c r="V4535" s="9" t="s">
        <v>13284</v>
      </c>
      <c r="W4535" s="12"/>
      <c r="X4535" s="9" t="str">
        <f t="array" ref="X4535">IFERROR(INDEX('Адреса общежитий (скрытый)'!$B$2:$B$9, MATCH(W4535, 'Адреса общежитий (скрытый)'!$A$2:$A$9, 0)), "")</f>
        <v/>
      </c>
      <c r="Y4535" s="18"/>
      <c r="Z4535" s="18"/>
      <c r="AA4535" s="18"/>
      <c r="AB4535" s="18"/>
      <c r="AC4535" s="18"/>
    </row>
    <row r="4536" spans="1:29" ht="32.25" hidden="1" customHeight="1">
      <c r="A4536" s="17"/>
      <c r="B4536" s="9" t="s">
        <v>13284</v>
      </c>
      <c r="C4536" s="9" t="s">
        <v>13284</v>
      </c>
      <c r="D4536" s="9" t="s">
        <v>13284</v>
      </c>
      <c r="E4536" s="9" t="s">
        <v>13284</v>
      </c>
      <c r="F4536" s="9" t="s">
        <v>13284</v>
      </c>
      <c r="G4536" s="9" t="s">
        <v>13284</v>
      </c>
      <c r="H4536" s="9" t="s">
        <v>13284</v>
      </c>
      <c r="I4536" s="9" t="s">
        <v>13284</v>
      </c>
      <c r="J4536" s="9" t="s">
        <v>13284</v>
      </c>
      <c r="K4536" s="9" t="s">
        <v>13284</v>
      </c>
      <c r="L4536" s="9" t="s">
        <v>13284</v>
      </c>
      <c r="M4536" s="9" t="s">
        <v>13284</v>
      </c>
      <c r="N4536" s="9" t="s">
        <v>13284</v>
      </c>
      <c r="O4536" s="9" t="s">
        <v>13284</v>
      </c>
      <c r="P4536" s="9" t="s">
        <v>13284</v>
      </c>
      <c r="Q4536" s="9" t="s">
        <v>13284</v>
      </c>
      <c r="R4536" s="9" t="s">
        <v>13284</v>
      </c>
      <c r="S4536" s="9" t="s">
        <v>13284</v>
      </c>
      <c r="T4536" s="9" t="str">
        <f ca="1">IFERROR(IF(AND(VLOOKUP(A4536, 'Актуальное состояние (из общего'!A:C,3,0) = "", A4536 &lt;&gt; ""), "ПРОВЕРИТЬ", VLOOKUP(A4536, 'Актуальное состояние (из общего'!A:C,3,0)), "")</f>
        <v/>
      </c>
      <c r="U4536" s="9" t="s">
        <v>13284</v>
      </c>
      <c r="V4536" s="9" t="s">
        <v>13284</v>
      </c>
      <c r="W4536" s="12"/>
      <c r="X4536" s="9" t="str">
        <f t="array" ref="X4536">IFERROR(INDEX('Адреса общежитий (скрытый)'!$B$2:$B$9, MATCH(W4536, 'Адреса общежитий (скрытый)'!$A$2:$A$9, 0)), "")</f>
        <v/>
      </c>
      <c r="Y4536" s="18"/>
      <c r="Z4536" s="18"/>
      <c r="AA4536" s="18"/>
      <c r="AB4536" s="18"/>
      <c r="AC4536" s="18"/>
    </row>
    <row r="4537" spans="1:29" ht="32.25" hidden="1" customHeight="1">
      <c r="A4537" s="17"/>
      <c r="B4537" s="9" t="s">
        <v>13284</v>
      </c>
      <c r="C4537" s="9" t="s">
        <v>13284</v>
      </c>
      <c r="D4537" s="9" t="s">
        <v>13284</v>
      </c>
      <c r="E4537" s="9" t="s">
        <v>13284</v>
      </c>
      <c r="F4537" s="9" t="s">
        <v>13284</v>
      </c>
      <c r="G4537" s="9" t="s">
        <v>13284</v>
      </c>
      <c r="H4537" s="9" t="s">
        <v>13284</v>
      </c>
      <c r="I4537" s="9" t="s">
        <v>13284</v>
      </c>
      <c r="J4537" s="9" t="s">
        <v>13284</v>
      </c>
      <c r="K4537" s="9" t="s">
        <v>13284</v>
      </c>
      <c r="L4537" s="9" t="s">
        <v>13284</v>
      </c>
      <c r="M4537" s="9" t="s">
        <v>13284</v>
      </c>
      <c r="N4537" s="9" t="s">
        <v>13284</v>
      </c>
      <c r="O4537" s="9" t="s">
        <v>13284</v>
      </c>
      <c r="P4537" s="9" t="s">
        <v>13284</v>
      </c>
      <c r="Q4537" s="9" t="s">
        <v>13284</v>
      </c>
      <c r="R4537" s="9" t="s">
        <v>13284</v>
      </c>
      <c r="S4537" s="9" t="s">
        <v>13284</v>
      </c>
      <c r="T4537" s="9" t="str">
        <f ca="1">IFERROR(IF(AND(VLOOKUP(A4537, 'Актуальное состояние (из общего'!A:C,3,0) = "", A4537 &lt;&gt; ""), "ПРОВЕРИТЬ", VLOOKUP(A4537, 'Актуальное состояние (из общего'!A:C,3,0)), "")</f>
        <v/>
      </c>
      <c r="U4537" s="9" t="s">
        <v>13284</v>
      </c>
      <c r="V4537" s="9" t="s">
        <v>13284</v>
      </c>
      <c r="W4537" s="12"/>
      <c r="X4537" s="9" t="str">
        <f t="array" ref="X4537">IFERROR(INDEX('Адреса общежитий (скрытый)'!$B$2:$B$9, MATCH(W4537, 'Адреса общежитий (скрытый)'!$A$2:$A$9, 0)), "")</f>
        <v/>
      </c>
      <c r="Y4537" s="18"/>
      <c r="Z4537" s="18"/>
      <c r="AA4537" s="18"/>
      <c r="AB4537" s="18"/>
      <c r="AC4537" s="18"/>
    </row>
    <row r="4538" spans="1:29" ht="32.25" hidden="1" customHeight="1">
      <c r="A4538" s="17"/>
      <c r="B4538" s="9" t="s">
        <v>13284</v>
      </c>
      <c r="C4538" s="9" t="s">
        <v>13284</v>
      </c>
      <c r="D4538" s="9" t="s">
        <v>13284</v>
      </c>
      <c r="E4538" s="9" t="s">
        <v>13284</v>
      </c>
      <c r="F4538" s="9" t="s">
        <v>13284</v>
      </c>
      <c r="G4538" s="9" t="s">
        <v>13284</v>
      </c>
      <c r="H4538" s="9" t="s">
        <v>13284</v>
      </c>
      <c r="I4538" s="9" t="s">
        <v>13284</v>
      </c>
      <c r="J4538" s="9" t="s">
        <v>13284</v>
      </c>
      <c r="K4538" s="9" t="s">
        <v>13284</v>
      </c>
      <c r="L4538" s="9" t="s">
        <v>13284</v>
      </c>
      <c r="M4538" s="9" t="s">
        <v>13284</v>
      </c>
      <c r="N4538" s="9" t="s">
        <v>13284</v>
      </c>
      <c r="O4538" s="9" t="s">
        <v>13284</v>
      </c>
      <c r="P4538" s="9" t="s">
        <v>13284</v>
      </c>
      <c r="Q4538" s="9" t="s">
        <v>13284</v>
      </c>
      <c r="R4538" s="9" t="s">
        <v>13284</v>
      </c>
      <c r="S4538" s="9" t="s">
        <v>13284</v>
      </c>
      <c r="T4538" s="9" t="str">
        <f ca="1">IFERROR(IF(AND(VLOOKUP(A4538, 'Актуальное состояние (из общего'!A:C,3,0) = "", A4538 &lt;&gt; ""), "ПРОВЕРИТЬ", VLOOKUP(A4538, 'Актуальное состояние (из общего'!A:C,3,0)), "")</f>
        <v/>
      </c>
      <c r="U4538" s="9" t="s">
        <v>13284</v>
      </c>
      <c r="V4538" s="9" t="s">
        <v>13284</v>
      </c>
      <c r="W4538" s="12"/>
      <c r="X4538" s="9" t="str">
        <f t="array" ref="X4538">IFERROR(INDEX('Адреса общежитий (скрытый)'!$B$2:$B$9, MATCH(W4538, 'Адреса общежитий (скрытый)'!$A$2:$A$9, 0)), "")</f>
        <v/>
      </c>
      <c r="Y4538" s="18"/>
      <c r="Z4538" s="18"/>
      <c r="AA4538" s="18"/>
      <c r="AB4538" s="18"/>
      <c r="AC4538" s="18"/>
    </row>
    <row r="4539" spans="1:29" ht="32.25" hidden="1" customHeight="1">
      <c r="A4539" s="17"/>
      <c r="B4539" s="9" t="s">
        <v>13284</v>
      </c>
      <c r="C4539" s="9" t="s">
        <v>13284</v>
      </c>
      <c r="D4539" s="9" t="s">
        <v>13284</v>
      </c>
      <c r="E4539" s="9" t="s">
        <v>13284</v>
      </c>
      <c r="F4539" s="9" t="s">
        <v>13284</v>
      </c>
      <c r="G4539" s="9" t="s">
        <v>13284</v>
      </c>
      <c r="H4539" s="9" t="s">
        <v>13284</v>
      </c>
      <c r="I4539" s="9" t="s">
        <v>13284</v>
      </c>
      <c r="J4539" s="9" t="s">
        <v>13284</v>
      </c>
      <c r="K4539" s="9" t="s">
        <v>13284</v>
      </c>
      <c r="L4539" s="9" t="s">
        <v>13284</v>
      </c>
      <c r="M4539" s="9" t="s">
        <v>13284</v>
      </c>
      <c r="N4539" s="9" t="s">
        <v>13284</v>
      </c>
      <c r="O4539" s="9" t="s">
        <v>13284</v>
      </c>
      <c r="P4539" s="9" t="s">
        <v>13284</v>
      </c>
      <c r="Q4539" s="9" t="s">
        <v>13284</v>
      </c>
      <c r="R4539" s="9" t="s">
        <v>13284</v>
      </c>
      <c r="S4539" s="9" t="s">
        <v>13284</v>
      </c>
      <c r="T4539" s="9" t="str">
        <f ca="1">IFERROR(IF(AND(VLOOKUP(A4539, 'Актуальное состояние (из общего'!A:C,3,0) = "", A4539 &lt;&gt; ""), "ПРОВЕРИТЬ", VLOOKUP(A4539, 'Актуальное состояние (из общего'!A:C,3,0)), "")</f>
        <v/>
      </c>
      <c r="U4539" s="9" t="s">
        <v>13284</v>
      </c>
      <c r="V4539" s="9" t="s">
        <v>13284</v>
      </c>
      <c r="W4539" s="12"/>
      <c r="X4539" s="9" t="str">
        <f t="array" ref="X4539">IFERROR(INDEX('Адреса общежитий (скрытый)'!$B$2:$B$9, MATCH(W4539, 'Адреса общежитий (скрытый)'!$A$2:$A$9, 0)), "")</f>
        <v/>
      </c>
      <c r="Y4539" s="18"/>
      <c r="Z4539" s="18"/>
      <c r="AA4539" s="18"/>
      <c r="AB4539" s="18"/>
      <c r="AC4539" s="18"/>
    </row>
    <row r="4540" spans="1:29" ht="32.25" hidden="1" customHeight="1">
      <c r="A4540" s="17"/>
      <c r="B4540" s="9" t="s">
        <v>13284</v>
      </c>
      <c r="C4540" s="9" t="s">
        <v>13284</v>
      </c>
      <c r="D4540" s="9" t="s">
        <v>13284</v>
      </c>
      <c r="E4540" s="9" t="s">
        <v>13284</v>
      </c>
      <c r="F4540" s="9" t="s">
        <v>13284</v>
      </c>
      <c r="G4540" s="9" t="s">
        <v>13284</v>
      </c>
      <c r="H4540" s="9" t="s">
        <v>13284</v>
      </c>
      <c r="I4540" s="9" t="s">
        <v>13284</v>
      </c>
      <c r="J4540" s="9" t="s">
        <v>13284</v>
      </c>
      <c r="K4540" s="9" t="s">
        <v>13284</v>
      </c>
      <c r="L4540" s="9" t="s">
        <v>13284</v>
      </c>
      <c r="M4540" s="9" t="s">
        <v>13284</v>
      </c>
      <c r="N4540" s="9" t="s">
        <v>13284</v>
      </c>
      <c r="O4540" s="9" t="s">
        <v>13284</v>
      </c>
      <c r="P4540" s="9" t="s">
        <v>13284</v>
      </c>
      <c r="Q4540" s="9" t="s">
        <v>13284</v>
      </c>
      <c r="R4540" s="9" t="s">
        <v>13284</v>
      </c>
      <c r="S4540" s="9" t="s">
        <v>13284</v>
      </c>
      <c r="T4540" s="9" t="str">
        <f ca="1">IFERROR(IF(AND(VLOOKUP(A4540, 'Актуальное состояние (из общего'!A:C,3,0) = "", A4540 &lt;&gt; ""), "ПРОВЕРИТЬ", VLOOKUP(A4540, 'Актуальное состояние (из общего'!A:C,3,0)), "")</f>
        <v/>
      </c>
      <c r="U4540" s="9" t="s">
        <v>13284</v>
      </c>
      <c r="V4540" s="9" t="s">
        <v>13284</v>
      </c>
      <c r="W4540" s="12"/>
      <c r="X4540" s="9" t="str">
        <f t="array" ref="X4540">IFERROR(INDEX('Адреса общежитий (скрытый)'!$B$2:$B$9, MATCH(W4540, 'Адреса общежитий (скрытый)'!$A$2:$A$9, 0)), "")</f>
        <v/>
      </c>
      <c r="Y4540" s="18"/>
      <c r="Z4540" s="18"/>
      <c r="AA4540" s="18"/>
      <c r="AB4540" s="18"/>
      <c r="AC4540" s="18"/>
    </row>
    <row r="4541" spans="1:29" ht="32.25" hidden="1" customHeight="1">
      <c r="A4541" s="17"/>
      <c r="B4541" s="9" t="s">
        <v>13284</v>
      </c>
      <c r="C4541" s="9" t="s">
        <v>13284</v>
      </c>
      <c r="D4541" s="9" t="s">
        <v>13284</v>
      </c>
      <c r="E4541" s="9" t="s">
        <v>13284</v>
      </c>
      <c r="F4541" s="9" t="s">
        <v>13284</v>
      </c>
      <c r="G4541" s="9" t="s">
        <v>13284</v>
      </c>
      <c r="H4541" s="9" t="s">
        <v>13284</v>
      </c>
      <c r="I4541" s="9" t="s">
        <v>13284</v>
      </c>
      <c r="J4541" s="9" t="s">
        <v>13284</v>
      </c>
      <c r="K4541" s="9" t="s">
        <v>13284</v>
      </c>
      <c r="L4541" s="9" t="s">
        <v>13284</v>
      </c>
      <c r="M4541" s="9" t="s">
        <v>13284</v>
      </c>
      <c r="N4541" s="9" t="s">
        <v>13284</v>
      </c>
      <c r="O4541" s="9" t="s">
        <v>13284</v>
      </c>
      <c r="P4541" s="9" t="s">
        <v>13284</v>
      </c>
      <c r="Q4541" s="9" t="s">
        <v>13284</v>
      </c>
      <c r="R4541" s="9" t="s">
        <v>13284</v>
      </c>
      <c r="S4541" s="9" t="s">
        <v>13284</v>
      </c>
      <c r="T4541" s="9" t="str">
        <f ca="1">IFERROR(IF(AND(VLOOKUP(A4541, 'Актуальное состояние (из общего'!A:C,3,0) = "", A4541 &lt;&gt; ""), "ПРОВЕРИТЬ", VLOOKUP(A4541, 'Актуальное состояние (из общего'!A:C,3,0)), "")</f>
        <v/>
      </c>
      <c r="U4541" s="9" t="s">
        <v>13284</v>
      </c>
      <c r="V4541" s="9" t="s">
        <v>13284</v>
      </c>
      <c r="W4541" s="12"/>
      <c r="X4541" s="9" t="str">
        <f t="array" ref="X4541">IFERROR(INDEX('Адреса общежитий (скрытый)'!$B$2:$B$9, MATCH(W4541, 'Адреса общежитий (скрытый)'!$A$2:$A$9, 0)), "")</f>
        <v/>
      </c>
      <c r="Y4541" s="18"/>
      <c r="Z4541" s="18"/>
      <c r="AA4541" s="18"/>
      <c r="AB4541" s="18"/>
      <c r="AC4541" s="18"/>
    </row>
    <row r="4542" spans="1:29" ht="32.25" hidden="1" customHeight="1">
      <c r="A4542" s="17"/>
      <c r="B4542" s="9" t="s">
        <v>13284</v>
      </c>
      <c r="C4542" s="9" t="s">
        <v>13284</v>
      </c>
      <c r="D4542" s="9" t="s">
        <v>13284</v>
      </c>
      <c r="E4542" s="9" t="s">
        <v>13284</v>
      </c>
      <c r="F4542" s="9" t="s">
        <v>13284</v>
      </c>
      <c r="G4542" s="9" t="s">
        <v>13284</v>
      </c>
      <c r="H4542" s="9" t="s">
        <v>13284</v>
      </c>
      <c r="I4542" s="9" t="s">
        <v>13284</v>
      </c>
      <c r="J4542" s="9" t="s">
        <v>13284</v>
      </c>
      <c r="K4542" s="9" t="s">
        <v>13284</v>
      </c>
      <c r="L4542" s="9" t="s">
        <v>13284</v>
      </c>
      <c r="M4542" s="9" t="s">
        <v>13284</v>
      </c>
      <c r="N4542" s="9" t="s">
        <v>13284</v>
      </c>
      <c r="O4542" s="9" t="s">
        <v>13284</v>
      </c>
      <c r="P4542" s="9" t="s">
        <v>13284</v>
      </c>
      <c r="Q4542" s="9" t="s">
        <v>13284</v>
      </c>
      <c r="R4542" s="9" t="s">
        <v>13284</v>
      </c>
      <c r="S4542" s="9" t="s">
        <v>13284</v>
      </c>
      <c r="T4542" s="9" t="str">
        <f ca="1">IFERROR(IF(AND(VLOOKUP(A4542, 'Актуальное состояние (из общего'!A:C,3,0) = "", A4542 &lt;&gt; ""), "ПРОВЕРИТЬ", VLOOKUP(A4542, 'Актуальное состояние (из общего'!A:C,3,0)), "")</f>
        <v/>
      </c>
      <c r="U4542" s="9" t="s">
        <v>13284</v>
      </c>
      <c r="V4542" s="9" t="s">
        <v>13284</v>
      </c>
      <c r="W4542" s="12"/>
      <c r="X4542" s="9" t="str">
        <f t="array" ref="X4542">IFERROR(INDEX('Адреса общежитий (скрытый)'!$B$2:$B$9, MATCH(W4542, 'Адреса общежитий (скрытый)'!$A$2:$A$9, 0)), "")</f>
        <v/>
      </c>
      <c r="Y4542" s="18"/>
      <c r="Z4542" s="18"/>
      <c r="AA4542" s="18"/>
      <c r="AB4542" s="18"/>
      <c r="AC4542" s="18"/>
    </row>
    <row r="4543" spans="1:29" ht="32.25" hidden="1" customHeight="1">
      <c r="A4543" s="17"/>
      <c r="B4543" s="9" t="s">
        <v>13284</v>
      </c>
      <c r="C4543" s="9" t="s">
        <v>13284</v>
      </c>
      <c r="D4543" s="9" t="s">
        <v>13284</v>
      </c>
      <c r="E4543" s="9" t="s">
        <v>13284</v>
      </c>
      <c r="F4543" s="9" t="s">
        <v>13284</v>
      </c>
      <c r="G4543" s="9" t="s">
        <v>13284</v>
      </c>
      <c r="H4543" s="9" t="s">
        <v>13284</v>
      </c>
      <c r="I4543" s="9" t="s">
        <v>13284</v>
      </c>
      <c r="J4543" s="9" t="s">
        <v>13284</v>
      </c>
      <c r="K4543" s="9" t="s">
        <v>13284</v>
      </c>
      <c r="L4543" s="9" t="s">
        <v>13284</v>
      </c>
      <c r="M4543" s="9" t="s">
        <v>13284</v>
      </c>
      <c r="N4543" s="9" t="s">
        <v>13284</v>
      </c>
      <c r="O4543" s="9" t="s">
        <v>13284</v>
      </c>
      <c r="P4543" s="9" t="s">
        <v>13284</v>
      </c>
      <c r="Q4543" s="9" t="s">
        <v>13284</v>
      </c>
      <c r="R4543" s="9" t="s">
        <v>13284</v>
      </c>
      <c r="S4543" s="9" t="s">
        <v>13284</v>
      </c>
      <c r="T4543" s="9" t="str">
        <f ca="1">IFERROR(IF(AND(VLOOKUP(A4543, 'Актуальное состояние (из общего'!A:C,3,0) = "", A4543 &lt;&gt; ""), "ПРОВЕРИТЬ", VLOOKUP(A4543, 'Актуальное состояние (из общего'!A:C,3,0)), "")</f>
        <v/>
      </c>
      <c r="U4543" s="9" t="s">
        <v>13284</v>
      </c>
      <c r="V4543" s="9" t="s">
        <v>13284</v>
      </c>
      <c r="W4543" s="12"/>
      <c r="X4543" s="9" t="str">
        <f t="array" ref="X4543">IFERROR(INDEX('Адреса общежитий (скрытый)'!$B$2:$B$9, MATCH(W4543, 'Адреса общежитий (скрытый)'!$A$2:$A$9, 0)), "")</f>
        <v/>
      </c>
      <c r="Y4543" s="18"/>
      <c r="Z4543" s="18"/>
      <c r="AA4543" s="18"/>
      <c r="AB4543" s="18"/>
      <c r="AC4543" s="18"/>
    </row>
    <row r="4544" spans="1:29" ht="32.25" hidden="1" customHeight="1">
      <c r="A4544" s="17"/>
      <c r="B4544" s="9" t="s">
        <v>13284</v>
      </c>
      <c r="C4544" s="9" t="s">
        <v>13284</v>
      </c>
      <c r="D4544" s="9" t="s">
        <v>13284</v>
      </c>
      <c r="E4544" s="9" t="s">
        <v>13284</v>
      </c>
      <c r="F4544" s="9" t="s">
        <v>13284</v>
      </c>
      <c r="G4544" s="9" t="s">
        <v>13284</v>
      </c>
      <c r="H4544" s="9" t="s">
        <v>13284</v>
      </c>
      <c r="I4544" s="9" t="s">
        <v>13284</v>
      </c>
      <c r="J4544" s="9" t="s">
        <v>13284</v>
      </c>
      <c r="K4544" s="9" t="s">
        <v>13284</v>
      </c>
      <c r="L4544" s="9" t="s">
        <v>13284</v>
      </c>
      <c r="M4544" s="9" t="s">
        <v>13284</v>
      </c>
      <c r="N4544" s="9" t="s">
        <v>13284</v>
      </c>
      <c r="O4544" s="9" t="s">
        <v>13284</v>
      </c>
      <c r="P4544" s="9" t="s">
        <v>13284</v>
      </c>
      <c r="Q4544" s="9" t="s">
        <v>13284</v>
      </c>
      <c r="R4544" s="9" t="s">
        <v>13284</v>
      </c>
      <c r="S4544" s="9" t="s">
        <v>13284</v>
      </c>
      <c r="T4544" s="9" t="str">
        <f ca="1">IFERROR(IF(AND(VLOOKUP(A4544, 'Актуальное состояние (из общего'!A:C,3,0) = "", A4544 &lt;&gt; ""), "ПРОВЕРИТЬ", VLOOKUP(A4544, 'Актуальное состояние (из общего'!A:C,3,0)), "")</f>
        <v/>
      </c>
      <c r="U4544" s="9" t="s">
        <v>13284</v>
      </c>
      <c r="V4544" s="9" t="s">
        <v>13284</v>
      </c>
      <c r="W4544" s="12"/>
      <c r="X4544" s="9" t="str">
        <f t="array" ref="X4544">IFERROR(INDEX('Адреса общежитий (скрытый)'!$B$2:$B$9, MATCH(W4544, 'Адреса общежитий (скрытый)'!$A$2:$A$9, 0)), "")</f>
        <v/>
      </c>
      <c r="Y4544" s="18"/>
      <c r="Z4544" s="18"/>
      <c r="AA4544" s="18"/>
      <c r="AB4544" s="18"/>
      <c r="AC4544" s="18"/>
    </row>
    <row r="4545" spans="1:29" ht="32.25" hidden="1" customHeight="1">
      <c r="A4545" s="17"/>
      <c r="B4545" s="9" t="s">
        <v>13284</v>
      </c>
      <c r="C4545" s="9" t="s">
        <v>13284</v>
      </c>
      <c r="D4545" s="9" t="s">
        <v>13284</v>
      </c>
      <c r="E4545" s="9" t="s">
        <v>13284</v>
      </c>
      <c r="F4545" s="9" t="s">
        <v>13284</v>
      </c>
      <c r="G4545" s="9" t="s">
        <v>13284</v>
      </c>
      <c r="H4545" s="9" t="s">
        <v>13284</v>
      </c>
      <c r="I4545" s="9" t="s">
        <v>13284</v>
      </c>
      <c r="J4545" s="9" t="s">
        <v>13284</v>
      </c>
      <c r="K4545" s="9" t="s">
        <v>13284</v>
      </c>
      <c r="L4545" s="9" t="s">
        <v>13284</v>
      </c>
      <c r="M4545" s="9" t="s">
        <v>13284</v>
      </c>
      <c r="N4545" s="9" t="s">
        <v>13284</v>
      </c>
      <c r="O4545" s="9" t="s">
        <v>13284</v>
      </c>
      <c r="P4545" s="9" t="s">
        <v>13284</v>
      </c>
      <c r="Q4545" s="9" t="s">
        <v>13284</v>
      </c>
      <c r="R4545" s="9" t="s">
        <v>13284</v>
      </c>
      <c r="S4545" s="9" t="s">
        <v>13284</v>
      </c>
      <c r="T4545" s="9" t="str">
        <f ca="1">IFERROR(IF(AND(VLOOKUP(A4545, 'Актуальное состояние (из общего'!A:C,3,0) = "", A4545 &lt;&gt; ""), "ПРОВЕРИТЬ", VLOOKUP(A4545, 'Актуальное состояние (из общего'!A:C,3,0)), "")</f>
        <v/>
      </c>
      <c r="U4545" s="9" t="s">
        <v>13284</v>
      </c>
      <c r="V4545" s="9" t="s">
        <v>13284</v>
      </c>
      <c r="W4545" s="12"/>
      <c r="X4545" s="9" t="str">
        <f t="array" ref="X4545">IFERROR(INDEX('Адреса общежитий (скрытый)'!$B$2:$B$9, MATCH(W4545, 'Адреса общежитий (скрытый)'!$A$2:$A$9, 0)), "")</f>
        <v/>
      </c>
      <c r="Y4545" s="18"/>
      <c r="Z4545" s="18"/>
      <c r="AA4545" s="18"/>
      <c r="AB4545" s="18"/>
      <c r="AC4545" s="18"/>
    </row>
    <row r="4546" spans="1:29" ht="32.25" hidden="1" customHeight="1">
      <c r="A4546" s="17"/>
      <c r="B4546" s="9" t="s">
        <v>13284</v>
      </c>
      <c r="C4546" s="9" t="s">
        <v>13284</v>
      </c>
      <c r="D4546" s="9" t="s">
        <v>13284</v>
      </c>
      <c r="E4546" s="9" t="s">
        <v>13284</v>
      </c>
      <c r="F4546" s="9" t="s">
        <v>13284</v>
      </c>
      <c r="G4546" s="9" t="s">
        <v>13284</v>
      </c>
      <c r="H4546" s="9" t="s">
        <v>13284</v>
      </c>
      <c r="I4546" s="9" t="s">
        <v>13284</v>
      </c>
      <c r="J4546" s="9" t="s">
        <v>13284</v>
      </c>
      <c r="K4546" s="9" t="s">
        <v>13284</v>
      </c>
      <c r="L4546" s="9" t="s">
        <v>13284</v>
      </c>
      <c r="M4546" s="9" t="s">
        <v>13284</v>
      </c>
      <c r="N4546" s="9" t="s">
        <v>13284</v>
      </c>
      <c r="O4546" s="9" t="s">
        <v>13284</v>
      </c>
      <c r="P4546" s="9" t="s">
        <v>13284</v>
      </c>
      <c r="Q4546" s="9" t="s">
        <v>13284</v>
      </c>
      <c r="R4546" s="9" t="s">
        <v>13284</v>
      </c>
      <c r="S4546" s="9" t="s">
        <v>13284</v>
      </c>
      <c r="T4546" s="9" t="str">
        <f ca="1">IFERROR(IF(AND(VLOOKUP(A4546, 'Актуальное состояние (из общего'!A:C,3,0) = "", A4546 &lt;&gt; ""), "ПРОВЕРИТЬ", VLOOKUP(A4546, 'Актуальное состояние (из общего'!A:C,3,0)), "")</f>
        <v/>
      </c>
      <c r="U4546" s="9" t="s">
        <v>13284</v>
      </c>
      <c r="V4546" s="9" t="s">
        <v>13284</v>
      </c>
      <c r="W4546" s="12"/>
      <c r="X4546" s="9" t="str">
        <f t="array" ref="X4546">IFERROR(INDEX('Адреса общежитий (скрытый)'!$B$2:$B$9, MATCH(W4546, 'Адреса общежитий (скрытый)'!$A$2:$A$9, 0)), "")</f>
        <v/>
      </c>
      <c r="Y4546" s="18"/>
      <c r="Z4546" s="18"/>
      <c r="AA4546" s="18"/>
      <c r="AB4546" s="18"/>
      <c r="AC4546" s="18"/>
    </row>
    <row r="4547" spans="1:29" ht="32.25" hidden="1" customHeight="1">
      <c r="A4547" s="17"/>
      <c r="B4547" s="9" t="s">
        <v>13284</v>
      </c>
      <c r="C4547" s="9" t="s">
        <v>13284</v>
      </c>
      <c r="D4547" s="9" t="s">
        <v>13284</v>
      </c>
      <c r="E4547" s="9" t="s">
        <v>13284</v>
      </c>
      <c r="F4547" s="9" t="s">
        <v>13284</v>
      </c>
      <c r="G4547" s="9" t="s">
        <v>13284</v>
      </c>
      <c r="H4547" s="9" t="s">
        <v>13284</v>
      </c>
      <c r="I4547" s="9" t="s">
        <v>13284</v>
      </c>
      <c r="J4547" s="9" t="s">
        <v>13284</v>
      </c>
      <c r="K4547" s="9" t="s">
        <v>13284</v>
      </c>
      <c r="L4547" s="9" t="s">
        <v>13284</v>
      </c>
      <c r="M4547" s="9" t="s">
        <v>13284</v>
      </c>
      <c r="N4547" s="9" t="s">
        <v>13284</v>
      </c>
      <c r="O4547" s="9" t="s">
        <v>13284</v>
      </c>
      <c r="P4547" s="9" t="s">
        <v>13284</v>
      </c>
      <c r="Q4547" s="9" t="s">
        <v>13284</v>
      </c>
      <c r="R4547" s="9" t="s">
        <v>13284</v>
      </c>
      <c r="S4547" s="9" t="s">
        <v>13284</v>
      </c>
      <c r="T4547" s="9" t="str">
        <f ca="1">IFERROR(IF(AND(VLOOKUP(A4547, 'Актуальное состояние (из общего'!A:C,3,0) = "", A4547 &lt;&gt; ""), "ПРОВЕРИТЬ", VLOOKUP(A4547, 'Актуальное состояние (из общего'!A:C,3,0)), "")</f>
        <v/>
      </c>
      <c r="U4547" s="9" t="s">
        <v>13284</v>
      </c>
      <c r="V4547" s="9" t="s">
        <v>13284</v>
      </c>
      <c r="W4547" s="12"/>
      <c r="X4547" s="9" t="str">
        <f t="array" ref="X4547">IFERROR(INDEX('Адреса общежитий (скрытый)'!$B$2:$B$9, MATCH(W4547, 'Адреса общежитий (скрытый)'!$A$2:$A$9, 0)), "")</f>
        <v/>
      </c>
      <c r="Y4547" s="18"/>
      <c r="Z4547" s="18"/>
      <c r="AA4547" s="18"/>
      <c r="AB4547" s="18"/>
      <c r="AC4547" s="18"/>
    </row>
    <row r="4548" spans="1:29" ht="32.25" hidden="1" customHeight="1">
      <c r="A4548" s="17"/>
      <c r="B4548" s="9" t="s">
        <v>13284</v>
      </c>
      <c r="C4548" s="9" t="s">
        <v>13284</v>
      </c>
      <c r="D4548" s="9" t="s">
        <v>13284</v>
      </c>
      <c r="E4548" s="9" t="s">
        <v>13284</v>
      </c>
      <c r="F4548" s="9" t="s">
        <v>13284</v>
      </c>
      <c r="G4548" s="9" t="s">
        <v>13284</v>
      </c>
      <c r="H4548" s="9" t="s">
        <v>13284</v>
      </c>
      <c r="I4548" s="9" t="s">
        <v>13284</v>
      </c>
      <c r="J4548" s="9" t="s">
        <v>13284</v>
      </c>
      <c r="K4548" s="9" t="s">
        <v>13284</v>
      </c>
      <c r="L4548" s="9" t="s">
        <v>13284</v>
      </c>
      <c r="M4548" s="9" t="s">
        <v>13284</v>
      </c>
      <c r="N4548" s="9" t="s">
        <v>13284</v>
      </c>
      <c r="O4548" s="9" t="s">
        <v>13284</v>
      </c>
      <c r="P4548" s="9" t="s">
        <v>13284</v>
      </c>
      <c r="Q4548" s="9" t="s">
        <v>13284</v>
      </c>
      <c r="R4548" s="9" t="s">
        <v>13284</v>
      </c>
      <c r="S4548" s="9" t="s">
        <v>13284</v>
      </c>
      <c r="T4548" s="9" t="str">
        <f ca="1">IFERROR(IF(AND(VLOOKUP(A4548, 'Актуальное состояние (из общего'!A:C,3,0) = "", A4548 &lt;&gt; ""), "ПРОВЕРИТЬ", VLOOKUP(A4548, 'Актуальное состояние (из общего'!A:C,3,0)), "")</f>
        <v/>
      </c>
      <c r="U4548" s="9" t="s">
        <v>13284</v>
      </c>
      <c r="V4548" s="9" t="s">
        <v>13284</v>
      </c>
      <c r="W4548" s="12"/>
      <c r="X4548" s="9" t="str">
        <f t="array" ref="X4548">IFERROR(INDEX('Адреса общежитий (скрытый)'!$B$2:$B$9, MATCH(W4548, 'Адреса общежитий (скрытый)'!$A$2:$A$9, 0)), "")</f>
        <v/>
      </c>
      <c r="Y4548" s="18"/>
      <c r="Z4548" s="18"/>
      <c r="AA4548" s="18"/>
      <c r="AB4548" s="18"/>
      <c r="AC4548" s="18"/>
    </row>
    <row r="4549" spans="1:29" ht="32.25" hidden="1" customHeight="1">
      <c r="A4549" s="17"/>
      <c r="B4549" s="9" t="s">
        <v>13284</v>
      </c>
      <c r="C4549" s="9" t="s">
        <v>13284</v>
      </c>
      <c r="D4549" s="9" t="s">
        <v>13284</v>
      </c>
      <c r="E4549" s="9" t="s">
        <v>13284</v>
      </c>
      <c r="F4549" s="9" t="s">
        <v>13284</v>
      </c>
      <c r="G4549" s="9" t="s">
        <v>13284</v>
      </c>
      <c r="H4549" s="9" t="s">
        <v>13284</v>
      </c>
      <c r="I4549" s="9" t="s">
        <v>13284</v>
      </c>
      <c r="J4549" s="9" t="s">
        <v>13284</v>
      </c>
      <c r="K4549" s="9" t="s">
        <v>13284</v>
      </c>
      <c r="L4549" s="9" t="s">
        <v>13284</v>
      </c>
      <c r="M4549" s="9" t="s">
        <v>13284</v>
      </c>
      <c r="N4549" s="9" t="s">
        <v>13284</v>
      </c>
      <c r="O4549" s="9" t="s">
        <v>13284</v>
      </c>
      <c r="P4549" s="9" t="s">
        <v>13284</v>
      </c>
      <c r="Q4549" s="9" t="s">
        <v>13284</v>
      </c>
      <c r="R4549" s="9" t="s">
        <v>13284</v>
      </c>
      <c r="S4549" s="9" t="s">
        <v>13284</v>
      </c>
      <c r="T4549" s="9" t="str">
        <f ca="1">IFERROR(IF(AND(VLOOKUP(A4549, 'Актуальное состояние (из общего'!A:C,3,0) = "", A4549 &lt;&gt; ""), "ПРОВЕРИТЬ", VLOOKUP(A4549, 'Актуальное состояние (из общего'!A:C,3,0)), "")</f>
        <v/>
      </c>
      <c r="U4549" s="9" t="s">
        <v>13284</v>
      </c>
      <c r="V4549" s="9" t="s">
        <v>13284</v>
      </c>
      <c r="W4549" s="12"/>
      <c r="X4549" s="9" t="str">
        <f t="array" ref="X4549">IFERROR(INDEX('Адреса общежитий (скрытый)'!$B$2:$B$9, MATCH(W4549, 'Адреса общежитий (скрытый)'!$A$2:$A$9, 0)), "")</f>
        <v/>
      </c>
      <c r="Y4549" s="18"/>
      <c r="Z4549" s="18"/>
      <c r="AA4549" s="18"/>
      <c r="AB4549" s="18"/>
      <c r="AC4549" s="18"/>
    </row>
    <row r="4550" spans="1:29" ht="32.25" hidden="1" customHeight="1">
      <c r="A4550" s="17"/>
      <c r="B4550" s="9" t="s">
        <v>13284</v>
      </c>
      <c r="C4550" s="9" t="s">
        <v>13284</v>
      </c>
      <c r="D4550" s="9" t="s">
        <v>13284</v>
      </c>
      <c r="E4550" s="9" t="s">
        <v>13284</v>
      </c>
      <c r="F4550" s="9" t="s">
        <v>13284</v>
      </c>
      <c r="G4550" s="9" t="s">
        <v>13284</v>
      </c>
      <c r="H4550" s="9" t="s">
        <v>13284</v>
      </c>
      <c r="I4550" s="9" t="s">
        <v>13284</v>
      </c>
      <c r="J4550" s="9" t="s">
        <v>13284</v>
      </c>
      <c r="K4550" s="9" t="s">
        <v>13284</v>
      </c>
      <c r="L4550" s="9" t="s">
        <v>13284</v>
      </c>
      <c r="M4550" s="9" t="s">
        <v>13284</v>
      </c>
      <c r="N4550" s="9" t="s">
        <v>13284</v>
      </c>
      <c r="O4550" s="9" t="s">
        <v>13284</v>
      </c>
      <c r="P4550" s="9" t="s">
        <v>13284</v>
      </c>
      <c r="Q4550" s="9" t="s">
        <v>13284</v>
      </c>
      <c r="R4550" s="9" t="s">
        <v>13284</v>
      </c>
      <c r="S4550" s="9" t="s">
        <v>13284</v>
      </c>
      <c r="T4550" s="9" t="str">
        <f ca="1">IFERROR(IF(AND(VLOOKUP(A4550, 'Актуальное состояние (из общего'!A:C,3,0) = "", A4550 &lt;&gt; ""), "ПРОВЕРИТЬ", VLOOKUP(A4550, 'Актуальное состояние (из общего'!A:C,3,0)), "")</f>
        <v/>
      </c>
      <c r="U4550" s="9" t="s">
        <v>13284</v>
      </c>
      <c r="V4550" s="9" t="s">
        <v>13284</v>
      </c>
      <c r="W4550" s="12"/>
      <c r="X4550" s="9" t="str">
        <f t="array" ref="X4550">IFERROR(INDEX('Адреса общежитий (скрытый)'!$B$2:$B$9, MATCH(W4550, 'Адреса общежитий (скрытый)'!$A$2:$A$9, 0)), "")</f>
        <v/>
      </c>
      <c r="Y4550" s="18"/>
      <c r="Z4550" s="18"/>
      <c r="AA4550" s="18"/>
      <c r="AB4550" s="18"/>
      <c r="AC4550" s="18"/>
    </row>
    <row r="4551" spans="1:29" ht="32.25" hidden="1" customHeight="1">
      <c r="A4551" s="17"/>
      <c r="B4551" s="9" t="s">
        <v>13284</v>
      </c>
      <c r="C4551" s="9" t="s">
        <v>13284</v>
      </c>
      <c r="D4551" s="9" t="s">
        <v>13284</v>
      </c>
      <c r="E4551" s="9" t="s">
        <v>13284</v>
      </c>
      <c r="F4551" s="9" t="s">
        <v>13284</v>
      </c>
      <c r="G4551" s="9" t="s">
        <v>13284</v>
      </c>
      <c r="H4551" s="9" t="s">
        <v>13284</v>
      </c>
      <c r="I4551" s="9" t="s">
        <v>13284</v>
      </c>
      <c r="J4551" s="9" t="s">
        <v>13284</v>
      </c>
      <c r="K4551" s="9" t="s">
        <v>13284</v>
      </c>
      <c r="L4551" s="9" t="s">
        <v>13284</v>
      </c>
      <c r="M4551" s="9" t="s">
        <v>13284</v>
      </c>
      <c r="N4551" s="9" t="s">
        <v>13284</v>
      </c>
      <c r="O4551" s="9" t="s">
        <v>13284</v>
      </c>
      <c r="P4551" s="9" t="s">
        <v>13284</v>
      </c>
      <c r="Q4551" s="9" t="s">
        <v>13284</v>
      </c>
      <c r="R4551" s="9" t="s">
        <v>13284</v>
      </c>
      <c r="S4551" s="9" t="s">
        <v>13284</v>
      </c>
      <c r="T4551" s="9" t="str">
        <f ca="1">IFERROR(IF(AND(VLOOKUP(A4551, 'Актуальное состояние (из общего'!A:C,3,0) = "", A4551 &lt;&gt; ""), "ПРОВЕРИТЬ", VLOOKUP(A4551, 'Актуальное состояние (из общего'!A:C,3,0)), "")</f>
        <v/>
      </c>
      <c r="U4551" s="9" t="s">
        <v>13284</v>
      </c>
      <c r="V4551" s="9" t="s">
        <v>13284</v>
      </c>
      <c r="W4551" s="12"/>
      <c r="X4551" s="9" t="str">
        <f t="array" ref="X4551">IFERROR(INDEX('Адреса общежитий (скрытый)'!$B$2:$B$9, MATCH(W4551, 'Адреса общежитий (скрытый)'!$A$2:$A$9, 0)), "")</f>
        <v/>
      </c>
      <c r="Y4551" s="18"/>
      <c r="Z4551" s="18"/>
      <c r="AA4551" s="18"/>
      <c r="AB4551" s="18"/>
      <c r="AC4551" s="18"/>
    </row>
    <row r="4552" spans="1:29" ht="32.25" hidden="1" customHeight="1">
      <c r="A4552" s="17"/>
      <c r="B4552" s="9" t="s">
        <v>13284</v>
      </c>
      <c r="C4552" s="9" t="s">
        <v>13284</v>
      </c>
      <c r="D4552" s="9" t="s">
        <v>13284</v>
      </c>
      <c r="E4552" s="9" t="s">
        <v>13284</v>
      </c>
      <c r="F4552" s="9" t="s">
        <v>13284</v>
      </c>
      <c r="G4552" s="9" t="s">
        <v>13284</v>
      </c>
      <c r="H4552" s="9" t="s">
        <v>13284</v>
      </c>
      <c r="I4552" s="9" t="s">
        <v>13284</v>
      </c>
      <c r="J4552" s="9" t="s">
        <v>13284</v>
      </c>
      <c r="K4552" s="9" t="s">
        <v>13284</v>
      </c>
      <c r="L4552" s="9" t="s">
        <v>13284</v>
      </c>
      <c r="M4552" s="9" t="s">
        <v>13284</v>
      </c>
      <c r="N4552" s="9" t="s">
        <v>13284</v>
      </c>
      <c r="O4552" s="9" t="s">
        <v>13284</v>
      </c>
      <c r="P4552" s="9" t="s">
        <v>13284</v>
      </c>
      <c r="Q4552" s="9" t="s">
        <v>13284</v>
      </c>
      <c r="R4552" s="9" t="s">
        <v>13284</v>
      </c>
      <c r="S4552" s="9" t="s">
        <v>13284</v>
      </c>
      <c r="T4552" s="9" t="str">
        <f ca="1">IFERROR(IF(AND(VLOOKUP(A4552, 'Актуальное состояние (из общего'!A:C,3,0) = "", A4552 &lt;&gt; ""), "ПРОВЕРИТЬ", VLOOKUP(A4552, 'Актуальное состояние (из общего'!A:C,3,0)), "")</f>
        <v/>
      </c>
      <c r="U4552" s="9" t="s">
        <v>13284</v>
      </c>
      <c r="V4552" s="9" t="s">
        <v>13284</v>
      </c>
      <c r="W4552" s="12"/>
      <c r="X4552" s="9" t="str">
        <f t="array" ref="X4552">IFERROR(INDEX('Адреса общежитий (скрытый)'!$B$2:$B$9, MATCH(W4552, 'Адреса общежитий (скрытый)'!$A$2:$A$9, 0)), "")</f>
        <v/>
      </c>
      <c r="Y4552" s="18"/>
      <c r="Z4552" s="18"/>
      <c r="AA4552" s="18"/>
      <c r="AB4552" s="18"/>
      <c r="AC4552" s="18"/>
    </row>
    <row r="4553" spans="1:29" ht="32.25" hidden="1" customHeight="1">
      <c r="A4553" s="17"/>
      <c r="B4553" s="9" t="s">
        <v>13284</v>
      </c>
      <c r="C4553" s="9" t="s">
        <v>13284</v>
      </c>
      <c r="D4553" s="9" t="s">
        <v>13284</v>
      </c>
      <c r="E4553" s="9" t="s">
        <v>13284</v>
      </c>
      <c r="F4553" s="9" t="s">
        <v>13284</v>
      </c>
      <c r="G4553" s="9" t="s">
        <v>13284</v>
      </c>
      <c r="H4553" s="9" t="s">
        <v>13284</v>
      </c>
      <c r="I4553" s="9" t="s">
        <v>13284</v>
      </c>
      <c r="J4553" s="9" t="s">
        <v>13284</v>
      </c>
      <c r="K4553" s="9" t="s">
        <v>13284</v>
      </c>
      <c r="L4553" s="9" t="s">
        <v>13284</v>
      </c>
      <c r="M4553" s="9" t="s">
        <v>13284</v>
      </c>
      <c r="N4553" s="9" t="s">
        <v>13284</v>
      </c>
      <c r="O4553" s="9" t="s">
        <v>13284</v>
      </c>
      <c r="P4553" s="9" t="s">
        <v>13284</v>
      </c>
      <c r="Q4553" s="9" t="s">
        <v>13284</v>
      </c>
      <c r="R4553" s="9" t="s">
        <v>13284</v>
      </c>
      <c r="S4553" s="9" t="s">
        <v>13284</v>
      </c>
      <c r="T4553" s="9" t="str">
        <f ca="1">IFERROR(IF(AND(VLOOKUP(A4553, 'Актуальное состояние (из общего'!A:C,3,0) = "", A4553 &lt;&gt; ""), "ПРОВЕРИТЬ", VLOOKUP(A4553, 'Актуальное состояние (из общего'!A:C,3,0)), "")</f>
        <v/>
      </c>
      <c r="U4553" s="9" t="s">
        <v>13284</v>
      </c>
      <c r="V4553" s="9" t="s">
        <v>13284</v>
      </c>
      <c r="W4553" s="12"/>
      <c r="X4553" s="9" t="str">
        <f t="array" ref="X4553">IFERROR(INDEX('Адреса общежитий (скрытый)'!$B$2:$B$9, MATCH(W4553, 'Адреса общежитий (скрытый)'!$A$2:$A$9, 0)), "")</f>
        <v/>
      </c>
      <c r="Y4553" s="18"/>
      <c r="Z4553" s="18"/>
      <c r="AA4553" s="18"/>
      <c r="AB4553" s="18"/>
      <c r="AC4553" s="18"/>
    </row>
    <row r="4554" spans="1:29" ht="32.25" hidden="1" customHeight="1">
      <c r="A4554" s="17"/>
      <c r="B4554" s="9" t="s">
        <v>13284</v>
      </c>
      <c r="C4554" s="9" t="s">
        <v>13284</v>
      </c>
      <c r="D4554" s="9" t="s">
        <v>13284</v>
      </c>
      <c r="E4554" s="9" t="s">
        <v>13284</v>
      </c>
      <c r="F4554" s="9" t="s">
        <v>13284</v>
      </c>
      <c r="G4554" s="9" t="s">
        <v>13284</v>
      </c>
      <c r="H4554" s="9" t="s">
        <v>13284</v>
      </c>
      <c r="I4554" s="9" t="s">
        <v>13284</v>
      </c>
      <c r="J4554" s="9" t="s">
        <v>13284</v>
      </c>
      <c r="K4554" s="9" t="s">
        <v>13284</v>
      </c>
      <c r="L4554" s="9" t="s">
        <v>13284</v>
      </c>
      <c r="M4554" s="9" t="s">
        <v>13284</v>
      </c>
      <c r="N4554" s="9" t="s">
        <v>13284</v>
      </c>
      <c r="O4554" s="9" t="s">
        <v>13284</v>
      </c>
      <c r="P4554" s="9" t="s">
        <v>13284</v>
      </c>
      <c r="Q4554" s="9" t="s">
        <v>13284</v>
      </c>
      <c r="R4554" s="9" t="s">
        <v>13284</v>
      </c>
      <c r="S4554" s="9" t="s">
        <v>13284</v>
      </c>
      <c r="T4554" s="9" t="str">
        <f ca="1">IFERROR(IF(AND(VLOOKUP(A4554, 'Актуальное состояние (из общего'!A:C,3,0) = "", A4554 &lt;&gt; ""), "ПРОВЕРИТЬ", VLOOKUP(A4554, 'Актуальное состояние (из общего'!A:C,3,0)), "")</f>
        <v/>
      </c>
      <c r="U4554" s="9" t="s">
        <v>13284</v>
      </c>
      <c r="V4554" s="9" t="s">
        <v>13284</v>
      </c>
      <c r="W4554" s="12"/>
      <c r="X4554" s="9" t="str">
        <f t="array" ref="X4554">IFERROR(INDEX('Адреса общежитий (скрытый)'!$B$2:$B$9, MATCH(W4554, 'Адреса общежитий (скрытый)'!$A$2:$A$9, 0)), "")</f>
        <v/>
      </c>
      <c r="Y4554" s="18"/>
      <c r="Z4554" s="18"/>
      <c r="AA4554" s="18"/>
      <c r="AB4554" s="18"/>
      <c r="AC4554" s="18"/>
    </row>
    <row r="4555" spans="1:29" ht="32.25" hidden="1" customHeight="1">
      <c r="A4555" s="17"/>
      <c r="B4555" s="9" t="s">
        <v>13284</v>
      </c>
      <c r="C4555" s="9" t="s">
        <v>13284</v>
      </c>
      <c r="D4555" s="9" t="s">
        <v>13284</v>
      </c>
      <c r="E4555" s="9" t="s">
        <v>13284</v>
      </c>
      <c r="F4555" s="9" t="s">
        <v>13284</v>
      </c>
      <c r="G4555" s="9" t="s">
        <v>13284</v>
      </c>
      <c r="H4555" s="9" t="s">
        <v>13284</v>
      </c>
      <c r="I4555" s="9" t="s">
        <v>13284</v>
      </c>
      <c r="J4555" s="9" t="s">
        <v>13284</v>
      </c>
      <c r="K4555" s="9" t="s">
        <v>13284</v>
      </c>
      <c r="L4555" s="9" t="s">
        <v>13284</v>
      </c>
      <c r="M4555" s="9" t="s">
        <v>13284</v>
      </c>
      <c r="N4555" s="9" t="s">
        <v>13284</v>
      </c>
      <c r="O4555" s="9" t="s">
        <v>13284</v>
      </c>
      <c r="P4555" s="9" t="s">
        <v>13284</v>
      </c>
      <c r="Q4555" s="9" t="s">
        <v>13284</v>
      </c>
      <c r="R4555" s="9" t="s">
        <v>13284</v>
      </c>
      <c r="S4555" s="9" t="s">
        <v>13284</v>
      </c>
      <c r="T4555" s="9" t="str">
        <f ca="1">IFERROR(IF(AND(VLOOKUP(A4555, 'Актуальное состояние (из общего'!A:C,3,0) = "", A4555 &lt;&gt; ""), "ПРОВЕРИТЬ", VLOOKUP(A4555, 'Актуальное состояние (из общего'!A:C,3,0)), "")</f>
        <v/>
      </c>
      <c r="U4555" s="9" t="s">
        <v>13284</v>
      </c>
      <c r="V4555" s="9" t="s">
        <v>13284</v>
      </c>
      <c r="W4555" s="12"/>
      <c r="X4555" s="9" t="str">
        <f t="array" ref="X4555">IFERROR(INDEX('Адреса общежитий (скрытый)'!$B$2:$B$9, MATCH(W4555, 'Адреса общежитий (скрытый)'!$A$2:$A$9, 0)), "")</f>
        <v/>
      </c>
      <c r="Y4555" s="18"/>
      <c r="Z4555" s="18"/>
      <c r="AA4555" s="18"/>
      <c r="AB4555" s="18"/>
      <c r="AC4555" s="18"/>
    </row>
    <row r="4556" spans="1:29" ht="32.25" hidden="1" customHeight="1">
      <c r="A4556" s="17"/>
      <c r="B4556" s="9" t="s">
        <v>13284</v>
      </c>
      <c r="C4556" s="9" t="s">
        <v>13284</v>
      </c>
      <c r="D4556" s="9" t="s">
        <v>13284</v>
      </c>
      <c r="E4556" s="9" t="s">
        <v>13284</v>
      </c>
      <c r="F4556" s="9" t="s">
        <v>13284</v>
      </c>
      <c r="G4556" s="9" t="s">
        <v>13284</v>
      </c>
      <c r="H4556" s="9" t="s">
        <v>13284</v>
      </c>
      <c r="I4556" s="9" t="s">
        <v>13284</v>
      </c>
      <c r="J4556" s="9" t="s">
        <v>13284</v>
      </c>
      <c r="K4556" s="9" t="s">
        <v>13284</v>
      </c>
      <c r="L4556" s="9" t="s">
        <v>13284</v>
      </c>
      <c r="M4556" s="9" t="s">
        <v>13284</v>
      </c>
      <c r="N4556" s="9" t="s">
        <v>13284</v>
      </c>
      <c r="O4556" s="9" t="s">
        <v>13284</v>
      </c>
      <c r="P4556" s="9" t="s">
        <v>13284</v>
      </c>
      <c r="Q4556" s="9" t="s">
        <v>13284</v>
      </c>
      <c r="R4556" s="9" t="s">
        <v>13284</v>
      </c>
      <c r="S4556" s="9" t="s">
        <v>13284</v>
      </c>
      <c r="T4556" s="9" t="str">
        <f ca="1">IFERROR(IF(AND(VLOOKUP(A4556, 'Актуальное состояние (из общего'!A:C,3,0) = "", A4556 &lt;&gt; ""), "ПРОВЕРИТЬ", VLOOKUP(A4556, 'Актуальное состояние (из общего'!A:C,3,0)), "")</f>
        <v/>
      </c>
      <c r="U4556" s="9" t="s">
        <v>13284</v>
      </c>
      <c r="V4556" s="9" t="s">
        <v>13284</v>
      </c>
      <c r="W4556" s="12"/>
      <c r="X4556" s="9" t="str">
        <f t="array" ref="X4556">IFERROR(INDEX('Адреса общежитий (скрытый)'!$B$2:$B$9, MATCH(W4556, 'Адреса общежитий (скрытый)'!$A$2:$A$9, 0)), "")</f>
        <v/>
      </c>
      <c r="Y4556" s="18"/>
      <c r="Z4556" s="18"/>
      <c r="AA4556" s="18"/>
      <c r="AB4556" s="18"/>
      <c r="AC4556" s="18"/>
    </row>
    <row r="4557" spans="1:29" ht="32.25" hidden="1" customHeight="1">
      <c r="A4557" s="17"/>
      <c r="B4557" s="9" t="s">
        <v>13284</v>
      </c>
      <c r="C4557" s="9" t="s">
        <v>13284</v>
      </c>
      <c r="D4557" s="9" t="s">
        <v>13284</v>
      </c>
      <c r="E4557" s="9" t="s">
        <v>13284</v>
      </c>
      <c r="F4557" s="9" t="s">
        <v>13284</v>
      </c>
      <c r="G4557" s="9" t="s">
        <v>13284</v>
      </c>
      <c r="H4557" s="9" t="s">
        <v>13284</v>
      </c>
      <c r="I4557" s="9" t="s">
        <v>13284</v>
      </c>
      <c r="J4557" s="9" t="s">
        <v>13284</v>
      </c>
      <c r="K4557" s="9" t="s">
        <v>13284</v>
      </c>
      <c r="L4557" s="9" t="s">
        <v>13284</v>
      </c>
      <c r="M4557" s="9" t="s">
        <v>13284</v>
      </c>
      <c r="N4557" s="9" t="s">
        <v>13284</v>
      </c>
      <c r="O4557" s="9" t="s">
        <v>13284</v>
      </c>
      <c r="P4557" s="9" t="s">
        <v>13284</v>
      </c>
      <c r="Q4557" s="9" t="s">
        <v>13284</v>
      </c>
      <c r="R4557" s="9" t="s">
        <v>13284</v>
      </c>
      <c r="S4557" s="9" t="s">
        <v>13284</v>
      </c>
      <c r="T4557" s="9" t="str">
        <f ca="1">IFERROR(IF(AND(VLOOKUP(A4557, 'Актуальное состояние (из общего'!A:C,3,0) = "", A4557 &lt;&gt; ""), "ПРОВЕРИТЬ", VLOOKUP(A4557, 'Актуальное состояние (из общего'!A:C,3,0)), "")</f>
        <v/>
      </c>
      <c r="U4557" s="9" t="s">
        <v>13284</v>
      </c>
      <c r="V4557" s="9" t="s">
        <v>13284</v>
      </c>
      <c r="W4557" s="12"/>
      <c r="X4557" s="9" t="str">
        <f t="array" ref="X4557">IFERROR(INDEX('Адреса общежитий (скрытый)'!$B$2:$B$9, MATCH(W4557, 'Адреса общежитий (скрытый)'!$A$2:$A$9, 0)), "")</f>
        <v/>
      </c>
      <c r="Y4557" s="18"/>
      <c r="Z4557" s="18"/>
      <c r="AA4557" s="18"/>
      <c r="AB4557" s="18"/>
      <c r="AC4557" s="18"/>
    </row>
    <row r="4558" spans="1:29" ht="32.25" hidden="1" customHeight="1">
      <c r="A4558" s="17"/>
      <c r="B4558" s="9" t="s">
        <v>13284</v>
      </c>
      <c r="C4558" s="9" t="s">
        <v>13284</v>
      </c>
      <c r="D4558" s="9" t="s">
        <v>13284</v>
      </c>
      <c r="E4558" s="9" t="s">
        <v>13284</v>
      </c>
      <c r="F4558" s="9" t="s">
        <v>13284</v>
      </c>
      <c r="G4558" s="9" t="s">
        <v>13284</v>
      </c>
      <c r="H4558" s="9" t="s">
        <v>13284</v>
      </c>
      <c r="I4558" s="9" t="s">
        <v>13284</v>
      </c>
      <c r="J4558" s="9" t="s">
        <v>13284</v>
      </c>
      <c r="K4558" s="9" t="s">
        <v>13284</v>
      </c>
      <c r="L4558" s="9" t="s">
        <v>13284</v>
      </c>
      <c r="M4558" s="9" t="s">
        <v>13284</v>
      </c>
      <c r="N4558" s="9" t="s">
        <v>13284</v>
      </c>
      <c r="O4558" s="9" t="s">
        <v>13284</v>
      </c>
      <c r="P4558" s="9" t="s">
        <v>13284</v>
      </c>
      <c r="Q4558" s="9" t="s">
        <v>13284</v>
      </c>
      <c r="R4558" s="9" t="s">
        <v>13284</v>
      </c>
      <c r="S4558" s="9" t="s">
        <v>13284</v>
      </c>
      <c r="T4558" s="9" t="str">
        <f ca="1">IFERROR(IF(AND(VLOOKUP(A4558, 'Актуальное состояние (из общего'!A:C,3,0) = "", A4558 &lt;&gt; ""), "ПРОВЕРИТЬ", VLOOKUP(A4558, 'Актуальное состояние (из общего'!A:C,3,0)), "")</f>
        <v/>
      </c>
      <c r="U4558" s="9" t="s">
        <v>13284</v>
      </c>
      <c r="V4558" s="9" t="s">
        <v>13284</v>
      </c>
      <c r="W4558" s="12"/>
      <c r="X4558" s="9" t="str">
        <f t="array" ref="X4558">IFERROR(INDEX('Адреса общежитий (скрытый)'!$B$2:$B$9, MATCH(W4558, 'Адреса общежитий (скрытый)'!$A$2:$A$9, 0)), "")</f>
        <v/>
      </c>
      <c r="Y4558" s="18"/>
      <c r="Z4558" s="18"/>
      <c r="AA4558" s="18"/>
      <c r="AB4558" s="18"/>
      <c r="AC4558" s="18"/>
    </row>
    <row r="4559" spans="1:29" ht="32.25" hidden="1" customHeight="1">
      <c r="A4559" s="17"/>
      <c r="B4559" s="9" t="s">
        <v>13284</v>
      </c>
      <c r="C4559" s="9" t="s">
        <v>13284</v>
      </c>
      <c r="D4559" s="9" t="s">
        <v>13284</v>
      </c>
      <c r="E4559" s="9" t="s">
        <v>13284</v>
      </c>
      <c r="F4559" s="9" t="s">
        <v>13284</v>
      </c>
      <c r="G4559" s="9" t="s">
        <v>13284</v>
      </c>
      <c r="H4559" s="9" t="s">
        <v>13284</v>
      </c>
      <c r="I4559" s="9" t="s">
        <v>13284</v>
      </c>
      <c r="J4559" s="9" t="s">
        <v>13284</v>
      </c>
      <c r="K4559" s="9" t="s">
        <v>13284</v>
      </c>
      <c r="L4559" s="9" t="s">
        <v>13284</v>
      </c>
      <c r="M4559" s="9" t="s">
        <v>13284</v>
      </c>
      <c r="N4559" s="9" t="s">
        <v>13284</v>
      </c>
      <c r="O4559" s="9" t="s">
        <v>13284</v>
      </c>
      <c r="P4559" s="9" t="s">
        <v>13284</v>
      </c>
      <c r="Q4559" s="9" t="s">
        <v>13284</v>
      </c>
      <c r="R4559" s="9" t="s">
        <v>13284</v>
      </c>
      <c r="S4559" s="9" t="s">
        <v>13284</v>
      </c>
      <c r="T4559" s="9" t="str">
        <f ca="1">IFERROR(IF(AND(VLOOKUP(A4559, 'Актуальное состояние (из общего'!A:C,3,0) = "", A4559 &lt;&gt; ""), "ПРОВЕРИТЬ", VLOOKUP(A4559, 'Актуальное состояние (из общего'!A:C,3,0)), "")</f>
        <v/>
      </c>
      <c r="U4559" s="9" t="s">
        <v>13284</v>
      </c>
      <c r="V4559" s="9" t="s">
        <v>13284</v>
      </c>
      <c r="W4559" s="12"/>
      <c r="X4559" s="9" t="str">
        <f t="array" ref="X4559">IFERROR(INDEX('Адреса общежитий (скрытый)'!$B$2:$B$9, MATCH(W4559, 'Адреса общежитий (скрытый)'!$A$2:$A$9, 0)), "")</f>
        <v/>
      </c>
      <c r="Y4559" s="18"/>
      <c r="Z4559" s="18"/>
      <c r="AA4559" s="18"/>
      <c r="AB4559" s="18"/>
      <c r="AC4559" s="18"/>
    </row>
    <row r="4560" spans="1:29" ht="32.25" hidden="1" customHeight="1">
      <c r="A4560" s="17"/>
      <c r="B4560" s="9" t="s">
        <v>13284</v>
      </c>
      <c r="C4560" s="9" t="s">
        <v>13284</v>
      </c>
      <c r="D4560" s="9" t="s">
        <v>13284</v>
      </c>
      <c r="E4560" s="9" t="s">
        <v>13284</v>
      </c>
      <c r="F4560" s="9" t="s">
        <v>13284</v>
      </c>
      <c r="G4560" s="9" t="s">
        <v>13284</v>
      </c>
      <c r="H4560" s="9" t="s">
        <v>13284</v>
      </c>
      <c r="I4560" s="9" t="s">
        <v>13284</v>
      </c>
      <c r="J4560" s="9" t="s">
        <v>13284</v>
      </c>
      <c r="K4560" s="9" t="s">
        <v>13284</v>
      </c>
      <c r="L4560" s="9" t="s">
        <v>13284</v>
      </c>
      <c r="M4560" s="9" t="s">
        <v>13284</v>
      </c>
      <c r="N4560" s="9" t="s">
        <v>13284</v>
      </c>
      <c r="O4560" s="9" t="s">
        <v>13284</v>
      </c>
      <c r="P4560" s="9" t="s">
        <v>13284</v>
      </c>
      <c r="Q4560" s="9" t="s">
        <v>13284</v>
      </c>
      <c r="R4560" s="9" t="s">
        <v>13284</v>
      </c>
      <c r="S4560" s="9" t="s">
        <v>13284</v>
      </c>
      <c r="T4560" s="9" t="str">
        <f ca="1">IFERROR(IF(AND(VLOOKUP(A4560, 'Актуальное состояние (из общего'!A:C,3,0) = "", A4560 &lt;&gt; ""), "ПРОВЕРИТЬ", VLOOKUP(A4560, 'Актуальное состояние (из общего'!A:C,3,0)), "")</f>
        <v/>
      </c>
      <c r="U4560" s="9" t="s">
        <v>13284</v>
      </c>
      <c r="V4560" s="9" t="s">
        <v>13284</v>
      </c>
      <c r="W4560" s="12"/>
      <c r="X4560" s="9" t="str">
        <f t="array" ref="X4560">IFERROR(INDEX('Адреса общежитий (скрытый)'!$B$2:$B$9, MATCH(W4560, 'Адреса общежитий (скрытый)'!$A$2:$A$9, 0)), "")</f>
        <v/>
      </c>
      <c r="Y4560" s="18"/>
      <c r="Z4560" s="18"/>
      <c r="AA4560" s="18"/>
      <c r="AB4560" s="18"/>
      <c r="AC4560" s="18"/>
    </row>
    <row r="4561" spans="1:29" ht="32.25" hidden="1" customHeight="1">
      <c r="A4561" s="17"/>
      <c r="B4561" s="9" t="s">
        <v>13284</v>
      </c>
      <c r="C4561" s="9" t="s">
        <v>13284</v>
      </c>
      <c r="D4561" s="9" t="s">
        <v>13284</v>
      </c>
      <c r="E4561" s="9" t="s">
        <v>13284</v>
      </c>
      <c r="F4561" s="9" t="s">
        <v>13284</v>
      </c>
      <c r="G4561" s="9" t="s">
        <v>13284</v>
      </c>
      <c r="H4561" s="9" t="s">
        <v>13284</v>
      </c>
      <c r="I4561" s="9" t="s">
        <v>13284</v>
      </c>
      <c r="J4561" s="9" t="s">
        <v>13284</v>
      </c>
      <c r="K4561" s="9" t="s">
        <v>13284</v>
      </c>
      <c r="L4561" s="9" t="s">
        <v>13284</v>
      </c>
      <c r="M4561" s="9" t="s">
        <v>13284</v>
      </c>
      <c r="N4561" s="9" t="s">
        <v>13284</v>
      </c>
      <c r="O4561" s="9" t="s">
        <v>13284</v>
      </c>
      <c r="P4561" s="9" t="s">
        <v>13284</v>
      </c>
      <c r="Q4561" s="9" t="s">
        <v>13284</v>
      </c>
      <c r="R4561" s="9" t="s">
        <v>13284</v>
      </c>
      <c r="S4561" s="9" t="s">
        <v>13284</v>
      </c>
      <c r="T4561" s="9" t="str">
        <f ca="1">IFERROR(IF(AND(VLOOKUP(A4561, 'Актуальное состояние (из общего'!A:C,3,0) = "", A4561 &lt;&gt; ""), "ПРОВЕРИТЬ", VLOOKUP(A4561, 'Актуальное состояние (из общего'!A:C,3,0)), "")</f>
        <v/>
      </c>
      <c r="U4561" s="9" t="s">
        <v>13284</v>
      </c>
      <c r="V4561" s="9" t="s">
        <v>13284</v>
      </c>
      <c r="W4561" s="12"/>
      <c r="X4561" s="9" t="str">
        <f t="array" ref="X4561">IFERROR(INDEX('Адреса общежитий (скрытый)'!$B$2:$B$9, MATCH(W4561, 'Адреса общежитий (скрытый)'!$A$2:$A$9, 0)), "")</f>
        <v/>
      </c>
      <c r="Y4561" s="18"/>
      <c r="Z4561" s="18"/>
      <c r="AA4561" s="18"/>
      <c r="AB4561" s="18"/>
      <c r="AC4561" s="18"/>
    </row>
    <row r="4562" spans="1:29" ht="32.25" hidden="1" customHeight="1">
      <c r="A4562" s="17"/>
      <c r="B4562" s="9" t="s">
        <v>13284</v>
      </c>
      <c r="C4562" s="9" t="s">
        <v>13284</v>
      </c>
      <c r="D4562" s="9" t="s">
        <v>13284</v>
      </c>
      <c r="E4562" s="9" t="s">
        <v>13284</v>
      </c>
      <c r="F4562" s="9" t="s">
        <v>13284</v>
      </c>
      <c r="G4562" s="9" t="s">
        <v>13284</v>
      </c>
      <c r="H4562" s="9" t="s">
        <v>13284</v>
      </c>
      <c r="I4562" s="9" t="s">
        <v>13284</v>
      </c>
      <c r="J4562" s="9" t="s">
        <v>13284</v>
      </c>
      <c r="K4562" s="9" t="s">
        <v>13284</v>
      </c>
      <c r="L4562" s="9" t="s">
        <v>13284</v>
      </c>
      <c r="M4562" s="9" t="s">
        <v>13284</v>
      </c>
      <c r="N4562" s="9" t="s">
        <v>13284</v>
      </c>
      <c r="O4562" s="9" t="s">
        <v>13284</v>
      </c>
      <c r="P4562" s="9" t="s">
        <v>13284</v>
      </c>
      <c r="Q4562" s="9" t="s">
        <v>13284</v>
      </c>
      <c r="R4562" s="9" t="s">
        <v>13284</v>
      </c>
      <c r="S4562" s="9" t="s">
        <v>13284</v>
      </c>
      <c r="T4562" s="9" t="str">
        <f ca="1">IFERROR(IF(AND(VLOOKUP(A4562, 'Актуальное состояние (из общего'!A:C,3,0) = "", A4562 &lt;&gt; ""), "ПРОВЕРИТЬ", VLOOKUP(A4562, 'Актуальное состояние (из общего'!A:C,3,0)), "")</f>
        <v/>
      </c>
      <c r="U4562" s="9" t="s">
        <v>13284</v>
      </c>
      <c r="V4562" s="9" t="s">
        <v>13284</v>
      </c>
      <c r="W4562" s="12"/>
      <c r="X4562" s="9" t="str">
        <f t="array" ref="X4562">IFERROR(INDEX('Адреса общежитий (скрытый)'!$B$2:$B$9, MATCH(W4562, 'Адреса общежитий (скрытый)'!$A$2:$A$9, 0)), "")</f>
        <v/>
      </c>
      <c r="Y4562" s="18"/>
      <c r="Z4562" s="18"/>
      <c r="AA4562" s="18"/>
      <c r="AB4562" s="18"/>
      <c r="AC4562" s="18"/>
    </row>
    <row r="4563" spans="1:29" ht="32.25" hidden="1" customHeight="1">
      <c r="A4563" s="17"/>
      <c r="B4563" s="9" t="s">
        <v>13284</v>
      </c>
      <c r="C4563" s="9" t="s">
        <v>13284</v>
      </c>
      <c r="D4563" s="9" t="s">
        <v>13284</v>
      </c>
      <c r="E4563" s="9" t="s">
        <v>13284</v>
      </c>
      <c r="F4563" s="9" t="s">
        <v>13284</v>
      </c>
      <c r="G4563" s="9" t="s">
        <v>13284</v>
      </c>
      <c r="H4563" s="9" t="s">
        <v>13284</v>
      </c>
      <c r="I4563" s="9" t="s">
        <v>13284</v>
      </c>
      <c r="J4563" s="9" t="s">
        <v>13284</v>
      </c>
      <c r="K4563" s="9" t="s">
        <v>13284</v>
      </c>
      <c r="L4563" s="9" t="s">
        <v>13284</v>
      </c>
      <c r="M4563" s="9" t="s">
        <v>13284</v>
      </c>
      <c r="N4563" s="9" t="s">
        <v>13284</v>
      </c>
      <c r="O4563" s="9" t="s">
        <v>13284</v>
      </c>
      <c r="P4563" s="9" t="s">
        <v>13284</v>
      </c>
      <c r="Q4563" s="9" t="s">
        <v>13284</v>
      </c>
      <c r="R4563" s="9" t="s">
        <v>13284</v>
      </c>
      <c r="S4563" s="9" t="s">
        <v>13284</v>
      </c>
      <c r="T4563" s="9" t="str">
        <f ca="1">IFERROR(IF(AND(VLOOKUP(A4563, 'Актуальное состояние (из общего'!A:C,3,0) = "", A4563 &lt;&gt; ""), "ПРОВЕРИТЬ", VLOOKUP(A4563, 'Актуальное состояние (из общего'!A:C,3,0)), "")</f>
        <v/>
      </c>
      <c r="U4563" s="9" t="s">
        <v>13284</v>
      </c>
      <c r="V4563" s="9" t="s">
        <v>13284</v>
      </c>
      <c r="W4563" s="12"/>
      <c r="X4563" s="9" t="str">
        <f t="array" ref="X4563">IFERROR(INDEX('Адреса общежитий (скрытый)'!$B$2:$B$9, MATCH(W4563, 'Адреса общежитий (скрытый)'!$A$2:$A$9, 0)), "")</f>
        <v/>
      </c>
      <c r="Y4563" s="18"/>
      <c r="Z4563" s="18"/>
      <c r="AA4563" s="18"/>
      <c r="AB4563" s="18"/>
      <c r="AC4563" s="18"/>
    </row>
    <row r="4564" spans="1:29" ht="32.25" hidden="1" customHeight="1">
      <c r="A4564" s="17"/>
      <c r="B4564" s="9" t="s">
        <v>13284</v>
      </c>
      <c r="C4564" s="9" t="s">
        <v>13284</v>
      </c>
      <c r="D4564" s="9" t="s">
        <v>13284</v>
      </c>
      <c r="E4564" s="9" t="s">
        <v>13284</v>
      </c>
      <c r="F4564" s="9" t="s">
        <v>13284</v>
      </c>
      <c r="G4564" s="9" t="s">
        <v>13284</v>
      </c>
      <c r="H4564" s="9" t="s">
        <v>13284</v>
      </c>
      <c r="I4564" s="9" t="s">
        <v>13284</v>
      </c>
      <c r="J4564" s="9" t="s">
        <v>13284</v>
      </c>
      <c r="K4564" s="9" t="s">
        <v>13284</v>
      </c>
      <c r="L4564" s="9" t="s">
        <v>13284</v>
      </c>
      <c r="M4564" s="9" t="s">
        <v>13284</v>
      </c>
      <c r="N4564" s="9" t="s">
        <v>13284</v>
      </c>
      <c r="O4564" s="9" t="s">
        <v>13284</v>
      </c>
      <c r="P4564" s="9" t="s">
        <v>13284</v>
      </c>
      <c r="Q4564" s="9" t="s">
        <v>13284</v>
      </c>
      <c r="R4564" s="9" t="s">
        <v>13284</v>
      </c>
      <c r="S4564" s="9" t="s">
        <v>13284</v>
      </c>
      <c r="T4564" s="9" t="str">
        <f ca="1">IFERROR(IF(AND(VLOOKUP(A4564, 'Актуальное состояние (из общего'!A:C,3,0) = "", A4564 &lt;&gt; ""), "ПРОВЕРИТЬ", VLOOKUP(A4564, 'Актуальное состояние (из общего'!A:C,3,0)), "")</f>
        <v/>
      </c>
      <c r="U4564" s="9" t="s">
        <v>13284</v>
      </c>
      <c r="V4564" s="9" t="s">
        <v>13284</v>
      </c>
      <c r="W4564" s="12"/>
      <c r="X4564" s="9" t="str">
        <f t="array" ref="X4564">IFERROR(INDEX('Адреса общежитий (скрытый)'!$B$2:$B$9, MATCH(W4564, 'Адреса общежитий (скрытый)'!$A$2:$A$9, 0)), "")</f>
        <v/>
      </c>
      <c r="Y4564" s="18"/>
      <c r="Z4564" s="18"/>
      <c r="AA4564" s="18"/>
      <c r="AB4564" s="18"/>
      <c r="AC4564" s="18"/>
    </row>
    <row r="4565" spans="1:29" ht="32.25" hidden="1" customHeight="1">
      <c r="A4565" s="17"/>
      <c r="B4565" s="9" t="s">
        <v>13284</v>
      </c>
      <c r="C4565" s="9" t="s">
        <v>13284</v>
      </c>
      <c r="D4565" s="9" t="s">
        <v>13284</v>
      </c>
      <c r="E4565" s="9" t="s">
        <v>13284</v>
      </c>
      <c r="F4565" s="9" t="s">
        <v>13284</v>
      </c>
      <c r="G4565" s="9" t="s">
        <v>13284</v>
      </c>
      <c r="H4565" s="9" t="s">
        <v>13284</v>
      </c>
      <c r="I4565" s="9" t="s">
        <v>13284</v>
      </c>
      <c r="J4565" s="9" t="s">
        <v>13284</v>
      </c>
      <c r="K4565" s="9" t="s">
        <v>13284</v>
      </c>
      <c r="L4565" s="9" t="s">
        <v>13284</v>
      </c>
      <c r="M4565" s="9" t="s">
        <v>13284</v>
      </c>
      <c r="N4565" s="9" t="s">
        <v>13284</v>
      </c>
      <c r="O4565" s="9" t="s">
        <v>13284</v>
      </c>
      <c r="P4565" s="9" t="s">
        <v>13284</v>
      </c>
      <c r="Q4565" s="9" t="s">
        <v>13284</v>
      </c>
      <c r="R4565" s="9" t="s">
        <v>13284</v>
      </c>
      <c r="S4565" s="9" t="s">
        <v>13284</v>
      </c>
      <c r="T4565" s="9" t="str">
        <f ca="1">IFERROR(IF(AND(VLOOKUP(A4565, 'Актуальное состояние (из общего'!A:C,3,0) = "", A4565 &lt;&gt; ""), "ПРОВЕРИТЬ", VLOOKUP(A4565, 'Актуальное состояние (из общего'!A:C,3,0)), "")</f>
        <v/>
      </c>
      <c r="U4565" s="9" t="s">
        <v>13284</v>
      </c>
      <c r="V4565" s="9" t="s">
        <v>13284</v>
      </c>
      <c r="W4565" s="12"/>
      <c r="X4565" s="9" t="str">
        <f t="array" ref="X4565">IFERROR(INDEX('Адреса общежитий (скрытый)'!$B$2:$B$9, MATCH(W4565, 'Адреса общежитий (скрытый)'!$A$2:$A$9, 0)), "")</f>
        <v/>
      </c>
      <c r="Y4565" s="18"/>
      <c r="Z4565" s="18"/>
      <c r="AA4565" s="18"/>
      <c r="AB4565" s="18"/>
      <c r="AC4565" s="18"/>
    </row>
    <row r="4566" spans="1:29" ht="32.25" hidden="1" customHeight="1">
      <c r="A4566" s="17"/>
      <c r="B4566" s="9" t="s">
        <v>13284</v>
      </c>
      <c r="C4566" s="9" t="s">
        <v>13284</v>
      </c>
      <c r="D4566" s="9" t="s">
        <v>13284</v>
      </c>
      <c r="E4566" s="9" t="s">
        <v>13284</v>
      </c>
      <c r="F4566" s="9" t="s">
        <v>13284</v>
      </c>
      <c r="G4566" s="9" t="s">
        <v>13284</v>
      </c>
      <c r="H4566" s="9" t="s">
        <v>13284</v>
      </c>
      <c r="I4566" s="9" t="s">
        <v>13284</v>
      </c>
      <c r="J4566" s="9" t="s">
        <v>13284</v>
      </c>
      <c r="K4566" s="9" t="s">
        <v>13284</v>
      </c>
      <c r="L4566" s="9" t="s">
        <v>13284</v>
      </c>
      <c r="M4566" s="9" t="s">
        <v>13284</v>
      </c>
      <c r="N4566" s="9" t="s">
        <v>13284</v>
      </c>
      <c r="O4566" s="9" t="s">
        <v>13284</v>
      </c>
      <c r="P4566" s="9" t="s">
        <v>13284</v>
      </c>
      <c r="Q4566" s="9" t="s">
        <v>13284</v>
      </c>
      <c r="R4566" s="9" t="s">
        <v>13284</v>
      </c>
      <c r="S4566" s="9" t="s">
        <v>13284</v>
      </c>
      <c r="T4566" s="9" t="str">
        <f ca="1">IFERROR(IF(AND(VLOOKUP(A4566, 'Актуальное состояние (из общего'!A:C,3,0) = "", A4566 &lt;&gt; ""), "ПРОВЕРИТЬ", VLOOKUP(A4566, 'Актуальное состояние (из общего'!A:C,3,0)), "")</f>
        <v/>
      </c>
      <c r="U4566" s="9" t="s">
        <v>13284</v>
      </c>
      <c r="V4566" s="9" t="s">
        <v>13284</v>
      </c>
      <c r="W4566" s="12"/>
      <c r="X4566" s="9" t="str">
        <f t="array" ref="X4566">IFERROR(INDEX('Адреса общежитий (скрытый)'!$B$2:$B$9, MATCH(W4566, 'Адреса общежитий (скрытый)'!$A$2:$A$9, 0)), "")</f>
        <v/>
      </c>
      <c r="Y4566" s="18"/>
      <c r="Z4566" s="18"/>
      <c r="AA4566" s="18"/>
      <c r="AB4566" s="18"/>
      <c r="AC4566" s="18"/>
    </row>
    <row r="4567" spans="1:29" ht="32.25" hidden="1" customHeight="1">
      <c r="A4567" s="17"/>
      <c r="B4567" s="9" t="s">
        <v>13284</v>
      </c>
      <c r="C4567" s="9" t="s">
        <v>13284</v>
      </c>
      <c r="D4567" s="9" t="s">
        <v>13284</v>
      </c>
      <c r="E4567" s="9" t="s">
        <v>13284</v>
      </c>
      <c r="F4567" s="9" t="s">
        <v>13284</v>
      </c>
      <c r="G4567" s="9" t="s">
        <v>13284</v>
      </c>
      <c r="H4567" s="9" t="s">
        <v>13284</v>
      </c>
      <c r="I4567" s="9" t="s">
        <v>13284</v>
      </c>
      <c r="J4567" s="9" t="s">
        <v>13284</v>
      </c>
      <c r="K4567" s="9" t="s">
        <v>13284</v>
      </c>
      <c r="L4567" s="9" t="s">
        <v>13284</v>
      </c>
      <c r="M4567" s="9" t="s">
        <v>13284</v>
      </c>
      <c r="N4567" s="9" t="s">
        <v>13284</v>
      </c>
      <c r="O4567" s="9" t="s">
        <v>13284</v>
      </c>
      <c r="P4567" s="9" t="s">
        <v>13284</v>
      </c>
      <c r="Q4567" s="9" t="s">
        <v>13284</v>
      </c>
      <c r="R4567" s="9" t="s">
        <v>13284</v>
      </c>
      <c r="S4567" s="9" t="s">
        <v>13284</v>
      </c>
      <c r="T4567" s="9" t="str">
        <f ca="1">IFERROR(IF(AND(VLOOKUP(A4567, 'Актуальное состояние (из общего'!A:C,3,0) = "", A4567 &lt;&gt; ""), "ПРОВЕРИТЬ", VLOOKUP(A4567, 'Актуальное состояние (из общего'!A:C,3,0)), "")</f>
        <v/>
      </c>
      <c r="U4567" s="9" t="s">
        <v>13284</v>
      </c>
      <c r="V4567" s="9" t="s">
        <v>13284</v>
      </c>
      <c r="W4567" s="12"/>
      <c r="X4567" s="9" t="str">
        <f t="array" ref="X4567">IFERROR(INDEX('Адреса общежитий (скрытый)'!$B$2:$B$9, MATCH(W4567, 'Адреса общежитий (скрытый)'!$A$2:$A$9, 0)), "")</f>
        <v/>
      </c>
      <c r="Y4567" s="18"/>
      <c r="Z4567" s="18"/>
      <c r="AA4567" s="18"/>
      <c r="AB4567" s="18"/>
      <c r="AC4567" s="18"/>
    </row>
    <row r="4568" spans="1:29" ht="32.25" hidden="1" customHeight="1">
      <c r="A4568" s="17"/>
      <c r="B4568" s="9" t="s">
        <v>13284</v>
      </c>
      <c r="C4568" s="9" t="s">
        <v>13284</v>
      </c>
      <c r="D4568" s="9" t="s">
        <v>13284</v>
      </c>
      <c r="E4568" s="9" t="s">
        <v>13284</v>
      </c>
      <c r="F4568" s="9" t="s">
        <v>13284</v>
      </c>
      <c r="G4568" s="9" t="s">
        <v>13284</v>
      </c>
      <c r="H4568" s="9" t="s">
        <v>13284</v>
      </c>
      <c r="I4568" s="9" t="s">
        <v>13284</v>
      </c>
      <c r="J4568" s="9" t="s">
        <v>13284</v>
      </c>
      <c r="K4568" s="9" t="s">
        <v>13284</v>
      </c>
      <c r="L4568" s="9" t="s">
        <v>13284</v>
      </c>
      <c r="M4568" s="9" t="s">
        <v>13284</v>
      </c>
      <c r="N4568" s="9" t="s">
        <v>13284</v>
      </c>
      <c r="O4568" s="9" t="s">
        <v>13284</v>
      </c>
      <c r="P4568" s="9" t="s">
        <v>13284</v>
      </c>
      <c r="Q4568" s="9" t="s">
        <v>13284</v>
      </c>
      <c r="R4568" s="9" t="s">
        <v>13284</v>
      </c>
      <c r="S4568" s="9" t="s">
        <v>13284</v>
      </c>
      <c r="T4568" s="9" t="str">
        <f ca="1">IFERROR(IF(AND(VLOOKUP(A4568, 'Актуальное состояние (из общего'!A:C,3,0) = "", A4568 &lt;&gt; ""), "ПРОВЕРИТЬ", VLOOKUP(A4568, 'Актуальное состояние (из общего'!A:C,3,0)), "")</f>
        <v/>
      </c>
      <c r="U4568" s="9" t="s">
        <v>13284</v>
      </c>
      <c r="V4568" s="9" t="s">
        <v>13284</v>
      </c>
      <c r="W4568" s="12"/>
      <c r="X4568" s="9" t="str">
        <f t="array" ref="X4568">IFERROR(INDEX('Адреса общежитий (скрытый)'!$B$2:$B$9, MATCH(W4568, 'Адреса общежитий (скрытый)'!$A$2:$A$9, 0)), "")</f>
        <v/>
      </c>
      <c r="Y4568" s="18"/>
      <c r="Z4568" s="18"/>
      <c r="AA4568" s="18"/>
      <c r="AB4568" s="18"/>
      <c r="AC4568" s="18"/>
    </row>
    <row r="4569" spans="1:29" ht="32.25" hidden="1" customHeight="1">
      <c r="A4569" s="17"/>
      <c r="B4569" s="9" t="s">
        <v>13284</v>
      </c>
      <c r="C4569" s="9" t="s">
        <v>13284</v>
      </c>
      <c r="D4569" s="9" t="s">
        <v>13284</v>
      </c>
      <c r="E4569" s="9" t="s">
        <v>13284</v>
      </c>
      <c r="F4569" s="9" t="s">
        <v>13284</v>
      </c>
      <c r="G4569" s="9" t="s">
        <v>13284</v>
      </c>
      <c r="H4569" s="9" t="s">
        <v>13284</v>
      </c>
      <c r="I4569" s="9" t="s">
        <v>13284</v>
      </c>
      <c r="J4569" s="9" t="s">
        <v>13284</v>
      </c>
      <c r="K4569" s="9" t="s">
        <v>13284</v>
      </c>
      <c r="L4569" s="9" t="s">
        <v>13284</v>
      </c>
      <c r="M4569" s="9" t="s">
        <v>13284</v>
      </c>
      <c r="N4569" s="9" t="s">
        <v>13284</v>
      </c>
      <c r="O4569" s="9" t="s">
        <v>13284</v>
      </c>
      <c r="P4569" s="9" t="s">
        <v>13284</v>
      </c>
      <c r="Q4569" s="9" t="s">
        <v>13284</v>
      </c>
      <c r="R4569" s="9" t="s">
        <v>13284</v>
      </c>
      <c r="S4569" s="9" t="s">
        <v>13284</v>
      </c>
      <c r="T4569" s="9" t="str">
        <f ca="1">IFERROR(IF(AND(VLOOKUP(A4569, 'Актуальное состояние (из общего'!A:C,3,0) = "", A4569 &lt;&gt; ""), "ПРОВЕРИТЬ", VLOOKUP(A4569, 'Актуальное состояние (из общего'!A:C,3,0)), "")</f>
        <v/>
      </c>
      <c r="U4569" s="9" t="s">
        <v>13284</v>
      </c>
      <c r="V4569" s="9" t="s">
        <v>13284</v>
      </c>
      <c r="W4569" s="12"/>
      <c r="X4569" s="9" t="str">
        <f t="array" ref="X4569">IFERROR(INDEX('Адреса общежитий (скрытый)'!$B$2:$B$9, MATCH(W4569, 'Адреса общежитий (скрытый)'!$A$2:$A$9, 0)), "")</f>
        <v/>
      </c>
      <c r="Y4569" s="18"/>
      <c r="Z4569" s="18"/>
      <c r="AA4569" s="18"/>
      <c r="AB4569" s="18"/>
      <c r="AC4569" s="18"/>
    </row>
    <row r="4570" spans="1:29" ht="32.25" hidden="1" customHeight="1">
      <c r="A4570" s="17"/>
      <c r="B4570" s="9" t="s">
        <v>13284</v>
      </c>
      <c r="C4570" s="9" t="s">
        <v>13284</v>
      </c>
      <c r="D4570" s="9" t="s">
        <v>13284</v>
      </c>
      <c r="E4570" s="9" t="s">
        <v>13284</v>
      </c>
      <c r="F4570" s="9" t="s">
        <v>13284</v>
      </c>
      <c r="G4570" s="9" t="s">
        <v>13284</v>
      </c>
      <c r="H4570" s="9" t="s">
        <v>13284</v>
      </c>
      <c r="I4570" s="9" t="s">
        <v>13284</v>
      </c>
      <c r="J4570" s="9" t="s">
        <v>13284</v>
      </c>
      <c r="K4570" s="9" t="s">
        <v>13284</v>
      </c>
      <c r="L4570" s="9" t="s">
        <v>13284</v>
      </c>
      <c r="M4570" s="9" t="s">
        <v>13284</v>
      </c>
      <c r="N4570" s="9" t="s">
        <v>13284</v>
      </c>
      <c r="O4570" s="9" t="s">
        <v>13284</v>
      </c>
      <c r="P4570" s="9" t="s">
        <v>13284</v>
      </c>
      <c r="Q4570" s="9" t="s">
        <v>13284</v>
      </c>
      <c r="R4570" s="9" t="s">
        <v>13284</v>
      </c>
      <c r="S4570" s="9" t="s">
        <v>13284</v>
      </c>
      <c r="T4570" s="9" t="str">
        <f ca="1">IFERROR(IF(AND(VLOOKUP(A4570, 'Актуальное состояние (из общего'!A:C,3,0) = "", A4570 &lt;&gt; ""), "ПРОВЕРИТЬ", VLOOKUP(A4570, 'Актуальное состояние (из общего'!A:C,3,0)), "")</f>
        <v/>
      </c>
      <c r="U4570" s="9" t="s">
        <v>13284</v>
      </c>
      <c r="V4570" s="9" t="s">
        <v>13284</v>
      </c>
      <c r="W4570" s="12"/>
      <c r="X4570" s="9" t="str">
        <f t="array" ref="X4570">IFERROR(INDEX('Адреса общежитий (скрытый)'!$B$2:$B$9, MATCH(W4570, 'Адреса общежитий (скрытый)'!$A$2:$A$9, 0)), "")</f>
        <v/>
      </c>
      <c r="Y4570" s="18"/>
      <c r="Z4570" s="18"/>
      <c r="AA4570" s="18"/>
      <c r="AB4570" s="18"/>
      <c r="AC4570" s="18"/>
    </row>
    <row r="4571" spans="1:29" ht="32.25" hidden="1" customHeight="1">
      <c r="A4571" s="17"/>
      <c r="B4571" s="9" t="s">
        <v>13284</v>
      </c>
      <c r="C4571" s="9" t="s">
        <v>13284</v>
      </c>
      <c r="D4571" s="9" t="s">
        <v>13284</v>
      </c>
      <c r="E4571" s="9" t="s">
        <v>13284</v>
      </c>
      <c r="F4571" s="9" t="s">
        <v>13284</v>
      </c>
      <c r="G4571" s="9" t="s">
        <v>13284</v>
      </c>
      <c r="H4571" s="9" t="s">
        <v>13284</v>
      </c>
      <c r="I4571" s="9" t="s">
        <v>13284</v>
      </c>
      <c r="J4571" s="9" t="s">
        <v>13284</v>
      </c>
      <c r="K4571" s="9" t="s">
        <v>13284</v>
      </c>
      <c r="L4571" s="9" t="s">
        <v>13284</v>
      </c>
      <c r="M4571" s="9" t="s">
        <v>13284</v>
      </c>
      <c r="N4571" s="9" t="s">
        <v>13284</v>
      </c>
      <c r="O4571" s="9" t="s">
        <v>13284</v>
      </c>
      <c r="P4571" s="9" t="s">
        <v>13284</v>
      </c>
      <c r="Q4571" s="9" t="s">
        <v>13284</v>
      </c>
      <c r="R4571" s="9" t="s">
        <v>13284</v>
      </c>
      <c r="S4571" s="9" t="s">
        <v>13284</v>
      </c>
      <c r="T4571" s="9" t="str">
        <f ca="1">IFERROR(IF(AND(VLOOKUP(A4571, 'Актуальное состояние (из общего'!A:C,3,0) = "", A4571 &lt;&gt; ""), "ПРОВЕРИТЬ", VLOOKUP(A4571, 'Актуальное состояние (из общего'!A:C,3,0)), "")</f>
        <v/>
      </c>
      <c r="U4571" s="9" t="s">
        <v>13284</v>
      </c>
      <c r="V4571" s="9" t="s">
        <v>13284</v>
      </c>
      <c r="W4571" s="12"/>
      <c r="X4571" s="9" t="str">
        <f t="array" ref="X4571">IFERROR(INDEX('Адреса общежитий (скрытый)'!$B$2:$B$9, MATCH(W4571, 'Адреса общежитий (скрытый)'!$A$2:$A$9, 0)), "")</f>
        <v/>
      </c>
      <c r="Y4571" s="18"/>
      <c r="Z4571" s="18"/>
      <c r="AA4571" s="18"/>
      <c r="AB4571" s="18"/>
      <c r="AC4571" s="18"/>
    </row>
    <row r="4572" spans="1:29" ht="32.25" hidden="1" customHeight="1">
      <c r="A4572" s="17"/>
      <c r="B4572" s="9" t="s">
        <v>13284</v>
      </c>
      <c r="C4572" s="9" t="s">
        <v>13284</v>
      </c>
      <c r="D4572" s="9" t="s">
        <v>13284</v>
      </c>
      <c r="E4572" s="9" t="s">
        <v>13284</v>
      </c>
      <c r="F4572" s="9" t="s">
        <v>13284</v>
      </c>
      <c r="G4572" s="9" t="s">
        <v>13284</v>
      </c>
      <c r="H4572" s="9" t="s">
        <v>13284</v>
      </c>
      <c r="I4572" s="9" t="s">
        <v>13284</v>
      </c>
      <c r="J4572" s="9" t="s">
        <v>13284</v>
      </c>
      <c r="K4572" s="9" t="s">
        <v>13284</v>
      </c>
      <c r="L4572" s="9" t="s">
        <v>13284</v>
      </c>
      <c r="M4572" s="9" t="s">
        <v>13284</v>
      </c>
      <c r="N4572" s="9" t="s">
        <v>13284</v>
      </c>
      <c r="O4572" s="9" t="s">
        <v>13284</v>
      </c>
      <c r="P4572" s="9" t="s">
        <v>13284</v>
      </c>
      <c r="Q4572" s="9" t="s">
        <v>13284</v>
      </c>
      <c r="R4572" s="9" t="s">
        <v>13284</v>
      </c>
      <c r="S4572" s="9" t="s">
        <v>13284</v>
      </c>
      <c r="T4572" s="9" t="str">
        <f ca="1">IFERROR(IF(AND(VLOOKUP(A4572, 'Актуальное состояние (из общего'!A:C,3,0) = "", A4572 &lt;&gt; ""), "ПРОВЕРИТЬ", VLOOKUP(A4572, 'Актуальное состояние (из общего'!A:C,3,0)), "")</f>
        <v/>
      </c>
      <c r="U4572" s="9" t="s">
        <v>13284</v>
      </c>
      <c r="V4572" s="9" t="s">
        <v>13284</v>
      </c>
      <c r="W4572" s="12"/>
      <c r="X4572" s="9" t="str">
        <f t="array" ref="X4572">IFERROR(INDEX('Адреса общежитий (скрытый)'!$B$2:$B$9, MATCH(W4572, 'Адреса общежитий (скрытый)'!$A$2:$A$9, 0)), "")</f>
        <v/>
      </c>
      <c r="Y4572" s="18"/>
      <c r="Z4572" s="18"/>
      <c r="AA4572" s="18"/>
      <c r="AB4572" s="18"/>
      <c r="AC4572" s="18"/>
    </row>
    <row r="4573" spans="1:29" ht="32.25" hidden="1" customHeight="1">
      <c r="A4573" s="17"/>
      <c r="B4573" s="9" t="s">
        <v>13284</v>
      </c>
      <c r="C4573" s="9" t="s">
        <v>13284</v>
      </c>
      <c r="D4573" s="9" t="s">
        <v>13284</v>
      </c>
      <c r="E4573" s="9" t="s">
        <v>13284</v>
      </c>
      <c r="F4573" s="9" t="s">
        <v>13284</v>
      </c>
      <c r="G4573" s="9" t="s">
        <v>13284</v>
      </c>
      <c r="H4573" s="9" t="s">
        <v>13284</v>
      </c>
      <c r="I4573" s="9" t="s">
        <v>13284</v>
      </c>
      <c r="J4573" s="9" t="s">
        <v>13284</v>
      </c>
      <c r="K4573" s="9" t="s">
        <v>13284</v>
      </c>
      <c r="L4573" s="9" t="s">
        <v>13284</v>
      </c>
      <c r="M4573" s="9" t="s">
        <v>13284</v>
      </c>
      <c r="N4573" s="9" t="s">
        <v>13284</v>
      </c>
      <c r="O4573" s="9" t="s">
        <v>13284</v>
      </c>
      <c r="P4573" s="9" t="s">
        <v>13284</v>
      </c>
      <c r="Q4573" s="9" t="s">
        <v>13284</v>
      </c>
      <c r="R4573" s="9" t="s">
        <v>13284</v>
      </c>
      <c r="S4573" s="9" t="s">
        <v>13284</v>
      </c>
      <c r="T4573" s="9" t="str">
        <f ca="1">IFERROR(IF(AND(VLOOKUP(A4573, 'Актуальное состояние (из общего'!A:C,3,0) = "", A4573 &lt;&gt; ""), "ПРОВЕРИТЬ", VLOOKUP(A4573, 'Актуальное состояние (из общего'!A:C,3,0)), "")</f>
        <v/>
      </c>
      <c r="U4573" s="9" t="s">
        <v>13284</v>
      </c>
      <c r="V4573" s="9" t="s">
        <v>13284</v>
      </c>
      <c r="W4573" s="12"/>
      <c r="X4573" s="9" t="str">
        <f t="array" ref="X4573">IFERROR(INDEX('Адреса общежитий (скрытый)'!$B$2:$B$9, MATCH(W4573, 'Адреса общежитий (скрытый)'!$A$2:$A$9, 0)), "")</f>
        <v/>
      </c>
      <c r="Y4573" s="18"/>
      <c r="Z4573" s="18"/>
      <c r="AA4573" s="18"/>
      <c r="AB4573" s="18"/>
      <c r="AC4573" s="18"/>
    </row>
    <row r="4574" spans="1:29" ht="32.25" hidden="1" customHeight="1">
      <c r="A4574" s="17"/>
      <c r="B4574" s="9" t="s">
        <v>13284</v>
      </c>
      <c r="C4574" s="9" t="s">
        <v>13284</v>
      </c>
      <c r="D4574" s="9" t="s">
        <v>13284</v>
      </c>
      <c r="E4574" s="9" t="s">
        <v>13284</v>
      </c>
      <c r="F4574" s="9" t="s">
        <v>13284</v>
      </c>
      <c r="G4574" s="9" t="s">
        <v>13284</v>
      </c>
      <c r="H4574" s="9" t="s">
        <v>13284</v>
      </c>
      <c r="I4574" s="9" t="s">
        <v>13284</v>
      </c>
      <c r="J4574" s="9" t="s">
        <v>13284</v>
      </c>
      <c r="K4574" s="9" t="s">
        <v>13284</v>
      </c>
      <c r="L4574" s="9" t="s">
        <v>13284</v>
      </c>
      <c r="M4574" s="9" t="s">
        <v>13284</v>
      </c>
      <c r="N4574" s="9" t="s">
        <v>13284</v>
      </c>
      <c r="O4574" s="9" t="s">
        <v>13284</v>
      </c>
      <c r="P4574" s="9" t="s">
        <v>13284</v>
      </c>
      <c r="Q4574" s="9" t="s">
        <v>13284</v>
      </c>
      <c r="R4574" s="9" t="s">
        <v>13284</v>
      </c>
      <c r="S4574" s="9" t="s">
        <v>13284</v>
      </c>
      <c r="T4574" s="9" t="str">
        <f ca="1">IFERROR(IF(AND(VLOOKUP(A4574, 'Актуальное состояние (из общего'!A:C,3,0) = "", A4574 &lt;&gt; ""), "ПРОВЕРИТЬ", VLOOKUP(A4574, 'Актуальное состояние (из общего'!A:C,3,0)), "")</f>
        <v/>
      </c>
      <c r="U4574" s="9" t="s">
        <v>13284</v>
      </c>
      <c r="V4574" s="9" t="s">
        <v>13284</v>
      </c>
      <c r="W4574" s="12"/>
      <c r="X4574" s="9" t="str">
        <f t="array" ref="X4574">IFERROR(INDEX('Адреса общежитий (скрытый)'!$B$2:$B$9, MATCH(W4574, 'Адреса общежитий (скрытый)'!$A$2:$A$9, 0)), "")</f>
        <v/>
      </c>
      <c r="Y4574" s="18"/>
      <c r="Z4574" s="18"/>
      <c r="AA4574" s="18"/>
      <c r="AB4574" s="18"/>
      <c r="AC4574" s="18"/>
    </row>
    <row r="4575" spans="1:29" ht="32.25" hidden="1" customHeight="1">
      <c r="A4575" s="17"/>
      <c r="B4575" s="9" t="s">
        <v>13284</v>
      </c>
      <c r="C4575" s="9" t="s">
        <v>13284</v>
      </c>
      <c r="D4575" s="9" t="s">
        <v>13284</v>
      </c>
      <c r="E4575" s="9" t="s">
        <v>13284</v>
      </c>
      <c r="F4575" s="9" t="s">
        <v>13284</v>
      </c>
      <c r="G4575" s="9" t="s">
        <v>13284</v>
      </c>
      <c r="H4575" s="9" t="s">
        <v>13284</v>
      </c>
      <c r="I4575" s="9" t="s">
        <v>13284</v>
      </c>
      <c r="J4575" s="9" t="s">
        <v>13284</v>
      </c>
      <c r="K4575" s="9" t="s">
        <v>13284</v>
      </c>
      <c r="L4575" s="9" t="s">
        <v>13284</v>
      </c>
      <c r="M4575" s="9" t="s">
        <v>13284</v>
      </c>
      <c r="N4575" s="9" t="s">
        <v>13284</v>
      </c>
      <c r="O4575" s="9" t="s">
        <v>13284</v>
      </c>
      <c r="P4575" s="9" t="s">
        <v>13284</v>
      </c>
      <c r="Q4575" s="9" t="s">
        <v>13284</v>
      </c>
      <c r="R4575" s="9" t="s">
        <v>13284</v>
      </c>
      <c r="S4575" s="9" t="s">
        <v>13284</v>
      </c>
      <c r="T4575" s="9" t="str">
        <f ca="1">IFERROR(IF(AND(VLOOKUP(A4575, 'Актуальное состояние (из общего'!A:C,3,0) = "", A4575 &lt;&gt; ""), "ПРОВЕРИТЬ", VLOOKUP(A4575, 'Актуальное состояние (из общего'!A:C,3,0)), "")</f>
        <v/>
      </c>
      <c r="U4575" s="9" t="s">
        <v>13284</v>
      </c>
      <c r="V4575" s="9" t="s">
        <v>13284</v>
      </c>
      <c r="W4575" s="12"/>
      <c r="X4575" s="9" t="str">
        <f t="array" ref="X4575">IFERROR(INDEX('Адреса общежитий (скрытый)'!$B$2:$B$9, MATCH(W4575, 'Адреса общежитий (скрытый)'!$A$2:$A$9, 0)), "")</f>
        <v/>
      </c>
      <c r="Y4575" s="18"/>
      <c r="Z4575" s="18"/>
      <c r="AA4575" s="18"/>
      <c r="AB4575" s="18"/>
      <c r="AC4575" s="18"/>
    </row>
    <row r="4576" spans="1:29" ht="32.25" hidden="1" customHeight="1">
      <c r="A4576" s="17"/>
      <c r="B4576" s="9" t="s">
        <v>13284</v>
      </c>
      <c r="C4576" s="9" t="s">
        <v>13284</v>
      </c>
      <c r="D4576" s="9" t="s">
        <v>13284</v>
      </c>
      <c r="E4576" s="9" t="s">
        <v>13284</v>
      </c>
      <c r="F4576" s="9" t="s">
        <v>13284</v>
      </c>
      <c r="G4576" s="9" t="s">
        <v>13284</v>
      </c>
      <c r="H4576" s="9" t="s">
        <v>13284</v>
      </c>
      <c r="I4576" s="9" t="s">
        <v>13284</v>
      </c>
      <c r="J4576" s="9" t="s">
        <v>13284</v>
      </c>
      <c r="K4576" s="9" t="s">
        <v>13284</v>
      </c>
      <c r="L4576" s="9" t="s">
        <v>13284</v>
      </c>
      <c r="M4576" s="9" t="s">
        <v>13284</v>
      </c>
      <c r="N4576" s="9" t="s">
        <v>13284</v>
      </c>
      <c r="O4576" s="9" t="s">
        <v>13284</v>
      </c>
      <c r="P4576" s="9" t="s">
        <v>13284</v>
      </c>
      <c r="Q4576" s="9" t="s">
        <v>13284</v>
      </c>
      <c r="R4576" s="9" t="s">
        <v>13284</v>
      </c>
      <c r="S4576" s="9" t="s">
        <v>13284</v>
      </c>
      <c r="T4576" s="9" t="str">
        <f ca="1">IFERROR(IF(AND(VLOOKUP(A4576, 'Актуальное состояние (из общего'!A:C,3,0) = "", A4576 &lt;&gt; ""), "ПРОВЕРИТЬ", VLOOKUP(A4576, 'Актуальное состояние (из общего'!A:C,3,0)), "")</f>
        <v/>
      </c>
      <c r="U4576" s="9" t="s">
        <v>13284</v>
      </c>
      <c r="V4576" s="9" t="s">
        <v>13284</v>
      </c>
      <c r="W4576" s="12"/>
      <c r="X4576" s="9" t="str">
        <f t="array" ref="X4576">IFERROR(INDEX('Адреса общежитий (скрытый)'!$B$2:$B$9, MATCH(W4576, 'Адреса общежитий (скрытый)'!$A$2:$A$9, 0)), "")</f>
        <v/>
      </c>
      <c r="Y4576" s="18"/>
      <c r="Z4576" s="18"/>
      <c r="AA4576" s="18"/>
      <c r="AB4576" s="18"/>
      <c r="AC4576" s="18"/>
    </row>
    <row r="4577" spans="1:29" ht="32.25" hidden="1" customHeight="1">
      <c r="A4577" s="17"/>
      <c r="B4577" s="9" t="s">
        <v>13284</v>
      </c>
      <c r="C4577" s="9" t="s">
        <v>13284</v>
      </c>
      <c r="D4577" s="9" t="s">
        <v>13284</v>
      </c>
      <c r="E4577" s="9" t="s">
        <v>13284</v>
      </c>
      <c r="F4577" s="9" t="s">
        <v>13284</v>
      </c>
      <c r="G4577" s="9" t="s">
        <v>13284</v>
      </c>
      <c r="H4577" s="9" t="s">
        <v>13284</v>
      </c>
      <c r="I4577" s="9" t="s">
        <v>13284</v>
      </c>
      <c r="J4577" s="9" t="s">
        <v>13284</v>
      </c>
      <c r="K4577" s="9" t="s">
        <v>13284</v>
      </c>
      <c r="L4577" s="9" t="s">
        <v>13284</v>
      </c>
      <c r="M4577" s="9" t="s">
        <v>13284</v>
      </c>
      <c r="N4577" s="9" t="s">
        <v>13284</v>
      </c>
      <c r="O4577" s="9" t="s">
        <v>13284</v>
      </c>
      <c r="P4577" s="9" t="s">
        <v>13284</v>
      </c>
      <c r="Q4577" s="9" t="s">
        <v>13284</v>
      </c>
      <c r="R4577" s="9" t="s">
        <v>13284</v>
      </c>
      <c r="S4577" s="9" t="s">
        <v>13284</v>
      </c>
      <c r="T4577" s="9" t="str">
        <f ca="1">IFERROR(IF(AND(VLOOKUP(A4577, 'Актуальное состояние (из общего'!A:C,3,0) = "", A4577 &lt;&gt; ""), "ПРОВЕРИТЬ", VLOOKUP(A4577, 'Актуальное состояние (из общего'!A:C,3,0)), "")</f>
        <v/>
      </c>
      <c r="U4577" s="9" t="s">
        <v>13284</v>
      </c>
      <c r="V4577" s="9" t="s">
        <v>13284</v>
      </c>
      <c r="W4577" s="12"/>
      <c r="X4577" s="9" t="str">
        <f t="array" ref="X4577">IFERROR(INDEX('Адреса общежитий (скрытый)'!$B$2:$B$9, MATCH(W4577, 'Адреса общежитий (скрытый)'!$A$2:$A$9, 0)), "")</f>
        <v/>
      </c>
      <c r="Y4577" s="18"/>
      <c r="Z4577" s="18"/>
      <c r="AA4577" s="18"/>
      <c r="AB4577" s="18"/>
      <c r="AC4577" s="18"/>
    </row>
    <row r="4578" spans="1:29" ht="32.25" hidden="1" customHeight="1">
      <c r="A4578" s="17"/>
      <c r="B4578" s="9" t="s">
        <v>13284</v>
      </c>
      <c r="C4578" s="9" t="s">
        <v>13284</v>
      </c>
      <c r="D4578" s="9" t="s">
        <v>13284</v>
      </c>
      <c r="E4578" s="9" t="s">
        <v>13284</v>
      </c>
      <c r="F4578" s="9" t="s">
        <v>13284</v>
      </c>
      <c r="G4578" s="9" t="s">
        <v>13284</v>
      </c>
      <c r="H4578" s="9" t="s">
        <v>13284</v>
      </c>
      <c r="I4578" s="9" t="s">
        <v>13284</v>
      </c>
      <c r="J4578" s="9" t="s">
        <v>13284</v>
      </c>
      <c r="K4578" s="9" t="s">
        <v>13284</v>
      </c>
      <c r="L4578" s="9" t="s">
        <v>13284</v>
      </c>
      <c r="M4578" s="9" t="s">
        <v>13284</v>
      </c>
      <c r="N4578" s="9" t="s">
        <v>13284</v>
      </c>
      <c r="O4578" s="9" t="s">
        <v>13284</v>
      </c>
      <c r="P4578" s="9" t="s">
        <v>13284</v>
      </c>
      <c r="Q4578" s="9" t="s">
        <v>13284</v>
      </c>
      <c r="R4578" s="9" t="s">
        <v>13284</v>
      </c>
      <c r="S4578" s="9" t="s">
        <v>13284</v>
      </c>
      <c r="T4578" s="9" t="str">
        <f ca="1">IFERROR(IF(AND(VLOOKUP(A4578, 'Актуальное состояние (из общего'!A:C,3,0) = "", A4578 &lt;&gt; ""), "ПРОВЕРИТЬ", VLOOKUP(A4578, 'Актуальное состояние (из общего'!A:C,3,0)), "")</f>
        <v/>
      </c>
      <c r="U4578" s="9" t="s">
        <v>13284</v>
      </c>
      <c r="V4578" s="9" t="s">
        <v>13284</v>
      </c>
      <c r="W4578" s="12"/>
      <c r="X4578" s="9" t="str">
        <f t="array" ref="X4578">IFERROR(INDEX('Адреса общежитий (скрытый)'!$B$2:$B$9, MATCH(W4578, 'Адреса общежитий (скрытый)'!$A$2:$A$9, 0)), "")</f>
        <v/>
      </c>
      <c r="Y4578" s="18"/>
      <c r="Z4578" s="18"/>
      <c r="AA4578" s="18"/>
      <c r="AB4578" s="18"/>
      <c r="AC4578" s="18"/>
    </row>
    <row r="4579" spans="1:29" ht="32.25" hidden="1" customHeight="1">
      <c r="A4579" s="17"/>
      <c r="B4579" s="9" t="s">
        <v>13284</v>
      </c>
      <c r="C4579" s="9" t="s">
        <v>13284</v>
      </c>
      <c r="D4579" s="9" t="s">
        <v>13284</v>
      </c>
      <c r="E4579" s="9" t="s">
        <v>13284</v>
      </c>
      <c r="F4579" s="9" t="s">
        <v>13284</v>
      </c>
      <c r="G4579" s="9" t="s">
        <v>13284</v>
      </c>
      <c r="H4579" s="9" t="s">
        <v>13284</v>
      </c>
      <c r="I4579" s="9" t="s">
        <v>13284</v>
      </c>
      <c r="J4579" s="9" t="s">
        <v>13284</v>
      </c>
      <c r="K4579" s="9" t="s">
        <v>13284</v>
      </c>
      <c r="L4579" s="9" t="s">
        <v>13284</v>
      </c>
      <c r="M4579" s="9" t="s">
        <v>13284</v>
      </c>
      <c r="N4579" s="9" t="s">
        <v>13284</v>
      </c>
      <c r="O4579" s="9" t="s">
        <v>13284</v>
      </c>
      <c r="P4579" s="9" t="s">
        <v>13284</v>
      </c>
      <c r="Q4579" s="9" t="s">
        <v>13284</v>
      </c>
      <c r="R4579" s="9" t="s">
        <v>13284</v>
      </c>
      <c r="S4579" s="9" t="s">
        <v>13284</v>
      </c>
      <c r="T4579" s="9" t="str">
        <f ca="1">IFERROR(IF(AND(VLOOKUP(A4579, 'Актуальное состояние (из общего'!A:C,3,0) = "", A4579 &lt;&gt; ""), "ПРОВЕРИТЬ", VLOOKUP(A4579, 'Актуальное состояние (из общего'!A:C,3,0)), "")</f>
        <v/>
      </c>
      <c r="U4579" s="9" t="s">
        <v>13284</v>
      </c>
      <c r="V4579" s="9" t="s">
        <v>13284</v>
      </c>
      <c r="W4579" s="12"/>
      <c r="X4579" s="9" t="str">
        <f t="array" ref="X4579">IFERROR(INDEX('Адреса общежитий (скрытый)'!$B$2:$B$9, MATCH(W4579, 'Адреса общежитий (скрытый)'!$A$2:$A$9, 0)), "")</f>
        <v/>
      </c>
      <c r="Y4579" s="18"/>
      <c r="Z4579" s="18"/>
      <c r="AA4579" s="18"/>
      <c r="AB4579" s="18"/>
      <c r="AC4579" s="18"/>
    </row>
    <row r="4580" spans="1:29" ht="32.25" hidden="1" customHeight="1">
      <c r="A4580" s="17"/>
      <c r="B4580" s="9" t="s">
        <v>13284</v>
      </c>
      <c r="C4580" s="9" t="s">
        <v>13284</v>
      </c>
      <c r="D4580" s="9" t="s">
        <v>13284</v>
      </c>
      <c r="E4580" s="9" t="s">
        <v>13284</v>
      </c>
      <c r="F4580" s="9" t="s">
        <v>13284</v>
      </c>
      <c r="G4580" s="9" t="s">
        <v>13284</v>
      </c>
      <c r="H4580" s="9" t="s">
        <v>13284</v>
      </c>
      <c r="I4580" s="9" t="s">
        <v>13284</v>
      </c>
      <c r="J4580" s="9" t="s">
        <v>13284</v>
      </c>
      <c r="K4580" s="9" t="s">
        <v>13284</v>
      </c>
      <c r="L4580" s="9" t="s">
        <v>13284</v>
      </c>
      <c r="M4580" s="9" t="s">
        <v>13284</v>
      </c>
      <c r="N4580" s="9" t="s">
        <v>13284</v>
      </c>
      <c r="O4580" s="9" t="s">
        <v>13284</v>
      </c>
      <c r="P4580" s="9" t="s">
        <v>13284</v>
      </c>
      <c r="Q4580" s="9" t="s">
        <v>13284</v>
      </c>
      <c r="R4580" s="9" t="s">
        <v>13284</v>
      </c>
      <c r="S4580" s="9" t="s">
        <v>13284</v>
      </c>
      <c r="T4580" s="9" t="str">
        <f ca="1">IFERROR(IF(AND(VLOOKUP(A4580, 'Актуальное состояние (из общего'!A:C,3,0) = "", A4580 &lt;&gt; ""), "ПРОВЕРИТЬ", VLOOKUP(A4580, 'Актуальное состояние (из общего'!A:C,3,0)), "")</f>
        <v/>
      </c>
      <c r="U4580" s="9" t="s">
        <v>13284</v>
      </c>
      <c r="V4580" s="9" t="s">
        <v>13284</v>
      </c>
      <c r="W4580" s="12"/>
      <c r="X4580" s="9" t="str">
        <f t="array" ref="X4580">IFERROR(INDEX('Адреса общежитий (скрытый)'!$B$2:$B$9, MATCH(W4580, 'Адреса общежитий (скрытый)'!$A$2:$A$9, 0)), "")</f>
        <v/>
      </c>
      <c r="Y4580" s="18"/>
      <c r="Z4580" s="18"/>
      <c r="AA4580" s="18"/>
      <c r="AB4580" s="18"/>
      <c r="AC4580" s="18"/>
    </row>
    <row r="4581" spans="1:29" ht="32.25" hidden="1" customHeight="1">
      <c r="A4581" s="17"/>
      <c r="B4581" s="9" t="s">
        <v>13284</v>
      </c>
      <c r="C4581" s="9" t="s">
        <v>13284</v>
      </c>
      <c r="D4581" s="9" t="s">
        <v>13284</v>
      </c>
      <c r="E4581" s="9" t="s">
        <v>13284</v>
      </c>
      <c r="F4581" s="9" t="s">
        <v>13284</v>
      </c>
      <c r="G4581" s="9" t="s">
        <v>13284</v>
      </c>
      <c r="H4581" s="9" t="s">
        <v>13284</v>
      </c>
      <c r="I4581" s="9" t="s">
        <v>13284</v>
      </c>
      <c r="J4581" s="9" t="s">
        <v>13284</v>
      </c>
      <c r="K4581" s="9" t="s">
        <v>13284</v>
      </c>
      <c r="L4581" s="9" t="s">
        <v>13284</v>
      </c>
      <c r="M4581" s="9" t="s">
        <v>13284</v>
      </c>
      <c r="N4581" s="9" t="s">
        <v>13284</v>
      </c>
      <c r="O4581" s="9" t="s">
        <v>13284</v>
      </c>
      <c r="P4581" s="9" t="s">
        <v>13284</v>
      </c>
      <c r="Q4581" s="9" t="s">
        <v>13284</v>
      </c>
      <c r="R4581" s="9" t="s">
        <v>13284</v>
      </c>
      <c r="S4581" s="9" t="s">
        <v>13284</v>
      </c>
      <c r="T4581" s="9" t="str">
        <f ca="1">IFERROR(IF(AND(VLOOKUP(A4581, 'Актуальное состояние (из общего'!A:C,3,0) = "", A4581 &lt;&gt; ""), "ПРОВЕРИТЬ", VLOOKUP(A4581, 'Актуальное состояние (из общего'!A:C,3,0)), "")</f>
        <v/>
      </c>
      <c r="U4581" s="9" t="s">
        <v>13284</v>
      </c>
      <c r="V4581" s="9" t="s">
        <v>13284</v>
      </c>
      <c r="W4581" s="12"/>
      <c r="X4581" s="9" t="str">
        <f t="array" ref="X4581">IFERROR(INDEX('Адреса общежитий (скрытый)'!$B$2:$B$9, MATCH(W4581, 'Адреса общежитий (скрытый)'!$A$2:$A$9, 0)), "")</f>
        <v/>
      </c>
      <c r="Y4581" s="18"/>
      <c r="Z4581" s="18"/>
      <c r="AA4581" s="18"/>
      <c r="AB4581" s="18"/>
      <c r="AC4581" s="18"/>
    </row>
    <row r="4582" spans="1:29" ht="32.25" hidden="1" customHeight="1">
      <c r="A4582" s="17"/>
      <c r="B4582" s="9" t="s">
        <v>13284</v>
      </c>
      <c r="C4582" s="9" t="s">
        <v>13284</v>
      </c>
      <c r="D4582" s="9" t="s">
        <v>13284</v>
      </c>
      <c r="E4582" s="9" t="s">
        <v>13284</v>
      </c>
      <c r="F4582" s="9" t="s">
        <v>13284</v>
      </c>
      <c r="G4582" s="9" t="s">
        <v>13284</v>
      </c>
      <c r="H4582" s="9" t="s">
        <v>13284</v>
      </c>
      <c r="I4582" s="9" t="s">
        <v>13284</v>
      </c>
      <c r="J4582" s="9" t="s">
        <v>13284</v>
      </c>
      <c r="K4582" s="9" t="s">
        <v>13284</v>
      </c>
      <c r="L4582" s="9" t="s">
        <v>13284</v>
      </c>
      <c r="M4582" s="9" t="s">
        <v>13284</v>
      </c>
      <c r="N4582" s="9" t="s">
        <v>13284</v>
      </c>
      <c r="O4582" s="9" t="s">
        <v>13284</v>
      </c>
      <c r="P4582" s="9" t="s">
        <v>13284</v>
      </c>
      <c r="Q4582" s="9" t="s">
        <v>13284</v>
      </c>
      <c r="R4582" s="9" t="s">
        <v>13284</v>
      </c>
      <c r="S4582" s="9" t="s">
        <v>13284</v>
      </c>
      <c r="T4582" s="9" t="str">
        <f ca="1">IFERROR(IF(AND(VLOOKUP(A4582, 'Актуальное состояние (из общего'!A:C,3,0) = "", A4582 &lt;&gt; ""), "ПРОВЕРИТЬ", VLOOKUP(A4582, 'Актуальное состояние (из общего'!A:C,3,0)), "")</f>
        <v/>
      </c>
      <c r="U4582" s="9" t="s">
        <v>13284</v>
      </c>
      <c r="V4582" s="9" t="s">
        <v>13284</v>
      </c>
      <c r="W4582" s="12"/>
      <c r="X4582" s="9" t="str">
        <f t="array" ref="X4582">IFERROR(INDEX('Адреса общежитий (скрытый)'!$B$2:$B$9, MATCH(W4582, 'Адреса общежитий (скрытый)'!$A$2:$A$9, 0)), "")</f>
        <v/>
      </c>
      <c r="Y4582" s="18"/>
      <c r="Z4582" s="18"/>
      <c r="AA4582" s="18"/>
      <c r="AB4582" s="18"/>
      <c r="AC4582" s="18"/>
    </row>
    <row r="4583" spans="1:29" ht="32.25" hidden="1" customHeight="1">
      <c r="A4583" s="17"/>
      <c r="B4583" s="9" t="s">
        <v>13284</v>
      </c>
      <c r="C4583" s="9" t="s">
        <v>13284</v>
      </c>
      <c r="D4583" s="9" t="s">
        <v>13284</v>
      </c>
      <c r="E4583" s="9" t="s">
        <v>13284</v>
      </c>
      <c r="F4583" s="9" t="s">
        <v>13284</v>
      </c>
      <c r="G4583" s="9" t="s">
        <v>13284</v>
      </c>
      <c r="H4583" s="9" t="s">
        <v>13284</v>
      </c>
      <c r="I4583" s="9" t="s">
        <v>13284</v>
      </c>
      <c r="J4583" s="9" t="s">
        <v>13284</v>
      </c>
      <c r="K4583" s="9" t="s">
        <v>13284</v>
      </c>
      <c r="L4583" s="9" t="s">
        <v>13284</v>
      </c>
      <c r="M4583" s="9" t="s">
        <v>13284</v>
      </c>
      <c r="N4583" s="9" t="s">
        <v>13284</v>
      </c>
      <c r="O4583" s="9" t="s">
        <v>13284</v>
      </c>
      <c r="P4583" s="9" t="s">
        <v>13284</v>
      </c>
      <c r="Q4583" s="9" t="s">
        <v>13284</v>
      </c>
      <c r="R4583" s="9" t="s">
        <v>13284</v>
      </c>
      <c r="S4583" s="9" t="s">
        <v>13284</v>
      </c>
      <c r="T4583" s="9" t="str">
        <f ca="1">IFERROR(IF(AND(VLOOKUP(A4583, 'Актуальное состояние (из общего'!A:C,3,0) = "", A4583 &lt;&gt; ""), "ПРОВЕРИТЬ", VLOOKUP(A4583, 'Актуальное состояние (из общего'!A:C,3,0)), "")</f>
        <v/>
      </c>
      <c r="U4583" s="9" t="s">
        <v>13284</v>
      </c>
      <c r="V4583" s="9" t="s">
        <v>13284</v>
      </c>
      <c r="W4583" s="12"/>
      <c r="X4583" s="9" t="str">
        <f t="array" ref="X4583">IFERROR(INDEX('Адреса общежитий (скрытый)'!$B$2:$B$9, MATCH(W4583, 'Адреса общежитий (скрытый)'!$A$2:$A$9, 0)), "")</f>
        <v/>
      </c>
      <c r="Y4583" s="18"/>
      <c r="Z4583" s="18"/>
      <c r="AA4583" s="18"/>
      <c r="AB4583" s="18"/>
      <c r="AC4583" s="18"/>
    </row>
    <row r="4584" spans="1:29" ht="32.25" hidden="1" customHeight="1">
      <c r="A4584" s="17"/>
      <c r="B4584" s="9" t="s">
        <v>13284</v>
      </c>
      <c r="C4584" s="9" t="s">
        <v>13284</v>
      </c>
      <c r="D4584" s="9" t="s">
        <v>13284</v>
      </c>
      <c r="E4584" s="9" t="s">
        <v>13284</v>
      </c>
      <c r="F4584" s="9" t="s">
        <v>13284</v>
      </c>
      <c r="G4584" s="9" t="s">
        <v>13284</v>
      </c>
      <c r="H4584" s="9" t="s">
        <v>13284</v>
      </c>
      <c r="I4584" s="9" t="s">
        <v>13284</v>
      </c>
      <c r="J4584" s="9" t="s">
        <v>13284</v>
      </c>
      <c r="K4584" s="9" t="s">
        <v>13284</v>
      </c>
      <c r="L4584" s="9" t="s">
        <v>13284</v>
      </c>
      <c r="M4584" s="9" t="s">
        <v>13284</v>
      </c>
      <c r="N4584" s="9" t="s">
        <v>13284</v>
      </c>
      <c r="O4584" s="9" t="s">
        <v>13284</v>
      </c>
      <c r="P4584" s="9" t="s">
        <v>13284</v>
      </c>
      <c r="Q4584" s="9" t="s">
        <v>13284</v>
      </c>
      <c r="R4584" s="9" t="s">
        <v>13284</v>
      </c>
      <c r="S4584" s="9" t="s">
        <v>13284</v>
      </c>
      <c r="T4584" s="9" t="str">
        <f ca="1">IFERROR(IF(AND(VLOOKUP(A4584, 'Актуальное состояние (из общего'!A:C,3,0) = "", A4584 &lt;&gt; ""), "ПРОВЕРИТЬ", VLOOKUP(A4584, 'Актуальное состояние (из общего'!A:C,3,0)), "")</f>
        <v/>
      </c>
      <c r="U4584" s="9" t="s">
        <v>13284</v>
      </c>
      <c r="V4584" s="9" t="s">
        <v>13284</v>
      </c>
      <c r="W4584" s="12"/>
      <c r="X4584" s="9" t="str">
        <f t="array" ref="X4584">IFERROR(INDEX('Адреса общежитий (скрытый)'!$B$2:$B$9, MATCH(W4584, 'Адреса общежитий (скрытый)'!$A$2:$A$9, 0)), "")</f>
        <v/>
      </c>
      <c r="Y4584" s="18"/>
      <c r="Z4584" s="18"/>
      <c r="AA4584" s="18"/>
      <c r="AB4584" s="18"/>
      <c r="AC4584" s="18"/>
    </row>
    <row r="4585" spans="1:29" ht="32.25" hidden="1" customHeight="1">
      <c r="A4585" s="17"/>
      <c r="B4585" s="9" t="s">
        <v>13284</v>
      </c>
      <c r="C4585" s="9" t="s">
        <v>13284</v>
      </c>
      <c r="D4585" s="9" t="s">
        <v>13284</v>
      </c>
      <c r="E4585" s="9" t="s">
        <v>13284</v>
      </c>
      <c r="F4585" s="9" t="s">
        <v>13284</v>
      </c>
      <c r="G4585" s="9" t="s">
        <v>13284</v>
      </c>
      <c r="H4585" s="9" t="s">
        <v>13284</v>
      </c>
      <c r="I4585" s="9" t="s">
        <v>13284</v>
      </c>
      <c r="J4585" s="9" t="s">
        <v>13284</v>
      </c>
      <c r="K4585" s="9" t="s">
        <v>13284</v>
      </c>
      <c r="L4585" s="9" t="s">
        <v>13284</v>
      </c>
      <c r="M4585" s="9" t="s">
        <v>13284</v>
      </c>
      <c r="N4585" s="9" t="s">
        <v>13284</v>
      </c>
      <c r="O4585" s="9" t="s">
        <v>13284</v>
      </c>
      <c r="P4585" s="9" t="s">
        <v>13284</v>
      </c>
      <c r="Q4585" s="9" t="s">
        <v>13284</v>
      </c>
      <c r="R4585" s="9" t="s">
        <v>13284</v>
      </c>
      <c r="S4585" s="9" t="s">
        <v>13284</v>
      </c>
      <c r="T4585" s="9" t="str">
        <f ca="1">IFERROR(IF(AND(VLOOKUP(A4585, 'Актуальное состояние (из общего'!A:C,3,0) = "", A4585 &lt;&gt; ""), "ПРОВЕРИТЬ", VLOOKUP(A4585, 'Актуальное состояние (из общего'!A:C,3,0)), "")</f>
        <v/>
      </c>
      <c r="U4585" s="9" t="s">
        <v>13284</v>
      </c>
      <c r="V4585" s="9" t="s">
        <v>13284</v>
      </c>
      <c r="W4585" s="12"/>
      <c r="X4585" s="9" t="str">
        <f t="array" ref="X4585">IFERROR(INDEX('Адреса общежитий (скрытый)'!$B$2:$B$9, MATCH(W4585, 'Адреса общежитий (скрытый)'!$A$2:$A$9, 0)), "")</f>
        <v/>
      </c>
      <c r="Y4585" s="18"/>
      <c r="Z4585" s="18"/>
      <c r="AA4585" s="18"/>
      <c r="AB4585" s="18"/>
      <c r="AC4585" s="18"/>
    </row>
    <row r="4586" spans="1:29" ht="32.25" hidden="1" customHeight="1">
      <c r="A4586" s="17"/>
      <c r="B4586" s="9" t="s">
        <v>13284</v>
      </c>
      <c r="C4586" s="9" t="s">
        <v>13284</v>
      </c>
      <c r="D4586" s="9" t="s">
        <v>13284</v>
      </c>
      <c r="E4586" s="9" t="s">
        <v>13284</v>
      </c>
      <c r="F4586" s="9" t="s">
        <v>13284</v>
      </c>
      <c r="G4586" s="9" t="s">
        <v>13284</v>
      </c>
      <c r="H4586" s="9" t="s">
        <v>13284</v>
      </c>
      <c r="I4586" s="9" t="s">
        <v>13284</v>
      </c>
      <c r="J4586" s="9" t="s">
        <v>13284</v>
      </c>
      <c r="K4586" s="9" t="s">
        <v>13284</v>
      </c>
      <c r="L4586" s="9" t="s">
        <v>13284</v>
      </c>
      <c r="M4586" s="9" t="s">
        <v>13284</v>
      </c>
      <c r="N4586" s="9" t="s">
        <v>13284</v>
      </c>
      <c r="O4586" s="9" t="s">
        <v>13284</v>
      </c>
      <c r="P4586" s="9" t="s">
        <v>13284</v>
      </c>
      <c r="Q4586" s="9" t="s">
        <v>13284</v>
      </c>
      <c r="R4586" s="9" t="s">
        <v>13284</v>
      </c>
      <c r="S4586" s="9" t="s">
        <v>13284</v>
      </c>
      <c r="T4586" s="9" t="str">
        <f ca="1">IFERROR(IF(AND(VLOOKUP(A4586, 'Актуальное состояние (из общего'!A:C,3,0) = "", A4586 &lt;&gt; ""), "ПРОВЕРИТЬ", VLOOKUP(A4586, 'Актуальное состояние (из общего'!A:C,3,0)), "")</f>
        <v/>
      </c>
      <c r="U4586" s="9" t="s">
        <v>13284</v>
      </c>
      <c r="V4586" s="9" t="s">
        <v>13284</v>
      </c>
      <c r="W4586" s="12"/>
      <c r="X4586" s="9" t="str">
        <f t="array" ref="X4586">IFERROR(INDEX('Адреса общежитий (скрытый)'!$B$2:$B$9, MATCH(W4586, 'Адреса общежитий (скрытый)'!$A$2:$A$9, 0)), "")</f>
        <v/>
      </c>
      <c r="Y4586" s="18"/>
      <c r="Z4586" s="18"/>
      <c r="AA4586" s="18"/>
      <c r="AB4586" s="18"/>
      <c r="AC4586" s="18"/>
    </row>
    <row r="4587" spans="1:29" ht="32.25" hidden="1" customHeight="1">
      <c r="A4587" s="17"/>
      <c r="B4587" s="9" t="s">
        <v>13284</v>
      </c>
      <c r="C4587" s="9" t="s">
        <v>13284</v>
      </c>
      <c r="D4587" s="9" t="s">
        <v>13284</v>
      </c>
      <c r="E4587" s="9" t="s">
        <v>13284</v>
      </c>
      <c r="F4587" s="9" t="s">
        <v>13284</v>
      </c>
      <c r="G4587" s="9" t="s">
        <v>13284</v>
      </c>
      <c r="H4587" s="9" t="s">
        <v>13284</v>
      </c>
      <c r="I4587" s="9" t="s">
        <v>13284</v>
      </c>
      <c r="J4587" s="9" t="s">
        <v>13284</v>
      </c>
      <c r="K4587" s="9" t="s">
        <v>13284</v>
      </c>
      <c r="L4587" s="9" t="s">
        <v>13284</v>
      </c>
      <c r="M4587" s="9" t="s">
        <v>13284</v>
      </c>
      <c r="N4587" s="9" t="s">
        <v>13284</v>
      </c>
      <c r="O4587" s="9" t="s">
        <v>13284</v>
      </c>
      <c r="P4587" s="9" t="s">
        <v>13284</v>
      </c>
      <c r="Q4587" s="9" t="s">
        <v>13284</v>
      </c>
      <c r="R4587" s="9" t="s">
        <v>13284</v>
      </c>
      <c r="S4587" s="9" t="s">
        <v>13284</v>
      </c>
      <c r="T4587" s="9" t="str">
        <f ca="1">IFERROR(IF(AND(VLOOKUP(A4587, 'Актуальное состояние (из общего'!A:C,3,0) = "", A4587 &lt;&gt; ""), "ПРОВЕРИТЬ", VLOOKUP(A4587, 'Актуальное состояние (из общего'!A:C,3,0)), "")</f>
        <v/>
      </c>
      <c r="U4587" s="9" t="s">
        <v>13284</v>
      </c>
      <c r="V4587" s="9" t="s">
        <v>13284</v>
      </c>
      <c r="W4587" s="12"/>
      <c r="X4587" s="9" t="str">
        <f t="array" ref="X4587">IFERROR(INDEX('Адреса общежитий (скрытый)'!$B$2:$B$9, MATCH(W4587, 'Адреса общежитий (скрытый)'!$A$2:$A$9, 0)), "")</f>
        <v/>
      </c>
      <c r="Y4587" s="18"/>
      <c r="Z4587" s="18"/>
      <c r="AA4587" s="18"/>
      <c r="AB4587" s="18"/>
      <c r="AC4587" s="18"/>
    </row>
    <row r="4588" spans="1:29" ht="32.25" hidden="1" customHeight="1">
      <c r="A4588" s="17"/>
      <c r="B4588" s="9" t="s">
        <v>13284</v>
      </c>
      <c r="C4588" s="9" t="s">
        <v>13284</v>
      </c>
      <c r="D4588" s="9" t="s">
        <v>13284</v>
      </c>
      <c r="E4588" s="9" t="s">
        <v>13284</v>
      </c>
      <c r="F4588" s="9" t="s">
        <v>13284</v>
      </c>
      <c r="G4588" s="9" t="s">
        <v>13284</v>
      </c>
      <c r="H4588" s="9" t="s">
        <v>13284</v>
      </c>
      <c r="I4588" s="9" t="s">
        <v>13284</v>
      </c>
      <c r="J4588" s="9" t="s">
        <v>13284</v>
      </c>
      <c r="K4588" s="9" t="s">
        <v>13284</v>
      </c>
      <c r="L4588" s="9" t="s">
        <v>13284</v>
      </c>
      <c r="M4588" s="9" t="s">
        <v>13284</v>
      </c>
      <c r="N4588" s="9" t="s">
        <v>13284</v>
      </c>
      <c r="O4588" s="9" t="s">
        <v>13284</v>
      </c>
      <c r="P4588" s="9" t="s">
        <v>13284</v>
      </c>
      <c r="Q4588" s="9" t="s">
        <v>13284</v>
      </c>
      <c r="R4588" s="9" t="s">
        <v>13284</v>
      </c>
      <c r="S4588" s="9" t="s">
        <v>13284</v>
      </c>
      <c r="T4588" s="9" t="str">
        <f ca="1">IFERROR(IF(AND(VLOOKUP(A4588, 'Актуальное состояние (из общего'!A:C,3,0) = "", A4588 &lt;&gt; ""), "ПРОВЕРИТЬ", VLOOKUP(A4588, 'Актуальное состояние (из общего'!A:C,3,0)), "")</f>
        <v/>
      </c>
      <c r="U4588" s="9" t="s">
        <v>13284</v>
      </c>
      <c r="V4588" s="9" t="s">
        <v>13284</v>
      </c>
      <c r="W4588" s="12"/>
      <c r="X4588" s="9" t="str">
        <f t="array" ref="X4588">IFERROR(INDEX('Адреса общежитий (скрытый)'!$B$2:$B$9, MATCH(W4588, 'Адреса общежитий (скрытый)'!$A$2:$A$9, 0)), "")</f>
        <v/>
      </c>
      <c r="Y4588" s="18"/>
      <c r="Z4588" s="18"/>
      <c r="AA4588" s="18"/>
      <c r="AB4588" s="18"/>
      <c r="AC4588" s="18"/>
    </row>
    <row r="4589" spans="1:29" ht="32.25" hidden="1" customHeight="1">
      <c r="A4589" s="17"/>
      <c r="B4589" s="9" t="s">
        <v>13284</v>
      </c>
      <c r="C4589" s="9" t="s">
        <v>13284</v>
      </c>
      <c r="D4589" s="9" t="s">
        <v>13284</v>
      </c>
      <c r="E4589" s="9" t="s">
        <v>13284</v>
      </c>
      <c r="F4589" s="9" t="s">
        <v>13284</v>
      </c>
      <c r="G4589" s="9" t="s">
        <v>13284</v>
      </c>
      <c r="H4589" s="9" t="s">
        <v>13284</v>
      </c>
      <c r="I4589" s="9" t="s">
        <v>13284</v>
      </c>
      <c r="J4589" s="9" t="s">
        <v>13284</v>
      </c>
      <c r="K4589" s="9" t="s">
        <v>13284</v>
      </c>
      <c r="L4589" s="9" t="s">
        <v>13284</v>
      </c>
      <c r="M4589" s="9" t="s">
        <v>13284</v>
      </c>
      <c r="N4589" s="9" t="s">
        <v>13284</v>
      </c>
      <c r="O4589" s="9" t="s">
        <v>13284</v>
      </c>
      <c r="P4589" s="9" t="s">
        <v>13284</v>
      </c>
      <c r="Q4589" s="9" t="s">
        <v>13284</v>
      </c>
      <c r="R4589" s="9" t="s">
        <v>13284</v>
      </c>
      <c r="S4589" s="9" t="s">
        <v>13284</v>
      </c>
      <c r="T4589" s="9" t="str">
        <f ca="1">IFERROR(IF(AND(VLOOKUP(A4589, 'Актуальное состояние (из общего'!A:C,3,0) = "", A4589 &lt;&gt; ""), "ПРОВЕРИТЬ", VLOOKUP(A4589, 'Актуальное состояние (из общего'!A:C,3,0)), "")</f>
        <v/>
      </c>
      <c r="U4589" s="9" t="s">
        <v>13284</v>
      </c>
      <c r="V4589" s="9" t="s">
        <v>13284</v>
      </c>
      <c r="W4589" s="12"/>
      <c r="X4589" s="9" t="str">
        <f t="array" ref="X4589">IFERROR(INDEX('Адреса общежитий (скрытый)'!$B$2:$B$9, MATCH(W4589, 'Адреса общежитий (скрытый)'!$A$2:$A$9, 0)), "")</f>
        <v/>
      </c>
      <c r="Y4589" s="18"/>
      <c r="Z4589" s="18"/>
      <c r="AA4589" s="18"/>
      <c r="AB4589" s="18"/>
      <c r="AC4589" s="18"/>
    </row>
    <row r="4590" spans="1:29" ht="32.25" hidden="1" customHeight="1">
      <c r="A4590" s="17"/>
      <c r="B4590" s="9" t="s">
        <v>13284</v>
      </c>
      <c r="C4590" s="9" t="s">
        <v>13284</v>
      </c>
      <c r="D4590" s="9" t="s">
        <v>13284</v>
      </c>
      <c r="E4590" s="9" t="s">
        <v>13284</v>
      </c>
      <c r="F4590" s="9" t="s">
        <v>13284</v>
      </c>
      <c r="G4590" s="9" t="s">
        <v>13284</v>
      </c>
      <c r="H4590" s="9" t="s">
        <v>13284</v>
      </c>
      <c r="I4590" s="9" t="s">
        <v>13284</v>
      </c>
      <c r="J4590" s="9" t="s">
        <v>13284</v>
      </c>
      <c r="K4590" s="9" t="s">
        <v>13284</v>
      </c>
      <c r="L4590" s="9" t="s">
        <v>13284</v>
      </c>
      <c r="M4590" s="9" t="s">
        <v>13284</v>
      </c>
      <c r="N4590" s="9" t="s">
        <v>13284</v>
      </c>
      <c r="O4590" s="9" t="s">
        <v>13284</v>
      </c>
      <c r="P4590" s="9" t="s">
        <v>13284</v>
      </c>
      <c r="Q4590" s="9" t="s">
        <v>13284</v>
      </c>
      <c r="R4590" s="9" t="s">
        <v>13284</v>
      </c>
      <c r="S4590" s="9" t="s">
        <v>13284</v>
      </c>
      <c r="T4590" s="9" t="str">
        <f ca="1">IFERROR(IF(AND(VLOOKUP(A4590, 'Актуальное состояние (из общего'!A:C,3,0) = "", A4590 &lt;&gt; ""), "ПРОВЕРИТЬ", VLOOKUP(A4590, 'Актуальное состояние (из общего'!A:C,3,0)), "")</f>
        <v/>
      </c>
      <c r="U4590" s="9" t="s">
        <v>13284</v>
      </c>
      <c r="V4590" s="9" t="s">
        <v>13284</v>
      </c>
      <c r="W4590" s="12"/>
      <c r="X4590" s="9" t="str">
        <f t="array" ref="X4590">IFERROR(INDEX('Адреса общежитий (скрытый)'!$B$2:$B$9, MATCH(W4590, 'Адреса общежитий (скрытый)'!$A$2:$A$9, 0)), "")</f>
        <v/>
      </c>
      <c r="Y4590" s="18"/>
      <c r="Z4590" s="18"/>
      <c r="AA4590" s="18"/>
      <c r="AB4590" s="18"/>
      <c r="AC4590" s="18"/>
    </row>
    <row r="4591" spans="1:29" ht="32.25" hidden="1" customHeight="1">
      <c r="A4591" s="17"/>
      <c r="B4591" s="9" t="s">
        <v>13284</v>
      </c>
      <c r="C4591" s="9" t="s">
        <v>13284</v>
      </c>
      <c r="D4591" s="9" t="s">
        <v>13284</v>
      </c>
      <c r="E4591" s="9" t="s">
        <v>13284</v>
      </c>
      <c r="F4591" s="9" t="s">
        <v>13284</v>
      </c>
      <c r="G4591" s="9" t="s">
        <v>13284</v>
      </c>
      <c r="H4591" s="9" t="s">
        <v>13284</v>
      </c>
      <c r="I4591" s="9" t="s">
        <v>13284</v>
      </c>
      <c r="J4591" s="9" t="s">
        <v>13284</v>
      </c>
      <c r="K4591" s="9" t="s">
        <v>13284</v>
      </c>
      <c r="L4591" s="9" t="s">
        <v>13284</v>
      </c>
      <c r="M4591" s="9" t="s">
        <v>13284</v>
      </c>
      <c r="N4591" s="9" t="s">
        <v>13284</v>
      </c>
      <c r="O4591" s="9" t="s">
        <v>13284</v>
      </c>
      <c r="P4591" s="9" t="s">
        <v>13284</v>
      </c>
      <c r="Q4591" s="9" t="s">
        <v>13284</v>
      </c>
      <c r="R4591" s="9" t="s">
        <v>13284</v>
      </c>
      <c r="S4591" s="9" t="s">
        <v>13284</v>
      </c>
      <c r="T4591" s="9" t="str">
        <f ca="1">IFERROR(IF(AND(VLOOKUP(A4591, 'Актуальное состояние (из общего'!A:C,3,0) = "", A4591 &lt;&gt; ""), "ПРОВЕРИТЬ", VLOOKUP(A4591, 'Актуальное состояние (из общего'!A:C,3,0)), "")</f>
        <v/>
      </c>
      <c r="U4591" s="9" t="s">
        <v>13284</v>
      </c>
      <c r="V4591" s="9" t="s">
        <v>13284</v>
      </c>
      <c r="W4591" s="12"/>
      <c r="X4591" s="9" t="str">
        <f t="array" ref="X4591">IFERROR(INDEX('Адреса общежитий (скрытый)'!$B$2:$B$9, MATCH(W4591, 'Адреса общежитий (скрытый)'!$A$2:$A$9, 0)), "")</f>
        <v/>
      </c>
      <c r="Y4591" s="18"/>
      <c r="Z4591" s="18"/>
      <c r="AA4591" s="18"/>
      <c r="AB4591" s="18"/>
      <c r="AC4591" s="18"/>
    </row>
    <row r="4592" spans="1:29" ht="32.25" hidden="1" customHeight="1">
      <c r="A4592" s="17"/>
      <c r="B4592" s="9" t="s">
        <v>13284</v>
      </c>
      <c r="C4592" s="9" t="s">
        <v>13284</v>
      </c>
      <c r="D4592" s="9" t="s">
        <v>13284</v>
      </c>
      <c r="E4592" s="9" t="s">
        <v>13284</v>
      </c>
      <c r="F4592" s="9" t="s">
        <v>13284</v>
      </c>
      <c r="G4592" s="9" t="s">
        <v>13284</v>
      </c>
      <c r="H4592" s="9" t="s">
        <v>13284</v>
      </c>
      <c r="I4592" s="9" t="s">
        <v>13284</v>
      </c>
      <c r="J4592" s="9" t="s">
        <v>13284</v>
      </c>
      <c r="K4592" s="9" t="s">
        <v>13284</v>
      </c>
      <c r="L4592" s="9" t="s">
        <v>13284</v>
      </c>
      <c r="M4592" s="9" t="s">
        <v>13284</v>
      </c>
      <c r="N4592" s="9" t="s">
        <v>13284</v>
      </c>
      <c r="O4592" s="9" t="s">
        <v>13284</v>
      </c>
      <c r="P4592" s="9" t="s">
        <v>13284</v>
      </c>
      <c r="Q4592" s="9" t="s">
        <v>13284</v>
      </c>
      <c r="R4592" s="9" t="s">
        <v>13284</v>
      </c>
      <c r="S4592" s="9" t="s">
        <v>13284</v>
      </c>
      <c r="T4592" s="9" t="str">
        <f ca="1">IFERROR(IF(AND(VLOOKUP(A4592, 'Актуальное состояние (из общего'!A:C,3,0) = "", A4592 &lt;&gt; ""), "ПРОВЕРИТЬ", VLOOKUP(A4592, 'Актуальное состояние (из общего'!A:C,3,0)), "")</f>
        <v/>
      </c>
      <c r="U4592" s="9" t="s">
        <v>13284</v>
      </c>
      <c r="V4592" s="9" t="s">
        <v>13284</v>
      </c>
      <c r="W4592" s="12"/>
      <c r="X4592" s="9" t="str">
        <f t="array" ref="X4592">IFERROR(INDEX('Адреса общежитий (скрытый)'!$B$2:$B$9, MATCH(W4592, 'Адреса общежитий (скрытый)'!$A$2:$A$9, 0)), "")</f>
        <v/>
      </c>
      <c r="Y4592" s="18"/>
      <c r="Z4592" s="18"/>
      <c r="AA4592" s="18"/>
      <c r="AB4592" s="18"/>
      <c r="AC4592" s="18"/>
    </row>
    <row r="4593" spans="1:29" ht="32.25" hidden="1" customHeight="1">
      <c r="A4593" s="17"/>
      <c r="B4593" s="9" t="s">
        <v>13284</v>
      </c>
      <c r="C4593" s="9" t="s">
        <v>13284</v>
      </c>
      <c r="D4593" s="9" t="s">
        <v>13284</v>
      </c>
      <c r="E4593" s="9" t="s">
        <v>13284</v>
      </c>
      <c r="F4593" s="9" t="s">
        <v>13284</v>
      </c>
      <c r="G4593" s="9" t="s">
        <v>13284</v>
      </c>
      <c r="H4593" s="9" t="s">
        <v>13284</v>
      </c>
      <c r="I4593" s="9" t="s">
        <v>13284</v>
      </c>
      <c r="J4593" s="9" t="s">
        <v>13284</v>
      </c>
      <c r="K4593" s="9" t="s">
        <v>13284</v>
      </c>
      <c r="L4593" s="9" t="s">
        <v>13284</v>
      </c>
      <c r="M4593" s="9" t="s">
        <v>13284</v>
      </c>
      <c r="N4593" s="9" t="s">
        <v>13284</v>
      </c>
      <c r="O4593" s="9" t="s">
        <v>13284</v>
      </c>
      <c r="P4593" s="9" t="s">
        <v>13284</v>
      </c>
      <c r="Q4593" s="9" t="s">
        <v>13284</v>
      </c>
      <c r="R4593" s="9" t="s">
        <v>13284</v>
      </c>
      <c r="S4593" s="9" t="s">
        <v>13284</v>
      </c>
      <c r="T4593" s="9" t="str">
        <f ca="1">IFERROR(IF(AND(VLOOKUP(A4593, 'Актуальное состояние (из общего'!A:C,3,0) = "", A4593 &lt;&gt; ""), "ПРОВЕРИТЬ", VLOOKUP(A4593, 'Актуальное состояние (из общего'!A:C,3,0)), "")</f>
        <v/>
      </c>
      <c r="U4593" s="9" t="s">
        <v>13284</v>
      </c>
      <c r="V4593" s="9" t="s">
        <v>13284</v>
      </c>
      <c r="W4593" s="12"/>
      <c r="X4593" s="9" t="str">
        <f t="array" ref="X4593">IFERROR(INDEX('Адреса общежитий (скрытый)'!$B$2:$B$9, MATCH(W4593, 'Адреса общежитий (скрытый)'!$A$2:$A$9, 0)), "")</f>
        <v/>
      </c>
      <c r="Y4593" s="18"/>
      <c r="Z4593" s="18"/>
      <c r="AA4593" s="18"/>
      <c r="AB4593" s="18"/>
      <c r="AC4593" s="18"/>
    </row>
    <row r="4594" spans="1:29" ht="32.25" hidden="1" customHeight="1">
      <c r="A4594" s="17"/>
      <c r="B4594" s="9" t="s">
        <v>13284</v>
      </c>
      <c r="C4594" s="9" t="s">
        <v>13284</v>
      </c>
      <c r="D4594" s="9" t="s">
        <v>13284</v>
      </c>
      <c r="E4594" s="9" t="s">
        <v>13284</v>
      </c>
      <c r="F4594" s="9" t="s">
        <v>13284</v>
      </c>
      <c r="G4594" s="9" t="s">
        <v>13284</v>
      </c>
      <c r="H4594" s="9" t="s">
        <v>13284</v>
      </c>
      <c r="I4594" s="9" t="s">
        <v>13284</v>
      </c>
      <c r="J4594" s="9" t="s">
        <v>13284</v>
      </c>
      <c r="K4594" s="9" t="s">
        <v>13284</v>
      </c>
      <c r="L4594" s="9" t="s">
        <v>13284</v>
      </c>
      <c r="M4594" s="9" t="s">
        <v>13284</v>
      </c>
      <c r="N4594" s="9" t="s">
        <v>13284</v>
      </c>
      <c r="O4594" s="9" t="s">
        <v>13284</v>
      </c>
      <c r="P4594" s="9" t="s">
        <v>13284</v>
      </c>
      <c r="Q4594" s="9" t="s">
        <v>13284</v>
      </c>
      <c r="R4594" s="9" t="s">
        <v>13284</v>
      </c>
      <c r="S4594" s="9" t="s">
        <v>13284</v>
      </c>
      <c r="T4594" s="9" t="str">
        <f ca="1">IFERROR(IF(AND(VLOOKUP(A4594, 'Актуальное состояние (из общего'!A:C,3,0) = "", A4594 &lt;&gt; ""), "ПРОВЕРИТЬ", VLOOKUP(A4594, 'Актуальное состояние (из общего'!A:C,3,0)), "")</f>
        <v/>
      </c>
      <c r="U4594" s="9" t="s">
        <v>13284</v>
      </c>
      <c r="V4594" s="9" t="s">
        <v>13284</v>
      </c>
      <c r="W4594" s="12"/>
      <c r="X4594" s="9" t="str">
        <f t="array" ref="X4594">IFERROR(INDEX('Адреса общежитий (скрытый)'!$B$2:$B$9, MATCH(W4594, 'Адреса общежитий (скрытый)'!$A$2:$A$9, 0)), "")</f>
        <v/>
      </c>
      <c r="Y4594" s="18"/>
      <c r="Z4594" s="18"/>
      <c r="AA4594" s="18"/>
      <c r="AB4594" s="18"/>
      <c r="AC4594" s="18"/>
    </row>
    <row r="4595" spans="1:29" ht="32.25" hidden="1" customHeight="1">
      <c r="A4595" s="17"/>
      <c r="B4595" s="9" t="s">
        <v>13284</v>
      </c>
      <c r="C4595" s="9" t="s">
        <v>13284</v>
      </c>
      <c r="D4595" s="9" t="s">
        <v>13284</v>
      </c>
      <c r="E4595" s="9" t="s">
        <v>13284</v>
      </c>
      <c r="F4595" s="9" t="s">
        <v>13284</v>
      </c>
      <c r="G4595" s="9" t="s">
        <v>13284</v>
      </c>
      <c r="H4595" s="9" t="s">
        <v>13284</v>
      </c>
      <c r="I4595" s="9" t="s">
        <v>13284</v>
      </c>
      <c r="J4595" s="9" t="s">
        <v>13284</v>
      </c>
      <c r="K4595" s="9" t="s">
        <v>13284</v>
      </c>
      <c r="L4595" s="9" t="s">
        <v>13284</v>
      </c>
      <c r="M4595" s="9" t="s">
        <v>13284</v>
      </c>
      <c r="N4595" s="9" t="s">
        <v>13284</v>
      </c>
      <c r="O4595" s="9" t="s">
        <v>13284</v>
      </c>
      <c r="P4595" s="9" t="s">
        <v>13284</v>
      </c>
      <c r="Q4595" s="9" t="s">
        <v>13284</v>
      </c>
      <c r="R4595" s="9" t="s">
        <v>13284</v>
      </c>
      <c r="S4595" s="9" t="s">
        <v>13284</v>
      </c>
      <c r="T4595" s="9" t="str">
        <f ca="1">IFERROR(IF(AND(VLOOKUP(A4595, 'Актуальное состояние (из общего'!A:C,3,0) = "", A4595 &lt;&gt; ""), "ПРОВЕРИТЬ", VLOOKUP(A4595, 'Актуальное состояние (из общего'!A:C,3,0)), "")</f>
        <v/>
      </c>
      <c r="U4595" s="9" t="s">
        <v>13284</v>
      </c>
      <c r="V4595" s="9" t="s">
        <v>13284</v>
      </c>
      <c r="W4595" s="12"/>
      <c r="X4595" s="9" t="str">
        <f t="array" ref="X4595">IFERROR(INDEX('Адреса общежитий (скрытый)'!$B$2:$B$9, MATCH(W4595, 'Адреса общежитий (скрытый)'!$A$2:$A$9, 0)), "")</f>
        <v/>
      </c>
      <c r="Y4595" s="18"/>
      <c r="Z4595" s="18"/>
      <c r="AA4595" s="18"/>
      <c r="AB4595" s="18"/>
      <c r="AC4595" s="18"/>
    </row>
    <row r="4596" spans="1:29" ht="32.25" hidden="1" customHeight="1">
      <c r="A4596" s="17"/>
      <c r="B4596" s="9" t="s">
        <v>13284</v>
      </c>
      <c r="C4596" s="9" t="s">
        <v>13284</v>
      </c>
      <c r="D4596" s="9" t="s">
        <v>13284</v>
      </c>
      <c r="E4596" s="9" t="s">
        <v>13284</v>
      </c>
      <c r="F4596" s="9" t="s">
        <v>13284</v>
      </c>
      <c r="G4596" s="9" t="s">
        <v>13284</v>
      </c>
      <c r="H4596" s="9" t="s">
        <v>13284</v>
      </c>
      <c r="I4596" s="9" t="s">
        <v>13284</v>
      </c>
      <c r="J4596" s="9" t="s">
        <v>13284</v>
      </c>
      <c r="K4596" s="9" t="s">
        <v>13284</v>
      </c>
      <c r="L4596" s="9" t="s">
        <v>13284</v>
      </c>
      <c r="M4596" s="9" t="s">
        <v>13284</v>
      </c>
      <c r="N4596" s="9" t="s">
        <v>13284</v>
      </c>
      <c r="O4596" s="9" t="s">
        <v>13284</v>
      </c>
      <c r="P4596" s="9" t="s">
        <v>13284</v>
      </c>
      <c r="Q4596" s="9" t="s">
        <v>13284</v>
      </c>
      <c r="R4596" s="9" t="s">
        <v>13284</v>
      </c>
      <c r="S4596" s="9" t="s">
        <v>13284</v>
      </c>
      <c r="T4596" s="9" t="str">
        <f ca="1">IFERROR(IF(AND(VLOOKUP(A4596, 'Актуальное состояние (из общего'!A:C,3,0) = "", A4596 &lt;&gt; ""), "ПРОВЕРИТЬ", VLOOKUP(A4596, 'Актуальное состояние (из общего'!A:C,3,0)), "")</f>
        <v/>
      </c>
      <c r="U4596" s="9" t="s">
        <v>13284</v>
      </c>
      <c r="V4596" s="9" t="s">
        <v>13284</v>
      </c>
      <c r="W4596" s="12"/>
      <c r="X4596" s="9" t="str">
        <f t="array" ref="X4596">IFERROR(INDEX('Адреса общежитий (скрытый)'!$B$2:$B$9, MATCH(W4596, 'Адреса общежитий (скрытый)'!$A$2:$A$9, 0)), "")</f>
        <v/>
      </c>
      <c r="Y4596" s="18"/>
      <c r="Z4596" s="18"/>
      <c r="AA4596" s="18"/>
      <c r="AB4596" s="18"/>
      <c r="AC4596" s="18"/>
    </row>
    <row r="4597" spans="1:29" ht="32.25" hidden="1" customHeight="1">
      <c r="A4597" s="17"/>
      <c r="B4597" s="9" t="s">
        <v>13284</v>
      </c>
      <c r="C4597" s="9" t="s">
        <v>13284</v>
      </c>
      <c r="D4597" s="9" t="s">
        <v>13284</v>
      </c>
      <c r="E4597" s="9" t="s">
        <v>13284</v>
      </c>
      <c r="F4597" s="9" t="s">
        <v>13284</v>
      </c>
      <c r="G4597" s="9" t="s">
        <v>13284</v>
      </c>
      <c r="H4597" s="9" t="s">
        <v>13284</v>
      </c>
      <c r="I4597" s="9" t="s">
        <v>13284</v>
      </c>
      <c r="J4597" s="9" t="s">
        <v>13284</v>
      </c>
      <c r="K4597" s="9" t="s">
        <v>13284</v>
      </c>
      <c r="L4597" s="9" t="s">
        <v>13284</v>
      </c>
      <c r="M4597" s="9" t="s">
        <v>13284</v>
      </c>
      <c r="N4597" s="9" t="s">
        <v>13284</v>
      </c>
      <c r="O4597" s="9" t="s">
        <v>13284</v>
      </c>
      <c r="P4597" s="9" t="s">
        <v>13284</v>
      </c>
      <c r="Q4597" s="9" t="s">
        <v>13284</v>
      </c>
      <c r="R4597" s="9" t="s">
        <v>13284</v>
      </c>
      <c r="S4597" s="9" t="s">
        <v>13284</v>
      </c>
      <c r="T4597" s="9" t="str">
        <f ca="1">IFERROR(IF(AND(VLOOKUP(A4597, 'Актуальное состояние (из общего'!A:C,3,0) = "", A4597 &lt;&gt; ""), "ПРОВЕРИТЬ", VLOOKUP(A4597, 'Актуальное состояние (из общего'!A:C,3,0)), "")</f>
        <v/>
      </c>
      <c r="U4597" s="9" t="s">
        <v>13284</v>
      </c>
      <c r="V4597" s="9" t="s">
        <v>13284</v>
      </c>
      <c r="W4597" s="12"/>
      <c r="X4597" s="9" t="str">
        <f t="array" ref="X4597">IFERROR(INDEX('Адреса общежитий (скрытый)'!$B$2:$B$9, MATCH(W4597, 'Адреса общежитий (скрытый)'!$A$2:$A$9, 0)), "")</f>
        <v/>
      </c>
      <c r="Y4597" s="18"/>
      <c r="Z4597" s="18"/>
      <c r="AA4597" s="18"/>
      <c r="AB4597" s="18"/>
      <c r="AC4597" s="18"/>
    </row>
    <row r="4598" spans="1:29" ht="32.25" hidden="1" customHeight="1">
      <c r="A4598" s="17"/>
      <c r="B4598" s="9" t="s">
        <v>13284</v>
      </c>
      <c r="C4598" s="9" t="s">
        <v>13284</v>
      </c>
      <c r="D4598" s="9" t="s">
        <v>13284</v>
      </c>
      <c r="E4598" s="9" t="s">
        <v>13284</v>
      </c>
      <c r="F4598" s="9" t="s">
        <v>13284</v>
      </c>
      <c r="G4598" s="9" t="s">
        <v>13284</v>
      </c>
      <c r="H4598" s="9" t="s">
        <v>13284</v>
      </c>
      <c r="I4598" s="9" t="s">
        <v>13284</v>
      </c>
      <c r="J4598" s="9" t="s">
        <v>13284</v>
      </c>
      <c r="K4598" s="9" t="s">
        <v>13284</v>
      </c>
      <c r="L4598" s="9" t="s">
        <v>13284</v>
      </c>
      <c r="M4598" s="9" t="s">
        <v>13284</v>
      </c>
      <c r="N4598" s="9" t="s">
        <v>13284</v>
      </c>
      <c r="O4598" s="9" t="s">
        <v>13284</v>
      </c>
      <c r="P4598" s="9" t="s">
        <v>13284</v>
      </c>
      <c r="Q4598" s="9" t="s">
        <v>13284</v>
      </c>
      <c r="R4598" s="9" t="s">
        <v>13284</v>
      </c>
      <c r="S4598" s="9" t="s">
        <v>13284</v>
      </c>
      <c r="T4598" s="9" t="str">
        <f ca="1">IFERROR(IF(AND(VLOOKUP(A4598, 'Актуальное состояние (из общего'!A:C,3,0) = "", A4598 &lt;&gt; ""), "ПРОВЕРИТЬ", VLOOKUP(A4598, 'Актуальное состояние (из общего'!A:C,3,0)), "")</f>
        <v/>
      </c>
      <c r="U4598" s="9" t="s">
        <v>13284</v>
      </c>
      <c r="V4598" s="9" t="s">
        <v>13284</v>
      </c>
      <c r="W4598" s="12"/>
      <c r="X4598" s="9" t="str">
        <f t="array" ref="X4598">IFERROR(INDEX('Адреса общежитий (скрытый)'!$B$2:$B$9, MATCH(W4598, 'Адреса общежитий (скрытый)'!$A$2:$A$9, 0)), "")</f>
        <v/>
      </c>
      <c r="Y4598" s="18"/>
      <c r="Z4598" s="18"/>
      <c r="AA4598" s="18"/>
      <c r="AB4598" s="18"/>
      <c r="AC4598" s="18"/>
    </row>
    <row r="4599" spans="1:29" ht="32.25" hidden="1" customHeight="1">
      <c r="A4599" s="17"/>
      <c r="B4599" s="9" t="s">
        <v>13284</v>
      </c>
      <c r="C4599" s="9" t="s">
        <v>13284</v>
      </c>
      <c r="D4599" s="9" t="s">
        <v>13284</v>
      </c>
      <c r="E4599" s="9" t="s">
        <v>13284</v>
      </c>
      <c r="F4599" s="9" t="s">
        <v>13284</v>
      </c>
      <c r="G4599" s="9" t="s">
        <v>13284</v>
      </c>
      <c r="H4599" s="9" t="s">
        <v>13284</v>
      </c>
      <c r="I4599" s="9" t="s">
        <v>13284</v>
      </c>
      <c r="J4599" s="9" t="s">
        <v>13284</v>
      </c>
      <c r="K4599" s="9" t="s">
        <v>13284</v>
      </c>
      <c r="L4599" s="9" t="s">
        <v>13284</v>
      </c>
      <c r="M4599" s="9" t="s">
        <v>13284</v>
      </c>
      <c r="N4599" s="9" t="s">
        <v>13284</v>
      </c>
      <c r="O4599" s="9" t="s">
        <v>13284</v>
      </c>
      <c r="P4599" s="9" t="s">
        <v>13284</v>
      </c>
      <c r="Q4599" s="9" t="s">
        <v>13284</v>
      </c>
      <c r="R4599" s="9" t="s">
        <v>13284</v>
      </c>
      <c r="S4599" s="9" t="s">
        <v>13284</v>
      </c>
      <c r="T4599" s="9" t="str">
        <f ca="1">IFERROR(IF(AND(VLOOKUP(A4599, 'Актуальное состояние (из общего'!A:C,3,0) = "", A4599 &lt;&gt; ""), "ПРОВЕРИТЬ", VLOOKUP(A4599, 'Актуальное состояние (из общего'!A:C,3,0)), "")</f>
        <v/>
      </c>
      <c r="U4599" s="9" t="s">
        <v>13284</v>
      </c>
      <c r="V4599" s="9" t="s">
        <v>13284</v>
      </c>
      <c r="W4599" s="12"/>
      <c r="X4599" s="9" t="str">
        <f t="array" ref="X4599">IFERROR(INDEX('Адреса общежитий (скрытый)'!$B$2:$B$9, MATCH(W4599, 'Адреса общежитий (скрытый)'!$A$2:$A$9, 0)), "")</f>
        <v/>
      </c>
      <c r="Y4599" s="18"/>
      <c r="Z4599" s="18"/>
      <c r="AA4599" s="18"/>
      <c r="AB4599" s="18"/>
      <c r="AC4599" s="18"/>
    </row>
    <row r="4600" spans="1:29" ht="32.25" hidden="1" customHeight="1">
      <c r="A4600" s="17"/>
      <c r="B4600" s="9" t="s">
        <v>13284</v>
      </c>
      <c r="C4600" s="9" t="s">
        <v>13284</v>
      </c>
      <c r="D4600" s="9" t="s">
        <v>13284</v>
      </c>
      <c r="E4600" s="9" t="s">
        <v>13284</v>
      </c>
      <c r="F4600" s="9" t="s">
        <v>13284</v>
      </c>
      <c r="G4600" s="9" t="s">
        <v>13284</v>
      </c>
      <c r="H4600" s="9" t="s">
        <v>13284</v>
      </c>
      <c r="I4600" s="9" t="s">
        <v>13284</v>
      </c>
      <c r="J4600" s="9" t="s">
        <v>13284</v>
      </c>
      <c r="K4600" s="9" t="s">
        <v>13284</v>
      </c>
      <c r="L4600" s="9" t="s">
        <v>13284</v>
      </c>
      <c r="M4600" s="9" t="s">
        <v>13284</v>
      </c>
      <c r="N4600" s="9" t="s">
        <v>13284</v>
      </c>
      <c r="O4600" s="9" t="s">
        <v>13284</v>
      </c>
      <c r="P4600" s="9" t="s">
        <v>13284</v>
      </c>
      <c r="Q4600" s="9" t="s">
        <v>13284</v>
      </c>
      <c r="R4600" s="9" t="s">
        <v>13284</v>
      </c>
      <c r="S4600" s="9" t="s">
        <v>13284</v>
      </c>
      <c r="T4600" s="9" t="str">
        <f ca="1">IFERROR(IF(AND(VLOOKUP(A4600, 'Актуальное состояние (из общего'!A:C,3,0) = "", A4600 &lt;&gt; ""), "ПРОВЕРИТЬ", VLOOKUP(A4600, 'Актуальное состояние (из общего'!A:C,3,0)), "")</f>
        <v/>
      </c>
      <c r="U4600" s="9" t="s">
        <v>13284</v>
      </c>
      <c r="V4600" s="9" t="s">
        <v>13284</v>
      </c>
      <c r="W4600" s="12"/>
      <c r="X4600" s="9" t="str">
        <f t="array" ref="X4600">IFERROR(INDEX('Адреса общежитий (скрытый)'!$B$2:$B$9, MATCH(W4600, 'Адреса общежитий (скрытый)'!$A$2:$A$9, 0)), "")</f>
        <v/>
      </c>
      <c r="Y4600" s="18"/>
      <c r="Z4600" s="18"/>
      <c r="AA4600" s="18"/>
      <c r="AB4600" s="18"/>
      <c r="AC4600" s="18"/>
    </row>
    <row r="4601" spans="1:29" ht="32.25" hidden="1" customHeight="1">
      <c r="A4601" s="17"/>
      <c r="B4601" s="9" t="s">
        <v>13284</v>
      </c>
      <c r="C4601" s="9" t="s">
        <v>13284</v>
      </c>
      <c r="D4601" s="9" t="s">
        <v>13284</v>
      </c>
      <c r="E4601" s="9" t="s">
        <v>13284</v>
      </c>
      <c r="F4601" s="9" t="s">
        <v>13284</v>
      </c>
      <c r="G4601" s="9" t="s">
        <v>13284</v>
      </c>
      <c r="H4601" s="9" t="s">
        <v>13284</v>
      </c>
      <c r="I4601" s="9" t="s">
        <v>13284</v>
      </c>
      <c r="J4601" s="9" t="s">
        <v>13284</v>
      </c>
      <c r="K4601" s="9" t="s">
        <v>13284</v>
      </c>
      <c r="L4601" s="9" t="s">
        <v>13284</v>
      </c>
      <c r="M4601" s="9" t="s">
        <v>13284</v>
      </c>
      <c r="N4601" s="9" t="s">
        <v>13284</v>
      </c>
      <c r="O4601" s="9" t="s">
        <v>13284</v>
      </c>
      <c r="P4601" s="9" t="s">
        <v>13284</v>
      </c>
      <c r="Q4601" s="9" t="s">
        <v>13284</v>
      </c>
      <c r="R4601" s="9" t="s">
        <v>13284</v>
      </c>
      <c r="S4601" s="9" t="s">
        <v>13284</v>
      </c>
      <c r="T4601" s="9" t="str">
        <f ca="1">IFERROR(IF(AND(VLOOKUP(A4601, 'Актуальное состояние (из общего'!A:C,3,0) = "", A4601 &lt;&gt; ""), "ПРОВЕРИТЬ", VLOOKUP(A4601, 'Актуальное состояние (из общего'!A:C,3,0)), "")</f>
        <v/>
      </c>
      <c r="U4601" s="9" t="s">
        <v>13284</v>
      </c>
      <c r="V4601" s="9" t="s">
        <v>13284</v>
      </c>
      <c r="W4601" s="12"/>
      <c r="X4601" s="9" t="str">
        <f t="array" ref="X4601">IFERROR(INDEX('Адреса общежитий (скрытый)'!$B$2:$B$9, MATCH(W4601, 'Адреса общежитий (скрытый)'!$A$2:$A$9, 0)), "")</f>
        <v/>
      </c>
      <c r="Y4601" s="18"/>
      <c r="Z4601" s="18"/>
      <c r="AA4601" s="18"/>
      <c r="AB4601" s="18"/>
      <c r="AC4601" s="18"/>
    </row>
    <row r="4602" spans="1:29" ht="32.25" hidden="1" customHeight="1">
      <c r="A4602" s="17"/>
      <c r="B4602" s="9" t="s">
        <v>13284</v>
      </c>
      <c r="C4602" s="9" t="s">
        <v>13284</v>
      </c>
      <c r="D4602" s="9" t="s">
        <v>13284</v>
      </c>
      <c r="E4602" s="9" t="s">
        <v>13284</v>
      </c>
      <c r="F4602" s="9" t="s">
        <v>13284</v>
      </c>
      <c r="G4602" s="9" t="s">
        <v>13284</v>
      </c>
      <c r="H4602" s="9" t="s">
        <v>13284</v>
      </c>
      <c r="I4602" s="9" t="s">
        <v>13284</v>
      </c>
      <c r="J4602" s="9" t="s">
        <v>13284</v>
      </c>
      <c r="K4602" s="9" t="s">
        <v>13284</v>
      </c>
      <c r="L4602" s="9" t="s">
        <v>13284</v>
      </c>
      <c r="M4602" s="9" t="s">
        <v>13284</v>
      </c>
      <c r="N4602" s="9" t="s">
        <v>13284</v>
      </c>
      <c r="O4602" s="9" t="s">
        <v>13284</v>
      </c>
      <c r="P4602" s="9" t="s">
        <v>13284</v>
      </c>
      <c r="Q4602" s="9" t="s">
        <v>13284</v>
      </c>
      <c r="R4602" s="9" t="s">
        <v>13284</v>
      </c>
      <c r="S4602" s="9" t="s">
        <v>13284</v>
      </c>
      <c r="T4602" s="9" t="str">
        <f ca="1">IFERROR(IF(AND(VLOOKUP(A4602, 'Актуальное состояние (из общего'!A:C,3,0) = "", A4602 &lt;&gt; ""), "ПРОВЕРИТЬ", VLOOKUP(A4602, 'Актуальное состояние (из общего'!A:C,3,0)), "")</f>
        <v/>
      </c>
      <c r="U4602" s="9" t="s">
        <v>13284</v>
      </c>
      <c r="V4602" s="9" t="s">
        <v>13284</v>
      </c>
      <c r="W4602" s="12"/>
      <c r="X4602" s="9" t="str">
        <f t="array" ref="X4602">IFERROR(INDEX('Адреса общежитий (скрытый)'!$B$2:$B$9, MATCH(W4602, 'Адреса общежитий (скрытый)'!$A$2:$A$9, 0)), "")</f>
        <v/>
      </c>
      <c r="Y4602" s="18"/>
      <c r="Z4602" s="18"/>
      <c r="AA4602" s="18"/>
      <c r="AB4602" s="18"/>
      <c r="AC4602" s="18"/>
    </row>
    <row r="4603" spans="1:29" ht="32.25" hidden="1" customHeight="1">
      <c r="A4603" s="17"/>
      <c r="B4603" s="9" t="s">
        <v>13284</v>
      </c>
      <c r="C4603" s="9" t="s">
        <v>13284</v>
      </c>
      <c r="D4603" s="9" t="s">
        <v>13284</v>
      </c>
      <c r="E4603" s="9" t="s">
        <v>13284</v>
      </c>
      <c r="F4603" s="9" t="s">
        <v>13284</v>
      </c>
      <c r="G4603" s="9" t="s">
        <v>13284</v>
      </c>
      <c r="H4603" s="9" t="s">
        <v>13284</v>
      </c>
      <c r="I4603" s="9" t="s">
        <v>13284</v>
      </c>
      <c r="J4603" s="9" t="s">
        <v>13284</v>
      </c>
      <c r="K4603" s="9" t="s">
        <v>13284</v>
      </c>
      <c r="L4603" s="9" t="s">
        <v>13284</v>
      </c>
      <c r="M4603" s="9" t="s">
        <v>13284</v>
      </c>
      <c r="N4603" s="9" t="s">
        <v>13284</v>
      </c>
      <c r="O4603" s="9" t="s">
        <v>13284</v>
      </c>
      <c r="P4603" s="9" t="s">
        <v>13284</v>
      </c>
      <c r="Q4603" s="9" t="s">
        <v>13284</v>
      </c>
      <c r="R4603" s="9" t="s">
        <v>13284</v>
      </c>
      <c r="S4603" s="9" t="s">
        <v>13284</v>
      </c>
      <c r="T4603" s="9" t="str">
        <f ca="1">IFERROR(IF(AND(VLOOKUP(A4603, 'Актуальное состояние (из общего'!A:C,3,0) = "", A4603 &lt;&gt; ""), "ПРОВЕРИТЬ", VLOOKUP(A4603, 'Актуальное состояние (из общего'!A:C,3,0)), "")</f>
        <v/>
      </c>
      <c r="U4603" s="9" t="s">
        <v>13284</v>
      </c>
      <c r="V4603" s="9" t="s">
        <v>13284</v>
      </c>
      <c r="W4603" s="12"/>
      <c r="X4603" s="9" t="str">
        <f t="array" ref="X4603">IFERROR(INDEX('Адреса общежитий (скрытый)'!$B$2:$B$9, MATCH(W4603, 'Адреса общежитий (скрытый)'!$A$2:$A$9, 0)), "")</f>
        <v/>
      </c>
      <c r="Y4603" s="18"/>
      <c r="Z4603" s="18"/>
      <c r="AA4603" s="18"/>
      <c r="AB4603" s="18"/>
      <c r="AC4603" s="18"/>
    </row>
    <row r="4604" spans="1:29" ht="32.25" hidden="1" customHeight="1">
      <c r="A4604" s="17"/>
      <c r="B4604" s="9" t="s">
        <v>13284</v>
      </c>
      <c r="C4604" s="9" t="s">
        <v>13284</v>
      </c>
      <c r="D4604" s="9" t="s">
        <v>13284</v>
      </c>
      <c r="E4604" s="9" t="s">
        <v>13284</v>
      </c>
      <c r="F4604" s="9" t="s">
        <v>13284</v>
      </c>
      <c r="G4604" s="9" t="s">
        <v>13284</v>
      </c>
      <c r="H4604" s="9" t="s">
        <v>13284</v>
      </c>
      <c r="I4604" s="9" t="s">
        <v>13284</v>
      </c>
      <c r="J4604" s="9" t="s">
        <v>13284</v>
      </c>
      <c r="K4604" s="9" t="s">
        <v>13284</v>
      </c>
      <c r="L4604" s="9" t="s">
        <v>13284</v>
      </c>
      <c r="M4604" s="9" t="s">
        <v>13284</v>
      </c>
      <c r="N4604" s="9" t="s">
        <v>13284</v>
      </c>
      <c r="O4604" s="9" t="s">
        <v>13284</v>
      </c>
      <c r="P4604" s="9" t="s">
        <v>13284</v>
      </c>
      <c r="Q4604" s="9" t="s">
        <v>13284</v>
      </c>
      <c r="R4604" s="9" t="s">
        <v>13284</v>
      </c>
      <c r="S4604" s="9" t="s">
        <v>13284</v>
      </c>
      <c r="T4604" s="9" t="str">
        <f ca="1">IFERROR(IF(AND(VLOOKUP(A4604, 'Актуальное состояние (из общего'!A:C,3,0) = "", A4604 &lt;&gt; ""), "ПРОВЕРИТЬ", VLOOKUP(A4604, 'Актуальное состояние (из общего'!A:C,3,0)), "")</f>
        <v/>
      </c>
      <c r="U4604" s="9" t="s">
        <v>13284</v>
      </c>
      <c r="V4604" s="9" t="s">
        <v>13284</v>
      </c>
      <c r="W4604" s="12"/>
      <c r="X4604" s="9" t="str">
        <f t="array" ref="X4604">IFERROR(INDEX('Адреса общежитий (скрытый)'!$B$2:$B$9, MATCH(W4604, 'Адреса общежитий (скрытый)'!$A$2:$A$9, 0)), "")</f>
        <v/>
      </c>
      <c r="Y4604" s="18"/>
      <c r="Z4604" s="18"/>
      <c r="AA4604" s="18"/>
      <c r="AB4604" s="18"/>
      <c r="AC4604" s="18"/>
    </row>
    <row r="4605" spans="1:29" ht="32.25" hidden="1" customHeight="1">
      <c r="A4605" s="17"/>
      <c r="B4605" s="9" t="s">
        <v>13284</v>
      </c>
      <c r="C4605" s="9" t="s">
        <v>13284</v>
      </c>
      <c r="D4605" s="9" t="s">
        <v>13284</v>
      </c>
      <c r="E4605" s="9" t="s">
        <v>13284</v>
      </c>
      <c r="F4605" s="9" t="s">
        <v>13284</v>
      </c>
      <c r="G4605" s="9" t="s">
        <v>13284</v>
      </c>
      <c r="H4605" s="9" t="s">
        <v>13284</v>
      </c>
      <c r="I4605" s="9" t="s">
        <v>13284</v>
      </c>
      <c r="J4605" s="9" t="s">
        <v>13284</v>
      </c>
      <c r="K4605" s="9" t="s">
        <v>13284</v>
      </c>
      <c r="L4605" s="9" t="s">
        <v>13284</v>
      </c>
      <c r="M4605" s="9" t="s">
        <v>13284</v>
      </c>
      <c r="N4605" s="9" t="s">
        <v>13284</v>
      </c>
      <c r="O4605" s="9" t="s">
        <v>13284</v>
      </c>
      <c r="P4605" s="9" t="s">
        <v>13284</v>
      </c>
      <c r="Q4605" s="9" t="s">
        <v>13284</v>
      </c>
      <c r="R4605" s="9" t="s">
        <v>13284</v>
      </c>
      <c r="S4605" s="9" t="s">
        <v>13284</v>
      </c>
      <c r="T4605" s="9" t="str">
        <f ca="1">IFERROR(IF(AND(VLOOKUP(A4605, 'Актуальное состояние (из общего'!A:C,3,0) = "", A4605 &lt;&gt; ""), "ПРОВЕРИТЬ", VLOOKUP(A4605, 'Актуальное состояние (из общего'!A:C,3,0)), "")</f>
        <v/>
      </c>
      <c r="U4605" s="9" t="s">
        <v>13284</v>
      </c>
      <c r="V4605" s="9" t="s">
        <v>13284</v>
      </c>
      <c r="W4605" s="12"/>
      <c r="X4605" s="9" t="str">
        <f t="array" ref="X4605">IFERROR(INDEX('Адреса общежитий (скрытый)'!$B$2:$B$9, MATCH(W4605, 'Адреса общежитий (скрытый)'!$A$2:$A$9, 0)), "")</f>
        <v/>
      </c>
      <c r="Y4605" s="18"/>
      <c r="Z4605" s="18"/>
      <c r="AA4605" s="18"/>
      <c r="AB4605" s="18"/>
      <c r="AC4605" s="18"/>
    </row>
    <row r="4606" spans="1:29" ht="32.25" hidden="1" customHeight="1">
      <c r="A4606" s="17"/>
      <c r="B4606" s="9" t="s">
        <v>13284</v>
      </c>
      <c r="C4606" s="9" t="s">
        <v>13284</v>
      </c>
      <c r="D4606" s="9" t="s">
        <v>13284</v>
      </c>
      <c r="E4606" s="9" t="s">
        <v>13284</v>
      </c>
      <c r="F4606" s="9" t="s">
        <v>13284</v>
      </c>
      <c r="G4606" s="9" t="s">
        <v>13284</v>
      </c>
      <c r="H4606" s="9" t="s">
        <v>13284</v>
      </c>
      <c r="I4606" s="9" t="s">
        <v>13284</v>
      </c>
      <c r="J4606" s="9" t="s">
        <v>13284</v>
      </c>
      <c r="K4606" s="9" t="s">
        <v>13284</v>
      </c>
      <c r="L4606" s="9" t="s">
        <v>13284</v>
      </c>
      <c r="M4606" s="9" t="s">
        <v>13284</v>
      </c>
      <c r="N4606" s="9" t="s">
        <v>13284</v>
      </c>
      <c r="O4606" s="9" t="s">
        <v>13284</v>
      </c>
      <c r="P4606" s="9" t="s">
        <v>13284</v>
      </c>
      <c r="Q4606" s="9" t="s">
        <v>13284</v>
      </c>
      <c r="R4606" s="9" t="s">
        <v>13284</v>
      </c>
      <c r="S4606" s="9" t="s">
        <v>13284</v>
      </c>
      <c r="T4606" s="9" t="str">
        <f ca="1">IFERROR(IF(AND(VLOOKUP(A4606, 'Актуальное состояние (из общего'!A:C,3,0) = "", A4606 &lt;&gt; ""), "ПРОВЕРИТЬ", VLOOKUP(A4606, 'Актуальное состояние (из общего'!A:C,3,0)), "")</f>
        <v/>
      </c>
      <c r="U4606" s="9" t="s">
        <v>13284</v>
      </c>
      <c r="V4606" s="9" t="s">
        <v>13284</v>
      </c>
      <c r="W4606" s="12"/>
      <c r="X4606" s="9" t="str">
        <f t="array" ref="X4606">IFERROR(INDEX('Адреса общежитий (скрытый)'!$B$2:$B$9, MATCH(W4606, 'Адреса общежитий (скрытый)'!$A$2:$A$9, 0)), "")</f>
        <v/>
      </c>
      <c r="Y4606" s="18"/>
      <c r="Z4606" s="18"/>
      <c r="AA4606" s="18"/>
      <c r="AB4606" s="18"/>
      <c r="AC4606" s="18"/>
    </row>
    <row r="4607" spans="1:29" ht="32.25" hidden="1" customHeight="1">
      <c r="A4607" s="17"/>
      <c r="B4607" s="9" t="s">
        <v>13284</v>
      </c>
      <c r="C4607" s="9" t="s">
        <v>13284</v>
      </c>
      <c r="D4607" s="9" t="s">
        <v>13284</v>
      </c>
      <c r="E4607" s="9" t="s">
        <v>13284</v>
      </c>
      <c r="F4607" s="9" t="s">
        <v>13284</v>
      </c>
      <c r="G4607" s="9" t="s">
        <v>13284</v>
      </c>
      <c r="H4607" s="9" t="s">
        <v>13284</v>
      </c>
      <c r="I4607" s="9" t="s">
        <v>13284</v>
      </c>
      <c r="J4607" s="9" t="s">
        <v>13284</v>
      </c>
      <c r="K4607" s="9" t="s">
        <v>13284</v>
      </c>
      <c r="L4607" s="9" t="s">
        <v>13284</v>
      </c>
      <c r="M4607" s="9" t="s">
        <v>13284</v>
      </c>
      <c r="N4607" s="9" t="s">
        <v>13284</v>
      </c>
      <c r="O4607" s="9" t="s">
        <v>13284</v>
      </c>
      <c r="P4607" s="9" t="s">
        <v>13284</v>
      </c>
      <c r="Q4607" s="9" t="s">
        <v>13284</v>
      </c>
      <c r="R4607" s="9" t="s">
        <v>13284</v>
      </c>
      <c r="S4607" s="9" t="s">
        <v>13284</v>
      </c>
      <c r="T4607" s="9" t="str">
        <f ca="1">IFERROR(IF(AND(VLOOKUP(A4607, 'Актуальное состояние (из общего'!A:C,3,0) = "", A4607 &lt;&gt; ""), "ПРОВЕРИТЬ", VLOOKUP(A4607, 'Актуальное состояние (из общего'!A:C,3,0)), "")</f>
        <v/>
      </c>
      <c r="U4607" s="9" t="s">
        <v>13284</v>
      </c>
      <c r="V4607" s="9" t="s">
        <v>13284</v>
      </c>
      <c r="W4607" s="12"/>
      <c r="X4607" s="9" t="str">
        <f t="array" ref="X4607">IFERROR(INDEX('Адреса общежитий (скрытый)'!$B$2:$B$9, MATCH(W4607, 'Адреса общежитий (скрытый)'!$A$2:$A$9, 0)), "")</f>
        <v/>
      </c>
      <c r="Y4607" s="18"/>
      <c r="Z4607" s="18"/>
      <c r="AA4607" s="18"/>
      <c r="AB4607" s="18"/>
      <c r="AC4607" s="18"/>
    </row>
    <row r="4608" spans="1:29" ht="32.25" hidden="1" customHeight="1">
      <c r="A4608" s="17"/>
      <c r="B4608" s="9" t="s">
        <v>13284</v>
      </c>
      <c r="C4608" s="9" t="s">
        <v>13284</v>
      </c>
      <c r="D4608" s="9" t="s">
        <v>13284</v>
      </c>
      <c r="E4608" s="9" t="s">
        <v>13284</v>
      </c>
      <c r="F4608" s="9" t="s">
        <v>13284</v>
      </c>
      <c r="G4608" s="9" t="s">
        <v>13284</v>
      </c>
      <c r="H4608" s="9" t="s">
        <v>13284</v>
      </c>
      <c r="I4608" s="9" t="s">
        <v>13284</v>
      </c>
      <c r="J4608" s="9" t="s">
        <v>13284</v>
      </c>
      <c r="K4608" s="9" t="s">
        <v>13284</v>
      </c>
      <c r="L4608" s="9" t="s">
        <v>13284</v>
      </c>
      <c r="M4608" s="9" t="s">
        <v>13284</v>
      </c>
      <c r="N4608" s="9" t="s">
        <v>13284</v>
      </c>
      <c r="O4608" s="9" t="s">
        <v>13284</v>
      </c>
      <c r="P4608" s="9" t="s">
        <v>13284</v>
      </c>
      <c r="Q4608" s="9" t="s">
        <v>13284</v>
      </c>
      <c r="R4608" s="9" t="s">
        <v>13284</v>
      </c>
      <c r="S4608" s="9" t="s">
        <v>13284</v>
      </c>
      <c r="T4608" s="9" t="str">
        <f ca="1">IFERROR(IF(AND(VLOOKUP(A4608, 'Актуальное состояние (из общего'!A:C,3,0) = "", A4608 &lt;&gt; ""), "ПРОВЕРИТЬ", VLOOKUP(A4608, 'Актуальное состояние (из общего'!A:C,3,0)), "")</f>
        <v/>
      </c>
      <c r="U4608" s="9" t="s">
        <v>13284</v>
      </c>
      <c r="V4608" s="9" t="s">
        <v>13284</v>
      </c>
      <c r="W4608" s="12"/>
      <c r="X4608" s="9" t="str">
        <f t="array" ref="X4608">IFERROR(INDEX('Адреса общежитий (скрытый)'!$B$2:$B$9, MATCH(W4608, 'Адреса общежитий (скрытый)'!$A$2:$A$9, 0)), "")</f>
        <v/>
      </c>
      <c r="Y4608" s="18"/>
      <c r="Z4608" s="18"/>
      <c r="AA4608" s="18"/>
      <c r="AB4608" s="18"/>
      <c r="AC4608" s="18"/>
    </row>
    <row r="4609" spans="1:29" ht="32.25" hidden="1" customHeight="1">
      <c r="A4609" s="17"/>
      <c r="B4609" s="9" t="s">
        <v>13284</v>
      </c>
      <c r="C4609" s="9" t="s">
        <v>13284</v>
      </c>
      <c r="D4609" s="9" t="s">
        <v>13284</v>
      </c>
      <c r="E4609" s="9" t="s">
        <v>13284</v>
      </c>
      <c r="F4609" s="9" t="s">
        <v>13284</v>
      </c>
      <c r="G4609" s="9" t="s">
        <v>13284</v>
      </c>
      <c r="H4609" s="9" t="s">
        <v>13284</v>
      </c>
      <c r="I4609" s="9" t="s">
        <v>13284</v>
      </c>
      <c r="J4609" s="9" t="s">
        <v>13284</v>
      </c>
      <c r="K4609" s="9" t="s">
        <v>13284</v>
      </c>
      <c r="L4609" s="9" t="s">
        <v>13284</v>
      </c>
      <c r="M4609" s="9" t="s">
        <v>13284</v>
      </c>
      <c r="N4609" s="9" t="s">
        <v>13284</v>
      </c>
      <c r="O4609" s="9" t="s">
        <v>13284</v>
      </c>
      <c r="P4609" s="9" t="s">
        <v>13284</v>
      </c>
      <c r="Q4609" s="9" t="s">
        <v>13284</v>
      </c>
      <c r="R4609" s="9" t="s">
        <v>13284</v>
      </c>
      <c r="S4609" s="9" t="s">
        <v>13284</v>
      </c>
      <c r="T4609" s="9" t="str">
        <f ca="1">IFERROR(IF(AND(VLOOKUP(A4609, 'Актуальное состояние (из общего'!A:C,3,0) = "", A4609 &lt;&gt; ""), "ПРОВЕРИТЬ", VLOOKUP(A4609, 'Актуальное состояние (из общего'!A:C,3,0)), "")</f>
        <v/>
      </c>
      <c r="U4609" s="9" t="s">
        <v>13284</v>
      </c>
      <c r="V4609" s="9" t="s">
        <v>13284</v>
      </c>
      <c r="W4609" s="12"/>
      <c r="X4609" s="9" t="str">
        <f t="array" ref="X4609">IFERROR(INDEX('Адреса общежитий (скрытый)'!$B$2:$B$9, MATCH(W4609, 'Адреса общежитий (скрытый)'!$A$2:$A$9, 0)), "")</f>
        <v/>
      </c>
      <c r="Y4609" s="18"/>
      <c r="Z4609" s="18"/>
      <c r="AA4609" s="18"/>
      <c r="AB4609" s="18"/>
      <c r="AC4609" s="18"/>
    </row>
    <row r="4610" spans="1:29" ht="32.25" hidden="1" customHeight="1">
      <c r="A4610" s="17"/>
      <c r="B4610" s="9" t="s">
        <v>13284</v>
      </c>
      <c r="C4610" s="9" t="s">
        <v>13284</v>
      </c>
      <c r="D4610" s="9" t="s">
        <v>13284</v>
      </c>
      <c r="E4610" s="9" t="s">
        <v>13284</v>
      </c>
      <c r="F4610" s="9" t="s">
        <v>13284</v>
      </c>
      <c r="G4610" s="9" t="s">
        <v>13284</v>
      </c>
      <c r="H4610" s="9" t="s">
        <v>13284</v>
      </c>
      <c r="I4610" s="9" t="s">
        <v>13284</v>
      </c>
      <c r="J4610" s="9" t="s">
        <v>13284</v>
      </c>
      <c r="K4610" s="9" t="s">
        <v>13284</v>
      </c>
      <c r="L4610" s="9" t="s">
        <v>13284</v>
      </c>
      <c r="M4610" s="9" t="s">
        <v>13284</v>
      </c>
      <c r="N4610" s="9" t="s">
        <v>13284</v>
      </c>
      <c r="O4610" s="9" t="s">
        <v>13284</v>
      </c>
      <c r="P4610" s="9" t="s">
        <v>13284</v>
      </c>
      <c r="Q4610" s="9" t="s">
        <v>13284</v>
      </c>
      <c r="R4610" s="9" t="s">
        <v>13284</v>
      </c>
      <c r="S4610" s="9" t="s">
        <v>13284</v>
      </c>
      <c r="T4610" s="9" t="str">
        <f ca="1">IFERROR(IF(AND(VLOOKUP(A4610, 'Актуальное состояние (из общего'!A:C,3,0) = "", A4610 &lt;&gt; ""), "ПРОВЕРИТЬ", VLOOKUP(A4610, 'Актуальное состояние (из общего'!A:C,3,0)), "")</f>
        <v/>
      </c>
      <c r="U4610" s="9" t="s">
        <v>13284</v>
      </c>
      <c r="V4610" s="9" t="s">
        <v>13284</v>
      </c>
      <c r="W4610" s="12"/>
      <c r="X4610" s="9" t="str">
        <f t="array" ref="X4610">IFERROR(INDEX('Адреса общежитий (скрытый)'!$B$2:$B$9, MATCH(W4610, 'Адреса общежитий (скрытый)'!$A$2:$A$9, 0)), "")</f>
        <v/>
      </c>
      <c r="Y4610" s="18"/>
      <c r="Z4610" s="18"/>
      <c r="AA4610" s="18"/>
      <c r="AB4610" s="18"/>
      <c r="AC4610" s="18"/>
    </row>
    <row r="4611" spans="1:29" ht="32.25" hidden="1" customHeight="1">
      <c r="A4611" s="17"/>
      <c r="B4611" s="9" t="s">
        <v>13284</v>
      </c>
      <c r="C4611" s="9" t="s">
        <v>13284</v>
      </c>
      <c r="D4611" s="9" t="s">
        <v>13284</v>
      </c>
      <c r="E4611" s="9" t="s">
        <v>13284</v>
      </c>
      <c r="F4611" s="9" t="s">
        <v>13284</v>
      </c>
      <c r="G4611" s="9" t="s">
        <v>13284</v>
      </c>
      <c r="H4611" s="9" t="s">
        <v>13284</v>
      </c>
      <c r="I4611" s="9" t="s">
        <v>13284</v>
      </c>
      <c r="J4611" s="9" t="s">
        <v>13284</v>
      </c>
      <c r="K4611" s="9" t="s">
        <v>13284</v>
      </c>
      <c r="L4611" s="9" t="s">
        <v>13284</v>
      </c>
      <c r="M4611" s="9" t="s">
        <v>13284</v>
      </c>
      <c r="N4611" s="9" t="s">
        <v>13284</v>
      </c>
      <c r="O4611" s="9" t="s">
        <v>13284</v>
      </c>
      <c r="P4611" s="9" t="s">
        <v>13284</v>
      </c>
      <c r="Q4611" s="9" t="s">
        <v>13284</v>
      </c>
      <c r="R4611" s="9" t="s">
        <v>13284</v>
      </c>
      <c r="S4611" s="9" t="s">
        <v>13284</v>
      </c>
      <c r="T4611" s="9" t="str">
        <f ca="1">IFERROR(IF(AND(VLOOKUP(A4611, 'Актуальное состояние (из общего'!A:C,3,0) = "", A4611 &lt;&gt; ""), "ПРОВЕРИТЬ", VLOOKUP(A4611, 'Актуальное состояние (из общего'!A:C,3,0)), "")</f>
        <v/>
      </c>
      <c r="U4611" s="9" t="s">
        <v>13284</v>
      </c>
      <c r="V4611" s="9" t="s">
        <v>13284</v>
      </c>
      <c r="W4611" s="12"/>
      <c r="X4611" s="9" t="str">
        <f t="array" ref="X4611">IFERROR(INDEX('Адреса общежитий (скрытый)'!$B$2:$B$9, MATCH(W4611, 'Адреса общежитий (скрытый)'!$A$2:$A$9, 0)), "")</f>
        <v/>
      </c>
      <c r="Y4611" s="18"/>
      <c r="Z4611" s="18"/>
      <c r="AA4611" s="18"/>
      <c r="AB4611" s="18"/>
      <c r="AC4611" s="18"/>
    </row>
    <row r="4612" spans="1:29" ht="32.25" hidden="1" customHeight="1">
      <c r="A4612" s="17"/>
      <c r="B4612" s="9" t="s">
        <v>13284</v>
      </c>
      <c r="C4612" s="9" t="s">
        <v>13284</v>
      </c>
      <c r="D4612" s="9" t="s">
        <v>13284</v>
      </c>
      <c r="E4612" s="9" t="s">
        <v>13284</v>
      </c>
      <c r="F4612" s="9" t="s">
        <v>13284</v>
      </c>
      <c r="G4612" s="9" t="s">
        <v>13284</v>
      </c>
      <c r="H4612" s="9" t="s">
        <v>13284</v>
      </c>
      <c r="I4612" s="9" t="s">
        <v>13284</v>
      </c>
      <c r="J4612" s="9" t="s">
        <v>13284</v>
      </c>
      <c r="K4612" s="9" t="s">
        <v>13284</v>
      </c>
      <c r="L4612" s="9" t="s">
        <v>13284</v>
      </c>
      <c r="M4612" s="9" t="s">
        <v>13284</v>
      </c>
      <c r="N4612" s="9" t="s">
        <v>13284</v>
      </c>
      <c r="O4612" s="9" t="s">
        <v>13284</v>
      </c>
      <c r="P4612" s="9" t="s">
        <v>13284</v>
      </c>
      <c r="Q4612" s="9" t="s">
        <v>13284</v>
      </c>
      <c r="R4612" s="9" t="s">
        <v>13284</v>
      </c>
      <c r="S4612" s="9" t="s">
        <v>13284</v>
      </c>
      <c r="T4612" s="9" t="str">
        <f ca="1">IFERROR(IF(AND(VLOOKUP(A4612, 'Актуальное состояние (из общего'!A:C,3,0) = "", A4612 &lt;&gt; ""), "ПРОВЕРИТЬ", VLOOKUP(A4612, 'Актуальное состояние (из общего'!A:C,3,0)), "")</f>
        <v/>
      </c>
      <c r="U4612" s="9" t="s">
        <v>13284</v>
      </c>
      <c r="V4612" s="9" t="s">
        <v>13284</v>
      </c>
      <c r="W4612" s="12"/>
      <c r="X4612" s="9" t="str">
        <f t="array" ref="X4612">IFERROR(INDEX('Адреса общежитий (скрытый)'!$B$2:$B$9, MATCH(W4612, 'Адреса общежитий (скрытый)'!$A$2:$A$9, 0)), "")</f>
        <v/>
      </c>
      <c r="Y4612" s="18"/>
      <c r="Z4612" s="18"/>
      <c r="AA4612" s="18"/>
      <c r="AB4612" s="18"/>
      <c r="AC4612" s="18"/>
    </row>
    <row r="4613" spans="1:29" ht="32.25" hidden="1" customHeight="1">
      <c r="A4613" s="17"/>
      <c r="B4613" s="9" t="s">
        <v>13284</v>
      </c>
      <c r="C4613" s="9" t="s">
        <v>13284</v>
      </c>
      <c r="D4613" s="9" t="s">
        <v>13284</v>
      </c>
      <c r="E4613" s="9" t="s">
        <v>13284</v>
      </c>
      <c r="F4613" s="9" t="s">
        <v>13284</v>
      </c>
      <c r="G4613" s="9" t="s">
        <v>13284</v>
      </c>
      <c r="H4613" s="9" t="s">
        <v>13284</v>
      </c>
      <c r="I4613" s="9" t="s">
        <v>13284</v>
      </c>
      <c r="J4613" s="9" t="s">
        <v>13284</v>
      </c>
      <c r="K4613" s="9" t="s">
        <v>13284</v>
      </c>
      <c r="L4613" s="9" t="s">
        <v>13284</v>
      </c>
      <c r="M4613" s="9" t="s">
        <v>13284</v>
      </c>
      <c r="N4613" s="9" t="s">
        <v>13284</v>
      </c>
      <c r="O4613" s="9" t="s">
        <v>13284</v>
      </c>
      <c r="P4613" s="9" t="s">
        <v>13284</v>
      </c>
      <c r="Q4613" s="9" t="s">
        <v>13284</v>
      </c>
      <c r="R4613" s="9" t="s">
        <v>13284</v>
      </c>
      <c r="S4613" s="9" t="s">
        <v>13284</v>
      </c>
      <c r="T4613" s="9" t="str">
        <f ca="1">IFERROR(IF(AND(VLOOKUP(A4613, 'Актуальное состояние (из общего'!A:C,3,0) = "", A4613 &lt;&gt; ""), "ПРОВЕРИТЬ", VLOOKUP(A4613, 'Актуальное состояние (из общего'!A:C,3,0)), "")</f>
        <v/>
      </c>
      <c r="U4613" s="9" t="s">
        <v>13284</v>
      </c>
      <c r="V4613" s="9" t="s">
        <v>13284</v>
      </c>
      <c r="W4613" s="12"/>
      <c r="X4613" s="9" t="str">
        <f t="array" ref="X4613">IFERROR(INDEX('Адреса общежитий (скрытый)'!$B$2:$B$9, MATCH(W4613, 'Адреса общежитий (скрытый)'!$A$2:$A$9, 0)), "")</f>
        <v/>
      </c>
      <c r="Y4613" s="18"/>
      <c r="Z4613" s="18"/>
      <c r="AA4613" s="18"/>
      <c r="AB4613" s="18"/>
      <c r="AC4613" s="18"/>
    </row>
    <row r="4614" spans="1:29" ht="32.25" hidden="1" customHeight="1">
      <c r="A4614" s="17"/>
      <c r="B4614" s="9" t="s">
        <v>13284</v>
      </c>
      <c r="C4614" s="9" t="s">
        <v>13284</v>
      </c>
      <c r="D4614" s="9" t="s">
        <v>13284</v>
      </c>
      <c r="E4614" s="9" t="s">
        <v>13284</v>
      </c>
      <c r="F4614" s="9" t="s">
        <v>13284</v>
      </c>
      <c r="G4614" s="9" t="s">
        <v>13284</v>
      </c>
      <c r="H4614" s="9" t="s">
        <v>13284</v>
      </c>
      <c r="I4614" s="9" t="s">
        <v>13284</v>
      </c>
      <c r="J4614" s="9" t="s">
        <v>13284</v>
      </c>
      <c r="K4614" s="9" t="s">
        <v>13284</v>
      </c>
      <c r="L4614" s="9" t="s">
        <v>13284</v>
      </c>
      <c r="M4614" s="9" t="s">
        <v>13284</v>
      </c>
      <c r="N4614" s="9" t="s">
        <v>13284</v>
      </c>
      <c r="O4614" s="9" t="s">
        <v>13284</v>
      </c>
      <c r="P4614" s="9" t="s">
        <v>13284</v>
      </c>
      <c r="Q4614" s="9" t="s">
        <v>13284</v>
      </c>
      <c r="R4614" s="9" t="s">
        <v>13284</v>
      </c>
      <c r="S4614" s="9" t="s">
        <v>13284</v>
      </c>
      <c r="T4614" s="9" t="str">
        <f ca="1">IFERROR(IF(AND(VLOOKUP(A4614, 'Актуальное состояние (из общего'!A:C,3,0) = "", A4614 &lt;&gt; ""), "ПРОВЕРИТЬ", VLOOKUP(A4614, 'Актуальное состояние (из общего'!A:C,3,0)), "")</f>
        <v/>
      </c>
      <c r="U4614" s="9" t="s">
        <v>13284</v>
      </c>
      <c r="V4614" s="9" t="s">
        <v>13284</v>
      </c>
      <c r="W4614" s="12"/>
      <c r="X4614" s="9" t="str">
        <f t="array" ref="X4614">IFERROR(INDEX('Адреса общежитий (скрытый)'!$B$2:$B$9, MATCH(W4614, 'Адреса общежитий (скрытый)'!$A$2:$A$9, 0)), "")</f>
        <v/>
      </c>
      <c r="Y4614" s="18"/>
      <c r="Z4614" s="18"/>
      <c r="AA4614" s="18"/>
      <c r="AB4614" s="18"/>
      <c r="AC4614" s="18"/>
    </row>
    <row r="4615" spans="1:29" ht="32.25" hidden="1" customHeight="1">
      <c r="A4615" s="17"/>
      <c r="B4615" s="9" t="s">
        <v>13284</v>
      </c>
      <c r="C4615" s="9" t="s">
        <v>13284</v>
      </c>
      <c r="D4615" s="9" t="s">
        <v>13284</v>
      </c>
      <c r="E4615" s="9" t="s">
        <v>13284</v>
      </c>
      <c r="F4615" s="9" t="s">
        <v>13284</v>
      </c>
      <c r="G4615" s="9" t="s">
        <v>13284</v>
      </c>
      <c r="H4615" s="9" t="s">
        <v>13284</v>
      </c>
      <c r="I4615" s="9" t="s">
        <v>13284</v>
      </c>
      <c r="J4615" s="9" t="s">
        <v>13284</v>
      </c>
      <c r="K4615" s="9" t="s">
        <v>13284</v>
      </c>
      <c r="L4615" s="9" t="s">
        <v>13284</v>
      </c>
      <c r="M4615" s="9" t="s">
        <v>13284</v>
      </c>
      <c r="N4615" s="9" t="s">
        <v>13284</v>
      </c>
      <c r="O4615" s="9" t="s">
        <v>13284</v>
      </c>
      <c r="P4615" s="9" t="s">
        <v>13284</v>
      </c>
      <c r="Q4615" s="9" t="s">
        <v>13284</v>
      </c>
      <c r="R4615" s="9" t="s">
        <v>13284</v>
      </c>
      <c r="S4615" s="9" t="s">
        <v>13284</v>
      </c>
      <c r="T4615" s="9" t="str">
        <f ca="1">IFERROR(IF(AND(VLOOKUP(A4615, 'Актуальное состояние (из общего'!A:C,3,0) = "", A4615 &lt;&gt; ""), "ПРОВЕРИТЬ", VLOOKUP(A4615, 'Актуальное состояние (из общего'!A:C,3,0)), "")</f>
        <v/>
      </c>
      <c r="U4615" s="9" t="s">
        <v>13284</v>
      </c>
      <c r="V4615" s="9" t="s">
        <v>13284</v>
      </c>
      <c r="W4615" s="12"/>
      <c r="X4615" s="9" t="str">
        <f t="array" ref="X4615">IFERROR(INDEX('Адреса общежитий (скрытый)'!$B$2:$B$9, MATCH(W4615, 'Адреса общежитий (скрытый)'!$A$2:$A$9, 0)), "")</f>
        <v/>
      </c>
      <c r="Y4615" s="18"/>
      <c r="Z4615" s="18"/>
      <c r="AA4615" s="18"/>
      <c r="AB4615" s="18"/>
      <c r="AC4615" s="18"/>
    </row>
    <row r="4616" spans="1:29" ht="32.25" hidden="1" customHeight="1">
      <c r="A4616" s="17"/>
      <c r="B4616" s="9" t="s">
        <v>13284</v>
      </c>
      <c r="C4616" s="9" t="s">
        <v>13284</v>
      </c>
      <c r="D4616" s="9" t="s">
        <v>13284</v>
      </c>
      <c r="E4616" s="9" t="s">
        <v>13284</v>
      </c>
      <c r="F4616" s="9" t="s">
        <v>13284</v>
      </c>
      <c r="G4616" s="9" t="s">
        <v>13284</v>
      </c>
      <c r="H4616" s="9" t="s">
        <v>13284</v>
      </c>
      <c r="I4616" s="9" t="s">
        <v>13284</v>
      </c>
      <c r="J4616" s="9" t="s">
        <v>13284</v>
      </c>
      <c r="K4616" s="9" t="s">
        <v>13284</v>
      </c>
      <c r="L4616" s="9" t="s">
        <v>13284</v>
      </c>
      <c r="M4616" s="9" t="s">
        <v>13284</v>
      </c>
      <c r="N4616" s="9" t="s">
        <v>13284</v>
      </c>
      <c r="O4616" s="9" t="s">
        <v>13284</v>
      </c>
      <c r="P4616" s="9" t="s">
        <v>13284</v>
      </c>
      <c r="Q4616" s="9" t="s">
        <v>13284</v>
      </c>
      <c r="R4616" s="9" t="s">
        <v>13284</v>
      </c>
      <c r="S4616" s="9" t="s">
        <v>13284</v>
      </c>
      <c r="T4616" s="9" t="str">
        <f ca="1">IFERROR(IF(AND(VLOOKUP(A4616, 'Актуальное состояние (из общего'!A:C,3,0) = "", A4616 &lt;&gt; ""), "ПРОВЕРИТЬ", VLOOKUP(A4616, 'Актуальное состояние (из общего'!A:C,3,0)), "")</f>
        <v/>
      </c>
      <c r="U4616" s="9" t="s">
        <v>13284</v>
      </c>
      <c r="V4616" s="9" t="s">
        <v>13284</v>
      </c>
      <c r="W4616" s="12"/>
      <c r="X4616" s="9" t="str">
        <f t="array" ref="X4616">IFERROR(INDEX('Адреса общежитий (скрытый)'!$B$2:$B$9, MATCH(W4616, 'Адреса общежитий (скрытый)'!$A$2:$A$9, 0)), "")</f>
        <v/>
      </c>
      <c r="Y4616" s="18"/>
      <c r="Z4616" s="18"/>
      <c r="AA4616" s="18"/>
      <c r="AB4616" s="18"/>
      <c r="AC4616" s="18"/>
    </row>
    <row r="4617" spans="1:29" ht="32.25" hidden="1" customHeight="1">
      <c r="A4617" s="17"/>
      <c r="B4617" s="9" t="s">
        <v>13284</v>
      </c>
      <c r="C4617" s="9" t="s">
        <v>13284</v>
      </c>
      <c r="D4617" s="9" t="s">
        <v>13284</v>
      </c>
      <c r="E4617" s="9" t="s">
        <v>13284</v>
      </c>
      <c r="F4617" s="9" t="s">
        <v>13284</v>
      </c>
      <c r="G4617" s="9" t="s">
        <v>13284</v>
      </c>
      <c r="H4617" s="9" t="s">
        <v>13284</v>
      </c>
      <c r="I4617" s="9" t="s">
        <v>13284</v>
      </c>
      <c r="J4617" s="9" t="s">
        <v>13284</v>
      </c>
      <c r="K4617" s="9" t="s">
        <v>13284</v>
      </c>
      <c r="L4617" s="9" t="s">
        <v>13284</v>
      </c>
      <c r="M4617" s="9" t="s">
        <v>13284</v>
      </c>
      <c r="N4617" s="9" t="s">
        <v>13284</v>
      </c>
      <c r="O4617" s="9" t="s">
        <v>13284</v>
      </c>
      <c r="P4617" s="9" t="s">
        <v>13284</v>
      </c>
      <c r="Q4617" s="9" t="s">
        <v>13284</v>
      </c>
      <c r="R4617" s="9" t="s">
        <v>13284</v>
      </c>
      <c r="S4617" s="9" t="s">
        <v>13284</v>
      </c>
      <c r="T4617" s="9" t="str">
        <f ca="1">IFERROR(IF(AND(VLOOKUP(A4617, 'Актуальное состояние (из общего'!A:C,3,0) = "", A4617 &lt;&gt; ""), "ПРОВЕРИТЬ", VLOOKUP(A4617, 'Актуальное состояние (из общего'!A:C,3,0)), "")</f>
        <v/>
      </c>
      <c r="U4617" s="9" t="s">
        <v>13284</v>
      </c>
      <c r="V4617" s="9" t="s">
        <v>13284</v>
      </c>
      <c r="W4617" s="12"/>
      <c r="X4617" s="9" t="str">
        <f t="array" ref="X4617">IFERROR(INDEX('Адреса общежитий (скрытый)'!$B$2:$B$9, MATCH(W4617, 'Адреса общежитий (скрытый)'!$A$2:$A$9, 0)), "")</f>
        <v/>
      </c>
      <c r="Y4617" s="18"/>
      <c r="Z4617" s="18"/>
      <c r="AA4617" s="18"/>
      <c r="AB4617" s="18"/>
      <c r="AC4617" s="18"/>
    </row>
    <row r="4618" spans="1:29" ht="32.25" hidden="1" customHeight="1">
      <c r="A4618" s="17"/>
      <c r="B4618" s="9" t="s">
        <v>13284</v>
      </c>
      <c r="C4618" s="9" t="s">
        <v>13284</v>
      </c>
      <c r="D4618" s="9" t="s">
        <v>13284</v>
      </c>
      <c r="E4618" s="9" t="s">
        <v>13284</v>
      </c>
      <c r="F4618" s="9" t="s">
        <v>13284</v>
      </c>
      <c r="G4618" s="9" t="s">
        <v>13284</v>
      </c>
      <c r="H4618" s="9" t="s">
        <v>13284</v>
      </c>
      <c r="I4618" s="9" t="s">
        <v>13284</v>
      </c>
      <c r="J4618" s="9" t="s">
        <v>13284</v>
      </c>
      <c r="K4618" s="9" t="s">
        <v>13284</v>
      </c>
      <c r="L4618" s="9" t="s">
        <v>13284</v>
      </c>
      <c r="M4618" s="9" t="s">
        <v>13284</v>
      </c>
      <c r="N4618" s="9" t="s">
        <v>13284</v>
      </c>
      <c r="O4618" s="9" t="s">
        <v>13284</v>
      </c>
      <c r="P4618" s="9" t="s">
        <v>13284</v>
      </c>
      <c r="Q4618" s="9" t="s">
        <v>13284</v>
      </c>
      <c r="R4618" s="9" t="s">
        <v>13284</v>
      </c>
      <c r="S4618" s="9" t="s">
        <v>13284</v>
      </c>
      <c r="T4618" s="9" t="str">
        <f ca="1">IFERROR(IF(AND(VLOOKUP(A4618, 'Актуальное состояние (из общего'!A:C,3,0) = "", A4618 &lt;&gt; ""), "ПРОВЕРИТЬ", VLOOKUP(A4618, 'Актуальное состояние (из общего'!A:C,3,0)), "")</f>
        <v/>
      </c>
      <c r="U4618" s="9" t="s">
        <v>13284</v>
      </c>
      <c r="V4618" s="9" t="s">
        <v>13284</v>
      </c>
      <c r="W4618" s="12"/>
      <c r="X4618" s="9" t="str">
        <f t="array" ref="X4618">IFERROR(INDEX('Адреса общежитий (скрытый)'!$B$2:$B$9, MATCH(W4618, 'Адреса общежитий (скрытый)'!$A$2:$A$9, 0)), "")</f>
        <v/>
      </c>
      <c r="Y4618" s="18"/>
      <c r="Z4618" s="18"/>
      <c r="AA4618" s="18"/>
      <c r="AB4618" s="18"/>
      <c r="AC4618" s="18"/>
    </row>
    <row r="4619" spans="1:29" ht="32.25" hidden="1" customHeight="1">
      <c r="A4619" s="17"/>
      <c r="B4619" s="9" t="s">
        <v>13284</v>
      </c>
      <c r="C4619" s="9" t="s">
        <v>13284</v>
      </c>
      <c r="D4619" s="9" t="s">
        <v>13284</v>
      </c>
      <c r="E4619" s="9" t="s">
        <v>13284</v>
      </c>
      <c r="F4619" s="9" t="s">
        <v>13284</v>
      </c>
      <c r="G4619" s="9" t="s">
        <v>13284</v>
      </c>
      <c r="H4619" s="9" t="s">
        <v>13284</v>
      </c>
      <c r="I4619" s="9" t="s">
        <v>13284</v>
      </c>
      <c r="J4619" s="9" t="s">
        <v>13284</v>
      </c>
      <c r="K4619" s="9" t="s">
        <v>13284</v>
      </c>
      <c r="L4619" s="9" t="s">
        <v>13284</v>
      </c>
      <c r="M4619" s="9" t="s">
        <v>13284</v>
      </c>
      <c r="N4619" s="9" t="s">
        <v>13284</v>
      </c>
      <c r="O4619" s="9" t="s">
        <v>13284</v>
      </c>
      <c r="P4619" s="9" t="s">
        <v>13284</v>
      </c>
      <c r="Q4619" s="9" t="s">
        <v>13284</v>
      </c>
      <c r="R4619" s="9" t="s">
        <v>13284</v>
      </c>
      <c r="S4619" s="9" t="s">
        <v>13284</v>
      </c>
      <c r="T4619" s="9" t="str">
        <f ca="1">IFERROR(IF(AND(VLOOKUP(A4619, 'Актуальное состояние (из общего'!A:C,3,0) = "", A4619 &lt;&gt; ""), "ПРОВЕРИТЬ", VLOOKUP(A4619, 'Актуальное состояние (из общего'!A:C,3,0)), "")</f>
        <v/>
      </c>
      <c r="U4619" s="9" t="s">
        <v>13284</v>
      </c>
      <c r="V4619" s="9" t="s">
        <v>13284</v>
      </c>
      <c r="W4619" s="12"/>
      <c r="X4619" s="9" t="str">
        <f t="array" ref="X4619">IFERROR(INDEX('Адреса общежитий (скрытый)'!$B$2:$B$9, MATCH(W4619, 'Адреса общежитий (скрытый)'!$A$2:$A$9, 0)), "")</f>
        <v/>
      </c>
      <c r="Y4619" s="18"/>
      <c r="Z4619" s="18"/>
      <c r="AA4619" s="18"/>
      <c r="AB4619" s="18"/>
      <c r="AC4619" s="18"/>
    </row>
    <row r="4620" spans="1:29" ht="32.25" hidden="1" customHeight="1">
      <c r="A4620" s="17"/>
      <c r="B4620" s="9" t="s">
        <v>13284</v>
      </c>
      <c r="C4620" s="9" t="s">
        <v>13284</v>
      </c>
      <c r="D4620" s="9" t="s">
        <v>13284</v>
      </c>
      <c r="E4620" s="9" t="s">
        <v>13284</v>
      </c>
      <c r="F4620" s="9" t="s">
        <v>13284</v>
      </c>
      <c r="G4620" s="9" t="s">
        <v>13284</v>
      </c>
      <c r="H4620" s="9" t="s">
        <v>13284</v>
      </c>
      <c r="I4620" s="9" t="s">
        <v>13284</v>
      </c>
      <c r="J4620" s="9" t="s">
        <v>13284</v>
      </c>
      <c r="K4620" s="9" t="s">
        <v>13284</v>
      </c>
      <c r="L4620" s="9" t="s">
        <v>13284</v>
      </c>
      <c r="M4620" s="9" t="s">
        <v>13284</v>
      </c>
      <c r="N4620" s="9" t="s">
        <v>13284</v>
      </c>
      <c r="O4620" s="9" t="s">
        <v>13284</v>
      </c>
      <c r="P4620" s="9" t="s">
        <v>13284</v>
      </c>
      <c r="Q4620" s="9" t="s">
        <v>13284</v>
      </c>
      <c r="R4620" s="9" t="s">
        <v>13284</v>
      </c>
      <c r="S4620" s="9" t="s">
        <v>13284</v>
      </c>
      <c r="T4620" s="9" t="str">
        <f ca="1">IFERROR(IF(AND(VLOOKUP(A4620, 'Актуальное состояние (из общего'!A:C,3,0) = "", A4620 &lt;&gt; ""), "ПРОВЕРИТЬ", VLOOKUP(A4620, 'Актуальное состояние (из общего'!A:C,3,0)), "")</f>
        <v/>
      </c>
      <c r="U4620" s="9" t="s">
        <v>13284</v>
      </c>
      <c r="V4620" s="9" t="s">
        <v>13284</v>
      </c>
      <c r="W4620" s="12"/>
      <c r="X4620" s="9" t="str">
        <f t="array" ref="X4620">IFERROR(INDEX('Адреса общежитий (скрытый)'!$B$2:$B$9, MATCH(W4620, 'Адреса общежитий (скрытый)'!$A$2:$A$9, 0)), "")</f>
        <v/>
      </c>
      <c r="Y4620" s="18"/>
      <c r="Z4620" s="18"/>
      <c r="AA4620" s="18"/>
      <c r="AB4620" s="18"/>
      <c r="AC4620" s="18"/>
    </row>
    <row r="4621" spans="1:29" ht="32.25" hidden="1" customHeight="1">
      <c r="A4621" s="17"/>
      <c r="B4621" s="9" t="s">
        <v>13284</v>
      </c>
      <c r="C4621" s="9" t="s">
        <v>13284</v>
      </c>
      <c r="D4621" s="9" t="s">
        <v>13284</v>
      </c>
      <c r="E4621" s="9" t="s">
        <v>13284</v>
      </c>
      <c r="F4621" s="9" t="s">
        <v>13284</v>
      </c>
      <c r="G4621" s="9" t="s">
        <v>13284</v>
      </c>
      <c r="H4621" s="9" t="s">
        <v>13284</v>
      </c>
      <c r="I4621" s="9" t="s">
        <v>13284</v>
      </c>
      <c r="J4621" s="9" t="s">
        <v>13284</v>
      </c>
      <c r="K4621" s="9" t="s">
        <v>13284</v>
      </c>
      <c r="L4621" s="9" t="s">
        <v>13284</v>
      </c>
      <c r="M4621" s="9" t="s">
        <v>13284</v>
      </c>
      <c r="N4621" s="9" t="s">
        <v>13284</v>
      </c>
      <c r="O4621" s="9" t="s">
        <v>13284</v>
      </c>
      <c r="P4621" s="9" t="s">
        <v>13284</v>
      </c>
      <c r="Q4621" s="9" t="s">
        <v>13284</v>
      </c>
      <c r="R4621" s="9" t="s">
        <v>13284</v>
      </c>
      <c r="S4621" s="9" t="s">
        <v>13284</v>
      </c>
      <c r="T4621" s="9" t="str">
        <f ca="1">IFERROR(IF(AND(VLOOKUP(A4621, 'Актуальное состояние (из общего'!A:C,3,0) = "", A4621 &lt;&gt; ""), "ПРОВЕРИТЬ", VLOOKUP(A4621, 'Актуальное состояние (из общего'!A:C,3,0)), "")</f>
        <v/>
      </c>
      <c r="U4621" s="9" t="s">
        <v>13284</v>
      </c>
      <c r="V4621" s="9" t="s">
        <v>13284</v>
      </c>
      <c r="W4621" s="12"/>
      <c r="X4621" s="9" t="str">
        <f t="array" ref="X4621">IFERROR(INDEX('Адреса общежитий (скрытый)'!$B$2:$B$9, MATCH(W4621, 'Адреса общежитий (скрытый)'!$A$2:$A$9, 0)), "")</f>
        <v/>
      </c>
      <c r="Y4621" s="18"/>
      <c r="Z4621" s="18"/>
      <c r="AA4621" s="18"/>
      <c r="AB4621" s="18"/>
      <c r="AC4621" s="18"/>
    </row>
    <row r="4622" spans="1:29" ht="32.25" hidden="1" customHeight="1">
      <c r="A4622" s="17"/>
      <c r="B4622" s="9" t="s">
        <v>13284</v>
      </c>
      <c r="C4622" s="9" t="s">
        <v>13284</v>
      </c>
      <c r="D4622" s="9" t="s">
        <v>13284</v>
      </c>
      <c r="E4622" s="9" t="s">
        <v>13284</v>
      </c>
      <c r="F4622" s="9" t="s">
        <v>13284</v>
      </c>
      <c r="G4622" s="9" t="s">
        <v>13284</v>
      </c>
      <c r="H4622" s="9" t="s">
        <v>13284</v>
      </c>
      <c r="I4622" s="9" t="s">
        <v>13284</v>
      </c>
      <c r="J4622" s="9" t="s">
        <v>13284</v>
      </c>
      <c r="K4622" s="9" t="s">
        <v>13284</v>
      </c>
      <c r="L4622" s="9" t="s">
        <v>13284</v>
      </c>
      <c r="M4622" s="9" t="s">
        <v>13284</v>
      </c>
      <c r="N4622" s="9" t="s">
        <v>13284</v>
      </c>
      <c r="O4622" s="9" t="s">
        <v>13284</v>
      </c>
      <c r="P4622" s="9" t="s">
        <v>13284</v>
      </c>
      <c r="Q4622" s="9" t="s">
        <v>13284</v>
      </c>
      <c r="R4622" s="9" t="s">
        <v>13284</v>
      </c>
      <c r="S4622" s="9" t="s">
        <v>13284</v>
      </c>
      <c r="T4622" s="9" t="str">
        <f ca="1">IFERROR(IF(AND(VLOOKUP(A4622, 'Актуальное состояние (из общего'!A:C,3,0) = "", A4622 &lt;&gt; ""), "ПРОВЕРИТЬ", VLOOKUP(A4622, 'Актуальное состояние (из общего'!A:C,3,0)), "")</f>
        <v/>
      </c>
      <c r="U4622" s="9" t="s">
        <v>13284</v>
      </c>
      <c r="V4622" s="9" t="s">
        <v>13284</v>
      </c>
      <c r="W4622" s="12"/>
      <c r="X4622" s="9" t="str">
        <f t="array" ref="X4622">IFERROR(INDEX('Адреса общежитий (скрытый)'!$B$2:$B$9, MATCH(W4622, 'Адреса общежитий (скрытый)'!$A$2:$A$9, 0)), "")</f>
        <v/>
      </c>
      <c r="Y4622" s="18"/>
      <c r="Z4622" s="18"/>
      <c r="AA4622" s="18"/>
      <c r="AB4622" s="18"/>
      <c r="AC4622" s="18"/>
    </row>
    <row r="4623" spans="1:29" ht="32.25" hidden="1" customHeight="1">
      <c r="A4623" s="17"/>
      <c r="B4623" s="9" t="s">
        <v>13284</v>
      </c>
      <c r="C4623" s="9" t="s">
        <v>13284</v>
      </c>
      <c r="D4623" s="9" t="s">
        <v>13284</v>
      </c>
      <c r="E4623" s="9" t="s">
        <v>13284</v>
      </c>
      <c r="F4623" s="9" t="s">
        <v>13284</v>
      </c>
      <c r="G4623" s="9" t="s">
        <v>13284</v>
      </c>
      <c r="H4623" s="9" t="s">
        <v>13284</v>
      </c>
      <c r="I4623" s="9" t="s">
        <v>13284</v>
      </c>
      <c r="J4623" s="9" t="s">
        <v>13284</v>
      </c>
      <c r="K4623" s="9" t="s">
        <v>13284</v>
      </c>
      <c r="L4623" s="9" t="s">
        <v>13284</v>
      </c>
      <c r="M4623" s="9" t="s">
        <v>13284</v>
      </c>
      <c r="N4623" s="9" t="s">
        <v>13284</v>
      </c>
      <c r="O4623" s="9" t="s">
        <v>13284</v>
      </c>
      <c r="P4623" s="9" t="s">
        <v>13284</v>
      </c>
      <c r="Q4623" s="9" t="s">
        <v>13284</v>
      </c>
      <c r="R4623" s="9" t="s">
        <v>13284</v>
      </c>
      <c r="S4623" s="9" t="s">
        <v>13284</v>
      </c>
      <c r="T4623" s="9" t="str">
        <f ca="1">IFERROR(IF(AND(VLOOKUP(A4623, 'Актуальное состояние (из общего'!A:C,3,0) = "", A4623 &lt;&gt; ""), "ПРОВЕРИТЬ", VLOOKUP(A4623, 'Актуальное состояние (из общего'!A:C,3,0)), "")</f>
        <v/>
      </c>
      <c r="U4623" s="9" t="s">
        <v>13284</v>
      </c>
      <c r="V4623" s="9" t="s">
        <v>13284</v>
      </c>
      <c r="W4623" s="12"/>
      <c r="X4623" s="9" t="str">
        <f t="array" ref="X4623">IFERROR(INDEX('Адреса общежитий (скрытый)'!$B$2:$B$9, MATCH(W4623, 'Адреса общежитий (скрытый)'!$A$2:$A$9, 0)), "")</f>
        <v/>
      </c>
      <c r="Y4623" s="18"/>
      <c r="Z4623" s="18"/>
      <c r="AA4623" s="18"/>
      <c r="AB4623" s="18"/>
      <c r="AC4623" s="18"/>
    </row>
    <row r="4624" spans="1:29" ht="32.25" hidden="1" customHeight="1">
      <c r="A4624" s="17"/>
      <c r="B4624" s="9" t="s">
        <v>13284</v>
      </c>
      <c r="C4624" s="9" t="s">
        <v>13284</v>
      </c>
      <c r="D4624" s="9" t="s">
        <v>13284</v>
      </c>
      <c r="E4624" s="9" t="s">
        <v>13284</v>
      </c>
      <c r="F4624" s="9" t="s">
        <v>13284</v>
      </c>
      <c r="G4624" s="9" t="s">
        <v>13284</v>
      </c>
      <c r="H4624" s="9" t="s">
        <v>13284</v>
      </c>
      <c r="I4624" s="9" t="s">
        <v>13284</v>
      </c>
      <c r="J4624" s="9" t="s">
        <v>13284</v>
      </c>
      <c r="K4624" s="9" t="s">
        <v>13284</v>
      </c>
      <c r="L4624" s="9" t="s">
        <v>13284</v>
      </c>
      <c r="M4624" s="9" t="s">
        <v>13284</v>
      </c>
      <c r="N4624" s="9" t="s">
        <v>13284</v>
      </c>
      <c r="O4624" s="9" t="s">
        <v>13284</v>
      </c>
      <c r="P4624" s="9" t="s">
        <v>13284</v>
      </c>
      <c r="Q4624" s="9" t="s">
        <v>13284</v>
      </c>
      <c r="R4624" s="9" t="s">
        <v>13284</v>
      </c>
      <c r="S4624" s="9" t="s">
        <v>13284</v>
      </c>
      <c r="T4624" s="9" t="str">
        <f ca="1">IFERROR(IF(AND(VLOOKUP(A4624, 'Актуальное состояние (из общего'!A:C,3,0) = "", A4624 &lt;&gt; ""), "ПРОВЕРИТЬ", VLOOKUP(A4624, 'Актуальное состояние (из общего'!A:C,3,0)), "")</f>
        <v/>
      </c>
      <c r="U4624" s="9" t="s">
        <v>13284</v>
      </c>
      <c r="V4624" s="9" t="s">
        <v>13284</v>
      </c>
      <c r="W4624" s="12"/>
      <c r="X4624" s="9" t="str">
        <f t="array" ref="X4624">IFERROR(INDEX('Адреса общежитий (скрытый)'!$B$2:$B$9, MATCH(W4624, 'Адреса общежитий (скрытый)'!$A$2:$A$9, 0)), "")</f>
        <v/>
      </c>
      <c r="Y4624" s="18"/>
      <c r="Z4624" s="18"/>
      <c r="AA4624" s="18"/>
      <c r="AB4624" s="18"/>
      <c r="AC4624" s="18"/>
    </row>
    <row r="4625" spans="1:29" ht="32.25" hidden="1" customHeight="1">
      <c r="A4625" s="17"/>
      <c r="B4625" s="9" t="s">
        <v>13284</v>
      </c>
      <c r="C4625" s="9" t="s">
        <v>13284</v>
      </c>
      <c r="D4625" s="9" t="s">
        <v>13284</v>
      </c>
      <c r="E4625" s="9" t="s">
        <v>13284</v>
      </c>
      <c r="F4625" s="9" t="s">
        <v>13284</v>
      </c>
      <c r="G4625" s="9" t="s">
        <v>13284</v>
      </c>
      <c r="H4625" s="9" t="s">
        <v>13284</v>
      </c>
      <c r="I4625" s="9" t="s">
        <v>13284</v>
      </c>
      <c r="J4625" s="9" t="s">
        <v>13284</v>
      </c>
      <c r="K4625" s="9" t="s">
        <v>13284</v>
      </c>
      <c r="L4625" s="9" t="s">
        <v>13284</v>
      </c>
      <c r="M4625" s="9" t="s">
        <v>13284</v>
      </c>
      <c r="N4625" s="9" t="s">
        <v>13284</v>
      </c>
      <c r="O4625" s="9" t="s">
        <v>13284</v>
      </c>
      <c r="P4625" s="9" t="s">
        <v>13284</v>
      </c>
      <c r="Q4625" s="9" t="s">
        <v>13284</v>
      </c>
      <c r="R4625" s="9" t="s">
        <v>13284</v>
      </c>
      <c r="S4625" s="9" t="s">
        <v>13284</v>
      </c>
      <c r="T4625" s="9" t="str">
        <f ca="1">IFERROR(IF(AND(VLOOKUP(A4625, 'Актуальное состояние (из общего'!A:C,3,0) = "", A4625 &lt;&gt; ""), "ПРОВЕРИТЬ", VLOOKUP(A4625, 'Актуальное состояние (из общего'!A:C,3,0)), "")</f>
        <v/>
      </c>
      <c r="U4625" s="9" t="s">
        <v>13284</v>
      </c>
      <c r="V4625" s="9" t="s">
        <v>13284</v>
      </c>
      <c r="W4625" s="12"/>
      <c r="X4625" s="9" t="str">
        <f t="array" ref="X4625">IFERROR(INDEX('Адреса общежитий (скрытый)'!$B$2:$B$9, MATCH(W4625, 'Адреса общежитий (скрытый)'!$A$2:$A$9, 0)), "")</f>
        <v/>
      </c>
      <c r="Y4625" s="18"/>
      <c r="Z4625" s="18"/>
      <c r="AA4625" s="18"/>
      <c r="AB4625" s="18"/>
      <c r="AC4625" s="18"/>
    </row>
    <row r="4626" spans="1:29" ht="32.25" hidden="1" customHeight="1">
      <c r="A4626" s="17"/>
      <c r="B4626" s="9" t="s">
        <v>13284</v>
      </c>
      <c r="C4626" s="9" t="s">
        <v>13284</v>
      </c>
      <c r="D4626" s="9" t="s">
        <v>13284</v>
      </c>
      <c r="E4626" s="9" t="s">
        <v>13284</v>
      </c>
      <c r="F4626" s="9" t="s">
        <v>13284</v>
      </c>
      <c r="G4626" s="9" t="s">
        <v>13284</v>
      </c>
      <c r="H4626" s="9" t="s">
        <v>13284</v>
      </c>
      <c r="I4626" s="9" t="s">
        <v>13284</v>
      </c>
      <c r="J4626" s="9" t="s">
        <v>13284</v>
      </c>
      <c r="K4626" s="9" t="s">
        <v>13284</v>
      </c>
      <c r="L4626" s="9" t="s">
        <v>13284</v>
      </c>
      <c r="M4626" s="9" t="s">
        <v>13284</v>
      </c>
      <c r="N4626" s="9" t="s">
        <v>13284</v>
      </c>
      <c r="O4626" s="9" t="s">
        <v>13284</v>
      </c>
      <c r="P4626" s="9" t="s">
        <v>13284</v>
      </c>
      <c r="Q4626" s="9" t="s">
        <v>13284</v>
      </c>
      <c r="R4626" s="9" t="s">
        <v>13284</v>
      </c>
      <c r="S4626" s="9" t="s">
        <v>13284</v>
      </c>
      <c r="T4626" s="9" t="str">
        <f ca="1">IFERROR(IF(AND(VLOOKUP(A4626, 'Актуальное состояние (из общего'!A:C,3,0) = "", A4626 &lt;&gt; ""), "ПРОВЕРИТЬ", VLOOKUP(A4626, 'Актуальное состояние (из общего'!A:C,3,0)), "")</f>
        <v/>
      </c>
      <c r="U4626" s="9" t="s">
        <v>13284</v>
      </c>
      <c r="V4626" s="9" t="s">
        <v>13284</v>
      </c>
      <c r="W4626" s="12"/>
      <c r="X4626" s="9" t="str">
        <f t="array" ref="X4626">IFERROR(INDEX('Адреса общежитий (скрытый)'!$B$2:$B$9, MATCH(W4626, 'Адреса общежитий (скрытый)'!$A$2:$A$9, 0)), "")</f>
        <v/>
      </c>
      <c r="Y4626" s="18"/>
      <c r="Z4626" s="18"/>
      <c r="AA4626" s="18"/>
      <c r="AB4626" s="18"/>
      <c r="AC4626" s="18"/>
    </row>
    <row r="4627" spans="1:29" ht="32.25" hidden="1" customHeight="1">
      <c r="A4627" s="17"/>
      <c r="B4627" s="9" t="s">
        <v>13284</v>
      </c>
      <c r="C4627" s="9" t="s">
        <v>13284</v>
      </c>
      <c r="D4627" s="9" t="s">
        <v>13284</v>
      </c>
      <c r="E4627" s="9" t="s">
        <v>13284</v>
      </c>
      <c r="F4627" s="9" t="s">
        <v>13284</v>
      </c>
      <c r="G4627" s="9" t="s">
        <v>13284</v>
      </c>
      <c r="H4627" s="9" t="s">
        <v>13284</v>
      </c>
      <c r="I4627" s="9" t="s">
        <v>13284</v>
      </c>
      <c r="J4627" s="9" t="s">
        <v>13284</v>
      </c>
      <c r="K4627" s="9" t="s">
        <v>13284</v>
      </c>
      <c r="L4627" s="9" t="s">
        <v>13284</v>
      </c>
      <c r="M4627" s="9" t="s">
        <v>13284</v>
      </c>
      <c r="N4627" s="9" t="s">
        <v>13284</v>
      </c>
      <c r="O4627" s="9" t="s">
        <v>13284</v>
      </c>
      <c r="P4627" s="9" t="s">
        <v>13284</v>
      </c>
      <c r="Q4627" s="9" t="s">
        <v>13284</v>
      </c>
      <c r="R4627" s="9" t="s">
        <v>13284</v>
      </c>
      <c r="S4627" s="9" t="s">
        <v>13284</v>
      </c>
      <c r="T4627" s="9" t="str">
        <f ca="1">IFERROR(IF(AND(VLOOKUP(A4627, 'Актуальное состояние (из общего'!A:C,3,0) = "", A4627 &lt;&gt; ""), "ПРОВЕРИТЬ", VLOOKUP(A4627, 'Актуальное состояние (из общего'!A:C,3,0)), "")</f>
        <v/>
      </c>
      <c r="U4627" s="9" t="s">
        <v>13284</v>
      </c>
      <c r="V4627" s="9" t="s">
        <v>13284</v>
      </c>
      <c r="W4627" s="12"/>
      <c r="X4627" s="9" t="str">
        <f t="array" ref="X4627">IFERROR(INDEX('Адреса общежитий (скрытый)'!$B$2:$B$9, MATCH(W4627, 'Адреса общежитий (скрытый)'!$A$2:$A$9, 0)), "")</f>
        <v/>
      </c>
      <c r="Y4627" s="18"/>
      <c r="Z4627" s="18"/>
      <c r="AA4627" s="18"/>
      <c r="AB4627" s="18"/>
      <c r="AC4627" s="18"/>
    </row>
    <row r="4628" spans="1:29" ht="32.25" hidden="1" customHeight="1">
      <c r="A4628" s="17"/>
      <c r="B4628" s="9" t="s">
        <v>13284</v>
      </c>
      <c r="C4628" s="9" t="s">
        <v>13284</v>
      </c>
      <c r="D4628" s="9" t="s">
        <v>13284</v>
      </c>
      <c r="E4628" s="9" t="s">
        <v>13284</v>
      </c>
      <c r="F4628" s="9" t="s">
        <v>13284</v>
      </c>
      <c r="G4628" s="9" t="s">
        <v>13284</v>
      </c>
      <c r="H4628" s="9" t="s">
        <v>13284</v>
      </c>
      <c r="I4628" s="9" t="s">
        <v>13284</v>
      </c>
      <c r="J4628" s="9" t="s">
        <v>13284</v>
      </c>
      <c r="K4628" s="9" t="s">
        <v>13284</v>
      </c>
      <c r="L4628" s="9" t="s">
        <v>13284</v>
      </c>
      <c r="M4628" s="9" t="s">
        <v>13284</v>
      </c>
      <c r="N4628" s="9" t="s">
        <v>13284</v>
      </c>
      <c r="O4628" s="9" t="s">
        <v>13284</v>
      </c>
      <c r="P4628" s="9" t="s">
        <v>13284</v>
      </c>
      <c r="Q4628" s="9" t="s">
        <v>13284</v>
      </c>
      <c r="R4628" s="9" t="s">
        <v>13284</v>
      </c>
      <c r="S4628" s="9" t="s">
        <v>13284</v>
      </c>
      <c r="T4628" s="9" t="str">
        <f ca="1">IFERROR(IF(AND(VLOOKUP(A4628, 'Актуальное состояние (из общего'!A:C,3,0) = "", A4628 &lt;&gt; ""), "ПРОВЕРИТЬ", VLOOKUP(A4628, 'Актуальное состояние (из общего'!A:C,3,0)), "")</f>
        <v/>
      </c>
      <c r="U4628" s="9" t="s">
        <v>13284</v>
      </c>
      <c r="V4628" s="9" t="s">
        <v>13284</v>
      </c>
      <c r="W4628" s="12"/>
      <c r="X4628" s="9" t="str">
        <f t="array" ref="X4628">IFERROR(INDEX('Адреса общежитий (скрытый)'!$B$2:$B$9, MATCH(W4628, 'Адреса общежитий (скрытый)'!$A$2:$A$9, 0)), "")</f>
        <v/>
      </c>
      <c r="Y4628" s="18"/>
      <c r="Z4628" s="18"/>
      <c r="AA4628" s="18"/>
      <c r="AB4628" s="18"/>
      <c r="AC4628" s="18"/>
    </row>
    <row r="4629" spans="1:29" ht="32.25" hidden="1" customHeight="1">
      <c r="A4629" s="17"/>
      <c r="B4629" s="9" t="s">
        <v>13284</v>
      </c>
      <c r="C4629" s="9" t="s">
        <v>13284</v>
      </c>
      <c r="D4629" s="9" t="s">
        <v>13284</v>
      </c>
      <c r="E4629" s="9" t="s">
        <v>13284</v>
      </c>
      <c r="F4629" s="9" t="s">
        <v>13284</v>
      </c>
      <c r="G4629" s="9" t="s">
        <v>13284</v>
      </c>
      <c r="H4629" s="9" t="s">
        <v>13284</v>
      </c>
      <c r="I4629" s="9" t="s">
        <v>13284</v>
      </c>
      <c r="J4629" s="9" t="s">
        <v>13284</v>
      </c>
      <c r="K4629" s="9" t="s">
        <v>13284</v>
      </c>
      <c r="L4629" s="9" t="s">
        <v>13284</v>
      </c>
      <c r="M4629" s="9" t="s">
        <v>13284</v>
      </c>
      <c r="N4629" s="9" t="s">
        <v>13284</v>
      </c>
      <c r="O4629" s="9" t="s">
        <v>13284</v>
      </c>
      <c r="P4629" s="9" t="s">
        <v>13284</v>
      </c>
      <c r="Q4629" s="9" t="s">
        <v>13284</v>
      </c>
      <c r="R4629" s="9" t="s">
        <v>13284</v>
      </c>
      <c r="S4629" s="9" t="s">
        <v>13284</v>
      </c>
      <c r="T4629" s="9" t="str">
        <f ca="1">IFERROR(IF(AND(VLOOKUP(A4629, 'Актуальное состояние (из общего'!A:C,3,0) = "", A4629 &lt;&gt; ""), "ПРОВЕРИТЬ", VLOOKUP(A4629, 'Актуальное состояние (из общего'!A:C,3,0)), "")</f>
        <v/>
      </c>
      <c r="U4629" s="9" t="s">
        <v>13284</v>
      </c>
      <c r="V4629" s="9" t="s">
        <v>13284</v>
      </c>
      <c r="W4629" s="12"/>
      <c r="X4629" s="9" t="str">
        <f t="array" ref="X4629">IFERROR(INDEX('Адреса общежитий (скрытый)'!$B$2:$B$9, MATCH(W4629, 'Адреса общежитий (скрытый)'!$A$2:$A$9, 0)), "")</f>
        <v/>
      </c>
      <c r="Y4629" s="18"/>
      <c r="Z4629" s="18"/>
      <c r="AA4629" s="18"/>
      <c r="AB4629" s="18"/>
      <c r="AC4629" s="18"/>
    </row>
    <row r="4630" spans="1:29" ht="32.25" hidden="1" customHeight="1">
      <c r="A4630" s="17"/>
      <c r="B4630" s="9" t="s">
        <v>13284</v>
      </c>
      <c r="C4630" s="9" t="s">
        <v>13284</v>
      </c>
      <c r="D4630" s="9" t="s">
        <v>13284</v>
      </c>
      <c r="E4630" s="9" t="s">
        <v>13284</v>
      </c>
      <c r="F4630" s="9" t="s">
        <v>13284</v>
      </c>
      <c r="G4630" s="9" t="s">
        <v>13284</v>
      </c>
      <c r="H4630" s="9" t="s">
        <v>13284</v>
      </c>
      <c r="I4630" s="9" t="s">
        <v>13284</v>
      </c>
      <c r="J4630" s="9" t="s">
        <v>13284</v>
      </c>
      <c r="K4630" s="9" t="s">
        <v>13284</v>
      </c>
      <c r="L4630" s="9" t="s">
        <v>13284</v>
      </c>
      <c r="M4630" s="9" t="s">
        <v>13284</v>
      </c>
      <c r="N4630" s="9" t="s">
        <v>13284</v>
      </c>
      <c r="O4630" s="9" t="s">
        <v>13284</v>
      </c>
      <c r="P4630" s="9" t="s">
        <v>13284</v>
      </c>
      <c r="Q4630" s="9" t="s">
        <v>13284</v>
      </c>
      <c r="R4630" s="9" t="s">
        <v>13284</v>
      </c>
      <c r="S4630" s="9" t="s">
        <v>13284</v>
      </c>
      <c r="T4630" s="9" t="str">
        <f ca="1">IFERROR(IF(AND(VLOOKUP(A4630, 'Актуальное состояние (из общего'!A:C,3,0) = "", A4630 &lt;&gt; ""), "ПРОВЕРИТЬ", VLOOKUP(A4630, 'Актуальное состояние (из общего'!A:C,3,0)), "")</f>
        <v/>
      </c>
      <c r="U4630" s="9" t="s">
        <v>13284</v>
      </c>
      <c r="V4630" s="9" t="s">
        <v>13284</v>
      </c>
      <c r="W4630" s="12"/>
      <c r="X4630" s="9" t="str">
        <f t="array" ref="X4630">IFERROR(INDEX('Адреса общежитий (скрытый)'!$B$2:$B$9, MATCH(W4630, 'Адреса общежитий (скрытый)'!$A$2:$A$9, 0)), "")</f>
        <v/>
      </c>
      <c r="Y4630" s="18"/>
      <c r="Z4630" s="18"/>
      <c r="AA4630" s="18"/>
      <c r="AB4630" s="18"/>
      <c r="AC4630" s="18"/>
    </row>
    <row r="4631" spans="1:29" ht="32.25" hidden="1" customHeight="1">
      <c r="A4631" s="17"/>
      <c r="B4631" s="9" t="s">
        <v>13284</v>
      </c>
      <c r="C4631" s="9" t="s">
        <v>13284</v>
      </c>
      <c r="D4631" s="9" t="s">
        <v>13284</v>
      </c>
      <c r="E4631" s="9" t="s">
        <v>13284</v>
      </c>
      <c r="F4631" s="9" t="s">
        <v>13284</v>
      </c>
      <c r="G4631" s="9" t="s">
        <v>13284</v>
      </c>
      <c r="H4631" s="9" t="s">
        <v>13284</v>
      </c>
      <c r="I4631" s="9" t="s">
        <v>13284</v>
      </c>
      <c r="J4631" s="9" t="s">
        <v>13284</v>
      </c>
      <c r="K4631" s="9" t="s">
        <v>13284</v>
      </c>
      <c r="L4631" s="9" t="s">
        <v>13284</v>
      </c>
      <c r="M4631" s="9" t="s">
        <v>13284</v>
      </c>
      <c r="N4631" s="9" t="s">
        <v>13284</v>
      </c>
      <c r="O4631" s="9" t="s">
        <v>13284</v>
      </c>
      <c r="P4631" s="9" t="s">
        <v>13284</v>
      </c>
      <c r="Q4631" s="9" t="s">
        <v>13284</v>
      </c>
      <c r="R4631" s="9" t="s">
        <v>13284</v>
      </c>
      <c r="S4631" s="9" t="s">
        <v>13284</v>
      </c>
      <c r="T4631" s="9" t="str">
        <f ca="1">IFERROR(IF(AND(VLOOKUP(A4631, 'Актуальное состояние (из общего'!A:C,3,0) = "", A4631 &lt;&gt; ""), "ПРОВЕРИТЬ", VLOOKUP(A4631, 'Актуальное состояние (из общего'!A:C,3,0)), "")</f>
        <v/>
      </c>
      <c r="U4631" s="9" t="s">
        <v>13284</v>
      </c>
      <c r="V4631" s="9" t="s">
        <v>13284</v>
      </c>
      <c r="W4631" s="12"/>
      <c r="X4631" s="9" t="str">
        <f t="array" ref="X4631">IFERROR(INDEX('Адреса общежитий (скрытый)'!$B$2:$B$9, MATCH(W4631, 'Адреса общежитий (скрытый)'!$A$2:$A$9, 0)), "")</f>
        <v/>
      </c>
      <c r="Y4631" s="18"/>
      <c r="Z4631" s="18"/>
      <c r="AA4631" s="18"/>
      <c r="AB4631" s="18"/>
      <c r="AC4631" s="18"/>
    </row>
    <row r="4632" spans="1:29" ht="32.25" hidden="1" customHeight="1">
      <c r="A4632" s="17"/>
      <c r="B4632" s="9" t="s">
        <v>13284</v>
      </c>
      <c r="C4632" s="9" t="s">
        <v>13284</v>
      </c>
      <c r="D4632" s="9" t="s">
        <v>13284</v>
      </c>
      <c r="E4632" s="9" t="s">
        <v>13284</v>
      </c>
      <c r="F4632" s="9" t="s">
        <v>13284</v>
      </c>
      <c r="G4632" s="9" t="s">
        <v>13284</v>
      </c>
      <c r="H4632" s="9" t="s">
        <v>13284</v>
      </c>
      <c r="I4632" s="9" t="s">
        <v>13284</v>
      </c>
      <c r="J4632" s="9" t="s">
        <v>13284</v>
      </c>
      <c r="K4632" s="9" t="s">
        <v>13284</v>
      </c>
      <c r="L4632" s="9" t="s">
        <v>13284</v>
      </c>
      <c r="M4632" s="9" t="s">
        <v>13284</v>
      </c>
      <c r="N4632" s="9" t="s">
        <v>13284</v>
      </c>
      <c r="O4632" s="9" t="s">
        <v>13284</v>
      </c>
      <c r="P4632" s="9" t="s">
        <v>13284</v>
      </c>
      <c r="Q4632" s="9" t="s">
        <v>13284</v>
      </c>
      <c r="R4632" s="9" t="s">
        <v>13284</v>
      </c>
      <c r="S4632" s="9" t="s">
        <v>13284</v>
      </c>
      <c r="T4632" s="9" t="str">
        <f ca="1">IFERROR(IF(AND(VLOOKUP(A4632, 'Актуальное состояние (из общего'!A:C,3,0) = "", A4632 &lt;&gt; ""), "ПРОВЕРИТЬ", VLOOKUP(A4632, 'Актуальное состояние (из общего'!A:C,3,0)), "")</f>
        <v/>
      </c>
      <c r="U4632" s="9" t="s">
        <v>13284</v>
      </c>
      <c r="V4632" s="9" t="s">
        <v>13284</v>
      </c>
      <c r="W4632" s="12"/>
      <c r="X4632" s="9" t="str">
        <f t="array" ref="X4632">IFERROR(INDEX('Адреса общежитий (скрытый)'!$B$2:$B$9, MATCH(W4632, 'Адреса общежитий (скрытый)'!$A$2:$A$9, 0)), "")</f>
        <v/>
      </c>
      <c r="Y4632" s="18"/>
      <c r="Z4632" s="18"/>
      <c r="AA4632" s="18"/>
      <c r="AB4632" s="18"/>
      <c r="AC4632" s="18"/>
    </row>
    <row r="4633" spans="1:29" ht="32.25" hidden="1" customHeight="1">
      <c r="A4633" s="17"/>
      <c r="B4633" s="9" t="s">
        <v>13284</v>
      </c>
      <c r="C4633" s="9" t="s">
        <v>13284</v>
      </c>
      <c r="D4633" s="9" t="s">
        <v>13284</v>
      </c>
      <c r="E4633" s="9" t="s">
        <v>13284</v>
      </c>
      <c r="F4633" s="9" t="s">
        <v>13284</v>
      </c>
      <c r="G4633" s="9" t="s">
        <v>13284</v>
      </c>
      <c r="H4633" s="9" t="s">
        <v>13284</v>
      </c>
      <c r="I4633" s="9" t="s">
        <v>13284</v>
      </c>
      <c r="J4633" s="9" t="s">
        <v>13284</v>
      </c>
      <c r="K4633" s="9" t="s">
        <v>13284</v>
      </c>
      <c r="L4633" s="9" t="s">
        <v>13284</v>
      </c>
      <c r="M4633" s="9" t="s">
        <v>13284</v>
      </c>
      <c r="N4633" s="9" t="s">
        <v>13284</v>
      </c>
      <c r="O4633" s="9" t="s">
        <v>13284</v>
      </c>
      <c r="P4633" s="9" t="s">
        <v>13284</v>
      </c>
      <c r="Q4633" s="9" t="s">
        <v>13284</v>
      </c>
      <c r="R4633" s="9" t="s">
        <v>13284</v>
      </c>
      <c r="S4633" s="9" t="s">
        <v>13284</v>
      </c>
      <c r="T4633" s="9" t="str">
        <f ca="1">IFERROR(IF(AND(VLOOKUP(A4633, 'Актуальное состояние (из общего'!A:C,3,0) = "", A4633 &lt;&gt; ""), "ПРОВЕРИТЬ", VLOOKUP(A4633, 'Актуальное состояние (из общего'!A:C,3,0)), "")</f>
        <v/>
      </c>
      <c r="U4633" s="9" t="s">
        <v>13284</v>
      </c>
      <c r="V4633" s="9" t="s">
        <v>13284</v>
      </c>
      <c r="W4633" s="12"/>
      <c r="X4633" s="9" t="str">
        <f t="array" ref="X4633">IFERROR(INDEX('Адреса общежитий (скрытый)'!$B$2:$B$9, MATCH(W4633, 'Адреса общежитий (скрытый)'!$A$2:$A$9, 0)), "")</f>
        <v/>
      </c>
      <c r="Y4633" s="18"/>
      <c r="Z4633" s="18"/>
      <c r="AA4633" s="18"/>
      <c r="AB4633" s="18"/>
      <c r="AC4633" s="18"/>
    </row>
    <row r="4634" spans="1:29" ht="32.25" hidden="1" customHeight="1">
      <c r="A4634" s="17"/>
      <c r="B4634" s="9" t="s">
        <v>13284</v>
      </c>
      <c r="C4634" s="9" t="s">
        <v>13284</v>
      </c>
      <c r="D4634" s="9" t="s">
        <v>13284</v>
      </c>
      <c r="E4634" s="9" t="s">
        <v>13284</v>
      </c>
      <c r="F4634" s="9" t="s">
        <v>13284</v>
      </c>
      <c r="G4634" s="9" t="s">
        <v>13284</v>
      </c>
      <c r="H4634" s="9" t="s">
        <v>13284</v>
      </c>
      <c r="I4634" s="9" t="s">
        <v>13284</v>
      </c>
      <c r="J4634" s="9" t="s">
        <v>13284</v>
      </c>
      <c r="K4634" s="9" t="s">
        <v>13284</v>
      </c>
      <c r="L4634" s="9" t="s">
        <v>13284</v>
      </c>
      <c r="M4634" s="9" t="s">
        <v>13284</v>
      </c>
      <c r="N4634" s="9" t="s">
        <v>13284</v>
      </c>
      <c r="O4634" s="9" t="s">
        <v>13284</v>
      </c>
      <c r="P4634" s="9" t="s">
        <v>13284</v>
      </c>
      <c r="Q4634" s="9" t="s">
        <v>13284</v>
      </c>
      <c r="R4634" s="9" t="s">
        <v>13284</v>
      </c>
      <c r="S4634" s="9" t="s">
        <v>13284</v>
      </c>
      <c r="T4634" s="9" t="str">
        <f ca="1">IFERROR(IF(AND(VLOOKUP(A4634, 'Актуальное состояние (из общего'!A:C,3,0) = "", A4634 &lt;&gt; ""), "ПРОВЕРИТЬ", VLOOKUP(A4634, 'Актуальное состояние (из общего'!A:C,3,0)), "")</f>
        <v/>
      </c>
      <c r="U4634" s="9" t="s">
        <v>13284</v>
      </c>
      <c r="V4634" s="9" t="s">
        <v>13284</v>
      </c>
      <c r="W4634" s="12"/>
      <c r="X4634" s="9" t="str">
        <f t="array" ref="X4634">IFERROR(INDEX('Адреса общежитий (скрытый)'!$B$2:$B$9, MATCH(W4634, 'Адреса общежитий (скрытый)'!$A$2:$A$9, 0)), "")</f>
        <v/>
      </c>
      <c r="Y4634" s="18"/>
      <c r="Z4634" s="18"/>
      <c r="AA4634" s="18"/>
      <c r="AB4634" s="18"/>
      <c r="AC4634" s="18"/>
    </row>
    <row r="4635" spans="1:29" ht="32.25" hidden="1" customHeight="1">
      <c r="A4635" s="17"/>
      <c r="B4635" s="9" t="s">
        <v>13284</v>
      </c>
      <c r="C4635" s="9" t="s">
        <v>13284</v>
      </c>
      <c r="D4635" s="9" t="s">
        <v>13284</v>
      </c>
      <c r="E4635" s="9" t="s">
        <v>13284</v>
      </c>
      <c r="F4635" s="9" t="s">
        <v>13284</v>
      </c>
      <c r="G4635" s="9" t="s">
        <v>13284</v>
      </c>
      <c r="H4635" s="9" t="s">
        <v>13284</v>
      </c>
      <c r="I4635" s="9" t="s">
        <v>13284</v>
      </c>
      <c r="J4635" s="9" t="s">
        <v>13284</v>
      </c>
      <c r="K4635" s="9" t="s">
        <v>13284</v>
      </c>
      <c r="L4635" s="9" t="s">
        <v>13284</v>
      </c>
      <c r="M4635" s="9" t="s">
        <v>13284</v>
      </c>
      <c r="N4635" s="9" t="s">
        <v>13284</v>
      </c>
      <c r="O4635" s="9" t="s">
        <v>13284</v>
      </c>
      <c r="P4635" s="9" t="s">
        <v>13284</v>
      </c>
      <c r="Q4635" s="9" t="s">
        <v>13284</v>
      </c>
      <c r="R4635" s="9" t="s">
        <v>13284</v>
      </c>
      <c r="S4635" s="9" t="s">
        <v>13284</v>
      </c>
      <c r="T4635" s="9" t="str">
        <f ca="1">IFERROR(IF(AND(VLOOKUP(A4635, 'Актуальное состояние (из общего'!A:C,3,0) = "", A4635 &lt;&gt; ""), "ПРОВЕРИТЬ", VLOOKUP(A4635, 'Актуальное состояние (из общего'!A:C,3,0)), "")</f>
        <v/>
      </c>
      <c r="U4635" s="9" t="s">
        <v>13284</v>
      </c>
      <c r="V4635" s="9" t="s">
        <v>13284</v>
      </c>
      <c r="W4635" s="12"/>
      <c r="X4635" s="9" t="str">
        <f t="array" ref="X4635">IFERROR(INDEX('Адреса общежитий (скрытый)'!$B$2:$B$9, MATCH(W4635, 'Адреса общежитий (скрытый)'!$A$2:$A$9, 0)), "")</f>
        <v/>
      </c>
      <c r="Y4635" s="18"/>
      <c r="Z4635" s="18"/>
      <c r="AA4635" s="18"/>
      <c r="AB4635" s="18"/>
      <c r="AC4635" s="18"/>
    </row>
    <row r="4636" spans="1:29" ht="32.25" hidden="1" customHeight="1">
      <c r="A4636" s="17"/>
      <c r="B4636" s="9" t="s">
        <v>13284</v>
      </c>
      <c r="C4636" s="9" t="s">
        <v>13284</v>
      </c>
      <c r="D4636" s="9" t="s">
        <v>13284</v>
      </c>
      <c r="E4636" s="9" t="s">
        <v>13284</v>
      </c>
      <c r="F4636" s="9" t="s">
        <v>13284</v>
      </c>
      <c r="G4636" s="9" t="s">
        <v>13284</v>
      </c>
      <c r="H4636" s="9" t="s">
        <v>13284</v>
      </c>
      <c r="I4636" s="9" t="s">
        <v>13284</v>
      </c>
      <c r="J4636" s="9" t="s">
        <v>13284</v>
      </c>
      <c r="K4636" s="9" t="s">
        <v>13284</v>
      </c>
      <c r="L4636" s="9" t="s">
        <v>13284</v>
      </c>
      <c r="M4636" s="9" t="s">
        <v>13284</v>
      </c>
      <c r="N4636" s="9" t="s">
        <v>13284</v>
      </c>
      <c r="O4636" s="9" t="s">
        <v>13284</v>
      </c>
      <c r="P4636" s="9" t="s">
        <v>13284</v>
      </c>
      <c r="Q4636" s="9" t="s">
        <v>13284</v>
      </c>
      <c r="R4636" s="9" t="s">
        <v>13284</v>
      </c>
      <c r="S4636" s="9" t="s">
        <v>13284</v>
      </c>
      <c r="T4636" s="9" t="str">
        <f ca="1">IFERROR(IF(AND(VLOOKUP(A4636, 'Актуальное состояние (из общего'!A:C,3,0) = "", A4636 &lt;&gt; ""), "ПРОВЕРИТЬ", VLOOKUP(A4636, 'Актуальное состояние (из общего'!A:C,3,0)), "")</f>
        <v/>
      </c>
      <c r="U4636" s="9" t="s">
        <v>13284</v>
      </c>
      <c r="V4636" s="9" t="s">
        <v>13284</v>
      </c>
      <c r="W4636" s="12"/>
      <c r="X4636" s="9" t="str">
        <f t="array" ref="X4636">IFERROR(INDEX('Адреса общежитий (скрытый)'!$B$2:$B$9, MATCH(W4636, 'Адреса общежитий (скрытый)'!$A$2:$A$9, 0)), "")</f>
        <v/>
      </c>
      <c r="Y4636" s="18"/>
      <c r="Z4636" s="18"/>
      <c r="AA4636" s="18"/>
      <c r="AB4636" s="18"/>
      <c r="AC4636" s="18"/>
    </row>
    <row r="4637" spans="1:29" ht="32.25" hidden="1" customHeight="1">
      <c r="A4637" s="17"/>
      <c r="B4637" s="9" t="s">
        <v>13284</v>
      </c>
      <c r="C4637" s="9" t="s">
        <v>13284</v>
      </c>
      <c r="D4637" s="9" t="s">
        <v>13284</v>
      </c>
      <c r="E4637" s="9" t="s">
        <v>13284</v>
      </c>
      <c r="F4637" s="9" t="s">
        <v>13284</v>
      </c>
      <c r="G4637" s="9" t="s">
        <v>13284</v>
      </c>
      <c r="H4637" s="9" t="s">
        <v>13284</v>
      </c>
      <c r="I4637" s="9" t="s">
        <v>13284</v>
      </c>
      <c r="J4637" s="9" t="s">
        <v>13284</v>
      </c>
      <c r="K4637" s="9" t="s">
        <v>13284</v>
      </c>
      <c r="L4637" s="9" t="s">
        <v>13284</v>
      </c>
      <c r="M4637" s="9" t="s">
        <v>13284</v>
      </c>
      <c r="N4637" s="9" t="s">
        <v>13284</v>
      </c>
      <c r="O4637" s="9" t="s">
        <v>13284</v>
      </c>
      <c r="P4637" s="9" t="s">
        <v>13284</v>
      </c>
      <c r="Q4637" s="9" t="s">
        <v>13284</v>
      </c>
      <c r="R4637" s="9" t="s">
        <v>13284</v>
      </c>
      <c r="S4637" s="9" t="s">
        <v>13284</v>
      </c>
      <c r="T4637" s="9" t="str">
        <f ca="1">IFERROR(IF(AND(VLOOKUP(A4637, 'Актуальное состояние (из общего'!A:C,3,0) = "", A4637 &lt;&gt; ""), "ПРОВЕРИТЬ", VLOOKUP(A4637, 'Актуальное состояние (из общего'!A:C,3,0)), "")</f>
        <v/>
      </c>
      <c r="U4637" s="9" t="s">
        <v>13284</v>
      </c>
      <c r="V4637" s="9" t="s">
        <v>13284</v>
      </c>
      <c r="W4637" s="12"/>
      <c r="X4637" s="9" t="str">
        <f t="array" ref="X4637">IFERROR(INDEX('Адреса общежитий (скрытый)'!$B$2:$B$9, MATCH(W4637, 'Адреса общежитий (скрытый)'!$A$2:$A$9, 0)), "")</f>
        <v/>
      </c>
      <c r="Y4637" s="18"/>
      <c r="Z4637" s="18"/>
      <c r="AA4637" s="18"/>
      <c r="AB4637" s="18"/>
      <c r="AC4637" s="18"/>
    </row>
    <row r="4638" spans="1:29" ht="32.25" hidden="1" customHeight="1">
      <c r="A4638" s="17"/>
      <c r="B4638" s="9" t="s">
        <v>13284</v>
      </c>
      <c r="C4638" s="9" t="s">
        <v>13284</v>
      </c>
      <c r="D4638" s="9" t="s">
        <v>13284</v>
      </c>
      <c r="E4638" s="9" t="s">
        <v>13284</v>
      </c>
      <c r="F4638" s="9" t="s">
        <v>13284</v>
      </c>
      <c r="G4638" s="9" t="s">
        <v>13284</v>
      </c>
      <c r="H4638" s="9" t="s">
        <v>13284</v>
      </c>
      <c r="I4638" s="9" t="s">
        <v>13284</v>
      </c>
      <c r="J4638" s="9" t="s">
        <v>13284</v>
      </c>
      <c r="K4638" s="9" t="s">
        <v>13284</v>
      </c>
      <c r="L4638" s="9" t="s">
        <v>13284</v>
      </c>
      <c r="M4638" s="9" t="s">
        <v>13284</v>
      </c>
      <c r="N4638" s="9" t="s">
        <v>13284</v>
      </c>
      <c r="O4638" s="9" t="s">
        <v>13284</v>
      </c>
      <c r="P4638" s="9" t="s">
        <v>13284</v>
      </c>
      <c r="Q4638" s="9" t="s">
        <v>13284</v>
      </c>
      <c r="R4638" s="9" t="s">
        <v>13284</v>
      </c>
      <c r="S4638" s="9" t="s">
        <v>13284</v>
      </c>
      <c r="T4638" s="9" t="str">
        <f ca="1">IFERROR(IF(AND(VLOOKUP(A4638, 'Актуальное состояние (из общего'!A:C,3,0) = "", A4638 &lt;&gt; ""), "ПРОВЕРИТЬ", VLOOKUP(A4638, 'Актуальное состояние (из общего'!A:C,3,0)), "")</f>
        <v/>
      </c>
      <c r="U4638" s="9" t="s">
        <v>13284</v>
      </c>
      <c r="V4638" s="9" t="s">
        <v>13284</v>
      </c>
      <c r="W4638" s="12"/>
      <c r="X4638" s="9" t="str">
        <f t="array" ref="X4638">IFERROR(INDEX('Адреса общежитий (скрытый)'!$B$2:$B$9, MATCH(W4638, 'Адреса общежитий (скрытый)'!$A$2:$A$9, 0)), "")</f>
        <v/>
      </c>
      <c r="Y4638" s="18"/>
      <c r="Z4638" s="18"/>
      <c r="AA4638" s="18"/>
      <c r="AB4638" s="18"/>
      <c r="AC4638" s="18"/>
    </row>
    <row r="4639" spans="1:29" ht="32.25" hidden="1" customHeight="1">
      <c r="A4639" s="17"/>
      <c r="B4639" s="9" t="s">
        <v>13284</v>
      </c>
      <c r="C4639" s="9" t="s">
        <v>13284</v>
      </c>
      <c r="D4639" s="9" t="s">
        <v>13284</v>
      </c>
      <c r="E4639" s="9" t="s">
        <v>13284</v>
      </c>
      <c r="F4639" s="9" t="s">
        <v>13284</v>
      </c>
      <c r="G4639" s="9" t="s">
        <v>13284</v>
      </c>
      <c r="H4639" s="9" t="s">
        <v>13284</v>
      </c>
      <c r="I4639" s="9" t="s">
        <v>13284</v>
      </c>
      <c r="J4639" s="9" t="s">
        <v>13284</v>
      </c>
      <c r="K4639" s="9" t="s">
        <v>13284</v>
      </c>
      <c r="L4639" s="9" t="s">
        <v>13284</v>
      </c>
      <c r="M4639" s="9" t="s">
        <v>13284</v>
      </c>
      <c r="N4639" s="9" t="s">
        <v>13284</v>
      </c>
      <c r="O4639" s="9" t="s">
        <v>13284</v>
      </c>
      <c r="P4639" s="9" t="s">
        <v>13284</v>
      </c>
      <c r="Q4639" s="9" t="s">
        <v>13284</v>
      </c>
      <c r="R4639" s="9" t="s">
        <v>13284</v>
      </c>
      <c r="S4639" s="9" t="s">
        <v>13284</v>
      </c>
      <c r="T4639" s="9" t="str">
        <f ca="1">IFERROR(IF(AND(VLOOKUP(A4639, 'Актуальное состояние (из общего'!A:C,3,0) = "", A4639 &lt;&gt; ""), "ПРОВЕРИТЬ", VLOOKUP(A4639, 'Актуальное состояние (из общего'!A:C,3,0)), "")</f>
        <v/>
      </c>
      <c r="U4639" s="9" t="s">
        <v>13284</v>
      </c>
      <c r="V4639" s="9" t="s">
        <v>13284</v>
      </c>
      <c r="W4639" s="12"/>
      <c r="X4639" s="9" t="str">
        <f t="array" ref="X4639">IFERROR(INDEX('Адреса общежитий (скрытый)'!$B$2:$B$9, MATCH(W4639, 'Адреса общежитий (скрытый)'!$A$2:$A$9, 0)), "")</f>
        <v/>
      </c>
      <c r="Y4639" s="18"/>
      <c r="Z4639" s="18"/>
      <c r="AA4639" s="18"/>
      <c r="AB4639" s="18"/>
      <c r="AC4639" s="18"/>
    </row>
    <row r="4640" spans="1:29" ht="32.25" hidden="1" customHeight="1">
      <c r="A4640" s="17"/>
      <c r="B4640" s="9" t="s">
        <v>13284</v>
      </c>
      <c r="C4640" s="9" t="s">
        <v>13284</v>
      </c>
      <c r="D4640" s="9" t="s">
        <v>13284</v>
      </c>
      <c r="E4640" s="9" t="s">
        <v>13284</v>
      </c>
      <c r="F4640" s="9" t="s">
        <v>13284</v>
      </c>
      <c r="G4640" s="9" t="s">
        <v>13284</v>
      </c>
      <c r="H4640" s="9" t="s">
        <v>13284</v>
      </c>
      <c r="I4640" s="9" t="s">
        <v>13284</v>
      </c>
      <c r="J4640" s="9" t="s">
        <v>13284</v>
      </c>
      <c r="K4640" s="9" t="s">
        <v>13284</v>
      </c>
      <c r="L4640" s="9" t="s">
        <v>13284</v>
      </c>
      <c r="M4640" s="9" t="s">
        <v>13284</v>
      </c>
      <c r="N4640" s="9" t="s">
        <v>13284</v>
      </c>
      <c r="O4640" s="9" t="s">
        <v>13284</v>
      </c>
      <c r="P4640" s="9" t="s">
        <v>13284</v>
      </c>
      <c r="Q4640" s="9" t="s">
        <v>13284</v>
      </c>
      <c r="R4640" s="9" t="s">
        <v>13284</v>
      </c>
      <c r="S4640" s="9" t="s">
        <v>13284</v>
      </c>
      <c r="T4640" s="9" t="str">
        <f ca="1">IFERROR(IF(AND(VLOOKUP(A4640, 'Актуальное состояние (из общего'!A:C,3,0) = "", A4640 &lt;&gt; ""), "ПРОВЕРИТЬ", VLOOKUP(A4640, 'Актуальное состояние (из общего'!A:C,3,0)), "")</f>
        <v/>
      </c>
      <c r="U4640" s="9" t="s">
        <v>13284</v>
      </c>
      <c r="V4640" s="9" t="s">
        <v>13284</v>
      </c>
      <c r="W4640" s="12"/>
      <c r="X4640" s="9" t="str">
        <f t="array" ref="X4640">IFERROR(INDEX('Адреса общежитий (скрытый)'!$B$2:$B$9, MATCH(W4640, 'Адреса общежитий (скрытый)'!$A$2:$A$9, 0)), "")</f>
        <v/>
      </c>
      <c r="Y4640" s="18"/>
      <c r="Z4640" s="18"/>
      <c r="AA4640" s="18"/>
      <c r="AB4640" s="18"/>
      <c r="AC4640" s="18"/>
    </row>
    <row r="4641" spans="1:29" ht="32.25" hidden="1" customHeight="1">
      <c r="A4641" s="17"/>
      <c r="B4641" s="9" t="s">
        <v>13284</v>
      </c>
      <c r="C4641" s="9" t="s">
        <v>13284</v>
      </c>
      <c r="D4641" s="9" t="s">
        <v>13284</v>
      </c>
      <c r="E4641" s="9" t="s">
        <v>13284</v>
      </c>
      <c r="F4641" s="9" t="s">
        <v>13284</v>
      </c>
      <c r="G4641" s="9" t="s">
        <v>13284</v>
      </c>
      <c r="H4641" s="9" t="s">
        <v>13284</v>
      </c>
      <c r="I4641" s="9" t="s">
        <v>13284</v>
      </c>
      <c r="J4641" s="9" t="s">
        <v>13284</v>
      </c>
      <c r="K4641" s="9" t="s">
        <v>13284</v>
      </c>
      <c r="L4641" s="9" t="s">
        <v>13284</v>
      </c>
      <c r="M4641" s="9" t="s">
        <v>13284</v>
      </c>
      <c r="N4641" s="9" t="s">
        <v>13284</v>
      </c>
      <c r="O4641" s="9" t="s">
        <v>13284</v>
      </c>
      <c r="P4641" s="9" t="s">
        <v>13284</v>
      </c>
      <c r="Q4641" s="9" t="s">
        <v>13284</v>
      </c>
      <c r="R4641" s="9" t="s">
        <v>13284</v>
      </c>
      <c r="S4641" s="9" t="s">
        <v>13284</v>
      </c>
      <c r="T4641" s="9" t="str">
        <f ca="1">IFERROR(IF(AND(VLOOKUP(A4641, 'Актуальное состояние (из общего'!A:C,3,0) = "", A4641 &lt;&gt; ""), "ПРОВЕРИТЬ", VLOOKUP(A4641, 'Актуальное состояние (из общего'!A:C,3,0)), "")</f>
        <v/>
      </c>
      <c r="U4641" s="9" t="s">
        <v>13284</v>
      </c>
      <c r="V4641" s="9" t="s">
        <v>13284</v>
      </c>
      <c r="W4641" s="12"/>
      <c r="X4641" s="9" t="str">
        <f t="array" ref="X4641">IFERROR(INDEX('Адреса общежитий (скрытый)'!$B$2:$B$9, MATCH(W4641, 'Адреса общежитий (скрытый)'!$A$2:$A$9, 0)), "")</f>
        <v/>
      </c>
      <c r="Y4641" s="18"/>
      <c r="Z4641" s="18"/>
      <c r="AA4641" s="18"/>
      <c r="AB4641" s="18"/>
      <c r="AC4641" s="18"/>
    </row>
    <row r="4642" spans="1:29" ht="32.25" hidden="1" customHeight="1">
      <c r="A4642" s="17"/>
      <c r="B4642" s="9" t="s">
        <v>13284</v>
      </c>
      <c r="C4642" s="9" t="s">
        <v>13284</v>
      </c>
      <c r="D4642" s="9" t="s">
        <v>13284</v>
      </c>
      <c r="E4642" s="9" t="s">
        <v>13284</v>
      </c>
      <c r="F4642" s="9" t="s">
        <v>13284</v>
      </c>
      <c r="G4642" s="9" t="s">
        <v>13284</v>
      </c>
      <c r="H4642" s="9" t="s">
        <v>13284</v>
      </c>
      <c r="I4642" s="9" t="s">
        <v>13284</v>
      </c>
      <c r="J4642" s="9" t="s">
        <v>13284</v>
      </c>
      <c r="K4642" s="9" t="s">
        <v>13284</v>
      </c>
      <c r="L4642" s="9" t="s">
        <v>13284</v>
      </c>
      <c r="M4642" s="9" t="s">
        <v>13284</v>
      </c>
      <c r="N4642" s="9" t="s">
        <v>13284</v>
      </c>
      <c r="O4642" s="9" t="s">
        <v>13284</v>
      </c>
      <c r="P4642" s="9" t="s">
        <v>13284</v>
      </c>
      <c r="Q4642" s="9" t="s">
        <v>13284</v>
      </c>
      <c r="R4642" s="9" t="s">
        <v>13284</v>
      </c>
      <c r="S4642" s="9" t="s">
        <v>13284</v>
      </c>
      <c r="T4642" s="9" t="str">
        <f ca="1">IFERROR(IF(AND(VLOOKUP(A4642, 'Актуальное состояние (из общего'!A:C,3,0) = "", A4642 &lt;&gt; ""), "ПРОВЕРИТЬ", VLOOKUP(A4642, 'Актуальное состояние (из общего'!A:C,3,0)), "")</f>
        <v/>
      </c>
      <c r="U4642" s="9" t="s">
        <v>13284</v>
      </c>
      <c r="V4642" s="9" t="s">
        <v>13284</v>
      </c>
      <c r="W4642" s="12"/>
      <c r="X4642" s="9" t="str">
        <f t="array" ref="X4642">IFERROR(INDEX('Адреса общежитий (скрытый)'!$B$2:$B$9, MATCH(W4642, 'Адреса общежитий (скрытый)'!$A$2:$A$9, 0)), "")</f>
        <v/>
      </c>
      <c r="Y4642" s="18"/>
      <c r="Z4642" s="18"/>
      <c r="AA4642" s="18"/>
      <c r="AB4642" s="18"/>
      <c r="AC4642" s="18"/>
    </row>
    <row r="4643" spans="1:29" ht="32.25" hidden="1" customHeight="1">
      <c r="A4643" s="17"/>
      <c r="B4643" s="9" t="s">
        <v>13284</v>
      </c>
      <c r="C4643" s="9" t="s">
        <v>13284</v>
      </c>
      <c r="D4643" s="9" t="s">
        <v>13284</v>
      </c>
      <c r="E4643" s="9" t="s">
        <v>13284</v>
      </c>
      <c r="F4643" s="9" t="s">
        <v>13284</v>
      </c>
      <c r="G4643" s="9" t="s">
        <v>13284</v>
      </c>
      <c r="H4643" s="9" t="s">
        <v>13284</v>
      </c>
      <c r="I4643" s="9" t="s">
        <v>13284</v>
      </c>
      <c r="J4643" s="9" t="s">
        <v>13284</v>
      </c>
      <c r="K4643" s="9" t="s">
        <v>13284</v>
      </c>
      <c r="L4643" s="9" t="s">
        <v>13284</v>
      </c>
      <c r="M4643" s="9" t="s">
        <v>13284</v>
      </c>
      <c r="N4643" s="9" t="s">
        <v>13284</v>
      </c>
      <c r="O4643" s="9" t="s">
        <v>13284</v>
      </c>
      <c r="P4643" s="9" t="s">
        <v>13284</v>
      </c>
      <c r="Q4643" s="9" t="s">
        <v>13284</v>
      </c>
      <c r="R4643" s="9" t="s">
        <v>13284</v>
      </c>
      <c r="S4643" s="9" t="s">
        <v>13284</v>
      </c>
      <c r="T4643" s="9" t="str">
        <f ca="1">IFERROR(IF(AND(VLOOKUP(A4643, 'Актуальное состояние (из общего'!A:C,3,0) = "", A4643 &lt;&gt; ""), "ПРОВЕРИТЬ", VLOOKUP(A4643, 'Актуальное состояние (из общего'!A:C,3,0)), "")</f>
        <v/>
      </c>
      <c r="U4643" s="9" t="s">
        <v>13284</v>
      </c>
      <c r="V4643" s="9" t="s">
        <v>13284</v>
      </c>
      <c r="W4643" s="12"/>
      <c r="X4643" s="9" t="str">
        <f t="array" ref="X4643">IFERROR(INDEX('Адреса общежитий (скрытый)'!$B$2:$B$9, MATCH(W4643, 'Адреса общежитий (скрытый)'!$A$2:$A$9, 0)), "")</f>
        <v/>
      </c>
      <c r="Y4643" s="18"/>
      <c r="Z4643" s="18"/>
      <c r="AA4643" s="18"/>
      <c r="AB4643" s="18"/>
      <c r="AC4643" s="18"/>
    </row>
    <row r="4644" spans="1:29" ht="32.25" hidden="1" customHeight="1">
      <c r="A4644" s="17"/>
      <c r="B4644" s="9" t="s">
        <v>13284</v>
      </c>
      <c r="C4644" s="9" t="s">
        <v>13284</v>
      </c>
      <c r="D4644" s="9" t="s">
        <v>13284</v>
      </c>
      <c r="E4644" s="9" t="s">
        <v>13284</v>
      </c>
      <c r="F4644" s="9" t="s">
        <v>13284</v>
      </c>
      <c r="G4644" s="9" t="s">
        <v>13284</v>
      </c>
      <c r="H4644" s="9" t="s">
        <v>13284</v>
      </c>
      <c r="I4644" s="9" t="s">
        <v>13284</v>
      </c>
      <c r="J4644" s="9" t="s">
        <v>13284</v>
      </c>
      <c r="K4644" s="9" t="s">
        <v>13284</v>
      </c>
      <c r="L4644" s="9" t="s">
        <v>13284</v>
      </c>
      <c r="M4644" s="9" t="s">
        <v>13284</v>
      </c>
      <c r="N4644" s="9" t="s">
        <v>13284</v>
      </c>
      <c r="O4644" s="9" t="s">
        <v>13284</v>
      </c>
      <c r="P4644" s="9" t="s">
        <v>13284</v>
      </c>
      <c r="Q4644" s="9" t="s">
        <v>13284</v>
      </c>
      <c r="R4644" s="9" t="s">
        <v>13284</v>
      </c>
      <c r="S4644" s="9" t="s">
        <v>13284</v>
      </c>
      <c r="T4644" s="9" t="str">
        <f ca="1">IFERROR(IF(AND(VLOOKUP(A4644, 'Актуальное состояние (из общего'!A:C,3,0) = "", A4644 &lt;&gt; ""), "ПРОВЕРИТЬ", VLOOKUP(A4644, 'Актуальное состояние (из общего'!A:C,3,0)), "")</f>
        <v/>
      </c>
      <c r="U4644" s="9" t="s">
        <v>13284</v>
      </c>
      <c r="V4644" s="9" t="s">
        <v>13284</v>
      </c>
      <c r="W4644" s="12"/>
      <c r="X4644" s="9" t="str">
        <f t="array" ref="X4644">IFERROR(INDEX('Адреса общежитий (скрытый)'!$B$2:$B$9, MATCH(W4644, 'Адреса общежитий (скрытый)'!$A$2:$A$9, 0)), "")</f>
        <v/>
      </c>
      <c r="Y4644" s="18"/>
      <c r="Z4644" s="18"/>
      <c r="AA4644" s="18"/>
      <c r="AB4644" s="18"/>
      <c r="AC4644" s="18"/>
    </row>
    <row r="4645" spans="1:29" ht="32.25" hidden="1" customHeight="1">
      <c r="A4645" s="17"/>
      <c r="B4645" s="9" t="s">
        <v>13284</v>
      </c>
      <c r="C4645" s="9" t="s">
        <v>13284</v>
      </c>
      <c r="D4645" s="9" t="s">
        <v>13284</v>
      </c>
      <c r="E4645" s="9" t="s">
        <v>13284</v>
      </c>
      <c r="F4645" s="9" t="s">
        <v>13284</v>
      </c>
      <c r="G4645" s="9" t="s">
        <v>13284</v>
      </c>
      <c r="H4645" s="9" t="s">
        <v>13284</v>
      </c>
      <c r="I4645" s="9" t="s">
        <v>13284</v>
      </c>
      <c r="J4645" s="9" t="s">
        <v>13284</v>
      </c>
      <c r="K4645" s="9" t="s">
        <v>13284</v>
      </c>
      <c r="L4645" s="9" t="s">
        <v>13284</v>
      </c>
      <c r="M4645" s="9" t="s">
        <v>13284</v>
      </c>
      <c r="N4645" s="9" t="s">
        <v>13284</v>
      </c>
      <c r="O4645" s="9" t="s">
        <v>13284</v>
      </c>
      <c r="P4645" s="9" t="s">
        <v>13284</v>
      </c>
      <c r="Q4645" s="9" t="s">
        <v>13284</v>
      </c>
      <c r="R4645" s="9" t="s">
        <v>13284</v>
      </c>
      <c r="S4645" s="9" t="s">
        <v>13284</v>
      </c>
      <c r="T4645" s="9" t="str">
        <f ca="1">IFERROR(IF(AND(VLOOKUP(A4645, 'Актуальное состояние (из общего'!A:C,3,0) = "", A4645 &lt;&gt; ""), "ПРОВЕРИТЬ", VLOOKUP(A4645, 'Актуальное состояние (из общего'!A:C,3,0)), "")</f>
        <v/>
      </c>
      <c r="U4645" s="9" t="s">
        <v>13284</v>
      </c>
      <c r="V4645" s="9" t="s">
        <v>13284</v>
      </c>
      <c r="W4645" s="12"/>
      <c r="X4645" s="9" t="str">
        <f t="array" ref="X4645">IFERROR(INDEX('Адреса общежитий (скрытый)'!$B$2:$B$9, MATCH(W4645, 'Адреса общежитий (скрытый)'!$A$2:$A$9, 0)), "")</f>
        <v/>
      </c>
      <c r="Y4645" s="18"/>
      <c r="Z4645" s="18"/>
      <c r="AA4645" s="18"/>
      <c r="AB4645" s="18"/>
      <c r="AC4645" s="18"/>
    </row>
    <row r="4646" spans="1:29" ht="32.25" hidden="1" customHeight="1">
      <c r="A4646" s="17"/>
      <c r="B4646" s="9" t="s">
        <v>13284</v>
      </c>
      <c r="C4646" s="9" t="s">
        <v>13284</v>
      </c>
      <c r="D4646" s="9" t="s">
        <v>13284</v>
      </c>
      <c r="E4646" s="9" t="s">
        <v>13284</v>
      </c>
      <c r="F4646" s="9" t="s">
        <v>13284</v>
      </c>
      <c r="G4646" s="9" t="s">
        <v>13284</v>
      </c>
      <c r="H4646" s="9" t="s">
        <v>13284</v>
      </c>
      <c r="I4646" s="9" t="s">
        <v>13284</v>
      </c>
      <c r="J4646" s="9" t="s">
        <v>13284</v>
      </c>
      <c r="K4646" s="9" t="s">
        <v>13284</v>
      </c>
      <c r="L4646" s="9" t="s">
        <v>13284</v>
      </c>
      <c r="M4646" s="9" t="s">
        <v>13284</v>
      </c>
      <c r="N4646" s="9" t="s">
        <v>13284</v>
      </c>
      <c r="O4646" s="9" t="s">
        <v>13284</v>
      </c>
      <c r="P4646" s="9" t="s">
        <v>13284</v>
      </c>
      <c r="Q4646" s="9" t="s">
        <v>13284</v>
      </c>
      <c r="R4646" s="9" t="s">
        <v>13284</v>
      </c>
      <c r="S4646" s="9" t="s">
        <v>13284</v>
      </c>
      <c r="T4646" s="9" t="str">
        <f ca="1">IFERROR(IF(AND(VLOOKUP(A4646, 'Актуальное состояние (из общего'!A:C,3,0) = "", A4646 &lt;&gt; ""), "ПРОВЕРИТЬ", VLOOKUP(A4646, 'Актуальное состояние (из общего'!A:C,3,0)), "")</f>
        <v/>
      </c>
      <c r="U4646" s="9" t="s">
        <v>13284</v>
      </c>
      <c r="V4646" s="9" t="s">
        <v>13284</v>
      </c>
      <c r="W4646" s="12"/>
      <c r="X4646" s="9" t="str">
        <f t="array" ref="X4646">IFERROR(INDEX('Адреса общежитий (скрытый)'!$B$2:$B$9, MATCH(W4646, 'Адреса общежитий (скрытый)'!$A$2:$A$9, 0)), "")</f>
        <v/>
      </c>
      <c r="Y4646" s="18"/>
      <c r="Z4646" s="18"/>
      <c r="AA4646" s="18"/>
      <c r="AB4646" s="18"/>
      <c r="AC4646" s="18"/>
    </row>
    <row r="4647" spans="1:29" ht="32.25" hidden="1" customHeight="1">
      <c r="A4647" s="17"/>
      <c r="B4647" s="9" t="s">
        <v>13284</v>
      </c>
      <c r="C4647" s="9" t="s">
        <v>13284</v>
      </c>
      <c r="D4647" s="9" t="s">
        <v>13284</v>
      </c>
      <c r="E4647" s="9" t="s">
        <v>13284</v>
      </c>
      <c r="F4647" s="9" t="s">
        <v>13284</v>
      </c>
      <c r="G4647" s="9" t="s">
        <v>13284</v>
      </c>
      <c r="H4647" s="9" t="s">
        <v>13284</v>
      </c>
      <c r="I4647" s="9" t="s">
        <v>13284</v>
      </c>
      <c r="J4647" s="9" t="s">
        <v>13284</v>
      </c>
      <c r="K4647" s="9" t="s">
        <v>13284</v>
      </c>
      <c r="L4647" s="9" t="s">
        <v>13284</v>
      </c>
      <c r="M4647" s="9" t="s">
        <v>13284</v>
      </c>
      <c r="N4647" s="9" t="s">
        <v>13284</v>
      </c>
      <c r="O4647" s="9" t="s">
        <v>13284</v>
      </c>
      <c r="P4647" s="9" t="s">
        <v>13284</v>
      </c>
      <c r="Q4647" s="9" t="s">
        <v>13284</v>
      </c>
      <c r="R4647" s="9" t="s">
        <v>13284</v>
      </c>
      <c r="S4647" s="9" t="s">
        <v>13284</v>
      </c>
      <c r="T4647" s="9" t="str">
        <f ca="1">IFERROR(IF(AND(VLOOKUP(A4647, 'Актуальное состояние (из общего'!A:C,3,0) = "", A4647 &lt;&gt; ""), "ПРОВЕРИТЬ", VLOOKUP(A4647, 'Актуальное состояние (из общего'!A:C,3,0)), "")</f>
        <v/>
      </c>
      <c r="U4647" s="9" t="s">
        <v>13284</v>
      </c>
      <c r="V4647" s="9" t="s">
        <v>13284</v>
      </c>
      <c r="W4647" s="12"/>
      <c r="X4647" s="9" t="str">
        <f t="array" ref="X4647">IFERROR(INDEX('Адреса общежитий (скрытый)'!$B$2:$B$9, MATCH(W4647, 'Адреса общежитий (скрытый)'!$A$2:$A$9, 0)), "")</f>
        <v/>
      </c>
      <c r="Y4647" s="18"/>
      <c r="Z4647" s="18"/>
      <c r="AA4647" s="18"/>
      <c r="AB4647" s="18"/>
      <c r="AC4647" s="18"/>
    </row>
    <row r="4648" spans="1:29" ht="32.25" hidden="1" customHeight="1">
      <c r="A4648" s="17"/>
      <c r="B4648" s="9" t="s">
        <v>13284</v>
      </c>
      <c r="C4648" s="9" t="s">
        <v>13284</v>
      </c>
      <c r="D4648" s="9" t="s">
        <v>13284</v>
      </c>
      <c r="E4648" s="9" t="s">
        <v>13284</v>
      </c>
      <c r="F4648" s="9" t="s">
        <v>13284</v>
      </c>
      <c r="G4648" s="9" t="s">
        <v>13284</v>
      </c>
      <c r="H4648" s="9" t="s">
        <v>13284</v>
      </c>
      <c r="I4648" s="9" t="s">
        <v>13284</v>
      </c>
      <c r="J4648" s="9" t="s">
        <v>13284</v>
      </c>
      <c r="K4648" s="9" t="s">
        <v>13284</v>
      </c>
      <c r="L4648" s="9" t="s">
        <v>13284</v>
      </c>
      <c r="M4648" s="9" t="s">
        <v>13284</v>
      </c>
      <c r="N4648" s="9" t="s">
        <v>13284</v>
      </c>
      <c r="O4648" s="9" t="s">
        <v>13284</v>
      </c>
      <c r="P4648" s="9" t="s">
        <v>13284</v>
      </c>
      <c r="Q4648" s="9" t="s">
        <v>13284</v>
      </c>
      <c r="R4648" s="9" t="s">
        <v>13284</v>
      </c>
      <c r="S4648" s="9" t="s">
        <v>13284</v>
      </c>
      <c r="T4648" s="9" t="str">
        <f ca="1">IFERROR(IF(AND(VLOOKUP(A4648, 'Актуальное состояние (из общего'!A:C,3,0) = "", A4648 &lt;&gt; ""), "ПРОВЕРИТЬ", VLOOKUP(A4648, 'Актуальное состояние (из общего'!A:C,3,0)), "")</f>
        <v/>
      </c>
      <c r="U4648" s="9" t="s">
        <v>13284</v>
      </c>
      <c r="V4648" s="9" t="s">
        <v>13284</v>
      </c>
      <c r="W4648" s="12"/>
      <c r="X4648" s="9" t="str">
        <f t="array" ref="X4648">IFERROR(INDEX('Адреса общежитий (скрытый)'!$B$2:$B$9, MATCH(W4648, 'Адреса общежитий (скрытый)'!$A$2:$A$9, 0)), "")</f>
        <v/>
      </c>
      <c r="Y4648" s="18"/>
      <c r="Z4648" s="18"/>
      <c r="AA4648" s="18"/>
      <c r="AB4648" s="18"/>
      <c r="AC4648" s="18"/>
    </row>
    <row r="4649" spans="1:29" ht="32.25" hidden="1" customHeight="1">
      <c r="A4649" s="17"/>
      <c r="B4649" s="9" t="s">
        <v>13284</v>
      </c>
      <c r="C4649" s="9" t="s">
        <v>13284</v>
      </c>
      <c r="D4649" s="9" t="s">
        <v>13284</v>
      </c>
      <c r="E4649" s="9" t="s">
        <v>13284</v>
      </c>
      <c r="F4649" s="9" t="s">
        <v>13284</v>
      </c>
      <c r="G4649" s="9" t="s">
        <v>13284</v>
      </c>
      <c r="H4649" s="9" t="s">
        <v>13284</v>
      </c>
      <c r="I4649" s="9" t="s">
        <v>13284</v>
      </c>
      <c r="J4649" s="9" t="s">
        <v>13284</v>
      </c>
      <c r="K4649" s="9" t="s">
        <v>13284</v>
      </c>
      <c r="L4649" s="9" t="s">
        <v>13284</v>
      </c>
      <c r="M4649" s="9" t="s">
        <v>13284</v>
      </c>
      <c r="N4649" s="9" t="s">
        <v>13284</v>
      </c>
      <c r="O4649" s="9" t="s">
        <v>13284</v>
      </c>
      <c r="P4649" s="9" t="s">
        <v>13284</v>
      </c>
      <c r="Q4649" s="9" t="s">
        <v>13284</v>
      </c>
      <c r="R4649" s="9" t="s">
        <v>13284</v>
      </c>
      <c r="S4649" s="9" t="s">
        <v>13284</v>
      </c>
      <c r="T4649" s="9" t="str">
        <f ca="1">IFERROR(IF(AND(VLOOKUP(A4649, 'Актуальное состояние (из общего'!A:C,3,0) = "", A4649 &lt;&gt; ""), "ПРОВЕРИТЬ", VLOOKUP(A4649, 'Актуальное состояние (из общего'!A:C,3,0)), "")</f>
        <v/>
      </c>
      <c r="U4649" s="9" t="s">
        <v>13284</v>
      </c>
      <c r="V4649" s="9" t="s">
        <v>13284</v>
      </c>
      <c r="W4649" s="12"/>
      <c r="X4649" s="9" t="str">
        <f t="array" ref="X4649">IFERROR(INDEX('Адреса общежитий (скрытый)'!$B$2:$B$9, MATCH(W4649, 'Адреса общежитий (скрытый)'!$A$2:$A$9, 0)), "")</f>
        <v/>
      </c>
      <c r="Y4649" s="18"/>
      <c r="Z4649" s="18"/>
      <c r="AA4649" s="18"/>
      <c r="AB4649" s="18"/>
      <c r="AC4649" s="18"/>
    </row>
    <row r="4650" spans="1:29" ht="32.25" hidden="1" customHeight="1">
      <c r="A4650" s="17"/>
      <c r="B4650" s="9" t="s">
        <v>13284</v>
      </c>
      <c r="C4650" s="9" t="s">
        <v>13284</v>
      </c>
      <c r="D4650" s="9" t="s">
        <v>13284</v>
      </c>
      <c r="E4650" s="9" t="s">
        <v>13284</v>
      </c>
      <c r="F4650" s="9" t="s">
        <v>13284</v>
      </c>
      <c r="G4650" s="9" t="s">
        <v>13284</v>
      </c>
      <c r="H4650" s="9" t="s">
        <v>13284</v>
      </c>
      <c r="I4650" s="9" t="s">
        <v>13284</v>
      </c>
      <c r="J4650" s="9" t="s">
        <v>13284</v>
      </c>
      <c r="K4650" s="9" t="s">
        <v>13284</v>
      </c>
      <c r="L4650" s="9" t="s">
        <v>13284</v>
      </c>
      <c r="M4650" s="9" t="s">
        <v>13284</v>
      </c>
      <c r="N4650" s="9" t="s">
        <v>13284</v>
      </c>
      <c r="O4650" s="9" t="s">
        <v>13284</v>
      </c>
      <c r="P4650" s="9" t="s">
        <v>13284</v>
      </c>
      <c r="Q4650" s="9" t="s">
        <v>13284</v>
      </c>
      <c r="R4650" s="9" t="s">
        <v>13284</v>
      </c>
      <c r="S4650" s="9" t="s">
        <v>13284</v>
      </c>
      <c r="T4650" s="9" t="str">
        <f ca="1">IFERROR(IF(AND(VLOOKUP(A4650, 'Актуальное состояние (из общего'!A:C,3,0) = "", A4650 &lt;&gt; ""), "ПРОВЕРИТЬ", VLOOKUP(A4650, 'Актуальное состояние (из общего'!A:C,3,0)), "")</f>
        <v/>
      </c>
      <c r="U4650" s="9" t="s">
        <v>13284</v>
      </c>
      <c r="V4650" s="9" t="s">
        <v>13284</v>
      </c>
      <c r="W4650" s="12"/>
      <c r="X4650" s="9" t="str">
        <f t="array" ref="X4650">IFERROR(INDEX('Адреса общежитий (скрытый)'!$B$2:$B$9, MATCH(W4650, 'Адреса общежитий (скрытый)'!$A$2:$A$9, 0)), "")</f>
        <v/>
      </c>
      <c r="Y4650" s="18"/>
      <c r="Z4650" s="18"/>
      <c r="AA4650" s="18"/>
      <c r="AB4650" s="18"/>
      <c r="AC4650" s="18"/>
    </row>
    <row r="4651" spans="1:29" ht="32.25" hidden="1" customHeight="1">
      <c r="A4651" s="17"/>
      <c r="B4651" s="9" t="s">
        <v>13284</v>
      </c>
      <c r="C4651" s="9" t="s">
        <v>13284</v>
      </c>
      <c r="D4651" s="9" t="s">
        <v>13284</v>
      </c>
      <c r="E4651" s="9" t="s">
        <v>13284</v>
      </c>
      <c r="F4651" s="9" t="s">
        <v>13284</v>
      </c>
      <c r="G4651" s="9" t="s">
        <v>13284</v>
      </c>
      <c r="H4651" s="9" t="s">
        <v>13284</v>
      </c>
      <c r="I4651" s="9" t="s">
        <v>13284</v>
      </c>
      <c r="J4651" s="9" t="s">
        <v>13284</v>
      </c>
      <c r="K4651" s="9" t="s">
        <v>13284</v>
      </c>
      <c r="L4651" s="9" t="s">
        <v>13284</v>
      </c>
      <c r="M4651" s="9" t="s">
        <v>13284</v>
      </c>
      <c r="N4651" s="9" t="s">
        <v>13284</v>
      </c>
      <c r="O4651" s="9" t="s">
        <v>13284</v>
      </c>
      <c r="P4651" s="9" t="s">
        <v>13284</v>
      </c>
      <c r="Q4651" s="9" t="s">
        <v>13284</v>
      </c>
      <c r="R4651" s="9" t="s">
        <v>13284</v>
      </c>
      <c r="S4651" s="9" t="s">
        <v>13284</v>
      </c>
      <c r="T4651" s="9" t="str">
        <f ca="1">IFERROR(IF(AND(VLOOKUP(A4651, 'Актуальное состояние (из общего'!A:C,3,0) = "", A4651 &lt;&gt; ""), "ПРОВЕРИТЬ", VLOOKUP(A4651, 'Актуальное состояние (из общего'!A:C,3,0)), "")</f>
        <v/>
      </c>
      <c r="U4651" s="9" t="s">
        <v>13284</v>
      </c>
      <c r="V4651" s="9" t="s">
        <v>13284</v>
      </c>
      <c r="W4651" s="12"/>
      <c r="X4651" s="9" t="str">
        <f t="array" ref="X4651">IFERROR(INDEX('Адреса общежитий (скрытый)'!$B$2:$B$9, MATCH(W4651, 'Адреса общежитий (скрытый)'!$A$2:$A$9, 0)), "")</f>
        <v/>
      </c>
      <c r="Y4651" s="18"/>
      <c r="Z4651" s="18"/>
      <c r="AA4651" s="18"/>
      <c r="AB4651" s="18"/>
      <c r="AC4651" s="18"/>
    </row>
    <row r="4652" spans="1:29" ht="32.25" hidden="1" customHeight="1">
      <c r="A4652" s="17"/>
      <c r="B4652" s="9" t="s">
        <v>13284</v>
      </c>
      <c r="C4652" s="9" t="s">
        <v>13284</v>
      </c>
      <c r="D4652" s="9" t="s">
        <v>13284</v>
      </c>
      <c r="E4652" s="9" t="s">
        <v>13284</v>
      </c>
      <c r="F4652" s="9" t="s">
        <v>13284</v>
      </c>
      <c r="G4652" s="9" t="s">
        <v>13284</v>
      </c>
      <c r="H4652" s="9" t="s">
        <v>13284</v>
      </c>
      <c r="I4652" s="9" t="s">
        <v>13284</v>
      </c>
      <c r="J4652" s="9" t="s">
        <v>13284</v>
      </c>
      <c r="K4652" s="9" t="s">
        <v>13284</v>
      </c>
      <c r="L4652" s="9" t="s">
        <v>13284</v>
      </c>
      <c r="M4652" s="9" t="s">
        <v>13284</v>
      </c>
      <c r="N4652" s="9" t="s">
        <v>13284</v>
      </c>
      <c r="O4652" s="9" t="s">
        <v>13284</v>
      </c>
      <c r="P4652" s="9" t="s">
        <v>13284</v>
      </c>
      <c r="Q4652" s="9" t="s">
        <v>13284</v>
      </c>
      <c r="R4652" s="9" t="s">
        <v>13284</v>
      </c>
      <c r="S4652" s="9" t="s">
        <v>13284</v>
      </c>
      <c r="T4652" s="9" t="str">
        <f ca="1">IFERROR(IF(AND(VLOOKUP(A4652, 'Актуальное состояние (из общего'!A:C,3,0) = "", A4652 &lt;&gt; ""), "ПРОВЕРИТЬ", VLOOKUP(A4652, 'Актуальное состояние (из общего'!A:C,3,0)), "")</f>
        <v/>
      </c>
      <c r="U4652" s="9" t="s">
        <v>13284</v>
      </c>
      <c r="V4652" s="9" t="s">
        <v>13284</v>
      </c>
      <c r="W4652" s="12"/>
      <c r="X4652" s="9" t="str">
        <f t="array" ref="X4652">IFERROR(INDEX('Адреса общежитий (скрытый)'!$B$2:$B$9, MATCH(W4652, 'Адреса общежитий (скрытый)'!$A$2:$A$9, 0)), "")</f>
        <v/>
      </c>
      <c r="Y4652" s="18"/>
      <c r="Z4652" s="18"/>
      <c r="AA4652" s="18"/>
      <c r="AB4652" s="18"/>
      <c r="AC4652" s="18"/>
    </row>
    <row r="4653" spans="1:29" ht="32.25" hidden="1" customHeight="1">
      <c r="A4653" s="17"/>
      <c r="B4653" s="9" t="s">
        <v>13284</v>
      </c>
      <c r="C4653" s="9" t="s">
        <v>13284</v>
      </c>
      <c r="D4653" s="9" t="s">
        <v>13284</v>
      </c>
      <c r="E4653" s="9" t="s">
        <v>13284</v>
      </c>
      <c r="F4653" s="9" t="s">
        <v>13284</v>
      </c>
      <c r="G4653" s="9" t="s">
        <v>13284</v>
      </c>
      <c r="H4653" s="9" t="s">
        <v>13284</v>
      </c>
      <c r="I4653" s="9" t="s">
        <v>13284</v>
      </c>
      <c r="J4653" s="9" t="s">
        <v>13284</v>
      </c>
      <c r="K4653" s="9" t="s">
        <v>13284</v>
      </c>
      <c r="L4653" s="9" t="s">
        <v>13284</v>
      </c>
      <c r="M4653" s="9" t="s">
        <v>13284</v>
      </c>
      <c r="N4653" s="9" t="s">
        <v>13284</v>
      </c>
      <c r="O4653" s="9" t="s">
        <v>13284</v>
      </c>
      <c r="P4653" s="9" t="s">
        <v>13284</v>
      </c>
      <c r="Q4653" s="9" t="s">
        <v>13284</v>
      </c>
      <c r="R4653" s="9" t="s">
        <v>13284</v>
      </c>
      <c r="S4653" s="9" t="s">
        <v>13284</v>
      </c>
      <c r="T4653" s="9" t="str">
        <f ca="1">IFERROR(IF(AND(VLOOKUP(A4653, 'Актуальное состояние (из общего'!A:C,3,0) = "", A4653 &lt;&gt; ""), "ПРОВЕРИТЬ", VLOOKUP(A4653, 'Актуальное состояние (из общего'!A:C,3,0)), "")</f>
        <v/>
      </c>
      <c r="U4653" s="9" t="s">
        <v>13284</v>
      </c>
      <c r="V4653" s="9" t="s">
        <v>13284</v>
      </c>
      <c r="W4653" s="12"/>
      <c r="X4653" s="9" t="str">
        <f t="array" ref="X4653">IFERROR(INDEX('Адреса общежитий (скрытый)'!$B$2:$B$9, MATCH(W4653, 'Адреса общежитий (скрытый)'!$A$2:$A$9, 0)), "")</f>
        <v/>
      </c>
      <c r="Y4653" s="18"/>
      <c r="Z4653" s="18"/>
      <c r="AA4653" s="18"/>
      <c r="AB4653" s="18"/>
      <c r="AC4653" s="18"/>
    </row>
    <row r="4654" spans="1:29" ht="32.25" hidden="1" customHeight="1">
      <c r="A4654" s="17"/>
      <c r="B4654" s="9" t="s">
        <v>13284</v>
      </c>
      <c r="C4654" s="9" t="s">
        <v>13284</v>
      </c>
      <c r="D4654" s="9" t="s">
        <v>13284</v>
      </c>
      <c r="E4654" s="9" t="s">
        <v>13284</v>
      </c>
      <c r="F4654" s="9" t="s">
        <v>13284</v>
      </c>
      <c r="G4654" s="9" t="s">
        <v>13284</v>
      </c>
      <c r="H4654" s="9" t="s">
        <v>13284</v>
      </c>
      <c r="I4654" s="9" t="s">
        <v>13284</v>
      </c>
      <c r="J4654" s="9" t="s">
        <v>13284</v>
      </c>
      <c r="K4654" s="9" t="s">
        <v>13284</v>
      </c>
      <c r="L4654" s="9" t="s">
        <v>13284</v>
      </c>
      <c r="M4654" s="9" t="s">
        <v>13284</v>
      </c>
      <c r="N4654" s="9" t="s">
        <v>13284</v>
      </c>
      <c r="O4654" s="9" t="s">
        <v>13284</v>
      </c>
      <c r="P4654" s="9" t="s">
        <v>13284</v>
      </c>
      <c r="Q4654" s="9" t="s">
        <v>13284</v>
      </c>
      <c r="R4654" s="9" t="s">
        <v>13284</v>
      </c>
      <c r="S4654" s="9" t="s">
        <v>13284</v>
      </c>
      <c r="T4654" s="9" t="str">
        <f ca="1">IFERROR(IF(AND(VLOOKUP(A4654, 'Актуальное состояние (из общего'!A:C,3,0) = "", A4654 &lt;&gt; ""), "ПРОВЕРИТЬ", VLOOKUP(A4654, 'Актуальное состояние (из общего'!A:C,3,0)), "")</f>
        <v/>
      </c>
      <c r="U4654" s="9" t="s">
        <v>13284</v>
      </c>
      <c r="V4654" s="9" t="s">
        <v>13284</v>
      </c>
      <c r="W4654" s="12"/>
      <c r="X4654" s="9" t="str">
        <f t="array" ref="X4654">IFERROR(INDEX('Адреса общежитий (скрытый)'!$B$2:$B$9, MATCH(W4654, 'Адреса общежитий (скрытый)'!$A$2:$A$9, 0)), "")</f>
        <v/>
      </c>
      <c r="Y4654" s="18"/>
      <c r="Z4654" s="18"/>
      <c r="AA4654" s="18"/>
      <c r="AB4654" s="18"/>
      <c r="AC4654" s="18"/>
    </row>
    <row r="4655" spans="1:29" ht="32.25" hidden="1" customHeight="1">
      <c r="A4655" s="17"/>
      <c r="B4655" s="9" t="s">
        <v>13284</v>
      </c>
      <c r="C4655" s="9" t="s">
        <v>13284</v>
      </c>
      <c r="D4655" s="9" t="s">
        <v>13284</v>
      </c>
      <c r="E4655" s="9" t="s">
        <v>13284</v>
      </c>
      <c r="F4655" s="9" t="s">
        <v>13284</v>
      </c>
      <c r="G4655" s="9" t="s">
        <v>13284</v>
      </c>
      <c r="H4655" s="9" t="s">
        <v>13284</v>
      </c>
      <c r="I4655" s="9" t="s">
        <v>13284</v>
      </c>
      <c r="J4655" s="9" t="s">
        <v>13284</v>
      </c>
      <c r="K4655" s="9" t="s">
        <v>13284</v>
      </c>
      <c r="L4655" s="9" t="s">
        <v>13284</v>
      </c>
      <c r="M4655" s="9" t="s">
        <v>13284</v>
      </c>
      <c r="N4655" s="9" t="s">
        <v>13284</v>
      </c>
      <c r="O4655" s="9" t="s">
        <v>13284</v>
      </c>
      <c r="P4655" s="9" t="s">
        <v>13284</v>
      </c>
      <c r="Q4655" s="9" t="s">
        <v>13284</v>
      </c>
      <c r="R4655" s="9" t="s">
        <v>13284</v>
      </c>
      <c r="S4655" s="9" t="s">
        <v>13284</v>
      </c>
      <c r="T4655" s="9" t="str">
        <f ca="1">IFERROR(IF(AND(VLOOKUP(A4655, 'Актуальное состояние (из общего'!A:C,3,0) = "", A4655 &lt;&gt; ""), "ПРОВЕРИТЬ", VLOOKUP(A4655, 'Актуальное состояние (из общего'!A:C,3,0)), "")</f>
        <v/>
      </c>
      <c r="U4655" s="9" t="s">
        <v>13284</v>
      </c>
      <c r="V4655" s="9" t="s">
        <v>13284</v>
      </c>
      <c r="W4655" s="12"/>
      <c r="X4655" s="9" t="str">
        <f t="array" ref="X4655">IFERROR(INDEX('Адреса общежитий (скрытый)'!$B$2:$B$9, MATCH(W4655, 'Адреса общежитий (скрытый)'!$A$2:$A$9, 0)), "")</f>
        <v/>
      </c>
      <c r="Y4655" s="18"/>
      <c r="Z4655" s="18"/>
      <c r="AA4655" s="18"/>
      <c r="AB4655" s="18"/>
      <c r="AC4655" s="18"/>
    </row>
    <row r="4656" spans="1:29" ht="32.25" hidden="1" customHeight="1">
      <c r="A4656" s="17"/>
      <c r="B4656" s="9" t="s">
        <v>13284</v>
      </c>
      <c r="C4656" s="9" t="s">
        <v>13284</v>
      </c>
      <c r="D4656" s="9" t="s">
        <v>13284</v>
      </c>
      <c r="E4656" s="9" t="s">
        <v>13284</v>
      </c>
      <c r="F4656" s="9" t="s">
        <v>13284</v>
      </c>
      <c r="G4656" s="9" t="s">
        <v>13284</v>
      </c>
      <c r="H4656" s="9" t="s">
        <v>13284</v>
      </c>
      <c r="I4656" s="9" t="s">
        <v>13284</v>
      </c>
      <c r="J4656" s="9" t="s">
        <v>13284</v>
      </c>
      <c r="K4656" s="9" t="s">
        <v>13284</v>
      </c>
      <c r="L4656" s="9" t="s">
        <v>13284</v>
      </c>
      <c r="M4656" s="9" t="s">
        <v>13284</v>
      </c>
      <c r="N4656" s="9" t="s">
        <v>13284</v>
      </c>
      <c r="O4656" s="9" t="s">
        <v>13284</v>
      </c>
      <c r="P4656" s="9" t="s">
        <v>13284</v>
      </c>
      <c r="Q4656" s="9" t="s">
        <v>13284</v>
      </c>
      <c r="R4656" s="9" t="s">
        <v>13284</v>
      </c>
      <c r="S4656" s="9" t="s">
        <v>13284</v>
      </c>
      <c r="T4656" s="9" t="str">
        <f ca="1">IFERROR(IF(AND(VLOOKUP(A4656, 'Актуальное состояние (из общего'!A:C,3,0) = "", A4656 &lt;&gt; ""), "ПРОВЕРИТЬ", VLOOKUP(A4656, 'Актуальное состояние (из общего'!A:C,3,0)), "")</f>
        <v/>
      </c>
      <c r="U4656" s="9" t="s">
        <v>13284</v>
      </c>
      <c r="V4656" s="9" t="s">
        <v>13284</v>
      </c>
      <c r="W4656" s="12"/>
      <c r="X4656" s="9" t="str">
        <f t="array" ref="X4656">IFERROR(INDEX('Адреса общежитий (скрытый)'!$B$2:$B$9, MATCH(W4656, 'Адреса общежитий (скрытый)'!$A$2:$A$9, 0)), "")</f>
        <v/>
      </c>
      <c r="Y4656" s="18"/>
      <c r="Z4656" s="18"/>
      <c r="AA4656" s="18"/>
      <c r="AB4656" s="18"/>
      <c r="AC4656" s="18"/>
    </row>
    <row r="4657" spans="1:29" ht="32.25" hidden="1" customHeight="1">
      <c r="A4657" s="17"/>
      <c r="B4657" s="9" t="s">
        <v>13284</v>
      </c>
      <c r="C4657" s="9" t="s">
        <v>13284</v>
      </c>
      <c r="D4657" s="9" t="s">
        <v>13284</v>
      </c>
      <c r="E4657" s="9" t="s">
        <v>13284</v>
      </c>
      <c r="F4657" s="9" t="s">
        <v>13284</v>
      </c>
      <c r="G4657" s="9" t="s">
        <v>13284</v>
      </c>
      <c r="H4657" s="9" t="s">
        <v>13284</v>
      </c>
      <c r="I4657" s="9" t="s">
        <v>13284</v>
      </c>
      <c r="J4657" s="9" t="s">
        <v>13284</v>
      </c>
      <c r="K4657" s="9" t="s">
        <v>13284</v>
      </c>
      <c r="L4657" s="9" t="s">
        <v>13284</v>
      </c>
      <c r="M4657" s="9" t="s">
        <v>13284</v>
      </c>
      <c r="N4657" s="9" t="s">
        <v>13284</v>
      </c>
      <c r="O4657" s="9" t="s">
        <v>13284</v>
      </c>
      <c r="P4657" s="9" t="s">
        <v>13284</v>
      </c>
      <c r="Q4657" s="9" t="s">
        <v>13284</v>
      </c>
      <c r="R4657" s="9" t="s">
        <v>13284</v>
      </c>
      <c r="S4657" s="9" t="s">
        <v>13284</v>
      </c>
      <c r="T4657" s="9" t="str">
        <f ca="1">IFERROR(IF(AND(VLOOKUP(A4657, 'Актуальное состояние (из общего'!A:C,3,0) = "", A4657 &lt;&gt; ""), "ПРОВЕРИТЬ", VLOOKUP(A4657, 'Актуальное состояние (из общего'!A:C,3,0)), "")</f>
        <v/>
      </c>
      <c r="U4657" s="9" t="s">
        <v>13284</v>
      </c>
      <c r="V4657" s="9" t="s">
        <v>13284</v>
      </c>
      <c r="W4657" s="12"/>
      <c r="X4657" s="9" t="str">
        <f t="array" ref="X4657">IFERROR(INDEX('Адреса общежитий (скрытый)'!$B$2:$B$9, MATCH(W4657, 'Адреса общежитий (скрытый)'!$A$2:$A$9, 0)), "")</f>
        <v/>
      </c>
      <c r="Y4657" s="18"/>
      <c r="Z4657" s="18"/>
      <c r="AA4657" s="18"/>
      <c r="AB4657" s="18"/>
      <c r="AC4657" s="18"/>
    </row>
    <row r="4658" spans="1:29" ht="32.25" hidden="1" customHeight="1">
      <c r="A4658" s="17"/>
      <c r="B4658" s="9" t="s">
        <v>13284</v>
      </c>
      <c r="C4658" s="9" t="s">
        <v>13284</v>
      </c>
      <c r="D4658" s="9" t="s">
        <v>13284</v>
      </c>
      <c r="E4658" s="9" t="s">
        <v>13284</v>
      </c>
      <c r="F4658" s="9" t="s">
        <v>13284</v>
      </c>
      <c r="G4658" s="9" t="s">
        <v>13284</v>
      </c>
      <c r="H4658" s="9" t="s">
        <v>13284</v>
      </c>
      <c r="I4658" s="9" t="s">
        <v>13284</v>
      </c>
      <c r="J4658" s="9" t="s">
        <v>13284</v>
      </c>
      <c r="K4658" s="9" t="s">
        <v>13284</v>
      </c>
      <c r="L4658" s="9" t="s">
        <v>13284</v>
      </c>
      <c r="M4658" s="9" t="s">
        <v>13284</v>
      </c>
      <c r="N4658" s="9" t="s">
        <v>13284</v>
      </c>
      <c r="O4658" s="9" t="s">
        <v>13284</v>
      </c>
      <c r="P4658" s="9" t="s">
        <v>13284</v>
      </c>
      <c r="Q4658" s="9" t="s">
        <v>13284</v>
      </c>
      <c r="R4658" s="9" t="s">
        <v>13284</v>
      </c>
      <c r="S4658" s="9" t="s">
        <v>13284</v>
      </c>
      <c r="T4658" s="9" t="str">
        <f ca="1">IFERROR(IF(AND(VLOOKUP(A4658, 'Актуальное состояние (из общего'!A:C,3,0) = "", A4658 &lt;&gt; ""), "ПРОВЕРИТЬ", VLOOKUP(A4658, 'Актуальное состояние (из общего'!A:C,3,0)), "")</f>
        <v/>
      </c>
      <c r="U4658" s="9" t="s">
        <v>13284</v>
      </c>
      <c r="V4658" s="9" t="s">
        <v>13284</v>
      </c>
      <c r="W4658" s="12"/>
      <c r="X4658" s="9" t="str">
        <f t="array" ref="X4658">IFERROR(INDEX('Адреса общежитий (скрытый)'!$B$2:$B$9, MATCH(W4658, 'Адреса общежитий (скрытый)'!$A$2:$A$9, 0)), "")</f>
        <v/>
      </c>
      <c r="Y4658" s="18"/>
      <c r="Z4658" s="18"/>
      <c r="AA4658" s="18"/>
      <c r="AB4658" s="18"/>
      <c r="AC4658" s="18"/>
    </row>
    <row r="4659" spans="1:29" ht="32.25" hidden="1" customHeight="1">
      <c r="A4659" s="17"/>
      <c r="B4659" s="9" t="s">
        <v>13284</v>
      </c>
      <c r="C4659" s="9" t="s">
        <v>13284</v>
      </c>
      <c r="D4659" s="9" t="s">
        <v>13284</v>
      </c>
      <c r="E4659" s="9" t="s">
        <v>13284</v>
      </c>
      <c r="F4659" s="9" t="s">
        <v>13284</v>
      </c>
      <c r="G4659" s="9" t="s">
        <v>13284</v>
      </c>
      <c r="H4659" s="9" t="s">
        <v>13284</v>
      </c>
      <c r="I4659" s="9" t="s">
        <v>13284</v>
      </c>
      <c r="J4659" s="9" t="s">
        <v>13284</v>
      </c>
      <c r="K4659" s="9" t="s">
        <v>13284</v>
      </c>
      <c r="L4659" s="9" t="s">
        <v>13284</v>
      </c>
      <c r="M4659" s="9" t="s">
        <v>13284</v>
      </c>
      <c r="N4659" s="9" t="s">
        <v>13284</v>
      </c>
      <c r="O4659" s="9" t="s">
        <v>13284</v>
      </c>
      <c r="P4659" s="9" t="s">
        <v>13284</v>
      </c>
      <c r="Q4659" s="9" t="s">
        <v>13284</v>
      </c>
      <c r="R4659" s="9" t="s">
        <v>13284</v>
      </c>
      <c r="S4659" s="9" t="s">
        <v>13284</v>
      </c>
      <c r="T4659" s="9" t="str">
        <f ca="1">IFERROR(IF(AND(VLOOKUP(A4659, 'Актуальное состояние (из общего'!A:C,3,0) = "", A4659 &lt;&gt; ""), "ПРОВЕРИТЬ", VLOOKUP(A4659, 'Актуальное состояние (из общего'!A:C,3,0)), "")</f>
        <v/>
      </c>
      <c r="U4659" s="9" t="s">
        <v>13284</v>
      </c>
      <c r="V4659" s="9" t="s">
        <v>13284</v>
      </c>
      <c r="W4659" s="12"/>
      <c r="X4659" s="9" t="str">
        <f t="array" ref="X4659">IFERROR(INDEX('Адреса общежитий (скрытый)'!$B$2:$B$9, MATCH(W4659, 'Адреса общежитий (скрытый)'!$A$2:$A$9, 0)), "")</f>
        <v/>
      </c>
      <c r="Y4659" s="18"/>
      <c r="Z4659" s="18"/>
      <c r="AA4659" s="18"/>
      <c r="AB4659" s="18"/>
      <c r="AC4659" s="18"/>
    </row>
    <row r="4660" spans="1:29" ht="32.25" hidden="1" customHeight="1">
      <c r="A4660" s="17"/>
      <c r="B4660" s="9" t="s">
        <v>13284</v>
      </c>
      <c r="C4660" s="9" t="s">
        <v>13284</v>
      </c>
      <c r="D4660" s="9" t="s">
        <v>13284</v>
      </c>
      <c r="E4660" s="9" t="s">
        <v>13284</v>
      </c>
      <c r="F4660" s="9" t="s">
        <v>13284</v>
      </c>
      <c r="G4660" s="9" t="s">
        <v>13284</v>
      </c>
      <c r="H4660" s="9" t="s">
        <v>13284</v>
      </c>
      <c r="I4660" s="9" t="s">
        <v>13284</v>
      </c>
      <c r="J4660" s="9" t="s">
        <v>13284</v>
      </c>
      <c r="K4660" s="9" t="s">
        <v>13284</v>
      </c>
      <c r="L4660" s="9" t="s">
        <v>13284</v>
      </c>
      <c r="M4660" s="9" t="s">
        <v>13284</v>
      </c>
      <c r="N4660" s="9" t="s">
        <v>13284</v>
      </c>
      <c r="O4660" s="9" t="s">
        <v>13284</v>
      </c>
      <c r="P4660" s="9" t="s">
        <v>13284</v>
      </c>
      <c r="Q4660" s="9" t="s">
        <v>13284</v>
      </c>
      <c r="R4660" s="9" t="s">
        <v>13284</v>
      </c>
      <c r="S4660" s="9" t="s">
        <v>13284</v>
      </c>
      <c r="T4660" s="9" t="str">
        <f ca="1">IFERROR(IF(AND(VLOOKUP(A4660, 'Актуальное состояние (из общего'!A:C,3,0) = "", A4660 &lt;&gt; ""), "ПРОВЕРИТЬ", VLOOKUP(A4660, 'Актуальное состояние (из общего'!A:C,3,0)), "")</f>
        <v/>
      </c>
      <c r="U4660" s="9" t="s">
        <v>13284</v>
      </c>
      <c r="V4660" s="9" t="s">
        <v>13284</v>
      </c>
      <c r="W4660" s="12"/>
      <c r="X4660" s="9" t="str">
        <f t="array" ref="X4660">IFERROR(INDEX('Адреса общежитий (скрытый)'!$B$2:$B$9, MATCH(W4660, 'Адреса общежитий (скрытый)'!$A$2:$A$9, 0)), "")</f>
        <v/>
      </c>
      <c r="Y4660" s="18"/>
      <c r="Z4660" s="18"/>
      <c r="AA4660" s="18"/>
      <c r="AB4660" s="18"/>
      <c r="AC4660" s="18"/>
    </row>
    <row r="4661" spans="1:29" ht="32.25" hidden="1" customHeight="1">
      <c r="A4661" s="17"/>
      <c r="B4661" s="9" t="s">
        <v>13284</v>
      </c>
      <c r="C4661" s="9" t="s">
        <v>13284</v>
      </c>
      <c r="D4661" s="9" t="s">
        <v>13284</v>
      </c>
      <c r="E4661" s="9" t="s">
        <v>13284</v>
      </c>
      <c r="F4661" s="9" t="s">
        <v>13284</v>
      </c>
      <c r="G4661" s="9" t="s">
        <v>13284</v>
      </c>
      <c r="H4661" s="9" t="s">
        <v>13284</v>
      </c>
      <c r="I4661" s="9" t="s">
        <v>13284</v>
      </c>
      <c r="J4661" s="9" t="s">
        <v>13284</v>
      </c>
      <c r="K4661" s="9" t="s">
        <v>13284</v>
      </c>
      <c r="L4661" s="9" t="s">
        <v>13284</v>
      </c>
      <c r="M4661" s="9" t="s">
        <v>13284</v>
      </c>
      <c r="N4661" s="9" t="s">
        <v>13284</v>
      </c>
      <c r="O4661" s="9" t="s">
        <v>13284</v>
      </c>
      <c r="P4661" s="9" t="s">
        <v>13284</v>
      </c>
      <c r="Q4661" s="9" t="s">
        <v>13284</v>
      </c>
      <c r="R4661" s="9" t="s">
        <v>13284</v>
      </c>
      <c r="S4661" s="9" t="s">
        <v>13284</v>
      </c>
      <c r="T4661" s="9" t="str">
        <f ca="1">IFERROR(IF(AND(VLOOKUP(A4661, 'Актуальное состояние (из общего'!A:C,3,0) = "", A4661 &lt;&gt; ""), "ПРОВЕРИТЬ", VLOOKUP(A4661, 'Актуальное состояние (из общего'!A:C,3,0)), "")</f>
        <v/>
      </c>
      <c r="U4661" s="9" t="s">
        <v>13284</v>
      </c>
      <c r="V4661" s="9" t="s">
        <v>13284</v>
      </c>
      <c r="W4661" s="12"/>
      <c r="X4661" s="9" t="str">
        <f t="array" ref="X4661">IFERROR(INDEX('Адреса общежитий (скрытый)'!$B$2:$B$9, MATCH(W4661, 'Адреса общежитий (скрытый)'!$A$2:$A$9, 0)), "")</f>
        <v/>
      </c>
      <c r="Y4661" s="18"/>
      <c r="Z4661" s="18"/>
      <c r="AA4661" s="18"/>
      <c r="AB4661" s="18"/>
      <c r="AC4661" s="18"/>
    </row>
    <row r="4662" spans="1:29" ht="32.25" hidden="1" customHeight="1">
      <c r="A4662" s="17"/>
      <c r="B4662" s="9" t="s">
        <v>13284</v>
      </c>
      <c r="C4662" s="9" t="s">
        <v>13284</v>
      </c>
      <c r="D4662" s="9" t="s">
        <v>13284</v>
      </c>
      <c r="E4662" s="9" t="s">
        <v>13284</v>
      </c>
      <c r="F4662" s="9" t="s">
        <v>13284</v>
      </c>
      <c r="G4662" s="9" t="s">
        <v>13284</v>
      </c>
      <c r="H4662" s="9" t="s">
        <v>13284</v>
      </c>
      <c r="I4662" s="9" t="s">
        <v>13284</v>
      </c>
      <c r="J4662" s="9" t="s">
        <v>13284</v>
      </c>
      <c r="K4662" s="9" t="s">
        <v>13284</v>
      </c>
      <c r="L4662" s="9" t="s">
        <v>13284</v>
      </c>
      <c r="M4662" s="9" t="s">
        <v>13284</v>
      </c>
      <c r="N4662" s="9" t="s">
        <v>13284</v>
      </c>
      <c r="O4662" s="9" t="s">
        <v>13284</v>
      </c>
      <c r="P4662" s="9" t="s">
        <v>13284</v>
      </c>
      <c r="Q4662" s="9" t="s">
        <v>13284</v>
      </c>
      <c r="R4662" s="9" t="s">
        <v>13284</v>
      </c>
      <c r="S4662" s="9" t="s">
        <v>13284</v>
      </c>
      <c r="T4662" s="9" t="str">
        <f ca="1">IFERROR(IF(AND(VLOOKUP(A4662, 'Актуальное состояние (из общего'!A:C,3,0) = "", A4662 &lt;&gt; ""), "ПРОВЕРИТЬ", VLOOKUP(A4662, 'Актуальное состояние (из общего'!A:C,3,0)), "")</f>
        <v/>
      </c>
      <c r="U4662" s="9" t="s">
        <v>13284</v>
      </c>
      <c r="V4662" s="9" t="s">
        <v>13284</v>
      </c>
      <c r="W4662" s="12"/>
      <c r="X4662" s="9" t="str">
        <f t="array" ref="X4662">IFERROR(INDEX('Адреса общежитий (скрытый)'!$B$2:$B$9, MATCH(W4662, 'Адреса общежитий (скрытый)'!$A$2:$A$9, 0)), "")</f>
        <v/>
      </c>
      <c r="Y4662" s="18"/>
      <c r="Z4662" s="18"/>
      <c r="AA4662" s="18"/>
      <c r="AB4662" s="18"/>
      <c r="AC4662" s="18"/>
    </row>
    <row r="4663" spans="1:29" ht="32.25" hidden="1" customHeight="1">
      <c r="A4663" s="17"/>
      <c r="B4663" s="9" t="s">
        <v>13284</v>
      </c>
      <c r="C4663" s="9" t="s">
        <v>13284</v>
      </c>
      <c r="D4663" s="9" t="s">
        <v>13284</v>
      </c>
      <c r="E4663" s="9" t="s">
        <v>13284</v>
      </c>
      <c r="F4663" s="9" t="s">
        <v>13284</v>
      </c>
      <c r="G4663" s="9" t="s">
        <v>13284</v>
      </c>
      <c r="H4663" s="9" t="s">
        <v>13284</v>
      </c>
      <c r="I4663" s="9" t="s">
        <v>13284</v>
      </c>
      <c r="J4663" s="9" t="s">
        <v>13284</v>
      </c>
      <c r="K4663" s="9" t="s">
        <v>13284</v>
      </c>
      <c r="L4663" s="9" t="s">
        <v>13284</v>
      </c>
      <c r="M4663" s="9" t="s">
        <v>13284</v>
      </c>
      <c r="N4663" s="9" t="s">
        <v>13284</v>
      </c>
      <c r="O4663" s="9" t="s">
        <v>13284</v>
      </c>
      <c r="P4663" s="9" t="s">
        <v>13284</v>
      </c>
      <c r="Q4663" s="9" t="s">
        <v>13284</v>
      </c>
      <c r="R4663" s="9" t="s">
        <v>13284</v>
      </c>
      <c r="S4663" s="9" t="s">
        <v>13284</v>
      </c>
      <c r="T4663" s="9" t="str">
        <f ca="1">IFERROR(IF(AND(VLOOKUP(A4663, 'Актуальное состояние (из общего'!A:C,3,0) = "", A4663 &lt;&gt; ""), "ПРОВЕРИТЬ", VLOOKUP(A4663, 'Актуальное состояние (из общего'!A:C,3,0)), "")</f>
        <v/>
      </c>
      <c r="U4663" s="9" t="s">
        <v>13284</v>
      </c>
      <c r="V4663" s="9" t="s">
        <v>13284</v>
      </c>
      <c r="W4663" s="12"/>
      <c r="X4663" s="9" t="str">
        <f t="array" ref="X4663">IFERROR(INDEX('Адреса общежитий (скрытый)'!$B$2:$B$9, MATCH(W4663, 'Адреса общежитий (скрытый)'!$A$2:$A$9, 0)), "")</f>
        <v/>
      </c>
      <c r="Y4663" s="18"/>
      <c r="Z4663" s="18"/>
      <c r="AA4663" s="18"/>
      <c r="AB4663" s="18"/>
      <c r="AC4663" s="18"/>
    </row>
    <row r="4664" spans="1:29" ht="32.25" hidden="1" customHeight="1">
      <c r="A4664" s="17"/>
      <c r="B4664" s="9" t="s">
        <v>13284</v>
      </c>
      <c r="C4664" s="9" t="s">
        <v>13284</v>
      </c>
      <c r="D4664" s="9" t="s">
        <v>13284</v>
      </c>
      <c r="E4664" s="9" t="s">
        <v>13284</v>
      </c>
      <c r="F4664" s="9" t="s">
        <v>13284</v>
      </c>
      <c r="G4664" s="9" t="s">
        <v>13284</v>
      </c>
      <c r="H4664" s="9" t="s">
        <v>13284</v>
      </c>
      <c r="I4664" s="9" t="s">
        <v>13284</v>
      </c>
      <c r="J4664" s="9" t="s">
        <v>13284</v>
      </c>
      <c r="K4664" s="9" t="s">
        <v>13284</v>
      </c>
      <c r="L4664" s="9" t="s">
        <v>13284</v>
      </c>
      <c r="M4664" s="9" t="s">
        <v>13284</v>
      </c>
      <c r="N4664" s="9" t="s">
        <v>13284</v>
      </c>
      <c r="O4664" s="9" t="s">
        <v>13284</v>
      </c>
      <c r="P4664" s="9" t="s">
        <v>13284</v>
      </c>
      <c r="Q4664" s="9" t="s">
        <v>13284</v>
      </c>
      <c r="R4664" s="9" t="s">
        <v>13284</v>
      </c>
      <c r="S4664" s="9" t="s">
        <v>13284</v>
      </c>
      <c r="T4664" s="9" t="str">
        <f ca="1">IFERROR(IF(AND(VLOOKUP(A4664, 'Актуальное состояние (из общего'!A:C,3,0) = "", A4664 &lt;&gt; ""), "ПРОВЕРИТЬ", VLOOKUP(A4664, 'Актуальное состояние (из общего'!A:C,3,0)), "")</f>
        <v/>
      </c>
      <c r="U4664" s="9" t="s">
        <v>13284</v>
      </c>
      <c r="V4664" s="9" t="s">
        <v>13284</v>
      </c>
      <c r="W4664" s="12"/>
      <c r="X4664" s="9" t="str">
        <f t="array" ref="X4664">IFERROR(INDEX('Адреса общежитий (скрытый)'!$B$2:$B$9, MATCH(W4664, 'Адреса общежитий (скрытый)'!$A$2:$A$9, 0)), "")</f>
        <v/>
      </c>
      <c r="Y4664" s="18"/>
      <c r="Z4664" s="18"/>
      <c r="AA4664" s="18"/>
      <c r="AB4664" s="18"/>
      <c r="AC4664" s="18"/>
    </row>
    <row r="4665" spans="1:29" ht="32.25" hidden="1" customHeight="1">
      <c r="A4665" s="17"/>
      <c r="B4665" s="9" t="s">
        <v>13284</v>
      </c>
      <c r="C4665" s="9" t="s">
        <v>13284</v>
      </c>
      <c r="D4665" s="9" t="s">
        <v>13284</v>
      </c>
      <c r="E4665" s="9" t="s">
        <v>13284</v>
      </c>
      <c r="F4665" s="9" t="s">
        <v>13284</v>
      </c>
      <c r="G4665" s="9" t="s">
        <v>13284</v>
      </c>
      <c r="H4665" s="9" t="s">
        <v>13284</v>
      </c>
      <c r="I4665" s="9" t="s">
        <v>13284</v>
      </c>
      <c r="J4665" s="9" t="s">
        <v>13284</v>
      </c>
      <c r="K4665" s="9" t="s">
        <v>13284</v>
      </c>
      <c r="L4665" s="9" t="s">
        <v>13284</v>
      </c>
      <c r="M4665" s="9" t="s">
        <v>13284</v>
      </c>
      <c r="N4665" s="9" t="s">
        <v>13284</v>
      </c>
      <c r="O4665" s="9" t="s">
        <v>13284</v>
      </c>
      <c r="P4665" s="9" t="s">
        <v>13284</v>
      </c>
      <c r="Q4665" s="9" t="s">
        <v>13284</v>
      </c>
      <c r="R4665" s="9" t="s">
        <v>13284</v>
      </c>
      <c r="S4665" s="9" t="s">
        <v>13284</v>
      </c>
      <c r="T4665" s="9" t="str">
        <f ca="1">IFERROR(IF(AND(VLOOKUP(A4665, 'Актуальное состояние (из общего'!A:C,3,0) = "", A4665 &lt;&gt; ""), "ПРОВЕРИТЬ", VLOOKUP(A4665, 'Актуальное состояние (из общего'!A:C,3,0)), "")</f>
        <v/>
      </c>
      <c r="U4665" s="9" t="s">
        <v>13284</v>
      </c>
      <c r="V4665" s="9" t="s">
        <v>13284</v>
      </c>
      <c r="W4665" s="12"/>
      <c r="X4665" s="9" t="str">
        <f t="array" ref="X4665">IFERROR(INDEX('Адреса общежитий (скрытый)'!$B$2:$B$9, MATCH(W4665, 'Адреса общежитий (скрытый)'!$A$2:$A$9, 0)), "")</f>
        <v/>
      </c>
      <c r="Y4665" s="18"/>
      <c r="Z4665" s="18"/>
      <c r="AA4665" s="18"/>
      <c r="AB4665" s="18"/>
      <c r="AC4665" s="18"/>
    </row>
    <row r="4666" spans="1:29" ht="32.25" hidden="1" customHeight="1">
      <c r="A4666" s="17"/>
      <c r="B4666" s="9" t="s">
        <v>13284</v>
      </c>
      <c r="C4666" s="9" t="s">
        <v>13284</v>
      </c>
      <c r="D4666" s="9" t="s">
        <v>13284</v>
      </c>
      <c r="E4666" s="9" t="s">
        <v>13284</v>
      </c>
      <c r="F4666" s="9" t="s">
        <v>13284</v>
      </c>
      <c r="G4666" s="9" t="s">
        <v>13284</v>
      </c>
      <c r="H4666" s="9" t="s">
        <v>13284</v>
      </c>
      <c r="I4666" s="9" t="s">
        <v>13284</v>
      </c>
      <c r="J4666" s="9" t="s">
        <v>13284</v>
      </c>
      <c r="K4666" s="9" t="s">
        <v>13284</v>
      </c>
      <c r="L4666" s="9" t="s">
        <v>13284</v>
      </c>
      <c r="M4666" s="9" t="s">
        <v>13284</v>
      </c>
      <c r="N4666" s="9" t="s">
        <v>13284</v>
      </c>
      <c r="O4666" s="9" t="s">
        <v>13284</v>
      </c>
      <c r="P4666" s="9" t="s">
        <v>13284</v>
      </c>
      <c r="Q4666" s="9" t="s">
        <v>13284</v>
      </c>
      <c r="R4666" s="9" t="s">
        <v>13284</v>
      </c>
      <c r="S4666" s="9" t="s">
        <v>13284</v>
      </c>
      <c r="T4666" s="9" t="str">
        <f ca="1">IFERROR(IF(AND(VLOOKUP(A4666, 'Актуальное состояние (из общего'!A:C,3,0) = "", A4666 &lt;&gt; ""), "ПРОВЕРИТЬ", VLOOKUP(A4666, 'Актуальное состояние (из общего'!A:C,3,0)), "")</f>
        <v/>
      </c>
      <c r="U4666" s="9" t="s">
        <v>13284</v>
      </c>
      <c r="V4666" s="9" t="s">
        <v>13284</v>
      </c>
      <c r="W4666" s="12"/>
      <c r="X4666" s="9" t="str">
        <f t="array" ref="X4666">IFERROR(INDEX('Адреса общежитий (скрытый)'!$B$2:$B$9, MATCH(W4666, 'Адреса общежитий (скрытый)'!$A$2:$A$9, 0)), "")</f>
        <v/>
      </c>
      <c r="Y4666" s="18"/>
      <c r="Z4666" s="18"/>
      <c r="AA4666" s="18"/>
      <c r="AB4666" s="18"/>
      <c r="AC4666" s="18"/>
    </row>
    <row r="4667" spans="1:29" ht="32.25" hidden="1" customHeight="1">
      <c r="A4667" s="17"/>
      <c r="B4667" s="9" t="s">
        <v>13284</v>
      </c>
      <c r="C4667" s="9" t="s">
        <v>13284</v>
      </c>
      <c r="D4667" s="9" t="s">
        <v>13284</v>
      </c>
      <c r="E4667" s="9" t="s">
        <v>13284</v>
      </c>
      <c r="F4667" s="9" t="s">
        <v>13284</v>
      </c>
      <c r="G4667" s="9" t="s">
        <v>13284</v>
      </c>
      <c r="H4667" s="9" t="s">
        <v>13284</v>
      </c>
      <c r="I4667" s="9" t="s">
        <v>13284</v>
      </c>
      <c r="J4667" s="9" t="s">
        <v>13284</v>
      </c>
      <c r="K4667" s="9" t="s">
        <v>13284</v>
      </c>
      <c r="L4667" s="9" t="s">
        <v>13284</v>
      </c>
      <c r="M4667" s="9" t="s">
        <v>13284</v>
      </c>
      <c r="N4667" s="9" t="s">
        <v>13284</v>
      </c>
      <c r="O4667" s="9" t="s">
        <v>13284</v>
      </c>
      <c r="P4667" s="9" t="s">
        <v>13284</v>
      </c>
      <c r="Q4667" s="9" t="s">
        <v>13284</v>
      </c>
      <c r="R4667" s="9" t="s">
        <v>13284</v>
      </c>
      <c r="S4667" s="9" t="s">
        <v>13284</v>
      </c>
      <c r="T4667" s="9" t="str">
        <f ca="1">IFERROR(IF(AND(VLOOKUP(A4667, 'Актуальное состояние (из общего'!A:C,3,0) = "", A4667 &lt;&gt; ""), "ПРОВЕРИТЬ", VLOOKUP(A4667, 'Актуальное состояние (из общего'!A:C,3,0)), "")</f>
        <v/>
      </c>
      <c r="U4667" s="9" t="s">
        <v>13284</v>
      </c>
      <c r="V4667" s="9" t="s">
        <v>13284</v>
      </c>
      <c r="W4667" s="12"/>
      <c r="X4667" s="9" t="str">
        <f t="array" ref="X4667">IFERROR(INDEX('Адреса общежитий (скрытый)'!$B$2:$B$9, MATCH(W4667, 'Адреса общежитий (скрытый)'!$A$2:$A$9, 0)), "")</f>
        <v/>
      </c>
      <c r="Y4667" s="18"/>
      <c r="Z4667" s="18"/>
      <c r="AA4667" s="18"/>
      <c r="AB4667" s="18"/>
      <c r="AC4667" s="18"/>
    </row>
    <row r="4668" spans="1:29" ht="32.25" hidden="1" customHeight="1">
      <c r="A4668" s="17"/>
      <c r="B4668" s="9" t="s">
        <v>13284</v>
      </c>
      <c r="C4668" s="9" t="s">
        <v>13284</v>
      </c>
      <c r="D4668" s="9" t="s">
        <v>13284</v>
      </c>
      <c r="E4668" s="9" t="s">
        <v>13284</v>
      </c>
      <c r="F4668" s="9" t="s">
        <v>13284</v>
      </c>
      <c r="G4668" s="9" t="s">
        <v>13284</v>
      </c>
      <c r="H4668" s="9" t="s">
        <v>13284</v>
      </c>
      <c r="I4668" s="9" t="s">
        <v>13284</v>
      </c>
      <c r="J4668" s="9" t="s">
        <v>13284</v>
      </c>
      <c r="K4668" s="9" t="s">
        <v>13284</v>
      </c>
      <c r="L4668" s="9" t="s">
        <v>13284</v>
      </c>
      <c r="M4668" s="9" t="s">
        <v>13284</v>
      </c>
      <c r="N4668" s="9" t="s">
        <v>13284</v>
      </c>
      <c r="O4668" s="9" t="s">
        <v>13284</v>
      </c>
      <c r="P4668" s="9" t="s">
        <v>13284</v>
      </c>
      <c r="Q4668" s="9" t="s">
        <v>13284</v>
      </c>
      <c r="R4668" s="9" t="s">
        <v>13284</v>
      </c>
      <c r="S4668" s="9" t="s">
        <v>13284</v>
      </c>
      <c r="T4668" s="9" t="str">
        <f ca="1">IFERROR(IF(AND(VLOOKUP(A4668, 'Актуальное состояние (из общего'!A:C,3,0) = "", A4668 &lt;&gt; ""), "ПРОВЕРИТЬ", VLOOKUP(A4668, 'Актуальное состояние (из общего'!A:C,3,0)), "")</f>
        <v/>
      </c>
      <c r="U4668" s="9" t="s">
        <v>13284</v>
      </c>
      <c r="V4668" s="9" t="s">
        <v>13284</v>
      </c>
      <c r="W4668" s="12"/>
      <c r="X4668" s="9" t="str">
        <f t="array" ref="X4668">IFERROR(INDEX('Адреса общежитий (скрытый)'!$B$2:$B$9, MATCH(W4668, 'Адреса общежитий (скрытый)'!$A$2:$A$9, 0)), "")</f>
        <v/>
      </c>
      <c r="Y4668" s="18"/>
      <c r="Z4668" s="18"/>
      <c r="AA4668" s="18"/>
      <c r="AB4668" s="18"/>
      <c r="AC4668" s="18"/>
    </row>
    <row r="4669" spans="1:29" ht="32.25" hidden="1" customHeight="1">
      <c r="A4669" s="17"/>
      <c r="B4669" s="9" t="s">
        <v>13284</v>
      </c>
      <c r="C4669" s="9" t="s">
        <v>13284</v>
      </c>
      <c r="D4669" s="9" t="s">
        <v>13284</v>
      </c>
      <c r="E4669" s="9" t="s">
        <v>13284</v>
      </c>
      <c r="F4669" s="9" t="s">
        <v>13284</v>
      </c>
      <c r="G4669" s="9" t="s">
        <v>13284</v>
      </c>
      <c r="H4669" s="9" t="s">
        <v>13284</v>
      </c>
      <c r="I4669" s="9" t="s">
        <v>13284</v>
      </c>
      <c r="J4669" s="9" t="s">
        <v>13284</v>
      </c>
      <c r="K4669" s="9" t="s">
        <v>13284</v>
      </c>
      <c r="L4669" s="9" t="s">
        <v>13284</v>
      </c>
      <c r="M4669" s="9" t="s">
        <v>13284</v>
      </c>
      <c r="N4669" s="9" t="s">
        <v>13284</v>
      </c>
      <c r="O4669" s="9" t="s">
        <v>13284</v>
      </c>
      <c r="P4669" s="9" t="s">
        <v>13284</v>
      </c>
      <c r="Q4669" s="9" t="s">
        <v>13284</v>
      </c>
      <c r="R4669" s="9" t="s">
        <v>13284</v>
      </c>
      <c r="S4669" s="9" t="s">
        <v>13284</v>
      </c>
      <c r="T4669" s="9" t="str">
        <f ca="1">IFERROR(IF(AND(VLOOKUP(A4669, 'Актуальное состояние (из общего'!A:C,3,0) = "", A4669 &lt;&gt; ""), "ПРОВЕРИТЬ", VLOOKUP(A4669, 'Актуальное состояние (из общего'!A:C,3,0)), "")</f>
        <v/>
      </c>
      <c r="U4669" s="9" t="s">
        <v>13284</v>
      </c>
      <c r="V4669" s="9" t="s">
        <v>13284</v>
      </c>
      <c r="W4669" s="12"/>
      <c r="X4669" s="9" t="str">
        <f t="array" ref="X4669">IFERROR(INDEX('Адреса общежитий (скрытый)'!$B$2:$B$9, MATCH(W4669, 'Адреса общежитий (скрытый)'!$A$2:$A$9, 0)), "")</f>
        <v/>
      </c>
      <c r="Y4669" s="18"/>
      <c r="Z4669" s="18"/>
      <c r="AA4669" s="18"/>
      <c r="AB4669" s="18"/>
      <c r="AC4669" s="18"/>
    </row>
    <row r="4670" spans="1:29" ht="32.25" hidden="1" customHeight="1">
      <c r="A4670" s="17"/>
      <c r="B4670" s="9" t="s">
        <v>13284</v>
      </c>
      <c r="C4670" s="9" t="s">
        <v>13284</v>
      </c>
      <c r="D4670" s="9" t="s">
        <v>13284</v>
      </c>
      <c r="E4670" s="9" t="s">
        <v>13284</v>
      </c>
      <c r="F4670" s="9" t="s">
        <v>13284</v>
      </c>
      <c r="G4670" s="9" t="s">
        <v>13284</v>
      </c>
      <c r="H4670" s="9" t="s">
        <v>13284</v>
      </c>
      <c r="I4670" s="9" t="s">
        <v>13284</v>
      </c>
      <c r="J4670" s="9" t="s">
        <v>13284</v>
      </c>
      <c r="K4670" s="9" t="s">
        <v>13284</v>
      </c>
      <c r="L4670" s="9" t="s">
        <v>13284</v>
      </c>
      <c r="M4670" s="9" t="s">
        <v>13284</v>
      </c>
      <c r="N4670" s="9" t="s">
        <v>13284</v>
      </c>
      <c r="O4670" s="9" t="s">
        <v>13284</v>
      </c>
      <c r="P4670" s="9" t="s">
        <v>13284</v>
      </c>
      <c r="Q4670" s="9" t="s">
        <v>13284</v>
      </c>
      <c r="R4670" s="9" t="s">
        <v>13284</v>
      </c>
      <c r="S4670" s="9" t="s">
        <v>13284</v>
      </c>
      <c r="T4670" s="9" t="str">
        <f ca="1">IFERROR(IF(AND(VLOOKUP(A4670, 'Актуальное состояние (из общего'!A:C,3,0) = "", A4670 &lt;&gt; ""), "ПРОВЕРИТЬ", VLOOKUP(A4670, 'Актуальное состояние (из общего'!A:C,3,0)), "")</f>
        <v/>
      </c>
      <c r="U4670" s="9" t="s">
        <v>13284</v>
      </c>
      <c r="V4670" s="9" t="s">
        <v>13284</v>
      </c>
      <c r="W4670" s="12"/>
      <c r="X4670" s="9" t="str">
        <f t="array" ref="X4670">IFERROR(INDEX('Адреса общежитий (скрытый)'!$B$2:$B$9, MATCH(W4670, 'Адреса общежитий (скрытый)'!$A$2:$A$9, 0)), "")</f>
        <v/>
      </c>
      <c r="Y4670" s="18"/>
      <c r="Z4670" s="18"/>
      <c r="AA4670" s="18"/>
      <c r="AB4670" s="18"/>
      <c r="AC4670" s="18"/>
    </row>
    <row r="4671" spans="1:29" ht="32.25" hidden="1" customHeight="1">
      <c r="A4671" s="17"/>
      <c r="B4671" s="9" t="s">
        <v>13284</v>
      </c>
      <c r="C4671" s="9" t="s">
        <v>13284</v>
      </c>
      <c r="D4671" s="9" t="s">
        <v>13284</v>
      </c>
      <c r="E4671" s="9" t="s">
        <v>13284</v>
      </c>
      <c r="F4671" s="9" t="s">
        <v>13284</v>
      </c>
      <c r="G4671" s="9" t="s">
        <v>13284</v>
      </c>
      <c r="H4671" s="9" t="s">
        <v>13284</v>
      </c>
      <c r="I4671" s="9" t="s">
        <v>13284</v>
      </c>
      <c r="J4671" s="9" t="s">
        <v>13284</v>
      </c>
      <c r="K4671" s="9" t="s">
        <v>13284</v>
      </c>
      <c r="L4671" s="9" t="s">
        <v>13284</v>
      </c>
      <c r="M4671" s="9" t="s">
        <v>13284</v>
      </c>
      <c r="N4671" s="9" t="s">
        <v>13284</v>
      </c>
      <c r="O4671" s="9" t="s">
        <v>13284</v>
      </c>
      <c r="P4671" s="9" t="s">
        <v>13284</v>
      </c>
      <c r="Q4671" s="9" t="s">
        <v>13284</v>
      </c>
      <c r="R4671" s="9" t="s">
        <v>13284</v>
      </c>
      <c r="S4671" s="9" t="s">
        <v>13284</v>
      </c>
      <c r="T4671" s="9" t="str">
        <f ca="1">IFERROR(IF(AND(VLOOKUP(A4671, 'Актуальное состояние (из общего'!A:C,3,0) = "", A4671 &lt;&gt; ""), "ПРОВЕРИТЬ", VLOOKUP(A4671, 'Актуальное состояние (из общего'!A:C,3,0)), "")</f>
        <v/>
      </c>
      <c r="U4671" s="9" t="s">
        <v>13284</v>
      </c>
      <c r="V4671" s="9" t="s">
        <v>13284</v>
      </c>
      <c r="W4671" s="12"/>
      <c r="X4671" s="9" t="str">
        <f t="array" ref="X4671">IFERROR(INDEX('Адреса общежитий (скрытый)'!$B$2:$B$9, MATCH(W4671, 'Адреса общежитий (скрытый)'!$A$2:$A$9, 0)), "")</f>
        <v/>
      </c>
      <c r="Y4671" s="18"/>
      <c r="Z4671" s="18"/>
      <c r="AA4671" s="18"/>
      <c r="AB4671" s="18"/>
      <c r="AC4671" s="18"/>
    </row>
    <row r="4672" spans="1:29" ht="32.25" hidden="1" customHeight="1">
      <c r="A4672" s="17"/>
      <c r="B4672" s="9" t="s">
        <v>13284</v>
      </c>
      <c r="C4672" s="9" t="s">
        <v>13284</v>
      </c>
      <c r="D4672" s="9" t="s">
        <v>13284</v>
      </c>
      <c r="E4672" s="9" t="s">
        <v>13284</v>
      </c>
      <c r="F4672" s="9" t="s">
        <v>13284</v>
      </c>
      <c r="G4672" s="9" t="s">
        <v>13284</v>
      </c>
      <c r="H4672" s="9" t="s">
        <v>13284</v>
      </c>
      <c r="I4672" s="9" t="s">
        <v>13284</v>
      </c>
      <c r="J4672" s="9" t="s">
        <v>13284</v>
      </c>
      <c r="K4672" s="9" t="s">
        <v>13284</v>
      </c>
      <c r="L4672" s="9" t="s">
        <v>13284</v>
      </c>
      <c r="M4672" s="9" t="s">
        <v>13284</v>
      </c>
      <c r="N4672" s="9" t="s">
        <v>13284</v>
      </c>
      <c r="O4672" s="9" t="s">
        <v>13284</v>
      </c>
      <c r="P4672" s="9" t="s">
        <v>13284</v>
      </c>
      <c r="Q4672" s="9" t="s">
        <v>13284</v>
      </c>
      <c r="R4672" s="9" t="s">
        <v>13284</v>
      </c>
      <c r="S4672" s="9" t="s">
        <v>13284</v>
      </c>
      <c r="T4672" s="9" t="str">
        <f ca="1">IFERROR(IF(AND(VLOOKUP(A4672, 'Актуальное состояние (из общего'!A:C,3,0) = "", A4672 &lt;&gt; ""), "ПРОВЕРИТЬ", VLOOKUP(A4672, 'Актуальное состояние (из общего'!A:C,3,0)), "")</f>
        <v/>
      </c>
      <c r="U4672" s="9" t="s">
        <v>13284</v>
      </c>
      <c r="V4672" s="9" t="s">
        <v>13284</v>
      </c>
      <c r="W4672" s="12"/>
      <c r="X4672" s="9" t="str">
        <f t="array" ref="X4672">IFERROR(INDEX('Адреса общежитий (скрытый)'!$B$2:$B$9, MATCH(W4672, 'Адреса общежитий (скрытый)'!$A$2:$A$9, 0)), "")</f>
        <v/>
      </c>
      <c r="Y4672" s="18"/>
      <c r="Z4672" s="18"/>
      <c r="AA4672" s="18"/>
      <c r="AB4672" s="18"/>
      <c r="AC4672" s="18"/>
    </row>
    <row r="4673" spans="1:29" ht="32.25" hidden="1" customHeight="1">
      <c r="A4673" s="17"/>
      <c r="B4673" s="9" t="s">
        <v>13284</v>
      </c>
      <c r="C4673" s="9" t="s">
        <v>13284</v>
      </c>
      <c r="D4673" s="9" t="s">
        <v>13284</v>
      </c>
      <c r="E4673" s="9" t="s">
        <v>13284</v>
      </c>
      <c r="F4673" s="9" t="s">
        <v>13284</v>
      </c>
      <c r="G4673" s="9" t="s">
        <v>13284</v>
      </c>
      <c r="H4673" s="9" t="s">
        <v>13284</v>
      </c>
      <c r="I4673" s="9" t="s">
        <v>13284</v>
      </c>
      <c r="J4673" s="9" t="s">
        <v>13284</v>
      </c>
      <c r="K4673" s="9" t="s">
        <v>13284</v>
      </c>
      <c r="L4673" s="9" t="s">
        <v>13284</v>
      </c>
      <c r="M4673" s="9" t="s">
        <v>13284</v>
      </c>
      <c r="N4673" s="9" t="s">
        <v>13284</v>
      </c>
      <c r="O4673" s="9" t="s">
        <v>13284</v>
      </c>
      <c r="P4673" s="9" t="s">
        <v>13284</v>
      </c>
      <c r="Q4673" s="9" t="s">
        <v>13284</v>
      </c>
      <c r="R4673" s="9" t="s">
        <v>13284</v>
      </c>
      <c r="S4673" s="9" t="s">
        <v>13284</v>
      </c>
      <c r="T4673" s="9" t="str">
        <f ca="1">IFERROR(IF(AND(VLOOKUP(A4673, 'Актуальное состояние (из общего'!A:C,3,0) = "", A4673 &lt;&gt; ""), "ПРОВЕРИТЬ", VLOOKUP(A4673, 'Актуальное состояние (из общего'!A:C,3,0)), "")</f>
        <v/>
      </c>
      <c r="U4673" s="9" t="s">
        <v>13284</v>
      </c>
      <c r="V4673" s="9" t="s">
        <v>13284</v>
      </c>
      <c r="W4673" s="12"/>
      <c r="X4673" s="9" t="str">
        <f t="array" ref="X4673">IFERROR(INDEX('Адреса общежитий (скрытый)'!$B$2:$B$9, MATCH(W4673, 'Адреса общежитий (скрытый)'!$A$2:$A$9, 0)), "")</f>
        <v/>
      </c>
      <c r="Y4673" s="18"/>
      <c r="Z4673" s="18"/>
      <c r="AA4673" s="18"/>
      <c r="AB4673" s="18"/>
      <c r="AC4673" s="18"/>
    </row>
    <row r="4674" spans="1:29" ht="32.25" hidden="1" customHeight="1">
      <c r="A4674" s="17"/>
      <c r="B4674" s="9" t="s">
        <v>13284</v>
      </c>
      <c r="C4674" s="9" t="s">
        <v>13284</v>
      </c>
      <c r="D4674" s="9" t="s">
        <v>13284</v>
      </c>
      <c r="E4674" s="9" t="s">
        <v>13284</v>
      </c>
      <c r="F4674" s="9" t="s">
        <v>13284</v>
      </c>
      <c r="G4674" s="9" t="s">
        <v>13284</v>
      </c>
      <c r="H4674" s="9" t="s">
        <v>13284</v>
      </c>
      <c r="I4674" s="9" t="s">
        <v>13284</v>
      </c>
      <c r="J4674" s="9" t="s">
        <v>13284</v>
      </c>
      <c r="K4674" s="9" t="s">
        <v>13284</v>
      </c>
      <c r="L4674" s="9" t="s">
        <v>13284</v>
      </c>
      <c r="M4674" s="9" t="s">
        <v>13284</v>
      </c>
      <c r="N4674" s="9" t="s">
        <v>13284</v>
      </c>
      <c r="O4674" s="9" t="s">
        <v>13284</v>
      </c>
      <c r="P4674" s="9" t="s">
        <v>13284</v>
      </c>
      <c r="Q4674" s="9" t="s">
        <v>13284</v>
      </c>
      <c r="R4674" s="9" t="s">
        <v>13284</v>
      </c>
      <c r="S4674" s="9" t="s">
        <v>13284</v>
      </c>
      <c r="T4674" s="9" t="str">
        <f ca="1">IFERROR(IF(AND(VLOOKUP(A4674, 'Актуальное состояние (из общего'!A:C,3,0) = "", A4674 &lt;&gt; ""), "ПРОВЕРИТЬ", VLOOKUP(A4674, 'Актуальное состояние (из общего'!A:C,3,0)), "")</f>
        <v/>
      </c>
      <c r="U4674" s="9" t="s">
        <v>13284</v>
      </c>
      <c r="V4674" s="9" t="s">
        <v>13284</v>
      </c>
      <c r="W4674" s="12"/>
      <c r="X4674" s="9" t="str">
        <f t="array" ref="X4674">IFERROR(INDEX('Адреса общежитий (скрытый)'!$B$2:$B$9, MATCH(W4674, 'Адреса общежитий (скрытый)'!$A$2:$A$9, 0)), "")</f>
        <v/>
      </c>
      <c r="Y4674" s="18"/>
      <c r="Z4674" s="18"/>
      <c r="AA4674" s="18"/>
      <c r="AB4674" s="18"/>
      <c r="AC4674" s="18"/>
    </row>
    <row r="4675" spans="1:29" ht="32.25" hidden="1" customHeight="1">
      <c r="A4675" s="17"/>
      <c r="B4675" s="9" t="s">
        <v>13284</v>
      </c>
      <c r="C4675" s="9" t="s">
        <v>13284</v>
      </c>
      <c r="D4675" s="9" t="s">
        <v>13284</v>
      </c>
      <c r="E4675" s="9" t="s">
        <v>13284</v>
      </c>
      <c r="F4675" s="9" t="s">
        <v>13284</v>
      </c>
      <c r="G4675" s="9" t="s">
        <v>13284</v>
      </c>
      <c r="H4675" s="9" t="s">
        <v>13284</v>
      </c>
      <c r="I4675" s="9" t="s">
        <v>13284</v>
      </c>
      <c r="J4675" s="9" t="s">
        <v>13284</v>
      </c>
      <c r="K4675" s="9" t="s">
        <v>13284</v>
      </c>
      <c r="L4675" s="9" t="s">
        <v>13284</v>
      </c>
      <c r="M4675" s="9" t="s">
        <v>13284</v>
      </c>
      <c r="N4675" s="9" t="s">
        <v>13284</v>
      </c>
      <c r="O4675" s="9" t="s">
        <v>13284</v>
      </c>
      <c r="P4675" s="9" t="s">
        <v>13284</v>
      </c>
      <c r="Q4675" s="9" t="s">
        <v>13284</v>
      </c>
      <c r="R4675" s="9" t="s">
        <v>13284</v>
      </c>
      <c r="S4675" s="9" t="s">
        <v>13284</v>
      </c>
      <c r="T4675" s="9" t="str">
        <f ca="1">IFERROR(IF(AND(VLOOKUP(A4675, 'Актуальное состояние (из общего'!A:C,3,0) = "", A4675 &lt;&gt; ""), "ПРОВЕРИТЬ", VLOOKUP(A4675, 'Актуальное состояние (из общего'!A:C,3,0)), "")</f>
        <v/>
      </c>
      <c r="U4675" s="9" t="s">
        <v>13284</v>
      </c>
      <c r="V4675" s="9" t="s">
        <v>13284</v>
      </c>
      <c r="W4675" s="12"/>
      <c r="X4675" s="9" t="str">
        <f t="array" ref="X4675">IFERROR(INDEX('Адреса общежитий (скрытый)'!$B$2:$B$9, MATCH(W4675, 'Адреса общежитий (скрытый)'!$A$2:$A$9, 0)), "")</f>
        <v/>
      </c>
      <c r="Y4675" s="18"/>
      <c r="Z4675" s="18"/>
      <c r="AA4675" s="18"/>
      <c r="AB4675" s="18"/>
      <c r="AC4675" s="18"/>
    </row>
    <row r="4676" spans="1:29" ht="32.25" hidden="1" customHeight="1">
      <c r="A4676" s="17"/>
      <c r="B4676" s="9" t="s">
        <v>13284</v>
      </c>
      <c r="C4676" s="9" t="s">
        <v>13284</v>
      </c>
      <c r="D4676" s="9" t="s">
        <v>13284</v>
      </c>
      <c r="E4676" s="9" t="s">
        <v>13284</v>
      </c>
      <c r="F4676" s="9" t="s">
        <v>13284</v>
      </c>
      <c r="G4676" s="9" t="s">
        <v>13284</v>
      </c>
      <c r="H4676" s="9" t="s">
        <v>13284</v>
      </c>
      <c r="I4676" s="9" t="s">
        <v>13284</v>
      </c>
      <c r="J4676" s="9" t="s">
        <v>13284</v>
      </c>
      <c r="K4676" s="9" t="s">
        <v>13284</v>
      </c>
      <c r="L4676" s="9" t="s">
        <v>13284</v>
      </c>
      <c r="M4676" s="9" t="s">
        <v>13284</v>
      </c>
      <c r="N4676" s="9" t="s">
        <v>13284</v>
      </c>
      <c r="O4676" s="9" t="s">
        <v>13284</v>
      </c>
      <c r="P4676" s="9" t="s">
        <v>13284</v>
      </c>
      <c r="Q4676" s="9" t="s">
        <v>13284</v>
      </c>
      <c r="R4676" s="9" t="s">
        <v>13284</v>
      </c>
      <c r="S4676" s="9" t="s">
        <v>13284</v>
      </c>
      <c r="T4676" s="9" t="str">
        <f ca="1">IFERROR(IF(AND(VLOOKUP(A4676, 'Актуальное состояние (из общего'!A:C,3,0) = "", A4676 &lt;&gt; ""), "ПРОВЕРИТЬ", VLOOKUP(A4676, 'Актуальное состояние (из общего'!A:C,3,0)), "")</f>
        <v/>
      </c>
      <c r="U4676" s="9" t="s">
        <v>13284</v>
      </c>
      <c r="V4676" s="9" t="s">
        <v>13284</v>
      </c>
      <c r="W4676" s="12"/>
      <c r="X4676" s="9" t="str">
        <f t="array" ref="X4676">IFERROR(INDEX('Адреса общежитий (скрытый)'!$B$2:$B$9, MATCH(W4676, 'Адреса общежитий (скрытый)'!$A$2:$A$9, 0)), "")</f>
        <v/>
      </c>
      <c r="Y4676" s="18"/>
      <c r="Z4676" s="18"/>
      <c r="AA4676" s="18"/>
      <c r="AB4676" s="18"/>
      <c r="AC4676" s="18"/>
    </row>
    <row r="4677" spans="1:29" ht="32.25" hidden="1" customHeight="1">
      <c r="A4677" s="17"/>
      <c r="B4677" s="9" t="s">
        <v>13284</v>
      </c>
      <c r="C4677" s="9" t="s">
        <v>13284</v>
      </c>
      <c r="D4677" s="9" t="s">
        <v>13284</v>
      </c>
      <c r="E4677" s="9" t="s">
        <v>13284</v>
      </c>
      <c r="F4677" s="9" t="s">
        <v>13284</v>
      </c>
      <c r="G4677" s="9" t="s">
        <v>13284</v>
      </c>
      <c r="H4677" s="9" t="s">
        <v>13284</v>
      </c>
      <c r="I4677" s="9" t="s">
        <v>13284</v>
      </c>
      <c r="J4677" s="9" t="s">
        <v>13284</v>
      </c>
      <c r="K4677" s="9" t="s">
        <v>13284</v>
      </c>
      <c r="L4677" s="9" t="s">
        <v>13284</v>
      </c>
      <c r="M4677" s="9" t="s">
        <v>13284</v>
      </c>
      <c r="N4677" s="9" t="s">
        <v>13284</v>
      </c>
      <c r="O4677" s="9" t="s">
        <v>13284</v>
      </c>
      <c r="P4677" s="9" t="s">
        <v>13284</v>
      </c>
      <c r="Q4677" s="9" t="s">
        <v>13284</v>
      </c>
      <c r="R4677" s="9" t="s">
        <v>13284</v>
      </c>
      <c r="S4677" s="9" t="s">
        <v>13284</v>
      </c>
      <c r="T4677" s="9" t="str">
        <f ca="1">IFERROR(IF(AND(VLOOKUP(A4677, 'Актуальное состояние (из общего'!A:C,3,0) = "", A4677 &lt;&gt; ""), "ПРОВЕРИТЬ", VLOOKUP(A4677, 'Актуальное состояние (из общего'!A:C,3,0)), "")</f>
        <v/>
      </c>
      <c r="U4677" s="9" t="s">
        <v>13284</v>
      </c>
      <c r="V4677" s="9" t="s">
        <v>13284</v>
      </c>
      <c r="W4677" s="12"/>
      <c r="X4677" s="9" t="str">
        <f t="array" ref="X4677">IFERROR(INDEX('Адреса общежитий (скрытый)'!$B$2:$B$9, MATCH(W4677, 'Адреса общежитий (скрытый)'!$A$2:$A$9, 0)), "")</f>
        <v/>
      </c>
      <c r="Y4677" s="18"/>
      <c r="Z4677" s="18"/>
      <c r="AA4677" s="18"/>
      <c r="AB4677" s="18"/>
      <c r="AC4677" s="18"/>
    </row>
    <row r="4678" spans="1:29" ht="32.25" hidden="1" customHeight="1">
      <c r="A4678" s="17"/>
      <c r="B4678" s="9" t="s">
        <v>13284</v>
      </c>
      <c r="C4678" s="9" t="s">
        <v>13284</v>
      </c>
      <c r="D4678" s="9" t="s">
        <v>13284</v>
      </c>
      <c r="E4678" s="9" t="s">
        <v>13284</v>
      </c>
      <c r="F4678" s="9" t="s">
        <v>13284</v>
      </c>
      <c r="G4678" s="9" t="s">
        <v>13284</v>
      </c>
      <c r="H4678" s="9" t="s">
        <v>13284</v>
      </c>
      <c r="I4678" s="9" t="s">
        <v>13284</v>
      </c>
      <c r="J4678" s="9" t="s">
        <v>13284</v>
      </c>
      <c r="K4678" s="9" t="s">
        <v>13284</v>
      </c>
      <c r="L4678" s="9" t="s">
        <v>13284</v>
      </c>
      <c r="M4678" s="9" t="s">
        <v>13284</v>
      </c>
      <c r="N4678" s="9" t="s">
        <v>13284</v>
      </c>
      <c r="O4678" s="9" t="s">
        <v>13284</v>
      </c>
      <c r="P4678" s="9" t="s">
        <v>13284</v>
      </c>
      <c r="Q4678" s="9" t="s">
        <v>13284</v>
      </c>
      <c r="R4678" s="9" t="s">
        <v>13284</v>
      </c>
      <c r="S4678" s="9" t="s">
        <v>13284</v>
      </c>
      <c r="T4678" s="9" t="str">
        <f ca="1">IFERROR(IF(AND(VLOOKUP(A4678, 'Актуальное состояние (из общего'!A:C,3,0) = "", A4678 &lt;&gt; ""), "ПРОВЕРИТЬ", VLOOKUP(A4678, 'Актуальное состояние (из общего'!A:C,3,0)), "")</f>
        <v/>
      </c>
      <c r="U4678" s="9" t="s">
        <v>13284</v>
      </c>
      <c r="V4678" s="9" t="s">
        <v>13284</v>
      </c>
      <c r="W4678" s="12"/>
      <c r="X4678" s="9" t="str">
        <f t="array" ref="X4678">IFERROR(INDEX('Адреса общежитий (скрытый)'!$B$2:$B$9, MATCH(W4678, 'Адреса общежитий (скрытый)'!$A$2:$A$9, 0)), "")</f>
        <v/>
      </c>
      <c r="Y4678" s="18"/>
      <c r="Z4678" s="18"/>
      <c r="AA4678" s="18"/>
      <c r="AB4678" s="18"/>
      <c r="AC4678" s="18"/>
    </row>
    <row r="4679" spans="1:29" ht="32.25" hidden="1" customHeight="1">
      <c r="A4679" s="17"/>
      <c r="B4679" s="9" t="s">
        <v>13284</v>
      </c>
      <c r="C4679" s="9" t="s">
        <v>13284</v>
      </c>
      <c r="D4679" s="9" t="s">
        <v>13284</v>
      </c>
      <c r="E4679" s="9" t="s">
        <v>13284</v>
      </c>
      <c r="F4679" s="9" t="s">
        <v>13284</v>
      </c>
      <c r="G4679" s="9" t="s">
        <v>13284</v>
      </c>
      <c r="H4679" s="9" t="s">
        <v>13284</v>
      </c>
      <c r="I4679" s="9" t="s">
        <v>13284</v>
      </c>
      <c r="J4679" s="9" t="s">
        <v>13284</v>
      </c>
      <c r="K4679" s="9" t="s">
        <v>13284</v>
      </c>
      <c r="L4679" s="9" t="s">
        <v>13284</v>
      </c>
      <c r="M4679" s="9" t="s">
        <v>13284</v>
      </c>
      <c r="N4679" s="9" t="s">
        <v>13284</v>
      </c>
      <c r="O4679" s="9" t="s">
        <v>13284</v>
      </c>
      <c r="P4679" s="9" t="s">
        <v>13284</v>
      </c>
      <c r="Q4679" s="9" t="s">
        <v>13284</v>
      </c>
      <c r="R4679" s="9" t="s">
        <v>13284</v>
      </c>
      <c r="S4679" s="9" t="s">
        <v>13284</v>
      </c>
      <c r="T4679" s="9" t="str">
        <f ca="1">IFERROR(IF(AND(VLOOKUP(A4679, 'Актуальное состояние (из общего'!A:C,3,0) = "", A4679 &lt;&gt; ""), "ПРОВЕРИТЬ", VLOOKUP(A4679, 'Актуальное состояние (из общего'!A:C,3,0)), "")</f>
        <v/>
      </c>
      <c r="U4679" s="9" t="s">
        <v>13284</v>
      </c>
      <c r="V4679" s="9" t="s">
        <v>13284</v>
      </c>
      <c r="W4679" s="12"/>
      <c r="X4679" s="9" t="str">
        <f t="array" ref="X4679">IFERROR(INDEX('Адреса общежитий (скрытый)'!$B$2:$B$9, MATCH(W4679, 'Адреса общежитий (скрытый)'!$A$2:$A$9, 0)), "")</f>
        <v/>
      </c>
      <c r="Y4679" s="18"/>
      <c r="Z4679" s="18"/>
      <c r="AA4679" s="18"/>
      <c r="AB4679" s="18"/>
      <c r="AC4679" s="18"/>
    </row>
    <row r="4680" spans="1:29" ht="32.25" hidden="1" customHeight="1">
      <c r="A4680" s="17"/>
      <c r="B4680" s="9" t="s">
        <v>13284</v>
      </c>
      <c r="C4680" s="9" t="s">
        <v>13284</v>
      </c>
      <c r="D4680" s="9" t="s">
        <v>13284</v>
      </c>
      <c r="E4680" s="9" t="s">
        <v>13284</v>
      </c>
      <c r="F4680" s="9" t="s">
        <v>13284</v>
      </c>
      <c r="G4680" s="9" t="s">
        <v>13284</v>
      </c>
      <c r="H4680" s="9" t="s">
        <v>13284</v>
      </c>
      <c r="I4680" s="9" t="s">
        <v>13284</v>
      </c>
      <c r="J4680" s="9" t="s">
        <v>13284</v>
      </c>
      <c r="K4680" s="9" t="s">
        <v>13284</v>
      </c>
      <c r="L4680" s="9" t="s">
        <v>13284</v>
      </c>
      <c r="M4680" s="9" t="s">
        <v>13284</v>
      </c>
      <c r="N4680" s="9" t="s">
        <v>13284</v>
      </c>
      <c r="O4680" s="9" t="s">
        <v>13284</v>
      </c>
      <c r="P4680" s="9" t="s">
        <v>13284</v>
      </c>
      <c r="Q4680" s="9" t="s">
        <v>13284</v>
      </c>
      <c r="R4680" s="9" t="s">
        <v>13284</v>
      </c>
      <c r="S4680" s="9" t="s">
        <v>13284</v>
      </c>
      <c r="T4680" s="9" t="str">
        <f ca="1">IFERROR(IF(AND(VLOOKUP(A4680, 'Актуальное состояние (из общего'!A:C,3,0) = "", A4680 &lt;&gt; ""), "ПРОВЕРИТЬ", VLOOKUP(A4680, 'Актуальное состояние (из общего'!A:C,3,0)), "")</f>
        <v/>
      </c>
      <c r="U4680" s="9" t="s">
        <v>13284</v>
      </c>
      <c r="V4680" s="9" t="s">
        <v>13284</v>
      </c>
      <c r="W4680" s="12"/>
      <c r="X4680" s="9" t="str">
        <f t="array" ref="X4680">IFERROR(INDEX('Адреса общежитий (скрытый)'!$B$2:$B$9, MATCH(W4680, 'Адреса общежитий (скрытый)'!$A$2:$A$9, 0)), "")</f>
        <v/>
      </c>
      <c r="Y4680" s="18"/>
      <c r="Z4680" s="18"/>
      <c r="AA4680" s="18"/>
      <c r="AB4680" s="18"/>
      <c r="AC4680" s="18"/>
    </row>
    <row r="4681" spans="1:29" ht="32.25" hidden="1" customHeight="1">
      <c r="A4681" s="17"/>
      <c r="B4681" s="9" t="s">
        <v>13284</v>
      </c>
      <c r="C4681" s="9" t="s">
        <v>13284</v>
      </c>
      <c r="D4681" s="9" t="s">
        <v>13284</v>
      </c>
      <c r="E4681" s="9" t="s">
        <v>13284</v>
      </c>
      <c r="F4681" s="9" t="s">
        <v>13284</v>
      </c>
      <c r="G4681" s="9" t="s">
        <v>13284</v>
      </c>
      <c r="H4681" s="9" t="s">
        <v>13284</v>
      </c>
      <c r="I4681" s="9" t="s">
        <v>13284</v>
      </c>
      <c r="J4681" s="9" t="s">
        <v>13284</v>
      </c>
      <c r="K4681" s="9" t="s">
        <v>13284</v>
      </c>
      <c r="L4681" s="9" t="s">
        <v>13284</v>
      </c>
      <c r="M4681" s="9" t="s">
        <v>13284</v>
      </c>
      <c r="N4681" s="9" t="s">
        <v>13284</v>
      </c>
      <c r="O4681" s="9" t="s">
        <v>13284</v>
      </c>
      <c r="P4681" s="9" t="s">
        <v>13284</v>
      </c>
      <c r="Q4681" s="9" t="s">
        <v>13284</v>
      </c>
      <c r="R4681" s="9" t="s">
        <v>13284</v>
      </c>
      <c r="S4681" s="9" t="s">
        <v>13284</v>
      </c>
      <c r="T4681" s="9" t="str">
        <f ca="1">IFERROR(IF(AND(VLOOKUP(A4681, 'Актуальное состояние (из общего'!A:C,3,0) = "", A4681 &lt;&gt; ""), "ПРОВЕРИТЬ", VLOOKUP(A4681, 'Актуальное состояние (из общего'!A:C,3,0)), "")</f>
        <v/>
      </c>
      <c r="U4681" s="9" t="s">
        <v>13284</v>
      </c>
      <c r="V4681" s="9" t="s">
        <v>13284</v>
      </c>
      <c r="W4681" s="12"/>
      <c r="X4681" s="9" t="str">
        <f t="array" ref="X4681">IFERROR(INDEX('Адреса общежитий (скрытый)'!$B$2:$B$9, MATCH(W4681, 'Адреса общежитий (скрытый)'!$A$2:$A$9, 0)), "")</f>
        <v/>
      </c>
      <c r="Y4681" s="18"/>
      <c r="Z4681" s="18"/>
      <c r="AA4681" s="18"/>
      <c r="AB4681" s="18"/>
      <c r="AC4681" s="18"/>
    </row>
    <row r="4682" spans="1:29" ht="32.25" hidden="1" customHeight="1">
      <c r="A4682" s="17"/>
      <c r="B4682" s="9" t="s">
        <v>13284</v>
      </c>
      <c r="C4682" s="9" t="s">
        <v>13284</v>
      </c>
      <c r="D4682" s="9" t="s">
        <v>13284</v>
      </c>
      <c r="E4682" s="9" t="s">
        <v>13284</v>
      </c>
      <c r="F4682" s="9" t="s">
        <v>13284</v>
      </c>
      <c r="G4682" s="9" t="s">
        <v>13284</v>
      </c>
      <c r="H4682" s="9" t="s">
        <v>13284</v>
      </c>
      <c r="I4682" s="9" t="s">
        <v>13284</v>
      </c>
      <c r="J4682" s="9" t="s">
        <v>13284</v>
      </c>
      <c r="K4682" s="9" t="s">
        <v>13284</v>
      </c>
      <c r="L4682" s="9" t="s">
        <v>13284</v>
      </c>
      <c r="M4682" s="9" t="s">
        <v>13284</v>
      </c>
      <c r="N4682" s="9" t="s">
        <v>13284</v>
      </c>
      <c r="O4682" s="9" t="s">
        <v>13284</v>
      </c>
      <c r="P4682" s="9" t="s">
        <v>13284</v>
      </c>
      <c r="Q4682" s="9" t="s">
        <v>13284</v>
      </c>
      <c r="R4682" s="9" t="s">
        <v>13284</v>
      </c>
      <c r="S4682" s="9" t="s">
        <v>13284</v>
      </c>
      <c r="T4682" s="9" t="str">
        <f ca="1">IFERROR(IF(AND(VLOOKUP(A4682, 'Актуальное состояние (из общего'!A:C,3,0) = "", A4682 &lt;&gt; ""), "ПРОВЕРИТЬ", VLOOKUP(A4682, 'Актуальное состояние (из общего'!A:C,3,0)), "")</f>
        <v/>
      </c>
      <c r="U4682" s="9" t="s">
        <v>13284</v>
      </c>
      <c r="V4682" s="9" t="s">
        <v>13284</v>
      </c>
      <c r="W4682" s="12"/>
      <c r="X4682" s="9" t="str">
        <f t="array" ref="X4682">IFERROR(INDEX('Адреса общежитий (скрытый)'!$B$2:$B$9, MATCH(W4682, 'Адреса общежитий (скрытый)'!$A$2:$A$9, 0)), "")</f>
        <v/>
      </c>
      <c r="Y4682" s="18"/>
      <c r="Z4682" s="18"/>
      <c r="AA4682" s="18"/>
      <c r="AB4682" s="18"/>
      <c r="AC4682" s="18"/>
    </row>
    <row r="4683" spans="1:29" ht="32.25" hidden="1" customHeight="1">
      <c r="A4683" s="17"/>
      <c r="B4683" s="9" t="s">
        <v>13284</v>
      </c>
      <c r="C4683" s="9" t="s">
        <v>13284</v>
      </c>
      <c r="D4683" s="9" t="s">
        <v>13284</v>
      </c>
      <c r="E4683" s="9" t="s">
        <v>13284</v>
      </c>
      <c r="F4683" s="9" t="s">
        <v>13284</v>
      </c>
      <c r="G4683" s="9" t="s">
        <v>13284</v>
      </c>
      <c r="H4683" s="9" t="s">
        <v>13284</v>
      </c>
      <c r="I4683" s="9" t="s">
        <v>13284</v>
      </c>
      <c r="J4683" s="9" t="s">
        <v>13284</v>
      </c>
      <c r="K4683" s="9" t="s">
        <v>13284</v>
      </c>
      <c r="L4683" s="9" t="s">
        <v>13284</v>
      </c>
      <c r="M4683" s="9" t="s">
        <v>13284</v>
      </c>
      <c r="N4683" s="9" t="s">
        <v>13284</v>
      </c>
      <c r="O4683" s="9" t="s">
        <v>13284</v>
      </c>
      <c r="P4683" s="9" t="s">
        <v>13284</v>
      </c>
      <c r="Q4683" s="9" t="s">
        <v>13284</v>
      </c>
      <c r="R4683" s="9" t="s">
        <v>13284</v>
      </c>
      <c r="S4683" s="9" t="s">
        <v>13284</v>
      </c>
      <c r="T4683" s="9" t="str">
        <f ca="1">IFERROR(IF(AND(VLOOKUP(A4683, 'Актуальное состояние (из общего'!A:C,3,0) = "", A4683 &lt;&gt; ""), "ПРОВЕРИТЬ", VLOOKUP(A4683, 'Актуальное состояние (из общего'!A:C,3,0)), "")</f>
        <v/>
      </c>
      <c r="U4683" s="9" t="s">
        <v>13284</v>
      </c>
      <c r="V4683" s="9" t="s">
        <v>13284</v>
      </c>
      <c r="W4683" s="12"/>
      <c r="X4683" s="9" t="str">
        <f t="array" ref="X4683">IFERROR(INDEX('Адреса общежитий (скрытый)'!$B$2:$B$9, MATCH(W4683, 'Адреса общежитий (скрытый)'!$A$2:$A$9, 0)), "")</f>
        <v/>
      </c>
      <c r="Y4683" s="18"/>
      <c r="Z4683" s="18"/>
      <c r="AA4683" s="18"/>
      <c r="AB4683" s="18"/>
      <c r="AC4683" s="18"/>
    </row>
    <row r="4684" spans="1:29" ht="32.25" hidden="1" customHeight="1">
      <c r="A4684" s="17"/>
      <c r="B4684" s="9" t="s">
        <v>13284</v>
      </c>
      <c r="C4684" s="9" t="s">
        <v>13284</v>
      </c>
      <c r="D4684" s="9" t="s">
        <v>13284</v>
      </c>
      <c r="E4684" s="9" t="s">
        <v>13284</v>
      </c>
      <c r="F4684" s="9" t="s">
        <v>13284</v>
      </c>
      <c r="G4684" s="9" t="s">
        <v>13284</v>
      </c>
      <c r="H4684" s="9" t="s">
        <v>13284</v>
      </c>
      <c r="I4684" s="9" t="s">
        <v>13284</v>
      </c>
      <c r="J4684" s="9" t="s">
        <v>13284</v>
      </c>
      <c r="K4684" s="9" t="s">
        <v>13284</v>
      </c>
      <c r="L4684" s="9" t="s">
        <v>13284</v>
      </c>
      <c r="M4684" s="9" t="s">
        <v>13284</v>
      </c>
      <c r="N4684" s="9" t="s">
        <v>13284</v>
      </c>
      <c r="O4684" s="9" t="s">
        <v>13284</v>
      </c>
      <c r="P4684" s="9" t="s">
        <v>13284</v>
      </c>
      <c r="Q4684" s="9" t="s">
        <v>13284</v>
      </c>
      <c r="R4684" s="9" t="s">
        <v>13284</v>
      </c>
      <c r="S4684" s="9" t="s">
        <v>13284</v>
      </c>
      <c r="T4684" s="9" t="str">
        <f ca="1">IFERROR(IF(AND(VLOOKUP(A4684, 'Актуальное состояние (из общего'!A:C,3,0) = "", A4684 &lt;&gt; ""), "ПРОВЕРИТЬ", VLOOKUP(A4684, 'Актуальное состояние (из общего'!A:C,3,0)), "")</f>
        <v/>
      </c>
      <c r="U4684" s="9" t="s">
        <v>13284</v>
      </c>
      <c r="V4684" s="9" t="s">
        <v>13284</v>
      </c>
      <c r="W4684" s="12"/>
      <c r="X4684" s="9" t="str">
        <f t="array" ref="X4684">IFERROR(INDEX('Адреса общежитий (скрытый)'!$B$2:$B$9, MATCH(W4684, 'Адреса общежитий (скрытый)'!$A$2:$A$9, 0)), "")</f>
        <v/>
      </c>
      <c r="Y4684" s="18"/>
      <c r="Z4684" s="18"/>
      <c r="AA4684" s="18"/>
      <c r="AB4684" s="18"/>
      <c r="AC4684" s="18"/>
    </row>
    <row r="4685" spans="1:29" ht="32.25" hidden="1" customHeight="1">
      <c r="A4685" s="17"/>
      <c r="B4685" s="9" t="s">
        <v>13284</v>
      </c>
      <c r="C4685" s="9" t="s">
        <v>13284</v>
      </c>
      <c r="D4685" s="9" t="s">
        <v>13284</v>
      </c>
      <c r="E4685" s="9" t="s">
        <v>13284</v>
      </c>
      <c r="F4685" s="9" t="s">
        <v>13284</v>
      </c>
      <c r="G4685" s="9" t="s">
        <v>13284</v>
      </c>
      <c r="H4685" s="9" t="s">
        <v>13284</v>
      </c>
      <c r="I4685" s="9" t="s">
        <v>13284</v>
      </c>
      <c r="J4685" s="9" t="s">
        <v>13284</v>
      </c>
      <c r="K4685" s="9" t="s">
        <v>13284</v>
      </c>
      <c r="L4685" s="9" t="s">
        <v>13284</v>
      </c>
      <c r="M4685" s="9" t="s">
        <v>13284</v>
      </c>
      <c r="N4685" s="9" t="s">
        <v>13284</v>
      </c>
      <c r="O4685" s="9" t="s">
        <v>13284</v>
      </c>
      <c r="P4685" s="9" t="s">
        <v>13284</v>
      </c>
      <c r="Q4685" s="9" t="s">
        <v>13284</v>
      </c>
      <c r="R4685" s="9" t="s">
        <v>13284</v>
      </c>
      <c r="S4685" s="9" t="s">
        <v>13284</v>
      </c>
      <c r="T4685" s="9" t="str">
        <f ca="1">IFERROR(IF(AND(VLOOKUP(A4685, 'Актуальное состояние (из общего'!A:C,3,0) = "", A4685 &lt;&gt; ""), "ПРОВЕРИТЬ", VLOOKUP(A4685, 'Актуальное состояние (из общего'!A:C,3,0)), "")</f>
        <v/>
      </c>
      <c r="U4685" s="9" t="s">
        <v>13284</v>
      </c>
      <c r="V4685" s="9" t="s">
        <v>13284</v>
      </c>
      <c r="W4685" s="12"/>
      <c r="X4685" s="9" t="str">
        <f t="array" ref="X4685">IFERROR(INDEX('Адреса общежитий (скрытый)'!$B$2:$B$9, MATCH(W4685, 'Адреса общежитий (скрытый)'!$A$2:$A$9, 0)), "")</f>
        <v/>
      </c>
      <c r="Y4685" s="18"/>
      <c r="Z4685" s="18"/>
      <c r="AA4685" s="18"/>
      <c r="AB4685" s="18"/>
      <c r="AC4685" s="18"/>
    </row>
    <row r="4686" spans="1:29" ht="32.25" hidden="1" customHeight="1">
      <c r="A4686" s="17"/>
      <c r="B4686" s="9" t="s">
        <v>13284</v>
      </c>
      <c r="C4686" s="9" t="s">
        <v>13284</v>
      </c>
      <c r="D4686" s="9" t="s">
        <v>13284</v>
      </c>
      <c r="E4686" s="9" t="s">
        <v>13284</v>
      </c>
      <c r="F4686" s="9" t="s">
        <v>13284</v>
      </c>
      <c r="G4686" s="9" t="s">
        <v>13284</v>
      </c>
      <c r="H4686" s="9" t="s">
        <v>13284</v>
      </c>
      <c r="I4686" s="9" t="s">
        <v>13284</v>
      </c>
      <c r="J4686" s="9" t="s">
        <v>13284</v>
      </c>
      <c r="K4686" s="9" t="s">
        <v>13284</v>
      </c>
      <c r="L4686" s="9" t="s">
        <v>13284</v>
      </c>
      <c r="M4686" s="9" t="s">
        <v>13284</v>
      </c>
      <c r="N4686" s="9" t="s">
        <v>13284</v>
      </c>
      <c r="O4686" s="9" t="s">
        <v>13284</v>
      </c>
      <c r="P4686" s="9" t="s">
        <v>13284</v>
      </c>
      <c r="Q4686" s="9" t="s">
        <v>13284</v>
      </c>
      <c r="R4686" s="9" t="s">
        <v>13284</v>
      </c>
      <c r="S4686" s="9" t="s">
        <v>13284</v>
      </c>
      <c r="T4686" s="9" t="str">
        <f ca="1">IFERROR(IF(AND(VLOOKUP(A4686, 'Актуальное состояние (из общего'!A:C,3,0) = "", A4686 &lt;&gt; ""), "ПРОВЕРИТЬ", VLOOKUP(A4686, 'Актуальное состояние (из общего'!A:C,3,0)), "")</f>
        <v/>
      </c>
      <c r="U4686" s="9" t="s">
        <v>13284</v>
      </c>
      <c r="V4686" s="9" t="s">
        <v>13284</v>
      </c>
      <c r="W4686" s="12"/>
      <c r="X4686" s="9" t="str">
        <f t="array" ref="X4686">IFERROR(INDEX('Адреса общежитий (скрытый)'!$B$2:$B$9, MATCH(W4686, 'Адреса общежитий (скрытый)'!$A$2:$A$9, 0)), "")</f>
        <v/>
      </c>
      <c r="Y4686" s="18"/>
      <c r="Z4686" s="18"/>
      <c r="AA4686" s="18"/>
      <c r="AB4686" s="18"/>
      <c r="AC4686" s="18"/>
    </row>
    <row r="4687" spans="1:29" ht="32.25" hidden="1" customHeight="1">
      <c r="A4687" s="17"/>
      <c r="B4687" s="9" t="s">
        <v>13284</v>
      </c>
      <c r="C4687" s="9" t="s">
        <v>13284</v>
      </c>
      <c r="D4687" s="9" t="s">
        <v>13284</v>
      </c>
      <c r="E4687" s="9" t="s">
        <v>13284</v>
      </c>
      <c r="F4687" s="9" t="s">
        <v>13284</v>
      </c>
      <c r="G4687" s="9" t="s">
        <v>13284</v>
      </c>
      <c r="H4687" s="9" t="s">
        <v>13284</v>
      </c>
      <c r="I4687" s="9" t="s">
        <v>13284</v>
      </c>
      <c r="J4687" s="9" t="s">
        <v>13284</v>
      </c>
      <c r="K4687" s="9" t="s">
        <v>13284</v>
      </c>
      <c r="L4687" s="9" t="s">
        <v>13284</v>
      </c>
      <c r="M4687" s="9" t="s">
        <v>13284</v>
      </c>
      <c r="N4687" s="9" t="s">
        <v>13284</v>
      </c>
      <c r="O4687" s="9" t="s">
        <v>13284</v>
      </c>
      <c r="P4687" s="9" t="s">
        <v>13284</v>
      </c>
      <c r="Q4687" s="9" t="s">
        <v>13284</v>
      </c>
      <c r="R4687" s="9" t="s">
        <v>13284</v>
      </c>
      <c r="S4687" s="9" t="s">
        <v>13284</v>
      </c>
      <c r="T4687" s="9" t="str">
        <f ca="1">IFERROR(IF(AND(VLOOKUP(A4687, 'Актуальное состояние (из общего'!A:C,3,0) = "", A4687 &lt;&gt; ""), "ПРОВЕРИТЬ", VLOOKUP(A4687, 'Актуальное состояние (из общего'!A:C,3,0)), "")</f>
        <v/>
      </c>
      <c r="U4687" s="9" t="s">
        <v>13284</v>
      </c>
      <c r="V4687" s="9" t="s">
        <v>13284</v>
      </c>
      <c r="W4687" s="12"/>
      <c r="X4687" s="9" t="str">
        <f t="array" ref="X4687">IFERROR(INDEX('Адреса общежитий (скрытый)'!$B$2:$B$9, MATCH(W4687, 'Адреса общежитий (скрытый)'!$A$2:$A$9, 0)), "")</f>
        <v/>
      </c>
      <c r="Y4687" s="18"/>
      <c r="Z4687" s="18"/>
      <c r="AA4687" s="18"/>
      <c r="AB4687" s="18"/>
      <c r="AC4687" s="18"/>
    </row>
    <row r="4688" spans="1:29" ht="32.25" hidden="1" customHeight="1">
      <c r="A4688" s="17"/>
      <c r="B4688" s="9" t="s">
        <v>13284</v>
      </c>
      <c r="C4688" s="9" t="s">
        <v>13284</v>
      </c>
      <c r="D4688" s="9" t="s">
        <v>13284</v>
      </c>
      <c r="E4688" s="9" t="s">
        <v>13284</v>
      </c>
      <c r="F4688" s="9" t="s">
        <v>13284</v>
      </c>
      <c r="G4688" s="9" t="s">
        <v>13284</v>
      </c>
      <c r="H4688" s="9" t="s">
        <v>13284</v>
      </c>
      <c r="I4688" s="9" t="s">
        <v>13284</v>
      </c>
      <c r="J4688" s="9" t="s">
        <v>13284</v>
      </c>
      <c r="K4688" s="9" t="s">
        <v>13284</v>
      </c>
      <c r="L4688" s="9" t="s">
        <v>13284</v>
      </c>
      <c r="M4688" s="9" t="s">
        <v>13284</v>
      </c>
      <c r="N4688" s="9" t="s">
        <v>13284</v>
      </c>
      <c r="O4688" s="9" t="s">
        <v>13284</v>
      </c>
      <c r="P4688" s="9" t="s">
        <v>13284</v>
      </c>
      <c r="Q4688" s="9" t="s">
        <v>13284</v>
      </c>
      <c r="R4688" s="9" t="s">
        <v>13284</v>
      </c>
      <c r="S4688" s="9" t="s">
        <v>13284</v>
      </c>
      <c r="T4688" s="9" t="str">
        <f ca="1">IFERROR(IF(AND(VLOOKUP(A4688, 'Актуальное состояние (из общего'!A:C,3,0) = "", A4688 &lt;&gt; ""), "ПРОВЕРИТЬ", VLOOKUP(A4688, 'Актуальное состояние (из общего'!A:C,3,0)), "")</f>
        <v/>
      </c>
      <c r="U4688" s="9" t="s">
        <v>13284</v>
      </c>
      <c r="V4688" s="9" t="s">
        <v>13284</v>
      </c>
      <c r="W4688" s="12"/>
      <c r="X4688" s="9" t="str">
        <f t="array" ref="X4688">IFERROR(INDEX('Адреса общежитий (скрытый)'!$B$2:$B$9, MATCH(W4688, 'Адреса общежитий (скрытый)'!$A$2:$A$9, 0)), "")</f>
        <v/>
      </c>
      <c r="Y4688" s="18"/>
      <c r="Z4688" s="18"/>
      <c r="AA4688" s="18"/>
      <c r="AB4688" s="18"/>
      <c r="AC4688" s="18"/>
    </row>
    <row r="4689" spans="1:29" ht="32.25" hidden="1" customHeight="1">
      <c r="A4689" s="17"/>
      <c r="B4689" s="9" t="s">
        <v>13284</v>
      </c>
      <c r="C4689" s="9" t="s">
        <v>13284</v>
      </c>
      <c r="D4689" s="9" t="s">
        <v>13284</v>
      </c>
      <c r="E4689" s="9" t="s">
        <v>13284</v>
      </c>
      <c r="F4689" s="9" t="s">
        <v>13284</v>
      </c>
      <c r="G4689" s="9" t="s">
        <v>13284</v>
      </c>
      <c r="H4689" s="9" t="s">
        <v>13284</v>
      </c>
      <c r="I4689" s="9" t="s">
        <v>13284</v>
      </c>
      <c r="J4689" s="9" t="s">
        <v>13284</v>
      </c>
      <c r="K4689" s="9" t="s">
        <v>13284</v>
      </c>
      <c r="L4689" s="9" t="s">
        <v>13284</v>
      </c>
      <c r="M4689" s="9" t="s">
        <v>13284</v>
      </c>
      <c r="N4689" s="9" t="s">
        <v>13284</v>
      </c>
      <c r="O4689" s="9" t="s">
        <v>13284</v>
      </c>
      <c r="P4689" s="9" t="s">
        <v>13284</v>
      </c>
      <c r="Q4689" s="9" t="s">
        <v>13284</v>
      </c>
      <c r="R4689" s="9" t="s">
        <v>13284</v>
      </c>
      <c r="S4689" s="9" t="s">
        <v>13284</v>
      </c>
      <c r="T4689" s="9" t="str">
        <f ca="1">IFERROR(IF(AND(VLOOKUP(A4689, 'Актуальное состояние (из общего'!A:C,3,0) = "", A4689 &lt;&gt; ""), "ПРОВЕРИТЬ", VLOOKUP(A4689, 'Актуальное состояние (из общего'!A:C,3,0)), "")</f>
        <v/>
      </c>
      <c r="U4689" s="9" t="s">
        <v>13284</v>
      </c>
      <c r="V4689" s="9" t="s">
        <v>13284</v>
      </c>
      <c r="W4689" s="12"/>
      <c r="X4689" s="9" t="str">
        <f t="array" ref="X4689">IFERROR(INDEX('Адреса общежитий (скрытый)'!$B$2:$B$9, MATCH(W4689, 'Адреса общежитий (скрытый)'!$A$2:$A$9, 0)), "")</f>
        <v/>
      </c>
      <c r="Y4689" s="18"/>
      <c r="Z4689" s="18"/>
      <c r="AA4689" s="18"/>
      <c r="AB4689" s="18"/>
      <c r="AC4689" s="18"/>
    </row>
    <row r="4690" spans="1:29" ht="32.25" hidden="1" customHeight="1">
      <c r="A4690" s="17"/>
      <c r="B4690" s="9" t="s">
        <v>13284</v>
      </c>
      <c r="C4690" s="9" t="s">
        <v>13284</v>
      </c>
      <c r="D4690" s="9" t="s">
        <v>13284</v>
      </c>
      <c r="E4690" s="9" t="s">
        <v>13284</v>
      </c>
      <c r="F4690" s="9" t="s">
        <v>13284</v>
      </c>
      <c r="G4690" s="9" t="s">
        <v>13284</v>
      </c>
      <c r="H4690" s="9" t="s">
        <v>13284</v>
      </c>
      <c r="I4690" s="9" t="s">
        <v>13284</v>
      </c>
      <c r="J4690" s="9" t="s">
        <v>13284</v>
      </c>
      <c r="K4690" s="9" t="s">
        <v>13284</v>
      </c>
      <c r="L4690" s="9" t="s">
        <v>13284</v>
      </c>
      <c r="M4690" s="9" t="s">
        <v>13284</v>
      </c>
      <c r="N4690" s="9" t="s">
        <v>13284</v>
      </c>
      <c r="O4690" s="9" t="s">
        <v>13284</v>
      </c>
      <c r="P4690" s="9" t="s">
        <v>13284</v>
      </c>
      <c r="Q4690" s="9" t="s">
        <v>13284</v>
      </c>
      <c r="R4690" s="9" t="s">
        <v>13284</v>
      </c>
      <c r="S4690" s="9" t="s">
        <v>13284</v>
      </c>
      <c r="T4690" s="9" t="str">
        <f ca="1">IFERROR(IF(AND(VLOOKUP(A4690, 'Актуальное состояние (из общего'!A:C,3,0) = "", A4690 &lt;&gt; ""), "ПРОВЕРИТЬ", VLOOKUP(A4690, 'Актуальное состояние (из общего'!A:C,3,0)), "")</f>
        <v/>
      </c>
      <c r="U4690" s="9" t="s">
        <v>13284</v>
      </c>
      <c r="V4690" s="9" t="s">
        <v>13284</v>
      </c>
      <c r="W4690" s="12"/>
      <c r="X4690" s="9" t="str">
        <f t="array" ref="X4690">IFERROR(INDEX('Адреса общежитий (скрытый)'!$B$2:$B$9, MATCH(W4690, 'Адреса общежитий (скрытый)'!$A$2:$A$9, 0)), "")</f>
        <v/>
      </c>
      <c r="Y4690" s="18"/>
      <c r="Z4690" s="18"/>
      <c r="AA4690" s="18"/>
      <c r="AB4690" s="18"/>
      <c r="AC4690" s="18"/>
    </row>
    <row r="4691" spans="1:29" ht="32.25" hidden="1" customHeight="1">
      <c r="A4691" s="17"/>
      <c r="B4691" s="9" t="s">
        <v>13284</v>
      </c>
      <c r="C4691" s="9" t="s">
        <v>13284</v>
      </c>
      <c r="D4691" s="9" t="s">
        <v>13284</v>
      </c>
      <c r="E4691" s="9" t="s">
        <v>13284</v>
      </c>
      <c r="F4691" s="9" t="s">
        <v>13284</v>
      </c>
      <c r="G4691" s="9" t="s">
        <v>13284</v>
      </c>
      <c r="H4691" s="9" t="s">
        <v>13284</v>
      </c>
      <c r="I4691" s="9" t="s">
        <v>13284</v>
      </c>
      <c r="J4691" s="9" t="s">
        <v>13284</v>
      </c>
      <c r="K4691" s="9" t="s">
        <v>13284</v>
      </c>
      <c r="L4691" s="9" t="s">
        <v>13284</v>
      </c>
      <c r="M4691" s="9" t="s">
        <v>13284</v>
      </c>
      <c r="N4691" s="9" t="s">
        <v>13284</v>
      </c>
      <c r="O4691" s="9" t="s">
        <v>13284</v>
      </c>
      <c r="P4691" s="9" t="s">
        <v>13284</v>
      </c>
      <c r="Q4691" s="9" t="s">
        <v>13284</v>
      </c>
      <c r="R4691" s="9" t="s">
        <v>13284</v>
      </c>
      <c r="S4691" s="9" t="s">
        <v>13284</v>
      </c>
      <c r="T4691" s="9" t="str">
        <f ca="1">IFERROR(IF(AND(VLOOKUP(A4691, 'Актуальное состояние (из общего'!A:C,3,0) = "", A4691 &lt;&gt; ""), "ПРОВЕРИТЬ", VLOOKUP(A4691, 'Актуальное состояние (из общего'!A:C,3,0)), "")</f>
        <v/>
      </c>
      <c r="U4691" s="9" t="s">
        <v>13284</v>
      </c>
      <c r="V4691" s="9" t="s">
        <v>13284</v>
      </c>
      <c r="W4691" s="12"/>
      <c r="X4691" s="9" t="str">
        <f t="array" ref="X4691">IFERROR(INDEX('Адреса общежитий (скрытый)'!$B$2:$B$9, MATCH(W4691, 'Адреса общежитий (скрытый)'!$A$2:$A$9, 0)), "")</f>
        <v/>
      </c>
      <c r="Y4691" s="18"/>
      <c r="Z4691" s="18"/>
      <c r="AA4691" s="18"/>
      <c r="AB4691" s="18"/>
      <c r="AC4691" s="18"/>
    </row>
    <row r="4692" spans="1:29" ht="32.25" hidden="1" customHeight="1">
      <c r="A4692" s="17"/>
      <c r="B4692" s="9" t="s">
        <v>13284</v>
      </c>
      <c r="C4692" s="9" t="s">
        <v>13284</v>
      </c>
      <c r="D4692" s="9" t="s">
        <v>13284</v>
      </c>
      <c r="E4692" s="9" t="s">
        <v>13284</v>
      </c>
      <c r="F4692" s="9" t="s">
        <v>13284</v>
      </c>
      <c r="G4692" s="9" t="s">
        <v>13284</v>
      </c>
      <c r="H4692" s="9" t="s">
        <v>13284</v>
      </c>
      <c r="I4692" s="9" t="s">
        <v>13284</v>
      </c>
      <c r="J4692" s="9" t="s">
        <v>13284</v>
      </c>
      <c r="K4692" s="9" t="s">
        <v>13284</v>
      </c>
      <c r="L4692" s="9" t="s">
        <v>13284</v>
      </c>
      <c r="M4692" s="9" t="s">
        <v>13284</v>
      </c>
      <c r="N4692" s="9" t="s">
        <v>13284</v>
      </c>
      <c r="O4692" s="9" t="s">
        <v>13284</v>
      </c>
      <c r="P4692" s="9" t="s">
        <v>13284</v>
      </c>
      <c r="Q4692" s="9" t="s">
        <v>13284</v>
      </c>
      <c r="R4692" s="9" t="s">
        <v>13284</v>
      </c>
      <c r="S4692" s="9" t="s">
        <v>13284</v>
      </c>
      <c r="T4692" s="9" t="str">
        <f ca="1">IFERROR(IF(AND(VLOOKUP(A4692, 'Актуальное состояние (из общего'!A:C,3,0) = "", A4692 &lt;&gt; ""), "ПРОВЕРИТЬ", VLOOKUP(A4692, 'Актуальное состояние (из общего'!A:C,3,0)), "")</f>
        <v/>
      </c>
      <c r="U4692" s="9" t="s">
        <v>13284</v>
      </c>
      <c r="V4692" s="9" t="s">
        <v>13284</v>
      </c>
      <c r="W4692" s="12"/>
      <c r="X4692" s="9" t="str">
        <f t="array" ref="X4692">IFERROR(INDEX('Адреса общежитий (скрытый)'!$B$2:$B$9, MATCH(W4692, 'Адреса общежитий (скрытый)'!$A$2:$A$9, 0)), "")</f>
        <v/>
      </c>
      <c r="Y4692" s="18"/>
      <c r="Z4692" s="18"/>
      <c r="AA4692" s="18"/>
      <c r="AB4692" s="18"/>
      <c r="AC4692" s="18"/>
    </row>
    <row r="4693" spans="1:29" ht="32.25" hidden="1" customHeight="1">
      <c r="A4693" s="17"/>
      <c r="B4693" s="9" t="s">
        <v>13284</v>
      </c>
      <c r="C4693" s="9" t="s">
        <v>13284</v>
      </c>
      <c r="D4693" s="9" t="s">
        <v>13284</v>
      </c>
      <c r="E4693" s="9" t="s">
        <v>13284</v>
      </c>
      <c r="F4693" s="9" t="s">
        <v>13284</v>
      </c>
      <c r="G4693" s="9" t="s">
        <v>13284</v>
      </c>
      <c r="H4693" s="9" t="s">
        <v>13284</v>
      </c>
      <c r="I4693" s="9" t="s">
        <v>13284</v>
      </c>
      <c r="J4693" s="9" t="s">
        <v>13284</v>
      </c>
      <c r="K4693" s="9" t="s">
        <v>13284</v>
      </c>
      <c r="L4693" s="9" t="s">
        <v>13284</v>
      </c>
      <c r="M4693" s="9" t="s">
        <v>13284</v>
      </c>
      <c r="N4693" s="9" t="s">
        <v>13284</v>
      </c>
      <c r="O4693" s="9" t="s">
        <v>13284</v>
      </c>
      <c r="P4693" s="9" t="s">
        <v>13284</v>
      </c>
      <c r="Q4693" s="9" t="s">
        <v>13284</v>
      </c>
      <c r="R4693" s="9" t="s">
        <v>13284</v>
      </c>
      <c r="S4693" s="9" t="s">
        <v>13284</v>
      </c>
      <c r="T4693" s="9" t="str">
        <f ca="1">IFERROR(IF(AND(VLOOKUP(A4693, 'Актуальное состояние (из общего'!A:C,3,0) = "", A4693 &lt;&gt; ""), "ПРОВЕРИТЬ", VLOOKUP(A4693, 'Актуальное состояние (из общего'!A:C,3,0)), "")</f>
        <v/>
      </c>
      <c r="U4693" s="9" t="s">
        <v>13284</v>
      </c>
      <c r="V4693" s="9" t="s">
        <v>13284</v>
      </c>
      <c r="W4693" s="12"/>
      <c r="X4693" s="9" t="str">
        <f t="array" ref="X4693">IFERROR(INDEX('Адреса общежитий (скрытый)'!$B$2:$B$9, MATCH(W4693, 'Адреса общежитий (скрытый)'!$A$2:$A$9, 0)), "")</f>
        <v/>
      </c>
      <c r="Y4693" s="18"/>
      <c r="Z4693" s="18"/>
      <c r="AA4693" s="18"/>
      <c r="AB4693" s="18"/>
      <c r="AC4693" s="18"/>
    </row>
    <row r="4694" spans="1:29" ht="32.25" hidden="1" customHeight="1">
      <c r="A4694" s="17"/>
      <c r="B4694" s="9" t="s">
        <v>13284</v>
      </c>
      <c r="C4694" s="9" t="s">
        <v>13284</v>
      </c>
      <c r="D4694" s="9" t="s">
        <v>13284</v>
      </c>
      <c r="E4694" s="9" t="s">
        <v>13284</v>
      </c>
      <c r="F4694" s="9" t="s">
        <v>13284</v>
      </c>
      <c r="G4694" s="9" t="s">
        <v>13284</v>
      </c>
      <c r="H4694" s="9" t="s">
        <v>13284</v>
      </c>
      <c r="I4694" s="9" t="s">
        <v>13284</v>
      </c>
      <c r="J4694" s="9" t="s">
        <v>13284</v>
      </c>
      <c r="K4694" s="9" t="s">
        <v>13284</v>
      </c>
      <c r="L4694" s="9" t="s">
        <v>13284</v>
      </c>
      <c r="M4694" s="9" t="s">
        <v>13284</v>
      </c>
      <c r="N4694" s="9" t="s">
        <v>13284</v>
      </c>
      <c r="O4694" s="9" t="s">
        <v>13284</v>
      </c>
      <c r="P4694" s="9" t="s">
        <v>13284</v>
      </c>
      <c r="Q4694" s="9" t="s">
        <v>13284</v>
      </c>
      <c r="R4694" s="9" t="s">
        <v>13284</v>
      </c>
      <c r="S4694" s="9" t="s">
        <v>13284</v>
      </c>
      <c r="T4694" s="9" t="str">
        <f ca="1">IFERROR(IF(AND(VLOOKUP(A4694, 'Актуальное состояние (из общего'!A:C,3,0) = "", A4694 &lt;&gt; ""), "ПРОВЕРИТЬ", VLOOKUP(A4694, 'Актуальное состояние (из общего'!A:C,3,0)), "")</f>
        <v/>
      </c>
      <c r="U4694" s="9" t="s">
        <v>13284</v>
      </c>
      <c r="V4694" s="9" t="s">
        <v>13284</v>
      </c>
      <c r="W4694" s="12"/>
      <c r="X4694" s="9" t="str">
        <f t="array" ref="X4694">IFERROR(INDEX('Адреса общежитий (скрытый)'!$B$2:$B$9, MATCH(W4694, 'Адреса общежитий (скрытый)'!$A$2:$A$9, 0)), "")</f>
        <v/>
      </c>
      <c r="Y4694" s="18"/>
      <c r="Z4694" s="18"/>
      <c r="AA4694" s="18"/>
      <c r="AB4694" s="18"/>
      <c r="AC4694" s="18"/>
    </row>
    <row r="4695" spans="1:29" ht="32.25" hidden="1" customHeight="1">
      <c r="A4695" s="17"/>
      <c r="B4695" s="9" t="s">
        <v>13284</v>
      </c>
      <c r="C4695" s="9" t="s">
        <v>13284</v>
      </c>
      <c r="D4695" s="9" t="s">
        <v>13284</v>
      </c>
      <c r="E4695" s="9" t="s">
        <v>13284</v>
      </c>
      <c r="F4695" s="9" t="s">
        <v>13284</v>
      </c>
      <c r="G4695" s="9" t="s">
        <v>13284</v>
      </c>
      <c r="H4695" s="9" t="s">
        <v>13284</v>
      </c>
      <c r="I4695" s="9" t="s">
        <v>13284</v>
      </c>
      <c r="J4695" s="9" t="s">
        <v>13284</v>
      </c>
      <c r="K4695" s="9" t="s">
        <v>13284</v>
      </c>
      <c r="L4695" s="9" t="s">
        <v>13284</v>
      </c>
      <c r="M4695" s="9" t="s">
        <v>13284</v>
      </c>
      <c r="N4695" s="9" t="s">
        <v>13284</v>
      </c>
      <c r="O4695" s="9" t="s">
        <v>13284</v>
      </c>
      <c r="P4695" s="9" t="s">
        <v>13284</v>
      </c>
      <c r="Q4695" s="9" t="s">
        <v>13284</v>
      </c>
      <c r="R4695" s="9" t="s">
        <v>13284</v>
      </c>
      <c r="S4695" s="9" t="s">
        <v>13284</v>
      </c>
      <c r="T4695" s="9" t="str">
        <f ca="1">IFERROR(IF(AND(VLOOKUP(A4695, 'Актуальное состояние (из общего'!A:C,3,0) = "", A4695 &lt;&gt; ""), "ПРОВЕРИТЬ", VLOOKUP(A4695, 'Актуальное состояние (из общего'!A:C,3,0)), "")</f>
        <v/>
      </c>
      <c r="U4695" s="9" t="s">
        <v>13284</v>
      </c>
      <c r="V4695" s="9" t="s">
        <v>13284</v>
      </c>
      <c r="W4695" s="12"/>
      <c r="X4695" s="9" t="str">
        <f t="array" ref="X4695">IFERROR(INDEX('Адреса общежитий (скрытый)'!$B$2:$B$9, MATCH(W4695, 'Адреса общежитий (скрытый)'!$A$2:$A$9, 0)), "")</f>
        <v/>
      </c>
      <c r="Y4695" s="18"/>
      <c r="Z4695" s="18"/>
      <c r="AA4695" s="18"/>
      <c r="AB4695" s="18"/>
      <c r="AC4695" s="18"/>
    </row>
    <row r="4696" spans="1:29" ht="32.25" hidden="1" customHeight="1">
      <c r="A4696" s="17"/>
      <c r="B4696" s="9" t="s">
        <v>13284</v>
      </c>
      <c r="C4696" s="9" t="s">
        <v>13284</v>
      </c>
      <c r="D4696" s="9" t="s">
        <v>13284</v>
      </c>
      <c r="E4696" s="9" t="s">
        <v>13284</v>
      </c>
      <c r="F4696" s="9" t="s">
        <v>13284</v>
      </c>
      <c r="G4696" s="9" t="s">
        <v>13284</v>
      </c>
      <c r="H4696" s="9" t="s">
        <v>13284</v>
      </c>
      <c r="I4696" s="9" t="s">
        <v>13284</v>
      </c>
      <c r="J4696" s="9" t="s">
        <v>13284</v>
      </c>
      <c r="K4696" s="9" t="s">
        <v>13284</v>
      </c>
      <c r="L4696" s="9" t="s">
        <v>13284</v>
      </c>
      <c r="M4696" s="9" t="s">
        <v>13284</v>
      </c>
      <c r="N4696" s="9" t="s">
        <v>13284</v>
      </c>
      <c r="O4696" s="9" t="s">
        <v>13284</v>
      </c>
      <c r="P4696" s="9" t="s">
        <v>13284</v>
      </c>
      <c r="Q4696" s="9" t="s">
        <v>13284</v>
      </c>
      <c r="R4696" s="9" t="s">
        <v>13284</v>
      </c>
      <c r="S4696" s="9" t="s">
        <v>13284</v>
      </c>
      <c r="T4696" s="9" t="str">
        <f ca="1">IFERROR(IF(AND(VLOOKUP(A4696, 'Актуальное состояние (из общего'!A:C,3,0) = "", A4696 &lt;&gt; ""), "ПРОВЕРИТЬ", VLOOKUP(A4696, 'Актуальное состояние (из общего'!A:C,3,0)), "")</f>
        <v/>
      </c>
      <c r="U4696" s="9" t="s">
        <v>13284</v>
      </c>
      <c r="V4696" s="9" t="s">
        <v>13284</v>
      </c>
      <c r="W4696" s="12"/>
      <c r="X4696" s="9" t="str">
        <f t="array" ref="X4696">IFERROR(INDEX('Адреса общежитий (скрытый)'!$B$2:$B$9, MATCH(W4696, 'Адреса общежитий (скрытый)'!$A$2:$A$9, 0)), "")</f>
        <v/>
      </c>
      <c r="Y4696" s="18"/>
      <c r="Z4696" s="18"/>
      <c r="AA4696" s="18"/>
      <c r="AB4696" s="18"/>
      <c r="AC4696" s="18"/>
    </row>
    <row r="4697" spans="1:29" ht="32.25" hidden="1" customHeight="1">
      <c r="A4697" s="17"/>
      <c r="B4697" s="9" t="s">
        <v>13284</v>
      </c>
      <c r="C4697" s="9" t="s">
        <v>13284</v>
      </c>
      <c r="D4697" s="9" t="s">
        <v>13284</v>
      </c>
      <c r="E4697" s="9" t="s">
        <v>13284</v>
      </c>
      <c r="F4697" s="9" t="s">
        <v>13284</v>
      </c>
      <c r="G4697" s="9" t="s">
        <v>13284</v>
      </c>
      <c r="H4697" s="9" t="s">
        <v>13284</v>
      </c>
      <c r="I4697" s="9" t="s">
        <v>13284</v>
      </c>
      <c r="J4697" s="9" t="s">
        <v>13284</v>
      </c>
      <c r="K4697" s="9" t="s">
        <v>13284</v>
      </c>
      <c r="L4697" s="9" t="s">
        <v>13284</v>
      </c>
      <c r="M4697" s="9" t="s">
        <v>13284</v>
      </c>
      <c r="N4697" s="9" t="s">
        <v>13284</v>
      </c>
      <c r="O4697" s="9" t="s">
        <v>13284</v>
      </c>
      <c r="P4697" s="9" t="s">
        <v>13284</v>
      </c>
      <c r="Q4697" s="9" t="s">
        <v>13284</v>
      </c>
      <c r="R4697" s="9" t="s">
        <v>13284</v>
      </c>
      <c r="S4697" s="9" t="s">
        <v>13284</v>
      </c>
      <c r="T4697" s="9" t="str">
        <f ca="1">IFERROR(IF(AND(VLOOKUP(A4697, 'Актуальное состояние (из общего'!A:C,3,0) = "", A4697 &lt;&gt; ""), "ПРОВЕРИТЬ", VLOOKUP(A4697, 'Актуальное состояние (из общего'!A:C,3,0)), "")</f>
        <v/>
      </c>
      <c r="U4697" s="9" t="s">
        <v>13284</v>
      </c>
      <c r="V4697" s="9" t="s">
        <v>13284</v>
      </c>
      <c r="W4697" s="12"/>
      <c r="X4697" s="9" t="str">
        <f t="array" ref="X4697">IFERROR(INDEX('Адреса общежитий (скрытый)'!$B$2:$B$9, MATCH(W4697, 'Адреса общежитий (скрытый)'!$A$2:$A$9, 0)), "")</f>
        <v/>
      </c>
      <c r="Y4697" s="18"/>
      <c r="Z4697" s="18"/>
      <c r="AA4697" s="18"/>
      <c r="AB4697" s="18"/>
      <c r="AC4697" s="18"/>
    </row>
    <row r="4698" spans="1:29" ht="32.25" hidden="1" customHeight="1">
      <c r="A4698" s="17"/>
      <c r="B4698" s="9" t="s">
        <v>13284</v>
      </c>
      <c r="C4698" s="9" t="s">
        <v>13284</v>
      </c>
      <c r="D4698" s="9" t="s">
        <v>13284</v>
      </c>
      <c r="E4698" s="9" t="s">
        <v>13284</v>
      </c>
      <c r="F4698" s="9" t="s">
        <v>13284</v>
      </c>
      <c r="G4698" s="9" t="s">
        <v>13284</v>
      </c>
      <c r="H4698" s="9" t="s">
        <v>13284</v>
      </c>
      <c r="I4698" s="9" t="s">
        <v>13284</v>
      </c>
      <c r="J4698" s="9" t="s">
        <v>13284</v>
      </c>
      <c r="K4698" s="9" t="s">
        <v>13284</v>
      </c>
      <c r="L4698" s="9" t="s">
        <v>13284</v>
      </c>
      <c r="M4698" s="9" t="s">
        <v>13284</v>
      </c>
      <c r="N4698" s="9" t="s">
        <v>13284</v>
      </c>
      <c r="O4698" s="9" t="s">
        <v>13284</v>
      </c>
      <c r="P4698" s="9" t="s">
        <v>13284</v>
      </c>
      <c r="Q4698" s="9" t="s">
        <v>13284</v>
      </c>
      <c r="R4698" s="9" t="s">
        <v>13284</v>
      </c>
      <c r="S4698" s="9" t="s">
        <v>13284</v>
      </c>
      <c r="T4698" s="9" t="str">
        <f ca="1">IFERROR(IF(AND(VLOOKUP(A4698, 'Актуальное состояние (из общего'!A:C,3,0) = "", A4698 &lt;&gt; ""), "ПРОВЕРИТЬ", VLOOKUP(A4698, 'Актуальное состояние (из общего'!A:C,3,0)), "")</f>
        <v/>
      </c>
      <c r="U4698" s="9" t="s">
        <v>13284</v>
      </c>
      <c r="V4698" s="9" t="s">
        <v>13284</v>
      </c>
      <c r="W4698" s="12"/>
      <c r="X4698" s="9" t="str">
        <f t="array" ref="X4698">IFERROR(INDEX('Адреса общежитий (скрытый)'!$B$2:$B$9, MATCH(W4698, 'Адреса общежитий (скрытый)'!$A$2:$A$9, 0)), "")</f>
        <v/>
      </c>
      <c r="Y4698" s="18"/>
      <c r="Z4698" s="18"/>
      <c r="AA4698" s="18"/>
      <c r="AB4698" s="18"/>
      <c r="AC4698" s="18"/>
    </row>
    <row r="4699" spans="1:29" ht="32.25" hidden="1" customHeight="1">
      <c r="A4699" s="17"/>
      <c r="B4699" s="9" t="s">
        <v>13284</v>
      </c>
      <c r="C4699" s="9" t="s">
        <v>13284</v>
      </c>
      <c r="D4699" s="9" t="s">
        <v>13284</v>
      </c>
      <c r="E4699" s="9" t="s">
        <v>13284</v>
      </c>
      <c r="F4699" s="9" t="s">
        <v>13284</v>
      </c>
      <c r="G4699" s="9" t="s">
        <v>13284</v>
      </c>
      <c r="H4699" s="9" t="s">
        <v>13284</v>
      </c>
      <c r="I4699" s="9" t="s">
        <v>13284</v>
      </c>
      <c r="J4699" s="9" t="s">
        <v>13284</v>
      </c>
      <c r="K4699" s="9" t="s">
        <v>13284</v>
      </c>
      <c r="L4699" s="9" t="s">
        <v>13284</v>
      </c>
      <c r="M4699" s="9" t="s">
        <v>13284</v>
      </c>
      <c r="N4699" s="9" t="s">
        <v>13284</v>
      </c>
      <c r="O4699" s="9" t="s">
        <v>13284</v>
      </c>
      <c r="P4699" s="9" t="s">
        <v>13284</v>
      </c>
      <c r="Q4699" s="9" t="s">
        <v>13284</v>
      </c>
      <c r="R4699" s="9" t="s">
        <v>13284</v>
      </c>
      <c r="S4699" s="9" t="s">
        <v>13284</v>
      </c>
      <c r="T4699" s="9" t="str">
        <f ca="1">IFERROR(IF(AND(VLOOKUP(A4699, 'Актуальное состояние (из общего'!A:C,3,0) = "", A4699 &lt;&gt; ""), "ПРОВЕРИТЬ", VLOOKUP(A4699, 'Актуальное состояние (из общего'!A:C,3,0)), "")</f>
        <v/>
      </c>
      <c r="U4699" s="9" t="s">
        <v>13284</v>
      </c>
      <c r="V4699" s="9" t="s">
        <v>13284</v>
      </c>
      <c r="W4699" s="12"/>
      <c r="X4699" s="9" t="str">
        <f t="array" ref="X4699">IFERROR(INDEX('Адреса общежитий (скрытый)'!$B$2:$B$9, MATCH(W4699, 'Адреса общежитий (скрытый)'!$A$2:$A$9, 0)), "")</f>
        <v/>
      </c>
      <c r="Y4699" s="18"/>
      <c r="Z4699" s="18"/>
      <c r="AA4699" s="18"/>
      <c r="AB4699" s="18"/>
      <c r="AC4699" s="18"/>
    </row>
    <row r="4700" spans="1:29" ht="32.25" hidden="1" customHeight="1">
      <c r="A4700" s="17"/>
      <c r="B4700" s="9" t="s">
        <v>13284</v>
      </c>
      <c r="C4700" s="9" t="s">
        <v>13284</v>
      </c>
      <c r="D4700" s="9" t="s">
        <v>13284</v>
      </c>
      <c r="E4700" s="9" t="s">
        <v>13284</v>
      </c>
      <c r="F4700" s="9" t="s">
        <v>13284</v>
      </c>
      <c r="G4700" s="9" t="s">
        <v>13284</v>
      </c>
      <c r="H4700" s="9" t="s">
        <v>13284</v>
      </c>
      <c r="I4700" s="9" t="s">
        <v>13284</v>
      </c>
      <c r="J4700" s="9" t="s">
        <v>13284</v>
      </c>
      <c r="K4700" s="9" t="s">
        <v>13284</v>
      </c>
      <c r="L4700" s="9" t="s">
        <v>13284</v>
      </c>
      <c r="M4700" s="9" t="s">
        <v>13284</v>
      </c>
      <c r="N4700" s="9" t="s">
        <v>13284</v>
      </c>
      <c r="O4700" s="9" t="s">
        <v>13284</v>
      </c>
      <c r="P4700" s="9" t="s">
        <v>13284</v>
      </c>
      <c r="Q4700" s="9" t="s">
        <v>13284</v>
      </c>
      <c r="R4700" s="9" t="s">
        <v>13284</v>
      </c>
      <c r="S4700" s="9" t="s">
        <v>13284</v>
      </c>
      <c r="T4700" s="9" t="str">
        <f ca="1">IFERROR(IF(AND(VLOOKUP(A4700, 'Актуальное состояние (из общего'!A:C,3,0) = "", A4700 &lt;&gt; ""), "ПРОВЕРИТЬ", VLOOKUP(A4700, 'Актуальное состояние (из общего'!A:C,3,0)), "")</f>
        <v/>
      </c>
      <c r="U4700" s="9" t="s">
        <v>13284</v>
      </c>
      <c r="V4700" s="9" t="s">
        <v>13284</v>
      </c>
      <c r="W4700" s="12"/>
      <c r="X4700" s="9" t="str">
        <f t="array" ref="X4700">IFERROR(INDEX('Адреса общежитий (скрытый)'!$B$2:$B$9, MATCH(W4700, 'Адреса общежитий (скрытый)'!$A$2:$A$9, 0)), "")</f>
        <v/>
      </c>
      <c r="Y4700" s="18"/>
      <c r="Z4700" s="18"/>
      <c r="AA4700" s="18"/>
      <c r="AB4700" s="18"/>
      <c r="AC4700" s="18"/>
    </row>
    <row r="4701" spans="1:29" ht="32.25" hidden="1" customHeight="1">
      <c r="A4701" s="17"/>
      <c r="B4701" s="9" t="s">
        <v>13284</v>
      </c>
      <c r="C4701" s="9" t="s">
        <v>13284</v>
      </c>
      <c r="D4701" s="9" t="s">
        <v>13284</v>
      </c>
      <c r="E4701" s="9" t="s">
        <v>13284</v>
      </c>
      <c r="F4701" s="9" t="s">
        <v>13284</v>
      </c>
      <c r="G4701" s="9" t="s">
        <v>13284</v>
      </c>
      <c r="H4701" s="9" t="s">
        <v>13284</v>
      </c>
      <c r="I4701" s="9" t="s">
        <v>13284</v>
      </c>
      <c r="J4701" s="9" t="s">
        <v>13284</v>
      </c>
      <c r="K4701" s="9" t="s">
        <v>13284</v>
      </c>
      <c r="L4701" s="9" t="s">
        <v>13284</v>
      </c>
      <c r="M4701" s="9" t="s">
        <v>13284</v>
      </c>
      <c r="N4701" s="9" t="s">
        <v>13284</v>
      </c>
      <c r="O4701" s="9" t="s">
        <v>13284</v>
      </c>
      <c r="P4701" s="9" t="s">
        <v>13284</v>
      </c>
      <c r="Q4701" s="9" t="s">
        <v>13284</v>
      </c>
      <c r="R4701" s="9" t="s">
        <v>13284</v>
      </c>
      <c r="S4701" s="9" t="s">
        <v>13284</v>
      </c>
      <c r="T4701" s="9" t="str">
        <f ca="1">IFERROR(IF(AND(VLOOKUP(A4701, 'Актуальное состояние (из общего'!A:C,3,0) = "", A4701 &lt;&gt; ""), "ПРОВЕРИТЬ", VLOOKUP(A4701, 'Актуальное состояние (из общего'!A:C,3,0)), "")</f>
        <v/>
      </c>
      <c r="U4701" s="9" t="s">
        <v>13284</v>
      </c>
      <c r="V4701" s="9" t="s">
        <v>13284</v>
      </c>
      <c r="W4701" s="12"/>
      <c r="X4701" s="9" t="str">
        <f t="array" ref="X4701">IFERROR(INDEX('Адреса общежитий (скрытый)'!$B$2:$B$9, MATCH(W4701, 'Адреса общежитий (скрытый)'!$A$2:$A$9, 0)), "")</f>
        <v/>
      </c>
      <c r="Y4701" s="18"/>
      <c r="Z4701" s="18"/>
      <c r="AA4701" s="18"/>
      <c r="AB4701" s="18"/>
      <c r="AC4701" s="18"/>
    </row>
    <row r="4702" spans="1:29" ht="32.25" hidden="1" customHeight="1">
      <c r="A4702" s="17"/>
      <c r="B4702" s="9" t="s">
        <v>13284</v>
      </c>
      <c r="C4702" s="9" t="s">
        <v>13284</v>
      </c>
      <c r="D4702" s="9" t="s">
        <v>13284</v>
      </c>
      <c r="E4702" s="9" t="s">
        <v>13284</v>
      </c>
      <c r="F4702" s="9" t="s">
        <v>13284</v>
      </c>
      <c r="G4702" s="9" t="s">
        <v>13284</v>
      </c>
      <c r="H4702" s="9" t="s">
        <v>13284</v>
      </c>
      <c r="I4702" s="9" t="s">
        <v>13284</v>
      </c>
      <c r="J4702" s="9" t="s">
        <v>13284</v>
      </c>
      <c r="K4702" s="9" t="s">
        <v>13284</v>
      </c>
      <c r="L4702" s="9" t="s">
        <v>13284</v>
      </c>
      <c r="M4702" s="9" t="s">
        <v>13284</v>
      </c>
      <c r="N4702" s="9" t="s">
        <v>13284</v>
      </c>
      <c r="O4702" s="9" t="s">
        <v>13284</v>
      </c>
      <c r="P4702" s="9" t="s">
        <v>13284</v>
      </c>
      <c r="Q4702" s="9" t="s">
        <v>13284</v>
      </c>
      <c r="R4702" s="9" t="s">
        <v>13284</v>
      </c>
      <c r="S4702" s="9" t="s">
        <v>13284</v>
      </c>
      <c r="T4702" s="9" t="str">
        <f ca="1">IFERROR(IF(AND(VLOOKUP(A4702, 'Актуальное состояние (из общего'!A:C,3,0) = "", A4702 &lt;&gt; ""), "ПРОВЕРИТЬ", VLOOKUP(A4702, 'Актуальное состояние (из общего'!A:C,3,0)), "")</f>
        <v/>
      </c>
      <c r="U4702" s="9" t="s">
        <v>13284</v>
      </c>
      <c r="V4702" s="9" t="s">
        <v>13284</v>
      </c>
      <c r="W4702" s="12"/>
      <c r="X4702" s="9" t="str">
        <f t="array" ref="X4702">IFERROR(INDEX('Адреса общежитий (скрытый)'!$B$2:$B$9, MATCH(W4702, 'Адреса общежитий (скрытый)'!$A$2:$A$9, 0)), "")</f>
        <v/>
      </c>
      <c r="Y4702" s="18"/>
      <c r="Z4702" s="18"/>
      <c r="AA4702" s="18"/>
      <c r="AB4702" s="18"/>
      <c r="AC4702" s="18"/>
    </row>
    <row r="4703" spans="1:29" ht="32.25" hidden="1" customHeight="1">
      <c r="A4703" s="17"/>
      <c r="B4703" s="9" t="s">
        <v>13284</v>
      </c>
      <c r="C4703" s="9" t="s">
        <v>13284</v>
      </c>
      <c r="D4703" s="9" t="s">
        <v>13284</v>
      </c>
      <c r="E4703" s="9" t="s">
        <v>13284</v>
      </c>
      <c r="F4703" s="9" t="s">
        <v>13284</v>
      </c>
      <c r="G4703" s="9" t="s">
        <v>13284</v>
      </c>
      <c r="H4703" s="9" t="s">
        <v>13284</v>
      </c>
      <c r="I4703" s="9" t="s">
        <v>13284</v>
      </c>
      <c r="J4703" s="9" t="s">
        <v>13284</v>
      </c>
      <c r="K4703" s="9" t="s">
        <v>13284</v>
      </c>
      <c r="L4703" s="9" t="s">
        <v>13284</v>
      </c>
      <c r="M4703" s="9" t="s">
        <v>13284</v>
      </c>
      <c r="N4703" s="9" t="s">
        <v>13284</v>
      </c>
      <c r="O4703" s="9" t="s">
        <v>13284</v>
      </c>
      <c r="P4703" s="9" t="s">
        <v>13284</v>
      </c>
      <c r="Q4703" s="9" t="s">
        <v>13284</v>
      </c>
      <c r="R4703" s="9" t="s">
        <v>13284</v>
      </c>
      <c r="S4703" s="9" t="s">
        <v>13284</v>
      </c>
      <c r="T4703" s="9" t="str">
        <f ca="1">IFERROR(IF(AND(VLOOKUP(A4703, 'Актуальное состояние (из общего'!A:C,3,0) = "", A4703 &lt;&gt; ""), "ПРОВЕРИТЬ", VLOOKUP(A4703, 'Актуальное состояние (из общего'!A:C,3,0)), "")</f>
        <v/>
      </c>
      <c r="U4703" s="9" t="s">
        <v>13284</v>
      </c>
      <c r="V4703" s="9" t="s">
        <v>13284</v>
      </c>
      <c r="W4703" s="12"/>
      <c r="X4703" s="9" t="str">
        <f t="array" ref="X4703">IFERROR(INDEX('Адреса общежитий (скрытый)'!$B$2:$B$9, MATCH(W4703, 'Адреса общежитий (скрытый)'!$A$2:$A$9, 0)), "")</f>
        <v/>
      </c>
      <c r="Y4703" s="18"/>
      <c r="Z4703" s="18"/>
      <c r="AA4703" s="18"/>
      <c r="AB4703" s="18"/>
      <c r="AC4703" s="18"/>
    </row>
    <row r="4704" spans="1:29" ht="32.25" hidden="1" customHeight="1">
      <c r="A4704" s="17"/>
      <c r="B4704" s="9" t="s">
        <v>13284</v>
      </c>
      <c r="C4704" s="9" t="s">
        <v>13284</v>
      </c>
      <c r="D4704" s="9" t="s">
        <v>13284</v>
      </c>
      <c r="E4704" s="9" t="s">
        <v>13284</v>
      </c>
      <c r="F4704" s="9" t="s">
        <v>13284</v>
      </c>
      <c r="G4704" s="9" t="s">
        <v>13284</v>
      </c>
      <c r="H4704" s="9" t="s">
        <v>13284</v>
      </c>
      <c r="I4704" s="9" t="s">
        <v>13284</v>
      </c>
      <c r="J4704" s="9" t="s">
        <v>13284</v>
      </c>
      <c r="K4704" s="9" t="s">
        <v>13284</v>
      </c>
      <c r="L4704" s="9" t="s">
        <v>13284</v>
      </c>
      <c r="M4704" s="9" t="s">
        <v>13284</v>
      </c>
      <c r="N4704" s="9" t="s">
        <v>13284</v>
      </c>
      <c r="O4704" s="9" t="s">
        <v>13284</v>
      </c>
      <c r="P4704" s="9" t="s">
        <v>13284</v>
      </c>
      <c r="Q4704" s="9" t="s">
        <v>13284</v>
      </c>
      <c r="R4704" s="9" t="s">
        <v>13284</v>
      </c>
      <c r="S4704" s="9" t="s">
        <v>13284</v>
      </c>
      <c r="T4704" s="9" t="str">
        <f ca="1">IFERROR(IF(AND(VLOOKUP(A4704, 'Актуальное состояние (из общего'!A:C,3,0) = "", A4704 &lt;&gt; ""), "ПРОВЕРИТЬ", VLOOKUP(A4704, 'Актуальное состояние (из общего'!A:C,3,0)), "")</f>
        <v/>
      </c>
      <c r="U4704" s="9" t="s">
        <v>13284</v>
      </c>
      <c r="V4704" s="9" t="s">
        <v>13284</v>
      </c>
      <c r="W4704" s="12"/>
      <c r="X4704" s="9" t="str">
        <f t="array" ref="X4704">IFERROR(INDEX('Адреса общежитий (скрытый)'!$B$2:$B$9, MATCH(W4704, 'Адреса общежитий (скрытый)'!$A$2:$A$9, 0)), "")</f>
        <v/>
      </c>
      <c r="Y4704" s="18"/>
      <c r="Z4704" s="18"/>
      <c r="AA4704" s="18"/>
      <c r="AB4704" s="18"/>
      <c r="AC4704" s="18"/>
    </row>
    <row r="4705" spans="1:29" ht="32.25" hidden="1" customHeight="1">
      <c r="A4705" s="17"/>
      <c r="B4705" s="9" t="s">
        <v>13284</v>
      </c>
      <c r="C4705" s="9" t="s">
        <v>13284</v>
      </c>
      <c r="D4705" s="9" t="s">
        <v>13284</v>
      </c>
      <c r="E4705" s="9" t="s">
        <v>13284</v>
      </c>
      <c r="F4705" s="9" t="s">
        <v>13284</v>
      </c>
      <c r="G4705" s="9" t="s">
        <v>13284</v>
      </c>
      <c r="H4705" s="9" t="s">
        <v>13284</v>
      </c>
      <c r="I4705" s="9" t="s">
        <v>13284</v>
      </c>
      <c r="J4705" s="9" t="s">
        <v>13284</v>
      </c>
      <c r="K4705" s="9" t="s">
        <v>13284</v>
      </c>
      <c r="L4705" s="9" t="s">
        <v>13284</v>
      </c>
      <c r="M4705" s="9" t="s">
        <v>13284</v>
      </c>
      <c r="N4705" s="9" t="s">
        <v>13284</v>
      </c>
      <c r="O4705" s="9" t="s">
        <v>13284</v>
      </c>
      <c r="P4705" s="9" t="s">
        <v>13284</v>
      </c>
      <c r="Q4705" s="9" t="s">
        <v>13284</v>
      </c>
      <c r="R4705" s="9" t="s">
        <v>13284</v>
      </c>
      <c r="S4705" s="9" t="s">
        <v>13284</v>
      </c>
      <c r="T4705" s="9" t="str">
        <f ca="1">IFERROR(IF(AND(VLOOKUP(A4705, 'Актуальное состояние (из общего'!A:C,3,0) = "", A4705 &lt;&gt; ""), "ПРОВЕРИТЬ", VLOOKUP(A4705, 'Актуальное состояние (из общего'!A:C,3,0)), "")</f>
        <v/>
      </c>
      <c r="U4705" s="9" t="s">
        <v>13284</v>
      </c>
      <c r="V4705" s="9" t="s">
        <v>13284</v>
      </c>
      <c r="W4705" s="12"/>
      <c r="X4705" s="9" t="str">
        <f t="array" ref="X4705">IFERROR(INDEX('Адреса общежитий (скрытый)'!$B$2:$B$9, MATCH(W4705, 'Адреса общежитий (скрытый)'!$A$2:$A$9, 0)), "")</f>
        <v/>
      </c>
      <c r="Y4705" s="18"/>
      <c r="Z4705" s="18"/>
      <c r="AA4705" s="18"/>
      <c r="AB4705" s="18"/>
      <c r="AC4705" s="18"/>
    </row>
    <row r="4706" spans="1:29" ht="32.25" hidden="1" customHeight="1">
      <c r="A4706" s="17"/>
      <c r="B4706" s="9" t="s">
        <v>13284</v>
      </c>
      <c r="C4706" s="9" t="s">
        <v>13284</v>
      </c>
      <c r="D4706" s="9" t="s">
        <v>13284</v>
      </c>
      <c r="E4706" s="9" t="s">
        <v>13284</v>
      </c>
      <c r="F4706" s="9" t="s">
        <v>13284</v>
      </c>
      <c r="G4706" s="9" t="s">
        <v>13284</v>
      </c>
      <c r="H4706" s="9" t="s">
        <v>13284</v>
      </c>
      <c r="I4706" s="9" t="s">
        <v>13284</v>
      </c>
      <c r="J4706" s="9" t="s">
        <v>13284</v>
      </c>
      <c r="K4706" s="9" t="s">
        <v>13284</v>
      </c>
      <c r="L4706" s="9" t="s">
        <v>13284</v>
      </c>
      <c r="M4706" s="9" t="s">
        <v>13284</v>
      </c>
      <c r="N4706" s="9" t="s">
        <v>13284</v>
      </c>
      <c r="O4706" s="9" t="s">
        <v>13284</v>
      </c>
      <c r="P4706" s="9" t="s">
        <v>13284</v>
      </c>
      <c r="Q4706" s="9" t="s">
        <v>13284</v>
      </c>
      <c r="R4706" s="9" t="s">
        <v>13284</v>
      </c>
      <c r="S4706" s="9" t="s">
        <v>13284</v>
      </c>
      <c r="T4706" s="9" t="str">
        <f ca="1">IFERROR(IF(AND(VLOOKUP(A4706, 'Актуальное состояние (из общего'!A:C,3,0) = "", A4706 &lt;&gt; ""), "ПРОВЕРИТЬ", VLOOKUP(A4706, 'Актуальное состояние (из общего'!A:C,3,0)), "")</f>
        <v/>
      </c>
      <c r="U4706" s="9" t="s">
        <v>13284</v>
      </c>
      <c r="V4706" s="9" t="s">
        <v>13284</v>
      </c>
      <c r="W4706" s="12"/>
      <c r="X4706" s="9" t="str">
        <f t="array" ref="X4706">IFERROR(INDEX('Адреса общежитий (скрытый)'!$B$2:$B$9, MATCH(W4706, 'Адреса общежитий (скрытый)'!$A$2:$A$9, 0)), "")</f>
        <v/>
      </c>
      <c r="Y4706" s="18"/>
      <c r="Z4706" s="18"/>
      <c r="AA4706" s="18"/>
      <c r="AB4706" s="18"/>
      <c r="AC4706" s="18"/>
    </row>
    <row r="4707" spans="1:29" ht="32.25" hidden="1" customHeight="1">
      <c r="A4707" s="17"/>
      <c r="B4707" s="9" t="s">
        <v>13284</v>
      </c>
      <c r="C4707" s="9" t="s">
        <v>13284</v>
      </c>
      <c r="D4707" s="9" t="s">
        <v>13284</v>
      </c>
      <c r="E4707" s="9" t="s">
        <v>13284</v>
      </c>
      <c r="F4707" s="9" t="s">
        <v>13284</v>
      </c>
      <c r="G4707" s="9" t="s">
        <v>13284</v>
      </c>
      <c r="H4707" s="9" t="s">
        <v>13284</v>
      </c>
      <c r="I4707" s="9" t="s">
        <v>13284</v>
      </c>
      <c r="J4707" s="9" t="s">
        <v>13284</v>
      </c>
      <c r="K4707" s="9" t="s">
        <v>13284</v>
      </c>
      <c r="L4707" s="9" t="s">
        <v>13284</v>
      </c>
      <c r="M4707" s="9" t="s">
        <v>13284</v>
      </c>
      <c r="N4707" s="9" t="s">
        <v>13284</v>
      </c>
      <c r="O4707" s="9" t="s">
        <v>13284</v>
      </c>
      <c r="P4707" s="9" t="s">
        <v>13284</v>
      </c>
      <c r="Q4707" s="9" t="s">
        <v>13284</v>
      </c>
      <c r="R4707" s="9" t="s">
        <v>13284</v>
      </c>
      <c r="S4707" s="9" t="s">
        <v>13284</v>
      </c>
      <c r="T4707" s="9" t="str">
        <f ca="1">IFERROR(IF(AND(VLOOKUP(A4707, 'Актуальное состояние (из общего'!A:C,3,0) = "", A4707 &lt;&gt; ""), "ПРОВЕРИТЬ", VLOOKUP(A4707, 'Актуальное состояние (из общего'!A:C,3,0)), "")</f>
        <v/>
      </c>
      <c r="U4707" s="9" t="s">
        <v>13284</v>
      </c>
      <c r="V4707" s="9" t="s">
        <v>13284</v>
      </c>
      <c r="W4707" s="12"/>
      <c r="X4707" s="9" t="str">
        <f t="array" ref="X4707">IFERROR(INDEX('Адреса общежитий (скрытый)'!$B$2:$B$9, MATCH(W4707, 'Адреса общежитий (скрытый)'!$A$2:$A$9, 0)), "")</f>
        <v/>
      </c>
      <c r="Y4707" s="18"/>
      <c r="Z4707" s="18"/>
      <c r="AA4707" s="18"/>
      <c r="AB4707" s="18"/>
      <c r="AC4707" s="18"/>
    </row>
    <row r="4708" spans="1:29" ht="32.25" hidden="1" customHeight="1">
      <c r="A4708" s="17"/>
      <c r="B4708" s="9" t="s">
        <v>13284</v>
      </c>
      <c r="C4708" s="9" t="s">
        <v>13284</v>
      </c>
      <c r="D4708" s="9" t="s">
        <v>13284</v>
      </c>
      <c r="E4708" s="9" t="s">
        <v>13284</v>
      </c>
      <c r="F4708" s="9" t="s">
        <v>13284</v>
      </c>
      <c r="G4708" s="9" t="s">
        <v>13284</v>
      </c>
      <c r="H4708" s="9" t="s">
        <v>13284</v>
      </c>
      <c r="I4708" s="9" t="s">
        <v>13284</v>
      </c>
      <c r="J4708" s="9" t="s">
        <v>13284</v>
      </c>
      <c r="K4708" s="9" t="s">
        <v>13284</v>
      </c>
      <c r="L4708" s="9" t="s">
        <v>13284</v>
      </c>
      <c r="M4708" s="9" t="s">
        <v>13284</v>
      </c>
      <c r="N4708" s="9" t="s">
        <v>13284</v>
      </c>
      <c r="O4708" s="9" t="s">
        <v>13284</v>
      </c>
      <c r="P4708" s="9" t="s">
        <v>13284</v>
      </c>
      <c r="Q4708" s="9" t="s">
        <v>13284</v>
      </c>
      <c r="R4708" s="9" t="s">
        <v>13284</v>
      </c>
      <c r="S4708" s="9" t="s">
        <v>13284</v>
      </c>
      <c r="T4708" s="9" t="str">
        <f ca="1">IFERROR(IF(AND(VLOOKUP(A4708, 'Актуальное состояние (из общего'!A:C,3,0) = "", A4708 &lt;&gt; ""), "ПРОВЕРИТЬ", VLOOKUP(A4708, 'Актуальное состояние (из общего'!A:C,3,0)), "")</f>
        <v/>
      </c>
      <c r="U4708" s="9" t="s">
        <v>13284</v>
      </c>
      <c r="V4708" s="9" t="s">
        <v>13284</v>
      </c>
      <c r="W4708" s="12"/>
      <c r="X4708" s="9" t="str">
        <f t="array" ref="X4708">IFERROR(INDEX('Адреса общежитий (скрытый)'!$B$2:$B$9, MATCH(W4708, 'Адреса общежитий (скрытый)'!$A$2:$A$9, 0)), "")</f>
        <v/>
      </c>
      <c r="Y4708" s="18"/>
      <c r="Z4708" s="18"/>
      <c r="AA4708" s="18"/>
      <c r="AB4708" s="18"/>
      <c r="AC4708" s="18"/>
    </row>
    <row r="4709" spans="1:29" ht="32.25" hidden="1" customHeight="1">
      <c r="A4709" s="17"/>
      <c r="B4709" s="9" t="s">
        <v>13284</v>
      </c>
      <c r="C4709" s="9" t="s">
        <v>13284</v>
      </c>
      <c r="D4709" s="9" t="s">
        <v>13284</v>
      </c>
      <c r="E4709" s="9" t="s">
        <v>13284</v>
      </c>
      <c r="F4709" s="9" t="s">
        <v>13284</v>
      </c>
      <c r="G4709" s="9" t="s">
        <v>13284</v>
      </c>
      <c r="H4709" s="9" t="s">
        <v>13284</v>
      </c>
      <c r="I4709" s="9" t="s">
        <v>13284</v>
      </c>
      <c r="J4709" s="9" t="s">
        <v>13284</v>
      </c>
      <c r="K4709" s="9" t="s">
        <v>13284</v>
      </c>
      <c r="L4709" s="9" t="s">
        <v>13284</v>
      </c>
      <c r="M4709" s="9" t="s">
        <v>13284</v>
      </c>
      <c r="N4709" s="9" t="s">
        <v>13284</v>
      </c>
      <c r="O4709" s="9" t="s">
        <v>13284</v>
      </c>
      <c r="P4709" s="9" t="s">
        <v>13284</v>
      </c>
      <c r="Q4709" s="9" t="s">
        <v>13284</v>
      </c>
      <c r="R4709" s="9" t="s">
        <v>13284</v>
      </c>
      <c r="S4709" s="9" t="s">
        <v>13284</v>
      </c>
      <c r="T4709" s="9" t="str">
        <f ca="1">IFERROR(IF(AND(VLOOKUP(A4709, 'Актуальное состояние (из общего'!A:C,3,0) = "", A4709 &lt;&gt; ""), "ПРОВЕРИТЬ", VLOOKUP(A4709, 'Актуальное состояние (из общего'!A:C,3,0)), "")</f>
        <v/>
      </c>
      <c r="U4709" s="9" t="s">
        <v>13284</v>
      </c>
      <c r="V4709" s="9" t="s">
        <v>13284</v>
      </c>
      <c r="W4709" s="12"/>
      <c r="X4709" s="9" t="str">
        <f t="array" ref="X4709">IFERROR(INDEX('Адреса общежитий (скрытый)'!$B$2:$B$9, MATCH(W4709, 'Адреса общежитий (скрытый)'!$A$2:$A$9, 0)), "")</f>
        <v/>
      </c>
      <c r="Y4709" s="18"/>
      <c r="Z4709" s="18"/>
      <c r="AA4709" s="18"/>
      <c r="AB4709" s="18"/>
      <c r="AC4709" s="18"/>
    </row>
    <row r="4710" spans="1:29" ht="32.25" hidden="1" customHeight="1">
      <c r="A4710" s="17"/>
      <c r="B4710" s="9" t="s">
        <v>13284</v>
      </c>
      <c r="C4710" s="9" t="s">
        <v>13284</v>
      </c>
      <c r="D4710" s="9" t="s">
        <v>13284</v>
      </c>
      <c r="E4710" s="9" t="s">
        <v>13284</v>
      </c>
      <c r="F4710" s="9" t="s">
        <v>13284</v>
      </c>
      <c r="G4710" s="9" t="s">
        <v>13284</v>
      </c>
      <c r="H4710" s="9" t="s">
        <v>13284</v>
      </c>
      <c r="I4710" s="9" t="s">
        <v>13284</v>
      </c>
      <c r="J4710" s="9" t="s">
        <v>13284</v>
      </c>
      <c r="K4710" s="9" t="s">
        <v>13284</v>
      </c>
      <c r="L4710" s="9" t="s">
        <v>13284</v>
      </c>
      <c r="M4710" s="9" t="s">
        <v>13284</v>
      </c>
      <c r="N4710" s="9" t="s">
        <v>13284</v>
      </c>
      <c r="O4710" s="9" t="s">
        <v>13284</v>
      </c>
      <c r="P4710" s="9" t="s">
        <v>13284</v>
      </c>
      <c r="Q4710" s="9" t="s">
        <v>13284</v>
      </c>
      <c r="R4710" s="9" t="s">
        <v>13284</v>
      </c>
      <c r="S4710" s="9" t="s">
        <v>13284</v>
      </c>
      <c r="T4710" s="9" t="str">
        <f ca="1">IFERROR(IF(AND(VLOOKUP(A4710, 'Актуальное состояние (из общего'!A:C,3,0) = "", A4710 &lt;&gt; ""), "ПРОВЕРИТЬ", VLOOKUP(A4710, 'Актуальное состояние (из общего'!A:C,3,0)), "")</f>
        <v/>
      </c>
      <c r="U4710" s="9" t="s">
        <v>13284</v>
      </c>
      <c r="V4710" s="9" t="s">
        <v>13284</v>
      </c>
      <c r="W4710" s="12"/>
      <c r="X4710" s="9" t="str">
        <f t="array" ref="X4710">IFERROR(INDEX('Адреса общежитий (скрытый)'!$B$2:$B$9, MATCH(W4710, 'Адреса общежитий (скрытый)'!$A$2:$A$9, 0)), "")</f>
        <v/>
      </c>
      <c r="Y4710" s="18"/>
      <c r="Z4710" s="18"/>
      <c r="AA4710" s="18"/>
      <c r="AB4710" s="18"/>
      <c r="AC4710" s="18"/>
    </row>
    <row r="4711" spans="1:29" ht="32.25" hidden="1" customHeight="1">
      <c r="A4711" s="17"/>
      <c r="B4711" s="9" t="s">
        <v>13284</v>
      </c>
      <c r="C4711" s="9" t="s">
        <v>13284</v>
      </c>
      <c r="D4711" s="9" t="s">
        <v>13284</v>
      </c>
      <c r="E4711" s="9" t="s">
        <v>13284</v>
      </c>
      <c r="F4711" s="9" t="s">
        <v>13284</v>
      </c>
      <c r="G4711" s="9" t="s">
        <v>13284</v>
      </c>
      <c r="H4711" s="9" t="s">
        <v>13284</v>
      </c>
      <c r="I4711" s="9" t="s">
        <v>13284</v>
      </c>
      <c r="J4711" s="9" t="s">
        <v>13284</v>
      </c>
      <c r="K4711" s="9" t="s">
        <v>13284</v>
      </c>
      <c r="L4711" s="9" t="s">
        <v>13284</v>
      </c>
      <c r="M4711" s="9" t="s">
        <v>13284</v>
      </c>
      <c r="N4711" s="9" t="s">
        <v>13284</v>
      </c>
      <c r="O4711" s="9" t="s">
        <v>13284</v>
      </c>
      <c r="P4711" s="9" t="s">
        <v>13284</v>
      </c>
      <c r="Q4711" s="9" t="s">
        <v>13284</v>
      </c>
      <c r="R4711" s="9" t="s">
        <v>13284</v>
      </c>
      <c r="S4711" s="9" t="s">
        <v>13284</v>
      </c>
      <c r="T4711" s="9" t="str">
        <f ca="1">IFERROR(IF(AND(VLOOKUP(A4711, 'Актуальное состояние (из общего'!A:C,3,0) = "", A4711 &lt;&gt; ""), "ПРОВЕРИТЬ", VLOOKUP(A4711, 'Актуальное состояние (из общего'!A:C,3,0)), "")</f>
        <v/>
      </c>
      <c r="U4711" s="9" t="s">
        <v>13284</v>
      </c>
      <c r="V4711" s="9" t="s">
        <v>13284</v>
      </c>
      <c r="W4711" s="12"/>
      <c r="X4711" s="9" t="str">
        <f t="array" ref="X4711">IFERROR(INDEX('Адреса общежитий (скрытый)'!$B$2:$B$9, MATCH(W4711, 'Адреса общежитий (скрытый)'!$A$2:$A$9, 0)), "")</f>
        <v/>
      </c>
      <c r="Y4711" s="18"/>
      <c r="Z4711" s="18"/>
      <c r="AA4711" s="18"/>
      <c r="AB4711" s="18"/>
      <c r="AC4711" s="18"/>
    </row>
    <row r="4712" spans="1:29" ht="32.25" hidden="1" customHeight="1">
      <c r="A4712" s="17"/>
      <c r="B4712" s="9" t="s">
        <v>13284</v>
      </c>
      <c r="C4712" s="9" t="s">
        <v>13284</v>
      </c>
      <c r="D4712" s="9" t="s">
        <v>13284</v>
      </c>
      <c r="E4712" s="9" t="s">
        <v>13284</v>
      </c>
      <c r="F4712" s="9" t="s">
        <v>13284</v>
      </c>
      <c r="G4712" s="9" t="s">
        <v>13284</v>
      </c>
      <c r="H4712" s="9" t="s">
        <v>13284</v>
      </c>
      <c r="I4712" s="9" t="s">
        <v>13284</v>
      </c>
      <c r="J4712" s="9" t="s">
        <v>13284</v>
      </c>
      <c r="K4712" s="9" t="s">
        <v>13284</v>
      </c>
      <c r="L4712" s="9" t="s">
        <v>13284</v>
      </c>
      <c r="M4712" s="9" t="s">
        <v>13284</v>
      </c>
      <c r="N4712" s="9" t="s">
        <v>13284</v>
      </c>
      <c r="O4712" s="9" t="s">
        <v>13284</v>
      </c>
      <c r="P4712" s="9" t="s">
        <v>13284</v>
      </c>
      <c r="Q4712" s="9" t="s">
        <v>13284</v>
      </c>
      <c r="R4712" s="9" t="s">
        <v>13284</v>
      </c>
      <c r="S4712" s="9" t="s">
        <v>13284</v>
      </c>
      <c r="T4712" s="9" t="str">
        <f ca="1">IFERROR(IF(AND(VLOOKUP(A4712, 'Актуальное состояние (из общего'!A:C,3,0) = "", A4712 &lt;&gt; ""), "ПРОВЕРИТЬ", VLOOKUP(A4712, 'Актуальное состояние (из общего'!A:C,3,0)), "")</f>
        <v/>
      </c>
      <c r="U4712" s="9" t="s">
        <v>13284</v>
      </c>
      <c r="V4712" s="9" t="s">
        <v>13284</v>
      </c>
      <c r="W4712" s="12"/>
      <c r="X4712" s="9" t="str">
        <f t="array" ref="X4712">IFERROR(INDEX('Адреса общежитий (скрытый)'!$B$2:$B$9, MATCH(W4712, 'Адреса общежитий (скрытый)'!$A$2:$A$9, 0)), "")</f>
        <v/>
      </c>
      <c r="Y4712" s="18"/>
      <c r="Z4712" s="18"/>
      <c r="AA4712" s="18"/>
      <c r="AB4712" s="18"/>
      <c r="AC4712" s="18"/>
    </row>
    <row r="4713" spans="1:29" ht="32.25" hidden="1" customHeight="1">
      <c r="A4713" s="17"/>
      <c r="B4713" s="9" t="s">
        <v>13284</v>
      </c>
      <c r="C4713" s="9" t="s">
        <v>13284</v>
      </c>
      <c r="D4713" s="9" t="s">
        <v>13284</v>
      </c>
      <c r="E4713" s="9" t="s">
        <v>13284</v>
      </c>
      <c r="F4713" s="9" t="s">
        <v>13284</v>
      </c>
      <c r="G4713" s="9" t="s">
        <v>13284</v>
      </c>
      <c r="H4713" s="9" t="s">
        <v>13284</v>
      </c>
      <c r="I4713" s="9" t="s">
        <v>13284</v>
      </c>
      <c r="J4713" s="9" t="s">
        <v>13284</v>
      </c>
      <c r="K4713" s="9" t="s">
        <v>13284</v>
      </c>
      <c r="L4713" s="9" t="s">
        <v>13284</v>
      </c>
      <c r="M4713" s="9" t="s">
        <v>13284</v>
      </c>
      <c r="N4713" s="9" t="s">
        <v>13284</v>
      </c>
      <c r="O4713" s="9" t="s">
        <v>13284</v>
      </c>
      <c r="P4713" s="9" t="s">
        <v>13284</v>
      </c>
      <c r="Q4713" s="9" t="s">
        <v>13284</v>
      </c>
      <c r="R4713" s="9" t="s">
        <v>13284</v>
      </c>
      <c r="S4713" s="9" t="s">
        <v>13284</v>
      </c>
      <c r="T4713" s="9" t="str">
        <f ca="1">IFERROR(IF(AND(VLOOKUP(A4713, 'Актуальное состояние (из общего'!A:C,3,0) = "", A4713 &lt;&gt; ""), "ПРОВЕРИТЬ", VLOOKUP(A4713, 'Актуальное состояние (из общего'!A:C,3,0)), "")</f>
        <v/>
      </c>
      <c r="U4713" s="9" t="s">
        <v>13284</v>
      </c>
      <c r="V4713" s="9" t="s">
        <v>13284</v>
      </c>
      <c r="W4713" s="12"/>
      <c r="X4713" s="9" t="str">
        <f t="array" ref="X4713">IFERROR(INDEX('Адреса общежитий (скрытый)'!$B$2:$B$9, MATCH(W4713, 'Адреса общежитий (скрытый)'!$A$2:$A$9, 0)), "")</f>
        <v/>
      </c>
      <c r="Y4713" s="18"/>
      <c r="Z4713" s="18"/>
      <c r="AA4713" s="18"/>
      <c r="AB4713" s="18"/>
      <c r="AC4713" s="18"/>
    </row>
    <row r="4714" spans="1:29" ht="32.25" hidden="1" customHeight="1">
      <c r="A4714" s="17"/>
      <c r="B4714" s="9" t="s">
        <v>13284</v>
      </c>
      <c r="C4714" s="9" t="s">
        <v>13284</v>
      </c>
      <c r="D4714" s="9" t="s">
        <v>13284</v>
      </c>
      <c r="E4714" s="9" t="s">
        <v>13284</v>
      </c>
      <c r="F4714" s="9" t="s">
        <v>13284</v>
      </c>
      <c r="G4714" s="9" t="s">
        <v>13284</v>
      </c>
      <c r="H4714" s="9" t="s">
        <v>13284</v>
      </c>
      <c r="I4714" s="9" t="s">
        <v>13284</v>
      </c>
      <c r="J4714" s="9" t="s">
        <v>13284</v>
      </c>
      <c r="K4714" s="9" t="s">
        <v>13284</v>
      </c>
      <c r="L4714" s="9" t="s">
        <v>13284</v>
      </c>
      <c r="M4714" s="9" t="s">
        <v>13284</v>
      </c>
      <c r="N4714" s="9" t="s">
        <v>13284</v>
      </c>
      <c r="O4714" s="9" t="s">
        <v>13284</v>
      </c>
      <c r="P4714" s="9" t="s">
        <v>13284</v>
      </c>
      <c r="Q4714" s="9" t="s">
        <v>13284</v>
      </c>
      <c r="R4714" s="9" t="s">
        <v>13284</v>
      </c>
      <c r="S4714" s="9" t="s">
        <v>13284</v>
      </c>
      <c r="T4714" s="9" t="str">
        <f ca="1">IFERROR(IF(AND(VLOOKUP(A4714, 'Актуальное состояние (из общего'!A:C,3,0) = "", A4714 &lt;&gt; ""), "ПРОВЕРИТЬ", VLOOKUP(A4714, 'Актуальное состояние (из общего'!A:C,3,0)), "")</f>
        <v/>
      </c>
      <c r="U4714" s="9" t="s">
        <v>13284</v>
      </c>
      <c r="V4714" s="9" t="s">
        <v>13284</v>
      </c>
      <c r="W4714" s="12"/>
      <c r="X4714" s="9" t="str">
        <f t="array" ref="X4714">IFERROR(INDEX('Адреса общежитий (скрытый)'!$B$2:$B$9, MATCH(W4714, 'Адреса общежитий (скрытый)'!$A$2:$A$9, 0)), "")</f>
        <v/>
      </c>
      <c r="Y4714" s="18"/>
      <c r="Z4714" s="18"/>
      <c r="AA4714" s="18"/>
      <c r="AB4714" s="18"/>
      <c r="AC4714" s="18"/>
    </row>
    <row r="4715" spans="1:29" ht="32.25" hidden="1" customHeight="1">
      <c r="A4715" s="17"/>
      <c r="B4715" s="9" t="s">
        <v>13284</v>
      </c>
      <c r="C4715" s="9" t="s">
        <v>13284</v>
      </c>
      <c r="D4715" s="9" t="s">
        <v>13284</v>
      </c>
      <c r="E4715" s="9" t="s">
        <v>13284</v>
      </c>
      <c r="F4715" s="9" t="s">
        <v>13284</v>
      </c>
      <c r="G4715" s="9" t="s">
        <v>13284</v>
      </c>
      <c r="H4715" s="9" t="s">
        <v>13284</v>
      </c>
      <c r="I4715" s="9" t="s">
        <v>13284</v>
      </c>
      <c r="J4715" s="9" t="s">
        <v>13284</v>
      </c>
      <c r="K4715" s="9" t="s">
        <v>13284</v>
      </c>
      <c r="L4715" s="9" t="s">
        <v>13284</v>
      </c>
      <c r="M4715" s="9" t="s">
        <v>13284</v>
      </c>
      <c r="N4715" s="9" t="s">
        <v>13284</v>
      </c>
      <c r="O4715" s="9" t="s">
        <v>13284</v>
      </c>
      <c r="P4715" s="9" t="s">
        <v>13284</v>
      </c>
      <c r="Q4715" s="9" t="s">
        <v>13284</v>
      </c>
      <c r="R4715" s="9" t="s">
        <v>13284</v>
      </c>
      <c r="S4715" s="9" t="s">
        <v>13284</v>
      </c>
      <c r="T4715" s="9" t="str">
        <f ca="1">IFERROR(IF(AND(VLOOKUP(A4715, 'Актуальное состояние (из общего'!A:C,3,0) = "", A4715 &lt;&gt; ""), "ПРОВЕРИТЬ", VLOOKUP(A4715, 'Актуальное состояние (из общего'!A:C,3,0)), "")</f>
        <v/>
      </c>
      <c r="U4715" s="9" t="s">
        <v>13284</v>
      </c>
      <c r="V4715" s="9" t="s">
        <v>13284</v>
      </c>
      <c r="W4715" s="12"/>
      <c r="X4715" s="9" t="str">
        <f t="array" ref="X4715">IFERROR(INDEX('Адреса общежитий (скрытый)'!$B$2:$B$9, MATCH(W4715, 'Адреса общежитий (скрытый)'!$A$2:$A$9, 0)), "")</f>
        <v/>
      </c>
      <c r="Y4715" s="18"/>
      <c r="Z4715" s="18"/>
      <c r="AA4715" s="18"/>
      <c r="AB4715" s="18"/>
      <c r="AC4715" s="18"/>
    </row>
    <row r="4716" spans="1:29" ht="32.25" hidden="1" customHeight="1">
      <c r="A4716" s="17"/>
      <c r="B4716" s="9" t="s">
        <v>13284</v>
      </c>
      <c r="C4716" s="9" t="s">
        <v>13284</v>
      </c>
      <c r="D4716" s="9" t="s">
        <v>13284</v>
      </c>
      <c r="E4716" s="9" t="s">
        <v>13284</v>
      </c>
      <c r="F4716" s="9" t="s">
        <v>13284</v>
      </c>
      <c r="G4716" s="9" t="s">
        <v>13284</v>
      </c>
      <c r="H4716" s="9" t="s">
        <v>13284</v>
      </c>
      <c r="I4716" s="9" t="s">
        <v>13284</v>
      </c>
      <c r="J4716" s="9" t="s">
        <v>13284</v>
      </c>
      <c r="K4716" s="9" t="s">
        <v>13284</v>
      </c>
      <c r="L4716" s="9" t="s">
        <v>13284</v>
      </c>
      <c r="M4716" s="9" t="s">
        <v>13284</v>
      </c>
      <c r="N4716" s="9" t="s">
        <v>13284</v>
      </c>
      <c r="O4716" s="9" t="s">
        <v>13284</v>
      </c>
      <c r="P4716" s="9" t="s">
        <v>13284</v>
      </c>
      <c r="Q4716" s="9" t="s">
        <v>13284</v>
      </c>
      <c r="R4716" s="9" t="s">
        <v>13284</v>
      </c>
      <c r="S4716" s="9" t="s">
        <v>13284</v>
      </c>
      <c r="T4716" s="9" t="str">
        <f ca="1">IFERROR(IF(AND(VLOOKUP(A4716, 'Актуальное состояние (из общего'!A:C,3,0) = "", A4716 &lt;&gt; ""), "ПРОВЕРИТЬ", VLOOKUP(A4716, 'Актуальное состояние (из общего'!A:C,3,0)), "")</f>
        <v/>
      </c>
      <c r="U4716" s="9" t="s">
        <v>13284</v>
      </c>
      <c r="V4716" s="9" t="s">
        <v>13284</v>
      </c>
      <c r="W4716" s="12"/>
      <c r="X4716" s="9" t="str">
        <f t="array" ref="X4716">IFERROR(INDEX('Адреса общежитий (скрытый)'!$B$2:$B$9, MATCH(W4716, 'Адреса общежитий (скрытый)'!$A$2:$A$9, 0)), "")</f>
        <v/>
      </c>
      <c r="Y4716" s="18"/>
      <c r="Z4716" s="18"/>
      <c r="AA4716" s="18"/>
      <c r="AB4716" s="18"/>
      <c r="AC4716" s="18"/>
    </row>
    <row r="4717" spans="1:29" ht="32.25" hidden="1" customHeight="1">
      <c r="A4717" s="17"/>
      <c r="B4717" s="9" t="s">
        <v>13284</v>
      </c>
      <c r="C4717" s="9" t="s">
        <v>13284</v>
      </c>
      <c r="D4717" s="9" t="s">
        <v>13284</v>
      </c>
      <c r="E4717" s="9" t="s">
        <v>13284</v>
      </c>
      <c r="F4717" s="9" t="s">
        <v>13284</v>
      </c>
      <c r="G4717" s="9" t="s">
        <v>13284</v>
      </c>
      <c r="H4717" s="9" t="s">
        <v>13284</v>
      </c>
      <c r="I4717" s="9" t="s">
        <v>13284</v>
      </c>
      <c r="J4717" s="9" t="s">
        <v>13284</v>
      </c>
      <c r="K4717" s="9" t="s">
        <v>13284</v>
      </c>
      <c r="L4717" s="9" t="s">
        <v>13284</v>
      </c>
      <c r="M4717" s="9" t="s">
        <v>13284</v>
      </c>
      <c r="N4717" s="9" t="s">
        <v>13284</v>
      </c>
      <c r="O4717" s="9" t="s">
        <v>13284</v>
      </c>
      <c r="P4717" s="9" t="s">
        <v>13284</v>
      </c>
      <c r="Q4717" s="9" t="s">
        <v>13284</v>
      </c>
      <c r="R4717" s="9" t="s">
        <v>13284</v>
      </c>
      <c r="S4717" s="9" t="s">
        <v>13284</v>
      </c>
      <c r="T4717" s="9" t="str">
        <f ca="1">IFERROR(IF(AND(VLOOKUP(A4717, 'Актуальное состояние (из общего'!A:C,3,0) = "", A4717 &lt;&gt; ""), "ПРОВЕРИТЬ", VLOOKUP(A4717, 'Актуальное состояние (из общего'!A:C,3,0)), "")</f>
        <v/>
      </c>
      <c r="U4717" s="9" t="s">
        <v>13284</v>
      </c>
      <c r="V4717" s="9" t="s">
        <v>13284</v>
      </c>
      <c r="W4717" s="12"/>
      <c r="X4717" s="9" t="str">
        <f t="array" ref="X4717">IFERROR(INDEX('Адреса общежитий (скрытый)'!$B$2:$B$9, MATCH(W4717, 'Адреса общежитий (скрытый)'!$A$2:$A$9, 0)), "")</f>
        <v/>
      </c>
      <c r="Y4717" s="18"/>
      <c r="Z4717" s="18"/>
      <c r="AA4717" s="18"/>
      <c r="AB4717" s="18"/>
      <c r="AC4717" s="18"/>
    </row>
    <row r="4718" spans="1:29" ht="32.25" hidden="1" customHeight="1">
      <c r="A4718" s="17"/>
      <c r="B4718" s="9" t="s">
        <v>13284</v>
      </c>
      <c r="C4718" s="9" t="s">
        <v>13284</v>
      </c>
      <c r="D4718" s="9" t="s">
        <v>13284</v>
      </c>
      <c r="E4718" s="9" t="s">
        <v>13284</v>
      </c>
      <c r="F4718" s="9" t="s">
        <v>13284</v>
      </c>
      <c r="G4718" s="9" t="s">
        <v>13284</v>
      </c>
      <c r="H4718" s="9" t="s">
        <v>13284</v>
      </c>
      <c r="I4718" s="9" t="s">
        <v>13284</v>
      </c>
      <c r="J4718" s="9" t="s">
        <v>13284</v>
      </c>
      <c r="K4718" s="9" t="s">
        <v>13284</v>
      </c>
      <c r="L4718" s="9" t="s">
        <v>13284</v>
      </c>
      <c r="M4718" s="9" t="s">
        <v>13284</v>
      </c>
      <c r="N4718" s="9" t="s">
        <v>13284</v>
      </c>
      <c r="O4718" s="9" t="s">
        <v>13284</v>
      </c>
      <c r="P4718" s="9" t="s">
        <v>13284</v>
      </c>
      <c r="Q4718" s="9" t="s">
        <v>13284</v>
      </c>
      <c r="R4718" s="9" t="s">
        <v>13284</v>
      </c>
      <c r="S4718" s="9" t="s">
        <v>13284</v>
      </c>
      <c r="T4718" s="9" t="str">
        <f ca="1">IFERROR(IF(AND(VLOOKUP(A4718, 'Актуальное состояние (из общего'!A:C,3,0) = "", A4718 &lt;&gt; ""), "ПРОВЕРИТЬ", VLOOKUP(A4718, 'Актуальное состояние (из общего'!A:C,3,0)), "")</f>
        <v/>
      </c>
      <c r="U4718" s="9" t="s">
        <v>13284</v>
      </c>
      <c r="V4718" s="9" t="s">
        <v>13284</v>
      </c>
      <c r="W4718" s="12"/>
      <c r="X4718" s="9" t="str">
        <f t="array" ref="X4718">IFERROR(INDEX('Адреса общежитий (скрытый)'!$B$2:$B$9, MATCH(W4718, 'Адреса общежитий (скрытый)'!$A$2:$A$9, 0)), "")</f>
        <v/>
      </c>
      <c r="Y4718" s="18"/>
      <c r="Z4718" s="18"/>
      <c r="AA4718" s="18"/>
      <c r="AB4718" s="18"/>
      <c r="AC4718" s="18"/>
    </row>
    <row r="4719" spans="1:29" ht="32.25" hidden="1" customHeight="1">
      <c r="A4719" s="17"/>
      <c r="B4719" s="9" t="s">
        <v>13284</v>
      </c>
      <c r="C4719" s="9" t="s">
        <v>13284</v>
      </c>
      <c r="D4719" s="9" t="s">
        <v>13284</v>
      </c>
      <c r="E4719" s="9" t="s">
        <v>13284</v>
      </c>
      <c r="F4719" s="9" t="s">
        <v>13284</v>
      </c>
      <c r="G4719" s="9" t="s">
        <v>13284</v>
      </c>
      <c r="H4719" s="9" t="s">
        <v>13284</v>
      </c>
      <c r="I4719" s="9" t="s">
        <v>13284</v>
      </c>
      <c r="J4719" s="9" t="s">
        <v>13284</v>
      </c>
      <c r="K4719" s="9" t="s">
        <v>13284</v>
      </c>
      <c r="L4719" s="9" t="s">
        <v>13284</v>
      </c>
      <c r="M4719" s="9" t="s">
        <v>13284</v>
      </c>
      <c r="N4719" s="9" t="s">
        <v>13284</v>
      </c>
      <c r="O4719" s="9" t="s">
        <v>13284</v>
      </c>
      <c r="P4719" s="9" t="s">
        <v>13284</v>
      </c>
      <c r="Q4719" s="9" t="s">
        <v>13284</v>
      </c>
      <c r="R4719" s="9" t="s">
        <v>13284</v>
      </c>
      <c r="S4719" s="9" t="s">
        <v>13284</v>
      </c>
      <c r="T4719" s="9" t="str">
        <f ca="1">IFERROR(IF(AND(VLOOKUP(A4719, 'Актуальное состояние (из общего'!A:C,3,0) = "", A4719 &lt;&gt; ""), "ПРОВЕРИТЬ", VLOOKUP(A4719, 'Актуальное состояние (из общего'!A:C,3,0)), "")</f>
        <v/>
      </c>
      <c r="U4719" s="9" t="s">
        <v>13284</v>
      </c>
      <c r="V4719" s="9" t="s">
        <v>13284</v>
      </c>
      <c r="W4719" s="12"/>
      <c r="X4719" s="9" t="str">
        <f t="array" ref="X4719">IFERROR(INDEX('Адреса общежитий (скрытый)'!$B$2:$B$9, MATCH(W4719, 'Адреса общежитий (скрытый)'!$A$2:$A$9, 0)), "")</f>
        <v/>
      </c>
      <c r="Y4719" s="18"/>
      <c r="Z4719" s="18"/>
      <c r="AA4719" s="18"/>
      <c r="AB4719" s="18"/>
      <c r="AC4719" s="18"/>
    </row>
    <row r="4720" spans="1:29" ht="32.25" hidden="1" customHeight="1">
      <c r="A4720" s="17"/>
      <c r="B4720" s="9" t="s">
        <v>13284</v>
      </c>
      <c r="C4720" s="9" t="s">
        <v>13284</v>
      </c>
      <c r="D4720" s="9" t="s">
        <v>13284</v>
      </c>
      <c r="E4720" s="9" t="s">
        <v>13284</v>
      </c>
      <c r="F4720" s="9" t="s">
        <v>13284</v>
      </c>
      <c r="G4720" s="9" t="s">
        <v>13284</v>
      </c>
      <c r="H4720" s="9" t="s">
        <v>13284</v>
      </c>
      <c r="I4720" s="9" t="s">
        <v>13284</v>
      </c>
      <c r="J4720" s="9" t="s">
        <v>13284</v>
      </c>
      <c r="K4720" s="9" t="s">
        <v>13284</v>
      </c>
      <c r="L4720" s="9" t="s">
        <v>13284</v>
      </c>
      <c r="M4720" s="9" t="s">
        <v>13284</v>
      </c>
      <c r="N4720" s="9" t="s">
        <v>13284</v>
      </c>
      <c r="O4720" s="9" t="s">
        <v>13284</v>
      </c>
      <c r="P4720" s="9" t="s">
        <v>13284</v>
      </c>
      <c r="Q4720" s="9" t="s">
        <v>13284</v>
      </c>
      <c r="R4720" s="9" t="s">
        <v>13284</v>
      </c>
      <c r="S4720" s="9" t="s">
        <v>13284</v>
      </c>
      <c r="T4720" s="9" t="str">
        <f ca="1">IFERROR(IF(AND(VLOOKUP(A4720, 'Актуальное состояние (из общего'!A:C,3,0) = "", A4720 &lt;&gt; ""), "ПРОВЕРИТЬ", VLOOKUP(A4720, 'Актуальное состояние (из общего'!A:C,3,0)), "")</f>
        <v/>
      </c>
      <c r="U4720" s="9" t="s">
        <v>13284</v>
      </c>
      <c r="V4720" s="9" t="s">
        <v>13284</v>
      </c>
      <c r="W4720" s="12"/>
      <c r="X4720" s="9" t="str">
        <f t="array" ref="X4720">IFERROR(INDEX('Адреса общежитий (скрытый)'!$B$2:$B$9, MATCH(W4720, 'Адреса общежитий (скрытый)'!$A$2:$A$9, 0)), "")</f>
        <v/>
      </c>
      <c r="Y4720" s="18"/>
      <c r="Z4720" s="18"/>
      <c r="AA4720" s="18"/>
      <c r="AB4720" s="18"/>
      <c r="AC4720" s="18"/>
    </row>
    <row r="4721" spans="1:29" ht="32.25" hidden="1" customHeight="1">
      <c r="A4721" s="17"/>
      <c r="B4721" s="9" t="s">
        <v>13284</v>
      </c>
      <c r="C4721" s="9" t="s">
        <v>13284</v>
      </c>
      <c r="D4721" s="9" t="s">
        <v>13284</v>
      </c>
      <c r="E4721" s="9" t="s">
        <v>13284</v>
      </c>
      <c r="F4721" s="9" t="s">
        <v>13284</v>
      </c>
      <c r="G4721" s="9" t="s">
        <v>13284</v>
      </c>
      <c r="H4721" s="9" t="s">
        <v>13284</v>
      </c>
      <c r="I4721" s="9" t="s">
        <v>13284</v>
      </c>
      <c r="J4721" s="9" t="s">
        <v>13284</v>
      </c>
      <c r="K4721" s="9" t="s">
        <v>13284</v>
      </c>
      <c r="L4721" s="9" t="s">
        <v>13284</v>
      </c>
      <c r="M4721" s="9" t="s">
        <v>13284</v>
      </c>
      <c r="N4721" s="9" t="s">
        <v>13284</v>
      </c>
      <c r="O4721" s="9" t="s">
        <v>13284</v>
      </c>
      <c r="P4721" s="9" t="s">
        <v>13284</v>
      </c>
      <c r="Q4721" s="9" t="s">
        <v>13284</v>
      </c>
      <c r="R4721" s="9" t="s">
        <v>13284</v>
      </c>
      <c r="S4721" s="9" t="s">
        <v>13284</v>
      </c>
      <c r="T4721" s="9" t="str">
        <f ca="1">IFERROR(IF(AND(VLOOKUP(A4721, 'Актуальное состояние (из общего'!A:C,3,0) = "", A4721 &lt;&gt; ""), "ПРОВЕРИТЬ", VLOOKUP(A4721, 'Актуальное состояние (из общего'!A:C,3,0)), "")</f>
        <v/>
      </c>
      <c r="U4721" s="9" t="s">
        <v>13284</v>
      </c>
      <c r="V4721" s="9" t="s">
        <v>13284</v>
      </c>
      <c r="W4721" s="12"/>
      <c r="X4721" s="9" t="str">
        <f t="array" ref="X4721">IFERROR(INDEX('Адреса общежитий (скрытый)'!$B$2:$B$9, MATCH(W4721, 'Адреса общежитий (скрытый)'!$A$2:$A$9, 0)), "")</f>
        <v/>
      </c>
      <c r="Y4721" s="18"/>
      <c r="Z4721" s="18"/>
      <c r="AA4721" s="18"/>
      <c r="AB4721" s="18"/>
      <c r="AC4721" s="18"/>
    </row>
    <row r="4722" spans="1:29" ht="32.25" hidden="1" customHeight="1">
      <c r="A4722" s="17"/>
      <c r="B4722" s="9" t="s">
        <v>13284</v>
      </c>
      <c r="C4722" s="9" t="s">
        <v>13284</v>
      </c>
      <c r="D4722" s="9" t="s">
        <v>13284</v>
      </c>
      <c r="E4722" s="9" t="s">
        <v>13284</v>
      </c>
      <c r="F4722" s="9" t="s">
        <v>13284</v>
      </c>
      <c r="G4722" s="9" t="s">
        <v>13284</v>
      </c>
      <c r="H4722" s="9" t="s">
        <v>13284</v>
      </c>
      <c r="I4722" s="9" t="s">
        <v>13284</v>
      </c>
      <c r="J4722" s="9" t="s">
        <v>13284</v>
      </c>
      <c r="K4722" s="9" t="s">
        <v>13284</v>
      </c>
      <c r="L4722" s="9" t="s">
        <v>13284</v>
      </c>
      <c r="M4722" s="9" t="s">
        <v>13284</v>
      </c>
      <c r="N4722" s="9" t="s">
        <v>13284</v>
      </c>
      <c r="O4722" s="9" t="s">
        <v>13284</v>
      </c>
      <c r="P4722" s="9" t="s">
        <v>13284</v>
      </c>
      <c r="Q4722" s="9" t="s">
        <v>13284</v>
      </c>
      <c r="R4722" s="9" t="s">
        <v>13284</v>
      </c>
      <c r="S4722" s="9" t="s">
        <v>13284</v>
      </c>
      <c r="T4722" s="9" t="str">
        <f ca="1">IFERROR(IF(AND(VLOOKUP(A4722, 'Актуальное состояние (из общего'!A:C,3,0) = "", A4722 &lt;&gt; ""), "ПРОВЕРИТЬ", VLOOKUP(A4722, 'Актуальное состояние (из общего'!A:C,3,0)), "")</f>
        <v/>
      </c>
      <c r="U4722" s="9" t="s">
        <v>13284</v>
      </c>
      <c r="V4722" s="9" t="s">
        <v>13284</v>
      </c>
      <c r="W4722" s="12"/>
      <c r="X4722" s="9" t="str">
        <f t="array" ref="X4722">IFERROR(INDEX('Адреса общежитий (скрытый)'!$B$2:$B$9, MATCH(W4722, 'Адреса общежитий (скрытый)'!$A$2:$A$9, 0)), "")</f>
        <v/>
      </c>
      <c r="Y4722" s="18"/>
      <c r="Z4722" s="18"/>
      <c r="AA4722" s="18"/>
      <c r="AB4722" s="18"/>
      <c r="AC4722" s="18"/>
    </row>
    <row r="4723" spans="1:29" ht="32.25" hidden="1" customHeight="1">
      <c r="A4723" s="17"/>
      <c r="B4723" s="9" t="s">
        <v>13284</v>
      </c>
      <c r="C4723" s="9" t="s">
        <v>13284</v>
      </c>
      <c r="D4723" s="9" t="s">
        <v>13284</v>
      </c>
      <c r="E4723" s="9" t="s">
        <v>13284</v>
      </c>
      <c r="F4723" s="9" t="s">
        <v>13284</v>
      </c>
      <c r="G4723" s="9" t="s">
        <v>13284</v>
      </c>
      <c r="H4723" s="9" t="s">
        <v>13284</v>
      </c>
      <c r="I4723" s="9" t="s">
        <v>13284</v>
      </c>
      <c r="J4723" s="9" t="s">
        <v>13284</v>
      </c>
      <c r="K4723" s="9" t="s">
        <v>13284</v>
      </c>
      <c r="L4723" s="9" t="s">
        <v>13284</v>
      </c>
      <c r="M4723" s="9" t="s">
        <v>13284</v>
      </c>
      <c r="N4723" s="9" t="s">
        <v>13284</v>
      </c>
      <c r="O4723" s="9" t="s">
        <v>13284</v>
      </c>
      <c r="P4723" s="9" t="s">
        <v>13284</v>
      </c>
      <c r="Q4723" s="9" t="s">
        <v>13284</v>
      </c>
      <c r="R4723" s="9" t="s">
        <v>13284</v>
      </c>
      <c r="S4723" s="9" t="s">
        <v>13284</v>
      </c>
      <c r="T4723" s="9" t="str">
        <f ca="1">IFERROR(IF(AND(VLOOKUP(A4723, 'Актуальное состояние (из общего'!A:C,3,0) = "", A4723 &lt;&gt; ""), "ПРОВЕРИТЬ", VLOOKUP(A4723, 'Актуальное состояние (из общего'!A:C,3,0)), "")</f>
        <v/>
      </c>
      <c r="U4723" s="9" t="s">
        <v>13284</v>
      </c>
      <c r="V4723" s="9" t="s">
        <v>13284</v>
      </c>
      <c r="W4723" s="12"/>
      <c r="X4723" s="9" t="str">
        <f t="array" ref="X4723">IFERROR(INDEX('Адреса общежитий (скрытый)'!$B$2:$B$9, MATCH(W4723, 'Адреса общежитий (скрытый)'!$A$2:$A$9, 0)), "")</f>
        <v/>
      </c>
      <c r="Y4723" s="18"/>
      <c r="Z4723" s="18"/>
      <c r="AA4723" s="18"/>
      <c r="AB4723" s="18"/>
      <c r="AC4723" s="18"/>
    </row>
    <row r="4724" spans="1:29" ht="32.25" hidden="1" customHeight="1">
      <c r="A4724" s="17"/>
      <c r="B4724" s="9" t="s">
        <v>13284</v>
      </c>
      <c r="C4724" s="9" t="s">
        <v>13284</v>
      </c>
      <c r="D4724" s="9" t="s">
        <v>13284</v>
      </c>
      <c r="E4724" s="9" t="s">
        <v>13284</v>
      </c>
      <c r="F4724" s="9" t="s">
        <v>13284</v>
      </c>
      <c r="G4724" s="9" t="s">
        <v>13284</v>
      </c>
      <c r="H4724" s="9" t="s">
        <v>13284</v>
      </c>
      <c r="I4724" s="9" t="s">
        <v>13284</v>
      </c>
      <c r="J4724" s="9" t="s">
        <v>13284</v>
      </c>
      <c r="K4724" s="9" t="s">
        <v>13284</v>
      </c>
      <c r="L4724" s="9" t="s">
        <v>13284</v>
      </c>
      <c r="M4724" s="9" t="s">
        <v>13284</v>
      </c>
      <c r="N4724" s="9" t="s">
        <v>13284</v>
      </c>
      <c r="O4724" s="9" t="s">
        <v>13284</v>
      </c>
      <c r="P4724" s="9" t="s">
        <v>13284</v>
      </c>
      <c r="Q4724" s="9" t="s">
        <v>13284</v>
      </c>
      <c r="R4724" s="9" t="s">
        <v>13284</v>
      </c>
      <c r="S4724" s="9" t="s">
        <v>13284</v>
      </c>
      <c r="T4724" s="9" t="str">
        <f ca="1">IFERROR(IF(AND(VLOOKUP(A4724, 'Актуальное состояние (из общего'!A:C,3,0) = "", A4724 &lt;&gt; ""), "ПРОВЕРИТЬ", VLOOKUP(A4724, 'Актуальное состояние (из общего'!A:C,3,0)), "")</f>
        <v/>
      </c>
      <c r="U4724" s="9" t="s">
        <v>13284</v>
      </c>
      <c r="V4724" s="9" t="s">
        <v>13284</v>
      </c>
      <c r="W4724" s="12"/>
      <c r="X4724" s="9" t="str">
        <f t="array" ref="X4724">IFERROR(INDEX('Адреса общежитий (скрытый)'!$B$2:$B$9, MATCH(W4724, 'Адреса общежитий (скрытый)'!$A$2:$A$9, 0)), "")</f>
        <v/>
      </c>
      <c r="Y4724" s="18"/>
      <c r="Z4724" s="18"/>
      <c r="AA4724" s="18"/>
      <c r="AB4724" s="18"/>
      <c r="AC4724" s="18"/>
    </row>
    <row r="4725" spans="1:29" ht="32.25" hidden="1" customHeight="1">
      <c r="A4725" s="17"/>
      <c r="B4725" s="9" t="s">
        <v>13284</v>
      </c>
      <c r="C4725" s="9" t="s">
        <v>13284</v>
      </c>
      <c r="D4725" s="9" t="s">
        <v>13284</v>
      </c>
      <c r="E4725" s="9" t="s">
        <v>13284</v>
      </c>
      <c r="F4725" s="9" t="s">
        <v>13284</v>
      </c>
      <c r="G4725" s="9" t="s">
        <v>13284</v>
      </c>
      <c r="H4725" s="9" t="s">
        <v>13284</v>
      </c>
      <c r="I4725" s="9" t="s">
        <v>13284</v>
      </c>
      <c r="J4725" s="9" t="s">
        <v>13284</v>
      </c>
      <c r="K4725" s="9" t="s">
        <v>13284</v>
      </c>
      <c r="L4725" s="9" t="s">
        <v>13284</v>
      </c>
      <c r="M4725" s="9" t="s">
        <v>13284</v>
      </c>
      <c r="N4725" s="9" t="s">
        <v>13284</v>
      </c>
      <c r="O4725" s="9" t="s">
        <v>13284</v>
      </c>
      <c r="P4725" s="9" t="s">
        <v>13284</v>
      </c>
      <c r="Q4725" s="9" t="s">
        <v>13284</v>
      </c>
      <c r="R4725" s="9" t="s">
        <v>13284</v>
      </c>
      <c r="S4725" s="9" t="s">
        <v>13284</v>
      </c>
      <c r="T4725" s="9" t="str">
        <f ca="1">IFERROR(IF(AND(VLOOKUP(A4725, 'Актуальное состояние (из общего'!A:C,3,0) = "", A4725 &lt;&gt; ""), "ПРОВЕРИТЬ", VLOOKUP(A4725, 'Актуальное состояние (из общего'!A:C,3,0)), "")</f>
        <v/>
      </c>
      <c r="U4725" s="9" t="s">
        <v>13284</v>
      </c>
      <c r="V4725" s="9" t="s">
        <v>13284</v>
      </c>
      <c r="W4725" s="12"/>
      <c r="X4725" s="9" t="str">
        <f t="array" ref="X4725">IFERROR(INDEX('Адреса общежитий (скрытый)'!$B$2:$B$9, MATCH(W4725, 'Адреса общежитий (скрытый)'!$A$2:$A$9, 0)), "")</f>
        <v/>
      </c>
      <c r="Y4725" s="18"/>
      <c r="Z4725" s="18"/>
      <c r="AA4725" s="18"/>
      <c r="AB4725" s="18"/>
      <c r="AC4725" s="18"/>
    </row>
    <row r="4726" spans="1:29" ht="32.25" hidden="1" customHeight="1">
      <c r="A4726" s="17"/>
      <c r="B4726" s="9" t="s">
        <v>13284</v>
      </c>
      <c r="C4726" s="9" t="s">
        <v>13284</v>
      </c>
      <c r="D4726" s="9" t="s">
        <v>13284</v>
      </c>
      <c r="E4726" s="9" t="s">
        <v>13284</v>
      </c>
      <c r="F4726" s="9" t="s">
        <v>13284</v>
      </c>
      <c r="G4726" s="9" t="s">
        <v>13284</v>
      </c>
      <c r="H4726" s="9" t="s">
        <v>13284</v>
      </c>
      <c r="I4726" s="9" t="s">
        <v>13284</v>
      </c>
      <c r="J4726" s="9" t="s">
        <v>13284</v>
      </c>
      <c r="K4726" s="9" t="s">
        <v>13284</v>
      </c>
      <c r="L4726" s="9" t="s">
        <v>13284</v>
      </c>
      <c r="M4726" s="9" t="s">
        <v>13284</v>
      </c>
      <c r="N4726" s="9" t="s">
        <v>13284</v>
      </c>
      <c r="O4726" s="9" t="s">
        <v>13284</v>
      </c>
      <c r="P4726" s="9" t="s">
        <v>13284</v>
      </c>
      <c r="Q4726" s="9" t="s">
        <v>13284</v>
      </c>
      <c r="R4726" s="9" t="s">
        <v>13284</v>
      </c>
      <c r="S4726" s="9" t="s">
        <v>13284</v>
      </c>
      <c r="T4726" s="9" t="str">
        <f ca="1">IFERROR(IF(AND(VLOOKUP(A4726, 'Актуальное состояние (из общего'!A:C,3,0) = "", A4726 &lt;&gt; ""), "ПРОВЕРИТЬ", VLOOKUP(A4726, 'Актуальное состояние (из общего'!A:C,3,0)), "")</f>
        <v/>
      </c>
      <c r="U4726" s="9" t="s">
        <v>13284</v>
      </c>
      <c r="V4726" s="9" t="s">
        <v>13284</v>
      </c>
      <c r="W4726" s="12"/>
      <c r="X4726" s="9" t="str">
        <f t="array" ref="X4726">IFERROR(INDEX('Адреса общежитий (скрытый)'!$B$2:$B$9, MATCH(W4726, 'Адреса общежитий (скрытый)'!$A$2:$A$9, 0)), "")</f>
        <v/>
      </c>
      <c r="Y4726" s="18"/>
      <c r="Z4726" s="18"/>
      <c r="AA4726" s="18"/>
      <c r="AB4726" s="18"/>
      <c r="AC4726" s="18"/>
    </row>
    <row r="4727" spans="1:29" ht="32.25" hidden="1" customHeight="1">
      <c r="A4727" s="17"/>
      <c r="B4727" s="9" t="s">
        <v>13284</v>
      </c>
      <c r="C4727" s="9" t="s">
        <v>13284</v>
      </c>
      <c r="D4727" s="9" t="s">
        <v>13284</v>
      </c>
      <c r="E4727" s="9" t="s">
        <v>13284</v>
      </c>
      <c r="F4727" s="9" t="s">
        <v>13284</v>
      </c>
      <c r="G4727" s="9" t="s">
        <v>13284</v>
      </c>
      <c r="H4727" s="9" t="s">
        <v>13284</v>
      </c>
      <c r="I4727" s="9" t="s">
        <v>13284</v>
      </c>
      <c r="J4727" s="9" t="s">
        <v>13284</v>
      </c>
      <c r="K4727" s="9" t="s">
        <v>13284</v>
      </c>
      <c r="L4727" s="9" t="s">
        <v>13284</v>
      </c>
      <c r="M4727" s="9" t="s">
        <v>13284</v>
      </c>
      <c r="N4727" s="9" t="s">
        <v>13284</v>
      </c>
      <c r="O4727" s="9" t="s">
        <v>13284</v>
      </c>
      <c r="P4727" s="9" t="s">
        <v>13284</v>
      </c>
      <c r="Q4727" s="9" t="s">
        <v>13284</v>
      </c>
      <c r="R4727" s="9" t="s">
        <v>13284</v>
      </c>
      <c r="S4727" s="9" t="s">
        <v>13284</v>
      </c>
      <c r="T4727" s="9" t="str">
        <f ca="1">IFERROR(IF(AND(VLOOKUP(A4727, 'Актуальное состояние (из общего'!A:C,3,0) = "", A4727 &lt;&gt; ""), "ПРОВЕРИТЬ", VLOOKUP(A4727, 'Актуальное состояние (из общего'!A:C,3,0)), "")</f>
        <v/>
      </c>
      <c r="U4727" s="9" t="s">
        <v>13284</v>
      </c>
      <c r="V4727" s="9" t="s">
        <v>13284</v>
      </c>
      <c r="W4727" s="12"/>
      <c r="X4727" s="9" t="str">
        <f t="array" ref="X4727">IFERROR(INDEX('Адреса общежитий (скрытый)'!$B$2:$B$9, MATCH(W4727, 'Адреса общежитий (скрытый)'!$A$2:$A$9, 0)), "")</f>
        <v/>
      </c>
      <c r="Y4727" s="18"/>
      <c r="Z4727" s="18"/>
      <c r="AA4727" s="18"/>
      <c r="AB4727" s="18"/>
      <c r="AC4727" s="18"/>
    </row>
    <row r="4728" spans="1:29" ht="32.25" hidden="1" customHeight="1">
      <c r="A4728" s="17"/>
      <c r="B4728" s="9" t="s">
        <v>13284</v>
      </c>
      <c r="C4728" s="9" t="s">
        <v>13284</v>
      </c>
      <c r="D4728" s="9" t="s">
        <v>13284</v>
      </c>
      <c r="E4728" s="9" t="s">
        <v>13284</v>
      </c>
      <c r="F4728" s="9" t="s">
        <v>13284</v>
      </c>
      <c r="G4728" s="9" t="s">
        <v>13284</v>
      </c>
      <c r="H4728" s="9" t="s">
        <v>13284</v>
      </c>
      <c r="I4728" s="9" t="s">
        <v>13284</v>
      </c>
      <c r="J4728" s="9" t="s">
        <v>13284</v>
      </c>
      <c r="K4728" s="9" t="s">
        <v>13284</v>
      </c>
      <c r="L4728" s="9" t="s">
        <v>13284</v>
      </c>
      <c r="M4728" s="9" t="s">
        <v>13284</v>
      </c>
      <c r="N4728" s="9" t="s">
        <v>13284</v>
      </c>
      <c r="O4728" s="9" t="s">
        <v>13284</v>
      </c>
      <c r="P4728" s="9" t="s">
        <v>13284</v>
      </c>
      <c r="Q4728" s="9" t="s">
        <v>13284</v>
      </c>
      <c r="R4728" s="9" t="s">
        <v>13284</v>
      </c>
      <c r="S4728" s="9" t="s">
        <v>13284</v>
      </c>
      <c r="T4728" s="9" t="str">
        <f ca="1">IFERROR(IF(AND(VLOOKUP(A4728, 'Актуальное состояние (из общего'!A:C,3,0) = "", A4728 &lt;&gt; ""), "ПРОВЕРИТЬ", VLOOKUP(A4728, 'Актуальное состояние (из общего'!A:C,3,0)), "")</f>
        <v/>
      </c>
      <c r="U4728" s="9" t="s">
        <v>13284</v>
      </c>
      <c r="V4728" s="9" t="s">
        <v>13284</v>
      </c>
      <c r="W4728" s="12"/>
      <c r="X4728" s="9" t="str">
        <f t="array" ref="X4728">IFERROR(INDEX('Адреса общежитий (скрытый)'!$B$2:$B$9, MATCH(W4728, 'Адреса общежитий (скрытый)'!$A$2:$A$9, 0)), "")</f>
        <v/>
      </c>
      <c r="Y4728" s="18"/>
      <c r="Z4728" s="18"/>
      <c r="AA4728" s="18"/>
      <c r="AB4728" s="18"/>
      <c r="AC4728" s="18"/>
    </row>
    <row r="4729" spans="1:29" ht="32.25" hidden="1" customHeight="1">
      <c r="A4729" s="17"/>
      <c r="B4729" s="9" t="s">
        <v>13284</v>
      </c>
      <c r="C4729" s="9" t="s">
        <v>13284</v>
      </c>
      <c r="D4729" s="9" t="s">
        <v>13284</v>
      </c>
      <c r="E4729" s="9" t="s">
        <v>13284</v>
      </c>
      <c r="F4729" s="9" t="s">
        <v>13284</v>
      </c>
      <c r="G4729" s="9" t="s">
        <v>13284</v>
      </c>
      <c r="H4729" s="9" t="s">
        <v>13284</v>
      </c>
      <c r="I4729" s="9" t="s">
        <v>13284</v>
      </c>
      <c r="J4729" s="9" t="s">
        <v>13284</v>
      </c>
      <c r="K4729" s="9" t="s">
        <v>13284</v>
      </c>
      <c r="L4729" s="9" t="s">
        <v>13284</v>
      </c>
      <c r="M4729" s="9" t="s">
        <v>13284</v>
      </c>
      <c r="N4729" s="9" t="s">
        <v>13284</v>
      </c>
      <c r="O4729" s="9" t="s">
        <v>13284</v>
      </c>
      <c r="P4729" s="9" t="s">
        <v>13284</v>
      </c>
      <c r="Q4729" s="9" t="s">
        <v>13284</v>
      </c>
      <c r="R4729" s="9" t="s">
        <v>13284</v>
      </c>
      <c r="S4729" s="9" t="s">
        <v>13284</v>
      </c>
      <c r="T4729" s="9" t="str">
        <f ca="1">IFERROR(IF(AND(VLOOKUP(A4729, 'Актуальное состояние (из общего'!A:C,3,0) = "", A4729 &lt;&gt; ""), "ПРОВЕРИТЬ", VLOOKUP(A4729, 'Актуальное состояние (из общего'!A:C,3,0)), "")</f>
        <v/>
      </c>
      <c r="U4729" s="9" t="s">
        <v>13284</v>
      </c>
      <c r="V4729" s="9" t="s">
        <v>13284</v>
      </c>
      <c r="W4729" s="12"/>
      <c r="X4729" s="9" t="str">
        <f t="array" ref="X4729">IFERROR(INDEX('Адреса общежитий (скрытый)'!$B$2:$B$9, MATCH(W4729, 'Адреса общежитий (скрытый)'!$A$2:$A$9, 0)), "")</f>
        <v/>
      </c>
      <c r="Y4729" s="18"/>
      <c r="Z4729" s="18"/>
      <c r="AA4729" s="18"/>
      <c r="AB4729" s="18"/>
      <c r="AC4729" s="18"/>
    </row>
    <row r="4730" spans="1:29" ht="32.25" hidden="1" customHeight="1">
      <c r="A4730" s="17"/>
      <c r="B4730" s="9" t="s">
        <v>13284</v>
      </c>
      <c r="C4730" s="9" t="s">
        <v>13284</v>
      </c>
      <c r="D4730" s="9" t="s">
        <v>13284</v>
      </c>
      <c r="E4730" s="9" t="s">
        <v>13284</v>
      </c>
      <c r="F4730" s="9" t="s">
        <v>13284</v>
      </c>
      <c r="G4730" s="9" t="s">
        <v>13284</v>
      </c>
      <c r="H4730" s="9" t="s">
        <v>13284</v>
      </c>
      <c r="I4730" s="9" t="s">
        <v>13284</v>
      </c>
      <c r="J4730" s="9" t="s">
        <v>13284</v>
      </c>
      <c r="K4730" s="9" t="s">
        <v>13284</v>
      </c>
      <c r="L4730" s="9" t="s">
        <v>13284</v>
      </c>
      <c r="M4730" s="9" t="s">
        <v>13284</v>
      </c>
      <c r="N4730" s="9" t="s">
        <v>13284</v>
      </c>
      <c r="O4730" s="9" t="s">
        <v>13284</v>
      </c>
      <c r="P4730" s="9" t="s">
        <v>13284</v>
      </c>
      <c r="Q4730" s="9" t="s">
        <v>13284</v>
      </c>
      <c r="R4730" s="9" t="s">
        <v>13284</v>
      </c>
      <c r="S4730" s="9" t="s">
        <v>13284</v>
      </c>
      <c r="T4730" s="9" t="str">
        <f ca="1">IFERROR(IF(AND(VLOOKUP(A4730, 'Актуальное состояние (из общего'!A:C,3,0) = "", A4730 &lt;&gt; ""), "ПРОВЕРИТЬ", VLOOKUP(A4730, 'Актуальное состояние (из общего'!A:C,3,0)), "")</f>
        <v/>
      </c>
      <c r="U4730" s="9" t="s">
        <v>13284</v>
      </c>
      <c r="V4730" s="9" t="s">
        <v>13284</v>
      </c>
      <c r="W4730" s="12"/>
      <c r="X4730" s="9" t="str">
        <f t="array" ref="X4730">IFERROR(INDEX('Адреса общежитий (скрытый)'!$B$2:$B$9, MATCH(W4730, 'Адреса общежитий (скрытый)'!$A$2:$A$9, 0)), "")</f>
        <v/>
      </c>
      <c r="Y4730" s="18"/>
      <c r="Z4730" s="18"/>
      <c r="AA4730" s="18"/>
      <c r="AB4730" s="18"/>
      <c r="AC4730" s="18"/>
    </row>
    <row r="4731" spans="1:29" ht="32.25" hidden="1" customHeight="1">
      <c r="A4731" s="17"/>
      <c r="B4731" s="9" t="s">
        <v>13284</v>
      </c>
      <c r="C4731" s="9" t="s">
        <v>13284</v>
      </c>
      <c r="D4731" s="9" t="s">
        <v>13284</v>
      </c>
      <c r="E4731" s="9" t="s">
        <v>13284</v>
      </c>
      <c r="F4731" s="9" t="s">
        <v>13284</v>
      </c>
      <c r="G4731" s="9" t="s">
        <v>13284</v>
      </c>
      <c r="H4731" s="9" t="s">
        <v>13284</v>
      </c>
      <c r="I4731" s="9" t="s">
        <v>13284</v>
      </c>
      <c r="J4731" s="9" t="s">
        <v>13284</v>
      </c>
      <c r="K4731" s="9" t="s">
        <v>13284</v>
      </c>
      <c r="L4731" s="9" t="s">
        <v>13284</v>
      </c>
      <c r="M4731" s="9" t="s">
        <v>13284</v>
      </c>
      <c r="N4731" s="9" t="s">
        <v>13284</v>
      </c>
      <c r="O4731" s="9" t="s">
        <v>13284</v>
      </c>
      <c r="P4731" s="9" t="s">
        <v>13284</v>
      </c>
      <c r="Q4731" s="9" t="s">
        <v>13284</v>
      </c>
      <c r="R4731" s="9" t="s">
        <v>13284</v>
      </c>
      <c r="S4731" s="9" t="s">
        <v>13284</v>
      </c>
      <c r="T4731" s="9" t="str">
        <f ca="1">IFERROR(IF(AND(VLOOKUP(A4731, 'Актуальное состояние (из общего'!A:C,3,0) = "", A4731 &lt;&gt; ""), "ПРОВЕРИТЬ", VLOOKUP(A4731, 'Актуальное состояние (из общего'!A:C,3,0)), "")</f>
        <v/>
      </c>
      <c r="U4731" s="9" t="s">
        <v>13284</v>
      </c>
      <c r="V4731" s="9" t="s">
        <v>13284</v>
      </c>
      <c r="W4731" s="12"/>
      <c r="X4731" s="9" t="str">
        <f t="array" ref="X4731">IFERROR(INDEX('Адреса общежитий (скрытый)'!$B$2:$B$9, MATCH(W4731, 'Адреса общежитий (скрытый)'!$A$2:$A$9, 0)), "")</f>
        <v/>
      </c>
      <c r="Y4731" s="18"/>
      <c r="Z4731" s="18"/>
      <c r="AA4731" s="18"/>
      <c r="AB4731" s="18"/>
      <c r="AC4731" s="18"/>
    </row>
    <row r="4732" spans="1:29" ht="32.25" hidden="1" customHeight="1">
      <c r="A4732" s="17"/>
      <c r="B4732" s="9" t="s">
        <v>13284</v>
      </c>
      <c r="C4732" s="9" t="s">
        <v>13284</v>
      </c>
      <c r="D4732" s="9" t="s">
        <v>13284</v>
      </c>
      <c r="E4732" s="9" t="s">
        <v>13284</v>
      </c>
      <c r="F4732" s="9" t="s">
        <v>13284</v>
      </c>
      <c r="G4732" s="9" t="s">
        <v>13284</v>
      </c>
      <c r="H4732" s="9" t="s">
        <v>13284</v>
      </c>
      <c r="I4732" s="9" t="s">
        <v>13284</v>
      </c>
      <c r="J4732" s="9" t="s">
        <v>13284</v>
      </c>
      <c r="K4732" s="9" t="s">
        <v>13284</v>
      </c>
      <c r="L4732" s="9" t="s">
        <v>13284</v>
      </c>
      <c r="M4732" s="9" t="s">
        <v>13284</v>
      </c>
      <c r="N4732" s="9" t="s">
        <v>13284</v>
      </c>
      <c r="O4732" s="9" t="s">
        <v>13284</v>
      </c>
      <c r="P4732" s="9" t="s">
        <v>13284</v>
      </c>
      <c r="Q4732" s="9" t="s">
        <v>13284</v>
      </c>
      <c r="R4732" s="9" t="s">
        <v>13284</v>
      </c>
      <c r="S4732" s="9" t="s">
        <v>13284</v>
      </c>
      <c r="T4732" s="9" t="str">
        <f ca="1">IFERROR(IF(AND(VLOOKUP(A4732, 'Актуальное состояние (из общего'!A:C,3,0) = "", A4732 &lt;&gt; ""), "ПРОВЕРИТЬ", VLOOKUP(A4732, 'Актуальное состояние (из общего'!A:C,3,0)), "")</f>
        <v/>
      </c>
      <c r="U4732" s="9" t="s">
        <v>13284</v>
      </c>
      <c r="V4732" s="9" t="s">
        <v>13284</v>
      </c>
      <c r="W4732" s="12"/>
      <c r="X4732" s="9" t="str">
        <f t="array" ref="X4732">IFERROR(INDEX('Адреса общежитий (скрытый)'!$B$2:$B$9, MATCH(W4732, 'Адреса общежитий (скрытый)'!$A$2:$A$9, 0)), "")</f>
        <v/>
      </c>
      <c r="Y4732" s="18"/>
      <c r="Z4732" s="18"/>
      <c r="AA4732" s="18"/>
      <c r="AB4732" s="18"/>
      <c r="AC4732" s="18"/>
    </row>
    <row r="4733" spans="1:29" ht="32.25" hidden="1" customHeight="1">
      <c r="A4733" s="17"/>
      <c r="B4733" s="9" t="s">
        <v>13284</v>
      </c>
      <c r="C4733" s="9" t="s">
        <v>13284</v>
      </c>
      <c r="D4733" s="9" t="s">
        <v>13284</v>
      </c>
      <c r="E4733" s="9" t="s">
        <v>13284</v>
      </c>
      <c r="F4733" s="9" t="s">
        <v>13284</v>
      </c>
      <c r="G4733" s="9" t="s">
        <v>13284</v>
      </c>
      <c r="H4733" s="9" t="s">
        <v>13284</v>
      </c>
      <c r="I4733" s="9" t="s">
        <v>13284</v>
      </c>
      <c r="J4733" s="9" t="s">
        <v>13284</v>
      </c>
      <c r="K4733" s="9" t="s">
        <v>13284</v>
      </c>
      <c r="L4733" s="9" t="s">
        <v>13284</v>
      </c>
      <c r="M4733" s="9" t="s">
        <v>13284</v>
      </c>
      <c r="N4733" s="9" t="s">
        <v>13284</v>
      </c>
      <c r="O4733" s="9" t="s">
        <v>13284</v>
      </c>
      <c r="P4733" s="9" t="s">
        <v>13284</v>
      </c>
      <c r="Q4733" s="9" t="s">
        <v>13284</v>
      </c>
      <c r="R4733" s="9" t="s">
        <v>13284</v>
      </c>
      <c r="S4733" s="9" t="s">
        <v>13284</v>
      </c>
      <c r="T4733" s="9" t="str">
        <f ca="1">IFERROR(IF(AND(VLOOKUP(A4733, 'Актуальное состояние (из общего'!A:C,3,0) = "", A4733 &lt;&gt; ""), "ПРОВЕРИТЬ", VLOOKUP(A4733, 'Актуальное состояние (из общего'!A:C,3,0)), "")</f>
        <v/>
      </c>
      <c r="U4733" s="9" t="s">
        <v>13284</v>
      </c>
      <c r="V4733" s="9" t="s">
        <v>13284</v>
      </c>
      <c r="W4733" s="12"/>
      <c r="X4733" s="9" t="str">
        <f t="array" ref="X4733">IFERROR(INDEX('Адреса общежитий (скрытый)'!$B$2:$B$9, MATCH(W4733, 'Адреса общежитий (скрытый)'!$A$2:$A$9, 0)), "")</f>
        <v/>
      </c>
      <c r="Y4733" s="18"/>
      <c r="Z4733" s="18"/>
      <c r="AA4733" s="18"/>
      <c r="AB4733" s="18"/>
      <c r="AC4733" s="18"/>
    </row>
    <row r="4734" spans="1:29" ht="32.25" hidden="1" customHeight="1">
      <c r="A4734" s="17"/>
      <c r="B4734" s="9" t="s">
        <v>13284</v>
      </c>
      <c r="C4734" s="9" t="s">
        <v>13284</v>
      </c>
      <c r="D4734" s="9" t="s">
        <v>13284</v>
      </c>
      <c r="E4734" s="9" t="s">
        <v>13284</v>
      </c>
      <c r="F4734" s="9" t="s">
        <v>13284</v>
      </c>
      <c r="G4734" s="9" t="s">
        <v>13284</v>
      </c>
      <c r="H4734" s="9" t="s">
        <v>13284</v>
      </c>
      <c r="I4734" s="9" t="s">
        <v>13284</v>
      </c>
      <c r="J4734" s="9" t="s">
        <v>13284</v>
      </c>
      <c r="K4734" s="9" t="s">
        <v>13284</v>
      </c>
      <c r="L4734" s="9" t="s">
        <v>13284</v>
      </c>
      <c r="M4734" s="9" t="s">
        <v>13284</v>
      </c>
      <c r="N4734" s="9" t="s">
        <v>13284</v>
      </c>
      <c r="O4734" s="9" t="s">
        <v>13284</v>
      </c>
      <c r="P4734" s="9" t="s">
        <v>13284</v>
      </c>
      <c r="Q4734" s="9" t="s">
        <v>13284</v>
      </c>
      <c r="R4734" s="9" t="s">
        <v>13284</v>
      </c>
      <c r="S4734" s="9" t="s">
        <v>13284</v>
      </c>
      <c r="T4734" s="9" t="str">
        <f ca="1">IFERROR(IF(AND(VLOOKUP(A4734, 'Актуальное состояние (из общего'!A:C,3,0) = "", A4734 &lt;&gt; ""), "ПРОВЕРИТЬ", VLOOKUP(A4734, 'Актуальное состояние (из общего'!A:C,3,0)), "")</f>
        <v/>
      </c>
      <c r="U4734" s="9" t="s">
        <v>13284</v>
      </c>
      <c r="V4734" s="9" t="s">
        <v>13284</v>
      </c>
      <c r="W4734" s="12"/>
      <c r="X4734" s="9" t="str">
        <f t="array" ref="X4734">IFERROR(INDEX('Адреса общежитий (скрытый)'!$B$2:$B$9, MATCH(W4734, 'Адреса общежитий (скрытый)'!$A$2:$A$9, 0)), "")</f>
        <v/>
      </c>
      <c r="Y4734" s="18"/>
      <c r="Z4734" s="18"/>
      <c r="AA4734" s="18"/>
      <c r="AB4734" s="18"/>
      <c r="AC4734" s="18"/>
    </row>
    <row r="4735" spans="1:29" ht="32.25" hidden="1" customHeight="1">
      <c r="A4735" s="17"/>
      <c r="B4735" s="9" t="s">
        <v>13284</v>
      </c>
      <c r="C4735" s="9" t="s">
        <v>13284</v>
      </c>
      <c r="D4735" s="9" t="s">
        <v>13284</v>
      </c>
      <c r="E4735" s="9" t="s">
        <v>13284</v>
      </c>
      <c r="F4735" s="9" t="s">
        <v>13284</v>
      </c>
      <c r="G4735" s="9" t="s">
        <v>13284</v>
      </c>
      <c r="H4735" s="9" t="s">
        <v>13284</v>
      </c>
      <c r="I4735" s="9" t="s">
        <v>13284</v>
      </c>
      <c r="J4735" s="9" t="s">
        <v>13284</v>
      </c>
      <c r="K4735" s="9" t="s">
        <v>13284</v>
      </c>
      <c r="L4735" s="9" t="s">
        <v>13284</v>
      </c>
      <c r="M4735" s="9" t="s">
        <v>13284</v>
      </c>
      <c r="N4735" s="9" t="s">
        <v>13284</v>
      </c>
      <c r="O4735" s="9" t="s">
        <v>13284</v>
      </c>
      <c r="P4735" s="9" t="s">
        <v>13284</v>
      </c>
      <c r="Q4735" s="9" t="s">
        <v>13284</v>
      </c>
      <c r="R4735" s="9" t="s">
        <v>13284</v>
      </c>
      <c r="S4735" s="9" t="s">
        <v>13284</v>
      </c>
      <c r="T4735" s="9" t="str">
        <f ca="1">IFERROR(IF(AND(VLOOKUP(A4735, 'Актуальное состояние (из общего'!A:C,3,0) = "", A4735 &lt;&gt; ""), "ПРОВЕРИТЬ", VLOOKUP(A4735, 'Актуальное состояние (из общего'!A:C,3,0)), "")</f>
        <v/>
      </c>
      <c r="U4735" s="9" t="s">
        <v>13284</v>
      </c>
      <c r="V4735" s="9" t="s">
        <v>13284</v>
      </c>
      <c r="W4735" s="12"/>
      <c r="X4735" s="9" t="str">
        <f t="array" ref="X4735">IFERROR(INDEX('Адреса общежитий (скрытый)'!$B$2:$B$9, MATCH(W4735, 'Адреса общежитий (скрытый)'!$A$2:$A$9, 0)), "")</f>
        <v/>
      </c>
      <c r="Y4735" s="18"/>
      <c r="Z4735" s="18"/>
      <c r="AA4735" s="18"/>
      <c r="AB4735" s="18"/>
      <c r="AC4735" s="18"/>
    </row>
    <row r="4736" spans="1:29" ht="32.25" hidden="1" customHeight="1">
      <c r="A4736" s="17"/>
      <c r="B4736" s="9" t="s">
        <v>13284</v>
      </c>
      <c r="C4736" s="9" t="s">
        <v>13284</v>
      </c>
      <c r="D4736" s="9" t="s">
        <v>13284</v>
      </c>
      <c r="E4736" s="9" t="s">
        <v>13284</v>
      </c>
      <c r="F4736" s="9" t="s">
        <v>13284</v>
      </c>
      <c r="G4736" s="9" t="s">
        <v>13284</v>
      </c>
      <c r="H4736" s="9" t="s">
        <v>13284</v>
      </c>
      <c r="I4736" s="9" t="s">
        <v>13284</v>
      </c>
      <c r="J4736" s="9" t="s">
        <v>13284</v>
      </c>
      <c r="K4736" s="9" t="s">
        <v>13284</v>
      </c>
      <c r="L4736" s="9" t="s">
        <v>13284</v>
      </c>
      <c r="M4736" s="9" t="s">
        <v>13284</v>
      </c>
      <c r="N4736" s="9" t="s">
        <v>13284</v>
      </c>
      <c r="O4736" s="9" t="s">
        <v>13284</v>
      </c>
      <c r="P4736" s="9" t="s">
        <v>13284</v>
      </c>
      <c r="Q4736" s="9" t="s">
        <v>13284</v>
      </c>
      <c r="R4736" s="9" t="s">
        <v>13284</v>
      </c>
      <c r="S4736" s="9" t="s">
        <v>13284</v>
      </c>
      <c r="T4736" s="9" t="str">
        <f ca="1">IFERROR(IF(AND(VLOOKUP(A4736, 'Актуальное состояние (из общего'!A:C,3,0) = "", A4736 &lt;&gt; ""), "ПРОВЕРИТЬ", VLOOKUP(A4736, 'Актуальное состояние (из общего'!A:C,3,0)), "")</f>
        <v/>
      </c>
      <c r="U4736" s="9" t="s">
        <v>13284</v>
      </c>
      <c r="V4736" s="9" t="s">
        <v>13284</v>
      </c>
      <c r="W4736" s="12"/>
      <c r="X4736" s="9" t="str">
        <f t="array" ref="X4736">IFERROR(INDEX('Адреса общежитий (скрытый)'!$B$2:$B$9, MATCH(W4736, 'Адреса общежитий (скрытый)'!$A$2:$A$9, 0)), "")</f>
        <v/>
      </c>
      <c r="Y4736" s="18"/>
      <c r="Z4736" s="18"/>
      <c r="AA4736" s="18"/>
      <c r="AB4736" s="18"/>
      <c r="AC4736" s="18"/>
    </row>
    <row r="4737" spans="1:29" ht="32.25" hidden="1" customHeight="1">
      <c r="A4737" s="17"/>
      <c r="B4737" s="9" t="s">
        <v>13284</v>
      </c>
      <c r="C4737" s="9" t="s">
        <v>13284</v>
      </c>
      <c r="D4737" s="9" t="s">
        <v>13284</v>
      </c>
      <c r="E4737" s="9" t="s">
        <v>13284</v>
      </c>
      <c r="F4737" s="9" t="s">
        <v>13284</v>
      </c>
      <c r="G4737" s="9" t="s">
        <v>13284</v>
      </c>
      <c r="H4737" s="9" t="s">
        <v>13284</v>
      </c>
      <c r="I4737" s="9" t="s">
        <v>13284</v>
      </c>
      <c r="J4737" s="9" t="s">
        <v>13284</v>
      </c>
      <c r="K4737" s="9" t="s">
        <v>13284</v>
      </c>
      <c r="L4737" s="9" t="s">
        <v>13284</v>
      </c>
      <c r="M4737" s="9" t="s">
        <v>13284</v>
      </c>
      <c r="N4737" s="9" t="s">
        <v>13284</v>
      </c>
      <c r="O4737" s="9" t="s">
        <v>13284</v>
      </c>
      <c r="P4737" s="9" t="s">
        <v>13284</v>
      </c>
      <c r="Q4737" s="9" t="s">
        <v>13284</v>
      </c>
      <c r="R4737" s="9" t="s">
        <v>13284</v>
      </c>
      <c r="S4737" s="9" t="s">
        <v>13284</v>
      </c>
      <c r="T4737" s="9" t="str">
        <f ca="1">IFERROR(IF(AND(VLOOKUP(A4737, 'Актуальное состояние (из общего'!A:C,3,0) = "", A4737 &lt;&gt; ""), "ПРОВЕРИТЬ", VLOOKUP(A4737, 'Актуальное состояние (из общего'!A:C,3,0)), "")</f>
        <v/>
      </c>
      <c r="U4737" s="9" t="s">
        <v>13284</v>
      </c>
      <c r="V4737" s="9" t="s">
        <v>13284</v>
      </c>
      <c r="W4737" s="12"/>
      <c r="X4737" s="9" t="str">
        <f t="array" ref="X4737">IFERROR(INDEX('Адреса общежитий (скрытый)'!$B$2:$B$9, MATCH(W4737, 'Адреса общежитий (скрытый)'!$A$2:$A$9, 0)), "")</f>
        <v/>
      </c>
      <c r="Y4737" s="18"/>
      <c r="Z4737" s="18"/>
      <c r="AA4737" s="18"/>
      <c r="AB4737" s="18"/>
      <c r="AC4737" s="18"/>
    </row>
    <row r="4738" spans="1:29" ht="32.25" hidden="1" customHeight="1">
      <c r="A4738" s="17"/>
      <c r="B4738" s="9" t="s">
        <v>13284</v>
      </c>
      <c r="C4738" s="9" t="s">
        <v>13284</v>
      </c>
      <c r="D4738" s="9" t="s">
        <v>13284</v>
      </c>
      <c r="E4738" s="9" t="s">
        <v>13284</v>
      </c>
      <c r="F4738" s="9" t="s">
        <v>13284</v>
      </c>
      <c r="G4738" s="9" t="s">
        <v>13284</v>
      </c>
      <c r="H4738" s="9" t="s">
        <v>13284</v>
      </c>
      <c r="I4738" s="9" t="s">
        <v>13284</v>
      </c>
      <c r="J4738" s="9" t="s">
        <v>13284</v>
      </c>
      <c r="K4738" s="9" t="s">
        <v>13284</v>
      </c>
      <c r="L4738" s="9" t="s">
        <v>13284</v>
      </c>
      <c r="M4738" s="9" t="s">
        <v>13284</v>
      </c>
      <c r="N4738" s="9" t="s">
        <v>13284</v>
      </c>
      <c r="O4738" s="9" t="s">
        <v>13284</v>
      </c>
      <c r="P4738" s="9" t="s">
        <v>13284</v>
      </c>
      <c r="Q4738" s="9" t="s">
        <v>13284</v>
      </c>
      <c r="R4738" s="9" t="s">
        <v>13284</v>
      </c>
      <c r="S4738" s="9" t="s">
        <v>13284</v>
      </c>
      <c r="T4738" s="9" t="str">
        <f ca="1">IFERROR(IF(AND(VLOOKUP(A4738, 'Актуальное состояние (из общего'!A:C,3,0) = "", A4738 &lt;&gt; ""), "ПРОВЕРИТЬ", VLOOKUP(A4738, 'Актуальное состояние (из общего'!A:C,3,0)), "")</f>
        <v/>
      </c>
      <c r="U4738" s="9" t="s">
        <v>13284</v>
      </c>
      <c r="V4738" s="9" t="s">
        <v>13284</v>
      </c>
      <c r="W4738" s="12"/>
      <c r="X4738" s="9" t="str">
        <f t="array" ref="X4738">IFERROR(INDEX('Адреса общежитий (скрытый)'!$B$2:$B$9, MATCH(W4738, 'Адреса общежитий (скрытый)'!$A$2:$A$9, 0)), "")</f>
        <v/>
      </c>
      <c r="Y4738" s="18"/>
      <c r="Z4738" s="18"/>
      <c r="AA4738" s="18"/>
      <c r="AB4738" s="18"/>
      <c r="AC4738" s="18"/>
    </row>
    <row r="4739" spans="1:29" ht="32.25" hidden="1" customHeight="1">
      <c r="A4739" s="17"/>
      <c r="B4739" s="9" t="s">
        <v>13284</v>
      </c>
      <c r="C4739" s="9" t="s">
        <v>13284</v>
      </c>
      <c r="D4739" s="9" t="s">
        <v>13284</v>
      </c>
      <c r="E4739" s="9" t="s">
        <v>13284</v>
      </c>
      <c r="F4739" s="9" t="s">
        <v>13284</v>
      </c>
      <c r="G4739" s="9" t="s">
        <v>13284</v>
      </c>
      <c r="H4739" s="9" t="s">
        <v>13284</v>
      </c>
      <c r="I4739" s="9" t="s">
        <v>13284</v>
      </c>
      <c r="J4739" s="9" t="s">
        <v>13284</v>
      </c>
      <c r="K4739" s="9" t="s">
        <v>13284</v>
      </c>
      <c r="L4739" s="9" t="s">
        <v>13284</v>
      </c>
      <c r="M4739" s="9" t="s">
        <v>13284</v>
      </c>
      <c r="N4739" s="9" t="s">
        <v>13284</v>
      </c>
      <c r="O4739" s="9" t="s">
        <v>13284</v>
      </c>
      <c r="P4739" s="9" t="s">
        <v>13284</v>
      </c>
      <c r="Q4739" s="9" t="s">
        <v>13284</v>
      </c>
      <c r="R4739" s="9" t="s">
        <v>13284</v>
      </c>
      <c r="S4739" s="9" t="s">
        <v>13284</v>
      </c>
      <c r="T4739" s="9" t="str">
        <f ca="1">IFERROR(IF(AND(VLOOKUP(A4739, 'Актуальное состояние (из общего'!A:C,3,0) = "", A4739 &lt;&gt; ""), "ПРОВЕРИТЬ", VLOOKUP(A4739, 'Актуальное состояние (из общего'!A:C,3,0)), "")</f>
        <v/>
      </c>
      <c r="U4739" s="9" t="s">
        <v>13284</v>
      </c>
      <c r="V4739" s="9" t="s">
        <v>13284</v>
      </c>
      <c r="W4739" s="12"/>
      <c r="X4739" s="9" t="str">
        <f t="array" ref="X4739">IFERROR(INDEX('Адреса общежитий (скрытый)'!$B$2:$B$9, MATCH(W4739, 'Адреса общежитий (скрытый)'!$A$2:$A$9, 0)), "")</f>
        <v/>
      </c>
      <c r="Y4739" s="18"/>
      <c r="Z4739" s="18"/>
      <c r="AA4739" s="18"/>
      <c r="AB4739" s="18"/>
      <c r="AC4739" s="18"/>
    </row>
    <row r="4740" spans="1:29" ht="32.25" hidden="1" customHeight="1">
      <c r="A4740" s="17"/>
      <c r="B4740" s="9" t="s">
        <v>13284</v>
      </c>
      <c r="C4740" s="9" t="s">
        <v>13284</v>
      </c>
      <c r="D4740" s="9" t="s">
        <v>13284</v>
      </c>
      <c r="E4740" s="9" t="s">
        <v>13284</v>
      </c>
      <c r="F4740" s="9" t="s">
        <v>13284</v>
      </c>
      <c r="G4740" s="9" t="s">
        <v>13284</v>
      </c>
      <c r="H4740" s="9" t="s">
        <v>13284</v>
      </c>
      <c r="I4740" s="9" t="s">
        <v>13284</v>
      </c>
      <c r="J4740" s="9" t="s">
        <v>13284</v>
      </c>
      <c r="K4740" s="9" t="s">
        <v>13284</v>
      </c>
      <c r="L4740" s="9" t="s">
        <v>13284</v>
      </c>
      <c r="M4740" s="9" t="s">
        <v>13284</v>
      </c>
      <c r="N4740" s="9" t="s">
        <v>13284</v>
      </c>
      <c r="O4740" s="9" t="s">
        <v>13284</v>
      </c>
      <c r="P4740" s="9" t="s">
        <v>13284</v>
      </c>
      <c r="Q4740" s="9" t="s">
        <v>13284</v>
      </c>
      <c r="R4740" s="9" t="s">
        <v>13284</v>
      </c>
      <c r="S4740" s="9" t="s">
        <v>13284</v>
      </c>
      <c r="T4740" s="9" t="str">
        <f ca="1">IFERROR(IF(AND(VLOOKUP(A4740, 'Актуальное состояние (из общего'!A:C,3,0) = "", A4740 &lt;&gt; ""), "ПРОВЕРИТЬ", VLOOKUP(A4740, 'Актуальное состояние (из общего'!A:C,3,0)), "")</f>
        <v/>
      </c>
      <c r="U4740" s="9" t="s">
        <v>13284</v>
      </c>
      <c r="V4740" s="9" t="s">
        <v>13284</v>
      </c>
      <c r="W4740" s="12"/>
      <c r="X4740" s="9" t="str">
        <f t="array" ref="X4740">IFERROR(INDEX('Адреса общежитий (скрытый)'!$B$2:$B$9, MATCH(W4740, 'Адреса общежитий (скрытый)'!$A$2:$A$9, 0)), "")</f>
        <v/>
      </c>
      <c r="Y4740" s="18"/>
      <c r="Z4740" s="18"/>
      <c r="AA4740" s="18"/>
      <c r="AB4740" s="18"/>
      <c r="AC4740" s="18"/>
    </row>
    <row r="4741" spans="1:29" ht="32.25" hidden="1" customHeight="1">
      <c r="A4741" s="17"/>
      <c r="B4741" s="9" t="s">
        <v>13284</v>
      </c>
      <c r="C4741" s="9" t="s">
        <v>13284</v>
      </c>
      <c r="D4741" s="9" t="s">
        <v>13284</v>
      </c>
      <c r="E4741" s="9" t="s">
        <v>13284</v>
      </c>
      <c r="F4741" s="9" t="s">
        <v>13284</v>
      </c>
      <c r="G4741" s="9" t="s">
        <v>13284</v>
      </c>
      <c r="H4741" s="9" t="s">
        <v>13284</v>
      </c>
      <c r="I4741" s="9" t="s">
        <v>13284</v>
      </c>
      <c r="J4741" s="9" t="s">
        <v>13284</v>
      </c>
      <c r="K4741" s="9" t="s">
        <v>13284</v>
      </c>
      <c r="L4741" s="9" t="s">
        <v>13284</v>
      </c>
      <c r="M4741" s="9" t="s">
        <v>13284</v>
      </c>
      <c r="N4741" s="9" t="s">
        <v>13284</v>
      </c>
      <c r="O4741" s="9" t="s">
        <v>13284</v>
      </c>
      <c r="P4741" s="9" t="s">
        <v>13284</v>
      </c>
      <c r="Q4741" s="9" t="s">
        <v>13284</v>
      </c>
      <c r="R4741" s="9" t="s">
        <v>13284</v>
      </c>
      <c r="S4741" s="9" t="s">
        <v>13284</v>
      </c>
      <c r="T4741" s="9" t="str">
        <f ca="1">IFERROR(IF(AND(VLOOKUP(A4741, 'Актуальное состояние (из общего'!A:C,3,0) = "", A4741 &lt;&gt; ""), "ПРОВЕРИТЬ", VLOOKUP(A4741, 'Актуальное состояние (из общего'!A:C,3,0)), "")</f>
        <v/>
      </c>
      <c r="U4741" s="9" t="s">
        <v>13284</v>
      </c>
      <c r="V4741" s="9" t="s">
        <v>13284</v>
      </c>
      <c r="W4741" s="12"/>
      <c r="X4741" s="9" t="str">
        <f t="array" ref="X4741">IFERROR(INDEX('Адреса общежитий (скрытый)'!$B$2:$B$9, MATCH(W4741, 'Адреса общежитий (скрытый)'!$A$2:$A$9, 0)), "")</f>
        <v/>
      </c>
      <c r="Y4741" s="18"/>
      <c r="Z4741" s="18"/>
      <c r="AA4741" s="18"/>
      <c r="AB4741" s="18"/>
      <c r="AC4741" s="18"/>
    </row>
    <row r="4742" spans="1:29" ht="32.25" hidden="1" customHeight="1">
      <c r="A4742" s="17"/>
      <c r="B4742" s="9" t="s">
        <v>13284</v>
      </c>
      <c r="C4742" s="9" t="s">
        <v>13284</v>
      </c>
      <c r="D4742" s="9" t="s">
        <v>13284</v>
      </c>
      <c r="E4742" s="9" t="s">
        <v>13284</v>
      </c>
      <c r="F4742" s="9" t="s">
        <v>13284</v>
      </c>
      <c r="G4742" s="9" t="s">
        <v>13284</v>
      </c>
      <c r="H4742" s="9" t="s">
        <v>13284</v>
      </c>
      <c r="I4742" s="9" t="s">
        <v>13284</v>
      </c>
      <c r="J4742" s="9" t="s">
        <v>13284</v>
      </c>
      <c r="K4742" s="9" t="s">
        <v>13284</v>
      </c>
      <c r="L4742" s="9" t="s">
        <v>13284</v>
      </c>
      <c r="M4742" s="9" t="s">
        <v>13284</v>
      </c>
      <c r="N4742" s="9" t="s">
        <v>13284</v>
      </c>
      <c r="O4742" s="9" t="s">
        <v>13284</v>
      </c>
      <c r="P4742" s="9" t="s">
        <v>13284</v>
      </c>
      <c r="Q4742" s="9" t="s">
        <v>13284</v>
      </c>
      <c r="R4742" s="9" t="s">
        <v>13284</v>
      </c>
      <c r="S4742" s="9" t="s">
        <v>13284</v>
      </c>
      <c r="T4742" s="9" t="str">
        <f ca="1">IFERROR(IF(AND(VLOOKUP(A4742, 'Актуальное состояние (из общего'!A:C,3,0) = "", A4742 &lt;&gt; ""), "ПРОВЕРИТЬ", VLOOKUP(A4742, 'Актуальное состояние (из общего'!A:C,3,0)), "")</f>
        <v/>
      </c>
      <c r="U4742" s="9" t="s">
        <v>13284</v>
      </c>
      <c r="V4742" s="9" t="s">
        <v>13284</v>
      </c>
      <c r="W4742" s="12"/>
      <c r="X4742" s="9" t="str">
        <f t="array" ref="X4742">IFERROR(INDEX('Адреса общежитий (скрытый)'!$B$2:$B$9, MATCH(W4742, 'Адреса общежитий (скрытый)'!$A$2:$A$9, 0)), "")</f>
        <v/>
      </c>
      <c r="Y4742" s="18"/>
      <c r="Z4742" s="18"/>
      <c r="AA4742" s="18"/>
      <c r="AB4742" s="18"/>
      <c r="AC4742" s="18"/>
    </row>
    <row r="4743" spans="1:29" ht="32.25" hidden="1" customHeight="1">
      <c r="A4743" s="17"/>
      <c r="B4743" s="9" t="s">
        <v>13284</v>
      </c>
      <c r="C4743" s="9" t="s">
        <v>13284</v>
      </c>
      <c r="D4743" s="9" t="s">
        <v>13284</v>
      </c>
      <c r="E4743" s="9" t="s">
        <v>13284</v>
      </c>
      <c r="F4743" s="9" t="s">
        <v>13284</v>
      </c>
      <c r="G4743" s="9" t="s">
        <v>13284</v>
      </c>
      <c r="H4743" s="9" t="s">
        <v>13284</v>
      </c>
      <c r="I4743" s="9" t="s">
        <v>13284</v>
      </c>
      <c r="J4743" s="9" t="s">
        <v>13284</v>
      </c>
      <c r="K4743" s="9" t="s">
        <v>13284</v>
      </c>
      <c r="L4743" s="9" t="s">
        <v>13284</v>
      </c>
      <c r="M4743" s="9" t="s">
        <v>13284</v>
      </c>
      <c r="N4743" s="9" t="s">
        <v>13284</v>
      </c>
      <c r="O4743" s="9" t="s">
        <v>13284</v>
      </c>
      <c r="P4743" s="9" t="s">
        <v>13284</v>
      </c>
      <c r="Q4743" s="9" t="s">
        <v>13284</v>
      </c>
      <c r="R4743" s="9" t="s">
        <v>13284</v>
      </c>
      <c r="S4743" s="9" t="s">
        <v>13284</v>
      </c>
      <c r="T4743" s="9" t="str">
        <f ca="1">IFERROR(IF(AND(VLOOKUP(A4743, 'Актуальное состояние (из общего'!A:C,3,0) = "", A4743 &lt;&gt; ""), "ПРОВЕРИТЬ", VLOOKUP(A4743, 'Актуальное состояние (из общего'!A:C,3,0)), "")</f>
        <v/>
      </c>
      <c r="U4743" s="9" t="s">
        <v>13284</v>
      </c>
      <c r="V4743" s="9" t="s">
        <v>13284</v>
      </c>
      <c r="W4743" s="12"/>
      <c r="X4743" s="9" t="str">
        <f t="array" ref="X4743">IFERROR(INDEX('Адреса общежитий (скрытый)'!$B$2:$B$9, MATCH(W4743, 'Адреса общежитий (скрытый)'!$A$2:$A$9, 0)), "")</f>
        <v/>
      </c>
      <c r="Y4743" s="18"/>
      <c r="Z4743" s="18"/>
      <c r="AA4743" s="18"/>
      <c r="AB4743" s="18"/>
      <c r="AC4743" s="18"/>
    </row>
    <row r="4744" spans="1:29" ht="32.25" hidden="1" customHeight="1">
      <c r="A4744" s="17"/>
      <c r="B4744" s="9" t="s">
        <v>13284</v>
      </c>
      <c r="C4744" s="9" t="s">
        <v>13284</v>
      </c>
      <c r="D4744" s="9" t="s">
        <v>13284</v>
      </c>
      <c r="E4744" s="9" t="s">
        <v>13284</v>
      </c>
      <c r="F4744" s="9" t="s">
        <v>13284</v>
      </c>
      <c r="G4744" s="9" t="s">
        <v>13284</v>
      </c>
      <c r="H4744" s="9" t="s">
        <v>13284</v>
      </c>
      <c r="I4744" s="9" t="s">
        <v>13284</v>
      </c>
      <c r="J4744" s="9" t="s">
        <v>13284</v>
      </c>
      <c r="K4744" s="9" t="s">
        <v>13284</v>
      </c>
      <c r="L4744" s="9" t="s">
        <v>13284</v>
      </c>
      <c r="M4744" s="9" t="s">
        <v>13284</v>
      </c>
      <c r="N4744" s="9" t="s">
        <v>13284</v>
      </c>
      <c r="O4744" s="9" t="s">
        <v>13284</v>
      </c>
      <c r="P4744" s="9" t="s">
        <v>13284</v>
      </c>
      <c r="Q4744" s="9" t="s">
        <v>13284</v>
      </c>
      <c r="R4744" s="9" t="s">
        <v>13284</v>
      </c>
      <c r="S4744" s="9" t="s">
        <v>13284</v>
      </c>
      <c r="T4744" s="9" t="str">
        <f ca="1">IFERROR(IF(AND(VLOOKUP(A4744, 'Актуальное состояние (из общего'!A:C,3,0) = "", A4744 &lt;&gt; ""), "ПРОВЕРИТЬ", VLOOKUP(A4744, 'Актуальное состояние (из общего'!A:C,3,0)), "")</f>
        <v/>
      </c>
      <c r="U4744" s="9" t="s">
        <v>13284</v>
      </c>
      <c r="V4744" s="9" t="s">
        <v>13284</v>
      </c>
      <c r="W4744" s="12"/>
      <c r="X4744" s="9" t="str">
        <f t="array" ref="X4744">IFERROR(INDEX('Адреса общежитий (скрытый)'!$B$2:$B$9, MATCH(W4744, 'Адреса общежитий (скрытый)'!$A$2:$A$9, 0)), "")</f>
        <v/>
      </c>
      <c r="Y4744" s="18"/>
      <c r="Z4744" s="18"/>
      <c r="AA4744" s="18"/>
      <c r="AB4744" s="18"/>
      <c r="AC4744" s="18"/>
    </row>
    <row r="4745" spans="1:29" ht="32.25" hidden="1" customHeight="1">
      <c r="A4745" s="17"/>
      <c r="B4745" s="9" t="s">
        <v>13284</v>
      </c>
      <c r="C4745" s="9" t="s">
        <v>13284</v>
      </c>
      <c r="D4745" s="9" t="s">
        <v>13284</v>
      </c>
      <c r="E4745" s="9" t="s">
        <v>13284</v>
      </c>
      <c r="F4745" s="9" t="s">
        <v>13284</v>
      </c>
      <c r="G4745" s="9" t="s">
        <v>13284</v>
      </c>
      <c r="H4745" s="9" t="s">
        <v>13284</v>
      </c>
      <c r="I4745" s="9" t="s">
        <v>13284</v>
      </c>
      <c r="J4745" s="9" t="s">
        <v>13284</v>
      </c>
      <c r="K4745" s="9" t="s">
        <v>13284</v>
      </c>
      <c r="L4745" s="9" t="s">
        <v>13284</v>
      </c>
      <c r="M4745" s="9" t="s">
        <v>13284</v>
      </c>
      <c r="N4745" s="9" t="s">
        <v>13284</v>
      </c>
      <c r="O4745" s="9" t="s">
        <v>13284</v>
      </c>
      <c r="P4745" s="9" t="s">
        <v>13284</v>
      </c>
      <c r="Q4745" s="9" t="s">
        <v>13284</v>
      </c>
      <c r="R4745" s="9" t="s">
        <v>13284</v>
      </c>
      <c r="S4745" s="9" t="s">
        <v>13284</v>
      </c>
      <c r="T4745" s="9" t="str">
        <f ca="1">IFERROR(IF(AND(VLOOKUP(A4745, 'Актуальное состояние (из общего'!A:C,3,0) = "", A4745 &lt;&gt; ""), "ПРОВЕРИТЬ", VLOOKUP(A4745, 'Актуальное состояние (из общего'!A:C,3,0)), "")</f>
        <v/>
      </c>
      <c r="U4745" s="9" t="s">
        <v>13284</v>
      </c>
      <c r="V4745" s="9" t="s">
        <v>13284</v>
      </c>
      <c r="W4745" s="12"/>
      <c r="X4745" s="9" t="str">
        <f t="array" ref="X4745">IFERROR(INDEX('Адреса общежитий (скрытый)'!$B$2:$B$9, MATCH(W4745, 'Адреса общежитий (скрытый)'!$A$2:$A$9, 0)), "")</f>
        <v/>
      </c>
      <c r="Y4745" s="18"/>
      <c r="Z4745" s="18"/>
      <c r="AA4745" s="18"/>
      <c r="AB4745" s="18"/>
      <c r="AC4745" s="18"/>
    </row>
    <row r="4746" spans="1:29" ht="32.25" hidden="1" customHeight="1">
      <c r="A4746" s="17"/>
      <c r="B4746" s="9" t="s">
        <v>13284</v>
      </c>
      <c r="C4746" s="9" t="s">
        <v>13284</v>
      </c>
      <c r="D4746" s="9" t="s">
        <v>13284</v>
      </c>
      <c r="E4746" s="9" t="s">
        <v>13284</v>
      </c>
      <c r="F4746" s="9" t="s">
        <v>13284</v>
      </c>
      <c r="G4746" s="9" t="s">
        <v>13284</v>
      </c>
      <c r="H4746" s="9" t="s">
        <v>13284</v>
      </c>
      <c r="I4746" s="9" t="s">
        <v>13284</v>
      </c>
      <c r="J4746" s="9" t="s">
        <v>13284</v>
      </c>
      <c r="K4746" s="9" t="s">
        <v>13284</v>
      </c>
      <c r="L4746" s="9" t="s">
        <v>13284</v>
      </c>
      <c r="M4746" s="9" t="s">
        <v>13284</v>
      </c>
      <c r="N4746" s="9" t="s">
        <v>13284</v>
      </c>
      <c r="O4746" s="9" t="s">
        <v>13284</v>
      </c>
      <c r="P4746" s="9" t="s">
        <v>13284</v>
      </c>
      <c r="Q4746" s="9" t="s">
        <v>13284</v>
      </c>
      <c r="R4746" s="9" t="s">
        <v>13284</v>
      </c>
      <c r="S4746" s="9" t="s">
        <v>13284</v>
      </c>
      <c r="T4746" s="9" t="str">
        <f ca="1">IFERROR(IF(AND(VLOOKUP(A4746, 'Актуальное состояние (из общего'!A:C,3,0) = "", A4746 &lt;&gt; ""), "ПРОВЕРИТЬ", VLOOKUP(A4746, 'Актуальное состояние (из общего'!A:C,3,0)), "")</f>
        <v/>
      </c>
      <c r="U4746" s="9" t="s">
        <v>13284</v>
      </c>
      <c r="V4746" s="9" t="s">
        <v>13284</v>
      </c>
      <c r="W4746" s="12"/>
      <c r="X4746" s="9" t="str">
        <f t="array" ref="X4746">IFERROR(INDEX('Адреса общежитий (скрытый)'!$B$2:$B$9, MATCH(W4746, 'Адреса общежитий (скрытый)'!$A$2:$A$9, 0)), "")</f>
        <v/>
      </c>
      <c r="Y4746" s="18"/>
      <c r="Z4746" s="18"/>
      <c r="AA4746" s="18"/>
      <c r="AB4746" s="18"/>
      <c r="AC4746" s="18"/>
    </row>
    <row r="4747" spans="1:29" ht="32.25" hidden="1" customHeight="1">
      <c r="A4747" s="17"/>
      <c r="B4747" s="9" t="s">
        <v>13284</v>
      </c>
      <c r="C4747" s="9" t="s">
        <v>13284</v>
      </c>
      <c r="D4747" s="9" t="s">
        <v>13284</v>
      </c>
      <c r="E4747" s="9" t="s">
        <v>13284</v>
      </c>
      <c r="F4747" s="9" t="s">
        <v>13284</v>
      </c>
      <c r="G4747" s="9" t="s">
        <v>13284</v>
      </c>
      <c r="H4747" s="9" t="s">
        <v>13284</v>
      </c>
      <c r="I4747" s="9" t="s">
        <v>13284</v>
      </c>
      <c r="J4747" s="9" t="s">
        <v>13284</v>
      </c>
      <c r="K4747" s="9" t="s">
        <v>13284</v>
      </c>
      <c r="L4747" s="9" t="s">
        <v>13284</v>
      </c>
      <c r="M4747" s="9" t="s">
        <v>13284</v>
      </c>
      <c r="N4747" s="9" t="s">
        <v>13284</v>
      </c>
      <c r="O4747" s="9" t="s">
        <v>13284</v>
      </c>
      <c r="P4747" s="9" t="s">
        <v>13284</v>
      </c>
      <c r="Q4747" s="9" t="s">
        <v>13284</v>
      </c>
      <c r="R4747" s="9" t="s">
        <v>13284</v>
      </c>
      <c r="S4747" s="9" t="s">
        <v>13284</v>
      </c>
      <c r="T4747" s="9" t="str">
        <f ca="1">IFERROR(IF(AND(VLOOKUP(A4747, 'Актуальное состояние (из общего'!A:C,3,0) = "", A4747 &lt;&gt; ""), "ПРОВЕРИТЬ", VLOOKUP(A4747, 'Актуальное состояние (из общего'!A:C,3,0)), "")</f>
        <v/>
      </c>
      <c r="U4747" s="9" t="s">
        <v>13284</v>
      </c>
      <c r="V4747" s="9" t="s">
        <v>13284</v>
      </c>
      <c r="W4747" s="12"/>
      <c r="X4747" s="9" t="str">
        <f t="array" ref="X4747">IFERROR(INDEX('Адреса общежитий (скрытый)'!$B$2:$B$9, MATCH(W4747, 'Адреса общежитий (скрытый)'!$A$2:$A$9, 0)), "")</f>
        <v/>
      </c>
      <c r="Y4747" s="18"/>
      <c r="Z4747" s="18"/>
      <c r="AA4747" s="18"/>
      <c r="AB4747" s="18"/>
      <c r="AC4747" s="18"/>
    </row>
    <row r="4748" spans="1:29" ht="32.25" hidden="1" customHeight="1">
      <c r="A4748" s="17"/>
      <c r="B4748" s="9" t="s">
        <v>13284</v>
      </c>
      <c r="C4748" s="9" t="s">
        <v>13284</v>
      </c>
      <c r="D4748" s="9" t="s">
        <v>13284</v>
      </c>
      <c r="E4748" s="9" t="s">
        <v>13284</v>
      </c>
      <c r="F4748" s="9" t="s">
        <v>13284</v>
      </c>
      <c r="G4748" s="9" t="s">
        <v>13284</v>
      </c>
      <c r="H4748" s="9" t="s">
        <v>13284</v>
      </c>
      <c r="I4748" s="9" t="s">
        <v>13284</v>
      </c>
      <c r="J4748" s="9" t="s">
        <v>13284</v>
      </c>
      <c r="K4748" s="9" t="s">
        <v>13284</v>
      </c>
      <c r="L4748" s="9" t="s">
        <v>13284</v>
      </c>
      <c r="M4748" s="9" t="s">
        <v>13284</v>
      </c>
      <c r="N4748" s="9" t="s">
        <v>13284</v>
      </c>
      <c r="O4748" s="9" t="s">
        <v>13284</v>
      </c>
      <c r="P4748" s="9" t="s">
        <v>13284</v>
      </c>
      <c r="Q4748" s="9" t="s">
        <v>13284</v>
      </c>
      <c r="R4748" s="9" t="s">
        <v>13284</v>
      </c>
      <c r="S4748" s="9" t="s">
        <v>13284</v>
      </c>
      <c r="T4748" s="9" t="str">
        <f ca="1">IFERROR(IF(AND(VLOOKUP(A4748, 'Актуальное состояние (из общего'!A:C,3,0) = "", A4748 &lt;&gt; ""), "ПРОВЕРИТЬ", VLOOKUP(A4748, 'Актуальное состояние (из общего'!A:C,3,0)), "")</f>
        <v/>
      </c>
      <c r="U4748" s="9" t="s">
        <v>13284</v>
      </c>
      <c r="V4748" s="9" t="s">
        <v>13284</v>
      </c>
      <c r="W4748" s="12"/>
      <c r="X4748" s="9" t="str">
        <f t="array" ref="X4748">IFERROR(INDEX('Адреса общежитий (скрытый)'!$B$2:$B$9, MATCH(W4748, 'Адреса общежитий (скрытый)'!$A$2:$A$9, 0)), "")</f>
        <v/>
      </c>
      <c r="Y4748" s="18"/>
      <c r="Z4748" s="18"/>
      <c r="AA4748" s="18"/>
      <c r="AB4748" s="18"/>
      <c r="AC4748" s="18"/>
    </row>
    <row r="4749" spans="1:29" ht="32.25" hidden="1" customHeight="1">
      <c r="A4749" s="17"/>
      <c r="B4749" s="9" t="s">
        <v>13284</v>
      </c>
      <c r="C4749" s="9" t="s">
        <v>13284</v>
      </c>
      <c r="D4749" s="9" t="s">
        <v>13284</v>
      </c>
      <c r="E4749" s="9" t="s">
        <v>13284</v>
      </c>
      <c r="F4749" s="9" t="s">
        <v>13284</v>
      </c>
      <c r="G4749" s="9" t="s">
        <v>13284</v>
      </c>
      <c r="H4749" s="9" t="s">
        <v>13284</v>
      </c>
      <c r="I4749" s="9" t="s">
        <v>13284</v>
      </c>
      <c r="J4749" s="9" t="s">
        <v>13284</v>
      </c>
      <c r="K4749" s="9" t="s">
        <v>13284</v>
      </c>
      <c r="L4749" s="9" t="s">
        <v>13284</v>
      </c>
      <c r="M4749" s="9" t="s">
        <v>13284</v>
      </c>
      <c r="N4749" s="9" t="s">
        <v>13284</v>
      </c>
      <c r="O4749" s="9" t="s">
        <v>13284</v>
      </c>
      <c r="P4749" s="9" t="s">
        <v>13284</v>
      </c>
      <c r="Q4749" s="9" t="s">
        <v>13284</v>
      </c>
      <c r="R4749" s="9" t="s">
        <v>13284</v>
      </c>
      <c r="S4749" s="9" t="s">
        <v>13284</v>
      </c>
      <c r="T4749" s="9" t="str">
        <f ca="1">IFERROR(IF(AND(VLOOKUP(A4749, 'Актуальное состояние (из общего'!A:C,3,0) = "", A4749 &lt;&gt; ""), "ПРОВЕРИТЬ", VLOOKUP(A4749, 'Актуальное состояние (из общего'!A:C,3,0)), "")</f>
        <v/>
      </c>
      <c r="U4749" s="9" t="s">
        <v>13284</v>
      </c>
      <c r="V4749" s="9" t="s">
        <v>13284</v>
      </c>
      <c r="W4749" s="12"/>
      <c r="X4749" s="9" t="str">
        <f t="array" ref="X4749">IFERROR(INDEX('Адреса общежитий (скрытый)'!$B$2:$B$9, MATCH(W4749, 'Адреса общежитий (скрытый)'!$A$2:$A$9, 0)), "")</f>
        <v/>
      </c>
      <c r="Y4749" s="18"/>
      <c r="Z4749" s="18"/>
      <c r="AA4749" s="18"/>
      <c r="AB4749" s="18"/>
      <c r="AC4749" s="18"/>
    </row>
    <row r="4750" spans="1:29" ht="32.25" hidden="1" customHeight="1">
      <c r="A4750" s="17"/>
      <c r="B4750" s="9" t="s">
        <v>13284</v>
      </c>
      <c r="C4750" s="9" t="s">
        <v>13284</v>
      </c>
      <c r="D4750" s="9" t="s">
        <v>13284</v>
      </c>
      <c r="E4750" s="9" t="s">
        <v>13284</v>
      </c>
      <c r="F4750" s="9" t="s">
        <v>13284</v>
      </c>
      <c r="G4750" s="9" t="s">
        <v>13284</v>
      </c>
      <c r="H4750" s="9" t="s">
        <v>13284</v>
      </c>
      <c r="I4750" s="9" t="s">
        <v>13284</v>
      </c>
      <c r="J4750" s="9" t="s">
        <v>13284</v>
      </c>
      <c r="K4750" s="9" t="s">
        <v>13284</v>
      </c>
      <c r="L4750" s="9" t="s">
        <v>13284</v>
      </c>
      <c r="M4750" s="9" t="s">
        <v>13284</v>
      </c>
      <c r="N4750" s="9" t="s">
        <v>13284</v>
      </c>
      <c r="O4750" s="9" t="s">
        <v>13284</v>
      </c>
      <c r="P4750" s="9" t="s">
        <v>13284</v>
      </c>
      <c r="Q4750" s="9" t="s">
        <v>13284</v>
      </c>
      <c r="R4750" s="9" t="s">
        <v>13284</v>
      </c>
      <c r="S4750" s="9" t="s">
        <v>13284</v>
      </c>
      <c r="T4750" s="9" t="str">
        <f ca="1">IFERROR(IF(AND(VLOOKUP(A4750, 'Актуальное состояние (из общего'!A:C,3,0) = "", A4750 &lt;&gt; ""), "ПРОВЕРИТЬ", VLOOKUP(A4750, 'Актуальное состояние (из общего'!A:C,3,0)), "")</f>
        <v/>
      </c>
      <c r="U4750" s="9" t="s">
        <v>13284</v>
      </c>
      <c r="V4750" s="9" t="s">
        <v>13284</v>
      </c>
      <c r="W4750" s="12"/>
      <c r="X4750" s="9" t="str">
        <f t="array" ref="X4750">IFERROR(INDEX('Адреса общежитий (скрытый)'!$B$2:$B$9, MATCH(W4750, 'Адреса общежитий (скрытый)'!$A$2:$A$9, 0)), "")</f>
        <v/>
      </c>
      <c r="Y4750" s="18"/>
      <c r="Z4750" s="18"/>
      <c r="AA4750" s="18"/>
      <c r="AB4750" s="18"/>
      <c r="AC4750" s="18"/>
    </row>
    <row r="4751" spans="1:29" ht="32.25" hidden="1" customHeight="1">
      <c r="A4751" s="17"/>
      <c r="B4751" s="9" t="s">
        <v>13284</v>
      </c>
      <c r="C4751" s="9" t="s">
        <v>13284</v>
      </c>
      <c r="D4751" s="9" t="s">
        <v>13284</v>
      </c>
      <c r="E4751" s="9" t="s">
        <v>13284</v>
      </c>
      <c r="F4751" s="9" t="s">
        <v>13284</v>
      </c>
      <c r="G4751" s="9" t="s">
        <v>13284</v>
      </c>
      <c r="H4751" s="9" t="s">
        <v>13284</v>
      </c>
      <c r="I4751" s="9" t="s">
        <v>13284</v>
      </c>
      <c r="J4751" s="9" t="s">
        <v>13284</v>
      </c>
      <c r="K4751" s="9" t="s">
        <v>13284</v>
      </c>
      <c r="L4751" s="9" t="s">
        <v>13284</v>
      </c>
      <c r="M4751" s="9" t="s">
        <v>13284</v>
      </c>
      <c r="N4751" s="9" t="s">
        <v>13284</v>
      </c>
      <c r="O4751" s="9" t="s">
        <v>13284</v>
      </c>
      <c r="P4751" s="9" t="s">
        <v>13284</v>
      </c>
      <c r="Q4751" s="9" t="s">
        <v>13284</v>
      </c>
      <c r="R4751" s="9" t="s">
        <v>13284</v>
      </c>
      <c r="S4751" s="9" t="s">
        <v>13284</v>
      </c>
      <c r="T4751" s="9" t="str">
        <f ca="1">IFERROR(IF(AND(VLOOKUP(A4751, 'Актуальное состояние (из общего'!A:C,3,0) = "", A4751 &lt;&gt; ""), "ПРОВЕРИТЬ", VLOOKUP(A4751, 'Актуальное состояние (из общего'!A:C,3,0)), "")</f>
        <v/>
      </c>
      <c r="U4751" s="9" t="s">
        <v>13284</v>
      </c>
      <c r="V4751" s="9" t="s">
        <v>13284</v>
      </c>
      <c r="W4751" s="12"/>
      <c r="X4751" s="9" t="str">
        <f t="array" ref="X4751">IFERROR(INDEX('Адреса общежитий (скрытый)'!$B$2:$B$9, MATCH(W4751, 'Адреса общежитий (скрытый)'!$A$2:$A$9, 0)), "")</f>
        <v/>
      </c>
      <c r="Y4751" s="18"/>
      <c r="Z4751" s="18"/>
      <c r="AA4751" s="18"/>
      <c r="AB4751" s="18"/>
      <c r="AC4751" s="18"/>
    </row>
    <row r="4752" spans="1:29" ht="32.25" hidden="1" customHeight="1">
      <c r="A4752" s="17"/>
      <c r="B4752" s="9" t="s">
        <v>13284</v>
      </c>
      <c r="C4752" s="9" t="s">
        <v>13284</v>
      </c>
      <c r="D4752" s="9" t="s">
        <v>13284</v>
      </c>
      <c r="E4752" s="9" t="s">
        <v>13284</v>
      </c>
      <c r="F4752" s="9" t="s">
        <v>13284</v>
      </c>
      <c r="G4752" s="9" t="s">
        <v>13284</v>
      </c>
      <c r="H4752" s="9" t="s">
        <v>13284</v>
      </c>
      <c r="I4752" s="9" t="s">
        <v>13284</v>
      </c>
      <c r="J4752" s="9" t="s">
        <v>13284</v>
      </c>
      <c r="K4752" s="9" t="s">
        <v>13284</v>
      </c>
      <c r="L4752" s="9" t="s">
        <v>13284</v>
      </c>
      <c r="M4752" s="9" t="s">
        <v>13284</v>
      </c>
      <c r="N4752" s="9" t="s">
        <v>13284</v>
      </c>
      <c r="O4752" s="9" t="s">
        <v>13284</v>
      </c>
      <c r="P4752" s="9" t="s">
        <v>13284</v>
      </c>
      <c r="Q4752" s="9" t="s">
        <v>13284</v>
      </c>
      <c r="R4752" s="9" t="s">
        <v>13284</v>
      </c>
      <c r="S4752" s="9" t="s">
        <v>13284</v>
      </c>
      <c r="T4752" s="9" t="str">
        <f ca="1">IFERROR(IF(AND(VLOOKUP(A4752, 'Актуальное состояние (из общего'!A:C,3,0) = "", A4752 &lt;&gt; ""), "ПРОВЕРИТЬ", VLOOKUP(A4752, 'Актуальное состояние (из общего'!A:C,3,0)), "")</f>
        <v/>
      </c>
      <c r="U4752" s="9" t="s">
        <v>13284</v>
      </c>
      <c r="V4752" s="9" t="s">
        <v>13284</v>
      </c>
      <c r="W4752" s="12"/>
      <c r="X4752" s="9" t="str">
        <f t="array" ref="X4752">IFERROR(INDEX('Адреса общежитий (скрытый)'!$B$2:$B$9, MATCH(W4752, 'Адреса общежитий (скрытый)'!$A$2:$A$9, 0)), "")</f>
        <v/>
      </c>
      <c r="Y4752" s="18"/>
      <c r="Z4752" s="18"/>
      <c r="AA4752" s="18"/>
      <c r="AB4752" s="18"/>
      <c r="AC4752" s="18"/>
    </row>
    <row r="4753" spans="1:29" ht="32.25" hidden="1" customHeight="1">
      <c r="A4753" s="17"/>
      <c r="B4753" s="9" t="s">
        <v>13284</v>
      </c>
      <c r="C4753" s="9" t="s">
        <v>13284</v>
      </c>
      <c r="D4753" s="9" t="s">
        <v>13284</v>
      </c>
      <c r="E4753" s="9" t="s">
        <v>13284</v>
      </c>
      <c r="F4753" s="9" t="s">
        <v>13284</v>
      </c>
      <c r="G4753" s="9" t="s">
        <v>13284</v>
      </c>
      <c r="H4753" s="9" t="s">
        <v>13284</v>
      </c>
      <c r="I4753" s="9" t="s">
        <v>13284</v>
      </c>
      <c r="J4753" s="9" t="s">
        <v>13284</v>
      </c>
      <c r="K4753" s="9" t="s">
        <v>13284</v>
      </c>
      <c r="L4753" s="9" t="s">
        <v>13284</v>
      </c>
      <c r="M4753" s="9" t="s">
        <v>13284</v>
      </c>
      <c r="N4753" s="9" t="s">
        <v>13284</v>
      </c>
      <c r="O4753" s="9" t="s">
        <v>13284</v>
      </c>
      <c r="P4753" s="9" t="s">
        <v>13284</v>
      </c>
      <c r="Q4753" s="9" t="s">
        <v>13284</v>
      </c>
      <c r="R4753" s="9" t="s">
        <v>13284</v>
      </c>
      <c r="S4753" s="9" t="s">
        <v>13284</v>
      </c>
      <c r="T4753" s="9" t="str">
        <f ca="1">IFERROR(IF(AND(VLOOKUP(A4753, 'Актуальное состояние (из общего'!A:C,3,0) = "", A4753 &lt;&gt; ""), "ПРОВЕРИТЬ", VLOOKUP(A4753, 'Актуальное состояние (из общего'!A:C,3,0)), "")</f>
        <v/>
      </c>
      <c r="U4753" s="9" t="s">
        <v>13284</v>
      </c>
      <c r="V4753" s="9" t="s">
        <v>13284</v>
      </c>
      <c r="W4753" s="12"/>
      <c r="X4753" s="9" t="str">
        <f t="array" ref="X4753">IFERROR(INDEX('Адреса общежитий (скрытый)'!$B$2:$B$9, MATCH(W4753, 'Адреса общежитий (скрытый)'!$A$2:$A$9, 0)), "")</f>
        <v/>
      </c>
      <c r="Y4753" s="18"/>
      <c r="Z4753" s="18"/>
      <c r="AA4753" s="18"/>
      <c r="AB4753" s="18"/>
      <c r="AC4753" s="18"/>
    </row>
    <row r="4754" spans="1:29" ht="32.25" hidden="1" customHeight="1">
      <c r="A4754" s="17"/>
      <c r="B4754" s="9" t="s">
        <v>13284</v>
      </c>
      <c r="C4754" s="9" t="s">
        <v>13284</v>
      </c>
      <c r="D4754" s="9" t="s">
        <v>13284</v>
      </c>
      <c r="E4754" s="9" t="s">
        <v>13284</v>
      </c>
      <c r="F4754" s="9" t="s">
        <v>13284</v>
      </c>
      <c r="G4754" s="9" t="s">
        <v>13284</v>
      </c>
      <c r="H4754" s="9" t="s">
        <v>13284</v>
      </c>
      <c r="I4754" s="9" t="s">
        <v>13284</v>
      </c>
      <c r="J4754" s="9" t="s">
        <v>13284</v>
      </c>
      <c r="K4754" s="9" t="s">
        <v>13284</v>
      </c>
      <c r="L4754" s="9" t="s">
        <v>13284</v>
      </c>
      <c r="M4754" s="9" t="s">
        <v>13284</v>
      </c>
      <c r="N4754" s="9" t="s">
        <v>13284</v>
      </c>
      <c r="O4754" s="9" t="s">
        <v>13284</v>
      </c>
      <c r="P4754" s="9" t="s">
        <v>13284</v>
      </c>
      <c r="Q4754" s="9" t="s">
        <v>13284</v>
      </c>
      <c r="R4754" s="9" t="s">
        <v>13284</v>
      </c>
      <c r="S4754" s="9" t="s">
        <v>13284</v>
      </c>
      <c r="T4754" s="9" t="str">
        <f ca="1">IFERROR(IF(AND(VLOOKUP(A4754, 'Актуальное состояние (из общего'!A:C,3,0) = "", A4754 &lt;&gt; ""), "ПРОВЕРИТЬ", VLOOKUP(A4754, 'Актуальное состояние (из общего'!A:C,3,0)), "")</f>
        <v/>
      </c>
      <c r="U4754" s="9" t="s">
        <v>13284</v>
      </c>
      <c r="V4754" s="9" t="s">
        <v>13284</v>
      </c>
      <c r="W4754" s="12"/>
      <c r="X4754" s="9" t="str">
        <f t="array" ref="X4754">IFERROR(INDEX('Адреса общежитий (скрытый)'!$B$2:$B$9, MATCH(W4754, 'Адреса общежитий (скрытый)'!$A$2:$A$9, 0)), "")</f>
        <v/>
      </c>
      <c r="Y4754" s="18"/>
      <c r="Z4754" s="18"/>
      <c r="AA4754" s="18"/>
      <c r="AB4754" s="18"/>
      <c r="AC4754" s="18"/>
    </row>
    <row r="4755" spans="1:29" ht="32.25" hidden="1" customHeight="1">
      <c r="A4755" s="17"/>
      <c r="B4755" s="9" t="s">
        <v>13284</v>
      </c>
      <c r="C4755" s="9" t="s">
        <v>13284</v>
      </c>
      <c r="D4755" s="9" t="s">
        <v>13284</v>
      </c>
      <c r="E4755" s="9" t="s">
        <v>13284</v>
      </c>
      <c r="F4755" s="9" t="s">
        <v>13284</v>
      </c>
      <c r="G4755" s="9" t="s">
        <v>13284</v>
      </c>
      <c r="H4755" s="9" t="s">
        <v>13284</v>
      </c>
      <c r="I4755" s="9" t="s">
        <v>13284</v>
      </c>
      <c r="J4755" s="9" t="s">
        <v>13284</v>
      </c>
      <c r="K4755" s="9" t="s">
        <v>13284</v>
      </c>
      <c r="L4755" s="9" t="s">
        <v>13284</v>
      </c>
      <c r="M4755" s="9" t="s">
        <v>13284</v>
      </c>
      <c r="N4755" s="9" t="s">
        <v>13284</v>
      </c>
      <c r="O4755" s="9" t="s">
        <v>13284</v>
      </c>
      <c r="P4755" s="9" t="s">
        <v>13284</v>
      </c>
      <c r="Q4755" s="9" t="s">
        <v>13284</v>
      </c>
      <c r="R4755" s="9" t="s">
        <v>13284</v>
      </c>
      <c r="S4755" s="9" t="s">
        <v>13284</v>
      </c>
      <c r="T4755" s="9" t="str">
        <f ca="1">IFERROR(IF(AND(VLOOKUP(A4755, 'Актуальное состояние (из общего'!A:C,3,0) = "", A4755 &lt;&gt; ""), "ПРОВЕРИТЬ", VLOOKUP(A4755, 'Актуальное состояние (из общего'!A:C,3,0)), "")</f>
        <v/>
      </c>
      <c r="U4755" s="9" t="s">
        <v>13284</v>
      </c>
      <c r="V4755" s="9" t="s">
        <v>13284</v>
      </c>
      <c r="W4755" s="12"/>
      <c r="X4755" s="9" t="str">
        <f t="array" ref="X4755">IFERROR(INDEX('Адреса общежитий (скрытый)'!$B$2:$B$9, MATCH(W4755, 'Адреса общежитий (скрытый)'!$A$2:$A$9, 0)), "")</f>
        <v/>
      </c>
      <c r="Y4755" s="18"/>
      <c r="Z4755" s="18"/>
      <c r="AA4755" s="18"/>
      <c r="AB4755" s="18"/>
      <c r="AC4755" s="18"/>
    </row>
    <row r="4756" spans="1:29" ht="32.25" hidden="1" customHeight="1">
      <c r="A4756" s="17"/>
      <c r="B4756" s="9" t="s">
        <v>13284</v>
      </c>
      <c r="C4756" s="9" t="s">
        <v>13284</v>
      </c>
      <c r="D4756" s="9" t="s">
        <v>13284</v>
      </c>
      <c r="E4756" s="9" t="s">
        <v>13284</v>
      </c>
      <c r="F4756" s="9" t="s">
        <v>13284</v>
      </c>
      <c r="G4756" s="9" t="s">
        <v>13284</v>
      </c>
      <c r="H4756" s="9" t="s">
        <v>13284</v>
      </c>
      <c r="I4756" s="9" t="s">
        <v>13284</v>
      </c>
      <c r="J4756" s="9" t="s">
        <v>13284</v>
      </c>
      <c r="K4756" s="9" t="s">
        <v>13284</v>
      </c>
      <c r="L4756" s="9" t="s">
        <v>13284</v>
      </c>
      <c r="M4756" s="9" t="s">
        <v>13284</v>
      </c>
      <c r="N4756" s="9" t="s">
        <v>13284</v>
      </c>
      <c r="O4756" s="9" t="s">
        <v>13284</v>
      </c>
      <c r="P4756" s="9" t="s">
        <v>13284</v>
      </c>
      <c r="Q4756" s="9" t="s">
        <v>13284</v>
      </c>
      <c r="R4756" s="9" t="s">
        <v>13284</v>
      </c>
      <c r="S4756" s="9" t="s">
        <v>13284</v>
      </c>
      <c r="T4756" s="9" t="str">
        <f ca="1">IFERROR(IF(AND(VLOOKUP(A4756, 'Актуальное состояние (из общего'!A:C,3,0) = "", A4756 &lt;&gt; ""), "ПРОВЕРИТЬ", VLOOKUP(A4756, 'Актуальное состояние (из общего'!A:C,3,0)), "")</f>
        <v/>
      </c>
      <c r="U4756" s="9" t="s">
        <v>13284</v>
      </c>
      <c r="V4756" s="9" t="s">
        <v>13284</v>
      </c>
      <c r="W4756" s="12"/>
      <c r="X4756" s="9" t="str">
        <f t="array" ref="X4756">IFERROR(INDEX('Адреса общежитий (скрытый)'!$B$2:$B$9, MATCH(W4756, 'Адреса общежитий (скрытый)'!$A$2:$A$9, 0)), "")</f>
        <v/>
      </c>
      <c r="Y4756" s="18"/>
      <c r="Z4756" s="18"/>
      <c r="AA4756" s="18"/>
      <c r="AB4756" s="18"/>
      <c r="AC4756" s="18"/>
    </row>
    <row r="4757" spans="1:29" ht="32.25" hidden="1" customHeight="1">
      <c r="A4757" s="17"/>
      <c r="B4757" s="9" t="s">
        <v>13284</v>
      </c>
      <c r="C4757" s="9" t="s">
        <v>13284</v>
      </c>
      <c r="D4757" s="9" t="s">
        <v>13284</v>
      </c>
      <c r="E4757" s="9" t="s">
        <v>13284</v>
      </c>
      <c r="F4757" s="9" t="s">
        <v>13284</v>
      </c>
      <c r="G4757" s="9" t="s">
        <v>13284</v>
      </c>
      <c r="H4757" s="9" t="s">
        <v>13284</v>
      </c>
      <c r="I4757" s="9" t="s">
        <v>13284</v>
      </c>
      <c r="J4757" s="9" t="s">
        <v>13284</v>
      </c>
      <c r="K4757" s="9" t="s">
        <v>13284</v>
      </c>
      <c r="L4757" s="9" t="s">
        <v>13284</v>
      </c>
      <c r="M4757" s="9" t="s">
        <v>13284</v>
      </c>
      <c r="N4757" s="9" t="s">
        <v>13284</v>
      </c>
      <c r="O4757" s="9" t="s">
        <v>13284</v>
      </c>
      <c r="P4757" s="9" t="s">
        <v>13284</v>
      </c>
      <c r="Q4757" s="9" t="s">
        <v>13284</v>
      </c>
      <c r="R4757" s="9" t="s">
        <v>13284</v>
      </c>
      <c r="S4757" s="9" t="s">
        <v>13284</v>
      </c>
      <c r="T4757" s="9" t="str">
        <f ca="1">IFERROR(IF(AND(VLOOKUP(A4757, 'Актуальное состояние (из общего'!A:C,3,0) = "", A4757 &lt;&gt; ""), "ПРОВЕРИТЬ", VLOOKUP(A4757, 'Актуальное состояние (из общего'!A:C,3,0)), "")</f>
        <v/>
      </c>
      <c r="U4757" s="9" t="s">
        <v>13284</v>
      </c>
      <c r="V4757" s="9" t="s">
        <v>13284</v>
      </c>
      <c r="W4757" s="12"/>
      <c r="X4757" s="9" t="str">
        <f t="array" ref="X4757">IFERROR(INDEX('Адреса общежитий (скрытый)'!$B$2:$B$9, MATCH(W4757, 'Адреса общежитий (скрытый)'!$A$2:$A$9, 0)), "")</f>
        <v/>
      </c>
      <c r="Y4757" s="18"/>
      <c r="Z4757" s="18"/>
      <c r="AA4757" s="18"/>
      <c r="AB4757" s="18"/>
      <c r="AC4757" s="18"/>
    </row>
    <row r="4758" spans="1:29" ht="32.25" hidden="1" customHeight="1">
      <c r="A4758" s="17"/>
      <c r="B4758" s="9" t="s">
        <v>13284</v>
      </c>
      <c r="C4758" s="9" t="s">
        <v>13284</v>
      </c>
      <c r="D4758" s="9" t="s">
        <v>13284</v>
      </c>
      <c r="E4758" s="9" t="s">
        <v>13284</v>
      </c>
      <c r="F4758" s="9" t="s">
        <v>13284</v>
      </c>
      <c r="G4758" s="9" t="s">
        <v>13284</v>
      </c>
      <c r="H4758" s="9" t="s">
        <v>13284</v>
      </c>
      <c r="I4758" s="9" t="s">
        <v>13284</v>
      </c>
      <c r="J4758" s="9" t="s">
        <v>13284</v>
      </c>
      <c r="K4758" s="9" t="s">
        <v>13284</v>
      </c>
      <c r="L4758" s="9" t="s">
        <v>13284</v>
      </c>
      <c r="M4758" s="9" t="s">
        <v>13284</v>
      </c>
      <c r="N4758" s="9" t="s">
        <v>13284</v>
      </c>
      <c r="O4758" s="9" t="s">
        <v>13284</v>
      </c>
      <c r="P4758" s="9" t="s">
        <v>13284</v>
      </c>
      <c r="Q4758" s="9" t="s">
        <v>13284</v>
      </c>
      <c r="R4758" s="9" t="s">
        <v>13284</v>
      </c>
      <c r="S4758" s="9" t="s">
        <v>13284</v>
      </c>
      <c r="T4758" s="9" t="str">
        <f ca="1">IFERROR(IF(AND(VLOOKUP(A4758, 'Актуальное состояние (из общего'!A:C,3,0) = "", A4758 &lt;&gt; ""), "ПРОВЕРИТЬ", VLOOKUP(A4758, 'Актуальное состояние (из общего'!A:C,3,0)), "")</f>
        <v/>
      </c>
      <c r="U4758" s="9" t="s">
        <v>13284</v>
      </c>
      <c r="V4758" s="9" t="s">
        <v>13284</v>
      </c>
      <c r="W4758" s="12"/>
      <c r="X4758" s="9" t="str">
        <f t="array" ref="X4758">IFERROR(INDEX('Адреса общежитий (скрытый)'!$B$2:$B$9, MATCH(W4758, 'Адреса общежитий (скрытый)'!$A$2:$A$9, 0)), "")</f>
        <v/>
      </c>
      <c r="Y4758" s="18"/>
      <c r="Z4758" s="18"/>
      <c r="AA4758" s="18"/>
      <c r="AB4758" s="18"/>
      <c r="AC4758" s="18"/>
    </row>
    <row r="4759" spans="1:29" ht="32.25" hidden="1" customHeight="1">
      <c r="A4759" s="17"/>
      <c r="B4759" s="9" t="s">
        <v>13284</v>
      </c>
      <c r="C4759" s="9" t="s">
        <v>13284</v>
      </c>
      <c r="D4759" s="9" t="s">
        <v>13284</v>
      </c>
      <c r="E4759" s="9" t="s">
        <v>13284</v>
      </c>
      <c r="F4759" s="9" t="s">
        <v>13284</v>
      </c>
      <c r="G4759" s="9" t="s">
        <v>13284</v>
      </c>
      <c r="H4759" s="9" t="s">
        <v>13284</v>
      </c>
      <c r="I4759" s="9" t="s">
        <v>13284</v>
      </c>
      <c r="J4759" s="9" t="s">
        <v>13284</v>
      </c>
      <c r="K4759" s="9" t="s">
        <v>13284</v>
      </c>
      <c r="L4759" s="9" t="s">
        <v>13284</v>
      </c>
      <c r="M4759" s="9" t="s">
        <v>13284</v>
      </c>
      <c r="N4759" s="9" t="s">
        <v>13284</v>
      </c>
      <c r="O4759" s="9" t="s">
        <v>13284</v>
      </c>
      <c r="P4759" s="9" t="s">
        <v>13284</v>
      </c>
      <c r="Q4759" s="9" t="s">
        <v>13284</v>
      </c>
      <c r="R4759" s="9" t="s">
        <v>13284</v>
      </c>
      <c r="S4759" s="9" t="s">
        <v>13284</v>
      </c>
      <c r="T4759" s="9" t="str">
        <f ca="1">IFERROR(IF(AND(VLOOKUP(A4759, 'Актуальное состояние (из общего'!A:C,3,0) = "", A4759 &lt;&gt; ""), "ПРОВЕРИТЬ", VLOOKUP(A4759, 'Актуальное состояние (из общего'!A:C,3,0)), "")</f>
        <v/>
      </c>
      <c r="U4759" s="9" t="s">
        <v>13284</v>
      </c>
      <c r="V4759" s="9" t="s">
        <v>13284</v>
      </c>
      <c r="W4759" s="12"/>
      <c r="X4759" s="9" t="str">
        <f t="array" ref="X4759">IFERROR(INDEX('Адреса общежитий (скрытый)'!$B$2:$B$9, MATCH(W4759, 'Адреса общежитий (скрытый)'!$A$2:$A$9, 0)), "")</f>
        <v/>
      </c>
      <c r="Y4759" s="18"/>
      <c r="Z4759" s="18"/>
      <c r="AA4759" s="18"/>
      <c r="AB4759" s="18"/>
      <c r="AC4759" s="18"/>
    </row>
    <row r="4760" spans="1:29" ht="32.25" hidden="1" customHeight="1">
      <c r="A4760" s="17"/>
      <c r="B4760" s="9" t="s">
        <v>13284</v>
      </c>
      <c r="C4760" s="9" t="s">
        <v>13284</v>
      </c>
      <c r="D4760" s="9" t="s">
        <v>13284</v>
      </c>
      <c r="E4760" s="9" t="s">
        <v>13284</v>
      </c>
      <c r="F4760" s="9" t="s">
        <v>13284</v>
      </c>
      <c r="G4760" s="9" t="s">
        <v>13284</v>
      </c>
      <c r="H4760" s="9" t="s">
        <v>13284</v>
      </c>
      <c r="I4760" s="9" t="s">
        <v>13284</v>
      </c>
      <c r="J4760" s="9" t="s">
        <v>13284</v>
      </c>
      <c r="K4760" s="9" t="s">
        <v>13284</v>
      </c>
      <c r="L4760" s="9" t="s">
        <v>13284</v>
      </c>
      <c r="M4760" s="9" t="s">
        <v>13284</v>
      </c>
      <c r="N4760" s="9" t="s">
        <v>13284</v>
      </c>
      <c r="O4760" s="9" t="s">
        <v>13284</v>
      </c>
      <c r="P4760" s="9" t="s">
        <v>13284</v>
      </c>
      <c r="Q4760" s="9" t="s">
        <v>13284</v>
      </c>
      <c r="R4760" s="9" t="s">
        <v>13284</v>
      </c>
      <c r="S4760" s="9" t="s">
        <v>13284</v>
      </c>
      <c r="T4760" s="9" t="str">
        <f ca="1">IFERROR(IF(AND(VLOOKUP(A4760, 'Актуальное состояние (из общего'!A:C,3,0) = "", A4760 &lt;&gt; ""), "ПРОВЕРИТЬ", VLOOKUP(A4760, 'Актуальное состояние (из общего'!A:C,3,0)), "")</f>
        <v/>
      </c>
      <c r="U4760" s="9" t="s">
        <v>13284</v>
      </c>
      <c r="V4760" s="9" t="s">
        <v>13284</v>
      </c>
      <c r="W4760" s="12"/>
      <c r="X4760" s="9" t="str">
        <f t="array" ref="X4760">IFERROR(INDEX('Адреса общежитий (скрытый)'!$B$2:$B$9, MATCH(W4760, 'Адреса общежитий (скрытый)'!$A$2:$A$9, 0)), "")</f>
        <v/>
      </c>
      <c r="Y4760" s="18"/>
      <c r="Z4760" s="18"/>
      <c r="AA4760" s="18"/>
      <c r="AB4760" s="18"/>
      <c r="AC4760" s="18"/>
    </row>
    <row r="4761" spans="1:29" ht="32.25" hidden="1" customHeight="1">
      <c r="A4761" s="17"/>
      <c r="B4761" s="9" t="s">
        <v>13284</v>
      </c>
      <c r="C4761" s="9" t="s">
        <v>13284</v>
      </c>
      <c r="D4761" s="9" t="s">
        <v>13284</v>
      </c>
      <c r="E4761" s="9" t="s">
        <v>13284</v>
      </c>
      <c r="F4761" s="9" t="s">
        <v>13284</v>
      </c>
      <c r="G4761" s="9" t="s">
        <v>13284</v>
      </c>
      <c r="H4761" s="9" t="s">
        <v>13284</v>
      </c>
      <c r="I4761" s="9" t="s">
        <v>13284</v>
      </c>
      <c r="J4761" s="9" t="s">
        <v>13284</v>
      </c>
      <c r="K4761" s="9" t="s">
        <v>13284</v>
      </c>
      <c r="L4761" s="9" t="s">
        <v>13284</v>
      </c>
      <c r="M4761" s="9" t="s">
        <v>13284</v>
      </c>
      <c r="N4761" s="9" t="s">
        <v>13284</v>
      </c>
      <c r="O4761" s="9" t="s">
        <v>13284</v>
      </c>
      <c r="P4761" s="9" t="s">
        <v>13284</v>
      </c>
      <c r="Q4761" s="9" t="s">
        <v>13284</v>
      </c>
      <c r="R4761" s="9" t="s">
        <v>13284</v>
      </c>
      <c r="S4761" s="9" t="s">
        <v>13284</v>
      </c>
      <c r="T4761" s="9" t="str">
        <f ca="1">IFERROR(IF(AND(VLOOKUP(A4761, 'Актуальное состояние (из общего'!A:C,3,0) = "", A4761 &lt;&gt; ""), "ПРОВЕРИТЬ", VLOOKUP(A4761, 'Актуальное состояние (из общего'!A:C,3,0)), "")</f>
        <v/>
      </c>
      <c r="U4761" s="9" t="s">
        <v>13284</v>
      </c>
      <c r="V4761" s="9" t="s">
        <v>13284</v>
      </c>
      <c r="W4761" s="12"/>
      <c r="X4761" s="9" t="str">
        <f t="array" ref="X4761">IFERROR(INDEX('Адреса общежитий (скрытый)'!$B$2:$B$9, MATCH(W4761, 'Адреса общежитий (скрытый)'!$A$2:$A$9, 0)), "")</f>
        <v/>
      </c>
      <c r="Y4761" s="18"/>
      <c r="Z4761" s="18"/>
      <c r="AA4761" s="18"/>
      <c r="AB4761" s="18"/>
      <c r="AC4761" s="18"/>
    </row>
    <row r="4762" spans="1:29" ht="32.25" hidden="1" customHeight="1">
      <c r="A4762" s="17"/>
      <c r="B4762" s="9" t="s">
        <v>13284</v>
      </c>
      <c r="C4762" s="9" t="s">
        <v>13284</v>
      </c>
      <c r="D4762" s="9" t="s">
        <v>13284</v>
      </c>
      <c r="E4762" s="9" t="s">
        <v>13284</v>
      </c>
      <c r="F4762" s="9" t="s">
        <v>13284</v>
      </c>
      <c r="G4762" s="9" t="s">
        <v>13284</v>
      </c>
      <c r="H4762" s="9" t="s">
        <v>13284</v>
      </c>
      <c r="I4762" s="9" t="s">
        <v>13284</v>
      </c>
      <c r="J4762" s="9" t="s">
        <v>13284</v>
      </c>
      <c r="K4762" s="9" t="s">
        <v>13284</v>
      </c>
      <c r="L4762" s="9" t="s">
        <v>13284</v>
      </c>
      <c r="M4762" s="9" t="s">
        <v>13284</v>
      </c>
      <c r="N4762" s="9" t="s">
        <v>13284</v>
      </c>
      <c r="O4762" s="9" t="s">
        <v>13284</v>
      </c>
      <c r="P4762" s="9" t="s">
        <v>13284</v>
      </c>
      <c r="Q4762" s="9" t="s">
        <v>13284</v>
      </c>
      <c r="R4762" s="9" t="s">
        <v>13284</v>
      </c>
      <c r="S4762" s="9" t="s">
        <v>13284</v>
      </c>
      <c r="T4762" s="9" t="str">
        <f ca="1">IFERROR(IF(AND(VLOOKUP(A4762, 'Актуальное состояние (из общего'!A:C,3,0) = "", A4762 &lt;&gt; ""), "ПРОВЕРИТЬ", VLOOKUP(A4762, 'Актуальное состояние (из общего'!A:C,3,0)), "")</f>
        <v/>
      </c>
      <c r="U4762" s="9" t="s">
        <v>13284</v>
      </c>
      <c r="V4762" s="9" t="s">
        <v>13284</v>
      </c>
      <c r="W4762" s="12"/>
      <c r="X4762" s="9" t="str">
        <f t="array" ref="X4762">IFERROR(INDEX('Адреса общежитий (скрытый)'!$B$2:$B$9, MATCH(W4762, 'Адреса общежитий (скрытый)'!$A$2:$A$9, 0)), "")</f>
        <v/>
      </c>
      <c r="Y4762" s="18"/>
      <c r="Z4762" s="18"/>
      <c r="AA4762" s="18"/>
      <c r="AB4762" s="18"/>
      <c r="AC4762" s="18"/>
    </row>
    <row r="4763" spans="1:29" ht="32.25" hidden="1" customHeight="1">
      <c r="A4763" s="17"/>
      <c r="B4763" s="9" t="s">
        <v>13284</v>
      </c>
      <c r="C4763" s="9" t="s">
        <v>13284</v>
      </c>
      <c r="D4763" s="9" t="s">
        <v>13284</v>
      </c>
      <c r="E4763" s="9" t="s">
        <v>13284</v>
      </c>
      <c r="F4763" s="9" t="s">
        <v>13284</v>
      </c>
      <c r="G4763" s="9" t="s">
        <v>13284</v>
      </c>
      <c r="H4763" s="9" t="s">
        <v>13284</v>
      </c>
      <c r="I4763" s="9" t="s">
        <v>13284</v>
      </c>
      <c r="J4763" s="9" t="s">
        <v>13284</v>
      </c>
      <c r="K4763" s="9" t="s">
        <v>13284</v>
      </c>
      <c r="L4763" s="9" t="s">
        <v>13284</v>
      </c>
      <c r="M4763" s="9" t="s">
        <v>13284</v>
      </c>
      <c r="N4763" s="9" t="s">
        <v>13284</v>
      </c>
      <c r="O4763" s="9" t="s">
        <v>13284</v>
      </c>
      <c r="P4763" s="9" t="s">
        <v>13284</v>
      </c>
      <c r="Q4763" s="9" t="s">
        <v>13284</v>
      </c>
      <c r="R4763" s="9" t="s">
        <v>13284</v>
      </c>
      <c r="S4763" s="9" t="s">
        <v>13284</v>
      </c>
      <c r="T4763" s="9" t="str">
        <f ca="1">IFERROR(IF(AND(VLOOKUP(A4763, 'Актуальное состояние (из общего'!A:C,3,0) = "", A4763 &lt;&gt; ""), "ПРОВЕРИТЬ", VLOOKUP(A4763, 'Актуальное состояние (из общего'!A:C,3,0)), "")</f>
        <v/>
      </c>
      <c r="U4763" s="9" t="s">
        <v>13284</v>
      </c>
      <c r="V4763" s="9" t="s">
        <v>13284</v>
      </c>
      <c r="W4763" s="12"/>
      <c r="X4763" s="9" t="str">
        <f t="array" ref="X4763">IFERROR(INDEX('Адреса общежитий (скрытый)'!$B$2:$B$9, MATCH(W4763, 'Адреса общежитий (скрытый)'!$A$2:$A$9, 0)), "")</f>
        <v/>
      </c>
      <c r="Y4763" s="18"/>
      <c r="Z4763" s="18"/>
      <c r="AA4763" s="18"/>
      <c r="AB4763" s="18"/>
      <c r="AC4763" s="18"/>
    </row>
    <row r="4764" spans="1:29" ht="32.25" hidden="1" customHeight="1">
      <c r="A4764" s="17"/>
      <c r="B4764" s="9" t="s">
        <v>13284</v>
      </c>
      <c r="C4764" s="9" t="s">
        <v>13284</v>
      </c>
      <c r="D4764" s="9" t="s">
        <v>13284</v>
      </c>
      <c r="E4764" s="9" t="s">
        <v>13284</v>
      </c>
      <c r="F4764" s="9" t="s">
        <v>13284</v>
      </c>
      <c r="G4764" s="9" t="s">
        <v>13284</v>
      </c>
      <c r="H4764" s="9" t="s">
        <v>13284</v>
      </c>
      <c r="I4764" s="9" t="s">
        <v>13284</v>
      </c>
      <c r="J4764" s="9" t="s">
        <v>13284</v>
      </c>
      <c r="K4764" s="9" t="s">
        <v>13284</v>
      </c>
      <c r="L4764" s="9" t="s">
        <v>13284</v>
      </c>
      <c r="M4764" s="9" t="s">
        <v>13284</v>
      </c>
      <c r="N4764" s="9" t="s">
        <v>13284</v>
      </c>
      <c r="O4764" s="9" t="s">
        <v>13284</v>
      </c>
      <c r="P4764" s="9" t="s">
        <v>13284</v>
      </c>
      <c r="Q4764" s="9" t="s">
        <v>13284</v>
      </c>
      <c r="R4764" s="9" t="s">
        <v>13284</v>
      </c>
      <c r="S4764" s="9" t="s">
        <v>13284</v>
      </c>
      <c r="T4764" s="9" t="str">
        <f ca="1">IFERROR(IF(AND(VLOOKUP(A4764, 'Актуальное состояние (из общего'!A:C,3,0) = "", A4764 &lt;&gt; ""), "ПРОВЕРИТЬ", VLOOKUP(A4764, 'Актуальное состояние (из общего'!A:C,3,0)), "")</f>
        <v/>
      </c>
      <c r="U4764" s="9" t="s">
        <v>13284</v>
      </c>
      <c r="V4764" s="9" t="s">
        <v>13284</v>
      </c>
      <c r="W4764" s="12"/>
      <c r="X4764" s="9" t="str">
        <f t="array" ref="X4764">IFERROR(INDEX('Адреса общежитий (скрытый)'!$B$2:$B$9, MATCH(W4764, 'Адреса общежитий (скрытый)'!$A$2:$A$9, 0)), "")</f>
        <v/>
      </c>
      <c r="Y4764" s="18"/>
      <c r="Z4764" s="18"/>
      <c r="AA4764" s="18"/>
      <c r="AB4764" s="18"/>
      <c r="AC4764" s="18"/>
    </row>
    <row r="4765" spans="1:29" ht="32.25" hidden="1" customHeight="1">
      <c r="A4765" s="17"/>
      <c r="B4765" s="9" t="s">
        <v>13284</v>
      </c>
      <c r="C4765" s="9" t="s">
        <v>13284</v>
      </c>
      <c r="D4765" s="9" t="s">
        <v>13284</v>
      </c>
      <c r="E4765" s="9" t="s">
        <v>13284</v>
      </c>
      <c r="F4765" s="9" t="s">
        <v>13284</v>
      </c>
      <c r="G4765" s="9" t="s">
        <v>13284</v>
      </c>
      <c r="H4765" s="9" t="s">
        <v>13284</v>
      </c>
      <c r="I4765" s="9" t="s">
        <v>13284</v>
      </c>
      <c r="J4765" s="9" t="s">
        <v>13284</v>
      </c>
      <c r="K4765" s="9" t="s">
        <v>13284</v>
      </c>
      <c r="L4765" s="9" t="s">
        <v>13284</v>
      </c>
      <c r="M4765" s="9" t="s">
        <v>13284</v>
      </c>
      <c r="N4765" s="9" t="s">
        <v>13284</v>
      </c>
      <c r="O4765" s="9" t="s">
        <v>13284</v>
      </c>
      <c r="P4765" s="9" t="s">
        <v>13284</v>
      </c>
      <c r="Q4765" s="9" t="s">
        <v>13284</v>
      </c>
      <c r="R4765" s="9" t="s">
        <v>13284</v>
      </c>
      <c r="S4765" s="9" t="s">
        <v>13284</v>
      </c>
      <c r="T4765" s="9" t="str">
        <f ca="1">IFERROR(IF(AND(VLOOKUP(A4765, 'Актуальное состояние (из общего'!A:C,3,0) = "", A4765 &lt;&gt; ""), "ПРОВЕРИТЬ", VLOOKUP(A4765, 'Актуальное состояние (из общего'!A:C,3,0)), "")</f>
        <v/>
      </c>
      <c r="U4765" s="9" t="s">
        <v>13284</v>
      </c>
      <c r="V4765" s="9" t="s">
        <v>13284</v>
      </c>
      <c r="W4765" s="12"/>
      <c r="X4765" s="9" t="str">
        <f t="array" ref="X4765">IFERROR(INDEX('Адреса общежитий (скрытый)'!$B$2:$B$9, MATCH(W4765, 'Адреса общежитий (скрытый)'!$A$2:$A$9, 0)), "")</f>
        <v/>
      </c>
      <c r="Y4765" s="18"/>
      <c r="Z4765" s="18"/>
      <c r="AA4765" s="18"/>
      <c r="AB4765" s="18"/>
      <c r="AC4765" s="18"/>
    </row>
    <row r="4766" spans="1:29" ht="32.25" hidden="1" customHeight="1">
      <c r="A4766" s="17"/>
      <c r="B4766" s="9" t="s">
        <v>13284</v>
      </c>
      <c r="C4766" s="9" t="s">
        <v>13284</v>
      </c>
      <c r="D4766" s="9" t="s">
        <v>13284</v>
      </c>
      <c r="E4766" s="9" t="s">
        <v>13284</v>
      </c>
      <c r="F4766" s="9" t="s">
        <v>13284</v>
      </c>
      <c r="G4766" s="9" t="s">
        <v>13284</v>
      </c>
      <c r="H4766" s="9" t="s">
        <v>13284</v>
      </c>
      <c r="I4766" s="9" t="s">
        <v>13284</v>
      </c>
      <c r="J4766" s="9" t="s">
        <v>13284</v>
      </c>
      <c r="K4766" s="9" t="s">
        <v>13284</v>
      </c>
      <c r="L4766" s="9" t="s">
        <v>13284</v>
      </c>
      <c r="M4766" s="9" t="s">
        <v>13284</v>
      </c>
      <c r="N4766" s="9" t="s">
        <v>13284</v>
      </c>
      <c r="O4766" s="9" t="s">
        <v>13284</v>
      </c>
      <c r="P4766" s="9" t="s">
        <v>13284</v>
      </c>
      <c r="Q4766" s="9" t="s">
        <v>13284</v>
      </c>
      <c r="R4766" s="9" t="s">
        <v>13284</v>
      </c>
      <c r="S4766" s="9" t="s">
        <v>13284</v>
      </c>
      <c r="T4766" s="9" t="str">
        <f ca="1">IFERROR(IF(AND(VLOOKUP(A4766, 'Актуальное состояние (из общего'!A:C,3,0) = "", A4766 &lt;&gt; ""), "ПРОВЕРИТЬ", VLOOKUP(A4766, 'Актуальное состояние (из общего'!A:C,3,0)), "")</f>
        <v/>
      </c>
      <c r="U4766" s="9" t="s">
        <v>13284</v>
      </c>
      <c r="V4766" s="9" t="s">
        <v>13284</v>
      </c>
      <c r="W4766" s="12"/>
      <c r="X4766" s="9" t="str">
        <f t="array" ref="X4766">IFERROR(INDEX('Адреса общежитий (скрытый)'!$B$2:$B$9, MATCH(W4766, 'Адреса общежитий (скрытый)'!$A$2:$A$9, 0)), "")</f>
        <v/>
      </c>
      <c r="Y4766" s="18"/>
      <c r="Z4766" s="18"/>
      <c r="AA4766" s="18"/>
      <c r="AB4766" s="18"/>
      <c r="AC4766" s="18"/>
    </row>
    <row r="4767" spans="1:29" ht="32.25" hidden="1" customHeight="1">
      <c r="A4767" s="17"/>
      <c r="B4767" s="9" t="s">
        <v>13284</v>
      </c>
      <c r="C4767" s="9" t="s">
        <v>13284</v>
      </c>
      <c r="D4767" s="9" t="s">
        <v>13284</v>
      </c>
      <c r="E4767" s="9" t="s">
        <v>13284</v>
      </c>
      <c r="F4767" s="9" t="s">
        <v>13284</v>
      </c>
      <c r="G4767" s="9" t="s">
        <v>13284</v>
      </c>
      <c r="H4767" s="9" t="s">
        <v>13284</v>
      </c>
      <c r="I4767" s="9" t="s">
        <v>13284</v>
      </c>
      <c r="J4767" s="9" t="s">
        <v>13284</v>
      </c>
      <c r="K4767" s="9" t="s">
        <v>13284</v>
      </c>
      <c r="L4767" s="9" t="s">
        <v>13284</v>
      </c>
      <c r="M4767" s="9" t="s">
        <v>13284</v>
      </c>
      <c r="N4767" s="9" t="s">
        <v>13284</v>
      </c>
      <c r="O4767" s="9" t="s">
        <v>13284</v>
      </c>
      <c r="P4767" s="9" t="s">
        <v>13284</v>
      </c>
      <c r="Q4767" s="9" t="s">
        <v>13284</v>
      </c>
      <c r="R4767" s="9" t="s">
        <v>13284</v>
      </c>
      <c r="S4767" s="9" t="s">
        <v>13284</v>
      </c>
      <c r="T4767" s="9" t="str">
        <f ca="1">IFERROR(IF(AND(VLOOKUP(A4767, 'Актуальное состояние (из общего'!A:C,3,0) = "", A4767 &lt;&gt; ""), "ПРОВЕРИТЬ", VLOOKUP(A4767, 'Актуальное состояние (из общего'!A:C,3,0)), "")</f>
        <v/>
      </c>
      <c r="U4767" s="9" t="s">
        <v>13284</v>
      </c>
      <c r="V4767" s="9" t="s">
        <v>13284</v>
      </c>
      <c r="W4767" s="12"/>
      <c r="X4767" s="9" t="str">
        <f t="array" ref="X4767">IFERROR(INDEX('Адреса общежитий (скрытый)'!$B$2:$B$9, MATCH(W4767, 'Адреса общежитий (скрытый)'!$A$2:$A$9, 0)), "")</f>
        <v/>
      </c>
      <c r="Y4767" s="18"/>
      <c r="Z4767" s="18"/>
      <c r="AA4767" s="18"/>
      <c r="AB4767" s="18"/>
      <c r="AC4767" s="18"/>
    </row>
    <row r="4768" spans="1:29" ht="32.25" hidden="1" customHeight="1">
      <c r="A4768" s="17"/>
      <c r="B4768" s="9" t="s">
        <v>13284</v>
      </c>
      <c r="C4768" s="9" t="s">
        <v>13284</v>
      </c>
      <c r="D4768" s="9" t="s">
        <v>13284</v>
      </c>
      <c r="E4768" s="9" t="s">
        <v>13284</v>
      </c>
      <c r="F4768" s="9" t="s">
        <v>13284</v>
      </c>
      <c r="G4768" s="9" t="s">
        <v>13284</v>
      </c>
      <c r="H4768" s="9" t="s">
        <v>13284</v>
      </c>
      <c r="I4768" s="9" t="s">
        <v>13284</v>
      </c>
      <c r="J4768" s="9" t="s">
        <v>13284</v>
      </c>
      <c r="K4768" s="9" t="s">
        <v>13284</v>
      </c>
      <c r="L4768" s="9" t="s">
        <v>13284</v>
      </c>
      <c r="M4768" s="9" t="s">
        <v>13284</v>
      </c>
      <c r="N4768" s="9" t="s">
        <v>13284</v>
      </c>
      <c r="O4768" s="9" t="s">
        <v>13284</v>
      </c>
      <c r="P4768" s="9" t="s">
        <v>13284</v>
      </c>
      <c r="Q4768" s="9" t="s">
        <v>13284</v>
      </c>
      <c r="R4768" s="9" t="s">
        <v>13284</v>
      </c>
      <c r="S4768" s="9" t="s">
        <v>13284</v>
      </c>
      <c r="T4768" s="9" t="str">
        <f ca="1">IFERROR(IF(AND(VLOOKUP(A4768, 'Актуальное состояние (из общего'!A:C,3,0) = "", A4768 &lt;&gt; ""), "ПРОВЕРИТЬ", VLOOKUP(A4768, 'Актуальное состояние (из общего'!A:C,3,0)), "")</f>
        <v/>
      </c>
      <c r="U4768" s="9" t="s">
        <v>13284</v>
      </c>
      <c r="V4768" s="9" t="s">
        <v>13284</v>
      </c>
      <c r="W4768" s="12"/>
      <c r="X4768" s="9" t="str">
        <f t="array" ref="X4768">IFERROR(INDEX('Адреса общежитий (скрытый)'!$B$2:$B$9, MATCH(W4768, 'Адреса общежитий (скрытый)'!$A$2:$A$9, 0)), "")</f>
        <v/>
      </c>
      <c r="Y4768" s="18"/>
      <c r="Z4768" s="18"/>
      <c r="AA4768" s="18"/>
      <c r="AB4768" s="18"/>
      <c r="AC4768" s="18"/>
    </row>
    <row r="4769" spans="1:29" ht="32.25" hidden="1" customHeight="1">
      <c r="A4769" s="17"/>
      <c r="B4769" s="9" t="s">
        <v>13284</v>
      </c>
      <c r="C4769" s="9" t="s">
        <v>13284</v>
      </c>
      <c r="D4769" s="9" t="s">
        <v>13284</v>
      </c>
      <c r="E4769" s="9" t="s">
        <v>13284</v>
      </c>
      <c r="F4769" s="9" t="s">
        <v>13284</v>
      </c>
      <c r="G4769" s="9" t="s">
        <v>13284</v>
      </c>
      <c r="H4769" s="9" t="s">
        <v>13284</v>
      </c>
      <c r="I4769" s="9" t="s">
        <v>13284</v>
      </c>
      <c r="J4769" s="9" t="s">
        <v>13284</v>
      </c>
      <c r="K4769" s="9" t="s">
        <v>13284</v>
      </c>
      <c r="L4769" s="9" t="s">
        <v>13284</v>
      </c>
      <c r="M4769" s="9" t="s">
        <v>13284</v>
      </c>
      <c r="N4769" s="9" t="s">
        <v>13284</v>
      </c>
      <c r="O4769" s="9" t="s">
        <v>13284</v>
      </c>
      <c r="P4769" s="9" t="s">
        <v>13284</v>
      </c>
      <c r="Q4769" s="9" t="s">
        <v>13284</v>
      </c>
      <c r="R4769" s="9" t="s">
        <v>13284</v>
      </c>
      <c r="S4769" s="9" t="s">
        <v>13284</v>
      </c>
      <c r="T4769" s="9" t="str">
        <f ca="1">IFERROR(IF(AND(VLOOKUP(A4769, 'Актуальное состояние (из общего'!A:C,3,0) = "", A4769 &lt;&gt; ""), "ПРОВЕРИТЬ", VLOOKUP(A4769, 'Актуальное состояние (из общего'!A:C,3,0)), "")</f>
        <v/>
      </c>
      <c r="U4769" s="9" t="s">
        <v>13284</v>
      </c>
      <c r="V4769" s="9" t="s">
        <v>13284</v>
      </c>
      <c r="W4769" s="12"/>
      <c r="X4769" s="9" t="str">
        <f t="array" ref="X4769">IFERROR(INDEX('Адреса общежитий (скрытый)'!$B$2:$B$9, MATCH(W4769, 'Адреса общежитий (скрытый)'!$A$2:$A$9, 0)), "")</f>
        <v/>
      </c>
      <c r="Y4769" s="18"/>
      <c r="Z4769" s="18"/>
      <c r="AA4769" s="18"/>
      <c r="AB4769" s="18"/>
      <c r="AC4769" s="18"/>
    </row>
    <row r="4770" spans="1:29" ht="32.25" hidden="1" customHeight="1">
      <c r="A4770" s="17"/>
      <c r="B4770" s="9" t="s">
        <v>13284</v>
      </c>
      <c r="C4770" s="9" t="s">
        <v>13284</v>
      </c>
      <c r="D4770" s="9" t="s">
        <v>13284</v>
      </c>
      <c r="E4770" s="9" t="s">
        <v>13284</v>
      </c>
      <c r="F4770" s="9" t="s">
        <v>13284</v>
      </c>
      <c r="G4770" s="9" t="s">
        <v>13284</v>
      </c>
      <c r="H4770" s="9" t="s">
        <v>13284</v>
      </c>
      <c r="I4770" s="9" t="s">
        <v>13284</v>
      </c>
      <c r="J4770" s="9" t="s">
        <v>13284</v>
      </c>
      <c r="K4770" s="9" t="s">
        <v>13284</v>
      </c>
      <c r="L4770" s="9" t="s">
        <v>13284</v>
      </c>
      <c r="M4770" s="9" t="s">
        <v>13284</v>
      </c>
      <c r="N4770" s="9" t="s">
        <v>13284</v>
      </c>
      <c r="O4770" s="9" t="s">
        <v>13284</v>
      </c>
      <c r="P4770" s="9" t="s">
        <v>13284</v>
      </c>
      <c r="Q4770" s="9" t="s">
        <v>13284</v>
      </c>
      <c r="R4770" s="9" t="s">
        <v>13284</v>
      </c>
      <c r="S4770" s="9" t="s">
        <v>13284</v>
      </c>
      <c r="T4770" s="9" t="str">
        <f ca="1">IFERROR(IF(AND(VLOOKUP(A4770, 'Актуальное состояние (из общего'!A:C,3,0) = "", A4770 &lt;&gt; ""), "ПРОВЕРИТЬ", VLOOKUP(A4770, 'Актуальное состояние (из общего'!A:C,3,0)), "")</f>
        <v/>
      </c>
      <c r="U4770" s="9" t="s">
        <v>13284</v>
      </c>
      <c r="V4770" s="9" t="s">
        <v>13284</v>
      </c>
      <c r="W4770" s="12"/>
      <c r="X4770" s="9" t="str">
        <f t="array" ref="X4770">IFERROR(INDEX('Адреса общежитий (скрытый)'!$B$2:$B$9, MATCH(W4770, 'Адреса общежитий (скрытый)'!$A$2:$A$9, 0)), "")</f>
        <v/>
      </c>
      <c r="Y4770" s="18"/>
      <c r="Z4770" s="18"/>
      <c r="AA4770" s="18"/>
      <c r="AB4770" s="18"/>
      <c r="AC4770" s="18"/>
    </row>
    <row r="4771" spans="1:29" ht="32.25" hidden="1" customHeight="1">
      <c r="A4771" s="17"/>
      <c r="B4771" s="9" t="s">
        <v>13284</v>
      </c>
      <c r="C4771" s="9" t="s">
        <v>13284</v>
      </c>
      <c r="D4771" s="9" t="s">
        <v>13284</v>
      </c>
      <c r="E4771" s="9" t="s">
        <v>13284</v>
      </c>
      <c r="F4771" s="9" t="s">
        <v>13284</v>
      </c>
      <c r="G4771" s="9" t="s">
        <v>13284</v>
      </c>
      <c r="H4771" s="9" t="s">
        <v>13284</v>
      </c>
      <c r="I4771" s="9" t="s">
        <v>13284</v>
      </c>
      <c r="J4771" s="9" t="s">
        <v>13284</v>
      </c>
      <c r="K4771" s="9" t="s">
        <v>13284</v>
      </c>
      <c r="L4771" s="9" t="s">
        <v>13284</v>
      </c>
      <c r="M4771" s="9" t="s">
        <v>13284</v>
      </c>
      <c r="N4771" s="9" t="s">
        <v>13284</v>
      </c>
      <c r="O4771" s="9" t="s">
        <v>13284</v>
      </c>
      <c r="P4771" s="9" t="s">
        <v>13284</v>
      </c>
      <c r="Q4771" s="9" t="s">
        <v>13284</v>
      </c>
      <c r="R4771" s="9" t="s">
        <v>13284</v>
      </c>
      <c r="S4771" s="9" t="s">
        <v>13284</v>
      </c>
      <c r="T4771" s="9" t="str">
        <f ca="1">IFERROR(IF(AND(VLOOKUP(A4771, 'Актуальное состояние (из общего'!A:C,3,0) = "", A4771 &lt;&gt; ""), "ПРОВЕРИТЬ", VLOOKUP(A4771, 'Актуальное состояние (из общего'!A:C,3,0)), "")</f>
        <v/>
      </c>
      <c r="U4771" s="9" t="s">
        <v>13284</v>
      </c>
      <c r="V4771" s="9" t="s">
        <v>13284</v>
      </c>
      <c r="W4771" s="12"/>
      <c r="X4771" s="9" t="str">
        <f t="array" ref="X4771">IFERROR(INDEX('Адреса общежитий (скрытый)'!$B$2:$B$9, MATCH(W4771, 'Адреса общежитий (скрытый)'!$A$2:$A$9, 0)), "")</f>
        <v/>
      </c>
      <c r="Y4771" s="18"/>
      <c r="Z4771" s="18"/>
      <c r="AA4771" s="18"/>
      <c r="AB4771" s="18"/>
      <c r="AC4771" s="18"/>
    </row>
    <row r="4772" spans="1:29" ht="32.25" hidden="1" customHeight="1">
      <c r="A4772" s="17"/>
      <c r="B4772" s="9" t="s">
        <v>13284</v>
      </c>
      <c r="C4772" s="9" t="s">
        <v>13284</v>
      </c>
      <c r="D4772" s="9" t="s">
        <v>13284</v>
      </c>
      <c r="E4772" s="9" t="s">
        <v>13284</v>
      </c>
      <c r="F4772" s="9" t="s">
        <v>13284</v>
      </c>
      <c r="G4772" s="9" t="s">
        <v>13284</v>
      </c>
      <c r="H4772" s="9" t="s">
        <v>13284</v>
      </c>
      <c r="I4772" s="9" t="s">
        <v>13284</v>
      </c>
      <c r="J4772" s="9" t="s">
        <v>13284</v>
      </c>
      <c r="K4772" s="9" t="s">
        <v>13284</v>
      </c>
      <c r="L4772" s="9" t="s">
        <v>13284</v>
      </c>
      <c r="M4772" s="9" t="s">
        <v>13284</v>
      </c>
      <c r="N4772" s="9" t="s">
        <v>13284</v>
      </c>
      <c r="O4772" s="9" t="s">
        <v>13284</v>
      </c>
      <c r="P4772" s="9" t="s">
        <v>13284</v>
      </c>
      <c r="Q4772" s="9" t="s">
        <v>13284</v>
      </c>
      <c r="R4772" s="9" t="s">
        <v>13284</v>
      </c>
      <c r="S4772" s="9" t="s">
        <v>13284</v>
      </c>
      <c r="T4772" s="9" t="str">
        <f ca="1">IFERROR(IF(AND(VLOOKUP(A4772, 'Актуальное состояние (из общего'!A:C,3,0) = "", A4772 &lt;&gt; ""), "ПРОВЕРИТЬ", VLOOKUP(A4772, 'Актуальное состояние (из общего'!A:C,3,0)), "")</f>
        <v/>
      </c>
      <c r="U4772" s="9" t="s">
        <v>13284</v>
      </c>
      <c r="V4772" s="9" t="s">
        <v>13284</v>
      </c>
      <c r="W4772" s="12"/>
      <c r="X4772" s="9" t="str">
        <f t="array" ref="X4772">IFERROR(INDEX('Адреса общежитий (скрытый)'!$B$2:$B$9, MATCH(W4772, 'Адреса общежитий (скрытый)'!$A$2:$A$9, 0)), "")</f>
        <v/>
      </c>
      <c r="Y4772" s="18"/>
      <c r="Z4772" s="18"/>
      <c r="AA4772" s="18"/>
      <c r="AB4772" s="18"/>
      <c r="AC4772" s="18"/>
    </row>
    <row r="4773" spans="1:29" ht="32.25" hidden="1" customHeight="1">
      <c r="A4773" s="17"/>
      <c r="B4773" s="9" t="s">
        <v>13284</v>
      </c>
      <c r="C4773" s="9" t="s">
        <v>13284</v>
      </c>
      <c r="D4773" s="9" t="s">
        <v>13284</v>
      </c>
      <c r="E4773" s="9" t="s">
        <v>13284</v>
      </c>
      <c r="F4773" s="9" t="s">
        <v>13284</v>
      </c>
      <c r="G4773" s="9" t="s">
        <v>13284</v>
      </c>
      <c r="H4773" s="9" t="s">
        <v>13284</v>
      </c>
      <c r="I4773" s="9" t="s">
        <v>13284</v>
      </c>
      <c r="J4773" s="9" t="s">
        <v>13284</v>
      </c>
      <c r="K4773" s="9" t="s">
        <v>13284</v>
      </c>
      <c r="L4773" s="9" t="s">
        <v>13284</v>
      </c>
      <c r="M4773" s="9" t="s">
        <v>13284</v>
      </c>
      <c r="N4773" s="9" t="s">
        <v>13284</v>
      </c>
      <c r="O4773" s="9" t="s">
        <v>13284</v>
      </c>
      <c r="P4773" s="9" t="s">
        <v>13284</v>
      </c>
      <c r="Q4773" s="9" t="s">
        <v>13284</v>
      </c>
      <c r="R4773" s="9" t="s">
        <v>13284</v>
      </c>
      <c r="S4773" s="9" t="s">
        <v>13284</v>
      </c>
      <c r="T4773" s="9" t="str">
        <f ca="1">IFERROR(IF(AND(VLOOKUP(A4773, 'Актуальное состояние (из общего'!A:C,3,0) = "", A4773 &lt;&gt; ""), "ПРОВЕРИТЬ", VLOOKUP(A4773, 'Актуальное состояние (из общего'!A:C,3,0)), "")</f>
        <v/>
      </c>
      <c r="U4773" s="9" t="s">
        <v>13284</v>
      </c>
      <c r="V4773" s="9" t="s">
        <v>13284</v>
      </c>
      <c r="W4773" s="12"/>
      <c r="X4773" s="9" t="str">
        <f t="array" ref="X4773">IFERROR(INDEX('Адреса общежитий (скрытый)'!$B$2:$B$9, MATCH(W4773, 'Адреса общежитий (скрытый)'!$A$2:$A$9, 0)), "")</f>
        <v/>
      </c>
      <c r="Y4773" s="18"/>
      <c r="Z4773" s="18"/>
      <c r="AA4773" s="18"/>
      <c r="AB4773" s="18"/>
      <c r="AC4773" s="18"/>
    </row>
    <row r="4774" spans="1:29" ht="32.25" hidden="1" customHeight="1">
      <c r="A4774" s="17"/>
      <c r="B4774" s="9" t="s">
        <v>13284</v>
      </c>
      <c r="C4774" s="9" t="s">
        <v>13284</v>
      </c>
      <c r="D4774" s="9" t="s">
        <v>13284</v>
      </c>
      <c r="E4774" s="9" t="s">
        <v>13284</v>
      </c>
      <c r="F4774" s="9" t="s">
        <v>13284</v>
      </c>
      <c r="G4774" s="9" t="s">
        <v>13284</v>
      </c>
      <c r="H4774" s="9" t="s">
        <v>13284</v>
      </c>
      <c r="I4774" s="9" t="s">
        <v>13284</v>
      </c>
      <c r="J4774" s="9" t="s">
        <v>13284</v>
      </c>
      <c r="K4774" s="9" t="s">
        <v>13284</v>
      </c>
      <c r="L4774" s="9" t="s">
        <v>13284</v>
      </c>
      <c r="M4774" s="9" t="s">
        <v>13284</v>
      </c>
      <c r="N4774" s="9" t="s">
        <v>13284</v>
      </c>
      <c r="O4774" s="9" t="s">
        <v>13284</v>
      </c>
      <c r="P4774" s="9" t="s">
        <v>13284</v>
      </c>
      <c r="Q4774" s="9" t="s">
        <v>13284</v>
      </c>
      <c r="R4774" s="9" t="s">
        <v>13284</v>
      </c>
      <c r="S4774" s="9" t="s">
        <v>13284</v>
      </c>
      <c r="T4774" s="9" t="str">
        <f ca="1">IFERROR(IF(AND(VLOOKUP(A4774, 'Актуальное состояние (из общего'!A:C,3,0) = "", A4774 &lt;&gt; ""), "ПРОВЕРИТЬ", VLOOKUP(A4774, 'Актуальное состояние (из общего'!A:C,3,0)), "")</f>
        <v/>
      </c>
      <c r="U4774" s="9" t="s">
        <v>13284</v>
      </c>
      <c r="V4774" s="9" t="s">
        <v>13284</v>
      </c>
      <c r="W4774" s="12"/>
      <c r="X4774" s="9" t="str">
        <f t="array" ref="X4774">IFERROR(INDEX('Адреса общежитий (скрытый)'!$B$2:$B$9, MATCH(W4774, 'Адреса общежитий (скрытый)'!$A$2:$A$9, 0)), "")</f>
        <v/>
      </c>
      <c r="Y4774" s="18"/>
      <c r="Z4774" s="18"/>
      <c r="AA4774" s="18"/>
      <c r="AB4774" s="18"/>
      <c r="AC4774" s="18"/>
    </row>
    <row r="4775" spans="1:29" ht="32.25" hidden="1" customHeight="1">
      <c r="A4775" s="17"/>
      <c r="B4775" s="9" t="s">
        <v>13284</v>
      </c>
      <c r="C4775" s="9" t="s">
        <v>13284</v>
      </c>
      <c r="D4775" s="9" t="s">
        <v>13284</v>
      </c>
      <c r="E4775" s="9" t="s">
        <v>13284</v>
      </c>
      <c r="F4775" s="9" t="s">
        <v>13284</v>
      </c>
      <c r="G4775" s="9" t="s">
        <v>13284</v>
      </c>
      <c r="H4775" s="9" t="s">
        <v>13284</v>
      </c>
      <c r="I4775" s="9" t="s">
        <v>13284</v>
      </c>
      <c r="J4775" s="9" t="s">
        <v>13284</v>
      </c>
      <c r="K4775" s="9" t="s">
        <v>13284</v>
      </c>
      <c r="L4775" s="9" t="s">
        <v>13284</v>
      </c>
      <c r="M4775" s="9" t="s">
        <v>13284</v>
      </c>
      <c r="N4775" s="9" t="s">
        <v>13284</v>
      </c>
      <c r="O4775" s="9" t="s">
        <v>13284</v>
      </c>
      <c r="P4775" s="9" t="s">
        <v>13284</v>
      </c>
      <c r="Q4775" s="9" t="s">
        <v>13284</v>
      </c>
      <c r="R4775" s="9" t="s">
        <v>13284</v>
      </c>
      <c r="S4775" s="9" t="s">
        <v>13284</v>
      </c>
      <c r="T4775" s="9" t="str">
        <f ca="1">IFERROR(IF(AND(VLOOKUP(A4775, 'Актуальное состояние (из общего'!A:C,3,0) = "", A4775 &lt;&gt; ""), "ПРОВЕРИТЬ", VLOOKUP(A4775, 'Актуальное состояние (из общего'!A:C,3,0)), "")</f>
        <v/>
      </c>
      <c r="U4775" s="9" t="s">
        <v>13284</v>
      </c>
      <c r="V4775" s="9" t="s">
        <v>13284</v>
      </c>
      <c r="W4775" s="12"/>
      <c r="X4775" s="9" t="str">
        <f t="array" ref="X4775">IFERROR(INDEX('Адреса общежитий (скрытый)'!$B$2:$B$9, MATCH(W4775, 'Адреса общежитий (скрытый)'!$A$2:$A$9, 0)), "")</f>
        <v/>
      </c>
      <c r="Y4775" s="18"/>
      <c r="Z4775" s="18"/>
      <c r="AA4775" s="18"/>
      <c r="AB4775" s="18"/>
      <c r="AC4775" s="18"/>
    </row>
    <row r="4776" spans="1:29" ht="32.25" hidden="1" customHeight="1">
      <c r="A4776" s="17"/>
      <c r="B4776" s="9" t="s">
        <v>13284</v>
      </c>
      <c r="C4776" s="9" t="s">
        <v>13284</v>
      </c>
      <c r="D4776" s="9" t="s">
        <v>13284</v>
      </c>
      <c r="E4776" s="9" t="s">
        <v>13284</v>
      </c>
      <c r="F4776" s="9" t="s">
        <v>13284</v>
      </c>
      <c r="G4776" s="9" t="s">
        <v>13284</v>
      </c>
      <c r="H4776" s="9" t="s">
        <v>13284</v>
      </c>
      <c r="I4776" s="9" t="s">
        <v>13284</v>
      </c>
      <c r="J4776" s="9" t="s">
        <v>13284</v>
      </c>
      <c r="K4776" s="9" t="s">
        <v>13284</v>
      </c>
      <c r="L4776" s="9" t="s">
        <v>13284</v>
      </c>
      <c r="M4776" s="9" t="s">
        <v>13284</v>
      </c>
      <c r="N4776" s="9" t="s">
        <v>13284</v>
      </c>
      <c r="O4776" s="9" t="s">
        <v>13284</v>
      </c>
      <c r="P4776" s="9" t="s">
        <v>13284</v>
      </c>
      <c r="Q4776" s="9" t="s">
        <v>13284</v>
      </c>
      <c r="R4776" s="9" t="s">
        <v>13284</v>
      </c>
      <c r="S4776" s="9" t="s">
        <v>13284</v>
      </c>
      <c r="T4776" s="9" t="str">
        <f ca="1">IFERROR(IF(AND(VLOOKUP(A4776, 'Актуальное состояние (из общего'!A:C,3,0) = "", A4776 &lt;&gt; ""), "ПРОВЕРИТЬ", VLOOKUP(A4776, 'Актуальное состояние (из общего'!A:C,3,0)), "")</f>
        <v/>
      </c>
      <c r="U4776" s="9" t="s">
        <v>13284</v>
      </c>
      <c r="V4776" s="9" t="s">
        <v>13284</v>
      </c>
      <c r="W4776" s="12"/>
      <c r="X4776" s="9" t="str">
        <f t="array" ref="X4776">IFERROR(INDEX('Адреса общежитий (скрытый)'!$B$2:$B$9, MATCH(W4776, 'Адреса общежитий (скрытый)'!$A$2:$A$9, 0)), "")</f>
        <v/>
      </c>
      <c r="Y4776" s="18"/>
      <c r="Z4776" s="18"/>
      <c r="AA4776" s="18"/>
      <c r="AB4776" s="18"/>
      <c r="AC4776" s="18"/>
    </row>
    <row r="4777" spans="1:29" ht="32.25" hidden="1" customHeight="1">
      <c r="A4777" s="17"/>
      <c r="B4777" s="9" t="s">
        <v>13284</v>
      </c>
      <c r="C4777" s="9" t="s">
        <v>13284</v>
      </c>
      <c r="D4777" s="9" t="s">
        <v>13284</v>
      </c>
      <c r="E4777" s="9" t="s">
        <v>13284</v>
      </c>
      <c r="F4777" s="9" t="s">
        <v>13284</v>
      </c>
      <c r="G4777" s="9" t="s">
        <v>13284</v>
      </c>
      <c r="H4777" s="9" t="s">
        <v>13284</v>
      </c>
      <c r="I4777" s="9" t="s">
        <v>13284</v>
      </c>
      <c r="J4777" s="9" t="s">
        <v>13284</v>
      </c>
      <c r="K4777" s="9" t="s">
        <v>13284</v>
      </c>
      <c r="L4777" s="9" t="s">
        <v>13284</v>
      </c>
      <c r="M4777" s="9" t="s">
        <v>13284</v>
      </c>
      <c r="N4777" s="9" t="s">
        <v>13284</v>
      </c>
      <c r="O4777" s="9" t="s">
        <v>13284</v>
      </c>
      <c r="P4777" s="9" t="s">
        <v>13284</v>
      </c>
      <c r="Q4777" s="9" t="s">
        <v>13284</v>
      </c>
      <c r="R4777" s="9" t="s">
        <v>13284</v>
      </c>
      <c r="S4777" s="9" t="s">
        <v>13284</v>
      </c>
      <c r="T4777" s="9" t="str">
        <f ca="1">IFERROR(IF(AND(VLOOKUP(A4777, 'Актуальное состояние (из общего'!A:C,3,0) = "", A4777 &lt;&gt; ""), "ПРОВЕРИТЬ", VLOOKUP(A4777, 'Актуальное состояние (из общего'!A:C,3,0)), "")</f>
        <v/>
      </c>
      <c r="U4777" s="9" t="s">
        <v>13284</v>
      </c>
      <c r="V4777" s="9" t="s">
        <v>13284</v>
      </c>
      <c r="W4777" s="12"/>
      <c r="X4777" s="9" t="str">
        <f t="array" ref="X4777">IFERROR(INDEX('Адреса общежитий (скрытый)'!$B$2:$B$9, MATCH(W4777, 'Адреса общежитий (скрытый)'!$A$2:$A$9, 0)), "")</f>
        <v/>
      </c>
      <c r="Y4777" s="18"/>
      <c r="Z4777" s="18"/>
      <c r="AA4777" s="18"/>
      <c r="AB4777" s="18"/>
      <c r="AC4777" s="18"/>
    </row>
    <row r="4778" spans="1:29" ht="32.25" hidden="1" customHeight="1">
      <c r="A4778" s="17"/>
      <c r="B4778" s="9" t="s">
        <v>13284</v>
      </c>
      <c r="C4778" s="9" t="s">
        <v>13284</v>
      </c>
      <c r="D4778" s="9" t="s">
        <v>13284</v>
      </c>
      <c r="E4778" s="9" t="s">
        <v>13284</v>
      </c>
      <c r="F4778" s="9" t="s">
        <v>13284</v>
      </c>
      <c r="G4778" s="9" t="s">
        <v>13284</v>
      </c>
      <c r="H4778" s="9" t="s">
        <v>13284</v>
      </c>
      <c r="I4778" s="9" t="s">
        <v>13284</v>
      </c>
      <c r="J4778" s="9" t="s">
        <v>13284</v>
      </c>
      <c r="K4778" s="9" t="s">
        <v>13284</v>
      </c>
      <c r="L4778" s="9" t="s">
        <v>13284</v>
      </c>
      <c r="M4778" s="9" t="s">
        <v>13284</v>
      </c>
      <c r="N4778" s="9" t="s">
        <v>13284</v>
      </c>
      <c r="O4778" s="9" t="s">
        <v>13284</v>
      </c>
      <c r="P4778" s="9" t="s">
        <v>13284</v>
      </c>
      <c r="Q4778" s="9" t="s">
        <v>13284</v>
      </c>
      <c r="R4778" s="9" t="s">
        <v>13284</v>
      </c>
      <c r="S4778" s="9" t="s">
        <v>13284</v>
      </c>
      <c r="T4778" s="9" t="str">
        <f ca="1">IFERROR(IF(AND(VLOOKUP(A4778, 'Актуальное состояние (из общего'!A:C,3,0) = "", A4778 &lt;&gt; ""), "ПРОВЕРИТЬ", VLOOKUP(A4778, 'Актуальное состояние (из общего'!A:C,3,0)), "")</f>
        <v/>
      </c>
      <c r="U4778" s="9" t="s">
        <v>13284</v>
      </c>
      <c r="V4778" s="9" t="s">
        <v>13284</v>
      </c>
      <c r="W4778" s="12"/>
      <c r="X4778" s="9" t="str">
        <f t="array" ref="X4778">IFERROR(INDEX('Адреса общежитий (скрытый)'!$B$2:$B$9, MATCH(W4778, 'Адреса общежитий (скрытый)'!$A$2:$A$9, 0)), "")</f>
        <v/>
      </c>
      <c r="Y4778" s="18"/>
      <c r="Z4778" s="18"/>
      <c r="AA4778" s="18"/>
      <c r="AB4778" s="18"/>
      <c r="AC4778" s="18"/>
    </row>
    <row r="4779" spans="1:29" ht="32.25" hidden="1" customHeight="1">
      <c r="A4779" s="17"/>
      <c r="B4779" s="9" t="s">
        <v>13284</v>
      </c>
      <c r="C4779" s="9" t="s">
        <v>13284</v>
      </c>
      <c r="D4779" s="9" t="s">
        <v>13284</v>
      </c>
      <c r="E4779" s="9" t="s">
        <v>13284</v>
      </c>
      <c r="F4779" s="9" t="s">
        <v>13284</v>
      </c>
      <c r="G4779" s="9" t="s">
        <v>13284</v>
      </c>
      <c r="H4779" s="9" t="s">
        <v>13284</v>
      </c>
      <c r="I4779" s="9" t="s">
        <v>13284</v>
      </c>
      <c r="J4779" s="9" t="s">
        <v>13284</v>
      </c>
      <c r="K4779" s="9" t="s">
        <v>13284</v>
      </c>
      <c r="L4779" s="9" t="s">
        <v>13284</v>
      </c>
      <c r="M4779" s="9" t="s">
        <v>13284</v>
      </c>
      <c r="N4779" s="9" t="s">
        <v>13284</v>
      </c>
      <c r="O4779" s="9" t="s">
        <v>13284</v>
      </c>
      <c r="P4779" s="9" t="s">
        <v>13284</v>
      </c>
      <c r="Q4779" s="9" t="s">
        <v>13284</v>
      </c>
      <c r="R4779" s="9" t="s">
        <v>13284</v>
      </c>
      <c r="S4779" s="9" t="s">
        <v>13284</v>
      </c>
      <c r="T4779" s="9" t="str">
        <f ca="1">IFERROR(IF(AND(VLOOKUP(A4779, 'Актуальное состояние (из общего'!A:C,3,0) = "", A4779 &lt;&gt; ""), "ПРОВЕРИТЬ", VLOOKUP(A4779, 'Актуальное состояние (из общего'!A:C,3,0)), "")</f>
        <v/>
      </c>
      <c r="U4779" s="9" t="s">
        <v>13284</v>
      </c>
      <c r="V4779" s="9" t="s">
        <v>13284</v>
      </c>
      <c r="W4779" s="12"/>
      <c r="X4779" s="9" t="str">
        <f t="array" ref="X4779">IFERROR(INDEX('Адреса общежитий (скрытый)'!$B$2:$B$9, MATCH(W4779, 'Адреса общежитий (скрытый)'!$A$2:$A$9, 0)), "")</f>
        <v/>
      </c>
      <c r="Y4779" s="18"/>
      <c r="Z4779" s="18"/>
      <c r="AA4779" s="18"/>
      <c r="AB4779" s="18"/>
      <c r="AC4779" s="18"/>
    </row>
    <row r="4780" spans="1:29" ht="32.25" hidden="1" customHeight="1">
      <c r="A4780" s="17"/>
      <c r="B4780" s="9" t="s">
        <v>13284</v>
      </c>
      <c r="C4780" s="9" t="s">
        <v>13284</v>
      </c>
      <c r="D4780" s="9" t="s">
        <v>13284</v>
      </c>
      <c r="E4780" s="9" t="s">
        <v>13284</v>
      </c>
      <c r="F4780" s="9" t="s">
        <v>13284</v>
      </c>
      <c r="G4780" s="9" t="s">
        <v>13284</v>
      </c>
      <c r="H4780" s="9" t="s">
        <v>13284</v>
      </c>
      <c r="I4780" s="9" t="s">
        <v>13284</v>
      </c>
      <c r="J4780" s="9" t="s">
        <v>13284</v>
      </c>
      <c r="K4780" s="9" t="s">
        <v>13284</v>
      </c>
      <c r="L4780" s="9" t="s">
        <v>13284</v>
      </c>
      <c r="M4780" s="9" t="s">
        <v>13284</v>
      </c>
      <c r="N4780" s="9" t="s">
        <v>13284</v>
      </c>
      <c r="O4780" s="9" t="s">
        <v>13284</v>
      </c>
      <c r="P4780" s="9" t="s">
        <v>13284</v>
      </c>
      <c r="Q4780" s="9" t="s">
        <v>13284</v>
      </c>
      <c r="R4780" s="9" t="s">
        <v>13284</v>
      </c>
      <c r="S4780" s="9" t="s">
        <v>13284</v>
      </c>
      <c r="T4780" s="9" t="str">
        <f ca="1">IFERROR(IF(AND(VLOOKUP(A4780, 'Актуальное состояние (из общего'!A:C,3,0) = "", A4780 &lt;&gt; ""), "ПРОВЕРИТЬ", VLOOKUP(A4780, 'Актуальное состояние (из общего'!A:C,3,0)), "")</f>
        <v/>
      </c>
      <c r="U4780" s="9" t="s">
        <v>13284</v>
      </c>
      <c r="V4780" s="9" t="s">
        <v>13284</v>
      </c>
      <c r="W4780" s="12"/>
      <c r="X4780" s="9" t="str">
        <f t="array" ref="X4780">IFERROR(INDEX('Адреса общежитий (скрытый)'!$B$2:$B$9, MATCH(W4780, 'Адреса общежитий (скрытый)'!$A$2:$A$9, 0)), "")</f>
        <v/>
      </c>
      <c r="Y4780" s="18"/>
      <c r="Z4780" s="18"/>
      <c r="AA4780" s="18"/>
      <c r="AB4780" s="18"/>
      <c r="AC4780" s="18"/>
    </row>
    <row r="4781" spans="1:29" ht="32.25" hidden="1" customHeight="1">
      <c r="A4781" s="17"/>
      <c r="B4781" s="9" t="s">
        <v>13284</v>
      </c>
      <c r="C4781" s="9" t="s">
        <v>13284</v>
      </c>
      <c r="D4781" s="9" t="s">
        <v>13284</v>
      </c>
      <c r="E4781" s="9" t="s">
        <v>13284</v>
      </c>
      <c r="F4781" s="9" t="s">
        <v>13284</v>
      </c>
      <c r="G4781" s="9" t="s">
        <v>13284</v>
      </c>
      <c r="H4781" s="9" t="s">
        <v>13284</v>
      </c>
      <c r="I4781" s="9" t="s">
        <v>13284</v>
      </c>
      <c r="J4781" s="9" t="s">
        <v>13284</v>
      </c>
      <c r="K4781" s="9" t="s">
        <v>13284</v>
      </c>
      <c r="L4781" s="9" t="s">
        <v>13284</v>
      </c>
      <c r="M4781" s="9" t="s">
        <v>13284</v>
      </c>
      <c r="N4781" s="9" t="s">
        <v>13284</v>
      </c>
      <c r="O4781" s="9" t="s">
        <v>13284</v>
      </c>
      <c r="P4781" s="9" t="s">
        <v>13284</v>
      </c>
      <c r="Q4781" s="9" t="s">
        <v>13284</v>
      </c>
      <c r="R4781" s="9" t="s">
        <v>13284</v>
      </c>
      <c r="S4781" s="9" t="s">
        <v>13284</v>
      </c>
      <c r="T4781" s="9" t="str">
        <f ca="1">IFERROR(IF(AND(VLOOKUP(A4781, 'Актуальное состояние (из общего'!A:C,3,0) = "", A4781 &lt;&gt; ""), "ПРОВЕРИТЬ", VLOOKUP(A4781, 'Актуальное состояние (из общего'!A:C,3,0)), "")</f>
        <v/>
      </c>
      <c r="U4781" s="9" t="s">
        <v>13284</v>
      </c>
      <c r="V4781" s="9" t="s">
        <v>13284</v>
      </c>
      <c r="W4781" s="12"/>
      <c r="X4781" s="9" t="str">
        <f t="array" ref="X4781">IFERROR(INDEX('Адреса общежитий (скрытый)'!$B$2:$B$9, MATCH(W4781, 'Адреса общежитий (скрытый)'!$A$2:$A$9, 0)), "")</f>
        <v/>
      </c>
      <c r="Y4781" s="18"/>
      <c r="Z4781" s="18"/>
      <c r="AA4781" s="18"/>
      <c r="AB4781" s="18"/>
      <c r="AC4781" s="18"/>
    </row>
    <row r="4782" spans="1:29" ht="32.25" hidden="1" customHeight="1">
      <c r="A4782" s="17"/>
      <c r="B4782" s="9" t="s">
        <v>13284</v>
      </c>
      <c r="C4782" s="9" t="s">
        <v>13284</v>
      </c>
      <c r="D4782" s="9" t="s">
        <v>13284</v>
      </c>
      <c r="E4782" s="9" t="s">
        <v>13284</v>
      </c>
      <c r="F4782" s="9" t="s">
        <v>13284</v>
      </c>
      <c r="G4782" s="9" t="s">
        <v>13284</v>
      </c>
      <c r="H4782" s="9" t="s">
        <v>13284</v>
      </c>
      <c r="I4782" s="9" t="s">
        <v>13284</v>
      </c>
      <c r="J4782" s="9" t="s">
        <v>13284</v>
      </c>
      <c r="K4782" s="9" t="s">
        <v>13284</v>
      </c>
      <c r="L4782" s="9" t="s">
        <v>13284</v>
      </c>
      <c r="M4782" s="9" t="s">
        <v>13284</v>
      </c>
      <c r="N4782" s="9" t="s">
        <v>13284</v>
      </c>
      <c r="O4782" s="9" t="s">
        <v>13284</v>
      </c>
      <c r="P4782" s="9" t="s">
        <v>13284</v>
      </c>
      <c r="Q4782" s="9" t="s">
        <v>13284</v>
      </c>
      <c r="R4782" s="9" t="s">
        <v>13284</v>
      </c>
      <c r="S4782" s="9" t="s">
        <v>13284</v>
      </c>
      <c r="T4782" s="9" t="str">
        <f ca="1">IFERROR(IF(AND(VLOOKUP(A4782, 'Актуальное состояние (из общего'!A:C,3,0) = "", A4782 &lt;&gt; ""), "ПРОВЕРИТЬ", VLOOKUP(A4782, 'Актуальное состояние (из общего'!A:C,3,0)), "")</f>
        <v/>
      </c>
      <c r="U4782" s="9" t="s">
        <v>13284</v>
      </c>
      <c r="V4782" s="9" t="s">
        <v>13284</v>
      </c>
      <c r="W4782" s="12"/>
      <c r="X4782" s="9" t="str">
        <f t="array" ref="X4782">IFERROR(INDEX('Адреса общежитий (скрытый)'!$B$2:$B$9, MATCH(W4782, 'Адреса общежитий (скрытый)'!$A$2:$A$9, 0)), "")</f>
        <v/>
      </c>
      <c r="Y4782" s="18"/>
      <c r="Z4782" s="18"/>
      <c r="AA4782" s="18"/>
      <c r="AB4782" s="18"/>
      <c r="AC4782" s="18"/>
    </row>
    <row r="4783" spans="1:29" ht="32.25" hidden="1" customHeight="1">
      <c r="A4783" s="17"/>
      <c r="B4783" s="9" t="s">
        <v>13284</v>
      </c>
      <c r="C4783" s="9" t="s">
        <v>13284</v>
      </c>
      <c r="D4783" s="9" t="s">
        <v>13284</v>
      </c>
      <c r="E4783" s="9" t="s">
        <v>13284</v>
      </c>
      <c r="F4783" s="9" t="s">
        <v>13284</v>
      </c>
      <c r="G4783" s="9" t="s">
        <v>13284</v>
      </c>
      <c r="H4783" s="9" t="s">
        <v>13284</v>
      </c>
      <c r="I4783" s="9" t="s">
        <v>13284</v>
      </c>
      <c r="J4783" s="9" t="s">
        <v>13284</v>
      </c>
      <c r="K4783" s="9" t="s">
        <v>13284</v>
      </c>
      <c r="L4783" s="9" t="s">
        <v>13284</v>
      </c>
      <c r="M4783" s="9" t="s">
        <v>13284</v>
      </c>
      <c r="N4783" s="9" t="s">
        <v>13284</v>
      </c>
      <c r="O4783" s="9" t="s">
        <v>13284</v>
      </c>
      <c r="P4783" s="9" t="s">
        <v>13284</v>
      </c>
      <c r="Q4783" s="9" t="s">
        <v>13284</v>
      </c>
      <c r="R4783" s="9" t="s">
        <v>13284</v>
      </c>
      <c r="S4783" s="9" t="s">
        <v>13284</v>
      </c>
      <c r="T4783" s="9" t="str">
        <f ca="1">IFERROR(IF(AND(VLOOKUP(A4783, 'Актуальное состояние (из общего'!A:C,3,0) = "", A4783 &lt;&gt; ""), "ПРОВЕРИТЬ", VLOOKUP(A4783, 'Актуальное состояние (из общего'!A:C,3,0)), "")</f>
        <v/>
      </c>
      <c r="U4783" s="9" t="s">
        <v>13284</v>
      </c>
      <c r="V4783" s="9" t="s">
        <v>13284</v>
      </c>
      <c r="W4783" s="12"/>
      <c r="X4783" s="9" t="str">
        <f t="array" ref="X4783">IFERROR(INDEX('Адреса общежитий (скрытый)'!$B$2:$B$9, MATCH(W4783, 'Адреса общежитий (скрытый)'!$A$2:$A$9, 0)), "")</f>
        <v/>
      </c>
      <c r="Y4783" s="18"/>
      <c r="Z4783" s="18"/>
      <c r="AA4783" s="18"/>
      <c r="AB4783" s="18"/>
      <c r="AC4783" s="18"/>
    </row>
    <row r="4784" spans="1:29" ht="32.25" hidden="1" customHeight="1">
      <c r="A4784" s="17"/>
      <c r="B4784" s="9" t="s">
        <v>13284</v>
      </c>
      <c r="C4784" s="9" t="s">
        <v>13284</v>
      </c>
      <c r="D4784" s="9" t="s">
        <v>13284</v>
      </c>
      <c r="E4784" s="9" t="s">
        <v>13284</v>
      </c>
      <c r="F4784" s="9" t="s">
        <v>13284</v>
      </c>
      <c r="G4784" s="9" t="s">
        <v>13284</v>
      </c>
      <c r="H4784" s="9" t="s">
        <v>13284</v>
      </c>
      <c r="I4784" s="9" t="s">
        <v>13284</v>
      </c>
      <c r="J4784" s="9" t="s">
        <v>13284</v>
      </c>
      <c r="K4784" s="9" t="s">
        <v>13284</v>
      </c>
      <c r="L4784" s="9" t="s">
        <v>13284</v>
      </c>
      <c r="M4784" s="9" t="s">
        <v>13284</v>
      </c>
      <c r="N4784" s="9" t="s">
        <v>13284</v>
      </c>
      <c r="O4784" s="9" t="s">
        <v>13284</v>
      </c>
      <c r="P4784" s="9" t="s">
        <v>13284</v>
      </c>
      <c r="Q4784" s="9" t="s">
        <v>13284</v>
      </c>
      <c r="R4784" s="9" t="s">
        <v>13284</v>
      </c>
      <c r="S4784" s="9" t="s">
        <v>13284</v>
      </c>
      <c r="T4784" s="9" t="str">
        <f ca="1">IFERROR(IF(AND(VLOOKUP(A4784, 'Актуальное состояние (из общего'!A:C,3,0) = "", A4784 &lt;&gt; ""), "ПРОВЕРИТЬ", VLOOKUP(A4784, 'Актуальное состояние (из общего'!A:C,3,0)), "")</f>
        <v/>
      </c>
      <c r="U4784" s="9" t="s">
        <v>13284</v>
      </c>
      <c r="V4784" s="9" t="s">
        <v>13284</v>
      </c>
      <c r="W4784" s="12"/>
      <c r="X4784" s="9" t="str">
        <f t="array" ref="X4784">IFERROR(INDEX('Адреса общежитий (скрытый)'!$B$2:$B$9, MATCH(W4784, 'Адреса общежитий (скрытый)'!$A$2:$A$9, 0)), "")</f>
        <v/>
      </c>
      <c r="Y4784" s="18"/>
      <c r="Z4784" s="18"/>
      <c r="AA4784" s="18"/>
      <c r="AB4784" s="18"/>
      <c r="AC4784" s="18"/>
    </row>
    <row r="4785" spans="1:29" ht="32.25" hidden="1" customHeight="1">
      <c r="A4785" s="17"/>
      <c r="B4785" s="9" t="s">
        <v>13284</v>
      </c>
      <c r="C4785" s="9" t="s">
        <v>13284</v>
      </c>
      <c r="D4785" s="9" t="s">
        <v>13284</v>
      </c>
      <c r="E4785" s="9" t="s">
        <v>13284</v>
      </c>
      <c r="F4785" s="9" t="s">
        <v>13284</v>
      </c>
      <c r="G4785" s="9" t="s">
        <v>13284</v>
      </c>
      <c r="H4785" s="9" t="s">
        <v>13284</v>
      </c>
      <c r="I4785" s="9" t="s">
        <v>13284</v>
      </c>
      <c r="J4785" s="9" t="s">
        <v>13284</v>
      </c>
      <c r="K4785" s="9" t="s">
        <v>13284</v>
      </c>
      <c r="L4785" s="9" t="s">
        <v>13284</v>
      </c>
      <c r="M4785" s="9" t="s">
        <v>13284</v>
      </c>
      <c r="N4785" s="9" t="s">
        <v>13284</v>
      </c>
      <c r="O4785" s="9" t="s">
        <v>13284</v>
      </c>
      <c r="P4785" s="9" t="s">
        <v>13284</v>
      </c>
      <c r="Q4785" s="9" t="s">
        <v>13284</v>
      </c>
      <c r="R4785" s="9" t="s">
        <v>13284</v>
      </c>
      <c r="S4785" s="9" t="s">
        <v>13284</v>
      </c>
      <c r="T4785" s="9" t="str">
        <f ca="1">IFERROR(IF(AND(VLOOKUP(A4785, 'Актуальное состояние (из общего'!A:C,3,0) = "", A4785 &lt;&gt; ""), "ПРОВЕРИТЬ", VLOOKUP(A4785, 'Актуальное состояние (из общего'!A:C,3,0)), "")</f>
        <v/>
      </c>
      <c r="U4785" s="9" t="s">
        <v>13284</v>
      </c>
      <c r="V4785" s="9" t="s">
        <v>13284</v>
      </c>
      <c r="W4785" s="12"/>
      <c r="X4785" s="9" t="str">
        <f t="array" ref="X4785">IFERROR(INDEX('Адреса общежитий (скрытый)'!$B$2:$B$9, MATCH(W4785, 'Адреса общежитий (скрытый)'!$A$2:$A$9, 0)), "")</f>
        <v/>
      </c>
      <c r="Y4785" s="18"/>
      <c r="Z4785" s="18"/>
      <c r="AA4785" s="18"/>
      <c r="AB4785" s="18"/>
      <c r="AC4785" s="18"/>
    </row>
    <row r="4786" spans="1:29" ht="32.25" hidden="1" customHeight="1">
      <c r="A4786" s="17"/>
      <c r="B4786" s="9" t="s">
        <v>13284</v>
      </c>
      <c r="C4786" s="9" t="s">
        <v>13284</v>
      </c>
      <c r="D4786" s="9" t="s">
        <v>13284</v>
      </c>
      <c r="E4786" s="9" t="s">
        <v>13284</v>
      </c>
      <c r="F4786" s="9" t="s">
        <v>13284</v>
      </c>
      <c r="G4786" s="9" t="s">
        <v>13284</v>
      </c>
      <c r="H4786" s="9" t="s">
        <v>13284</v>
      </c>
      <c r="I4786" s="9" t="s">
        <v>13284</v>
      </c>
      <c r="J4786" s="9" t="s">
        <v>13284</v>
      </c>
      <c r="K4786" s="9" t="s">
        <v>13284</v>
      </c>
      <c r="L4786" s="9" t="s">
        <v>13284</v>
      </c>
      <c r="M4786" s="9" t="s">
        <v>13284</v>
      </c>
      <c r="N4786" s="9" t="s">
        <v>13284</v>
      </c>
      <c r="O4786" s="9" t="s">
        <v>13284</v>
      </c>
      <c r="P4786" s="9" t="s">
        <v>13284</v>
      </c>
      <c r="Q4786" s="9" t="s">
        <v>13284</v>
      </c>
      <c r="R4786" s="9" t="s">
        <v>13284</v>
      </c>
      <c r="S4786" s="9" t="s">
        <v>13284</v>
      </c>
      <c r="T4786" s="9" t="str">
        <f ca="1">IFERROR(IF(AND(VLOOKUP(A4786, 'Актуальное состояние (из общего'!A:C,3,0) = "", A4786 &lt;&gt; ""), "ПРОВЕРИТЬ", VLOOKUP(A4786, 'Актуальное состояние (из общего'!A:C,3,0)), "")</f>
        <v/>
      </c>
      <c r="U4786" s="9" t="s">
        <v>13284</v>
      </c>
      <c r="V4786" s="9" t="s">
        <v>13284</v>
      </c>
      <c r="W4786" s="12"/>
      <c r="X4786" s="9" t="str">
        <f t="array" ref="X4786">IFERROR(INDEX('Адреса общежитий (скрытый)'!$B$2:$B$9, MATCH(W4786, 'Адреса общежитий (скрытый)'!$A$2:$A$9, 0)), "")</f>
        <v/>
      </c>
      <c r="Y4786" s="18"/>
      <c r="Z4786" s="18"/>
      <c r="AA4786" s="18"/>
      <c r="AB4786" s="18"/>
      <c r="AC4786" s="18"/>
    </row>
    <row r="4787" spans="1:29" ht="32.25" hidden="1" customHeight="1">
      <c r="A4787" s="17"/>
      <c r="B4787" s="9" t="s">
        <v>13284</v>
      </c>
      <c r="C4787" s="9" t="s">
        <v>13284</v>
      </c>
      <c r="D4787" s="9" t="s">
        <v>13284</v>
      </c>
      <c r="E4787" s="9" t="s">
        <v>13284</v>
      </c>
      <c r="F4787" s="9" t="s">
        <v>13284</v>
      </c>
      <c r="G4787" s="9" t="s">
        <v>13284</v>
      </c>
      <c r="H4787" s="9" t="s">
        <v>13284</v>
      </c>
      <c r="I4787" s="9" t="s">
        <v>13284</v>
      </c>
      <c r="J4787" s="9" t="s">
        <v>13284</v>
      </c>
      <c r="K4787" s="9" t="s">
        <v>13284</v>
      </c>
      <c r="L4787" s="9" t="s">
        <v>13284</v>
      </c>
      <c r="M4787" s="9" t="s">
        <v>13284</v>
      </c>
      <c r="N4787" s="9" t="s">
        <v>13284</v>
      </c>
      <c r="O4787" s="9" t="s">
        <v>13284</v>
      </c>
      <c r="P4787" s="9" t="s">
        <v>13284</v>
      </c>
      <c r="Q4787" s="9" t="s">
        <v>13284</v>
      </c>
      <c r="R4787" s="9" t="s">
        <v>13284</v>
      </c>
      <c r="S4787" s="9" t="s">
        <v>13284</v>
      </c>
      <c r="T4787" s="9" t="str">
        <f ca="1">IFERROR(IF(AND(VLOOKUP(A4787, 'Актуальное состояние (из общего'!A:C,3,0) = "", A4787 &lt;&gt; ""), "ПРОВЕРИТЬ", VLOOKUP(A4787, 'Актуальное состояние (из общего'!A:C,3,0)), "")</f>
        <v/>
      </c>
      <c r="U4787" s="9" t="s">
        <v>13284</v>
      </c>
      <c r="V4787" s="9" t="s">
        <v>13284</v>
      </c>
      <c r="W4787" s="12"/>
      <c r="X4787" s="9" t="str">
        <f t="array" ref="X4787">IFERROR(INDEX('Адреса общежитий (скрытый)'!$B$2:$B$9, MATCH(W4787, 'Адреса общежитий (скрытый)'!$A$2:$A$9, 0)), "")</f>
        <v/>
      </c>
      <c r="Y4787" s="18"/>
      <c r="Z4787" s="18"/>
      <c r="AA4787" s="18"/>
      <c r="AB4787" s="18"/>
      <c r="AC4787" s="18"/>
    </row>
    <row r="4788" spans="1:29" ht="32.25" hidden="1" customHeight="1">
      <c r="A4788" s="17"/>
      <c r="B4788" s="9" t="s">
        <v>13284</v>
      </c>
      <c r="C4788" s="9" t="s">
        <v>13284</v>
      </c>
      <c r="D4788" s="9" t="s">
        <v>13284</v>
      </c>
      <c r="E4788" s="9" t="s">
        <v>13284</v>
      </c>
      <c r="F4788" s="9" t="s">
        <v>13284</v>
      </c>
      <c r="G4788" s="9" t="s">
        <v>13284</v>
      </c>
      <c r="H4788" s="9" t="s">
        <v>13284</v>
      </c>
      <c r="I4788" s="9" t="s">
        <v>13284</v>
      </c>
      <c r="J4788" s="9" t="s">
        <v>13284</v>
      </c>
      <c r="K4788" s="9" t="s">
        <v>13284</v>
      </c>
      <c r="L4788" s="9" t="s">
        <v>13284</v>
      </c>
      <c r="M4788" s="9" t="s">
        <v>13284</v>
      </c>
      <c r="N4788" s="9" t="s">
        <v>13284</v>
      </c>
      <c r="O4788" s="9" t="s">
        <v>13284</v>
      </c>
      <c r="P4788" s="9" t="s">
        <v>13284</v>
      </c>
      <c r="Q4788" s="9" t="s">
        <v>13284</v>
      </c>
      <c r="R4788" s="9" t="s">
        <v>13284</v>
      </c>
      <c r="S4788" s="9" t="s">
        <v>13284</v>
      </c>
      <c r="T4788" s="9" t="str">
        <f ca="1">IFERROR(IF(AND(VLOOKUP(A4788, 'Актуальное состояние (из общего'!A:C,3,0) = "", A4788 &lt;&gt; ""), "ПРОВЕРИТЬ", VLOOKUP(A4788, 'Актуальное состояние (из общего'!A:C,3,0)), "")</f>
        <v/>
      </c>
      <c r="U4788" s="9" t="s">
        <v>13284</v>
      </c>
      <c r="V4788" s="9" t="s">
        <v>13284</v>
      </c>
      <c r="W4788" s="12"/>
      <c r="X4788" s="9" t="str">
        <f t="array" ref="X4788">IFERROR(INDEX('Адреса общежитий (скрытый)'!$B$2:$B$9, MATCH(W4788, 'Адреса общежитий (скрытый)'!$A$2:$A$9, 0)), "")</f>
        <v/>
      </c>
      <c r="Y4788" s="18"/>
      <c r="Z4788" s="18"/>
      <c r="AA4788" s="18"/>
      <c r="AB4788" s="18"/>
      <c r="AC4788" s="18"/>
    </row>
    <row r="4789" spans="1:29" ht="32.25" hidden="1" customHeight="1">
      <c r="A4789" s="17"/>
      <c r="B4789" s="9" t="s">
        <v>13284</v>
      </c>
      <c r="C4789" s="9" t="s">
        <v>13284</v>
      </c>
      <c r="D4789" s="9" t="s">
        <v>13284</v>
      </c>
      <c r="E4789" s="9" t="s">
        <v>13284</v>
      </c>
      <c r="F4789" s="9" t="s">
        <v>13284</v>
      </c>
      <c r="G4789" s="9" t="s">
        <v>13284</v>
      </c>
      <c r="H4789" s="9" t="s">
        <v>13284</v>
      </c>
      <c r="I4789" s="9" t="s">
        <v>13284</v>
      </c>
      <c r="J4789" s="9" t="s">
        <v>13284</v>
      </c>
      <c r="K4789" s="9" t="s">
        <v>13284</v>
      </c>
      <c r="L4789" s="9" t="s">
        <v>13284</v>
      </c>
      <c r="M4789" s="9" t="s">
        <v>13284</v>
      </c>
      <c r="N4789" s="9" t="s">
        <v>13284</v>
      </c>
      <c r="O4789" s="9" t="s">
        <v>13284</v>
      </c>
      <c r="P4789" s="9" t="s">
        <v>13284</v>
      </c>
      <c r="Q4789" s="9" t="s">
        <v>13284</v>
      </c>
      <c r="R4789" s="9" t="s">
        <v>13284</v>
      </c>
      <c r="S4789" s="9" t="s">
        <v>13284</v>
      </c>
      <c r="T4789" s="9" t="str">
        <f ca="1">IFERROR(IF(AND(VLOOKUP(A4789, 'Актуальное состояние (из общего'!A:C,3,0) = "", A4789 &lt;&gt; ""), "ПРОВЕРИТЬ", VLOOKUP(A4789, 'Актуальное состояние (из общего'!A:C,3,0)), "")</f>
        <v/>
      </c>
      <c r="U4789" s="9" t="s">
        <v>13284</v>
      </c>
      <c r="V4789" s="9" t="s">
        <v>13284</v>
      </c>
      <c r="W4789" s="12"/>
      <c r="X4789" s="9" t="str">
        <f t="array" ref="X4789">IFERROR(INDEX('Адреса общежитий (скрытый)'!$B$2:$B$9, MATCH(W4789, 'Адреса общежитий (скрытый)'!$A$2:$A$9, 0)), "")</f>
        <v/>
      </c>
      <c r="Y4789" s="18"/>
      <c r="Z4789" s="18"/>
      <c r="AA4789" s="18"/>
      <c r="AB4789" s="18"/>
      <c r="AC4789" s="18"/>
    </row>
    <row r="4790" spans="1:29" ht="32.25" hidden="1" customHeight="1">
      <c r="A4790" s="17"/>
      <c r="B4790" s="9" t="s">
        <v>13284</v>
      </c>
      <c r="C4790" s="9" t="s">
        <v>13284</v>
      </c>
      <c r="D4790" s="9" t="s">
        <v>13284</v>
      </c>
      <c r="E4790" s="9" t="s">
        <v>13284</v>
      </c>
      <c r="F4790" s="9" t="s">
        <v>13284</v>
      </c>
      <c r="G4790" s="9" t="s">
        <v>13284</v>
      </c>
      <c r="H4790" s="9" t="s">
        <v>13284</v>
      </c>
      <c r="I4790" s="9" t="s">
        <v>13284</v>
      </c>
      <c r="J4790" s="9" t="s">
        <v>13284</v>
      </c>
      <c r="K4790" s="9" t="s">
        <v>13284</v>
      </c>
      <c r="L4790" s="9" t="s">
        <v>13284</v>
      </c>
      <c r="M4790" s="9" t="s">
        <v>13284</v>
      </c>
      <c r="N4790" s="9" t="s">
        <v>13284</v>
      </c>
      <c r="O4790" s="9" t="s">
        <v>13284</v>
      </c>
      <c r="P4790" s="9" t="s">
        <v>13284</v>
      </c>
      <c r="Q4790" s="9" t="s">
        <v>13284</v>
      </c>
      <c r="R4790" s="9" t="s">
        <v>13284</v>
      </c>
      <c r="S4790" s="9" t="s">
        <v>13284</v>
      </c>
      <c r="T4790" s="9" t="str">
        <f ca="1">IFERROR(IF(AND(VLOOKUP(A4790, 'Актуальное состояние (из общего'!A:C,3,0) = "", A4790 &lt;&gt; ""), "ПРОВЕРИТЬ", VLOOKUP(A4790, 'Актуальное состояние (из общего'!A:C,3,0)), "")</f>
        <v/>
      </c>
      <c r="U4790" s="9" t="s">
        <v>13284</v>
      </c>
      <c r="V4790" s="9" t="s">
        <v>13284</v>
      </c>
      <c r="W4790" s="12"/>
      <c r="X4790" s="9" t="str">
        <f t="array" ref="X4790">IFERROR(INDEX('Адреса общежитий (скрытый)'!$B$2:$B$9, MATCH(W4790, 'Адреса общежитий (скрытый)'!$A$2:$A$9, 0)), "")</f>
        <v/>
      </c>
      <c r="Y4790" s="18"/>
      <c r="Z4790" s="18"/>
      <c r="AA4790" s="18"/>
      <c r="AB4790" s="18"/>
      <c r="AC4790" s="18"/>
    </row>
    <row r="4791" spans="1:29" ht="32.25" hidden="1" customHeight="1">
      <c r="A4791" s="17"/>
      <c r="B4791" s="9" t="s">
        <v>13284</v>
      </c>
      <c r="C4791" s="9" t="s">
        <v>13284</v>
      </c>
      <c r="D4791" s="9" t="s">
        <v>13284</v>
      </c>
      <c r="E4791" s="9" t="s">
        <v>13284</v>
      </c>
      <c r="F4791" s="9" t="s">
        <v>13284</v>
      </c>
      <c r="G4791" s="9" t="s">
        <v>13284</v>
      </c>
      <c r="H4791" s="9" t="s">
        <v>13284</v>
      </c>
      <c r="I4791" s="9" t="s">
        <v>13284</v>
      </c>
      <c r="J4791" s="9" t="s">
        <v>13284</v>
      </c>
      <c r="K4791" s="9" t="s">
        <v>13284</v>
      </c>
      <c r="L4791" s="9" t="s">
        <v>13284</v>
      </c>
      <c r="M4791" s="9" t="s">
        <v>13284</v>
      </c>
      <c r="N4791" s="9" t="s">
        <v>13284</v>
      </c>
      <c r="O4791" s="9" t="s">
        <v>13284</v>
      </c>
      <c r="P4791" s="9" t="s">
        <v>13284</v>
      </c>
      <c r="Q4791" s="9" t="s">
        <v>13284</v>
      </c>
      <c r="R4791" s="9" t="s">
        <v>13284</v>
      </c>
      <c r="S4791" s="9" t="s">
        <v>13284</v>
      </c>
      <c r="T4791" s="9" t="str">
        <f ca="1">IFERROR(IF(AND(VLOOKUP(A4791, 'Актуальное состояние (из общего'!A:C,3,0) = "", A4791 &lt;&gt; ""), "ПРОВЕРИТЬ", VLOOKUP(A4791, 'Актуальное состояние (из общего'!A:C,3,0)), "")</f>
        <v/>
      </c>
      <c r="U4791" s="9" t="s">
        <v>13284</v>
      </c>
      <c r="V4791" s="9" t="s">
        <v>13284</v>
      </c>
      <c r="W4791" s="12"/>
      <c r="X4791" s="9" t="str">
        <f t="array" ref="X4791">IFERROR(INDEX('Адреса общежитий (скрытый)'!$B$2:$B$9, MATCH(W4791, 'Адреса общежитий (скрытый)'!$A$2:$A$9, 0)), "")</f>
        <v/>
      </c>
      <c r="Y4791" s="18"/>
      <c r="Z4791" s="18"/>
      <c r="AA4791" s="18"/>
      <c r="AB4791" s="18"/>
      <c r="AC4791" s="18"/>
    </row>
    <row r="4792" spans="1:29" ht="32.25" hidden="1" customHeight="1">
      <c r="A4792" s="17"/>
      <c r="B4792" s="9" t="s">
        <v>13284</v>
      </c>
      <c r="C4792" s="9" t="s">
        <v>13284</v>
      </c>
      <c r="D4792" s="9" t="s">
        <v>13284</v>
      </c>
      <c r="E4792" s="9" t="s">
        <v>13284</v>
      </c>
      <c r="F4792" s="9" t="s">
        <v>13284</v>
      </c>
      <c r="G4792" s="9" t="s">
        <v>13284</v>
      </c>
      <c r="H4792" s="9" t="s">
        <v>13284</v>
      </c>
      <c r="I4792" s="9" t="s">
        <v>13284</v>
      </c>
      <c r="J4792" s="9" t="s">
        <v>13284</v>
      </c>
      <c r="K4792" s="9" t="s">
        <v>13284</v>
      </c>
      <c r="L4792" s="9" t="s">
        <v>13284</v>
      </c>
      <c r="M4792" s="9" t="s">
        <v>13284</v>
      </c>
      <c r="N4792" s="9" t="s">
        <v>13284</v>
      </c>
      <c r="O4792" s="9" t="s">
        <v>13284</v>
      </c>
      <c r="P4792" s="9" t="s">
        <v>13284</v>
      </c>
      <c r="Q4792" s="9" t="s">
        <v>13284</v>
      </c>
      <c r="R4792" s="9" t="s">
        <v>13284</v>
      </c>
      <c r="S4792" s="9" t="s">
        <v>13284</v>
      </c>
      <c r="T4792" s="9" t="str">
        <f ca="1">IFERROR(IF(AND(VLOOKUP(A4792, 'Актуальное состояние (из общего'!A:C,3,0) = "", A4792 &lt;&gt; ""), "ПРОВЕРИТЬ", VLOOKUP(A4792, 'Актуальное состояние (из общего'!A:C,3,0)), "")</f>
        <v/>
      </c>
      <c r="U4792" s="9" t="s">
        <v>13284</v>
      </c>
      <c r="V4792" s="9" t="s">
        <v>13284</v>
      </c>
      <c r="W4792" s="12"/>
      <c r="X4792" s="9" t="str">
        <f t="array" ref="X4792">IFERROR(INDEX('Адреса общежитий (скрытый)'!$B$2:$B$9, MATCH(W4792, 'Адреса общежитий (скрытый)'!$A$2:$A$9, 0)), "")</f>
        <v/>
      </c>
      <c r="Y4792" s="18"/>
      <c r="Z4792" s="18"/>
      <c r="AA4792" s="18"/>
      <c r="AB4792" s="18"/>
      <c r="AC4792" s="18"/>
    </row>
    <row r="4793" spans="1:29" ht="32.25" hidden="1" customHeight="1">
      <c r="A4793" s="17"/>
      <c r="B4793" s="9" t="s">
        <v>13284</v>
      </c>
      <c r="C4793" s="9" t="s">
        <v>13284</v>
      </c>
      <c r="D4793" s="9" t="s">
        <v>13284</v>
      </c>
      <c r="E4793" s="9" t="s">
        <v>13284</v>
      </c>
      <c r="F4793" s="9" t="s">
        <v>13284</v>
      </c>
      <c r="G4793" s="9" t="s">
        <v>13284</v>
      </c>
      <c r="H4793" s="9" t="s">
        <v>13284</v>
      </c>
      <c r="I4793" s="9" t="s">
        <v>13284</v>
      </c>
      <c r="J4793" s="9" t="s">
        <v>13284</v>
      </c>
      <c r="K4793" s="9" t="s">
        <v>13284</v>
      </c>
      <c r="L4793" s="9" t="s">
        <v>13284</v>
      </c>
      <c r="M4793" s="9" t="s">
        <v>13284</v>
      </c>
      <c r="N4793" s="9" t="s">
        <v>13284</v>
      </c>
      <c r="O4793" s="9" t="s">
        <v>13284</v>
      </c>
      <c r="P4793" s="9" t="s">
        <v>13284</v>
      </c>
      <c r="Q4793" s="9" t="s">
        <v>13284</v>
      </c>
      <c r="R4793" s="9" t="s">
        <v>13284</v>
      </c>
      <c r="S4793" s="9" t="s">
        <v>13284</v>
      </c>
      <c r="T4793" s="9" t="str">
        <f ca="1">IFERROR(IF(AND(VLOOKUP(A4793, 'Актуальное состояние (из общего'!A:C,3,0) = "", A4793 &lt;&gt; ""), "ПРОВЕРИТЬ", VLOOKUP(A4793, 'Актуальное состояние (из общего'!A:C,3,0)), "")</f>
        <v/>
      </c>
      <c r="U4793" s="9" t="s">
        <v>13284</v>
      </c>
      <c r="V4793" s="9" t="s">
        <v>13284</v>
      </c>
      <c r="W4793" s="12"/>
      <c r="X4793" s="9" t="str">
        <f t="array" ref="X4793">IFERROR(INDEX('Адреса общежитий (скрытый)'!$B$2:$B$9, MATCH(W4793, 'Адреса общежитий (скрытый)'!$A$2:$A$9, 0)), "")</f>
        <v/>
      </c>
      <c r="Y4793" s="18"/>
      <c r="Z4793" s="18"/>
      <c r="AA4793" s="18"/>
      <c r="AB4793" s="18"/>
      <c r="AC4793" s="18"/>
    </row>
    <row r="4794" spans="1:29" ht="32.25" hidden="1" customHeight="1">
      <c r="A4794" s="17"/>
      <c r="B4794" s="9" t="s">
        <v>13284</v>
      </c>
      <c r="C4794" s="9" t="s">
        <v>13284</v>
      </c>
      <c r="D4794" s="9" t="s">
        <v>13284</v>
      </c>
      <c r="E4794" s="9" t="s">
        <v>13284</v>
      </c>
      <c r="F4794" s="9" t="s">
        <v>13284</v>
      </c>
      <c r="G4794" s="9" t="s">
        <v>13284</v>
      </c>
      <c r="H4794" s="9" t="s">
        <v>13284</v>
      </c>
      <c r="I4794" s="9" t="s">
        <v>13284</v>
      </c>
      <c r="J4794" s="9" t="s">
        <v>13284</v>
      </c>
      <c r="K4794" s="9" t="s">
        <v>13284</v>
      </c>
      <c r="L4794" s="9" t="s">
        <v>13284</v>
      </c>
      <c r="M4794" s="9" t="s">
        <v>13284</v>
      </c>
      <c r="N4794" s="9" t="s">
        <v>13284</v>
      </c>
      <c r="O4794" s="9" t="s">
        <v>13284</v>
      </c>
      <c r="P4794" s="9" t="s">
        <v>13284</v>
      </c>
      <c r="Q4794" s="9" t="s">
        <v>13284</v>
      </c>
      <c r="R4794" s="9" t="s">
        <v>13284</v>
      </c>
      <c r="S4794" s="9" t="s">
        <v>13284</v>
      </c>
      <c r="T4794" s="9" t="str">
        <f ca="1">IFERROR(IF(AND(VLOOKUP(A4794, 'Актуальное состояние (из общего'!A:C,3,0) = "", A4794 &lt;&gt; ""), "ПРОВЕРИТЬ", VLOOKUP(A4794, 'Актуальное состояние (из общего'!A:C,3,0)), "")</f>
        <v/>
      </c>
      <c r="U4794" s="9" t="s">
        <v>13284</v>
      </c>
      <c r="V4794" s="9" t="s">
        <v>13284</v>
      </c>
      <c r="W4794" s="12"/>
      <c r="X4794" s="9" t="str">
        <f t="array" ref="X4794">IFERROR(INDEX('Адреса общежитий (скрытый)'!$B$2:$B$9, MATCH(W4794, 'Адреса общежитий (скрытый)'!$A$2:$A$9, 0)), "")</f>
        <v/>
      </c>
      <c r="Y4794" s="18"/>
      <c r="Z4794" s="18"/>
      <c r="AA4794" s="18"/>
      <c r="AB4794" s="18"/>
      <c r="AC4794" s="18"/>
    </row>
    <row r="4795" spans="1:29" ht="32.25" hidden="1" customHeight="1">
      <c r="A4795" s="17"/>
      <c r="B4795" s="9" t="s">
        <v>13284</v>
      </c>
      <c r="C4795" s="9" t="s">
        <v>13284</v>
      </c>
      <c r="D4795" s="9" t="s">
        <v>13284</v>
      </c>
      <c r="E4795" s="9" t="s">
        <v>13284</v>
      </c>
      <c r="F4795" s="9" t="s">
        <v>13284</v>
      </c>
      <c r="G4795" s="9" t="s">
        <v>13284</v>
      </c>
      <c r="H4795" s="9" t="s">
        <v>13284</v>
      </c>
      <c r="I4795" s="9" t="s">
        <v>13284</v>
      </c>
      <c r="J4795" s="9" t="s">
        <v>13284</v>
      </c>
      <c r="K4795" s="9" t="s">
        <v>13284</v>
      </c>
      <c r="L4795" s="9" t="s">
        <v>13284</v>
      </c>
      <c r="M4795" s="9" t="s">
        <v>13284</v>
      </c>
      <c r="N4795" s="9" t="s">
        <v>13284</v>
      </c>
      <c r="O4795" s="9" t="s">
        <v>13284</v>
      </c>
      <c r="P4795" s="9" t="s">
        <v>13284</v>
      </c>
      <c r="Q4795" s="9" t="s">
        <v>13284</v>
      </c>
      <c r="R4795" s="9" t="s">
        <v>13284</v>
      </c>
      <c r="S4795" s="9" t="s">
        <v>13284</v>
      </c>
      <c r="T4795" s="9" t="str">
        <f ca="1">IFERROR(IF(AND(VLOOKUP(A4795, 'Актуальное состояние (из общего'!A:C,3,0) = "", A4795 &lt;&gt; ""), "ПРОВЕРИТЬ", VLOOKUP(A4795, 'Актуальное состояние (из общего'!A:C,3,0)), "")</f>
        <v/>
      </c>
      <c r="U4795" s="9" t="s">
        <v>13284</v>
      </c>
      <c r="V4795" s="9" t="s">
        <v>13284</v>
      </c>
      <c r="W4795" s="12"/>
      <c r="X4795" s="9" t="str">
        <f t="array" ref="X4795">IFERROR(INDEX('Адреса общежитий (скрытый)'!$B$2:$B$9, MATCH(W4795, 'Адреса общежитий (скрытый)'!$A$2:$A$9, 0)), "")</f>
        <v/>
      </c>
      <c r="Y4795" s="18"/>
      <c r="Z4795" s="18"/>
      <c r="AA4795" s="18"/>
      <c r="AB4795" s="18"/>
      <c r="AC4795" s="18"/>
    </row>
    <row r="4796" spans="1:29" ht="32.25" hidden="1" customHeight="1">
      <c r="A4796" s="17"/>
      <c r="B4796" s="9" t="s">
        <v>13284</v>
      </c>
      <c r="C4796" s="9" t="s">
        <v>13284</v>
      </c>
      <c r="D4796" s="9" t="s">
        <v>13284</v>
      </c>
      <c r="E4796" s="9" t="s">
        <v>13284</v>
      </c>
      <c r="F4796" s="9" t="s">
        <v>13284</v>
      </c>
      <c r="G4796" s="9" t="s">
        <v>13284</v>
      </c>
      <c r="H4796" s="9" t="s">
        <v>13284</v>
      </c>
      <c r="I4796" s="9" t="s">
        <v>13284</v>
      </c>
      <c r="J4796" s="9" t="s">
        <v>13284</v>
      </c>
      <c r="K4796" s="9" t="s">
        <v>13284</v>
      </c>
      <c r="L4796" s="9" t="s">
        <v>13284</v>
      </c>
      <c r="M4796" s="9" t="s">
        <v>13284</v>
      </c>
      <c r="N4796" s="9" t="s">
        <v>13284</v>
      </c>
      <c r="O4796" s="9" t="s">
        <v>13284</v>
      </c>
      <c r="P4796" s="9" t="s">
        <v>13284</v>
      </c>
      <c r="Q4796" s="9" t="s">
        <v>13284</v>
      </c>
      <c r="R4796" s="9" t="s">
        <v>13284</v>
      </c>
      <c r="S4796" s="9" t="s">
        <v>13284</v>
      </c>
      <c r="T4796" s="9" t="str">
        <f ca="1">IFERROR(IF(AND(VLOOKUP(A4796, 'Актуальное состояние (из общего'!A:C,3,0) = "", A4796 &lt;&gt; ""), "ПРОВЕРИТЬ", VLOOKUP(A4796, 'Актуальное состояние (из общего'!A:C,3,0)), "")</f>
        <v/>
      </c>
      <c r="U4796" s="9" t="s">
        <v>13284</v>
      </c>
      <c r="V4796" s="9" t="s">
        <v>13284</v>
      </c>
      <c r="W4796" s="12"/>
      <c r="X4796" s="9" t="str">
        <f t="array" ref="X4796">IFERROR(INDEX('Адреса общежитий (скрытый)'!$B$2:$B$9, MATCH(W4796, 'Адреса общежитий (скрытый)'!$A$2:$A$9, 0)), "")</f>
        <v/>
      </c>
      <c r="Y4796" s="18"/>
      <c r="Z4796" s="18"/>
      <c r="AA4796" s="18"/>
      <c r="AB4796" s="18"/>
      <c r="AC4796" s="18"/>
    </row>
    <row r="4797" spans="1:29" ht="32.25" hidden="1" customHeight="1">
      <c r="A4797" s="17"/>
      <c r="B4797" s="9" t="s">
        <v>13284</v>
      </c>
      <c r="C4797" s="9" t="s">
        <v>13284</v>
      </c>
      <c r="D4797" s="9" t="s">
        <v>13284</v>
      </c>
      <c r="E4797" s="9" t="s">
        <v>13284</v>
      </c>
      <c r="F4797" s="9" t="s">
        <v>13284</v>
      </c>
      <c r="G4797" s="9" t="s">
        <v>13284</v>
      </c>
      <c r="H4797" s="9" t="s">
        <v>13284</v>
      </c>
      <c r="I4797" s="9" t="s">
        <v>13284</v>
      </c>
      <c r="J4797" s="9" t="s">
        <v>13284</v>
      </c>
      <c r="K4797" s="9" t="s">
        <v>13284</v>
      </c>
      <c r="L4797" s="9" t="s">
        <v>13284</v>
      </c>
      <c r="M4797" s="9" t="s">
        <v>13284</v>
      </c>
      <c r="N4797" s="9" t="s">
        <v>13284</v>
      </c>
      <c r="O4797" s="9" t="s">
        <v>13284</v>
      </c>
      <c r="P4797" s="9" t="s">
        <v>13284</v>
      </c>
      <c r="Q4797" s="9" t="s">
        <v>13284</v>
      </c>
      <c r="R4797" s="9" t="s">
        <v>13284</v>
      </c>
      <c r="S4797" s="9" t="s">
        <v>13284</v>
      </c>
      <c r="T4797" s="9" t="str">
        <f ca="1">IFERROR(IF(AND(VLOOKUP(A4797, 'Актуальное состояние (из общего'!A:C,3,0) = "", A4797 &lt;&gt; ""), "ПРОВЕРИТЬ", VLOOKUP(A4797, 'Актуальное состояние (из общего'!A:C,3,0)), "")</f>
        <v/>
      </c>
      <c r="U4797" s="9" t="s">
        <v>13284</v>
      </c>
      <c r="V4797" s="9" t="s">
        <v>13284</v>
      </c>
      <c r="W4797" s="12"/>
      <c r="X4797" s="9" t="str">
        <f t="array" ref="X4797">IFERROR(INDEX('Адреса общежитий (скрытый)'!$B$2:$B$9, MATCH(W4797, 'Адреса общежитий (скрытый)'!$A$2:$A$9, 0)), "")</f>
        <v/>
      </c>
      <c r="Y4797" s="18"/>
      <c r="Z4797" s="18"/>
      <c r="AA4797" s="18"/>
      <c r="AB4797" s="18"/>
      <c r="AC4797" s="18"/>
    </row>
    <row r="4798" spans="1:29" ht="32.25" hidden="1" customHeight="1">
      <c r="A4798" s="17"/>
      <c r="B4798" s="9" t="s">
        <v>13284</v>
      </c>
      <c r="C4798" s="9" t="s">
        <v>13284</v>
      </c>
      <c r="D4798" s="9" t="s">
        <v>13284</v>
      </c>
      <c r="E4798" s="9" t="s">
        <v>13284</v>
      </c>
      <c r="F4798" s="9" t="s">
        <v>13284</v>
      </c>
      <c r="G4798" s="9" t="s">
        <v>13284</v>
      </c>
      <c r="H4798" s="9" t="s">
        <v>13284</v>
      </c>
      <c r="I4798" s="9" t="s">
        <v>13284</v>
      </c>
      <c r="J4798" s="9" t="s">
        <v>13284</v>
      </c>
      <c r="K4798" s="9" t="s">
        <v>13284</v>
      </c>
      <c r="L4798" s="9" t="s">
        <v>13284</v>
      </c>
      <c r="M4798" s="9" t="s">
        <v>13284</v>
      </c>
      <c r="N4798" s="9" t="s">
        <v>13284</v>
      </c>
      <c r="O4798" s="9" t="s">
        <v>13284</v>
      </c>
      <c r="P4798" s="9" t="s">
        <v>13284</v>
      </c>
      <c r="Q4798" s="9" t="s">
        <v>13284</v>
      </c>
      <c r="R4798" s="9" t="s">
        <v>13284</v>
      </c>
      <c r="S4798" s="9" t="s">
        <v>13284</v>
      </c>
      <c r="T4798" s="9" t="str">
        <f ca="1">IFERROR(IF(AND(VLOOKUP(A4798, 'Актуальное состояние (из общего'!A:C,3,0) = "", A4798 &lt;&gt; ""), "ПРОВЕРИТЬ", VLOOKUP(A4798, 'Актуальное состояние (из общего'!A:C,3,0)), "")</f>
        <v/>
      </c>
      <c r="U4798" s="9" t="s">
        <v>13284</v>
      </c>
      <c r="V4798" s="9" t="s">
        <v>13284</v>
      </c>
      <c r="W4798" s="12"/>
      <c r="X4798" s="9" t="str">
        <f t="array" ref="X4798">IFERROR(INDEX('Адреса общежитий (скрытый)'!$B$2:$B$9, MATCH(W4798, 'Адреса общежитий (скрытый)'!$A$2:$A$9, 0)), "")</f>
        <v/>
      </c>
      <c r="Y4798" s="18"/>
      <c r="Z4798" s="18"/>
      <c r="AA4798" s="18"/>
      <c r="AB4798" s="18"/>
      <c r="AC4798" s="18"/>
    </row>
    <row r="4799" spans="1:29" ht="32.25" hidden="1" customHeight="1">
      <c r="A4799" s="17"/>
      <c r="B4799" s="9" t="s">
        <v>13284</v>
      </c>
      <c r="C4799" s="9" t="s">
        <v>13284</v>
      </c>
      <c r="D4799" s="9" t="s">
        <v>13284</v>
      </c>
      <c r="E4799" s="9" t="s">
        <v>13284</v>
      </c>
      <c r="F4799" s="9" t="s">
        <v>13284</v>
      </c>
      <c r="G4799" s="9" t="s">
        <v>13284</v>
      </c>
      <c r="H4799" s="9" t="s">
        <v>13284</v>
      </c>
      <c r="I4799" s="9" t="s">
        <v>13284</v>
      </c>
      <c r="J4799" s="9" t="s">
        <v>13284</v>
      </c>
      <c r="K4799" s="9" t="s">
        <v>13284</v>
      </c>
      <c r="L4799" s="9" t="s">
        <v>13284</v>
      </c>
      <c r="M4799" s="9" t="s">
        <v>13284</v>
      </c>
      <c r="N4799" s="9" t="s">
        <v>13284</v>
      </c>
      <c r="O4799" s="9" t="s">
        <v>13284</v>
      </c>
      <c r="P4799" s="9" t="s">
        <v>13284</v>
      </c>
      <c r="Q4799" s="9" t="s">
        <v>13284</v>
      </c>
      <c r="R4799" s="9" t="s">
        <v>13284</v>
      </c>
      <c r="S4799" s="9" t="s">
        <v>13284</v>
      </c>
      <c r="T4799" s="9" t="str">
        <f ca="1">IFERROR(IF(AND(VLOOKUP(A4799, 'Актуальное состояние (из общего'!A:C,3,0) = "", A4799 &lt;&gt; ""), "ПРОВЕРИТЬ", VLOOKUP(A4799, 'Актуальное состояние (из общего'!A:C,3,0)), "")</f>
        <v/>
      </c>
      <c r="U4799" s="9" t="s">
        <v>13284</v>
      </c>
      <c r="V4799" s="9" t="s">
        <v>13284</v>
      </c>
      <c r="W4799" s="12"/>
      <c r="X4799" s="9" t="str">
        <f t="array" ref="X4799">IFERROR(INDEX('Адреса общежитий (скрытый)'!$B$2:$B$9, MATCH(W4799, 'Адреса общежитий (скрытый)'!$A$2:$A$9, 0)), "")</f>
        <v/>
      </c>
      <c r="Y4799" s="18"/>
      <c r="Z4799" s="18"/>
      <c r="AA4799" s="18"/>
      <c r="AB4799" s="18"/>
      <c r="AC4799" s="18"/>
    </row>
    <row r="4800" spans="1:29" ht="32.25" hidden="1" customHeight="1">
      <c r="A4800" s="17"/>
      <c r="B4800" s="9" t="s">
        <v>13284</v>
      </c>
      <c r="C4800" s="9" t="s">
        <v>13284</v>
      </c>
      <c r="D4800" s="9" t="s">
        <v>13284</v>
      </c>
      <c r="E4800" s="9" t="s">
        <v>13284</v>
      </c>
      <c r="F4800" s="9" t="s">
        <v>13284</v>
      </c>
      <c r="G4800" s="9" t="s">
        <v>13284</v>
      </c>
      <c r="H4800" s="9" t="s">
        <v>13284</v>
      </c>
      <c r="I4800" s="9" t="s">
        <v>13284</v>
      </c>
      <c r="J4800" s="9" t="s">
        <v>13284</v>
      </c>
      <c r="K4800" s="9" t="s">
        <v>13284</v>
      </c>
      <c r="L4800" s="9" t="s">
        <v>13284</v>
      </c>
      <c r="M4800" s="9" t="s">
        <v>13284</v>
      </c>
      <c r="N4800" s="9" t="s">
        <v>13284</v>
      </c>
      <c r="O4800" s="9" t="s">
        <v>13284</v>
      </c>
      <c r="P4800" s="9" t="s">
        <v>13284</v>
      </c>
      <c r="Q4800" s="9" t="s">
        <v>13284</v>
      </c>
      <c r="R4800" s="9" t="s">
        <v>13284</v>
      </c>
      <c r="S4800" s="9" t="s">
        <v>13284</v>
      </c>
      <c r="T4800" s="9" t="str">
        <f ca="1">IFERROR(IF(AND(VLOOKUP(A4800, 'Актуальное состояние (из общего'!A:C,3,0) = "", A4800 &lt;&gt; ""), "ПРОВЕРИТЬ", VLOOKUP(A4800, 'Актуальное состояние (из общего'!A:C,3,0)), "")</f>
        <v/>
      </c>
      <c r="U4800" s="9" t="s">
        <v>13284</v>
      </c>
      <c r="V4800" s="9" t="s">
        <v>13284</v>
      </c>
      <c r="W4800" s="12"/>
      <c r="X4800" s="9" t="str">
        <f t="array" ref="X4800">IFERROR(INDEX('Адреса общежитий (скрытый)'!$B$2:$B$9, MATCH(W4800, 'Адреса общежитий (скрытый)'!$A$2:$A$9, 0)), "")</f>
        <v/>
      </c>
      <c r="Y4800" s="18"/>
      <c r="Z4800" s="18"/>
      <c r="AA4800" s="18"/>
      <c r="AB4800" s="18"/>
      <c r="AC4800" s="18"/>
    </row>
    <row r="4801" spans="1:29" ht="32.25" hidden="1" customHeight="1">
      <c r="A4801" s="17"/>
      <c r="B4801" s="9" t="s">
        <v>13284</v>
      </c>
      <c r="C4801" s="9" t="s">
        <v>13284</v>
      </c>
      <c r="D4801" s="9" t="s">
        <v>13284</v>
      </c>
      <c r="E4801" s="9" t="s">
        <v>13284</v>
      </c>
      <c r="F4801" s="9" t="s">
        <v>13284</v>
      </c>
      <c r="G4801" s="9" t="s">
        <v>13284</v>
      </c>
      <c r="H4801" s="9" t="s">
        <v>13284</v>
      </c>
      <c r="I4801" s="9" t="s">
        <v>13284</v>
      </c>
      <c r="J4801" s="9" t="s">
        <v>13284</v>
      </c>
      <c r="K4801" s="9" t="s">
        <v>13284</v>
      </c>
      <c r="L4801" s="9" t="s">
        <v>13284</v>
      </c>
      <c r="M4801" s="9" t="s">
        <v>13284</v>
      </c>
      <c r="N4801" s="9" t="s">
        <v>13284</v>
      </c>
      <c r="O4801" s="9" t="s">
        <v>13284</v>
      </c>
      <c r="P4801" s="9" t="s">
        <v>13284</v>
      </c>
      <c r="Q4801" s="9" t="s">
        <v>13284</v>
      </c>
      <c r="R4801" s="9" t="s">
        <v>13284</v>
      </c>
      <c r="S4801" s="9" t="s">
        <v>13284</v>
      </c>
      <c r="T4801" s="9" t="str">
        <f ca="1">IFERROR(IF(AND(VLOOKUP(A4801, 'Актуальное состояние (из общего'!A:C,3,0) = "", A4801 &lt;&gt; ""), "ПРОВЕРИТЬ", VLOOKUP(A4801, 'Актуальное состояние (из общего'!A:C,3,0)), "")</f>
        <v/>
      </c>
      <c r="U4801" s="9" t="s">
        <v>13284</v>
      </c>
      <c r="V4801" s="9" t="s">
        <v>13284</v>
      </c>
      <c r="W4801" s="12"/>
      <c r="X4801" s="9" t="str">
        <f t="array" ref="X4801">IFERROR(INDEX('Адреса общежитий (скрытый)'!$B$2:$B$9, MATCH(W4801, 'Адреса общежитий (скрытый)'!$A$2:$A$9, 0)), "")</f>
        <v/>
      </c>
      <c r="Y4801" s="18"/>
      <c r="Z4801" s="18"/>
      <c r="AA4801" s="18"/>
      <c r="AB4801" s="18"/>
      <c r="AC4801" s="18"/>
    </row>
    <row r="4802" spans="1:29" ht="32.25" hidden="1" customHeight="1">
      <c r="A4802" s="17"/>
      <c r="B4802" s="9" t="s">
        <v>13284</v>
      </c>
      <c r="C4802" s="9" t="s">
        <v>13284</v>
      </c>
      <c r="D4802" s="9" t="s">
        <v>13284</v>
      </c>
      <c r="E4802" s="9" t="s">
        <v>13284</v>
      </c>
      <c r="F4802" s="9" t="s">
        <v>13284</v>
      </c>
      <c r="G4802" s="9" t="s">
        <v>13284</v>
      </c>
      <c r="H4802" s="9" t="s">
        <v>13284</v>
      </c>
      <c r="I4802" s="9" t="s">
        <v>13284</v>
      </c>
      <c r="J4802" s="9" t="s">
        <v>13284</v>
      </c>
      <c r="K4802" s="9" t="s">
        <v>13284</v>
      </c>
      <c r="L4802" s="9" t="s">
        <v>13284</v>
      </c>
      <c r="M4802" s="9" t="s">
        <v>13284</v>
      </c>
      <c r="N4802" s="9" t="s">
        <v>13284</v>
      </c>
      <c r="O4802" s="9" t="s">
        <v>13284</v>
      </c>
      <c r="P4802" s="9" t="s">
        <v>13284</v>
      </c>
      <c r="Q4802" s="9" t="s">
        <v>13284</v>
      </c>
      <c r="R4802" s="9" t="s">
        <v>13284</v>
      </c>
      <c r="S4802" s="9" t="s">
        <v>13284</v>
      </c>
      <c r="T4802" s="9" t="str">
        <f ca="1">IFERROR(IF(AND(VLOOKUP(A4802, 'Актуальное состояние (из общего'!A:C,3,0) = "", A4802 &lt;&gt; ""), "ПРОВЕРИТЬ", VLOOKUP(A4802, 'Актуальное состояние (из общего'!A:C,3,0)), "")</f>
        <v/>
      </c>
      <c r="U4802" s="9" t="s">
        <v>13284</v>
      </c>
      <c r="V4802" s="9" t="s">
        <v>13284</v>
      </c>
      <c r="W4802" s="12"/>
      <c r="X4802" s="9" t="str">
        <f t="array" ref="X4802">IFERROR(INDEX('Адреса общежитий (скрытый)'!$B$2:$B$9, MATCH(W4802, 'Адреса общежитий (скрытый)'!$A$2:$A$9, 0)), "")</f>
        <v/>
      </c>
      <c r="Y4802" s="18"/>
      <c r="Z4802" s="18"/>
      <c r="AA4802" s="18"/>
      <c r="AB4802" s="18"/>
      <c r="AC4802" s="18"/>
    </row>
    <row r="4803" spans="1:29" ht="32.25" hidden="1" customHeight="1">
      <c r="A4803" s="17"/>
      <c r="B4803" s="9" t="s">
        <v>13284</v>
      </c>
      <c r="C4803" s="9" t="s">
        <v>13284</v>
      </c>
      <c r="D4803" s="9" t="s">
        <v>13284</v>
      </c>
      <c r="E4803" s="9" t="s">
        <v>13284</v>
      </c>
      <c r="F4803" s="9" t="s">
        <v>13284</v>
      </c>
      <c r="G4803" s="9" t="s">
        <v>13284</v>
      </c>
      <c r="H4803" s="9" t="s">
        <v>13284</v>
      </c>
      <c r="I4803" s="9" t="s">
        <v>13284</v>
      </c>
      <c r="J4803" s="9" t="s">
        <v>13284</v>
      </c>
      <c r="K4803" s="9" t="s">
        <v>13284</v>
      </c>
      <c r="L4803" s="9" t="s">
        <v>13284</v>
      </c>
      <c r="M4803" s="9" t="s">
        <v>13284</v>
      </c>
      <c r="N4803" s="9" t="s">
        <v>13284</v>
      </c>
      <c r="O4803" s="9" t="s">
        <v>13284</v>
      </c>
      <c r="P4803" s="9" t="s">
        <v>13284</v>
      </c>
      <c r="Q4803" s="9" t="s">
        <v>13284</v>
      </c>
      <c r="R4803" s="9" t="s">
        <v>13284</v>
      </c>
      <c r="S4803" s="9" t="s">
        <v>13284</v>
      </c>
      <c r="T4803" s="9" t="str">
        <f ca="1">IFERROR(IF(AND(VLOOKUP(A4803, 'Актуальное состояние (из общего'!A:C,3,0) = "", A4803 &lt;&gt; ""), "ПРОВЕРИТЬ", VLOOKUP(A4803, 'Актуальное состояние (из общего'!A:C,3,0)), "")</f>
        <v/>
      </c>
      <c r="U4803" s="9" t="s">
        <v>13284</v>
      </c>
      <c r="V4803" s="9" t="s">
        <v>13284</v>
      </c>
      <c r="W4803" s="12"/>
      <c r="X4803" s="9" t="str">
        <f t="array" ref="X4803">IFERROR(INDEX('Адреса общежитий (скрытый)'!$B$2:$B$9, MATCH(W4803, 'Адреса общежитий (скрытый)'!$A$2:$A$9, 0)), "")</f>
        <v/>
      </c>
      <c r="Y4803" s="18"/>
      <c r="Z4803" s="18"/>
      <c r="AA4803" s="18"/>
      <c r="AB4803" s="18"/>
      <c r="AC4803" s="18"/>
    </row>
    <row r="4804" spans="1:29" ht="32.25" hidden="1" customHeight="1">
      <c r="A4804" s="17"/>
      <c r="B4804" s="9" t="s">
        <v>13284</v>
      </c>
      <c r="C4804" s="9" t="s">
        <v>13284</v>
      </c>
      <c r="D4804" s="9" t="s">
        <v>13284</v>
      </c>
      <c r="E4804" s="9" t="s">
        <v>13284</v>
      </c>
      <c r="F4804" s="9" t="s">
        <v>13284</v>
      </c>
      <c r="G4804" s="9" t="s">
        <v>13284</v>
      </c>
      <c r="H4804" s="9" t="s">
        <v>13284</v>
      </c>
      <c r="I4804" s="9" t="s">
        <v>13284</v>
      </c>
      <c r="J4804" s="9" t="s">
        <v>13284</v>
      </c>
      <c r="K4804" s="9" t="s">
        <v>13284</v>
      </c>
      <c r="L4804" s="9" t="s">
        <v>13284</v>
      </c>
      <c r="M4804" s="9" t="s">
        <v>13284</v>
      </c>
      <c r="N4804" s="9" t="s">
        <v>13284</v>
      </c>
      <c r="O4804" s="9" t="s">
        <v>13284</v>
      </c>
      <c r="P4804" s="9" t="s">
        <v>13284</v>
      </c>
      <c r="Q4804" s="9" t="s">
        <v>13284</v>
      </c>
      <c r="R4804" s="9" t="s">
        <v>13284</v>
      </c>
      <c r="S4804" s="9" t="s">
        <v>13284</v>
      </c>
      <c r="T4804" s="9" t="str">
        <f ca="1">IFERROR(IF(AND(VLOOKUP(A4804, 'Актуальное состояние (из общего'!A:C,3,0) = "", A4804 &lt;&gt; ""), "ПРОВЕРИТЬ", VLOOKUP(A4804, 'Актуальное состояние (из общего'!A:C,3,0)), "")</f>
        <v/>
      </c>
      <c r="U4804" s="9" t="s">
        <v>13284</v>
      </c>
      <c r="V4804" s="9" t="s">
        <v>13284</v>
      </c>
      <c r="W4804" s="12"/>
      <c r="X4804" s="9" t="str">
        <f t="array" ref="X4804">IFERROR(INDEX('Адреса общежитий (скрытый)'!$B$2:$B$9, MATCH(W4804, 'Адреса общежитий (скрытый)'!$A$2:$A$9, 0)), "")</f>
        <v/>
      </c>
      <c r="Y4804" s="18"/>
      <c r="Z4804" s="18"/>
      <c r="AA4804" s="18"/>
      <c r="AB4804" s="18"/>
      <c r="AC4804" s="18"/>
    </row>
    <row r="4805" spans="1:29" ht="32.25" hidden="1" customHeight="1">
      <c r="A4805" s="17"/>
      <c r="B4805" s="9" t="s">
        <v>13284</v>
      </c>
      <c r="C4805" s="9" t="s">
        <v>13284</v>
      </c>
      <c r="D4805" s="9" t="s">
        <v>13284</v>
      </c>
      <c r="E4805" s="9" t="s">
        <v>13284</v>
      </c>
      <c r="F4805" s="9" t="s">
        <v>13284</v>
      </c>
      <c r="G4805" s="9" t="s">
        <v>13284</v>
      </c>
      <c r="H4805" s="9" t="s">
        <v>13284</v>
      </c>
      <c r="I4805" s="9" t="s">
        <v>13284</v>
      </c>
      <c r="J4805" s="9" t="s">
        <v>13284</v>
      </c>
      <c r="K4805" s="9" t="s">
        <v>13284</v>
      </c>
      <c r="L4805" s="9" t="s">
        <v>13284</v>
      </c>
      <c r="M4805" s="9" t="s">
        <v>13284</v>
      </c>
      <c r="N4805" s="9" t="s">
        <v>13284</v>
      </c>
      <c r="O4805" s="9" t="s">
        <v>13284</v>
      </c>
      <c r="P4805" s="9" t="s">
        <v>13284</v>
      </c>
      <c r="Q4805" s="9" t="s">
        <v>13284</v>
      </c>
      <c r="R4805" s="9" t="s">
        <v>13284</v>
      </c>
      <c r="S4805" s="9" t="s">
        <v>13284</v>
      </c>
      <c r="T4805" s="9" t="str">
        <f ca="1">IFERROR(IF(AND(VLOOKUP(A4805, 'Актуальное состояние (из общего'!A:C,3,0) = "", A4805 &lt;&gt; ""), "ПРОВЕРИТЬ", VLOOKUP(A4805, 'Актуальное состояние (из общего'!A:C,3,0)), "")</f>
        <v/>
      </c>
      <c r="U4805" s="9" t="s">
        <v>13284</v>
      </c>
      <c r="V4805" s="9" t="s">
        <v>13284</v>
      </c>
      <c r="W4805" s="12"/>
      <c r="X4805" s="9" t="str">
        <f t="array" ref="X4805">IFERROR(INDEX('Адреса общежитий (скрытый)'!$B$2:$B$9, MATCH(W4805, 'Адреса общежитий (скрытый)'!$A$2:$A$9, 0)), "")</f>
        <v/>
      </c>
      <c r="Y4805" s="18"/>
      <c r="Z4805" s="18"/>
      <c r="AA4805" s="18"/>
      <c r="AB4805" s="18"/>
      <c r="AC4805" s="18"/>
    </row>
    <row r="4806" spans="1:29" ht="32.25" hidden="1" customHeight="1">
      <c r="A4806" s="17"/>
      <c r="B4806" s="9" t="s">
        <v>13284</v>
      </c>
      <c r="C4806" s="9" t="s">
        <v>13284</v>
      </c>
      <c r="D4806" s="9" t="s">
        <v>13284</v>
      </c>
      <c r="E4806" s="9" t="s">
        <v>13284</v>
      </c>
      <c r="F4806" s="9" t="s">
        <v>13284</v>
      </c>
      <c r="G4806" s="9" t="s">
        <v>13284</v>
      </c>
      <c r="H4806" s="9" t="s">
        <v>13284</v>
      </c>
      <c r="I4806" s="9" t="s">
        <v>13284</v>
      </c>
      <c r="J4806" s="9" t="s">
        <v>13284</v>
      </c>
      <c r="K4806" s="9" t="s">
        <v>13284</v>
      </c>
      <c r="L4806" s="9" t="s">
        <v>13284</v>
      </c>
      <c r="M4806" s="9" t="s">
        <v>13284</v>
      </c>
      <c r="N4806" s="9" t="s">
        <v>13284</v>
      </c>
      <c r="O4806" s="9" t="s">
        <v>13284</v>
      </c>
      <c r="P4806" s="9" t="s">
        <v>13284</v>
      </c>
      <c r="Q4806" s="9" t="s">
        <v>13284</v>
      </c>
      <c r="R4806" s="9" t="s">
        <v>13284</v>
      </c>
      <c r="S4806" s="9" t="s">
        <v>13284</v>
      </c>
      <c r="T4806" s="9" t="str">
        <f ca="1">IFERROR(IF(AND(VLOOKUP(A4806, 'Актуальное состояние (из общего'!A:C,3,0) = "", A4806 &lt;&gt; ""), "ПРОВЕРИТЬ", VLOOKUP(A4806, 'Актуальное состояние (из общего'!A:C,3,0)), "")</f>
        <v/>
      </c>
      <c r="U4806" s="9" t="s">
        <v>13284</v>
      </c>
      <c r="V4806" s="9" t="s">
        <v>13284</v>
      </c>
      <c r="W4806" s="12"/>
      <c r="X4806" s="9" t="str">
        <f t="array" ref="X4806">IFERROR(INDEX('Адреса общежитий (скрытый)'!$B$2:$B$9, MATCH(W4806, 'Адреса общежитий (скрытый)'!$A$2:$A$9, 0)), "")</f>
        <v/>
      </c>
      <c r="Y4806" s="18"/>
      <c r="Z4806" s="18"/>
      <c r="AA4806" s="18"/>
      <c r="AB4806" s="18"/>
      <c r="AC4806" s="18"/>
    </row>
    <row r="4807" spans="1:29" ht="32.25" hidden="1" customHeight="1">
      <c r="A4807" s="17"/>
      <c r="B4807" s="9" t="s">
        <v>13284</v>
      </c>
      <c r="C4807" s="9" t="s">
        <v>13284</v>
      </c>
      <c r="D4807" s="9" t="s">
        <v>13284</v>
      </c>
      <c r="E4807" s="9" t="s">
        <v>13284</v>
      </c>
      <c r="F4807" s="9" t="s">
        <v>13284</v>
      </c>
      <c r="G4807" s="9" t="s">
        <v>13284</v>
      </c>
      <c r="H4807" s="9" t="s">
        <v>13284</v>
      </c>
      <c r="I4807" s="9" t="s">
        <v>13284</v>
      </c>
      <c r="J4807" s="9" t="s">
        <v>13284</v>
      </c>
      <c r="K4807" s="9" t="s">
        <v>13284</v>
      </c>
      <c r="L4807" s="9" t="s">
        <v>13284</v>
      </c>
      <c r="M4807" s="9" t="s">
        <v>13284</v>
      </c>
      <c r="N4807" s="9" t="s">
        <v>13284</v>
      </c>
      <c r="O4807" s="9" t="s">
        <v>13284</v>
      </c>
      <c r="P4807" s="9" t="s">
        <v>13284</v>
      </c>
      <c r="Q4807" s="9" t="s">
        <v>13284</v>
      </c>
      <c r="R4807" s="9" t="s">
        <v>13284</v>
      </c>
      <c r="S4807" s="9" t="s">
        <v>13284</v>
      </c>
      <c r="T4807" s="9" t="str">
        <f ca="1">IFERROR(IF(AND(VLOOKUP(A4807, 'Актуальное состояние (из общего'!A:C,3,0) = "", A4807 &lt;&gt; ""), "ПРОВЕРИТЬ", VLOOKUP(A4807, 'Актуальное состояние (из общего'!A:C,3,0)), "")</f>
        <v/>
      </c>
      <c r="U4807" s="9" t="s">
        <v>13284</v>
      </c>
      <c r="V4807" s="9" t="s">
        <v>13284</v>
      </c>
      <c r="W4807" s="12"/>
      <c r="X4807" s="9" t="str">
        <f t="array" ref="X4807">IFERROR(INDEX('Адреса общежитий (скрытый)'!$B$2:$B$9, MATCH(W4807, 'Адреса общежитий (скрытый)'!$A$2:$A$9, 0)), "")</f>
        <v/>
      </c>
      <c r="Y4807" s="18"/>
      <c r="Z4807" s="18"/>
      <c r="AA4807" s="18"/>
      <c r="AB4807" s="18"/>
      <c r="AC4807" s="18"/>
    </row>
    <row r="4808" spans="1:29" ht="32.25" hidden="1" customHeight="1">
      <c r="A4808" s="17"/>
      <c r="B4808" s="9" t="s">
        <v>13284</v>
      </c>
      <c r="C4808" s="9" t="s">
        <v>13284</v>
      </c>
      <c r="D4808" s="9" t="s">
        <v>13284</v>
      </c>
      <c r="E4808" s="9" t="s">
        <v>13284</v>
      </c>
      <c r="F4808" s="9" t="s">
        <v>13284</v>
      </c>
      <c r="G4808" s="9" t="s">
        <v>13284</v>
      </c>
      <c r="H4808" s="9" t="s">
        <v>13284</v>
      </c>
      <c r="I4808" s="9" t="s">
        <v>13284</v>
      </c>
      <c r="J4808" s="9" t="s">
        <v>13284</v>
      </c>
      <c r="K4808" s="9" t="s">
        <v>13284</v>
      </c>
      <c r="L4808" s="9" t="s">
        <v>13284</v>
      </c>
      <c r="M4808" s="9" t="s">
        <v>13284</v>
      </c>
      <c r="N4808" s="9" t="s">
        <v>13284</v>
      </c>
      <c r="O4808" s="9" t="s">
        <v>13284</v>
      </c>
      <c r="P4808" s="9" t="s">
        <v>13284</v>
      </c>
      <c r="Q4808" s="9" t="s">
        <v>13284</v>
      </c>
      <c r="R4808" s="9" t="s">
        <v>13284</v>
      </c>
      <c r="S4808" s="9" t="s">
        <v>13284</v>
      </c>
      <c r="T4808" s="9" t="str">
        <f ca="1">IFERROR(IF(AND(VLOOKUP(A4808, 'Актуальное состояние (из общего'!A:C,3,0) = "", A4808 &lt;&gt; ""), "ПРОВЕРИТЬ", VLOOKUP(A4808, 'Актуальное состояние (из общего'!A:C,3,0)), "")</f>
        <v/>
      </c>
      <c r="U4808" s="9" t="s">
        <v>13284</v>
      </c>
      <c r="V4808" s="9" t="s">
        <v>13284</v>
      </c>
      <c r="W4808" s="12"/>
      <c r="X4808" s="9" t="str">
        <f t="array" ref="X4808">IFERROR(INDEX('Адреса общежитий (скрытый)'!$B$2:$B$9, MATCH(W4808, 'Адреса общежитий (скрытый)'!$A$2:$A$9, 0)), "")</f>
        <v/>
      </c>
      <c r="Y4808" s="18"/>
      <c r="Z4808" s="18"/>
      <c r="AA4808" s="18"/>
      <c r="AB4808" s="18"/>
      <c r="AC4808" s="18"/>
    </row>
    <row r="4809" spans="1:29" ht="32.25" hidden="1" customHeight="1">
      <c r="A4809" s="17"/>
      <c r="B4809" s="9" t="s">
        <v>13284</v>
      </c>
      <c r="C4809" s="9" t="s">
        <v>13284</v>
      </c>
      <c r="D4809" s="9" t="s">
        <v>13284</v>
      </c>
      <c r="E4809" s="9" t="s">
        <v>13284</v>
      </c>
      <c r="F4809" s="9" t="s">
        <v>13284</v>
      </c>
      <c r="G4809" s="9" t="s">
        <v>13284</v>
      </c>
      <c r="H4809" s="9" t="s">
        <v>13284</v>
      </c>
      <c r="I4809" s="9" t="s">
        <v>13284</v>
      </c>
      <c r="J4809" s="9" t="s">
        <v>13284</v>
      </c>
      <c r="K4809" s="9" t="s">
        <v>13284</v>
      </c>
      <c r="L4809" s="9" t="s">
        <v>13284</v>
      </c>
      <c r="M4809" s="9" t="s">
        <v>13284</v>
      </c>
      <c r="N4809" s="9" t="s">
        <v>13284</v>
      </c>
      <c r="O4809" s="9" t="s">
        <v>13284</v>
      </c>
      <c r="P4809" s="9" t="s">
        <v>13284</v>
      </c>
      <c r="Q4809" s="9" t="s">
        <v>13284</v>
      </c>
      <c r="R4809" s="9" t="s">
        <v>13284</v>
      </c>
      <c r="S4809" s="9" t="s">
        <v>13284</v>
      </c>
      <c r="T4809" s="9" t="str">
        <f ca="1">IFERROR(IF(AND(VLOOKUP(A4809, 'Актуальное состояние (из общего'!A:C,3,0) = "", A4809 &lt;&gt; ""), "ПРОВЕРИТЬ", VLOOKUP(A4809, 'Актуальное состояние (из общего'!A:C,3,0)), "")</f>
        <v/>
      </c>
      <c r="U4809" s="9" t="s">
        <v>13284</v>
      </c>
      <c r="V4809" s="9" t="s">
        <v>13284</v>
      </c>
      <c r="W4809" s="12"/>
      <c r="X4809" s="9" t="str">
        <f t="array" ref="X4809">IFERROR(INDEX('Адреса общежитий (скрытый)'!$B$2:$B$9, MATCH(W4809, 'Адреса общежитий (скрытый)'!$A$2:$A$9, 0)), "")</f>
        <v/>
      </c>
      <c r="Y4809" s="18"/>
      <c r="Z4809" s="18"/>
      <c r="AA4809" s="18"/>
      <c r="AB4809" s="18"/>
      <c r="AC4809" s="18"/>
    </row>
    <row r="4810" spans="1:29" ht="32.25" hidden="1" customHeight="1">
      <c r="A4810" s="17"/>
      <c r="B4810" s="9" t="s">
        <v>13284</v>
      </c>
      <c r="C4810" s="9" t="s">
        <v>13284</v>
      </c>
      <c r="D4810" s="9" t="s">
        <v>13284</v>
      </c>
      <c r="E4810" s="9" t="s">
        <v>13284</v>
      </c>
      <c r="F4810" s="9" t="s">
        <v>13284</v>
      </c>
      <c r="G4810" s="9" t="s">
        <v>13284</v>
      </c>
      <c r="H4810" s="9" t="s">
        <v>13284</v>
      </c>
      <c r="I4810" s="9" t="s">
        <v>13284</v>
      </c>
      <c r="J4810" s="9" t="s">
        <v>13284</v>
      </c>
      <c r="K4810" s="9" t="s">
        <v>13284</v>
      </c>
      <c r="L4810" s="9" t="s">
        <v>13284</v>
      </c>
      <c r="M4810" s="9" t="s">
        <v>13284</v>
      </c>
      <c r="N4810" s="9" t="s">
        <v>13284</v>
      </c>
      <c r="O4810" s="9" t="s">
        <v>13284</v>
      </c>
      <c r="P4810" s="9" t="s">
        <v>13284</v>
      </c>
      <c r="Q4810" s="9" t="s">
        <v>13284</v>
      </c>
      <c r="R4810" s="9" t="s">
        <v>13284</v>
      </c>
      <c r="S4810" s="9" t="s">
        <v>13284</v>
      </c>
      <c r="T4810" s="9" t="str">
        <f ca="1">IFERROR(IF(AND(VLOOKUP(A4810, 'Актуальное состояние (из общего'!A:C,3,0) = "", A4810 &lt;&gt; ""), "ПРОВЕРИТЬ", VLOOKUP(A4810, 'Актуальное состояние (из общего'!A:C,3,0)), "")</f>
        <v/>
      </c>
      <c r="U4810" s="9" t="s">
        <v>13284</v>
      </c>
      <c r="V4810" s="9" t="s">
        <v>13284</v>
      </c>
      <c r="W4810" s="12"/>
      <c r="X4810" s="9" t="str">
        <f t="array" ref="X4810">IFERROR(INDEX('Адреса общежитий (скрытый)'!$B$2:$B$9, MATCH(W4810, 'Адреса общежитий (скрытый)'!$A$2:$A$9, 0)), "")</f>
        <v/>
      </c>
      <c r="Y4810" s="18"/>
      <c r="Z4810" s="18"/>
      <c r="AA4810" s="18"/>
      <c r="AB4810" s="18"/>
      <c r="AC4810" s="18"/>
    </row>
    <row r="4811" spans="1:29" ht="32.25" hidden="1" customHeight="1">
      <c r="A4811" s="17"/>
      <c r="B4811" s="9" t="s">
        <v>13284</v>
      </c>
      <c r="C4811" s="9" t="s">
        <v>13284</v>
      </c>
      <c r="D4811" s="9" t="s">
        <v>13284</v>
      </c>
      <c r="E4811" s="9" t="s">
        <v>13284</v>
      </c>
      <c r="F4811" s="9" t="s">
        <v>13284</v>
      </c>
      <c r="G4811" s="9" t="s">
        <v>13284</v>
      </c>
      <c r="H4811" s="9" t="s">
        <v>13284</v>
      </c>
      <c r="I4811" s="9" t="s">
        <v>13284</v>
      </c>
      <c r="J4811" s="9" t="s">
        <v>13284</v>
      </c>
      <c r="K4811" s="9" t="s">
        <v>13284</v>
      </c>
      <c r="L4811" s="9" t="s">
        <v>13284</v>
      </c>
      <c r="M4811" s="9" t="s">
        <v>13284</v>
      </c>
      <c r="N4811" s="9" t="s">
        <v>13284</v>
      </c>
      <c r="O4811" s="9" t="s">
        <v>13284</v>
      </c>
      <c r="P4811" s="9" t="s">
        <v>13284</v>
      </c>
      <c r="Q4811" s="9" t="s">
        <v>13284</v>
      </c>
      <c r="R4811" s="9" t="s">
        <v>13284</v>
      </c>
      <c r="S4811" s="9" t="s">
        <v>13284</v>
      </c>
      <c r="T4811" s="9" t="str">
        <f ca="1">IFERROR(IF(AND(VLOOKUP(A4811, 'Актуальное состояние (из общего'!A:C,3,0) = "", A4811 &lt;&gt; ""), "ПРОВЕРИТЬ", VLOOKUP(A4811, 'Актуальное состояние (из общего'!A:C,3,0)), "")</f>
        <v/>
      </c>
      <c r="U4811" s="9" t="s">
        <v>13284</v>
      </c>
      <c r="V4811" s="9" t="s">
        <v>13284</v>
      </c>
      <c r="W4811" s="12"/>
      <c r="X4811" s="9" t="str">
        <f t="array" ref="X4811">IFERROR(INDEX('Адреса общежитий (скрытый)'!$B$2:$B$9, MATCH(W4811, 'Адреса общежитий (скрытый)'!$A$2:$A$9, 0)), "")</f>
        <v/>
      </c>
      <c r="Y4811" s="18"/>
      <c r="Z4811" s="18"/>
      <c r="AA4811" s="18"/>
      <c r="AB4811" s="18"/>
      <c r="AC4811" s="18"/>
    </row>
    <row r="4812" spans="1:29" ht="32.25" hidden="1" customHeight="1">
      <c r="A4812" s="17"/>
      <c r="B4812" s="9" t="s">
        <v>13284</v>
      </c>
      <c r="C4812" s="9" t="s">
        <v>13284</v>
      </c>
      <c r="D4812" s="9" t="s">
        <v>13284</v>
      </c>
      <c r="E4812" s="9" t="s">
        <v>13284</v>
      </c>
      <c r="F4812" s="9" t="s">
        <v>13284</v>
      </c>
      <c r="G4812" s="9" t="s">
        <v>13284</v>
      </c>
      <c r="H4812" s="9" t="s">
        <v>13284</v>
      </c>
      <c r="I4812" s="9" t="s">
        <v>13284</v>
      </c>
      <c r="J4812" s="9" t="s">
        <v>13284</v>
      </c>
      <c r="K4812" s="9" t="s">
        <v>13284</v>
      </c>
      <c r="L4812" s="9" t="s">
        <v>13284</v>
      </c>
      <c r="M4812" s="9" t="s">
        <v>13284</v>
      </c>
      <c r="N4812" s="9" t="s">
        <v>13284</v>
      </c>
      <c r="O4812" s="9" t="s">
        <v>13284</v>
      </c>
      <c r="P4812" s="9" t="s">
        <v>13284</v>
      </c>
      <c r="Q4812" s="9" t="s">
        <v>13284</v>
      </c>
      <c r="R4812" s="9" t="s">
        <v>13284</v>
      </c>
      <c r="S4812" s="9" t="s">
        <v>13284</v>
      </c>
      <c r="T4812" s="9" t="str">
        <f ca="1">IFERROR(IF(AND(VLOOKUP(A4812, 'Актуальное состояние (из общего'!A:C,3,0) = "", A4812 &lt;&gt; ""), "ПРОВЕРИТЬ", VLOOKUP(A4812, 'Актуальное состояние (из общего'!A:C,3,0)), "")</f>
        <v/>
      </c>
      <c r="U4812" s="9" t="s">
        <v>13284</v>
      </c>
      <c r="V4812" s="9" t="s">
        <v>13284</v>
      </c>
      <c r="W4812" s="12"/>
      <c r="X4812" s="9" t="str">
        <f t="array" ref="X4812">IFERROR(INDEX('Адреса общежитий (скрытый)'!$B$2:$B$9, MATCH(W4812, 'Адреса общежитий (скрытый)'!$A$2:$A$9, 0)), "")</f>
        <v/>
      </c>
      <c r="Y4812" s="18"/>
      <c r="Z4812" s="18"/>
      <c r="AA4812" s="18"/>
      <c r="AB4812" s="18"/>
      <c r="AC4812" s="18"/>
    </row>
    <row r="4813" spans="1:29" ht="32.25" hidden="1" customHeight="1">
      <c r="A4813" s="17"/>
      <c r="B4813" s="9" t="s">
        <v>13284</v>
      </c>
      <c r="C4813" s="9" t="s">
        <v>13284</v>
      </c>
      <c r="D4813" s="9" t="s">
        <v>13284</v>
      </c>
      <c r="E4813" s="9" t="s">
        <v>13284</v>
      </c>
      <c r="F4813" s="9" t="s">
        <v>13284</v>
      </c>
      <c r="G4813" s="9" t="s">
        <v>13284</v>
      </c>
      <c r="H4813" s="9" t="s">
        <v>13284</v>
      </c>
      <c r="I4813" s="9" t="s">
        <v>13284</v>
      </c>
      <c r="J4813" s="9" t="s">
        <v>13284</v>
      </c>
      <c r="K4813" s="9" t="s">
        <v>13284</v>
      </c>
      <c r="L4813" s="9" t="s">
        <v>13284</v>
      </c>
      <c r="M4813" s="9" t="s">
        <v>13284</v>
      </c>
      <c r="N4813" s="9" t="s">
        <v>13284</v>
      </c>
      <c r="O4813" s="9" t="s">
        <v>13284</v>
      </c>
      <c r="P4813" s="9" t="s">
        <v>13284</v>
      </c>
      <c r="Q4813" s="9" t="s">
        <v>13284</v>
      </c>
      <c r="R4813" s="9" t="s">
        <v>13284</v>
      </c>
      <c r="S4813" s="9" t="s">
        <v>13284</v>
      </c>
      <c r="T4813" s="9" t="str">
        <f ca="1">IFERROR(IF(AND(VLOOKUP(A4813, 'Актуальное состояние (из общего'!A:C,3,0) = "", A4813 &lt;&gt; ""), "ПРОВЕРИТЬ", VLOOKUP(A4813, 'Актуальное состояние (из общего'!A:C,3,0)), "")</f>
        <v/>
      </c>
      <c r="U4813" s="9" t="s">
        <v>13284</v>
      </c>
      <c r="V4813" s="9" t="s">
        <v>13284</v>
      </c>
      <c r="W4813" s="12"/>
      <c r="X4813" s="9" t="str">
        <f t="array" ref="X4813">IFERROR(INDEX('Адреса общежитий (скрытый)'!$B$2:$B$9, MATCH(W4813, 'Адреса общежитий (скрытый)'!$A$2:$A$9, 0)), "")</f>
        <v/>
      </c>
      <c r="Y4813" s="18"/>
      <c r="Z4813" s="18"/>
      <c r="AA4813" s="18"/>
      <c r="AB4813" s="18"/>
      <c r="AC4813" s="18"/>
    </row>
    <row r="4814" spans="1:29" ht="32.25" hidden="1" customHeight="1">
      <c r="A4814" s="17"/>
      <c r="B4814" s="9" t="s">
        <v>13284</v>
      </c>
      <c r="C4814" s="9" t="s">
        <v>13284</v>
      </c>
      <c r="D4814" s="9" t="s">
        <v>13284</v>
      </c>
      <c r="E4814" s="9" t="s">
        <v>13284</v>
      </c>
      <c r="F4814" s="9" t="s">
        <v>13284</v>
      </c>
      <c r="G4814" s="9" t="s">
        <v>13284</v>
      </c>
      <c r="H4814" s="9" t="s">
        <v>13284</v>
      </c>
      <c r="I4814" s="9" t="s">
        <v>13284</v>
      </c>
      <c r="J4814" s="9" t="s">
        <v>13284</v>
      </c>
      <c r="K4814" s="9" t="s">
        <v>13284</v>
      </c>
      <c r="L4814" s="9" t="s">
        <v>13284</v>
      </c>
      <c r="M4814" s="9" t="s">
        <v>13284</v>
      </c>
      <c r="N4814" s="9" t="s">
        <v>13284</v>
      </c>
      <c r="O4814" s="9" t="s">
        <v>13284</v>
      </c>
      <c r="P4814" s="9" t="s">
        <v>13284</v>
      </c>
      <c r="Q4814" s="9" t="s">
        <v>13284</v>
      </c>
      <c r="R4814" s="9" t="s">
        <v>13284</v>
      </c>
      <c r="S4814" s="9" t="s">
        <v>13284</v>
      </c>
      <c r="T4814" s="9" t="str">
        <f ca="1">IFERROR(IF(AND(VLOOKUP(A4814, 'Актуальное состояние (из общего'!A:C,3,0) = "", A4814 &lt;&gt; ""), "ПРОВЕРИТЬ", VLOOKUP(A4814, 'Актуальное состояние (из общего'!A:C,3,0)), "")</f>
        <v/>
      </c>
      <c r="U4814" s="9" t="s">
        <v>13284</v>
      </c>
      <c r="V4814" s="9" t="s">
        <v>13284</v>
      </c>
      <c r="W4814" s="12"/>
      <c r="X4814" s="9" t="str">
        <f t="array" ref="X4814">IFERROR(INDEX('Адреса общежитий (скрытый)'!$B$2:$B$9, MATCH(W4814, 'Адреса общежитий (скрытый)'!$A$2:$A$9, 0)), "")</f>
        <v/>
      </c>
      <c r="Y4814" s="18"/>
      <c r="Z4814" s="18"/>
      <c r="AA4814" s="18"/>
      <c r="AB4814" s="18"/>
      <c r="AC4814" s="18"/>
    </row>
    <row r="4815" spans="1:29" ht="32.25" hidden="1" customHeight="1">
      <c r="A4815" s="17"/>
      <c r="B4815" s="9" t="s">
        <v>13284</v>
      </c>
      <c r="C4815" s="9" t="s">
        <v>13284</v>
      </c>
      <c r="D4815" s="9" t="s">
        <v>13284</v>
      </c>
      <c r="E4815" s="9" t="s">
        <v>13284</v>
      </c>
      <c r="F4815" s="9" t="s">
        <v>13284</v>
      </c>
      <c r="G4815" s="9" t="s">
        <v>13284</v>
      </c>
      <c r="H4815" s="9" t="s">
        <v>13284</v>
      </c>
      <c r="I4815" s="9" t="s">
        <v>13284</v>
      </c>
      <c r="J4815" s="9" t="s">
        <v>13284</v>
      </c>
      <c r="K4815" s="9" t="s">
        <v>13284</v>
      </c>
      <c r="L4815" s="9" t="s">
        <v>13284</v>
      </c>
      <c r="M4815" s="9" t="s">
        <v>13284</v>
      </c>
      <c r="N4815" s="9" t="s">
        <v>13284</v>
      </c>
      <c r="O4815" s="9" t="s">
        <v>13284</v>
      </c>
      <c r="P4815" s="9" t="s">
        <v>13284</v>
      </c>
      <c r="Q4815" s="9" t="s">
        <v>13284</v>
      </c>
      <c r="R4815" s="9" t="s">
        <v>13284</v>
      </c>
      <c r="S4815" s="9" t="s">
        <v>13284</v>
      </c>
      <c r="T4815" s="9" t="str">
        <f ca="1">IFERROR(IF(AND(VLOOKUP(A4815, 'Актуальное состояние (из общего'!A:C,3,0) = "", A4815 &lt;&gt; ""), "ПРОВЕРИТЬ", VLOOKUP(A4815, 'Актуальное состояние (из общего'!A:C,3,0)), "")</f>
        <v/>
      </c>
      <c r="U4815" s="9" t="s">
        <v>13284</v>
      </c>
      <c r="V4815" s="9" t="s">
        <v>13284</v>
      </c>
      <c r="W4815" s="12"/>
      <c r="X4815" s="9" t="str">
        <f t="array" ref="X4815">IFERROR(INDEX('Адреса общежитий (скрытый)'!$B$2:$B$9, MATCH(W4815, 'Адреса общежитий (скрытый)'!$A$2:$A$9, 0)), "")</f>
        <v/>
      </c>
      <c r="Y4815" s="18"/>
      <c r="Z4815" s="18"/>
      <c r="AA4815" s="18"/>
      <c r="AB4815" s="18"/>
      <c r="AC4815" s="18"/>
    </row>
    <row r="4816" spans="1:29" ht="32.25" hidden="1" customHeight="1">
      <c r="A4816" s="17"/>
      <c r="B4816" s="9" t="s">
        <v>13284</v>
      </c>
      <c r="C4816" s="9" t="s">
        <v>13284</v>
      </c>
      <c r="D4816" s="9" t="s">
        <v>13284</v>
      </c>
      <c r="E4816" s="9" t="s">
        <v>13284</v>
      </c>
      <c r="F4816" s="9" t="s">
        <v>13284</v>
      </c>
      <c r="G4816" s="9" t="s">
        <v>13284</v>
      </c>
      <c r="H4816" s="9" t="s">
        <v>13284</v>
      </c>
      <c r="I4816" s="9" t="s">
        <v>13284</v>
      </c>
      <c r="J4816" s="9" t="s">
        <v>13284</v>
      </c>
      <c r="K4816" s="9" t="s">
        <v>13284</v>
      </c>
      <c r="L4816" s="9" t="s">
        <v>13284</v>
      </c>
      <c r="M4816" s="9" t="s">
        <v>13284</v>
      </c>
      <c r="N4816" s="9" t="s">
        <v>13284</v>
      </c>
      <c r="O4816" s="9" t="s">
        <v>13284</v>
      </c>
      <c r="P4816" s="9" t="s">
        <v>13284</v>
      </c>
      <c r="Q4816" s="9" t="s">
        <v>13284</v>
      </c>
      <c r="R4816" s="9" t="s">
        <v>13284</v>
      </c>
      <c r="S4816" s="9" t="s">
        <v>13284</v>
      </c>
      <c r="T4816" s="9" t="str">
        <f ca="1">IFERROR(IF(AND(VLOOKUP(A4816, 'Актуальное состояние (из общего'!A:C,3,0) = "", A4816 &lt;&gt; ""), "ПРОВЕРИТЬ", VLOOKUP(A4816, 'Актуальное состояние (из общего'!A:C,3,0)), "")</f>
        <v/>
      </c>
      <c r="U4816" s="9" t="s">
        <v>13284</v>
      </c>
      <c r="V4816" s="9" t="s">
        <v>13284</v>
      </c>
      <c r="W4816" s="12"/>
      <c r="X4816" s="9" t="str">
        <f t="array" ref="X4816">IFERROR(INDEX('Адреса общежитий (скрытый)'!$B$2:$B$9, MATCH(W4816, 'Адреса общежитий (скрытый)'!$A$2:$A$9, 0)), "")</f>
        <v/>
      </c>
      <c r="Y4816" s="18"/>
      <c r="Z4816" s="18"/>
      <c r="AA4816" s="18"/>
      <c r="AB4816" s="18"/>
      <c r="AC4816" s="18"/>
    </row>
    <row r="4817" spans="1:29" ht="32.25" hidden="1" customHeight="1">
      <c r="A4817" s="17"/>
      <c r="B4817" s="9" t="s">
        <v>13284</v>
      </c>
      <c r="C4817" s="9" t="s">
        <v>13284</v>
      </c>
      <c r="D4817" s="9" t="s">
        <v>13284</v>
      </c>
      <c r="E4817" s="9" t="s">
        <v>13284</v>
      </c>
      <c r="F4817" s="9" t="s">
        <v>13284</v>
      </c>
      <c r="G4817" s="9" t="s">
        <v>13284</v>
      </c>
      <c r="H4817" s="9" t="s">
        <v>13284</v>
      </c>
      <c r="I4817" s="9" t="s">
        <v>13284</v>
      </c>
      <c r="J4817" s="9" t="s">
        <v>13284</v>
      </c>
      <c r="K4817" s="9" t="s">
        <v>13284</v>
      </c>
      <c r="L4817" s="9" t="s">
        <v>13284</v>
      </c>
      <c r="M4817" s="9" t="s">
        <v>13284</v>
      </c>
      <c r="N4817" s="9" t="s">
        <v>13284</v>
      </c>
      <c r="O4817" s="9" t="s">
        <v>13284</v>
      </c>
      <c r="P4817" s="9" t="s">
        <v>13284</v>
      </c>
      <c r="Q4817" s="9" t="s">
        <v>13284</v>
      </c>
      <c r="R4817" s="9" t="s">
        <v>13284</v>
      </c>
      <c r="S4817" s="9" t="s">
        <v>13284</v>
      </c>
      <c r="T4817" s="9" t="str">
        <f ca="1">IFERROR(IF(AND(VLOOKUP(A4817, 'Актуальное состояние (из общего'!A:C,3,0) = "", A4817 &lt;&gt; ""), "ПРОВЕРИТЬ", VLOOKUP(A4817, 'Актуальное состояние (из общего'!A:C,3,0)), "")</f>
        <v/>
      </c>
      <c r="U4817" s="9" t="s">
        <v>13284</v>
      </c>
      <c r="V4817" s="9" t="s">
        <v>13284</v>
      </c>
      <c r="W4817" s="12"/>
      <c r="X4817" s="9" t="str">
        <f t="array" ref="X4817">IFERROR(INDEX('Адреса общежитий (скрытый)'!$B$2:$B$9, MATCH(W4817, 'Адреса общежитий (скрытый)'!$A$2:$A$9, 0)), "")</f>
        <v/>
      </c>
      <c r="Y4817" s="18"/>
      <c r="Z4817" s="18"/>
      <c r="AA4817" s="18"/>
      <c r="AB4817" s="18"/>
      <c r="AC4817" s="18"/>
    </row>
    <row r="4818" spans="1:29" ht="32.25" hidden="1" customHeight="1">
      <c r="A4818" s="17"/>
      <c r="B4818" s="9" t="s">
        <v>13284</v>
      </c>
      <c r="C4818" s="9" t="s">
        <v>13284</v>
      </c>
      <c r="D4818" s="9" t="s">
        <v>13284</v>
      </c>
      <c r="E4818" s="9" t="s">
        <v>13284</v>
      </c>
      <c r="F4818" s="9" t="s">
        <v>13284</v>
      </c>
      <c r="G4818" s="9" t="s">
        <v>13284</v>
      </c>
      <c r="H4818" s="9" t="s">
        <v>13284</v>
      </c>
      <c r="I4818" s="9" t="s">
        <v>13284</v>
      </c>
      <c r="J4818" s="9" t="s">
        <v>13284</v>
      </c>
      <c r="K4818" s="9" t="s">
        <v>13284</v>
      </c>
      <c r="L4818" s="9" t="s">
        <v>13284</v>
      </c>
      <c r="M4818" s="9" t="s">
        <v>13284</v>
      </c>
      <c r="N4818" s="9" t="s">
        <v>13284</v>
      </c>
      <c r="O4818" s="9" t="s">
        <v>13284</v>
      </c>
      <c r="P4818" s="9" t="s">
        <v>13284</v>
      </c>
      <c r="Q4818" s="9" t="s">
        <v>13284</v>
      </c>
      <c r="R4818" s="9" t="s">
        <v>13284</v>
      </c>
      <c r="S4818" s="9" t="s">
        <v>13284</v>
      </c>
      <c r="T4818" s="9" t="str">
        <f ca="1">IFERROR(IF(AND(VLOOKUP(A4818, 'Актуальное состояние (из общего'!A:C,3,0) = "", A4818 &lt;&gt; ""), "ПРОВЕРИТЬ", VLOOKUP(A4818, 'Актуальное состояние (из общего'!A:C,3,0)), "")</f>
        <v/>
      </c>
      <c r="U4818" s="9" t="s">
        <v>13284</v>
      </c>
      <c r="V4818" s="9" t="s">
        <v>13284</v>
      </c>
      <c r="W4818" s="12"/>
      <c r="X4818" s="9" t="str">
        <f t="array" ref="X4818">IFERROR(INDEX('Адреса общежитий (скрытый)'!$B$2:$B$9, MATCH(W4818, 'Адреса общежитий (скрытый)'!$A$2:$A$9, 0)), "")</f>
        <v/>
      </c>
      <c r="Y4818" s="18"/>
      <c r="Z4818" s="18"/>
      <c r="AA4818" s="18"/>
      <c r="AB4818" s="18"/>
      <c r="AC4818" s="18"/>
    </row>
    <row r="4819" spans="1:29" ht="32.25" hidden="1" customHeight="1">
      <c r="A4819" s="17"/>
      <c r="B4819" s="9" t="s">
        <v>13284</v>
      </c>
      <c r="C4819" s="9" t="s">
        <v>13284</v>
      </c>
      <c r="D4819" s="9" t="s">
        <v>13284</v>
      </c>
      <c r="E4819" s="9" t="s">
        <v>13284</v>
      </c>
      <c r="F4819" s="9" t="s">
        <v>13284</v>
      </c>
      <c r="G4819" s="9" t="s">
        <v>13284</v>
      </c>
      <c r="H4819" s="9" t="s">
        <v>13284</v>
      </c>
      <c r="I4819" s="9" t="s">
        <v>13284</v>
      </c>
      <c r="J4819" s="9" t="s">
        <v>13284</v>
      </c>
      <c r="K4819" s="9" t="s">
        <v>13284</v>
      </c>
      <c r="L4819" s="9" t="s">
        <v>13284</v>
      </c>
      <c r="M4819" s="9" t="s">
        <v>13284</v>
      </c>
      <c r="N4819" s="9" t="s">
        <v>13284</v>
      </c>
      <c r="O4819" s="9" t="s">
        <v>13284</v>
      </c>
      <c r="P4819" s="9" t="s">
        <v>13284</v>
      </c>
      <c r="Q4819" s="9" t="s">
        <v>13284</v>
      </c>
      <c r="R4819" s="9" t="s">
        <v>13284</v>
      </c>
      <c r="S4819" s="9" t="s">
        <v>13284</v>
      </c>
      <c r="T4819" s="9" t="str">
        <f ca="1">IFERROR(IF(AND(VLOOKUP(A4819, 'Актуальное состояние (из общего'!A:C,3,0) = "", A4819 &lt;&gt; ""), "ПРОВЕРИТЬ", VLOOKUP(A4819, 'Актуальное состояние (из общего'!A:C,3,0)), "")</f>
        <v/>
      </c>
      <c r="U4819" s="9" t="s">
        <v>13284</v>
      </c>
      <c r="V4819" s="9" t="s">
        <v>13284</v>
      </c>
      <c r="W4819" s="12"/>
      <c r="X4819" s="9" t="str">
        <f t="array" ref="X4819">IFERROR(INDEX('Адреса общежитий (скрытый)'!$B$2:$B$9, MATCH(W4819, 'Адреса общежитий (скрытый)'!$A$2:$A$9, 0)), "")</f>
        <v/>
      </c>
      <c r="Y4819" s="18"/>
      <c r="Z4819" s="18"/>
      <c r="AA4819" s="18"/>
      <c r="AB4819" s="18"/>
      <c r="AC4819" s="18"/>
    </row>
    <row r="4820" spans="1:29" ht="32.25" hidden="1" customHeight="1">
      <c r="A4820" s="17"/>
      <c r="B4820" s="9" t="s">
        <v>13284</v>
      </c>
      <c r="C4820" s="9" t="s">
        <v>13284</v>
      </c>
      <c r="D4820" s="9" t="s">
        <v>13284</v>
      </c>
      <c r="E4820" s="9" t="s">
        <v>13284</v>
      </c>
      <c r="F4820" s="9" t="s">
        <v>13284</v>
      </c>
      <c r="G4820" s="9" t="s">
        <v>13284</v>
      </c>
      <c r="H4820" s="9" t="s">
        <v>13284</v>
      </c>
      <c r="I4820" s="9" t="s">
        <v>13284</v>
      </c>
      <c r="J4820" s="9" t="s">
        <v>13284</v>
      </c>
      <c r="K4820" s="9" t="s">
        <v>13284</v>
      </c>
      <c r="L4820" s="9" t="s">
        <v>13284</v>
      </c>
      <c r="M4820" s="9" t="s">
        <v>13284</v>
      </c>
      <c r="N4820" s="9" t="s">
        <v>13284</v>
      </c>
      <c r="O4820" s="9" t="s">
        <v>13284</v>
      </c>
      <c r="P4820" s="9" t="s">
        <v>13284</v>
      </c>
      <c r="Q4820" s="9" t="s">
        <v>13284</v>
      </c>
      <c r="R4820" s="9" t="s">
        <v>13284</v>
      </c>
      <c r="S4820" s="9" t="s">
        <v>13284</v>
      </c>
      <c r="T4820" s="9" t="str">
        <f ca="1">IFERROR(IF(AND(VLOOKUP(A4820, 'Актуальное состояние (из общего'!A:C,3,0) = "", A4820 &lt;&gt; ""), "ПРОВЕРИТЬ", VLOOKUP(A4820, 'Актуальное состояние (из общего'!A:C,3,0)), "")</f>
        <v/>
      </c>
      <c r="U4820" s="9" t="s">
        <v>13284</v>
      </c>
      <c r="V4820" s="9" t="s">
        <v>13284</v>
      </c>
      <c r="W4820" s="12"/>
      <c r="X4820" s="9" t="str">
        <f t="array" ref="X4820">IFERROR(INDEX('Адреса общежитий (скрытый)'!$B$2:$B$9, MATCH(W4820, 'Адреса общежитий (скрытый)'!$A$2:$A$9, 0)), "")</f>
        <v/>
      </c>
      <c r="Y4820" s="18"/>
      <c r="Z4820" s="18"/>
      <c r="AA4820" s="18"/>
      <c r="AB4820" s="18"/>
      <c r="AC4820" s="18"/>
    </row>
    <row r="4821" spans="1:29" ht="32.25" hidden="1" customHeight="1">
      <c r="A4821" s="17"/>
      <c r="B4821" s="9" t="s">
        <v>13284</v>
      </c>
      <c r="C4821" s="9" t="s">
        <v>13284</v>
      </c>
      <c r="D4821" s="9" t="s">
        <v>13284</v>
      </c>
      <c r="E4821" s="9" t="s">
        <v>13284</v>
      </c>
      <c r="F4821" s="9" t="s">
        <v>13284</v>
      </c>
      <c r="G4821" s="9" t="s">
        <v>13284</v>
      </c>
      <c r="H4821" s="9" t="s">
        <v>13284</v>
      </c>
      <c r="I4821" s="9" t="s">
        <v>13284</v>
      </c>
      <c r="J4821" s="9" t="s">
        <v>13284</v>
      </c>
      <c r="K4821" s="9" t="s">
        <v>13284</v>
      </c>
      <c r="L4821" s="9" t="s">
        <v>13284</v>
      </c>
      <c r="M4821" s="9" t="s">
        <v>13284</v>
      </c>
      <c r="N4821" s="9" t="s">
        <v>13284</v>
      </c>
      <c r="O4821" s="9" t="s">
        <v>13284</v>
      </c>
      <c r="P4821" s="9" t="s">
        <v>13284</v>
      </c>
      <c r="Q4821" s="9" t="s">
        <v>13284</v>
      </c>
      <c r="R4821" s="9" t="s">
        <v>13284</v>
      </c>
      <c r="S4821" s="9" t="s">
        <v>13284</v>
      </c>
      <c r="T4821" s="9" t="str">
        <f ca="1">IFERROR(IF(AND(VLOOKUP(A4821, 'Актуальное состояние (из общего'!A:C,3,0) = "", A4821 &lt;&gt; ""), "ПРОВЕРИТЬ", VLOOKUP(A4821, 'Актуальное состояние (из общего'!A:C,3,0)), "")</f>
        <v/>
      </c>
      <c r="U4821" s="9" t="s">
        <v>13284</v>
      </c>
      <c r="V4821" s="9" t="s">
        <v>13284</v>
      </c>
      <c r="W4821" s="12"/>
      <c r="X4821" s="9" t="str">
        <f t="array" ref="X4821">IFERROR(INDEX('Адреса общежитий (скрытый)'!$B$2:$B$9, MATCH(W4821, 'Адреса общежитий (скрытый)'!$A$2:$A$9, 0)), "")</f>
        <v/>
      </c>
      <c r="Y4821" s="18"/>
      <c r="Z4821" s="18"/>
      <c r="AA4821" s="18"/>
      <c r="AB4821" s="18"/>
      <c r="AC4821" s="18"/>
    </row>
    <row r="4822" spans="1:29" ht="32.25" hidden="1" customHeight="1">
      <c r="A4822" s="17"/>
      <c r="B4822" s="9" t="s">
        <v>13284</v>
      </c>
      <c r="C4822" s="9" t="s">
        <v>13284</v>
      </c>
      <c r="D4822" s="9" t="s">
        <v>13284</v>
      </c>
      <c r="E4822" s="9" t="s">
        <v>13284</v>
      </c>
      <c r="F4822" s="9" t="s">
        <v>13284</v>
      </c>
      <c r="G4822" s="9" t="s">
        <v>13284</v>
      </c>
      <c r="H4822" s="9" t="s">
        <v>13284</v>
      </c>
      <c r="I4822" s="9" t="s">
        <v>13284</v>
      </c>
      <c r="J4822" s="9" t="s">
        <v>13284</v>
      </c>
      <c r="K4822" s="9" t="s">
        <v>13284</v>
      </c>
      <c r="L4822" s="9" t="s">
        <v>13284</v>
      </c>
      <c r="M4822" s="9" t="s">
        <v>13284</v>
      </c>
      <c r="N4822" s="9" t="s">
        <v>13284</v>
      </c>
      <c r="O4822" s="9" t="s">
        <v>13284</v>
      </c>
      <c r="P4822" s="9" t="s">
        <v>13284</v>
      </c>
      <c r="Q4822" s="9" t="s">
        <v>13284</v>
      </c>
      <c r="R4822" s="9" t="s">
        <v>13284</v>
      </c>
      <c r="S4822" s="9" t="s">
        <v>13284</v>
      </c>
      <c r="T4822" s="9" t="str">
        <f ca="1">IFERROR(IF(AND(VLOOKUP(A4822, 'Актуальное состояние (из общего'!A:C,3,0) = "", A4822 &lt;&gt; ""), "ПРОВЕРИТЬ", VLOOKUP(A4822, 'Актуальное состояние (из общего'!A:C,3,0)), "")</f>
        <v/>
      </c>
      <c r="U4822" s="9" t="s">
        <v>13284</v>
      </c>
      <c r="V4822" s="9" t="s">
        <v>13284</v>
      </c>
      <c r="W4822" s="12"/>
      <c r="X4822" s="9" t="str">
        <f t="array" ref="X4822">IFERROR(INDEX('Адреса общежитий (скрытый)'!$B$2:$B$9, MATCH(W4822, 'Адреса общежитий (скрытый)'!$A$2:$A$9, 0)), "")</f>
        <v/>
      </c>
      <c r="Y4822" s="18"/>
      <c r="Z4822" s="18"/>
      <c r="AA4822" s="18"/>
      <c r="AB4822" s="18"/>
      <c r="AC4822" s="18"/>
    </row>
    <row r="4823" spans="1:29" ht="32.25" hidden="1" customHeight="1">
      <c r="A4823" s="17"/>
      <c r="B4823" s="9" t="s">
        <v>13284</v>
      </c>
      <c r="C4823" s="9" t="s">
        <v>13284</v>
      </c>
      <c r="D4823" s="9" t="s">
        <v>13284</v>
      </c>
      <c r="E4823" s="9" t="s">
        <v>13284</v>
      </c>
      <c r="F4823" s="9" t="s">
        <v>13284</v>
      </c>
      <c r="G4823" s="9" t="s">
        <v>13284</v>
      </c>
      <c r="H4823" s="9" t="s">
        <v>13284</v>
      </c>
      <c r="I4823" s="9" t="s">
        <v>13284</v>
      </c>
      <c r="J4823" s="9" t="s">
        <v>13284</v>
      </c>
      <c r="K4823" s="9" t="s">
        <v>13284</v>
      </c>
      <c r="L4823" s="9" t="s">
        <v>13284</v>
      </c>
      <c r="M4823" s="9" t="s">
        <v>13284</v>
      </c>
      <c r="N4823" s="9" t="s">
        <v>13284</v>
      </c>
      <c r="O4823" s="9" t="s">
        <v>13284</v>
      </c>
      <c r="P4823" s="9" t="s">
        <v>13284</v>
      </c>
      <c r="Q4823" s="9" t="s">
        <v>13284</v>
      </c>
      <c r="R4823" s="9" t="s">
        <v>13284</v>
      </c>
      <c r="S4823" s="9" t="s">
        <v>13284</v>
      </c>
      <c r="T4823" s="9" t="str">
        <f ca="1">IFERROR(IF(AND(VLOOKUP(A4823, 'Актуальное состояние (из общего'!A:C,3,0) = "", A4823 &lt;&gt; ""), "ПРОВЕРИТЬ", VLOOKUP(A4823, 'Актуальное состояние (из общего'!A:C,3,0)), "")</f>
        <v/>
      </c>
      <c r="U4823" s="9" t="s">
        <v>13284</v>
      </c>
      <c r="V4823" s="9" t="s">
        <v>13284</v>
      </c>
      <c r="W4823" s="12"/>
      <c r="X4823" s="9" t="str">
        <f t="array" ref="X4823">IFERROR(INDEX('Адреса общежитий (скрытый)'!$B$2:$B$9, MATCH(W4823, 'Адреса общежитий (скрытый)'!$A$2:$A$9, 0)), "")</f>
        <v/>
      </c>
      <c r="Y4823" s="18"/>
      <c r="Z4823" s="18"/>
      <c r="AA4823" s="18"/>
      <c r="AB4823" s="18"/>
      <c r="AC4823" s="18"/>
    </row>
    <row r="4824" spans="1:29" ht="32.25" hidden="1" customHeight="1">
      <c r="A4824" s="17"/>
      <c r="B4824" s="9" t="s">
        <v>13284</v>
      </c>
      <c r="C4824" s="9" t="s">
        <v>13284</v>
      </c>
      <c r="D4824" s="9" t="s">
        <v>13284</v>
      </c>
      <c r="E4824" s="9" t="s">
        <v>13284</v>
      </c>
      <c r="F4824" s="9" t="s">
        <v>13284</v>
      </c>
      <c r="G4824" s="9" t="s">
        <v>13284</v>
      </c>
      <c r="H4824" s="9" t="s">
        <v>13284</v>
      </c>
      <c r="I4824" s="9" t="s">
        <v>13284</v>
      </c>
      <c r="J4824" s="9" t="s">
        <v>13284</v>
      </c>
      <c r="K4824" s="9" t="s">
        <v>13284</v>
      </c>
      <c r="L4824" s="9" t="s">
        <v>13284</v>
      </c>
      <c r="M4824" s="9" t="s">
        <v>13284</v>
      </c>
      <c r="N4824" s="9" t="s">
        <v>13284</v>
      </c>
      <c r="O4824" s="9" t="s">
        <v>13284</v>
      </c>
      <c r="P4824" s="9" t="s">
        <v>13284</v>
      </c>
      <c r="Q4824" s="9" t="s">
        <v>13284</v>
      </c>
      <c r="R4824" s="9" t="s">
        <v>13284</v>
      </c>
      <c r="S4824" s="9" t="s">
        <v>13284</v>
      </c>
      <c r="T4824" s="9" t="str">
        <f ca="1">IFERROR(IF(AND(VLOOKUP(A4824, 'Актуальное состояние (из общего'!A:C,3,0) = "", A4824 &lt;&gt; ""), "ПРОВЕРИТЬ", VLOOKUP(A4824, 'Актуальное состояние (из общего'!A:C,3,0)), "")</f>
        <v/>
      </c>
      <c r="U4824" s="9" t="s">
        <v>13284</v>
      </c>
      <c r="V4824" s="9" t="s">
        <v>13284</v>
      </c>
      <c r="W4824" s="12"/>
      <c r="X4824" s="9" t="str">
        <f t="array" ref="X4824">IFERROR(INDEX('Адреса общежитий (скрытый)'!$B$2:$B$9, MATCH(W4824, 'Адреса общежитий (скрытый)'!$A$2:$A$9, 0)), "")</f>
        <v/>
      </c>
      <c r="Y4824" s="18"/>
      <c r="Z4824" s="18"/>
      <c r="AA4824" s="18"/>
      <c r="AB4824" s="18"/>
      <c r="AC4824" s="18"/>
    </row>
    <row r="4825" spans="1:29" ht="32.25" hidden="1" customHeight="1">
      <c r="A4825" s="17"/>
      <c r="B4825" s="9" t="s">
        <v>13284</v>
      </c>
      <c r="C4825" s="9" t="s">
        <v>13284</v>
      </c>
      <c r="D4825" s="9" t="s">
        <v>13284</v>
      </c>
      <c r="E4825" s="9" t="s">
        <v>13284</v>
      </c>
      <c r="F4825" s="9" t="s">
        <v>13284</v>
      </c>
      <c r="G4825" s="9" t="s">
        <v>13284</v>
      </c>
      <c r="H4825" s="9" t="s">
        <v>13284</v>
      </c>
      <c r="I4825" s="9" t="s">
        <v>13284</v>
      </c>
      <c r="J4825" s="9" t="s">
        <v>13284</v>
      </c>
      <c r="K4825" s="9" t="s">
        <v>13284</v>
      </c>
      <c r="L4825" s="9" t="s">
        <v>13284</v>
      </c>
      <c r="M4825" s="9" t="s">
        <v>13284</v>
      </c>
      <c r="N4825" s="9" t="s">
        <v>13284</v>
      </c>
      <c r="O4825" s="9" t="s">
        <v>13284</v>
      </c>
      <c r="P4825" s="9" t="s">
        <v>13284</v>
      </c>
      <c r="Q4825" s="9" t="s">
        <v>13284</v>
      </c>
      <c r="R4825" s="9" t="s">
        <v>13284</v>
      </c>
      <c r="S4825" s="9" t="s">
        <v>13284</v>
      </c>
      <c r="T4825" s="9" t="str">
        <f ca="1">IFERROR(IF(AND(VLOOKUP(A4825, 'Актуальное состояние (из общего'!A:C,3,0) = "", A4825 &lt;&gt; ""), "ПРОВЕРИТЬ", VLOOKUP(A4825, 'Актуальное состояние (из общего'!A:C,3,0)), "")</f>
        <v/>
      </c>
      <c r="U4825" s="9" t="s">
        <v>13284</v>
      </c>
      <c r="V4825" s="9" t="s">
        <v>13284</v>
      </c>
      <c r="W4825" s="12"/>
      <c r="X4825" s="9" t="str">
        <f t="array" ref="X4825">IFERROR(INDEX('Адреса общежитий (скрытый)'!$B$2:$B$9, MATCH(W4825, 'Адреса общежитий (скрытый)'!$A$2:$A$9, 0)), "")</f>
        <v/>
      </c>
      <c r="Y4825" s="18"/>
      <c r="Z4825" s="18"/>
      <c r="AA4825" s="18"/>
      <c r="AB4825" s="18"/>
      <c r="AC4825" s="18"/>
    </row>
    <row r="4826" spans="1:29" ht="32.25" hidden="1" customHeight="1">
      <c r="A4826" s="17"/>
      <c r="B4826" s="9" t="s">
        <v>13284</v>
      </c>
      <c r="C4826" s="9" t="s">
        <v>13284</v>
      </c>
      <c r="D4826" s="9" t="s">
        <v>13284</v>
      </c>
      <c r="E4826" s="9" t="s">
        <v>13284</v>
      </c>
      <c r="F4826" s="9" t="s">
        <v>13284</v>
      </c>
      <c r="G4826" s="9" t="s">
        <v>13284</v>
      </c>
      <c r="H4826" s="9" t="s">
        <v>13284</v>
      </c>
      <c r="I4826" s="9" t="s">
        <v>13284</v>
      </c>
      <c r="J4826" s="9" t="s">
        <v>13284</v>
      </c>
      <c r="K4826" s="9" t="s">
        <v>13284</v>
      </c>
      <c r="L4826" s="9" t="s">
        <v>13284</v>
      </c>
      <c r="M4826" s="9" t="s">
        <v>13284</v>
      </c>
      <c r="N4826" s="9" t="s">
        <v>13284</v>
      </c>
      <c r="O4826" s="9" t="s">
        <v>13284</v>
      </c>
      <c r="P4826" s="9" t="s">
        <v>13284</v>
      </c>
      <c r="Q4826" s="9" t="s">
        <v>13284</v>
      </c>
      <c r="R4826" s="9" t="s">
        <v>13284</v>
      </c>
      <c r="S4826" s="9" t="s">
        <v>13284</v>
      </c>
      <c r="T4826" s="9" t="str">
        <f ca="1">IFERROR(IF(AND(VLOOKUP(A4826, 'Актуальное состояние (из общего'!A:C,3,0) = "", A4826 &lt;&gt; ""), "ПРОВЕРИТЬ", VLOOKUP(A4826, 'Актуальное состояние (из общего'!A:C,3,0)), "")</f>
        <v/>
      </c>
      <c r="U4826" s="9" t="s">
        <v>13284</v>
      </c>
      <c r="V4826" s="9" t="s">
        <v>13284</v>
      </c>
      <c r="W4826" s="12"/>
      <c r="X4826" s="9" t="str">
        <f t="array" ref="X4826">IFERROR(INDEX('Адреса общежитий (скрытый)'!$B$2:$B$9, MATCH(W4826, 'Адреса общежитий (скрытый)'!$A$2:$A$9, 0)), "")</f>
        <v/>
      </c>
      <c r="Y4826" s="18"/>
      <c r="Z4826" s="18"/>
      <c r="AA4826" s="18"/>
      <c r="AB4826" s="18"/>
      <c r="AC4826" s="18"/>
    </row>
    <row r="4827" spans="1:29" ht="32.25" hidden="1" customHeight="1">
      <c r="A4827" s="17"/>
      <c r="B4827" s="9" t="s">
        <v>13284</v>
      </c>
      <c r="C4827" s="9" t="s">
        <v>13284</v>
      </c>
      <c r="D4827" s="9" t="s">
        <v>13284</v>
      </c>
      <c r="E4827" s="9" t="s">
        <v>13284</v>
      </c>
      <c r="F4827" s="9" t="s">
        <v>13284</v>
      </c>
      <c r="G4827" s="9" t="s">
        <v>13284</v>
      </c>
      <c r="H4827" s="9" t="s">
        <v>13284</v>
      </c>
      <c r="I4827" s="9" t="s">
        <v>13284</v>
      </c>
      <c r="J4827" s="9" t="s">
        <v>13284</v>
      </c>
      <c r="K4827" s="9" t="s">
        <v>13284</v>
      </c>
      <c r="L4827" s="9" t="s">
        <v>13284</v>
      </c>
      <c r="M4827" s="9" t="s">
        <v>13284</v>
      </c>
      <c r="N4827" s="9" t="s">
        <v>13284</v>
      </c>
      <c r="O4827" s="9" t="s">
        <v>13284</v>
      </c>
      <c r="P4827" s="9" t="s">
        <v>13284</v>
      </c>
      <c r="Q4827" s="9" t="s">
        <v>13284</v>
      </c>
      <c r="R4827" s="9" t="s">
        <v>13284</v>
      </c>
      <c r="S4827" s="9" t="s">
        <v>13284</v>
      </c>
      <c r="T4827" s="9" t="str">
        <f ca="1">IFERROR(IF(AND(VLOOKUP(A4827, 'Актуальное состояние (из общего'!A:C,3,0) = "", A4827 &lt;&gt; ""), "ПРОВЕРИТЬ", VLOOKUP(A4827, 'Актуальное состояние (из общего'!A:C,3,0)), "")</f>
        <v/>
      </c>
      <c r="U4827" s="9" t="s">
        <v>13284</v>
      </c>
      <c r="V4827" s="9" t="s">
        <v>13284</v>
      </c>
      <c r="W4827" s="12"/>
      <c r="X4827" s="9" t="str">
        <f t="array" ref="X4827">IFERROR(INDEX('Адреса общежитий (скрытый)'!$B$2:$B$9, MATCH(W4827, 'Адреса общежитий (скрытый)'!$A$2:$A$9, 0)), "")</f>
        <v/>
      </c>
      <c r="Y4827" s="18"/>
      <c r="Z4827" s="18"/>
      <c r="AA4827" s="18"/>
      <c r="AB4827" s="18"/>
      <c r="AC4827" s="18"/>
    </row>
    <row r="4828" spans="1:29" ht="32.25" hidden="1" customHeight="1">
      <c r="A4828" s="17"/>
      <c r="B4828" s="9" t="s">
        <v>13284</v>
      </c>
      <c r="C4828" s="9" t="s">
        <v>13284</v>
      </c>
      <c r="D4828" s="9" t="s">
        <v>13284</v>
      </c>
      <c r="E4828" s="9" t="s">
        <v>13284</v>
      </c>
      <c r="F4828" s="9" t="s">
        <v>13284</v>
      </c>
      <c r="G4828" s="9" t="s">
        <v>13284</v>
      </c>
      <c r="H4828" s="9" t="s">
        <v>13284</v>
      </c>
      <c r="I4828" s="9" t="s">
        <v>13284</v>
      </c>
      <c r="J4828" s="9" t="s">
        <v>13284</v>
      </c>
      <c r="K4828" s="9" t="s">
        <v>13284</v>
      </c>
      <c r="L4828" s="9" t="s">
        <v>13284</v>
      </c>
      <c r="M4828" s="9" t="s">
        <v>13284</v>
      </c>
      <c r="N4828" s="9" t="s">
        <v>13284</v>
      </c>
      <c r="O4828" s="9" t="s">
        <v>13284</v>
      </c>
      <c r="P4828" s="9" t="s">
        <v>13284</v>
      </c>
      <c r="Q4828" s="9" t="s">
        <v>13284</v>
      </c>
      <c r="R4828" s="9" t="s">
        <v>13284</v>
      </c>
      <c r="S4828" s="9" t="s">
        <v>13284</v>
      </c>
      <c r="T4828" s="9" t="str">
        <f ca="1">IFERROR(IF(AND(VLOOKUP(A4828, 'Актуальное состояние (из общего'!A:C,3,0) = "", A4828 &lt;&gt; ""), "ПРОВЕРИТЬ", VLOOKUP(A4828, 'Актуальное состояние (из общего'!A:C,3,0)), "")</f>
        <v/>
      </c>
      <c r="U4828" s="9" t="s">
        <v>13284</v>
      </c>
      <c r="V4828" s="9" t="s">
        <v>13284</v>
      </c>
      <c r="W4828" s="12"/>
      <c r="X4828" s="9" t="str">
        <f t="array" ref="X4828">IFERROR(INDEX('Адреса общежитий (скрытый)'!$B$2:$B$9, MATCH(W4828, 'Адреса общежитий (скрытый)'!$A$2:$A$9, 0)), "")</f>
        <v/>
      </c>
      <c r="Y4828" s="18"/>
      <c r="Z4828" s="18"/>
      <c r="AA4828" s="18"/>
      <c r="AB4828" s="18"/>
      <c r="AC4828" s="18"/>
    </row>
    <row r="4829" spans="1:29" ht="32.25" hidden="1" customHeight="1">
      <c r="A4829" s="17"/>
      <c r="B4829" s="9" t="s">
        <v>13284</v>
      </c>
      <c r="C4829" s="9" t="s">
        <v>13284</v>
      </c>
      <c r="D4829" s="9" t="s">
        <v>13284</v>
      </c>
      <c r="E4829" s="9" t="s">
        <v>13284</v>
      </c>
      <c r="F4829" s="9" t="s">
        <v>13284</v>
      </c>
      <c r="G4829" s="9" t="s">
        <v>13284</v>
      </c>
      <c r="H4829" s="9" t="s">
        <v>13284</v>
      </c>
      <c r="I4829" s="9" t="s">
        <v>13284</v>
      </c>
      <c r="J4829" s="9" t="s">
        <v>13284</v>
      </c>
      <c r="K4829" s="9" t="s">
        <v>13284</v>
      </c>
      <c r="L4829" s="9" t="s">
        <v>13284</v>
      </c>
      <c r="M4829" s="9" t="s">
        <v>13284</v>
      </c>
      <c r="N4829" s="9" t="s">
        <v>13284</v>
      </c>
      <c r="O4829" s="9" t="s">
        <v>13284</v>
      </c>
      <c r="P4829" s="9" t="s">
        <v>13284</v>
      </c>
      <c r="Q4829" s="9" t="s">
        <v>13284</v>
      </c>
      <c r="R4829" s="9" t="s">
        <v>13284</v>
      </c>
      <c r="S4829" s="9" t="s">
        <v>13284</v>
      </c>
      <c r="T4829" s="9" t="str">
        <f ca="1">IFERROR(IF(AND(VLOOKUP(A4829, 'Актуальное состояние (из общего'!A:C,3,0) = "", A4829 &lt;&gt; ""), "ПРОВЕРИТЬ", VLOOKUP(A4829, 'Актуальное состояние (из общего'!A:C,3,0)), "")</f>
        <v/>
      </c>
      <c r="U4829" s="9" t="s">
        <v>13284</v>
      </c>
      <c r="V4829" s="9" t="s">
        <v>13284</v>
      </c>
      <c r="W4829" s="12"/>
      <c r="X4829" s="9" t="str">
        <f t="array" ref="X4829">IFERROR(INDEX('Адреса общежитий (скрытый)'!$B$2:$B$9, MATCH(W4829, 'Адреса общежитий (скрытый)'!$A$2:$A$9, 0)), "")</f>
        <v/>
      </c>
      <c r="Y4829" s="18"/>
      <c r="Z4829" s="18"/>
      <c r="AA4829" s="18"/>
      <c r="AB4829" s="18"/>
      <c r="AC4829" s="18"/>
    </row>
    <row r="4830" spans="1:29" ht="32.25" hidden="1" customHeight="1">
      <c r="A4830" s="17"/>
      <c r="B4830" s="9" t="s">
        <v>13284</v>
      </c>
      <c r="C4830" s="9" t="s">
        <v>13284</v>
      </c>
      <c r="D4830" s="9" t="s">
        <v>13284</v>
      </c>
      <c r="E4830" s="9" t="s">
        <v>13284</v>
      </c>
      <c r="F4830" s="9" t="s">
        <v>13284</v>
      </c>
      <c r="G4830" s="9" t="s">
        <v>13284</v>
      </c>
      <c r="H4830" s="9" t="s">
        <v>13284</v>
      </c>
      <c r="I4830" s="9" t="s">
        <v>13284</v>
      </c>
      <c r="J4830" s="9" t="s">
        <v>13284</v>
      </c>
      <c r="K4830" s="9" t="s">
        <v>13284</v>
      </c>
      <c r="L4830" s="9" t="s">
        <v>13284</v>
      </c>
      <c r="M4830" s="9" t="s">
        <v>13284</v>
      </c>
      <c r="N4830" s="9" t="s">
        <v>13284</v>
      </c>
      <c r="O4830" s="9" t="s">
        <v>13284</v>
      </c>
      <c r="P4830" s="9" t="s">
        <v>13284</v>
      </c>
      <c r="Q4830" s="9" t="s">
        <v>13284</v>
      </c>
      <c r="R4830" s="9" t="s">
        <v>13284</v>
      </c>
      <c r="S4830" s="9" t="s">
        <v>13284</v>
      </c>
      <c r="T4830" s="9" t="str">
        <f ca="1">IFERROR(IF(AND(VLOOKUP(A4830, 'Актуальное состояние (из общего'!A:C,3,0) = "", A4830 &lt;&gt; ""), "ПРОВЕРИТЬ", VLOOKUP(A4830, 'Актуальное состояние (из общего'!A:C,3,0)), "")</f>
        <v/>
      </c>
      <c r="U4830" s="9" t="s">
        <v>13284</v>
      </c>
      <c r="V4830" s="9" t="s">
        <v>13284</v>
      </c>
      <c r="W4830" s="12"/>
      <c r="X4830" s="9" t="str">
        <f t="array" ref="X4830">IFERROR(INDEX('Адреса общежитий (скрытый)'!$B$2:$B$9, MATCH(W4830, 'Адреса общежитий (скрытый)'!$A$2:$A$9, 0)), "")</f>
        <v/>
      </c>
      <c r="Y4830" s="18"/>
      <c r="Z4830" s="18"/>
      <c r="AA4830" s="18"/>
      <c r="AB4830" s="18"/>
      <c r="AC4830" s="18"/>
    </row>
    <row r="4831" spans="1:29" ht="32.25" hidden="1" customHeight="1">
      <c r="A4831" s="17"/>
      <c r="B4831" s="9" t="s">
        <v>13284</v>
      </c>
      <c r="C4831" s="9" t="s">
        <v>13284</v>
      </c>
      <c r="D4831" s="9" t="s">
        <v>13284</v>
      </c>
      <c r="E4831" s="9" t="s">
        <v>13284</v>
      </c>
      <c r="F4831" s="9" t="s">
        <v>13284</v>
      </c>
      <c r="G4831" s="9" t="s">
        <v>13284</v>
      </c>
      <c r="H4831" s="9" t="s">
        <v>13284</v>
      </c>
      <c r="I4831" s="9" t="s">
        <v>13284</v>
      </c>
      <c r="J4831" s="9" t="s">
        <v>13284</v>
      </c>
      <c r="K4831" s="9" t="s">
        <v>13284</v>
      </c>
      <c r="L4831" s="9" t="s">
        <v>13284</v>
      </c>
      <c r="M4831" s="9" t="s">
        <v>13284</v>
      </c>
      <c r="N4831" s="9" t="s">
        <v>13284</v>
      </c>
      <c r="O4831" s="9" t="s">
        <v>13284</v>
      </c>
      <c r="P4831" s="9" t="s">
        <v>13284</v>
      </c>
      <c r="Q4831" s="9" t="s">
        <v>13284</v>
      </c>
      <c r="R4831" s="9" t="s">
        <v>13284</v>
      </c>
      <c r="S4831" s="9" t="s">
        <v>13284</v>
      </c>
      <c r="T4831" s="9" t="str">
        <f ca="1">IFERROR(IF(AND(VLOOKUP(A4831, 'Актуальное состояние (из общего'!A:C,3,0) = "", A4831 &lt;&gt; ""), "ПРОВЕРИТЬ", VLOOKUP(A4831, 'Актуальное состояние (из общего'!A:C,3,0)), "")</f>
        <v/>
      </c>
      <c r="U4831" s="9" t="s">
        <v>13284</v>
      </c>
      <c r="V4831" s="9" t="s">
        <v>13284</v>
      </c>
      <c r="W4831" s="12"/>
      <c r="X4831" s="9" t="str">
        <f t="array" ref="X4831">IFERROR(INDEX('Адреса общежитий (скрытый)'!$B$2:$B$9, MATCH(W4831, 'Адреса общежитий (скрытый)'!$A$2:$A$9, 0)), "")</f>
        <v/>
      </c>
      <c r="Y4831" s="18"/>
      <c r="Z4831" s="18"/>
      <c r="AA4831" s="18"/>
      <c r="AB4831" s="18"/>
      <c r="AC4831" s="18"/>
    </row>
    <row r="4832" spans="1:29" ht="32.25" hidden="1" customHeight="1">
      <c r="A4832" s="17"/>
      <c r="B4832" s="9" t="s">
        <v>13284</v>
      </c>
      <c r="C4832" s="9" t="s">
        <v>13284</v>
      </c>
      <c r="D4832" s="9" t="s">
        <v>13284</v>
      </c>
      <c r="E4832" s="9" t="s">
        <v>13284</v>
      </c>
      <c r="F4832" s="9" t="s">
        <v>13284</v>
      </c>
      <c r="G4832" s="9" t="s">
        <v>13284</v>
      </c>
      <c r="H4832" s="9" t="s">
        <v>13284</v>
      </c>
      <c r="I4832" s="9" t="s">
        <v>13284</v>
      </c>
      <c r="J4832" s="9" t="s">
        <v>13284</v>
      </c>
      <c r="K4832" s="9" t="s">
        <v>13284</v>
      </c>
      <c r="L4832" s="9" t="s">
        <v>13284</v>
      </c>
      <c r="M4832" s="9" t="s">
        <v>13284</v>
      </c>
      <c r="N4832" s="9" t="s">
        <v>13284</v>
      </c>
      <c r="O4832" s="9" t="s">
        <v>13284</v>
      </c>
      <c r="P4832" s="9" t="s">
        <v>13284</v>
      </c>
      <c r="Q4832" s="9" t="s">
        <v>13284</v>
      </c>
      <c r="R4832" s="9" t="s">
        <v>13284</v>
      </c>
      <c r="S4832" s="9" t="s">
        <v>13284</v>
      </c>
      <c r="T4832" s="9" t="str">
        <f ca="1">IFERROR(IF(AND(VLOOKUP(A4832, 'Актуальное состояние (из общего'!A:C,3,0) = "", A4832 &lt;&gt; ""), "ПРОВЕРИТЬ", VLOOKUP(A4832, 'Актуальное состояние (из общего'!A:C,3,0)), "")</f>
        <v/>
      </c>
      <c r="U4832" s="9" t="s">
        <v>13284</v>
      </c>
      <c r="V4832" s="9" t="s">
        <v>13284</v>
      </c>
      <c r="W4832" s="12"/>
      <c r="X4832" s="9" t="str">
        <f t="array" ref="X4832">IFERROR(INDEX('Адреса общежитий (скрытый)'!$B$2:$B$9, MATCH(W4832, 'Адреса общежитий (скрытый)'!$A$2:$A$9, 0)), "")</f>
        <v/>
      </c>
      <c r="Y4832" s="18"/>
      <c r="Z4832" s="18"/>
      <c r="AA4832" s="18"/>
      <c r="AB4832" s="18"/>
      <c r="AC4832" s="18"/>
    </row>
    <row r="4833" spans="1:29" ht="32.25" hidden="1" customHeight="1">
      <c r="A4833" s="17"/>
      <c r="B4833" s="9" t="s">
        <v>13284</v>
      </c>
      <c r="C4833" s="9" t="s">
        <v>13284</v>
      </c>
      <c r="D4833" s="9" t="s">
        <v>13284</v>
      </c>
      <c r="E4833" s="9" t="s">
        <v>13284</v>
      </c>
      <c r="F4833" s="9" t="s">
        <v>13284</v>
      </c>
      <c r="G4833" s="9" t="s">
        <v>13284</v>
      </c>
      <c r="H4833" s="9" t="s">
        <v>13284</v>
      </c>
      <c r="I4833" s="9" t="s">
        <v>13284</v>
      </c>
      <c r="J4833" s="9" t="s">
        <v>13284</v>
      </c>
      <c r="K4833" s="9" t="s">
        <v>13284</v>
      </c>
      <c r="L4833" s="9" t="s">
        <v>13284</v>
      </c>
      <c r="M4833" s="9" t="s">
        <v>13284</v>
      </c>
      <c r="N4833" s="9" t="s">
        <v>13284</v>
      </c>
      <c r="O4833" s="9" t="s">
        <v>13284</v>
      </c>
      <c r="P4833" s="9" t="s">
        <v>13284</v>
      </c>
      <c r="Q4833" s="9" t="s">
        <v>13284</v>
      </c>
      <c r="R4833" s="9" t="s">
        <v>13284</v>
      </c>
      <c r="S4833" s="9" t="s">
        <v>13284</v>
      </c>
      <c r="T4833" s="9" t="str">
        <f ca="1">IFERROR(IF(AND(VLOOKUP(A4833, 'Актуальное состояние (из общего'!A:C,3,0) = "", A4833 &lt;&gt; ""), "ПРОВЕРИТЬ", VLOOKUP(A4833, 'Актуальное состояние (из общего'!A:C,3,0)), "")</f>
        <v/>
      </c>
      <c r="U4833" s="9" t="s">
        <v>13284</v>
      </c>
      <c r="V4833" s="9" t="s">
        <v>13284</v>
      </c>
      <c r="W4833" s="12"/>
      <c r="X4833" s="9" t="str">
        <f t="array" ref="X4833">IFERROR(INDEX('Адреса общежитий (скрытый)'!$B$2:$B$9, MATCH(W4833, 'Адреса общежитий (скрытый)'!$A$2:$A$9, 0)), "")</f>
        <v/>
      </c>
      <c r="Y4833" s="18"/>
      <c r="Z4833" s="18"/>
      <c r="AA4833" s="18"/>
      <c r="AB4833" s="18"/>
      <c r="AC4833" s="18"/>
    </row>
    <row r="4834" spans="1:29" ht="32.25" hidden="1" customHeight="1">
      <c r="A4834" s="17"/>
      <c r="B4834" s="9" t="s">
        <v>13284</v>
      </c>
      <c r="C4834" s="9" t="s">
        <v>13284</v>
      </c>
      <c r="D4834" s="9" t="s">
        <v>13284</v>
      </c>
      <c r="E4834" s="9" t="s">
        <v>13284</v>
      </c>
      <c r="F4834" s="9" t="s">
        <v>13284</v>
      </c>
      <c r="G4834" s="9" t="s">
        <v>13284</v>
      </c>
      <c r="H4834" s="9" t="s">
        <v>13284</v>
      </c>
      <c r="I4834" s="9" t="s">
        <v>13284</v>
      </c>
      <c r="J4834" s="9" t="s">
        <v>13284</v>
      </c>
      <c r="K4834" s="9" t="s">
        <v>13284</v>
      </c>
      <c r="L4834" s="9" t="s">
        <v>13284</v>
      </c>
      <c r="M4834" s="9" t="s">
        <v>13284</v>
      </c>
      <c r="N4834" s="9" t="s">
        <v>13284</v>
      </c>
      <c r="O4834" s="9" t="s">
        <v>13284</v>
      </c>
      <c r="P4834" s="9" t="s">
        <v>13284</v>
      </c>
      <c r="Q4834" s="9" t="s">
        <v>13284</v>
      </c>
      <c r="R4834" s="9" t="s">
        <v>13284</v>
      </c>
      <c r="S4834" s="9" t="s">
        <v>13284</v>
      </c>
      <c r="T4834" s="9" t="str">
        <f ca="1">IFERROR(IF(AND(VLOOKUP(A4834, 'Актуальное состояние (из общего'!A:C,3,0) = "", A4834 &lt;&gt; ""), "ПРОВЕРИТЬ", VLOOKUP(A4834, 'Актуальное состояние (из общего'!A:C,3,0)), "")</f>
        <v/>
      </c>
      <c r="U4834" s="9" t="s">
        <v>13284</v>
      </c>
      <c r="V4834" s="9" t="s">
        <v>13284</v>
      </c>
      <c r="W4834" s="12"/>
      <c r="X4834" s="9" t="str">
        <f t="array" ref="X4834">IFERROR(INDEX('Адреса общежитий (скрытый)'!$B$2:$B$9, MATCH(W4834, 'Адреса общежитий (скрытый)'!$A$2:$A$9, 0)), "")</f>
        <v/>
      </c>
      <c r="Y4834" s="18"/>
      <c r="Z4834" s="18"/>
      <c r="AA4834" s="18"/>
      <c r="AB4834" s="18"/>
      <c r="AC4834" s="18"/>
    </row>
    <row r="4835" spans="1:29" ht="32.25" hidden="1" customHeight="1">
      <c r="A4835" s="17"/>
      <c r="B4835" s="9" t="s">
        <v>13284</v>
      </c>
      <c r="C4835" s="9" t="s">
        <v>13284</v>
      </c>
      <c r="D4835" s="9" t="s">
        <v>13284</v>
      </c>
      <c r="E4835" s="9" t="s">
        <v>13284</v>
      </c>
      <c r="F4835" s="9" t="s">
        <v>13284</v>
      </c>
      <c r="G4835" s="9" t="s">
        <v>13284</v>
      </c>
      <c r="H4835" s="9" t="s">
        <v>13284</v>
      </c>
      <c r="I4835" s="9" t="s">
        <v>13284</v>
      </c>
      <c r="J4835" s="9" t="s">
        <v>13284</v>
      </c>
      <c r="K4835" s="9" t="s">
        <v>13284</v>
      </c>
      <c r="L4835" s="9" t="s">
        <v>13284</v>
      </c>
      <c r="M4835" s="9" t="s">
        <v>13284</v>
      </c>
      <c r="N4835" s="9" t="s">
        <v>13284</v>
      </c>
      <c r="O4835" s="9" t="s">
        <v>13284</v>
      </c>
      <c r="P4835" s="9" t="s">
        <v>13284</v>
      </c>
      <c r="Q4835" s="9" t="s">
        <v>13284</v>
      </c>
      <c r="R4835" s="9" t="s">
        <v>13284</v>
      </c>
      <c r="S4835" s="9" t="s">
        <v>13284</v>
      </c>
      <c r="T4835" s="9" t="str">
        <f ca="1">IFERROR(IF(AND(VLOOKUP(A4835, 'Актуальное состояние (из общего'!A:C,3,0) = "", A4835 &lt;&gt; ""), "ПРОВЕРИТЬ", VLOOKUP(A4835, 'Актуальное состояние (из общего'!A:C,3,0)), "")</f>
        <v/>
      </c>
      <c r="U4835" s="9" t="s">
        <v>13284</v>
      </c>
      <c r="V4835" s="9" t="s">
        <v>13284</v>
      </c>
      <c r="W4835" s="12"/>
      <c r="X4835" s="9" t="str">
        <f t="array" ref="X4835">IFERROR(INDEX('Адреса общежитий (скрытый)'!$B$2:$B$9, MATCH(W4835, 'Адреса общежитий (скрытый)'!$A$2:$A$9, 0)), "")</f>
        <v/>
      </c>
      <c r="Y4835" s="18"/>
      <c r="Z4835" s="18"/>
      <c r="AA4835" s="18"/>
      <c r="AB4835" s="18"/>
      <c r="AC4835" s="18"/>
    </row>
    <row r="4836" spans="1:29" ht="32.25" hidden="1" customHeight="1">
      <c r="A4836" s="17"/>
      <c r="B4836" s="9" t="s">
        <v>13284</v>
      </c>
      <c r="C4836" s="9" t="s">
        <v>13284</v>
      </c>
      <c r="D4836" s="9" t="s">
        <v>13284</v>
      </c>
      <c r="E4836" s="9" t="s">
        <v>13284</v>
      </c>
      <c r="F4836" s="9" t="s">
        <v>13284</v>
      </c>
      <c r="G4836" s="9" t="s">
        <v>13284</v>
      </c>
      <c r="H4836" s="9" t="s">
        <v>13284</v>
      </c>
      <c r="I4836" s="9" t="s">
        <v>13284</v>
      </c>
      <c r="J4836" s="9" t="s">
        <v>13284</v>
      </c>
      <c r="K4836" s="9" t="s">
        <v>13284</v>
      </c>
      <c r="L4836" s="9" t="s">
        <v>13284</v>
      </c>
      <c r="M4836" s="9" t="s">
        <v>13284</v>
      </c>
      <c r="N4836" s="9" t="s">
        <v>13284</v>
      </c>
      <c r="O4836" s="9" t="s">
        <v>13284</v>
      </c>
      <c r="P4836" s="9" t="s">
        <v>13284</v>
      </c>
      <c r="Q4836" s="9" t="s">
        <v>13284</v>
      </c>
      <c r="R4836" s="9" t="s">
        <v>13284</v>
      </c>
      <c r="S4836" s="9" t="s">
        <v>13284</v>
      </c>
      <c r="T4836" s="9" t="str">
        <f ca="1">IFERROR(IF(AND(VLOOKUP(A4836, 'Актуальное состояние (из общего'!A:C,3,0) = "", A4836 &lt;&gt; ""), "ПРОВЕРИТЬ", VLOOKUP(A4836, 'Актуальное состояние (из общего'!A:C,3,0)), "")</f>
        <v/>
      </c>
      <c r="U4836" s="9" t="s">
        <v>13284</v>
      </c>
      <c r="V4836" s="9" t="s">
        <v>13284</v>
      </c>
      <c r="W4836" s="12"/>
      <c r="X4836" s="9" t="str">
        <f t="array" ref="X4836">IFERROR(INDEX('Адреса общежитий (скрытый)'!$B$2:$B$9, MATCH(W4836, 'Адреса общежитий (скрытый)'!$A$2:$A$9, 0)), "")</f>
        <v/>
      </c>
      <c r="Y4836" s="18"/>
      <c r="Z4836" s="18"/>
      <c r="AA4836" s="18"/>
      <c r="AB4836" s="18"/>
      <c r="AC4836" s="18"/>
    </row>
    <row r="4837" spans="1:29" ht="32.25" hidden="1" customHeight="1">
      <c r="A4837" s="17"/>
      <c r="B4837" s="9" t="s">
        <v>13284</v>
      </c>
      <c r="C4837" s="9" t="s">
        <v>13284</v>
      </c>
      <c r="D4837" s="9" t="s">
        <v>13284</v>
      </c>
      <c r="E4837" s="9" t="s">
        <v>13284</v>
      </c>
      <c r="F4837" s="9" t="s">
        <v>13284</v>
      </c>
      <c r="G4837" s="9" t="s">
        <v>13284</v>
      </c>
      <c r="H4837" s="9" t="s">
        <v>13284</v>
      </c>
      <c r="I4837" s="9" t="s">
        <v>13284</v>
      </c>
      <c r="J4837" s="9" t="s">
        <v>13284</v>
      </c>
      <c r="K4837" s="9" t="s">
        <v>13284</v>
      </c>
      <c r="L4837" s="9" t="s">
        <v>13284</v>
      </c>
      <c r="M4837" s="9" t="s">
        <v>13284</v>
      </c>
      <c r="N4837" s="9" t="s">
        <v>13284</v>
      </c>
      <c r="O4837" s="9" t="s">
        <v>13284</v>
      </c>
      <c r="P4837" s="9" t="s">
        <v>13284</v>
      </c>
      <c r="Q4837" s="9" t="s">
        <v>13284</v>
      </c>
      <c r="R4837" s="9" t="s">
        <v>13284</v>
      </c>
      <c r="S4837" s="9" t="s">
        <v>13284</v>
      </c>
      <c r="T4837" s="9" t="str">
        <f ca="1">IFERROR(IF(AND(VLOOKUP(A4837, 'Актуальное состояние (из общего'!A:C,3,0) = "", A4837 &lt;&gt; ""), "ПРОВЕРИТЬ", VLOOKUP(A4837, 'Актуальное состояние (из общего'!A:C,3,0)), "")</f>
        <v/>
      </c>
      <c r="U4837" s="9" t="s">
        <v>13284</v>
      </c>
      <c r="V4837" s="9" t="s">
        <v>13284</v>
      </c>
      <c r="W4837" s="12"/>
      <c r="X4837" s="9" t="str">
        <f t="array" ref="X4837">IFERROR(INDEX('Адреса общежитий (скрытый)'!$B$2:$B$9, MATCH(W4837, 'Адреса общежитий (скрытый)'!$A$2:$A$9, 0)), "")</f>
        <v/>
      </c>
      <c r="Y4837" s="18"/>
      <c r="Z4837" s="18"/>
      <c r="AA4837" s="18"/>
      <c r="AB4837" s="18"/>
      <c r="AC4837" s="18"/>
    </row>
    <row r="4838" spans="1:29" ht="32.25" hidden="1" customHeight="1">
      <c r="A4838" s="17"/>
      <c r="B4838" s="9" t="s">
        <v>13284</v>
      </c>
      <c r="C4838" s="9" t="s">
        <v>13284</v>
      </c>
      <c r="D4838" s="9" t="s">
        <v>13284</v>
      </c>
      <c r="E4838" s="9" t="s">
        <v>13284</v>
      </c>
      <c r="F4838" s="9" t="s">
        <v>13284</v>
      </c>
      <c r="G4838" s="9" t="s">
        <v>13284</v>
      </c>
      <c r="H4838" s="9" t="s">
        <v>13284</v>
      </c>
      <c r="I4838" s="9" t="s">
        <v>13284</v>
      </c>
      <c r="J4838" s="9" t="s">
        <v>13284</v>
      </c>
      <c r="K4838" s="9" t="s">
        <v>13284</v>
      </c>
      <c r="L4838" s="9" t="s">
        <v>13284</v>
      </c>
      <c r="M4838" s="9" t="s">
        <v>13284</v>
      </c>
      <c r="N4838" s="9" t="s">
        <v>13284</v>
      </c>
      <c r="O4838" s="9" t="s">
        <v>13284</v>
      </c>
      <c r="P4838" s="9" t="s">
        <v>13284</v>
      </c>
      <c r="Q4838" s="9" t="s">
        <v>13284</v>
      </c>
      <c r="R4838" s="9" t="s">
        <v>13284</v>
      </c>
      <c r="S4838" s="9" t="s">
        <v>13284</v>
      </c>
      <c r="T4838" s="9" t="str">
        <f ca="1">IFERROR(IF(AND(VLOOKUP(A4838, 'Актуальное состояние (из общего'!A:C,3,0) = "", A4838 &lt;&gt; ""), "ПРОВЕРИТЬ", VLOOKUP(A4838, 'Актуальное состояние (из общего'!A:C,3,0)), "")</f>
        <v/>
      </c>
      <c r="U4838" s="9" t="s">
        <v>13284</v>
      </c>
      <c r="V4838" s="9" t="s">
        <v>13284</v>
      </c>
      <c r="W4838" s="12"/>
      <c r="X4838" s="9" t="str">
        <f t="array" ref="X4838">IFERROR(INDEX('Адреса общежитий (скрытый)'!$B$2:$B$9, MATCH(W4838, 'Адреса общежитий (скрытый)'!$A$2:$A$9, 0)), "")</f>
        <v/>
      </c>
      <c r="Y4838" s="18"/>
      <c r="Z4838" s="18"/>
      <c r="AA4838" s="18"/>
      <c r="AB4838" s="18"/>
      <c r="AC4838" s="18"/>
    </row>
    <row r="4839" spans="1:29" ht="32.25" hidden="1" customHeight="1">
      <c r="A4839" s="17"/>
      <c r="B4839" s="9" t="s">
        <v>13284</v>
      </c>
      <c r="C4839" s="9" t="s">
        <v>13284</v>
      </c>
      <c r="D4839" s="9" t="s">
        <v>13284</v>
      </c>
      <c r="E4839" s="9" t="s">
        <v>13284</v>
      </c>
      <c r="F4839" s="9" t="s">
        <v>13284</v>
      </c>
      <c r="G4839" s="9" t="s">
        <v>13284</v>
      </c>
      <c r="H4839" s="9" t="s">
        <v>13284</v>
      </c>
      <c r="I4839" s="9" t="s">
        <v>13284</v>
      </c>
      <c r="J4839" s="9" t="s">
        <v>13284</v>
      </c>
      <c r="K4839" s="9" t="s">
        <v>13284</v>
      </c>
      <c r="L4839" s="9" t="s">
        <v>13284</v>
      </c>
      <c r="M4839" s="9" t="s">
        <v>13284</v>
      </c>
      <c r="N4839" s="9" t="s">
        <v>13284</v>
      </c>
      <c r="O4839" s="9" t="s">
        <v>13284</v>
      </c>
      <c r="P4839" s="9" t="s">
        <v>13284</v>
      </c>
      <c r="Q4839" s="9" t="s">
        <v>13284</v>
      </c>
      <c r="R4839" s="9" t="s">
        <v>13284</v>
      </c>
      <c r="S4839" s="9" t="s">
        <v>13284</v>
      </c>
      <c r="T4839" s="9" t="str">
        <f ca="1">IFERROR(IF(AND(VLOOKUP(A4839, 'Актуальное состояние (из общего'!A:C,3,0) = "", A4839 &lt;&gt; ""), "ПРОВЕРИТЬ", VLOOKUP(A4839, 'Актуальное состояние (из общего'!A:C,3,0)), "")</f>
        <v/>
      </c>
      <c r="U4839" s="9" t="s">
        <v>13284</v>
      </c>
      <c r="V4839" s="9" t="s">
        <v>13284</v>
      </c>
      <c r="W4839" s="12"/>
      <c r="X4839" s="9" t="str">
        <f t="array" ref="X4839">IFERROR(INDEX('Адреса общежитий (скрытый)'!$B$2:$B$9, MATCH(W4839, 'Адреса общежитий (скрытый)'!$A$2:$A$9, 0)), "")</f>
        <v/>
      </c>
      <c r="Y4839" s="18"/>
      <c r="Z4839" s="18"/>
      <c r="AA4839" s="18"/>
      <c r="AB4839" s="18"/>
      <c r="AC4839" s="18"/>
    </row>
    <row r="4840" spans="1:29" ht="32.25" hidden="1" customHeight="1">
      <c r="A4840" s="17"/>
      <c r="B4840" s="9" t="s">
        <v>13284</v>
      </c>
      <c r="C4840" s="9" t="s">
        <v>13284</v>
      </c>
      <c r="D4840" s="9" t="s">
        <v>13284</v>
      </c>
      <c r="E4840" s="9" t="s">
        <v>13284</v>
      </c>
      <c r="F4840" s="9" t="s">
        <v>13284</v>
      </c>
      <c r="G4840" s="9" t="s">
        <v>13284</v>
      </c>
      <c r="H4840" s="9" t="s">
        <v>13284</v>
      </c>
      <c r="I4840" s="9" t="s">
        <v>13284</v>
      </c>
      <c r="J4840" s="9" t="s">
        <v>13284</v>
      </c>
      <c r="K4840" s="9" t="s">
        <v>13284</v>
      </c>
      <c r="L4840" s="9" t="s">
        <v>13284</v>
      </c>
      <c r="M4840" s="9" t="s">
        <v>13284</v>
      </c>
      <c r="N4840" s="9" t="s">
        <v>13284</v>
      </c>
      <c r="O4840" s="9" t="s">
        <v>13284</v>
      </c>
      <c r="P4840" s="9" t="s">
        <v>13284</v>
      </c>
      <c r="Q4840" s="9" t="s">
        <v>13284</v>
      </c>
      <c r="R4840" s="9" t="s">
        <v>13284</v>
      </c>
      <c r="S4840" s="9" t="s">
        <v>13284</v>
      </c>
      <c r="T4840" s="9" t="str">
        <f ca="1">IFERROR(IF(AND(VLOOKUP(A4840, 'Актуальное состояние (из общего'!A:C,3,0) = "", A4840 &lt;&gt; ""), "ПРОВЕРИТЬ", VLOOKUP(A4840, 'Актуальное состояние (из общего'!A:C,3,0)), "")</f>
        <v/>
      </c>
      <c r="U4840" s="9" t="s">
        <v>13284</v>
      </c>
      <c r="V4840" s="9" t="s">
        <v>13284</v>
      </c>
      <c r="W4840" s="12"/>
      <c r="X4840" s="9" t="str">
        <f t="array" ref="X4840">IFERROR(INDEX('Адреса общежитий (скрытый)'!$B$2:$B$9, MATCH(W4840, 'Адреса общежитий (скрытый)'!$A$2:$A$9, 0)), "")</f>
        <v/>
      </c>
      <c r="Y4840" s="18"/>
      <c r="Z4840" s="18"/>
      <c r="AA4840" s="18"/>
      <c r="AB4840" s="18"/>
      <c r="AC4840" s="18"/>
    </row>
    <row r="4841" spans="1:29" ht="32.25" hidden="1" customHeight="1">
      <c r="A4841" s="17"/>
      <c r="B4841" s="9" t="s">
        <v>13284</v>
      </c>
      <c r="C4841" s="9" t="s">
        <v>13284</v>
      </c>
      <c r="D4841" s="9" t="s">
        <v>13284</v>
      </c>
      <c r="E4841" s="9" t="s">
        <v>13284</v>
      </c>
      <c r="F4841" s="9" t="s">
        <v>13284</v>
      </c>
      <c r="G4841" s="9" t="s">
        <v>13284</v>
      </c>
      <c r="H4841" s="9" t="s">
        <v>13284</v>
      </c>
      <c r="I4841" s="9" t="s">
        <v>13284</v>
      </c>
      <c r="J4841" s="9" t="s">
        <v>13284</v>
      </c>
      <c r="K4841" s="9" t="s">
        <v>13284</v>
      </c>
      <c r="L4841" s="9" t="s">
        <v>13284</v>
      </c>
      <c r="M4841" s="9" t="s">
        <v>13284</v>
      </c>
      <c r="N4841" s="9" t="s">
        <v>13284</v>
      </c>
      <c r="O4841" s="9" t="s">
        <v>13284</v>
      </c>
      <c r="P4841" s="9" t="s">
        <v>13284</v>
      </c>
      <c r="Q4841" s="9" t="s">
        <v>13284</v>
      </c>
      <c r="R4841" s="9" t="s">
        <v>13284</v>
      </c>
      <c r="S4841" s="9" t="s">
        <v>13284</v>
      </c>
      <c r="T4841" s="9" t="str">
        <f ca="1">IFERROR(IF(AND(VLOOKUP(A4841, 'Актуальное состояние (из общего'!A:C,3,0) = "", A4841 &lt;&gt; ""), "ПРОВЕРИТЬ", VLOOKUP(A4841, 'Актуальное состояние (из общего'!A:C,3,0)), "")</f>
        <v/>
      </c>
      <c r="U4841" s="9" t="s">
        <v>13284</v>
      </c>
      <c r="V4841" s="9" t="s">
        <v>13284</v>
      </c>
      <c r="W4841" s="12"/>
      <c r="X4841" s="9" t="str">
        <f t="array" ref="X4841">IFERROR(INDEX('Адреса общежитий (скрытый)'!$B$2:$B$9, MATCH(W4841, 'Адреса общежитий (скрытый)'!$A$2:$A$9, 0)), "")</f>
        <v/>
      </c>
      <c r="Y4841" s="18"/>
      <c r="Z4841" s="18"/>
      <c r="AA4841" s="18"/>
      <c r="AB4841" s="18"/>
      <c r="AC4841" s="18"/>
    </row>
    <row r="4842" spans="1:29" ht="32.25" hidden="1" customHeight="1">
      <c r="A4842" s="17"/>
      <c r="B4842" s="9" t="s">
        <v>13284</v>
      </c>
      <c r="C4842" s="9" t="s">
        <v>13284</v>
      </c>
      <c r="D4842" s="9" t="s">
        <v>13284</v>
      </c>
      <c r="E4842" s="9" t="s">
        <v>13284</v>
      </c>
      <c r="F4842" s="9" t="s">
        <v>13284</v>
      </c>
      <c r="G4842" s="9" t="s">
        <v>13284</v>
      </c>
      <c r="H4842" s="9" t="s">
        <v>13284</v>
      </c>
      <c r="I4842" s="9" t="s">
        <v>13284</v>
      </c>
      <c r="J4842" s="9" t="s">
        <v>13284</v>
      </c>
      <c r="K4842" s="9" t="s">
        <v>13284</v>
      </c>
      <c r="L4842" s="9" t="s">
        <v>13284</v>
      </c>
      <c r="M4842" s="9" t="s">
        <v>13284</v>
      </c>
      <c r="N4842" s="9" t="s">
        <v>13284</v>
      </c>
      <c r="O4842" s="9" t="s">
        <v>13284</v>
      </c>
      <c r="P4842" s="9" t="s">
        <v>13284</v>
      </c>
      <c r="Q4842" s="9" t="s">
        <v>13284</v>
      </c>
      <c r="R4842" s="9" t="s">
        <v>13284</v>
      </c>
      <c r="S4842" s="9" t="s">
        <v>13284</v>
      </c>
      <c r="T4842" s="9" t="str">
        <f ca="1">IFERROR(IF(AND(VLOOKUP(A4842, 'Актуальное состояние (из общего'!A:C,3,0) = "", A4842 &lt;&gt; ""), "ПРОВЕРИТЬ", VLOOKUP(A4842, 'Актуальное состояние (из общего'!A:C,3,0)), "")</f>
        <v/>
      </c>
      <c r="U4842" s="9" t="s">
        <v>13284</v>
      </c>
      <c r="V4842" s="9" t="s">
        <v>13284</v>
      </c>
      <c r="W4842" s="12"/>
      <c r="X4842" s="9" t="str">
        <f t="array" ref="X4842">IFERROR(INDEX('Адреса общежитий (скрытый)'!$B$2:$B$9, MATCH(W4842, 'Адреса общежитий (скрытый)'!$A$2:$A$9, 0)), "")</f>
        <v/>
      </c>
      <c r="Y4842" s="18"/>
      <c r="Z4842" s="18"/>
      <c r="AA4842" s="18"/>
      <c r="AB4842" s="18"/>
      <c r="AC4842" s="18"/>
    </row>
    <row r="4843" spans="1:29" ht="32.25" hidden="1" customHeight="1">
      <c r="A4843" s="17"/>
      <c r="B4843" s="9" t="s">
        <v>13284</v>
      </c>
      <c r="C4843" s="9" t="s">
        <v>13284</v>
      </c>
      <c r="D4843" s="9" t="s">
        <v>13284</v>
      </c>
      <c r="E4843" s="9" t="s">
        <v>13284</v>
      </c>
      <c r="F4843" s="9" t="s">
        <v>13284</v>
      </c>
      <c r="G4843" s="9" t="s">
        <v>13284</v>
      </c>
      <c r="H4843" s="9" t="s">
        <v>13284</v>
      </c>
      <c r="I4843" s="9" t="s">
        <v>13284</v>
      </c>
      <c r="J4843" s="9" t="s">
        <v>13284</v>
      </c>
      <c r="K4843" s="9" t="s">
        <v>13284</v>
      </c>
      <c r="L4843" s="9" t="s">
        <v>13284</v>
      </c>
      <c r="M4843" s="9" t="s">
        <v>13284</v>
      </c>
      <c r="N4843" s="9" t="s">
        <v>13284</v>
      </c>
      <c r="O4843" s="9" t="s">
        <v>13284</v>
      </c>
      <c r="P4843" s="9" t="s">
        <v>13284</v>
      </c>
      <c r="Q4843" s="9" t="s">
        <v>13284</v>
      </c>
      <c r="R4843" s="9" t="s">
        <v>13284</v>
      </c>
      <c r="S4843" s="9" t="s">
        <v>13284</v>
      </c>
      <c r="T4843" s="9" t="str">
        <f ca="1">IFERROR(IF(AND(VLOOKUP(A4843, 'Актуальное состояние (из общего'!A:C,3,0) = "", A4843 &lt;&gt; ""), "ПРОВЕРИТЬ", VLOOKUP(A4843, 'Актуальное состояние (из общего'!A:C,3,0)), "")</f>
        <v/>
      </c>
      <c r="U4843" s="9" t="s">
        <v>13284</v>
      </c>
      <c r="V4843" s="9" t="s">
        <v>13284</v>
      </c>
      <c r="W4843" s="12"/>
      <c r="X4843" s="9" t="str">
        <f t="array" ref="X4843">IFERROR(INDEX('Адреса общежитий (скрытый)'!$B$2:$B$9, MATCH(W4843, 'Адреса общежитий (скрытый)'!$A$2:$A$9, 0)), "")</f>
        <v/>
      </c>
      <c r="Y4843" s="18"/>
      <c r="Z4843" s="18"/>
      <c r="AA4843" s="18"/>
      <c r="AB4843" s="18"/>
      <c r="AC4843" s="18"/>
    </row>
    <row r="4844" spans="1:29" ht="32.25" hidden="1" customHeight="1">
      <c r="A4844" s="17"/>
      <c r="B4844" s="9" t="s">
        <v>13284</v>
      </c>
      <c r="C4844" s="9" t="s">
        <v>13284</v>
      </c>
      <c r="D4844" s="9" t="s">
        <v>13284</v>
      </c>
      <c r="E4844" s="9" t="s">
        <v>13284</v>
      </c>
      <c r="F4844" s="9" t="s">
        <v>13284</v>
      </c>
      <c r="G4844" s="9" t="s">
        <v>13284</v>
      </c>
      <c r="H4844" s="9" t="s">
        <v>13284</v>
      </c>
      <c r="I4844" s="9" t="s">
        <v>13284</v>
      </c>
      <c r="J4844" s="9" t="s">
        <v>13284</v>
      </c>
      <c r="K4844" s="9" t="s">
        <v>13284</v>
      </c>
      <c r="L4844" s="9" t="s">
        <v>13284</v>
      </c>
      <c r="M4844" s="9" t="s">
        <v>13284</v>
      </c>
      <c r="N4844" s="9" t="s">
        <v>13284</v>
      </c>
      <c r="O4844" s="9" t="s">
        <v>13284</v>
      </c>
      <c r="P4844" s="9" t="s">
        <v>13284</v>
      </c>
      <c r="Q4844" s="9" t="s">
        <v>13284</v>
      </c>
      <c r="R4844" s="9" t="s">
        <v>13284</v>
      </c>
      <c r="S4844" s="9" t="s">
        <v>13284</v>
      </c>
      <c r="T4844" s="9" t="str">
        <f ca="1">IFERROR(IF(AND(VLOOKUP(A4844, 'Актуальное состояние (из общего'!A:C,3,0) = "", A4844 &lt;&gt; ""), "ПРОВЕРИТЬ", VLOOKUP(A4844, 'Актуальное состояние (из общего'!A:C,3,0)), "")</f>
        <v/>
      </c>
      <c r="U4844" s="9" t="s">
        <v>13284</v>
      </c>
      <c r="V4844" s="9" t="s">
        <v>13284</v>
      </c>
      <c r="W4844" s="12"/>
      <c r="X4844" s="9" t="str">
        <f t="array" ref="X4844">IFERROR(INDEX('Адреса общежитий (скрытый)'!$B$2:$B$9, MATCH(W4844, 'Адреса общежитий (скрытый)'!$A$2:$A$9, 0)), "")</f>
        <v/>
      </c>
      <c r="Y4844" s="18"/>
      <c r="Z4844" s="18"/>
      <c r="AA4844" s="18"/>
      <c r="AB4844" s="18"/>
      <c r="AC4844" s="18"/>
    </row>
    <row r="4845" spans="1:29" ht="32.25" hidden="1" customHeight="1">
      <c r="A4845" s="17"/>
      <c r="B4845" s="9" t="s">
        <v>13284</v>
      </c>
      <c r="C4845" s="9" t="s">
        <v>13284</v>
      </c>
      <c r="D4845" s="9" t="s">
        <v>13284</v>
      </c>
      <c r="E4845" s="9" t="s">
        <v>13284</v>
      </c>
      <c r="F4845" s="9" t="s">
        <v>13284</v>
      </c>
      <c r="G4845" s="9" t="s">
        <v>13284</v>
      </c>
      <c r="H4845" s="9" t="s">
        <v>13284</v>
      </c>
      <c r="I4845" s="9" t="s">
        <v>13284</v>
      </c>
      <c r="J4845" s="9" t="s">
        <v>13284</v>
      </c>
      <c r="K4845" s="9" t="s">
        <v>13284</v>
      </c>
      <c r="L4845" s="9" t="s">
        <v>13284</v>
      </c>
      <c r="M4845" s="9" t="s">
        <v>13284</v>
      </c>
      <c r="N4845" s="9" t="s">
        <v>13284</v>
      </c>
      <c r="O4845" s="9" t="s">
        <v>13284</v>
      </c>
      <c r="P4845" s="9" t="s">
        <v>13284</v>
      </c>
      <c r="Q4845" s="9" t="s">
        <v>13284</v>
      </c>
      <c r="R4845" s="9" t="s">
        <v>13284</v>
      </c>
      <c r="S4845" s="9" t="s">
        <v>13284</v>
      </c>
      <c r="T4845" s="9" t="str">
        <f ca="1">IFERROR(IF(AND(VLOOKUP(A4845, 'Актуальное состояние (из общего'!A:C,3,0) = "", A4845 &lt;&gt; ""), "ПРОВЕРИТЬ", VLOOKUP(A4845, 'Актуальное состояние (из общего'!A:C,3,0)), "")</f>
        <v/>
      </c>
      <c r="U4845" s="9" t="s">
        <v>13284</v>
      </c>
      <c r="V4845" s="9" t="s">
        <v>13284</v>
      </c>
      <c r="W4845" s="12"/>
      <c r="X4845" s="9" t="str">
        <f t="array" ref="X4845">IFERROR(INDEX('Адреса общежитий (скрытый)'!$B$2:$B$9, MATCH(W4845, 'Адреса общежитий (скрытый)'!$A$2:$A$9, 0)), "")</f>
        <v/>
      </c>
      <c r="Y4845" s="18"/>
      <c r="Z4845" s="18"/>
      <c r="AA4845" s="18"/>
      <c r="AB4845" s="18"/>
      <c r="AC4845" s="18"/>
    </row>
    <row r="4846" spans="1:29" ht="32.25" hidden="1" customHeight="1">
      <c r="A4846" s="17"/>
      <c r="B4846" s="9" t="s">
        <v>13284</v>
      </c>
      <c r="C4846" s="9" t="s">
        <v>13284</v>
      </c>
      <c r="D4846" s="9" t="s">
        <v>13284</v>
      </c>
      <c r="E4846" s="9" t="s">
        <v>13284</v>
      </c>
      <c r="F4846" s="9" t="s">
        <v>13284</v>
      </c>
      <c r="G4846" s="9" t="s">
        <v>13284</v>
      </c>
      <c r="H4846" s="9" t="s">
        <v>13284</v>
      </c>
      <c r="I4846" s="9" t="s">
        <v>13284</v>
      </c>
      <c r="J4846" s="9" t="s">
        <v>13284</v>
      </c>
      <c r="K4846" s="9" t="s">
        <v>13284</v>
      </c>
      <c r="L4846" s="9" t="s">
        <v>13284</v>
      </c>
      <c r="M4846" s="9" t="s">
        <v>13284</v>
      </c>
      <c r="N4846" s="9" t="s">
        <v>13284</v>
      </c>
      <c r="O4846" s="9" t="s">
        <v>13284</v>
      </c>
      <c r="P4846" s="9" t="s">
        <v>13284</v>
      </c>
      <c r="Q4846" s="9" t="s">
        <v>13284</v>
      </c>
      <c r="R4846" s="9" t="s">
        <v>13284</v>
      </c>
      <c r="S4846" s="9" t="s">
        <v>13284</v>
      </c>
      <c r="T4846" s="9" t="str">
        <f ca="1">IFERROR(IF(AND(VLOOKUP(A4846, 'Актуальное состояние (из общего'!A:C,3,0) = "", A4846 &lt;&gt; ""), "ПРОВЕРИТЬ", VLOOKUP(A4846, 'Актуальное состояние (из общего'!A:C,3,0)), "")</f>
        <v/>
      </c>
      <c r="U4846" s="9" t="s">
        <v>13284</v>
      </c>
      <c r="V4846" s="9" t="s">
        <v>13284</v>
      </c>
      <c r="W4846" s="12"/>
      <c r="X4846" s="9" t="str">
        <f t="array" ref="X4846">IFERROR(INDEX('Адреса общежитий (скрытый)'!$B$2:$B$9, MATCH(W4846, 'Адреса общежитий (скрытый)'!$A$2:$A$9, 0)), "")</f>
        <v/>
      </c>
      <c r="Y4846" s="18"/>
      <c r="Z4846" s="18"/>
      <c r="AA4846" s="18"/>
      <c r="AB4846" s="18"/>
      <c r="AC4846" s="18"/>
    </row>
    <row r="4847" spans="1:29" ht="32.25" hidden="1" customHeight="1">
      <c r="A4847" s="17"/>
      <c r="B4847" s="9" t="s">
        <v>13284</v>
      </c>
      <c r="C4847" s="9" t="s">
        <v>13284</v>
      </c>
      <c r="D4847" s="9" t="s">
        <v>13284</v>
      </c>
      <c r="E4847" s="9" t="s">
        <v>13284</v>
      </c>
      <c r="F4847" s="9" t="s">
        <v>13284</v>
      </c>
      <c r="G4847" s="9" t="s">
        <v>13284</v>
      </c>
      <c r="H4847" s="9" t="s">
        <v>13284</v>
      </c>
      <c r="I4847" s="9" t="s">
        <v>13284</v>
      </c>
      <c r="J4847" s="9" t="s">
        <v>13284</v>
      </c>
      <c r="K4847" s="9" t="s">
        <v>13284</v>
      </c>
      <c r="L4847" s="9" t="s">
        <v>13284</v>
      </c>
      <c r="M4847" s="9" t="s">
        <v>13284</v>
      </c>
      <c r="N4847" s="9" t="s">
        <v>13284</v>
      </c>
      <c r="O4847" s="9" t="s">
        <v>13284</v>
      </c>
      <c r="P4847" s="9" t="s">
        <v>13284</v>
      </c>
      <c r="Q4847" s="9" t="s">
        <v>13284</v>
      </c>
      <c r="R4847" s="9" t="s">
        <v>13284</v>
      </c>
      <c r="S4847" s="9" t="s">
        <v>13284</v>
      </c>
      <c r="T4847" s="9" t="str">
        <f ca="1">IFERROR(IF(AND(VLOOKUP(A4847, 'Актуальное состояние (из общего'!A:C,3,0) = "", A4847 &lt;&gt; ""), "ПРОВЕРИТЬ", VLOOKUP(A4847, 'Актуальное состояние (из общего'!A:C,3,0)), "")</f>
        <v/>
      </c>
      <c r="U4847" s="9" t="s">
        <v>13284</v>
      </c>
      <c r="V4847" s="9" t="s">
        <v>13284</v>
      </c>
      <c r="W4847" s="12"/>
      <c r="X4847" s="9" t="str">
        <f t="array" ref="X4847">IFERROR(INDEX('Адреса общежитий (скрытый)'!$B$2:$B$9, MATCH(W4847, 'Адреса общежитий (скрытый)'!$A$2:$A$9, 0)), "")</f>
        <v/>
      </c>
      <c r="Y4847" s="18"/>
      <c r="Z4847" s="18"/>
      <c r="AA4847" s="18"/>
      <c r="AB4847" s="18"/>
      <c r="AC4847" s="18"/>
    </row>
    <row r="4848" spans="1:29" ht="32.25" hidden="1" customHeight="1">
      <c r="A4848" s="17"/>
      <c r="B4848" s="9" t="s">
        <v>13284</v>
      </c>
      <c r="C4848" s="9" t="s">
        <v>13284</v>
      </c>
      <c r="D4848" s="9" t="s">
        <v>13284</v>
      </c>
      <c r="E4848" s="9" t="s">
        <v>13284</v>
      </c>
      <c r="F4848" s="9" t="s">
        <v>13284</v>
      </c>
      <c r="G4848" s="9" t="s">
        <v>13284</v>
      </c>
      <c r="H4848" s="9" t="s">
        <v>13284</v>
      </c>
      <c r="I4848" s="9" t="s">
        <v>13284</v>
      </c>
      <c r="J4848" s="9" t="s">
        <v>13284</v>
      </c>
      <c r="K4848" s="9" t="s">
        <v>13284</v>
      </c>
      <c r="L4848" s="9" t="s">
        <v>13284</v>
      </c>
      <c r="M4848" s="9" t="s">
        <v>13284</v>
      </c>
      <c r="N4848" s="9" t="s">
        <v>13284</v>
      </c>
      <c r="O4848" s="9" t="s">
        <v>13284</v>
      </c>
      <c r="P4848" s="9" t="s">
        <v>13284</v>
      </c>
      <c r="Q4848" s="9" t="s">
        <v>13284</v>
      </c>
      <c r="R4848" s="9" t="s">
        <v>13284</v>
      </c>
      <c r="S4848" s="9" t="s">
        <v>13284</v>
      </c>
      <c r="T4848" s="9" t="str">
        <f ca="1">IFERROR(IF(AND(VLOOKUP(A4848, 'Актуальное состояние (из общего'!A:C,3,0) = "", A4848 &lt;&gt; ""), "ПРОВЕРИТЬ", VLOOKUP(A4848, 'Актуальное состояние (из общего'!A:C,3,0)), "")</f>
        <v/>
      </c>
      <c r="U4848" s="9" t="s">
        <v>13284</v>
      </c>
      <c r="V4848" s="9" t="s">
        <v>13284</v>
      </c>
      <c r="W4848" s="12"/>
      <c r="X4848" s="9" t="str">
        <f t="array" ref="X4848">IFERROR(INDEX('Адреса общежитий (скрытый)'!$B$2:$B$9, MATCH(W4848, 'Адреса общежитий (скрытый)'!$A$2:$A$9, 0)), "")</f>
        <v/>
      </c>
      <c r="Y4848" s="18"/>
      <c r="Z4848" s="18"/>
      <c r="AA4848" s="18"/>
      <c r="AB4848" s="18"/>
      <c r="AC4848" s="18"/>
    </row>
    <row r="4849" spans="1:29" ht="32.25" hidden="1" customHeight="1">
      <c r="A4849" s="17"/>
      <c r="B4849" s="9" t="s">
        <v>13284</v>
      </c>
      <c r="C4849" s="9" t="s">
        <v>13284</v>
      </c>
      <c r="D4849" s="9" t="s">
        <v>13284</v>
      </c>
      <c r="E4849" s="9" t="s">
        <v>13284</v>
      </c>
      <c r="F4849" s="9" t="s">
        <v>13284</v>
      </c>
      <c r="G4849" s="9" t="s">
        <v>13284</v>
      </c>
      <c r="H4849" s="9" t="s">
        <v>13284</v>
      </c>
      <c r="I4849" s="9" t="s">
        <v>13284</v>
      </c>
      <c r="J4849" s="9" t="s">
        <v>13284</v>
      </c>
      <c r="K4849" s="9" t="s">
        <v>13284</v>
      </c>
      <c r="L4849" s="9" t="s">
        <v>13284</v>
      </c>
      <c r="M4849" s="9" t="s">
        <v>13284</v>
      </c>
      <c r="N4849" s="9" t="s">
        <v>13284</v>
      </c>
      <c r="O4849" s="9" t="s">
        <v>13284</v>
      </c>
      <c r="P4849" s="9" t="s">
        <v>13284</v>
      </c>
      <c r="Q4849" s="9" t="s">
        <v>13284</v>
      </c>
      <c r="R4849" s="9" t="s">
        <v>13284</v>
      </c>
      <c r="S4849" s="9" t="s">
        <v>13284</v>
      </c>
      <c r="T4849" s="9" t="str">
        <f ca="1">IFERROR(IF(AND(VLOOKUP(A4849, 'Актуальное состояние (из общего'!A:C,3,0) = "", A4849 &lt;&gt; ""), "ПРОВЕРИТЬ", VLOOKUP(A4849, 'Актуальное состояние (из общего'!A:C,3,0)), "")</f>
        <v/>
      </c>
      <c r="U4849" s="9" t="s">
        <v>13284</v>
      </c>
      <c r="V4849" s="9" t="s">
        <v>13284</v>
      </c>
      <c r="W4849" s="12"/>
      <c r="X4849" s="9" t="str">
        <f t="array" ref="X4849">IFERROR(INDEX('Адреса общежитий (скрытый)'!$B$2:$B$9, MATCH(W4849, 'Адреса общежитий (скрытый)'!$A$2:$A$9, 0)), "")</f>
        <v/>
      </c>
      <c r="Y4849" s="18"/>
      <c r="Z4849" s="18"/>
      <c r="AA4849" s="18"/>
      <c r="AB4849" s="18"/>
      <c r="AC4849" s="18"/>
    </row>
    <row r="4850" spans="1:29" ht="32.25" hidden="1" customHeight="1">
      <c r="A4850" s="17"/>
      <c r="B4850" s="9" t="s">
        <v>13284</v>
      </c>
      <c r="C4850" s="9" t="s">
        <v>13284</v>
      </c>
      <c r="D4850" s="9" t="s">
        <v>13284</v>
      </c>
      <c r="E4850" s="9" t="s">
        <v>13284</v>
      </c>
      <c r="F4850" s="9" t="s">
        <v>13284</v>
      </c>
      <c r="G4850" s="9" t="s">
        <v>13284</v>
      </c>
      <c r="H4850" s="9" t="s">
        <v>13284</v>
      </c>
      <c r="I4850" s="9" t="s">
        <v>13284</v>
      </c>
      <c r="J4850" s="9" t="s">
        <v>13284</v>
      </c>
      <c r="K4850" s="9" t="s">
        <v>13284</v>
      </c>
      <c r="L4850" s="9" t="s">
        <v>13284</v>
      </c>
      <c r="M4850" s="9" t="s">
        <v>13284</v>
      </c>
      <c r="N4850" s="9" t="s">
        <v>13284</v>
      </c>
      <c r="O4850" s="9" t="s">
        <v>13284</v>
      </c>
      <c r="P4850" s="9" t="s">
        <v>13284</v>
      </c>
      <c r="Q4850" s="9" t="s">
        <v>13284</v>
      </c>
      <c r="R4850" s="9" t="s">
        <v>13284</v>
      </c>
      <c r="S4850" s="9" t="s">
        <v>13284</v>
      </c>
      <c r="T4850" s="9" t="str">
        <f ca="1">IFERROR(IF(AND(VLOOKUP(A4850, 'Актуальное состояние (из общего'!A:C,3,0) = "", A4850 &lt;&gt; ""), "ПРОВЕРИТЬ", VLOOKUP(A4850, 'Актуальное состояние (из общего'!A:C,3,0)), "")</f>
        <v/>
      </c>
      <c r="U4850" s="9" t="s">
        <v>13284</v>
      </c>
      <c r="V4850" s="9" t="s">
        <v>13284</v>
      </c>
      <c r="W4850" s="12"/>
      <c r="X4850" s="9" t="str">
        <f t="array" ref="X4850">IFERROR(INDEX('Адреса общежитий (скрытый)'!$B$2:$B$9, MATCH(W4850, 'Адреса общежитий (скрытый)'!$A$2:$A$9, 0)), "")</f>
        <v/>
      </c>
      <c r="Y4850" s="18"/>
      <c r="Z4850" s="18"/>
      <c r="AA4850" s="18"/>
      <c r="AB4850" s="18"/>
      <c r="AC4850" s="18"/>
    </row>
    <row r="4851" spans="1:29" ht="32.25" hidden="1" customHeight="1">
      <c r="A4851" s="17"/>
      <c r="B4851" s="9" t="s">
        <v>13284</v>
      </c>
      <c r="C4851" s="9" t="s">
        <v>13284</v>
      </c>
      <c r="D4851" s="9" t="s">
        <v>13284</v>
      </c>
      <c r="E4851" s="9" t="s">
        <v>13284</v>
      </c>
      <c r="F4851" s="9" t="s">
        <v>13284</v>
      </c>
      <c r="G4851" s="9" t="s">
        <v>13284</v>
      </c>
      <c r="H4851" s="9" t="s">
        <v>13284</v>
      </c>
      <c r="I4851" s="9" t="s">
        <v>13284</v>
      </c>
      <c r="J4851" s="9" t="s">
        <v>13284</v>
      </c>
      <c r="K4851" s="9" t="s">
        <v>13284</v>
      </c>
      <c r="L4851" s="9" t="s">
        <v>13284</v>
      </c>
      <c r="M4851" s="9" t="s">
        <v>13284</v>
      </c>
      <c r="N4851" s="9" t="s">
        <v>13284</v>
      </c>
      <c r="O4851" s="9" t="s">
        <v>13284</v>
      </c>
      <c r="P4851" s="9" t="s">
        <v>13284</v>
      </c>
      <c r="Q4851" s="9" t="s">
        <v>13284</v>
      </c>
      <c r="R4851" s="9" t="s">
        <v>13284</v>
      </c>
      <c r="S4851" s="9" t="s">
        <v>13284</v>
      </c>
      <c r="T4851" s="9" t="str">
        <f ca="1">IFERROR(IF(AND(VLOOKUP(A4851, 'Актуальное состояние (из общего'!A:C,3,0) = "", A4851 &lt;&gt; ""), "ПРОВЕРИТЬ", VLOOKUP(A4851, 'Актуальное состояние (из общего'!A:C,3,0)), "")</f>
        <v/>
      </c>
      <c r="U4851" s="9" t="s">
        <v>13284</v>
      </c>
      <c r="V4851" s="9" t="s">
        <v>13284</v>
      </c>
      <c r="W4851" s="12"/>
      <c r="X4851" s="9" t="str">
        <f t="array" ref="X4851">IFERROR(INDEX('Адреса общежитий (скрытый)'!$B$2:$B$9, MATCH(W4851, 'Адреса общежитий (скрытый)'!$A$2:$A$9, 0)), "")</f>
        <v/>
      </c>
      <c r="Y4851" s="18"/>
      <c r="Z4851" s="18"/>
      <c r="AA4851" s="18"/>
      <c r="AB4851" s="18"/>
      <c r="AC4851" s="18"/>
    </row>
    <row r="4852" spans="1:29" ht="32.25" hidden="1" customHeight="1">
      <c r="A4852" s="17"/>
      <c r="B4852" s="9" t="s">
        <v>13284</v>
      </c>
      <c r="C4852" s="9" t="s">
        <v>13284</v>
      </c>
      <c r="D4852" s="9" t="s">
        <v>13284</v>
      </c>
      <c r="E4852" s="9" t="s">
        <v>13284</v>
      </c>
      <c r="F4852" s="9" t="s">
        <v>13284</v>
      </c>
      <c r="G4852" s="9" t="s">
        <v>13284</v>
      </c>
      <c r="H4852" s="9" t="s">
        <v>13284</v>
      </c>
      <c r="I4852" s="9" t="s">
        <v>13284</v>
      </c>
      <c r="J4852" s="9" t="s">
        <v>13284</v>
      </c>
      <c r="K4852" s="9" t="s">
        <v>13284</v>
      </c>
      <c r="L4852" s="9" t="s">
        <v>13284</v>
      </c>
      <c r="M4852" s="9" t="s">
        <v>13284</v>
      </c>
      <c r="N4852" s="9" t="s">
        <v>13284</v>
      </c>
      <c r="O4852" s="9" t="s">
        <v>13284</v>
      </c>
      <c r="P4852" s="9" t="s">
        <v>13284</v>
      </c>
      <c r="Q4852" s="9" t="s">
        <v>13284</v>
      </c>
      <c r="R4852" s="9" t="s">
        <v>13284</v>
      </c>
      <c r="S4852" s="9" t="s">
        <v>13284</v>
      </c>
      <c r="T4852" s="9" t="str">
        <f ca="1">IFERROR(IF(AND(VLOOKUP(A4852, 'Актуальное состояние (из общего'!A:C,3,0) = "", A4852 &lt;&gt; ""), "ПРОВЕРИТЬ", VLOOKUP(A4852, 'Актуальное состояние (из общего'!A:C,3,0)), "")</f>
        <v/>
      </c>
      <c r="U4852" s="9" t="s">
        <v>13284</v>
      </c>
      <c r="V4852" s="9" t="s">
        <v>13284</v>
      </c>
      <c r="W4852" s="12"/>
      <c r="X4852" s="9" t="str">
        <f t="array" ref="X4852">IFERROR(INDEX('Адреса общежитий (скрытый)'!$B$2:$B$9, MATCH(W4852, 'Адреса общежитий (скрытый)'!$A$2:$A$9, 0)), "")</f>
        <v/>
      </c>
      <c r="Y4852" s="18"/>
      <c r="Z4852" s="18"/>
      <c r="AA4852" s="18"/>
      <c r="AB4852" s="18"/>
      <c r="AC4852" s="18"/>
    </row>
    <row r="4853" spans="1:29" ht="32.25" hidden="1" customHeight="1">
      <c r="A4853" s="17"/>
      <c r="B4853" s="9" t="s">
        <v>13284</v>
      </c>
      <c r="C4853" s="9" t="s">
        <v>13284</v>
      </c>
      <c r="D4853" s="9" t="s">
        <v>13284</v>
      </c>
      <c r="E4853" s="9" t="s">
        <v>13284</v>
      </c>
      <c r="F4853" s="9" t="s">
        <v>13284</v>
      </c>
      <c r="G4853" s="9" t="s">
        <v>13284</v>
      </c>
      <c r="H4853" s="9" t="s">
        <v>13284</v>
      </c>
      <c r="I4853" s="9" t="s">
        <v>13284</v>
      </c>
      <c r="J4853" s="9" t="s">
        <v>13284</v>
      </c>
      <c r="K4853" s="9" t="s">
        <v>13284</v>
      </c>
      <c r="L4853" s="9" t="s">
        <v>13284</v>
      </c>
      <c r="M4853" s="9" t="s">
        <v>13284</v>
      </c>
      <c r="N4853" s="9" t="s">
        <v>13284</v>
      </c>
      <c r="O4853" s="9" t="s">
        <v>13284</v>
      </c>
      <c r="P4853" s="9" t="s">
        <v>13284</v>
      </c>
      <c r="Q4853" s="9" t="s">
        <v>13284</v>
      </c>
      <c r="R4853" s="9" t="s">
        <v>13284</v>
      </c>
      <c r="S4853" s="9" t="s">
        <v>13284</v>
      </c>
      <c r="T4853" s="9" t="str">
        <f ca="1">IFERROR(IF(AND(VLOOKUP(A4853, 'Актуальное состояние (из общего'!A:C,3,0) = "", A4853 &lt;&gt; ""), "ПРОВЕРИТЬ", VLOOKUP(A4853, 'Актуальное состояние (из общего'!A:C,3,0)), "")</f>
        <v/>
      </c>
      <c r="U4853" s="9" t="s">
        <v>13284</v>
      </c>
      <c r="V4853" s="9" t="s">
        <v>13284</v>
      </c>
      <c r="W4853" s="12"/>
      <c r="X4853" s="9" t="str">
        <f t="array" ref="X4853">IFERROR(INDEX('Адреса общежитий (скрытый)'!$B$2:$B$9, MATCH(W4853, 'Адреса общежитий (скрытый)'!$A$2:$A$9, 0)), "")</f>
        <v/>
      </c>
      <c r="Y4853" s="18"/>
      <c r="Z4853" s="18"/>
      <c r="AA4853" s="18"/>
      <c r="AB4853" s="18"/>
      <c r="AC4853" s="18"/>
    </row>
    <row r="4854" spans="1:29" ht="32.25" hidden="1" customHeight="1">
      <c r="A4854" s="17"/>
      <c r="B4854" s="9" t="s">
        <v>13284</v>
      </c>
      <c r="C4854" s="9" t="s">
        <v>13284</v>
      </c>
      <c r="D4854" s="9" t="s">
        <v>13284</v>
      </c>
      <c r="E4854" s="9" t="s">
        <v>13284</v>
      </c>
      <c r="F4854" s="9" t="s">
        <v>13284</v>
      </c>
      <c r="G4854" s="9" t="s">
        <v>13284</v>
      </c>
      <c r="H4854" s="9" t="s">
        <v>13284</v>
      </c>
      <c r="I4854" s="9" t="s">
        <v>13284</v>
      </c>
      <c r="J4854" s="9" t="s">
        <v>13284</v>
      </c>
      <c r="K4854" s="9" t="s">
        <v>13284</v>
      </c>
      <c r="L4854" s="9" t="s">
        <v>13284</v>
      </c>
      <c r="M4854" s="9" t="s">
        <v>13284</v>
      </c>
      <c r="N4854" s="9" t="s">
        <v>13284</v>
      </c>
      <c r="O4854" s="9" t="s">
        <v>13284</v>
      </c>
      <c r="P4854" s="9" t="s">
        <v>13284</v>
      </c>
      <c r="Q4854" s="9" t="s">
        <v>13284</v>
      </c>
      <c r="R4854" s="9" t="s">
        <v>13284</v>
      </c>
      <c r="S4854" s="9" t="s">
        <v>13284</v>
      </c>
      <c r="T4854" s="9" t="str">
        <f ca="1">IFERROR(IF(AND(VLOOKUP(A4854, 'Актуальное состояние (из общего'!A:C,3,0) = "", A4854 &lt;&gt; ""), "ПРОВЕРИТЬ", VLOOKUP(A4854, 'Актуальное состояние (из общего'!A:C,3,0)), "")</f>
        <v/>
      </c>
      <c r="U4854" s="9" t="s">
        <v>13284</v>
      </c>
      <c r="V4854" s="9" t="s">
        <v>13284</v>
      </c>
      <c r="W4854" s="12"/>
      <c r="X4854" s="9" t="str">
        <f t="array" ref="X4854">IFERROR(INDEX('Адреса общежитий (скрытый)'!$B$2:$B$9, MATCH(W4854, 'Адреса общежитий (скрытый)'!$A$2:$A$9, 0)), "")</f>
        <v/>
      </c>
      <c r="Y4854" s="18"/>
      <c r="Z4854" s="18"/>
      <c r="AA4854" s="18"/>
      <c r="AB4854" s="18"/>
      <c r="AC4854" s="18"/>
    </row>
    <row r="4855" spans="1:29" ht="32.25" hidden="1" customHeight="1">
      <c r="A4855" s="17"/>
      <c r="B4855" s="9" t="s">
        <v>13284</v>
      </c>
      <c r="C4855" s="9" t="s">
        <v>13284</v>
      </c>
      <c r="D4855" s="9" t="s">
        <v>13284</v>
      </c>
      <c r="E4855" s="9" t="s">
        <v>13284</v>
      </c>
      <c r="F4855" s="9" t="s">
        <v>13284</v>
      </c>
      <c r="G4855" s="9" t="s">
        <v>13284</v>
      </c>
      <c r="H4855" s="9" t="s">
        <v>13284</v>
      </c>
      <c r="I4855" s="9" t="s">
        <v>13284</v>
      </c>
      <c r="J4855" s="9" t="s">
        <v>13284</v>
      </c>
      <c r="K4855" s="9" t="s">
        <v>13284</v>
      </c>
      <c r="L4855" s="9" t="s">
        <v>13284</v>
      </c>
      <c r="M4855" s="9" t="s">
        <v>13284</v>
      </c>
      <c r="N4855" s="9" t="s">
        <v>13284</v>
      </c>
      <c r="O4855" s="9" t="s">
        <v>13284</v>
      </c>
      <c r="P4855" s="9" t="s">
        <v>13284</v>
      </c>
      <c r="Q4855" s="9" t="s">
        <v>13284</v>
      </c>
      <c r="R4855" s="9" t="s">
        <v>13284</v>
      </c>
      <c r="S4855" s="9" t="s">
        <v>13284</v>
      </c>
      <c r="T4855" s="9" t="str">
        <f ca="1">IFERROR(IF(AND(VLOOKUP(A4855, 'Актуальное состояние (из общего'!A:C,3,0) = "", A4855 &lt;&gt; ""), "ПРОВЕРИТЬ", VLOOKUP(A4855, 'Актуальное состояние (из общего'!A:C,3,0)), "")</f>
        <v/>
      </c>
      <c r="U4855" s="9" t="s">
        <v>13284</v>
      </c>
      <c r="V4855" s="9" t="s">
        <v>13284</v>
      </c>
      <c r="W4855" s="12"/>
      <c r="X4855" s="9" t="str">
        <f t="array" ref="X4855">IFERROR(INDEX('Адреса общежитий (скрытый)'!$B$2:$B$9, MATCH(W4855, 'Адреса общежитий (скрытый)'!$A$2:$A$9, 0)), "")</f>
        <v/>
      </c>
      <c r="Y4855" s="18"/>
      <c r="Z4855" s="18"/>
      <c r="AA4855" s="18"/>
      <c r="AB4855" s="18"/>
      <c r="AC4855" s="18"/>
    </row>
    <row r="4856" spans="1:29" ht="32.25" hidden="1" customHeight="1">
      <c r="A4856" s="17"/>
      <c r="B4856" s="9" t="s">
        <v>13284</v>
      </c>
      <c r="C4856" s="9" t="s">
        <v>13284</v>
      </c>
      <c r="D4856" s="9" t="s">
        <v>13284</v>
      </c>
      <c r="E4856" s="9" t="s">
        <v>13284</v>
      </c>
      <c r="F4856" s="9" t="s">
        <v>13284</v>
      </c>
      <c r="G4856" s="9" t="s">
        <v>13284</v>
      </c>
      <c r="H4856" s="9" t="s">
        <v>13284</v>
      </c>
      <c r="I4856" s="9" t="s">
        <v>13284</v>
      </c>
      <c r="J4856" s="9" t="s">
        <v>13284</v>
      </c>
      <c r="K4856" s="9" t="s">
        <v>13284</v>
      </c>
      <c r="L4856" s="9" t="s">
        <v>13284</v>
      </c>
      <c r="M4856" s="9" t="s">
        <v>13284</v>
      </c>
      <c r="N4856" s="9" t="s">
        <v>13284</v>
      </c>
      <c r="O4856" s="9" t="s">
        <v>13284</v>
      </c>
      <c r="P4856" s="9" t="s">
        <v>13284</v>
      </c>
      <c r="Q4856" s="9" t="s">
        <v>13284</v>
      </c>
      <c r="R4856" s="9" t="s">
        <v>13284</v>
      </c>
      <c r="S4856" s="9" t="s">
        <v>13284</v>
      </c>
      <c r="T4856" s="9" t="str">
        <f ca="1">IFERROR(IF(AND(VLOOKUP(A4856, 'Актуальное состояние (из общего'!A:C,3,0) = "", A4856 &lt;&gt; ""), "ПРОВЕРИТЬ", VLOOKUP(A4856, 'Актуальное состояние (из общего'!A:C,3,0)), "")</f>
        <v/>
      </c>
      <c r="U4856" s="9" t="s">
        <v>13284</v>
      </c>
      <c r="V4856" s="9" t="s">
        <v>13284</v>
      </c>
      <c r="W4856" s="12"/>
      <c r="X4856" s="9" t="str">
        <f t="array" ref="X4856">IFERROR(INDEX('Адреса общежитий (скрытый)'!$B$2:$B$9, MATCH(W4856, 'Адреса общежитий (скрытый)'!$A$2:$A$9, 0)), "")</f>
        <v/>
      </c>
      <c r="Y4856" s="18"/>
      <c r="Z4856" s="18"/>
      <c r="AA4856" s="18"/>
      <c r="AB4856" s="18"/>
      <c r="AC4856" s="18"/>
    </row>
    <row r="4857" spans="1:29" ht="32.25" hidden="1" customHeight="1">
      <c r="A4857" s="17"/>
      <c r="B4857" s="9" t="s">
        <v>13284</v>
      </c>
      <c r="C4857" s="9" t="s">
        <v>13284</v>
      </c>
      <c r="D4857" s="9" t="s">
        <v>13284</v>
      </c>
      <c r="E4857" s="9" t="s">
        <v>13284</v>
      </c>
      <c r="F4857" s="9" t="s">
        <v>13284</v>
      </c>
      <c r="G4857" s="9" t="s">
        <v>13284</v>
      </c>
      <c r="H4857" s="9" t="s">
        <v>13284</v>
      </c>
      <c r="I4857" s="9" t="s">
        <v>13284</v>
      </c>
      <c r="J4857" s="9" t="s">
        <v>13284</v>
      </c>
      <c r="K4857" s="9" t="s">
        <v>13284</v>
      </c>
      <c r="L4857" s="9" t="s">
        <v>13284</v>
      </c>
      <c r="M4857" s="9" t="s">
        <v>13284</v>
      </c>
      <c r="N4857" s="9" t="s">
        <v>13284</v>
      </c>
      <c r="O4857" s="9" t="s">
        <v>13284</v>
      </c>
      <c r="P4857" s="9" t="s">
        <v>13284</v>
      </c>
      <c r="Q4857" s="9" t="s">
        <v>13284</v>
      </c>
      <c r="R4857" s="9" t="s">
        <v>13284</v>
      </c>
      <c r="S4857" s="9" t="s">
        <v>13284</v>
      </c>
      <c r="T4857" s="9" t="str">
        <f ca="1">IFERROR(IF(AND(VLOOKUP(A4857, 'Актуальное состояние (из общего'!A:C,3,0) = "", A4857 &lt;&gt; ""), "ПРОВЕРИТЬ", VLOOKUP(A4857, 'Актуальное состояние (из общего'!A:C,3,0)), "")</f>
        <v/>
      </c>
      <c r="U4857" s="9" t="s">
        <v>13284</v>
      </c>
      <c r="V4857" s="9" t="s">
        <v>13284</v>
      </c>
      <c r="W4857" s="12"/>
      <c r="X4857" s="9" t="str">
        <f t="array" ref="X4857">IFERROR(INDEX('Адреса общежитий (скрытый)'!$B$2:$B$9, MATCH(W4857, 'Адреса общежитий (скрытый)'!$A$2:$A$9, 0)), "")</f>
        <v/>
      </c>
      <c r="Y4857" s="18"/>
      <c r="Z4857" s="18"/>
      <c r="AA4857" s="18"/>
      <c r="AB4857" s="18"/>
      <c r="AC4857" s="18"/>
    </row>
    <row r="4858" spans="1:29" ht="32.25" hidden="1" customHeight="1">
      <c r="A4858" s="17"/>
      <c r="B4858" s="9" t="s">
        <v>13284</v>
      </c>
      <c r="C4858" s="9" t="s">
        <v>13284</v>
      </c>
      <c r="D4858" s="9" t="s">
        <v>13284</v>
      </c>
      <c r="E4858" s="9" t="s">
        <v>13284</v>
      </c>
      <c r="F4858" s="9" t="s">
        <v>13284</v>
      </c>
      <c r="G4858" s="9" t="s">
        <v>13284</v>
      </c>
      <c r="H4858" s="9" t="s">
        <v>13284</v>
      </c>
      <c r="I4858" s="9" t="s">
        <v>13284</v>
      </c>
      <c r="J4858" s="9" t="s">
        <v>13284</v>
      </c>
      <c r="K4858" s="9" t="s">
        <v>13284</v>
      </c>
      <c r="L4858" s="9" t="s">
        <v>13284</v>
      </c>
      <c r="M4858" s="9" t="s">
        <v>13284</v>
      </c>
      <c r="N4858" s="9" t="s">
        <v>13284</v>
      </c>
      <c r="O4858" s="9" t="s">
        <v>13284</v>
      </c>
      <c r="P4858" s="9" t="s">
        <v>13284</v>
      </c>
      <c r="Q4858" s="9" t="s">
        <v>13284</v>
      </c>
      <c r="R4858" s="9" t="s">
        <v>13284</v>
      </c>
      <c r="S4858" s="9" t="s">
        <v>13284</v>
      </c>
      <c r="T4858" s="9" t="str">
        <f ca="1">IFERROR(IF(AND(VLOOKUP(A4858, 'Актуальное состояние (из общего'!A:C,3,0) = "", A4858 &lt;&gt; ""), "ПРОВЕРИТЬ", VLOOKUP(A4858, 'Актуальное состояние (из общего'!A:C,3,0)), "")</f>
        <v/>
      </c>
      <c r="U4858" s="9" t="s">
        <v>13284</v>
      </c>
      <c r="V4858" s="9" t="s">
        <v>13284</v>
      </c>
      <c r="W4858" s="12"/>
      <c r="X4858" s="9" t="str">
        <f t="array" ref="X4858">IFERROR(INDEX('Адреса общежитий (скрытый)'!$B$2:$B$9, MATCH(W4858, 'Адреса общежитий (скрытый)'!$A$2:$A$9, 0)), "")</f>
        <v/>
      </c>
      <c r="Y4858" s="18"/>
      <c r="Z4858" s="18"/>
      <c r="AA4858" s="18"/>
      <c r="AB4858" s="18"/>
      <c r="AC4858" s="18"/>
    </row>
    <row r="4859" spans="1:29" ht="32.25" hidden="1" customHeight="1">
      <c r="A4859" s="17"/>
      <c r="B4859" s="9" t="s">
        <v>13284</v>
      </c>
      <c r="C4859" s="9" t="s">
        <v>13284</v>
      </c>
      <c r="D4859" s="9" t="s">
        <v>13284</v>
      </c>
      <c r="E4859" s="9" t="s">
        <v>13284</v>
      </c>
      <c r="F4859" s="9" t="s">
        <v>13284</v>
      </c>
      <c r="G4859" s="9" t="s">
        <v>13284</v>
      </c>
      <c r="H4859" s="9" t="s">
        <v>13284</v>
      </c>
      <c r="I4859" s="9" t="s">
        <v>13284</v>
      </c>
      <c r="J4859" s="9" t="s">
        <v>13284</v>
      </c>
      <c r="K4859" s="9" t="s">
        <v>13284</v>
      </c>
      <c r="L4859" s="9" t="s">
        <v>13284</v>
      </c>
      <c r="M4859" s="9" t="s">
        <v>13284</v>
      </c>
      <c r="N4859" s="9" t="s">
        <v>13284</v>
      </c>
      <c r="O4859" s="9" t="s">
        <v>13284</v>
      </c>
      <c r="P4859" s="9" t="s">
        <v>13284</v>
      </c>
      <c r="Q4859" s="9" t="s">
        <v>13284</v>
      </c>
      <c r="R4859" s="9" t="s">
        <v>13284</v>
      </c>
      <c r="S4859" s="9" t="s">
        <v>13284</v>
      </c>
      <c r="T4859" s="9" t="str">
        <f ca="1">IFERROR(IF(AND(VLOOKUP(A4859, 'Актуальное состояние (из общего'!A:C,3,0) = "", A4859 &lt;&gt; ""), "ПРОВЕРИТЬ", VLOOKUP(A4859, 'Актуальное состояние (из общего'!A:C,3,0)), "")</f>
        <v/>
      </c>
      <c r="U4859" s="9" t="s">
        <v>13284</v>
      </c>
      <c r="V4859" s="9" t="s">
        <v>13284</v>
      </c>
      <c r="W4859" s="12"/>
      <c r="X4859" s="9" t="str">
        <f t="array" ref="X4859">IFERROR(INDEX('Адреса общежитий (скрытый)'!$B$2:$B$9, MATCH(W4859, 'Адреса общежитий (скрытый)'!$A$2:$A$9, 0)), "")</f>
        <v/>
      </c>
      <c r="Y4859" s="18"/>
      <c r="Z4859" s="18"/>
      <c r="AA4859" s="18"/>
      <c r="AB4859" s="18"/>
      <c r="AC4859" s="18"/>
    </row>
    <row r="4860" spans="1:29" ht="32.25" hidden="1" customHeight="1">
      <c r="A4860" s="17"/>
      <c r="B4860" s="9" t="s">
        <v>13284</v>
      </c>
      <c r="C4860" s="9" t="s">
        <v>13284</v>
      </c>
      <c r="D4860" s="9" t="s">
        <v>13284</v>
      </c>
      <c r="E4860" s="9" t="s">
        <v>13284</v>
      </c>
      <c r="F4860" s="9" t="s">
        <v>13284</v>
      </c>
      <c r="G4860" s="9" t="s">
        <v>13284</v>
      </c>
      <c r="H4860" s="9" t="s">
        <v>13284</v>
      </c>
      <c r="I4860" s="9" t="s">
        <v>13284</v>
      </c>
      <c r="J4860" s="9" t="s">
        <v>13284</v>
      </c>
      <c r="K4860" s="9" t="s">
        <v>13284</v>
      </c>
      <c r="L4860" s="9" t="s">
        <v>13284</v>
      </c>
      <c r="M4860" s="9" t="s">
        <v>13284</v>
      </c>
      <c r="N4860" s="9" t="s">
        <v>13284</v>
      </c>
      <c r="O4860" s="9" t="s">
        <v>13284</v>
      </c>
      <c r="P4860" s="9" t="s">
        <v>13284</v>
      </c>
      <c r="Q4860" s="9" t="s">
        <v>13284</v>
      </c>
      <c r="R4860" s="9" t="s">
        <v>13284</v>
      </c>
      <c r="S4860" s="9" t="s">
        <v>13284</v>
      </c>
      <c r="T4860" s="9" t="str">
        <f ca="1">IFERROR(IF(AND(VLOOKUP(A4860, 'Актуальное состояние (из общего'!A:C,3,0) = "", A4860 &lt;&gt; ""), "ПРОВЕРИТЬ", VLOOKUP(A4860, 'Актуальное состояние (из общего'!A:C,3,0)), "")</f>
        <v/>
      </c>
      <c r="U4860" s="9" t="s">
        <v>13284</v>
      </c>
      <c r="V4860" s="9" t="s">
        <v>13284</v>
      </c>
      <c r="W4860" s="12"/>
      <c r="X4860" s="9" t="str">
        <f t="array" ref="X4860">IFERROR(INDEX('Адреса общежитий (скрытый)'!$B$2:$B$9, MATCH(W4860, 'Адреса общежитий (скрытый)'!$A$2:$A$9, 0)), "")</f>
        <v/>
      </c>
      <c r="Y4860" s="18"/>
      <c r="Z4860" s="18"/>
      <c r="AA4860" s="18"/>
      <c r="AB4860" s="18"/>
      <c r="AC4860" s="18"/>
    </row>
    <row r="4861" spans="1:29" ht="32.25" hidden="1" customHeight="1">
      <c r="A4861" s="17"/>
      <c r="B4861" s="9" t="s">
        <v>13284</v>
      </c>
      <c r="C4861" s="9" t="s">
        <v>13284</v>
      </c>
      <c r="D4861" s="9" t="s">
        <v>13284</v>
      </c>
      <c r="E4861" s="9" t="s">
        <v>13284</v>
      </c>
      <c r="F4861" s="9" t="s">
        <v>13284</v>
      </c>
      <c r="G4861" s="9" t="s">
        <v>13284</v>
      </c>
      <c r="H4861" s="9" t="s">
        <v>13284</v>
      </c>
      <c r="I4861" s="9" t="s">
        <v>13284</v>
      </c>
      <c r="J4861" s="9" t="s">
        <v>13284</v>
      </c>
      <c r="K4861" s="9" t="s">
        <v>13284</v>
      </c>
      <c r="L4861" s="9" t="s">
        <v>13284</v>
      </c>
      <c r="M4861" s="9" t="s">
        <v>13284</v>
      </c>
      <c r="N4861" s="9" t="s">
        <v>13284</v>
      </c>
      <c r="O4861" s="9" t="s">
        <v>13284</v>
      </c>
      <c r="P4861" s="9" t="s">
        <v>13284</v>
      </c>
      <c r="Q4861" s="9" t="s">
        <v>13284</v>
      </c>
      <c r="R4861" s="9" t="s">
        <v>13284</v>
      </c>
      <c r="S4861" s="9" t="s">
        <v>13284</v>
      </c>
      <c r="T4861" s="9" t="str">
        <f ca="1">IFERROR(IF(AND(VLOOKUP(A4861, 'Актуальное состояние (из общего'!A:C,3,0) = "", A4861 &lt;&gt; ""), "ПРОВЕРИТЬ", VLOOKUP(A4861, 'Актуальное состояние (из общего'!A:C,3,0)), "")</f>
        <v/>
      </c>
      <c r="U4861" s="9" t="s">
        <v>13284</v>
      </c>
      <c r="V4861" s="9" t="s">
        <v>13284</v>
      </c>
      <c r="W4861" s="12"/>
      <c r="X4861" s="9" t="str">
        <f t="array" ref="X4861">IFERROR(INDEX('Адреса общежитий (скрытый)'!$B$2:$B$9, MATCH(W4861, 'Адреса общежитий (скрытый)'!$A$2:$A$9, 0)), "")</f>
        <v/>
      </c>
      <c r="Y4861" s="18"/>
      <c r="Z4861" s="18"/>
      <c r="AA4861" s="18"/>
      <c r="AB4861" s="18"/>
      <c r="AC4861" s="18"/>
    </row>
    <row r="4862" spans="1:29" ht="32.25" hidden="1" customHeight="1">
      <c r="A4862" s="17"/>
      <c r="B4862" s="9" t="s">
        <v>13284</v>
      </c>
      <c r="C4862" s="9" t="s">
        <v>13284</v>
      </c>
      <c r="D4862" s="9" t="s">
        <v>13284</v>
      </c>
      <c r="E4862" s="9" t="s">
        <v>13284</v>
      </c>
      <c r="F4862" s="9" t="s">
        <v>13284</v>
      </c>
      <c r="G4862" s="9" t="s">
        <v>13284</v>
      </c>
      <c r="H4862" s="9" t="s">
        <v>13284</v>
      </c>
      <c r="I4862" s="9" t="s">
        <v>13284</v>
      </c>
      <c r="J4862" s="9" t="s">
        <v>13284</v>
      </c>
      <c r="K4862" s="9" t="s">
        <v>13284</v>
      </c>
      <c r="L4862" s="9" t="s">
        <v>13284</v>
      </c>
      <c r="M4862" s="9" t="s">
        <v>13284</v>
      </c>
      <c r="N4862" s="9" t="s">
        <v>13284</v>
      </c>
      <c r="O4862" s="9" t="s">
        <v>13284</v>
      </c>
      <c r="P4862" s="9" t="s">
        <v>13284</v>
      </c>
      <c r="Q4862" s="9" t="s">
        <v>13284</v>
      </c>
      <c r="R4862" s="9" t="s">
        <v>13284</v>
      </c>
      <c r="S4862" s="9" t="s">
        <v>13284</v>
      </c>
      <c r="T4862" s="9" t="str">
        <f ca="1">IFERROR(IF(AND(VLOOKUP(A4862, 'Актуальное состояние (из общего'!A:C,3,0) = "", A4862 &lt;&gt; ""), "ПРОВЕРИТЬ", VLOOKUP(A4862, 'Актуальное состояние (из общего'!A:C,3,0)), "")</f>
        <v/>
      </c>
      <c r="U4862" s="9" t="s">
        <v>13284</v>
      </c>
      <c r="V4862" s="9" t="s">
        <v>13284</v>
      </c>
      <c r="W4862" s="12"/>
      <c r="X4862" s="9" t="str">
        <f t="array" ref="X4862">IFERROR(INDEX('Адреса общежитий (скрытый)'!$B$2:$B$9, MATCH(W4862, 'Адреса общежитий (скрытый)'!$A$2:$A$9, 0)), "")</f>
        <v/>
      </c>
      <c r="Y4862" s="18"/>
      <c r="Z4862" s="18"/>
      <c r="AA4862" s="18"/>
      <c r="AB4862" s="18"/>
      <c r="AC4862" s="18"/>
    </row>
    <row r="4863" spans="1:29" ht="32.25" hidden="1" customHeight="1">
      <c r="A4863" s="17"/>
      <c r="B4863" s="9" t="s">
        <v>13284</v>
      </c>
      <c r="C4863" s="9" t="s">
        <v>13284</v>
      </c>
      <c r="D4863" s="9" t="s">
        <v>13284</v>
      </c>
      <c r="E4863" s="9" t="s">
        <v>13284</v>
      </c>
      <c r="F4863" s="9" t="s">
        <v>13284</v>
      </c>
      <c r="G4863" s="9" t="s">
        <v>13284</v>
      </c>
      <c r="H4863" s="9" t="s">
        <v>13284</v>
      </c>
      <c r="I4863" s="9" t="s">
        <v>13284</v>
      </c>
      <c r="J4863" s="9" t="s">
        <v>13284</v>
      </c>
      <c r="K4863" s="9" t="s">
        <v>13284</v>
      </c>
      <c r="L4863" s="9" t="s">
        <v>13284</v>
      </c>
      <c r="M4863" s="9" t="s">
        <v>13284</v>
      </c>
      <c r="N4863" s="9" t="s">
        <v>13284</v>
      </c>
      <c r="O4863" s="9" t="s">
        <v>13284</v>
      </c>
      <c r="P4863" s="9" t="s">
        <v>13284</v>
      </c>
      <c r="Q4863" s="9" t="s">
        <v>13284</v>
      </c>
      <c r="R4863" s="9" t="s">
        <v>13284</v>
      </c>
      <c r="S4863" s="9" t="s">
        <v>13284</v>
      </c>
      <c r="T4863" s="9" t="str">
        <f ca="1">IFERROR(IF(AND(VLOOKUP(A4863, 'Актуальное состояние (из общего'!A:C,3,0) = "", A4863 &lt;&gt; ""), "ПРОВЕРИТЬ", VLOOKUP(A4863, 'Актуальное состояние (из общего'!A:C,3,0)), "")</f>
        <v/>
      </c>
      <c r="U4863" s="9" t="s">
        <v>13284</v>
      </c>
      <c r="V4863" s="9" t="s">
        <v>13284</v>
      </c>
      <c r="W4863" s="12"/>
      <c r="X4863" s="9" t="str">
        <f t="array" ref="X4863">IFERROR(INDEX('Адреса общежитий (скрытый)'!$B$2:$B$9, MATCH(W4863, 'Адреса общежитий (скрытый)'!$A$2:$A$9, 0)), "")</f>
        <v/>
      </c>
      <c r="Y4863" s="18"/>
      <c r="Z4863" s="18"/>
      <c r="AA4863" s="18"/>
      <c r="AB4863" s="18"/>
      <c r="AC4863" s="18"/>
    </row>
    <row r="4864" spans="1:29" ht="32.25" hidden="1" customHeight="1">
      <c r="A4864" s="17"/>
      <c r="B4864" s="9" t="s">
        <v>13284</v>
      </c>
      <c r="C4864" s="9" t="s">
        <v>13284</v>
      </c>
      <c r="D4864" s="9" t="s">
        <v>13284</v>
      </c>
      <c r="E4864" s="9" t="s">
        <v>13284</v>
      </c>
      <c r="F4864" s="9" t="s">
        <v>13284</v>
      </c>
      <c r="G4864" s="9" t="s">
        <v>13284</v>
      </c>
      <c r="H4864" s="9" t="s">
        <v>13284</v>
      </c>
      <c r="I4864" s="9" t="s">
        <v>13284</v>
      </c>
      <c r="J4864" s="9" t="s">
        <v>13284</v>
      </c>
      <c r="K4864" s="9" t="s">
        <v>13284</v>
      </c>
      <c r="L4864" s="9" t="s">
        <v>13284</v>
      </c>
      <c r="M4864" s="9" t="s">
        <v>13284</v>
      </c>
      <c r="N4864" s="9" t="s">
        <v>13284</v>
      </c>
      <c r="O4864" s="9" t="s">
        <v>13284</v>
      </c>
      <c r="P4864" s="9" t="s">
        <v>13284</v>
      </c>
      <c r="Q4864" s="9" t="s">
        <v>13284</v>
      </c>
      <c r="R4864" s="9" t="s">
        <v>13284</v>
      </c>
      <c r="S4864" s="9" t="s">
        <v>13284</v>
      </c>
      <c r="T4864" s="9" t="str">
        <f ca="1">IFERROR(IF(AND(VLOOKUP(A4864, 'Актуальное состояние (из общего'!A:C,3,0) = "", A4864 &lt;&gt; ""), "ПРОВЕРИТЬ", VLOOKUP(A4864, 'Актуальное состояние (из общего'!A:C,3,0)), "")</f>
        <v/>
      </c>
      <c r="U4864" s="9" t="s">
        <v>13284</v>
      </c>
      <c r="V4864" s="9" t="s">
        <v>13284</v>
      </c>
      <c r="W4864" s="12"/>
      <c r="X4864" s="9" t="str">
        <f t="array" ref="X4864">IFERROR(INDEX('Адреса общежитий (скрытый)'!$B$2:$B$9, MATCH(W4864, 'Адреса общежитий (скрытый)'!$A$2:$A$9, 0)), "")</f>
        <v/>
      </c>
      <c r="Y4864" s="18"/>
      <c r="Z4864" s="18"/>
      <c r="AA4864" s="18"/>
      <c r="AB4864" s="18"/>
      <c r="AC4864" s="18"/>
    </row>
    <row r="4865" spans="1:29" ht="32.25" hidden="1" customHeight="1">
      <c r="A4865" s="17"/>
      <c r="B4865" s="9" t="s">
        <v>13284</v>
      </c>
      <c r="C4865" s="9" t="s">
        <v>13284</v>
      </c>
      <c r="D4865" s="9" t="s">
        <v>13284</v>
      </c>
      <c r="E4865" s="9" t="s">
        <v>13284</v>
      </c>
      <c r="F4865" s="9" t="s">
        <v>13284</v>
      </c>
      <c r="G4865" s="9" t="s">
        <v>13284</v>
      </c>
      <c r="H4865" s="9" t="s">
        <v>13284</v>
      </c>
      <c r="I4865" s="9" t="s">
        <v>13284</v>
      </c>
      <c r="J4865" s="9" t="s">
        <v>13284</v>
      </c>
      <c r="K4865" s="9" t="s">
        <v>13284</v>
      </c>
      <c r="L4865" s="9" t="s">
        <v>13284</v>
      </c>
      <c r="M4865" s="9" t="s">
        <v>13284</v>
      </c>
      <c r="N4865" s="9" t="s">
        <v>13284</v>
      </c>
      <c r="O4865" s="9" t="s">
        <v>13284</v>
      </c>
      <c r="P4865" s="9" t="s">
        <v>13284</v>
      </c>
      <c r="Q4865" s="9" t="s">
        <v>13284</v>
      </c>
      <c r="R4865" s="9" t="s">
        <v>13284</v>
      </c>
      <c r="S4865" s="9" t="s">
        <v>13284</v>
      </c>
      <c r="T4865" s="9" t="str">
        <f ca="1">IFERROR(IF(AND(VLOOKUP(A4865, 'Актуальное состояние (из общего'!A:C,3,0) = "", A4865 &lt;&gt; ""), "ПРОВЕРИТЬ", VLOOKUP(A4865, 'Актуальное состояние (из общего'!A:C,3,0)), "")</f>
        <v/>
      </c>
      <c r="U4865" s="9" t="s">
        <v>13284</v>
      </c>
      <c r="V4865" s="9" t="s">
        <v>13284</v>
      </c>
      <c r="W4865" s="12"/>
      <c r="X4865" s="9" t="str">
        <f t="array" ref="X4865">IFERROR(INDEX('Адреса общежитий (скрытый)'!$B$2:$B$9, MATCH(W4865, 'Адреса общежитий (скрытый)'!$A$2:$A$9, 0)), "")</f>
        <v/>
      </c>
      <c r="Y4865" s="18"/>
      <c r="Z4865" s="18"/>
      <c r="AA4865" s="18"/>
      <c r="AB4865" s="18"/>
      <c r="AC4865" s="18"/>
    </row>
    <row r="4866" spans="1:29" ht="32.25" hidden="1" customHeight="1">
      <c r="A4866" s="17"/>
      <c r="B4866" s="9" t="s">
        <v>13284</v>
      </c>
      <c r="C4866" s="9" t="s">
        <v>13284</v>
      </c>
      <c r="D4866" s="9" t="s">
        <v>13284</v>
      </c>
      <c r="E4866" s="9" t="s">
        <v>13284</v>
      </c>
      <c r="F4866" s="9" t="s">
        <v>13284</v>
      </c>
      <c r="G4866" s="9" t="s">
        <v>13284</v>
      </c>
      <c r="H4866" s="9" t="s">
        <v>13284</v>
      </c>
      <c r="I4866" s="9" t="s">
        <v>13284</v>
      </c>
      <c r="J4866" s="9" t="s">
        <v>13284</v>
      </c>
      <c r="K4866" s="9" t="s">
        <v>13284</v>
      </c>
      <c r="L4866" s="9" t="s">
        <v>13284</v>
      </c>
      <c r="M4866" s="9" t="s">
        <v>13284</v>
      </c>
      <c r="N4866" s="9" t="s">
        <v>13284</v>
      </c>
      <c r="O4866" s="9" t="s">
        <v>13284</v>
      </c>
      <c r="P4866" s="9" t="s">
        <v>13284</v>
      </c>
      <c r="Q4866" s="9" t="s">
        <v>13284</v>
      </c>
      <c r="R4866" s="9" t="s">
        <v>13284</v>
      </c>
      <c r="S4866" s="9" t="s">
        <v>13284</v>
      </c>
      <c r="T4866" s="9" t="str">
        <f ca="1">IFERROR(IF(AND(VLOOKUP(A4866, 'Актуальное состояние (из общего'!A:C,3,0) = "", A4866 &lt;&gt; ""), "ПРОВЕРИТЬ", VLOOKUP(A4866, 'Актуальное состояние (из общего'!A:C,3,0)), "")</f>
        <v/>
      </c>
      <c r="U4866" s="9" t="s">
        <v>13284</v>
      </c>
      <c r="V4866" s="9" t="s">
        <v>13284</v>
      </c>
      <c r="W4866" s="12"/>
      <c r="X4866" s="9" t="str">
        <f t="array" ref="X4866">IFERROR(INDEX('Адреса общежитий (скрытый)'!$B$2:$B$9, MATCH(W4866, 'Адреса общежитий (скрытый)'!$A$2:$A$9, 0)), "")</f>
        <v/>
      </c>
      <c r="Y4866" s="18"/>
      <c r="Z4866" s="18"/>
      <c r="AA4866" s="18"/>
      <c r="AB4866" s="18"/>
      <c r="AC4866" s="18"/>
    </row>
    <row r="4867" spans="1:29" ht="32.25" hidden="1" customHeight="1">
      <c r="A4867" s="17"/>
      <c r="B4867" s="9" t="s">
        <v>13284</v>
      </c>
      <c r="C4867" s="9" t="s">
        <v>13284</v>
      </c>
      <c r="D4867" s="9" t="s">
        <v>13284</v>
      </c>
      <c r="E4867" s="9" t="s">
        <v>13284</v>
      </c>
      <c r="F4867" s="9" t="s">
        <v>13284</v>
      </c>
      <c r="G4867" s="9" t="s">
        <v>13284</v>
      </c>
      <c r="H4867" s="9" t="s">
        <v>13284</v>
      </c>
      <c r="I4867" s="9" t="s">
        <v>13284</v>
      </c>
      <c r="J4867" s="9" t="s">
        <v>13284</v>
      </c>
      <c r="K4867" s="9" t="s">
        <v>13284</v>
      </c>
      <c r="L4867" s="9" t="s">
        <v>13284</v>
      </c>
      <c r="M4867" s="9" t="s">
        <v>13284</v>
      </c>
      <c r="N4867" s="9" t="s">
        <v>13284</v>
      </c>
      <c r="O4867" s="9" t="s">
        <v>13284</v>
      </c>
      <c r="P4867" s="9" t="s">
        <v>13284</v>
      </c>
      <c r="Q4867" s="9" t="s">
        <v>13284</v>
      </c>
      <c r="R4867" s="9" t="s">
        <v>13284</v>
      </c>
      <c r="S4867" s="9" t="s">
        <v>13284</v>
      </c>
      <c r="T4867" s="9" t="str">
        <f ca="1">IFERROR(IF(AND(VLOOKUP(A4867, 'Актуальное состояние (из общего'!A:C,3,0) = "", A4867 &lt;&gt; ""), "ПРОВЕРИТЬ", VLOOKUP(A4867, 'Актуальное состояние (из общего'!A:C,3,0)), "")</f>
        <v/>
      </c>
      <c r="U4867" s="9" t="s">
        <v>13284</v>
      </c>
      <c r="V4867" s="9" t="s">
        <v>13284</v>
      </c>
      <c r="W4867" s="12"/>
      <c r="X4867" s="9" t="str">
        <f t="array" ref="X4867">IFERROR(INDEX('Адреса общежитий (скрытый)'!$B$2:$B$9, MATCH(W4867, 'Адреса общежитий (скрытый)'!$A$2:$A$9, 0)), "")</f>
        <v/>
      </c>
      <c r="Y4867" s="18"/>
      <c r="Z4867" s="18"/>
      <c r="AA4867" s="18"/>
      <c r="AB4867" s="18"/>
      <c r="AC4867" s="18"/>
    </row>
    <row r="4868" spans="1:29" ht="32.25" hidden="1" customHeight="1">
      <c r="A4868" s="17"/>
      <c r="B4868" s="9" t="s">
        <v>13284</v>
      </c>
      <c r="C4868" s="9" t="s">
        <v>13284</v>
      </c>
      <c r="D4868" s="9" t="s">
        <v>13284</v>
      </c>
      <c r="E4868" s="9" t="s">
        <v>13284</v>
      </c>
      <c r="F4868" s="9" t="s">
        <v>13284</v>
      </c>
      <c r="G4868" s="9" t="s">
        <v>13284</v>
      </c>
      <c r="H4868" s="9" t="s">
        <v>13284</v>
      </c>
      <c r="I4868" s="9" t="s">
        <v>13284</v>
      </c>
      <c r="J4868" s="9" t="s">
        <v>13284</v>
      </c>
      <c r="K4868" s="9" t="s">
        <v>13284</v>
      </c>
      <c r="L4868" s="9" t="s">
        <v>13284</v>
      </c>
      <c r="M4868" s="9" t="s">
        <v>13284</v>
      </c>
      <c r="N4868" s="9" t="s">
        <v>13284</v>
      </c>
      <c r="O4868" s="9" t="s">
        <v>13284</v>
      </c>
      <c r="P4868" s="9" t="s">
        <v>13284</v>
      </c>
      <c r="Q4868" s="9" t="s">
        <v>13284</v>
      </c>
      <c r="R4868" s="9" t="s">
        <v>13284</v>
      </c>
      <c r="S4868" s="9" t="s">
        <v>13284</v>
      </c>
      <c r="T4868" s="9" t="str">
        <f ca="1">IFERROR(IF(AND(VLOOKUP(A4868, 'Актуальное состояние (из общего'!A:C,3,0) = "", A4868 &lt;&gt; ""), "ПРОВЕРИТЬ", VLOOKUP(A4868, 'Актуальное состояние (из общего'!A:C,3,0)), "")</f>
        <v/>
      </c>
      <c r="U4868" s="9" t="s">
        <v>13284</v>
      </c>
      <c r="V4868" s="9" t="s">
        <v>13284</v>
      </c>
      <c r="W4868" s="12"/>
      <c r="X4868" s="9" t="str">
        <f t="array" ref="X4868">IFERROR(INDEX('Адреса общежитий (скрытый)'!$B$2:$B$9, MATCH(W4868, 'Адреса общежитий (скрытый)'!$A$2:$A$9, 0)), "")</f>
        <v/>
      </c>
      <c r="Y4868" s="18"/>
      <c r="Z4868" s="18"/>
      <c r="AA4868" s="18"/>
      <c r="AB4868" s="18"/>
      <c r="AC4868" s="18"/>
    </row>
    <row r="4869" spans="1:29" ht="32.25" hidden="1" customHeight="1">
      <c r="A4869" s="17"/>
      <c r="B4869" s="9" t="s">
        <v>13284</v>
      </c>
      <c r="C4869" s="9" t="s">
        <v>13284</v>
      </c>
      <c r="D4869" s="9" t="s">
        <v>13284</v>
      </c>
      <c r="E4869" s="9" t="s">
        <v>13284</v>
      </c>
      <c r="F4869" s="9" t="s">
        <v>13284</v>
      </c>
      <c r="G4869" s="9" t="s">
        <v>13284</v>
      </c>
      <c r="H4869" s="9" t="s">
        <v>13284</v>
      </c>
      <c r="I4869" s="9" t="s">
        <v>13284</v>
      </c>
      <c r="J4869" s="9" t="s">
        <v>13284</v>
      </c>
      <c r="K4869" s="9" t="s">
        <v>13284</v>
      </c>
      <c r="L4869" s="9" t="s">
        <v>13284</v>
      </c>
      <c r="M4869" s="9" t="s">
        <v>13284</v>
      </c>
      <c r="N4869" s="9" t="s">
        <v>13284</v>
      </c>
      <c r="O4869" s="9" t="s">
        <v>13284</v>
      </c>
      <c r="P4869" s="9" t="s">
        <v>13284</v>
      </c>
      <c r="Q4869" s="9" t="s">
        <v>13284</v>
      </c>
      <c r="R4869" s="9" t="s">
        <v>13284</v>
      </c>
      <c r="S4869" s="9" t="s">
        <v>13284</v>
      </c>
      <c r="T4869" s="9" t="str">
        <f ca="1">IFERROR(IF(AND(VLOOKUP(A4869, 'Актуальное состояние (из общего'!A:C,3,0) = "", A4869 &lt;&gt; ""), "ПРОВЕРИТЬ", VLOOKUP(A4869, 'Актуальное состояние (из общего'!A:C,3,0)), "")</f>
        <v/>
      </c>
      <c r="U4869" s="9" t="s">
        <v>13284</v>
      </c>
      <c r="V4869" s="9" t="s">
        <v>13284</v>
      </c>
      <c r="W4869" s="12"/>
      <c r="X4869" s="9" t="str">
        <f t="array" ref="X4869">IFERROR(INDEX('Адреса общежитий (скрытый)'!$B$2:$B$9, MATCH(W4869, 'Адреса общежитий (скрытый)'!$A$2:$A$9, 0)), "")</f>
        <v/>
      </c>
      <c r="Y4869" s="18"/>
      <c r="Z4869" s="18"/>
      <c r="AA4869" s="18"/>
      <c r="AB4869" s="18"/>
      <c r="AC4869" s="18"/>
    </row>
    <row r="4870" spans="1:29" ht="32.25" hidden="1" customHeight="1">
      <c r="A4870" s="17"/>
      <c r="B4870" s="9" t="s">
        <v>13284</v>
      </c>
      <c r="C4870" s="9" t="s">
        <v>13284</v>
      </c>
      <c r="D4870" s="9" t="s">
        <v>13284</v>
      </c>
      <c r="E4870" s="9" t="s">
        <v>13284</v>
      </c>
      <c r="F4870" s="9" t="s">
        <v>13284</v>
      </c>
      <c r="G4870" s="9" t="s">
        <v>13284</v>
      </c>
      <c r="H4870" s="9" t="s">
        <v>13284</v>
      </c>
      <c r="I4870" s="9" t="s">
        <v>13284</v>
      </c>
      <c r="J4870" s="9" t="s">
        <v>13284</v>
      </c>
      <c r="K4870" s="9" t="s">
        <v>13284</v>
      </c>
      <c r="L4870" s="9" t="s">
        <v>13284</v>
      </c>
      <c r="M4870" s="9" t="s">
        <v>13284</v>
      </c>
      <c r="N4870" s="9" t="s">
        <v>13284</v>
      </c>
      <c r="O4870" s="9" t="s">
        <v>13284</v>
      </c>
      <c r="P4870" s="9" t="s">
        <v>13284</v>
      </c>
      <c r="Q4870" s="9" t="s">
        <v>13284</v>
      </c>
      <c r="R4870" s="9" t="s">
        <v>13284</v>
      </c>
      <c r="S4870" s="9" t="s">
        <v>13284</v>
      </c>
      <c r="T4870" s="9" t="str">
        <f ca="1">IFERROR(IF(AND(VLOOKUP(A4870, 'Актуальное состояние (из общего'!A:C,3,0) = "", A4870 &lt;&gt; ""), "ПРОВЕРИТЬ", VLOOKUP(A4870, 'Актуальное состояние (из общего'!A:C,3,0)), "")</f>
        <v/>
      </c>
      <c r="U4870" s="9" t="s">
        <v>13284</v>
      </c>
      <c r="V4870" s="9" t="s">
        <v>13284</v>
      </c>
      <c r="W4870" s="12"/>
      <c r="X4870" s="9" t="str">
        <f t="array" ref="X4870">IFERROR(INDEX('Адреса общежитий (скрытый)'!$B$2:$B$9, MATCH(W4870, 'Адреса общежитий (скрытый)'!$A$2:$A$9, 0)), "")</f>
        <v/>
      </c>
      <c r="Y4870" s="18"/>
      <c r="Z4870" s="18"/>
      <c r="AA4870" s="18"/>
      <c r="AB4870" s="18"/>
      <c r="AC4870" s="18"/>
    </row>
    <row r="4871" spans="1:29" ht="32.25" hidden="1" customHeight="1">
      <c r="A4871" s="17"/>
      <c r="B4871" s="9" t="s">
        <v>13284</v>
      </c>
      <c r="C4871" s="9" t="s">
        <v>13284</v>
      </c>
      <c r="D4871" s="9" t="s">
        <v>13284</v>
      </c>
      <c r="E4871" s="9" t="s">
        <v>13284</v>
      </c>
      <c r="F4871" s="9" t="s">
        <v>13284</v>
      </c>
      <c r="G4871" s="9" t="s">
        <v>13284</v>
      </c>
      <c r="H4871" s="9" t="s">
        <v>13284</v>
      </c>
      <c r="I4871" s="9" t="s">
        <v>13284</v>
      </c>
      <c r="J4871" s="9" t="s">
        <v>13284</v>
      </c>
      <c r="K4871" s="9" t="s">
        <v>13284</v>
      </c>
      <c r="L4871" s="9" t="s">
        <v>13284</v>
      </c>
      <c r="M4871" s="9" t="s">
        <v>13284</v>
      </c>
      <c r="N4871" s="9" t="s">
        <v>13284</v>
      </c>
      <c r="O4871" s="9" t="s">
        <v>13284</v>
      </c>
      <c r="P4871" s="9" t="s">
        <v>13284</v>
      </c>
      <c r="Q4871" s="9" t="s">
        <v>13284</v>
      </c>
      <c r="R4871" s="9" t="s">
        <v>13284</v>
      </c>
      <c r="S4871" s="9" t="s">
        <v>13284</v>
      </c>
      <c r="T4871" s="9" t="str">
        <f ca="1">IFERROR(IF(AND(VLOOKUP(A4871, 'Актуальное состояние (из общего'!A:C,3,0) = "", A4871 &lt;&gt; ""), "ПРОВЕРИТЬ", VLOOKUP(A4871, 'Актуальное состояние (из общего'!A:C,3,0)), "")</f>
        <v/>
      </c>
      <c r="U4871" s="9" t="s">
        <v>13284</v>
      </c>
      <c r="V4871" s="9" t="s">
        <v>13284</v>
      </c>
      <c r="W4871" s="12"/>
      <c r="X4871" s="9" t="str">
        <f t="array" ref="X4871">IFERROR(INDEX('Адреса общежитий (скрытый)'!$B$2:$B$9, MATCH(W4871, 'Адреса общежитий (скрытый)'!$A$2:$A$9, 0)), "")</f>
        <v/>
      </c>
      <c r="Y4871" s="18"/>
      <c r="Z4871" s="18"/>
      <c r="AA4871" s="18"/>
      <c r="AB4871" s="18"/>
      <c r="AC4871" s="18"/>
    </row>
    <row r="4872" spans="1:29" ht="32.25" hidden="1" customHeight="1">
      <c r="A4872" s="17"/>
      <c r="B4872" s="9" t="s">
        <v>13284</v>
      </c>
      <c r="C4872" s="9" t="s">
        <v>13284</v>
      </c>
      <c r="D4872" s="9" t="s">
        <v>13284</v>
      </c>
      <c r="E4872" s="9" t="s">
        <v>13284</v>
      </c>
      <c r="F4872" s="9" t="s">
        <v>13284</v>
      </c>
      <c r="G4872" s="9" t="s">
        <v>13284</v>
      </c>
      <c r="H4872" s="9" t="s">
        <v>13284</v>
      </c>
      <c r="I4872" s="9" t="s">
        <v>13284</v>
      </c>
      <c r="J4872" s="9" t="s">
        <v>13284</v>
      </c>
      <c r="K4872" s="9" t="s">
        <v>13284</v>
      </c>
      <c r="L4872" s="9" t="s">
        <v>13284</v>
      </c>
      <c r="M4872" s="9" t="s">
        <v>13284</v>
      </c>
      <c r="N4872" s="9" t="s">
        <v>13284</v>
      </c>
      <c r="O4872" s="9" t="s">
        <v>13284</v>
      </c>
      <c r="P4872" s="9" t="s">
        <v>13284</v>
      </c>
      <c r="Q4872" s="9" t="s">
        <v>13284</v>
      </c>
      <c r="R4872" s="9" t="s">
        <v>13284</v>
      </c>
      <c r="S4872" s="9" t="s">
        <v>13284</v>
      </c>
      <c r="T4872" s="9" t="str">
        <f ca="1">IFERROR(IF(AND(VLOOKUP(A4872, 'Актуальное состояние (из общего'!A:C,3,0) = "", A4872 &lt;&gt; ""), "ПРОВЕРИТЬ", VLOOKUP(A4872, 'Актуальное состояние (из общего'!A:C,3,0)), "")</f>
        <v/>
      </c>
      <c r="U4872" s="9" t="s">
        <v>13284</v>
      </c>
      <c r="V4872" s="9" t="s">
        <v>13284</v>
      </c>
      <c r="W4872" s="12"/>
      <c r="X4872" s="9" t="str">
        <f t="array" ref="X4872">IFERROR(INDEX('Адреса общежитий (скрытый)'!$B$2:$B$9, MATCH(W4872, 'Адреса общежитий (скрытый)'!$A$2:$A$9, 0)), "")</f>
        <v/>
      </c>
      <c r="Y4872" s="18"/>
      <c r="Z4872" s="18"/>
      <c r="AA4872" s="18"/>
      <c r="AB4872" s="18"/>
      <c r="AC4872" s="18"/>
    </row>
    <row r="4873" spans="1:29" ht="32.25" hidden="1" customHeight="1">
      <c r="A4873" s="17"/>
      <c r="B4873" s="9" t="s">
        <v>13284</v>
      </c>
      <c r="C4873" s="9" t="s">
        <v>13284</v>
      </c>
      <c r="D4873" s="9" t="s">
        <v>13284</v>
      </c>
      <c r="E4873" s="9" t="s">
        <v>13284</v>
      </c>
      <c r="F4873" s="9" t="s">
        <v>13284</v>
      </c>
      <c r="G4873" s="9" t="s">
        <v>13284</v>
      </c>
      <c r="H4873" s="9" t="s">
        <v>13284</v>
      </c>
      <c r="I4873" s="9" t="s">
        <v>13284</v>
      </c>
      <c r="J4873" s="9" t="s">
        <v>13284</v>
      </c>
      <c r="K4873" s="9" t="s">
        <v>13284</v>
      </c>
      <c r="L4873" s="9" t="s">
        <v>13284</v>
      </c>
      <c r="M4873" s="9" t="s">
        <v>13284</v>
      </c>
      <c r="N4873" s="9" t="s">
        <v>13284</v>
      </c>
      <c r="O4873" s="9" t="s">
        <v>13284</v>
      </c>
      <c r="P4873" s="9" t="s">
        <v>13284</v>
      </c>
      <c r="Q4873" s="9" t="s">
        <v>13284</v>
      </c>
      <c r="R4873" s="9" t="s">
        <v>13284</v>
      </c>
      <c r="S4873" s="9" t="s">
        <v>13284</v>
      </c>
      <c r="T4873" s="9" t="str">
        <f ca="1">IFERROR(IF(AND(VLOOKUP(A4873, 'Актуальное состояние (из общего'!A:C,3,0) = "", A4873 &lt;&gt; ""), "ПРОВЕРИТЬ", VLOOKUP(A4873, 'Актуальное состояние (из общего'!A:C,3,0)), "")</f>
        <v/>
      </c>
      <c r="U4873" s="9" t="s">
        <v>13284</v>
      </c>
      <c r="V4873" s="9" t="s">
        <v>13284</v>
      </c>
      <c r="W4873" s="12"/>
      <c r="X4873" s="9" t="str">
        <f t="array" ref="X4873">IFERROR(INDEX('Адреса общежитий (скрытый)'!$B$2:$B$9, MATCH(W4873, 'Адреса общежитий (скрытый)'!$A$2:$A$9, 0)), "")</f>
        <v/>
      </c>
      <c r="Y4873" s="18"/>
      <c r="Z4873" s="18"/>
      <c r="AA4873" s="18"/>
      <c r="AB4873" s="18"/>
      <c r="AC4873" s="18"/>
    </row>
    <row r="4874" spans="1:29" ht="32.25" hidden="1" customHeight="1">
      <c r="A4874" s="17"/>
      <c r="B4874" s="9" t="s">
        <v>13284</v>
      </c>
      <c r="C4874" s="9" t="s">
        <v>13284</v>
      </c>
      <c r="D4874" s="9" t="s">
        <v>13284</v>
      </c>
      <c r="E4874" s="9" t="s">
        <v>13284</v>
      </c>
      <c r="F4874" s="9" t="s">
        <v>13284</v>
      </c>
      <c r="G4874" s="9" t="s">
        <v>13284</v>
      </c>
      <c r="H4874" s="9" t="s">
        <v>13284</v>
      </c>
      <c r="I4874" s="9" t="s">
        <v>13284</v>
      </c>
      <c r="J4874" s="9" t="s">
        <v>13284</v>
      </c>
      <c r="K4874" s="9" t="s">
        <v>13284</v>
      </c>
      <c r="L4874" s="9" t="s">
        <v>13284</v>
      </c>
      <c r="M4874" s="9" t="s">
        <v>13284</v>
      </c>
      <c r="N4874" s="9" t="s">
        <v>13284</v>
      </c>
      <c r="O4874" s="9" t="s">
        <v>13284</v>
      </c>
      <c r="P4874" s="9" t="s">
        <v>13284</v>
      </c>
      <c r="Q4874" s="9" t="s">
        <v>13284</v>
      </c>
      <c r="R4874" s="9" t="s">
        <v>13284</v>
      </c>
      <c r="S4874" s="9" t="s">
        <v>13284</v>
      </c>
      <c r="T4874" s="9" t="str">
        <f ca="1">IFERROR(IF(AND(VLOOKUP(A4874, 'Актуальное состояние (из общего'!A:C,3,0) = "", A4874 &lt;&gt; ""), "ПРОВЕРИТЬ", VLOOKUP(A4874, 'Актуальное состояние (из общего'!A:C,3,0)), "")</f>
        <v/>
      </c>
      <c r="U4874" s="9" t="s">
        <v>13284</v>
      </c>
      <c r="V4874" s="9" t="s">
        <v>13284</v>
      </c>
      <c r="W4874" s="12"/>
      <c r="X4874" s="9" t="str">
        <f t="array" ref="X4874">IFERROR(INDEX('Адреса общежитий (скрытый)'!$B$2:$B$9, MATCH(W4874, 'Адреса общежитий (скрытый)'!$A$2:$A$9, 0)), "")</f>
        <v/>
      </c>
      <c r="Y4874" s="18"/>
      <c r="Z4874" s="18"/>
      <c r="AA4874" s="18"/>
      <c r="AB4874" s="18"/>
      <c r="AC4874" s="18"/>
    </row>
    <row r="4875" spans="1:29" ht="32.25" hidden="1" customHeight="1">
      <c r="A4875" s="17"/>
      <c r="B4875" s="9" t="s">
        <v>13284</v>
      </c>
      <c r="C4875" s="9" t="s">
        <v>13284</v>
      </c>
      <c r="D4875" s="9" t="s">
        <v>13284</v>
      </c>
      <c r="E4875" s="9" t="s">
        <v>13284</v>
      </c>
      <c r="F4875" s="9" t="s">
        <v>13284</v>
      </c>
      <c r="G4875" s="9" t="s">
        <v>13284</v>
      </c>
      <c r="H4875" s="9" t="s">
        <v>13284</v>
      </c>
      <c r="I4875" s="9" t="s">
        <v>13284</v>
      </c>
      <c r="J4875" s="9" t="s">
        <v>13284</v>
      </c>
      <c r="K4875" s="9" t="s">
        <v>13284</v>
      </c>
      <c r="L4875" s="9" t="s">
        <v>13284</v>
      </c>
      <c r="M4875" s="9" t="s">
        <v>13284</v>
      </c>
      <c r="N4875" s="9" t="s">
        <v>13284</v>
      </c>
      <c r="O4875" s="9" t="s">
        <v>13284</v>
      </c>
      <c r="P4875" s="9" t="s">
        <v>13284</v>
      </c>
      <c r="Q4875" s="9" t="s">
        <v>13284</v>
      </c>
      <c r="R4875" s="9" t="s">
        <v>13284</v>
      </c>
      <c r="S4875" s="9" t="s">
        <v>13284</v>
      </c>
      <c r="T4875" s="9" t="str">
        <f ca="1">IFERROR(IF(AND(VLOOKUP(A4875, 'Актуальное состояние (из общего'!A:C,3,0) = "", A4875 &lt;&gt; ""), "ПРОВЕРИТЬ", VLOOKUP(A4875, 'Актуальное состояние (из общего'!A:C,3,0)), "")</f>
        <v/>
      </c>
      <c r="U4875" s="9" t="s">
        <v>13284</v>
      </c>
      <c r="V4875" s="9" t="s">
        <v>13284</v>
      </c>
      <c r="W4875" s="12"/>
      <c r="X4875" s="9" t="str">
        <f t="array" ref="X4875">IFERROR(INDEX('Адреса общежитий (скрытый)'!$B$2:$B$9, MATCH(W4875, 'Адреса общежитий (скрытый)'!$A$2:$A$9, 0)), "")</f>
        <v/>
      </c>
      <c r="Y4875" s="18"/>
      <c r="Z4875" s="18"/>
      <c r="AA4875" s="18"/>
      <c r="AB4875" s="18"/>
      <c r="AC4875" s="18"/>
    </row>
    <row r="4876" spans="1:29" ht="32.25" hidden="1" customHeight="1">
      <c r="A4876" s="17"/>
      <c r="B4876" s="9" t="s">
        <v>13284</v>
      </c>
      <c r="C4876" s="9" t="s">
        <v>13284</v>
      </c>
      <c r="D4876" s="9" t="s">
        <v>13284</v>
      </c>
      <c r="E4876" s="9" t="s">
        <v>13284</v>
      </c>
      <c r="F4876" s="9" t="s">
        <v>13284</v>
      </c>
      <c r="G4876" s="9" t="s">
        <v>13284</v>
      </c>
      <c r="H4876" s="9" t="s">
        <v>13284</v>
      </c>
      <c r="I4876" s="9" t="s">
        <v>13284</v>
      </c>
      <c r="J4876" s="9" t="s">
        <v>13284</v>
      </c>
      <c r="K4876" s="9" t="s">
        <v>13284</v>
      </c>
      <c r="L4876" s="9" t="s">
        <v>13284</v>
      </c>
      <c r="M4876" s="9" t="s">
        <v>13284</v>
      </c>
      <c r="N4876" s="9" t="s">
        <v>13284</v>
      </c>
      <c r="O4876" s="9" t="s">
        <v>13284</v>
      </c>
      <c r="P4876" s="9" t="s">
        <v>13284</v>
      </c>
      <c r="Q4876" s="9" t="s">
        <v>13284</v>
      </c>
      <c r="R4876" s="9" t="s">
        <v>13284</v>
      </c>
      <c r="S4876" s="9" t="s">
        <v>13284</v>
      </c>
      <c r="T4876" s="9" t="str">
        <f ca="1">IFERROR(IF(AND(VLOOKUP(A4876, 'Актуальное состояние (из общего'!A:C,3,0) = "", A4876 &lt;&gt; ""), "ПРОВЕРИТЬ", VLOOKUP(A4876, 'Актуальное состояние (из общего'!A:C,3,0)), "")</f>
        <v/>
      </c>
      <c r="U4876" s="9" t="s">
        <v>13284</v>
      </c>
      <c r="V4876" s="9" t="s">
        <v>13284</v>
      </c>
      <c r="W4876" s="12"/>
      <c r="X4876" s="9" t="str">
        <f t="array" ref="X4876">IFERROR(INDEX('Адреса общежитий (скрытый)'!$B$2:$B$9, MATCH(W4876, 'Адреса общежитий (скрытый)'!$A$2:$A$9, 0)), "")</f>
        <v/>
      </c>
      <c r="Y4876" s="18"/>
      <c r="Z4876" s="18"/>
      <c r="AA4876" s="18"/>
      <c r="AB4876" s="18"/>
      <c r="AC4876" s="18"/>
    </row>
    <row r="4877" spans="1:29" ht="32.25" hidden="1" customHeight="1">
      <c r="A4877" s="17"/>
      <c r="B4877" s="9" t="s">
        <v>13284</v>
      </c>
      <c r="C4877" s="9" t="s">
        <v>13284</v>
      </c>
      <c r="D4877" s="9" t="s">
        <v>13284</v>
      </c>
      <c r="E4877" s="9" t="s">
        <v>13284</v>
      </c>
      <c r="F4877" s="9" t="s">
        <v>13284</v>
      </c>
      <c r="G4877" s="9" t="s">
        <v>13284</v>
      </c>
      <c r="H4877" s="9" t="s">
        <v>13284</v>
      </c>
      <c r="I4877" s="9" t="s">
        <v>13284</v>
      </c>
      <c r="J4877" s="9" t="s">
        <v>13284</v>
      </c>
      <c r="K4877" s="9" t="s">
        <v>13284</v>
      </c>
      <c r="L4877" s="9" t="s">
        <v>13284</v>
      </c>
      <c r="M4877" s="9" t="s">
        <v>13284</v>
      </c>
      <c r="N4877" s="9" t="s">
        <v>13284</v>
      </c>
      <c r="O4877" s="9" t="s">
        <v>13284</v>
      </c>
      <c r="P4877" s="9" t="s">
        <v>13284</v>
      </c>
      <c r="Q4877" s="9" t="s">
        <v>13284</v>
      </c>
      <c r="R4877" s="9" t="s">
        <v>13284</v>
      </c>
      <c r="S4877" s="9" t="s">
        <v>13284</v>
      </c>
      <c r="T4877" s="9" t="str">
        <f ca="1">IFERROR(IF(AND(VLOOKUP(A4877, 'Актуальное состояние (из общего'!A:C,3,0) = "", A4877 &lt;&gt; ""), "ПРОВЕРИТЬ", VLOOKUP(A4877, 'Актуальное состояние (из общего'!A:C,3,0)), "")</f>
        <v/>
      </c>
      <c r="U4877" s="9" t="s">
        <v>13284</v>
      </c>
      <c r="V4877" s="9" t="s">
        <v>13284</v>
      </c>
      <c r="W4877" s="12"/>
      <c r="X4877" s="9" t="str">
        <f t="array" ref="X4877">IFERROR(INDEX('Адреса общежитий (скрытый)'!$B$2:$B$9, MATCH(W4877, 'Адреса общежитий (скрытый)'!$A$2:$A$9, 0)), "")</f>
        <v/>
      </c>
      <c r="Y4877" s="18"/>
      <c r="Z4877" s="18"/>
      <c r="AA4877" s="18"/>
      <c r="AB4877" s="18"/>
      <c r="AC4877" s="18"/>
    </row>
    <row r="4878" spans="1:29" ht="32.25" hidden="1" customHeight="1">
      <c r="A4878" s="17"/>
      <c r="B4878" s="9" t="s">
        <v>13284</v>
      </c>
      <c r="C4878" s="9" t="s">
        <v>13284</v>
      </c>
      <c r="D4878" s="9" t="s">
        <v>13284</v>
      </c>
      <c r="E4878" s="9" t="s">
        <v>13284</v>
      </c>
      <c r="F4878" s="9" t="s">
        <v>13284</v>
      </c>
      <c r="G4878" s="9" t="s">
        <v>13284</v>
      </c>
      <c r="H4878" s="9" t="s">
        <v>13284</v>
      </c>
      <c r="I4878" s="9" t="s">
        <v>13284</v>
      </c>
      <c r="J4878" s="9" t="s">
        <v>13284</v>
      </c>
      <c r="K4878" s="9" t="s">
        <v>13284</v>
      </c>
      <c r="L4878" s="9" t="s">
        <v>13284</v>
      </c>
      <c r="M4878" s="9" t="s">
        <v>13284</v>
      </c>
      <c r="N4878" s="9" t="s">
        <v>13284</v>
      </c>
      <c r="O4878" s="9" t="s">
        <v>13284</v>
      </c>
      <c r="P4878" s="9" t="s">
        <v>13284</v>
      </c>
      <c r="Q4878" s="9" t="s">
        <v>13284</v>
      </c>
      <c r="R4878" s="9" t="s">
        <v>13284</v>
      </c>
      <c r="S4878" s="9" t="s">
        <v>13284</v>
      </c>
      <c r="T4878" s="9" t="str">
        <f ca="1">IFERROR(IF(AND(VLOOKUP(A4878, 'Актуальное состояние (из общего'!A:C,3,0) = "", A4878 &lt;&gt; ""), "ПРОВЕРИТЬ", VLOOKUP(A4878, 'Актуальное состояние (из общего'!A:C,3,0)), "")</f>
        <v/>
      </c>
      <c r="U4878" s="9" t="s">
        <v>13284</v>
      </c>
      <c r="V4878" s="9" t="s">
        <v>13284</v>
      </c>
      <c r="W4878" s="12"/>
      <c r="X4878" s="9" t="str">
        <f t="array" ref="X4878">IFERROR(INDEX('Адреса общежитий (скрытый)'!$B$2:$B$9, MATCH(W4878, 'Адреса общежитий (скрытый)'!$A$2:$A$9, 0)), "")</f>
        <v/>
      </c>
      <c r="Y4878" s="18"/>
      <c r="Z4878" s="18"/>
      <c r="AA4878" s="18"/>
      <c r="AB4878" s="18"/>
      <c r="AC4878" s="18"/>
    </row>
    <row r="4879" spans="1:29" ht="32.25" hidden="1" customHeight="1">
      <c r="A4879" s="17"/>
      <c r="B4879" s="9" t="s">
        <v>13284</v>
      </c>
      <c r="C4879" s="9" t="s">
        <v>13284</v>
      </c>
      <c r="D4879" s="9" t="s">
        <v>13284</v>
      </c>
      <c r="E4879" s="9" t="s">
        <v>13284</v>
      </c>
      <c r="F4879" s="9" t="s">
        <v>13284</v>
      </c>
      <c r="G4879" s="9" t="s">
        <v>13284</v>
      </c>
      <c r="H4879" s="9" t="s">
        <v>13284</v>
      </c>
      <c r="I4879" s="9" t="s">
        <v>13284</v>
      </c>
      <c r="J4879" s="9" t="s">
        <v>13284</v>
      </c>
      <c r="K4879" s="9" t="s">
        <v>13284</v>
      </c>
      <c r="L4879" s="9" t="s">
        <v>13284</v>
      </c>
      <c r="M4879" s="9" t="s">
        <v>13284</v>
      </c>
      <c r="N4879" s="9" t="s">
        <v>13284</v>
      </c>
      <c r="O4879" s="9" t="s">
        <v>13284</v>
      </c>
      <c r="P4879" s="9" t="s">
        <v>13284</v>
      </c>
      <c r="Q4879" s="9" t="s">
        <v>13284</v>
      </c>
      <c r="R4879" s="9" t="s">
        <v>13284</v>
      </c>
      <c r="S4879" s="9" t="s">
        <v>13284</v>
      </c>
      <c r="T4879" s="9" t="str">
        <f ca="1">IFERROR(IF(AND(VLOOKUP(A4879, 'Актуальное состояние (из общего'!A:C,3,0) = "", A4879 &lt;&gt; ""), "ПРОВЕРИТЬ", VLOOKUP(A4879, 'Актуальное состояние (из общего'!A:C,3,0)), "")</f>
        <v/>
      </c>
      <c r="U4879" s="9" t="s">
        <v>13284</v>
      </c>
      <c r="V4879" s="9" t="s">
        <v>13284</v>
      </c>
      <c r="W4879" s="12"/>
      <c r="X4879" s="9" t="str">
        <f t="array" ref="X4879">IFERROR(INDEX('Адреса общежитий (скрытый)'!$B$2:$B$9, MATCH(W4879, 'Адреса общежитий (скрытый)'!$A$2:$A$9, 0)), "")</f>
        <v/>
      </c>
      <c r="Y4879" s="18"/>
      <c r="Z4879" s="18"/>
      <c r="AA4879" s="18"/>
      <c r="AB4879" s="18"/>
      <c r="AC4879" s="18"/>
    </row>
    <row r="4880" spans="1:29" ht="32.25" hidden="1" customHeight="1">
      <c r="A4880" s="17"/>
      <c r="B4880" s="9" t="s">
        <v>13284</v>
      </c>
      <c r="C4880" s="9" t="s">
        <v>13284</v>
      </c>
      <c r="D4880" s="9" t="s">
        <v>13284</v>
      </c>
      <c r="E4880" s="9" t="s">
        <v>13284</v>
      </c>
      <c r="F4880" s="9" t="s">
        <v>13284</v>
      </c>
      <c r="G4880" s="9" t="s">
        <v>13284</v>
      </c>
      <c r="H4880" s="9" t="s">
        <v>13284</v>
      </c>
      <c r="I4880" s="9" t="s">
        <v>13284</v>
      </c>
      <c r="J4880" s="9" t="s">
        <v>13284</v>
      </c>
      <c r="K4880" s="9" t="s">
        <v>13284</v>
      </c>
      <c r="L4880" s="9" t="s">
        <v>13284</v>
      </c>
      <c r="M4880" s="9" t="s">
        <v>13284</v>
      </c>
      <c r="N4880" s="9" t="s">
        <v>13284</v>
      </c>
      <c r="O4880" s="9" t="s">
        <v>13284</v>
      </c>
      <c r="P4880" s="9" t="s">
        <v>13284</v>
      </c>
      <c r="Q4880" s="9" t="s">
        <v>13284</v>
      </c>
      <c r="R4880" s="9" t="s">
        <v>13284</v>
      </c>
      <c r="S4880" s="9" t="s">
        <v>13284</v>
      </c>
      <c r="T4880" s="9" t="str">
        <f ca="1">IFERROR(IF(AND(VLOOKUP(A4880, 'Актуальное состояние (из общего'!A:C,3,0) = "", A4880 &lt;&gt; ""), "ПРОВЕРИТЬ", VLOOKUP(A4880, 'Актуальное состояние (из общего'!A:C,3,0)), "")</f>
        <v/>
      </c>
      <c r="U4880" s="9" t="s">
        <v>13284</v>
      </c>
      <c r="V4880" s="9" t="s">
        <v>13284</v>
      </c>
      <c r="W4880" s="12"/>
      <c r="X4880" s="9" t="str">
        <f t="array" ref="X4880">IFERROR(INDEX('Адреса общежитий (скрытый)'!$B$2:$B$9, MATCH(W4880, 'Адреса общежитий (скрытый)'!$A$2:$A$9, 0)), "")</f>
        <v/>
      </c>
      <c r="Y4880" s="18"/>
      <c r="Z4880" s="18"/>
      <c r="AA4880" s="18"/>
      <c r="AB4880" s="18"/>
      <c r="AC4880" s="18"/>
    </row>
    <row r="4881" spans="1:29" ht="32.25" hidden="1" customHeight="1">
      <c r="A4881" s="17"/>
      <c r="B4881" s="9" t="s">
        <v>13284</v>
      </c>
      <c r="C4881" s="9" t="s">
        <v>13284</v>
      </c>
      <c r="D4881" s="9" t="s">
        <v>13284</v>
      </c>
      <c r="E4881" s="9" t="s">
        <v>13284</v>
      </c>
      <c r="F4881" s="9" t="s">
        <v>13284</v>
      </c>
      <c r="G4881" s="9" t="s">
        <v>13284</v>
      </c>
      <c r="H4881" s="9" t="s">
        <v>13284</v>
      </c>
      <c r="I4881" s="9" t="s">
        <v>13284</v>
      </c>
      <c r="J4881" s="9" t="s">
        <v>13284</v>
      </c>
      <c r="K4881" s="9" t="s">
        <v>13284</v>
      </c>
      <c r="L4881" s="9" t="s">
        <v>13284</v>
      </c>
      <c r="M4881" s="9" t="s">
        <v>13284</v>
      </c>
      <c r="N4881" s="9" t="s">
        <v>13284</v>
      </c>
      <c r="O4881" s="9" t="s">
        <v>13284</v>
      </c>
      <c r="P4881" s="9" t="s">
        <v>13284</v>
      </c>
      <c r="Q4881" s="9" t="s">
        <v>13284</v>
      </c>
      <c r="R4881" s="9" t="s">
        <v>13284</v>
      </c>
      <c r="S4881" s="9" t="s">
        <v>13284</v>
      </c>
      <c r="T4881" s="9" t="str">
        <f ca="1">IFERROR(IF(AND(VLOOKUP(A4881, 'Актуальное состояние (из общего'!A:C,3,0) = "", A4881 &lt;&gt; ""), "ПРОВЕРИТЬ", VLOOKUP(A4881, 'Актуальное состояние (из общего'!A:C,3,0)), "")</f>
        <v/>
      </c>
      <c r="U4881" s="9" t="s">
        <v>13284</v>
      </c>
      <c r="V4881" s="9" t="s">
        <v>13284</v>
      </c>
      <c r="W4881" s="12"/>
      <c r="X4881" s="9" t="str">
        <f t="array" ref="X4881">IFERROR(INDEX('Адреса общежитий (скрытый)'!$B$2:$B$9, MATCH(W4881, 'Адреса общежитий (скрытый)'!$A$2:$A$9, 0)), "")</f>
        <v/>
      </c>
      <c r="Y4881" s="18"/>
      <c r="Z4881" s="18"/>
      <c r="AA4881" s="18"/>
      <c r="AB4881" s="18"/>
      <c r="AC4881" s="18"/>
    </row>
    <row r="4882" spans="1:29" ht="32.25" hidden="1" customHeight="1">
      <c r="A4882" s="17"/>
      <c r="B4882" s="9" t="s">
        <v>13284</v>
      </c>
      <c r="C4882" s="9" t="s">
        <v>13284</v>
      </c>
      <c r="D4882" s="9" t="s">
        <v>13284</v>
      </c>
      <c r="E4882" s="9" t="s">
        <v>13284</v>
      </c>
      <c r="F4882" s="9" t="s">
        <v>13284</v>
      </c>
      <c r="G4882" s="9" t="s">
        <v>13284</v>
      </c>
      <c r="H4882" s="9" t="s">
        <v>13284</v>
      </c>
      <c r="I4882" s="9" t="s">
        <v>13284</v>
      </c>
      <c r="J4882" s="9" t="s">
        <v>13284</v>
      </c>
      <c r="K4882" s="9" t="s">
        <v>13284</v>
      </c>
      <c r="L4882" s="9" t="s">
        <v>13284</v>
      </c>
      <c r="M4882" s="9" t="s">
        <v>13284</v>
      </c>
      <c r="N4882" s="9" t="s">
        <v>13284</v>
      </c>
      <c r="O4882" s="9" t="s">
        <v>13284</v>
      </c>
      <c r="P4882" s="9" t="s">
        <v>13284</v>
      </c>
      <c r="Q4882" s="9" t="s">
        <v>13284</v>
      </c>
      <c r="R4882" s="9" t="s">
        <v>13284</v>
      </c>
      <c r="S4882" s="9" t="s">
        <v>13284</v>
      </c>
      <c r="T4882" s="9" t="str">
        <f ca="1">IFERROR(IF(AND(VLOOKUP(A4882, 'Актуальное состояние (из общего'!A:C,3,0) = "", A4882 &lt;&gt; ""), "ПРОВЕРИТЬ", VLOOKUP(A4882, 'Актуальное состояние (из общего'!A:C,3,0)), "")</f>
        <v/>
      </c>
      <c r="U4882" s="9" t="s">
        <v>13284</v>
      </c>
      <c r="V4882" s="9" t="s">
        <v>13284</v>
      </c>
      <c r="W4882" s="12"/>
      <c r="X4882" s="9" t="str">
        <f t="array" ref="X4882">IFERROR(INDEX('Адреса общежитий (скрытый)'!$B$2:$B$9, MATCH(W4882, 'Адреса общежитий (скрытый)'!$A$2:$A$9, 0)), "")</f>
        <v/>
      </c>
      <c r="Y4882" s="18"/>
      <c r="Z4882" s="18"/>
      <c r="AA4882" s="18"/>
      <c r="AB4882" s="18"/>
      <c r="AC4882" s="18"/>
    </row>
    <row r="4883" spans="1:29" ht="32.25" hidden="1" customHeight="1">
      <c r="A4883" s="17"/>
      <c r="B4883" s="9" t="s">
        <v>13284</v>
      </c>
      <c r="C4883" s="9" t="s">
        <v>13284</v>
      </c>
      <c r="D4883" s="9" t="s">
        <v>13284</v>
      </c>
      <c r="E4883" s="9" t="s">
        <v>13284</v>
      </c>
      <c r="F4883" s="9" t="s">
        <v>13284</v>
      </c>
      <c r="G4883" s="9" t="s">
        <v>13284</v>
      </c>
      <c r="H4883" s="9" t="s">
        <v>13284</v>
      </c>
      <c r="I4883" s="9" t="s">
        <v>13284</v>
      </c>
      <c r="J4883" s="9" t="s">
        <v>13284</v>
      </c>
      <c r="K4883" s="9" t="s">
        <v>13284</v>
      </c>
      <c r="L4883" s="9" t="s">
        <v>13284</v>
      </c>
      <c r="M4883" s="9" t="s">
        <v>13284</v>
      </c>
      <c r="N4883" s="9" t="s">
        <v>13284</v>
      </c>
      <c r="O4883" s="9" t="s">
        <v>13284</v>
      </c>
      <c r="P4883" s="9" t="s">
        <v>13284</v>
      </c>
      <c r="Q4883" s="9" t="s">
        <v>13284</v>
      </c>
      <c r="R4883" s="9" t="s">
        <v>13284</v>
      </c>
      <c r="S4883" s="9" t="s">
        <v>13284</v>
      </c>
      <c r="T4883" s="9" t="str">
        <f ca="1">IFERROR(IF(AND(VLOOKUP(A4883, 'Актуальное состояние (из общего'!A:C,3,0) = "", A4883 &lt;&gt; ""), "ПРОВЕРИТЬ", VLOOKUP(A4883, 'Актуальное состояние (из общего'!A:C,3,0)), "")</f>
        <v/>
      </c>
      <c r="U4883" s="9" t="s">
        <v>13284</v>
      </c>
      <c r="V4883" s="9" t="s">
        <v>13284</v>
      </c>
      <c r="W4883" s="12"/>
      <c r="X4883" s="9" t="str">
        <f t="array" ref="X4883">IFERROR(INDEX('Адреса общежитий (скрытый)'!$B$2:$B$9, MATCH(W4883, 'Адреса общежитий (скрытый)'!$A$2:$A$9, 0)), "")</f>
        <v/>
      </c>
      <c r="Y4883" s="18"/>
      <c r="Z4883" s="18"/>
      <c r="AA4883" s="18"/>
      <c r="AB4883" s="18"/>
      <c r="AC4883" s="18"/>
    </row>
    <row r="4884" spans="1:29" ht="32.25" hidden="1" customHeight="1">
      <c r="A4884" s="17"/>
      <c r="B4884" s="9" t="s">
        <v>13284</v>
      </c>
      <c r="C4884" s="9" t="s">
        <v>13284</v>
      </c>
      <c r="D4884" s="9" t="s">
        <v>13284</v>
      </c>
      <c r="E4884" s="9" t="s">
        <v>13284</v>
      </c>
      <c r="F4884" s="9" t="s">
        <v>13284</v>
      </c>
      <c r="G4884" s="9" t="s">
        <v>13284</v>
      </c>
      <c r="H4884" s="9" t="s">
        <v>13284</v>
      </c>
      <c r="I4884" s="9" t="s">
        <v>13284</v>
      </c>
      <c r="J4884" s="9" t="s">
        <v>13284</v>
      </c>
      <c r="K4884" s="9" t="s">
        <v>13284</v>
      </c>
      <c r="L4884" s="9" t="s">
        <v>13284</v>
      </c>
      <c r="M4884" s="9" t="s">
        <v>13284</v>
      </c>
      <c r="N4884" s="9" t="s">
        <v>13284</v>
      </c>
      <c r="O4884" s="9" t="s">
        <v>13284</v>
      </c>
      <c r="P4884" s="9" t="s">
        <v>13284</v>
      </c>
      <c r="Q4884" s="9" t="s">
        <v>13284</v>
      </c>
      <c r="R4884" s="9" t="s">
        <v>13284</v>
      </c>
      <c r="S4884" s="9" t="s">
        <v>13284</v>
      </c>
      <c r="T4884" s="9" t="str">
        <f ca="1">IFERROR(IF(AND(VLOOKUP(A4884, 'Актуальное состояние (из общего'!A:C,3,0) = "", A4884 &lt;&gt; ""), "ПРОВЕРИТЬ", VLOOKUP(A4884, 'Актуальное состояние (из общего'!A:C,3,0)), "")</f>
        <v/>
      </c>
      <c r="U4884" s="9" t="s">
        <v>13284</v>
      </c>
      <c r="V4884" s="9" t="s">
        <v>13284</v>
      </c>
      <c r="W4884" s="12"/>
      <c r="X4884" s="9" t="str">
        <f t="array" ref="X4884">IFERROR(INDEX('Адреса общежитий (скрытый)'!$B$2:$B$9, MATCH(W4884, 'Адреса общежитий (скрытый)'!$A$2:$A$9, 0)), "")</f>
        <v/>
      </c>
      <c r="Y4884" s="18"/>
      <c r="Z4884" s="18"/>
      <c r="AA4884" s="18"/>
      <c r="AB4884" s="18"/>
      <c r="AC4884" s="18"/>
    </row>
    <row r="4885" spans="1:29" ht="32.25" hidden="1" customHeight="1">
      <c r="A4885" s="17"/>
      <c r="B4885" s="9" t="s">
        <v>13284</v>
      </c>
      <c r="C4885" s="9" t="s">
        <v>13284</v>
      </c>
      <c r="D4885" s="9" t="s">
        <v>13284</v>
      </c>
      <c r="E4885" s="9" t="s">
        <v>13284</v>
      </c>
      <c r="F4885" s="9" t="s">
        <v>13284</v>
      </c>
      <c r="G4885" s="9" t="s">
        <v>13284</v>
      </c>
      <c r="H4885" s="9" t="s">
        <v>13284</v>
      </c>
      <c r="I4885" s="9" t="s">
        <v>13284</v>
      </c>
      <c r="J4885" s="9" t="s">
        <v>13284</v>
      </c>
      <c r="K4885" s="9" t="s">
        <v>13284</v>
      </c>
      <c r="L4885" s="9" t="s">
        <v>13284</v>
      </c>
      <c r="M4885" s="9" t="s">
        <v>13284</v>
      </c>
      <c r="N4885" s="9" t="s">
        <v>13284</v>
      </c>
      <c r="O4885" s="9" t="s">
        <v>13284</v>
      </c>
      <c r="P4885" s="9" t="s">
        <v>13284</v>
      </c>
      <c r="Q4885" s="9" t="s">
        <v>13284</v>
      </c>
      <c r="R4885" s="9" t="s">
        <v>13284</v>
      </c>
      <c r="S4885" s="9" t="s">
        <v>13284</v>
      </c>
      <c r="T4885" s="9" t="str">
        <f ca="1">IFERROR(IF(AND(VLOOKUP(A4885, 'Актуальное состояние (из общего'!A:C,3,0) = "", A4885 &lt;&gt; ""), "ПРОВЕРИТЬ", VLOOKUP(A4885, 'Актуальное состояние (из общего'!A:C,3,0)), "")</f>
        <v/>
      </c>
      <c r="U4885" s="9" t="s">
        <v>13284</v>
      </c>
      <c r="V4885" s="9" t="s">
        <v>13284</v>
      </c>
      <c r="W4885" s="12"/>
      <c r="X4885" s="9" t="str">
        <f t="array" ref="X4885">IFERROR(INDEX('Адреса общежитий (скрытый)'!$B$2:$B$9, MATCH(W4885, 'Адреса общежитий (скрытый)'!$A$2:$A$9, 0)), "")</f>
        <v/>
      </c>
      <c r="Y4885" s="18"/>
      <c r="Z4885" s="18"/>
      <c r="AA4885" s="18"/>
      <c r="AB4885" s="18"/>
      <c r="AC4885" s="18"/>
    </row>
    <row r="4886" spans="1:29" ht="32.25" hidden="1" customHeight="1">
      <c r="A4886" s="17"/>
      <c r="B4886" s="9" t="s">
        <v>13284</v>
      </c>
      <c r="C4886" s="9" t="s">
        <v>13284</v>
      </c>
      <c r="D4886" s="9" t="s">
        <v>13284</v>
      </c>
      <c r="E4886" s="9" t="s">
        <v>13284</v>
      </c>
      <c r="F4886" s="9" t="s">
        <v>13284</v>
      </c>
      <c r="G4886" s="9" t="s">
        <v>13284</v>
      </c>
      <c r="H4886" s="9" t="s">
        <v>13284</v>
      </c>
      <c r="I4886" s="9" t="s">
        <v>13284</v>
      </c>
      <c r="J4886" s="9" t="s">
        <v>13284</v>
      </c>
      <c r="K4886" s="9" t="s">
        <v>13284</v>
      </c>
      <c r="L4886" s="9" t="s">
        <v>13284</v>
      </c>
      <c r="M4886" s="9" t="s">
        <v>13284</v>
      </c>
      <c r="N4886" s="9" t="s">
        <v>13284</v>
      </c>
      <c r="O4886" s="9" t="s">
        <v>13284</v>
      </c>
      <c r="P4886" s="9" t="s">
        <v>13284</v>
      </c>
      <c r="Q4886" s="9" t="s">
        <v>13284</v>
      </c>
      <c r="R4886" s="9" t="s">
        <v>13284</v>
      </c>
      <c r="S4886" s="9" t="s">
        <v>13284</v>
      </c>
      <c r="T4886" s="9" t="str">
        <f ca="1">IFERROR(IF(AND(VLOOKUP(A4886, 'Актуальное состояние (из общего'!A:C,3,0) = "", A4886 &lt;&gt; ""), "ПРОВЕРИТЬ", VLOOKUP(A4886, 'Актуальное состояние (из общего'!A:C,3,0)), "")</f>
        <v/>
      </c>
      <c r="U4886" s="9" t="s">
        <v>13284</v>
      </c>
      <c r="V4886" s="9" t="s">
        <v>13284</v>
      </c>
      <c r="W4886" s="12"/>
      <c r="X4886" s="9" t="str">
        <f t="array" ref="X4886">IFERROR(INDEX('Адреса общежитий (скрытый)'!$B$2:$B$9, MATCH(W4886, 'Адреса общежитий (скрытый)'!$A$2:$A$9, 0)), "")</f>
        <v/>
      </c>
      <c r="Y4886" s="18"/>
      <c r="Z4886" s="18"/>
      <c r="AA4886" s="18"/>
      <c r="AB4886" s="18"/>
      <c r="AC4886" s="18"/>
    </row>
    <row r="4887" spans="1:29" ht="32.25" hidden="1" customHeight="1">
      <c r="A4887" s="17"/>
      <c r="B4887" s="9" t="s">
        <v>13284</v>
      </c>
      <c r="C4887" s="9" t="s">
        <v>13284</v>
      </c>
      <c r="D4887" s="9" t="s">
        <v>13284</v>
      </c>
      <c r="E4887" s="9" t="s">
        <v>13284</v>
      </c>
      <c r="F4887" s="9" t="s">
        <v>13284</v>
      </c>
      <c r="G4887" s="9" t="s">
        <v>13284</v>
      </c>
      <c r="H4887" s="9" t="s">
        <v>13284</v>
      </c>
      <c r="I4887" s="9" t="s">
        <v>13284</v>
      </c>
      <c r="J4887" s="9" t="s">
        <v>13284</v>
      </c>
      <c r="K4887" s="9" t="s">
        <v>13284</v>
      </c>
      <c r="L4887" s="9" t="s">
        <v>13284</v>
      </c>
      <c r="M4887" s="9" t="s">
        <v>13284</v>
      </c>
      <c r="N4887" s="9" t="s">
        <v>13284</v>
      </c>
      <c r="O4887" s="9" t="s">
        <v>13284</v>
      </c>
      <c r="P4887" s="9" t="s">
        <v>13284</v>
      </c>
      <c r="Q4887" s="9" t="s">
        <v>13284</v>
      </c>
      <c r="R4887" s="9" t="s">
        <v>13284</v>
      </c>
      <c r="S4887" s="9" t="s">
        <v>13284</v>
      </c>
      <c r="T4887" s="9" t="str">
        <f ca="1">IFERROR(IF(AND(VLOOKUP(A4887, 'Актуальное состояние (из общего'!A:C,3,0) = "", A4887 &lt;&gt; ""), "ПРОВЕРИТЬ", VLOOKUP(A4887, 'Актуальное состояние (из общего'!A:C,3,0)), "")</f>
        <v/>
      </c>
      <c r="U4887" s="9" t="s">
        <v>13284</v>
      </c>
      <c r="V4887" s="9" t="s">
        <v>13284</v>
      </c>
      <c r="W4887" s="12"/>
      <c r="X4887" s="9" t="str">
        <f t="array" ref="X4887">IFERROR(INDEX('Адреса общежитий (скрытый)'!$B$2:$B$9, MATCH(W4887, 'Адреса общежитий (скрытый)'!$A$2:$A$9, 0)), "")</f>
        <v/>
      </c>
      <c r="Y4887" s="18"/>
      <c r="Z4887" s="18"/>
      <c r="AA4887" s="18"/>
      <c r="AB4887" s="18"/>
      <c r="AC4887" s="18"/>
    </row>
    <row r="4888" spans="1:29" ht="32.25" hidden="1" customHeight="1">
      <c r="A4888" s="17"/>
      <c r="B4888" s="9" t="s">
        <v>13284</v>
      </c>
      <c r="C4888" s="9" t="s">
        <v>13284</v>
      </c>
      <c r="D4888" s="9" t="s">
        <v>13284</v>
      </c>
      <c r="E4888" s="9" t="s">
        <v>13284</v>
      </c>
      <c r="F4888" s="9" t="s">
        <v>13284</v>
      </c>
      <c r="G4888" s="9" t="s">
        <v>13284</v>
      </c>
      <c r="H4888" s="9" t="s">
        <v>13284</v>
      </c>
      <c r="I4888" s="9" t="s">
        <v>13284</v>
      </c>
      <c r="J4888" s="9" t="s">
        <v>13284</v>
      </c>
      <c r="K4888" s="9" t="s">
        <v>13284</v>
      </c>
      <c r="L4888" s="9" t="s">
        <v>13284</v>
      </c>
      <c r="M4888" s="9" t="s">
        <v>13284</v>
      </c>
      <c r="N4888" s="9" t="s">
        <v>13284</v>
      </c>
      <c r="O4888" s="9" t="s">
        <v>13284</v>
      </c>
      <c r="P4888" s="9" t="s">
        <v>13284</v>
      </c>
      <c r="Q4888" s="9" t="s">
        <v>13284</v>
      </c>
      <c r="R4888" s="9" t="s">
        <v>13284</v>
      </c>
      <c r="S4888" s="9" t="s">
        <v>13284</v>
      </c>
      <c r="T4888" s="9" t="str">
        <f ca="1">IFERROR(IF(AND(VLOOKUP(A4888, 'Актуальное состояние (из общего'!A:C,3,0) = "", A4888 &lt;&gt; ""), "ПРОВЕРИТЬ", VLOOKUP(A4888, 'Актуальное состояние (из общего'!A:C,3,0)), "")</f>
        <v/>
      </c>
      <c r="U4888" s="9" t="s">
        <v>13284</v>
      </c>
      <c r="V4888" s="9" t="s">
        <v>13284</v>
      </c>
      <c r="W4888" s="12"/>
      <c r="X4888" s="9" t="str">
        <f t="array" ref="X4888">IFERROR(INDEX('Адреса общежитий (скрытый)'!$B$2:$B$9, MATCH(W4888, 'Адреса общежитий (скрытый)'!$A$2:$A$9, 0)), "")</f>
        <v/>
      </c>
      <c r="Y4888" s="18"/>
      <c r="Z4888" s="18"/>
      <c r="AA4888" s="18"/>
      <c r="AB4888" s="18"/>
      <c r="AC4888" s="18"/>
    </row>
    <row r="4889" spans="1:29" ht="32.25" hidden="1" customHeight="1">
      <c r="A4889" s="17"/>
      <c r="B4889" s="9" t="s">
        <v>13284</v>
      </c>
      <c r="C4889" s="9" t="s">
        <v>13284</v>
      </c>
      <c r="D4889" s="9" t="s">
        <v>13284</v>
      </c>
      <c r="E4889" s="9" t="s">
        <v>13284</v>
      </c>
      <c r="F4889" s="9" t="s">
        <v>13284</v>
      </c>
      <c r="G4889" s="9" t="s">
        <v>13284</v>
      </c>
      <c r="H4889" s="9" t="s">
        <v>13284</v>
      </c>
      <c r="I4889" s="9" t="s">
        <v>13284</v>
      </c>
      <c r="J4889" s="9" t="s">
        <v>13284</v>
      </c>
      <c r="K4889" s="9" t="s">
        <v>13284</v>
      </c>
      <c r="L4889" s="9" t="s">
        <v>13284</v>
      </c>
      <c r="M4889" s="9" t="s">
        <v>13284</v>
      </c>
      <c r="N4889" s="9" t="s">
        <v>13284</v>
      </c>
      <c r="O4889" s="9" t="s">
        <v>13284</v>
      </c>
      <c r="P4889" s="9" t="s">
        <v>13284</v>
      </c>
      <c r="Q4889" s="9" t="s">
        <v>13284</v>
      </c>
      <c r="R4889" s="9" t="s">
        <v>13284</v>
      </c>
      <c r="S4889" s="9" t="s">
        <v>13284</v>
      </c>
      <c r="T4889" s="9" t="str">
        <f ca="1">IFERROR(IF(AND(VLOOKUP(A4889, 'Актуальное состояние (из общего'!A:C,3,0) = "", A4889 &lt;&gt; ""), "ПРОВЕРИТЬ", VLOOKUP(A4889, 'Актуальное состояние (из общего'!A:C,3,0)), "")</f>
        <v/>
      </c>
      <c r="U4889" s="9" t="s">
        <v>13284</v>
      </c>
      <c r="V4889" s="9" t="s">
        <v>13284</v>
      </c>
      <c r="W4889" s="12"/>
      <c r="X4889" s="9" t="str">
        <f t="array" ref="X4889">IFERROR(INDEX('Адреса общежитий (скрытый)'!$B$2:$B$9, MATCH(W4889, 'Адреса общежитий (скрытый)'!$A$2:$A$9, 0)), "")</f>
        <v/>
      </c>
      <c r="Y4889" s="18"/>
      <c r="Z4889" s="18"/>
      <c r="AA4889" s="18"/>
      <c r="AB4889" s="18"/>
      <c r="AC4889" s="18"/>
    </row>
    <row r="4890" spans="1:29" ht="32.25" hidden="1" customHeight="1">
      <c r="A4890" s="17"/>
      <c r="B4890" s="9" t="s">
        <v>13284</v>
      </c>
      <c r="C4890" s="9" t="s">
        <v>13284</v>
      </c>
      <c r="D4890" s="9" t="s">
        <v>13284</v>
      </c>
      <c r="E4890" s="9" t="s">
        <v>13284</v>
      </c>
      <c r="F4890" s="9" t="s">
        <v>13284</v>
      </c>
      <c r="G4890" s="9" t="s">
        <v>13284</v>
      </c>
      <c r="H4890" s="9" t="s">
        <v>13284</v>
      </c>
      <c r="I4890" s="9" t="s">
        <v>13284</v>
      </c>
      <c r="J4890" s="9" t="s">
        <v>13284</v>
      </c>
      <c r="K4890" s="9" t="s">
        <v>13284</v>
      </c>
      <c r="L4890" s="9" t="s">
        <v>13284</v>
      </c>
      <c r="M4890" s="9" t="s">
        <v>13284</v>
      </c>
      <c r="N4890" s="9" t="s">
        <v>13284</v>
      </c>
      <c r="O4890" s="9" t="s">
        <v>13284</v>
      </c>
      <c r="P4890" s="9" t="s">
        <v>13284</v>
      </c>
      <c r="Q4890" s="9" t="s">
        <v>13284</v>
      </c>
      <c r="R4890" s="9" t="s">
        <v>13284</v>
      </c>
      <c r="S4890" s="9" t="s">
        <v>13284</v>
      </c>
      <c r="T4890" s="9" t="str">
        <f ca="1">IFERROR(IF(AND(VLOOKUP(A4890, 'Актуальное состояние (из общего'!A:C,3,0) = "", A4890 &lt;&gt; ""), "ПРОВЕРИТЬ", VLOOKUP(A4890, 'Актуальное состояние (из общего'!A:C,3,0)), "")</f>
        <v/>
      </c>
      <c r="U4890" s="9" t="s">
        <v>13284</v>
      </c>
      <c r="V4890" s="9" t="s">
        <v>13284</v>
      </c>
      <c r="W4890" s="12"/>
      <c r="X4890" s="9" t="str">
        <f t="array" ref="X4890">IFERROR(INDEX('Адреса общежитий (скрытый)'!$B$2:$B$9, MATCH(W4890, 'Адреса общежитий (скрытый)'!$A$2:$A$9, 0)), "")</f>
        <v/>
      </c>
      <c r="Y4890" s="18"/>
      <c r="Z4890" s="18"/>
      <c r="AA4890" s="18"/>
      <c r="AB4890" s="18"/>
      <c r="AC4890" s="18"/>
    </row>
    <row r="4891" spans="1:29" ht="32.25" hidden="1" customHeight="1">
      <c r="A4891" s="17"/>
      <c r="B4891" s="9" t="s">
        <v>13284</v>
      </c>
      <c r="C4891" s="9" t="s">
        <v>13284</v>
      </c>
      <c r="D4891" s="9" t="s">
        <v>13284</v>
      </c>
      <c r="E4891" s="9" t="s">
        <v>13284</v>
      </c>
      <c r="F4891" s="9" t="s">
        <v>13284</v>
      </c>
      <c r="G4891" s="9" t="s">
        <v>13284</v>
      </c>
      <c r="H4891" s="9" t="s">
        <v>13284</v>
      </c>
      <c r="I4891" s="9" t="s">
        <v>13284</v>
      </c>
      <c r="J4891" s="9" t="s">
        <v>13284</v>
      </c>
      <c r="K4891" s="9" t="s">
        <v>13284</v>
      </c>
      <c r="L4891" s="9" t="s">
        <v>13284</v>
      </c>
      <c r="M4891" s="9" t="s">
        <v>13284</v>
      </c>
      <c r="N4891" s="9" t="s">
        <v>13284</v>
      </c>
      <c r="O4891" s="9" t="s">
        <v>13284</v>
      </c>
      <c r="P4891" s="9" t="s">
        <v>13284</v>
      </c>
      <c r="Q4891" s="9" t="s">
        <v>13284</v>
      </c>
      <c r="R4891" s="9" t="s">
        <v>13284</v>
      </c>
      <c r="S4891" s="9" t="s">
        <v>13284</v>
      </c>
      <c r="T4891" s="9" t="str">
        <f ca="1">IFERROR(IF(AND(VLOOKUP(A4891, 'Актуальное состояние (из общего'!A:C,3,0) = "", A4891 &lt;&gt; ""), "ПРОВЕРИТЬ", VLOOKUP(A4891, 'Актуальное состояние (из общего'!A:C,3,0)), "")</f>
        <v/>
      </c>
      <c r="U4891" s="9" t="s">
        <v>13284</v>
      </c>
      <c r="V4891" s="9" t="s">
        <v>13284</v>
      </c>
      <c r="W4891" s="12"/>
      <c r="X4891" s="9" t="str">
        <f t="array" ref="X4891">IFERROR(INDEX('Адреса общежитий (скрытый)'!$B$2:$B$9, MATCH(W4891, 'Адреса общежитий (скрытый)'!$A$2:$A$9, 0)), "")</f>
        <v/>
      </c>
      <c r="Y4891" s="18"/>
      <c r="Z4891" s="18"/>
      <c r="AA4891" s="18"/>
      <c r="AB4891" s="18"/>
      <c r="AC4891" s="18"/>
    </row>
    <row r="4892" spans="1:29" ht="32.25" hidden="1" customHeight="1">
      <c r="A4892" s="17"/>
      <c r="B4892" s="9" t="s">
        <v>13284</v>
      </c>
      <c r="C4892" s="9" t="s">
        <v>13284</v>
      </c>
      <c r="D4892" s="9" t="s">
        <v>13284</v>
      </c>
      <c r="E4892" s="9" t="s">
        <v>13284</v>
      </c>
      <c r="F4892" s="9" t="s">
        <v>13284</v>
      </c>
      <c r="G4892" s="9" t="s">
        <v>13284</v>
      </c>
      <c r="H4892" s="9" t="s">
        <v>13284</v>
      </c>
      <c r="I4892" s="9" t="s">
        <v>13284</v>
      </c>
      <c r="J4892" s="9" t="s">
        <v>13284</v>
      </c>
      <c r="K4892" s="9" t="s">
        <v>13284</v>
      </c>
      <c r="L4892" s="9" t="s">
        <v>13284</v>
      </c>
      <c r="M4892" s="9" t="s">
        <v>13284</v>
      </c>
      <c r="N4892" s="9" t="s">
        <v>13284</v>
      </c>
      <c r="O4892" s="9" t="s">
        <v>13284</v>
      </c>
      <c r="P4892" s="9" t="s">
        <v>13284</v>
      </c>
      <c r="Q4892" s="9" t="s">
        <v>13284</v>
      </c>
      <c r="R4892" s="9" t="s">
        <v>13284</v>
      </c>
      <c r="S4892" s="9" t="s">
        <v>13284</v>
      </c>
      <c r="T4892" s="9" t="str">
        <f ca="1">IFERROR(IF(AND(VLOOKUP(A4892, 'Актуальное состояние (из общего'!A:C,3,0) = "", A4892 &lt;&gt; ""), "ПРОВЕРИТЬ", VLOOKUP(A4892, 'Актуальное состояние (из общего'!A:C,3,0)), "")</f>
        <v/>
      </c>
      <c r="U4892" s="9" t="s">
        <v>13284</v>
      </c>
      <c r="V4892" s="9" t="s">
        <v>13284</v>
      </c>
      <c r="W4892" s="12"/>
      <c r="X4892" s="9" t="str">
        <f t="array" ref="X4892">IFERROR(INDEX('Адреса общежитий (скрытый)'!$B$2:$B$9, MATCH(W4892, 'Адреса общежитий (скрытый)'!$A$2:$A$9, 0)), "")</f>
        <v/>
      </c>
      <c r="Y4892" s="18"/>
      <c r="Z4892" s="18"/>
      <c r="AA4892" s="18"/>
      <c r="AB4892" s="18"/>
      <c r="AC4892" s="18"/>
    </row>
    <row r="4893" spans="1:29" ht="32.25" hidden="1" customHeight="1">
      <c r="A4893" s="17"/>
      <c r="B4893" s="9" t="s">
        <v>13284</v>
      </c>
      <c r="C4893" s="9" t="s">
        <v>13284</v>
      </c>
      <c r="D4893" s="9" t="s">
        <v>13284</v>
      </c>
      <c r="E4893" s="9" t="s">
        <v>13284</v>
      </c>
      <c r="F4893" s="9" t="s">
        <v>13284</v>
      </c>
      <c r="G4893" s="9" t="s">
        <v>13284</v>
      </c>
      <c r="H4893" s="9" t="s">
        <v>13284</v>
      </c>
      <c r="I4893" s="9" t="s">
        <v>13284</v>
      </c>
      <c r="J4893" s="9" t="s">
        <v>13284</v>
      </c>
      <c r="K4893" s="9" t="s">
        <v>13284</v>
      </c>
      <c r="L4893" s="9" t="s">
        <v>13284</v>
      </c>
      <c r="M4893" s="9" t="s">
        <v>13284</v>
      </c>
      <c r="N4893" s="9" t="s">
        <v>13284</v>
      </c>
      <c r="O4893" s="9" t="s">
        <v>13284</v>
      </c>
      <c r="P4893" s="9" t="s">
        <v>13284</v>
      </c>
      <c r="Q4893" s="9" t="s">
        <v>13284</v>
      </c>
      <c r="R4893" s="9" t="s">
        <v>13284</v>
      </c>
      <c r="S4893" s="9" t="s">
        <v>13284</v>
      </c>
      <c r="T4893" s="9" t="str">
        <f ca="1">IFERROR(IF(AND(VLOOKUP(A4893, 'Актуальное состояние (из общего'!A:C,3,0) = "", A4893 &lt;&gt; ""), "ПРОВЕРИТЬ", VLOOKUP(A4893, 'Актуальное состояние (из общего'!A:C,3,0)), "")</f>
        <v/>
      </c>
      <c r="U4893" s="9" t="s">
        <v>13284</v>
      </c>
      <c r="V4893" s="9" t="s">
        <v>13284</v>
      </c>
      <c r="W4893" s="12"/>
      <c r="X4893" s="9" t="str">
        <f t="array" ref="X4893">IFERROR(INDEX('Адреса общежитий (скрытый)'!$B$2:$B$9, MATCH(W4893, 'Адреса общежитий (скрытый)'!$A$2:$A$9, 0)), "")</f>
        <v/>
      </c>
      <c r="Y4893" s="18"/>
      <c r="Z4893" s="18"/>
      <c r="AA4893" s="18"/>
      <c r="AB4893" s="18"/>
      <c r="AC4893" s="18"/>
    </row>
    <row r="4894" spans="1:29" ht="32.25" hidden="1" customHeight="1">
      <c r="A4894" s="17"/>
      <c r="B4894" s="9" t="s">
        <v>13284</v>
      </c>
      <c r="C4894" s="9" t="s">
        <v>13284</v>
      </c>
      <c r="D4894" s="9" t="s">
        <v>13284</v>
      </c>
      <c r="E4894" s="9" t="s">
        <v>13284</v>
      </c>
      <c r="F4894" s="9" t="s">
        <v>13284</v>
      </c>
      <c r="G4894" s="9" t="s">
        <v>13284</v>
      </c>
      <c r="H4894" s="9" t="s">
        <v>13284</v>
      </c>
      <c r="I4894" s="9" t="s">
        <v>13284</v>
      </c>
      <c r="J4894" s="9" t="s">
        <v>13284</v>
      </c>
      <c r="K4894" s="9" t="s">
        <v>13284</v>
      </c>
      <c r="L4894" s="9" t="s">
        <v>13284</v>
      </c>
      <c r="M4894" s="9" t="s">
        <v>13284</v>
      </c>
      <c r="N4894" s="9" t="s">
        <v>13284</v>
      </c>
      <c r="O4894" s="9" t="s">
        <v>13284</v>
      </c>
      <c r="P4894" s="9" t="s">
        <v>13284</v>
      </c>
      <c r="Q4894" s="9" t="s">
        <v>13284</v>
      </c>
      <c r="R4894" s="9" t="s">
        <v>13284</v>
      </c>
      <c r="S4894" s="9" t="s">
        <v>13284</v>
      </c>
      <c r="T4894" s="9" t="str">
        <f ca="1">IFERROR(IF(AND(VLOOKUP(A4894, 'Актуальное состояние (из общего'!A:C,3,0) = "", A4894 &lt;&gt; ""), "ПРОВЕРИТЬ", VLOOKUP(A4894, 'Актуальное состояние (из общего'!A:C,3,0)), "")</f>
        <v/>
      </c>
      <c r="U4894" s="9" t="s">
        <v>13284</v>
      </c>
      <c r="V4894" s="9" t="s">
        <v>13284</v>
      </c>
      <c r="W4894" s="12"/>
      <c r="X4894" s="9" t="str">
        <f t="array" ref="X4894">IFERROR(INDEX('Адреса общежитий (скрытый)'!$B$2:$B$9, MATCH(W4894, 'Адреса общежитий (скрытый)'!$A$2:$A$9, 0)), "")</f>
        <v/>
      </c>
      <c r="Y4894" s="18"/>
      <c r="Z4894" s="18"/>
      <c r="AA4894" s="18"/>
      <c r="AB4894" s="18"/>
      <c r="AC4894" s="18"/>
    </row>
    <row r="4895" spans="1:29" ht="32.25" hidden="1" customHeight="1">
      <c r="A4895" s="17"/>
      <c r="B4895" s="9" t="s">
        <v>13284</v>
      </c>
      <c r="C4895" s="9" t="s">
        <v>13284</v>
      </c>
      <c r="D4895" s="9" t="s">
        <v>13284</v>
      </c>
      <c r="E4895" s="9" t="s">
        <v>13284</v>
      </c>
      <c r="F4895" s="9" t="s">
        <v>13284</v>
      </c>
      <c r="G4895" s="9" t="s">
        <v>13284</v>
      </c>
      <c r="H4895" s="9" t="s">
        <v>13284</v>
      </c>
      <c r="I4895" s="9" t="s">
        <v>13284</v>
      </c>
      <c r="J4895" s="9" t="s">
        <v>13284</v>
      </c>
      <c r="K4895" s="9" t="s">
        <v>13284</v>
      </c>
      <c r="L4895" s="9" t="s">
        <v>13284</v>
      </c>
      <c r="M4895" s="9" t="s">
        <v>13284</v>
      </c>
      <c r="N4895" s="9" t="s">
        <v>13284</v>
      </c>
      <c r="O4895" s="9" t="s">
        <v>13284</v>
      </c>
      <c r="P4895" s="9" t="s">
        <v>13284</v>
      </c>
      <c r="Q4895" s="9" t="s">
        <v>13284</v>
      </c>
      <c r="R4895" s="9" t="s">
        <v>13284</v>
      </c>
      <c r="S4895" s="9" t="s">
        <v>13284</v>
      </c>
      <c r="T4895" s="9" t="str">
        <f ca="1">IFERROR(IF(AND(VLOOKUP(A4895, 'Актуальное состояние (из общего'!A:C,3,0) = "", A4895 &lt;&gt; ""), "ПРОВЕРИТЬ", VLOOKUP(A4895, 'Актуальное состояние (из общего'!A:C,3,0)), "")</f>
        <v/>
      </c>
      <c r="U4895" s="9" t="s">
        <v>13284</v>
      </c>
      <c r="V4895" s="9" t="s">
        <v>13284</v>
      </c>
      <c r="W4895" s="12"/>
      <c r="X4895" s="9" t="str">
        <f t="array" ref="X4895">IFERROR(INDEX('Адреса общежитий (скрытый)'!$B$2:$B$9, MATCH(W4895, 'Адреса общежитий (скрытый)'!$A$2:$A$9, 0)), "")</f>
        <v/>
      </c>
      <c r="Y4895" s="18"/>
      <c r="Z4895" s="18"/>
      <c r="AA4895" s="18"/>
      <c r="AB4895" s="18"/>
      <c r="AC4895" s="18"/>
    </row>
    <row r="4896" spans="1:29" ht="32.25" hidden="1" customHeight="1">
      <c r="A4896" s="17"/>
      <c r="B4896" s="9" t="s">
        <v>13284</v>
      </c>
      <c r="C4896" s="9" t="s">
        <v>13284</v>
      </c>
      <c r="D4896" s="9" t="s">
        <v>13284</v>
      </c>
      <c r="E4896" s="9" t="s">
        <v>13284</v>
      </c>
      <c r="F4896" s="9" t="s">
        <v>13284</v>
      </c>
      <c r="G4896" s="9" t="s">
        <v>13284</v>
      </c>
      <c r="H4896" s="9" t="s">
        <v>13284</v>
      </c>
      <c r="I4896" s="9" t="s">
        <v>13284</v>
      </c>
      <c r="J4896" s="9" t="s">
        <v>13284</v>
      </c>
      <c r="K4896" s="9" t="s">
        <v>13284</v>
      </c>
      <c r="L4896" s="9" t="s">
        <v>13284</v>
      </c>
      <c r="M4896" s="9" t="s">
        <v>13284</v>
      </c>
      <c r="N4896" s="9" t="s">
        <v>13284</v>
      </c>
      <c r="O4896" s="9" t="s">
        <v>13284</v>
      </c>
      <c r="P4896" s="9" t="s">
        <v>13284</v>
      </c>
      <c r="Q4896" s="9" t="s">
        <v>13284</v>
      </c>
      <c r="R4896" s="9" t="s">
        <v>13284</v>
      </c>
      <c r="S4896" s="9" t="s">
        <v>13284</v>
      </c>
      <c r="T4896" s="9" t="str">
        <f ca="1">IFERROR(IF(AND(VLOOKUP(A4896, 'Актуальное состояние (из общего'!A:C,3,0) = "", A4896 &lt;&gt; ""), "ПРОВЕРИТЬ", VLOOKUP(A4896, 'Актуальное состояние (из общего'!A:C,3,0)), "")</f>
        <v/>
      </c>
      <c r="U4896" s="9" t="s">
        <v>13284</v>
      </c>
      <c r="V4896" s="9" t="s">
        <v>13284</v>
      </c>
      <c r="W4896" s="12"/>
      <c r="X4896" s="9" t="str">
        <f t="array" ref="X4896">IFERROR(INDEX('Адреса общежитий (скрытый)'!$B$2:$B$9, MATCH(W4896, 'Адреса общежитий (скрытый)'!$A$2:$A$9, 0)), "")</f>
        <v/>
      </c>
      <c r="Y4896" s="18"/>
      <c r="Z4896" s="18"/>
      <c r="AA4896" s="18"/>
      <c r="AB4896" s="18"/>
      <c r="AC4896" s="18"/>
    </row>
    <row r="4897" spans="1:29" ht="32.25" hidden="1" customHeight="1">
      <c r="A4897" s="17"/>
      <c r="B4897" s="9" t="s">
        <v>13284</v>
      </c>
      <c r="C4897" s="9" t="s">
        <v>13284</v>
      </c>
      <c r="D4897" s="9" t="s">
        <v>13284</v>
      </c>
      <c r="E4897" s="9" t="s">
        <v>13284</v>
      </c>
      <c r="F4897" s="9" t="s">
        <v>13284</v>
      </c>
      <c r="G4897" s="9" t="s">
        <v>13284</v>
      </c>
      <c r="H4897" s="9" t="s">
        <v>13284</v>
      </c>
      <c r="I4897" s="9" t="s">
        <v>13284</v>
      </c>
      <c r="J4897" s="9" t="s">
        <v>13284</v>
      </c>
      <c r="K4897" s="9" t="s">
        <v>13284</v>
      </c>
      <c r="L4897" s="9" t="s">
        <v>13284</v>
      </c>
      <c r="M4897" s="9" t="s">
        <v>13284</v>
      </c>
      <c r="N4897" s="9" t="s">
        <v>13284</v>
      </c>
      <c r="O4897" s="9" t="s">
        <v>13284</v>
      </c>
      <c r="P4897" s="9" t="s">
        <v>13284</v>
      </c>
      <c r="Q4897" s="9" t="s">
        <v>13284</v>
      </c>
      <c r="R4897" s="9" t="s">
        <v>13284</v>
      </c>
      <c r="S4897" s="9" t="s">
        <v>13284</v>
      </c>
      <c r="T4897" s="9" t="str">
        <f ca="1">IFERROR(IF(AND(VLOOKUP(A4897, 'Актуальное состояние (из общего'!A:C,3,0) = "", A4897 &lt;&gt; ""), "ПРОВЕРИТЬ", VLOOKUP(A4897, 'Актуальное состояние (из общего'!A:C,3,0)), "")</f>
        <v/>
      </c>
      <c r="U4897" s="9" t="s">
        <v>13284</v>
      </c>
      <c r="V4897" s="9" t="s">
        <v>13284</v>
      </c>
      <c r="W4897" s="12"/>
      <c r="X4897" s="9" t="str">
        <f t="array" ref="X4897">IFERROR(INDEX('Адреса общежитий (скрытый)'!$B$2:$B$9, MATCH(W4897, 'Адреса общежитий (скрытый)'!$A$2:$A$9, 0)), "")</f>
        <v/>
      </c>
      <c r="Y4897" s="18"/>
      <c r="Z4897" s="18"/>
      <c r="AA4897" s="18"/>
      <c r="AB4897" s="18"/>
      <c r="AC4897" s="18"/>
    </row>
    <row r="4898" spans="1:29" ht="32.25" hidden="1" customHeight="1">
      <c r="A4898" s="17"/>
      <c r="B4898" s="9" t="s">
        <v>13284</v>
      </c>
      <c r="C4898" s="9" t="s">
        <v>13284</v>
      </c>
      <c r="D4898" s="9" t="s">
        <v>13284</v>
      </c>
      <c r="E4898" s="9" t="s">
        <v>13284</v>
      </c>
      <c r="F4898" s="9" t="s">
        <v>13284</v>
      </c>
      <c r="G4898" s="9" t="s">
        <v>13284</v>
      </c>
      <c r="H4898" s="9" t="s">
        <v>13284</v>
      </c>
      <c r="I4898" s="9" t="s">
        <v>13284</v>
      </c>
      <c r="J4898" s="9" t="s">
        <v>13284</v>
      </c>
      <c r="K4898" s="9" t="s">
        <v>13284</v>
      </c>
      <c r="L4898" s="9" t="s">
        <v>13284</v>
      </c>
      <c r="M4898" s="9" t="s">
        <v>13284</v>
      </c>
      <c r="N4898" s="9" t="s">
        <v>13284</v>
      </c>
      <c r="O4898" s="9" t="s">
        <v>13284</v>
      </c>
      <c r="P4898" s="9" t="s">
        <v>13284</v>
      </c>
      <c r="Q4898" s="9" t="s">
        <v>13284</v>
      </c>
      <c r="R4898" s="9" t="s">
        <v>13284</v>
      </c>
      <c r="S4898" s="9" t="s">
        <v>13284</v>
      </c>
      <c r="T4898" s="9" t="str">
        <f ca="1">IFERROR(IF(AND(VLOOKUP(A4898, 'Актуальное состояние (из общего'!A:C,3,0) = "", A4898 &lt;&gt; ""), "ПРОВЕРИТЬ", VLOOKUP(A4898, 'Актуальное состояние (из общего'!A:C,3,0)), "")</f>
        <v/>
      </c>
      <c r="U4898" s="9" t="s">
        <v>13284</v>
      </c>
      <c r="V4898" s="9" t="s">
        <v>13284</v>
      </c>
      <c r="W4898" s="12"/>
      <c r="X4898" s="9" t="str">
        <f t="array" ref="X4898">IFERROR(INDEX('Адреса общежитий (скрытый)'!$B$2:$B$9, MATCH(W4898, 'Адреса общежитий (скрытый)'!$A$2:$A$9, 0)), "")</f>
        <v/>
      </c>
      <c r="Y4898" s="18"/>
      <c r="Z4898" s="18"/>
      <c r="AA4898" s="18"/>
      <c r="AB4898" s="18"/>
      <c r="AC4898" s="18"/>
    </row>
    <row r="4899" spans="1:29" ht="32.25" hidden="1" customHeight="1">
      <c r="A4899" s="17"/>
      <c r="B4899" s="9" t="s">
        <v>13284</v>
      </c>
      <c r="C4899" s="9" t="s">
        <v>13284</v>
      </c>
      <c r="D4899" s="9" t="s">
        <v>13284</v>
      </c>
      <c r="E4899" s="9" t="s">
        <v>13284</v>
      </c>
      <c r="F4899" s="9" t="s">
        <v>13284</v>
      </c>
      <c r="G4899" s="9" t="s">
        <v>13284</v>
      </c>
      <c r="H4899" s="9" t="s">
        <v>13284</v>
      </c>
      <c r="I4899" s="9" t="s">
        <v>13284</v>
      </c>
      <c r="J4899" s="9" t="s">
        <v>13284</v>
      </c>
      <c r="K4899" s="9" t="s">
        <v>13284</v>
      </c>
      <c r="L4899" s="9" t="s">
        <v>13284</v>
      </c>
      <c r="M4899" s="9" t="s">
        <v>13284</v>
      </c>
      <c r="N4899" s="9" t="s">
        <v>13284</v>
      </c>
      <c r="O4899" s="9" t="s">
        <v>13284</v>
      </c>
      <c r="P4899" s="9" t="s">
        <v>13284</v>
      </c>
      <c r="Q4899" s="9" t="s">
        <v>13284</v>
      </c>
      <c r="R4899" s="9" t="s">
        <v>13284</v>
      </c>
      <c r="S4899" s="9" t="s">
        <v>13284</v>
      </c>
      <c r="T4899" s="9" t="str">
        <f ca="1">IFERROR(IF(AND(VLOOKUP(A4899, 'Актуальное состояние (из общего'!A:C,3,0) = "", A4899 &lt;&gt; ""), "ПРОВЕРИТЬ", VLOOKUP(A4899, 'Актуальное состояние (из общего'!A:C,3,0)), "")</f>
        <v/>
      </c>
      <c r="U4899" s="9" t="s">
        <v>13284</v>
      </c>
      <c r="V4899" s="9" t="s">
        <v>13284</v>
      </c>
      <c r="W4899" s="12"/>
      <c r="X4899" s="9" t="str">
        <f t="array" ref="X4899">IFERROR(INDEX('Адреса общежитий (скрытый)'!$B$2:$B$9, MATCH(W4899, 'Адреса общежитий (скрытый)'!$A$2:$A$9, 0)), "")</f>
        <v/>
      </c>
      <c r="Y4899" s="18"/>
      <c r="Z4899" s="18"/>
      <c r="AA4899" s="18"/>
      <c r="AB4899" s="18"/>
      <c r="AC4899" s="18"/>
    </row>
    <row r="4900" spans="1:29" ht="32.25" hidden="1" customHeight="1">
      <c r="A4900" s="17"/>
      <c r="B4900" s="9" t="s">
        <v>13284</v>
      </c>
      <c r="C4900" s="9" t="s">
        <v>13284</v>
      </c>
      <c r="D4900" s="9" t="s">
        <v>13284</v>
      </c>
      <c r="E4900" s="9" t="s">
        <v>13284</v>
      </c>
      <c r="F4900" s="9" t="s">
        <v>13284</v>
      </c>
      <c r="G4900" s="9" t="s">
        <v>13284</v>
      </c>
      <c r="H4900" s="9" t="s">
        <v>13284</v>
      </c>
      <c r="I4900" s="9" t="s">
        <v>13284</v>
      </c>
      <c r="J4900" s="9" t="s">
        <v>13284</v>
      </c>
      <c r="K4900" s="9" t="s">
        <v>13284</v>
      </c>
      <c r="L4900" s="9" t="s">
        <v>13284</v>
      </c>
      <c r="M4900" s="9" t="s">
        <v>13284</v>
      </c>
      <c r="N4900" s="9" t="s">
        <v>13284</v>
      </c>
      <c r="O4900" s="9" t="s">
        <v>13284</v>
      </c>
      <c r="P4900" s="9" t="s">
        <v>13284</v>
      </c>
      <c r="Q4900" s="9" t="s">
        <v>13284</v>
      </c>
      <c r="R4900" s="9" t="s">
        <v>13284</v>
      </c>
      <c r="S4900" s="9" t="s">
        <v>13284</v>
      </c>
      <c r="T4900" s="9" t="str">
        <f ca="1">IFERROR(IF(AND(VLOOKUP(A4900, 'Актуальное состояние (из общего'!A:C,3,0) = "", A4900 &lt;&gt; ""), "ПРОВЕРИТЬ", VLOOKUP(A4900, 'Актуальное состояние (из общего'!A:C,3,0)), "")</f>
        <v/>
      </c>
      <c r="U4900" s="9" t="s">
        <v>13284</v>
      </c>
      <c r="V4900" s="9" t="s">
        <v>13284</v>
      </c>
      <c r="W4900" s="12"/>
      <c r="X4900" s="9" t="str">
        <f t="array" ref="X4900">IFERROR(INDEX('Адреса общежитий (скрытый)'!$B$2:$B$9, MATCH(W4900, 'Адреса общежитий (скрытый)'!$A$2:$A$9, 0)), "")</f>
        <v/>
      </c>
      <c r="Y4900" s="18"/>
      <c r="Z4900" s="18"/>
      <c r="AA4900" s="18"/>
      <c r="AB4900" s="18"/>
      <c r="AC4900" s="18"/>
    </row>
    <row r="4901" spans="1:29" ht="32.25" hidden="1" customHeight="1">
      <c r="A4901" s="17"/>
      <c r="B4901" s="9" t="s">
        <v>13284</v>
      </c>
      <c r="C4901" s="9" t="s">
        <v>13284</v>
      </c>
      <c r="D4901" s="9" t="s">
        <v>13284</v>
      </c>
      <c r="E4901" s="9" t="s">
        <v>13284</v>
      </c>
      <c r="F4901" s="9" t="s">
        <v>13284</v>
      </c>
      <c r="G4901" s="9" t="s">
        <v>13284</v>
      </c>
      <c r="H4901" s="9" t="s">
        <v>13284</v>
      </c>
      <c r="I4901" s="9" t="s">
        <v>13284</v>
      </c>
      <c r="J4901" s="9" t="s">
        <v>13284</v>
      </c>
      <c r="K4901" s="9" t="s">
        <v>13284</v>
      </c>
      <c r="L4901" s="9" t="s">
        <v>13284</v>
      </c>
      <c r="M4901" s="9" t="s">
        <v>13284</v>
      </c>
      <c r="N4901" s="9" t="s">
        <v>13284</v>
      </c>
      <c r="O4901" s="9" t="s">
        <v>13284</v>
      </c>
      <c r="P4901" s="9" t="s">
        <v>13284</v>
      </c>
      <c r="Q4901" s="9" t="s">
        <v>13284</v>
      </c>
      <c r="R4901" s="9" t="s">
        <v>13284</v>
      </c>
      <c r="S4901" s="9" t="s">
        <v>13284</v>
      </c>
      <c r="T4901" s="9" t="str">
        <f ca="1">IFERROR(IF(AND(VLOOKUP(A4901, 'Актуальное состояние (из общего'!A:C,3,0) = "", A4901 &lt;&gt; ""), "ПРОВЕРИТЬ", VLOOKUP(A4901, 'Актуальное состояние (из общего'!A:C,3,0)), "")</f>
        <v/>
      </c>
      <c r="U4901" s="9" t="s">
        <v>13284</v>
      </c>
      <c r="V4901" s="9" t="s">
        <v>13284</v>
      </c>
      <c r="W4901" s="12"/>
      <c r="X4901" s="9" t="str">
        <f t="array" ref="X4901">IFERROR(INDEX('Адреса общежитий (скрытый)'!$B$2:$B$9, MATCH(W4901, 'Адреса общежитий (скрытый)'!$A$2:$A$9, 0)), "")</f>
        <v/>
      </c>
      <c r="Y4901" s="18"/>
      <c r="Z4901" s="18"/>
      <c r="AA4901" s="18"/>
      <c r="AB4901" s="18"/>
      <c r="AC4901" s="18"/>
    </row>
    <row r="4902" spans="1:29" ht="32.25" hidden="1" customHeight="1">
      <c r="A4902" s="17"/>
      <c r="B4902" s="9" t="s">
        <v>13284</v>
      </c>
      <c r="C4902" s="9" t="s">
        <v>13284</v>
      </c>
      <c r="D4902" s="9" t="s">
        <v>13284</v>
      </c>
      <c r="E4902" s="9" t="s">
        <v>13284</v>
      </c>
      <c r="F4902" s="9" t="s">
        <v>13284</v>
      </c>
      <c r="G4902" s="9" t="s">
        <v>13284</v>
      </c>
      <c r="H4902" s="9" t="s">
        <v>13284</v>
      </c>
      <c r="I4902" s="9" t="s">
        <v>13284</v>
      </c>
      <c r="J4902" s="9" t="s">
        <v>13284</v>
      </c>
      <c r="K4902" s="9" t="s">
        <v>13284</v>
      </c>
      <c r="L4902" s="9" t="s">
        <v>13284</v>
      </c>
      <c r="M4902" s="9" t="s">
        <v>13284</v>
      </c>
      <c r="N4902" s="9" t="s">
        <v>13284</v>
      </c>
      <c r="O4902" s="9" t="s">
        <v>13284</v>
      </c>
      <c r="P4902" s="9" t="s">
        <v>13284</v>
      </c>
      <c r="Q4902" s="9" t="s">
        <v>13284</v>
      </c>
      <c r="R4902" s="9" t="s">
        <v>13284</v>
      </c>
      <c r="S4902" s="9" t="s">
        <v>13284</v>
      </c>
      <c r="T4902" s="9" t="str">
        <f ca="1">IFERROR(IF(AND(VLOOKUP(A4902, 'Актуальное состояние (из общего'!A:C,3,0) = "", A4902 &lt;&gt; ""), "ПРОВЕРИТЬ", VLOOKUP(A4902, 'Актуальное состояние (из общего'!A:C,3,0)), "")</f>
        <v/>
      </c>
      <c r="U4902" s="9" t="s">
        <v>13284</v>
      </c>
      <c r="V4902" s="9" t="s">
        <v>13284</v>
      </c>
      <c r="W4902" s="12"/>
      <c r="X4902" s="9" t="str">
        <f t="array" ref="X4902">IFERROR(INDEX('Адреса общежитий (скрытый)'!$B$2:$B$9, MATCH(W4902, 'Адреса общежитий (скрытый)'!$A$2:$A$9, 0)), "")</f>
        <v/>
      </c>
      <c r="Y4902" s="18"/>
      <c r="Z4902" s="18"/>
      <c r="AA4902" s="18"/>
      <c r="AB4902" s="18"/>
      <c r="AC4902" s="18"/>
    </row>
    <row r="4903" spans="1:29" ht="32.25" hidden="1" customHeight="1">
      <c r="A4903" s="17"/>
      <c r="B4903" s="9" t="s">
        <v>13284</v>
      </c>
      <c r="C4903" s="9" t="s">
        <v>13284</v>
      </c>
      <c r="D4903" s="9" t="s">
        <v>13284</v>
      </c>
      <c r="E4903" s="9" t="s">
        <v>13284</v>
      </c>
      <c r="F4903" s="9" t="s">
        <v>13284</v>
      </c>
      <c r="G4903" s="9" t="s">
        <v>13284</v>
      </c>
      <c r="H4903" s="9" t="s">
        <v>13284</v>
      </c>
      <c r="I4903" s="9" t="s">
        <v>13284</v>
      </c>
      <c r="J4903" s="9" t="s">
        <v>13284</v>
      </c>
      <c r="K4903" s="9" t="s">
        <v>13284</v>
      </c>
      <c r="L4903" s="9" t="s">
        <v>13284</v>
      </c>
      <c r="M4903" s="9" t="s">
        <v>13284</v>
      </c>
      <c r="N4903" s="9" t="s">
        <v>13284</v>
      </c>
      <c r="O4903" s="9" t="s">
        <v>13284</v>
      </c>
      <c r="P4903" s="9" t="s">
        <v>13284</v>
      </c>
      <c r="Q4903" s="9" t="s">
        <v>13284</v>
      </c>
      <c r="R4903" s="9" t="s">
        <v>13284</v>
      </c>
      <c r="S4903" s="9" t="s">
        <v>13284</v>
      </c>
      <c r="T4903" s="9" t="str">
        <f ca="1">IFERROR(IF(AND(VLOOKUP(A4903, 'Актуальное состояние (из общего'!A:C,3,0) = "", A4903 &lt;&gt; ""), "ПРОВЕРИТЬ", VLOOKUP(A4903, 'Актуальное состояние (из общего'!A:C,3,0)), "")</f>
        <v/>
      </c>
      <c r="U4903" s="9" t="s">
        <v>13284</v>
      </c>
      <c r="V4903" s="9" t="s">
        <v>13284</v>
      </c>
      <c r="W4903" s="12"/>
      <c r="X4903" s="9" t="str">
        <f t="array" ref="X4903">IFERROR(INDEX('Адреса общежитий (скрытый)'!$B$2:$B$9, MATCH(W4903, 'Адреса общежитий (скрытый)'!$A$2:$A$9, 0)), "")</f>
        <v/>
      </c>
      <c r="Y4903" s="18"/>
      <c r="Z4903" s="18"/>
      <c r="AA4903" s="18"/>
      <c r="AB4903" s="18"/>
      <c r="AC4903" s="18"/>
    </row>
    <row r="4904" spans="1:29" ht="32.25" hidden="1" customHeight="1">
      <c r="A4904" s="17"/>
      <c r="B4904" s="9" t="s">
        <v>13284</v>
      </c>
      <c r="C4904" s="9" t="s">
        <v>13284</v>
      </c>
      <c r="D4904" s="9" t="s">
        <v>13284</v>
      </c>
      <c r="E4904" s="9" t="s">
        <v>13284</v>
      </c>
      <c r="F4904" s="9" t="s">
        <v>13284</v>
      </c>
      <c r="G4904" s="9" t="s">
        <v>13284</v>
      </c>
      <c r="H4904" s="9" t="s">
        <v>13284</v>
      </c>
      <c r="I4904" s="9" t="s">
        <v>13284</v>
      </c>
      <c r="J4904" s="9" t="s">
        <v>13284</v>
      </c>
      <c r="K4904" s="9" t="s">
        <v>13284</v>
      </c>
      <c r="L4904" s="9" t="s">
        <v>13284</v>
      </c>
      <c r="M4904" s="9" t="s">
        <v>13284</v>
      </c>
      <c r="N4904" s="9" t="s">
        <v>13284</v>
      </c>
      <c r="O4904" s="9" t="s">
        <v>13284</v>
      </c>
      <c r="P4904" s="9" t="s">
        <v>13284</v>
      </c>
      <c r="Q4904" s="9" t="s">
        <v>13284</v>
      </c>
      <c r="R4904" s="9" t="s">
        <v>13284</v>
      </c>
      <c r="S4904" s="9" t="s">
        <v>13284</v>
      </c>
      <c r="T4904" s="9" t="str">
        <f ca="1">IFERROR(IF(AND(VLOOKUP(A4904, 'Актуальное состояние (из общего'!A:C,3,0) = "", A4904 &lt;&gt; ""), "ПРОВЕРИТЬ", VLOOKUP(A4904, 'Актуальное состояние (из общего'!A:C,3,0)), "")</f>
        <v/>
      </c>
      <c r="U4904" s="9" t="s">
        <v>13284</v>
      </c>
      <c r="V4904" s="9" t="s">
        <v>13284</v>
      </c>
      <c r="W4904" s="12"/>
      <c r="X4904" s="9" t="str">
        <f t="array" ref="X4904">IFERROR(INDEX('Адреса общежитий (скрытый)'!$B$2:$B$9, MATCH(W4904, 'Адреса общежитий (скрытый)'!$A$2:$A$9, 0)), "")</f>
        <v/>
      </c>
      <c r="Y4904" s="18"/>
      <c r="Z4904" s="18"/>
      <c r="AA4904" s="18"/>
      <c r="AB4904" s="18"/>
      <c r="AC4904" s="18"/>
    </row>
    <row r="4905" spans="1:29" ht="32.25" hidden="1" customHeight="1">
      <c r="A4905" s="17"/>
      <c r="B4905" s="9" t="s">
        <v>13284</v>
      </c>
      <c r="C4905" s="9" t="s">
        <v>13284</v>
      </c>
      <c r="D4905" s="9" t="s">
        <v>13284</v>
      </c>
      <c r="E4905" s="9" t="s">
        <v>13284</v>
      </c>
      <c r="F4905" s="9" t="s">
        <v>13284</v>
      </c>
      <c r="G4905" s="9" t="s">
        <v>13284</v>
      </c>
      <c r="H4905" s="9" t="s">
        <v>13284</v>
      </c>
      <c r="I4905" s="9" t="s">
        <v>13284</v>
      </c>
      <c r="J4905" s="9" t="s">
        <v>13284</v>
      </c>
      <c r="K4905" s="9" t="s">
        <v>13284</v>
      </c>
      <c r="L4905" s="9" t="s">
        <v>13284</v>
      </c>
      <c r="M4905" s="9" t="s">
        <v>13284</v>
      </c>
      <c r="N4905" s="9" t="s">
        <v>13284</v>
      </c>
      <c r="O4905" s="9" t="s">
        <v>13284</v>
      </c>
      <c r="P4905" s="9" t="s">
        <v>13284</v>
      </c>
      <c r="Q4905" s="9" t="s">
        <v>13284</v>
      </c>
      <c r="R4905" s="9" t="s">
        <v>13284</v>
      </c>
      <c r="S4905" s="9" t="s">
        <v>13284</v>
      </c>
      <c r="T4905" s="9" t="str">
        <f ca="1">IFERROR(IF(AND(VLOOKUP(A4905, 'Актуальное состояние (из общего'!A:C,3,0) = "", A4905 &lt;&gt; ""), "ПРОВЕРИТЬ", VLOOKUP(A4905, 'Актуальное состояние (из общего'!A:C,3,0)), "")</f>
        <v/>
      </c>
      <c r="U4905" s="9" t="s">
        <v>13284</v>
      </c>
      <c r="V4905" s="9" t="s">
        <v>13284</v>
      </c>
      <c r="W4905" s="12"/>
      <c r="X4905" s="9" t="str">
        <f t="array" ref="X4905">IFERROR(INDEX('Адреса общежитий (скрытый)'!$B$2:$B$9, MATCH(W4905, 'Адреса общежитий (скрытый)'!$A$2:$A$9, 0)), "")</f>
        <v/>
      </c>
      <c r="Y4905" s="18"/>
      <c r="Z4905" s="18"/>
      <c r="AA4905" s="18"/>
      <c r="AB4905" s="18"/>
      <c r="AC4905" s="18"/>
    </row>
    <row r="4906" spans="1:29" ht="32.25" hidden="1" customHeight="1">
      <c r="A4906" s="17"/>
      <c r="B4906" s="9" t="s">
        <v>13284</v>
      </c>
      <c r="C4906" s="9" t="s">
        <v>13284</v>
      </c>
      <c r="D4906" s="9" t="s">
        <v>13284</v>
      </c>
      <c r="E4906" s="9" t="s">
        <v>13284</v>
      </c>
      <c r="F4906" s="9" t="s">
        <v>13284</v>
      </c>
      <c r="G4906" s="9" t="s">
        <v>13284</v>
      </c>
      <c r="H4906" s="9" t="s">
        <v>13284</v>
      </c>
      <c r="I4906" s="9" t="s">
        <v>13284</v>
      </c>
      <c r="J4906" s="9" t="s">
        <v>13284</v>
      </c>
      <c r="K4906" s="9" t="s">
        <v>13284</v>
      </c>
      <c r="L4906" s="9" t="s">
        <v>13284</v>
      </c>
      <c r="M4906" s="9" t="s">
        <v>13284</v>
      </c>
      <c r="N4906" s="9" t="s">
        <v>13284</v>
      </c>
      <c r="O4906" s="9" t="s">
        <v>13284</v>
      </c>
      <c r="P4906" s="9" t="s">
        <v>13284</v>
      </c>
      <c r="Q4906" s="9" t="s">
        <v>13284</v>
      </c>
      <c r="R4906" s="9" t="s">
        <v>13284</v>
      </c>
      <c r="S4906" s="9" t="s">
        <v>13284</v>
      </c>
      <c r="T4906" s="9" t="str">
        <f ca="1">IFERROR(IF(AND(VLOOKUP(A4906, 'Актуальное состояние (из общего'!A:C,3,0) = "", A4906 &lt;&gt; ""), "ПРОВЕРИТЬ", VLOOKUP(A4906, 'Актуальное состояние (из общего'!A:C,3,0)), "")</f>
        <v/>
      </c>
      <c r="U4906" s="9" t="s">
        <v>13284</v>
      </c>
      <c r="V4906" s="9" t="s">
        <v>13284</v>
      </c>
      <c r="W4906" s="12"/>
      <c r="X4906" s="9" t="str">
        <f t="array" ref="X4906">IFERROR(INDEX('Адреса общежитий (скрытый)'!$B$2:$B$9, MATCH(W4906, 'Адреса общежитий (скрытый)'!$A$2:$A$9, 0)), "")</f>
        <v/>
      </c>
      <c r="Y4906" s="18"/>
      <c r="Z4906" s="18"/>
      <c r="AA4906" s="18"/>
      <c r="AB4906" s="18"/>
      <c r="AC4906" s="18"/>
    </row>
    <row r="4907" spans="1:29" ht="32.25" hidden="1" customHeight="1">
      <c r="A4907" s="17"/>
      <c r="B4907" s="9" t="s">
        <v>13284</v>
      </c>
      <c r="C4907" s="9" t="s">
        <v>13284</v>
      </c>
      <c r="D4907" s="9" t="s">
        <v>13284</v>
      </c>
      <c r="E4907" s="9" t="s">
        <v>13284</v>
      </c>
      <c r="F4907" s="9" t="s">
        <v>13284</v>
      </c>
      <c r="G4907" s="9" t="s">
        <v>13284</v>
      </c>
      <c r="H4907" s="9" t="s">
        <v>13284</v>
      </c>
      <c r="I4907" s="9" t="s">
        <v>13284</v>
      </c>
      <c r="J4907" s="9" t="s">
        <v>13284</v>
      </c>
      <c r="K4907" s="9" t="s">
        <v>13284</v>
      </c>
      <c r="L4907" s="9" t="s">
        <v>13284</v>
      </c>
      <c r="M4907" s="9" t="s">
        <v>13284</v>
      </c>
      <c r="N4907" s="9" t="s">
        <v>13284</v>
      </c>
      <c r="O4907" s="9" t="s">
        <v>13284</v>
      </c>
      <c r="P4907" s="9" t="s">
        <v>13284</v>
      </c>
      <c r="Q4907" s="9" t="s">
        <v>13284</v>
      </c>
      <c r="R4907" s="9" t="s">
        <v>13284</v>
      </c>
      <c r="S4907" s="9" t="s">
        <v>13284</v>
      </c>
      <c r="T4907" s="9" t="str">
        <f ca="1">IFERROR(IF(AND(VLOOKUP(A4907, 'Актуальное состояние (из общего'!A:C,3,0) = "", A4907 &lt;&gt; ""), "ПРОВЕРИТЬ", VLOOKUP(A4907, 'Актуальное состояние (из общего'!A:C,3,0)), "")</f>
        <v/>
      </c>
      <c r="U4907" s="9" t="s">
        <v>13284</v>
      </c>
      <c r="V4907" s="9" t="s">
        <v>13284</v>
      </c>
      <c r="W4907" s="12"/>
      <c r="X4907" s="9" t="str">
        <f t="array" ref="X4907">IFERROR(INDEX('Адреса общежитий (скрытый)'!$B$2:$B$9, MATCH(W4907, 'Адреса общежитий (скрытый)'!$A$2:$A$9, 0)), "")</f>
        <v/>
      </c>
      <c r="Y4907" s="18"/>
      <c r="Z4907" s="18"/>
      <c r="AA4907" s="18"/>
      <c r="AB4907" s="18"/>
      <c r="AC4907" s="18"/>
    </row>
    <row r="4908" spans="1:29" ht="32.25" hidden="1" customHeight="1">
      <c r="A4908" s="17"/>
      <c r="B4908" s="9" t="s">
        <v>13284</v>
      </c>
      <c r="C4908" s="9" t="s">
        <v>13284</v>
      </c>
      <c r="D4908" s="9" t="s">
        <v>13284</v>
      </c>
      <c r="E4908" s="9" t="s">
        <v>13284</v>
      </c>
      <c r="F4908" s="9" t="s">
        <v>13284</v>
      </c>
      <c r="G4908" s="9" t="s">
        <v>13284</v>
      </c>
      <c r="H4908" s="9" t="s">
        <v>13284</v>
      </c>
      <c r="I4908" s="9" t="s">
        <v>13284</v>
      </c>
      <c r="J4908" s="9" t="s">
        <v>13284</v>
      </c>
      <c r="K4908" s="9" t="s">
        <v>13284</v>
      </c>
      <c r="L4908" s="9" t="s">
        <v>13284</v>
      </c>
      <c r="M4908" s="9" t="s">
        <v>13284</v>
      </c>
      <c r="N4908" s="9" t="s">
        <v>13284</v>
      </c>
      <c r="O4908" s="9" t="s">
        <v>13284</v>
      </c>
      <c r="P4908" s="9" t="s">
        <v>13284</v>
      </c>
      <c r="Q4908" s="9" t="s">
        <v>13284</v>
      </c>
      <c r="R4908" s="9" t="s">
        <v>13284</v>
      </c>
      <c r="S4908" s="9" t="s">
        <v>13284</v>
      </c>
      <c r="T4908" s="9" t="str">
        <f ca="1">IFERROR(IF(AND(VLOOKUP(A4908, 'Актуальное состояние (из общего'!A:C,3,0) = "", A4908 &lt;&gt; ""), "ПРОВЕРИТЬ", VLOOKUP(A4908, 'Актуальное состояние (из общего'!A:C,3,0)), "")</f>
        <v/>
      </c>
      <c r="U4908" s="9" t="s">
        <v>13284</v>
      </c>
      <c r="V4908" s="9" t="s">
        <v>13284</v>
      </c>
      <c r="W4908" s="12"/>
      <c r="X4908" s="9" t="str">
        <f t="array" ref="X4908">IFERROR(INDEX('Адреса общежитий (скрытый)'!$B$2:$B$9, MATCH(W4908, 'Адреса общежитий (скрытый)'!$A$2:$A$9, 0)), "")</f>
        <v/>
      </c>
      <c r="Y4908" s="18"/>
      <c r="Z4908" s="18"/>
      <c r="AA4908" s="18"/>
      <c r="AB4908" s="18"/>
      <c r="AC4908" s="18"/>
    </row>
    <row r="4909" spans="1:29" ht="32.25" hidden="1" customHeight="1">
      <c r="A4909" s="17"/>
      <c r="B4909" s="9" t="s">
        <v>13284</v>
      </c>
      <c r="C4909" s="9" t="s">
        <v>13284</v>
      </c>
      <c r="D4909" s="9" t="s">
        <v>13284</v>
      </c>
      <c r="E4909" s="9" t="s">
        <v>13284</v>
      </c>
      <c r="F4909" s="9" t="s">
        <v>13284</v>
      </c>
      <c r="G4909" s="9" t="s">
        <v>13284</v>
      </c>
      <c r="H4909" s="9" t="s">
        <v>13284</v>
      </c>
      <c r="I4909" s="9" t="s">
        <v>13284</v>
      </c>
      <c r="J4909" s="9" t="s">
        <v>13284</v>
      </c>
      <c r="K4909" s="9" t="s">
        <v>13284</v>
      </c>
      <c r="L4909" s="9" t="s">
        <v>13284</v>
      </c>
      <c r="M4909" s="9" t="s">
        <v>13284</v>
      </c>
      <c r="N4909" s="9" t="s">
        <v>13284</v>
      </c>
      <c r="O4909" s="9" t="s">
        <v>13284</v>
      </c>
      <c r="P4909" s="9" t="s">
        <v>13284</v>
      </c>
      <c r="Q4909" s="9" t="s">
        <v>13284</v>
      </c>
      <c r="R4909" s="9" t="s">
        <v>13284</v>
      </c>
      <c r="S4909" s="9" t="s">
        <v>13284</v>
      </c>
      <c r="T4909" s="9" t="str">
        <f ca="1">IFERROR(IF(AND(VLOOKUP(A4909, 'Актуальное состояние (из общего'!A:C,3,0) = "", A4909 &lt;&gt; ""), "ПРОВЕРИТЬ", VLOOKUP(A4909, 'Актуальное состояние (из общего'!A:C,3,0)), "")</f>
        <v/>
      </c>
      <c r="U4909" s="9" t="s">
        <v>13284</v>
      </c>
      <c r="V4909" s="9" t="s">
        <v>13284</v>
      </c>
      <c r="W4909" s="12"/>
      <c r="X4909" s="9" t="str">
        <f t="array" ref="X4909">IFERROR(INDEX('Адреса общежитий (скрытый)'!$B$2:$B$9, MATCH(W4909, 'Адреса общежитий (скрытый)'!$A$2:$A$9, 0)), "")</f>
        <v/>
      </c>
      <c r="Y4909" s="18"/>
      <c r="Z4909" s="18"/>
      <c r="AA4909" s="18"/>
      <c r="AB4909" s="18"/>
      <c r="AC4909" s="18"/>
    </row>
    <row r="4910" spans="1:29" ht="32.25" hidden="1" customHeight="1">
      <c r="A4910" s="17"/>
      <c r="B4910" s="9" t="s">
        <v>13284</v>
      </c>
      <c r="C4910" s="9" t="s">
        <v>13284</v>
      </c>
      <c r="D4910" s="9" t="s">
        <v>13284</v>
      </c>
      <c r="E4910" s="9" t="s">
        <v>13284</v>
      </c>
      <c r="F4910" s="9" t="s">
        <v>13284</v>
      </c>
      <c r="G4910" s="9" t="s">
        <v>13284</v>
      </c>
      <c r="H4910" s="9" t="s">
        <v>13284</v>
      </c>
      <c r="I4910" s="9" t="s">
        <v>13284</v>
      </c>
      <c r="J4910" s="9" t="s">
        <v>13284</v>
      </c>
      <c r="K4910" s="9" t="s">
        <v>13284</v>
      </c>
      <c r="L4910" s="9" t="s">
        <v>13284</v>
      </c>
      <c r="M4910" s="9" t="s">
        <v>13284</v>
      </c>
      <c r="N4910" s="9" t="s">
        <v>13284</v>
      </c>
      <c r="O4910" s="9" t="s">
        <v>13284</v>
      </c>
      <c r="P4910" s="9" t="s">
        <v>13284</v>
      </c>
      <c r="Q4910" s="9" t="s">
        <v>13284</v>
      </c>
      <c r="R4910" s="9" t="s">
        <v>13284</v>
      </c>
      <c r="S4910" s="9" t="s">
        <v>13284</v>
      </c>
      <c r="T4910" s="9" t="str">
        <f ca="1">IFERROR(IF(AND(VLOOKUP(A4910, 'Актуальное состояние (из общего'!A:C,3,0) = "", A4910 &lt;&gt; ""), "ПРОВЕРИТЬ", VLOOKUP(A4910, 'Актуальное состояние (из общего'!A:C,3,0)), "")</f>
        <v/>
      </c>
      <c r="U4910" s="9" t="s">
        <v>13284</v>
      </c>
      <c r="V4910" s="9" t="s">
        <v>13284</v>
      </c>
      <c r="W4910" s="12"/>
      <c r="X4910" s="9" t="str">
        <f t="array" ref="X4910">IFERROR(INDEX('Адреса общежитий (скрытый)'!$B$2:$B$9, MATCH(W4910, 'Адреса общежитий (скрытый)'!$A$2:$A$9, 0)), "")</f>
        <v/>
      </c>
      <c r="Y4910" s="18"/>
      <c r="Z4910" s="18"/>
      <c r="AA4910" s="18"/>
      <c r="AB4910" s="18"/>
      <c r="AC4910" s="18"/>
    </row>
    <row r="4911" spans="1:29" ht="32.25" hidden="1" customHeight="1">
      <c r="A4911" s="17"/>
      <c r="B4911" s="9" t="s">
        <v>13284</v>
      </c>
      <c r="C4911" s="9" t="s">
        <v>13284</v>
      </c>
      <c r="D4911" s="9" t="s">
        <v>13284</v>
      </c>
      <c r="E4911" s="9" t="s">
        <v>13284</v>
      </c>
      <c r="F4911" s="9" t="s">
        <v>13284</v>
      </c>
      <c r="G4911" s="9" t="s">
        <v>13284</v>
      </c>
      <c r="H4911" s="9" t="s">
        <v>13284</v>
      </c>
      <c r="I4911" s="9" t="s">
        <v>13284</v>
      </c>
      <c r="J4911" s="9" t="s">
        <v>13284</v>
      </c>
      <c r="K4911" s="9" t="s">
        <v>13284</v>
      </c>
      <c r="L4911" s="9" t="s">
        <v>13284</v>
      </c>
      <c r="M4911" s="9" t="s">
        <v>13284</v>
      </c>
      <c r="N4911" s="9" t="s">
        <v>13284</v>
      </c>
      <c r="O4911" s="9" t="s">
        <v>13284</v>
      </c>
      <c r="P4911" s="9" t="s">
        <v>13284</v>
      </c>
      <c r="Q4911" s="9" t="s">
        <v>13284</v>
      </c>
      <c r="R4911" s="9" t="s">
        <v>13284</v>
      </c>
      <c r="S4911" s="9" t="s">
        <v>13284</v>
      </c>
      <c r="T4911" s="9" t="str">
        <f ca="1">IFERROR(IF(AND(VLOOKUP(A4911, 'Актуальное состояние (из общего'!A:C,3,0) = "", A4911 &lt;&gt; ""), "ПРОВЕРИТЬ", VLOOKUP(A4911, 'Актуальное состояние (из общего'!A:C,3,0)), "")</f>
        <v/>
      </c>
      <c r="U4911" s="9" t="s">
        <v>13284</v>
      </c>
      <c r="V4911" s="9" t="s">
        <v>13284</v>
      </c>
      <c r="W4911" s="12"/>
      <c r="X4911" s="9" t="str">
        <f t="array" ref="X4911">IFERROR(INDEX('Адреса общежитий (скрытый)'!$B$2:$B$9, MATCH(W4911, 'Адреса общежитий (скрытый)'!$A$2:$A$9, 0)), "")</f>
        <v/>
      </c>
      <c r="Y4911" s="18"/>
      <c r="Z4911" s="18"/>
      <c r="AA4911" s="18"/>
      <c r="AB4911" s="18"/>
      <c r="AC4911" s="18"/>
    </row>
    <row r="4912" spans="1:29" ht="32.25" hidden="1" customHeight="1">
      <c r="A4912" s="17"/>
      <c r="B4912" s="9" t="s">
        <v>13284</v>
      </c>
      <c r="C4912" s="9" t="s">
        <v>13284</v>
      </c>
      <c r="D4912" s="9" t="s">
        <v>13284</v>
      </c>
      <c r="E4912" s="9" t="s">
        <v>13284</v>
      </c>
      <c r="F4912" s="9" t="s">
        <v>13284</v>
      </c>
      <c r="G4912" s="9" t="s">
        <v>13284</v>
      </c>
      <c r="H4912" s="9" t="s">
        <v>13284</v>
      </c>
      <c r="I4912" s="9" t="s">
        <v>13284</v>
      </c>
      <c r="J4912" s="9" t="s">
        <v>13284</v>
      </c>
      <c r="K4912" s="9" t="s">
        <v>13284</v>
      </c>
      <c r="L4912" s="9" t="s">
        <v>13284</v>
      </c>
      <c r="M4912" s="9" t="s">
        <v>13284</v>
      </c>
      <c r="N4912" s="9" t="s">
        <v>13284</v>
      </c>
      <c r="O4912" s="9" t="s">
        <v>13284</v>
      </c>
      <c r="P4912" s="9" t="s">
        <v>13284</v>
      </c>
      <c r="Q4912" s="9" t="s">
        <v>13284</v>
      </c>
      <c r="R4912" s="9" t="s">
        <v>13284</v>
      </c>
      <c r="S4912" s="9" t="s">
        <v>13284</v>
      </c>
      <c r="T4912" s="9" t="str">
        <f ca="1">IFERROR(IF(AND(VLOOKUP(A4912, 'Актуальное состояние (из общего'!A:C,3,0) = "", A4912 &lt;&gt; ""), "ПРОВЕРИТЬ", VLOOKUP(A4912, 'Актуальное состояние (из общего'!A:C,3,0)), "")</f>
        <v/>
      </c>
      <c r="U4912" s="9" t="s">
        <v>13284</v>
      </c>
      <c r="V4912" s="9" t="s">
        <v>13284</v>
      </c>
      <c r="W4912" s="12"/>
      <c r="X4912" s="9" t="str">
        <f t="array" ref="X4912">IFERROR(INDEX('Адреса общежитий (скрытый)'!$B$2:$B$9, MATCH(W4912, 'Адреса общежитий (скрытый)'!$A$2:$A$9, 0)), "")</f>
        <v/>
      </c>
      <c r="Y4912" s="18"/>
      <c r="Z4912" s="18"/>
      <c r="AA4912" s="18"/>
      <c r="AB4912" s="18"/>
      <c r="AC4912" s="18"/>
    </row>
    <row r="4913" spans="1:29" ht="32.25" hidden="1" customHeight="1">
      <c r="A4913" s="17"/>
      <c r="B4913" s="9" t="s">
        <v>13284</v>
      </c>
      <c r="C4913" s="9" t="s">
        <v>13284</v>
      </c>
      <c r="D4913" s="9" t="s">
        <v>13284</v>
      </c>
      <c r="E4913" s="9" t="s">
        <v>13284</v>
      </c>
      <c r="F4913" s="9" t="s">
        <v>13284</v>
      </c>
      <c r="G4913" s="9" t="s">
        <v>13284</v>
      </c>
      <c r="H4913" s="9" t="s">
        <v>13284</v>
      </c>
      <c r="I4913" s="9" t="s">
        <v>13284</v>
      </c>
      <c r="J4913" s="9" t="s">
        <v>13284</v>
      </c>
      <c r="K4913" s="9" t="s">
        <v>13284</v>
      </c>
      <c r="L4913" s="9" t="s">
        <v>13284</v>
      </c>
      <c r="M4913" s="9" t="s">
        <v>13284</v>
      </c>
      <c r="N4913" s="9" t="s">
        <v>13284</v>
      </c>
      <c r="O4913" s="9" t="s">
        <v>13284</v>
      </c>
      <c r="P4913" s="9" t="s">
        <v>13284</v>
      </c>
      <c r="Q4913" s="9" t="s">
        <v>13284</v>
      </c>
      <c r="R4913" s="9" t="s">
        <v>13284</v>
      </c>
      <c r="S4913" s="9" t="s">
        <v>13284</v>
      </c>
      <c r="T4913" s="9" t="str">
        <f ca="1">IFERROR(IF(AND(VLOOKUP(A4913, 'Актуальное состояние (из общего'!A:C,3,0) = "", A4913 &lt;&gt; ""), "ПРОВЕРИТЬ", VLOOKUP(A4913, 'Актуальное состояние (из общего'!A:C,3,0)), "")</f>
        <v/>
      </c>
      <c r="U4913" s="9" t="s">
        <v>13284</v>
      </c>
      <c r="V4913" s="9" t="s">
        <v>13284</v>
      </c>
      <c r="W4913" s="12"/>
      <c r="X4913" s="9" t="str">
        <f t="array" ref="X4913">IFERROR(INDEX('Адреса общежитий (скрытый)'!$B$2:$B$9, MATCH(W4913, 'Адреса общежитий (скрытый)'!$A$2:$A$9, 0)), "")</f>
        <v/>
      </c>
      <c r="Y4913" s="18"/>
      <c r="Z4913" s="18"/>
      <c r="AA4913" s="18"/>
      <c r="AB4913" s="18"/>
      <c r="AC4913" s="18"/>
    </row>
    <row r="4914" spans="1:29" ht="32.25" hidden="1" customHeight="1">
      <c r="A4914" s="17"/>
      <c r="B4914" s="9" t="s">
        <v>13284</v>
      </c>
      <c r="C4914" s="9" t="s">
        <v>13284</v>
      </c>
      <c r="D4914" s="9" t="s">
        <v>13284</v>
      </c>
      <c r="E4914" s="9" t="s">
        <v>13284</v>
      </c>
      <c r="F4914" s="9" t="s">
        <v>13284</v>
      </c>
      <c r="G4914" s="9" t="s">
        <v>13284</v>
      </c>
      <c r="H4914" s="9" t="s">
        <v>13284</v>
      </c>
      <c r="I4914" s="9" t="s">
        <v>13284</v>
      </c>
      <c r="J4914" s="9" t="s">
        <v>13284</v>
      </c>
      <c r="K4914" s="9" t="s">
        <v>13284</v>
      </c>
      <c r="L4914" s="9" t="s">
        <v>13284</v>
      </c>
      <c r="M4914" s="9" t="s">
        <v>13284</v>
      </c>
      <c r="N4914" s="9" t="s">
        <v>13284</v>
      </c>
      <c r="O4914" s="9" t="s">
        <v>13284</v>
      </c>
      <c r="P4914" s="9" t="s">
        <v>13284</v>
      </c>
      <c r="Q4914" s="9" t="s">
        <v>13284</v>
      </c>
      <c r="R4914" s="9" t="s">
        <v>13284</v>
      </c>
      <c r="S4914" s="9" t="s">
        <v>13284</v>
      </c>
      <c r="T4914" s="9" t="str">
        <f ca="1">IFERROR(IF(AND(VLOOKUP(A4914, 'Актуальное состояние (из общего'!A:C,3,0) = "", A4914 &lt;&gt; ""), "ПРОВЕРИТЬ", VLOOKUP(A4914, 'Актуальное состояние (из общего'!A:C,3,0)), "")</f>
        <v/>
      </c>
      <c r="U4914" s="9" t="s">
        <v>13284</v>
      </c>
      <c r="V4914" s="9" t="s">
        <v>13284</v>
      </c>
      <c r="W4914" s="12"/>
      <c r="X4914" s="9" t="str">
        <f t="array" ref="X4914">IFERROR(INDEX('Адреса общежитий (скрытый)'!$B$2:$B$9, MATCH(W4914, 'Адреса общежитий (скрытый)'!$A$2:$A$9, 0)), "")</f>
        <v/>
      </c>
      <c r="Y4914" s="18"/>
      <c r="Z4914" s="18"/>
      <c r="AA4914" s="18"/>
      <c r="AB4914" s="18"/>
      <c r="AC4914" s="18"/>
    </row>
    <row r="4915" spans="1:29" ht="32.25" hidden="1" customHeight="1">
      <c r="A4915" s="17"/>
      <c r="B4915" s="9" t="s">
        <v>13284</v>
      </c>
      <c r="C4915" s="9" t="s">
        <v>13284</v>
      </c>
      <c r="D4915" s="9" t="s">
        <v>13284</v>
      </c>
      <c r="E4915" s="9" t="s">
        <v>13284</v>
      </c>
      <c r="F4915" s="9" t="s">
        <v>13284</v>
      </c>
      <c r="G4915" s="9" t="s">
        <v>13284</v>
      </c>
      <c r="H4915" s="9" t="s">
        <v>13284</v>
      </c>
      <c r="I4915" s="9" t="s">
        <v>13284</v>
      </c>
      <c r="J4915" s="9" t="s">
        <v>13284</v>
      </c>
      <c r="K4915" s="9" t="s">
        <v>13284</v>
      </c>
      <c r="L4915" s="9" t="s">
        <v>13284</v>
      </c>
      <c r="M4915" s="9" t="s">
        <v>13284</v>
      </c>
      <c r="N4915" s="9" t="s">
        <v>13284</v>
      </c>
      <c r="O4915" s="9" t="s">
        <v>13284</v>
      </c>
      <c r="P4915" s="9" t="s">
        <v>13284</v>
      </c>
      <c r="Q4915" s="9" t="s">
        <v>13284</v>
      </c>
      <c r="R4915" s="9" t="s">
        <v>13284</v>
      </c>
      <c r="S4915" s="9" t="s">
        <v>13284</v>
      </c>
      <c r="T4915" s="9" t="str">
        <f ca="1">IFERROR(IF(AND(VLOOKUP(A4915, 'Актуальное состояние (из общего'!A:C,3,0) = "", A4915 &lt;&gt; ""), "ПРОВЕРИТЬ", VLOOKUP(A4915, 'Актуальное состояние (из общего'!A:C,3,0)), "")</f>
        <v/>
      </c>
      <c r="U4915" s="9" t="s">
        <v>13284</v>
      </c>
      <c r="V4915" s="9" t="s">
        <v>13284</v>
      </c>
      <c r="W4915" s="12"/>
      <c r="X4915" s="9" t="str">
        <f t="array" ref="X4915">IFERROR(INDEX('Адреса общежитий (скрытый)'!$B$2:$B$9, MATCH(W4915, 'Адреса общежитий (скрытый)'!$A$2:$A$9, 0)), "")</f>
        <v/>
      </c>
      <c r="Y4915" s="18"/>
      <c r="Z4915" s="18"/>
      <c r="AA4915" s="18"/>
      <c r="AB4915" s="18"/>
      <c r="AC4915" s="18"/>
    </row>
    <row r="4916" spans="1:29" ht="32.25" hidden="1" customHeight="1">
      <c r="A4916" s="17"/>
      <c r="B4916" s="9" t="s">
        <v>13284</v>
      </c>
      <c r="C4916" s="9" t="s">
        <v>13284</v>
      </c>
      <c r="D4916" s="9" t="s">
        <v>13284</v>
      </c>
      <c r="E4916" s="9" t="s">
        <v>13284</v>
      </c>
      <c r="F4916" s="9" t="s">
        <v>13284</v>
      </c>
      <c r="G4916" s="9" t="s">
        <v>13284</v>
      </c>
      <c r="H4916" s="9" t="s">
        <v>13284</v>
      </c>
      <c r="I4916" s="9" t="s">
        <v>13284</v>
      </c>
      <c r="J4916" s="9" t="s">
        <v>13284</v>
      </c>
      <c r="K4916" s="9" t="s">
        <v>13284</v>
      </c>
      <c r="L4916" s="9" t="s">
        <v>13284</v>
      </c>
      <c r="M4916" s="9" t="s">
        <v>13284</v>
      </c>
      <c r="N4916" s="9" t="s">
        <v>13284</v>
      </c>
      <c r="O4916" s="9" t="s">
        <v>13284</v>
      </c>
      <c r="P4916" s="9" t="s">
        <v>13284</v>
      </c>
      <c r="Q4916" s="9" t="s">
        <v>13284</v>
      </c>
      <c r="R4916" s="9" t="s">
        <v>13284</v>
      </c>
      <c r="S4916" s="9" t="s">
        <v>13284</v>
      </c>
      <c r="T4916" s="9" t="str">
        <f ca="1">IFERROR(IF(AND(VLOOKUP(A4916, 'Актуальное состояние (из общего'!A:C,3,0) = "", A4916 &lt;&gt; ""), "ПРОВЕРИТЬ", VLOOKUP(A4916, 'Актуальное состояние (из общего'!A:C,3,0)), "")</f>
        <v/>
      </c>
      <c r="U4916" s="9" t="s">
        <v>13284</v>
      </c>
      <c r="V4916" s="9" t="s">
        <v>13284</v>
      </c>
      <c r="W4916" s="12"/>
      <c r="X4916" s="9" t="str">
        <f t="array" ref="X4916">IFERROR(INDEX('Адреса общежитий (скрытый)'!$B$2:$B$9, MATCH(W4916, 'Адреса общежитий (скрытый)'!$A$2:$A$9, 0)), "")</f>
        <v/>
      </c>
      <c r="Y4916" s="18"/>
      <c r="Z4916" s="18"/>
      <c r="AA4916" s="18"/>
      <c r="AB4916" s="18"/>
      <c r="AC4916" s="18"/>
    </row>
    <row r="4917" spans="1:29" ht="32.25" hidden="1" customHeight="1">
      <c r="A4917" s="17"/>
      <c r="B4917" s="9" t="s">
        <v>13284</v>
      </c>
      <c r="C4917" s="9" t="s">
        <v>13284</v>
      </c>
      <c r="D4917" s="9" t="s">
        <v>13284</v>
      </c>
      <c r="E4917" s="9" t="s">
        <v>13284</v>
      </c>
      <c r="F4917" s="9" t="s">
        <v>13284</v>
      </c>
      <c r="G4917" s="9" t="s">
        <v>13284</v>
      </c>
      <c r="H4917" s="9" t="s">
        <v>13284</v>
      </c>
      <c r="I4917" s="9" t="s">
        <v>13284</v>
      </c>
      <c r="J4917" s="9" t="s">
        <v>13284</v>
      </c>
      <c r="K4917" s="9" t="s">
        <v>13284</v>
      </c>
      <c r="L4917" s="9" t="s">
        <v>13284</v>
      </c>
      <c r="M4917" s="9" t="s">
        <v>13284</v>
      </c>
      <c r="N4917" s="9" t="s">
        <v>13284</v>
      </c>
      <c r="O4917" s="9" t="s">
        <v>13284</v>
      </c>
      <c r="P4917" s="9" t="s">
        <v>13284</v>
      </c>
      <c r="Q4917" s="9" t="s">
        <v>13284</v>
      </c>
      <c r="R4917" s="9" t="s">
        <v>13284</v>
      </c>
      <c r="S4917" s="9" t="s">
        <v>13284</v>
      </c>
      <c r="T4917" s="9" t="str">
        <f ca="1">IFERROR(IF(AND(VLOOKUP(A4917, 'Актуальное состояние (из общего'!A:C,3,0) = "", A4917 &lt;&gt; ""), "ПРОВЕРИТЬ", VLOOKUP(A4917, 'Актуальное состояние (из общего'!A:C,3,0)), "")</f>
        <v/>
      </c>
      <c r="U4917" s="9" t="s">
        <v>13284</v>
      </c>
      <c r="V4917" s="9" t="s">
        <v>13284</v>
      </c>
      <c r="W4917" s="12"/>
      <c r="X4917" s="9" t="str">
        <f t="array" ref="X4917">IFERROR(INDEX('Адреса общежитий (скрытый)'!$B$2:$B$9, MATCH(W4917, 'Адреса общежитий (скрытый)'!$A$2:$A$9, 0)), "")</f>
        <v/>
      </c>
      <c r="Y4917" s="18"/>
      <c r="Z4917" s="18"/>
      <c r="AA4917" s="18"/>
      <c r="AB4917" s="18"/>
      <c r="AC4917" s="18"/>
    </row>
    <row r="4918" spans="1:29" ht="32.25" hidden="1" customHeight="1">
      <c r="A4918" s="17"/>
      <c r="B4918" s="9" t="s">
        <v>13284</v>
      </c>
      <c r="C4918" s="9" t="s">
        <v>13284</v>
      </c>
      <c r="D4918" s="9" t="s">
        <v>13284</v>
      </c>
      <c r="E4918" s="9" t="s">
        <v>13284</v>
      </c>
      <c r="F4918" s="9" t="s">
        <v>13284</v>
      </c>
      <c r="G4918" s="9" t="s">
        <v>13284</v>
      </c>
      <c r="H4918" s="9" t="s">
        <v>13284</v>
      </c>
      <c r="I4918" s="9" t="s">
        <v>13284</v>
      </c>
      <c r="J4918" s="9" t="s">
        <v>13284</v>
      </c>
      <c r="K4918" s="9" t="s">
        <v>13284</v>
      </c>
      <c r="L4918" s="9" t="s">
        <v>13284</v>
      </c>
      <c r="M4918" s="9" t="s">
        <v>13284</v>
      </c>
      <c r="N4918" s="9" t="s">
        <v>13284</v>
      </c>
      <c r="O4918" s="9" t="s">
        <v>13284</v>
      </c>
      <c r="P4918" s="9" t="s">
        <v>13284</v>
      </c>
      <c r="Q4918" s="9" t="s">
        <v>13284</v>
      </c>
      <c r="R4918" s="9" t="s">
        <v>13284</v>
      </c>
      <c r="S4918" s="9" t="s">
        <v>13284</v>
      </c>
      <c r="T4918" s="9" t="str">
        <f ca="1">IFERROR(IF(AND(VLOOKUP(A4918, 'Актуальное состояние (из общего'!A:C,3,0) = "", A4918 &lt;&gt; ""), "ПРОВЕРИТЬ", VLOOKUP(A4918, 'Актуальное состояние (из общего'!A:C,3,0)), "")</f>
        <v/>
      </c>
      <c r="U4918" s="9" t="s">
        <v>13284</v>
      </c>
      <c r="V4918" s="9" t="s">
        <v>13284</v>
      </c>
      <c r="W4918" s="12"/>
      <c r="X4918" s="9" t="str">
        <f t="array" ref="X4918">IFERROR(INDEX('Адреса общежитий (скрытый)'!$B$2:$B$9, MATCH(W4918, 'Адреса общежитий (скрытый)'!$A$2:$A$9, 0)), "")</f>
        <v/>
      </c>
      <c r="Y4918" s="18"/>
      <c r="Z4918" s="18"/>
      <c r="AA4918" s="18"/>
      <c r="AB4918" s="18"/>
      <c r="AC4918" s="18"/>
    </row>
    <row r="4919" spans="1:29" ht="32.25" hidden="1" customHeight="1">
      <c r="A4919" s="17"/>
      <c r="B4919" s="9" t="s">
        <v>13284</v>
      </c>
      <c r="C4919" s="9" t="s">
        <v>13284</v>
      </c>
      <c r="D4919" s="9" t="s">
        <v>13284</v>
      </c>
      <c r="E4919" s="9" t="s">
        <v>13284</v>
      </c>
      <c r="F4919" s="9" t="s">
        <v>13284</v>
      </c>
      <c r="G4919" s="9" t="s">
        <v>13284</v>
      </c>
      <c r="H4919" s="9" t="s">
        <v>13284</v>
      </c>
      <c r="I4919" s="9" t="s">
        <v>13284</v>
      </c>
      <c r="J4919" s="9" t="s">
        <v>13284</v>
      </c>
      <c r="K4919" s="9" t="s">
        <v>13284</v>
      </c>
      <c r="L4919" s="9" t="s">
        <v>13284</v>
      </c>
      <c r="M4919" s="9" t="s">
        <v>13284</v>
      </c>
      <c r="N4919" s="9" t="s">
        <v>13284</v>
      </c>
      <c r="O4919" s="9" t="s">
        <v>13284</v>
      </c>
      <c r="P4919" s="9" t="s">
        <v>13284</v>
      </c>
      <c r="Q4919" s="9" t="s">
        <v>13284</v>
      </c>
      <c r="R4919" s="9" t="s">
        <v>13284</v>
      </c>
      <c r="S4919" s="9" t="s">
        <v>13284</v>
      </c>
      <c r="T4919" s="9" t="str">
        <f ca="1">IFERROR(IF(AND(VLOOKUP(A4919, 'Актуальное состояние (из общего'!A:C,3,0) = "", A4919 &lt;&gt; ""), "ПРОВЕРИТЬ", VLOOKUP(A4919, 'Актуальное состояние (из общего'!A:C,3,0)), "")</f>
        <v/>
      </c>
      <c r="U4919" s="9" t="s">
        <v>13284</v>
      </c>
      <c r="V4919" s="9" t="s">
        <v>13284</v>
      </c>
      <c r="W4919" s="12"/>
      <c r="X4919" s="9" t="str">
        <f t="array" ref="X4919">IFERROR(INDEX('Адреса общежитий (скрытый)'!$B$2:$B$9, MATCH(W4919, 'Адреса общежитий (скрытый)'!$A$2:$A$9, 0)), "")</f>
        <v/>
      </c>
      <c r="Y4919" s="18"/>
      <c r="Z4919" s="18"/>
      <c r="AA4919" s="18"/>
      <c r="AB4919" s="18"/>
      <c r="AC4919" s="18"/>
    </row>
    <row r="4920" spans="1:29" ht="32.25" hidden="1" customHeight="1">
      <c r="A4920" s="17"/>
      <c r="B4920" s="9" t="s">
        <v>13284</v>
      </c>
      <c r="C4920" s="9" t="s">
        <v>13284</v>
      </c>
      <c r="D4920" s="9" t="s">
        <v>13284</v>
      </c>
      <c r="E4920" s="9" t="s">
        <v>13284</v>
      </c>
      <c r="F4920" s="9" t="s">
        <v>13284</v>
      </c>
      <c r="G4920" s="9" t="s">
        <v>13284</v>
      </c>
      <c r="H4920" s="9" t="s">
        <v>13284</v>
      </c>
      <c r="I4920" s="9" t="s">
        <v>13284</v>
      </c>
      <c r="J4920" s="9" t="s">
        <v>13284</v>
      </c>
      <c r="K4920" s="9" t="s">
        <v>13284</v>
      </c>
      <c r="L4920" s="9" t="s">
        <v>13284</v>
      </c>
      <c r="M4920" s="9" t="s">
        <v>13284</v>
      </c>
      <c r="N4920" s="9" t="s">
        <v>13284</v>
      </c>
      <c r="O4920" s="9" t="s">
        <v>13284</v>
      </c>
      <c r="P4920" s="9" t="s">
        <v>13284</v>
      </c>
      <c r="Q4920" s="9" t="s">
        <v>13284</v>
      </c>
      <c r="R4920" s="9" t="s">
        <v>13284</v>
      </c>
      <c r="S4920" s="9" t="s">
        <v>13284</v>
      </c>
      <c r="T4920" s="9" t="str">
        <f ca="1">IFERROR(IF(AND(VLOOKUP(A4920, 'Актуальное состояние (из общего'!A:C,3,0) = "", A4920 &lt;&gt; ""), "ПРОВЕРИТЬ", VLOOKUP(A4920, 'Актуальное состояние (из общего'!A:C,3,0)), "")</f>
        <v/>
      </c>
      <c r="U4920" s="9" t="s">
        <v>13284</v>
      </c>
      <c r="V4920" s="9" t="s">
        <v>13284</v>
      </c>
      <c r="W4920" s="12"/>
      <c r="X4920" s="9" t="str">
        <f t="array" ref="X4920">IFERROR(INDEX('Адреса общежитий (скрытый)'!$B$2:$B$9, MATCH(W4920, 'Адреса общежитий (скрытый)'!$A$2:$A$9, 0)), "")</f>
        <v/>
      </c>
      <c r="Y4920" s="18"/>
      <c r="Z4920" s="18"/>
      <c r="AA4920" s="18"/>
      <c r="AB4920" s="18"/>
      <c r="AC4920" s="18"/>
    </row>
    <row r="4921" spans="1:29" ht="32.25" hidden="1" customHeight="1">
      <c r="A4921" s="17"/>
      <c r="B4921" s="9" t="s">
        <v>13284</v>
      </c>
      <c r="C4921" s="9" t="s">
        <v>13284</v>
      </c>
      <c r="D4921" s="9" t="s">
        <v>13284</v>
      </c>
      <c r="E4921" s="9" t="s">
        <v>13284</v>
      </c>
      <c r="F4921" s="9" t="s">
        <v>13284</v>
      </c>
      <c r="G4921" s="9" t="s">
        <v>13284</v>
      </c>
      <c r="H4921" s="9" t="s">
        <v>13284</v>
      </c>
      <c r="I4921" s="9" t="s">
        <v>13284</v>
      </c>
      <c r="J4921" s="9" t="s">
        <v>13284</v>
      </c>
      <c r="K4921" s="9" t="s">
        <v>13284</v>
      </c>
      <c r="L4921" s="9" t="s">
        <v>13284</v>
      </c>
      <c r="M4921" s="9" t="s">
        <v>13284</v>
      </c>
      <c r="N4921" s="9" t="s">
        <v>13284</v>
      </c>
      <c r="O4921" s="9" t="s">
        <v>13284</v>
      </c>
      <c r="P4921" s="9" t="s">
        <v>13284</v>
      </c>
      <c r="Q4921" s="9" t="s">
        <v>13284</v>
      </c>
      <c r="R4921" s="9" t="s">
        <v>13284</v>
      </c>
      <c r="S4921" s="9" t="s">
        <v>13284</v>
      </c>
      <c r="T4921" s="9" t="str">
        <f ca="1">IFERROR(IF(AND(VLOOKUP(A4921, 'Актуальное состояние (из общего'!A:C,3,0) = "", A4921 &lt;&gt; ""), "ПРОВЕРИТЬ", VLOOKUP(A4921, 'Актуальное состояние (из общего'!A:C,3,0)), "")</f>
        <v/>
      </c>
      <c r="U4921" s="9" t="s">
        <v>13284</v>
      </c>
      <c r="V4921" s="9" t="s">
        <v>13284</v>
      </c>
      <c r="W4921" s="12"/>
      <c r="X4921" s="9" t="str">
        <f t="array" ref="X4921">IFERROR(INDEX('Адреса общежитий (скрытый)'!$B$2:$B$9, MATCH(W4921, 'Адреса общежитий (скрытый)'!$A$2:$A$9, 0)), "")</f>
        <v/>
      </c>
      <c r="Y4921" s="18"/>
      <c r="Z4921" s="18"/>
      <c r="AA4921" s="18"/>
      <c r="AB4921" s="18"/>
      <c r="AC4921" s="18"/>
    </row>
    <row r="4922" spans="1:29" ht="32.25" hidden="1" customHeight="1">
      <c r="A4922" s="17"/>
      <c r="B4922" s="9" t="s">
        <v>13284</v>
      </c>
      <c r="C4922" s="9" t="s">
        <v>13284</v>
      </c>
      <c r="D4922" s="9" t="s">
        <v>13284</v>
      </c>
      <c r="E4922" s="9" t="s">
        <v>13284</v>
      </c>
      <c r="F4922" s="9" t="s">
        <v>13284</v>
      </c>
      <c r="G4922" s="9" t="s">
        <v>13284</v>
      </c>
      <c r="H4922" s="9" t="s">
        <v>13284</v>
      </c>
      <c r="I4922" s="9" t="s">
        <v>13284</v>
      </c>
      <c r="J4922" s="9" t="s">
        <v>13284</v>
      </c>
      <c r="K4922" s="9" t="s">
        <v>13284</v>
      </c>
      <c r="L4922" s="9" t="s">
        <v>13284</v>
      </c>
      <c r="M4922" s="9" t="s">
        <v>13284</v>
      </c>
      <c r="N4922" s="9" t="s">
        <v>13284</v>
      </c>
      <c r="O4922" s="9" t="s">
        <v>13284</v>
      </c>
      <c r="P4922" s="9" t="s">
        <v>13284</v>
      </c>
      <c r="Q4922" s="9" t="s">
        <v>13284</v>
      </c>
      <c r="R4922" s="9" t="s">
        <v>13284</v>
      </c>
      <c r="S4922" s="9" t="s">
        <v>13284</v>
      </c>
      <c r="T4922" s="9" t="str">
        <f ca="1">IFERROR(IF(AND(VLOOKUP(A4922, 'Актуальное состояние (из общего'!A:C,3,0) = "", A4922 &lt;&gt; ""), "ПРОВЕРИТЬ", VLOOKUP(A4922, 'Актуальное состояние (из общего'!A:C,3,0)), "")</f>
        <v/>
      </c>
      <c r="U4922" s="9" t="s">
        <v>13284</v>
      </c>
      <c r="V4922" s="9" t="s">
        <v>13284</v>
      </c>
      <c r="W4922" s="12"/>
      <c r="X4922" s="9" t="str">
        <f t="array" ref="X4922">IFERROR(INDEX('Адреса общежитий (скрытый)'!$B$2:$B$9, MATCH(W4922, 'Адреса общежитий (скрытый)'!$A$2:$A$9, 0)), "")</f>
        <v/>
      </c>
      <c r="Y4922" s="18"/>
      <c r="Z4922" s="18"/>
      <c r="AA4922" s="18"/>
      <c r="AB4922" s="18"/>
      <c r="AC4922" s="18"/>
    </row>
    <row r="4923" spans="1:29" ht="32.25" hidden="1" customHeight="1">
      <c r="A4923" s="17"/>
      <c r="B4923" s="9" t="s">
        <v>13284</v>
      </c>
      <c r="C4923" s="9" t="s">
        <v>13284</v>
      </c>
      <c r="D4923" s="9" t="s">
        <v>13284</v>
      </c>
      <c r="E4923" s="9" t="s">
        <v>13284</v>
      </c>
      <c r="F4923" s="9" t="s">
        <v>13284</v>
      </c>
      <c r="G4923" s="9" t="s">
        <v>13284</v>
      </c>
      <c r="H4923" s="9" t="s">
        <v>13284</v>
      </c>
      <c r="I4923" s="9" t="s">
        <v>13284</v>
      </c>
      <c r="J4923" s="9" t="s">
        <v>13284</v>
      </c>
      <c r="K4923" s="9" t="s">
        <v>13284</v>
      </c>
      <c r="L4923" s="9" t="s">
        <v>13284</v>
      </c>
      <c r="M4923" s="9" t="s">
        <v>13284</v>
      </c>
      <c r="N4923" s="9" t="s">
        <v>13284</v>
      </c>
      <c r="O4923" s="9" t="s">
        <v>13284</v>
      </c>
      <c r="P4923" s="9" t="s">
        <v>13284</v>
      </c>
      <c r="Q4923" s="9" t="s">
        <v>13284</v>
      </c>
      <c r="R4923" s="9" t="s">
        <v>13284</v>
      </c>
      <c r="S4923" s="9" t="s">
        <v>13284</v>
      </c>
      <c r="T4923" s="9" t="str">
        <f ca="1">IFERROR(IF(AND(VLOOKUP(A4923, 'Актуальное состояние (из общего'!A:C,3,0) = "", A4923 &lt;&gt; ""), "ПРОВЕРИТЬ", VLOOKUP(A4923, 'Актуальное состояние (из общего'!A:C,3,0)), "")</f>
        <v/>
      </c>
      <c r="U4923" s="9" t="s">
        <v>13284</v>
      </c>
      <c r="V4923" s="9" t="s">
        <v>13284</v>
      </c>
      <c r="W4923" s="12"/>
      <c r="X4923" s="9" t="str">
        <f t="array" ref="X4923">IFERROR(INDEX('Адреса общежитий (скрытый)'!$B$2:$B$9, MATCH(W4923, 'Адреса общежитий (скрытый)'!$A$2:$A$9, 0)), "")</f>
        <v/>
      </c>
      <c r="Y4923" s="18"/>
      <c r="Z4923" s="18"/>
      <c r="AA4923" s="18"/>
      <c r="AB4923" s="18"/>
      <c r="AC4923" s="18"/>
    </row>
    <row r="4924" spans="1:29" ht="32.25" hidden="1" customHeight="1">
      <c r="A4924" s="17"/>
      <c r="B4924" s="9" t="s">
        <v>13284</v>
      </c>
      <c r="C4924" s="9" t="s">
        <v>13284</v>
      </c>
      <c r="D4924" s="9" t="s">
        <v>13284</v>
      </c>
      <c r="E4924" s="9" t="s">
        <v>13284</v>
      </c>
      <c r="F4924" s="9" t="s">
        <v>13284</v>
      </c>
      <c r="G4924" s="9" t="s">
        <v>13284</v>
      </c>
      <c r="H4924" s="9" t="s">
        <v>13284</v>
      </c>
      <c r="I4924" s="9" t="s">
        <v>13284</v>
      </c>
      <c r="J4924" s="9" t="s">
        <v>13284</v>
      </c>
      <c r="K4924" s="9" t="s">
        <v>13284</v>
      </c>
      <c r="L4924" s="9" t="s">
        <v>13284</v>
      </c>
      <c r="M4924" s="9" t="s">
        <v>13284</v>
      </c>
      <c r="N4924" s="9" t="s">
        <v>13284</v>
      </c>
      <c r="O4924" s="9" t="s">
        <v>13284</v>
      </c>
      <c r="P4924" s="9" t="s">
        <v>13284</v>
      </c>
      <c r="Q4924" s="9" t="s">
        <v>13284</v>
      </c>
      <c r="R4924" s="9" t="s">
        <v>13284</v>
      </c>
      <c r="S4924" s="9" t="s">
        <v>13284</v>
      </c>
      <c r="T4924" s="9" t="str">
        <f ca="1">IFERROR(IF(AND(VLOOKUP(A4924, 'Актуальное состояние (из общего'!A:C,3,0) = "", A4924 &lt;&gt; ""), "ПРОВЕРИТЬ", VLOOKUP(A4924, 'Актуальное состояние (из общего'!A:C,3,0)), "")</f>
        <v/>
      </c>
      <c r="U4924" s="9" t="s">
        <v>13284</v>
      </c>
      <c r="V4924" s="9" t="s">
        <v>13284</v>
      </c>
      <c r="W4924" s="12"/>
      <c r="X4924" s="9" t="str">
        <f t="array" ref="X4924">IFERROR(INDEX('Адреса общежитий (скрытый)'!$B$2:$B$9, MATCH(W4924, 'Адреса общежитий (скрытый)'!$A$2:$A$9, 0)), "")</f>
        <v/>
      </c>
      <c r="Y4924" s="18"/>
      <c r="Z4924" s="18"/>
      <c r="AA4924" s="18"/>
      <c r="AB4924" s="18"/>
      <c r="AC4924" s="18"/>
    </row>
    <row r="4925" spans="1:29" ht="32.25" hidden="1" customHeight="1">
      <c r="A4925" s="17"/>
      <c r="B4925" s="9" t="s">
        <v>13284</v>
      </c>
      <c r="C4925" s="9" t="s">
        <v>13284</v>
      </c>
      <c r="D4925" s="9" t="s">
        <v>13284</v>
      </c>
      <c r="E4925" s="9" t="s">
        <v>13284</v>
      </c>
      <c r="F4925" s="9" t="s">
        <v>13284</v>
      </c>
      <c r="G4925" s="9" t="s">
        <v>13284</v>
      </c>
      <c r="H4925" s="9" t="s">
        <v>13284</v>
      </c>
      <c r="I4925" s="9" t="s">
        <v>13284</v>
      </c>
      <c r="J4925" s="9" t="s">
        <v>13284</v>
      </c>
      <c r="K4925" s="9" t="s">
        <v>13284</v>
      </c>
      <c r="L4925" s="9" t="s">
        <v>13284</v>
      </c>
      <c r="M4925" s="9" t="s">
        <v>13284</v>
      </c>
      <c r="N4925" s="9" t="s">
        <v>13284</v>
      </c>
      <c r="O4925" s="9" t="s">
        <v>13284</v>
      </c>
      <c r="P4925" s="9" t="s">
        <v>13284</v>
      </c>
      <c r="Q4925" s="9" t="s">
        <v>13284</v>
      </c>
      <c r="R4925" s="9" t="s">
        <v>13284</v>
      </c>
      <c r="S4925" s="9" t="s">
        <v>13284</v>
      </c>
      <c r="T4925" s="9" t="str">
        <f ca="1">IFERROR(IF(AND(VLOOKUP(A4925, 'Актуальное состояние (из общего'!A:C,3,0) = "", A4925 &lt;&gt; ""), "ПРОВЕРИТЬ", VLOOKUP(A4925, 'Актуальное состояние (из общего'!A:C,3,0)), "")</f>
        <v/>
      </c>
      <c r="U4925" s="9" t="s">
        <v>13284</v>
      </c>
      <c r="V4925" s="9" t="s">
        <v>13284</v>
      </c>
      <c r="W4925" s="12"/>
      <c r="X4925" s="9" t="str">
        <f t="array" ref="X4925">IFERROR(INDEX('Адреса общежитий (скрытый)'!$B$2:$B$9, MATCH(W4925, 'Адреса общежитий (скрытый)'!$A$2:$A$9, 0)), "")</f>
        <v/>
      </c>
      <c r="Y4925" s="18"/>
      <c r="Z4925" s="18"/>
      <c r="AA4925" s="18"/>
      <c r="AB4925" s="18"/>
      <c r="AC4925" s="18"/>
    </row>
    <row r="4926" spans="1:29" ht="32.25" hidden="1" customHeight="1">
      <c r="A4926" s="17"/>
      <c r="B4926" s="9" t="s">
        <v>13284</v>
      </c>
      <c r="C4926" s="9" t="s">
        <v>13284</v>
      </c>
      <c r="D4926" s="9" t="s">
        <v>13284</v>
      </c>
      <c r="E4926" s="9" t="s">
        <v>13284</v>
      </c>
      <c r="F4926" s="9" t="s">
        <v>13284</v>
      </c>
      <c r="G4926" s="9" t="s">
        <v>13284</v>
      </c>
      <c r="H4926" s="9" t="s">
        <v>13284</v>
      </c>
      <c r="I4926" s="9" t="s">
        <v>13284</v>
      </c>
      <c r="J4926" s="9" t="s">
        <v>13284</v>
      </c>
      <c r="K4926" s="9" t="s">
        <v>13284</v>
      </c>
      <c r="L4926" s="9" t="s">
        <v>13284</v>
      </c>
      <c r="M4926" s="9" t="s">
        <v>13284</v>
      </c>
      <c r="N4926" s="9" t="s">
        <v>13284</v>
      </c>
      <c r="O4926" s="9" t="s">
        <v>13284</v>
      </c>
      <c r="P4926" s="9" t="s">
        <v>13284</v>
      </c>
      <c r="Q4926" s="9" t="s">
        <v>13284</v>
      </c>
      <c r="R4926" s="9" t="s">
        <v>13284</v>
      </c>
      <c r="S4926" s="9" t="s">
        <v>13284</v>
      </c>
      <c r="T4926" s="9" t="str">
        <f ca="1">IFERROR(IF(AND(VLOOKUP(A4926, 'Актуальное состояние (из общего'!A:C,3,0) = "", A4926 &lt;&gt; ""), "ПРОВЕРИТЬ", VLOOKUP(A4926, 'Актуальное состояние (из общего'!A:C,3,0)), "")</f>
        <v/>
      </c>
      <c r="U4926" s="9" t="s">
        <v>13284</v>
      </c>
      <c r="V4926" s="9" t="s">
        <v>13284</v>
      </c>
      <c r="W4926" s="12"/>
      <c r="X4926" s="9" t="str">
        <f t="array" ref="X4926">IFERROR(INDEX('Адреса общежитий (скрытый)'!$B$2:$B$9, MATCH(W4926, 'Адреса общежитий (скрытый)'!$A$2:$A$9, 0)), "")</f>
        <v/>
      </c>
      <c r="Y4926" s="18"/>
      <c r="Z4926" s="18"/>
      <c r="AA4926" s="18"/>
      <c r="AB4926" s="18"/>
      <c r="AC4926" s="18"/>
    </row>
    <row r="4927" spans="1:29" ht="32.25" hidden="1" customHeight="1">
      <c r="A4927" s="17"/>
      <c r="B4927" s="9" t="s">
        <v>13284</v>
      </c>
      <c r="C4927" s="9" t="s">
        <v>13284</v>
      </c>
      <c r="D4927" s="9" t="s">
        <v>13284</v>
      </c>
      <c r="E4927" s="9" t="s">
        <v>13284</v>
      </c>
      <c r="F4927" s="9" t="s">
        <v>13284</v>
      </c>
      <c r="G4927" s="9" t="s">
        <v>13284</v>
      </c>
      <c r="H4927" s="9" t="s">
        <v>13284</v>
      </c>
      <c r="I4927" s="9" t="s">
        <v>13284</v>
      </c>
      <c r="J4927" s="9" t="s">
        <v>13284</v>
      </c>
      <c r="K4927" s="9" t="s">
        <v>13284</v>
      </c>
      <c r="L4927" s="9" t="s">
        <v>13284</v>
      </c>
      <c r="M4927" s="9" t="s">
        <v>13284</v>
      </c>
      <c r="N4927" s="9" t="s">
        <v>13284</v>
      </c>
      <c r="O4927" s="9" t="s">
        <v>13284</v>
      </c>
      <c r="P4927" s="9" t="s">
        <v>13284</v>
      </c>
      <c r="Q4927" s="9" t="s">
        <v>13284</v>
      </c>
      <c r="R4927" s="9" t="s">
        <v>13284</v>
      </c>
      <c r="S4927" s="9" t="s">
        <v>13284</v>
      </c>
      <c r="T4927" s="9" t="str">
        <f ca="1">IFERROR(IF(AND(VLOOKUP(A4927, 'Актуальное состояние (из общего'!A:C,3,0) = "", A4927 &lt;&gt; ""), "ПРОВЕРИТЬ", VLOOKUP(A4927, 'Актуальное состояние (из общего'!A:C,3,0)), "")</f>
        <v/>
      </c>
      <c r="U4927" s="9" t="s">
        <v>13284</v>
      </c>
      <c r="V4927" s="9" t="s">
        <v>13284</v>
      </c>
      <c r="W4927" s="12"/>
      <c r="X4927" s="9" t="str">
        <f t="array" ref="X4927">IFERROR(INDEX('Адреса общежитий (скрытый)'!$B$2:$B$9, MATCH(W4927, 'Адреса общежитий (скрытый)'!$A$2:$A$9, 0)), "")</f>
        <v/>
      </c>
      <c r="Y4927" s="18"/>
      <c r="Z4927" s="18"/>
      <c r="AA4927" s="18"/>
      <c r="AB4927" s="18"/>
      <c r="AC4927" s="18"/>
    </row>
    <row r="4928" spans="1:29" ht="32.25" hidden="1" customHeight="1">
      <c r="A4928" s="17"/>
      <c r="B4928" s="9" t="s">
        <v>13284</v>
      </c>
      <c r="C4928" s="9" t="s">
        <v>13284</v>
      </c>
      <c r="D4928" s="9" t="s">
        <v>13284</v>
      </c>
      <c r="E4928" s="9" t="s">
        <v>13284</v>
      </c>
      <c r="F4928" s="9" t="s">
        <v>13284</v>
      </c>
      <c r="G4928" s="9" t="s">
        <v>13284</v>
      </c>
      <c r="H4928" s="9" t="s">
        <v>13284</v>
      </c>
      <c r="I4928" s="9" t="s">
        <v>13284</v>
      </c>
      <c r="J4928" s="9" t="s">
        <v>13284</v>
      </c>
      <c r="K4928" s="9" t="s">
        <v>13284</v>
      </c>
      <c r="L4928" s="9" t="s">
        <v>13284</v>
      </c>
      <c r="M4928" s="9" t="s">
        <v>13284</v>
      </c>
      <c r="N4928" s="9" t="s">
        <v>13284</v>
      </c>
      <c r="O4928" s="9" t="s">
        <v>13284</v>
      </c>
      <c r="P4928" s="9" t="s">
        <v>13284</v>
      </c>
      <c r="Q4928" s="9" t="s">
        <v>13284</v>
      </c>
      <c r="R4928" s="9" t="s">
        <v>13284</v>
      </c>
      <c r="S4928" s="9" t="s">
        <v>13284</v>
      </c>
      <c r="T4928" s="9" t="str">
        <f ca="1">IFERROR(IF(AND(VLOOKUP(A4928, 'Актуальное состояние (из общего'!A:C,3,0) = "", A4928 &lt;&gt; ""), "ПРОВЕРИТЬ", VLOOKUP(A4928, 'Актуальное состояние (из общего'!A:C,3,0)), "")</f>
        <v/>
      </c>
      <c r="U4928" s="9" t="s">
        <v>13284</v>
      </c>
      <c r="V4928" s="9" t="s">
        <v>13284</v>
      </c>
      <c r="W4928" s="12"/>
      <c r="X4928" s="9" t="str">
        <f t="array" ref="X4928">IFERROR(INDEX('Адреса общежитий (скрытый)'!$B$2:$B$9, MATCH(W4928, 'Адреса общежитий (скрытый)'!$A$2:$A$9, 0)), "")</f>
        <v/>
      </c>
      <c r="Y4928" s="18"/>
      <c r="Z4928" s="18"/>
      <c r="AA4928" s="18"/>
      <c r="AB4928" s="18"/>
      <c r="AC4928" s="18"/>
    </row>
    <row r="4929" spans="1:29" ht="32.25" hidden="1" customHeight="1">
      <c r="A4929" s="17"/>
      <c r="B4929" s="9" t="s">
        <v>13284</v>
      </c>
      <c r="C4929" s="9" t="s">
        <v>13284</v>
      </c>
      <c r="D4929" s="9" t="s">
        <v>13284</v>
      </c>
      <c r="E4929" s="9" t="s">
        <v>13284</v>
      </c>
      <c r="F4929" s="9" t="s">
        <v>13284</v>
      </c>
      <c r="G4929" s="9" t="s">
        <v>13284</v>
      </c>
      <c r="H4929" s="9" t="s">
        <v>13284</v>
      </c>
      <c r="I4929" s="9" t="s">
        <v>13284</v>
      </c>
      <c r="J4929" s="9" t="s">
        <v>13284</v>
      </c>
      <c r="K4929" s="9" t="s">
        <v>13284</v>
      </c>
      <c r="L4929" s="9" t="s">
        <v>13284</v>
      </c>
      <c r="M4929" s="9" t="s">
        <v>13284</v>
      </c>
      <c r="N4929" s="9" t="s">
        <v>13284</v>
      </c>
      <c r="O4929" s="9" t="s">
        <v>13284</v>
      </c>
      <c r="P4929" s="9" t="s">
        <v>13284</v>
      </c>
      <c r="Q4929" s="9" t="s">
        <v>13284</v>
      </c>
      <c r="R4929" s="9" t="s">
        <v>13284</v>
      </c>
      <c r="S4929" s="9" t="s">
        <v>13284</v>
      </c>
      <c r="T4929" s="9" t="str">
        <f ca="1">IFERROR(IF(AND(VLOOKUP(A4929, 'Актуальное состояние (из общего'!A:C,3,0) = "", A4929 &lt;&gt; ""), "ПРОВЕРИТЬ", VLOOKUP(A4929, 'Актуальное состояние (из общего'!A:C,3,0)), "")</f>
        <v/>
      </c>
      <c r="U4929" s="9" t="s">
        <v>13284</v>
      </c>
      <c r="V4929" s="9" t="s">
        <v>13284</v>
      </c>
      <c r="W4929" s="12"/>
      <c r="X4929" s="9" t="str">
        <f t="array" ref="X4929">IFERROR(INDEX('Адреса общежитий (скрытый)'!$B$2:$B$9, MATCH(W4929, 'Адреса общежитий (скрытый)'!$A$2:$A$9, 0)), "")</f>
        <v/>
      </c>
      <c r="Y4929" s="18"/>
      <c r="Z4929" s="18"/>
      <c r="AA4929" s="18"/>
      <c r="AB4929" s="18"/>
      <c r="AC4929" s="18"/>
    </row>
    <row r="4930" spans="1:29" ht="32.25" hidden="1" customHeight="1">
      <c r="A4930" s="17"/>
      <c r="B4930" s="9" t="s">
        <v>13284</v>
      </c>
      <c r="C4930" s="9" t="s">
        <v>13284</v>
      </c>
      <c r="D4930" s="9" t="s">
        <v>13284</v>
      </c>
      <c r="E4930" s="9" t="s">
        <v>13284</v>
      </c>
      <c r="F4930" s="9" t="s">
        <v>13284</v>
      </c>
      <c r="G4930" s="9" t="s">
        <v>13284</v>
      </c>
      <c r="H4930" s="9" t="s">
        <v>13284</v>
      </c>
      <c r="I4930" s="9" t="s">
        <v>13284</v>
      </c>
      <c r="J4930" s="9" t="s">
        <v>13284</v>
      </c>
      <c r="K4930" s="9" t="s">
        <v>13284</v>
      </c>
      <c r="L4930" s="9" t="s">
        <v>13284</v>
      </c>
      <c r="M4930" s="9" t="s">
        <v>13284</v>
      </c>
      <c r="N4930" s="9" t="s">
        <v>13284</v>
      </c>
      <c r="O4930" s="9" t="s">
        <v>13284</v>
      </c>
      <c r="P4930" s="9" t="s">
        <v>13284</v>
      </c>
      <c r="Q4930" s="9" t="s">
        <v>13284</v>
      </c>
      <c r="R4930" s="9" t="s">
        <v>13284</v>
      </c>
      <c r="S4930" s="9" t="s">
        <v>13284</v>
      </c>
      <c r="T4930" s="9" t="str">
        <f ca="1">IFERROR(IF(AND(VLOOKUP(A4930, 'Актуальное состояние (из общего'!A:C,3,0) = "", A4930 &lt;&gt; ""), "ПРОВЕРИТЬ", VLOOKUP(A4930, 'Актуальное состояние (из общего'!A:C,3,0)), "")</f>
        <v/>
      </c>
      <c r="U4930" s="9" t="s">
        <v>13284</v>
      </c>
      <c r="V4930" s="9" t="s">
        <v>13284</v>
      </c>
      <c r="W4930" s="12"/>
      <c r="X4930" s="9" t="str">
        <f t="array" ref="X4930">IFERROR(INDEX('Адреса общежитий (скрытый)'!$B$2:$B$9, MATCH(W4930, 'Адреса общежитий (скрытый)'!$A$2:$A$9, 0)), "")</f>
        <v/>
      </c>
      <c r="Y4930" s="18"/>
      <c r="Z4930" s="18"/>
      <c r="AA4930" s="18"/>
      <c r="AB4930" s="18"/>
      <c r="AC4930" s="18"/>
    </row>
    <row r="4931" spans="1:29" ht="32.25" hidden="1" customHeight="1">
      <c r="A4931" s="17"/>
      <c r="B4931" s="9" t="s">
        <v>13284</v>
      </c>
      <c r="C4931" s="9" t="s">
        <v>13284</v>
      </c>
      <c r="D4931" s="9" t="s">
        <v>13284</v>
      </c>
      <c r="E4931" s="9" t="s">
        <v>13284</v>
      </c>
      <c r="F4931" s="9" t="s">
        <v>13284</v>
      </c>
      <c r="G4931" s="9" t="s">
        <v>13284</v>
      </c>
      <c r="H4931" s="9" t="s">
        <v>13284</v>
      </c>
      <c r="I4931" s="9" t="s">
        <v>13284</v>
      </c>
      <c r="J4931" s="9" t="s">
        <v>13284</v>
      </c>
      <c r="K4931" s="9" t="s">
        <v>13284</v>
      </c>
      <c r="L4931" s="9" t="s">
        <v>13284</v>
      </c>
      <c r="M4931" s="9" t="s">
        <v>13284</v>
      </c>
      <c r="N4931" s="9" t="s">
        <v>13284</v>
      </c>
      <c r="O4931" s="9" t="s">
        <v>13284</v>
      </c>
      <c r="P4931" s="9" t="s">
        <v>13284</v>
      </c>
      <c r="Q4931" s="9" t="s">
        <v>13284</v>
      </c>
      <c r="R4931" s="9" t="s">
        <v>13284</v>
      </c>
      <c r="S4931" s="9" t="s">
        <v>13284</v>
      </c>
      <c r="T4931" s="9" t="str">
        <f ca="1">IFERROR(IF(AND(VLOOKUP(A4931, 'Актуальное состояние (из общего'!A:C,3,0) = "", A4931 &lt;&gt; ""), "ПРОВЕРИТЬ", VLOOKUP(A4931, 'Актуальное состояние (из общего'!A:C,3,0)), "")</f>
        <v/>
      </c>
      <c r="U4931" s="9" t="s">
        <v>13284</v>
      </c>
      <c r="V4931" s="9" t="s">
        <v>13284</v>
      </c>
      <c r="W4931" s="12"/>
      <c r="X4931" s="9" t="str">
        <f t="array" ref="X4931">IFERROR(INDEX('Адреса общежитий (скрытый)'!$B$2:$B$9, MATCH(W4931, 'Адреса общежитий (скрытый)'!$A$2:$A$9, 0)), "")</f>
        <v/>
      </c>
      <c r="Y4931" s="18"/>
      <c r="Z4931" s="18"/>
      <c r="AA4931" s="18"/>
      <c r="AB4931" s="18"/>
      <c r="AC4931" s="18"/>
    </row>
    <row r="4932" spans="1:29" ht="32.25" hidden="1" customHeight="1">
      <c r="A4932" s="17"/>
      <c r="B4932" s="9" t="s">
        <v>13284</v>
      </c>
      <c r="C4932" s="9" t="s">
        <v>13284</v>
      </c>
      <c r="D4932" s="9" t="s">
        <v>13284</v>
      </c>
      <c r="E4932" s="9" t="s">
        <v>13284</v>
      </c>
      <c r="F4932" s="9" t="s">
        <v>13284</v>
      </c>
      <c r="G4932" s="9" t="s">
        <v>13284</v>
      </c>
      <c r="H4932" s="9" t="s">
        <v>13284</v>
      </c>
      <c r="I4932" s="9" t="s">
        <v>13284</v>
      </c>
      <c r="J4932" s="9" t="s">
        <v>13284</v>
      </c>
      <c r="K4932" s="9" t="s">
        <v>13284</v>
      </c>
      <c r="L4932" s="9" t="s">
        <v>13284</v>
      </c>
      <c r="M4932" s="9" t="s">
        <v>13284</v>
      </c>
      <c r="N4932" s="9" t="s">
        <v>13284</v>
      </c>
      <c r="O4932" s="9" t="s">
        <v>13284</v>
      </c>
      <c r="P4932" s="9" t="s">
        <v>13284</v>
      </c>
      <c r="Q4932" s="9" t="s">
        <v>13284</v>
      </c>
      <c r="R4932" s="9" t="s">
        <v>13284</v>
      </c>
      <c r="S4932" s="9" t="s">
        <v>13284</v>
      </c>
      <c r="T4932" s="9" t="str">
        <f ca="1">IFERROR(IF(AND(VLOOKUP(A4932, 'Актуальное состояние (из общего'!A:C,3,0) = "", A4932 &lt;&gt; ""), "ПРОВЕРИТЬ", VLOOKUP(A4932, 'Актуальное состояние (из общего'!A:C,3,0)), "")</f>
        <v/>
      </c>
      <c r="U4932" s="9" t="s">
        <v>13284</v>
      </c>
      <c r="V4932" s="9" t="s">
        <v>13284</v>
      </c>
      <c r="W4932" s="12"/>
      <c r="X4932" s="9" t="str">
        <f t="array" ref="X4932">IFERROR(INDEX('Адреса общежитий (скрытый)'!$B$2:$B$9, MATCH(W4932, 'Адреса общежитий (скрытый)'!$A$2:$A$9, 0)), "")</f>
        <v/>
      </c>
      <c r="Y4932" s="18"/>
      <c r="Z4932" s="18"/>
      <c r="AA4932" s="18"/>
      <c r="AB4932" s="18"/>
      <c r="AC4932" s="18"/>
    </row>
    <row r="4933" spans="1:29" ht="32.25" hidden="1" customHeight="1">
      <c r="A4933" s="17"/>
      <c r="B4933" s="9" t="s">
        <v>13284</v>
      </c>
      <c r="C4933" s="9" t="s">
        <v>13284</v>
      </c>
      <c r="D4933" s="9" t="s">
        <v>13284</v>
      </c>
      <c r="E4933" s="9" t="s">
        <v>13284</v>
      </c>
      <c r="F4933" s="9" t="s">
        <v>13284</v>
      </c>
      <c r="G4933" s="9" t="s">
        <v>13284</v>
      </c>
      <c r="H4933" s="9" t="s">
        <v>13284</v>
      </c>
      <c r="I4933" s="9" t="s">
        <v>13284</v>
      </c>
      <c r="J4933" s="9" t="s">
        <v>13284</v>
      </c>
      <c r="K4933" s="9" t="s">
        <v>13284</v>
      </c>
      <c r="L4933" s="9" t="s">
        <v>13284</v>
      </c>
      <c r="M4933" s="9" t="s">
        <v>13284</v>
      </c>
      <c r="N4933" s="9" t="s">
        <v>13284</v>
      </c>
      <c r="O4933" s="9" t="s">
        <v>13284</v>
      </c>
      <c r="P4933" s="9" t="s">
        <v>13284</v>
      </c>
      <c r="Q4933" s="9" t="s">
        <v>13284</v>
      </c>
      <c r="R4933" s="9" t="s">
        <v>13284</v>
      </c>
      <c r="S4933" s="9" t="s">
        <v>13284</v>
      </c>
      <c r="T4933" s="9" t="str">
        <f ca="1">IFERROR(IF(AND(VLOOKUP(A4933, 'Актуальное состояние (из общего'!A:C,3,0) = "", A4933 &lt;&gt; ""), "ПРОВЕРИТЬ", VLOOKUP(A4933, 'Актуальное состояние (из общего'!A:C,3,0)), "")</f>
        <v/>
      </c>
      <c r="U4933" s="9" t="s">
        <v>13284</v>
      </c>
      <c r="V4933" s="9" t="s">
        <v>13284</v>
      </c>
      <c r="W4933" s="12"/>
      <c r="X4933" s="9" t="str">
        <f t="array" ref="X4933">IFERROR(INDEX('Адреса общежитий (скрытый)'!$B$2:$B$9, MATCH(W4933, 'Адреса общежитий (скрытый)'!$A$2:$A$9, 0)), "")</f>
        <v/>
      </c>
      <c r="Y4933" s="18"/>
      <c r="Z4933" s="18"/>
      <c r="AA4933" s="18"/>
      <c r="AB4933" s="18"/>
      <c r="AC4933" s="18"/>
    </row>
    <row r="4934" spans="1:29" ht="32.25" hidden="1" customHeight="1">
      <c r="A4934" s="17"/>
      <c r="B4934" s="9" t="s">
        <v>13284</v>
      </c>
      <c r="C4934" s="9" t="s">
        <v>13284</v>
      </c>
      <c r="D4934" s="9" t="s">
        <v>13284</v>
      </c>
      <c r="E4934" s="9" t="s">
        <v>13284</v>
      </c>
      <c r="F4934" s="9" t="s">
        <v>13284</v>
      </c>
      <c r="G4934" s="9" t="s">
        <v>13284</v>
      </c>
      <c r="H4934" s="9" t="s">
        <v>13284</v>
      </c>
      <c r="I4934" s="9" t="s">
        <v>13284</v>
      </c>
      <c r="J4934" s="9" t="s">
        <v>13284</v>
      </c>
      <c r="K4934" s="9" t="s">
        <v>13284</v>
      </c>
      <c r="L4934" s="9" t="s">
        <v>13284</v>
      </c>
      <c r="M4934" s="9" t="s">
        <v>13284</v>
      </c>
      <c r="N4934" s="9" t="s">
        <v>13284</v>
      </c>
      <c r="O4934" s="9" t="s">
        <v>13284</v>
      </c>
      <c r="P4934" s="9" t="s">
        <v>13284</v>
      </c>
      <c r="Q4934" s="9" t="s">
        <v>13284</v>
      </c>
      <c r="R4934" s="9" t="s">
        <v>13284</v>
      </c>
      <c r="S4934" s="9" t="s">
        <v>13284</v>
      </c>
      <c r="T4934" s="9" t="str">
        <f ca="1">IFERROR(IF(AND(VLOOKUP(A4934, 'Актуальное состояние (из общего'!A:C,3,0) = "", A4934 &lt;&gt; ""), "ПРОВЕРИТЬ", VLOOKUP(A4934, 'Актуальное состояние (из общего'!A:C,3,0)), "")</f>
        <v/>
      </c>
      <c r="U4934" s="9" t="s">
        <v>13284</v>
      </c>
      <c r="V4934" s="9" t="s">
        <v>13284</v>
      </c>
      <c r="W4934" s="12"/>
      <c r="X4934" s="9" t="str">
        <f t="array" ref="X4934">IFERROR(INDEX('Адреса общежитий (скрытый)'!$B$2:$B$9, MATCH(W4934, 'Адреса общежитий (скрытый)'!$A$2:$A$9, 0)), "")</f>
        <v/>
      </c>
      <c r="Y4934" s="18"/>
      <c r="Z4934" s="18"/>
      <c r="AA4934" s="18"/>
      <c r="AB4934" s="18"/>
      <c r="AC4934" s="18"/>
    </row>
    <row r="4935" spans="1:29" ht="32.25" hidden="1" customHeight="1">
      <c r="A4935" s="17"/>
      <c r="B4935" s="9" t="s">
        <v>13284</v>
      </c>
      <c r="C4935" s="9" t="s">
        <v>13284</v>
      </c>
      <c r="D4935" s="9" t="s">
        <v>13284</v>
      </c>
      <c r="E4935" s="9" t="s">
        <v>13284</v>
      </c>
      <c r="F4935" s="9" t="s">
        <v>13284</v>
      </c>
      <c r="G4935" s="9" t="s">
        <v>13284</v>
      </c>
      <c r="H4935" s="9" t="s">
        <v>13284</v>
      </c>
      <c r="I4935" s="9" t="s">
        <v>13284</v>
      </c>
      <c r="J4935" s="9" t="s">
        <v>13284</v>
      </c>
      <c r="K4935" s="9" t="s">
        <v>13284</v>
      </c>
      <c r="L4935" s="9" t="s">
        <v>13284</v>
      </c>
      <c r="M4935" s="9" t="s">
        <v>13284</v>
      </c>
      <c r="N4935" s="9" t="s">
        <v>13284</v>
      </c>
      <c r="O4935" s="9" t="s">
        <v>13284</v>
      </c>
      <c r="P4935" s="9" t="s">
        <v>13284</v>
      </c>
      <c r="Q4935" s="9" t="s">
        <v>13284</v>
      </c>
      <c r="R4935" s="9" t="s">
        <v>13284</v>
      </c>
      <c r="S4935" s="9" t="s">
        <v>13284</v>
      </c>
      <c r="T4935" s="9" t="str">
        <f ca="1">IFERROR(IF(AND(VLOOKUP(A4935, 'Актуальное состояние (из общего'!A:C,3,0) = "", A4935 &lt;&gt; ""), "ПРОВЕРИТЬ", VLOOKUP(A4935, 'Актуальное состояние (из общего'!A:C,3,0)), "")</f>
        <v/>
      </c>
      <c r="U4935" s="9" t="s">
        <v>13284</v>
      </c>
      <c r="V4935" s="9" t="s">
        <v>13284</v>
      </c>
      <c r="W4935" s="12"/>
      <c r="X4935" s="9" t="str">
        <f t="array" ref="X4935">IFERROR(INDEX('Адреса общежитий (скрытый)'!$B$2:$B$9, MATCH(W4935, 'Адреса общежитий (скрытый)'!$A$2:$A$9, 0)), "")</f>
        <v/>
      </c>
      <c r="Y4935" s="18"/>
      <c r="Z4935" s="18"/>
      <c r="AA4935" s="18"/>
      <c r="AB4935" s="18"/>
      <c r="AC4935" s="18"/>
    </row>
    <row r="4936" spans="1:29" ht="32.25" hidden="1" customHeight="1">
      <c r="A4936" s="17"/>
      <c r="B4936" s="9" t="s">
        <v>13284</v>
      </c>
      <c r="C4936" s="9" t="s">
        <v>13284</v>
      </c>
      <c r="D4936" s="9" t="s">
        <v>13284</v>
      </c>
      <c r="E4936" s="9" t="s">
        <v>13284</v>
      </c>
      <c r="F4936" s="9" t="s">
        <v>13284</v>
      </c>
      <c r="G4936" s="9" t="s">
        <v>13284</v>
      </c>
      <c r="H4936" s="9" t="s">
        <v>13284</v>
      </c>
      <c r="I4936" s="9" t="s">
        <v>13284</v>
      </c>
      <c r="J4936" s="9" t="s">
        <v>13284</v>
      </c>
      <c r="K4936" s="9" t="s">
        <v>13284</v>
      </c>
      <c r="L4936" s="9" t="s">
        <v>13284</v>
      </c>
      <c r="M4936" s="9" t="s">
        <v>13284</v>
      </c>
      <c r="N4936" s="9" t="s">
        <v>13284</v>
      </c>
      <c r="O4936" s="9" t="s">
        <v>13284</v>
      </c>
      <c r="P4936" s="9" t="s">
        <v>13284</v>
      </c>
      <c r="Q4936" s="9" t="s">
        <v>13284</v>
      </c>
      <c r="R4936" s="9" t="s">
        <v>13284</v>
      </c>
      <c r="S4936" s="9" t="s">
        <v>13284</v>
      </c>
      <c r="T4936" s="9" t="str">
        <f ca="1">IFERROR(IF(AND(VLOOKUP(A4936, 'Актуальное состояние (из общего'!A:C,3,0) = "", A4936 &lt;&gt; ""), "ПРОВЕРИТЬ", VLOOKUP(A4936, 'Актуальное состояние (из общего'!A:C,3,0)), "")</f>
        <v/>
      </c>
      <c r="U4936" s="9" t="s">
        <v>13284</v>
      </c>
      <c r="V4936" s="9" t="s">
        <v>13284</v>
      </c>
      <c r="W4936" s="12"/>
      <c r="X4936" s="9" t="str">
        <f t="array" ref="X4936">IFERROR(INDEX('Адреса общежитий (скрытый)'!$B$2:$B$9, MATCH(W4936, 'Адреса общежитий (скрытый)'!$A$2:$A$9, 0)), "")</f>
        <v/>
      </c>
      <c r="Y4936" s="18"/>
      <c r="Z4936" s="18"/>
      <c r="AA4936" s="18"/>
      <c r="AB4936" s="18"/>
      <c r="AC4936" s="18"/>
    </row>
    <row r="4937" spans="1:29" ht="32.25" hidden="1" customHeight="1">
      <c r="A4937" s="17"/>
      <c r="B4937" s="9" t="s">
        <v>13284</v>
      </c>
      <c r="C4937" s="9" t="s">
        <v>13284</v>
      </c>
      <c r="D4937" s="9" t="s">
        <v>13284</v>
      </c>
      <c r="E4937" s="9" t="s">
        <v>13284</v>
      </c>
      <c r="F4937" s="9" t="s">
        <v>13284</v>
      </c>
      <c r="G4937" s="9" t="s">
        <v>13284</v>
      </c>
      <c r="H4937" s="9" t="s">
        <v>13284</v>
      </c>
      <c r="I4937" s="9" t="s">
        <v>13284</v>
      </c>
      <c r="J4937" s="9" t="s">
        <v>13284</v>
      </c>
      <c r="K4937" s="9" t="s">
        <v>13284</v>
      </c>
      <c r="L4937" s="9" t="s">
        <v>13284</v>
      </c>
      <c r="M4937" s="9" t="s">
        <v>13284</v>
      </c>
      <c r="N4937" s="9" t="s">
        <v>13284</v>
      </c>
      <c r="O4937" s="9" t="s">
        <v>13284</v>
      </c>
      <c r="P4937" s="9" t="s">
        <v>13284</v>
      </c>
      <c r="Q4937" s="9" t="s">
        <v>13284</v>
      </c>
      <c r="R4937" s="9" t="s">
        <v>13284</v>
      </c>
      <c r="S4937" s="9" t="s">
        <v>13284</v>
      </c>
      <c r="T4937" s="9" t="str">
        <f ca="1">IFERROR(IF(AND(VLOOKUP(A4937, 'Актуальное состояние (из общего'!A:C,3,0) = "", A4937 &lt;&gt; ""), "ПРОВЕРИТЬ", VLOOKUP(A4937, 'Актуальное состояние (из общего'!A:C,3,0)), "")</f>
        <v/>
      </c>
      <c r="U4937" s="9" t="s">
        <v>13284</v>
      </c>
      <c r="V4937" s="9" t="s">
        <v>13284</v>
      </c>
      <c r="W4937" s="12"/>
      <c r="X4937" s="9" t="str">
        <f t="array" ref="X4937">IFERROR(INDEX('Адреса общежитий (скрытый)'!$B$2:$B$9, MATCH(W4937, 'Адреса общежитий (скрытый)'!$A$2:$A$9, 0)), "")</f>
        <v/>
      </c>
      <c r="Y4937" s="18"/>
      <c r="Z4937" s="18"/>
      <c r="AA4937" s="18"/>
      <c r="AB4937" s="18"/>
      <c r="AC4937" s="18"/>
    </row>
    <row r="4938" spans="1:29" ht="32.25" hidden="1" customHeight="1">
      <c r="A4938" s="17"/>
      <c r="B4938" s="9" t="s">
        <v>13284</v>
      </c>
      <c r="C4938" s="9" t="s">
        <v>13284</v>
      </c>
      <c r="D4938" s="9" t="s">
        <v>13284</v>
      </c>
      <c r="E4938" s="9" t="s">
        <v>13284</v>
      </c>
      <c r="F4938" s="9" t="s">
        <v>13284</v>
      </c>
      <c r="G4938" s="9" t="s">
        <v>13284</v>
      </c>
      <c r="H4938" s="9" t="s">
        <v>13284</v>
      </c>
      <c r="I4938" s="9" t="s">
        <v>13284</v>
      </c>
      <c r="J4938" s="9" t="s">
        <v>13284</v>
      </c>
      <c r="K4938" s="9" t="s">
        <v>13284</v>
      </c>
      <c r="L4938" s="9" t="s">
        <v>13284</v>
      </c>
      <c r="M4938" s="9" t="s">
        <v>13284</v>
      </c>
      <c r="N4938" s="9" t="s">
        <v>13284</v>
      </c>
      <c r="O4938" s="9" t="s">
        <v>13284</v>
      </c>
      <c r="P4938" s="9" t="s">
        <v>13284</v>
      </c>
      <c r="Q4938" s="9" t="s">
        <v>13284</v>
      </c>
      <c r="R4938" s="9" t="s">
        <v>13284</v>
      </c>
      <c r="S4938" s="9" t="s">
        <v>13284</v>
      </c>
      <c r="T4938" s="9" t="str">
        <f ca="1">IFERROR(IF(AND(VLOOKUP(A4938, 'Актуальное состояние (из общего'!A:C,3,0) = "", A4938 &lt;&gt; ""), "ПРОВЕРИТЬ", VLOOKUP(A4938, 'Актуальное состояние (из общего'!A:C,3,0)), "")</f>
        <v/>
      </c>
      <c r="U4938" s="9" t="s">
        <v>13284</v>
      </c>
      <c r="V4938" s="9" t="s">
        <v>13284</v>
      </c>
      <c r="W4938" s="12"/>
      <c r="X4938" s="9" t="str">
        <f t="array" ref="X4938">IFERROR(INDEX('Адреса общежитий (скрытый)'!$B$2:$B$9, MATCH(W4938, 'Адреса общежитий (скрытый)'!$A$2:$A$9, 0)), "")</f>
        <v/>
      </c>
      <c r="Y4938" s="18"/>
      <c r="Z4938" s="18"/>
      <c r="AA4938" s="18"/>
      <c r="AB4938" s="18"/>
      <c r="AC4938" s="18"/>
    </row>
    <row r="4939" spans="1:29" ht="32.25" hidden="1" customHeight="1">
      <c r="A4939" s="17"/>
      <c r="B4939" s="9" t="s">
        <v>13284</v>
      </c>
      <c r="C4939" s="9" t="s">
        <v>13284</v>
      </c>
      <c r="D4939" s="9" t="s">
        <v>13284</v>
      </c>
      <c r="E4939" s="9" t="s">
        <v>13284</v>
      </c>
      <c r="F4939" s="9" t="s">
        <v>13284</v>
      </c>
      <c r="G4939" s="9" t="s">
        <v>13284</v>
      </c>
      <c r="H4939" s="9" t="s">
        <v>13284</v>
      </c>
      <c r="I4939" s="9" t="s">
        <v>13284</v>
      </c>
      <c r="J4939" s="9" t="s">
        <v>13284</v>
      </c>
      <c r="K4939" s="9" t="s">
        <v>13284</v>
      </c>
      <c r="L4939" s="9" t="s">
        <v>13284</v>
      </c>
      <c r="M4939" s="9" t="s">
        <v>13284</v>
      </c>
      <c r="N4939" s="9" t="s">
        <v>13284</v>
      </c>
      <c r="O4939" s="9" t="s">
        <v>13284</v>
      </c>
      <c r="P4939" s="9" t="s">
        <v>13284</v>
      </c>
      <c r="Q4939" s="9" t="s">
        <v>13284</v>
      </c>
      <c r="R4939" s="9" t="s">
        <v>13284</v>
      </c>
      <c r="S4939" s="9" t="s">
        <v>13284</v>
      </c>
      <c r="T4939" s="9" t="str">
        <f ca="1">IFERROR(IF(AND(VLOOKUP(A4939, 'Актуальное состояние (из общего'!A:C,3,0) = "", A4939 &lt;&gt; ""), "ПРОВЕРИТЬ", VLOOKUP(A4939, 'Актуальное состояние (из общего'!A:C,3,0)), "")</f>
        <v/>
      </c>
      <c r="U4939" s="9" t="s">
        <v>13284</v>
      </c>
      <c r="V4939" s="9" t="s">
        <v>13284</v>
      </c>
      <c r="W4939" s="12"/>
      <c r="X4939" s="9" t="str">
        <f t="array" ref="X4939">IFERROR(INDEX('Адреса общежитий (скрытый)'!$B$2:$B$9, MATCH(W4939, 'Адреса общежитий (скрытый)'!$A$2:$A$9, 0)), "")</f>
        <v/>
      </c>
      <c r="Y4939" s="18"/>
      <c r="Z4939" s="18"/>
      <c r="AA4939" s="18"/>
      <c r="AB4939" s="18"/>
      <c r="AC4939" s="18"/>
    </row>
    <row r="4940" spans="1:29" ht="32.25" hidden="1" customHeight="1">
      <c r="A4940" s="17"/>
      <c r="B4940" s="9" t="s">
        <v>13284</v>
      </c>
      <c r="C4940" s="9" t="s">
        <v>13284</v>
      </c>
      <c r="D4940" s="9" t="s">
        <v>13284</v>
      </c>
      <c r="E4940" s="9" t="s">
        <v>13284</v>
      </c>
      <c r="F4940" s="9" t="s">
        <v>13284</v>
      </c>
      <c r="G4940" s="9" t="s">
        <v>13284</v>
      </c>
      <c r="H4940" s="9" t="s">
        <v>13284</v>
      </c>
      <c r="I4940" s="9" t="s">
        <v>13284</v>
      </c>
      <c r="J4940" s="9" t="s">
        <v>13284</v>
      </c>
      <c r="K4940" s="9" t="s">
        <v>13284</v>
      </c>
      <c r="L4940" s="9" t="s">
        <v>13284</v>
      </c>
      <c r="M4940" s="9" t="s">
        <v>13284</v>
      </c>
      <c r="N4940" s="9" t="s">
        <v>13284</v>
      </c>
      <c r="O4940" s="9" t="s">
        <v>13284</v>
      </c>
      <c r="P4940" s="9" t="s">
        <v>13284</v>
      </c>
      <c r="Q4940" s="9" t="s">
        <v>13284</v>
      </c>
      <c r="R4940" s="9" t="s">
        <v>13284</v>
      </c>
      <c r="S4940" s="9" t="s">
        <v>13284</v>
      </c>
      <c r="T4940" s="9" t="str">
        <f ca="1">IFERROR(IF(AND(VLOOKUP(A4940, 'Актуальное состояние (из общего'!A:C,3,0) = "", A4940 &lt;&gt; ""), "ПРОВЕРИТЬ", VLOOKUP(A4940, 'Актуальное состояние (из общего'!A:C,3,0)), "")</f>
        <v/>
      </c>
      <c r="U4940" s="9" t="s">
        <v>13284</v>
      </c>
      <c r="V4940" s="9" t="s">
        <v>13284</v>
      </c>
      <c r="W4940" s="12"/>
      <c r="X4940" s="9" t="str">
        <f t="array" ref="X4940">IFERROR(INDEX('Адреса общежитий (скрытый)'!$B$2:$B$9, MATCH(W4940, 'Адреса общежитий (скрытый)'!$A$2:$A$9, 0)), "")</f>
        <v/>
      </c>
      <c r="Y4940" s="18"/>
      <c r="Z4940" s="18"/>
      <c r="AA4940" s="18"/>
      <c r="AB4940" s="18"/>
      <c r="AC4940" s="18"/>
    </row>
    <row r="4941" spans="1:29" ht="32.25" hidden="1" customHeight="1">
      <c r="A4941" s="17"/>
      <c r="B4941" s="9" t="s">
        <v>13284</v>
      </c>
      <c r="C4941" s="9" t="s">
        <v>13284</v>
      </c>
      <c r="D4941" s="9" t="s">
        <v>13284</v>
      </c>
      <c r="E4941" s="9" t="s">
        <v>13284</v>
      </c>
      <c r="F4941" s="9" t="s">
        <v>13284</v>
      </c>
      <c r="G4941" s="9" t="s">
        <v>13284</v>
      </c>
      <c r="H4941" s="9" t="s">
        <v>13284</v>
      </c>
      <c r="I4941" s="9" t="s">
        <v>13284</v>
      </c>
      <c r="J4941" s="9" t="s">
        <v>13284</v>
      </c>
      <c r="K4941" s="9" t="s">
        <v>13284</v>
      </c>
      <c r="L4941" s="9" t="s">
        <v>13284</v>
      </c>
      <c r="M4941" s="9" t="s">
        <v>13284</v>
      </c>
      <c r="N4941" s="9" t="s">
        <v>13284</v>
      </c>
      <c r="O4941" s="9" t="s">
        <v>13284</v>
      </c>
      <c r="P4941" s="9" t="s">
        <v>13284</v>
      </c>
      <c r="Q4941" s="9" t="s">
        <v>13284</v>
      </c>
      <c r="R4941" s="9" t="s">
        <v>13284</v>
      </c>
      <c r="S4941" s="9" t="s">
        <v>13284</v>
      </c>
      <c r="T4941" s="9" t="str">
        <f ca="1">IFERROR(IF(AND(VLOOKUP(A4941, 'Актуальное состояние (из общего'!A:C,3,0) = "", A4941 &lt;&gt; ""), "ПРОВЕРИТЬ", VLOOKUP(A4941, 'Актуальное состояние (из общего'!A:C,3,0)), "")</f>
        <v/>
      </c>
      <c r="U4941" s="9" t="s">
        <v>13284</v>
      </c>
      <c r="V4941" s="9" t="s">
        <v>13284</v>
      </c>
      <c r="W4941" s="12"/>
      <c r="X4941" s="9" t="str">
        <f t="array" ref="X4941">IFERROR(INDEX('Адреса общежитий (скрытый)'!$B$2:$B$9, MATCH(W4941, 'Адреса общежитий (скрытый)'!$A$2:$A$9, 0)), "")</f>
        <v/>
      </c>
      <c r="Y4941" s="18"/>
      <c r="Z4941" s="18"/>
      <c r="AA4941" s="18"/>
      <c r="AB4941" s="18"/>
      <c r="AC4941" s="18"/>
    </row>
    <row r="4942" spans="1:29" ht="32.25" hidden="1" customHeight="1">
      <c r="A4942" s="17"/>
      <c r="B4942" s="9" t="s">
        <v>13284</v>
      </c>
      <c r="C4942" s="9" t="s">
        <v>13284</v>
      </c>
      <c r="D4942" s="9" t="s">
        <v>13284</v>
      </c>
      <c r="E4942" s="9" t="s">
        <v>13284</v>
      </c>
      <c r="F4942" s="9" t="s">
        <v>13284</v>
      </c>
      <c r="G4942" s="9" t="s">
        <v>13284</v>
      </c>
      <c r="H4942" s="9" t="s">
        <v>13284</v>
      </c>
      <c r="I4942" s="9" t="s">
        <v>13284</v>
      </c>
      <c r="J4942" s="9" t="s">
        <v>13284</v>
      </c>
      <c r="K4942" s="9" t="s">
        <v>13284</v>
      </c>
      <c r="L4942" s="9" t="s">
        <v>13284</v>
      </c>
      <c r="M4942" s="9" t="s">
        <v>13284</v>
      </c>
      <c r="N4942" s="9" t="s">
        <v>13284</v>
      </c>
      <c r="O4942" s="9" t="s">
        <v>13284</v>
      </c>
      <c r="P4942" s="9" t="s">
        <v>13284</v>
      </c>
      <c r="Q4942" s="9" t="s">
        <v>13284</v>
      </c>
      <c r="R4942" s="9" t="s">
        <v>13284</v>
      </c>
      <c r="S4942" s="9" t="s">
        <v>13284</v>
      </c>
      <c r="T4942" s="9" t="str">
        <f ca="1">IFERROR(IF(AND(VLOOKUP(A4942, 'Актуальное состояние (из общего'!A:C,3,0) = "", A4942 &lt;&gt; ""), "ПРОВЕРИТЬ", VLOOKUP(A4942, 'Актуальное состояние (из общего'!A:C,3,0)), "")</f>
        <v/>
      </c>
      <c r="U4942" s="9" t="s">
        <v>13284</v>
      </c>
      <c r="V4942" s="9" t="s">
        <v>13284</v>
      </c>
      <c r="W4942" s="12"/>
      <c r="X4942" s="9" t="str">
        <f t="array" ref="X4942">IFERROR(INDEX('Адреса общежитий (скрытый)'!$B$2:$B$9, MATCH(W4942, 'Адреса общежитий (скрытый)'!$A$2:$A$9, 0)), "")</f>
        <v/>
      </c>
      <c r="Y4942" s="18"/>
      <c r="Z4942" s="18"/>
      <c r="AA4942" s="18"/>
      <c r="AB4942" s="18"/>
      <c r="AC4942" s="18"/>
    </row>
    <row r="4943" spans="1:29" ht="32.25" hidden="1" customHeight="1">
      <c r="A4943" s="17"/>
      <c r="B4943" s="9" t="s">
        <v>13284</v>
      </c>
      <c r="C4943" s="9" t="s">
        <v>13284</v>
      </c>
      <c r="D4943" s="9" t="s">
        <v>13284</v>
      </c>
      <c r="E4943" s="9" t="s">
        <v>13284</v>
      </c>
      <c r="F4943" s="9" t="s">
        <v>13284</v>
      </c>
      <c r="G4943" s="9" t="s">
        <v>13284</v>
      </c>
      <c r="H4943" s="9" t="s">
        <v>13284</v>
      </c>
      <c r="I4943" s="9" t="s">
        <v>13284</v>
      </c>
      <c r="J4943" s="9" t="s">
        <v>13284</v>
      </c>
      <c r="K4943" s="9" t="s">
        <v>13284</v>
      </c>
      <c r="L4943" s="9" t="s">
        <v>13284</v>
      </c>
      <c r="M4943" s="9" t="s">
        <v>13284</v>
      </c>
      <c r="N4943" s="9" t="s">
        <v>13284</v>
      </c>
      <c r="O4943" s="9" t="s">
        <v>13284</v>
      </c>
      <c r="P4943" s="9" t="s">
        <v>13284</v>
      </c>
      <c r="Q4943" s="9" t="s">
        <v>13284</v>
      </c>
      <c r="R4943" s="9" t="s">
        <v>13284</v>
      </c>
      <c r="S4943" s="9" t="s">
        <v>13284</v>
      </c>
      <c r="T4943" s="9" t="str">
        <f ca="1">IFERROR(IF(AND(VLOOKUP(A4943, 'Актуальное состояние (из общего'!A:C,3,0) = "", A4943 &lt;&gt; ""), "ПРОВЕРИТЬ", VLOOKUP(A4943, 'Актуальное состояние (из общего'!A:C,3,0)), "")</f>
        <v/>
      </c>
      <c r="U4943" s="9" t="s">
        <v>13284</v>
      </c>
      <c r="V4943" s="9" t="s">
        <v>13284</v>
      </c>
      <c r="W4943" s="12"/>
      <c r="X4943" s="9" t="str">
        <f t="array" ref="X4943">IFERROR(INDEX('Адреса общежитий (скрытый)'!$B$2:$B$9, MATCH(W4943, 'Адреса общежитий (скрытый)'!$A$2:$A$9, 0)), "")</f>
        <v/>
      </c>
      <c r="Y4943" s="18"/>
      <c r="Z4943" s="18"/>
      <c r="AA4943" s="18"/>
      <c r="AB4943" s="18"/>
      <c r="AC4943" s="18"/>
    </row>
    <row r="4944" spans="1:29" ht="32.25" hidden="1" customHeight="1">
      <c r="A4944" s="17"/>
      <c r="B4944" s="9" t="s">
        <v>13284</v>
      </c>
      <c r="C4944" s="9" t="s">
        <v>13284</v>
      </c>
      <c r="D4944" s="9" t="s">
        <v>13284</v>
      </c>
      <c r="E4944" s="9" t="s">
        <v>13284</v>
      </c>
      <c r="F4944" s="9" t="s">
        <v>13284</v>
      </c>
      <c r="G4944" s="9" t="s">
        <v>13284</v>
      </c>
      <c r="H4944" s="9" t="s">
        <v>13284</v>
      </c>
      <c r="I4944" s="9" t="s">
        <v>13284</v>
      </c>
      <c r="J4944" s="9" t="s">
        <v>13284</v>
      </c>
      <c r="K4944" s="9" t="s">
        <v>13284</v>
      </c>
      <c r="L4944" s="9" t="s">
        <v>13284</v>
      </c>
      <c r="M4944" s="9" t="s">
        <v>13284</v>
      </c>
      <c r="N4944" s="9" t="s">
        <v>13284</v>
      </c>
      <c r="O4944" s="9" t="s">
        <v>13284</v>
      </c>
      <c r="P4944" s="9" t="s">
        <v>13284</v>
      </c>
      <c r="Q4944" s="9" t="s">
        <v>13284</v>
      </c>
      <c r="R4944" s="9" t="s">
        <v>13284</v>
      </c>
      <c r="S4944" s="9" t="s">
        <v>13284</v>
      </c>
      <c r="T4944" s="9" t="str">
        <f ca="1">IFERROR(IF(AND(VLOOKUP(A4944, 'Актуальное состояние (из общего'!A:C,3,0) = "", A4944 &lt;&gt; ""), "ПРОВЕРИТЬ", VLOOKUP(A4944, 'Актуальное состояние (из общего'!A:C,3,0)), "")</f>
        <v/>
      </c>
      <c r="U4944" s="9" t="s">
        <v>13284</v>
      </c>
      <c r="V4944" s="9" t="s">
        <v>13284</v>
      </c>
      <c r="W4944" s="12"/>
      <c r="X4944" s="9" t="str">
        <f t="array" ref="X4944">IFERROR(INDEX('Адреса общежитий (скрытый)'!$B$2:$B$9, MATCH(W4944, 'Адреса общежитий (скрытый)'!$A$2:$A$9, 0)), "")</f>
        <v/>
      </c>
      <c r="Y4944" s="18"/>
      <c r="Z4944" s="18"/>
      <c r="AA4944" s="18"/>
      <c r="AB4944" s="18"/>
      <c r="AC4944" s="18"/>
    </row>
    <row r="4945" spans="1:29" ht="32.25" hidden="1" customHeight="1">
      <c r="A4945" s="17"/>
      <c r="B4945" s="9" t="s">
        <v>13284</v>
      </c>
      <c r="C4945" s="9" t="s">
        <v>13284</v>
      </c>
      <c r="D4945" s="9" t="s">
        <v>13284</v>
      </c>
      <c r="E4945" s="9" t="s">
        <v>13284</v>
      </c>
      <c r="F4945" s="9" t="s">
        <v>13284</v>
      </c>
      <c r="G4945" s="9" t="s">
        <v>13284</v>
      </c>
      <c r="H4945" s="9" t="s">
        <v>13284</v>
      </c>
      <c r="I4945" s="9" t="s">
        <v>13284</v>
      </c>
      <c r="J4945" s="9" t="s">
        <v>13284</v>
      </c>
      <c r="K4945" s="9" t="s">
        <v>13284</v>
      </c>
      <c r="L4945" s="9" t="s">
        <v>13284</v>
      </c>
      <c r="M4945" s="9" t="s">
        <v>13284</v>
      </c>
      <c r="N4945" s="9" t="s">
        <v>13284</v>
      </c>
      <c r="O4945" s="9" t="s">
        <v>13284</v>
      </c>
      <c r="P4945" s="9" t="s">
        <v>13284</v>
      </c>
      <c r="Q4945" s="9" t="s">
        <v>13284</v>
      </c>
      <c r="R4945" s="9" t="s">
        <v>13284</v>
      </c>
      <c r="S4945" s="9" t="s">
        <v>13284</v>
      </c>
      <c r="T4945" s="9" t="str">
        <f ca="1">IFERROR(IF(AND(VLOOKUP(A4945, 'Актуальное состояние (из общего'!A:C,3,0) = "", A4945 &lt;&gt; ""), "ПРОВЕРИТЬ", VLOOKUP(A4945, 'Актуальное состояние (из общего'!A:C,3,0)), "")</f>
        <v/>
      </c>
      <c r="U4945" s="9" t="s">
        <v>13284</v>
      </c>
      <c r="V4945" s="9" t="s">
        <v>13284</v>
      </c>
      <c r="W4945" s="12"/>
      <c r="X4945" s="9" t="str">
        <f t="array" ref="X4945">IFERROR(INDEX('Адреса общежитий (скрытый)'!$B$2:$B$9, MATCH(W4945, 'Адреса общежитий (скрытый)'!$A$2:$A$9, 0)), "")</f>
        <v/>
      </c>
      <c r="Y4945" s="18"/>
      <c r="Z4945" s="18"/>
      <c r="AA4945" s="18"/>
      <c r="AB4945" s="18"/>
      <c r="AC4945" s="18"/>
    </row>
    <row r="4946" spans="1:29" ht="32.25" hidden="1" customHeight="1">
      <c r="A4946" s="17"/>
      <c r="B4946" s="9" t="s">
        <v>13284</v>
      </c>
      <c r="C4946" s="9" t="s">
        <v>13284</v>
      </c>
      <c r="D4946" s="9" t="s">
        <v>13284</v>
      </c>
      <c r="E4946" s="9" t="s">
        <v>13284</v>
      </c>
      <c r="F4946" s="9" t="s">
        <v>13284</v>
      </c>
      <c r="G4946" s="9" t="s">
        <v>13284</v>
      </c>
      <c r="H4946" s="9" t="s">
        <v>13284</v>
      </c>
      <c r="I4946" s="9" t="s">
        <v>13284</v>
      </c>
      <c r="J4946" s="9" t="s">
        <v>13284</v>
      </c>
      <c r="K4946" s="9" t="s">
        <v>13284</v>
      </c>
      <c r="L4946" s="9" t="s">
        <v>13284</v>
      </c>
      <c r="M4946" s="9" t="s">
        <v>13284</v>
      </c>
      <c r="N4946" s="9" t="s">
        <v>13284</v>
      </c>
      <c r="O4946" s="9" t="s">
        <v>13284</v>
      </c>
      <c r="P4946" s="9" t="s">
        <v>13284</v>
      </c>
      <c r="Q4946" s="9" t="s">
        <v>13284</v>
      </c>
      <c r="R4946" s="9" t="s">
        <v>13284</v>
      </c>
      <c r="S4946" s="9" t="s">
        <v>13284</v>
      </c>
      <c r="T4946" s="9" t="str">
        <f ca="1">IFERROR(IF(AND(VLOOKUP(A4946, 'Актуальное состояние (из общего'!A:C,3,0) = "", A4946 &lt;&gt; ""), "ПРОВЕРИТЬ", VLOOKUP(A4946, 'Актуальное состояние (из общего'!A:C,3,0)), "")</f>
        <v/>
      </c>
      <c r="U4946" s="9" t="s">
        <v>13284</v>
      </c>
      <c r="V4946" s="9" t="s">
        <v>13284</v>
      </c>
      <c r="W4946" s="12"/>
      <c r="X4946" s="9" t="str">
        <f t="array" ref="X4946">IFERROR(INDEX('Адреса общежитий (скрытый)'!$B$2:$B$9, MATCH(W4946, 'Адреса общежитий (скрытый)'!$A$2:$A$9, 0)), "")</f>
        <v/>
      </c>
      <c r="Y4946" s="18"/>
      <c r="Z4946" s="18"/>
      <c r="AA4946" s="18"/>
      <c r="AB4946" s="18"/>
      <c r="AC4946" s="18"/>
    </row>
    <row r="4947" spans="1:29" ht="32.25" hidden="1" customHeight="1">
      <c r="A4947" s="17"/>
      <c r="B4947" s="9" t="s">
        <v>13284</v>
      </c>
      <c r="C4947" s="9" t="s">
        <v>13284</v>
      </c>
      <c r="D4947" s="9" t="s">
        <v>13284</v>
      </c>
      <c r="E4947" s="9" t="s">
        <v>13284</v>
      </c>
      <c r="F4947" s="9" t="s">
        <v>13284</v>
      </c>
      <c r="G4947" s="9" t="s">
        <v>13284</v>
      </c>
      <c r="H4947" s="9" t="s">
        <v>13284</v>
      </c>
      <c r="I4947" s="9" t="s">
        <v>13284</v>
      </c>
      <c r="J4947" s="9" t="s">
        <v>13284</v>
      </c>
      <c r="K4947" s="9" t="s">
        <v>13284</v>
      </c>
      <c r="L4947" s="9" t="s">
        <v>13284</v>
      </c>
      <c r="M4947" s="9" t="s">
        <v>13284</v>
      </c>
      <c r="N4947" s="9" t="s">
        <v>13284</v>
      </c>
      <c r="O4947" s="9" t="s">
        <v>13284</v>
      </c>
      <c r="P4947" s="9" t="s">
        <v>13284</v>
      </c>
      <c r="Q4947" s="9" t="s">
        <v>13284</v>
      </c>
      <c r="R4947" s="9" t="s">
        <v>13284</v>
      </c>
      <c r="S4947" s="9" t="s">
        <v>13284</v>
      </c>
      <c r="T4947" s="9" t="str">
        <f ca="1">IFERROR(IF(AND(VLOOKUP(A4947, 'Актуальное состояние (из общего'!A:C,3,0) = "", A4947 &lt;&gt; ""), "ПРОВЕРИТЬ", VLOOKUP(A4947, 'Актуальное состояние (из общего'!A:C,3,0)), "")</f>
        <v/>
      </c>
      <c r="U4947" s="9" t="s">
        <v>13284</v>
      </c>
      <c r="V4947" s="9" t="s">
        <v>13284</v>
      </c>
      <c r="W4947" s="12"/>
      <c r="X4947" s="9" t="str">
        <f t="array" ref="X4947">IFERROR(INDEX('Адреса общежитий (скрытый)'!$B$2:$B$9, MATCH(W4947, 'Адреса общежитий (скрытый)'!$A$2:$A$9, 0)), "")</f>
        <v/>
      </c>
      <c r="Y4947" s="18"/>
      <c r="Z4947" s="18"/>
      <c r="AA4947" s="18"/>
      <c r="AB4947" s="18"/>
      <c r="AC4947" s="18"/>
    </row>
    <row r="4948" spans="1:29" ht="32.25" hidden="1" customHeight="1">
      <c r="A4948" s="17"/>
      <c r="B4948" s="9" t="s">
        <v>13284</v>
      </c>
      <c r="C4948" s="9" t="s">
        <v>13284</v>
      </c>
      <c r="D4948" s="9" t="s">
        <v>13284</v>
      </c>
      <c r="E4948" s="9" t="s">
        <v>13284</v>
      </c>
      <c r="F4948" s="9" t="s">
        <v>13284</v>
      </c>
      <c r="G4948" s="9" t="s">
        <v>13284</v>
      </c>
      <c r="H4948" s="9" t="s">
        <v>13284</v>
      </c>
      <c r="I4948" s="9" t="s">
        <v>13284</v>
      </c>
      <c r="J4948" s="9" t="s">
        <v>13284</v>
      </c>
      <c r="K4948" s="9" t="s">
        <v>13284</v>
      </c>
      <c r="L4948" s="9" t="s">
        <v>13284</v>
      </c>
      <c r="M4948" s="9" t="s">
        <v>13284</v>
      </c>
      <c r="N4948" s="9" t="s">
        <v>13284</v>
      </c>
      <c r="O4948" s="9" t="s">
        <v>13284</v>
      </c>
      <c r="P4948" s="9" t="s">
        <v>13284</v>
      </c>
      <c r="Q4948" s="9" t="s">
        <v>13284</v>
      </c>
      <c r="R4948" s="9" t="s">
        <v>13284</v>
      </c>
      <c r="S4948" s="9" t="s">
        <v>13284</v>
      </c>
      <c r="T4948" s="9" t="str">
        <f ca="1">IFERROR(IF(AND(VLOOKUP(A4948, 'Актуальное состояние (из общего'!A:C,3,0) = "", A4948 &lt;&gt; ""), "ПРОВЕРИТЬ", VLOOKUP(A4948, 'Актуальное состояние (из общего'!A:C,3,0)), "")</f>
        <v/>
      </c>
      <c r="U4948" s="9" t="s">
        <v>13284</v>
      </c>
      <c r="V4948" s="9" t="s">
        <v>13284</v>
      </c>
      <c r="W4948" s="12"/>
      <c r="X4948" s="9" t="str">
        <f t="array" ref="X4948">IFERROR(INDEX('Адреса общежитий (скрытый)'!$B$2:$B$9, MATCH(W4948, 'Адреса общежитий (скрытый)'!$A$2:$A$9, 0)), "")</f>
        <v/>
      </c>
      <c r="Y4948" s="18"/>
      <c r="Z4948" s="18"/>
      <c r="AA4948" s="18"/>
      <c r="AB4948" s="18"/>
      <c r="AC4948" s="18"/>
    </row>
    <row r="4949" spans="1:29" ht="32.25" hidden="1" customHeight="1">
      <c r="A4949" s="17"/>
      <c r="B4949" s="9" t="s">
        <v>13284</v>
      </c>
      <c r="C4949" s="9" t="s">
        <v>13284</v>
      </c>
      <c r="D4949" s="9" t="s">
        <v>13284</v>
      </c>
      <c r="E4949" s="9" t="s">
        <v>13284</v>
      </c>
      <c r="F4949" s="9" t="s">
        <v>13284</v>
      </c>
      <c r="G4949" s="9" t="s">
        <v>13284</v>
      </c>
      <c r="H4949" s="9" t="s">
        <v>13284</v>
      </c>
      <c r="I4949" s="9" t="s">
        <v>13284</v>
      </c>
      <c r="J4949" s="9" t="s">
        <v>13284</v>
      </c>
      <c r="K4949" s="9" t="s">
        <v>13284</v>
      </c>
      <c r="L4949" s="9" t="s">
        <v>13284</v>
      </c>
      <c r="M4949" s="9" t="s">
        <v>13284</v>
      </c>
      <c r="N4949" s="9" t="s">
        <v>13284</v>
      </c>
      <c r="O4949" s="9" t="s">
        <v>13284</v>
      </c>
      <c r="P4949" s="9" t="s">
        <v>13284</v>
      </c>
      <c r="Q4949" s="9" t="s">
        <v>13284</v>
      </c>
      <c r="R4949" s="9" t="s">
        <v>13284</v>
      </c>
      <c r="S4949" s="9" t="s">
        <v>13284</v>
      </c>
      <c r="T4949" s="9" t="str">
        <f ca="1">IFERROR(IF(AND(VLOOKUP(A4949, 'Актуальное состояние (из общего'!A:C,3,0) = "", A4949 &lt;&gt; ""), "ПРОВЕРИТЬ", VLOOKUP(A4949, 'Актуальное состояние (из общего'!A:C,3,0)), "")</f>
        <v/>
      </c>
      <c r="U4949" s="9" t="s">
        <v>13284</v>
      </c>
      <c r="V4949" s="9" t="s">
        <v>13284</v>
      </c>
      <c r="W4949" s="12"/>
      <c r="X4949" s="9" t="str">
        <f t="array" ref="X4949">IFERROR(INDEX('Адреса общежитий (скрытый)'!$B$2:$B$9, MATCH(W4949, 'Адреса общежитий (скрытый)'!$A$2:$A$9, 0)), "")</f>
        <v/>
      </c>
      <c r="Y4949" s="18"/>
      <c r="Z4949" s="18"/>
      <c r="AA4949" s="18"/>
      <c r="AB4949" s="18"/>
      <c r="AC4949" s="18"/>
    </row>
    <row r="4950" spans="1:29" ht="32.25" hidden="1" customHeight="1">
      <c r="A4950" s="17"/>
      <c r="B4950" s="9" t="s">
        <v>13284</v>
      </c>
      <c r="C4950" s="9" t="s">
        <v>13284</v>
      </c>
      <c r="D4950" s="9" t="s">
        <v>13284</v>
      </c>
      <c r="E4950" s="9" t="s">
        <v>13284</v>
      </c>
      <c r="F4950" s="9" t="s">
        <v>13284</v>
      </c>
      <c r="G4950" s="9" t="s">
        <v>13284</v>
      </c>
      <c r="H4950" s="9" t="s">
        <v>13284</v>
      </c>
      <c r="I4950" s="9" t="s">
        <v>13284</v>
      </c>
      <c r="J4950" s="9" t="s">
        <v>13284</v>
      </c>
      <c r="K4950" s="9" t="s">
        <v>13284</v>
      </c>
      <c r="L4950" s="9" t="s">
        <v>13284</v>
      </c>
      <c r="M4950" s="9" t="s">
        <v>13284</v>
      </c>
      <c r="N4950" s="9" t="s">
        <v>13284</v>
      </c>
      <c r="O4950" s="9" t="s">
        <v>13284</v>
      </c>
      <c r="P4950" s="9" t="s">
        <v>13284</v>
      </c>
      <c r="Q4950" s="9" t="s">
        <v>13284</v>
      </c>
      <c r="R4950" s="9" t="s">
        <v>13284</v>
      </c>
      <c r="S4950" s="9" t="s">
        <v>13284</v>
      </c>
      <c r="T4950" s="9" t="str">
        <f ca="1">IFERROR(IF(AND(VLOOKUP(A4950, 'Актуальное состояние (из общего'!A:C,3,0) = "", A4950 &lt;&gt; ""), "ПРОВЕРИТЬ", VLOOKUP(A4950, 'Актуальное состояние (из общего'!A:C,3,0)), "")</f>
        <v/>
      </c>
      <c r="U4950" s="9" t="s">
        <v>13284</v>
      </c>
      <c r="V4950" s="9" t="s">
        <v>13284</v>
      </c>
      <c r="W4950" s="12"/>
      <c r="X4950" s="9" t="str">
        <f t="array" ref="X4950">IFERROR(INDEX('Адреса общежитий (скрытый)'!$B$2:$B$9, MATCH(W4950, 'Адреса общежитий (скрытый)'!$A$2:$A$9, 0)), "")</f>
        <v/>
      </c>
      <c r="Y4950" s="18"/>
      <c r="Z4950" s="18"/>
      <c r="AA4950" s="18"/>
      <c r="AB4950" s="18"/>
      <c r="AC4950" s="18"/>
    </row>
    <row r="4951" spans="1:29" ht="32.25" hidden="1" customHeight="1">
      <c r="A4951" s="17"/>
      <c r="B4951" s="9" t="s">
        <v>13284</v>
      </c>
      <c r="C4951" s="9" t="s">
        <v>13284</v>
      </c>
      <c r="D4951" s="9" t="s">
        <v>13284</v>
      </c>
      <c r="E4951" s="9" t="s">
        <v>13284</v>
      </c>
      <c r="F4951" s="9" t="s">
        <v>13284</v>
      </c>
      <c r="G4951" s="9" t="s">
        <v>13284</v>
      </c>
      <c r="H4951" s="9" t="s">
        <v>13284</v>
      </c>
      <c r="I4951" s="9" t="s">
        <v>13284</v>
      </c>
      <c r="J4951" s="9" t="s">
        <v>13284</v>
      </c>
      <c r="K4951" s="9" t="s">
        <v>13284</v>
      </c>
      <c r="L4951" s="9" t="s">
        <v>13284</v>
      </c>
      <c r="M4951" s="9" t="s">
        <v>13284</v>
      </c>
      <c r="N4951" s="9" t="s">
        <v>13284</v>
      </c>
      <c r="O4951" s="9" t="s">
        <v>13284</v>
      </c>
      <c r="P4951" s="9" t="s">
        <v>13284</v>
      </c>
      <c r="Q4951" s="9" t="s">
        <v>13284</v>
      </c>
      <c r="R4951" s="9" t="s">
        <v>13284</v>
      </c>
      <c r="S4951" s="9" t="s">
        <v>13284</v>
      </c>
      <c r="T4951" s="9" t="str">
        <f ca="1">IFERROR(IF(AND(VLOOKUP(A4951, 'Актуальное состояние (из общего'!A:C,3,0) = "", A4951 &lt;&gt; ""), "ПРОВЕРИТЬ", VLOOKUP(A4951, 'Актуальное состояние (из общего'!A:C,3,0)), "")</f>
        <v/>
      </c>
      <c r="U4951" s="9" t="s">
        <v>13284</v>
      </c>
      <c r="V4951" s="9" t="s">
        <v>13284</v>
      </c>
      <c r="W4951" s="12"/>
      <c r="X4951" s="9" t="str">
        <f t="array" ref="X4951">IFERROR(INDEX('Адреса общежитий (скрытый)'!$B$2:$B$9, MATCH(W4951, 'Адреса общежитий (скрытый)'!$A$2:$A$9, 0)), "")</f>
        <v/>
      </c>
      <c r="Y4951" s="18"/>
      <c r="Z4951" s="18"/>
      <c r="AA4951" s="18"/>
      <c r="AB4951" s="18"/>
      <c r="AC4951" s="18"/>
    </row>
    <row r="4952" spans="1:29" ht="32.25" hidden="1" customHeight="1">
      <c r="A4952" s="17"/>
      <c r="B4952" s="9" t="s">
        <v>13284</v>
      </c>
      <c r="C4952" s="9" t="s">
        <v>13284</v>
      </c>
      <c r="D4952" s="9" t="s">
        <v>13284</v>
      </c>
      <c r="E4952" s="9" t="s">
        <v>13284</v>
      </c>
      <c r="F4952" s="9" t="s">
        <v>13284</v>
      </c>
      <c r="G4952" s="9" t="s">
        <v>13284</v>
      </c>
      <c r="H4952" s="9" t="s">
        <v>13284</v>
      </c>
      <c r="I4952" s="9" t="s">
        <v>13284</v>
      </c>
      <c r="J4952" s="9" t="s">
        <v>13284</v>
      </c>
      <c r="K4952" s="9" t="s">
        <v>13284</v>
      </c>
      <c r="L4952" s="9" t="s">
        <v>13284</v>
      </c>
      <c r="M4952" s="9" t="s">
        <v>13284</v>
      </c>
      <c r="N4952" s="9" t="s">
        <v>13284</v>
      </c>
      <c r="O4952" s="9" t="s">
        <v>13284</v>
      </c>
      <c r="P4952" s="9" t="s">
        <v>13284</v>
      </c>
      <c r="Q4952" s="9" t="s">
        <v>13284</v>
      </c>
      <c r="R4952" s="9" t="s">
        <v>13284</v>
      </c>
      <c r="S4952" s="9" t="s">
        <v>13284</v>
      </c>
      <c r="T4952" s="9" t="str">
        <f ca="1">IFERROR(IF(AND(VLOOKUP(A4952, 'Актуальное состояние (из общего'!A:C,3,0) = "", A4952 &lt;&gt; ""), "ПРОВЕРИТЬ", VLOOKUP(A4952, 'Актуальное состояние (из общего'!A:C,3,0)), "")</f>
        <v/>
      </c>
      <c r="U4952" s="9" t="s">
        <v>13284</v>
      </c>
      <c r="V4952" s="9" t="s">
        <v>13284</v>
      </c>
      <c r="W4952" s="12"/>
      <c r="X4952" s="9" t="str">
        <f t="array" ref="X4952">IFERROR(INDEX('Адреса общежитий (скрытый)'!$B$2:$B$9, MATCH(W4952, 'Адреса общежитий (скрытый)'!$A$2:$A$9, 0)), "")</f>
        <v/>
      </c>
      <c r="Y4952" s="18"/>
      <c r="Z4952" s="18"/>
      <c r="AA4952" s="18"/>
      <c r="AB4952" s="18"/>
      <c r="AC4952" s="18"/>
    </row>
    <row r="4953" spans="1:29" ht="32.25" hidden="1" customHeight="1">
      <c r="A4953" s="17"/>
      <c r="B4953" s="9" t="s">
        <v>13284</v>
      </c>
      <c r="C4953" s="9" t="s">
        <v>13284</v>
      </c>
      <c r="D4953" s="9" t="s">
        <v>13284</v>
      </c>
      <c r="E4953" s="9" t="s">
        <v>13284</v>
      </c>
      <c r="F4953" s="9" t="s">
        <v>13284</v>
      </c>
      <c r="G4953" s="9" t="s">
        <v>13284</v>
      </c>
      <c r="H4953" s="9" t="s">
        <v>13284</v>
      </c>
      <c r="I4953" s="9" t="s">
        <v>13284</v>
      </c>
      <c r="J4953" s="9" t="s">
        <v>13284</v>
      </c>
      <c r="K4953" s="9" t="s">
        <v>13284</v>
      </c>
      <c r="L4953" s="9" t="s">
        <v>13284</v>
      </c>
      <c r="M4953" s="9" t="s">
        <v>13284</v>
      </c>
      <c r="N4953" s="9" t="s">
        <v>13284</v>
      </c>
      <c r="O4953" s="9" t="s">
        <v>13284</v>
      </c>
      <c r="P4953" s="9" t="s">
        <v>13284</v>
      </c>
      <c r="Q4953" s="9" t="s">
        <v>13284</v>
      </c>
      <c r="R4953" s="9" t="s">
        <v>13284</v>
      </c>
      <c r="S4953" s="9" t="s">
        <v>13284</v>
      </c>
      <c r="T4953" s="9" t="str">
        <f ca="1">IFERROR(IF(AND(VLOOKUP(A4953, 'Актуальное состояние (из общего'!A:C,3,0) = "", A4953 &lt;&gt; ""), "ПРОВЕРИТЬ", VLOOKUP(A4953, 'Актуальное состояние (из общего'!A:C,3,0)), "")</f>
        <v/>
      </c>
      <c r="U4953" s="9" t="s">
        <v>13284</v>
      </c>
      <c r="V4953" s="9" t="s">
        <v>13284</v>
      </c>
      <c r="W4953" s="12"/>
      <c r="X4953" s="9" t="str">
        <f t="array" ref="X4953">IFERROR(INDEX('Адреса общежитий (скрытый)'!$B$2:$B$9, MATCH(W4953, 'Адреса общежитий (скрытый)'!$A$2:$A$9, 0)), "")</f>
        <v/>
      </c>
      <c r="Y4953" s="18"/>
      <c r="Z4953" s="18"/>
      <c r="AA4953" s="18"/>
      <c r="AB4953" s="18"/>
      <c r="AC4953" s="18"/>
    </row>
    <row r="4954" spans="1:29" ht="32.25" hidden="1" customHeight="1">
      <c r="A4954" s="17"/>
      <c r="B4954" s="9" t="s">
        <v>13284</v>
      </c>
      <c r="C4954" s="9" t="s">
        <v>13284</v>
      </c>
      <c r="D4954" s="9" t="s">
        <v>13284</v>
      </c>
      <c r="E4954" s="9" t="s">
        <v>13284</v>
      </c>
      <c r="F4954" s="9" t="s">
        <v>13284</v>
      </c>
      <c r="G4954" s="9" t="s">
        <v>13284</v>
      </c>
      <c r="H4954" s="9" t="s">
        <v>13284</v>
      </c>
      <c r="I4954" s="9" t="s">
        <v>13284</v>
      </c>
      <c r="J4954" s="9" t="s">
        <v>13284</v>
      </c>
      <c r="K4954" s="9" t="s">
        <v>13284</v>
      </c>
      <c r="L4954" s="9" t="s">
        <v>13284</v>
      </c>
      <c r="M4954" s="9" t="s">
        <v>13284</v>
      </c>
      <c r="N4954" s="9" t="s">
        <v>13284</v>
      </c>
      <c r="O4954" s="9" t="s">
        <v>13284</v>
      </c>
      <c r="P4954" s="9" t="s">
        <v>13284</v>
      </c>
      <c r="Q4954" s="9" t="s">
        <v>13284</v>
      </c>
      <c r="R4954" s="9" t="s">
        <v>13284</v>
      </c>
      <c r="S4954" s="9" t="s">
        <v>13284</v>
      </c>
      <c r="T4954" s="9" t="str">
        <f ca="1">IFERROR(IF(AND(VLOOKUP(A4954, 'Актуальное состояние (из общего'!A:C,3,0) = "", A4954 &lt;&gt; ""), "ПРОВЕРИТЬ", VLOOKUP(A4954, 'Актуальное состояние (из общего'!A:C,3,0)), "")</f>
        <v/>
      </c>
      <c r="U4954" s="9" t="s">
        <v>13284</v>
      </c>
      <c r="V4954" s="9" t="s">
        <v>13284</v>
      </c>
      <c r="W4954" s="12"/>
      <c r="X4954" s="9" t="str">
        <f t="array" ref="X4954">IFERROR(INDEX('Адреса общежитий (скрытый)'!$B$2:$B$9, MATCH(W4954, 'Адреса общежитий (скрытый)'!$A$2:$A$9, 0)), "")</f>
        <v/>
      </c>
      <c r="Y4954" s="18"/>
      <c r="Z4954" s="18"/>
      <c r="AA4954" s="18"/>
      <c r="AB4954" s="18"/>
      <c r="AC4954" s="18"/>
    </row>
    <row r="4955" spans="1:29" ht="32.25" hidden="1" customHeight="1">
      <c r="A4955" s="17"/>
      <c r="B4955" s="9" t="s">
        <v>13284</v>
      </c>
      <c r="C4955" s="9" t="s">
        <v>13284</v>
      </c>
      <c r="D4955" s="9" t="s">
        <v>13284</v>
      </c>
      <c r="E4955" s="9" t="s">
        <v>13284</v>
      </c>
      <c r="F4955" s="9" t="s">
        <v>13284</v>
      </c>
      <c r="G4955" s="9" t="s">
        <v>13284</v>
      </c>
      <c r="H4955" s="9" t="s">
        <v>13284</v>
      </c>
      <c r="I4955" s="9" t="s">
        <v>13284</v>
      </c>
      <c r="J4955" s="9" t="s">
        <v>13284</v>
      </c>
      <c r="K4955" s="9" t="s">
        <v>13284</v>
      </c>
      <c r="L4955" s="9" t="s">
        <v>13284</v>
      </c>
      <c r="M4955" s="9" t="s">
        <v>13284</v>
      </c>
      <c r="N4955" s="9" t="s">
        <v>13284</v>
      </c>
      <c r="O4955" s="9" t="s">
        <v>13284</v>
      </c>
      <c r="P4955" s="9" t="s">
        <v>13284</v>
      </c>
      <c r="Q4955" s="9" t="s">
        <v>13284</v>
      </c>
      <c r="R4955" s="9" t="s">
        <v>13284</v>
      </c>
      <c r="S4955" s="9" t="s">
        <v>13284</v>
      </c>
      <c r="T4955" s="9" t="str">
        <f ca="1">IFERROR(IF(AND(VLOOKUP(A4955, 'Актуальное состояние (из общего'!A:C,3,0) = "", A4955 &lt;&gt; ""), "ПРОВЕРИТЬ", VLOOKUP(A4955, 'Актуальное состояние (из общего'!A:C,3,0)), "")</f>
        <v/>
      </c>
      <c r="U4955" s="9" t="s">
        <v>13284</v>
      </c>
      <c r="V4955" s="9" t="s">
        <v>13284</v>
      </c>
      <c r="W4955" s="12"/>
      <c r="X4955" s="9" t="str">
        <f t="array" ref="X4955">IFERROR(INDEX('Адреса общежитий (скрытый)'!$B$2:$B$9, MATCH(W4955, 'Адреса общежитий (скрытый)'!$A$2:$A$9, 0)), "")</f>
        <v/>
      </c>
      <c r="Y4955" s="18"/>
      <c r="Z4955" s="18"/>
      <c r="AA4955" s="18"/>
      <c r="AB4955" s="18"/>
      <c r="AC4955" s="18"/>
    </row>
    <row r="4956" spans="1:29" ht="32.25" hidden="1" customHeight="1">
      <c r="A4956" s="17"/>
      <c r="B4956" s="9" t="s">
        <v>13284</v>
      </c>
      <c r="C4956" s="9" t="s">
        <v>13284</v>
      </c>
      <c r="D4956" s="9" t="s">
        <v>13284</v>
      </c>
      <c r="E4956" s="9" t="s">
        <v>13284</v>
      </c>
      <c r="F4956" s="9" t="s">
        <v>13284</v>
      </c>
      <c r="G4956" s="9" t="s">
        <v>13284</v>
      </c>
      <c r="H4956" s="9" t="s">
        <v>13284</v>
      </c>
      <c r="I4956" s="9" t="s">
        <v>13284</v>
      </c>
      <c r="J4956" s="9" t="s">
        <v>13284</v>
      </c>
      <c r="K4956" s="9" t="s">
        <v>13284</v>
      </c>
      <c r="L4956" s="9" t="s">
        <v>13284</v>
      </c>
      <c r="M4956" s="9" t="s">
        <v>13284</v>
      </c>
      <c r="N4956" s="9" t="s">
        <v>13284</v>
      </c>
      <c r="O4956" s="9" t="s">
        <v>13284</v>
      </c>
      <c r="P4956" s="9" t="s">
        <v>13284</v>
      </c>
      <c r="Q4956" s="9" t="s">
        <v>13284</v>
      </c>
      <c r="R4956" s="9" t="s">
        <v>13284</v>
      </c>
      <c r="S4956" s="9" t="s">
        <v>13284</v>
      </c>
      <c r="T4956" s="9" t="str">
        <f ca="1">IFERROR(IF(AND(VLOOKUP(A4956, 'Актуальное состояние (из общего'!A:C,3,0) = "", A4956 &lt;&gt; ""), "ПРОВЕРИТЬ", VLOOKUP(A4956, 'Актуальное состояние (из общего'!A:C,3,0)), "")</f>
        <v/>
      </c>
      <c r="U4956" s="9" t="s">
        <v>13284</v>
      </c>
      <c r="V4956" s="9" t="s">
        <v>13284</v>
      </c>
      <c r="W4956" s="12"/>
      <c r="X4956" s="9" t="str">
        <f t="array" ref="X4956">IFERROR(INDEX('Адреса общежитий (скрытый)'!$B$2:$B$9, MATCH(W4956, 'Адреса общежитий (скрытый)'!$A$2:$A$9, 0)), "")</f>
        <v/>
      </c>
      <c r="Y4956" s="18"/>
      <c r="Z4956" s="18"/>
      <c r="AA4956" s="18"/>
      <c r="AB4956" s="18"/>
      <c r="AC4956" s="18"/>
    </row>
    <row r="4957" spans="1:29" ht="32.25" hidden="1" customHeight="1">
      <c r="A4957" s="17"/>
      <c r="B4957" s="9" t="s">
        <v>13284</v>
      </c>
      <c r="C4957" s="9" t="s">
        <v>13284</v>
      </c>
      <c r="D4957" s="9" t="s">
        <v>13284</v>
      </c>
      <c r="E4957" s="9" t="s">
        <v>13284</v>
      </c>
      <c r="F4957" s="9" t="s">
        <v>13284</v>
      </c>
      <c r="G4957" s="9" t="s">
        <v>13284</v>
      </c>
      <c r="H4957" s="9" t="s">
        <v>13284</v>
      </c>
      <c r="I4957" s="9" t="s">
        <v>13284</v>
      </c>
      <c r="J4957" s="9" t="s">
        <v>13284</v>
      </c>
      <c r="K4957" s="9" t="s">
        <v>13284</v>
      </c>
      <c r="L4957" s="9" t="s">
        <v>13284</v>
      </c>
      <c r="M4957" s="9" t="s">
        <v>13284</v>
      </c>
      <c r="N4957" s="9" t="s">
        <v>13284</v>
      </c>
      <c r="O4957" s="9" t="s">
        <v>13284</v>
      </c>
      <c r="P4957" s="9" t="s">
        <v>13284</v>
      </c>
      <c r="Q4957" s="9" t="s">
        <v>13284</v>
      </c>
      <c r="R4957" s="9" t="s">
        <v>13284</v>
      </c>
      <c r="S4957" s="9" t="s">
        <v>13284</v>
      </c>
      <c r="T4957" s="9" t="str">
        <f ca="1">IFERROR(IF(AND(VLOOKUP(A4957, 'Актуальное состояние (из общего'!A:C,3,0) = "", A4957 &lt;&gt; ""), "ПРОВЕРИТЬ", VLOOKUP(A4957, 'Актуальное состояние (из общего'!A:C,3,0)), "")</f>
        <v/>
      </c>
      <c r="U4957" s="9" t="s">
        <v>13284</v>
      </c>
      <c r="V4957" s="9" t="s">
        <v>13284</v>
      </c>
      <c r="W4957" s="12"/>
      <c r="X4957" s="9" t="str">
        <f t="array" ref="X4957">IFERROR(INDEX('Адреса общежитий (скрытый)'!$B$2:$B$9, MATCH(W4957, 'Адреса общежитий (скрытый)'!$A$2:$A$9, 0)), "")</f>
        <v/>
      </c>
      <c r="Y4957" s="18"/>
      <c r="Z4957" s="18"/>
      <c r="AA4957" s="18"/>
      <c r="AB4957" s="18"/>
      <c r="AC4957" s="18"/>
    </row>
    <row r="4958" spans="1:29" ht="32.25" hidden="1" customHeight="1">
      <c r="A4958" s="17"/>
      <c r="B4958" s="9" t="s">
        <v>13284</v>
      </c>
      <c r="C4958" s="9" t="s">
        <v>13284</v>
      </c>
      <c r="D4958" s="9" t="s">
        <v>13284</v>
      </c>
      <c r="E4958" s="9" t="s">
        <v>13284</v>
      </c>
      <c r="F4958" s="9" t="s">
        <v>13284</v>
      </c>
      <c r="G4958" s="9" t="s">
        <v>13284</v>
      </c>
      <c r="H4958" s="9" t="s">
        <v>13284</v>
      </c>
      <c r="I4958" s="9" t="s">
        <v>13284</v>
      </c>
      <c r="J4958" s="9" t="s">
        <v>13284</v>
      </c>
      <c r="K4958" s="9" t="s">
        <v>13284</v>
      </c>
      <c r="L4958" s="9" t="s">
        <v>13284</v>
      </c>
      <c r="M4958" s="9" t="s">
        <v>13284</v>
      </c>
      <c r="N4958" s="9" t="s">
        <v>13284</v>
      </c>
      <c r="O4958" s="9" t="s">
        <v>13284</v>
      </c>
      <c r="P4958" s="9" t="s">
        <v>13284</v>
      </c>
      <c r="Q4958" s="9" t="s">
        <v>13284</v>
      </c>
      <c r="R4958" s="9" t="s">
        <v>13284</v>
      </c>
      <c r="S4958" s="9" t="s">
        <v>13284</v>
      </c>
      <c r="T4958" s="9" t="str">
        <f ca="1">IFERROR(IF(AND(VLOOKUP(A4958, 'Актуальное состояние (из общего'!A:C,3,0) = "", A4958 &lt;&gt; ""), "ПРОВЕРИТЬ", VLOOKUP(A4958, 'Актуальное состояние (из общего'!A:C,3,0)), "")</f>
        <v/>
      </c>
      <c r="U4958" s="9" t="s">
        <v>13284</v>
      </c>
      <c r="V4958" s="9" t="s">
        <v>13284</v>
      </c>
      <c r="W4958" s="12"/>
      <c r="X4958" s="9" t="str">
        <f t="array" ref="X4958">IFERROR(INDEX('Адреса общежитий (скрытый)'!$B$2:$B$9, MATCH(W4958, 'Адреса общежитий (скрытый)'!$A$2:$A$9, 0)), "")</f>
        <v/>
      </c>
      <c r="Y4958" s="18"/>
      <c r="Z4958" s="18"/>
      <c r="AA4958" s="18"/>
      <c r="AB4958" s="18"/>
      <c r="AC4958" s="18"/>
    </row>
    <row r="4959" spans="1:29" ht="32.25" hidden="1" customHeight="1">
      <c r="A4959" s="17"/>
      <c r="B4959" s="9" t="s">
        <v>13284</v>
      </c>
      <c r="C4959" s="9" t="s">
        <v>13284</v>
      </c>
      <c r="D4959" s="9" t="s">
        <v>13284</v>
      </c>
      <c r="E4959" s="9" t="s">
        <v>13284</v>
      </c>
      <c r="F4959" s="9" t="s">
        <v>13284</v>
      </c>
      <c r="G4959" s="9" t="s">
        <v>13284</v>
      </c>
      <c r="H4959" s="9" t="s">
        <v>13284</v>
      </c>
      <c r="I4959" s="9" t="s">
        <v>13284</v>
      </c>
      <c r="J4959" s="9" t="s">
        <v>13284</v>
      </c>
      <c r="K4959" s="9" t="s">
        <v>13284</v>
      </c>
      <c r="L4959" s="9" t="s">
        <v>13284</v>
      </c>
      <c r="M4959" s="9" t="s">
        <v>13284</v>
      </c>
      <c r="N4959" s="9" t="s">
        <v>13284</v>
      </c>
      <c r="O4959" s="9" t="s">
        <v>13284</v>
      </c>
      <c r="P4959" s="9" t="s">
        <v>13284</v>
      </c>
      <c r="Q4959" s="9" t="s">
        <v>13284</v>
      </c>
      <c r="R4959" s="9" t="s">
        <v>13284</v>
      </c>
      <c r="S4959" s="9" t="s">
        <v>13284</v>
      </c>
      <c r="T4959" s="9" t="str">
        <f ca="1">IFERROR(IF(AND(VLOOKUP(A4959, 'Актуальное состояние (из общего'!A:C,3,0) = "", A4959 &lt;&gt; ""), "ПРОВЕРИТЬ", VLOOKUP(A4959, 'Актуальное состояние (из общего'!A:C,3,0)), "")</f>
        <v/>
      </c>
      <c r="U4959" s="9" t="s">
        <v>13284</v>
      </c>
      <c r="V4959" s="9" t="s">
        <v>13284</v>
      </c>
      <c r="W4959" s="12"/>
      <c r="X4959" s="9" t="str">
        <f t="array" ref="X4959">IFERROR(INDEX('Адреса общежитий (скрытый)'!$B$2:$B$9, MATCH(W4959, 'Адреса общежитий (скрытый)'!$A$2:$A$9, 0)), "")</f>
        <v/>
      </c>
      <c r="Y4959" s="18"/>
      <c r="Z4959" s="18"/>
      <c r="AA4959" s="18"/>
      <c r="AB4959" s="18"/>
      <c r="AC4959" s="18"/>
    </row>
    <row r="4960" spans="1:29" ht="32.25" hidden="1" customHeight="1">
      <c r="A4960" s="17"/>
      <c r="B4960" s="9" t="s">
        <v>13284</v>
      </c>
      <c r="C4960" s="9" t="s">
        <v>13284</v>
      </c>
      <c r="D4960" s="9" t="s">
        <v>13284</v>
      </c>
      <c r="E4960" s="9" t="s">
        <v>13284</v>
      </c>
      <c r="F4960" s="9" t="s">
        <v>13284</v>
      </c>
      <c r="G4960" s="9" t="s">
        <v>13284</v>
      </c>
      <c r="H4960" s="9" t="s">
        <v>13284</v>
      </c>
      <c r="I4960" s="9" t="s">
        <v>13284</v>
      </c>
      <c r="J4960" s="9" t="s">
        <v>13284</v>
      </c>
      <c r="K4960" s="9" t="s">
        <v>13284</v>
      </c>
      <c r="L4960" s="9" t="s">
        <v>13284</v>
      </c>
      <c r="M4960" s="9" t="s">
        <v>13284</v>
      </c>
      <c r="N4960" s="9" t="s">
        <v>13284</v>
      </c>
      <c r="O4960" s="9" t="s">
        <v>13284</v>
      </c>
      <c r="P4960" s="9" t="s">
        <v>13284</v>
      </c>
      <c r="Q4960" s="9" t="s">
        <v>13284</v>
      </c>
      <c r="R4960" s="9" t="s">
        <v>13284</v>
      </c>
      <c r="S4960" s="9" t="s">
        <v>13284</v>
      </c>
      <c r="T4960" s="9" t="str">
        <f ca="1">IFERROR(IF(AND(VLOOKUP(A4960, 'Актуальное состояние (из общего'!A:C,3,0) = "", A4960 &lt;&gt; ""), "ПРОВЕРИТЬ", VLOOKUP(A4960, 'Актуальное состояние (из общего'!A:C,3,0)), "")</f>
        <v/>
      </c>
      <c r="U4960" s="9" t="s">
        <v>13284</v>
      </c>
      <c r="V4960" s="9" t="s">
        <v>13284</v>
      </c>
      <c r="W4960" s="12"/>
      <c r="X4960" s="9" t="str">
        <f t="array" ref="X4960">IFERROR(INDEX('Адреса общежитий (скрытый)'!$B$2:$B$9, MATCH(W4960, 'Адреса общежитий (скрытый)'!$A$2:$A$9, 0)), "")</f>
        <v/>
      </c>
      <c r="Y4960" s="18"/>
      <c r="Z4960" s="18"/>
      <c r="AA4960" s="18"/>
      <c r="AB4960" s="18"/>
      <c r="AC4960" s="18"/>
    </row>
    <row r="4961" spans="1:29" ht="32.25" hidden="1" customHeight="1">
      <c r="A4961" s="17"/>
      <c r="B4961" s="9" t="s">
        <v>13284</v>
      </c>
      <c r="C4961" s="9" t="s">
        <v>13284</v>
      </c>
      <c r="D4961" s="9" t="s">
        <v>13284</v>
      </c>
      <c r="E4961" s="9" t="s">
        <v>13284</v>
      </c>
      <c r="F4961" s="9" t="s">
        <v>13284</v>
      </c>
      <c r="G4961" s="9" t="s">
        <v>13284</v>
      </c>
      <c r="H4961" s="9" t="s">
        <v>13284</v>
      </c>
      <c r="I4961" s="9" t="s">
        <v>13284</v>
      </c>
      <c r="J4961" s="9" t="s">
        <v>13284</v>
      </c>
      <c r="K4961" s="9" t="s">
        <v>13284</v>
      </c>
      <c r="L4961" s="9" t="s">
        <v>13284</v>
      </c>
      <c r="M4961" s="9" t="s">
        <v>13284</v>
      </c>
      <c r="N4961" s="9" t="s">
        <v>13284</v>
      </c>
      <c r="O4961" s="9" t="s">
        <v>13284</v>
      </c>
      <c r="P4961" s="9" t="s">
        <v>13284</v>
      </c>
      <c r="Q4961" s="9" t="s">
        <v>13284</v>
      </c>
      <c r="R4961" s="9" t="s">
        <v>13284</v>
      </c>
      <c r="S4961" s="9" t="s">
        <v>13284</v>
      </c>
      <c r="T4961" s="9" t="str">
        <f ca="1">IFERROR(IF(AND(VLOOKUP(A4961, 'Актуальное состояние (из общего'!A:C,3,0) = "", A4961 &lt;&gt; ""), "ПРОВЕРИТЬ", VLOOKUP(A4961, 'Актуальное состояние (из общего'!A:C,3,0)), "")</f>
        <v/>
      </c>
      <c r="U4961" s="9" t="s">
        <v>13284</v>
      </c>
      <c r="V4961" s="9" t="s">
        <v>13284</v>
      </c>
      <c r="W4961" s="12"/>
      <c r="X4961" s="9" t="str">
        <f t="array" ref="X4961">IFERROR(INDEX('Адреса общежитий (скрытый)'!$B$2:$B$9, MATCH(W4961, 'Адреса общежитий (скрытый)'!$A$2:$A$9, 0)), "")</f>
        <v/>
      </c>
      <c r="Y4961" s="18"/>
      <c r="Z4961" s="18"/>
      <c r="AA4961" s="18"/>
      <c r="AB4961" s="18"/>
      <c r="AC4961" s="18"/>
    </row>
    <row r="4962" spans="1:29" ht="32.25" hidden="1" customHeight="1">
      <c r="A4962" s="17"/>
      <c r="B4962" s="9" t="s">
        <v>13284</v>
      </c>
      <c r="C4962" s="9" t="s">
        <v>13284</v>
      </c>
      <c r="D4962" s="9" t="s">
        <v>13284</v>
      </c>
      <c r="E4962" s="9" t="s">
        <v>13284</v>
      </c>
      <c r="F4962" s="9" t="s">
        <v>13284</v>
      </c>
      <c r="G4962" s="9" t="s">
        <v>13284</v>
      </c>
      <c r="H4962" s="9" t="s">
        <v>13284</v>
      </c>
      <c r="I4962" s="9" t="s">
        <v>13284</v>
      </c>
      <c r="J4962" s="9" t="s">
        <v>13284</v>
      </c>
      <c r="K4962" s="9" t="s">
        <v>13284</v>
      </c>
      <c r="L4962" s="9" t="s">
        <v>13284</v>
      </c>
      <c r="M4962" s="9" t="s">
        <v>13284</v>
      </c>
      <c r="N4962" s="9" t="s">
        <v>13284</v>
      </c>
      <c r="O4962" s="9" t="s">
        <v>13284</v>
      </c>
      <c r="P4962" s="9" t="s">
        <v>13284</v>
      </c>
      <c r="Q4962" s="9" t="s">
        <v>13284</v>
      </c>
      <c r="R4962" s="9" t="s">
        <v>13284</v>
      </c>
      <c r="S4962" s="9" t="s">
        <v>13284</v>
      </c>
      <c r="T4962" s="9" t="str">
        <f ca="1">IFERROR(IF(AND(VLOOKUP(A4962, 'Актуальное состояние (из общего'!A:C,3,0) = "", A4962 &lt;&gt; ""), "ПРОВЕРИТЬ", VLOOKUP(A4962, 'Актуальное состояние (из общего'!A:C,3,0)), "")</f>
        <v/>
      </c>
      <c r="U4962" s="9" t="s">
        <v>13284</v>
      </c>
      <c r="V4962" s="9" t="s">
        <v>13284</v>
      </c>
      <c r="W4962" s="12"/>
      <c r="X4962" s="9" t="str">
        <f t="array" ref="X4962">IFERROR(INDEX('Адреса общежитий (скрытый)'!$B$2:$B$9, MATCH(W4962, 'Адреса общежитий (скрытый)'!$A$2:$A$9, 0)), "")</f>
        <v/>
      </c>
      <c r="Y4962" s="18"/>
      <c r="Z4962" s="18"/>
      <c r="AA4962" s="18"/>
      <c r="AB4962" s="18"/>
      <c r="AC4962" s="18"/>
    </row>
    <row r="4963" spans="1:29" ht="32.25" hidden="1" customHeight="1">
      <c r="A4963" s="17"/>
      <c r="B4963" s="9" t="s">
        <v>13284</v>
      </c>
      <c r="C4963" s="9" t="s">
        <v>13284</v>
      </c>
      <c r="D4963" s="9" t="s">
        <v>13284</v>
      </c>
      <c r="E4963" s="9" t="s">
        <v>13284</v>
      </c>
      <c r="F4963" s="9" t="s">
        <v>13284</v>
      </c>
      <c r="G4963" s="9" t="s">
        <v>13284</v>
      </c>
      <c r="H4963" s="9" t="s">
        <v>13284</v>
      </c>
      <c r="I4963" s="9" t="s">
        <v>13284</v>
      </c>
      <c r="J4963" s="9" t="s">
        <v>13284</v>
      </c>
      <c r="K4963" s="9" t="s">
        <v>13284</v>
      </c>
      <c r="L4963" s="9" t="s">
        <v>13284</v>
      </c>
      <c r="M4963" s="9" t="s">
        <v>13284</v>
      </c>
      <c r="N4963" s="9" t="s">
        <v>13284</v>
      </c>
      <c r="O4963" s="9" t="s">
        <v>13284</v>
      </c>
      <c r="P4963" s="9" t="s">
        <v>13284</v>
      </c>
      <c r="Q4963" s="9" t="s">
        <v>13284</v>
      </c>
      <c r="R4963" s="9" t="s">
        <v>13284</v>
      </c>
      <c r="S4963" s="9" t="s">
        <v>13284</v>
      </c>
      <c r="T4963" s="9" t="str">
        <f ca="1">IFERROR(IF(AND(VLOOKUP(A4963, 'Актуальное состояние (из общего'!A:C,3,0) = "", A4963 &lt;&gt; ""), "ПРОВЕРИТЬ", VLOOKUP(A4963, 'Актуальное состояние (из общего'!A:C,3,0)), "")</f>
        <v/>
      </c>
      <c r="U4963" s="9" t="s">
        <v>13284</v>
      </c>
      <c r="V4963" s="9" t="s">
        <v>13284</v>
      </c>
      <c r="W4963" s="12"/>
      <c r="X4963" s="9" t="str">
        <f t="array" ref="X4963">IFERROR(INDEX('Адреса общежитий (скрытый)'!$B$2:$B$9, MATCH(W4963, 'Адреса общежитий (скрытый)'!$A$2:$A$9, 0)), "")</f>
        <v/>
      </c>
      <c r="Y4963" s="18"/>
      <c r="Z4963" s="18"/>
      <c r="AA4963" s="18"/>
      <c r="AB4963" s="18"/>
      <c r="AC4963" s="18"/>
    </row>
    <row r="4964" spans="1:29" ht="32.25" hidden="1" customHeight="1">
      <c r="A4964" s="17"/>
      <c r="B4964" s="9" t="s">
        <v>13284</v>
      </c>
      <c r="C4964" s="9" t="s">
        <v>13284</v>
      </c>
      <c r="D4964" s="9" t="s">
        <v>13284</v>
      </c>
      <c r="E4964" s="9" t="s">
        <v>13284</v>
      </c>
      <c r="F4964" s="9" t="s">
        <v>13284</v>
      </c>
      <c r="G4964" s="9" t="s">
        <v>13284</v>
      </c>
      <c r="H4964" s="9" t="s">
        <v>13284</v>
      </c>
      <c r="I4964" s="9" t="s">
        <v>13284</v>
      </c>
      <c r="J4964" s="9" t="s">
        <v>13284</v>
      </c>
      <c r="K4964" s="9" t="s">
        <v>13284</v>
      </c>
      <c r="L4964" s="9" t="s">
        <v>13284</v>
      </c>
      <c r="M4964" s="9" t="s">
        <v>13284</v>
      </c>
      <c r="N4964" s="9" t="s">
        <v>13284</v>
      </c>
      <c r="O4964" s="9" t="s">
        <v>13284</v>
      </c>
      <c r="P4964" s="9" t="s">
        <v>13284</v>
      </c>
      <c r="Q4964" s="9" t="s">
        <v>13284</v>
      </c>
      <c r="R4964" s="9" t="s">
        <v>13284</v>
      </c>
      <c r="S4964" s="9" t="s">
        <v>13284</v>
      </c>
      <c r="T4964" s="9" t="str">
        <f ca="1">IFERROR(IF(AND(VLOOKUP(A4964, 'Актуальное состояние (из общего'!A:C,3,0) = "", A4964 &lt;&gt; ""), "ПРОВЕРИТЬ", VLOOKUP(A4964, 'Актуальное состояние (из общего'!A:C,3,0)), "")</f>
        <v/>
      </c>
      <c r="U4964" s="9" t="s">
        <v>13284</v>
      </c>
      <c r="V4964" s="9" t="s">
        <v>13284</v>
      </c>
      <c r="W4964" s="12"/>
      <c r="X4964" s="9" t="str">
        <f t="array" ref="X4964">IFERROR(INDEX('Адреса общежитий (скрытый)'!$B$2:$B$9, MATCH(W4964, 'Адреса общежитий (скрытый)'!$A$2:$A$9, 0)), "")</f>
        <v/>
      </c>
      <c r="Y4964" s="18"/>
      <c r="Z4964" s="18"/>
      <c r="AA4964" s="18"/>
      <c r="AB4964" s="18"/>
      <c r="AC4964" s="18"/>
    </row>
    <row r="4965" spans="1:29" ht="32.25" hidden="1" customHeight="1">
      <c r="A4965" s="17"/>
      <c r="B4965" s="9" t="s">
        <v>13284</v>
      </c>
      <c r="C4965" s="9" t="s">
        <v>13284</v>
      </c>
      <c r="D4965" s="9" t="s">
        <v>13284</v>
      </c>
      <c r="E4965" s="9" t="s">
        <v>13284</v>
      </c>
      <c r="F4965" s="9" t="s">
        <v>13284</v>
      </c>
      <c r="G4965" s="9" t="s">
        <v>13284</v>
      </c>
      <c r="H4965" s="9" t="s">
        <v>13284</v>
      </c>
      <c r="I4965" s="9" t="s">
        <v>13284</v>
      </c>
      <c r="J4965" s="9" t="s">
        <v>13284</v>
      </c>
      <c r="K4965" s="9" t="s">
        <v>13284</v>
      </c>
      <c r="L4965" s="9" t="s">
        <v>13284</v>
      </c>
      <c r="M4965" s="9" t="s">
        <v>13284</v>
      </c>
      <c r="N4965" s="9" t="s">
        <v>13284</v>
      </c>
      <c r="O4965" s="9" t="s">
        <v>13284</v>
      </c>
      <c r="P4965" s="9" t="s">
        <v>13284</v>
      </c>
      <c r="Q4965" s="9" t="s">
        <v>13284</v>
      </c>
      <c r="R4965" s="9" t="s">
        <v>13284</v>
      </c>
      <c r="S4965" s="9" t="s">
        <v>13284</v>
      </c>
      <c r="T4965" s="9" t="str">
        <f ca="1">IFERROR(IF(AND(VLOOKUP(A4965, 'Актуальное состояние (из общего'!A:C,3,0) = "", A4965 &lt;&gt; ""), "ПРОВЕРИТЬ", VLOOKUP(A4965, 'Актуальное состояние (из общего'!A:C,3,0)), "")</f>
        <v/>
      </c>
      <c r="U4965" s="9" t="s">
        <v>13284</v>
      </c>
      <c r="V4965" s="9" t="s">
        <v>13284</v>
      </c>
      <c r="W4965" s="12"/>
      <c r="X4965" s="9" t="str">
        <f t="array" ref="X4965">IFERROR(INDEX('Адреса общежитий (скрытый)'!$B$2:$B$9, MATCH(W4965, 'Адреса общежитий (скрытый)'!$A$2:$A$9, 0)), "")</f>
        <v/>
      </c>
      <c r="Y4965" s="18"/>
      <c r="Z4965" s="18"/>
      <c r="AA4965" s="18"/>
      <c r="AB4965" s="18"/>
      <c r="AC4965" s="18"/>
    </row>
    <row r="4966" spans="1:29" ht="32.25" hidden="1" customHeight="1">
      <c r="A4966" s="17"/>
      <c r="B4966" s="9" t="s">
        <v>13284</v>
      </c>
      <c r="C4966" s="9" t="s">
        <v>13284</v>
      </c>
      <c r="D4966" s="9" t="s">
        <v>13284</v>
      </c>
      <c r="E4966" s="9" t="s">
        <v>13284</v>
      </c>
      <c r="F4966" s="9" t="s">
        <v>13284</v>
      </c>
      <c r="G4966" s="9" t="s">
        <v>13284</v>
      </c>
      <c r="H4966" s="9" t="s">
        <v>13284</v>
      </c>
      <c r="I4966" s="9" t="s">
        <v>13284</v>
      </c>
      <c r="J4966" s="9" t="s">
        <v>13284</v>
      </c>
      <c r="K4966" s="9" t="s">
        <v>13284</v>
      </c>
      <c r="L4966" s="9" t="s">
        <v>13284</v>
      </c>
      <c r="M4966" s="9" t="s">
        <v>13284</v>
      </c>
      <c r="N4966" s="9" t="s">
        <v>13284</v>
      </c>
      <c r="O4966" s="9" t="s">
        <v>13284</v>
      </c>
      <c r="P4966" s="9" t="s">
        <v>13284</v>
      </c>
      <c r="Q4966" s="9" t="s">
        <v>13284</v>
      </c>
      <c r="R4966" s="9" t="s">
        <v>13284</v>
      </c>
      <c r="S4966" s="9" t="s">
        <v>13284</v>
      </c>
      <c r="T4966" s="9" t="str">
        <f ca="1">IFERROR(IF(AND(VLOOKUP(A4966, 'Актуальное состояние (из общего'!A:C,3,0) = "", A4966 &lt;&gt; ""), "ПРОВЕРИТЬ", VLOOKUP(A4966, 'Актуальное состояние (из общего'!A:C,3,0)), "")</f>
        <v/>
      </c>
      <c r="U4966" s="9" t="s">
        <v>13284</v>
      </c>
      <c r="V4966" s="9" t="s">
        <v>13284</v>
      </c>
      <c r="W4966" s="12"/>
      <c r="X4966" s="9" t="str">
        <f t="array" ref="X4966">IFERROR(INDEX('Адреса общежитий (скрытый)'!$B$2:$B$9, MATCH(W4966, 'Адреса общежитий (скрытый)'!$A$2:$A$9, 0)), "")</f>
        <v/>
      </c>
      <c r="Y4966" s="18"/>
      <c r="Z4966" s="18"/>
      <c r="AA4966" s="18"/>
      <c r="AB4966" s="18"/>
      <c r="AC4966" s="18"/>
    </row>
    <row r="4967" spans="1:29" ht="32.25" hidden="1" customHeight="1">
      <c r="A4967" s="17"/>
      <c r="B4967" s="9" t="s">
        <v>13284</v>
      </c>
      <c r="C4967" s="9" t="s">
        <v>13284</v>
      </c>
      <c r="D4967" s="9" t="s">
        <v>13284</v>
      </c>
      <c r="E4967" s="9" t="s">
        <v>13284</v>
      </c>
      <c r="F4967" s="9" t="s">
        <v>13284</v>
      </c>
      <c r="G4967" s="9" t="s">
        <v>13284</v>
      </c>
      <c r="H4967" s="9" t="s">
        <v>13284</v>
      </c>
      <c r="I4967" s="9" t="s">
        <v>13284</v>
      </c>
      <c r="J4967" s="9" t="s">
        <v>13284</v>
      </c>
      <c r="K4967" s="9" t="s">
        <v>13284</v>
      </c>
      <c r="L4967" s="9" t="s">
        <v>13284</v>
      </c>
      <c r="M4967" s="9" t="s">
        <v>13284</v>
      </c>
      <c r="N4967" s="9" t="s">
        <v>13284</v>
      </c>
      <c r="O4967" s="9" t="s">
        <v>13284</v>
      </c>
      <c r="P4967" s="9" t="s">
        <v>13284</v>
      </c>
      <c r="Q4967" s="9" t="s">
        <v>13284</v>
      </c>
      <c r="R4967" s="9" t="s">
        <v>13284</v>
      </c>
      <c r="S4967" s="9" t="s">
        <v>13284</v>
      </c>
      <c r="T4967" s="9" t="str">
        <f ca="1">IFERROR(IF(AND(VLOOKUP(A4967, 'Актуальное состояние (из общего'!A:C,3,0) = "", A4967 &lt;&gt; ""), "ПРОВЕРИТЬ", VLOOKUP(A4967, 'Актуальное состояние (из общего'!A:C,3,0)), "")</f>
        <v/>
      </c>
      <c r="U4967" s="9" t="s">
        <v>13284</v>
      </c>
      <c r="V4967" s="9" t="s">
        <v>13284</v>
      </c>
      <c r="W4967" s="12"/>
      <c r="X4967" s="9" t="str">
        <f t="array" ref="X4967">IFERROR(INDEX('Адреса общежитий (скрытый)'!$B$2:$B$9, MATCH(W4967, 'Адреса общежитий (скрытый)'!$A$2:$A$9, 0)), "")</f>
        <v/>
      </c>
      <c r="Y4967" s="18"/>
      <c r="Z4967" s="18"/>
      <c r="AA4967" s="18"/>
      <c r="AB4967" s="18"/>
      <c r="AC4967" s="18"/>
    </row>
    <row r="4968" spans="1:29" ht="32.25" hidden="1" customHeight="1">
      <c r="A4968" s="17"/>
      <c r="B4968" s="9" t="s">
        <v>13284</v>
      </c>
      <c r="C4968" s="9" t="s">
        <v>13284</v>
      </c>
      <c r="D4968" s="9" t="s">
        <v>13284</v>
      </c>
      <c r="E4968" s="9" t="s">
        <v>13284</v>
      </c>
      <c r="F4968" s="9" t="s">
        <v>13284</v>
      </c>
      <c r="G4968" s="9" t="s">
        <v>13284</v>
      </c>
      <c r="H4968" s="9" t="s">
        <v>13284</v>
      </c>
      <c r="I4968" s="9" t="s">
        <v>13284</v>
      </c>
      <c r="J4968" s="9" t="s">
        <v>13284</v>
      </c>
      <c r="K4968" s="9" t="s">
        <v>13284</v>
      </c>
      <c r="L4968" s="9" t="s">
        <v>13284</v>
      </c>
      <c r="M4968" s="9" t="s">
        <v>13284</v>
      </c>
      <c r="N4968" s="9" t="s">
        <v>13284</v>
      </c>
      <c r="O4968" s="9" t="s">
        <v>13284</v>
      </c>
      <c r="P4968" s="9" t="s">
        <v>13284</v>
      </c>
      <c r="Q4968" s="9" t="s">
        <v>13284</v>
      </c>
      <c r="R4968" s="9" t="s">
        <v>13284</v>
      </c>
      <c r="S4968" s="9" t="s">
        <v>13284</v>
      </c>
      <c r="T4968" s="9" t="str">
        <f ca="1">IFERROR(IF(AND(VLOOKUP(A4968, 'Актуальное состояние (из общего'!A:C,3,0) = "", A4968 &lt;&gt; ""), "ПРОВЕРИТЬ", VLOOKUP(A4968, 'Актуальное состояние (из общего'!A:C,3,0)), "")</f>
        <v/>
      </c>
      <c r="U4968" s="9" t="s">
        <v>13284</v>
      </c>
      <c r="V4968" s="9" t="s">
        <v>13284</v>
      </c>
      <c r="W4968" s="12"/>
      <c r="X4968" s="9" t="str">
        <f t="array" ref="X4968">IFERROR(INDEX('Адреса общежитий (скрытый)'!$B$2:$B$9, MATCH(W4968, 'Адреса общежитий (скрытый)'!$A$2:$A$9, 0)), "")</f>
        <v/>
      </c>
      <c r="Y4968" s="18"/>
      <c r="Z4968" s="18"/>
      <c r="AA4968" s="18"/>
      <c r="AB4968" s="18"/>
      <c r="AC4968" s="18"/>
    </row>
    <row r="4969" spans="1:29" ht="32.25" hidden="1" customHeight="1">
      <c r="A4969" s="17"/>
      <c r="B4969" s="9" t="s">
        <v>13284</v>
      </c>
      <c r="C4969" s="9" t="s">
        <v>13284</v>
      </c>
      <c r="D4969" s="9" t="s">
        <v>13284</v>
      </c>
      <c r="E4969" s="9" t="s">
        <v>13284</v>
      </c>
      <c r="F4969" s="9" t="s">
        <v>13284</v>
      </c>
      <c r="G4969" s="9" t="s">
        <v>13284</v>
      </c>
      <c r="H4969" s="9" t="s">
        <v>13284</v>
      </c>
      <c r="I4969" s="9" t="s">
        <v>13284</v>
      </c>
      <c r="J4969" s="9" t="s">
        <v>13284</v>
      </c>
      <c r="K4969" s="9" t="s">
        <v>13284</v>
      </c>
      <c r="L4969" s="9" t="s">
        <v>13284</v>
      </c>
      <c r="M4969" s="9" t="s">
        <v>13284</v>
      </c>
      <c r="N4969" s="9" t="s">
        <v>13284</v>
      </c>
      <c r="O4969" s="9" t="s">
        <v>13284</v>
      </c>
      <c r="P4969" s="9" t="s">
        <v>13284</v>
      </c>
      <c r="Q4969" s="9" t="s">
        <v>13284</v>
      </c>
      <c r="R4969" s="9" t="s">
        <v>13284</v>
      </c>
      <c r="S4969" s="9" t="s">
        <v>13284</v>
      </c>
      <c r="T4969" s="9" t="str">
        <f ca="1">IFERROR(IF(AND(VLOOKUP(A4969, 'Актуальное состояние (из общего'!A:C,3,0) = "", A4969 &lt;&gt; ""), "ПРОВЕРИТЬ", VLOOKUP(A4969, 'Актуальное состояние (из общего'!A:C,3,0)), "")</f>
        <v/>
      </c>
      <c r="U4969" s="9" t="s">
        <v>13284</v>
      </c>
      <c r="V4969" s="9" t="s">
        <v>13284</v>
      </c>
      <c r="W4969" s="12"/>
      <c r="X4969" s="9" t="str">
        <f t="array" ref="X4969">IFERROR(INDEX('Адреса общежитий (скрытый)'!$B$2:$B$9, MATCH(W4969, 'Адреса общежитий (скрытый)'!$A$2:$A$9, 0)), "")</f>
        <v/>
      </c>
      <c r="Y4969" s="18"/>
      <c r="Z4969" s="18"/>
      <c r="AA4969" s="18"/>
      <c r="AB4969" s="18"/>
      <c r="AC4969" s="18"/>
    </row>
    <row r="4970" spans="1:29" ht="32.25" hidden="1" customHeight="1">
      <c r="A4970" s="17"/>
      <c r="B4970" s="9" t="s">
        <v>13284</v>
      </c>
      <c r="C4970" s="9" t="s">
        <v>13284</v>
      </c>
      <c r="D4970" s="9" t="s">
        <v>13284</v>
      </c>
      <c r="E4970" s="9" t="s">
        <v>13284</v>
      </c>
      <c r="F4970" s="9" t="s">
        <v>13284</v>
      </c>
      <c r="G4970" s="9" t="s">
        <v>13284</v>
      </c>
      <c r="H4970" s="9" t="s">
        <v>13284</v>
      </c>
      <c r="I4970" s="9" t="s">
        <v>13284</v>
      </c>
      <c r="J4970" s="9" t="s">
        <v>13284</v>
      </c>
      <c r="K4970" s="9" t="s">
        <v>13284</v>
      </c>
      <c r="L4970" s="9" t="s">
        <v>13284</v>
      </c>
      <c r="M4970" s="9" t="s">
        <v>13284</v>
      </c>
      <c r="N4970" s="9" t="s">
        <v>13284</v>
      </c>
      <c r="O4970" s="9" t="s">
        <v>13284</v>
      </c>
      <c r="P4970" s="9" t="s">
        <v>13284</v>
      </c>
      <c r="Q4970" s="9" t="s">
        <v>13284</v>
      </c>
      <c r="R4970" s="9" t="s">
        <v>13284</v>
      </c>
      <c r="S4970" s="9" t="s">
        <v>13284</v>
      </c>
      <c r="T4970" s="9" t="str">
        <f ca="1">IFERROR(IF(AND(VLOOKUP(A4970, 'Актуальное состояние (из общего'!A:C,3,0) = "", A4970 &lt;&gt; ""), "ПРОВЕРИТЬ", VLOOKUP(A4970, 'Актуальное состояние (из общего'!A:C,3,0)), "")</f>
        <v/>
      </c>
      <c r="U4970" s="9" t="s">
        <v>13284</v>
      </c>
      <c r="V4970" s="9" t="s">
        <v>13284</v>
      </c>
      <c r="W4970" s="12"/>
      <c r="X4970" s="9" t="str">
        <f t="array" ref="X4970">IFERROR(INDEX('Адреса общежитий (скрытый)'!$B$2:$B$9, MATCH(W4970, 'Адреса общежитий (скрытый)'!$A$2:$A$9, 0)), "")</f>
        <v/>
      </c>
      <c r="Y4970" s="18"/>
      <c r="Z4970" s="18"/>
      <c r="AA4970" s="18"/>
      <c r="AB4970" s="18"/>
      <c r="AC4970" s="18"/>
    </row>
    <row r="4971" spans="1:29" ht="32.25" hidden="1" customHeight="1">
      <c r="A4971" s="17"/>
      <c r="B4971" s="9" t="s">
        <v>13284</v>
      </c>
      <c r="C4971" s="9" t="s">
        <v>13284</v>
      </c>
      <c r="D4971" s="9" t="s">
        <v>13284</v>
      </c>
      <c r="E4971" s="9" t="s">
        <v>13284</v>
      </c>
      <c r="F4971" s="9" t="s">
        <v>13284</v>
      </c>
      <c r="G4971" s="9" t="s">
        <v>13284</v>
      </c>
      <c r="H4971" s="9" t="s">
        <v>13284</v>
      </c>
      <c r="I4971" s="9" t="s">
        <v>13284</v>
      </c>
      <c r="J4971" s="9" t="s">
        <v>13284</v>
      </c>
      <c r="K4971" s="9" t="s">
        <v>13284</v>
      </c>
      <c r="L4971" s="9" t="s">
        <v>13284</v>
      </c>
      <c r="M4971" s="9" t="s">
        <v>13284</v>
      </c>
      <c r="N4971" s="9" t="s">
        <v>13284</v>
      </c>
      <c r="O4971" s="9" t="s">
        <v>13284</v>
      </c>
      <c r="P4971" s="9" t="s">
        <v>13284</v>
      </c>
      <c r="Q4971" s="9" t="s">
        <v>13284</v>
      </c>
      <c r="R4971" s="9" t="s">
        <v>13284</v>
      </c>
      <c r="S4971" s="9" t="s">
        <v>13284</v>
      </c>
      <c r="T4971" s="9" t="str">
        <f ca="1">IFERROR(IF(AND(VLOOKUP(A4971, 'Актуальное состояние (из общего'!A:C,3,0) = "", A4971 &lt;&gt; ""), "ПРОВЕРИТЬ", VLOOKUP(A4971, 'Актуальное состояние (из общего'!A:C,3,0)), "")</f>
        <v/>
      </c>
      <c r="U4971" s="9" t="s">
        <v>13284</v>
      </c>
      <c r="V4971" s="9" t="s">
        <v>13284</v>
      </c>
      <c r="W4971" s="12"/>
      <c r="X4971" s="9" t="str">
        <f t="array" ref="X4971">IFERROR(INDEX('Адреса общежитий (скрытый)'!$B$2:$B$9, MATCH(W4971, 'Адреса общежитий (скрытый)'!$A$2:$A$9, 0)), "")</f>
        <v/>
      </c>
      <c r="Y4971" s="18"/>
      <c r="Z4971" s="18"/>
      <c r="AA4971" s="18"/>
      <c r="AB4971" s="18"/>
      <c r="AC4971" s="18"/>
    </row>
    <row r="4972" spans="1:29" ht="32.25" hidden="1" customHeight="1">
      <c r="A4972" s="17"/>
      <c r="B4972" s="9" t="s">
        <v>13284</v>
      </c>
      <c r="C4972" s="9" t="s">
        <v>13284</v>
      </c>
      <c r="D4972" s="9" t="s">
        <v>13284</v>
      </c>
      <c r="E4972" s="9" t="s">
        <v>13284</v>
      </c>
      <c r="F4972" s="9" t="s">
        <v>13284</v>
      </c>
      <c r="G4972" s="9" t="s">
        <v>13284</v>
      </c>
      <c r="H4972" s="9" t="s">
        <v>13284</v>
      </c>
      <c r="I4972" s="9" t="s">
        <v>13284</v>
      </c>
      <c r="J4972" s="9" t="s">
        <v>13284</v>
      </c>
      <c r="K4972" s="9" t="s">
        <v>13284</v>
      </c>
      <c r="L4972" s="9" t="s">
        <v>13284</v>
      </c>
      <c r="M4972" s="9" t="s">
        <v>13284</v>
      </c>
      <c r="N4972" s="9" t="s">
        <v>13284</v>
      </c>
      <c r="O4972" s="9" t="s">
        <v>13284</v>
      </c>
      <c r="P4972" s="9" t="s">
        <v>13284</v>
      </c>
      <c r="Q4972" s="9" t="s">
        <v>13284</v>
      </c>
      <c r="R4972" s="9" t="s">
        <v>13284</v>
      </c>
      <c r="S4972" s="9" t="s">
        <v>13284</v>
      </c>
      <c r="T4972" s="9" t="str">
        <f ca="1">IFERROR(IF(AND(VLOOKUP(A4972, 'Актуальное состояние (из общего'!A:C,3,0) = "", A4972 &lt;&gt; ""), "ПРОВЕРИТЬ", VLOOKUP(A4972, 'Актуальное состояние (из общего'!A:C,3,0)), "")</f>
        <v/>
      </c>
      <c r="U4972" s="9" t="s">
        <v>13284</v>
      </c>
      <c r="V4972" s="9" t="s">
        <v>13284</v>
      </c>
      <c r="W4972" s="12"/>
      <c r="X4972" s="9" t="str">
        <f t="array" ref="X4972">IFERROR(INDEX('Адреса общежитий (скрытый)'!$B$2:$B$9, MATCH(W4972, 'Адреса общежитий (скрытый)'!$A$2:$A$9, 0)), "")</f>
        <v/>
      </c>
      <c r="Y4972" s="18"/>
      <c r="Z4972" s="18"/>
      <c r="AA4972" s="18"/>
      <c r="AB4972" s="18"/>
      <c r="AC4972" s="18"/>
    </row>
    <row r="4973" spans="1:29" ht="32.25" hidden="1" customHeight="1">
      <c r="A4973" s="17"/>
      <c r="B4973" s="9" t="s">
        <v>13284</v>
      </c>
      <c r="C4973" s="9" t="s">
        <v>13284</v>
      </c>
      <c r="D4973" s="9" t="s">
        <v>13284</v>
      </c>
      <c r="E4973" s="9" t="s">
        <v>13284</v>
      </c>
      <c r="F4973" s="9" t="s">
        <v>13284</v>
      </c>
      <c r="G4973" s="9" t="s">
        <v>13284</v>
      </c>
      <c r="H4973" s="9" t="s">
        <v>13284</v>
      </c>
      <c r="I4973" s="9" t="s">
        <v>13284</v>
      </c>
      <c r="J4973" s="9" t="s">
        <v>13284</v>
      </c>
      <c r="K4973" s="9" t="s">
        <v>13284</v>
      </c>
      <c r="L4973" s="9" t="s">
        <v>13284</v>
      </c>
      <c r="M4973" s="9" t="s">
        <v>13284</v>
      </c>
      <c r="N4973" s="9" t="s">
        <v>13284</v>
      </c>
      <c r="O4973" s="9" t="s">
        <v>13284</v>
      </c>
      <c r="P4973" s="9" t="s">
        <v>13284</v>
      </c>
      <c r="Q4973" s="9" t="s">
        <v>13284</v>
      </c>
      <c r="R4973" s="9" t="s">
        <v>13284</v>
      </c>
      <c r="S4973" s="9" t="s">
        <v>13284</v>
      </c>
      <c r="T4973" s="9" t="str">
        <f ca="1">IFERROR(IF(AND(VLOOKUP(A4973, 'Актуальное состояние (из общего'!A:C,3,0) = "", A4973 &lt;&gt; ""), "ПРОВЕРИТЬ", VLOOKUP(A4973, 'Актуальное состояние (из общего'!A:C,3,0)), "")</f>
        <v/>
      </c>
      <c r="U4973" s="9" t="s">
        <v>13284</v>
      </c>
      <c r="V4973" s="9" t="s">
        <v>13284</v>
      </c>
      <c r="W4973" s="12"/>
      <c r="X4973" s="9" t="str">
        <f t="array" ref="X4973">IFERROR(INDEX('Адреса общежитий (скрытый)'!$B$2:$B$9, MATCH(W4973, 'Адреса общежитий (скрытый)'!$A$2:$A$9, 0)), "")</f>
        <v/>
      </c>
      <c r="Y4973" s="18"/>
      <c r="Z4973" s="18"/>
      <c r="AA4973" s="18"/>
      <c r="AB4973" s="18"/>
      <c r="AC4973" s="18"/>
    </row>
    <row r="4974" spans="1:29" ht="32.25" hidden="1" customHeight="1">
      <c r="A4974" s="17"/>
      <c r="B4974" s="9" t="s">
        <v>13284</v>
      </c>
      <c r="C4974" s="9" t="s">
        <v>13284</v>
      </c>
      <c r="D4974" s="9" t="s">
        <v>13284</v>
      </c>
      <c r="E4974" s="9" t="s">
        <v>13284</v>
      </c>
      <c r="F4974" s="9" t="s">
        <v>13284</v>
      </c>
      <c r="G4974" s="9" t="s">
        <v>13284</v>
      </c>
      <c r="H4974" s="9" t="s">
        <v>13284</v>
      </c>
      <c r="I4974" s="9" t="s">
        <v>13284</v>
      </c>
      <c r="J4974" s="9" t="s">
        <v>13284</v>
      </c>
      <c r="K4974" s="9" t="s">
        <v>13284</v>
      </c>
      <c r="L4974" s="9" t="s">
        <v>13284</v>
      </c>
      <c r="M4974" s="9" t="s">
        <v>13284</v>
      </c>
      <c r="N4974" s="9" t="s">
        <v>13284</v>
      </c>
      <c r="O4974" s="9" t="s">
        <v>13284</v>
      </c>
      <c r="P4974" s="9" t="s">
        <v>13284</v>
      </c>
      <c r="Q4974" s="9" t="s">
        <v>13284</v>
      </c>
      <c r="R4974" s="9" t="s">
        <v>13284</v>
      </c>
      <c r="S4974" s="9" t="s">
        <v>13284</v>
      </c>
      <c r="T4974" s="9" t="str">
        <f ca="1">IFERROR(IF(AND(VLOOKUP(A4974, 'Актуальное состояние (из общего'!A:C,3,0) = "", A4974 &lt;&gt; ""), "ПРОВЕРИТЬ", VLOOKUP(A4974, 'Актуальное состояние (из общего'!A:C,3,0)), "")</f>
        <v/>
      </c>
      <c r="U4974" s="9" t="s">
        <v>13284</v>
      </c>
      <c r="V4974" s="9" t="s">
        <v>13284</v>
      </c>
      <c r="W4974" s="12"/>
      <c r="X4974" s="9" t="str">
        <f t="array" ref="X4974">IFERROR(INDEX('Адреса общежитий (скрытый)'!$B$2:$B$9, MATCH(W4974, 'Адреса общежитий (скрытый)'!$A$2:$A$9, 0)), "")</f>
        <v/>
      </c>
      <c r="Y4974" s="18"/>
      <c r="Z4974" s="18"/>
      <c r="AA4974" s="18"/>
      <c r="AB4974" s="18"/>
      <c r="AC4974" s="18"/>
    </row>
    <row r="4975" spans="1:29" ht="32.25" hidden="1" customHeight="1">
      <c r="A4975" s="17"/>
      <c r="B4975" s="9" t="s">
        <v>13284</v>
      </c>
      <c r="C4975" s="9" t="s">
        <v>13284</v>
      </c>
      <c r="D4975" s="9" t="s">
        <v>13284</v>
      </c>
      <c r="E4975" s="9" t="s">
        <v>13284</v>
      </c>
      <c r="F4975" s="9" t="s">
        <v>13284</v>
      </c>
      <c r="G4975" s="9" t="s">
        <v>13284</v>
      </c>
      <c r="H4975" s="9" t="s">
        <v>13284</v>
      </c>
      <c r="I4975" s="9" t="s">
        <v>13284</v>
      </c>
      <c r="J4975" s="9" t="s">
        <v>13284</v>
      </c>
      <c r="K4975" s="9" t="s">
        <v>13284</v>
      </c>
      <c r="L4975" s="9" t="s">
        <v>13284</v>
      </c>
      <c r="M4975" s="9" t="s">
        <v>13284</v>
      </c>
      <c r="N4975" s="9" t="s">
        <v>13284</v>
      </c>
      <c r="O4975" s="9" t="s">
        <v>13284</v>
      </c>
      <c r="P4975" s="9" t="s">
        <v>13284</v>
      </c>
      <c r="Q4975" s="9" t="s">
        <v>13284</v>
      </c>
      <c r="R4975" s="9" t="s">
        <v>13284</v>
      </c>
      <c r="S4975" s="9" t="s">
        <v>13284</v>
      </c>
      <c r="T4975" s="9" t="str">
        <f ca="1">IFERROR(IF(AND(VLOOKUP(A4975, 'Актуальное состояние (из общего'!A:C,3,0) = "", A4975 &lt;&gt; ""), "ПРОВЕРИТЬ", VLOOKUP(A4975, 'Актуальное состояние (из общего'!A:C,3,0)), "")</f>
        <v/>
      </c>
      <c r="U4975" s="9" t="s">
        <v>13284</v>
      </c>
      <c r="V4975" s="9" t="s">
        <v>13284</v>
      </c>
      <c r="W4975" s="12"/>
      <c r="X4975" s="9" t="str">
        <f t="array" ref="X4975">IFERROR(INDEX('Адреса общежитий (скрытый)'!$B$2:$B$9, MATCH(W4975, 'Адреса общежитий (скрытый)'!$A$2:$A$9, 0)), "")</f>
        <v/>
      </c>
      <c r="Y4975" s="18"/>
      <c r="Z4975" s="18"/>
      <c r="AA4975" s="18"/>
      <c r="AB4975" s="18"/>
      <c r="AC4975" s="18"/>
    </row>
    <row r="4976" spans="1:29" ht="32.25" hidden="1" customHeight="1">
      <c r="A4976" s="17"/>
      <c r="B4976" s="9" t="s">
        <v>13284</v>
      </c>
      <c r="C4976" s="9" t="s">
        <v>13284</v>
      </c>
      <c r="D4976" s="9" t="s">
        <v>13284</v>
      </c>
      <c r="E4976" s="9" t="s">
        <v>13284</v>
      </c>
      <c r="F4976" s="9" t="s">
        <v>13284</v>
      </c>
      <c r="G4976" s="9" t="s">
        <v>13284</v>
      </c>
      <c r="H4976" s="9" t="s">
        <v>13284</v>
      </c>
      <c r="I4976" s="9" t="s">
        <v>13284</v>
      </c>
      <c r="J4976" s="9" t="s">
        <v>13284</v>
      </c>
      <c r="K4976" s="9" t="s">
        <v>13284</v>
      </c>
      <c r="L4976" s="9" t="s">
        <v>13284</v>
      </c>
      <c r="M4976" s="9" t="s">
        <v>13284</v>
      </c>
      <c r="N4976" s="9" t="s">
        <v>13284</v>
      </c>
      <c r="O4976" s="9" t="s">
        <v>13284</v>
      </c>
      <c r="P4976" s="9" t="s">
        <v>13284</v>
      </c>
      <c r="Q4976" s="9" t="s">
        <v>13284</v>
      </c>
      <c r="R4976" s="9" t="s">
        <v>13284</v>
      </c>
      <c r="S4976" s="9" t="s">
        <v>13284</v>
      </c>
      <c r="T4976" s="9" t="str">
        <f ca="1">IFERROR(IF(AND(VLOOKUP(A4976, 'Актуальное состояние (из общего'!A:C,3,0) = "", A4976 &lt;&gt; ""), "ПРОВЕРИТЬ", VLOOKUP(A4976, 'Актуальное состояние (из общего'!A:C,3,0)), "")</f>
        <v/>
      </c>
      <c r="U4976" s="9" t="s">
        <v>13284</v>
      </c>
      <c r="V4976" s="9" t="s">
        <v>13284</v>
      </c>
      <c r="W4976" s="12"/>
      <c r="X4976" s="9" t="str">
        <f t="array" ref="X4976">IFERROR(INDEX('Адреса общежитий (скрытый)'!$B$2:$B$9, MATCH(W4976, 'Адреса общежитий (скрытый)'!$A$2:$A$9, 0)), "")</f>
        <v/>
      </c>
      <c r="Y4976" s="18"/>
      <c r="Z4976" s="18"/>
      <c r="AA4976" s="18"/>
      <c r="AB4976" s="18"/>
      <c r="AC4976" s="18"/>
    </row>
    <row r="4977" spans="1:29" ht="32.25" hidden="1" customHeight="1">
      <c r="A4977" s="17"/>
      <c r="B4977" s="9" t="s">
        <v>13284</v>
      </c>
      <c r="C4977" s="9" t="s">
        <v>13284</v>
      </c>
      <c r="D4977" s="9" t="s">
        <v>13284</v>
      </c>
      <c r="E4977" s="9" t="s">
        <v>13284</v>
      </c>
      <c r="F4977" s="9" t="s">
        <v>13284</v>
      </c>
      <c r="G4977" s="9" t="s">
        <v>13284</v>
      </c>
      <c r="H4977" s="9" t="s">
        <v>13284</v>
      </c>
      <c r="I4977" s="9" t="s">
        <v>13284</v>
      </c>
      <c r="J4977" s="9" t="s">
        <v>13284</v>
      </c>
      <c r="K4977" s="9" t="s">
        <v>13284</v>
      </c>
      <c r="L4977" s="9" t="s">
        <v>13284</v>
      </c>
      <c r="M4977" s="9" t="s">
        <v>13284</v>
      </c>
      <c r="N4977" s="9" t="s">
        <v>13284</v>
      </c>
      <c r="O4977" s="9" t="s">
        <v>13284</v>
      </c>
      <c r="P4977" s="9" t="s">
        <v>13284</v>
      </c>
      <c r="Q4977" s="9" t="s">
        <v>13284</v>
      </c>
      <c r="R4977" s="9" t="s">
        <v>13284</v>
      </c>
      <c r="S4977" s="9" t="s">
        <v>13284</v>
      </c>
      <c r="T4977" s="9" t="str">
        <f ca="1">IFERROR(IF(AND(VLOOKUP(A4977, 'Актуальное состояние (из общего'!A:C,3,0) = "", A4977 &lt;&gt; ""), "ПРОВЕРИТЬ", VLOOKUP(A4977, 'Актуальное состояние (из общего'!A:C,3,0)), "")</f>
        <v/>
      </c>
      <c r="U4977" s="9" t="s">
        <v>13284</v>
      </c>
      <c r="V4977" s="9" t="s">
        <v>13284</v>
      </c>
      <c r="W4977" s="12"/>
      <c r="X4977" s="9" t="str">
        <f t="array" ref="X4977">IFERROR(INDEX('Адреса общежитий (скрытый)'!$B$2:$B$9, MATCH(W4977, 'Адреса общежитий (скрытый)'!$A$2:$A$9, 0)), "")</f>
        <v/>
      </c>
      <c r="Y4977" s="18"/>
      <c r="Z4977" s="18"/>
      <c r="AA4977" s="18"/>
      <c r="AB4977" s="18"/>
      <c r="AC4977" s="18"/>
    </row>
    <row r="4978" spans="1:29" ht="32.25" hidden="1" customHeight="1">
      <c r="A4978" s="17"/>
      <c r="B4978" s="9" t="s">
        <v>13284</v>
      </c>
      <c r="C4978" s="9" t="s">
        <v>13284</v>
      </c>
      <c r="D4978" s="9" t="s">
        <v>13284</v>
      </c>
      <c r="E4978" s="9" t="s">
        <v>13284</v>
      </c>
      <c r="F4978" s="9" t="s">
        <v>13284</v>
      </c>
      <c r="G4978" s="9" t="s">
        <v>13284</v>
      </c>
      <c r="H4978" s="9" t="s">
        <v>13284</v>
      </c>
      <c r="I4978" s="9" t="s">
        <v>13284</v>
      </c>
      <c r="J4978" s="9" t="s">
        <v>13284</v>
      </c>
      <c r="K4978" s="9" t="s">
        <v>13284</v>
      </c>
      <c r="L4978" s="9" t="s">
        <v>13284</v>
      </c>
      <c r="M4978" s="9" t="s">
        <v>13284</v>
      </c>
      <c r="N4978" s="9" t="s">
        <v>13284</v>
      </c>
      <c r="O4978" s="9" t="s">
        <v>13284</v>
      </c>
      <c r="P4978" s="9" t="s">
        <v>13284</v>
      </c>
      <c r="Q4978" s="9" t="s">
        <v>13284</v>
      </c>
      <c r="R4978" s="9" t="s">
        <v>13284</v>
      </c>
      <c r="S4978" s="9" t="s">
        <v>13284</v>
      </c>
      <c r="T4978" s="9" t="str">
        <f ca="1">IFERROR(IF(AND(VLOOKUP(A4978, 'Актуальное состояние (из общего'!A:C,3,0) = "", A4978 &lt;&gt; ""), "ПРОВЕРИТЬ", VLOOKUP(A4978, 'Актуальное состояние (из общего'!A:C,3,0)), "")</f>
        <v/>
      </c>
      <c r="U4978" s="9" t="s">
        <v>13284</v>
      </c>
      <c r="V4978" s="9" t="s">
        <v>13284</v>
      </c>
      <c r="W4978" s="12"/>
      <c r="X4978" s="9" t="str">
        <f t="array" ref="X4978">IFERROR(INDEX('Адреса общежитий (скрытый)'!$B$2:$B$9, MATCH(W4978, 'Адреса общежитий (скрытый)'!$A$2:$A$9, 0)), "")</f>
        <v/>
      </c>
      <c r="Y4978" s="18"/>
      <c r="Z4978" s="18"/>
      <c r="AA4978" s="18"/>
      <c r="AB4978" s="18"/>
      <c r="AC4978" s="18"/>
    </row>
    <row r="4979" spans="1:29" ht="32.25" hidden="1" customHeight="1">
      <c r="A4979" s="17"/>
      <c r="B4979" s="9" t="s">
        <v>13284</v>
      </c>
      <c r="C4979" s="9" t="s">
        <v>13284</v>
      </c>
      <c r="D4979" s="9" t="s">
        <v>13284</v>
      </c>
      <c r="E4979" s="9" t="s">
        <v>13284</v>
      </c>
      <c r="F4979" s="9" t="s">
        <v>13284</v>
      </c>
      <c r="G4979" s="9" t="s">
        <v>13284</v>
      </c>
      <c r="H4979" s="9" t="s">
        <v>13284</v>
      </c>
      <c r="I4979" s="9" t="s">
        <v>13284</v>
      </c>
      <c r="J4979" s="9" t="s">
        <v>13284</v>
      </c>
      <c r="K4979" s="9" t="s">
        <v>13284</v>
      </c>
      <c r="L4979" s="9" t="s">
        <v>13284</v>
      </c>
      <c r="M4979" s="9" t="s">
        <v>13284</v>
      </c>
      <c r="N4979" s="9" t="s">
        <v>13284</v>
      </c>
      <c r="O4979" s="9" t="s">
        <v>13284</v>
      </c>
      <c r="P4979" s="9" t="s">
        <v>13284</v>
      </c>
      <c r="Q4979" s="9" t="s">
        <v>13284</v>
      </c>
      <c r="R4979" s="9" t="s">
        <v>13284</v>
      </c>
      <c r="S4979" s="9" t="s">
        <v>13284</v>
      </c>
      <c r="T4979" s="9" t="str">
        <f ca="1">IFERROR(IF(AND(VLOOKUP(A4979, 'Актуальное состояние (из общего'!A:C,3,0) = "", A4979 &lt;&gt; ""), "ПРОВЕРИТЬ", VLOOKUP(A4979, 'Актуальное состояние (из общего'!A:C,3,0)), "")</f>
        <v/>
      </c>
      <c r="U4979" s="9" t="s">
        <v>13284</v>
      </c>
      <c r="V4979" s="9" t="s">
        <v>13284</v>
      </c>
      <c r="W4979" s="12"/>
      <c r="X4979" s="9" t="str">
        <f t="array" ref="X4979">IFERROR(INDEX('Адреса общежитий (скрытый)'!$B$2:$B$9, MATCH(W4979, 'Адреса общежитий (скрытый)'!$A$2:$A$9, 0)), "")</f>
        <v/>
      </c>
      <c r="Y4979" s="18"/>
      <c r="Z4979" s="18"/>
      <c r="AA4979" s="18"/>
      <c r="AB4979" s="18"/>
      <c r="AC4979" s="18"/>
    </row>
    <row r="4980" spans="1:29" ht="32.25" hidden="1" customHeight="1">
      <c r="A4980" s="17"/>
      <c r="B4980" s="9" t="s">
        <v>13284</v>
      </c>
      <c r="C4980" s="9" t="s">
        <v>13284</v>
      </c>
      <c r="D4980" s="9" t="s">
        <v>13284</v>
      </c>
      <c r="E4980" s="9" t="s">
        <v>13284</v>
      </c>
      <c r="F4980" s="9" t="s">
        <v>13284</v>
      </c>
      <c r="G4980" s="9" t="s">
        <v>13284</v>
      </c>
      <c r="H4980" s="9" t="s">
        <v>13284</v>
      </c>
      <c r="I4980" s="9" t="s">
        <v>13284</v>
      </c>
      <c r="J4980" s="9" t="s">
        <v>13284</v>
      </c>
      <c r="K4980" s="9" t="s">
        <v>13284</v>
      </c>
      <c r="L4980" s="9" t="s">
        <v>13284</v>
      </c>
      <c r="M4980" s="9" t="s">
        <v>13284</v>
      </c>
      <c r="N4980" s="9" t="s">
        <v>13284</v>
      </c>
      <c r="O4980" s="9" t="s">
        <v>13284</v>
      </c>
      <c r="P4980" s="9" t="s">
        <v>13284</v>
      </c>
      <c r="Q4980" s="9" t="s">
        <v>13284</v>
      </c>
      <c r="R4980" s="9" t="s">
        <v>13284</v>
      </c>
      <c r="S4980" s="9" t="s">
        <v>13284</v>
      </c>
      <c r="T4980" s="9" t="str">
        <f ca="1">IFERROR(IF(AND(VLOOKUP(A4980, 'Актуальное состояние (из общего'!A:C,3,0) = "", A4980 &lt;&gt; ""), "ПРОВЕРИТЬ", VLOOKUP(A4980, 'Актуальное состояние (из общего'!A:C,3,0)), "")</f>
        <v/>
      </c>
      <c r="U4980" s="9" t="s">
        <v>13284</v>
      </c>
      <c r="V4980" s="9" t="s">
        <v>13284</v>
      </c>
      <c r="W4980" s="12"/>
      <c r="X4980" s="9" t="str">
        <f t="array" ref="X4980">IFERROR(INDEX('Адреса общежитий (скрытый)'!$B$2:$B$9, MATCH(W4980, 'Адреса общежитий (скрытый)'!$A$2:$A$9, 0)), "")</f>
        <v/>
      </c>
      <c r="Y4980" s="18"/>
      <c r="Z4980" s="18"/>
      <c r="AA4980" s="18"/>
      <c r="AB4980" s="18"/>
      <c r="AC4980" s="18"/>
    </row>
    <row r="4981" spans="1:29" ht="32.25" hidden="1" customHeight="1">
      <c r="A4981" s="17"/>
      <c r="B4981" s="9" t="s">
        <v>13284</v>
      </c>
      <c r="C4981" s="9" t="s">
        <v>13284</v>
      </c>
      <c r="D4981" s="9" t="s">
        <v>13284</v>
      </c>
      <c r="E4981" s="9" t="s">
        <v>13284</v>
      </c>
      <c r="F4981" s="9" t="s">
        <v>13284</v>
      </c>
      <c r="G4981" s="9" t="s">
        <v>13284</v>
      </c>
      <c r="H4981" s="9" t="s">
        <v>13284</v>
      </c>
      <c r="I4981" s="9" t="s">
        <v>13284</v>
      </c>
      <c r="J4981" s="9" t="s">
        <v>13284</v>
      </c>
      <c r="K4981" s="9" t="s">
        <v>13284</v>
      </c>
      <c r="L4981" s="9" t="s">
        <v>13284</v>
      </c>
      <c r="M4981" s="9" t="s">
        <v>13284</v>
      </c>
      <c r="N4981" s="9" t="s">
        <v>13284</v>
      </c>
      <c r="O4981" s="9" t="s">
        <v>13284</v>
      </c>
      <c r="P4981" s="9" t="s">
        <v>13284</v>
      </c>
      <c r="Q4981" s="9" t="s">
        <v>13284</v>
      </c>
      <c r="R4981" s="9" t="s">
        <v>13284</v>
      </c>
      <c r="S4981" s="9" t="s">
        <v>13284</v>
      </c>
      <c r="T4981" s="9" t="str">
        <f ca="1">IFERROR(IF(AND(VLOOKUP(A4981, 'Актуальное состояние (из общего'!A:C,3,0) = "", A4981 &lt;&gt; ""), "ПРОВЕРИТЬ", VLOOKUP(A4981, 'Актуальное состояние (из общего'!A:C,3,0)), "")</f>
        <v/>
      </c>
      <c r="U4981" s="9" t="s">
        <v>13284</v>
      </c>
      <c r="V4981" s="9" t="s">
        <v>13284</v>
      </c>
      <c r="W4981" s="12"/>
      <c r="X4981" s="9" t="str">
        <f t="array" ref="X4981">IFERROR(INDEX('Адреса общежитий (скрытый)'!$B$2:$B$9, MATCH(W4981, 'Адреса общежитий (скрытый)'!$A$2:$A$9, 0)), "")</f>
        <v/>
      </c>
      <c r="Y4981" s="18"/>
      <c r="Z4981" s="18"/>
      <c r="AA4981" s="18"/>
      <c r="AB4981" s="18"/>
      <c r="AC4981" s="18"/>
    </row>
    <row r="4982" spans="1:29" ht="32.25" hidden="1" customHeight="1">
      <c r="A4982" s="17"/>
      <c r="B4982" s="9" t="s">
        <v>13284</v>
      </c>
      <c r="C4982" s="9" t="s">
        <v>13284</v>
      </c>
      <c r="D4982" s="9" t="s">
        <v>13284</v>
      </c>
      <c r="E4982" s="9" t="s">
        <v>13284</v>
      </c>
      <c r="F4982" s="9" t="s">
        <v>13284</v>
      </c>
      <c r="G4982" s="9" t="s">
        <v>13284</v>
      </c>
      <c r="H4982" s="9" t="s">
        <v>13284</v>
      </c>
      <c r="I4982" s="9" t="s">
        <v>13284</v>
      </c>
      <c r="J4982" s="9" t="s">
        <v>13284</v>
      </c>
      <c r="K4982" s="9" t="s">
        <v>13284</v>
      </c>
      <c r="L4982" s="9" t="s">
        <v>13284</v>
      </c>
      <c r="M4982" s="9" t="s">
        <v>13284</v>
      </c>
      <c r="N4982" s="9" t="s">
        <v>13284</v>
      </c>
      <c r="O4982" s="9" t="s">
        <v>13284</v>
      </c>
      <c r="P4982" s="9" t="s">
        <v>13284</v>
      </c>
      <c r="Q4982" s="9" t="s">
        <v>13284</v>
      </c>
      <c r="R4982" s="9" t="s">
        <v>13284</v>
      </c>
      <c r="S4982" s="9" t="s">
        <v>13284</v>
      </c>
      <c r="T4982" s="9" t="str">
        <f ca="1">IFERROR(IF(AND(VLOOKUP(A4982, 'Актуальное состояние (из общего'!A:C,3,0) = "", A4982 &lt;&gt; ""), "ПРОВЕРИТЬ", VLOOKUP(A4982, 'Актуальное состояние (из общего'!A:C,3,0)), "")</f>
        <v/>
      </c>
      <c r="U4982" s="9" t="s">
        <v>13284</v>
      </c>
      <c r="V4982" s="9" t="s">
        <v>13284</v>
      </c>
      <c r="W4982" s="12"/>
      <c r="X4982" s="9" t="str">
        <f t="array" ref="X4982">IFERROR(INDEX('Адреса общежитий (скрытый)'!$B$2:$B$9, MATCH(W4982, 'Адреса общежитий (скрытый)'!$A$2:$A$9, 0)), "")</f>
        <v/>
      </c>
      <c r="Y4982" s="18"/>
      <c r="Z4982" s="18"/>
      <c r="AA4982" s="18"/>
      <c r="AB4982" s="18"/>
      <c r="AC4982" s="18"/>
    </row>
    <row r="4983" spans="1:29" ht="32.25" hidden="1" customHeight="1">
      <c r="A4983" s="17"/>
      <c r="B4983" s="9" t="s">
        <v>13284</v>
      </c>
      <c r="C4983" s="9" t="s">
        <v>13284</v>
      </c>
      <c r="D4983" s="9" t="s">
        <v>13284</v>
      </c>
      <c r="E4983" s="9" t="s">
        <v>13284</v>
      </c>
      <c r="F4983" s="9" t="s">
        <v>13284</v>
      </c>
      <c r="G4983" s="9" t="s">
        <v>13284</v>
      </c>
      <c r="H4983" s="9" t="s">
        <v>13284</v>
      </c>
      <c r="I4983" s="9" t="s">
        <v>13284</v>
      </c>
      <c r="J4983" s="9" t="s">
        <v>13284</v>
      </c>
      <c r="K4983" s="9" t="s">
        <v>13284</v>
      </c>
      <c r="L4983" s="9" t="s">
        <v>13284</v>
      </c>
      <c r="M4983" s="9" t="s">
        <v>13284</v>
      </c>
      <c r="N4983" s="9" t="s">
        <v>13284</v>
      </c>
      <c r="O4983" s="9" t="s">
        <v>13284</v>
      </c>
      <c r="P4983" s="9" t="s">
        <v>13284</v>
      </c>
      <c r="Q4983" s="9" t="s">
        <v>13284</v>
      </c>
      <c r="R4983" s="9" t="s">
        <v>13284</v>
      </c>
      <c r="S4983" s="9" t="s">
        <v>13284</v>
      </c>
      <c r="T4983" s="9" t="str">
        <f ca="1">IFERROR(IF(AND(VLOOKUP(A4983, 'Актуальное состояние (из общего'!A:C,3,0) = "", A4983 &lt;&gt; ""), "ПРОВЕРИТЬ", VLOOKUP(A4983, 'Актуальное состояние (из общего'!A:C,3,0)), "")</f>
        <v/>
      </c>
      <c r="U4983" s="9" t="s">
        <v>13284</v>
      </c>
      <c r="V4983" s="9" t="s">
        <v>13284</v>
      </c>
      <c r="W4983" s="12"/>
      <c r="X4983" s="9" t="str">
        <f t="array" ref="X4983">IFERROR(INDEX('Адреса общежитий (скрытый)'!$B$2:$B$9, MATCH(W4983, 'Адреса общежитий (скрытый)'!$A$2:$A$9, 0)), "")</f>
        <v/>
      </c>
      <c r="Y4983" s="18"/>
      <c r="Z4983" s="18"/>
      <c r="AA4983" s="18"/>
      <c r="AB4983" s="18"/>
      <c r="AC4983" s="18"/>
    </row>
    <row r="4984" spans="1:29" ht="32.25" hidden="1" customHeight="1">
      <c r="A4984" s="17"/>
      <c r="B4984" s="9" t="s">
        <v>13284</v>
      </c>
      <c r="C4984" s="9" t="s">
        <v>13284</v>
      </c>
      <c r="D4984" s="9" t="s">
        <v>13284</v>
      </c>
      <c r="E4984" s="9" t="s">
        <v>13284</v>
      </c>
      <c r="F4984" s="9" t="s">
        <v>13284</v>
      </c>
      <c r="G4984" s="9" t="s">
        <v>13284</v>
      </c>
      <c r="H4984" s="9" t="s">
        <v>13284</v>
      </c>
      <c r="I4984" s="9" t="s">
        <v>13284</v>
      </c>
      <c r="J4984" s="9" t="s">
        <v>13284</v>
      </c>
      <c r="K4984" s="9" t="s">
        <v>13284</v>
      </c>
      <c r="L4984" s="9" t="s">
        <v>13284</v>
      </c>
      <c r="M4984" s="9" t="s">
        <v>13284</v>
      </c>
      <c r="N4984" s="9" t="s">
        <v>13284</v>
      </c>
      <c r="O4984" s="9" t="s">
        <v>13284</v>
      </c>
      <c r="P4984" s="9" t="s">
        <v>13284</v>
      </c>
      <c r="Q4984" s="9" t="s">
        <v>13284</v>
      </c>
      <c r="R4984" s="9" t="s">
        <v>13284</v>
      </c>
      <c r="S4984" s="9" t="s">
        <v>13284</v>
      </c>
      <c r="T4984" s="9" t="str">
        <f ca="1">IFERROR(IF(AND(VLOOKUP(A4984, 'Актуальное состояние (из общего'!A:C,3,0) = "", A4984 &lt;&gt; ""), "ПРОВЕРИТЬ", VLOOKUP(A4984, 'Актуальное состояние (из общего'!A:C,3,0)), "")</f>
        <v/>
      </c>
      <c r="U4984" s="9" t="s">
        <v>13284</v>
      </c>
      <c r="V4984" s="9" t="s">
        <v>13284</v>
      </c>
      <c r="W4984" s="12"/>
      <c r="X4984" s="9" t="str">
        <f t="array" ref="X4984">IFERROR(INDEX('Адреса общежитий (скрытый)'!$B$2:$B$9, MATCH(W4984, 'Адреса общежитий (скрытый)'!$A$2:$A$9, 0)), "")</f>
        <v/>
      </c>
      <c r="Y4984" s="18"/>
      <c r="Z4984" s="18"/>
      <c r="AA4984" s="18"/>
      <c r="AB4984" s="18"/>
      <c r="AC4984" s="18"/>
    </row>
    <row r="4985" spans="1:29" ht="32.25" hidden="1" customHeight="1">
      <c r="A4985" s="17"/>
      <c r="B4985" s="9" t="s">
        <v>13284</v>
      </c>
      <c r="C4985" s="9" t="s">
        <v>13284</v>
      </c>
      <c r="D4985" s="9" t="s">
        <v>13284</v>
      </c>
      <c r="E4985" s="9" t="s">
        <v>13284</v>
      </c>
      <c r="F4985" s="9" t="s">
        <v>13284</v>
      </c>
      <c r="G4985" s="9" t="s">
        <v>13284</v>
      </c>
      <c r="H4985" s="9" t="s">
        <v>13284</v>
      </c>
      <c r="I4985" s="9" t="s">
        <v>13284</v>
      </c>
      <c r="J4985" s="9" t="s">
        <v>13284</v>
      </c>
      <c r="K4985" s="9" t="s">
        <v>13284</v>
      </c>
      <c r="L4985" s="9" t="s">
        <v>13284</v>
      </c>
      <c r="M4985" s="9" t="s">
        <v>13284</v>
      </c>
      <c r="N4985" s="9" t="s">
        <v>13284</v>
      </c>
      <c r="O4985" s="9" t="s">
        <v>13284</v>
      </c>
      <c r="P4985" s="9" t="s">
        <v>13284</v>
      </c>
      <c r="Q4985" s="9" t="s">
        <v>13284</v>
      </c>
      <c r="R4985" s="9" t="s">
        <v>13284</v>
      </c>
      <c r="S4985" s="9" t="s">
        <v>13284</v>
      </c>
      <c r="T4985" s="9" t="str">
        <f ca="1">IFERROR(IF(AND(VLOOKUP(A4985, 'Актуальное состояние (из общего'!A:C,3,0) = "", A4985 &lt;&gt; ""), "ПРОВЕРИТЬ", VLOOKUP(A4985, 'Актуальное состояние (из общего'!A:C,3,0)), "")</f>
        <v/>
      </c>
      <c r="U4985" s="9" t="s">
        <v>13284</v>
      </c>
      <c r="V4985" s="9" t="s">
        <v>13284</v>
      </c>
      <c r="W4985" s="12"/>
      <c r="X4985" s="9" t="str">
        <f t="array" ref="X4985">IFERROR(INDEX('Адреса общежитий (скрытый)'!$B$2:$B$9, MATCH(W4985, 'Адреса общежитий (скрытый)'!$A$2:$A$9, 0)), "")</f>
        <v/>
      </c>
      <c r="Y4985" s="18"/>
      <c r="Z4985" s="18"/>
      <c r="AA4985" s="18"/>
      <c r="AB4985" s="18"/>
      <c r="AC4985" s="18"/>
    </row>
    <row r="4986" spans="1:29" ht="32.25" hidden="1" customHeight="1">
      <c r="A4986" s="17"/>
      <c r="B4986" s="9" t="s">
        <v>13284</v>
      </c>
      <c r="C4986" s="9" t="s">
        <v>13284</v>
      </c>
      <c r="D4986" s="9" t="s">
        <v>13284</v>
      </c>
      <c r="E4986" s="9" t="s">
        <v>13284</v>
      </c>
      <c r="F4986" s="9" t="s">
        <v>13284</v>
      </c>
      <c r="G4986" s="9" t="s">
        <v>13284</v>
      </c>
      <c r="H4986" s="9" t="s">
        <v>13284</v>
      </c>
      <c r="I4986" s="9" t="s">
        <v>13284</v>
      </c>
      <c r="J4986" s="9" t="s">
        <v>13284</v>
      </c>
      <c r="K4986" s="9" t="s">
        <v>13284</v>
      </c>
      <c r="L4986" s="9" t="s">
        <v>13284</v>
      </c>
      <c r="M4986" s="9" t="s">
        <v>13284</v>
      </c>
      <c r="N4986" s="9" t="s">
        <v>13284</v>
      </c>
      <c r="O4986" s="9" t="s">
        <v>13284</v>
      </c>
      <c r="P4986" s="9" t="s">
        <v>13284</v>
      </c>
      <c r="Q4986" s="9" t="s">
        <v>13284</v>
      </c>
      <c r="R4986" s="9" t="s">
        <v>13284</v>
      </c>
      <c r="S4986" s="9" t="s">
        <v>13284</v>
      </c>
      <c r="T4986" s="9" t="str">
        <f ca="1">IFERROR(IF(AND(VLOOKUP(A4986, 'Актуальное состояние (из общего'!A:C,3,0) = "", A4986 &lt;&gt; ""), "ПРОВЕРИТЬ", VLOOKUP(A4986, 'Актуальное состояние (из общего'!A:C,3,0)), "")</f>
        <v/>
      </c>
      <c r="U4986" s="9" t="s">
        <v>13284</v>
      </c>
      <c r="V4986" s="9" t="s">
        <v>13284</v>
      </c>
      <c r="W4986" s="12"/>
      <c r="X4986" s="9" t="str">
        <f t="array" ref="X4986">IFERROR(INDEX('Адреса общежитий (скрытый)'!$B$2:$B$9, MATCH(W4986, 'Адреса общежитий (скрытый)'!$A$2:$A$9, 0)), "")</f>
        <v/>
      </c>
      <c r="Y4986" s="18"/>
      <c r="Z4986" s="18"/>
      <c r="AA4986" s="18"/>
      <c r="AB4986" s="18"/>
      <c r="AC4986" s="18"/>
    </row>
    <row r="4987" spans="1:29" ht="32.25" hidden="1" customHeight="1">
      <c r="A4987" s="17"/>
      <c r="B4987" s="9" t="s">
        <v>13284</v>
      </c>
      <c r="C4987" s="9" t="s">
        <v>13284</v>
      </c>
      <c r="D4987" s="9" t="s">
        <v>13284</v>
      </c>
      <c r="E4987" s="9" t="s">
        <v>13284</v>
      </c>
      <c r="F4987" s="9" t="s">
        <v>13284</v>
      </c>
      <c r="G4987" s="9" t="s">
        <v>13284</v>
      </c>
      <c r="H4987" s="9" t="s">
        <v>13284</v>
      </c>
      <c r="I4987" s="9" t="s">
        <v>13284</v>
      </c>
      <c r="J4987" s="9" t="s">
        <v>13284</v>
      </c>
      <c r="K4987" s="9" t="s">
        <v>13284</v>
      </c>
      <c r="L4987" s="9" t="s">
        <v>13284</v>
      </c>
      <c r="M4987" s="9" t="s">
        <v>13284</v>
      </c>
      <c r="N4987" s="9" t="s">
        <v>13284</v>
      </c>
      <c r="O4987" s="9" t="s">
        <v>13284</v>
      </c>
      <c r="P4987" s="9" t="s">
        <v>13284</v>
      </c>
      <c r="Q4987" s="9" t="s">
        <v>13284</v>
      </c>
      <c r="R4987" s="9" t="s">
        <v>13284</v>
      </c>
      <c r="S4987" s="9" t="s">
        <v>13284</v>
      </c>
      <c r="T4987" s="9" t="str">
        <f ca="1">IFERROR(IF(AND(VLOOKUP(A4987, 'Актуальное состояние (из общего'!A:C,3,0) = "", A4987 &lt;&gt; ""), "ПРОВЕРИТЬ", VLOOKUP(A4987, 'Актуальное состояние (из общего'!A:C,3,0)), "")</f>
        <v/>
      </c>
      <c r="U4987" s="9" t="s">
        <v>13284</v>
      </c>
      <c r="V4987" s="9" t="s">
        <v>13284</v>
      </c>
      <c r="W4987" s="12"/>
      <c r="X4987" s="9" t="str">
        <f t="array" ref="X4987">IFERROR(INDEX('Адреса общежитий (скрытый)'!$B$2:$B$9, MATCH(W4987, 'Адреса общежитий (скрытый)'!$A$2:$A$9, 0)), "")</f>
        <v/>
      </c>
      <c r="Y4987" s="18"/>
      <c r="Z4987" s="18"/>
      <c r="AA4987" s="18"/>
      <c r="AB4987" s="18"/>
      <c r="AC4987" s="18"/>
    </row>
    <row r="4988" spans="1:29" ht="32.25" hidden="1" customHeight="1">
      <c r="A4988" s="17"/>
      <c r="B4988" s="9" t="s">
        <v>13284</v>
      </c>
      <c r="C4988" s="9" t="s">
        <v>13284</v>
      </c>
      <c r="D4988" s="9" t="s">
        <v>13284</v>
      </c>
      <c r="E4988" s="9" t="s">
        <v>13284</v>
      </c>
      <c r="F4988" s="9" t="s">
        <v>13284</v>
      </c>
      <c r="G4988" s="9" t="s">
        <v>13284</v>
      </c>
      <c r="H4988" s="9" t="s">
        <v>13284</v>
      </c>
      <c r="I4988" s="9" t="s">
        <v>13284</v>
      </c>
      <c r="J4988" s="9" t="s">
        <v>13284</v>
      </c>
      <c r="K4988" s="9" t="s">
        <v>13284</v>
      </c>
      <c r="L4988" s="9" t="s">
        <v>13284</v>
      </c>
      <c r="M4988" s="9" t="s">
        <v>13284</v>
      </c>
      <c r="N4988" s="9" t="s">
        <v>13284</v>
      </c>
      <c r="O4988" s="9" t="s">
        <v>13284</v>
      </c>
      <c r="P4988" s="9" t="s">
        <v>13284</v>
      </c>
      <c r="Q4988" s="9" t="s">
        <v>13284</v>
      </c>
      <c r="R4988" s="9" t="s">
        <v>13284</v>
      </c>
      <c r="S4988" s="9" t="s">
        <v>13284</v>
      </c>
      <c r="T4988" s="9" t="str">
        <f ca="1">IFERROR(IF(AND(VLOOKUP(A4988, 'Актуальное состояние (из общего'!A:C,3,0) = "", A4988 &lt;&gt; ""), "ПРОВЕРИТЬ", VLOOKUP(A4988, 'Актуальное состояние (из общего'!A:C,3,0)), "")</f>
        <v/>
      </c>
      <c r="U4988" s="9" t="s">
        <v>13284</v>
      </c>
      <c r="V4988" s="9" t="s">
        <v>13284</v>
      </c>
      <c r="W4988" s="12"/>
      <c r="X4988" s="9" t="str">
        <f t="array" ref="X4988">IFERROR(INDEX('Адреса общежитий (скрытый)'!$B$2:$B$9, MATCH(W4988, 'Адреса общежитий (скрытый)'!$A$2:$A$9, 0)), "")</f>
        <v/>
      </c>
      <c r="Y4988" s="18"/>
      <c r="Z4988" s="18"/>
      <c r="AA4988" s="18"/>
      <c r="AB4988" s="18"/>
      <c r="AC4988" s="18"/>
    </row>
    <row r="4989" spans="1:29" ht="32.25" hidden="1" customHeight="1">
      <c r="A4989" s="17"/>
      <c r="B4989" s="9" t="s">
        <v>13284</v>
      </c>
      <c r="C4989" s="9" t="s">
        <v>13284</v>
      </c>
      <c r="D4989" s="9" t="s">
        <v>13284</v>
      </c>
      <c r="E4989" s="9" t="s">
        <v>13284</v>
      </c>
      <c r="F4989" s="9" t="s">
        <v>13284</v>
      </c>
      <c r="G4989" s="9" t="s">
        <v>13284</v>
      </c>
      <c r="H4989" s="9" t="s">
        <v>13284</v>
      </c>
      <c r="I4989" s="9" t="s">
        <v>13284</v>
      </c>
      <c r="J4989" s="9" t="s">
        <v>13284</v>
      </c>
      <c r="K4989" s="9" t="s">
        <v>13284</v>
      </c>
      <c r="L4989" s="9" t="s">
        <v>13284</v>
      </c>
      <c r="M4989" s="9" t="s">
        <v>13284</v>
      </c>
      <c r="N4989" s="9" t="s">
        <v>13284</v>
      </c>
      <c r="O4989" s="9" t="s">
        <v>13284</v>
      </c>
      <c r="P4989" s="9" t="s">
        <v>13284</v>
      </c>
      <c r="Q4989" s="9" t="s">
        <v>13284</v>
      </c>
      <c r="R4989" s="9" t="s">
        <v>13284</v>
      </c>
      <c r="S4989" s="9" t="s">
        <v>13284</v>
      </c>
      <c r="T4989" s="9" t="str">
        <f ca="1">IFERROR(IF(AND(VLOOKUP(A4989, 'Актуальное состояние (из общего'!A:C,3,0) = "", A4989 &lt;&gt; ""), "ПРОВЕРИТЬ", VLOOKUP(A4989, 'Актуальное состояние (из общего'!A:C,3,0)), "")</f>
        <v/>
      </c>
      <c r="U4989" s="9" t="s">
        <v>13284</v>
      </c>
      <c r="V4989" s="9" t="s">
        <v>13284</v>
      </c>
      <c r="W4989" s="12"/>
      <c r="X4989" s="9" t="str">
        <f t="array" ref="X4989">IFERROR(INDEX('Адреса общежитий (скрытый)'!$B$2:$B$9, MATCH(W4989, 'Адреса общежитий (скрытый)'!$A$2:$A$9, 0)), "")</f>
        <v/>
      </c>
      <c r="Y4989" s="18"/>
      <c r="Z4989" s="18"/>
      <c r="AA4989" s="18"/>
      <c r="AB4989" s="18"/>
      <c r="AC4989" s="18"/>
    </row>
    <row r="4990" spans="1:29" ht="32.25" hidden="1" customHeight="1">
      <c r="A4990" s="17"/>
      <c r="B4990" s="9" t="s">
        <v>13284</v>
      </c>
      <c r="C4990" s="9" t="s">
        <v>13284</v>
      </c>
      <c r="D4990" s="9" t="s">
        <v>13284</v>
      </c>
      <c r="E4990" s="9" t="s">
        <v>13284</v>
      </c>
      <c r="F4990" s="9" t="s">
        <v>13284</v>
      </c>
      <c r="G4990" s="9" t="s">
        <v>13284</v>
      </c>
      <c r="H4990" s="9" t="s">
        <v>13284</v>
      </c>
      <c r="I4990" s="9" t="s">
        <v>13284</v>
      </c>
      <c r="J4990" s="9" t="s">
        <v>13284</v>
      </c>
      <c r="K4990" s="9" t="s">
        <v>13284</v>
      </c>
      <c r="L4990" s="9" t="s">
        <v>13284</v>
      </c>
      <c r="M4990" s="9" t="s">
        <v>13284</v>
      </c>
      <c r="N4990" s="9" t="s">
        <v>13284</v>
      </c>
      <c r="O4990" s="9" t="s">
        <v>13284</v>
      </c>
      <c r="P4990" s="9" t="s">
        <v>13284</v>
      </c>
      <c r="Q4990" s="9" t="s">
        <v>13284</v>
      </c>
      <c r="R4990" s="9" t="s">
        <v>13284</v>
      </c>
      <c r="S4990" s="9" t="s">
        <v>13284</v>
      </c>
      <c r="T4990" s="9" t="str">
        <f ca="1">IFERROR(IF(AND(VLOOKUP(A4990, 'Актуальное состояние (из общего'!A:C,3,0) = "", A4990 &lt;&gt; ""), "ПРОВЕРИТЬ", VLOOKUP(A4990, 'Актуальное состояние (из общего'!A:C,3,0)), "")</f>
        <v/>
      </c>
      <c r="U4990" s="9" t="s">
        <v>13284</v>
      </c>
      <c r="V4990" s="9" t="s">
        <v>13284</v>
      </c>
      <c r="W4990" s="12"/>
      <c r="X4990" s="9" t="str">
        <f t="array" ref="X4990">IFERROR(INDEX('Адреса общежитий (скрытый)'!$B$2:$B$9, MATCH(W4990, 'Адреса общежитий (скрытый)'!$A$2:$A$9, 0)), "")</f>
        <v/>
      </c>
      <c r="Y4990" s="18"/>
      <c r="Z4990" s="18"/>
      <c r="AA4990" s="18"/>
      <c r="AB4990" s="18"/>
      <c r="AC4990" s="18"/>
    </row>
    <row r="4991" spans="1:29" ht="32.25" hidden="1" customHeight="1">
      <c r="A4991" s="17"/>
      <c r="B4991" s="9" t="s">
        <v>13284</v>
      </c>
      <c r="C4991" s="9" t="s">
        <v>13284</v>
      </c>
      <c r="D4991" s="9" t="s">
        <v>13284</v>
      </c>
      <c r="E4991" s="9" t="s">
        <v>13284</v>
      </c>
      <c r="F4991" s="9" t="s">
        <v>13284</v>
      </c>
      <c r="G4991" s="9" t="s">
        <v>13284</v>
      </c>
      <c r="H4991" s="9" t="s">
        <v>13284</v>
      </c>
      <c r="I4991" s="9" t="s">
        <v>13284</v>
      </c>
      <c r="J4991" s="9" t="s">
        <v>13284</v>
      </c>
      <c r="K4991" s="9" t="s">
        <v>13284</v>
      </c>
      <c r="L4991" s="9" t="s">
        <v>13284</v>
      </c>
      <c r="M4991" s="9" t="s">
        <v>13284</v>
      </c>
      <c r="N4991" s="9" t="s">
        <v>13284</v>
      </c>
      <c r="O4991" s="9" t="s">
        <v>13284</v>
      </c>
      <c r="P4991" s="9" t="s">
        <v>13284</v>
      </c>
      <c r="Q4991" s="9" t="s">
        <v>13284</v>
      </c>
      <c r="R4991" s="9" t="s">
        <v>13284</v>
      </c>
      <c r="S4991" s="9" t="s">
        <v>13284</v>
      </c>
      <c r="T4991" s="9" t="str">
        <f ca="1">IFERROR(IF(AND(VLOOKUP(A4991, 'Актуальное состояние (из общего'!A:C,3,0) = "", A4991 &lt;&gt; ""), "ПРОВЕРИТЬ", VLOOKUP(A4991, 'Актуальное состояние (из общего'!A:C,3,0)), "")</f>
        <v/>
      </c>
      <c r="U4991" s="9" t="s">
        <v>13284</v>
      </c>
      <c r="V4991" s="9" t="s">
        <v>13284</v>
      </c>
      <c r="W4991" s="12"/>
      <c r="X4991" s="9" t="str">
        <f t="array" ref="X4991">IFERROR(INDEX('Адреса общежитий (скрытый)'!$B$2:$B$9, MATCH(W4991, 'Адреса общежитий (скрытый)'!$A$2:$A$9, 0)), "")</f>
        <v/>
      </c>
      <c r="Y4991" s="18"/>
      <c r="Z4991" s="18"/>
      <c r="AA4991" s="18"/>
      <c r="AB4991" s="18"/>
      <c r="AC4991" s="18"/>
    </row>
    <row r="4992" spans="1:29" ht="32.25" hidden="1" customHeight="1">
      <c r="A4992" s="17"/>
      <c r="B4992" s="9" t="s">
        <v>13284</v>
      </c>
      <c r="C4992" s="9" t="s">
        <v>13284</v>
      </c>
      <c r="D4992" s="9" t="s">
        <v>13284</v>
      </c>
      <c r="E4992" s="9" t="s">
        <v>13284</v>
      </c>
      <c r="F4992" s="9" t="s">
        <v>13284</v>
      </c>
      <c r="G4992" s="9" t="s">
        <v>13284</v>
      </c>
      <c r="H4992" s="9" t="s">
        <v>13284</v>
      </c>
      <c r="I4992" s="9" t="s">
        <v>13284</v>
      </c>
      <c r="J4992" s="9" t="s">
        <v>13284</v>
      </c>
      <c r="K4992" s="9" t="s">
        <v>13284</v>
      </c>
      <c r="L4992" s="9" t="s">
        <v>13284</v>
      </c>
      <c r="M4992" s="9" t="s">
        <v>13284</v>
      </c>
      <c r="N4992" s="9" t="s">
        <v>13284</v>
      </c>
      <c r="O4992" s="9" t="s">
        <v>13284</v>
      </c>
      <c r="P4992" s="9" t="s">
        <v>13284</v>
      </c>
      <c r="Q4992" s="9" t="s">
        <v>13284</v>
      </c>
      <c r="R4992" s="9" t="s">
        <v>13284</v>
      </c>
      <c r="S4992" s="9" t="s">
        <v>13284</v>
      </c>
      <c r="T4992" s="9" t="str">
        <f ca="1">IFERROR(IF(AND(VLOOKUP(A4992, 'Актуальное состояние (из общего'!A:C,3,0) = "", A4992 &lt;&gt; ""), "ПРОВЕРИТЬ", VLOOKUP(A4992, 'Актуальное состояние (из общего'!A:C,3,0)), "")</f>
        <v/>
      </c>
      <c r="U4992" s="9" t="s">
        <v>13284</v>
      </c>
      <c r="V4992" s="9" t="s">
        <v>13284</v>
      </c>
      <c r="W4992" s="12"/>
      <c r="X4992" s="9" t="str">
        <f t="array" ref="X4992">IFERROR(INDEX('Адреса общежитий (скрытый)'!$B$2:$B$9, MATCH(W4992, 'Адреса общежитий (скрытый)'!$A$2:$A$9, 0)), "")</f>
        <v/>
      </c>
      <c r="Y4992" s="18"/>
      <c r="Z4992" s="18"/>
      <c r="AA4992" s="18"/>
      <c r="AB4992" s="18"/>
      <c r="AC4992" s="18"/>
    </row>
    <row r="4993" spans="1:29" ht="32.25" hidden="1" customHeight="1">
      <c r="A4993" s="17"/>
      <c r="B4993" s="9" t="s">
        <v>13284</v>
      </c>
      <c r="C4993" s="9" t="s">
        <v>13284</v>
      </c>
      <c r="D4993" s="9" t="s">
        <v>13284</v>
      </c>
      <c r="E4993" s="9" t="s">
        <v>13284</v>
      </c>
      <c r="F4993" s="9" t="s">
        <v>13284</v>
      </c>
      <c r="G4993" s="9" t="s">
        <v>13284</v>
      </c>
      <c r="H4993" s="9" t="s">
        <v>13284</v>
      </c>
      <c r="I4993" s="9" t="s">
        <v>13284</v>
      </c>
      <c r="J4993" s="9" t="s">
        <v>13284</v>
      </c>
      <c r="K4993" s="9" t="s">
        <v>13284</v>
      </c>
      <c r="L4993" s="9" t="s">
        <v>13284</v>
      </c>
      <c r="M4993" s="9" t="s">
        <v>13284</v>
      </c>
      <c r="N4993" s="9" t="s">
        <v>13284</v>
      </c>
      <c r="O4993" s="9" t="s">
        <v>13284</v>
      </c>
      <c r="P4993" s="9" t="s">
        <v>13284</v>
      </c>
      <c r="Q4993" s="9" t="s">
        <v>13284</v>
      </c>
      <c r="R4993" s="9" t="s">
        <v>13284</v>
      </c>
      <c r="S4993" s="9" t="s">
        <v>13284</v>
      </c>
      <c r="T4993" s="9" t="str">
        <f ca="1">IFERROR(IF(AND(VLOOKUP(A4993, 'Актуальное состояние (из общего'!A:C,3,0) = "", A4993 &lt;&gt; ""), "ПРОВЕРИТЬ", VLOOKUP(A4993, 'Актуальное состояние (из общего'!A:C,3,0)), "")</f>
        <v/>
      </c>
      <c r="U4993" s="9" t="s">
        <v>13284</v>
      </c>
      <c r="V4993" s="9" t="s">
        <v>13284</v>
      </c>
      <c r="W4993" s="12"/>
      <c r="X4993" s="9" t="str">
        <f t="array" ref="X4993">IFERROR(INDEX('Адреса общежитий (скрытый)'!$B$2:$B$9, MATCH(W4993, 'Адреса общежитий (скрытый)'!$A$2:$A$9, 0)), "")</f>
        <v/>
      </c>
      <c r="Y4993" s="18"/>
      <c r="Z4993" s="18"/>
      <c r="AA4993" s="18"/>
      <c r="AB4993" s="18"/>
      <c r="AC4993" s="18"/>
    </row>
    <row r="4994" spans="1:29" ht="32.25" hidden="1" customHeight="1">
      <c r="A4994" s="17"/>
      <c r="B4994" s="9" t="s">
        <v>13284</v>
      </c>
      <c r="C4994" s="9" t="s">
        <v>13284</v>
      </c>
      <c r="D4994" s="9" t="s">
        <v>13284</v>
      </c>
      <c r="E4994" s="9" t="s">
        <v>13284</v>
      </c>
      <c r="F4994" s="9" t="s">
        <v>13284</v>
      </c>
      <c r="G4994" s="9" t="s">
        <v>13284</v>
      </c>
      <c r="H4994" s="9" t="s">
        <v>13284</v>
      </c>
      <c r="I4994" s="9" t="s">
        <v>13284</v>
      </c>
      <c r="J4994" s="9" t="s">
        <v>13284</v>
      </c>
      <c r="K4994" s="9" t="s">
        <v>13284</v>
      </c>
      <c r="L4994" s="9" t="s">
        <v>13284</v>
      </c>
      <c r="M4994" s="9" t="s">
        <v>13284</v>
      </c>
      <c r="N4994" s="9" t="s">
        <v>13284</v>
      </c>
      <c r="O4994" s="9" t="s">
        <v>13284</v>
      </c>
      <c r="P4994" s="9" t="s">
        <v>13284</v>
      </c>
      <c r="Q4994" s="9" t="s">
        <v>13284</v>
      </c>
      <c r="R4994" s="9" t="s">
        <v>13284</v>
      </c>
      <c r="S4994" s="9" t="s">
        <v>13284</v>
      </c>
      <c r="T4994" s="9" t="str">
        <f ca="1">IFERROR(IF(AND(VLOOKUP(A4994, 'Актуальное состояние (из общего'!A:C,3,0) = "", A4994 &lt;&gt; ""), "ПРОВЕРИТЬ", VLOOKUP(A4994, 'Актуальное состояние (из общего'!A:C,3,0)), "")</f>
        <v/>
      </c>
      <c r="U4994" s="9" t="s">
        <v>13284</v>
      </c>
      <c r="V4994" s="9" t="s">
        <v>13284</v>
      </c>
      <c r="W4994" s="12"/>
      <c r="X4994" s="9" t="str">
        <f t="array" ref="X4994">IFERROR(INDEX('Адреса общежитий (скрытый)'!$B$2:$B$9, MATCH(W4994, 'Адреса общежитий (скрытый)'!$A$2:$A$9, 0)), "")</f>
        <v/>
      </c>
      <c r="Y4994" s="18"/>
      <c r="Z4994" s="18"/>
      <c r="AA4994" s="18"/>
      <c r="AB4994" s="18"/>
      <c r="AC4994" s="18"/>
    </row>
    <row r="4995" spans="1:29" ht="32.25" hidden="1" customHeight="1">
      <c r="A4995" s="17"/>
      <c r="B4995" s="9" t="s">
        <v>13284</v>
      </c>
      <c r="C4995" s="9" t="s">
        <v>13284</v>
      </c>
      <c r="D4995" s="9" t="s">
        <v>13284</v>
      </c>
      <c r="E4995" s="9" t="s">
        <v>13284</v>
      </c>
      <c r="F4995" s="9" t="s">
        <v>13284</v>
      </c>
      <c r="G4995" s="9" t="s">
        <v>13284</v>
      </c>
      <c r="H4995" s="9" t="s">
        <v>13284</v>
      </c>
      <c r="I4995" s="9" t="s">
        <v>13284</v>
      </c>
      <c r="J4995" s="9" t="s">
        <v>13284</v>
      </c>
      <c r="K4995" s="9" t="s">
        <v>13284</v>
      </c>
      <c r="L4995" s="9" t="s">
        <v>13284</v>
      </c>
      <c r="M4995" s="9" t="s">
        <v>13284</v>
      </c>
      <c r="N4995" s="9" t="s">
        <v>13284</v>
      </c>
      <c r="O4995" s="9" t="s">
        <v>13284</v>
      </c>
      <c r="P4995" s="9" t="s">
        <v>13284</v>
      </c>
      <c r="Q4995" s="9" t="s">
        <v>13284</v>
      </c>
      <c r="R4995" s="9" t="s">
        <v>13284</v>
      </c>
      <c r="S4995" s="9" t="s">
        <v>13284</v>
      </c>
      <c r="T4995" s="9" t="str">
        <f ca="1">IFERROR(IF(AND(VLOOKUP(A4995, 'Актуальное состояние (из общего'!A:C,3,0) = "", A4995 &lt;&gt; ""), "ПРОВЕРИТЬ", VLOOKUP(A4995, 'Актуальное состояние (из общего'!A:C,3,0)), "")</f>
        <v/>
      </c>
      <c r="U4995" s="9" t="s">
        <v>13284</v>
      </c>
      <c r="V4995" s="9" t="s">
        <v>13284</v>
      </c>
      <c r="W4995" s="12"/>
      <c r="X4995" s="9" t="str">
        <f t="array" ref="X4995">IFERROR(INDEX('Адреса общежитий (скрытый)'!$B$2:$B$9, MATCH(W4995, 'Адреса общежитий (скрытый)'!$A$2:$A$9, 0)), "")</f>
        <v/>
      </c>
      <c r="Y4995" s="18"/>
      <c r="Z4995" s="18"/>
      <c r="AA4995" s="18"/>
      <c r="AB4995" s="18"/>
      <c r="AC4995" s="18"/>
    </row>
    <row r="4996" spans="1:29" ht="32.25" hidden="1" customHeight="1">
      <c r="A4996" s="17"/>
      <c r="B4996" s="9" t="s">
        <v>13284</v>
      </c>
      <c r="C4996" s="9" t="s">
        <v>13284</v>
      </c>
      <c r="D4996" s="9" t="s">
        <v>13284</v>
      </c>
      <c r="E4996" s="9" t="s">
        <v>13284</v>
      </c>
      <c r="F4996" s="9" t="s">
        <v>13284</v>
      </c>
      <c r="G4996" s="9" t="s">
        <v>13284</v>
      </c>
      <c r="H4996" s="9" t="s">
        <v>13284</v>
      </c>
      <c r="I4996" s="9" t="s">
        <v>13284</v>
      </c>
      <c r="J4996" s="9" t="s">
        <v>13284</v>
      </c>
      <c r="K4996" s="9" t="s">
        <v>13284</v>
      </c>
      <c r="L4996" s="9" t="s">
        <v>13284</v>
      </c>
      <c r="M4996" s="9" t="s">
        <v>13284</v>
      </c>
      <c r="N4996" s="9" t="s">
        <v>13284</v>
      </c>
      <c r="O4996" s="9" t="s">
        <v>13284</v>
      </c>
      <c r="P4996" s="9" t="s">
        <v>13284</v>
      </c>
      <c r="Q4996" s="9" t="s">
        <v>13284</v>
      </c>
      <c r="R4996" s="9" t="s">
        <v>13284</v>
      </c>
      <c r="S4996" s="9" t="s">
        <v>13284</v>
      </c>
      <c r="T4996" s="9" t="str">
        <f ca="1">IFERROR(IF(AND(VLOOKUP(A4996, 'Актуальное состояние (из общего'!A:C,3,0) = "", A4996 &lt;&gt; ""), "ПРОВЕРИТЬ", VLOOKUP(A4996, 'Актуальное состояние (из общего'!A:C,3,0)), "")</f>
        <v/>
      </c>
      <c r="U4996" s="9" t="s">
        <v>13284</v>
      </c>
      <c r="V4996" s="9" t="s">
        <v>13284</v>
      </c>
      <c r="W4996" s="12"/>
      <c r="X4996" s="9" t="str">
        <f t="array" ref="X4996">IFERROR(INDEX('Адреса общежитий (скрытый)'!$B$2:$B$9, MATCH(W4996, 'Адреса общежитий (скрытый)'!$A$2:$A$9, 0)), "")</f>
        <v/>
      </c>
      <c r="Y4996" s="18"/>
      <c r="Z4996" s="18"/>
      <c r="AA4996" s="18"/>
      <c r="AB4996" s="18"/>
      <c r="AC4996" s="18"/>
    </row>
    <row r="4997" spans="1:29" ht="32.25" hidden="1" customHeight="1">
      <c r="A4997" s="17"/>
      <c r="B4997" s="9" t="s">
        <v>13284</v>
      </c>
      <c r="C4997" s="9" t="s">
        <v>13284</v>
      </c>
      <c r="D4997" s="9" t="s">
        <v>13284</v>
      </c>
      <c r="E4997" s="9" t="s">
        <v>13284</v>
      </c>
      <c r="F4997" s="9" t="s">
        <v>13284</v>
      </c>
      <c r="G4997" s="9" t="s">
        <v>13284</v>
      </c>
      <c r="H4997" s="9" t="s">
        <v>13284</v>
      </c>
      <c r="I4997" s="9" t="s">
        <v>13284</v>
      </c>
      <c r="J4997" s="9" t="s">
        <v>13284</v>
      </c>
      <c r="K4997" s="9" t="s">
        <v>13284</v>
      </c>
      <c r="L4997" s="9" t="s">
        <v>13284</v>
      </c>
      <c r="M4997" s="9" t="s">
        <v>13284</v>
      </c>
      <c r="N4997" s="9" t="s">
        <v>13284</v>
      </c>
      <c r="O4997" s="9" t="s">
        <v>13284</v>
      </c>
      <c r="P4997" s="9" t="s">
        <v>13284</v>
      </c>
      <c r="Q4997" s="9" t="s">
        <v>13284</v>
      </c>
      <c r="R4997" s="9" t="s">
        <v>13284</v>
      </c>
      <c r="S4997" s="9" t="s">
        <v>13284</v>
      </c>
      <c r="T4997" s="9" t="str">
        <f ca="1">IFERROR(IF(AND(VLOOKUP(A4997, 'Актуальное состояние (из общего'!A:C,3,0) = "", A4997 &lt;&gt; ""), "ПРОВЕРИТЬ", VLOOKUP(A4997, 'Актуальное состояние (из общего'!A:C,3,0)), "")</f>
        <v/>
      </c>
      <c r="U4997" s="9" t="s">
        <v>13284</v>
      </c>
      <c r="V4997" s="9" t="s">
        <v>13284</v>
      </c>
      <c r="W4997" s="12"/>
      <c r="X4997" s="9" t="str">
        <f t="array" ref="X4997">IFERROR(INDEX('Адреса общежитий (скрытый)'!$B$2:$B$9, MATCH(W4997, 'Адреса общежитий (скрытый)'!$A$2:$A$9, 0)), "")</f>
        <v/>
      </c>
      <c r="Y4997" s="18"/>
      <c r="Z4997" s="18"/>
      <c r="AA4997" s="18"/>
      <c r="AB4997" s="18"/>
      <c r="AC4997" s="18"/>
    </row>
    <row r="4998" spans="1:29" ht="32.25" hidden="1" customHeight="1">
      <c r="A4998" s="17"/>
      <c r="B4998" s="9" t="s">
        <v>13284</v>
      </c>
      <c r="C4998" s="9" t="s">
        <v>13284</v>
      </c>
      <c r="D4998" s="9" t="s">
        <v>13284</v>
      </c>
      <c r="E4998" s="9" t="s">
        <v>13284</v>
      </c>
      <c r="F4998" s="9" t="s">
        <v>13284</v>
      </c>
      <c r="G4998" s="9" t="s">
        <v>13284</v>
      </c>
      <c r="H4998" s="9" t="s">
        <v>13284</v>
      </c>
      <c r="I4998" s="9" t="s">
        <v>13284</v>
      </c>
      <c r="J4998" s="9" t="s">
        <v>13284</v>
      </c>
      <c r="K4998" s="9" t="s">
        <v>13284</v>
      </c>
      <c r="L4998" s="9" t="s">
        <v>13284</v>
      </c>
      <c r="M4998" s="9" t="s">
        <v>13284</v>
      </c>
      <c r="N4998" s="9" t="s">
        <v>13284</v>
      </c>
      <c r="O4998" s="9" t="s">
        <v>13284</v>
      </c>
      <c r="P4998" s="9" t="s">
        <v>13284</v>
      </c>
      <c r="Q4998" s="9" t="s">
        <v>13284</v>
      </c>
      <c r="R4998" s="9" t="s">
        <v>13284</v>
      </c>
      <c r="S4998" s="9" t="s">
        <v>13284</v>
      </c>
      <c r="T4998" s="9" t="str">
        <f ca="1">IFERROR(IF(AND(VLOOKUP(A4998, 'Актуальное состояние (из общего'!A:C,3,0) = "", A4998 &lt;&gt; ""), "ПРОВЕРИТЬ", VLOOKUP(A4998, 'Актуальное состояние (из общего'!A:C,3,0)), "")</f>
        <v/>
      </c>
      <c r="U4998" s="9" t="s">
        <v>13284</v>
      </c>
      <c r="V4998" s="9" t="s">
        <v>13284</v>
      </c>
      <c r="W4998" s="12"/>
      <c r="X4998" s="9" t="str">
        <f t="array" ref="X4998">IFERROR(INDEX('Адреса общежитий (скрытый)'!$B$2:$B$9, MATCH(W4998, 'Адреса общежитий (скрытый)'!$A$2:$A$9, 0)), "")</f>
        <v/>
      </c>
      <c r="Y4998" s="18"/>
      <c r="Z4998" s="18"/>
      <c r="AA4998" s="18"/>
      <c r="AB4998" s="18"/>
      <c r="AC4998" s="18"/>
    </row>
    <row r="4999" spans="1:29" ht="32.25" customHeight="1">
      <c r="A4999" s="19"/>
      <c r="B4999" s="20"/>
      <c r="C4999" s="20"/>
      <c r="D4999" s="20"/>
      <c r="E4999" s="20"/>
      <c r="F4999" s="20"/>
      <c r="G4999" s="20"/>
      <c r="H4999" s="20"/>
      <c r="I4999" s="20"/>
      <c r="J4999" s="20"/>
      <c r="K4999" s="20"/>
      <c r="L4999" s="20"/>
      <c r="M4999" s="20"/>
      <c r="N4999" s="20"/>
      <c r="O4999" s="20"/>
      <c r="P4999" s="20"/>
      <c r="Q4999" s="20"/>
      <c r="R4999" s="20"/>
      <c r="S4999" s="20"/>
      <c r="T4999" s="20"/>
      <c r="U4999" s="20"/>
      <c r="V4999" s="20"/>
      <c r="W4999" s="21"/>
      <c r="X4999" s="20"/>
      <c r="Y4999" s="22"/>
      <c r="Z4999" s="22"/>
      <c r="AA4999" s="22"/>
      <c r="AB4999" s="22"/>
      <c r="AC4999" s="22"/>
    </row>
    <row r="5000" spans="1:29" ht="32.25" customHeight="1">
      <c r="A5000" s="19"/>
      <c r="B5000" s="20"/>
      <c r="C5000" s="20"/>
      <c r="D5000" s="20"/>
      <c r="E5000" s="20"/>
      <c r="F5000" s="20"/>
      <c r="G5000" s="20"/>
      <c r="H5000" s="20"/>
      <c r="I5000" s="20"/>
      <c r="J5000" s="20"/>
      <c r="K5000" s="20"/>
      <c r="L5000" s="20"/>
      <c r="M5000" s="20"/>
      <c r="N5000" s="20"/>
      <c r="O5000" s="20"/>
      <c r="P5000" s="20"/>
      <c r="Q5000" s="20"/>
      <c r="R5000" s="20"/>
      <c r="S5000" s="20"/>
      <c r="T5000" s="20"/>
      <c r="U5000" s="20"/>
      <c r="V5000" s="20"/>
      <c r="W5000" s="21"/>
      <c r="X5000" s="20"/>
      <c r="Y5000" s="22"/>
      <c r="Z5000" s="22"/>
      <c r="AA5000" s="22"/>
      <c r="AB5000" s="22"/>
      <c r="AC5000" s="22"/>
    </row>
    <row r="5001" spans="1:29" ht="32.25" customHeight="1">
      <c r="A5001" s="19"/>
      <c r="B5001" s="20"/>
      <c r="C5001" s="20"/>
      <c r="D5001" s="20"/>
      <c r="E5001" s="20"/>
      <c r="F5001" s="20"/>
      <c r="G5001" s="20"/>
      <c r="H5001" s="20"/>
      <c r="I5001" s="20"/>
      <c r="J5001" s="20"/>
      <c r="K5001" s="20"/>
      <c r="L5001" s="20"/>
      <c r="M5001" s="20"/>
      <c r="N5001" s="20"/>
      <c r="O5001" s="20"/>
      <c r="P5001" s="20"/>
      <c r="Q5001" s="20"/>
      <c r="R5001" s="20"/>
      <c r="S5001" s="20"/>
      <c r="T5001" s="20"/>
      <c r="U5001" s="20"/>
      <c r="V5001" s="20"/>
      <c r="W5001" s="21"/>
      <c r="X5001" s="20"/>
      <c r="Y5001" s="22"/>
      <c r="Z5001" s="22"/>
      <c r="AA5001" s="22"/>
      <c r="AB5001" s="22"/>
      <c r="AC5001" s="22"/>
    </row>
    <row r="5002" spans="1:29" ht="32.25" customHeight="1">
      <c r="A5002" s="19"/>
      <c r="B5002" s="20"/>
      <c r="C5002" s="20"/>
      <c r="D5002" s="20"/>
      <c r="E5002" s="20"/>
      <c r="F5002" s="20"/>
      <c r="G5002" s="20"/>
      <c r="H5002" s="20"/>
      <c r="I5002" s="20"/>
      <c r="J5002" s="20"/>
      <c r="K5002" s="20"/>
      <c r="L5002" s="20"/>
      <c r="M5002" s="20"/>
      <c r="N5002" s="20"/>
      <c r="O5002" s="20"/>
      <c r="P5002" s="20"/>
      <c r="Q5002" s="20"/>
      <c r="R5002" s="20"/>
      <c r="S5002" s="20"/>
      <c r="T5002" s="20"/>
      <c r="U5002" s="20"/>
      <c r="V5002" s="20"/>
      <c r="W5002" s="21"/>
      <c r="X5002" s="20"/>
      <c r="Y5002" s="22"/>
      <c r="Z5002" s="22"/>
      <c r="AA5002" s="22"/>
      <c r="AB5002" s="22"/>
      <c r="AC5002" s="22"/>
    </row>
    <row r="5003" spans="1:29" ht="32.25" customHeight="1">
      <c r="A5003" s="19"/>
      <c r="B5003" s="20"/>
      <c r="C5003" s="20"/>
      <c r="D5003" s="20"/>
      <c r="E5003" s="20"/>
      <c r="F5003" s="20"/>
      <c r="G5003" s="20"/>
      <c r="H5003" s="20"/>
      <c r="I5003" s="20"/>
      <c r="J5003" s="20"/>
      <c r="K5003" s="20"/>
      <c r="L5003" s="20"/>
      <c r="M5003" s="20"/>
      <c r="N5003" s="20"/>
      <c r="O5003" s="20"/>
      <c r="P5003" s="20"/>
      <c r="Q5003" s="20"/>
      <c r="R5003" s="20"/>
      <c r="S5003" s="20"/>
      <c r="T5003" s="20"/>
      <c r="U5003" s="20"/>
      <c r="V5003" s="20"/>
      <c r="W5003" s="21"/>
      <c r="X5003" s="20"/>
      <c r="Y5003" s="22"/>
      <c r="Z5003" s="22"/>
      <c r="AA5003" s="22"/>
      <c r="AB5003" s="22"/>
      <c r="AC5003" s="22"/>
    </row>
    <row r="5004" spans="1:29" ht="32.25" customHeight="1">
      <c r="A5004" s="19"/>
      <c r="B5004" s="20"/>
      <c r="C5004" s="20"/>
      <c r="D5004" s="20"/>
      <c r="E5004" s="20"/>
      <c r="F5004" s="20"/>
      <c r="G5004" s="20"/>
      <c r="H5004" s="20"/>
      <c r="I5004" s="20"/>
      <c r="J5004" s="20"/>
      <c r="K5004" s="20"/>
      <c r="L5004" s="20"/>
      <c r="M5004" s="20"/>
      <c r="N5004" s="20"/>
      <c r="O5004" s="20"/>
      <c r="P5004" s="20"/>
      <c r="Q5004" s="20"/>
      <c r="R5004" s="20"/>
      <c r="S5004" s="20"/>
      <c r="T5004" s="20"/>
      <c r="U5004" s="20"/>
      <c r="V5004" s="20"/>
      <c r="W5004" s="21"/>
      <c r="X5004" s="20"/>
      <c r="Y5004" s="22"/>
      <c r="Z5004" s="22"/>
      <c r="AA5004" s="22"/>
      <c r="AB5004" s="22"/>
      <c r="AC5004" s="22"/>
    </row>
    <row r="5005" spans="1:29" ht="32.25" customHeight="1">
      <c r="A5005" s="19"/>
      <c r="B5005" s="20"/>
      <c r="C5005" s="20"/>
      <c r="D5005" s="20"/>
      <c r="E5005" s="20"/>
      <c r="F5005" s="20"/>
      <c r="G5005" s="20"/>
      <c r="H5005" s="20"/>
      <c r="I5005" s="20"/>
      <c r="J5005" s="20"/>
      <c r="K5005" s="20"/>
      <c r="L5005" s="20"/>
      <c r="M5005" s="20"/>
      <c r="N5005" s="20"/>
      <c r="O5005" s="20"/>
      <c r="P5005" s="20"/>
      <c r="Q5005" s="20"/>
      <c r="R5005" s="20"/>
      <c r="S5005" s="20"/>
      <c r="T5005" s="20"/>
      <c r="U5005" s="20"/>
      <c r="V5005" s="20"/>
      <c r="W5005" s="21"/>
      <c r="X5005" s="20"/>
      <c r="Y5005" s="22"/>
      <c r="Z5005" s="22"/>
      <c r="AA5005" s="22"/>
      <c r="AB5005" s="22"/>
      <c r="AC5005" s="22"/>
    </row>
    <row r="5006" spans="1:29" ht="32.25" customHeight="1">
      <c r="A5006" s="19"/>
      <c r="B5006" s="20"/>
      <c r="C5006" s="20"/>
      <c r="D5006" s="20"/>
      <c r="E5006" s="20"/>
      <c r="F5006" s="20"/>
      <c r="G5006" s="20"/>
      <c r="H5006" s="20"/>
      <c r="I5006" s="20"/>
      <c r="J5006" s="20"/>
      <c r="K5006" s="20"/>
      <c r="L5006" s="20"/>
      <c r="M5006" s="20"/>
      <c r="N5006" s="20"/>
      <c r="O5006" s="20"/>
      <c r="P5006" s="20"/>
      <c r="Q5006" s="20"/>
      <c r="R5006" s="20"/>
      <c r="S5006" s="20"/>
      <c r="T5006" s="20"/>
      <c r="U5006" s="20"/>
      <c r="V5006" s="20"/>
      <c r="W5006" s="21"/>
      <c r="X5006" s="20"/>
      <c r="Y5006" s="22"/>
      <c r="Z5006" s="22"/>
      <c r="AA5006" s="22"/>
      <c r="AB5006" s="22"/>
      <c r="AC5006" s="22"/>
    </row>
    <row r="5007" spans="1:29" ht="32.25" customHeight="1">
      <c r="A5007" s="19"/>
      <c r="B5007" s="20"/>
      <c r="C5007" s="20"/>
      <c r="D5007" s="20"/>
      <c r="E5007" s="20"/>
      <c r="F5007" s="20"/>
      <c r="G5007" s="20"/>
      <c r="H5007" s="20"/>
      <c r="I5007" s="20"/>
      <c r="J5007" s="20"/>
      <c r="K5007" s="20"/>
      <c r="L5007" s="20"/>
      <c r="M5007" s="20"/>
      <c r="N5007" s="20"/>
      <c r="O5007" s="20"/>
      <c r="P5007" s="20"/>
      <c r="Q5007" s="20"/>
      <c r="R5007" s="20"/>
      <c r="S5007" s="20"/>
      <c r="T5007" s="20"/>
      <c r="U5007" s="20"/>
      <c r="V5007" s="20"/>
      <c r="W5007" s="21"/>
      <c r="X5007" s="20"/>
      <c r="Y5007" s="22"/>
      <c r="Z5007" s="22"/>
      <c r="AA5007" s="22"/>
      <c r="AB5007" s="22"/>
      <c r="AC5007" s="22"/>
    </row>
    <row r="5008" spans="1:29" ht="32.25" customHeight="1">
      <c r="A5008" s="19"/>
      <c r="B5008" s="20"/>
      <c r="C5008" s="20"/>
      <c r="D5008" s="20"/>
      <c r="E5008" s="20"/>
      <c r="F5008" s="20"/>
      <c r="G5008" s="20"/>
      <c r="H5008" s="20"/>
      <c r="I5008" s="20"/>
      <c r="J5008" s="20"/>
      <c r="K5008" s="20"/>
      <c r="L5008" s="20"/>
      <c r="M5008" s="20"/>
      <c r="N5008" s="20"/>
      <c r="O5008" s="20"/>
      <c r="P5008" s="20"/>
      <c r="Q5008" s="20"/>
      <c r="R5008" s="20"/>
      <c r="S5008" s="20"/>
      <c r="T5008" s="20"/>
      <c r="U5008" s="20"/>
      <c r="V5008" s="20"/>
      <c r="W5008" s="21"/>
      <c r="X5008" s="20"/>
      <c r="Y5008" s="22"/>
      <c r="Z5008" s="22"/>
      <c r="AA5008" s="22"/>
      <c r="AB5008" s="22"/>
      <c r="AC5008" s="22"/>
    </row>
    <row r="5009" spans="1:29" ht="32.25" customHeight="1">
      <c r="A5009" s="19"/>
      <c r="B5009" s="20"/>
      <c r="C5009" s="20"/>
      <c r="D5009" s="20"/>
      <c r="E5009" s="20"/>
      <c r="F5009" s="20"/>
      <c r="G5009" s="20"/>
      <c r="H5009" s="20"/>
      <c r="I5009" s="20"/>
      <c r="J5009" s="20"/>
      <c r="K5009" s="20"/>
      <c r="L5009" s="20"/>
      <c r="M5009" s="20"/>
      <c r="N5009" s="20"/>
      <c r="O5009" s="20"/>
      <c r="P5009" s="20"/>
      <c r="Q5009" s="20"/>
      <c r="R5009" s="20"/>
      <c r="S5009" s="20"/>
      <c r="T5009" s="20"/>
      <c r="U5009" s="20"/>
      <c r="V5009" s="20"/>
      <c r="W5009" s="21"/>
      <c r="X5009" s="20"/>
      <c r="Y5009" s="22"/>
      <c r="Z5009" s="22"/>
      <c r="AA5009" s="22"/>
      <c r="AB5009" s="22"/>
      <c r="AC5009" s="22"/>
    </row>
    <row r="5010" spans="1:29" ht="32.25" customHeight="1">
      <c r="A5010" s="19"/>
      <c r="B5010" s="20"/>
      <c r="C5010" s="20"/>
      <c r="D5010" s="20"/>
      <c r="E5010" s="20"/>
      <c r="F5010" s="20"/>
      <c r="G5010" s="20"/>
      <c r="H5010" s="20"/>
      <c r="I5010" s="20"/>
      <c r="J5010" s="20"/>
      <c r="K5010" s="20"/>
      <c r="L5010" s="20"/>
      <c r="M5010" s="20"/>
      <c r="N5010" s="20"/>
      <c r="O5010" s="20"/>
      <c r="P5010" s="20"/>
      <c r="Q5010" s="20"/>
      <c r="R5010" s="20"/>
      <c r="S5010" s="20"/>
      <c r="T5010" s="20"/>
      <c r="U5010" s="20"/>
      <c r="V5010" s="20"/>
      <c r="W5010" s="21"/>
      <c r="X5010" s="20"/>
      <c r="Y5010" s="22"/>
      <c r="Z5010" s="22"/>
      <c r="AA5010" s="22"/>
      <c r="AB5010" s="22"/>
      <c r="AC5010" s="22"/>
    </row>
    <row r="5011" spans="1:29" ht="32.25" customHeight="1">
      <c r="A5011" s="19"/>
      <c r="B5011" s="20"/>
      <c r="C5011" s="20"/>
      <c r="D5011" s="20"/>
      <c r="E5011" s="20"/>
      <c r="F5011" s="20"/>
      <c r="G5011" s="20"/>
      <c r="H5011" s="20"/>
      <c r="I5011" s="20"/>
      <c r="J5011" s="20"/>
      <c r="K5011" s="20"/>
      <c r="L5011" s="20"/>
      <c r="M5011" s="20"/>
      <c r="N5011" s="20"/>
      <c r="O5011" s="20"/>
      <c r="P5011" s="20"/>
      <c r="Q5011" s="20"/>
      <c r="R5011" s="20"/>
      <c r="S5011" s="20"/>
      <c r="T5011" s="20"/>
      <c r="U5011" s="20"/>
      <c r="V5011" s="20"/>
      <c r="W5011" s="21"/>
      <c r="X5011" s="20"/>
      <c r="Y5011" s="22"/>
      <c r="Z5011" s="22"/>
      <c r="AA5011" s="22"/>
      <c r="AB5011" s="22"/>
      <c r="AC5011" s="22"/>
    </row>
    <row r="5012" spans="1:29" ht="32.25" customHeight="1">
      <c r="A5012" s="19"/>
      <c r="B5012" s="20"/>
      <c r="C5012" s="20"/>
      <c r="D5012" s="20"/>
      <c r="E5012" s="20"/>
      <c r="F5012" s="20"/>
      <c r="G5012" s="20"/>
      <c r="H5012" s="20"/>
      <c r="I5012" s="20"/>
      <c r="J5012" s="20"/>
      <c r="K5012" s="20"/>
      <c r="L5012" s="20"/>
      <c r="M5012" s="20"/>
      <c r="N5012" s="20"/>
      <c r="O5012" s="20"/>
      <c r="P5012" s="20"/>
      <c r="Q5012" s="20"/>
      <c r="R5012" s="20"/>
      <c r="S5012" s="20"/>
      <c r="T5012" s="20"/>
      <c r="U5012" s="20"/>
      <c r="V5012" s="20"/>
      <c r="W5012" s="21"/>
      <c r="X5012" s="20"/>
      <c r="Y5012" s="22"/>
      <c r="Z5012" s="22"/>
      <c r="AA5012" s="22"/>
      <c r="AB5012" s="22"/>
      <c r="AC5012" s="22"/>
    </row>
    <row r="5013" spans="1:29" ht="32.25" customHeight="1">
      <c r="A5013" s="19"/>
      <c r="B5013" s="20"/>
      <c r="C5013" s="20"/>
      <c r="D5013" s="20"/>
      <c r="E5013" s="20"/>
      <c r="F5013" s="20"/>
      <c r="G5013" s="20"/>
      <c r="H5013" s="20"/>
      <c r="I5013" s="20"/>
      <c r="J5013" s="20"/>
      <c r="K5013" s="20"/>
      <c r="L5013" s="20"/>
      <c r="M5013" s="20"/>
      <c r="N5013" s="20"/>
      <c r="O5013" s="20"/>
      <c r="P5013" s="20"/>
      <c r="Q5013" s="20"/>
      <c r="R5013" s="20"/>
      <c r="S5013" s="20"/>
      <c r="T5013" s="20"/>
      <c r="U5013" s="20"/>
      <c r="V5013" s="20"/>
      <c r="W5013" s="21"/>
      <c r="X5013" s="20"/>
      <c r="Y5013" s="22"/>
      <c r="Z5013" s="22"/>
      <c r="AA5013" s="22"/>
      <c r="AB5013" s="22"/>
      <c r="AC5013" s="22"/>
    </row>
    <row r="5014" spans="1:29" ht="32.25" customHeight="1">
      <c r="A5014" s="19"/>
      <c r="B5014" s="20"/>
      <c r="C5014" s="20"/>
      <c r="D5014" s="20"/>
      <c r="E5014" s="20"/>
      <c r="F5014" s="20"/>
      <c r="G5014" s="20"/>
      <c r="H5014" s="20"/>
      <c r="I5014" s="20"/>
      <c r="J5014" s="20"/>
      <c r="K5014" s="20"/>
      <c r="L5014" s="20"/>
      <c r="M5014" s="20"/>
      <c r="N5014" s="20"/>
      <c r="O5014" s="20"/>
      <c r="P5014" s="20"/>
      <c r="Q5014" s="20"/>
      <c r="R5014" s="20"/>
      <c r="S5014" s="20"/>
      <c r="T5014" s="20"/>
      <c r="U5014" s="20"/>
      <c r="V5014" s="20"/>
      <c r="W5014" s="21"/>
      <c r="X5014" s="20"/>
      <c r="Y5014" s="22"/>
      <c r="Z5014" s="22"/>
      <c r="AA5014" s="22"/>
      <c r="AB5014" s="22"/>
      <c r="AC5014" s="22"/>
    </row>
    <row r="5015" spans="1:29" ht="32.25" customHeight="1">
      <c r="A5015" s="19"/>
      <c r="B5015" s="20"/>
      <c r="C5015" s="20"/>
      <c r="D5015" s="20"/>
      <c r="E5015" s="20"/>
      <c r="F5015" s="20"/>
      <c r="G5015" s="20"/>
      <c r="H5015" s="20"/>
      <c r="I5015" s="20"/>
      <c r="J5015" s="20"/>
      <c r="K5015" s="20"/>
      <c r="L5015" s="20"/>
      <c r="M5015" s="20"/>
      <c r="N5015" s="20"/>
      <c r="O5015" s="20"/>
      <c r="P5015" s="20"/>
      <c r="Q5015" s="20"/>
      <c r="R5015" s="20"/>
      <c r="S5015" s="20"/>
      <c r="T5015" s="20"/>
      <c r="U5015" s="20"/>
      <c r="V5015" s="20"/>
      <c r="W5015" s="21"/>
      <c r="X5015" s="20"/>
      <c r="Y5015" s="22"/>
      <c r="Z5015" s="22"/>
      <c r="AA5015" s="22"/>
      <c r="AB5015" s="22"/>
      <c r="AC5015" s="22"/>
    </row>
    <row r="5016" spans="1:29" ht="32.25" customHeight="1">
      <c r="A5016" s="19"/>
      <c r="B5016" s="20"/>
      <c r="C5016" s="20"/>
      <c r="D5016" s="20"/>
      <c r="E5016" s="20"/>
      <c r="F5016" s="20"/>
      <c r="G5016" s="20"/>
      <c r="H5016" s="20"/>
      <c r="I5016" s="20"/>
      <c r="J5016" s="20"/>
      <c r="K5016" s="20"/>
      <c r="L5016" s="20"/>
      <c r="M5016" s="20"/>
      <c r="N5016" s="20"/>
      <c r="O5016" s="20"/>
      <c r="P5016" s="20"/>
      <c r="Q5016" s="20"/>
      <c r="R5016" s="20"/>
      <c r="S5016" s="20"/>
      <c r="T5016" s="20"/>
      <c r="U5016" s="20"/>
      <c r="V5016" s="20"/>
      <c r="W5016" s="21"/>
      <c r="X5016" s="20"/>
      <c r="Y5016" s="22"/>
      <c r="Z5016" s="22"/>
      <c r="AA5016" s="22"/>
      <c r="AB5016" s="22"/>
      <c r="AC5016" s="22"/>
    </row>
    <row r="5017" spans="1:29" ht="32.25" customHeight="1">
      <c r="A5017" s="19"/>
      <c r="B5017" s="20"/>
      <c r="C5017" s="20"/>
      <c r="D5017" s="20"/>
      <c r="E5017" s="20"/>
      <c r="F5017" s="20"/>
      <c r="G5017" s="20"/>
      <c r="H5017" s="20"/>
      <c r="I5017" s="20"/>
      <c r="J5017" s="20"/>
      <c r="K5017" s="20"/>
      <c r="L5017" s="20"/>
      <c r="M5017" s="20"/>
      <c r="N5017" s="20"/>
      <c r="O5017" s="20"/>
      <c r="P5017" s="20"/>
      <c r="Q5017" s="20"/>
      <c r="R5017" s="20"/>
      <c r="S5017" s="20"/>
      <c r="T5017" s="20"/>
      <c r="U5017" s="20"/>
      <c r="V5017" s="20"/>
      <c r="W5017" s="21"/>
      <c r="X5017" s="20"/>
      <c r="Y5017" s="22"/>
      <c r="Z5017" s="22"/>
      <c r="AA5017" s="22"/>
      <c r="AB5017" s="22"/>
      <c r="AC5017" s="22"/>
    </row>
    <row r="5018" spans="1:29" ht="32.25" customHeight="1">
      <c r="A5018" s="19"/>
      <c r="B5018" s="20"/>
      <c r="C5018" s="20"/>
      <c r="D5018" s="20"/>
      <c r="E5018" s="20"/>
      <c r="F5018" s="20"/>
      <c r="G5018" s="20"/>
      <c r="H5018" s="20"/>
      <c r="I5018" s="20"/>
      <c r="J5018" s="20"/>
      <c r="K5018" s="20"/>
      <c r="L5018" s="20"/>
      <c r="M5018" s="20"/>
      <c r="N5018" s="20"/>
      <c r="O5018" s="20"/>
      <c r="P5018" s="20"/>
      <c r="Q5018" s="20"/>
      <c r="R5018" s="20"/>
      <c r="S5018" s="20"/>
      <c r="T5018" s="20"/>
      <c r="U5018" s="20"/>
      <c r="V5018" s="20"/>
      <c r="W5018" s="21"/>
      <c r="X5018" s="20"/>
      <c r="Y5018" s="22"/>
      <c r="Z5018" s="22"/>
      <c r="AA5018" s="22"/>
      <c r="AB5018" s="22"/>
      <c r="AC5018" s="22"/>
    </row>
    <row r="5019" spans="1:29" ht="32.25" customHeight="1">
      <c r="A5019" s="19"/>
      <c r="B5019" s="20"/>
      <c r="C5019" s="20"/>
      <c r="D5019" s="20"/>
      <c r="E5019" s="20"/>
      <c r="F5019" s="20"/>
      <c r="G5019" s="20"/>
      <c r="H5019" s="20"/>
      <c r="I5019" s="20"/>
      <c r="J5019" s="20"/>
      <c r="K5019" s="20"/>
      <c r="L5019" s="20"/>
      <c r="M5019" s="20"/>
      <c r="N5019" s="20"/>
      <c r="O5019" s="20"/>
      <c r="P5019" s="20"/>
      <c r="Q5019" s="20"/>
      <c r="R5019" s="20"/>
      <c r="S5019" s="20"/>
      <c r="T5019" s="20"/>
      <c r="U5019" s="20"/>
      <c r="V5019" s="20"/>
      <c r="W5019" s="21"/>
      <c r="X5019" s="20"/>
      <c r="Y5019" s="22"/>
      <c r="Z5019" s="22"/>
      <c r="AA5019" s="22"/>
      <c r="AB5019" s="22"/>
      <c r="AC5019" s="22"/>
    </row>
    <row r="5020" spans="1:29" ht="32.25" customHeight="1">
      <c r="A5020" s="19"/>
      <c r="B5020" s="20"/>
      <c r="C5020" s="20"/>
      <c r="D5020" s="20"/>
      <c r="E5020" s="20"/>
      <c r="F5020" s="20"/>
      <c r="G5020" s="20"/>
      <c r="H5020" s="20"/>
      <c r="I5020" s="20"/>
      <c r="J5020" s="20"/>
      <c r="K5020" s="20"/>
      <c r="L5020" s="20"/>
      <c r="M5020" s="20"/>
      <c r="N5020" s="20"/>
      <c r="O5020" s="20"/>
      <c r="P5020" s="20"/>
      <c r="Q5020" s="20"/>
      <c r="R5020" s="20"/>
      <c r="S5020" s="20"/>
      <c r="T5020" s="20"/>
      <c r="U5020" s="20"/>
      <c r="V5020" s="20"/>
      <c r="W5020" s="21"/>
      <c r="X5020" s="20"/>
      <c r="Y5020" s="22"/>
      <c r="Z5020" s="22"/>
      <c r="AA5020" s="22"/>
      <c r="AB5020" s="22"/>
      <c r="AC5020" s="22"/>
    </row>
    <row r="5021" spans="1:29" ht="32.25" customHeight="1">
      <c r="A5021" s="19"/>
      <c r="B5021" s="20"/>
      <c r="C5021" s="20"/>
      <c r="D5021" s="20"/>
      <c r="E5021" s="20"/>
      <c r="F5021" s="20"/>
      <c r="G5021" s="20"/>
      <c r="H5021" s="20"/>
      <c r="I5021" s="20"/>
      <c r="J5021" s="20"/>
      <c r="K5021" s="20"/>
      <c r="L5021" s="20"/>
      <c r="M5021" s="20"/>
      <c r="N5021" s="20"/>
      <c r="O5021" s="20"/>
      <c r="P5021" s="20"/>
      <c r="Q5021" s="20"/>
      <c r="R5021" s="20"/>
      <c r="S5021" s="20"/>
      <c r="T5021" s="20"/>
      <c r="U5021" s="20"/>
      <c r="V5021" s="20"/>
      <c r="W5021" s="21"/>
      <c r="X5021" s="20"/>
      <c r="Y5021" s="22"/>
      <c r="Z5021" s="22"/>
      <c r="AA5021" s="22"/>
      <c r="AB5021" s="22"/>
      <c r="AC5021" s="22"/>
    </row>
    <row r="5022" spans="1:29" ht="32.25" customHeight="1">
      <c r="A5022" s="19"/>
      <c r="B5022" s="20"/>
      <c r="C5022" s="20"/>
      <c r="D5022" s="20"/>
      <c r="E5022" s="20"/>
      <c r="F5022" s="20"/>
      <c r="G5022" s="20"/>
      <c r="H5022" s="20"/>
      <c r="I5022" s="20"/>
      <c r="J5022" s="20"/>
      <c r="K5022" s="20"/>
      <c r="L5022" s="20"/>
      <c r="M5022" s="20"/>
      <c r="N5022" s="20"/>
      <c r="O5022" s="20"/>
      <c r="P5022" s="20"/>
      <c r="Q5022" s="20"/>
      <c r="R5022" s="20"/>
      <c r="S5022" s="20"/>
      <c r="T5022" s="20"/>
      <c r="U5022" s="20"/>
      <c r="V5022" s="20"/>
      <c r="W5022" s="21"/>
      <c r="X5022" s="20"/>
      <c r="Y5022" s="22"/>
      <c r="Z5022" s="22"/>
      <c r="AA5022" s="22"/>
      <c r="AB5022" s="22"/>
      <c r="AC5022" s="22"/>
    </row>
    <row r="5023" spans="1:29" ht="32.25" customHeight="1">
      <c r="A5023" s="19"/>
      <c r="B5023" s="20"/>
      <c r="C5023" s="20"/>
      <c r="D5023" s="20"/>
      <c r="E5023" s="20"/>
      <c r="F5023" s="20"/>
      <c r="G5023" s="20"/>
      <c r="H5023" s="20"/>
      <c r="I5023" s="20"/>
      <c r="J5023" s="20"/>
      <c r="K5023" s="20"/>
      <c r="L5023" s="20"/>
      <c r="M5023" s="20"/>
      <c r="N5023" s="20"/>
      <c r="O5023" s="20"/>
      <c r="P5023" s="20"/>
      <c r="Q5023" s="20"/>
      <c r="R5023" s="20"/>
      <c r="S5023" s="20"/>
      <c r="T5023" s="20"/>
      <c r="U5023" s="20"/>
      <c r="V5023" s="20"/>
      <c r="W5023" s="21"/>
      <c r="X5023" s="20"/>
      <c r="Y5023" s="22"/>
      <c r="Z5023" s="22"/>
      <c r="AA5023" s="22"/>
      <c r="AB5023" s="22"/>
      <c r="AC5023" s="22"/>
    </row>
    <row r="5024" spans="1:29" ht="32.25" customHeight="1">
      <c r="A5024" s="19"/>
      <c r="B5024" s="20"/>
      <c r="C5024" s="20"/>
      <c r="D5024" s="20"/>
      <c r="E5024" s="20"/>
      <c r="F5024" s="20"/>
      <c r="G5024" s="20"/>
      <c r="H5024" s="20"/>
      <c r="I5024" s="20"/>
      <c r="J5024" s="20"/>
      <c r="K5024" s="20"/>
      <c r="L5024" s="20"/>
      <c r="M5024" s="20"/>
      <c r="N5024" s="20"/>
      <c r="O5024" s="20"/>
      <c r="P5024" s="20"/>
      <c r="Q5024" s="20"/>
      <c r="R5024" s="20"/>
      <c r="S5024" s="20"/>
      <c r="T5024" s="20"/>
      <c r="U5024" s="20"/>
      <c r="V5024" s="20"/>
      <c r="W5024" s="21"/>
      <c r="X5024" s="20"/>
      <c r="Y5024" s="22"/>
      <c r="Z5024" s="22"/>
      <c r="AA5024" s="22"/>
      <c r="AB5024" s="22"/>
      <c r="AC5024" s="22"/>
    </row>
    <row r="5025" spans="1:29" ht="32.25" customHeight="1">
      <c r="A5025" s="19"/>
      <c r="B5025" s="20"/>
      <c r="C5025" s="20"/>
      <c r="D5025" s="20"/>
      <c r="E5025" s="20"/>
      <c r="F5025" s="20"/>
      <c r="G5025" s="20"/>
      <c r="H5025" s="20"/>
      <c r="I5025" s="20"/>
      <c r="J5025" s="20"/>
      <c r="K5025" s="20"/>
      <c r="L5025" s="20"/>
      <c r="M5025" s="20"/>
      <c r="N5025" s="20"/>
      <c r="O5025" s="20"/>
      <c r="P5025" s="20"/>
      <c r="Q5025" s="20"/>
      <c r="R5025" s="20"/>
      <c r="S5025" s="20"/>
      <c r="T5025" s="20"/>
      <c r="U5025" s="20"/>
      <c r="V5025" s="20"/>
      <c r="W5025" s="21"/>
      <c r="X5025" s="20"/>
      <c r="Y5025" s="22"/>
      <c r="Z5025" s="22"/>
      <c r="AA5025" s="22"/>
      <c r="AB5025" s="22"/>
      <c r="AC5025" s="22"/>
    </row>
    <row r="5026" spans="1:29" ht="32.25" customHeight="1">
      <c r="A5026" s="19"/>
      <c r="B5026" s="20"/>
      <c r="C5026" s="20"/>
      <c r="D5026" s="20"/>
      <c r="E5026" s="20"/>
      <c r="F5026" s="20"/>
      <c r="G5026" s="20"/>
      <c r="H5026" s="20"/>
      <c r="I5026" s="20"/>
      <c r="J5026" s="20"/>
      <c r="K5026" s="20"/>
      <c r="L5026" s="20"/>
      <c r="M5026" s="20"/>
      <c r="N5026" s="20"/>
      <c r="O5026" s="20"/>
      <c r="P5026" s="20"/>
      <c r="Q5026" s="20"/>
      <c r="R5026" s="20"/>
      <c r="S5026" s="20"/>
      <c r="T5026" s="20"/>
      <c r="U5026" s="20"/>
      <c r="V5026" s="20"/>
      <c r="W5026" s="21"/>
      <c r="X5026" s="20"/>
      <c r="Y5026" s="22"/>
      <c r="Z5026" s="22"/>
      <c r="AA5026" s="22"/>
      <c r="AB5026" s="22"/>
      <c r="AC5026" s="22"/>
    </row>
    <row r="5027" spans="1:29" ht="32.25" customHeight="1">
      <c r="A5027" s="19"/>
      <c r="B5027" s="20"/>
      <c r="C5027" s="20"/>
      <c r="D5027" s="20"/>
      <c r="E5027" s="20"/>
      <c r="F5027" s="20"/>
      <c r="G5027" s="20"/>
      <c r="H5027" s="20"/>
      <c r="I5027" s="20"/>
      <c r="J5027" s="20"/>
      <c r="K5027" s="20"/>
      <c r="L5027" s="20"/>
      <c r="M5027" s="20"/>
      <c r="N5027" s="20"/>
      <c r="O5027" s="20"/>
      <c r="P5027" s="20"/>
      <c r="Q5027" s="20"/>
      <c r="R5027" s="20"/>
      <c r="S5027" s="20"/>
      <c r="T5027" s="20"/>
      <c r="U5027" s="20"/>
      <c r="V5027" s="20"/>
      <c r="W5027" s="21"/>
      <c r="X5027" s="20"/>
      <c r="Y5027" s="22"/>
      <c r="Z5027" s="22"/>
      <c r="AA5027" s="22"/>
      <c r="AB5027" s="22"/>
      <c r="AC5027" s="22"/>
    </row>
    <row r="5028" spans="1:29" ht="32.25" customHeight="1">
      <c r="A5028" s="19"/>
      <c r="B5028" s="20"/>
      <c r="C5028" s="20"/>
      <c r="D5028" s="20"/>
      <c r="E5028" s="20"/>
      <c r="F5028" s="20"/>
      <c r="G5028" s="20"/>
      <c r="H5028" s="20"/>
      <c r="I5028" s="20"/>
      <c r="J5028" s="20"/>
      <c r="K5028" s="20"/>
      <c r="L5028" s="20"/>
      <c r="M5028" s="20"/>
      <c r="N5028" s="20"/>
      <c r="O5028" s="20"/>
      <c r="P5028" s="20"/>
      <c r="Q5028" s="20"/>
      <c r="R5028" s="20"/>
      <c r="S5028" s="20"/>
      <c r="T5028" s="20"/>
      <c r="U5028" s="20"/>
      <c r="V5028" s="20"/>
      <c r="W5028" s="21"/>
      <c r="X5028" s="20"/>
      <c r="Y5028" s="22"/>
      <c r="Z5028" s="22"/>
      <c r="AA5028" s="22"/>
      <c r="AB5028" s="22"/>
      <c r="AC5028" s="22"/>
    </row>
    <row r="5029" spans="1:29" ht="32.25" customHeight="1">
      <c r="A5029" s="19"/>
      <c r="B5029" s="20"/>
      <c r="C5029" s="20"/>
      <c r="D5029" s="20"/>
      <c r="E5029" s="20"/>
      <c r="F5029" s="20"/>
      <c r="G5029" s="20"/>
      <c r="H5029" s="20"/>
      <c r="I5029" s="20"/>
      <c r="J5029" s="20"/>
      <c r="K5029" s="20"/>
      <c r="L5029" s="20"/>
      <c r="M5029" s="20"/>
      <c r="N5029" s="20"/>
      <c r="O5029" s="20"/>
      <c r="P5029" s="20"/>
      <c r="Q5029" s="20"/>
      <c r="R5029" s="20"/>
      <c r="S5029" s="20"/>
      <c r="T5029" s="20"/>
      <c r="U5029" s="20"/>
      <c r="V5029" s="20"/>
      <c r="W5029" s="21"/>
      <c r="X5029" s="20"/>
      <c r="Y5029" s="22"/>
      <c r="Z5029" s="22"/>
      <c r="AA5029" s="22"/>
      <c r="AB5029" s="22"/>
      <c r="AC5029" s="22"/>
    </row>
    <row r="5030" spans="1:29" ht="32.25" customHeight="1">
      <c r="A5030" s="19"/>
      <c r="B5030" s="20"/>
      <c r="C5030" s="20"/>
      <c r="D5030" s="20"/>
      <c r="E5030" s="20"/>
      <c r="F5030" s="20"/>
      <c r="G5030" s="20"/>
      <c r="H5030" s="20"/>
      <c r="I5030" s="20"/>
      <c r="J5030" s="20"/>
      <c r="K5030" s="20"/>
      <c r="L5030" s="20"/>
      <c r="M5030" s="20"/>
      <c r="N5030" s="20"/>
      <c r="O5030" s="20"/>
      <c r="P5030" s="20"/>
      <c r="Q5030" s="20"/>
      <c r="R5030" s="20"/>
      <c r="S5030" s="20"/>
      <c r="T5030" s="20"/>
      <c r="U5030" s="20"/>
      <c r="V5030" s="20"/>
      <c r="W5030" s="21"/>
      <c r="X5030" s="20"/>
      <c r="Y5030" s="22"/>
      <c r="Z5030" s="22"/>
      <c r="AA5030" s="22"/>
      <c r="AB5030" s="22"/>
      <c r="AC5030" s="22"/>
    </row>
    <row r="5031" spans="1:29" ht="32.25" customHeight="1">
      <c r="A5031" s="19"/>
      <c r="B5031" s="20"/>
      <c r="C5031" s="20"/>
      <c r="D5031" s="20"/>
      <c r="E5031" s="20"/>
      <c r="F5031" s="20"/>
      <c r="G5031" s="20"/>
      <c r="H5031" s="20"/>
      <c r="I5031" s="20"/>
      <c r="J5031" s="20"/>
      <c r="K5031" s="20"/>
      <c r="L5031" s="20"/>
      <c r="M5031" s="20"/>
      <c r="N5031" s="20"/>
      <c r="O5031" s="20"/>
      <c r="P5031" s="20"/>
      <c r="Q5031" s="20"/>
      <c r="R5031" s="20"/>
      <c r="S5031" s="20"/>
      <c r="T5031" s="20"/>
      <c r="U5031" s="20"/>
      <c r="V5031" s="20"/>
      <c r="W5031" s="21"/>
      <c r="X5031" s="20"/>
      <c r="Y5031" s="22"/>
      <c r="Z5031" s="22"/>
      <c r="AA5031" s="22"/>
      <c r="AB5031" s="22"/>
      <c r="AC5031" s="22"/>
    </row>
    <row r="5032" spans="1:29" ht="32.25" customHeight="1">
      <c r="A5032" s="19"/>
      <c r="B5032" s="20"/>
      <c r="C5032" s="20"/>
      <c r="D5032" s="20"/>
      <c r="E5032" s="20"/>
      <c r="F5032" s="20"/>
      <c r="G5032" s="20"/>
      <c r="H5032" s="20"/>
      <c r="I5032" s="20"/>
      <c r="J5032" s="20"/>
      <c r="K5032" s="20"/>
      <c r="L5032" s="20"/>
      <c r="M5032" s="20"/>
      <c r="N5032" s="20"/>
      <c r="O5032" s="20"/>
      <c r="P5032" s="20"/>
      <c r="Q5032" s="20"/>
      <c r="R5032" s="20"/>
      <c r="S5032" s="20"/>
      <c r="T5032" s="20"/>
      <c r="U5032" s="20"/>
      <c r="V5032" s="20"/>
      <c r="W5032" s="21"/>
      <c r="X5032" s="20"/>
      <c r="Y5032" s="22"/>
      <c r="Z5032" s="22"/>
      <c r="AA5032" s="22"/>
      <c r="AB5032" s="22"/>
      <c r="AC5032" s="22"/>
    </row>
    <row r="5033" spans="1:29" ht="32.25" customHeight="1">
      <c r="A5033" s="19"/>
      <c r="B5033" s="20"/>
      <c r="C5033" s="20"/>
      <c r="D5033" s="20"/>
      <c r="E5033" s="20"/>
      <c r="F5033" s="20"/>
      <c r="G5033" s="20"/>
      <c r="H5033" s="20"/>
      <c r="I5033" s="20"/>
      <c r="J5033" s="20"/>
      <c r="K5033" s="20"/>
      <c r="L5033" s="20"/>
      <c r="M5033" s="20"/>
      <c r="N5033" s="20"/>
      <c r="O5033" s="20"/>
      <c r="P5033" s="20"/>
      <c r="Q5033" s="20"/>
      <c r="R5033" s="20"/>
      <c r="S5033" s="20"/>
      <c r="T5033" s="20"/>
      <c r="U5033" s="20"/>
      <c r="V5033" s="20"/>
      <c r="W5033" s="21"/>
      <c r="X5033" s="20"/>
      <c r="Y5033" s="22"/>
      <c r="Z5033" s="22"/>
      <c r="AA5033" s="22"/>
      <c r="AB5033" s="22"/>
      <c r="AC5033" s="22"/>
    </row>
    <row r="5034" spans="1:29" ht="32.25" customHeight="1">
      <c r="A5034" s="19"/>
      <c r="B5034" s="20"/>
      <c r="C5034" s="20"/>
      <c r="D5034" s="20"/>
      <c r="E5034" s="20"/>
      <c r="F5034" s="20"/>
      <c r="G5034" s="20"/>
      <c r="H5034" s="20"/>
      <c r="I5034" s="20"/>
      <c r="J5034" s="20"/>
      <c r="K5034" s="20"/>
      <c r="L5034" s="20"/>
      <c r="M5034" s="20"/>
      <c r="N5034" s="20"/>
      <c r="O5034" s="20"/>
      <c r="P5034" s="20"/>
      <c r="Q5034" s="20"/>
      <c r="R5034" s="20"/>
      <c r="S5034" s="20"/>
      <c r="T5034" s="20"/>
      <c r="U5034" s="20"/>
      <c r="V5034" s="20"/>
      <c r="W5034" s="21"/>
      <c r="X5034" s="20"/>
      <c r="Y5034" s="22"/>
      <c r="Z5034" s="22"/>
      <c r="AA5034" s="22"/>
      <c r="AB5034" s="22"/>
      <c r="AC5034" s="22"/>
    </row>
    <row r="5035" spans="1:29" ht="32.25" customHeight="1">
      <c r="A5035" s="19"/>
      <c r="B5035" s="20"/>
      <c r="C5035" s="20"/>
      <c r="D5035" s="20"/>
      <c r="E5035" s="20"/>
      <c r="F5035" s="20"/>
      <c r="G5035" s="20"/>
      <c r="H5035" s="20"/>
      <c r="I5035" s="20"/>
      <c r="J5035" s="20"/>
      <c r="K5035" s="20"/>
      <c r="L5035" s="20"/>
      <c r="M5035" s="20"/>
      <c r="N5035" s="20"/>
      <c r="O5035" s="20"/>
      <c r="P5035" s="20"/>
      <c r="Q5035" s="20"/>
      <c r="R5035" s="20"/>
      <c r="S5035" s="20"/>
      <c r="T5035" s="20"/>
      <c r="U5035" s="20"/>
      <c r="V5035" s="20"/>
      <c r="W5035" s="21"/>
      <c r="X5035" s="20"/>
      <c r="Y5035" s="22"/>
      <c r="Z5035" s="22"/>
      <c r="AA5035" s="22"/>
      <c r="AB5035" s="22"/>
      <c r="AC5035" s="22"/>
    </row>
    <row r="5036" spans="1:29" ht="32.25" customHeight="1">
      <c r="A5036" s="19"/>
      <c r="B5036" s="20"/>
      <c r="C5036" s="20"/>
      <c r="D5036" s="20"/>
      <c r="E5036" s="20"/>
      <c r="F5036" s="20"/>
      <c r="G5036" s="20"/>
      <c r="H5036" s="20"/>
      <c r="I5036" s="20"/>
      <c r="J5036" s="20"/>
      <c r="K5036" s="20"/>
      <c r="L5036" s="20"/>
      <c r="M5036" s="20"/>
      <c r="N5036" s="20"/>
      <c r="O5036" s="20"/>
      <c r="P5036" s="20"/>
      <c r="Q5036" s="20"/>
      <c r="R5036" s="20"/>
      <c r="S5036" s="20"/>
      <c r="T5036" s="20"/>
      <c r="U5036" s="20"/>
      <c r="V5036" s="20"/>
      <c r="W5036" s="21"/>
      <c r="X5036" s="20"/>
      <c r="Y5036" s="22"/>
      <c r="Z5036" s="22"/>
      <c r="AA5036" s="22"/>
      <c r="AB5036" s="22"/>
      <c r="AC5036" s="22"/>
    </row>
    <row r="5037" spans="1:29" ht="32.25" customHeight="1">
      <c r="A5037" s="19"/>
      <c r="B5037" s="20"/>
      <c r="C5037" s="20"/>
      <c r="D5037" s="20"/>
      <c r="E5037" s="20"/>
      <c r="F5037" s="20"/>
      <c r="G5037" s="20"/>
      <c r="H5037" s="20"/>
      <c r="I5037" s="20"/>
      <c r="J5037" s="20"/>
      <c r="K5037" s="20"/>
      <c r="L5037" s="20"/>
      <c r="M5037" s="20"/>
      <c r="N5037" s="20"/>
      <c r="O5037" s="20"/>
      <c r="P5037" s="20"/>
      <c r="Q5037" s="20"/>
      <c r="R5037" s="20"/>
      <c r="S5037" s="20"/>
      <c r="T5037" s="20"/>
      <c r="U5037" s="20"/>
      <c r="V5037" s="20"/>
      <c r="W5037" s="21"/>
      <c r="X5037" s="20"/>
      <c r="Y5037" s="22"/>
      <c r="Z5037" s="22"/>
      <c r="AA5037" s="22"/>
      <c r="AB5037" s="22"/>
      <c r="AC5037" s="22"/>
    </row>
    <row r="5038" spans="1:29" ht="32.25" customHeight="1">
      <c r="A5038" s="19"/>
      <c r="B5038" s="20"/>
      <c r="C5038" s="20"/>
      <c r="D5038" s="20"/>
      <c r="E5038" s="20"/>
      <c r="F5038" s="20"/>
      <c r="G5038" s="20"/>
      <c r="H5038" s="20"/>
      <c r="I5038" s="20"/>
      <c r="J5038" s="20"/>
      <c r="K5038" s="20"/>
      <c r="L5038" s="20"/>
      <c r="M5038" s="20"/>
      <c r="N5038" s="20"/>
      <c r="O5038" s="20"/>
      <c r="P5038" s="20"/>
      <c r="Q5038" s="20"/>
      <c r="R5038" s="20"/>
      <c r="S5038" s="20"/>
      <c r="T5038" s="20"/>
      <c r="U5038" s="20"/>
      <c r="V5038" s="20"/>
      <c r="W5038" s="21"/>
      <c r="X5038" s="20"/>
      <c r="Y5038" s="22"/>
      <c r="Z5038" s="22"/>
      <c r="AA5038" s="22"/>
      <c r="AB5038" s="22"/>
      <c r="AC5038" s="22"/>
    </row>
    <row r="5039" spans="1:29" ht="32.25" customHeight="1">
      <c r="A5039" s="19"/>
      <c r="B5039" s="20"/>
      <c r="C5039" s="20"/>
      <c r="D5039" s="20"/>
      <c r="E5039" s="20"/>
      <c r="F5039" s="20"/>
      <c r="G5039" s="20"/>
      <c r="H5039" s="20"/>
      <c r="I5039" s="20"/>
      <c r="J5039" s="20"/>
      <c r="K5039" s="20"/>
      <c r="L5039" s="20"/>
      <c r="M5039" s="20"/>
      <c r="N5039" s="20"/>
      <c r="O5039" s="20"/>
      <c r="P5039" s="20"/>
      <c r="Q5039" s="20"/>
      <c r="R5039" s="20"/>
      <c r="S5039" s="20"/>
      <c r="T5039" s="20"/>
      <c r="U5039" s="20"/>
      <c r="V5039" s="20"/>
      <c r="W5039" s="21"/>
      <c r="X5039" s="20"/>
      <c r="Y5039" s="22"/>
      <c r="Z5039" s="22"/>
      <c r="AA5039" s="22"/>
      <c r="AB5039" s="22"/>
      <c r="AC5039" s="22"/>
    </row>
    <row r="5040" spans="1:29" ht="32.25" customHeight="1">
      <c r="A5040" s="19"/>
      <c r="B5040" s="20"/>
      <c r="C5040" s="20"/>
      <c r="D5040" s="20"/>
      <c r="E5040" s="20"/>
      <c r="F5040" s="20"/>
      <c r="G5040" s="20"/>
      <c r="H5040" s="20"/>
      <c r="I5040" s="20"/>
      <c r="J5040" s="20"/>
      <c r="K5040" s="20"/>
      <c r="L5040" s="20"/>
      <c r="M5040" s="20"/>
      <c r="N5040" s="20"/>
      <c r="O5040" s="20"/>
      <c r="P5040" s="20"/>
      <c r="Q5040" s="20"/>
      <c r="R5040" s="20"/>
      <c r="S5040" s="20"/>
      <c r="T5040" s="20"/>
      <c r="U5040" s="20"/>
      <c r="V5040" s="20"/>
      <c r="W5040" s="21"/>
      <c r="X5040" s="20"/>
      <c r="Y5040" s="22"/>
      <c r="Z5040" s="22"/>
      <c r="AA5040" s="22"/>
      <c r="AB5040" s="22"/>
      <c r="AC5040" s="22"/>
    </row>
    <row r="5041" spans="1:29" ht="32.25" customHeight="1">
      <c r="A5041" s="19"/>
      <c r="B5041" s="20"/>
      <c r="C5041" s="20"/>
      <c r="D5041" s="20"/>
      <c r="E5041" s="20"/>
      <c r="F5041" s="20"/>
      <c r="G5041" s="20"/>
      <c r="H5041" s="20"/>
      <c r="I5041" s="20"/>
      <c r="J5041" s="20"/>
      <c r="K5041" s="20"/>
      <c r="L5041" s="20"/>
      <c r="M5041" s="20"/>
      <c r="N5041" s="20"/>
      <c r="O5041" s="20"/>
      <c r="P5041" s="20"/>
      <c r="Q5041" s="20"/>
      <c r="R5041" s="20"/>
      <c r="S5041" s="20"/>
      <c r="T5041" s="20"/>
      <c r="U5041" s="20"/>
      <c r="V5041" s="20"/>
      <c r="W5041" s="21"/>
      <c r="X5041" s="20"/>
      <c r="Y5041" s="22"/>
      <c r="Z5041" s="22"/>
      <c r="AA5041" s="22"/>
      <c r="AB5041" s="22"/>
      <c r="AC5041" s="22"/>
    </row>
    <row r="5042" spans="1:29" ht="32.25" customHeight="1">
      <c r="A5042" s="19"/>
      <c r="B5042" s="20"/>
      <c r="C5042" s="20"/>
      <c r="D5042" s="20"/>
      <c r="E5042" s="20"/>
      <c r="F5042" s="20"/>
      <c r="G5042" s="20"/>
      <c r="H5042" s="20"/>
      <c r="I5042" s="20"/>
      <c r="J5042" s="20"/>
      <c r="K5042" s="20"/>
      <c r="L5042" s="20"/>
      <c r="M5042" s="20"/>
      <c r="N5042" s="20"/>
      <c r="O5042" s="20"/>
      <c r="P5042" s="20"/>
      <c r="Q5042" s="20"/>
      <c r="R5042" s="20"/>
      <c r="S5042" s="20"/>
      <c r="T5042" s="20"/>
      <c r="U5042" s="20"/>
      <c r="V5042" s="20"/>
      <c r="W5042" s="21"/>
      <c r="X5042" s="20"/>
      <c r="Y5042" s="22"/>
      <c r="Z5042" s="22"/>
      <c r="AA5042" s="22"/>
      <c r="AB5042" s="22"/>
      <c r="AC5042" s="22"/>
    </row>
    <row r="5043" spans="1:29" ht="32.25" customHeight="1">
      <c r="A5043" s="19"/>
      <c r="B5043" s="20"/>
      <c r="C5043" s="20"/>
      <c r="D5043" s="20"/>
      <c r="E5043" s="20"/>
      <c r="F5043" s="20"/>
      <c r="G5043" s="20"/>
      <c r="H5043" s="20"/>
      <c r="I5043" s="20"/>
      <c r="J5043" s="20"/>
      <c r="K5043" s="20"/>
      <c r="L5043" s="20"/>
      <c r="M5043" s="20"/>
      <c r="N5043" s="20"/>
      <c r="O5043" s="20"/>
      <c r="P5043" s="20"/>
      <c r="Q5043" s="20"/>
      <c r="R5043" s="20"/>
      <c r="S5043" s="20"/>
      <c r="T5043" s="20"/>
      <c r="U5043" s="20"/>
      <c r="V5043" s="20"/>
      <c r="W5043" s="21"/>
      <c r="X5043" s="20"/>
      <c r="Y5043" s="22"/>
      <c r="Z5043" s="22"/>
      <c r="AA5043" s="22"/>
      <c r="AB5043" s="22"/>
      <c r="AC5043" s="22"/>
    </row>
    <row r="5044" spans="1:29" ht="32.25" customHeight="1">
      <c r="A5044" s="19"/>
      <c r="B5044" s="20"/>
      <c r="C5044" s="20"/>
      <c r="D5044" s="20"/>
      <c r="E5044" s="20"/>
      <c r="F5044" s="20"/>
      <c r="G5044" s="20"/>
      <c r="H5044" s="20"/>
      <c r="I5044" s="20"/>
      <c r="J5044" s="20"/>
      <c r="K5044" s="20"/>
      <c r="L5044" s="20"/>
      <c r="M5044" s="20"/>
      <c r="N5044" s="20"/>
      <c r="O5044" s="20"/>
      <c r="P5044" s="20"/>
      <c r="Q5044" s="20"/>
      <c r="R5044" s="20"/>
      <c r="S5044" s="20"/>
      <c r="T5044" s="20"/>
      <c r="U5044" s="20"/>
      <c r="V5044" s="20"/>
      <c r="W5044" s="21"/>
      <c r="X5044" s="20"/>
      <c r="Y5044" s="22"/>
      <c r="Z5044" s="22"/>
      <c r="AA5044" s="22"/>
      <c r="AB5044" s="22"/>
      <c r="AC5044" s="22"/>
    </row>
    <row r="5045" spans="1:29" ht="32.25" customHeight="1">
      <c r="A5045" s="19"/>
      <c r="B5045" s="20"/>
      <c r="C5045" s="20"/>
      <c r="D5045" s="20"/>
      <c r="E5045" s="20"/>
      <c r="F5045" s="20"/>
      <c r="G5045" s="20"/>
      <c r="H5045" s="20"/>
      <c r="I5045" s="20"/>
      <c r="J5045" s="20"/>
      <c r="K5045" s="20"/>
      <c r="L5045" s="20"/>
      <c r="M5045" s="20"/>
      <c r="N5045" s="20"/>
      <c r="O5045" s="20"/>
      <c r="P5045" s="20"/>
      <c r="Q5045" s="20"/>
      <c r="R5045" s="20"/>
      <c r="S5045" s="20"/>
      <c r="T5045" s="20"/>
      <c r="U5045" s="20"/>
      <c r="V5045" s="20"/>
      <c r="W5045" s="21"/>
      <c r="X5045" s="20"/>
      <c r="Y5045" s="22"/>
      <c r="Z5045" s="22"/>
      <c r="AA5045" s="22"/>
      <c r="AB5045" s="22"/>
      <c r="AC5045" s="22"/>
    </row>
    <row r="5046" spans="1:29" ht="32.25" customHeight="1">
      <c r="A5046" s="19"/>
      <c r="B5046" s="20"/>
      <c r="C5046" s="20"/>
      <c r="D5046" s="20"/>
      <c r="E5046" s="20"/>
      <c r="F5046" s="20"/>
      <c r="G5046" s="20"/>
      <c r="H5046" s="20"/>
      <c r="I5046" s="20"/>
      <c r="J5046" s="20"/>
      <c r="K5046" s="20"/>
      <c r="L5046" s="20"/>
      <c r="M5046" s="20"/>
      <c r="N5046" s="20"/>
      <c r="O5046" s="20"/>
      <c r="P5046" s="20"/>
      <c r="Q5046" s="20"/>
      <c r="R5046" s="20"/>
      <c r="S5046" s="20"/>
      <c r="T5046" s="20"/>
      <c r="U5046" s="20"/>
      <c r="V5046" s="20"/>
      <c r="W5046" s="21"/>
      <c r="X5046" s="20"/>
      <c r="Y5046" s="22"/>
      <c r="Z5046" s="22"/>
      <c r="AA5046" s="22"/>
      <c r="AB5046" s="22"/>
      <c r="AC5046" s="22"/>
    </row>
    <row r="5047" spans="1:29" ht="32.25" customHeight="1">
      <c r="A5047" s="19"/>
      <c r="B5047" s="20"/>
      <c r="C5047" s="20"/>
      <c r="D5047" s="20"/>
      <c r="E5047" s="20"/>
      <c r="F5047" s="20"/>
      <c r="G5047" s="20"/>
      <c r="H5047" s="20"/>
      <c r="I5047" s="20"/>
      <c r="J5047" s="20"/>
      <c r="K5047" s="20"/>
      <c r="L5047" s="20"/>
      <c r="M5047" s="20"/>
      <c r="N5047" s="20"/>
      <c r="O5047" s="20"/>
      <c r="P5047" s="20"/>
      <c r="Q5047" s="20"/>
      <c r="R5047" s="20"/>
      <c r="S5047" s="20"/>
      <c r="T5047" s="20"/>
      <c r="U5047" s="20"/>
      <c r="V5047" s="20"/>
      <c r="W5047" s="21"/>
      <c r="X5047" s="20"/>
      <c r="Y5047" s="22"/>
      <c r="Z5047" s="22"/>
      <c r="AA5047" s="22"/>
      <c r="AB5047" s="22"/>
      <c r="AC5047" s="22"/>
    </row>
    <row r="5048" spans="1:29" ht="32.25" customHeight="1">
      <c r="A5048" s="19"/>
      <c r="B5048" s="20"/>
      <c r="C5048" s="20"/>
      <c r="D5048" s="20"/>
      <c r="E5048" s="20"/>
      <c r="F5048" s="20"/>
      <c r="G5048" s="20"/>
      <c r="H5048" s="20"/>
      <c r="I5048" s="20"/>
      <c r="J5048" s="20"/>
      <c r="K5048" s="20"/>
      <c r="L5048" s="20"/>
      <c r="M5048" s="20"/>
      <c r="N5048" s="20"/>
      <c r="O5048" s="20"/>
      <c r="P5048" s="20"/>
      <c r="Q5048" s="20"/>
      <c r="R5048" s="20"/>
      <c r="S5048" s="20"/>
      <c r="T5048" s="20"/>
      <c r="U5048" s="20"/>
      <c r="V5048" s="20"/>
      <c r="W5048" s="21"/>
      <c r="X5048" s="20"/>
      <c r="Y5048" s="22"/>
      <c r="Z5048" s="22"/>
      <c r="AA5048" s="22"/>
      <c r="AB5048" s="22"/>
      <c r="AC5048" s="22"/>
    </row>
    <row r="5049" spans="1:29" ht="32.25" customHeight="1">
      <c r="A5049" s="19"/>
      <c r="B5049" s="20"/>
      <c r="C5049" s="20"/>
      <c r="D5049" s="20"/>
      <c r="E5049" s="20"/>
      <c r="F5049" s="20"/>
      <c r="G5049" s="20"/>
      <c r="H5049" s="20"/>
      <c r="I5049" s="20"/>
      <c r="J5049" s="20"/>
      <c r="K5049" s="20"/>
      <c r="L5049" s="20"/>
      <c r="M5049" s="20"/>
      <c r="N5049" s="20"/>
      <c r="O5049" s="20"/>
      <c r="P5049" s="20"/>
      <c r="Q5049" s="20"/>
      <c r="R5049" s="20"/>
      <c r="S5049" s="20"/>
      <c r="T5049" s="20"/>
      <c r="U5049" s="20"/>
      <c r="V5049" s="20"/>
      <c r="W5049" s="21"/>
      <c r="X5049" s="20"/>
      <c r="Y5049" s="22"/>
      <c r="Z5049" s="22"/>
      <c r="AA5049" s="22"/>
      <c r="AB5049" s="22"/>
      <c r="AC5049" s="22"/>
    </row>
    <row r="5050" spans="1:29" ht="32.25" customHeight="1">
      <c r="A5050" s="19"/>
      <c r="B5050" s="20"/>
      <c r="C5050" s="20"/>
      <c r="D5050" s="20"/>
      <c r="E5050" s="20"/>
      <c r="F5050" s="20"/>
      <c r="G5050" s="20"/>
      <c r="H5050" s="20"/>
      <c r="I5050" s="20"/>
      <c r="J5050" s="20"/>
      <c r="K5050" s="20"/>
      <c r="L5050" s="20"/>
      <c r="M5050" s="20"/>
      <c r="N5050" s="20"/>
      <c r="O5050" s="20"/>
      <c r="P5050" s="20"/>
      <c r="Q5050" s="20"/>
      <c r="R5050" s="20"/>
      <c r="S5050" s="20"/>
      <c r="T5050" s="20"/>
      <c r="U5050" s="20"/>
      <c r="V5050" s="20"/>
      <c r="W5050" s="21"/>
      <c r="X5050" s="20"/>
      <c r="Y5050" s="22"/>
      <c r="Z5050" s="22"/>
      <c r="AA5050" s="22"/>
      <c r="AB5050" s="22"/>
      <c r="AC5050" s="22"/>
    </row>
    <row r="5051" spans="1:29" ht="32.25" customHeight="1">
      <c r="A5051" s="19"/>
      <c r="B5051" s="20"/>
      <c r="C5051" s="20"/>
      <c r="D5051" s="20"/>
      <c r="E5051" s="20"/>
      <c r="F5051" s="20"/>
      <c r="G5051" s="20"/>
      <c r="H5051" s="20"/>
      <c r="I5051" s="20"/>
      <c r="J5051" s="20"/>
      <c r="K5051" s="20"/>
      <c r="L5051" s="20"/>
      <c r="M5051" s="20"/>
      <c r="N5051" s="20"/>
      <c r="O5051" s="20"/>
      <c r="P5051" s="20"/>
      <c r="Q5051" s="20"/>
      <c r="R5051" s="20"/>
      <c r="S5051" s="20"/>
      <c r="T5051" s="20"/>
      <c r="U5051" s="20"/>
      <c r="V5051" s="20"/>
      <c r="W5051" s="21"/>
      <c r="X5051" s="20"/>
      <c r="Y5051" s="22"/>
      <c r="Z5051" s="22"/>
      <c r="AA5051" s="22"/>
      <c r="AB5051" s="22"/>
      <c r="AC5051" s="22"/>
    </row>
    <row r="5052" spans="1:29" ht="32.25" customHeight="1">
      <c r="A5052" s="19"/>
      <c r="B5052" s="20"/>
      <c r="C5052" s="20"/>
      <c r="D5052" s="20"/>
      <c r="E5052" s="20"/>
      <c r="F5052" s="20"/>
      <c r="G5052" s="20"/>
      <c r="H5052" s="20"/>
      <c r="I5052" s="20"/>
      <c r="J5052" s="20"/>
      <c r="K5052" s="20"/>
      <c r="L5052" s="20"/>
      <c r="M5052" s="20"/>
      <c r="N5052" s="20"/>
      <c r="O5052" s="20"/>
      <c r="P5052" s="20"/>
      <c r="Q5052" s="20"/>
      <c r="R5052" s="20"/>
      <c r="S5052" s="20"/>
      <c r="T5052" s="20"/>
      <c r="U5052" s="20"/>
      <c r="V5052" s="20"/>
      <c r="W5052" s="21"/>
      <c r="X5052" s="20"/>
      <c r="Y5052" s="22"/>
      <c r="Z5052" s="22"/>
      <c r="AA5052" s="22"/>
      <c r="AB5052" s="22"/>
      <c r="AC5052" s="22"/>
    </row>
    <row r="5053" spans="1:29" ht="32.25" customHeight="1">
      <c r="A5053" s="19"/>
      <c r="B5053" s="20"/>
      <c r="C5053" s="20"/>
      <c r="D5053" s="20"/>
      <c r="E5053" s="20"/>
      <c r="F5053" s="20"/>
      <c r="G5053" s="20"/>
      <c r="H5053" s="20"/>
      <c r="I5053" s="20"/>
      <c r="J5053" s="20"/>
      <c r="K5053" s="20"/>
      <c r="L5053" s="20"/>
      <c r="M5053" s="20"/>
      <c r="N5053" s="20"/>
      <c r="O5053" s="20"/>
      <c r="P5053" s="20"/>
      <c r="Q5053" s="20"/>
      <c r="R5053" s="20"/>
      <c r="S5053" s="20"/>
      <c r="T5053" s="20"/>
      <c r="U5053" s="20"/>
      <c r="V5053" s="20"/>
      <c r="W5053" s="21"/>
      <c r="X5053" s="20"/>
      <c r="Y5053" s="22"/>
      <c r="Z5053" s="22"/>
      <c r="AA5053" s="22"/>
      <c r="AB5053" s="22"/>
      <c r="AC5053" s="22"/>
    </row>
    <row r="5054" spans="1:29" ht="32.25" customHeight="1">
      <c r="A5054" s="19"/>
      <c r="B5054" s="20"/>
      <c r="C5054" s="20"/>
      <c r="D5054" s="20"/>
      <c r="E5054" s="20"/>
      <c r="F5054" s="20"/>
      <c r="G5054" s="20"/>
      <c r="H5054" s="20"/>
      <c r="I5054" s="20"/>
      <c r="J5054" s="20"/>
      <c r="K5054" s="20"/>
      <c r="L5054" s="20"/>
      <c r="M5054" s="20"/>
      <c r="N5054" s="20"/>
      <c r="O5054" s="20"/>
      <c r="P5054" s="20"/>
      <c r="Q5054" s="20"/>
      <c r="R5054" s="20"/>
      <c r="S5054" s="20"/>
      <c r="T5054" s="20"/>
      <c r="U5054" s="20"/>
      <c r="V5054" s="20"/>
      <c r="W5054" s="21"/>
      <c r="X5054" s="20"/>
      <c r="Y5054" s="22"/>
      <c r="Z5054" s="22"/>
      <c r="AA5054" s="22"/>
      <c r="AB5054" s="22"/>
      <c r="AC5054" s="22"/>
    </row>
    <row r="5055" spans="1:29" ht="32.25" customHeight="1">
      <c r="A5055" s="19"/>
      <c r="B5055" s="20"/>
      <c r="C5055" s="20"/>
      <c r="D5055" s="20"/>
      <c r="E5055" s="20"/>
      <c r="F5055" s="20"/>
      <c r="G5055" s="20"/>
      <c r="H5055" s="20"/>
      <c r="I5055" s="20"/>
      <c r="J5055" s="20"/>
      <c r="K5055" s="20"/>
      <c r="L5055" s="20"/>
      <c r="M5055" s="20"/>
      <c r="N5055" s="20"/>
      <c r="O5055" s="20"/>
      <c r="P5055" s="20"/>
      <c r="Q5055" s="20"/>
      <c r="R5055" s="20"/>
      <c r="S5055" s="20"/>
      <c r="T5055" s="20"/>
      <c r="U5055" s="20"/>
      <c r="V5055" s="20"/>
      <c r="W5055" s="21"/>
      <c r="X5055" s="20"/>
      <c r="Y5055" s="22"/>
      <c r="Z5055" s="22"/>
      <c r="AA5055" s="22"/>
      <c r="AB5055" s="22"/>
      <c r="AC5055" s="22"/>
    </row>
    <row r="5056" spans="1:29" ht="32.25" customHeight="1">
      <c r="A5056" s="19"/>
      <c r="B5056" s="20"/>
      <c r="C5056" s="20"/>
      <c r="D5056" s="20"/>
      <c r="E5056" s="20"/>
      <c r="F5056" s="20"/>
      <c r="G5056" s="20"/>
      <c r="H5056" s="20"/>
      <c r="I5056" s="20"/>
      <c r="J5056" s="20"/>
      <c r="K5056" s="20"/>
      <c r="L5056" s="20"/>
      <c r="M5056" s="20"/>
      <c r="N5056" s="20"/>
      <c r="O5056" s="20"/>
      <c r="P5056" s="20"/>
      <c r="Q5056" s="20"/>
      <c r="R5056" s="20"/>
      <c r="S5056" s="20"/>
      <c r="T5056" s="20"/>
      <c r="U5056" s="20"/>
      <c r="V5056" s="20"/>
      <c r="W5056" s="21"/>
      <c r="X5056" s="20"/>
      <c r="Y5056" s="22"/>
      <c r="Z5056" s="22"/>
      <c r="AA5056" s="22"/>
      <c r="AB5056" s="22"/>
      <c r="AC5056" s="22"/>
    </row>
    <row r="5057" spans="1:29" ht="32.25" customHeight="1">
      <c r="A5057" s="19"/>
      <c r="B5057" s="20"/>
      <c r="C5057" s="20"/>
      <c r="D5057" s="20"/>
      <c r="E5057" s="20"/>
      <c r="F5057" s="20"/>
      <c r="G5057" s="20"/>
      <c r="H5057" s="20"/>
      <c r="I5057" s="20"/>
      <c r="J5057" s="20"/>
      <c r="K5057" s="20"/>
      <c r="L5057" s="20"/>
      <c r="M5057" s="20"/>
      <c r="N5057" s="20"/>
      <c r="O5057" s="20"/>
      <c r="P5057" s="20"/>
      <c r="Q5057" s="20"/>
      <c r="R5057" s="20"/>
      <c r="S5057" s="20"/>
      <c r="T5057" s="20"/>
      <c r="U5057" s="20"/>
      <c r="V5057" s="20"/>
      <c r="W5057" s="21"/>
      <c r="X5057" s="20"/>
      <c r="Y5057" s="22"/>
      <c r="Z5057" s="22"/>
      <c r="AA5057" s="22"/>
      <c r="AB5057" s="22"/>
      <c r="AC5057" s="22"/>
    </row>
    <row r="5058" spans="1:29" ht="32.25" customHeight="1">
      <c r="A5058" s="19"/>
      <c r="B5058" s="20"/>
      <c r="C5058" s="20"/>
      <c r="D5058" s="20"/>
      <c r="E5058" s="20"/>
      <c r="F5058" s="20"/>
      <c r="G5058" s="20"/>
      <c r="H5058" s="20"/>
      <c r="I5058" s="20"/>
      <c r="J5058" s="20"/>
      <c r="K5058" s="20"/>
      <c r="L5058" s="20"/>
      <c r="M5058" s="20"/>
      <c r="N5058" s="20"/>
      <c r="O5058" s="20"/>
      <c r="P5058" s="20"/>
      <c r="Q5058" s="20"/>
      <c r="R5058" s="20"/>
      <c r="S5058" s="20"/>
      <c r="T5058" s="20"/>
      <c r="U5058" s="20"/>
      <c r="V5058" s="20"/>
      <c r="W5058" s="21"/>
      <c r="X5058" s="20"/>
      <c r="Y5058" s="22"/>
      <c r="Z5058" s="22"/>
      <c r="AA5058" s="22"/>
      <c r="AB5058" s="22"/>
      <c r="AC5058" s="22"/>
    </row>
    <row r="5059" spans="1:29" ht="32.25" customHeight="1">
      <c r="A5059" s="19"/>
      <c r="B5059" s="20"/>
      <c r="C5059" s="20"/>
      <c r="D5059" s="20"/>
      <c r="E5059" s="20"/>
      <c r="F5059" s="20"/>
      <c r="G5059" s="20"/>
      <c r="H5059" s="20"/>
      <c r="I5059" s="20"/>
      <c r="J5059" s="20"/>
      <c r="K5059" s="20"/>
      <c r="L5059" s="20"/>
      <c r="M5059" s="20"/>
      <c r="N5059" s="20"/>
      <c r="O5059" s="20"/>
      <c r="P5059" s="20"/>
      <c r="Q5059" s="20"/>
      <c r="R5059" s="20"/>
      <c r="S5059" s="20"/>
      <c r="T5059" s="20"/>
      <c r="U5059" s="20"/>
      <c r="V5059" s="20"/>
      <c r="W5059" s="21"/>
      <c r="X5059" s="20"/>
      <c r="Y5059" s="22"/>
      <c r="Z5059" s="22"/>
      <c r="AA5059" s="22"/>
      <c r="AB5059" s="22"/>
      <c r="AC5059" s="22"/>
    </row>
    <row r="5060" spans="1:29" ht="32.25" customHeight="1">
      <c r="A5060" s="19"/>
      <c r="B5060" s="20"/>
      <c r="C5060" s="20"/>
      <c r="D5060" s="20"/>
      <c r="E5060" s="20"/>
      <c r="F5060" s="20"/>
      <c r="G5060" s="20"/>
      <c r="H5060" s="20"/>
      <c r="I5060" s="20"/>
      <c r="J5060" s="20"/>
      <c r="K5060" s="20"/>
      <c r="L5060" s="20"/>
      <c r="M5060" s="20"/>
      <c r="N5060" s="20"/>
      <c r="O5060" s="20"/>
      <c r="P5060" s="20"/>
      <c r="Q5060" s="20"/>
      <c r="R5060" s="20"/>
      <c r="S5060" s="20"/>
      <c r="T5060" s="20"/>
      <c r="U5060" s="20"/>
      <c r="V5060" s="20"/>
      <c r="W5060" s="21"/>
      <c r="X5060" s="20"/>
      <c r="Y5060" s="22"/>
      <c r="Z5060" s="22"/>
      <c r="AA5060" s="22"/>
      <c r="AB5060" s="22"/>
      <c r="AC5060" s="22"/>
    </row>
    <row r="5061" spans="1:29" ht="32.25" customHeight="1">
      <c r="A5061" s="19"/>
      <c r="B5061" s="20"/>
      <c r="C5061" s="20"/>
      <c r="D5061" s="20"/>
      <c r="E5061" s="20"/>
      <c r="F5061" s="20"/>
      <c r="G5061" s="20"/>
      <c r="H5061" s="20"/>
      <c r="I5061" s="20"/>
      <c r="J5061" s="20"/>
      <c r="K5061" s="20"/>
      <c r="L5061" s="20"/>
      <c r="M5061" s="20"/>
      <c r="N5061" s="20"/>
      <c r="O5061" s="20"/>
      <c r="P5061" s="20"/>
      <c r="Q5061" s="20"/>
      <c r="R5061" s="20"/>
      <c r="S5061" s="20"/>
      <c r="T5061" s="20"/>
      <c r="U5061" s="20"/>
      <c r="V5061" s="20"/>
      <c r="W5061" s="21"/>
      <c r="X5061" s="20"/>
      <c r="Y5061" s="22"/>
      <c r="Z5061" s="22"/>
      <c r="AA5061" s="22"/>
      <c r="AB5061" s="22"/>
      <c r="AC5061" s="22"/>
    </row>
    <row r="5062" spans="1:29" ht="32.25" customHeight="1">
      <c r="A5062" s="19"/>
      <c r="B5062" s="20"/>
      <c r="C5062" s="20"/>
      <c r="D5062" s="20"/>
      <c r="E5062" s="20"/>
      <c r="F5062" s="20"/>
      <c r="G5062" s="20"/>
      <c r="H5062" s="20"/>
      <c r="I5062" s="20"/>
      <c r="J5062" s="20"/>
      <c r="K5062" s="20"/>
      <c r="L5062" s="20"/>
      <c r="M5062" s="20"/>
      <c r="N5062" s="20"/>
      <c r="O5062" s="20"/>
      <c r="P5062" s="20"/>
      <c r="Q5062" s="20"/>
      <c r="R5062" s="20"/>
      <c r="S5062" s="20"/>
      <c r="T5062" s="20"/>
      <c r="U5062" s="20"/>
      <c r="V5062" s="20"/>
      <c r="W5062" s="21"/>
      <c r="X5062" s="20"/>
      <c r="Y5062" s="22"/>
      <c r="Z5062" s="22"/>
      <c r="AA5062" s="22"/>
      <c r="AB5062" s="22"/>
      <c r="AC5062" s="22"/>
    </row>
    <row r="5063" spans="1:29" ht="32.25" customHeight="1">
      <c r="A5063" s="19"/>
      <c r="B5063" s="20"/>
      <c r="C5063" s="20"/>
      <c r="D5063" s="20"/>
      <c r="E5063" s="20"/>
      <c r="F5063" s="20"/>
      <c r="G5063" s="20"/>
      <c r="H5063" s="20"/>
      <c r="I5063" s="20"/>
      <c r="J5063" s="20"/>
      <c r="K5063" s="20"/>
      <c r="L5063" s="20"/>
      <c r="M5063" s="20"/>
      <c r="N5063" s="20"/>
      <c r="O5063" s="20"/>
      <c r="P5063" s="20"/>
      <c r="Q5063" s="20"/>
      <c r="R5063" s="20"/>
      <c r="S5063" s="20"/>
      <c r="T5063" s="20"/>
      <c r="U5063" s="20"/>
      <c r="V5063" s="20"/>
      <c r="W5063" s="21"/>
      <c r="X5063" s="20"/>
      <c r="Y5063" s="22"/>
      <c r="Z5063" s="22"/>
      <c r="AA5063" s="22"/>
      <c r="AB5063" s="22"/>
      <c r="AC5063" s="22"/>
    </row>
    <row r="5064" spans="1:29" ht="32.25" customHeight="1">
      <c r="A5064" s="19"/>
      <c r="B5064" s="20"/>
      <c r="C5064" s="20"/>
      <c r="D5064" s="20"/>
      <c r="E5064" s="20"/>
      <c r="F5064" s="20"/>
      <c r="G5064" s="20"/>
      <c r="H5064" s="20"/>
      <c r="I5064" s="20"/>
      <c r="J5064" s="20"/>
      <c r="K5064" s="20"/>
      <c r="L5064" s="20"/>
      <c r="M5064" s="20"/>
      <c r="N5064" s="20"/>
      <c r="O5064" s="20"/>
      <c r="P5064" s="20"/>
      <c r="Q5064" s="20"/>
      <c r="R5064" s="20"/>
      <c r="S5064" s="20"/>
      <c r="T5064" s="20"/>
      <c r="U5064" s="20"/>
      <c r="V5064" s="20"/>
      <c r="W5064" s="21"/>
      <c r="X5064" s="20"/>
      <c r="Y5064" s="22"/>
      <c r="Z5064" s="22"/>
      <c r="AA5064" s="22"/>
      <c r="AB5064" s="22"/>
      <c r="AC5064" s="22"/>
    </row>
    <row r="5065" spans="1:29" ht="32.25" customHeight="1">
      <c r="A5065" s="19"/>
      <c r="B5065" s="20"/>
      <c r="C5065" s="20"/>
      <c r="D5065" s="20"/>
      <c r="E5065" s="20"/>
      <c r="F5065" s="20"/>
      <c r="G5065" s="20"/>
      <c r="H5065" s="20"/>
      <c r="I5065" s="20"/>
      <c r="J5065" s="20"/>
      <c r="K5065" s="20"/>
      <c r="L5065" s="20"/>
      <c r="M5065" s="20"/>
      <c r="N5065" s="20"/>
      <c r="O5065" s="20"/>
      <c r="P5065" s="20"/>
      <c r="Q5065" s="20"/>
      <c r="R5065" s="20"/>
      <c r="S5065" s="20"/>
      <c r="T5065" s="20"/>
      <c r="U5065" s="20"/>
      <c r="V5065" s="20"/>
      <c r="W5065" s="21"/>
      <c r="X5065" s="20"/>
      <c r="Y5065" s="22"/>
      <c r="Z5065" s="22"/>
      <c r="AA5065" s="22"/>
      <c r="AB5065" s="22"/>
      <c r="AC5065" s="22"/>
    </row>
    <row r="5066" spans="1:29" ht="32.25" customHeight="1">
      <c r="A5066" s="19"/>
      <c r="B5066" s="20"/>
      <c r="C5066" s="20"/>
      <c r="D5066" s="20"/>
      <c r="E5066" s="20"/>
      <c r="F5066" s="20"/>
      <c r="G5066" s="20"/>
      <c r="H5066" s="20"/>
      <c r="I5066" s="20"/>
      <c r="J5066" s="20"/>
      <c r="K5066" s="20"/>
      <c r="L5066" s="20"/>
      <c r="M5066" s="20"/>
      <c r="N5066" s="20"/>
      <c r="O5066" s="20"/>
      <c r="P5066" s="20"/>
      <c r="Q5066" s="20"/>
      <c r="R5066" s="20"/>
      <c r="S5066" s="20"/>
      <c r="T5066" s="20"/>
      <c r="U5066" s="20"/>
      <c r="V5066" s="20"/>
      <c r="W5066" s="21"/>
      <c r="X5066" s="20"/>
      <c r="Y5066" s="22"/>
      <c r="Z5066" s="22"/>
      <c r="AA5066" s="22"/>
      <c r="AB5066" s="22"/>
      <c r="AC5066" s="22"/>
    </row>
    <row r="5067" spans="1:29" ht="32.25" customHeight="1">
      <c r="A5067" s="19"/>
      <c r="B5067" s="20"/>
      <c r="C5067" s="20"/>
      <c r="D5067" s="20"/>
      <c r="E5067" s="20"/>
      <c r="F5067" s="20"/>
      <c r="G5067" s="20"/>
      <c r="H5067" s="20"/>
      <c r="I5067" s="20"/>
      <c r="J5067" s="20"/>
      <c r="K5067" s="20"/>
      <c r="L5067" s="20"/>
      <c r="M5067" s="20"/>
      <c r="N5067" s="20"/>
      <c r="O5067" s="20"/>
      <c r="P5067" s="20"/>
      <c r="Q5067" s="20"/>
      <c r="R5067" s="20"/>
      <c r="S5067" s="20"/>
      <c r="T5067" s="20"/>
      <c r="U5067" s="20"/>
      <c r="V5067" s="20"/>
      <c r="W5067" s="21"/>
      <c r="X5067" s="20"/>
      <c r="Y5067" s="22"/>
      <c r="Z5067" s="22"/>
      <c r="AA5067" s="22"/>
      <c r="AB5067" s="22"/>
      <c r="AC5067" s="22"/>
    </row>
    <row r="5068" spans="1:29" ht="32.25" customHeight="1">
      <c r="A5068" s="19"/>
      <c r="B5068" s="20"/>
      <c r="C5068" s="20"/>
      <c r="D5068" s="20"/>
      <c r="E5068" s="20"/>
      <c r="F5068" s="20"/>
      <c r="G5068" s="20"/>
      <c r="H5068" s="20"/>
      <c r="I5068" s="20"/>
      <c r="J5068" s="20"/>
      <c r="K5068" s="20"/>
      <c r="L5068" s="20"/>
      <c r="M5068" s="20"/>
      <c r="N5068" s="20"/>
      <c r="O5068" s="20"/>
      <c r="P5068" s="20"/>
      <c r="Q5068" s="20"/>
      <c r="R5068" s="20"/>
      <c r="S5068" s="20"/>
      <c r="T5068" s="20"/>
      <c r="U5068" s="20"/>
      <c r="V5068" s="20"/>
      <c r="W5068" s="21"/>
      <c r="X5068" s="20"/>
      <c r="Y5068" s="22"/>
      <c r="Z5068" s="22"/>
      <c r="AA5068" s="22"/>
      <c r="AB5068" s="22"/>
      <c r="AC5068" s="22"/>
    </row>
    <row r="5069" spans="1:29" ht="32.25" customHeight="1">
      <c r="A5069" s="19"/>
      <c r="B5069" s="20"/>
      <c r="C5069" s="20"/>
      <c r="D5069" s="20"/>
      <c r="E5069" s="20"/>
      <c r="F5069" s="20"/>
      <c r="G5069" s="20"/>
      <c r="H5069" s="20"/>
      <c r="I5069" s="20"/>
      <c r="J5069" s="20"/>
      <c r="K5069" s="20"/>
      <c r="L5069" s="20"/>
      <c r="M5069" s="20"/>
      <c r="N5069" s="20"/>
      <c r="O5069" s="20"/>
      <c r="P5069" s="20"/>
      <c r="Q5069" s="20"/>
      <c r="R5069" s="20"/>
      <c r="S5069" s="20"/>
      <c r="T5069" s="20"/>
      <c r="U5069" s="20"/>
      <c r="V5069" s="20"/>
      <c r="W5069" s="21"/>
      <c r="X5069" s="20"/>
      <c r="Y5069" s="22"/>
      <c r="Z5069" s="22"/>
      <c r="AA5069" s="22"/>
      <c r="AB5069" s="22"/>
      <c r="AC5069" s="22"/>
    </row>
    <row r="5070" spans="1:29" ht="32.25" customHeight="1">
      <c r="A5070" s="19"/>
      <c r="B5070" s="20"/>
      <c r="C5070" s="20"/>
      <c r="D5070" s="20"/>
      <c r="E5070" s="20"/>
      <c r="F5070" s="20"/>
      <c r="G5070" s="20"/>
      <c r="H5070" s="20"/>
      <c r="I5070" s="20"/>
      <c r="J5070" s="20"/>
      <c r="K5070" s="20"/>
      <c r="L5070" s="20"/>
      <c r="M5070" s="20"/>
      <c r="N5070" s="20"/>
      <c r="O5070" s="20"/>
      <c r="P5070" s="20"/>
      <c r="Q5070" s="20"/>
      <c r="R5070" s="20"/>
      <c r="S5070" s="20"/>
      <c r="T5070" s="20"/>
      <c r="U5070" s="20"/>
      <c r="V5070" s="20"/>
      <c r="W5070" s="21"/>
      <c r="X5070" s="20"/>
      <c r="Y5070" s="22"/>
      <c r="Z5070" s="22"/>
      <c r="AA5070" s="22"/>
      <c r="AB5070" s="22"/>
      <c r="AC5070" s="22"/>
    </row>
    <row r="5071" spans="1:29" ht="32.25" customHeight="1">
      <c r="A5071" s="19"/>
      <c r="B5071" s="20"/>
      <c r="C5071" s="20"/>
      <c r="D5071" s="20"/>
      <c r="E5071" s="20"/>
      <c r="F5071" s="20"/>
      <c r="G5071" s="20"/>
      <c r="H5071" s="20"/>
      <c r="I5071" s="20"/>
      <c r="J5071" s="20"/>
      <c r="K5071" s="20"/>
      <c r="L5071" s="20"/>
      <c r="M5071" s="20"/>
      <c r="N5071" s="20"/>
      <c r="O5071" s="20"/>
      <c r="P5071" s="20"/>
      <c r="Q5071" s="20"/>
      <c r="R5071" s="20"/>
      <c r="S5071" s="20"/>
      <c r="T5071" s="20"/>
      <c r="U5071" s="20"/>
      <c r="V5071" s="20"/>
      <c r="W5071" s="21"/>
      <c r="X5071" s="20"/>
      <c r="Y5071" s="22"/>
      <c r="Z5071" s="22"/>
      <c r="AA5071" s="22"/>
      <c r="AB5071" s="22"/>
      <c r="AC5071" s="22"/>
    </row>
    <row r="5072" spans="1:29" ht="32.25" customHeight="1">
      <c r="A5072" s="19"/>
      <c r="B5072" s="20"/>
      <c r="C5072" s="20"/>
      <c r="D5072" s="20"/>
      <c r="E5072" s="20"/>
      <c r="F5072" s="20"/>
      <c r="G5072" s="20"/>
      <c r="H5072" s="20"/>
      <c r="I5072" s="20"/>
      <c r="J5072" s="20"/>
      <c r="K5072" s="20"/>
      <c r="L5072" s="20"/>
      <c r="M5072" s="20"/>
      <c r="N5072" s="20"/>
      <c r="O5072" s="20"/>
      <c r="P5072" s="20"/>
      <c r="Q5072" s="20"/>
      <c r="R5072" s="20"/>
      <c r="S5072" s="20"/>
      <c r="T5072" s="20"/>
      <c r="U5072" s="20"/>
      <c r="V5072" s="20"/>
      <c r="W5072" s="21"/>
      <c r="X5072" s="20"/>
      <c r="Y5072" s="22"/>
      <c r="Z5072" s="22"/>
      <c r="AA5072" s="22"/>
      <c r="AB5072" s="22"/>
      <c r="AC5072" s="22"/>
    </row>
    <row r="5073" spans="1:29" ht="32.25" customHeight="1">
      <c r="A5073" s="19"/>
      <c r="B5073" s="20"/>
      <c r="C5073" s="20"/>
      <c r="D5073" s="20"/>
      <c r="E5073" s="20"/>
      <c r="F5073" s="20"/>
      <c r="G5073" s="20"/>
      <c r="H5073" s="20"/>
      <c r="I5073" s="20"/>
      <c r="J5073" s="20"/>
      <c r="K5073" s="20"/>
      <c r="L5073" s="20"/>
      <c r="M5073" s="20"/>
      <c r="N5073" s="20"/>
      <c r="O5073" s="20"/>
      <c r="P5073" s="20"/>
      <c r="Q5073" s="20"/>
      <c r="R5073" s="20"/>
      <c r="S5073" s="20"/>
      <c r="T5073" s="20"/>
      <c r="U5073" s="20"/>
      <c r="V5073" s="20"/>
      <c r="W5073" s="21"/>
      <c r="X5073" s="20"/>
      <c r="Y5073" s="22"/>
      <c r="Z5073" s="22"/>
      <c r="AA5073" s="22"/>
      <c r="AB5073" s="22"/>
      <c r="AC5073" s="22"/>
    </row>
    <row r="5074" spans="1:29" ht="32.25" customHeight="1">
      <c r="A5074" s="19"/>
      <c r="B5074" s="20"/>
      <c r="C5074" s="20"/>
      <c r="D5074" s="20"/>
      <c r="E5074" s="20"/>
      <c r="F5074" s="20"/>
      <c r="G5074" s="20"/>
      <c r="H5074" s="20"/>
      <c r="I5074" s="20"/>
      <c r="J5074" s="20"/>
      <c r="K5074" s="20"/>
      <c r="L5074" s="20"/>
      <c r="M5074" s="20"/>
      <c r="N5074" s="20"/>
      <c r="O5074" s="20"/>
      <c r="P5074" s="20"/>
      <c r="Q5074" s="20"/>
      <c r="R5074" s="20"/>
      <c r="S5074" s="20"/>
      <c r="T5074" s="20"/>
      <c r="U5074" s="20"/>
      <c r="V5074" s="20"/>
      <c r="W5074" s="21"/>
      <c r="X5074" s="20"/>
      <c r="Y5074" s="22"/>
      <c r="Z5074" s="22"/>
      <c r="AA5074" s="22"/>
      <c r="AB5074" s="22"/>
      <c r="AC5074" s="22"/>
    </row>
    <row r="5075" spans="1:29" ht="32.25" customHeight="1">
      <c r="A5075" s="19"/>
      <c r="B5075" s="20"/>
      <c r="C5075" s="20"/>
      <c r="D5075" s="20"/>
      <c r="E5075" s="20"/>
      <c r="F5075" s="20"/>
      <c r="G5075" s="20"/>
      <c r="H5075" s="20"/>
      <c r="I5075" s="20"/>
      <c r="J5075" s="20"/>
      <c r="K5075" s="20"/>
      <c r="L5075" s="20"/>
      <c r="M5075" s="20"/>
      <c r="N5075" s="20"/>
      <c r="O5075" s="20"/>
      <c r="P5075" s="20"/>
      <c r="Q5075" s="20"/>
      <c r="R5075" s="20"/>
      <c r="S5075" s="20"/>
      <c r="T5075" s="20"/>
      <c r="U5075" s="20"/>
      <c r="V5075" s="20"/>
      <c r="W5075" s="21"/>
      <c r="X5075" s="20"/>
      <c r="Y5075" s="22"/>
      <c r="Z5075" s="22"/>
      <c r="AA5075" s="22"/>
      <c r="AB5075" s="22"/>
      <c r="AC5075" s="22"/>
    </row>
    <row r="5076" spans="1:29" ht="32.25" customHeight="1">
      <c r="A5076" s="19"/>
      <c r="B5076" s="20"/>
      <c r="C5076" s="20"/>
      <c r="D5076" s="20"/>
      <c r="E5076" s="20"/>
      <c r="F5076" s="20"/>
      <c r="G5076" s="20"/>
      <c r="H5076" s="20"/>
      <c r="I5076" s="20"/>
      <c r="J5076" s="20"/>
      <c r="K5076" s="20"/>
      <c r="L5076" s="20"/>
      <c r="M5076" s="20"/>
      <c r="N5076" s="20"/>
      <c r="O5076" s="20"/>
      <c r="P5076" s="20"/>
      <c r="Q5076" s="20"/>
      <c r="R5076" s="20"/>
      <c r="S5076" s="20"/>
      <c r="T5076" s="20"/>
      <c r="U5076" s="20"/>
      <c r="V5076" s="20"/>
      <c r="W5076" s="21"/>
      <c r="X5076" s="20"/>
      <c r="Y5076" s="22"/>
      <c r="Z5076" s="22"/>
      <c r="AA5076" s="22"/>
      <c r="AB5076" s="22"/>
      <c r="AC5076" s="22"/>
    </row>
    <row r="5077" spans="1:29" ht="32.25" customHeight="1">
      <c r="A5077" s="19"/>
      <c r="B5077" s="20"/>
      <c r="C5077" s="20"/>
      <c r="D5077" s="20"/>
      <c r="E5077" s="20"/>
      <c r="F5077" s="20"/>
      <c r="G5077" s="20"/>
      <c r="H5077" s="20"/>
      <c r="I5077" s="20"/>
      <c r="J5077" s="20"/>
      <c r="K5077" s="20"/>
      <c r="L5077" s="20"/>
      <c r="M5077" s="20"/>
      <c r="N5077" s="20"/>
      <c r="O5077" s="20"/>
      <c r="P5077" s="20"/>
      <c r="Q5077" s="20"/>
      <c r="R5077" s="20"/>
      <c r="S5077" s="20"/>
      <c r="T5077" s="20"/>
      <c r="U5077" s="20"/>
      <c r="V5077" s="20"/>
      <c r="W5077" s="21"/>
      <c r="X5077" s="20"/>
      <c r="Y5077" s="22"/>
      <c r="Z5077" s="22"/>
      <c r="AA5077" s="22"/>
      <c r="AB5077" s="22"/>
      <c r="AC5077" s="22"/>
    </row>
    <row r="5078" spans="1:29" ht="32.25" customHeight="1">
      <c r="A5078" s="19"/>
      <c r="B5078" s="20"/>
      <c r="C5078" s="20"/>
      <c r="D5078" s="20"/>
      <c r="E5078" s="20"/>
      <c r="F5078" s="20"/>
      <c r="G5078" s="20"/>
      <c r="H5078" s="20"/>
      <c r="I5078" s="20"/>
      <c r="J5078" s="20"/>
      <c r="K5078" s="20"/>
      <c r="L5078" s="20"/>
      <c r="M5078" s="20"/>
      <c r="N5078" s="20"/>
      <c r="O5078" s="20"/>
      <c r="P5078" s="20"/>
      <c r="Q5078" s="20"/>
      <c r="R5078" s="20"/>
      <c r="S5078" s="20"/>
      <c r="T5078" s="20"/>
      <c r="U5078" s="20"/>
      <c r="V5078" s="20"/>
      <c r="W5078" s="21"/>
      <c r="X5078" s="20"/>
      <c r="Y5078" s="22"/>
      <c r="Z5078" s="22"/>
      <c r="AA5078" s="22"/>
      <c r="AB5078" s="22"/>
      <c r="AC5078" s="22"/>
    </row>
    <row r="5079" spans="1:29" ht="32.25" customHeight="1">
      <c r="A5079" s="19"/>
      <c r="B5079" s="20"/>
      <c r="C5079" s="20"/>
      <c r="D5079" s="20"/>
      <c r="E5079" s="20"/>
      <c r="F5079" s="20"/>
      <c r="G5079" s="20"/>
      <c r="H5079" s="20"/>
      <c r="I5079" s="20"/>
      <c r="J5079" s="20"/>
      <c r="K5079" s="20"/>
      <c r="L5079" s="20"/>
      <c r="M5079" s="20"/>
      <c r="N5079" s="20"/>
      <c r="O5079" s="20"/>
      <c r="P5079" s="20"/>
      <c r="Q5079" s="20"/>
      <c r="R5079" s="20"/>
      <c r="S5079" s="20"/>
      <c r="T5079" s="20"/>
      <c r="U5079" s="20"/>
      <c r="V5079" s="20"/>
      <c r="W5079" s="21"/>
      <c r="X5079" s="20"/>
      <c r="Y5079" s="22"/>
      <c r="Z5079" s="22"/>
      <c r="AA5079" s="22"/>
      <c r="AB5079" s="22"/>
      <c r="AC5079" s="22"/>
    </row>
    <row r="5080" spans="1:29" ht="32.25" customHeight="1">
      <c r="A5080" s="19"/>
      <c r="B5080" s="20"/>
      <c r="C5080" s="20"/>
      <c r="D5080" s="20"/>
      <c r="E5080" s="20"/>
      <c r="F5080" s="20"/>
      <c r="G5080" s="20"/>
      <c r="H5080" s="20"/>
      <c r="I5080" s="20"/>
      <c r="J5080" s="20"/>
      <c r="K5080" s="20"/>
      <c r="L5080" s="20"/>
      <c r="M5080" s="20"/>
      <c r="N5080" s="20"/>
      <c r="O5080" s="20"/>
      <c r="P5080" s="20"/>
      <c r="Q5080" s="20"/>
      <c r="R5080" s="20"/>
      <c r="S5080" s="20"/>
      <c r="T5080" s="20"/>
      <c r="U5080" s="20"/>
      <c r="V5080" s="20"/>
      <c r="W5080" s="21"/>
      <c r="X5080" s="20"/>
      <c r="Y5080" s="22"/>
      <c r="Z5080" s="22"/>
      <c r="AA5080" s="22"/>
      <c r="AB5080" s="22"/>
      <c r="AC5080" s="22"/>
    </row>
    <row r="5081" spans="1:29" ht="32.25" customHeight="1">
      <c r="A5081" s="19"/>
      <c r="B5081" s="20"/>
      <c r="C5081" s="20"/>
      <c r="D5081" s="20"/>
      <c r="E5081" s="20"/>
      <c r="F5081" s="20"/>
      <c r="G5081" s="20"/>
      <c r="H5081" s="20"/>
      <c r="I5081" s="20"/>
      <c r="J5081" s="20"/>
      <c r="K5081" s="20"/>
      <c r="L5081" s="20"/>
      <c r="M5081" s="20"/>
      <c r="N5081" s="20"/>
      <c r="O5081" s="20"/>
      <c r="P5081" s="20"/>
      <c r="Q5081" s="20"/>
      <c r="R5081" s="20"/>
      <c r="S5081" s="20"/>
      <c r="T5081" s="20"/>
      <c r="U5081" s="20"/>
      <c r="V5081" s="20"/>
      <c r="W5081" s="21"/>
      <c r="X5081" s="20"/>
      <c r="Y5081" s="22"/>
      <c r="Z5081" s="22"/>
      <c r="AA5081" s="22"/>
      <c r="AB5081" s="22"/>
      <c r="AC5081" s="22"/>
    </row>
    <row r="5082" spans="1:29" ht="32.25" customHeight="1">
      <c r="A5082" s="19"/>
      <c r="B5082" s="20"/>
      <c r="C5082" s="20"/>
      <c r="D5082" s="20"/>
      <c r="E5082" s="20"/>
      <c r="F5082" s="20"/>
      <c r="G5082" s="20"/>
      <c r="H5082" s="20"/>
      <c r="I5082" s="20"/>
      <c r="J5082" s="20"/>
      <c r="K5082" s="20"/>
      <c r="L5082" s="20"/>
      <c r="M5082" s="20"/>
      <c r="N5082" s="20"/>
      <c r="O5082" s="20"/>
      <c r="P5082" s="20"/>
      <c r="Q5082" s="20"/>
      <c r="R5082" s="20"/>
      <c r="S5082" s="20"/>
      <c r="T5082" s="20"/>
      <c r="U5082" s="20"/>
      <c r="V5082" s="20"/>
      <c r="W5082" s="21"/>
      <c r="X5082" s="20"/>
      <c r="Y5082" s="22"/>
      <c r="Z5082" s="22"/>
      <c r="AA5082" s="22"/>
      <c r="AB5082" s="22"/>
      <c r="AC5082" s="22"/>
    </row>
    <row r="5083" spans="1:29" ht="32.25" customHeight="1">
      <c r="A5083" s="19"/>
      <c r="B5083" s="20"/>
      <c r="C5083" s="20"/>
      <c r="D5083" s="20"/>
      <c r="E5083" s="20"/>
      <c r="F5083" s="20"/>
      <c r="G5083" s="20"/>
      <c r="H5083" s="20"/>
      <c r="I5083" s="20"/>
      <c r="J5083" s="20"/>
      <c r="K5083" s="20"/>
      <c r="L5083" s="20"/>
      <c r="M5083" s="20"/>
      <c r="N5083" s="20"/>
      <c r="O5083" s="20"/>
      <c r="P5083" s="20"/>
      <c r="Q5083" s="20"/>
      <c r="R5083" s="20"/>
      <c r="S5083" s="20"/>
      <c r="T5083" s="20"/>
      <c r="U5083" s="20"/>
      <c r="V5083" s="20"/>
      <c r="W5083" s="21"/>
      <c r="X5083" s="20"/>
      <c r="Y5083" s="22"/>
      <c r="Z5083" s="22"/>
      <c r="AA5083" s="22"/>
      <c r="AB5083" s="22"/>
      <c r="AC5083" s="22"/>
    </row>
    <row r="5084" spans="1:29" ht="32.25" customHeight="1">
      <c r="A5084" s="19"/>
      <c r="B5084" s="20"/>
      <c r="C5084" s="20"/>
      <c r="D5084" s="20"/>
      <c r="E5084" s="20"/>
      <c r="F5084" s="20"/>
      <c r="G5084" s="20"/>
      <c r="H5084" s="20"/>
      <c r="I5084" s="20"/>
      <c r="J5084" s="20"/>
      <c r="K5084" s="20"/>
      <c r="L5084" s="20"/>
      <c r="M5084" s="20"/>
      <c r="N5084" s="20"/>
      <c r="O5084" s="20"/>
      <c r="P5084" s="20"/>
      <c r="Q5084" s="20"/>
      <c r="R5084" s="20"/>
      <c r="S5084" s="20"/>
      <c r="T5084" s="20"/>
      <c r="U5084" s="20"/>
      <c r="V5084" s="20"/>
      <c r="W5084" s="21"/>
      <c r="X5084" s="20"/>
      <c r="Y5084" s="22"/>
      <c r="Z5084" s="22"/>
      <c r="AA5084" s="22"/>
      <c r="AB5084" s="22"/>
      <c r="AC5084" s="22"/>
    </row>
    <row r="5085" spans="1:29" ht="32.25" customHeight="1">
      <c r="A5085" s="19"/>
      <c r="B5085" s="20"/>
      <c r="C5085" s="20"/>
      <c r="D5085" s="20"/>
      <c r="E5085" s="20"/>
      <c r="F5085" s="20"/>
      <c r="G5085" s="20"/>
      <c r="H5085" s="20"/>
      <c r="I5085" s="20"/>
      <c r="J5085" s="20"/>
      <c r="K5085" s="20"/>
      <c r="L5085" s="20"/>
      <c r="M5085" s="20"/>
      <c r="N5085" s="20"/>
      <c r="O5085" s="20"/>
      <c r="P5085" s="20"/>
      <c r="Q5085" s="20"/>
      <c r="R5085" s="20"/>
      <c r="S5085" s="20"/>
      <c r="T5085" s="20"/>
      <c r="U5085" s="20"/>
      <c r="V5085" s="20"/>
      <c r="W5085" s="21"/>
      <c r="X5085" s="20"/>
      <c r="Y5085" s="22"/>
      <c r="Z5085" s="22"/>
      <c r="AA5085" s="22"/>
      <c r="AB5085" s="22"/>
      <c r="AC5085" s="22"/>
    </row>
    <row r="5086" spans="1:29" ht="32.25" customHeight="1">
      <c r="A5086" s="19"/>
      <c r="B5086" s="20"/>
      <c r="C5086" s="20"/>
      <c r="D5086" s="20"/>
      <c r="E5086" s="20"/>
      <c r="F5086" s="20"/>
      <c r="G5086" s="20"/>
      <c r="H5086" s="20"/>
      <c r="I5086" s="20"/>
      <c r="J5086" s="20"/>
      <c r="K5086" s="20"/>
      <c r="L5086" s="20"/>
      <c r="M5086" s="20"/>
      <c r="N5086" s="20"/>
      <c r="O5086" s="20"/>
      <c r="P5086" s="20"/>
      <c r="Q5086" s="20"/>
      <c r="R5086" s="20"/>
      <c r="S5086" s="20"/>
      <c r="T5086" s="20"/>
      <c r="U5086" s="20"/>
      <c r="V5086" s="20"/>
      <c r="W5086" s="21"/>
      <c r="X5086" s="20"/>
      <c r="Y5086" s="22"/>
      <c r="Z5086" s="22"/>
      <c r="AA5086" s="22"/>
      <c r="AB5086" s="22"/>
      <c r="AC5086" s="22"/>
    </row>
    <row r="5087" spans="1:29" ht="32.25" customHeight="1">
      <c r="A5087" s="19"/>
      <c r="B5087" s="20"/>
      <c r="C5087" s="20"/>
      <c r="D5087" s="20"/>
      <c r="E5087" s="20"/>
      <c r="F5087" s="20"/>
      <c r="G5087" s="20"/>
      <c r="H5087" s="20"/>
      <c r="I5087" s="20"/>
      <c r="J5087" s="20"/>
      <c r="K5087" s="20"/>
      <c r="L5087" s="20"/>
      <c r="M5087" s="20"/>
      <c r="N5087" s="20"/>
      <c r="O5087" s="20"/>
      <c r="P5087" s="20"/>
      <c r="Q5087" s="20"/>
      <c r="R5087" s="20"/>
      <c r="S5087" s="20"/>
      <c r="T5087" s="20"/>
      <c r="U5087" s="20"/>
      <c r="V5087" s="20"/>
      <c r="W5087" s="21"/>
      <c r="X5087" s="20"/>
      <c r="Y5087" s="22"/>
      <c r="Z5087" s="22"/>
      <c r="AA5087" s="22"/>
      <c r="AB5087" s="22"/>
      <c r="AC5087" s="22"/>
    </row>
    <row r="5088" spans="1:29" ht="32.25" customHeight="1">
      <c r="A5088" s="19"/>
      <c r="B5088" s="20"/>
      <c r="C5088" s="20"/>
      <c r="D5088" s="20"/>
      <c r="E5088" s="20"/>
      <c r="F5088" s="20"/>
      <c r="G5088" s="20"/>
      <c r="H5088" s="20"/>
      <c r="I5088" s="20"/>
      <c r="J5088" s="20"/>
      <c r="K5088" s="20"/>
      <c r="L5088" s="20"/>
      <c r="M5088" s="20"/>
      <c r="N5088" s="20"/>
      <c r="O5088" s="20"/>
      <c r="P5088" s="20"/>
      <c r="Q5088" s="20"/>
      <c r="R5088" s="20"/>
      <c r="S5088" s="20"/>
      <c r="T5088" s="20"/>
      <c r="U5088" s="20"/>
      <c r="V5088" s="20"/>
      <c r="W5088" s="21"/>
      <c r="X5088" s="20"/>
      <c r="Y5088" s="22"/>
      <c r="Z5088" s="22"/>
      <c r="AA5088" s="22"/>
      <c r="AB5088" s="22"/>
      <c r="AC5088" s="22"/>
    </row>
    <row r="5089" spans="1:29" ht="32.25" customHeight="1">
      <c r="A5089" s="19"/>
      <c r="B5089" s="20"/>
      <c r="C5089" s="20"/>
      <c r="D5089" s="20"/>
      <c r="E5089" s="20"/>
      <c r="F5089" s="20"/>
      <c r="G5089" s="20"/>
      <c r="H5089" s="20"/>
      <c r="I5089" s="20"/>
      <c r="J5089" s="20"/>
      <c r="K5089" s="20"/>
      <c r="L5089" s="20"/>
      <c r="M5089" s="20"/>
      <c r="N5089" s="20"/>
      <c r="O5089" s="20"/>
      <c r="P5089" s="20"/>
      <c r="Q5089" s="20"/>
      <c r="R5089" s="20"/>
      <c r="S5089" s="20"/>
      <c r="T5089" s="20"/>
      <c r="U5089" s="20"/>
      <c r="V5089" s="20"/>
      <c r="W5089" s="21"/>
      <c r="X5089" s="20"/>
      <c r="Y5089" s="22"/>
      <c r="Z5089" s="22"/>
      <c r="AA5089" s="22"/>
      <c r="AB5089" s="22"/>
      <c r="AC5089" s="22"/>
    </row>
    <row r="5090" spans="1:29" ht="32.25" customHeight="1">
      <c r="A5090" s="19"/>
      <c r="B5090" s="20"/>
      <c r="C5090" s="20"/>
      <c r="D5090" s="20"/>
      <c r="E5090" s="20"/>
      <c r="F5090" s="20"/>
      <c r="G5090" s="20"/>
      <c r="H5090" s="20"/>
      <c r="I5090" s="20"/>
      <c r="J5090" s="20"/>
      <c r="K5090" s="20"/>
      <c r="L5090" s="20"/>
      <c r="M5090" s="20"/>
      <c r="N5090" s="20"/>
      <c r="O5090" s="20"/>
      <c r="P5090" s="20"/>
      <c r="Q5090" s="20"/>
      <c r="R5090" s="20"/>
      <c r="S5090" s="20"/>
      <c r="T5090" s="20"/>
      <c r="U5090" s="20"/>
      <c r="V5090" s="20"/>
      <c r="W5090" s="21"/>
      <c r="X5090" s="20"/>
      <c r="Y5090" s="22"/>
      <c r="Z5090" s="22"/>
      <c r="AA5090" s="22"/>
      <c r="AB5090" s="22"/>
      <c r="AC5090" s="22"/>
    </row>
    <row r="5091" spans="1:29" ht="32.25" customHeight="1">
      <c r="A5091" s="19"/>
      <c r="B5091" s="20"/>
      <c r="C5091" s="20"/>
      <c r="D5091" s="20"/>
      <c r="E5091" s="20"/>
      <c r="F5091" s="20"/>
      <c r="G5091" s="20"/>
      <c r="H5091" s="20"/>
      <c r="I5091" s="20"/>
      <c r="J5091" s="20"/>
      <c r="K5091" s="20"/>
      <c r="L5091" s="20"/>
      <c r="M5091" s="20"/>
      <c r="N5091" s="20"/>
      <c r="O5091" s="20"/>
      <c r="P5091" s="20"/>
      <c r="Q5091" s="20"/>
      <c r="R5091" s="20"/>
      <c r="S5091" s="20"/>
      <c r="T5091" s="20"/>
      <c r="U5091" s="20"/>
      <c r="V5091" s="20"/>
      <c r="W5091" s="21"/>
      <c r="X5091" s="20"/>
      <c r="Y5091" s="22"/>
      <c r="Z5091" s="22"/>
      <c r="AA5091" s="22"/>
      <c r="AB5091" s="22"/>
      <c r="AC5091" s="22"/>
    </row>
    <row r="5092" spans="1:29" ht="32.25" customHeight="1">
      <c r="A5092" s="19"/>
      <c r="B5092" s="20"/>
      <c r="C5092" s="20"/>
      <c r="D5092" s="20"/>
      <c r="E5092" s="20"/>
      <c r="F5092" s="20"/>
      <c r="G5092" s="20"/>
      <c r="H5092" s="20"/>
      <c r="I5092" s="20"/>
      <c r="J5092" s="20"/>
      <c r="K5092" s="20"/>
      <c r="L5092" s="20"/>
      <c r="M5092" s="20"/>
      <c r="N5092" s="20"/>
      <c r="O5092" s="20"/>
      <c r="P5092" s="20"/>
      <c r="Q5092" s="20"/>
      <c r="R5092" s="20"/>
      <c r="S5092" s="20"/>
      <c r="T5092" s="20"/>
      <c r="U5092" s="20"/>
      <c r="V5092" s="20"/>
      <c r="W5092" s="21"/>
      <c r="X5092" s="20"/>
      <c r="Y5092" s="22"/>
      <c r="Z5092" s="22"/>
      <c r="AA5092" s="22"/>
      <c r="AB5092" s="22"/>
      <c r="AC5092" s="22"/>
    </row>
    <row r="5093" spans="1:29" ht="32.25" customHeight="1">
      <c r="A5093" s="19"/>
      <c r="B5093" s="20"/>
      <c r="C5093" s="20"/>
      <c r="D5093" s="20"/>
      <c r="E5093" s="20"/>
      <c r="F5093" s="20"/>
      <c r="G5093" s="20"/>
      <c r="H5093" s="20"/>
      <c r="I5093" s="20"/>
      <c r="J5093" s="20"/>
      <c r="K5093" s="20"/>
      <c r="L5093" s="20"/>
      <c r="M5093" s="20"/>
      <c r="N5093" s="20"/>
      <c r="O5093" s="20"/>
      <c r="P5093" s="20"/>
      <c r="Q5093" s="20"/>
      <c r="R5093" s="20"/>
      <c r="S5093" s="20"/>
      <c r="T5093" s="20"/>
      <c r="U5093" s="20"/>
      <c r="V5093" s="20"/>
      <c r="W5093" s="21"/>
      <c r="X5093" s="20"/>
      <c r="Y5093" s="22"/>
      <c r="Z5093" s="22"/>
      <c r="AA5093" s="22"/>
      <c r="AB5093" s="22"/>
      <c r="AC5093" s="22"/>
    </row>
    <row r="5094" spans="1:29" ht="32.25" customHeight="1">
      <c r="A5094" s="19"/>
      <c r="B5094" s="20"/>
      <c r="C5094" s="20"/>
      <c r="D5094" s="20"/>
      <c r="E5094" s="20"/>
      <c r="F5094" s="20"/>
      <c r="G5094" s="20"/>
      <c r="H5094" s="20"/>
      <c r="I5094" s="20"/>
      <c r="J5094" s="20"/>
      <c r="K5094" s="20"/>
      <c r="L5094" s="20"/>
      <c r="M5094" s="20"/>
      <c r="N5094" s="20"/>
      <c r="O5094" s="20"/>
      <c r="P5094" s="20"/>
      <c r="Q5094" s="20"/>
      <c r="R5094" s="20"/>
      <c r="S5094" s="20"/>
      <c r="T5094" s="20"/>
      <c r="U5094" s="20"/>
      <c r="V5094" s="20"/>
      <c r="W5094" s="21"/>
      <c r="X5094" s="20"/>
      <c r="Y5094" s="22"/>
      <c r="Z5094" s="22"/>
      <c r="AA5094" s="22"/>
      <c r="AB5094" s="22"/>
      <c r="AC5094" s="22"/>
    </row>
    <row r="5095" spans="1:29" ht="32.25" customHeight="1">
      <c r="A5095" s="19"/>
      <c r="B5095" s="20"/>
      <c r="C5095" s="20"/>
      <c r="D5095" s="20"/>
      <c r="E5095" s="20"/>
      <c r="F5095" s="20"/>
      <c r="G5095" s="20"/>
      <c r="H5095" s="20"/>
      <c r="I5095" s="20"/>
      <c r="J5095" s="20"/>
      <c r="K5095" s="20"/>
      <c r="L5095" s="20"/>
      <c r="M5095" s="20"/>
      <c r="N5095" s="20"/>
      <c r="O5095" s="20"/>
      <c r="P5095" s="20"/>
      <c r="Q5095" s="20"/>
      <c r="R5095" s="20"/>
      <c r="S5095" s="20"/>
      <c r="T5095" s="20"/>
      <c r="U5095" s="20"/>
      <c r="V5095" s="20"/>
      <c r="W5095" s="21"/>
      <c r="X5095" s="20"/>
      <c r="Y5095" s="22"/>
      <c r="Z5095" s="22"/>
      <c r="AA5095" s="22"/>
      <c r="AB5095" s="22"/>
      <c r="AC5095" s="22"/>
    </row>
    <row r="5096" spans="1:29" ht="32.25" customHeight="1">
      <c r="A5096" s="19"/>
      <c r="B5096" s="20"/>
      <c r="C5096" s="20"/>
      <c r="D5096" s="20"/>
      <c r="E5096" s="20"/>
      <c r="F5096" s="20"/>
      <c r="G5096" s="20"/>
      <c r="H5096" s="20"/>
      <c r="I5096" s="20"/>
      <c r="J5096" s="20"/>
      <c r="K5096" s="20"/>
      <c r="L5096" s="20"/>
      <c r="M5096" s="20"/>
      <c r="N5096" s="20"/>
      <c r="O5096" s="20"/>
      <c r="P5096" s="20"/>
      <c r="Q5096" s="20"/>
      <c r="R5096" s="20"/>
      <c r="S5096" s="20"/>
      <c r="T5096" s="20"/>
      <c r="U5096" s="20"/>
      <c r="V5096" s="20"/>
      <c r="W5096" s="21"/>
      <c r="X5096" s="20"/>
      <c r="Y5096" s="22"/>
      <c r="Z5096" s="22"/>
      <c r="AA5096" s="22"/>
      <c r="AB5096" s="22"/>
      <c r="AC5096" s="22"/>
    </row>
    <row r="5097" spans="1:29" ht="32.25" customHeight="1">
      <c r="A5097" s="19"/>
      <c r="B5097" s="20"/>
      <c r="C5097" s="20"/>
      <c r="D5097" s="20"/>
      <c r="E5097" s="20"/>
      <c r="F5097" s="20"/>
      <c r="G5097" s="20"/>
      <c r="H5097" s="20"/>
      <c r="I5097" s="20"/>
      <c r="J5097" s="20"/>
      <c r="K5097" s="20"/>
      <c r="L5097" s="20"/>
      <c r="M5097" s="20"/>
      <c r="N5097" s="20"/>
      <c r="O5097" s="20"/>
      <c r="P5097" s="20"/>
      <c r="Q5097" s="20"/>
      <c r="R5097" s="20"/>
      <c r="S5097" s="20"/>
      <c r="T5097" s="20"/>
      <c r="U5097" s="20"/>
      <c r="V5097" s="20"/>
      <c r="W5097" s="21"/>
      <c r="X5097" s="20"/>
      <c r="Y5097" s="22"/>
      <c r="Z5097" s="22"/>
      <c r="AA5097" s="22"/>
      <c r="AB5097" s="22"/>
      <c r="AC5097" s="22"/>
    </row>
    <row r="5098" spans="1:29" ht="32.25" customHeight="1">
      <c r="A5098" s="19"/>
      <c r="B5098" s="20"/>
      <c r="C5098" s="20"/>
      <c r="D5098" s="20"/>
      <c r="E5098" s="20"/>
      <c r="F5098" s="20"/>
      <c r="G5098" s="20"/>
      <c r="H5098" s="20"/>
      <c r="I5098" s="20"/>
      <c r="J5098" s="20"/>
      <c r="K5098" s="20"/>
      <c r="L5098" s="20"/>
      <c r="M5098" s="20"/>
      <c r="N5098" s="20"/>
      <c r="O5098" s="20"/>
      <c r="P5098" s="20"/>
      <c r="Q5098" s="20"/>
      <c r="R5098" s="20"/>
      <c r="S5098" s="20"/>
      <c r="T5098" s="20"/>
      <c r="U5098" s="20"/>
      <c r="V5098" s="20"/>
      <c r="W5098" s="21"/>
      <c r="X5098" s="20"/>
      <c r="Y5098" s="22"/>
      <c r="Z5098" s="22"/>
      <c r="AA5098" s="22"/>
      <c r="AB5098" s="22"/>
      <c r="AC5098" s="22"/>
    </row>
    <row r="5099" spans="1:29" ht="32.25" customHeight="1">
      <c r="A5099" s="19"/>
      <c r="B5099" s="20"/>
      <c r="C5099" s="20"/>
      <c r="D5099" s="20"/>
      <c r="E5099" s="20"/>
      <c r="F5099" s="20"/>
      <c r="G5099" s="20"/>
      <c r="H5099" s="20"/>
      <c r="I5099" s="20"/>
      <c r="J5099" s="20"/>
      <c r="K5099" s="20"/>
      <c r="L5099" s="20"/>
      <c r="M5099" s="20"/>
      <c r="N5099" s="20"/>
      <c r="O5099" s="20"/>
      <c r="P5099" s="20"/>
      <c r="Q5099" s="20"/>
      <c r="R5099" s="20"/>
      <c r="S5099" s="20"/>
      <c r="T5099" s="20"/>
      <c r="U5099" s="20"/>
      <c r="V5099" s="20"/>
      <c r="W5099" s="21"/>
      <c r="X5099" s="20"/>
      <c r="Y5099" s="22"/>
      <c r="Z5099" s="22"/>
      <c r="AA5099" s="22"/>
      <c r="AB5099" s="22"/>
      <c r="AC5099" s="22"/>
    </row>
    <row r="5100" spans="1:29" ht="32.25" customHeight="1">
      <c r="A5100" s="19"/>
      <c r="B5100" s="20"/>
      <c r="C5100" s="20"/>
      <c r="D5100" s="20"/>
      <c r="E5100" s="20"/>
      <c r="F5100" s="20"/>
      <c r="G5100" s="20"/>
      <c r="H5100" s="20"/>
      <c r="I5100" s="20"/>
      <c r="J5100" s="20"/>
      <c r="K5100" s="20"/>
      <c r="L5100" s="20"/>
      <c r="M5100" s="20"/>
      <c r="N5100" s="20"/>
      <c r="O5100" s="20"/>
      <c r="P5100" s="20"/>
      <c r="Q5100" s="20"/>
      <c r="R5100" s="20"/>
      <c r="S5100" s="20"/>
      <c r="T5100" s="20"/>
      <c r="U5100" s="20"/>
      <c r="V5100" s="20"/>
      <c r="W5100" s="21"/>
      <c r="X5100" s="20"/>
      <c r="Y5100" s="22"/>
      <c r="Z5100" s="22"/>
      <c r="AA5100" s="22"/>
      <c r="AB5100" s="22"/>
      <c r="AC5100" s="22"/>
    </row>
    <row r="5101" spans="1:29" ht="32.25" customHeight="1">
      <c r="A5101" s="19"/>
      <c r="B5101" s="20"/>
      <c r="C5101" s="20"/>
      <c r="D5101" s="20"/>
      <c r="E5101" s="20"/>
      <c r="F5101" s="20"/>
      <c r="G5101" s="20"/>
      <c r="H5101" s="20"/>
      <c r="I5101" s="20"/>
      <c r="J5101" s="20"/>
      <c r="K5101" s="20"/>
      <c r="L5101" s="20"/>
      <c r="M5101" s="20"/>
      <c r="N5101" s="20"/>
      <c r="O5101" s="20"/>
      <c r="P5101" s="20"/>
      <c r="Q5101" s="20"/>
      <c r="R5101" s="20"/>
      <c r="S5101" s="20"/>
      <c r="T5101" s="20"/>
      <c r="U5101" s="20"/>
      <c r="V5101" s="20"/>
      <c r="W5101" s="21"/>
      <c r="X5101" s="20"/>
      <c r="Y5101" s="22"/>
      <c r="Z5101" s="22"/>
      <c r="AA5101" s="22"/>
      <c r="AB5101" s="22"/>
      <c r="AC5101" s="22"/>
    </row>
    <row r="5102" spans="1:29" ht="32.25" customHeight="1">
      <c r="A5102" s="19"/>
      <c r="B5102" s="20"/>
      <c r="C5102" s="20"/>
      <c r="D5102" s="20"/>
      <c r="E5102" s="20"/>
      <c r="F5102" s="20"/>
      <c r="G5102" s="20"/>
      <c r="H5102" s="20"/>
      <c r="I5102" s="20"/>
      <c r="J5102" s="20"/>
      <c r="K5102" s="20"/>
      <c r="L5102" s="20"/>
      <c r="M5102" s="20"/>
      <c r="N5102" s="20"/>
      <c r="O5102" s="20"/>
      <c r="P5102" s="20"/>
      <c r="Q5102" s="20"/>
      <c r="R5102" s="20"/>
      <c r="S5102" s="20"/>
      <c r="T5102" s="20"/>
      <c r="U5102" s="20"/>
      <c r="V5102" s="20"/>
      <c r="W5102" s="21"/>
      <c r="X5102" s="20"/>
      <c r="Y5102" s="22"/>
      <c r="Z5102" s="22"/>
      <c r="AA5102" s="22"/>
      <c r="AB5102" s="22"/>
      <c r="AC5102" s="22"/>
    </row>
    <row r="5103" spans="1:29" ht="32.25" customHeight="1">
      <c r="A5103" s="19"/>
      <c r="B5103" s="20"/>
      <c r="C5103" s="20"/>
      <c r="D5103" s="20"/>
      <c r="E5103" s="20"/>
      <c r="F5103" s="20"/>
      <c r="G5103" s="20"/>
      <c r="H5103" s="20"/>
      <c r="I5103" s="20"/>
      <c r="J5103" s="20"/>
      <c r="K5103" s="20"/>
      <c r="L5103" s="20"/>
      <c r="M5103" s="20"/>
      <c r="N5103" s="20"/>
      <c r="O5103" s="20"/>
      <c r="P5103" s="20"/>
      <c r="Q5103" s="20"/>
      <c r="R5103" s="20"/>
      <c r="S5103" s="20"/>
      <c r="T5103" s="20"/>
      <c r="U5103" s="20"/>
      <c r="V5103" s="20"/>
      <c r="W5103" s="21"/>
      <c r="X5103" s="20"/>
      <c r="Y5103" s="22"/>
      <c r="Z5103" s="22"/>
      <c r="AA5103" s="22"/>
      <c r="AB5103" s="22"/>
      <c r="AC5103" s="22"/>
    </row>
    <row r="5104" spans="1:29" ht="32.25" customHeight="1">
      <c r="A5104" s="19"/>
      <c r="B5104" s="20"/>
      <c r="C5104" s="20"/>
      <c r="D5104" s="20"/>
      <c r="E5104" s="20"/>
      <c r="F5104" s="20"/>
      <c r="G5104" s="20"/>
      <c r="H5104" s="20"/>
      <c r="I5104" s="20"/>
      <c r="J5104" s="20"/>
      <c r="K5104" s="20"/>
      <c r="L5104" s="20"/>
      <c r="M5104" s="20"/>
      <c r="N5104" s="20"/>
      <c r="O5104" s="20"/>
      <c r="P5104" s="20"/>
      <c r="Q5104" s="20"/>
      <c r="R5104" s="20"/>
      <c r="S5104" s="20"/>
      <c r="T5104" s="20"/>
      <c r="U5104" s="20"/>
      <c r="V5104" s="20"/>
      <c r="W5104" s="21"/>
      <c r="X5104" s="20"/>
      <c r="Y5104" s="22"/>
      <c r="Z5104" s="22"/>
      <c r="AA5104" s="22"/>
      <c r="AB5104" s="22"/>
      <c r="AC5104" s="22"/>
    </row>
    <row r="5105" spans="1:29" ht="32.25" customHeight="1">
      <c r="A5105" s="19"/>
      <c r="B5105" s="20"/>
      <c r="C5105" s="20"/>
      <c r="D5105" s="20"/>
      <c r="E5105" s="20"/>
      <c r="F5105" s="20"/>
      <c r="G5105" s="20"/>
      <c r="H5105" s="20"/>
      <c r="I5105" s="20"/>
      <c r="J5105" s="20"/>
      <c r="K5105" s="20"/>
      <c r="L5105" s="20"/>
      <c r="M5105" s="20"/>
      <c r="N5105" s="20"/>
      <c r="O5105" s="20"/>
      <c r="P5105" s="20"/>
      <c r="Q5105" s="20"/>
      <c r="R5105" s="20"/>
      <c r="S5105" s="20"/>
      <c r="T5105" s="20"/>
      <c r="U5105" s="20"/>
      <c r="V5105" s="20"/>
      <c r="W5105" s="21"/>
      <c r="X5105" s="20"/>
      <c r="Y5105" s="22"/>
      <c r="Z5105" s="22"/>
      <c r="AA5105" s="22"/>
      <c r="AB5105" s="22"/>
      <c r="AC5105" s="22"/>
    </row>
    <row r="5106" spans="1:29" ht="32.25" customHeight="1">
      <c r="A5106" s="19"/>
      <c r="B5106" s="20"/>
      <c r="C5106" s="20"/>
      <c r="D5106" s="20"/>
      <c r="E5106" s="20"/>
      <c r="F5106" s="20"/>
      <c r="G5106" s="20"/>
      <c r="H5106" s="20"/>
      <c r="I5106" s="20"/>
      <c r="J5106" s="20"/>
      <c r="K5106" s="20"/>
      <c r="L5106" s="20"/>
      <c r="M5106" s="20"/>
      <c r="N5106" s="20"/>
      <c r="O5106" s="20"/>
      <c r="P5106" s="20"/>
      <c r="Q5106" s="20"/>
      <c r="R5106" s="20"/>
      <c r="S5106" s="20"/>
      <c r="T5106" s="20"/>
      <c r="U5106" s="20"/>
      <c r="V5106" s="20"/>
      <c r="W5106" s="21"/>
      <c r="X5106" s="20"/>
      <c r="Y5106" s="22"/>
      <c r="Z5106" s="22"/>
      <c r="AA5106" s="22"/>
      <c r="AB5106" s="22"/>
      <c r="AC5106" s="22"/>
    </row>
    <row r="5107" spans="1:29" ht="32.25" customHeight="1">
      <c r="A5107" s="19"/>
      <c r="B5107" s="20"/>
      <c r="C5107" s="20"/>
      <c r="D5107" s="20"/>
      <c r="E5107" s="20"/>
      <c r="F5107" s="20"/>
      <c r="G5107" s="20"/>
      <c r="H5107" s="20"/>
      <c r="I5107" s="20"/>
      <c r="J5107" s="20"/>
      <c r="K5107" s="20"/>
      <c r="L5107" s="20"/>
      <c r="M5107" s="20"/>
      <c r="N5107" s="20"/>
      <c r="O5107" s="20"/>
      <c r="P5107" s="20"/>
      <c r="Q5107" s="20"/>
      <c r="R5107" s="20"/>
      <c r="S5107" s="20"/>
      <c r="T5107" s="20"/>
      <c r="U5107" s="20"/>
      <c r="V5107" s="20"/>
      <c r="W5107" s="21"/>
      <c r="X5107" s="20"/>
      <c r="Y5107" s="22"/>
      <c r="Z5107" s="22"/>
      <c r="AA5107" s="22"/>
      <c r="AB5107" s="22"/>
      <c r="AC5107" s="22"/>
    </row>
    <row r="5108" spans="1:29" ht="32.25" customHeight="1">
      <c r="A5108" s="19"/>
      <c r="B5108" s="20"/>
      <c r="C5108" s="20"/>
      <c r="D5108" s="20"/>
      <c r="E5108" s="20"/>
      <c r="F5108" s="20"/>
      <c r="G5108" s="20"/>
      <c r="H5108" s="20"/>
      <c r="I5108" s="20"/>
      <c r="J5108" s="20"/>
      <c r="K5108" s="20"/>
      <c r="L5108" s="20"/>
      <c r="M5108" s="20"/>
      <c r="N5108" s="20"/>
      <c r="O5108" s="20"/>
      <c r="P5108" s="20"/>
      <c r="Q5108" s="20"/>
      <c r="R5108" s="20"/>
      <c r="S5108" s="20"/>
      <c r="T5108" s="20"/>
      <c r="U5108" s="20"/>
      <c r="V5108" s="20"/>
      <c r="W5108" s="21"/>
      <c r="X5108" s="20"/>
      <c r="Y5108" s="22"/>
      <c r="Z5108" s="22"/>
      <c r="AA5108" s="22"/>
      <c r="AB5108" s="22"/>
      <c r="AC5108" s="22"/>
    </row>
    <row r="5109" spans="1:29" ht="32.25" customHeight="1">
      <c r="A5109" s="19"/>
      <c r="B5109" s="20"/>
      <c r="C5109" s="20"/>
      <c r="D5109" s="20"/>
      <c r="E5109" s="20"/>
      <c r="F5109" s="20"/>
      <c r="G5109" s="20"/>
      <c r="H5109" s="20"/>
      <c r="I5109" s="20"/>
      <c r="J5109" s="20"/>
      <c r="K5109" s="20"/>
      <c r="L5109" s="20"/>
      <c r="M5109" s="20"/>
      <c r="N5109" s="20"/>
      <c r="O5109" s="20"/>
      <c r="P5109" s="20"/>
      <c r="Q5109" s="20"/>
      <c r="R5109" s="20"/>
      <c r="S5109" s="20"/>
      <c r="T5109" s="20"/>
      <c r="U5109" s="20"/>
      <c r="V5109" s="20"/>
      <c r="W5109" s="21"/>
      <c r="X5109" s="20"/>
      <c r="Y5109" s="22"/>
      <c r="Z5109" s="22"/>
      <c r="AA5109" s="22"/>
      <c r="AB5109" s="22"/>
      <c r="AC5109" s="22"/>
    </row>
    <row r="5110" spans="1:29" ht="32.25" customHeight="1">
      <c r="A5110" s="19"/>
      <c r="B5110" s="20"/>
      <c r="C5110" s="20"/>
      <c r="D5110" s="20"/>
      <c r="E5110" s="20"/>
      <c r="F5110" s="20"/>
      <c r="G5110" s="20"/>
      <c r="H5110" s="20"/>
      <c r="I5110" s="20"/>
      <c r="J5110" s="20"/>
      <c r="K5110" s="20"/>
      <c r="L5110" s="20"/>
      <c r="M5110" s="20"/>
      <c r="N5110" s="20"/>
      <c r="O5110" s="20"/>
      <c r="P5110" s="20"/>
      <c r="Q5110" s="20"/>
      <c r="R5110" s="20"/>
      <c r="S5110" s="20"/>
      <c r="T5110" s="20"/>
      <c r="U5110" s="20"/>
      <c r="V5110" s="20"/>
      <c r="W5110" s="21"/>
      <c r="X5110" s="20"/>
      <c r="Y5110" s="22"/>
      <c r="Z5110" s="22"/>
      <c r="AA5110" s="22"/>
      <c r="AB5110" s="22"/>
      <c r="AC5110" s="22"/>
    </row>
    <row r="5111" spans="1:29" ht="32.25" customHeight="1">
      <c r="A5111" s="19"/>
      <c r="B5111" s="20"/>
      <c r="C5111" s="20"/>
      <c r="D5111" s="20"/>
      <c r="E5111" s="20"/>
      <c r="F5111" s="20"/>
      <c r="G5111" s="20"/>
      <c r="H5111" s="20"/>
      <c r="I5111" s="20"/>
      <c r="J5111" s="20"/>
      <c r="K5111" s="20"/>
      <c r="L5111" s="20"/>
      <c r="M5111" s="20"/>
      <c r="N5111" s="20"/>
      <c r="O5111" s="20"/>
      <c r="P5111" s="20"/>
      <c r="Q5111" s="20"/>
      <c r="R5111" s="20"/>
      <c r="S5111" s="20"/>
      <c r="T5111" s="20"/>
      <c r="U5111" s="20"/>
      <c r="V5111" s="20"/>
      <c r="W5111" s="21"/>
      <c r="X5111" s="20"/>
      <c r="Y5111" s="22"/>
      <c r="Z5111" s="22"/>
      <c r="AA5111" s="22"/>
      <c r="AB5111" s="22"/>
      <c r="AC5111" s="22"/>
    </row>
    <row r="5112" spans="1:29" ht="32.25" customHeight="1">
      <c r="A5112" s="19"/>
      <c r="B5112" s="20"/>
      <c r="C5112" s="20"/>
      <c r="D5112" s="20"/>
      <c r="E5112" s="20"/>
      <c r="F5112" s="20"/>
      <c r="G5112" s="20"/>
      <c r="H5112" s="20"/>
      <c r="I5112" s="20"/>
      <c r="J5112" s="20"/>
      <c r="K5112" s="20"/>
      <c r="L5112" s="20"/>
      <c r="M5112" s="20"/>
      <c r="N5112" s="20"/>
      <c r="O5112" s="20"/>
      <c r="P5112" s="20"/>
      <c r="Q5112" s="20"/>
      <c r="R5112" s="20"/>
      <c r="S5112" s="20"/>
      <c r="T5112" s="20"/>
      <c r="U5112" s="20"/>
      <c r="V5112" s="20"/>
      <c r="W5112" s="21"/>
      <c r="X5112" s="20"/>
      <c r="Y5112" s="22"/>
      <c r="Z5112" s="22"/>
      <c r="AA5112" s="22"/>
      <c r="AB5112" s="22"/>
      <c r="AC5112" s="22"/>
    </row>
    <row r="5113" spans="1:29" ht="32.25" customHeight="1">
      <c r="A5113" s="19"/>
      <c r="B5113" s="20"/>
      <c r="C5113" s="20"/>
      <c r="D5113" s="20"/>
      <c r="E5113" s="20"/>
      <c r="F5113" s="20"/>
      <c r="G5113" s="20"/>
      <c r="H5113" s="20"/>
      <c r="I5113" s="20"/>
      <c r="J5113" s="20"/>
      <c r="K5113" s="20"/>
      <c r="L5113" s="20"/>
      <c r="M5113" s="20"/>
      <c r="N5113" s="20"/>
      <c r="O5113" s="20"/>
      <c r="P5113" s="20"/>
      <c r="Q5113" s="20"/>
      <c r="R5113" s="20"/>
      <c r="S5113" s="20"/>
      <c r="T5113" s="20"/>
      <c r="U5113" s="20"/>
      <c r="V5113" s="20"/>
      <c r="W5113" s="21"/>
      <c r="X5113" s="20"/>
      <c r="Y5113" s="22"/>
      <c r="Z5113" s="22"/>
      <c r="AA5113" s="22"/>
      <c r="AB5113" s="22"/>
      <c r="AC5113" s="22"/>
    </row>
    <row r="5114" spans="1:29" ht="32.25" customHeight="1">
      <c r="A5114" s="19"/>
      <c r="B5114" s="20"/>
      <c r="C5114" s="20"/>
      <c r="D5114" s="20"/>
      <c r="E5114" s="20"/>
      <c r="F5114" s="20"/>
      <c r="G5114" s="20"/>
      <c r="H5114" s="20"/>
      <c r="I5114" s="20"/>
      <c r="J5114" s="20"/>
      <c r="K5114" s="20"/>
      <c r="L5114" s="20"/>
      <c r="M5114" s="20"/>
      <c r="N5114" s="20"/>
      <c r="O5114" s="20"/>
      <c r="P5114" s="20"/>
      <c r="Q5114" s="20"/>
      <c r="R5114" s="20"/>
      <c r="S5114" s="20"/>
      <c r="T5114" s="20"/>
      <c r="U5114" s="20"/>
      <c r="V5114" s="20"/>
      <c r="W5114" s="21"/>
      <c r="X5114" s="20"/>
      <c r="Y5114" s="22"/>
      <c r="Z5114" s="22"/>
      <c r="AA5114" s="22"/>
      <c r="AB5114" s="22"/>
      <c r="AC5114" s="22"/>
    </row>
    <row r="5115" spans="1:29" ht="32.25" customHeight="1">
      <c r="A5115" s="19"/>
      <c r="B5115" s="20"/>
      <c r="C5115" s="20"/>
      <c r="D5115" s="20"/>
      <c r="E5115" s="20"/>
      <c r="F5115" s="20"/>
      <c r="G5115" s="20"/>
      <c r="H5115" s="20"/>
      <c r="I5115" s="20"/>
      <c r="J5115" s="20"/>
      <c r="K5115" s="20"/>
      <c r="L5115" s="20"/>
      <c r="M5115" s="20"/>
      <c r="N5115" s="20"/>
      <c r="O5115" s="20"/>
      <c r="P5115" s="20"/>
      <c r="Q5115" s="20"/>
      <c r="R5115" s="20"/>
      <c r="S5115" s="20"/>
      <c r="T5115" s="20"/>
      <c r="U5115" s="20"/>
      <c r="V5115" s="20"/>
      <c r="W5115" s="21"/>
      <c r="X5115" s="20"/>
      <c r="Y5115" s="22"/>
      <c r="Z5115" s="22"/>
      <c r="AA5115" s="22"/>
      <c r="AB5115" s="22"/>
      <c r="AC5115" s="22"/>
    </row>
    <row r="5116" spans="1:29" ht="32.25" customHeight="1">
      <c r="A5116" s="19"/>
      <c r="B5116" s="20"/>
      <c r="C5116" s="20"/>
      <c r="D5116" s="20"/>
      <c r="E5116" s="20"/>
      <c r="F5116" s="20"/>
      <c r="G5116" s="20"/>
      <c r="H5116" s="20"/>
      <c r="I5116" s="20"/>
      <c r="J5116" s="20"/>
      <c r="K5116" s="20"/>
      <c r="L5116" s="20"/>
      <c r="M5116" s="20"/>
      <c r="N5116" s="20"/>
      <c r="O5116" s="20"/>
      <c r="P5116" s="20"/>
      <c r="Q5116" s="20"/>
      <c r="R5116" s="20"/>
      <c r="S5116" s="20"/>
      <c r="T5116" s="20"/>
      <c r="U5116" s="20"/>
      <c r="V5116" s="20"/>
      <c r="W5116" s="21"/>
      <c r="X5116" s="20"/>
      <c r="Y5116" s="22"/>
      <c r="Z5116" s="22"/>
      <c r="AA5116" s="22"/>
      <c r="AB5116" s="22"/>
      <c r="AC5116" s="22"/>
    </row>
    <row r="5117" spans="1:29" ht="32.25" customHeight="1">
      <c r="A5117" s="19"/>
      <c r="B5117" s="20"/>
      <c r="C5117" s="20"/>
      <c r="D5117" s="20"/>
      <c r="E5117" s="20"/>
      <c r="F5117" s="20"/>
      <c r="G5117" s="20"/>
      <c r="H5117" s="20"/>
      <c r="I5117" s="20"/>
      <c r="J5117" s="20"/>
      <c r="K5117" s="20"/>
      <c r="L5117" s="20"/>
      <c r="M5117" s="20"/>
      <c r="N5117" s="20"/>
      <c r="O5117" s="20"/>
      <c r="P5117" s="20"/>
      <c r="Q5117" s="20"/>
      <c r="R5117" s="20"/>
      <c r="S5117" s="20"/>
      <c r="T5117" s="20"/>
      <c r="U5117" s="20"/>
      <c r="V5117" s="20"/>
      <c r="W5117" s="21"/>
      <c r="X5117" s="20"/>
      <c r="Y5117" s="22"/>
      <c r="Z5117" s="22"/>
      <c r="AA5117" s="22"/>
      <c r="AB5117" s="22"/>
      <c r="AC5117" s="22"/>
    </row>
    <row r="5118" spans="1:29" ht="32.25" customHeight="1">
      <c r="A5118" s="19"/>
      <c r="B5118" s="20"/>
      <c r="C5118" s="20"/>
      <c r="D5118" s="20"/>
      <c r="E5118" s="20"/>
      <c r="F5118" s="20"/>
      <c r="G5118" s="20"/>
      <c r="H5118" s="20"/>
      <c r="I5118" s="20"/>
      <c r="J5118" s="20"/>
      <c r="K5118" s="20"/>
      <c r="L5118" s="20"/>
      <c r="M5118" s="20"/>
      <c r="N5118" s="20"/>
      <c r="O5118" s="20"/>
      <c r="P5118" s="20"/>
      <c r="Q5118" s="20"/>
      <c r="R5118" s="20"/>
      <c r="S5118" s="20"/>
      <c r="T5118" s="20"/>
      <c r="U5118" s="20"/>
      <c r="V5118" s="20"/>
      <c r="W5118" s="21"/>
      <c r="X5118" s="20"/>
      <c r="Y5118" s="22"/>
      <c r="Z5118" s="22"/>
      <c r="AA5118" s="22"/>
      <c r="AB5118" s="22"/>
      <c r="AC5118" s="22"/>
    </row>
    <row r="5119" spans="1:29" ht="32.25" customHeight="1">
      <c r="A5119" s="19"/>
      <c r="B5119" s="20"/>
      <c r="C5119" s="20"/>
      <c r="D5119" s="20"/>
      <c r="E5119" s="20"/>
      <c r="F5119" s="20"/>
      <c r="G5119" s="20"/>
      <c r="H5119" s="20"/>
      <c r="I5119" s="20"/>
      <c r="J5119" s="20"/>
      <c r="K5119" s="20"/>
      <c r="L5119" s="20"/>
      <c r="M5119" s="20"/>
      <c r="N5119" s="20"/>
      <c r="O5119" s="20"/>
      <c r="P5119" s="20"/>
      <c r="Q5119" s="20"/>
      <c r="R5119" s="20"/>
      <c r="S5119" s="20"/>
      <c r="T5119" s="20"/>
      <c r="U5119" s="20"/>
      <c r="V5119" s="20"/>
      <c r="W5119" s="21"/>
      <c r="X5119" s="20"/>
      <c r="Y5119" s="22"/>
      <c r="Z5119" s="22"/>
      <c r="AA5119" s="22"/>
      <c r="AB5119" s="22"/>
      <c r="AC5119" s="22"/>
    </row>
    <row r="5120" spans="1:29" ht="32.25" customHeight="1">
      <c r="A5120" s="19"/>
      <c r="B5120" s="20"/>
      <c r="C5120" s="20"/>
      <c r="D5120" s="20"/>
      <c r="E5120" s="20"/>
      <c r="F5120" s="20"/>
      <c r="G5120" s="20"/>
      <c r="H5120" s="20"/>
      <c r="I5120" s="20"/>
      <c r="J5120" s="20"/>
      <c r="K5120" s="20"/>
      <c r="L5120" s="20"/>
      <c r="M5120" s="20"/>
      <c r="N5120" s="20"/>
      <c r="O5120" s="20"/>
      <c r="P5120" s="20"/>
      <c r="Q5120" s="20"/>
      <c r="R5120" s="20"/>
      <c r="S5120" s="20"/>
      <c r="T5120" s="20"/>
      <c r="U5120" s="20"/>
      <c r="V5120" s="20"/>
      <c r="W5120" s="21"/>
      <c r="X5120" s="20"/>
      <c r="Y5120" s="22"/>
      <c r="Z5120" s="22"/>
      <c r="AA5120" s="22"/>
      <c r="AB5120" s="22"/>
      <c r="AC5120" s="22"/>
    </row>
    <row r="5121" spans="1:29" ht="32.25" customHeight="1">
      <c r="A5121" s="19"/>
      <c r="B5121" s="20"/>
      <c r="C5121" s="20"/>
      <c r="D5121" s="20"/>
      <c r="E5121" s="20"/>
      <c r="F5121" s="20"/>
      <c r="G5121" s="20"/>
      <c r="H5121" s="20"/>
      <c r="I5121" s="20"/>
      <c r="J5121" s="20"/>
      <c r="K5121" s="20"/>
      <c r="L5121" s="20"/>
      <c r="M5121" s="20"/>
      <c r="N5121" s="20"/>
      <c r="O5121" s="20"/>
      <c r="P5121" s="20"/>
      <c r="Q5121" s="20"/>
      <c r="R5121" s="20"/>
      <c r="S5121" s="20"/>
      <c r="T5121" s="20"/>
      <c r="U5121" s="20"/>
      <c r="V5121" s="20"/>
      <c r="W5121" s="21"/>
      <c r="X5121" s="20"/>
      <c r="Y5121" s="22"/>
      <c r="Z5121" s="22"/>
      <c r="AA5121" s="22"/>
      <c r="AB5121" s="22"/>
      <c r="AC5121" s="22"/>
    </row>
    <row r="5122" spans="1:29" ht="32.25" customHeight="1">
      <c r="A5122" s="19"/>
      <c r="B5122" s="20"/>
      <c r="C5122" s="20"/>
      <c r="D5122" s="20"/>
      <c r="E5122" s="20"/>
      <c r="F5122" s="20"/>
      <c r="G5122" s="20"/>
      <c r="H5122" s="20"/>
      <c r="I5122" s="20"/>
      <c r="J5122" s="20"/>
      <c r="K5122" s="20"/>
      <c r="L5122" s="20"/>
      <c r="M5122" s="20"/>
      <c r="N5122" s="20"/>
      <c r="O5122" s="20"/>
      <c r="P5122" s="20"/>
      <c r="Q5122" s="20"/>
      <c r="R5122" s="20"/>
      <c r="S5122" s="20"/>
      <c r="T5122" s="20"/>
      <c r="U5122" s="20"/>
      <c r="V5122" s="20"/>
      <c r="W5122" s="21"/>
      <c r="X5122" s="20"/>
      <c r="Y5122" s="22"/>
      <c r="Z5122" s="22"/>
      <c r="AA5122" s="22"/>
      <c r="AB5122" s="22"/>
      <c r="AC5122" s="22"/>
    </row>
    <row r="5123" spans="1:29" ht="32.25" customHeight="1">
      <c r="A5123" s="19"/>
      <c r="B5123" s="20"/>
      <c r="C5123" s="20"/>
      <c r="D5123" s="20"/>
      <c r="E5123" s="20"/>
      <c r="F5123" s="20"/>
      <c r="G5123" s="20"/>
      <c r="H5123" s="20"/>
      <c r="I5123" s="20"/>
      <c r="J5123" s="20"/>
      <c r="K5123" s="20"/>
      <c r="L5123" s="20"/>
      <c r="M5123" s="20"/>
      <c r="N5123" s="20"/>
      <c r="O5123" s="20"/>
      <c r="P5123" s="20"/>
      <c r="Q5123" s="20"/>
      <c r="R5123" s="20"/>
      <c r="S5123" s="20"/>
      <c r="T5123" s="20"/>
      <c r="U5123" s="20"/>
      <c r="V5123" s="20"/>
      <c r="W5123" s="21"/>
      <c r="X5123" s="20"/>
      <c r="Y5123" s="22"/>
      <c r="Z5123" s="22"/>
      <c r="AA5123" s="22"/>
      <c r="AB5123" s="22"/>
      <c r="AC5123" s="22"/>
    </row>
    <row r="5124" spans="1:29" ht="32.25" customHeight="1">
      <c r="A5124" s="19"/>
      <c r="B5124" s="20"/>
      <c r="C5124" s="20"/>
      <c r="D5124" s="20"/>
      <c r="E5124" s="20"/>
      <c r="F5124" s="20"/>
      <c r="G5124" s="20"/>
      <c r="H5124" s="20"/>
      <c r="I5124" s="20"/>
      <c r="J5124" s="20"/>
      <c r="K5124" s="20"/>
      <c r="L5124" s="20"/>
      <c r="M5124" s="20"/>
      <c r="N5124" s="20"/>
      <c r="O5124" s="20"/>
      <c r="P5124" s="20"/>
      <c r="Q5124" s="20"/>
      <c r="R5124" s="20"/>
      <c r="S5124" s="20"/>
      <c r="T5124" s="20"/>
      <c r="U5124" s="20"/>
      <c r="V5124" s="20"/>
      <c r="W5124" s="21"/>
      <c r="X5124" s="20"/>
      <c r="Y5124" s="22"/>
      <c r="Z5124" s="22"/>
      <c r="AA5124" s="22"/>
      <c r="AB5124" s="22"/>
      <c r="AC5124" s="22"/>
    </row>
    <row r="5125" spans="1:29" ht="32.25" customHeight="1">
      <c r="A5125" s="19"/>
      <c r="B5125" s="20"/>
      <c r="C5125" s="20"/>
      <c r="D5125" s="20"/>
      <c r="E5125" s="20"/>
      <c r="F5125" s="20"/>
      <c r="G5125" s="20"/>
      <c r="H5125" s="20"/>
      <c r="I5125" s="20"/>
      <c r="J5125" s="20"/>
      <c r="K5125" s="20"/>
      <c r="L5125" s="20"/>
      <c r="M5125" s="20"/>
      <c r="N5125" s="20"/>
      <c r="O5125" s="20"/>
      <c r="P5125" s="20"/>
      <c r="Q5125" s="20"/>
      <c r="R5125" s="20"/>
      <c r="S5125" s="20"/>
      <c r="T5125" s="20"/>
      <c r="U5125" s="20"/>
      <c r="V5125" s="20"/>
      <c r="W5125" s="21"/>
      <c r="X5125" s="20"/>
      <c r="Y5125" s="22"/>
      <c r="Z5125" s="22"/>
      <c r="AA5125" s="22"/>
      <c r="AB5125" s="22"/>
      <c r="AC5125" s="22"/>
    </row>
    <row r="5126" spans="1:29" ht="32.25" customHeight="1">
      <c r="A5126" s="19"/>
      <c r="B5126" s="20"/>
      <c r="C5126" s="20"/>
      <c r="D5126" s="20"/>
      <c r="E5126" s="20"/>
      <c r="F5126" s="20"/>
      <c r="G5126" s="20"/>
      <c r="H5126" s="20"/>
      <c r="I5126" s="20"/>
      <c r="J5126" s="20"/>
      <c r="K5126" s="20"/>
      <c r="L5126" s="20"/>
      <c r="M5126" s="20"/>
      <c r="N5126" s="20"/>
      <c r="O5126" s="20"/>
      <c r="P5126" s="20"/>
      <c r="Q5126" s="20"/>
      <c r="R5126" s="20"/>
      <c r="S5126" s="20"/>
      <c r="T5126" s="20"/>
      <c r="U5126" s="20"/>
      <c r="V5126" s="20"/>
      <c r="W5126" s="21"/>
      <c r="X5126" s="20"/>
      <c r="Y5126" s="22"/>
      <c r="Z5126" s="22"/>
      <c r="AA5126" s="22"/>
      <c r="AB5126" s="22"/>
      <c r="AC5126" s="22"/>
    </row>
    <row r="5127" spans="1:29" ht="32.25" customHeight="1">
      <c r="A5127" s="19"/>
      <c r="B5127" s="20"/>
      <c r="C5127" s="20"/>
      <c r="D5127" s="20"/>
      <c r="E5127" s="20"/>
      <c r="F5127" s="20"/>
      <c r="G5127" s="20"/>
      <c r="H5127" s="20"/>
      <c r="I5127" s="20"/>
      <c r="J5127" s="20"/>
      <c r="K5127" s="20"/>
      <c r="L5127" s="20"/>
      <c r="M5127" s="20"/>
      <c r="N5127" s="20"/>
      <c r="O5127" s="20"/>
      <c r="P5127" s="20"/>
      <c r="Q5127" s="20"/>
      <c r="R5127" s="20"/>
      <c r="S5127" s="20"/>
      <c r="T5127" s="20"/>
      <c r="U5127" s="20"/>
      <c r="V5127" s="20"/>
      <c r="W5127" s="21"/>
      <c r="X5127" s="20"/>
      <c r="Y5127" s="22"/>
      <c r="Z5127" s="22"/>
      <c r="AA5127" s="22"/>
      <c r="AB5127" s="22"/>
      <c r="AC5127" s="22"/>
    </row>
    <row r="5128" spans="1:29" ht="32.25" customHeight="1">
      <c r="A5128" s="19"/>
      <c r="B5128" s="20"/>
      <c r="C5128" s="20"/>
      <c r="D5128" s="20"/>
      <c r="E5128" s="20"/>
      <c r="F5128" s="20"/>
      <c r="G5128" s="20"/>
      <c r="H5128" s="20"/>
      <c r="I5128" s="20"/>
      <c r="J5128" s="20"/>
      <c r="K5128" s="20"/>
      <c r="L5128" s="20"/>
      <c r="M5128" s="20"/>
      <c r="N5128" s="20"/>
      <c r="O5128" s="20"/>
      <c r="P5128" s="20"/>
      <c r="Q5128" s="20"/>
      <c r="R5128" s="20"/>
      <c r="S5128" s="20"/>
      <c r="T5128" s="20"/>
      <c r="U5128" s="20"/>
      <c r="V5128" s="20"/>
      <c r="W5128" s="21"/>
      <c r="X5128" s="20"/>
      <c r="Y5128" s="22"/>
      <c r="Z5128" s="22"/>
      <c r="AA5128" s="22"/>
      <c r="AB5128" s="22"/>
      <c r="AC5128" s="22"/>
    </row>
    <row r="5129" spans="1:29" ht="32.25" customHeight="1">
      <c r="A5129" s="19"/>
      <c r="B5129" s="20"/>
      <c r="C5129" s="20"/>
      <c r="D5129" s="20"/>
      <c r="E5129" s="20"/>
      <c r="F5129" s="20"/>
      <c r="G5129" s="20"/>
      <c r="H5129" s="20"/>
      <c r="I5129" s="20"/>
      <c r="J5129" s="20"/>
      <c r="K5129" s="20"/>
      <c r="L5129" s="20"/>
      <c r="M5129" s="20"/>
      <c r="N5129" s="20"/>
      <c r="O5129" s="20"/>
      <c r="P5129" s="20"/>
      <c r="Q5129" s="20"/>
      <c r="R5129" s="20"/>
      <c r="S5129" s="20"/>
      <c r="T5129" s="20"/>
      <c r="U5129" s="20"/>
      <c r="V5129" s="20"/>
      <c r="W5129" s="21"/>
      <c r="X5129" s="20"/>
      <c r="Y5129" s="22"/>
      <c r="Z5129" s="22"/>
      <c r="AA5129" s="22"/>
      <c r="AB5129" s="22"/>
      <c r="AC5129" s="22"/>
    </row>
    <row r="5130" spans="1:29" ht="32.25" customHeight="1">
      <c r="A5130" s="19"/>
      <c r="B5130" s="20"/>
      <c r="C5130" s="20"/>
      <c r="D5130" s="20"/>
      <c r="E5130" s="20"/>
      <c r="F5130" s="20"/>
      <c r="G5130" s="20"/>
      <c r="H5130" s="20"/>
      <c r="I5130" s="20"/>
      <c r="J5130" s="20"/>
      <c r="K5130" s="20"/>
      <c r="L5130" s="20"/>
      <c r="M5130" s="20"/>
      <c r="N5130" s="20"/>
      <c r="O5130" s="20"/>
      <c r="P5130" s="20"/>
      <c r="Q5130" s="20"/>
      <c r="R5130" s="20"/>
      <c r="S5130" s="20"/>
      <c r="T5130" s="20"/>
      <c r="U5130" s="20"/>
      <c r="V5130" s="20"/>
      <c r="W5130" s="21"/>
      <c r="X5130" s="20"/>
      <c r="Y5130" s="22"/>
      <c r="Z5130" s="22"/>
      <c r="AA5130" s="22"/>
      <c r="AB5130" s="22"/>
      <c r="AC5130" s="22"/>
    </row>
    <row r="5131" spans="1:29" ht="32.25" customHeight="1">
      <c r="A5131" s="19"/>
      <c r="B5131" s="20"/>
      <c r="C5131" s="20"/>
      <c r="D5131" s="20"/>
      <c r="E5131" s="20"/>
      <c r="F5131" s="20"/>
      <c r="G5131" s="20"/>
      <c r="H5131" s="20"/>
      <c r="I5131" s="20"/>
      <c r="J5131" s="20"/>
      <c r="K5131" s="20"/>
      <c r="L5131" s="20"/>
      <c r="M5131" s="20"/>
      <c r="N5131" s="20"/>
      <c r="O5131" s="20"/>
      <c r="P5131" s="20"/>
      <c r="Q5131" s="20"/>
      <c r="R5131" s="20"/>
      <c r="S5131" s="20"/>
      <c r="T5131" s="20"/>
      <c r="U5131" s="20"/>
      <c r="V5131" s="20"/>
      <c r="W5131" s="21"/>
      <c r="X5131" s="20"/>
      <c r="Y5131" s="22"/>
      <c r="Z5131" s="22"/>
      <c r="AA5131" s="22"/>
      <c r="AB5131" s="22"/>
      <c r="AC5131" s="22"/>
    </row>
    <row r="5132" spans="1:29" ht="32.25" customHeight="1">
      <c r="A5132" s="19"/>
      <c r="B5132" s="20"/>
      <c r="C5132" s="20"/>
      <c r="D5132" s="20"/>
      <c r="E5132" s="20"/>
      <c r="F5132" s="20"/>
      <c r="G5132" s="20"/>
      <c r="H5132" s="20"/>
      <c r="I5132" s="20"/>
      <c r="J5132" s="20"/>
      <c r="K5132" s="20"/>
      <c r="L5132" s="20"/>
      <c r="M5132" s="20"/>
      <c r="N5132" s="20"/>
      <c r="O5132" s="20"/>
      <c r="P5132" s="20"/>
      <c r="Q5132" s="20"/>
      <c r="R5132" s="20"/>
      <c r="S5132" s="20"/>
      <c r="T5132" s="20"/>
      <c r="U5132" s="20"/>
      <c r="V5132" s="20"/>
      <c r="W5132" s="21"/>
      <c r="X5132" s="20"/>
      <c r="Y5132" s="22"/>
      <c r="Z5132" s="22"/>
      <c r="AA5132" s="22"/>
      <c r="AB5132" s="22"/>
      <c r="AC5132" s="22"/>
    </row>
    <row r="5133" spans="1:29" ht="32.25" customHeight="1">
      <c r="A5133" s="19"/>
      <c r="B5133" s="20"/>
      <c r="C5133" s="20"/>
      <c r="D5133" s="20"/>
      <c r="E5133" s="20"/>
      <c r="F5133" s="20"/>
      <c r="G5133" s="20"/>
      <c r="H5133" s="20"/>
      <c r="I5133" s="20"/>
      <c r="J5133" s="20"/>
      <c r="K5133" s="20"/>
      <c r="L5133" s="20"/>
      <c r="M5133" s="20"/>
      <c r="N5133" s="20"/>
      <c r="O5133" s="20"/>
      <c r="P5133" s="20"/>
      <c r="Q5133" s="20"/>
      <c r="R5133" s="20"/>
      <c r="S5133" s="20"/>
      <c r="T5133" s="20"/>
      <c r="U5133" s="20"/>
      <c r="V5133" s="20"/>
      <c r="W5133" s="21"/>
      <c r="X5133" s="20"/>
      <c r="Y5133" s="22"/>
      <c r="Z5133" s="22"/>
      <c r="AA5133" s="22"/>
      <c r="AB5133" s="22"/>
      <c r="AC5133" s="22"/>
    </row>
    <row r="5134" spans="1:29" ht="32.25" customHeight="1">
      <c r="A5134" s="19"/>
      <c r="B5134" s="20"/>
      <c r="C5134" s="20"/>
      <c r="D5134" s="20"/>
      <c r="E5134" s="20"/>
      <c r="F5134" s="20"/>
      <c r="G5134" s="20"/>
      <c r="H5134" s="20"/>
      <c r="I5134" s="20"/>
      <c r="J5134" s="20"/>
      <c r="K5134" s="20"/>
      <c r="L5134" s="20"/>
      <c r="M5134" s="20"/>
      <c r="N5134" s="20"/>
      <c r="O5134" s="20"/>
      <c r="P5134" s="20"/>
      <c r="Q5134" s="20"/>
      <c r="R5134" s="20"/>
      <c r="S5134" s="20"/>
      <c r="T5134" s="20"/>
      <c r="U5134" s="20"/>
      <c r="V5134" s="20"/>
      <c r="W5134" s="21"/>
      <c r="X5134" s="20"/>
      <c r="Y5134" s="22"/>
      <c r="Z5134" s="22"/>
      <c r="AA5134" s="22"/>
      <c r="AB5134" s="22"/>
      <c r="AC5134" s="22"/>
    </row>
    <row r="5135" spans="1:29" ht="32.25" customHeight="1">
      <c r="A5135" s="19"/>
      <c r="B5135" s="20"/>
      <c r="C5135" s="20"/>
      <c r="D5135" s="20"/>
      <c r="E5135" s="20"/>
      <c r="F5135" s="20"/>
      <c r="G5135" s="20"/>
      <c r="H5135" s="20"/>
      <c r="I5135" s="20"/>
      <c r="J5135" s="20"/>
      <c r="K5135" s="20"/>
      <c r="L5135" s="20"/>
      <c r="M5135" s="20"/>
      <c r="N5135" s="20"/>
      <c r="O5135" s="20"/>
      <c r="P5135" s="20"/>
      <c r="Q5135" s="20"/>
      <c r="R5135" s="20"/>
      <c r="S5135" s="20"/>
      <c r="T5135" s="20"/>
      <c r="U5135" s="20"/>
      <c r="V5135" s="20"/>
      <c r="W5135" s="21"/>
      <c r="X5135" s="20"/>
      <c r="Y5135" s="22"/>
      <c r="Z5135" s="22"/>
      <c r="AA5135" s="22"/>
      <c r="AB5135" s="22"/>
      <c r="AC5135" s="22"/>
    </row>
    <row r="5136" spans="1:29" ht="32.25" customHeight="1">
      <c r="A5136" s="19"/>
      <c r="B5136" s="20"/>
      <c r="C5136" s="20"/>
      <c r="D5136" s="20"/>
      <c r="E5136" s="20"/>
      <c r="F5136" s="20"/>
      <c r="G5136" s="20"/>
      <c r="H5136" s="20"/>
      <c r="I5136" s="20"/>
      <c r="J5136" s="20"/>
      <c r="K5136" s="20"/>
      <c r="L5136" s="20"/>
      <c r="M5136" s="20"/>
      <c r="N5136" s="20"/>
      <c r="O5136" s="20"/>
      <c r="P5136" s="20"/>
      <c r="Q5136" s="20"/>
      <c r="R5136" s="20"/>
      <c r="S5136" s="20"/>
      <c r="T5136" s="20"/>
      <c r="U5136" s="20"/>
      <c r="V5136" s="20"/>
      <c r="W5136" s="21"/>
      <c r="X5136" s="20"/>
      <c r="Y5136" s="22"/>
      <c r="Z5136" s="22"/>
      <c r="AA5136" s="22"/>
      <c r="AB5136" s="22"/>
      <c r="AC5136" s="22"/>
    </row>
    <row r="5137" spans="1:29" ht="32.25" customHeight="1">
      <c r="A5137" s="19"/>
      <c r="B5137" s="20"/>
      <c r="C5137" s="20"/>
      <c r="D5137" s="20"/>
      <c r="E5137" s="20"/>
      <c r="F5137" s="20"/>
      <c r="G5137" s="20"/>
      <c r="H5137" s="20"/>
      <c r="I5137" s="20"/>
      <c r="J5137" s="20"/>
      <c r="K5137" s="20"/>
      <c r="L5137" s="20"/>
      <c r="M5137" s="20"/>
      <c r="N5137" s="20"/>
      <c r="O5137" s="20"/>
      <c r="P5137" s="20"/>
      <c r="Q5137" s="20"/>
      <c r="R5137" s="20"/>
      <c r="S5137" s="20"/>
      <c r="T5137" s="20"/>
      <c r="U5137" s="20"/>
      <c r="V5137" s="20"/>
      <c r="W5137" s="21"/>
      <c r="X5137" s="20"/>
      <c r="Y5137" s="22"/>
      <c r="Z5137" s="22"/>
      <c r="AA5137" s="22"/>
      <c r="AB5137" s="22"/>
      <c r="AC5137" s="22"/>
    </row>
    <row r="5138" spans="1:29" ht="32.25" customHeight="1">
      <c r="A5138" s="19"/>
      <c r="B5138" s="20"/>
      <c r="C5138" s="20"/>
      <c r="D5138" s="20"/>
      <c r="E5138" s="20"/>
      <c r="F5138" s="20"/>
      <c r="G5138" s="20"/>
      <c r="H5138" s="20"/>
      <c r="I5138" s="20"/>
      <c r="J5138" s="20"/>
      <c r="K5138" s="20"/>
      <c r="L5138" s="20"/>
      <c r="M5138" s="20"/>
      <c r="N5138" s="20"/>
      <c r="O5138" s="20"/>
      <c r="P5138" s="20"/>
      <c r="Q5138" s="20"/>
      <c r="R5138" s="20"/>
      <c r="S5138" s="20"/>
      <c r="T5138" s="20"/>
      <c r="U5138" s="20"/>
      <c r="V5138" s="20"/>
      <c r="W5138" s="21"/>
      <c r="X5138" s="20"/>
      <c r="Y5138" s="22"/>
      <c r="Z5138" s="22"/>
      <c r="AA5138" s="22"/>
      <c r="AB5138" s="22"/>
      <c r="AC5138" s="22"/>
    </row>
    <row r="5139" spans="1:29" ht="32.25" customHeight="1">
      <c r="A5139" s="19"/>
      <c r="B5139" s="20"/>
      <c r="C5139" s="20"/>
      <c r="D5139" s="20"/>
      <c r="E5139" s="20"/>
      <c r="F5139" s="20"/>
      <c r="G5139" s="20"/>
      <c r="H5139" s="20"/>
      <c r="I5139" s="20"/>
      <c r="J5139" s="20"/>
      <c r="K5139" s="20"/>
      <c r="L5139" s="20"/>
      <c r="M5139" s="20"/>
      <c r="N5139" s="20"/>
      <c r="O5139" s="20"/>
      <c r="P5139" s="20"/>
      <c r="Q5139" s="20"/>
      <c r="R5139" s="20"/>
      <c r="S5139" s="20"/>
      <c r="T5139" s="20"/>
      <c r="U5139" s="20"/>
      <c r="V5139" s="20"/>
      <c r="W5139" s="21"/>
      <c r="X5139" s="20"/>
      <c r="Y5139" s="22"/>
      <c r="Z5139" s="22"/>
      <c r="AA5139" s="22"/>
      <c r="AB5139" s="22"/>
      <c r="AC5139" s="22"/>
    </row>
    <row r="5140" spans="1:29" ht="32.25" customHeight="1">
      <c r="A5140" s="19"/>
      <c r="B5140" s="20"/>
      <c r="C5140" s="20"/>
      <c r="D5140" s="20"/>
      <c r="E5140" s="20"/>
      <c r="F5140" s="20"/>
      <c r="G5140" s="20"/>
      <c r="H5140" s="20"/>
      <c r="I5140" s="20"/>
      <c r="J5140" s="20"/>
      <c r="K5140" s="20"/>
      <c r="L5140" s="20"/>
      <c r="M5140" s="20"/>
      <c r="N5140" s="20"/>
      <c r="O5140" s="20"/>
      <c r="P5140" s="20"/>
      <c r="Q5140" s="20"/>
      <c r="R5140" s="20"/>
      <c r="S5140" s="20"/>
      <c r="T5140" s="20"/>
      <c r="U5140" s="20"/>
      <c r="V5140" s="20"/>
      <c r="W5140" s="21"/>
      <c r="X5140" s="20"/>
      <c r="Y5140" s="22"/>
      <c r="Z5140" s="22"/>
      <c r="AA5140" s="22"/>
      <c r="AB5140" s="22"/>
      <c r="AC5140" s="22"/>
    </row>
    <row r="5141" spans="1:29" ht="32.25" customHeight="1">
      <c r="A5141" s="19"/>
      <c r="B5141" s="20"/>
      <c r="C5141" s="20"/>
      <c r="D5141" s="20"/>
      <c r="E5141" s="20"/>
      <c r="F5141" s="20"/>
      <c r="G5141" s="20"/>
      <c r="H5141" s="20"/>
      <c r="I5141" s="20"/>
      <c r="J5141" s="20"/>
      <c r="K5141" s="20"/>
      <c r="L5141" s="20"/>
      <c r="M5141" s="20"/>
      <c r="N5141" s="20"/>
      <c r="O5141" s="20"/>
      <c r="P5141" s="20"/>
      <c r="Q5141" s="20"/>
      <c r="R5141" s="20"/>
      <c r="S5141" s="20"/>
      <c r="T5141" s="20"/>
      <c r="U5141" s="20"/>
      <c r="V5141" s="20"/>
      <c r="W5141" s="21"/>
      <c r="X5141" s="20"/>
      <c r="Y5141" s="22"/>
      <c r="Z5141" s="22"/>
      <c r="AA5141" s="22"/>
      <c r="AB5141" s="22"/>
      <c r="AC5141" s="22"/>
    </row>
    <row r="5142" spans="1:29" ht="32.25" customHeight="1">
      <c r="A5142" s="19"/>
      <c r="B5142" s="20"/>
      <c r="C5142" s="20"/>
      <c r="D5142" s="20"/>
      <c r="E5142" s="20"/>
      <c r="F5142" s="20"/>
      <c r="G5142" s="20"/>
      <c r="H5142" s="20"/>
      <c r="I5142" s="20"/>
      <c r="J5142" s="20"/>
      <c r="K5142" s="20"/>
      <c r="L5142" s="20"/>
      <c r="M5142" s="20"/>
      <c r="N5142" s="20"/>
      <c r="O5142" s="20"/>
      <c r="P5142" s="20"/>
      <c r="Q5142" s="20"/>
      <c r="R5142" s="20"/>
      <c r="S5142" s="20"/>
      <c r="T5142" s="20"/>
      <c r="U5142" s="20"/>
      <c r="V5142" s="20"/>
      <c r="W5142" s="21"/>
      <c r="X5142" s="20"/>
      <c r="Y5142" s="22"/>
      <c r="Z5142" s="22"/>
      <c r="AA5142" s="22"/>
      <c r="AB5142" s="22"/>
      <c r="AC5142" s="22"/>
    </row>
    <row r="5143" spans="1:29" ht="32.25" customHeight="1">
      <c r="A5143" s="19"/>
      <c r="B5143" s="20"/>
      <c r="C5143" s="20"/>
      <c r="D5143" s="20"/>
      <c r="E5143" s="20"/>
      <c r="F5143" s="20"/>
      <c r="G5143" s="20"/>
      <c r="H5143" s="20"/>
      <c r="I5143" s="20"/>
      <c r="J5143" s="20"/>
      <c r="K5143" s="20"/>
      <c r="L5143" s="20"/>
      <c r="M5143" s="20"/>
      <c r="N5143" s="20"/>
      <c r="O5143" s="20"/>
      <c r="P5143" s="20"/>
      <c r="Q5143" s="20"/>
      <c r="R5143" s="20"/>
      <c r="S5143" s="20"/>
      <c r="T5143" s="20"/>
      <c r="U5143" s="20"/>
      <c r="V5143" s="20"/>
      <c r="W5143" s="21"/>
      <c r="X5143" s="20"/>
      <c r="Y5143" s="22"/>
      <c r="Z5143" s="22"/>
      <c r="AA5143" s="22"/>
      <c r="AB5143" s="22"/>
      <c r="AC5143" s="22"/>
    </row>
    <row r="5144" spans="1:29" ht="32.25" customHeight="1">
      <c r="A5144" s="19"/>
      <c r="B5144" s="20"/>
      <c r="C5144" s="20"/>
      <c r="D5144" s="20"/>
      <c r="E5144" s="20"/>
      <c r="F5144" s="20"/>
      <c r="G5144" s="20"/>
      <c r="H5144" s="20"/>
      <c r="I5144" s="20"/>
      <c r="J5144" s="20"/>
      <c r="K5144" s="20"/>
      <c r="L5144" s="20"/>
      <c r="M5144" s="20"/>
      <c r="N5144" s="20"/>
      <c r="O5144" s="20"/>
      <c r="P5144" s="20"/>
      <c r="Q5144" s="20"/>
      <c r="R5144" s="20"/>
      <c r="S5144" s="20"/>
      <c r="T5144" s="20"/>
      <c r="U5144" s="20"/>
      <c r="V5144" s="20"/>
      <c r="W5144" s="21"/>
      <c r="X5144" s="20"/>
      <c r="Y5144" s="22"/>
      <c r="Z5144" s="22"/>
      <c r="AA5144" s="22"/>
      <c r="AB5144" s="22"/>
      <c r="AC5144" s="22"/>
    </row>
    <row r="5145" spans="1:29" ht="32.25" customHeight="1">
      <c r="A5145" s="19"/>
      <c r="B5145" s="20"/>
      <c r="C5145" s="20"/>
      <c r="D5145" s="20"/>
      <c r="E5145" s="20"/>
      <c r="F5145" s="20"/>
      <c r="G5145" s="20"/>
      <c r="H5145" s="20"/>
      <c r="I5145" s="20"/>
      <c r="J5145" s="20"/>
      <c r="K5145" s="20"/>
      <c r="L5145" s="20"/>
      <c r="M5145" s="20"/>
      <c r="N5145" s="20"/>
      <c r="O5145" s="20"/>
      <c r="P5145" s="20"/>
      <c r="Q5145" s="20"/>
      <c r="R5145" s="20"/>
      <c r="S5145" s="20"/>
      <c r="T5145" s="20"/>
      <c r="U5145" s="20"/>
      <c r="V5145" s="20"/>
      <c r="W5145" s="21"/>
      <c r="X5145" s="20"/>
      <c r="Y5145" s="22"/>
      <c r="Z5145" s="22"/>
      <c r="AA5145" s="22"/>
      <c r="AB5145" s="22"/>
      <c r="AC5145" s="22"/>
    </row>
    <row r="5146" spans="1:29" ht="32.25" customHeight="1">
      <c r="A5146" s="19"/>
      <c r="B5146" s="20"/>
      <c r="C5146" s="20"/>
      <c r="D5146" s="20"/>
      <c r="E5146" s="20"/>
      <c r="F5146" s="20"/>
      <c r="G5146" s="20"/>
      <c r="H5146" s="20"/>
      <c r="I5146" s="20"/>
      <c r="J5146" s="20"/>
      <c r="K5146" s="20"/>
      <c r="L5146" s="20"/>
      <c r="M5146" s="20"/>
      <c r="N5146" s="20"/>
      <c r="O5146" s="20"/>
      <c r="P5146" s="20"/>
      <c r="Q5146" s="20"/>
      <c r="R5146" s="20"/>
      <c r="S5146" s="20"/>
      <c r="T5146" s="20"/>
      <c r="U5146" s="20"/>
      <c r="V5146" s="20"/>
      <c r="W5146" s="21"/>
      <c r="X5146" s="20"/>
      <c r="Y5146" s="22"/>
      <c r="Z5146" s="22"/>
      <c r="AA5146" s="22"/>
      <c r="AB5146" s="22"/>
      <c r="AC5146" s="22"/>
    </row>
    <row r="5147" spans="1:29" ht="32.25" customHeight="1">
      <c r="A5147" s="19"/>
      <c r="B5147" s="20"/>
      <c r="C5147" s="20"/>
      <c r="D5147" s="20"/>
      <c r="E5147" s="20"/>
      <c r="F5147" s="20"/>
      <c r="G5147" s="20"/>
      <c r="H5147" s="20"/>
      <c r="I5147" s="20"/>
      <c r="J5147" s="20"/>
      <c r="K5147" s="20"/>
      <c r="L5147" s="20"/>
      <c r="M5147" s="20"/>
      <c r="N5147" s="20"/>
      <c r="O5147" s="20"/>
      <c r="P5147" s="20"/>
      <c r="Q5147" s="20"/>
      <c r="R5147" s="20"/>
      <c r="S5147" s="20"/>
      <c r="T5147" s="20"/>
      <c r="U5147" s="20"/>
      <c r="V5147" s="20"/>
      <c r="W5147" s="21"/>
      <c r="X5147" s="20"/>
      <c r="Y5147" s="22"/>
      <c r="Z5147" s="22"/>
      <c r="AA5147" s="22"/>
      <c r="AB5147" s="22"/>
      <c r="AC5147" s="22"/>
    </row>
    <row r="5148" spans="1:29" ht="32.25" customHeight="1">
      <c r="A5148" s="19"/>
      <c r="B5148" s="20"/>
      <c r="C5148" s="20"/>
      <c r="D5148" s="20"/>
      <c r="E5148" s="20"/>
      <c r="F5148" s="20"/>
      <c r="G5148" s="20"/>
      <c r="H5148" s="20"/>
      <c r="I5148" s="20"/>
      <c r="J5148" s="20"/>
      <c r="K5148" s="20"/>
      <c r="L5148" s="20"/>
      <c r="M5148" s="20"/>
      <c r="N5148" s="20"/>
      <c r="O5148" s="20"/>
      <c r="P5148" s="20"/>
      <c r="Q5148" s="20"/>
      <c r="R5148" s="20"/>
      <c r="S5148" s="20"/>
      <c r="T5148" s="20"/>
      <c r="U5148" s="20"/>
      <c r="V5148" s="20"/>
      <c r="W5148" s="21"/>
      <c r="X5148" s="20"/>
      <c r="Y5148" s="22"/>
      <c r="Z5148" s="22"/>
      <c r="AA5148" s="22"/>
      <c r="AB5148" s="22"/>
      <c r="AC5148" s="22"/>
    </row>
    <row r="5149" spans="1:29" ht="32.25" customHeight="1">
      <c r="A5149" s="19"/>
      <c r="B5149" s="20"/>
      <c r="C5149" s="20"/>
      <c r="D5149" s="20"/>
      <c r="E5149" s="20"/>
      <c r="F5149" s="20"/>
      <c r="G5149" s="20"/>
      <c r="H5149" s="20"/>
      <c r="I5149" s="20"/>
      <c r="J5149" s="20"/>
      <c r="K5149" s="20"/>
      <c r="L5149" s="20"/>
      <c r="M5149" s="20"/>
      <c r="N5149" s="20"/>
      <c r="O5149" s="20"/>
      <c r="P5149" s="20"/>
      <c r="Q5149" s="20"/>
      <c r="R5149" s="20"/>
      <c r="S5149" s="20"/>
      <c r="T5149" s="20"/>
      <c r="U5149" s="20"/>
      <c r="V5149" s="20"/>
      <c r="W5149" s="21"/>
      <c r="X5149" s="20"/>
      <c r="Y5149" s="22"/>
      <c r="Z5149" s="22"/>
      <c r="AA5149" s="22"/>
      <c r="AB5149" s="22"/>
      <c r="AC5149" s="22"/>
    </row>
    <row r="5150" spans="1:29" ht="32.25" customHeight="1">
      <c r="A5150" s="19"/>
      <c r="B5150" s="20"/>
      <c r="C5150" s="20"/>
      <c r="D5150" s="20"/>
      <c r="E5150" s="20"/>
      <c r="F5150" s="20"/>
      <c r="G5150" s="20"/>
      <c r="H5150" s="20"/>
      <c r="I5150" s="20"/>
      <c r="J5150" s="20"/>
      <c r="K5150" s="20"/>
      <c r="L5150" s="20"/>
      <c r="M5150" s="20"/>
      <c r="N5150" s="20"/>
      <c r="O5150" s="20"/>
      <c r="P5150" s="20"/>
      <c r="Q5150" s="20"/>
      <c r="R5150" s="20"/>
      <c r="S5150" s="20"/>
      <c r="T5150" s="20"/>
      <c r="U5150" s="20"/>
      <c r="V5150" s="20"/>
      <c r="W5150" s="21"/>
      <c r="X5150" s="20"/>
      <c r="Y5150" s="22"/>
      <c r="Z5150" s="22"/>
      <c r="AA5150" s="22"/>
      <c r="AB5150" s="22"/>
      <c r="AC5150" s="22"/>
    </row>
    <row r="5151" spans="1:29" ht="32.25" customHeight="1">
      <c r="A5151" s="19"/>
      <c r="B5151" s="20"/>
      <c r="C5151" s="20"/>
      <c r="D5151" s="20"/>
      <c r="E5151" s="20"/>
      <c r="F5151" s="20"/>
      <c r="G5151" s="20"/>
      <c r="H5151" s="20"/>
      <c r="I5151" s="20"/>
      <c r="J5151" s="20"/>
      <c r="K5151" s="20"/>
      <c r="L5151" s="20"/>
      <c r="M5151" s="20"/>
      <c r="N5151" s="20"/>
      <c r="O5151" s="20"/>
      <c r="P5151" s="20"/>
      <c r="Q5151" s="20"/>
      <c r="R5151" s="20"/>
      <c r="S5151" s="20"/>
      <c r="T5151" s="20"/>
      <c r="U5151" s="20"/>
      <c r="V5151" s="20"/>
      <c r="W5151" s="21"/>
      <c r="X5151" s="20"/>
      <c r="Y5151" s="22"/>
      <c r="Z5151" s="22"/>
      <c r="AA5151" s="22"/>
      <c r="AB5151" s="22"/>
      <c r="AC5151" s="22"/>
    </row>
    <row r="5152" spans="1:29" ht="32.25" customHeight="1">
      <c r="A5152" s="19"/>
      <c r="B5152" s="20"/>
      <c r="C5152" s="20"/>
      <c r="D5152" s="20"/>
      <c r="E5152" s="20"/>
      <c r="F5152" s="20"/>
      <c r="G5152" s="20"/>
      <c r="H5152" s="20"/>
      <c r="I5152" s="20"/>
      <c r="J5152" s="20"/>
      <c r="K5152" s="20"/>
      <c r="L5152" s="20"/>
      <c r="M5152" s="20"/>
      <c r="N5152" s="20"/>
      <c r="O5152" s="20"/>
      <c r="P5152" s="20"/>
      <c r="Q5152" s="20"/>
      <c r="R5152" s="20"/>
      <c r="S5152" s="20"/>
      <c r="T5152" s="20"/>
      <c r="U5152" s="20"/>
      <c r="V5152" s="20"/>
      <c r="W5152" s="21"/>
      <c r="X5152" s="20"/>
      <c r="Y5152" s="22"/>
      <c r="Z5152" s="22"/>
      <c r="AA5152" s="22"/>
      <c r="AB5152" s="22"/>
      <c r="AC5152" s="22"/>
    </row>
    <row r="5153" spans="1:29" ht="32.25" customHeight="1">
      <c r="A5153" s="19"/>
      <c r="B5153" s="20"/>
      <c r="C5153" s="20"/>
      <c r="D5153" s="20"/>
      <c r="E5153" s="20"/>
      <c r="F5153" s="20"/>
      <c r="G5153" s="20"/>
      <c r="H5153" s="20"/>
      <c r="I5153" s="20"/>
      <c r="J5153" s="20"/>
      <c r="K5153" s="20"/>
      <c r="L5153" s="20"/>
      <c r="M5153" s="20"/>
      <c r="N5153" s="20"/>
      <c r="O5153" s="20"/>
      <c r="P5153" s="20"/>
      <c r="Q5153" s="20"/>
      <c r="R5153" s="20"/>
      <c r="S5153" s="20"/>
      <c r="T5153" s="20"/>
      <c r="U5153" s="20"/>
      <c r="V5153" s="20"/>
      <c r="W5153" s="21"/>
      <c r="X5153" s="20"/>
      <c r="Y5153" s="22"/>
      <c r="Z5153" s="22"/>
      <c r="AA5153" s="22"/>
      <c r="AB5153" s="22"/>
      <c r="AC5153" s="22"/>
    </row>
    <row r="5154" spans="1:29" ht="32.25" customHeight="1">
      <c r="A5154" s="19"/>
      <c r="B5154" s="20"/>
      <c r="C5154" s="20"/>
      <c r="D5154" s="20"/>
      <c r="E5154" s="20"/>
      <c r="F5154" s="20"/>
      <c r="G5154" s="20"/>
      <c r="H5154" s="20"/>
      <c r="I5154" s="20"/>
      <c r="J5154" s="20"/>
      <c r="K5154" s="20"/>
      <c r="L5154" s="20"/>
      <c r="M5154" s="20"/>
      <c r="N5154" s="20"/>
      <c r="O5154" s="20"/>
      <c r="P5154" s="20"/>
      <c r="Q5154" s="20"/>
      <c r="R5154" s="20"/>
      <c r="S5154" s="20"/>
      <c r="T5154" s="20"/>
      <c r="U5154" s="20"/>
      <c r="V5154" s="20"/>
      <c r="W5154" s="21"/>
      <c r="X5154" s="20"/>
      <c r="Y5154" s="22"/>
      <c r="Z5154" s="22"/>
      <c r="AA5154" s="22"/>
      <c r="AB5154" s="22"/>
      <c r="AC5154" s="22"/>
    </row>
    <row r="5155" spans="1:29" ht="32.25" customHeight="1">
      <c r="A5155" s="19"/>
      <c r="B5155" s="20"/>
      <c r="C5155" s="20"/>
      <c r="D5155" s="20"/>
      <c r="E5155" s="20"/>
      <c r="F5155" s="20"/>
      <c r="G5155" s="20"/>
      <c r="H5155" s="20"/>
      <c r="I5155" s="20"/>
      <c r="J5155" s="20"/>
      <c r="K5155" s="20"/>
      <c r="L5155" s="20"/>
      <c r="M5155" s="20"/>
      <c r="N5155" s="20"/>
      <c r="O5155" s="20"/>
      <c r="P5155" s="20"/>
      <c r="Q5155" s="20"/>
      <c r="R5155" s="20"/>
      <c r="S5155" s="20"/>
      <c r="T5155" s="20"/>
      <c r="U5155" s="20"/>
      <c r="V5155" s="20"/>
      <c r="W5155" s="21"/>
      <c r="X5155" s="20"/>
      <c r="Y5155" s="22"/>
      <c r="Z5155" s="22"/>
      <c r="AA5155" s="22"/>
      <c r="AB5155" s="22"/>
      <c r="AC5155" s="22"/>
    </row>
    <row r="5156" spans="1:29" ht="32.25" customHeight="1">
      <c r="A5156" s="19"/>
      <c r="B5156" s="20"/>
      <c r="C5156" s="20"/>
      <c r="D5156" s="20"/>
      <c r="E5156" s="20"/>
      <c r="F5156" s="20"/>
      <c r="G5156" s="20"/>
      <c r="H5156" s="20"/>
      <c r="I5156" s="20"/>
      <c r="J5156" s="20"/>
      <c r="K5156" s="20"/>
      <c r="L5156" s="20"/>
      <c r="M5156" s="20"/>
      <c r="N5156" s="20"/>
      <c r="O5156" s="20"/>
      <c r="P5156" s="20"/>
      <c r="Q5156" s="20"/>
      <c r="R5156" s="20"/>
      <c r="S5156" s="20"/>
      <c r="T5156" s="20"/>
      <c r="U5156" s="20"/>
      <c r="V5156" s="20"/>
      <c r="W5156" s="21"/>
      <c r="X5156" s="20"/>
      <c r="Y5156" s="22"/>
      <c r="Z5156" s="22"/>
      <c r="AA5156" s="22"/>
      <c r="AB5156" s="22"/>
      <c r="AC5156" s="22"/>
    </row>
    <row r="5157" spans="1:29" ht="32.25" customHeight="1">
      <c r="A5157" s="19"/>
      <c r="B5157" s="20"/>
      <c r="C5157" s="20"/>
      <c r="D5157" s="20"/>
      <c r="E5157" s="20"/>
      <c r="F5157" s="20"/>
      <c r="G5157" s="20"/>
      <c r="H5157" s="20"/>
      <c r="I5157" s="20"/>
      <c r="J5157" s="20"/>
      <c r="K5157" s="20"/>
      <c r="L5157" s="20"/>
      <c r="M5157" s="20"/>
      <c r="N5157" s="20"/>
      <c r="O5157" s="20"/>
      <c r="P5157" s="20"/>
      <c r="Q5157" s="20"/>
      <c r="R5157" s="20"/>
      <c r="S5157" s="20"/>
      <c r="T5157" s="20"/>
      <c r="U5157" s="20"/>
      <c r="V5157" s="20"/>
      <c r="W5157" s="21"/>
      <c r="X5157" s="20"/>
      <c r="Y5157" s="22"/>
      <c r="Z5157" s="22"/>
      <c r="AA5157" s="22"/>
      <c r="AB5157" s="22"/>
      <c r="AC5157" s="22"/>
    </row>
    <row r="5158" spans="1:29" ht="32.25" customHeight="1">
      <c r="A5158" s="19"/>
      <c r="B5158" s="20"/>
      <c r="C5158" s="20"/>
      <c r="D5158" s="20"/>
      <c r="E5158" s="20"/>
      <c r="F5158" s="20"/>
      <c r="G5158" s="20"/>
      <c r="H5158" s="20"/>
      <c r="I5158" s="20"/>
      <c r="J5158" s="20"/>
      <c r="K5158" s="20"/>
      <c r="L5158" s="20"/>
      <c r="M5158" s="20"/>
      <c r="N5158" s="20"/>
      <c r="O5158" s="20"/>
      <c r="P5158" s="20"/>
      <c r="Q5158" s="20"/>
      <c r="R5158" s="20"/>
      <c r="S5158" s="20"/>
      <c r="T5158" s="20"/>
      <c r="U5158" s="20"/>
      <c r="V5158" s="20"/>
      <c r="W5158" s="21"/>
      <c r="X5158" s="20"/>
      <c r="Y5158" s="22"/>
      <c r="Z5158" s="22"/>
      <c r="AA5158" s="22"/>
      <c r="AB5158" s="22"/>
      <c r="AC5158" s="22"/>
    </row>
    <row r="5159" spans="1:29" ht="32.25" customHeight="1">
      <c r="A5159" s="19"/>
      <c r="B5159" s="20"/>
      <c r="C5159" s="20"/>
      <c r="D5159" s="20"/>
      <c r="E5159" s="20"/>
      <c r="F5159" s="20"/>
      <c r="G5159" s="20"/>
      <c r="H5159" s="20"/>
      <c r="I5159" s="20"/>
      <c r="J5159" s="20"/>
      <c r="K5159" s="20"/>
      <c r="L5159" s="20"/>
      <c r="M5159" s="20"/>
      <c r="N5159" s="20"/>
      <c r="O5159" s="20"/>
      <c r="P5159" s="20"/>
      <c r="Q5159" s="20"/>
      <c r="R5159" s="20"/>
      <c r="S5159" s="20"/>
      <c r="T5159" s="20"/>
      <c r="U5159" s="20"/>
      <c r="V5159" s="20"/>
      <c r="W5159" s="21"/>
      <c r="X5159" s="20"/>
      <c r="Y5159" s="22"/>
      <c r="Z5159" s="22"/>
      <c r="AA5159" s="22"/>
      <c r="AB5159" s="22"/>
      <c r="AC5159" s="22"/>
    </row>
    <row r="5160" spans="1:29" ht="32.25" customHeight="1">
      <c r="A5160" s="19"/>
      <c r="B5160" s="20"/>
      <c r="C5160" s="20"/>
      <c r="D5160" s="20"/>
      <c r="E5160" s="20"/>
      <c r="F5160" s="20"/>
      <c r="G5160" s="20"/>
      <c r="H5160" s="20"/>
      <c r="I5160" s="20"/>
      <c r="J5160" s="20"/>
      <c r="K5160" s="20"/>
      <c r="L5160" s="20"/>
      <c r="M5160" s="20"/>
      <c r="N5160" s="20"/>
      <c r="O5160" s="20"/>
      <c r="P5160" s="20"/>
      <c r="Q5160" s="20"/>
      <c r="R5160" s="20"/>
      <c r="S5160" s="20"/>
      <c r="T5160" s="20"/>
      <c r="U5160" s="20"/>
      <c r="V5160" s="20"/>
      <c r="W5160" s="21"/>
      <c r="X5160" s="20"/>
      <c r="Y5160" s="22"/>
      <c r="Z5160" s="22"/>
      <c r="AA5160" s="22"/>
      <c r="AB5160" s="22"/>
      <c r="AC5160" s="22"/>
    </row>
    <row r="5161" spans="1:29" ht="32.25" customHeight="1">
      <c r="A5161" s="19"/>
      <c r="B5161" s="20"/>
      <c r="C5161" s="20"/>
      <c r="D5161" s="20"/>
      <c r="E5161" s="20"/>
      <c r="F5161" s="20"/>
      <c r="G5161" s="20"/>
      <c r="H5161" s="20"/>
      <c r="I5161" s="20"/>
      <c r="J5161" s="20"/>
      <c r="K5161" s="20"/>
      <c r="L5161" s="20"/>
      <c r="M5161" s="20"/>
      <c r="N5161" s="20"/>
      <c r="O5161" s="20"/>
      <c r="P5161" s="20"/>
      <c r="Q5161" s="20"/>
      <c r="R5161" s="20"/>
      <c r="S5161" s="20"/>
      <c r="T5161" s="20"/>
      <c r="U5161" s="20"/>
      <c r="V5161" s="20"/>
      <c r="W5161" s="21"/>
      <c r="X5161" s="20"/>
      <c r="Y5161" s="22"/>
      <c r="Z5161" s="22"/>
      <c r="AA5161" s="22"/>
      <c r="AB5161" s="22"/>
      <c r="AC5161" s="22"/>
    </row>
    <row r="5162" spans="1:29" ht="32.25" customHeight="1">
      <c r="A5162" s="19"/>
      <c r="B5162" s="20"/>
      <c r="C5162" s="20"/>
      <c r="D5162" s="20"/>
      <c r="E5162" s="20"/>
      <c r="F5162" s="20"/>
      <c r="G5162" s="20"/>
      <c r="H5162" s="20"/>
      <c r="I5162" s="20"/>
      <c r="J5162" s="20"/>
      <c r="K5162" s="20"/>
      <c r="L5162" s="20"/>
      <c r="M5162" s="20"/>
      <c r="N5162" s="20"/>
      <c r="O5162" s="20"/>
      <c r="P5162" s="20"/>
      <c r="Q5162" s="20"/>
      <c r="R5162" s="20"/>
      <c r="S5162" s="20"/>
      <c r="T5162" s="20"/>
      <c r="U5162" s="20"/>
      <c r="V5162" s="20"/>
      <c r="W5162" s="21"/>
      <c r="X5162" s="20"/>
      <c r="Y5162" s="22"/>
      <c r="Z5162" s="22"/>
      <c r="AA5162" s="22"/>
      <c r="AB5162" s="22"/>
      <c r="AC5162" s="22"/>
    </row>
    <row r="5163" spans="1:29" ht="32.25" customHeight="1">
      <c r="A5163" s="19"/>
      <c r="B5163" s="20"/>
      <c r="C5163" s="20"/>
      <c r="D5163" s="20"/>
      <c r="E5163" s="20"/>
      <c r="F5163" s="20"/>
      <c r="G5163" s="20"/>
      <c r="H5163" s="20"/>
      <c r="I5163" s="20"/>
      <c r="J5163" s="20"/>
      <c r="K5163" s="20"/>
      <c r="L5163" s="20"/>
      <c r="M5163" s="20"/>
      <c r="N5163" s="20"/>
      <c r="O5163" s="20"/>
      <c r="P5163" s="20"/>
      <c r="Q5163" s="20"/>
      <c r="R5163" s="20"/>
      <c r="S5163" s="20"/>
      <c r="T5163" s="20"/>
      <c r="U5163" s="20"/>
      <c r="V5163" s="20"/>
      <c r="W5163" s="21"/>
      <c r="X5163" s="20"/>
      <c r="Y5163" s="22"/>
      <c r="Z5163" s="22"/>
      <c r="AA5163" s="22"/>
      <c r="AB5163" s="22"/>
      <c r="AC5163" s="22"/>
    </row>
    <row r="5164" spans="1:29" ht="32.25" customHeight="1">
      <c r="A5164" s="19"/>
      <c r="B5164" s="20"/>
      <c r="C5164" s="20"/>
      <c r="D5164" s="20"/>
      <c r="E5164" s="20"/>
      <c r="F5164" s="20"/>
      <c r="G5164" s="20"/>
      <c r="H5164" s="20"/>
      <c r="I5164" s="20"/>
      <c r="J5164" s="20"/>
      <c r="K5164" s="20"/>
      <c r="L5164" s="20"/>
      <c r="M5164" s="20"/>
      <c r="N5164" s="20"/>
      <c r="O5164" s="20"/>
      <c r="P5164" s="20"/>
      <c r="Q5164" s="20"/>
      <c r="R5164" s="20"/>
      <c r="S5164" s="20"/>
      <c r="T5164" s="20"/>
      <c r="U5164" s="20"/>
      <c r="V5164" s="20"/>
      <c r="W5164" s="21"/>
      <c r="X5164" s="20"/>
      <c r="Y5164" s="22"/>
      <c r="Z5164" s="22"/>
      <c r="AA5164" s="22"/>
      <c r="AB5164" s="22"/>
      <c r="AC5164" s="22"/>
    </row>
    <row r="5165" spans="1:29" ht="32.25" customHeight="1">
      <c r="A5165" s="19"/>
      <c r="B5165" s="20"/>
      <c r="C5165" s="20"/>
      <c r="D5165" s="20"/>
      <c r="E5165" s="20"/>
      <c r="F5165" s="20"/>
      <c r="G5165" s="20"/>
      <c r="H5165" s="20"/>
      <c r="I5165" s="20"/>
      <c r="J5165" s="20"/>
      <c r="K5165" s="20"/>
      <c r="L5165" s="20"/>
      <c r="M5165" s="20"/>
      <c r="N5165" s="20"/>
      <c r="O5165" s="20"/>
      <c r="P5165" s="20"/>
      <c r="Q5165" s="20"/>
      <c r="R5165" s="20"/>
      <c r="S5165" s="20"/>
      <c r="T5165" s="20"/>
      <c r="U5165" s="20"/>
      <c r="V5165" s="20"/>
      <c r="W5165" s="21"/>
      <c r="X5165" s="20"/>
      <c r="Y5165" s="22"/>
      <c r="Z5165" s="22"/>
      <c r="AA5165" s="22"/>
      <c r="AB5165" s="22"/>
      <c r="AC5165" s="22"/>
    </row>
    <row r="5166" spans="1:29" ht="32.25" customHeight="1">
      <c r="A5166" s="19"/>
      <c r="B5166" s="20"/>
      <c r="C5166" s="20"/>
      <c r="D5166" s="20"/>
      <c r="E5166" s="20"/>
      <c r="F5166" s="20"/>
      <c r="G5166" s="20"/>
      <c r="H5166" s="20"/>
      <c r="I5166" s="20"/>
      <c r="J5166" s="20"/>
      <c r="K5166" s="20"/>
      <c r="L5166" s="20"/>
      <c r="M5166" s="20"/>
      <c r="N5166" s="20"/>
      <c r="O5166" s="20"/>
      <c r="P5166" s="20"/>
      <c r="Q5166" s="20"/>
      <c r="R5166" s="20"/>
      <c r="S5166" s="20"/>
      <c r="T5166" s="20"/>
      <c r="U5166" s="20"/>
      <c r="V5166" s="20"/>
      <c r="W5166" s="21"/>
      <c r="X5166" s="20"/>
      <c r="Y5166" s="22"/>
      <c r="Z5166" s="22"/>
      <c r="AA5166" s="22"/>
      <c r="AB5166" s="22"/>
      <c r="AC5166" s="22"/>
    </row>
    <row r="5167" spans="1:29" ht="32.25" customHeight="1">
      <c r="A5167" s="19"/>
      <c r="B5167" s="20"/>
      <c r="C5167" s="20"/>
      <c r="D5167" s="20"/>
      <c r="E5167" s="20"/>
      <c r="F5167" s="20"/>
      <c r="G5167" s="20"/>
      <c r="H5167" s="20"/>
      <c r="I5167" s="20"/>
      <c r="J5167" s="20"/>
      <c r="K5167" s="20"/>
      <c r="L5167" s="20"/>
      <c r="M5167" s="20"/>
      <c r="N5167" s="20"/>
      <c r="O5167" s="20"/>
      <c r="P5167" s="20"/>
      <c r="Q5167" s="20"/>
      <c r="R5167" s="20"/>
      <c r="S5167" s="20"/>
      <c r="T5167" s="20"/>
      <c r="U5167" s="20"/>
      <c r="V5167" s="20"/>
      <c r="W5167" s="21"/>
      <c r="X5167" s="20"/>
      <c r="Y5167" s="22"/>
      <c r="Z5167" s="22"/>
      <c r="AA5167" s="22"/>
      <c r="AB5167" s="22"/>
      <c r="AC5167" s="22"/>
    </row>
    <row r="5168" spans="1:29" ht="32.25" customHeight="1">
      <c r="A5168" s="19"/>
      <c r="B5168" s="20"/>
      <c r="C5168" s="20"/>
      <c r="D5168" s="20"/>
      <c r="E5168" s="20"/>
      <c r="F5168" s="20"/>
      <c r="G5168" s="20"/>
      <c r="H5168" s="20"/>
      <c r="I5168" s="20"/>
      <c r="J5168" s="20"/>
      <c r="K5168" s="20"/>
      <c r="L5168" s="20"/>
      <c r="M5168" s="20"/>
      <c r="N5168" s="20"/>
      <c r="O5168" s="20"/>
      <c r="P5168" s="20"/>
      <c r="Q5168" s="20"/>
      <c r="R5168" s="20"/>
      <c r="S5168" s="20"/>
      <c r="T5168" s="20"/>
      <c r="U5168" s="20"/>
      <c r="V5168" s="20"/>
      <c r="W5168" s="21"/>
      <c r="X5168" s="20"/>
      <c r="Y5168" s="22"/>
      <c r="Z5168" s="22"/>
      <c r="AA5168" s="22"/>
      <c r="AB5168" s="22"/>
      <c r="AC5168" s="22"/>
    </row>
    <row r="5169" spans="1:29" ht="32.25" customHeight="1">
      <c r="A5169" s="19"/>
      <c r="B5169" s="20"/>
      <c r="C5169" s="20"/>
      <c r="D5169" s="20"/>
      <c r="E5169" s="20"/>
      <c r="F5169" s="20"/>
      <c r="G5169" s="20"/>
      <c r="H5169" s="20"/>
      <c r="I5169" s="20"/>
      <c r="J5169" s="20"/>
      <c r="K5169" s="20"/>
      <c r="L5169" s="20"/>
      <c r="M5169" s="20"/>
      <c r="N5169" s="20"/>
      <c r="O5169" s="20"/>
      <c r="P5169" s="20"/>
      <c r="Q5169" s="20"/>
      <c r="R5169" s="20"/>
      <c r="S5169" s="20"/>
      <c r="T5169" s="20"/>
      <c r="U5169" s="20"/>
      <c r="V5169" s="20"/>
      <c r="W5169" s="21"/>
      <c r="X5169" s="20"/>
      <c r="Y5169" s="22"/>
      <c r="Z5169" s="22"/>
      <c r="AA5169" s="22"/>
      <c r="AB5169" s="22"/>
      <c r="AC5169" s="22"/>
    </row>
    <row r="5170" spans="1:29" ht="32.25" customHeight="1">
      <c r="A5170" s="19"/>
      <c r="B5170" s="20"/>
      <c r="C5170" s="20"/>
      <c r="D5170" s="20"/>
      <c r="E5170" s="20"/>
      <c r="F5170" s="20"/>
      <c r="G5170" s="20"/>
      <c r="H5170" s="20"/>
      <c r="I5170" s="20"/>
      <c r="J5170" s="20"/>
      <c r="K5170" s="20"/>
      <c r="L5170" s="20"/>
      <c r="M5170" s="20"/>
      <c r="N5170" s="20"/>
      <c r="O5170" s="20"/>
      <c r="P5170" s="20"/>
      <c r="Q5170" s="20"/>
      <c r="R5170" s="20"/>
      <c r="S5170" s="20"/>
      <c r="T5170" s="20"/>
      <c r="U5170" s="20"/>
      <c r="V5170" s="20"/>
      <c r="W5170" s="21"/>
      <c r="X5170" s="20"/>
      <c r="Y5170" s="22"/>
      <c r="Z5170" s="22"/>
      <c r="AA5170" s="22"/>
      <c r="AB5170" s="22"/>
      <c r="AC5170" s="22"/>
    </row>
    <row r="5171" spans="1:29" ht="32.25" customHeight="1">
      <c r="A5171" s="19"/>
      <c r="B5171" s="20"/>
      <c r="C5171" s="20"/>
      <c r="D5171" s="20"/>
      <c r="E5171" s="20"/>
      <c r="F5171" s="20"/>
      <c r="G5171" s="20"/>
      <c r="H5171" s="20"/>
      <c r="I5171" s="20"/>
      <c r="J5171" s="20"/>
      <c r="K5171" s="20"/>
      <c r="L5171" s="20"/>
      <c r="M5171" s="20"/>
      <c r="N5171" s="20"/>
      <c r="O5171" s="20"/>
      <c r="P5171" s="20"/>
      <c r="Q5171" s="20"/>
      <c r="R5171" s="20"/>
      <c r="S5171" s="20"/>
      <c r="T5171" s="20"/>
      <c r="U5171" s="20"/>
      <c r="V5171" s="20"/>
      <c r="W5171" s="21"/>
      <c r="X5171" s="20"/>
      <c r="Y5171" s="22"/>
      <c r="Z5171" s="22"/>
      <c r="AA5171" s="22"/>
      <c r="AB5171" s="22"/>
      <c r="AC5171" s="22"/>
    </row>
    <row r="5172" spans="1:29" ht="32.25" customHeight="1">
      <c r="A5172" s="19"/>
      <c r="B5172" s="20"/>
      <c r="C5172" s="20"/>
      <c r="D5172" s="20"/>
      <c r="E5172" s="20"/>
      <c r="F5172" s="20"/>
      <c r="G5172" s="20"/>
      <c r="H5172" s="20"/>
      <c r="I5172" s="20"/>
      <c r="J5172" s="20"/>
      <c r="K5172" s="20"/>
      <c r="L5172" s="20"/>
      <c r="M5172" s="20"/>
      <c r="N5172" s="20"/>
      <c r="O5172" s="20"/>
      <c r="P5172" s="20"/>
      <c r="Q5172" s="20"/>
      <c r="R5172" s="20"/>
      <c r="S5172" s="20"/>
      <c r="T5172" s="20"/>
      <c r="U5172" s="20"/>
      <c r="V5172" s="20"/>
      <c r="W5172" s="21"/>
      <c r="X5172" s="20"/>
      <c r="Y5172" s="22"/>
      <c r="Z5172" s="22"/>
      <c r="AA5172" s="22"/>
      <c r="AB5172" s="22"/>
      <c r="AC5172" s="22"/>
    </row>
    <row r="5173" spans="1:29" ht="32.25" customHeight="1">
      <c r="A5173" s="19"/>
      <c r="B5173" s="20"/>
      <c r="C5173" s="20"/>
      <c r="D5173" s="20"/>
      <c r="E5173" s="20"/>
      <c r="F5173" s="20"/>
      <c r="G5173" s="20"/>
      <c r="H5173" s="20"/>
      <c r="I5173" s="20"/>
      <c r="J5173" s="20"/>
      <c r="K5173" s="20"/>
      <c r="L5173" s="20"/>
      <c r="M5173" s="20"/>
      <c r="N5173" s="20"/>
      <c r="O5173" s="20"/>
      <c r="P5173" s="20"/>
      <c r="Q5173" s="20"/>
      <c r="R5173" s="20"/>
      <c r="S5173" s="20"/>
      <c r="T5173" s="20"/>
      <c r="U5173" s="20"/>
      <c r="V5173" s="20"/>
      <c r="W5173" s="21"/>
      <c r="X5173" s="20"/>
      <c r="Y5173" s="22"/>
      <c r="Z5173" s="22"/>
      <c r="AA5173" s="22"/>
      <c r="AB5173" s="22"/>
      <c r="AC5173" s="22"/>
    </row>
    <row r="5174" spans="1:29" ht="32.25" customHeight="1">
      <c r="A5174" s="19"/>
      <c r="B5174" s="20"/>
      <c r="C5174" s="20"/>
      <c r="D5174" s="20"/>
      <c r="E5174" s="20"/>
      <c r="F5174" s="20"/>
      <c r="G5174" s="20"/>
      <c r="H5174" s="20"/>
      <c r="I5174" s="20"/>
      <c r="J5174" s="20"/>
      <c r="K5174" s="20"/>
      <c r="L5174" s="20"/>
      <c r="M5174" s="20"/>
      <c r="N5174" s="20"/>
      <c r="O5174" s="20"/>
      <c r="P5174" s="20"/>
      <c r="Q5174" s="20"/>
      <c r="R5174" s="20"/>
      <c r="S5174" s="20"/>
      <c r="T5174" s="20"/>
      <c r="U5174" s="20"/>
      <c r="V5174" s="20"/>
      <c r="W5174" s="21"/>
      <c r="X5174" s="20"/>
      <c r="Y5174" s="22"/>
      <c r="Z5174" s="22"/>
      <c r="AA5174" s="22"/>
      <c r="AB5174" s="22"/>
      <c r="AC5174" s="22"/>
    </row>
    <row r="5175" spans="1:29" ht="32.25" customHeight="1">
      <c r="A5175" s="19"/>
      <c r="B5175" s="20"/>
      <c r="C5175" s="20"/>
      <c r="D5175" s="20"/>
      <c r="E5175" s="20"/>
      <c r="F5175" s="20"/>
      <c r="G5175" s="20"/>
      <c r="H5175" s="20"/>
      <c r="I5175" s="20"/>
      <c r="J5175" s="20"/>
      <c r="K5175" s="20"/>
      <c r="L5175" s="20"/>
      <c r="M5175" s="20"/>
      <c r="N5175" s="20"/>
      <c r="O5175" s="20"/>
      <c r="P5175" s="20"/>
      <c r="Q5175" s="20"/>
      <c r="R5175" s="20"/>
      <c r="S5175" s="20"/>
      <c r="T5175" s="20"/>
      <c r="U5175" s="20"/>
      <c r="V5175" s="20"/>
      <c r="W5175" s="21"/>
      <c r="X5175" s="20"/>
      <c r="Y5175" s="22"/>
      <c r="Z5175" s="22"/>
      <c r="AA5175" s="22"/>
      <c r="AB5175" s="22"/>
      <c r="AC5175" s="22"/>
    </row>
    <row r="5176" spans="1:29" ht="32.25" customHeight="1">
      <c r="A5176" s="19"/>
      <c r="B5176" s="20"/>
      <c r="C5176" s="20"/>
      <c r="D5176" s="20"/>
      <c r="E5176" s="20"/>
      <c r="F5176" s="20"/>
      <c r="G5176" s="20"/>
      <c r="H5176" s="20"/>
      <c r="I5176" s="20"/>
      <c r="J5176" s="20"/>
      <c r="K5176" s="20"/>
      <c r="L5176" s="20"/>
      <c r="M5176" s="20"/>
      <c r="N5176" s="20"/>
      <c r="O5176" s="20"/>
      <c r="P5176" s="20"/>
      <c r="Q5176" s="20"/>
      <c r="R5176" s="20"/>
      <c r="S5176" s="20"/>
      <c r="T5176" s="20"/>
      <c r="U5176" s="20"/>
      <c r="V5176" s="20"/>
      <c r="W5176" s="21"/>
      <c r="X5176" s="20"/>
      <c r="Y5176" s="22"/>
      <c r="Z5176" s="22"/>
      <c r="AA5176" s="22"/>
      <c r="AB5176" s="22"/>
      <c r="AC5176" s="22"/>
    </row>
    <row r="5177" spans="1:29" ht="32.25" customHeight="1">
      <c r="A5177" s="19"/>
      <c r="B5177" s="20"/>
      <c r="C5177" s="20"/>
      <c r="D5177" s="20"/>
      <c r="E5177" s="20"/>
      <c r="F5177" s="20"/>
      <c r="G5177" s="20"/>
      <c r="H5177" s="20"/>
      <c r="I5177" s="20"/>
      <c r="J5177" s="20"/>
      <c r="K5177" s="20"/>
      <c r="L5177" s="20"/>
      <c r="M5177" s="20"/>
      <c r="N5177" s="20"/>
      <c r="O5177" s="20"/>
      <c r="P5177" s="20"/>
      <c r="Q5177" s="20"/>
      <c r="R5177" s="20"/>
      <c r="S5177" s="20"/>
      <c r="T5177" s="20"/>
      <c r="U5177" s="20"/>
      <c r="V5177" s="20"/>
      <c r="W5177" s="21"/>
      <c r="X5177" s="20"/>
      <c r="Y5177" s="22"/>
      <c r="Z5177" s="22"/>
      <c r="AA5177" s="22"/>
      <c r="AB5177" s="22"/>
      <c r="AC5177" s="22"/>
    </row>
    <row r="5178" spans="1:29" ht="32.25" customHeight="1">
      <c r="A5178" s="19"/>
      <c r="B5178" s="20"/>
      <c r="C5178" s="20"/>
      <c r="D5178" s="20"/>
      <c r="E5178" s="20"/>
      <c r="F5178" s="20"/>
      <c r="G5178" s="20"/>
      <c r="H5178" s="20"/>
      <c r="I5178" s="20"/>
      <c r="J5178" s="20"/>
      <c r="K5178" s="20"/>
      <c r="L5178" s="20"/>
      <c r="M5178" s="20"/>
      <c r="N5178" s="20"/>
      <c r="O5178" s="20"/>
      <c r="P5178" s="20"/>
      <c r="Q5178" s="20"/>
      <c r="R5178" s="20"/>
      <c r="S5178" s="20"/>
      <c r="T5178" s="20"/>
      <c r="U5178" s="20"/>
      <c r="V5178" s="20"/>
      <c r="W5178" s="21"/>
      <c r="X5178" s="20"/>
      <c r="Y5178" s="22"/>
      <c r="Z5178" s="22"/>
      <c r="AA5178" s="22"/>
      <c r="AB5178" s="22"/>
      <c r="AC5178" s="22"/>
    </row>
    <row r="5179" spans="1:29" ht="32.25" customHeight="1">
      <c r="A5179" s="19"/>
      <c r="B5179" s="20"/>
      <c r="C5179" s="20"/>
      <c r="D5179" s="20"/>
      <c r="E5179" s="20"/>
      <c r="F5179" s="20"/>
      <c r="G5179" s="20"/>
      <c r="H5179" s="20"/>
      <c r="I5179" s="20"/>
      <c r="J5179" s="20"/>
      <c r="K5179" s="20"/>
      <c r="L5179" s="20"/>
      <c r="M5179" s="20"/>
      <c r="N5179" s="20"/>
      <c r="O5179" s="20"/>
      <c r="P5179" s="20"/>
      <c r="Q5179" s="20"/>
      <c r="R5179" s="20"/>
      <c r="S5179" s="20"/>
      <c r="T5179" s="20"/>
      <c r="U5179" s="20"/>
      <c r="V5179" s="20"/>
      <c r="W5179" s="21"/>
      <c r="X5179" s="20"/>
      <c r="Y5179" s="22"/>
      <c r="Z5179" s="22"/>
      <c r="AA5179" s="22"/>
      <c r="AB5179" s="22"/>
      <c r="AC5179" s="22"/>
    </row>
    <row r="5180" spans="1:29" ht="32.25" customHeight="1">
      <c r="A5180" s="19"/>
      <c r="B5180" s="20"/>
      <c r="C5180" s="20"/>
      <c r="D5180" s="20"/>
      <c r="E5180" s="20"/>
      <c r="F5180" s="20"/>
      <c r="G5180" s="20"/>
      <c r="H5180" s="20"/>
      <c r="I5180" s="20"/>
      <c r="J5180" s="20"/>
      <c r="K5180" s="20"/>
      <c r="L5180" s="20"/>
      <c r="M5180" s="20"/>
      <c r="N5180" s="20"/>
      <c r="O5180" s="20"/>
      <c r="P5180" s="20"/>
      <c r="Q5180" s="20"/>
      <c r="R5180" s="20"/>
      <c r="S5180" s="20"/>
      <c r="T5180" s="20"/>
      <c r="U5180" s="20"/>
      <c r="V5180" s="20"/>
      <c r="W5180" s="21"/>
      <c r="X5180" s="20"/>
      <c r="Y5180" s="22"/>
      <c r="Z5180" s="22"/>
      <c r="AA5180" s="22"/>
      <c r="AB5180" s="22"/>
      <c r="AC5180" s="22"/>
    </row>
    <row r="5181" spans="1:29" ht="32.25" customHeight="1">
      <c r="A5181" s="19"/>
      <c r="B5181" s="20"/>
      <c r="C5181" s="20"/>
      <c r="D5181" s="20"/>
      <c r="E5181" s="20"/>
      <c r="F5181" s="20"/>
      <c r="G5181" s="20"/>
      <c r="H5181" s="20"/>
      <c r="I5181" s="20"/>
      <c r="J5181" s="20"/>
      <c r="K5181" s="20"/>
      <c r="L5181" s="20"/>
      <c r="M5181" s="20"/>
      <c r="N5181" s="20"/>
      <c r="O5181" s="20"/>
      <c r="P5181" s="20"/>
      <c r="Q5181" s="20"/>
      <c r="R5181" s="20"/>
      <c r="S5181" s="20"/>
      <c r="T5181" s="20"/>
      <c r="U5181" s="20"/>
      <c r="V5181" s="20"/>
      <c r="W5181" s="21"/>
      <c r="X5181" s="20"/>
      <c r="Y5181" s="22"/>
      <c r="Z5181" s="22"/>
      <c r="AA5181" s="22"/>
      <c r="AB5181" s="22"/>
      <c r="AC5181" s="22"/>
    </row>
    <row r="5182" spans="1:29" ht="32.25" customHeight="1">
      <c r="A5182" s="19"/>
      <c r="B5182" s="20"/>
      <c r="C5182" s="20"/>
      <c r="D5182" s="20"/>
      <c r="E5182" s="20"/>
      <c r="F5182" s="20"/>
      <c r="G5182" s="20"/>
      <c r="H5182" s="20"/>
      <c r="I5182" s="20"/>
      <c r="J5182" s="20"/>
      <c r="K5182" s="20"/>
      <c r="L5182" s="20"/>
      <c r="M5182" s="20"/>
      <c r="N5182" s="20"/>
      <c r="O5182" s="20"/>
      <c r="P5182" s="20"/>
      <c r="Q5182" s="20"/>
      <c r="R5182" s="20"/>
      <c r="S5182" s="20"/>
      <c r="T5182" s="20"/>
      <c r="U5182" s="20"/>
      <c r="V5182" s="20"/>
      <c r="W5182" s="21"/>
      <c r="X5182" s="20"/>
      <c r="Y5182" s="22"/>
      <c r="Z5182" s="22"/>
      <c r="AA5182" s="22"/>
      <c r="AB5182" s="22"/>
      <c r="AC5182" s="22"/>
    </row>
    <row r="5183" spans="1:29" ht="32.25" customHeight="1">
      <c r="A5183" s="19"/>
      <c r="B5183" s="20"/>
      <c r="C5183" s="20"/>
      <c r="D5183" s="20"/>
      <c r="E5183" s="20"/>
      <c r="F5183" s="20"/>
      <c r="G5183" s="20"/>
      <c r="H5183" s="20"/>
      <c r="I5183" s="20"/>
      <c r="J5183" s="20"/>
      <c r="K5183" s="20"/>
      <c r="L5183" s="20"/>
      <c r="M5183" s="20"/>
      <c r="N5183" s="20"/>
      <c r="O5183" s="20"/>
      <c r="P5183" s="20"/>
      <c r="Q5183" s="20"/>
      <c r="R5183" s="20"/>
      <c r="S5183" s="20"/>
      <c r="T5183" s="20"/>
      <c r="U5183" s="20"/>
      <c r="V5183" s="20"/>
      <c r="W5183" s="21"/>
      <c r="X5183" s="20"/>
      <c r="Y5183" s="22"/>
      <c r="Z5183" s="22"/>
      <c r="AA5183" s="22"/>
      <c r="AB5183" s="22"/>
      <c r="AC5183" s="22"/>
    </row>
    <row r="5184" spans="1:29" ht="32.25" customHeight="1">
      <c r="A5184" s="19"/>
      <c r="B5184" s="20"/>
      <c r="C5184" s="20"/>
      <c r="D5184" s="20"/>
      <c r="E5184" s="20"/>
      <c r="F5184" s="20"/>
      <c r="G5184" s="20"/>
      <c r="H5184" s="20"/>
      <c r="I5184" s="20"/>
      <c r="J5184" s="20"/>
      <c r="K5184" s="20"/>
      <c r="L5184" s="20"/>
      <c r="M5184" s="20"/>
      <c r="N5184" s="20"/>
      <c r="O5184" s="20"/>
      <c r="P5184" s="20"/>
      <c r="Q5184" s="20"/>
      <c r="R5184" s="20"/>
      <c r="S5184" s="20"/>
      <c r="T5184" s="20"/>
      <c r="U5184" s="20"/>
      <c r="V5184" s="20"/>
      <c r="W5184" s="21"/>
      <c r="X5184" s="20"/>
      <c r="Y5184" s="22"/>
      <c r="Z5184" s="22"/>
      <c r="AA5184" s="22"/>
      <c r="AB5184" s="22"/>
      <c r="AC5184" s="22"/>
    </row>
    <row r="5185" spans="1:29" ht="32.25" customHeight="1">
      <c r="A5185" s="19"/>
      <c r="B5185" s="20"/>
      <c r="C5185" s="20"/>
      <c r="D5185" s="20"/>
      <c r="E5185" s="20"/>
      <c r="F5185" s="20"/>
      <c r="G5185" s="20"/>
      <c r="H5185" s="20"/>
      <c r="I5185" s="20"/>
      <c r="J5185" s="20"/>
      <c r="K5185" s="20"/>
      <c r="L5185" s="20"/>
      <c r="M5185" s="20"/>
      <c r="N5185" s="20"/>
      <c r="O5185" s="20"/>
      <c r="P5185" s="20"/>
      <c r="Q5185" s="20"/>
      <c r="R5185" s="20"/>
      <c r="S5185" s="20"/>
      <c r="T5185" s="20"/>
      <c r="U5185" s="20"/>
      <c r="V5185" s="20"/>
      <c r="W5185" s="21"/>
      <c r="X5185" s="20"/>
      <c r="Y5185" s="22"/>
      <c r="Z5185" s="22"/>
      <c r="AA5185" s="22"/>
      <c r="AB5185" s="22"/>
      <c r="AC5185" s="22"/>
    </row>
    <row r="5186" spans="1:29" ht="32.25" customHeight="1">
      <c r="A5186" s="19"/>
      <c r="B5186" s="20"/>
      <c r="C5186" s="20"/>
      <c r="D5186" s="20"/>
      <c r="E5186" s="20"/>
      <c r="F5186" s="20"/>
      <c r="G5186" s="20"/>
      <c r="H5186" s="20"/>
      <c r="I5186" s="20"/>
      <c r="J5186" s="20"/>
      <c r="K5186" s="20"/>
      <c r="L5186" s="20"/>
      <c r="M5186" s="20"/>
      <c r="N5186" s="20"/>
      <c r="O5186" s="20"/>
      <c r="P5186" s="20"/>
      <c r="Q5186" s="20"/>
      <c r="R5186" s="20"/>
      <c r="S5186" s="20"/>
      <c r="T5186" s="20"/>
      <c r="U5186" s="20"/>
      <c r="V5186" s="20"/>
      <c r="W5186" s="21"/>
      <c r="X5186" s="20"/>
      <c r="Y5186" s="22"/>
      <c r="Z5186" s="22"/>
      <c r="AA5186" s="22"/>
      <c r="AB5186" s="22"/>
      <c r="AC5186" s="22"/>
    </row>
    <row r="5187" spans="1:29" ht="32.25" customHeight="1">
      <c r="A5187" s="19"/>
      <c r="B5187" s="20"/>
      <c r="C5187" s="20"/>
      <c r="D5187" s="20"/>
      <c r="E5187" s="20"/>
      <c r="F5187" s="20"/>
      <c r="G5187" s="20"/>
      <c r="H5187" s="20"/>
      <c r="I5187" s="20"/>
      <c r="J5187" s="20"/>
      <c r="K5187" s="20"/>
      <c r="L5187" s="20"/>
      <c r="M5187" s="20"/>
      <c r="N5187" s="20"/>
      <c r="O5187" s="20"/>
      <c r="P5187" s="20"/>
      <c r="Q5187" s="20"/>
      <c r="R5187" s="20"/>
      <c r="S5187" s="20"/>
      <c r="T5187" s="20"/>
      <c r="U5187" s="20"/>
      <c r="V5187" s="20"/>
      <c r="W5187" s="21"/>
      <c r="X5187" s="20"/>
      <c r="Y5187" s="22"/>
      <c r="Z5187" s="22"/>
      <c r="AA5187" s="22"/>
      <c r="AB5187" s="22"/>
      <c r="AC5187" s="22"/>
    </row>
    <row r="5188" spans="1:29" ht="32.25" customHeight="1">
      <c r="A5188" s="19"/>
      <c r="B5188" s="20"/>
      <c r="C5188" s="20"/>
      <c r="D5188" s="20"/>
      <c r="E5188" s="20"/>
      <c r="F5188" s="20"/>
      <c r="G5188" s="20"/>
      <c r="H5188" s="20"/>
      <c r="I5188" s="20"/>
      <c r="J5188" s="20"/>
      <c r="K5188" s="20"/>
      <c r="L5188" s="20"/>
      <c r="M5188" s="20"/>
      <c r="N5188" s="20"/>
      <c r="O5188" s="20"/>
      <c r="P5188" s="20"/>
      <c r="Q5188" s="20"/>
      <c r="R5188" s="20"/>
      <c r="S5188" s="20"/>
      <c r="T5188" s="20"/>
      <c r="U5188" s="20"/>
      <c r="V5188" s="20"/>
      <c r="W5188" s="21"/>
      <c r="X5188" s="20"/>
      <c r="Y5188" s="22"/>
      <c r="Z5188" s="22"/>
      <c r="AA5188" s="22"/>
      <c r="AB5188" s="22"/>
      <c r="AC5188" s="22"/>
    </row>
    <row r="5189" spans="1:29" ht="32.25" customHeight="1">
      <c r="A5189" s="19"/>
      <c r="B5189" s="20"/>
      <c r="C5189" s="20"/>
      <c r="D5189" s="20"/>
      <c r="E5189" s="20"/>
      <c r="F5189" s="20"/>
      <c r="G5189" s="20"/>
      <c r="H5189" s="20"/>
      <c r="I5189" s="20"/>
      <c r="J5189" s="20"/>
      <c r="K5189" s="20"/>
      <c r="L5189" s="20"/>
      <c r="M5189" s="20"/>
      <c r="N5189" s="20"/>
      <c r="O5189" s="20"/>
      <c r="P5189" s="20"/>
      <c r="Q5189" s="20"/>
      <c r="R5189" s="20"/>
      <c r="S5189" s="20"/>
      <c r="T5189" s="20"/>
      <c r="U5189" s="20"/>
      <c r="V5189" s="20"/>
      <c r="W5189" s="21"/>
      <c r="X5189" s="20"/>
      <c r="Y5189" s="22"/>
      <c r="Z5189" s="22"/>
      <c r="AA5189" s="22"/>
      <c r="AB5189" s="22"/>
      <c r="AC5189" s="22"/>
    </row>
    <row r="5190" spans="1:29" ht="32.25" customHeight="1">
      <c r="A5190" s="19"/>
      <c r="B5190" s="20"/>
      <c r="C5190" s="20"/>
      <c r="D5190" s="20"/>
      <c r="E5190" s="20"/>
      <c r="F5190" s="20"/>
      <c r="G5190" s="20"/>
      <c r="H5190" s="20"/>
      <c r="I5190" s="20"/>
      <c r="J5190" s="20"/>
      <c r="K5190" s="20"/>
      <c r="L5190" s="20"/>
      <c r="M5190" s="20"/>
      <c r="N5190" s="20"/>
      <c r="O5190" s="20"/>
      <c r="P5190" s="20"/>
      <c r="Q5190" s="20"/>
      <c r="R5190" s="20"/>
      <c r="S5190" s="20"/>
      <c r="T5190" s="20"/>
      <c r="U5190" s="20"/>
      <c r="V5190" s="20"/>
      <c r="W5190" s="21"/>
      <c r="X5190" s="20"/>
      <c r="Y5190" s="22"/>
      <c r="Z5190" s="22"/>
      <c r="AA5190" s="22"/>
      <c r="AB5190" s="22"/>
      <c r="AC5190" s="22"/>
    </row>
    <row r="5191" spans="1:29" ht="32.25" customHeight="1">
      <c r="A5191" s="19"/>
      <c r="B5191" s="20"/>
      <c r="C5191" s="20"/>
      <c r="D5191" s="20"/>
      <c r="E5191" s="20"/>
      <c r="F5191" s="20"/>
      <c r="G5191" s="20"/>
      <c r="H5191" s="20"/>
      <c r="I5191" s="20"/>
      <c r="J5191" s="20"/>
      <c r="K5191" s="20"/>
      <c r="L5191" s="20"/>
      <c r="M5191" s="20"/>
      <c r="N5191" s="20"/>
      <c r="O5191" s="20"/>
      <c r="P5191" s="20"/>
      <c r="Q5191" s="20"/>
      <c r="R5191" s="20"/>
      <c r="S5191" s="20"/>
      <c r="T5191" s="20"/>
      <c r="U5191" s="20"/>
      <c r="V5191" s="20"/>
      <c r="W5191" s="21"/>
      <c r="X5191" s="20"/>
      <c r="Y5191" s="22"/>
      <c r="Z5191" s="22"/>
      <c r="AA5191" s="22"/>
      <c r="AB5191" s="22"/>
      <c r="AC5191" s="22"/>
    </row>
    <row r="5192" spans="1:29" ht="32.25" customHeight="1">
      <c r="A5192" s="19"/>
      <c r="B5192" s="20"/>
      <c r="C5192" s="20"/>
      <c r="D5192" s="20"/>
      <c r="E5192" s="20"/>
      <c r="F5192" s="20"/>
      <c r="G5192" s="20"/>
      <c r="H5192" s="20"/>
      <c r="I5192" s="20"/>
      <c r="J5192" s="20"/>
      <c r="K5192" s="20"/>
      <c r="L5192" s="20"/>
      <c r="M5192" s="20"/>
      <c r="N5192" s="20"/>
      <c r="O5192" s="20"/>
      <c r="P5192" s="20"/>
      <c r="Q5192" s="20"/>
      <c r="R5192" s="20"/>
      <c r="S5192" s="20"/>
      <c r="T5192" s="20"/>
      <c r="U5192" s="20"/>
      <c r="V5192" s="20"/>
      <c r="W5192" s="21"/>
      <c r="X5192" s="20"/>
      <c r="Y5192" s="22"/>
      <c r="Z5192" s="22"/>
      <c r="AA5192" s="22"/>
      <c r="AB5192" s="22"/>
      <c r="AC5192" s="22"/>
    </row>
    <row r="5193" spans="1:29" ht="32.25" customHeight="1">
      <c r="A5193" s="19"/>
      <c r="B5193" s="20"/>
      <c r="C5193" s="20"/>
      <c r="D5193" s="20"/>
      <c r="E5193" s="20"/>
      <c r="F5193" s="20"/>
      <c r="G5193" s="20"/>
      <c r="H5193" s="20"/>
      <c r="I5193" s="20"/>
      <c r="J5193" s="20"/>
      <c r="K5193" s="20"/>
      <c r="L5193" s="20"/>
      <c r="M5193" s="20"/>
      <c r="N5193" s="20"/>
      <c r="O5193" s="20"/>
      <c r="P5193" s="20"/>
      <c r="Q5193" s="20"/>
      <c r="R5193" s="20"/>
      <c r="S5193" s="20"/>
      <c r="T5193" s="20"/>
      <c r="U5193" s="20"/>
      <c r="V5193" s="20"/>
      <c r="W5193" s="21"/>
      <c r="X5193" s="20"/>
      <c r="Y5193" s="22"/>
      <c r="Z5193" s="22"/>
      <c r="AA5193" s="22"/>
      <c r="AB5193" s="22"/>
      <c r="AC5193" s="22"/>
    </row>
    <row r="5194" spans="1:29" ht="32.25" customHeight="1">
      <c r="A5194" s="19"/>
      <c r="B5194" s="20"/>
      <c r="C5194" s="20"/>
      <c r="D5194" s="20"/>
      <c r="E5194" s="20"/>
      <c r="F5194" s="20"/>
      <c r="G5194" s="20"/>
      <c r="H5194" s="20"/>
      <c r="I5194" s="20"/>
      <c r="J5194" s="20"/>
      <c r="K5194" s="20"/>
      <c r="L5194" s="20"/>
      <c r="M5194" s="20"/>
      <c r="N5194" s="20"/>
      <c r="O5194" s="20"/>
      <c r="P5194" s="20"/>
      <c r="Q5194" s="20"/>
      <c r="R5194" s="20"/>
      <c r="S5194" s="20"/>
      <c r="T5194" s="20"/>
      <c r="U5194" s="20"/>
      <c r="V5194" s="20"/>
      <c r="W5194" s="21"/>
      <c r="X5194" s="20"/>
      <c r="Y5194" s="22"/>
      <c r="Z5194" s="22"/>
      <c r="AA5194" s="22"/>
      <c r="AB5194" s="22"/>
      <c r="AC5194" s="22"/>
    </row>
    <row r="5195" spans="1:29" ht="32.25" customHeight="1">
      <c r="A5195" s="19"/>
      <c r="B5195" s="20"/>
      <c r="C5195" s="20"/>
      <c r="D5195" s="20"/>
      <c r="E5195" s="20"/>
      <c r="F5195" s="20"/>
      <c r="G5195" s="20"/>
      <c r="H5195" s="20"/>
      <c r="I5195" s="20"/>
      <c r="J5195" s="20"/>
      <c r="K5195" s="20"/>
      <c r="L5195" s="20"/>
      <c r="M5195" s="20"/>
      <c r="N5195" s="20"/>
      <c r="O5195" s="20"/>
      <c r="P5195" s="20"/>
      <c r="Q5195" s="20"/>
      <c r="R5195" s="20"/>
      <c r="S5195" s="20"/>
      <c r="T5195" s="20"/>
      <c r="U5195" s="20"/>
      <c r="V5195" s="20"/>
      <c r="W5195" s="21"/>
      <c r="X5195" s="20"/>
      <c r="Y5195" s="22"/>
      <c r="Z5195" s="22"/>
      <c r="AA5195" s="22"/>
      <c r="AB5195" s="22"/>
      <c r="AC5195" s="22"/>
    </row>
    <row r="5196" spans="1:29" ht="32.25" customHeight="1">
      <c r="A5196" s="19"/>
      <c r="B5196" s="20"/>
      <c r="C5196" s="20"/>
      <c r="D5196" s="20"/>
      <c r="E5196" s="20"/>
      <c r="F5196" s="20"/>
      <c r="G5196" s="20"/>
      <c r="H5196" s="20"/>
      <c r="I5196" s="20"/>
      <c r="J5196" s="20"/>
      <c r="K5196" s="20"/>
      <c r="L5196" s="20"/>
      <c r="M5196" s="20"/>
      <c r="N5196" s="20"/>
      <c r="O5196" s="20"/>
      <c r="P5196" s="20"/>
      <c r="Q5196" s="20"/>
      <c r="R5196" s="20"/>
      <c r="S5196" s="20"/>
      <c r="T5196" s="20"/>
      <c r="U5196" s="20"/>
      <c r="V5196" s="20"/>
      <c r="W5196" s="21"/>
      <c r="X5196" s="20"/>
      <c r="Y5196" s="22"/>
      <c r="Z5196" s="22"/>
      <c r="AA5196" s="22"/>
      <c r="AB5196" s="22"/>
      <c r="AC5196" s="22"/>
    </row>
    <row r="5197" spans="1:29" ht="32.25" customHeight="1">
      <c r="A5197" s="19"/>
      <c r="B5197" s="20"/>
      <c r="C5197" s="20"/>
      <c r="D5197" s="20"/>
      <c r="E5197" s="20"/>
      <c r="F5197" s="20"/>
      <c r="G5197" s="20"/>
      <c r="H5197" s="20"/>
      <c r="I5197" s="20"/>
      <c r="J5197" s="20"/>
      <c r="K5197" s="20"/>
      <c r="L5197" s="20"/>
      <c r="M5197" s="20"/>
      <c r="N5197" s="20"/>
      <c r="O5197" s="20"/>
      <c r="P5197" s="20"/>
      <c r="Q5197" s="20"/>
      <c r="R5197" s="20"/>
      <c r="S5197" s="20"/>
      <c r="T5197" s="20"/>
      <c r="U5197" s="20"/>
      <c r="V5197" s="20"/>
      <c r="W5197" s="21"/>
      <c r="X5197" s="20"/>
      <c r="Y5197" s="22"/>
      <c r="Z5197" s="22"/>
      <c r="AA5197" s="22"/>
      <c r="AB5197" s="22"/>
      <c r="AC5197" s="22"/>
    </row>
    <row r="5198" spans="1:29" ht="32.25" customHeight="1">
      <c r="A5198" s="19"/>
      <c r="B5198" s="20"/>
      <c r="C5198" s="20"/>
      <c r="D5198" s="20"/>
      <c r="E5198" s="20"/>
      <c r="F5198" s="20"/>
      <c r="G5198" s="20"/>
      <c r="H5198" s="20"/>
      <c r="I5198" s="20"/>
      <c r="J5198" s="20"/>
      <c r="K5198" s="20"/>
      <c r="L5198" s="20"/>
      <c r="M5198" s="20"/>
      <c r="N5198" s="20"/>
      <c r="O5198" s="20"/>
      <c r="P5198" s="20"/>
      <c r="Q5198" s="20"/>
      <c r="R5198" s="20"/>
      <c r="S5198" s="20"/>
      <c r="T5198" s="20"/>
      <c r="U5198" s="20"/>
      <c r="V5198" s="20"/>
      <c r="W5198" s="21"/>
      <c r="X5198" s="20"/>
      <c r="Y5198" s="22"/>
      <c r="Z5198" s="22"/>
      <c r="AA5198" s="22"/>
      <c r="AB5198" s="22"/>
      <c r="AC5198" s="22"/>
    </row>
    <row r="5199" spans="1:29" ht="32.25" customHeight="1">
      <c r="A5199" s="19"/>
      <c r="B5199" s="20"/>
      <c r="C5199" s="20"/>
      <c r="D5199" s="20"/>
      <c r="E5199" s="20"/>
      <c r="F5199" s="20"/>
      <c r="G5199" s="20"/>
      <c r="H5199" s="20"/>
      <c r="I5199" s="20"/>
      <c r="J5199" s="20"/>
      <c r="K5199" s="20"/>
      <c r="L5199" s="20"/>
      <c r="M5199" s="20"/>
      <c r="N5199" s="20"/>
      <c r="O5199" s="20"/>
      <c r="P5199" s="20"/>
      <c r="Q5199" s="20"/>
      <c r="R5199" s="20"/>
      <c r="S5199" s="20"/>
      <c r="T5199" s="20"/>
      <c r="U5199" s="20"/>
      <c r="V5199" s="20"/>
      <c r="W5199" s="21"/>
      <c r="X5199" s="20"/>
      <c r="Y5199" s="22"/>
      <c r="Z5199" s="22"/>
      <c r="AA5199" s="22"/>
      <c r="AB5199" s="22"/>
      <c r="AC5199" s="22"/>
    </row>
    <row r="5200" spans="1:29" ht="32.25" customHeight="1">
      <c r="A5200" s="19"/>
      <c r="B5200" s="20"/>
      <c r="C5200" s="20"/>
      <c r="D5200" s="20"/>
      <c r="E5200" s="20"/>
      <c r="F5200" s="20"/>
      <c r="G5200" s="20"/>
      <c r="H5200" s="20"/>
      <c r="I5200" s="20"/>
      <c r="J5200" s="20"/>
      <c r="K5200" s="20"/>
      <c r="L5200" s="20"/>
      <c r="M5200" s="20"/>
      <c r="N5200" s="20"/>
      <c r="O5200" s="20"/>
      <c r="P5200" s="20"/>
      <c r="Q5200" s="20"/>
      <c r="R5200" s="20"/>
      <c r="S5200" s="20"/>
      <c r="T5200" s="20"/>
      <c r="U5200" s="20"/>
      <c r="V5200" s="20"/>
      <c r="W5200" s="21"/>
      <c r="X5200" s="20"/>
      <c r="Y5200" s="22"/>
      <c r="Z5200" s="22"/>
      <c r="AA5200" s="22"/>
      <c r="AB5200" s="22"/>
      <c r="AC5200" s="22"/>
    </row>
    <row r="5201" spans="1:29" ht="32.25" customHeight="1">
      <c r="A5201" s="19"/>
      <c r="B5201" s="20"/>
      <c r="C5201" s="20"/>
      <c r="D5201" s="20"/>
      <c r="E5201" s="20"/>
      <c r="F5201" s="20"/>
      <c r="G5201" s="20"/>
      <c r="H5201" s="20"/>
      <c r="I5201" s="20"/>
      <c r="J5201" s="20"/>
      <c r="K5201" s="20"/>
      <c r="L5201" s="20"/>
      <c r="M5201" s="20"/>
      <c r="N5201" s="20"/>
      <c r="O5201" s="20"/>
      <c r="P5201" s="20"/>
      <c r="Q5201" s="20"/>
      <c r="R5201" s="20"/>
      <c r="S5201" s="20"/>
      <c r="T5201" s="20"/>
      <c r="U5201" s="20"/>
      <c r="V5201" s="20"/>
      <c r="W5201" s="21"/>
      <c r="X5201" s="20"/>
      <c r="Y5201" s="22"/>
      <c r="Z5201" s="22"/>
      <c r="AA5201" s="22"/>
      <c r="AB5201" s="22"/>
      <c r="AC5201" s="22"/>
    </row>
    <row r="5202" spans="1:29" ht="32.25" customHeight="1">
      <c r="A5202" s="19"/>
      <c r="B5202" s="20"/>
      <c r="C5202" s="20"/>
      <c r="D5202" s="20"/>
      <c r="E5202" s="20"/>
      <c r="F5202" s="20"/>
      <c r="G5202" s="20"/>
      <c r="H5202" s="20"/>
      <c r="I5202" s="20"/>
      <c r="J5202" s="20"/>
      <c r="K5202" s="20"/>
      <c r="L5202" s="20"/>
      <c r="M5202" s="20"/>
      <c r="N5202" s="20"/>
      <c r="O5202" s="20"/>
      <c r="P5202" s="20"/>
      <c r="Q5202" s="20"/>
      <c r="R5202" s="20"/>
      <c r="S5202" s="20"/>
      <c r="T5202" s="20"/>
      <c r="U5202" s="20"/>
      <c r="V5202" s="20"/>
      <c r="W5202" s="21"/>
      <c r="X5202" s="20"/>
      <c r="Y5202" s="22"/>
      <c r="Z5202" s="22"/>
      <c r="AA5202" s="22"/>
      <c r="AB5202" s="22"/>
      <c r="AC5202" s="22"/>
    </row>
    <row r="5203" spans="1:29" ht="32.25" customHeight="1">
      <c r="A5203" s="19"/>
      <c r="B5203" s="20"/>
      <c r="C5203" s="20"/>
      <c r="D5203" s="20"/>
      <c r="E5203" s="20"/>
      <c r="F5203" s="20"/>
      <c r="G5203" s="20"/>
      <c r="H5203" s="20"/>
      <c r="I5203" s="20"/>
      <c r="J5203" s="20"/>
      <c r="K5203" s="20"/>
      <c r="L5203" s="20"/>
      <c r="M5203" s="20"/>
      <c r="N5203" s="20"/>
      <c r="O5203" s="20"/>
      <c r="P5203" s="20"/>
      <c r="Q5203" s="20"/>
      <c r="R5203" s="20"/>
      <c r="S5203" s="20"/>
      <c r="T5203" s="20"/>
      <c r="U5203" s="20"/>
      <c r="V5203" s="20"/>
      <c r="W5203" s="21"/>
      <c r="X5203" s="20"/>
      <c r="Y5203" s="22"/>
      <c r="Z5203" s="22"/>
      <c r="AA5203" s="22"/>
      <c r="AB5203" s="22"/>
      <c r="AC5203" s="22"/>
    </row>
    <row r="5204" spans="1:29" ht="32.25" customHeight="1">
      <c r="A5204" s="19"/>
      <c r="B5204" s="20"/>
      <c r="C5204" s="20"/>
      <c r="D5204" s="20"/>
      <c r="E5204" s="20"/>
      <c r="F5204" s="20"/>
      <c r="G5204" s="20"/>
      <c r="H5204" s="20"/>
      <c r="I5204" s="20"/>
      <c r="J5204" s="20"/>
      <c r="K5204" s="20"/>
      <c r="L5204" s="20"/>
      <c r="M5204" s="20"/>
      <c r="N5204" s="20"/>
      <c r="O5204" s="20"/>
      <c r="P5204" s="20"/>
      <c r="Q5204" s="20"/>
      <c r="R5204" s="20"/>
      <c r="S5204" s="20"/>
      <c r="T5204" s="20"/>
      <c r="U5204" s="20"/>
      <c r="V5204" s="20"/>
      <c r="W5204" s="21"/>
      <c r="X5204" s="20"/>
      <c r="Y5204" s="22"/>
      <c r="Z5204" s="22"/>
      <c r="AA5204" s="22"/>
      <c r="AB5204" s="22"/>
      <c r="AC5204" s="22"/>
    </row>
    <row r="5205" spans="1:29" ht="32.25" customHeight="1">
      <c r="A5205" s="19"/>
      <c r="B5205" s="20"/>
      <c r="C5205" s="20"/>
      <c r="D5205" s="20"/>
      <c r="E5205" s="20"/>
      <c r="F5205" s="20"/>
      <c r="G5205" s="20"/>
      <c r="H5205" s="20"/>
      <c r="I5205" s="20"/>
      <c r="J5205" s="20"/>
      <c r="K5205" s="20"/>
      <c r="L5205" s="20"/>
      <c r="M5205" s="20"/>
      <c r="N5205" s="20"/>
      <c r="O5205" s="20"/>
      <c r="P5205" s="20"/>
      <c r="Q5205" s="20"/>
      <c r="R5205" s="20"/>
      <c r="S5205" s="20"/>
      <c r="T5205" s="20"/>
      <c r="U5205" s="20"/>
      <c r="V5205" s="20"/>
      <c r="W5205" s="21"/>
      <c r="X5205" s="20"/>
      <c r="Y5205" s="22"/>
      <c r="Z5205" s="22"/>
      <c r="AA5205" s="22"/>
      <c r="AB5205" s="22"/>
      <c r="AC5205" s="22"/>
    </row>
    <row r="5206" spans="1:29" ht="32.25" customHeight="1">
      <c r="A5206" s="19"/>
      <c r="B5206" s="20"/>
      <c r="C5206" s="20"/>
      <c r="D5206" s="20"/>
      <c r="E5206" s="20"/>
      <c r="F5206" s="20"/>
      <c r="G5206" s="20"/>
      <c r="H5206" s="20"/>
      <c r="I5206" s="20"/>
      <c r="J5206" s="20"/>
      <c r="K5206" s="20"/>
      <c r="L5206" s="20"/>
      <c r="M5206" s="20"/>
      <c r="N5206" s="20"/>
      <c r="O5206" s="20"/>
      <c r="P5206" s="20"/>
      <c r="Q5206" s="20"/>
      <c r="R5206" s="20"/>
      <c r="S5206" s="20"/>
      <c r="T5206" s="20"/>
      <c r="U5206" s="20"/>
      <c r="V5206" s="20"/>
      <c r="W5206" s="21"/>
      <c r="X5206" s="20"/>
      <c r="Y5206" s="22"/>
      <c r="Z5206" s="22"/>
      <c r="AA5206" s="22"/>
      <c r="AB5206" s="22"/>
      <c r="AC5206" s="22"/>
    </row>
    <row r="5207" spans="1:29" ht="32.25" customHeight="1">
      <c r="A5207" s="19"/>
      <c r="B5207" s="20"/>
      <c r="C5207" s="20"/>
      <c r="D5207" s="20"/>
      <c r="E5207" s="20"/>
      <c r="F5207" s="20"/>
      <c r="G5207" s="20"/>
      <c r="H5207" s="20"/>
      <c r="I5207" s="20"/>
      <c r="J5207" s="20"/>
      <c r="K5207" s="20"/>
      <c r="L5207" s="20"/>
      <c r="M5207" s="20"/>
      <c r="N5207" s="20"/>
      <c r="O5207" s="20"/>
      <c r="P5207" s="20"/>
      <c r="Q5207" s="20"/>
      <c r="R5207" s="20"/>
      <c r="S5207" s="20"/>
      <c r="T5207" s="20"/>
      <c r="U5207" s="20"/>
      <c r="V5207" s="20"/>
      <c r="W5207" s="21"/>
      <c r="X5207" s="20"/>
      <c r="Y5207" s="22"/>
      <c r="Z5207" s="22"/>
      <c r="AA5207" s="22"/>
      <c r="AB5207" s="22"/>
      <c r="AC5207" s="22"/>
    </row>
    <row r="5208" spans="1:29" ht="32.25" customHeight="1">
      <c r="A5208" s="19"/>
      <c r="B5208" s="20"/>
      <c r="C5208" s="20"/>
      <c r="D5208" s="20"/>
      <c r="E5208" s="20"/>
      <c r="F5208" s="20"/>
      <c r="G5208" s="20"/>
      <c r="H5208" s="20"/>
      <c r="I5208" s="20"/>
      <c r="J5208" s="20"/>
      <c r="K5208" s="20"/>
      <c r="L5208" s="20"/>
      <c r="M5208" s="20"/>
      <c r="N5208" s="20"/>
      <c r="O5208" s="20"/>
      <c r="P5208" s="20"/>
      <c r="Q5208" s="20"/>
      <c r="R5208" s="20"/>
      <c r="S5208" s="20"/>
      <c r="T5208" s="20"/>
      <c r="U5208" s="20"/>
      <c r="V5208" s="20"/>
      <c r="W5208" s="21"/>
      <c r="X5208" s="20"/>
      <c r="Y5208" s="22"/>
      <c r="Z5208" s="22"/>
      <c r="AA5208" s="22"/>
      <c r="AB5208" s="22"/>
      <c r="AC5208" s="22"/>
    </row>
    <row r="5209" spans="1:29" ht="32.25" customHeight="1">
      <c r="A5209" s="19"/>
      <c r="B5209" s="20"/>
      <c r="C5209" s="20"/>
      <c r="D5209" s="20"/>
      <c r="E5209" s="20"/>
      <c r="F5209" s="20"/>
      <c r="G5209" s="20"/>
      <c r="H5209" s="20"/>
      <c r="I5209" s="20"/>
      <c r="J5209" s="20"/>
      <c r="K5209" s="20"/>
      <c r="L5209" s="20"/>
      <c r="M5209" s="20"/>
      <c r="N5209" s="20"/>
      <c r="O5209" s="20"/>
      <c r="P5209" s="20"/>
      <c r="Q5209" s="20"/>
      <c r="R5209" s="20"/>
      <c r="S5209" s="20"/>
      <c r="T5209" s="20"/>
      <c r="U5209" s="20"/>
      <c r="V5209" s="20"/>
      <c r="W5209" s="21"/>
      <c r="X5209" s="20"/>
      <c r="Y5209" s="22"/>
      <c r="Z5209" s="22"/>
      <c r="AA5209" s="22"/>
      <c r="AB5209" s="22"/>
      <c r="AC5209" s="22"/>
    </row>
    <row r="5210" spans="1:29" ht="32.25" customHeight="1">
      <c r="A5210" s="19"/>
      <c r="B5210" s="20"/>
      <c r="C5210" s="20"/>
      <c r="D5210" s="20"/>
      <c r="E5210" s="20"/>
      <c r="F5210" s="20"/>
      <c r="G5210" s="20"/>
      <c r="H5210" s="20"/>
      <c r="I5210" s="20"/>
      <c r="J5210" s="20"/>
      <c r="K5210" s="20"/>
      <c r="L5210" s="20"/>
      <c r="M5210" s="20"/>
      <c r="N5210" s="20"/>
      <c r="O5210" s="20"/>
      <c r="P5210" s="20"/>
      <c r="Q5210" s="20"/>
      <c r="R5210" s="20"/>
      <c r="S5210" s="20"/>
      <c r="T5210" s="20"/>
      <c r="U5210" s="20"/>
      <c r="V5210" s="20"/>
      <c r="W5210" s="21"/>
      <c r="X5210" s="20"/>
      <c r="Y5210" s="22"/>
      <c r="Z5210" s="22"/>
      <c r="AA5210" s="22"/>
      <c r="AB5210" s="22"/>
      <c r="AC5210" s="22"/>
    </row>
    <row r="5211" spans="1:29" ht="32.25" customHeight="1">
      <c r="A5211" s="19"/>
      <c r="B5211" s="20"/>
      <c r="C5211" s="20"/>
      <c r="D5211" s="20"/>
      <c r="E5211" s="20"/>
      <c r="F5211" s="20"/>
      <c r="G5211" s="20"/>
      <c r="H5211" s="20"/>
      <c r="I5211" s="20"/>
      <c r="J5211" s="20"/>
      <c r="K5211" s="20"/>
      <c r="L5211" s="20"/>
      <c r="M5211" s="20"/>
      <c r="N5211" s="20"/>
      <c r="O5211" s="20"/>
      <c r="P5211" s="20"/>
      <c r="Q5211" s="20"/>
      <c r="R5211" s="20"/>
      <c r="S5211" s="20"/>
      <c r="T5211" s="20"/>
      <c r="U5211" s="20"/>
      <c r="V5211" s="20"/>
      <c r="W5211" s="21"/>
      <c r="X5211" s="20"/>
      <c r="Y5211" s="22"/>
      <c r="Z5211" s="22"/>
      <c r="AA5211" s="22"/>
      <c r="AB5211" s="22"/>
      <c r="AC5211" s="22"/>
    </row>
    <row r="5212" spans="1:29" ht="32.25" customHeight="1">
      <c r="A5212" s="19"/>
      <c r="B5212" s="20"/>
      <c r="C5212" s="20"/>
      <c r="D5212" s="20"/>
      <c r="E5212" s="20"/>
      <c r="F5212" s="20"/>
      <c r="G5212" s="20"/>
      <c r="H5212" s="20"/>
      <c r="I5212" s="20"/>
      <c r="J5212" s="20"/>
      <c r="K5212" s="20"/>
      <c r="L5212" s="20"/>
      <c r="M5212" s="20"/>
      <c r="N5212" s="20"/>
      <c r="O5212" s="20"/>
      <c r="P5212" s="20"/>
      <c r="Q5212" s="20"/>
      <c r="R5212" s="20"/>
      <c r="S5212" s="20"/>
      <c r="T5212" s="20"/>
      <c r="U5212" s="20"/>
      <c r="V5212" s="20"/>
      <c r="W5212" s="21"/>
      <c r="X5212" s="20"/>
      <c r="Y5212" s="22"/>
      <c r="Z5212" s="22"/>
      <c r="AA5212" s="22"/>
      <c r="AB5212" s="22"/>
      <c r="AC5212" s="22"/>
    </row>
    <row r="5213" spans="1:29" ht="32.25" customHeight="1">
      <c r="A5213" s="19"/>
      <c r="B5213" s="20"/>
      <c r="C5213" s="20"/>
      <c r="D5213" s="20"/>
      <c r="E5213" s="20"/>
      <c r="F5213" s="20"/>
      <c r="G5213" s="20"/>
      <c r="H5213" s="20"/>
      <c r="I5213" s="20"/>
      <c r="J5213" s="20"/>
      <c r="K5213" s="20"/>
      <c r="L5213" s="20"/>
      <c r="M5213" s="20"/>
      <c r="N5213" s="20"/>
      <c r="O5213" s="20"/>
      <c r="P5213" s="20"/>
      <c r="Q5213" s="20"/>
      <c r="R5213" s="20"/>
      <c r="S5213" s="20"/>
      <c r="T5213" s="20"/>
      <c r="U5213" s="20"/>
      <c r="V5213" s="20"/>
      <c r="W5213" s="21"/>
      <c r="X5213" s="20"/>
      <c r="Y5213" s="22"/>
      <c r="Z5213" s="22"/>
      <c r="AA5213" s="22"/>
      <c r="AB5213" s="22"/>
      <c r="AC5213" s="22"/>
    </row>
    <row r="5214" spans="1:29" ht="32.25" customHeight="1">
      <c r="A5214" s="19"/>
      <c r="B5214" s="20"/>
      <c r="C5214" s="20"/>
      <c r="D5214" s="20"/>
      <c r="E5214" s="20"/>
      <c r="F5214" s="20"/>
      <c r="G5214" s="20"/>
      <c r="H5214" s="20"/>
      <c r="I5214" s="20"/>
      <c r="J5214" s="20"/>
      <c r="K5214" s="20"/>
      <c r="L5214" s="20"/>
      <c r="M5214" s="20"/>
      <c r="N5214" s="20"/>
      <c r="O5214" s="20"/>
      <c r="P5214" s="20"/>
      <c r="Q5214" s="20"/>
      <c r="R5214" s="20"/>
      <c r="S5214" s="20"/>
      <c r="T5214" s="20"/>
      <c r="U5214" s="20"/>
      <c r="V5214" s="20"/>
      <c r="W5214" s="21"/>
      <c r="X5214" s="20"/>
      <c r="Y5214" s="22"/>
      <c r="Z5214" s="22"/>
      <c r="AA5214" s="22"/>
      <c r="AB5214" s="22"/>
      <c r="AC5214" s="22"/>
    </row>
    <row r="5215" spans="1:29" ht="32.25" customHeight="1">
      <c r="A5215" s="19"/>
      <c r="B5215" s="20"/>
      <c r="C5215" s="20"/>
      <c r="D5215" s="20"/>
      <c r="E5215" s="20"/>
      <c r="F5215" s="20"/>
      <c r="G5215" s="20"/>
      <c r="H5215" s="20"/>
      <c r="I5215" s="20"/>
      <c r="J5215" s="20"/>
      <c r="K5215" s="20"/>
      <c r="L5215" s="20"/>
      <c r="M5215" s="20"/>
      <c r="N5215" s="20"/>
      <c r="O5215" s="20"/>
      <c r="P5215" s="20"/>
      <c r="Q5215" s="20"/>
      <c r="R5215" s="20"/>
      <c r="S5215" s="20"/>
      <c r="T5215" s="20"/>
      <c r="U5215" s="20"/>
      <c r="V5215" s="20"/>
      <c r="W5215" s="21"/>
      <c r="X5215" s="20"/>
      <c r="Y5215" s="22"/>
      <c r="Z5215" s="22"/>
      <c r="AA5215" s="22"/>
      <c r="AB5215" s="22"/>
      <c r="AC5215" s="22"/>
    </row>
    <row r="5216" spans="1:29" ht="32.25" customHeight="1">
      <c r="A5216" s="19"/>
      <c r="B5216" s="20"/>
      <c r="C5216" s="20"/>
      <c r="D5216" s="20"/>
      <c r="E5216" s="20"/>
      <c r="F5216" s="20"/>
      <c r="G5216" s="20"/>
      <c r="H5216" s="20"/>
      <c r="I5216" s="20"/>
      <c r="J5216" s="20"/>
      <c r="K5216" s="20"/>
      <c r="L5216" s="20"/>
      <c r="M5216" s="20"/>
      <c r="N5216" s="20"/>
      <c r="O5216" s="20"/>
      <c r="P5216" s="20"/>
      <c r="Q5216" s="20"/>
      <c r="R5216" s="20"/>
      <c r="S5216" s="20"/>
      <c r="T5216" s="20"/>
      <c r="U5216" s="20"/>
      <c r="V5216" s="20"/>
      <c r="W5216" s="21"/>
      <c r="X5216" s="20"/>
      <c r="Y5216" s="22"/>
      <c r="Z5216" s="22"/>
      <c r="AA5216" s="22"/>
      <c r="AB5216" s="22"/>
      <c r="AC5216" s="22"/>
    </row>
    <row r="5217" spans="1:29" ht="32.25" customHeight="1">
      <c r="A5217" s="19"/>
      <c r="B5217" s="20"/>
      <c r="C5217" s="20"/>
      <c r="D5217" s="20"/>
      <c r="E5217" s="20"/>
      <c r="F5217" s="20"/>
      <c r="G5217" s="20"/>
      <c r="H5217" s="20"/>
      <c r="I5217" s="20"/>
      <c r="J5217" s="20"/>
      <c r="K5217" s="20"/>
      <c r="L5217" s="20"/>
      <c r="M5217" s="20"/>
      <c r="N5217" s="20"/>
      <c r="O5217" s="20"/>
      <c r="P5217" s="20"/>
      <c r="Q5217" s="20"/>
      <c r="R5217" s="20"/>
      <c r="S5217" s="20"/>
      <c r="T5217" s="20"/>
      <c r="U5217" s="20"/>
      <c r="V5217" s="20"/>
      <c r="W5217" s="21"/>
      <c r="X5217" s="20"/>
      <c r="Y5217" s="22"/>
      <c r="Z5217" s="22"/>
      <c r="AA5217" s="22"/>
      <c r="AB5217" s="22"/>
      <c r="AC5217" s="22"/>
    </row>
    <row r="5218" spans="1:29" ht="32.25" customHeight="1">
      <c r="A5218" s="19"/>
      <c r="B5218" s="20"/>
      <c r="C5218" s="20"/>
      <c r="D5218" s="20"/>
      <c r="E5218" s="20"/>
      <c r="F5218" s="20"/>
      <c r="G5218" s="20"/>
      <c r="H5218" s="20"/>
      <c r="I5218" s="20"/>
      <c r="J5218" s="20"/>
      <c r="K5218" s="20"/>
      <c r="L5218" s="20"/>
      <c r="M5218" s="20"/>
      <c r="N5218" s="20"/>
      <c r="O5218" s="20"/>
      <c r="P5218" s="20"/>
      <c r="Q5218" s="20"/>
      <c r="R5218" s="20"/>
      <c r="S5218" s="20"/>
      <c r="T5218" s="20"/>
      <c r="U5218" s="20"/>
      <c r="V5218" s="20"/>
      <c r="W5218" s="21"/>
      <c r="X5218" s="20"/>
      <c r="Y5218" s="22"/>
      <c r="Z5218" s="22"/>
      <c r="AA5218" s="22"/>
      <c r="AB5218" s="22"/>
      <c r="AC5218" s="22"/>
    </row>
    <row r="5219" spans="1:29" ht="32.25" customHeight="1">
      <c r="A5219" s="19"/>
      <c r="B5219" s="20"/>
      <c r="C5219" s="20"/>
      <c r="D5219" s="20"/>
      <c r="E5219" s="20"/>
      <c r="F5219" s="20"/>
      <c r="G5219" s="20"/>
      <c r="H5219" s="20"/>
      <c r="I5219" s="20"/>
      <c r="J5219" s="20"/>
      <c r="K5219" s="20"/>
      <c r="L5219" s="20"/>
      <c r="M5219" s="20"/>
      <c r="N5219" s="20"/>
      <c r="O5219" s="20"/>
      <c r="P5219" s="20"/>
      <c r="Q5219" s="20"/>
      <c r="R5219" s="20"/>
      <c r="S5219" s="20"/>
      <c r="T5219" s="20"/>
      <c r="U5219" s="20"/>
      <c r="V5219" s="20"/>
      <c r="W5219" s="21"/>
      <c r="X5219" s="20"/>
      <c r="Y5219" s="22"/>
      <c r="Z5219" s="22"/>
      <c r="AA5219" s="22"/>
      <c r="AB5219" s="22"/>
      <c r="AC5219" s="22"/>
    </row>
    <row r="5220" spans="1:29" ht="32.25" customHeight="1">
      <c r="A5220" s="19"/>
      <c r="B5220" s="20"/>
      <c r="C5220" s="20"/>
      <c r="D5220" s="20"/>
      <c r="E5220" s="20"/>
      <c r="F5220" s="20"/>
      <c r="G5220" s="20"/>
      <c r="H5220" s="20"/>
      <c r="I5220" s="20"/>
      <c r="J5220" s="20"/>
      <c r="K5220" s="20"/>
      <c r="L5220" s="20"/>
      <c r="M5220" s="20"/>
      <c r="N5220" s="20"/>
      <c r="O5220" s="20"/>
      <c r="P5220" s="20"/>
      <c r="Q5220" s="20"/>
      <c r="R5220" s="20"/>
      <c r="S5220" s="20"/>
      <c r="T5220" s="20"/>
      <c r="U5220" s="20"/>
      <c r="V5220" s="20"/>
      <c r="W5220" s="21"/>
      <c r="X5220" s="20"/>
      <c r="Y5220" s="22"/>
      <c r="Z5220" s="22"/>
      <c r="AA5220" s="22"/>
      <c r="AB5220" s="22"/>
      <c r="AC5220" s="22"/>
    </row>
    <row r="5221" spans="1:29" ht="32.25" customHeight="1">
      <c r="A5221" s="19"/>
      <c r="B5221" s="20"/>
      <c r="C5221" s="20"/>
      <c r="D5221" s="20"/>
      <c r="E5221" s="20"/>
      <c r="F5221" s="20"/>
      <c r="G5221" s="20"/>
      <c r="H5221" s="20"/>
      <c r="I5221" s="20"/>
      <c r="J5221" s="20"/>
      <c r="K5221" s="20"/>
      <c r="L5221" s="20"/>
      <c r="M5221" s="20"/>
      <c r="N5221" s="20"/>
      <c r="O5221" s="20"/>
      <c r="P5221" s="20"/>
      <c r="Q5221" s="20"/>
      <c r="R5221" s="20"/>
      <c r="S5221" s="20"/>
      <c r="T5221" s="20"/>
      <c r="U5221" s="20"/>
      <c r="V5221" s="20"/>
      <c r="W5221" s="21"/>
      <c r="X5221" s="20"/>
      <c r="Y5221" s="22"/>
      <c r="Z5221" s="22"/>
      <c r="AA5221" s="22"/>
      <c r="AB5221" s="22"/>
      <c r="AC5221" s="22"/>
    </row>
    <row r="5222" spans="1:29" ht="32.25" customHeight="1">
      <c r="A5222" s="19"/>
      <c r="B5222" s="20"/>
      <c r="C5222" s="20"/>
      <c r="D5222" s="20"/>
      <c r="E5222" s="20"/>
      <c r="F5222" s="20"/>
      <c r="G5222" s="20"/>
      <c r="H5222" s="20"/>
      <c r="I5222" s="20"/>
      <c r="J5222" s="20"/>
      <c r="K5222" s="20"/>
      <c r="L5222" s="20"/>
      <c r="M5222" s="20"/>
      <c r="N5222" s="20"/>
      <c r="O5222" s="20"/>
      <c r="P5222" s="20"/>
      <c r="Q5222" s="20"/>
      <c r="R5222" s="20"/>
      <c r="S5222" s="20"/>
      <c r="T5222" s="20"/>
      <c r="U5222" s="20"/>
      <c r="V5222" s="20"/>
      <c r="W5222" s="21"/>
      <c r="X5222" s="20"/>
      <c r="Y5222" s="22"/>
      <c r="Z5222" s="22"/>
      <c r="AA5222" s="22"/>
      <c r="AB5222" s="22"/>
      <c r="AC5222" s="22"/>
    </row>
    <row r="5223" spans="1:29" ht="32.25" customHeight="1">
      <c r="A5223" s="19"/>
      <c r="B5223" s="20"/>
      <c r="C5223" s="20"/>
      <c r="D5223" s="20"/>
      <c r="E5223" s="20"/>
      <c r="F5223" s="20"/>
      <c r="G5223" s="20"/>
      <c r="H5223" s="20"/>
      <c r="I5223" s="20"/>
      <c r="J5223" s="20"/>
      <c r="K5223" s="20"/>
      <c r="L5223" s="20"/>
      <c r="M5223" s="20"/>
      <c r="N5223" s="20"/>
      <c r="O5223" s="20"/>
      <c r="P5223" s="20"/>
      <c r="Q5223" s="20"/>
      <c r="R5223" s="20"/>
      <c r="S5223" s="20"/>
      <c r="T5223" s="20"/>
      <c r="U5223" s="20"/>
      <c r="V5223" s="20"/>
      <c r="W5223" s="21"/>
      <c r="X5223" s="20"/>
      <c r="Y5223" s="22"/>
      <c r="Z5223" s="22"/>
      <c r="AA5223" s="22"/>
      <c r="AB5223" s="22"/>
      <c r="AC5223" s="22"/>
    </row>
    <row r="5224" spans="1:29" ht="32.25" customHeight="1">
      <c r="A5224" s="19"/>
      <c r="B5224" s="20"/>
      <c r="C5224" s="20"/>
      <c r="D5224" s="20"/>
      <c r="E5224" s="20"/>
      <c r="F5224" s="20"/>
      <c r="G5224" s="20"/>
      <c r="H5224" s="20"/>
      <c r="I5224" s="20"/>
      <c r="J5224" s="20"/>
      <c r="K5224" s="20"/>
      <c r="L5224" s="20"/>
      <c r="M5224" s="20"/>
      <c r="N5224" s="20"/>
      <c r="O5224" s="20"/>
      <c r="P5224" s="20"/>
      <c r="Q5224" s="20"/>
      <c r="R5224" s="20"/>
      <c r="S5224" s="20"/>
      <c r="T5224" s="20"/>
      <c r="U5224" s="20"/>
      <c r="V5224" s="20"/>
      <c r="W5224" s="21"/>
      <c r="X5224" s="20"/>
      <c r="Y5224" s="22"/>
      <c r="Z5224" s="22"/>
      <c r="AA5224" s="22"/>
      <c r="AB5224" s="22"/>
      <c r="AC5224" s="22"/>
    </row>
    <row r="5225" spans="1:29" ht="32.25" customHeight="1">
      <c r="A5225" s="19"/>
      <c r="B5225" s="20"/>
      <c r="C5225" s="20"/>
      <c r="D5225" s="20"/>
      <c r="E5225" s="20"/>
      <c r="F5225" s="20"/>
      <c r="G5225" s="20"/>
      <c r="H5225" s="20"/>
      <c r="I5225" s="20"/>
      <c r="J5225" s="20"/>
      <c r="K5225" s="20"/>
      <c r="L5225" s="20"/>
      <c r="M5225" s="20"/>
      <c r="N5225" s="20"/>
      <c r="O5225" s="20"/>
      <c r="P5225" s="20"/>
      <c r="Q5225" s="20"/>
      <c r="R5225" s="20"/>
      <c r="S5225" s="20"/>
      <c r="T5225" s="20"/>
      <c r="U5225" s="20"/>
      <c r="V5225" s="20"/>
      <c r="W5225" s="21"/>
      <c r="X5225" s="20"/>
      <c r="Y5225" s="22"/>
      <c r="Z5225" s="22"/>
      <c r="AA5225" s="22"/>
      <c r="AB5225" s="22"/>
      <c r="AC5225" s="22"/>
    </row>
    <row r="5226" spans="1:29" ht="32.25" customHeight="1">
      <c r="A5226" s="19"/>
      <c r="B5226" s="20"/>
      <c r="C5226" s="20"/>
      <c r="D5226" s="20"/>
      <c r="E5226" s="20"/>
      <c r="F5226" s="20"/>
      <c r="G5226" s="20"/>
      <c r="H5226" s="20"/>
      <c r="I5226" s="20"/>
      <c r="J5226" s="20"/>
      <c r="K5226" s="20"/>
      <c r="L5226" s="20"/>
      <c r="M5226" s="20"/>
      <c r="N5226" s="20"/>
      <c r="O5226" s="20"/>
      <c r="P5226" s="20"/>
      <c r="Q5226" s="20"/>
      <c r="R5226" s="20"/>
      <c r="S5226" s="20"/>
      <c r="T5226" s="20"/>
      <c r="U5226" s="20"/>
      <c r="V5226" s="20"/>
      <c r="W5226" s="21"/>
      <c r="X5226" s="20"/>
      <c r="Y5226" s="22"/>
      <c r="Z5226" s="22"/>
      <c r="AA5226" s="22"/>
      <c r="AB5226" s="22"/>
      <c r="AC5226" s="22"/>
    </row>
    <row r="5227" spans="1:29" ht="32.25" customHeight="1">
      <c r="A5227" s="19"/>
      <c r="B5227" s="20"/>
      <c r="C5227" s="20"/>
      <c r="D5227" s="20"/>
      <c r="E5227" s="20"/>
      <c r="F5227" s="20"/>
      <c r="G5227" s="20"/>
      <c r="H5227" s="20"/>
      <c r="I5227" s="20"/>
      <c r="J5227" s="20"/>
      <c r="K5227" s="20"/>
      <c r="L5227" s="20"/>
      <c r="M5227" s="20"/>
      <c r="N5227" s="20"/>
      <c r="O5227" s="20"/>
      <c r="P5227" s="20"/>
      <c r="Q5227" s="20"/>
      <c r="R5227" s="20"/>
      <c r="S5227" s="20"/>
      <c r="T5227" s="20"/>
      <c r="U5227" s="20"/>
      <c r="V5227" s="20"/>
      <c r="W5227" s="21"/>
      <c r="X5227" s="20"/>
      <c r="Y5227" s="22"/>
      <c r="Z5227" s="22"/>
      <c r="AA5227" s="22"/>
      <c r="AB5227" s="22"/>
      <c r="AC5227" s="22"/>
    </row>
    <row r="5228" spans="1:29" ht="32.25" customHeight="1">
      <c r="A5228" s="19"/>
      <c r="B5228" s="20"/>
      <c r="C5228" s="20"/>
      <c r="D5228" s="20"/>
      <c r="E5228" s="20"/>
      <c r="F5228" s="20"/>
      <c r="G5228" s="20"/>
      <c r="H5228" s="20"/>
      <c r="I5228" s="20"/>
      <c r="J5228" s="20"/>
      <c r="K5228" s="20"/>
      <c r="L5228" s="20"/>
      <c r="M5228" s="20"/>
      <c r="N5228" s="20"/>
      <c r="O5228" s="20"/>
      <c r="P5228" s="20"/>
      <c r="Q5228" s="20"/>
      <c r="R5228" s="20"/>
      <c r="S5228" s="20"/>
      <c r="T5228" s="20"/>
      <c r="U5228" s="20"/>
      <c r="V5228" s="20"/>
      <c r="W5228" s="21"/>
      <c r="X5228" s="20"/>
      <c r="Y5228" s="22"/>
      <c r="Z5228" s="22"/>
      <c r="AA5228" s="22"/>
      <c r="AB5228" s="22"/>
      <c r="AC5228" s="22"/>
    </row>
    <row r="5229" spans="1:29" ht="32.25" customHeight="1">
      <c r="A5229" s="19"/>
      <c r="B5229" s="20"/>
      <c r="C5229" s="20"/>
      <c r="D5229" s="20"/>
      <c r="E5229" s="20"/>
      <c r="F5229" s="20"/>
      <c r="G5229" s="20"/>
      <c r="H5229" s="20"/>
      <c r="I5229" s="20"/>
      <c r="J5229" s="20"/>
      <c r="K5229" s="20"/>
      <c r="L5229" s="20"/>
      <c r="M5229" s="20"/>
      <c r="N5229" s="20"/>
      <c r="O5229" s="20"/>
      <c r="P5229" s="20"/>
      <c r="Q5229" s="20"/>
      <c r="R5229" s="20"/>
      <c r="S5229" s="20"/>
      <c r="T5229" s="20"/>
      <c r="U5229" s="20"/>
      <c r="V5229" s="20"/>
      <c r="W5229" s="21"/>
      <c r="X5229" s="20"/>
      <c r="Y5229" s="22"/>
      <c r="Z5229" s="22"/>
      <c r="AA5229" s="22"/>
      <c r="AB5229" s="22"/>
      <c r="AC5229" s="22"/>
    </row>
    <row r="5230" spans="1:29" ht="32.25" customHeight="1">
      <c r="A5230" s="19"/>
      <c r="B5230" s="20"/>
      <c r="C5230" s="20"/>
      <c r="D5230" s="20"/>
      <c r="E5230" s="20"/>
      <c r="F5230" s="20"/>
      <c r="G5230" s="20"/>
      <c r="H5230" s="20"/>
      <c r="I5230" s="20"/>
      <c r="J5230" s="20"/>
      <c r="K5230" s="20"/>
      <c r="L5230" s="20"/>
      <c r="M5230" s="20"/>
      <c r="N5230" s="20"/>
      <c r="O5230" s="20"/>
      <c r="P5230" s="20"/>
      <c r="Q5230" s="20"/>
      <c r="R5230" s="20"/>
      <c r="S5230" s="20"/>
      <c r="T5230" s="20"/>
      <c r="U5230" s="20"/>
      <c r="V5230" s="20"/>
      <c r="W5230" s="21"/>
      <c r="X5230" s="20"/>
      <c r="Y5230" s="22"/>
      <c r="Z5230" s="22"/>
      <c r="AA5230" s="22"/>
      <c r="AB5230" s="22"/>
      <c r="AC5230" s="22"/>
    </row>
    <row r="5231" spans="1:29" ht="32.25" customHeight="1">
      <c r="A5231" s="19"/>
      <c r="B5231" s="20"/>
      <c r="C5231" s="20"/>
      <c r="D5231" s="20"/>
      <c r="E5231" s="20"/>
      <c r="F5231" s="20"/>
      <c r="G5231" s="20"/>
      <c r="H5231" s="20"/>
      <c r="I5231" s="20"/>
      <c r="J5231" s="20"/>
      <c r="K5231" s="20"/>
      <c r="L5231" s="20"/>
      <c r="M5231" s="20"/>
      <c r="N5231" s="20"/>
      <c r="O5231" s="20"/>
      <c r="P5231" s="20"/>
      <c r="Q5231" s="20"/>
      <c r="R5231" s="20"/>
      <c r="S5231" s="20"/>
      <c r="T5231" s="20"/>
      <c r="U5231" s="20"/>
      <c r="V5231" s="20"/>
      <c r="W5231" s="21"/>
      <c r="X5231" s="20"/>
      <c r="Y5231" s="22"/>
      <c r="Z5231" s="22"/>
      <c r="AA5231" s="22"/>
      <c r="AB5231" s="22"/>
      <c r="AC5231" s="22"/>
    </row>
    <row r="5232" spans="1:29" ht="32.25" customHeight="1">
      <c r="A5232" s="19"/>
      <c r="B5232" s="20"/>
      <c r="C5232" s="20"/>
      <c r="D5232" s="20"/>
      <c r="E5232" s="20"/>
      <c r="F5232" s="20"/>
      <c r="G5232" s="20"/>
      <c r="H5232" s="20"/>
      <c r="I5232" s="20"/>
      <c r="J5232" s="20"/>
      <c r="K5232" s="20"/>
      <c r="L5232" s="20"/>
      <c r="M5232" s="20"/>
      <c r="N5232" s="20"/>
      <c r="O5232" s="20"/>
      <c r="P5232" s="20"/>
      <c r="Q5232" s="20"/>
      <c r="R5232" s="20"/>
      <c r="S5232" s="20"/>
      <c r="T5232" s="20"/>
      <c r="U5232" s="20"/>
      <c r="V5232" s="20"/>
      <c r="W5232" s="21"/>
      <c r="X5232" s="20"/>
      <c r="Y5232" s="22"/>
      <c r="Z5232" s="22"/>
      <c r="AA5232" s="22"/>
      <c r="AB5232" s="22"/>
      <c r="AC5232" s="22"/>
    </row>
    <row r="5233" spans="1:29" ht="32.25" customHeight="1">
      <c r="A5233" s="19"/>
      <c r="B5233" s="20"/>
      <c r="C5233" s="20"/>
      <c r="D5233" s="20"/>
      <c r="E5233" s="20"/>
      <c r="F5233" s="20"/>
      <c r="G5233" s="20"/>
      <c r="H5233" s="20"/>
      <c r="I5233" s="20"/>
      <c r="J5233" s="20"/>
      <c r="K5233" s="20"/>
      <c r="L5233" s="20"/>
      <c r="M5233" s="20"/>
      <c r="N5233" s="20"/>
      <c r="O5233" s="20"/>
      <c r="P5233" s="20"/>
      <c r="Q5233" s="20"/>
      <c r="R5233" s="20"/>
      <c r="S5233" s="20"/>
      <c r="T5233" s="20"/>
      <c r="U5233" s="20"/>
      <c r="V5233" s="20"/>
      <c r="W5233" s="21"/>
      <c r="X5233" s="20"/>
      <c r="Y5233" s="22"/>
      <c r="Z5233" s="22"/>
      <c r="AA5233" s="22"/>
      <c r="AB5233" s="22"/>
      <c r="AC5233" s="22"/>
    </row>
    <row r="5234" spans="1:29" ht="32.25" customHeight="1">
      <c r="A5234" s="19"/>
      <c r="B5234" s="20"/>
      <c r="C5234" s="20"/>
      <c r="D5234" s="20"/>
      <c r="E5234" s="20"/>
      <c r="F5234" s="20"/>
      <c r="G5234" s="20"/>
      <c r="H5234" s="20"/>
      <c r="I5234" s="20"/>
      <c r="J5234" s="20"/>
      <c r="K5234" s="20"/>
      <c r="L5234" s="20"/>
      <c r="M5234" s="20"/>
      <c r="N5234" s="20"/>
      <c r="O5234" s="20"/>
      <c r="P5234" s="20"/>
      <c r="Q5234" s="20"/>
      <c r="R5234" s="20"/>
      <c r="S5234" s="20"/>
      <c r="T5234" s="20"/>
      <c r="U5234" s="20"/>
      <c r="V5234" s="20"/>
      <c r="W5234" s="21"/>
      <c r="X5234" s="20"/>
      <c r="Y5234" s="22"/>
      <c r="Z5234" s="22"/>
      <c r="AA5234" s="22"/>
      <c r="AB5234" s="22"/>
      <c r="AC5234" s="22"/>
    </row>
    <row r="5235" spans="1:29" ht="32.25" customHeight="1">
      <c r="A5235" s="19"/>
      <c r="B5235" s="20"/>
      <c r="C5235" s="20"/>
      <c r="D5235" s="20"/>
      <c r="E5235" s="20"/>
      <c r="F5235" s="20"/>
      <c r="G5235" s="20"/>
      <c r="H5235" s="20"/>
      <c r="I5235" s="20"/>
      <c r="J5235" s="20"/>
      <c r="K5235" s="20"/>
      <c r="L5235" s="20"/>
      <c r="M5235" s="20"/>
      <c r="N5235" s="20"/>
      <c r="O5235" s="20"/>
      <c r="P5235" s="20"/>
      <c r="Q5235" s="20"/>
      <c r="R5235" s="20"/>
      <c r="S5235" s="20"/>
      <c r="T5235" s="20"/>
      <c r="U5235" s="20"/>
      <c r="V5235" s="20"/>
      <c r="W5235" s="21"/>
      <c r="X5235" s="20"/>
      <c r="Y5235" s="22"/>
      <c r="Z5235" s="22"/>
      <c r="AA5235" s="22"/>
      <c r="AB5235" s="22"/>
      <c r="AC5235" s="22"/>
    </row>
    <row r="5236" spans="1:29" ht="32.25" customHeight="1">
      <c r="A5236" s="19"/>
      <c r="B5236" s="20"/>
      <c r="C5236" s="20"/>
      <c r="D5236" s="20"/>
      <c r="E5236" s="20"/>
      <c r="F5236" s="20"/>
      <c r="G5236" s="20"/>
      <c r="H5236" s="20"/>
      <c r="I5236" s="20"/>
      <c r="J5236" s="20"/>
      <c r="K5236" s="20"/>
      <c r="L5236" s="20"/>
      <c r="M5236" s="20"/>
      <c r="N5236" s="20"/>
      <c r="O5236" s="20"/>
      <c r="P5236" s="20"/>
      <c r="Q5236" s="20"/>
      <c r="R5236" s="20"/>
      <c r="S5236" s="20"/>
      <c r="T5236" s="20"/>
      <c r="U5236" s="20"/>
      <c r="V5236" s="20"/>
      <c r="W5236" s="21"/>
      <c r="X5236" s="20"/>
      <c r="Y5236" s="22"/>
      <c r="Z5236" s="22"/>
      <c r="AA5236" s="22"/>
      <c r="AB5236" s="22"/>
      <c r="AC5236" s="22"/>
    </row>
    <row r="5237" spans="1:29" ht="32.25" customHeight="1">
      <c r="A5237" s="19"/>
      <c r="B5237" s="20"/>
      <c r="C5237" s="20"/>
      <c r="D5237" s="20"/>
      <c r="E5237" s="20"/>
      <c r="F5237" s="20"/>
      <c r="G5237" s="20"/>
      <c r="H5237" s="20"/>
      <c r="I5237" s="20"/>
      <c r="J5237" s="20"/>
      <c r="K5237" s="20"/>
      <c r="L5237" s="20"/>
      <c r="M5237" s="20"/>
      <c r="N5237" s="20"/>
      <c r="O5237" s="20"/>
      <c r="P5237" s="20"/>
      <c r="Q5237" s="20"/>
      <c r="R5237" s="20"/>
      <c r="S5237" s="20"/>
      <c r="T5237" s="20"/>
      <c r="U5237" s="20"/>
      <c r="V5237" s="20"/>
      <c r="W5237" s="21"/>
      <c r="X5237" s="20"/>
      <c r="Y5237" s="22"/>
      <c r="Z5237" s="22"/>
      <c r="AA5237" s="22"/>
      <c r="AB5237" s="22"/>
      <c r="AC5237" s="22"/>
    </row>
    <row r="5238" spans="1:29" ht="32.25" customHeight="1">
      <c r="A5238" s="19"/>
      <c r="B5238" s="20"/>
      <c r="C5238" s="20"/>
      <c r="D5238" s="20"/>
      <c r="E5238" s="20"/>
      <c r="F5238" s="20"/>
      <c r="G5238" s="20"/>
      <c r="H5238" s="20"/>
      <c r="I5238" s="20"/>
      <c r="J5238" s="20"/>
      <c r="K5238" s="20"/>
      <c r="L5238" s="20"/>
      <c r="M5238" s="20"/>
      <c r="N5238" s="20"/>
      <c r="O5238" s="20"/>
      <c r="P5238" s="20"/>
      <c r="Q5238" s="20"/>
      <c r="R5238" s="20"/>
      <c r="S5238" s="20"/>
      <c r="T5238" s="20"/>
      <c r="U5238" s="20"/>
      <c r="V5238" s="20"/>
      <c r="W5238" s="21"/>
      <c r="X5238" s="20"/>
      <c r="Y5238" s="22"/>
      <c r="Z5238" s="22"/>
      <c r="AA5238" s="22"/>
      <c r="AB5238" s="22"/>
      <c r="AC5238" s="22"/>
    </row>
    <row r="5239" spans="1:29" ht="32.25" customHeight="1">
      <c r="A5239" s="19"/>
      <c r="B5239" s="20"/>
      <c r="C5239" s="20"/>
      <c r="D5239" s="20"/>
      <c r="E5239" s="20"/>
      <c r="F5239" s="20"/>
      <c r="G5239" s="20"/>
      <c r="H5239" s="20"/>
      <c r="I5239" s="20"/>
      <c r="J5239" s="20"/>
      <c r="K5239" s="20"/>
      <c r="L5239" s="20"/>
      <c r="M5239" s="20"/>
      <c r="N5239" s="20"/>
      <c r="O5239" s="20"/>
      <c r="P5239" s="20"/>
      <c r="Q5239" s="20"/>
      <c r="R5239" s="20"/>
      <c r="S5239" s="20"/>
      <c r="T5239" s="20"/>
      <c r="U5239" s="20"/>
      <c r="V5239" s="20"/>
      <c r="W5239" s="21"/>
      <c r="X5239" s="20"/>
      <c r="Y5239" s="22"/>
      <c r="Z5239" s="22"/>
      <c r="AA5239" s="22"/>
      <c r="AB5239" s="22"/>
      <c r="AC5239" s="22"/>
    </row>
    <row r="5240" spans="1:29" ht="32.25" customHeight="1">
      <c r="A5240" s="19"/>
      <c r="B5240" s="20"/>
      <c r="C5240" s="20"/>
      <c r="D5240" s="20"/>
      <c r="E5240" s="20"/>
      <c r="F5240" s="20"/>
      <c r="G5240" s="20"/>
      <c r="H5240" s="20"/>
      <c r="I5240" s="20"/>
      <c r="J5240" s="20"/>
      <c r="K5240" s="20"/>
      <c r="L5240" s="20"/>
      <c r="M5240" s="20"/>
      <c r="N5240" s="20"/>
      <c r="O5240" s="20"/>
      <c r="P5240" s="20"/>
      <c r="Q5240" s="20"/>
      <c r="R5240" s="20"/>
      <c r="S5240" s="20"/>
      <c r="T5240" s="20"/>
      <c r="U5240" s="20"/>
      <c r="V5240" s="20"/>
      <c r="W5240" s="21"/>
      <c r="X5240" s="20"/>
      <c r="Y5240" s="22"/>
      <c r="Z5240" s="22"/>
      <c r="AA5240" s="22"/>
      <c r="AB5240" s="22"/>
      <c r="AC5240" s="22"/>
    </row>
    <row r="5241" spans="1:29" ht="32.25" customHeight="1">
      <c r="A5241" s="19"/>
      <c r="B5241" s="20"/>
      <c r="C5241" s="20"/>
      <c r="D5241" s="20"/>
      <c r="E5241" s="20"/>
      <c r="F5241" s="20"/>
      <c r="G5241" s="20"/>
      <c r="H5241" s="20"/>
      <c r="I5241" s="20"/>
      <c r="J5241" s="20"/>
      <c r="K5241" s="20"/>
      <c r="L5241" s="20"/>
      <c r="M5241" s="20"/>
      <c r="N5241" s="20"/>
      <c r="O5241" s="20"/>
      <c r="P5241" s="20"/>
      <c r="Q5241" s="20"/>
      <c r="R5241" s="20"/>
      <c r="S5241" s="20"/>
      <c r="T5241" s="20"/>
      <c r="U5241" s="20"/>
      <c r="V5241" s="20"/>
      <c r="W5241" s="21"/>
      <c r="X5241" s="20"/>
      <c r="Y5241" s="22"/>
      <c r="Z5241" s="22"/>
      <c r="AA5241" s="22"/>
      <c r="AB5241" s="22"/>
      <c r="AC5241" s="22"/>
    </row>
    <row r="5242" spans="1:29" ht="32.25" customHeight="1">
      <c r="A5242" s="19"/>
      <c r="B5242" s="20"/>
      <c r="C5242" s="20"/>
      <c r="D5242" s="20"/>
      <c r="E5242" s="20"/>
      <c r="F5242" s="20"/>
      <c r="G5242" s="20"/>
      <c r="H5242" s="20"/>
      <c r="I5242" s="20"/>
      <c r="J5242" s="20"/>
      <c r="K5242" s="20"/>
      <c r="L5242" s="20"/>
      <c r="M5242" s="20"/>
      <c r="N5242" s="20"/>
      <c r="O5242" s="20"/>
      <c r="P5242" s="20"/>
      <c r="Q5242" s="20"/>
      <c r="R5242" s="20"/>
      <c r="S5242" s="20"/>
      <c r="T5242" s="20"/>
      <c r="U5242" s="20"/>
      <c r="V5242" s="20"/>
      <c r="W5242" s="21"/>
      <c r="X5242" s="20"/>
      <c r="Y5242" s="22"/>
      <c r="Z5242" s="22"/>
      <c r="AA5242" s="22"/>
      <c r="AB5242" s="22"/>
      <c r="AC5242" s="22"/>
    </row>
    <row r="5243" spans="1:29" ht="32.25" customHeight="1">
      <c r="A5243" s="19"/>
      <c r="B5243" s="20"/>
      <c r="C5243" s="20"/>
      <c r="D5243" s="20"/>
      <c r="E5243" s="20"/>
      <c r="F5243" s="20"/>
      <c r="G5243" s="20"/>
      <c r="H5243" s="20"/>
      <c r="I5243" s="20"/>
      <c r="J5243" s="20"/>
      <c r="K5243" s="20"/>
      <c r="L5243" s="20"/>
      <c r="M5243" s="20"/>
      <c r="N5243" s="20"/>
      <c r="O5243" s="20"/>
      <c r="P5243" s="20"/>
      <c r="Q5243" s="20"/>
      <c r="R5243" s="20"/>
      <c r="S5243" s="20"/>
      <c r="T5243" s="20"/>
      <c r="U5243" s="20"/>
      <c r="V5243" s="20"/>
      <c r="W5243" s="21"/>
      <c r="X5243" s="20"/>
      <c r="Y5243" s="22"/>
      <c r="Z5243" s="22"/>
      <c r="AA5243" s="22"/>
      <c r="AB5243" s="22"/>
      <c r="AC5243" s="22"/>
    </row>
    <row r="5244" spans="1:29" ht="32.25" customHeight="1">
      <c r="A5244" s="19"/>
      <c r="B5244" s="20"/>
      <c r="C5244" s="20"/>
      <c r="D5244" s="20"/>
      <c r="E5244" s="20"/>
      <c r="F5244" s="20"/>
      <c r="G5244" s="20"/>
      <c r="H5244" s="20"/>
      <c r="I5244" s="20"/>
      <c r="J5244" s="20"/>
      <c r="K5244" s="20"/>
      <c r="L5244" s="20"/>
      <c r="M5244" s="20"/>
      <c r="N5244" s="20"/>
      <c r="O5244" s="20"/>
      <c r="P5244" s="20"/>
      <c r="Q5244" s="20"/>
      <c r="R5244" s="20"/>
      <c r="S5244" s="20"/>
      <c r="T5244" s="20"/>
      <c r="U5244" s="20"/>
      <c r="V5244" s="20"/>
      <c r="W5244" s="21"/>
      <c r="X5244" s="20"/>
      <c r="Y5244" s="22"/>
      <c r="Z5244" s="22"/>
      <c r="AA5244" s="22"/>
      <c r="AB5244" s="22"/>
      <c r="AC5244" s="22"/>
    </row>
    <row r="5245" spans="1:29" ht="32.25" customHeight="1">
      <c r="A5245" s="19"/>
      <c r="B5245" s="20"/>
      <c r="C5245" s="20"/>
      <c r="D5245" s="20"/>
      <c r="E5245" s="20"/>
      <c r="F5245" s="20"/>
      <c r="G5245" s="20"/>
      <c r="H5245" s="20"/>
      <c r="I5245" s="20"/>
      <c r="J5245" s="20"/>
      <c r="K5245" s="20"/>
      <c r="L5245" s="20"/>
      <c r="M5245" s="20"/>
      <c r="N5245" s="20"/>
      <c r="O5245" s="20"/>
      <c r="P5245" s="20"/>
      <c r="Q5245" s="20"/>
      <c r="R5245" s="20"/>
      <c r="S5245" s="20"/>
      <c r="T5245" s="20"/>
      <c r="U5245" s="20"/>
      <c r="V5245" s="20"/>
      <c r="W5245" s="21"/>
      <c r="X5245" s="20"/>
      <c r="Y5245" s="22"/>
      <c r="Z5245" s="22"/>
      <c r="AA5245" s="22"/>
      <c r="AB5245" s="22"/>
      <c r="AC5245" s="22"/>
    </row>
    <row r="5246" spans="1:29" ht="32.25" customHeight="1">
      <c r="A5246" s="19"/>
      <c r="B5246" s="20"/>
      <c r="C5246" s="20"/>
      <c r="D5246" s="20"/>
      <c r="E5246" s="20"/>
      <c r="F5246" s="20"/>
      <c r="G5246" s="20"/>
      <c r="H5246" s="20"/>
      <c r="I5246" s="20"/>
      <c r="J5246" s="20"/>
      <c r="K5246" s="20"/>
      <c r="L5246" s="20"/>
      <c r="M5246" s="20"/>
      <c r="N5246" s="20"/>
      <c r="O5246" s="20"/>
      <c r="P5246" s="20"/>
      <c r="Q5246" s="20"/>
      <c r="R5246" s="20"/>
      <c r="S5246" s="20"/>
      <c r="T5246" s="20"/>
      <c r="U5246" s="20"/>
      <c r="V5246" s="20"/>
      <c r="W5246" s="21"/>
      <c r="X5246" s="20"/>
      <c r="Y5246" s="22"/>
      <c r="Z5246" s="22"/>
      <c r="AA5246" s="22"/>
      <c r="AB5246" s="22"/>
      <c r="AC5246" s="22"/>
    </row>
    <row r="5247" spans="1:29" ht="32.25" customHeight="1">
      <c r="A5247" s="19"/>
      <c r="B5247" s="20"/>
      <c r="C5247" s="20"/>
      <c r="D5247" s="20"/>
      <c r="E5247" s="20"/>
      <c r="F5247" s="20"/>
      <c r="G5247" s="20"/>
      <c r="H5247" s="20"/>
      <c r="I5247" s="20"/>
      <c r="J5247" s="20"/>
      <c r="K5247" s="20"/>
      <c r="L5247" s="20"/>
      <c r="M5247" s="20"/>
      <c r="N5247" s="20"/>
      <c r="O5247" s="20"/>
      <c r="P5247" s="20"/>
      <c r="Q5247" s="20"/>
      <c r="R5247" s="20"/>
      <c r="S5247" s="20"/>
      <c r="T5247" s="20"/>
      <c r="U5247" s="20"/>
      <c r="V5247" s="20"/>
      <c r="W5247" s="21"/>
      <c r="X5247" s="20"/>
      <c r="Y5247" s="22"/>
      <c r="Z5247" s="22"/>
      <c r="AA5247" s="22"/>
      <c r="AB5247" s="22"/>
      <c r="AC5247" s="22"/>
    </row>
    <row r="5248" spans="1:29" ht="32.25" customHeight="1">
      <c r="A5248" s="19"/>
      <c r="B5248" s="20"/>
      <c r="C5248" s="20"/>
      <c r="D5248" s="20"/>
      <c r="E5248" s="20"/>
      <c r="F5248" s="20"/>
      <c r="G5248" s="20"/>
      <c r="H5248" s="20"/>
      <c r="I5248" s="20"/>
      <c r="J5248" s="20"/>
      <c r="K5248" s="20"/>
      <c r="L5248" s="20"/>
      <c r="M5248" s="20"/>
      <c r="N5248" s="20"/>
      <c r="O5248" s="20"/>
      <c r="P5248" s="20"/>
      <c r="Q5248" s="20"/>
      <c r="R5248" s="20"/>
      <c r="S5248" s="20"/>
      <c r="T5248" s="20"/>
      <c r="U5248" s="20"/>
      <c r="V5248" s="20"/>
      <c r="W5248" s="21"/>
      <c r="X5248" s="20"/>
      <c r="Y5248" s="22"/>
      <c r="Z5248" s="22"/>
      <c r="AA5248" s="22"/>
      <c r="AB5248" s="22"/>
      <c r="AC5248" s="22"/>
    </row>
    <row r="5249" spans="1:29" ht="32.25" customHeight="1">
      <c r="A5249" s="19"/>
      <c r="B5249" s="20"/>
      <c r="C5249" s="20"/>
      <c r="D5249" s="20"/>
      <c r="E5249" s="20"/>
      <c r="F5249" s="20"/>
      <c r="G5249" s="20"/>
      <c r="H5249" s="20"/>
      <c r="I5249" s="20"/>
      <c r="J5249" s="20"/>
      <c r="K5249" s="20"/>
      <c r="L5249" s="20"/>
      <c r="M5249" s="20"/>
      <c r="N5249" s="20"/>
      <c r="O5249" s="20"/>
      <c r="P5249" s="20"/>
      <c r="Q5249" s="20"/>
      <c r="R5249" s="20"/>
      <c r="S5249" s="20"/>
      <c r="T5249" s="20"/>
      <c r="U5249" s="20"/>
      <c r="V5249" s="20"/>
      <c r="W5249" s="21"/>
      <c r="X5249" s="20"/>
      <c r="Y5249" s="22"/>
      <c r="Z5249" s="22"/>
      <c r="AA5249" s="22"/>
      <c r="AB5249" s="22"/>
      <c r="AC5249" s="22"/>
    </row>
    <row r="5250" spans="1:29" ht="32.25" customHeight="1">
      <c r="A5250" s="19"/>
      <c r="B5250" s="20"/>
      <c r="C5250" s="20"/>
      <c r="D5250" s="20"/>
      <c r="E5250" s="20"/>
      <c r="F5250" s="20"/>
      <c r="G5250" s="20"/>
      <c r="H5250" s="20"/>
      <c r="I5250" s="20"/>
      <c r="J5250" s="20"/>
      <c r="K5250" s="20"/>
      <c r="L5250" s="20"/>
      <c r="M5250" s="20"/>
      <c r="N5250" s="20"/>
      <c r="O5250" s="20"/>
      <c r="P5250" s="20"/>
      <c r="Q5250" s="20"/>
      <c r="R5250" s="20"/>
      <c r="S5250" s="20"/>
      <c r="T5250" s="20"/>
      <c r="U5250" s="20"/>
      <c r="V5250" s="20"/>
      <c r="W5250" s="21"/>
      <c r="X5250" s="20"/>
      <c r="Y5250" s="22"/>
      <c r="Z5250" s="22"/>
      <c r="AA5250" s="22"/>
      <c r="AB5250" s="22"/>
      <c r="AC5250" s="22"/>
    </row>
    <row r="5251" spans="1:29" ht="32.25" customHeight="1">
      <c r="A5251" s="19"/>
      <c r="B5251" s="20"/>
      <c r="C5251" s="20"/>
      <c r="D5251" s="20"/>
      <c r="E5251" s="20"/>
      <c r="F5251" s="20"/>
      <c r="G5251" s="20"/>
      <c r="H5251" s="20"/>
      <c r="I5251" s="20"/>
      <c r="J5251" s="20"/>
      <c r="K5251" s="20"/>
      <c r="L5251" s="20"/>
      <c r="M5251" s="20"/>
      <c r="N5251" s="20"/>
      <c r="O5251" s="20"/>
      <c r="P5251" s="20"/>
      <c r="Q5251" s="20"/>
      <c r="R5251" s="20"/>
      <c r="S5251" s="20"/>
      <c r="T5251" s="20"/>
      <c r="U5251" s="20"/>
      <c r="V5251" s="20"/>
      <c r="W5251" s="21"/>
      <c r="X5251" s="20"/>
      <c r="Y5251" s="22"/>
      <c r="Z5251" s="22"/>
      <c r="AA5251" s="22"/>
      <c r="AB5251" s="22"/>
      <c r="AC5251" s="22"/>
    </row>
    <row r="5252" spans="1:29" ht="32.25" customHeight="1">
      <c r="A5252" s="19"/>
      <c r="B5252" s="20"/>
      <c r="C5252" s="20"/>
      <c r="D5252" s="20"/>
      <c r="E5252" s="20"/>
      <c r="F5252" s="20"/>
      <c r="G5252" s="20"/>
      <c r="H5252" s="20"/>
      <c r="I5252" s="20"/>
      <c r="J5252" s="20"/>
      <c r="K5252" s="20"/>
      <c r="L5252" s="20"/>
      <c r="M5252" s="20"/>
      <c r="N5252" s="20"/>
      <c r="O5252" s="20"/>
      <c r="P5252" s="20"/>
      <c r="Q5252" s="20"/>
      <c r="R5252" s="20"/>
      <c r="S5252" s="20"/>
      <c r="T5252" s="20"/>
      <c r="U5252" s="20"/>
      <c r="V5252" s="20"/>
      <c r="W5252" s="21"/>
      <c r="X5252" s="20"/>
      <c r="Y5252" s="22"/>
      <c r="Z5252" s="22"/>
      <c r="AA5252" s="22"/>
      <c r="AB5252" s="22"/>
      <c r="AC5252" s="22"/>
    </row>
    <row r="5253" spans="1:29" ht="32.25" customHeight="1">
      <c r="A5253" s="19"/>
      <c r="B5253" s="20"/>
      <c r="C5253" s="20"/>
      <c r="D5253" s="20"/>
      <c r="E5253" s="20"/>
      <c r="F5253" s="20"/>
      <c r="G5253" s="20"/>
      <c r="H5253" s="20"/>
      <c r="I5253" s="20"/>
      <c r="J5253" s="20"/>
      <c r="K5253" s="20"/>
      <c r="L5253" s="20"/>
      <c r="M5253" s="20"/>
      <c r="N5253" s="20"/>
      <c r="O5253" s="20"/>
      <c r="P5253" s="20"/>
      <c r="Q5253" s="20"/>
      <c r="R5253" s="20"/>
      <c r="S5253" s="20"/>
      <c r="T5253" s="20"/>
      <c r="U5253" s="20"/>
      <c r="V5253" s="20"/>
      <c r="W5253" s="21"/>
      <c r="X5253" s="20"/>
      <c r="Y5253" s="22"/>
      <c r="Z5253" s="22"/>
      <c r="AA5253" s="22"/>
      <c r="AB5253" s="22"/>
      <c r="AC5253" s="22"/>
    </row>
    <row r="5254" spans="1:29" ht="32.25" customHeight="1">
      <c r="A5254" s="19"/>
      <c r="B5254" s="20"/>
      <c r="C5254" s="20"/>
      <c r="D5254" s="20"/>
      <c r="E5254" s="20"/>
      <c r="F5254" s="20"/>
      <c r="G5254" s="20"/>
      <c r="H5254" s="20"/>
      <c r="I5254" s="20"/>
      <c r="J5254" s="20"/>
      <c r="K5254" s="20"/>
      <c r="L5254" s="20"/>
      <c r="M5254" s="20"/>
      <c r="N5254" s="20"/>
      <c r="O5254" s="20"/>
      <c r="P5254" s="20"/>
      <c r="Q5254" s="20"/>
      <c r="R5254" s="20"/>
      <c r="S5254" s="20"/>
      <c r="T5254" s="20"/>
      <c r="U5254" s="20"/>
      <c r="V5254" s="20"/>
      <c r="W5254" s="21"/>
      <c r="X5254" s="20"/>
      <c r="Y5254" s="22"/>
      <c r="Z5254" s="22"/>
      <c r="AA5254" s="22"/>
      <c r="AB5254" s="22"/>
      <c r="AC5254" s="22"/>
    </row>
    <row r="5255" spans="1:29" ht="32.25" customHeight="1">
      <c r="A5255" s="19"/>
      <c r="B5255" s="20"/>
      <c r="C5255" s="20"/>
      <c r="D5255" s="20"/>
      <c r="E5255" s="20"/>
      <c r="F5255" s="20"/>
      <c r="G5255" s="20"/>
      <c r="H5255" s="20"/>
      <c r="I5255" s="20"/>
      <c r="J5255" s="20"/>
      <c r="K5255" s="20"/>
      <c r="L5255" s="20"/>
      <c r="M5255" s="20"/>
      <c r="N5255" s="20"/>
      <c r="O5255" s="20"/>
      <c r="P5255" s="20"/>
      <c r="Q5255" s="20"/>
      <c r="R5255" s="20"/>
      <c r="S5255" s="20"/>
      <c r="T5255" s="20"/>
      <c r="U5255" s="20"/>
      <c r="V5255" s="20"/>
      <c r="W5255" s="21"/>
      <c r="X5255" s="20"/>
      <c r="Y5255" s="22"/>
      <c r="Z5255" s="22"/>
      <c r="AA5255" s="22"/>
      <c r="AB5255" s="22"/>
      <c r="AC5255" s="22"/>
    </row>
    <row r="5256" spans="1:29" ht="32.25" customHeight="1">
      <c r="A5256" s="19"/>
      <c r="B5256" s="20"/>
      <c r="C5256" s="20"/>
      <c r="D5256" s="20"/>
      <c r="E5256" s="20"/>
      <c r="F5256" s="20"/>
      <c r="G5256" s="20"/>
      <c r="H5256" s="20"/>
      <c r="I5256" s="20"/>
      <c r="J5256" s="20"/>
      <c r="K5256" s="20"/>
      <c r="L5256" s="20"/>
      <c r="M5256" s="20"/>
      <c r="N5256" s="20"/>
      <c r="O5256" s="20"/>
      <c r="P5256" s="20"/>
      <c r="Q5256" s="20"/>
      <c r="R5256" s="20"/>
      <c r="S5256" s="20"/>
      <c r="T5256" s="20"/>
      <c r="U5256" s="20"/>
      <c r="V5256" s="20"/>
      <c r="W5256" s="21"/>
      <c r="X5256" s="20"/>
      <c r="Y5256" s="22"/>
      <c r="Z5256" s="22"/>
      <c r="AA5256" s="22"/>
      <c r="AB5256" s="22"/>
      <c r="AC5256" s="22"/>
    </row>
    <row r="5257" spans="1:29" ht="32.25" customHeight="1">
      <c r="A5257" s="19"/>
      <c r="B5257" s="20"/>
      <c r="C5257" s="20"/>
      <c r="D5257" s="20"/>
      <c r="E5257" s="20"/>
      <c r="F5257" s="20"/>
      <c r="G5257" s="20"/>
      <c r="H5257" s="20"/>
      <c r="I5257" s="20"/>
      <c r="J5257" s="20"/>
      <c r="K5257" s="20"/>
      <c r="L5257" s="20"/>
      <c r="M5257" s="20"/>
      <c r="N5257" s="20"/>
      <c r="O5257" s="20"/>
      <c r="P5257" s="20"/>
      <c r="Q5257" s="20"/>
      <c r="R5257" s="20"/>
      <c r="S5257" s="20"/>
      <c r="T5257" s="20"/>
      <c r="U5257" s="20"/>
      <c r="V5257" s="20"/>
      <c r="W5257" s="21"/>
      <c r="X5257" s="20"/>
      <c r="Y5257" s="22"/>
      <c r="Z5257" s="22"/>
      <c r="AA5257" s="22"/>
      <c r="AB5257" s="22"/>
      <c r="AC5257" s="22"/>
    </row>
    <row r="5258" spans="1:29" ht="32.25" customHeight="1">
      <c r="A5258" s="19"/>
      <c r="B5258" s="20"/>
      <c r="C5258" s="20"/>
      <c r="D5258" s="20"/>
      <c r="E5258" s="20"/>
      <c r="F5258" s="20"/>
      <c r="G5258" s="20"/>
      <c r="H5258" s="20"/>
      <c r="I5258" s="20"/>
      <c r="J5258" s="20"/>
      <c r="K5258" s="20"/>
      <c r="L5258" s="20"/>
      <c r="M5258" s="20"/>
      <c r="N5258" s="20"/>
      <c r="O5258" s="20"/>
      <c r="P5258" s="20"/>
      <c r="Q5258" s="20"/>
      <c r="R5258" s="20"/>
      <c r="S5258" s="20"/>
      <c r="T5258" s="20"/>
      <c r="U5258" s="20"/>
      <c r="V5258" s="20"/>
      <c r="W5258" s="21"/>
      <c r="X5258" s="20"/>
      <c r="Y5258" s="22"/>
      <c r="Z5258" s="22"/>
      <c r="AA5258" s="22"/>
      <c r="AB5258" s="22"/>
      <c r="AC5258" s="22"/>
    </row>
    <row r="5259" spans="1:29" ht="32.25" customHeight="1">
      <c r="A5259" s="19"/>
      <c r="B5259" s="20"/>
      <c r="C5259" s="20"/>
      <c r="D5259" s="20"/>
      <c r="E5259" s="20"/>
      <c r="F5259" s="20"/>
      <c r="G5259" s="20"/>
      <c r="H5259" s="20"/>
      <c r="I5259" s="20"/>
      <c r="J5259" s="20"/>
      <c r="K5259" s="20"/>
      <c r="L5259" s="20"/>
      <c r="M5259" s="20"/>
      <c r="N5259" s="20"/>
      <c r="O5259" s="20"/>
      <c r="P5259" s="20"/>
      <c r="Q5259" s="20"/>
      <c r="R5259" s="20"/>
      <c r="S5259" s="20"/>
      <c r="T5259" s="20"/>
      <c r="U5259" s="20"/>
      <c r="V5259" s="20"/>
      <c r="W5259" s="21"/>
      <c r="X5259" s="20"/>
      <c r="Y5259" s="22"/>
      <c r="Z5259" s="22"/>
      <c r="AA5259" s="22"/>
      <c r="AB5259" s="22"/>
      <c r="AC5259" s="22"/>
    </row>
    <row r="5260" spans="1:29" ht="32.25" customHeight="1">
      <c r="A5260" s="19"/>
      <c r="B5260" s="20"/>
      <c r="C5260" s="20"/>
      <c r="D5260" s="20"/>
      <c r="E5260" s="20"/>
      <c r="F5260" s="20"/>
      <c r="G5260" s="20"/>
      <c r="H5260" s="20"/>
      <c r="I5260" s="20"/>
      <c r="J5260" s="20"/>
      <c r="K5260" s="20"/>
      <c r="L5260" s="20"/>
      <c r="M5260" s="20"/>
      <c r="N5260" s="20"/>
      <c r="O5260" s="20"/>
      <c r="P5260" s="20"/>
      <c r="Q5260" s="20"/>
      <c r="R5260" s="20"/>
      <c r="S5260" s="20"/>
      <c r="T5260" s="20"/>
      <c r="U5260" s="20"/>
      <c r="V5260" s="20"/>
      <c r="W5260" s="21"/>
      <c r="X5260" s="20"/>
      <c r="Y5260" s="22"/>
      <c r="Z5260" s="22"/>
      <c r="AA5260" s="22"/>
      <c r="AB5260" s="22"/>
      <c r="AC5260" s="22"/>
    </row>
    <row r="5261" spans="1:29" ht="32.25" customHeight="1">
      <c r="A5261" s="19"/>
      <c r="B5261" s="20"/>
      <c r="C5261" s="20"/>
      <c r="D5261" s="20"/>
      <c r="E5261" s="20"/>
      <c r="F5261" s="20"/>
      <c r="G5261" s="20"/>
      <c r="H5261" s="20"/>
      <c r="I5261" s="20"/>
      <c r="J5261" s="20"/>
      <c r="K5261" s="20"/>
      <c r="L5261" s="20"/>
      <c r="M5261" s="20"/>
      <c r="N5261" s="20"/>
      <c r="O5261" s="20"/>
      <c r="P5261" s="20"/>
      <c r="Q5261" s="20"/>
      <c r="R5261" s="20"/>
      <c r="S5261" s="20"/>
      <c r="T5261" s="20"/>
      <c r="U5261" s="20"/>
      <c r="V5261" s="20"/>
      <c r="W5261" s="21"/>
      <c r="X5261" s="20"/>
      <c r="Y5261" s="22"/>
      <c r="Z5261" s="22"/>
      <c r="AA5261" s="22"/>
      <c r="AB5261" s="22"/>
      <c r="AC5261" s="22"/>
    </row>
    <row r="5262" spans="1:29" ht="32.25" customHeight="1">
      <c r="A5262" s="19"/>
      <c r="B5262" s="20"/>
      <c r="C5262" s="20"/>
      <c r="D5262" s="20"/>
      <c r="E5262" s="20"/>
      <c r="F5262" s="20"/>
      <c r="G5262" s="20"/>
      <c r="H5262" s="20"/>
      <c r="I5262" s="20"/>
      <c r="J5262" s="20"/>
      <c r="K5262" s="20"/>
      <c r="L5262" s="20"/>
      <c r="M5262" s="20"/>
      <c r="N5262" s="20"/>
      <c r="O5262" s="20"/>
      <c r="P5262" s="20"/>
      <c r="Q5262" s="20"/>
      <c r="R5262" s="20"/>
      <c r="S5262" s="20"/>
      <c r="T5262" s="20"/>
      <c r="U5262" s="20"/>
      <c r="V5262" s="20"/>
      <c r="W5262" s="21"/>
      <c r="X5262" s="20"/>
      <c r="Y5262" s="22"/>
      <c r="Z5262" s="22"/>
      <c r="AA5262" s="22"/>
      <c r="AB5262" s="22"/>
      <c r="AC5262" s="22"/>
    </row>
    <row r="5263" spans="1:29" ht="32.25" customHeight="1">
      <c r="A5263" s="19"/>
      <c r="B5263" s="20"/>
      <c r="C5263" s="20"/>
      <c r="D5263" s="20"/>
      <c r="E5263" s="20"/>
      <c r="F5263" s="20"/>
      <c r="G5263" s="20"/>
      <c r="H5263" s="20"/>
      <c r="I5263" s="20"/>
      <c r="J5263" s="20"/>
      <c r="K5263" s="20"/>
      <c r="L5263" s="20"/>
      <c r="M5263" s="20"/>
      <c r="N5263" s="20"/>
      <c r="O5263" s="20"/>
      <c r="P5263" s="20"/>
      <c r="Q5263" s="20"/>
      <c r="R5263" s="20"/>
      <c r="S5263" s="20"/>
      <c r="T5263" s="20"/>
      <c r="U5263" s="20"/>
      <c r="V5263" s="20"/>
      <c r="W5263" s="21"/>
      <c r="X5263" s="20"/>
      <c r="Y5263" s="22"/>
      <c r="Z5263" s="22"/>
      <c r="AA5263" s="22"/>
      <c r="AB5263" s="22"/>
      <c r="AC5263" s="22"/>
    </row>
    <row r="5264" spans="1:29" ht="32.25" customHeight="1">
      <c r="A5264" s="19"/>
      <c r="B5264" s="20"/>
      <c r="C5264" s="20"/>
      <c r="D5264" s="20"/>
      <c r="E5264" s="20"/>
      <c r="F5264" s="20"/>
      <c r="G5264" s="20"/>
      <c r="H5264" s="20"/>
      <c r="I5264" s="20"/>
      <c r="J5264" s="20"/>
      <c r="K5264" s="20"/>
      <c r="L5264" s="20"/>
      <c r="M5264" s="20"/>
      <c r="N5264" s="20"/>
      <c r="O5264" s="20"/>
      <c r="P5264" s="20"/>
      <c r="Q5264" s="20"/>
      <c r="R5264" s="20"/>
      <c r="S5264" s="20"/>
      <c r="T5264" s="20"/>
      <c r="U5264" s="20"/>
      <c r="V5264" s="20"/>
      <c r="W5264" s="21"/>
      <c r="X5264" s="20"/>
      <c r="Y5264" s="22"/>
      <c r="Z5264" s="22"/>
      <c r="AA5264" s="22"/>
      <c r="AB5264" s="22"/>
      <c r="AC5264" s="22"/>
    </row>
    <row r="5265" spans="1:29" ht="32.25" customHeight="1">
      <c r="A5265" s="19"/>
      <c r="B5265" s="20"/>
      <c r="C5265" s="20"/>
      <c r="D5265" s="20"/>
      <c r="E5265" s="20"/>
      <c r="F5265" s="20"/>
      <c r="G5265" s="20"/>
      <c r="H5265" s="20"/>
      <c r="I5265" s="20"/>
      <c r="J5265" s="20"/>
      <c r="K5265" s="20"/>
      <c r="L5265" s="20"/>
      <c r="M5265" s="20"/>
      <c r="N5265" s="20"/>
      <c r="O5265" s="20"/>
      <c r="P5265" s="20"/>
      <c r="Q5265" s="20"/>
      <c r="R5265" s="20"/>
      <c r="S5265" s="20"/>
      <c r="T5265" s="20"/>
      <c r="U5265" s="20"/>
      <c r="V5265" s="20"/>
      <c r="W5265" s="21"/>
      <c r="X5265" s="20"/>
      <c r="Y5265" s="22"/>
      <c r="Z5265" s="22"/>
      <c r="AA5265" s="22"/>
      <c r="AB5265" s="22"/>
      <c r="AC5265" s="22"/>
    </row>
    <row r="5266" spans="1:29" ht="32.25" customHeight="1">
      <c r="A5266" s="19"/>
      <c r="B5266" s="20"/>
      <c r="C5266" s="20"/>
      <c r="D5266" s="20"/>
      <c r="E5266" s="20"/>
      <c r="F5266" s="20"/>
      <c r="G5266" s="20"/>
      <c r="H5266" s="20"/>
      <c r="I5266" s="20"/>
      <c r="J5266" s="20"/>
      <c r="K5266" s="20"/>
      <c r="L5266" s="20"/>
      <c r="M5266" s="20"/>
      <c r="N5266" s="20"/>
      <c r="O5266" s="20"/>
      <c r="P5266" s="20"/>
      <c r="Q5266" s="20"/>
      <c r="R5266" s="20"/>
      <c r="S5266" s="20"/>
      <c r="T5266" s="20"/>
      <c r="U5266" s="20"/>
      <c r="V5266" s="20"/>
      <c r="W5266" s="21"/>
      <c r="X5266" s="20"/>
      <c r="Y5266" s="22"/>
      <c r="Z5266" s="22"/>
      <c r="AA5266" s="22"/>
      <c r="AB5266" s="22"/>
      <c r="AC5266" s="22"/>
    </row>
    <row r="5267" spans="1:29" ht="32.25" customHeight="1">
      <c r="A5267" s="19"/>
      <c r="B5267" s="20"/>
      <c r="C5267" s="20"/>
      <c r="D5267" s="20"/>
      <c r="E5267" s="20"/>
      <c r="F5267" s="20"/>
      <c r="G5267" s="20"/>
      <c r="H5267" s="20"/>
      <c r="I5267" s="20"/>
      <c r="J5267" s="20"/>
      <c r="K5267" s="20"/>
      <c r="L5267" s="20"/>
      <c r="M5267" s="20"/>
      <c r="N5267" s="20"/>
      <c r="O5267" s="20"/>
      <c r="P5267" s="20"/>
      <c r="Q5267" s="20"/>
      <c r="R5267" s="20"/>
      <c r="S5267" s="20"/>
      <c r="T5267" s="20"/>
      <c r="U5267" s="20"/>
      <c r="V5267" s="20"/>
      <c r="W5267" s="21"/>
      <c r="X5267" s="20"/>
      <c r="Y5267" s="22"/>
      <c r="Z5267" s="22"/>
      <c r="AA5267" s="22"/>
      <c r="AB5267" s="22"/>
      <c r="AC5267" s="22"/>
    </row>
    <row r="5268" spans="1:29" ht="32.25" customHeight="1">
      <c r="A5268" s="19"/>
      <c r="B5268" s="20"/>
      <c r="C5268" s="20"/>
      <c r="D5268" s="20"/>
      <c r="E5268" s="20"/>
      <c r="F5268" s="20"/>
      <c r="G5268" s="20"/>
      <c r="H5268" s="20"/>
      <c r="I5268" s="20"/>
      <c r="J5268" s="20"/>
      <c r="K5268" s="20"/>
      <c r="L5268" s="20"/>
      <c r="M5268" s="20"/>
      <c r="N5268" s="20"/>
      <c r="O5268" s="20"/>
      <c r="P5268" s="20"/>
      <c r="Q5268" s="20"/>
      <c r="R5268" s="20"/>
      <c r="S5268" s="20"/>
      <c r="T5268" s="20"/>
      <c r="U5268" s="20"/>
      <c r="V5268" s="20"/>
      <c r="W5268" s="21"/>
      <c r="X5268" s="20"/>
      <c r="Y5268" s="22"/>
      <c r="Z5268" s="22"/>
      <c r="AA5268" s="22"/>
      <c r="AB5268" s="22"/>
      <c r="AC5268" s="22"/>
    </row>
    <row r="5269" spans="1:29" ht="32.25" customHeight="1">
      <c r="A5269" s="19"/>
      <c r="B5269" s="20"/>
      <c r="C5269" s="20"/>
      <c r="D5269" s="20"/>
      <c r="E5269" s="20"/>
      <c r="F5269" s="20"/>
      <c r="G5269" s="20"/>
      <c r="H5269" s="20"/>
      <c r="I5269" s="20"/>
      <c r="J5269" s="20"/>
      <c r="K5269" s="20"/>
      <c r="L5269" s="20"/>
      <c r="M5269" s="20"/>
      <c r="N5269" s="20"/>
      <c r="O5269" s="20"/>
      <c r="P5269" s="20"/>
      <c r="Q5269" s="20"/>
      <c r="R5269" s="20"/>
      <c r="S5269" s="20"/>
      <c r="T5269" s="20"/>
      <c r="U5269" s="20"/>
      <c r="V5269" s="20"/>
      <c r="W5269" s="21"/>
      <c r="X5269" s="20"/>
      <c r="Y5269" s="22"/>
      <c r="Z5269" s="22"/>
      <c r="AA5269" s="22"/>
      <c r="AB5269" s="22"/>
      <c r="AC5269" s="22"/>
    </row>
    <row r="5270" spans="1:29" ht="32.25" customHeight="1">
      <c r="A5270" s="19"/>
      <c r="B5270" s="20"/>
      <c r="C5270" s="20"/>
      <c r="D5270" s="20"/>
      <c r="E5270" s="20"/>
      <c r="F5270" s="20"/>
      <c r="G5270" s="20"/>
      <c r="H5270" s="20"/>
      <c r="I5270" s="20"/>
      <c r="J5270" s="20"/>
      <c r="K5270" s="20"/>
      <c r="L5270" s="20"/>
      <c r="M5270" s="20"/>
      <c r="N5270" s="20"/>
      <c r="O5270" s="20"/>
      <c r="P5270" s="20"/>
      <c r="Q5270" s="20"/>
      <c r="R5270" s="20"/>
      <c r="S5270" s="20"/>
      <c r="T5270" s="20"/>
      <c r="U5270" s="20"/>
      <c r="V5270" s="20"/>
      <c r="W5270" s="21"/>
      <c r="X5270" s="20"/>
      <c r="Y5270" s="22"/>
      <c r="Z5270" s="22"/>
      <c r="AA5270" s="22"/>
      <c r="AB5270" s="22"/>
      <c r="AC5270" s="22"/>
    </row>
    <row r="5271" spans="1:29" ht="32.25" customHeight="1">
      <c r="A5271" s="19"/>
      <c r="B5271" s="20"/>
      <c r="C5271" s="20"/>
      <c r="D5271" s="20"/>
      <c r="E5271" s="20"/>
      <c r="F5271" s="20"/>
      <c r="G5271" s="20"/>
      <c r="H5271" s="20"/>
      <c r="I5271" s="20"/>
      <c r="J5271" s="20"/>
      <c r="K5271" s="20"/>
      <c r="L5271" s="20"/>
      <c r="M5271" s="20"/>
      <c r="N5271" s="20"/>
      <c r="O5271" s="20"/>
      <c r="P5271" s="20"/>
      <c r="Q5271" s="20"/>
      <c r="R5271" s="20"/>
      <c r="S5271" s="20"/>
      <c r="T5271" s="20"/>
      <c r="U5271" s="20"/>
      <c r="V5271" s="20"/>
      <c r="W5271" s="21"/>
      <c r="X5271" s="20"/>
      <c r="Y5271" s="22"/>
      <c r="Z5271" s="22"/>
      <c r="AA5271" s="22"/>
      <c r="AB5271" s="22"/>
      <c r="AC5271" s="22"/>
    </row>
    <row r="5272" spans="1:29" ht="32.25" customHeight="1">
      <c r="A5272" s="19"/>
      <c r="B5272" s="20"/>
      <c r="C5272" s="20"/>
      <c r="D5272" s="20"/>
      <c r="E5272" s="20"/>
      <c r="F5272" s="20"/>
      <c r="G5272" s="20"/>
      <c r="H5272" s="20"/>
      <c r="I5272" s="20"/>
      <c r="J5272" s="20"/>
      <c r="K5272" s="20"/>
      <c r="L5272" s="20"/>
      <c r="M5272" s="20"/>
      <c r="N5272" s="20"/>
      <c r="O5272" s="20"/>
      <c r="P5272" s="20"/>
      <c r="Q5272" s="20"/>
      <c r="R5272" s="20"/>
      <c r="S5272" s="20"/>
      <c r="T5272" s="20"/>
      <c r="U5272" s="20"/>
      <c r="V5272" s="20"/>
      <c r="W5272" s="21"/>
      <c r="X5272" s="20"/>
      <c r="Y5272" s="22"/>
      <c r="Z5272" s="22"/>
      <c r="AA5272" s="22"/>
      <c r="AB5272" s="22"/>
      <c r="AC5272" s="22"/>
    </row>
    <row r="5273" spans="1:29" ht="32.25" customHeight="1">
      <c r="A5273" s="19"/>
      <c r="B5273" s="20"/>
      <c r="C5273" s="20"/>
      <c r="D5273" s="20"/>
      <c r="E5273" s="20"/>
      <c r="F5273" s="20"/>
      <c r="G5273" s="20"/>
      <c r="H5273" s="20"/>
      <c r="I5273" s="20"/>
      <c r="J5273" s="20"/>
      <c r="K5273" s="20"/>
      <c r="L5273" s="20"/>
      <c r="M5273" s="20"/>
      <c r="N5273" s="20"/>
      <c r="O5273" s="20"/>
      <c r="P5273" s="20"/>
      <c r="Q5273" s="20"/>
      <c r="R5273" s="20"/>
      <c r="S5273" s="20"/>
      <c r="T5273" s="20"/>
      <c r="U5273" s="20"/>
      <c r="V5273" s="20"/>
      <c r="W5273" s="21"/>
      <c r="X5273" s="20"/>
      <c r="Y5273" s="22"/>
      <c r="Z5273" s="22"/>
      <c r="AA5273" s="22"/>
      <c r="AB5273" s="22"/>
      <c r="AC5273" s="22"/>
    </row>
    <row r="5274" spans="1:29" ht="32.25" customHeight="1">
      <c r="A5274" s="19"/>
      <c r="B5274" s="20"/>
      <c r="C5274" s="20"/>
      <c r="D5274" s="20"/>
      <c r="E5274" s="20"/>
      <c r="F5274" s="20"/>
      <c r="G5274" s="20"/>
      <c r="H5274" s="20"/>
      <c r="I5274" s="20"/>
      <c r="J5274" s="20"/>
      <c r="K5274" s="20"/>
      <c r="L5274" s="20"/>
      <c r="M5274" s="20"/>
      <c r="N5274" s="20"/>
      <c r="O5274" s="20"/>
      <c r="P5274" s="20"/>
      <c r="Q5274" s="20"/>
      <c r="R5274" s="20"/>
      <c r="S5274" s="20"/>
      <c r="T5274" s="20"/>
      <c r="U5274" s="20"/>
      <c r="V5274" s="20"/>
      <c r="W5274" s="21"/>
      <c r="X5274" s="20"/>
      <c r="Y5274" s="22"/>
      <c r="Z5274" s="22"/>
      <c r="AA5274" s="22"/>
      <c r="AB5274" s="22"/>
      <c r="AC5274" s="22"/>
    </row>
    <row r="5275" spans="1:29" ht="32.25" customHeight="1">
      <c r="A5275" s="19"/>
      <c r="B5275" s="20"/>
      <c r="C5275" s="20"/>
      <c r="D5275" s="20"/>
      <c r="E5275" s="20"/>
      <c r="F5275" s="20"/>
      <c r="G5275" s="20"/>
      <c r="H5275" s="20"/>
      <c r="I5275" s="20"/>
      <c r="J5275" s="20"/>
      <c r="K5275" s="20"/>
      <c r="L5275" s="20"/>
      <c r="M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1"/>
      <c r="X5275" s="20"/>
      <c r="Y5275" s="22"/>
      <c r="Z5275" s="22"/>
      <c r="AA5275" s="22"/>
      <c r="AB5275" s="22"/>
      <c r="AC5275" s="22"/>
    </row>
    <row r="5276" spans="1:29" ht="32.25" customHeight="1">
      <c r="A5276" s="19"/>
      <c r="B5276" s="20"/>
      <c r="C5276" s="20"/>
      <c r="D5276" s="20"/>
      <c r="E5276" s="20"/>
      <c r="F5276" s="20"/>
      <c r="G5276" s="20"/>
      <c r="H5276" s="20"/>
      <c r="I5276" s="20"/>
      <c r="J5276" s="20"/>
      <c r="K5276" s="20"/>
      <c r="L5276" s="20"/>
      <c r="M5276" s="20"/>
      <c r="N5276" s="20"/>
      <c r="O5276" s="20"/>
      <c r="P5276" s="20"/>
      <c r="Q5276" s="20"/>
      <c r="R5276" s="20"/>
      <c r="S5276" s="20"/>
      <c r="T5276" s="20"/>
      <c r="U5276" s="20"/>
      <c r="V5276" s="20"/>
      <c r="W5276" s="21"/>
      <c r="X5276" s="20"/>
      <c r="Y5276" s="22"/>
      <c r="Z5276" s="22"/>
      <c r="AA5276" s="22"/>
      <c r="AB5276" s="22"/>
      <c r="AC5276" s="22"/>
    </row>
    <row r="5277" spans="1:29" ht="32.25" customHeight="1">
      <c r="A5277" s="19"/>
      <c r="B5277" s="20"/>
      <c r="C5277" s="20"/>
      <c r="D5277" s="20"/>
      <c r="E5277" s="20"/>
      <c r="F5277" s="20"/>
      <c r="G5277" s="20"/>
      <c r="H5277" s="20"/>
      <c r="I5277" s="20"/>
      <c r="J5277" s="20"/>
      <c r="K5277" s="20"/>
      <c r="L5277" s="20"/>
      <c r="M5277" s="20"/>
      <c r="N5277" s="20"/>
      <c r="O5277" s="20"/>
      <c r="P5277" s="20"/>
      <c r="Q5277" s="20"/>
      <c r="R5277" s="20"/>
      <c r="S5277" s="20"/>
      <c r="T5277" s="20"/>
      <c r="U5277" s="20"/>
      <c r="V5277" s="20"/>
      <c r="W5277" s="21"/>
      <c r="X5277" s="20"/>
      <c r="Y5277" s="22"/>
      <c r="Z5277" s="22"/>
      <c r="AA5277" s="22"/>
      <c r="AB5277" s="22"/>
      <c r="AC5277" s="22"/>
    </row>
    <row r="5278" spans="1:29" ht="32.25" customHeight="1">
      <c r="A5278" s="19"/>
      <c r="B5278" s="20"/>
      <c r="C5278" s="20"/>
      <c r="D5278" s="20"/>
      <c r="E5278" s="20"/>
      <c r="F5278" s="20"/>
      <c r="G5278" s="20"/>
      <c r="H5278" s="20"/>
      <c r="I5278" s="20"/>
      <c r="J5278" s="20"/>
      <c r="K5278" s="20"/>
      <c r="L5278" s="20"/>
      <c r="M5278" s="20"/>
      <c r="N5278" s="20"/>
      <c r="O5278" s="20"/>
      <c r="P5278" s="20"/>
      <c r="Q5278" s="20"/>
      <c r="R5278" s="20"/>
      <c r="S5278" s="20"/>
      <c r="T5278" s="20"/>
      <c r="U5278" s="20"/>
      <c r="V5278" s="20"/>
      <c r="W5278" s="21"/>
      <c r="X5278" s="20"/>
      <c r="Y5278" s="22"/>
      <c r="Z5278" s="22"/>
      <c r="AA5278" s="22"/>
      <c r="AB5278" s="22"/>
      <c r="AC5278" s="22"/>
    </row>
    <row r="5279" spans="1:29" ht="32.25" customHeight="1">
      <c r="A5279" s="19"/>
      <c r="B5279" s="20"/>
      <c r="C5279" s="20"/>
      <c r="D5279" s="20"/>
      <c r="E5279" s="20"/>
      <c r="F5279" s="20"/>
      <c r="G5279" s="20"/>
      <c r="H5279" s="20"/>
      <c r="I5279" s="20"/>
      <c r="J5279" s="20"/>
      <c r="K5279" s="20"/>
      <c r="L5279" s="20"/>
      <c r="M5279" s="20"/>
      <c r="N5279" s="20"/>
      <c r="O5279" s="20"/>
      <c r="P5279" s="20"/>
      <c r="Q5279" s="20"/>
      <c r="R5279" s="20"/>
      <c r="S5279" s="20"/>
      <c r="T5279" s="20"/>
      <c r="U5279" s="20"/>
      <c r="V5279" s="20"/>
      <c r="W5279" s="21"/>
      <c r="X5279" s="20"/>
      <c r="Y5279" s="22"/>
      <c r="Z5279" s="22"/>
      <c r="AA5279" s="22"/>
      <c r="AB5279" s="22"/>
      <c r="AC5279" s="22"/>
    </row>
    <row r="5280" spans="1:29" ht="32.25" customHeight="1">
      <c r="A5280" s="19"/>
      <c r="B5280" s="20"/>
      <c r="C5280" s="20"/>
      <c r="D5280" s="20"/>
      <c r="E5280" s="20"/>
      <c r="F5280" s="20"/>
      <c r="G5280" s="20"/>
      <c r="H5280" s="20"/>
      <c r="I5280" s="20"/>
      <c r="J5280" s="20"/>
      <c r="K5280" s="20"/>
      <c r="L5280" s="20"/>
      <c r="M5280" s="20"/>
      <c r="N5280" s="20"/>
      <c r="O5280" s="20"/>
      <c r="P5280" s="20"/>
      <c r="Q5280" s="20"/>
      <c r="R5280" s="20"/>
      <c r="S5280" s="20"/>
      <c r="T5280" s="20"/>
      <c r="U5280" s="20"/>
      <c r="V5280" s="20"/>
      <c r="W5280" s="21"/>
      <c r="X5280" s="20"/>
      <c r="Y5280" s="22"/>
      <c r="Z5280" s="22"/>
      <c r="AA5280" s="22"/>
      <c r="AB5280" s="22"/>
      <c r="AC5280" s="22"/>
    </row>
    <row r="5281" spans="1:29" ht="32.25" customHeight="1">
      <c r="A5281" s="19"/>
      <c r="B5281" s="20"/>
      <c r="C5281" s="20"/>
      <c r="D5281" s="20"/>
      <c r="E5281" s="20"/>
      <c r="F5281" s="20"/>
      <c r="G5281" s="20"/>
      <c r="H5281" s="20"/>
      <c r="I5281" s="20"/>
      <c r="J5281" s="20"/>
      <c r="K5281" s="20"/>
      <c r="L5281" s="20"/>
      <c r="M5281" s="20"/>
      <c r="N5281" s="20"/>
      <c r="O5281" s="20"/>
      <c r="P5281" s="20"/>
      <c r="Q5281" s="20"/>
      <c r="R5281" s="20"/>
      <c r="S5281" s="20"/>
      <c r="T5281" s="20"/>
      <c r="U5281" s="20"/>
      <c r="V5281" s="20"/>
      <c r="W5281" s="21"/>
      <c r="X5281" s="20"/>
      <c r="Y5281" s="22"/>
      <c r="Z5281" s="22"/>
      <c r="AA5281" s="22"/>
      <c r="AB5281" s="22"/>
      <c r="AC5281" s="22"/>
    </row>
    <row r="5282" spans="1:29" ht="32.25" customHeight="1">
      <c r="A5282" s="19"/>
      <c r="B5282" s="20"/>
      <c r="C5282" s="20"/>
      <c r="D5282" s="20"/>
      <c r="E5282" s="20"/>
      <c r="F5282" s="20"/>
      <c r="G5282" s="20"/>
      <c r="H5282" s="20"/>
      <c r="I5282" s="20"/>
      <c r="J5282" s="20"/>
      <c r="K5282" s="20"/>
      <c r="L5282" s="20"/>
      <c r="M5282" s="20"/>
      <c r="N5282" s="20"/>
      <c r="O5282" s="20"/>
      <c r="P5282" s="20"/>
      <c r="Q5282" s="20"/>
      <c r="R5282" s="20"/>
      <c r="S5282" s="20"/>
      <c r="T5282" s="20"/>
      <c r="U5282" s="20"/>
      <c r="V5282" s="20"/>
      <c r="W5282" s="21"/>
      <c r="X5282" s="20"/>
      <c r="Y5282" s="22"/>
      <c r="Z5282" s="22"/>
      <c r="AA5282" s="22"/>
      <c r="AB5282" s="22"/>
      <c r="AC5282" s="22"/>
    </row>
    <row r="5283" spans="1:29" ht="32.25" customHeight="1">
      <c r="A5283" s="19"/>
      <c r="B5283" s="20"/>
      <c r="C5283" s="20"/>
      <c r="D5283" s="20"/>
      <c r="E5283" s="20"/>
      <c r="F5283" s="20"/>
      <c r="G5283" s="20"/>
      <c r="H5283" s="20"/>
      <c r="I5283" s="20"/>
      <c r="J5283" s="20"/>
      <c r="K5283" s="20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1"/>
      <c r="X5283" s="20"/>
      <c r="Y5283" s="22"/>
      <c r="Z5283" s="22"/>
      <c r="AA5283" s="22"/>
      <c r="AB5283" s="22"/>
      <c r="AC5283" s="22"/>
    </row>
    <row r="5284" spans="1:29" ht="32.25" customHeight="1">
      <c r="A5284" s="19"/>
      <c r="B5284" s="20"/>
      <c r="C5284" s="20"/>
      <c r="D5284" s="20"/>
      <c r="E5284" s="20"/>
      <c r="F5284" s="20"/>
      <c r="G5284" s="20"/>
      <c r="H5284" s="20"/>
      <c r="I5284" s="20"/>
      <c r="J5284" s="20"/>
      <c r="K5284" s="20"/>
      <c r="L5284" s="20"/>
      <c r="M5284" s="20"/>
      <c r="N5284" s="20"/>
      <c r="O5284" s="20"/>
      <c r="P5284" s="20"/>
      <c r="Q5284" s="20"/>
      <c r="R5284" s="20"/>
      <c r="S5284" s="20"/>
      <c r="T5284" s="20"/>
      <c r="U5284" s="20"/>
      <c r="V5284" s="20"/>
      <c r="W5284" s="21"/>
      <c r="X5284" s="20"/>
      <c r="Y5284" s="22"/>
      <c r="Z5284" s="22"/>
      <c r="AA5284" s="22"/>
      <c r="AB5284" s="22"/>
      <c r="AC5284" s="22"/>
    </row>
    <row r="5285" spans="1:29" ht="32.25" customHeight="1">
      <c r="A5285" s="19"/>
      <c r="B5285" s="20"/>
      <c r="C5285" s="20"/>
      <c r="D5285" s="20"/>
      <c r="E5285" s="20"/>
      <c r="F5285" s="20"/>
      <c r="G5285" s="20"/>
      <c r="H5285" s="20"/>
      <c r="I5285" s="20"/>
      <c r="J5285" s="20"/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1"/>
      <c r="X5285" s="20"/>
      <c r="Y5285" s="22"/>
      <c r="Z5285" s="22"/>
      <c r="AA5285" s="22"/>
      <c r="AB5285" s="22"/>
      <c r="AC5285" s="22"/>
    </row>
    <row r="5286" spans="1:29" ht="32.25" customHeight="1">
      <c r="A5286" s="19"/>
      <c r="B5286" s="20"/>
      <c r="C5286" s="20"/>
      <c r="D5286" s="20"/>
      <c r="E5286" s="20"/>
      <c r="F5286" s="20"/>
      <c r="G5286" s="20"/>
      <c r="H5286" s="20"/>
      <c r="I5286" s="20"/>
      <c r="J5286" s="20"/>
      <c r="K5286" s="20"/>
      <c r="L5286" s="20"/>
      <c r="M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1"/>
      <c r="X5286" s="20"/>
      <c r="Y5286" s="22"/>
      <c r="Z5286" s="22"/>
      <c r="AA5286" s="22"/>
      <c r="AB5286" s="22"/>
      <c r="AC5286" s="22"/>
    </row>
    <row r="5287" spans="1:29" ht="32.25" customHeight="1">
      <c r="A5287" s="19"/>
      <c r="B5287" s="20"/>
      <c r="C5287" s="20"/>
      <c r="D5287" s="20"/>
      <c r="E5287" s="20"/>
      <c r="F5287" s="20"/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1"/>
      <c r="X5287" s="20"/>
      <c r="Y5287" s="22"/>
      <c r="Z5287" s="22"/>
      <c r="AA5287" s="22"/>
      <c r="AB5287" s="22"/>
      <c r="AC5287" s="22"/>
    </row>
    <row r="5288" spans="1:29" ht="32.25" customHeight="1">
      <c r="A5288" s="19"/>
      <c r="B5288" s="20"/>
      <c r="C5288" s="20"/>
      <c r="D5288" s="20"/>
      <c r="E5288" s="20"/>
      <c r="F5288" s="20"/>
      <c r="G5288" s="20"/>
      <c r="H5288" s="20"/>
      <c r="I5288" s="20"/>
      <c r="J5288" s="20"/>
      <c r="K5288" s="20"/>
      <c r="L5288" s="20"/>
      <c r="M5288" s="20"/>
      <c r="N5288" s="20"/>
      <c r="O5288" s="20"/>
      <c r="P5288" s="20"/>
      <c r="Q5288" s="20"/>
      <c r="R5288" s="20"/>
      <c r="S5288" s="20"/>
      <c r="T5288" s="20"/>
      <c r="U5288" s="20"/>
      <c r="V5288" s="20"/>
      <c r="W5288" s="21"/>
      <c r="X5288" s="20"/>
      <c r="Y5288" s="22"/>
      <c r="Z5288" s="22"/>
      <c r="AA5288" s="22"/>
      <c r="AB5288" s="22"/>
      <c r="AC5288" s="22"/>
    </row>
    <row r="5289" spans="1:29" ht="32.25" customHeight="1">
      <c r="A5289" s="19"/>
      <c r="B5289" s="20"/>
      <c r="C5289" s="20"/>
      <c r="D5289" s="20"/>
      <c r="E5289" s="20"/>
      <c r="F5289" s="20"/>
      <c r="G5289" s="20"/>
      <c r="H5289" s="20"/>
      <c r="I5289" s="20"/>
      <c r="J5289" s="20"/>
      <c r="K5289" s="20"/>
      <c r="L5289" s="20"/>
      <c r="M5289" s="20"/>
      <c r="N5289" s="20"/>
      <c r="O5289" s="20"/>
      <c r="P5289" s="20"/>
      <c r="Q5289" s="20"/>
      <c r="R5289" s="20"/>
      <c r="S5289" s="20"/>
      <c r="T5289" s="20"/>
      <c r="U5289" s="20"/>
      <c r="V5289" s="20"/>
      <c r="W5289" s="21"/>
      <c r="X5289" s="20"/>
      <c r="Y5289" s="22"/>
      <c r="Z5289" s="22"/>
      <c r="AA5289" s="22"/>
      <c r="AB5289" s="22"/>
      <c r="AC5289" s="22"/>
    </row>
    <row r="5290" spans="1:29" ht="32.25" customHeight="1">
      <c r="A5290" s="19"/>
      <c r="B5290" s="20"/>
      <c r="C5290" s="20"/>
      <c r="D5290" s="20"/>
      <c r="E5290" s="20"/>
      <c r="F5290" s="20"/>
      <c r="G5290" s="20"/>
      <c r="H5290" s="20"/>
      <c r="I5290" s="20"/>
      <c r="J5290" s="20"/>
      <c r="K5290" s="20"/>
      <c r="L5290" s="20"/>
      <c r="M5290" s="20"/>
      <c r="N5290" s="20"/>
      <c r="O5290" s="20"/>
      <c r="P5290" s="20"/>
      <c r="Q5290" s="20"/>
      <c r="R5290" s="20"/>
      <c r="S5290" s="20"/>
      <c r="T5290" s="20"/>
      <c r="U5290" s="20"/>
      <c r="V5290" s="20"/>
      <c r="W5290" s="21"/>
      <c r="X5290" s="20"/>
      <c r="Y5290" s="22"/>
      <c r="Z5290" s="22"/>
      <c r="AA5290" s="22"/>
      <c r="AB5290" s="22"/>
      <c r="AC5290" s="22"/>
    </row>
    <row r="5291" spans="1:29" ht="32.25" customHeight="1">
      <c r="A5291" s="19"/>
      <c r="B5291" s="20"/>
      <c r="C5291" s="20"/>
      <c r="D5291" s="20"/>
      <c r="E5291" s="20"/>
      <c r="F5291" s="20"/>
      <c r="G5291" s="20"/>
      <c r="H5291" s="20"/>
      <c r="I5291" s="20"/>
      <c r="J5291" s="20"/>
      <c r="K5291" s="20"/>
      <c r="L5291" s="20"/>
      <c r="M5291" s="20"/>
      <c r="N5291" s="20"/>
      <c r="O5291" s="20"/>
      <c r="P5291" s="20"/>
      <c r="Q5291" s="20"/>
      <c r="R5291" s="20"/>
      <c r="S5291" s="20"/>
      <c r="T5291" s="20"/>
      <c r="U5291" s="20"/>
      <c r="V5291" s="20"/>
      <c r="W5291" s="21"/>
      <c r="X5291" s="20"/>
      <c r="Y5291" s="22"/>
      <c r="Z5291" s="22"/>
      <c r="AA5291" s="22"/>
      <c r="AB5291" s="22"/>
      <c r="AC5291" s="22"/>
    </row>
    <row r="5292" spans="1:29" ht="32.25" customHeight="1">
      <c r="A5292" s="19"/>
      <c r="B5292" s="20"/>
      <c r="C5292" s="20"/>
      <c r="D5292" s="20"/>
      <c r="E5292" s="20"/>
      <c r="F5292" s="20"/>
      <c r="G5292" s="20"/>
      <c r="H5292" s="20"/>
      <c r="I5292" s="20"/>
      <c r="J5292" s="20"/>
      <c r="K5292" s="20"/>
      <c r="L5292" s="20"/>
      <c r="M5292" s="20"/>
      <c r="N5292" s="20"/>
      <c r="O5292" s="20"/>
      <c r="P5292" s="20"/>
      <c r="Q5292" s="20"/>
      <c r="R5292" s="20"/>
      <c r="S5292" s="20"/>
      <c r="T5292" s="20"/>
      <c r="U5292" s="20"/>
      <c r="V5292" s="20"/>
      <c r="W5292" s="21"/>
      <c r="X5292" s="20"/>
      <c r="Y5292" s="22"/>
      <c r="Z5292" s="22"/>
      <c r="AA5292" s="22"/>
      <c r="AB5292" s="22"/>
      <c r="AC5292" s="22"/>
    </row>
    <row r="5293" spans="1:29" ht="32.25" customHeight="1">
      <c r="A5293" s="19"/>
      <c r="B5293" s="20"/>
      <c r="C5293" s="20"/>
      <c r="D5293" s="20"/>
      <c r="E5293" s="20"/>
      <c r="F5293" s="20"/>
      <c r="G5293" s="20"/>
      <c r="H5293" s="20"/>
      <c r="I5293" s="20"/>
      <c r="J5293" s="20"/>
      <c r="K5293" s="20"/>
      <c r="L5293" s="20"/>
      <c r="M5293" s="20"/>
      <c r="N5293" s="20"/>
      <c r="O5293" s="20"/>
      <c r="P5293" s="20"/>
      <c r="Q5293" s="20"/>
      <c r="R5293" s="20"/>
      <c r="S5293" s="20"/>
      <c r="T5293" s="20"/>
      <c r="U5293" s="20"/>
      <c r="V5293" s="20"/>
      <c r="W5293" s="21"/>
      <c r="X5293" s="20"/>
      <c r="Y5293" s="22"/>
      <c r="Z5293" s="22"/>
      <c r="AA5293" s="22"/>
      <c r="AB5293" s="22"/>
      <c r="AC5293" s="22"/>
    </row>
    <row r="5294" spans="1:29" ht="32.25" customHeight="1">
      <c r="A5294" s="19"/>
      <c r="B5294" s="20"/>
      <c r="C5294" s="20"/>
      <c r="D5294" s="20"/>
      <c r="E5294" s="20"/>
      <c r="F5294" s="20"/>
      <c r="G5294" s="20"/>
      <c r="H5294" s="20"/>
      <c r="I5294" s="20"/>
      <c r="J5294" s="20"/>
      <c r="K5294" s="20"/>
      <c r="L5294" s="20"/>
      <c r="M5294" s="20"/>
      <c r="N5294" s="20"/>
      <c r="O5294" s="20"/>
      <c r="P5294" s="20"/>
      <c r="Q5294" s="20"/>
      <c r="R5294" s="20"/>
      <c r="S5294" s="20"/>
      <c r="T5294" s="20"/>
      <c r="U5294" s="20"/>
      <c r="V5294" s="20"/>
      <c r="W5294" s="21"/>
      <c r="X5294" s="20"/>
      <c r="Y5294" s="22"/>
      <c r="Z5294" s="22"/>
      <c r="AA5294" s="22"/>
      <c r="AB5294" s="22"/>
      <c r="AC5294" s="22"/>
    </row>
    <row r="5295" spans="1:29" ht="32.25" customHeight="1">
      <c r="A5295" s="19"/>
      <c r="B5295" s="20"/>
      <c r="C5295" s="20"/>
      <c r="D5295" s="20"/>
      <c r="E5295" s="20"/>
      <c r="F5295" s="20"/>
      <c r="G5295" s="20"/>
      <c r="H5295" s="20"/>
      <c r="I5295" s="20"/>
      <c r="J5295" s="20"/>
      <c r="K5295" s="20"/>
      <c r="L5295" s="20"/>
      <c r="M5295" s="20"/>
      <c r="N5295" s="20"/>
      <c r="O5295" s="20"/>
      <c r="P5295" s="20"/>
      <c r="Q5295" s="20"/>
      <c r="R5295" s="20"/>
      <c r="S5295" s="20"/>
      <c r="T5295" s="20"/>
      <c r="U5295" s="20"/>
      <c r="V5295" s="20"/>
      <c r="W5295" s="21"/>
      <c r="X5295" s="20"/>
      <c r="Y5295" s="22"/>
      <c r="Z5295" s="22"/>
      <c r="AA5295" s="22"/>
      <c r="AB5295" s="22"/>
      <c r="AC5295" s="22"/>
    </row>
    <row r="5296" spans="1:29" ht="32.25" customHeight="1">
      <c r="A5296" s="19"/>
      <c r="B5296" s="20"/>
      <c r="C5296" s="20"/>
      <c r="D5296" s="20"/>
      <c r="E5296" s="20"/>
      <c r="F5296" s="20"/>
      <c r="G5296" s="20"/>
      <c r="H5296" s="20"/>
      <c r="I5296" s="20"/>
      <c r="J5296" s="20"/>
      <c r="K5296" s="20"/>
      <c r="L5296" s="20"/>
      <c r="M5296" s="20"/>
      <c r="N5296" s="20"/>
      <c r="O5296" s="20"/>
      <c r="P5296" s="20"/>
      <c r="Q5296" s="20"/>
      <c r="R5296" s="20"/>
      <c r="S5296" s="20"/>
      <c r="T5296" s="20"/>
      <c r="U5296" s="20"/>
      <c r="V5296" s="20"/>
      <c r="W5296" s="21"/>
      <c r="X5296" s="20"/>
      <c r="Y5296" s="22"/>
      <c r="Z5296" s="22"/>
      <c r="AA5296" s="22"/>
      <c r="AB5296" s="22"/>
      <c r="AC5296" s="22"/>
    </row>
    <row r="5297" spans="1:29" ht="32.25" customHeight="1">
      <c r="A5297" s="19"/>
      <c r="B5297" s="20"/>
      <c r="C5297" s="20"/>
      <c r="D5297" s="20"/>
      <c r="E5297" s="20"/>
      <c r="F5297" s="20"/>
      <c r="G5297" s="20"/>
      <c r="H5297" s="20"/>
      <c r="I5297" s="20"/>
      <c r="J5297" s="20"/>
      <c r="K5297" s="20"/>
      <c r="L5297" s="20"/>
      <c r="M5297" s="20"/>
      <c r="N5297" s="20"/>
      <c r="O5297" s="20"/>
      <c r="P5297" s="20"/>
      <c r="Q5297" s="20"/>
      <c r="R5297" s="20"/>
      <c r="S5297" s="20"/>
      <c r="T5297" s="20"/>
      <c r="U5297" s="20"/>
      <c r="V5297" s="20"/>
      <c r="W5297" s="21"/>
      <c r="X5297" s="20"/>
      <c r="Y5297" s="22"/>
      <c r="Z5297" s="22"/>
      <c r="AA5297" s="22"/>
      <c r="AB5297" s="22"/>
      <c r="AC5297" s="22"/>
    </row>
    <row r="5298" spans="1:29" ht="32.25" customHeight="1">
      <c r="A5298" s="19"/>
      <c r="B5298" s="20"/>
      <c r="C5298" s="20"/>
      <c r="D5298" s="20"/>
      <c r="E5298" s="20"/>
      <c r="F5298" s="20"/>
      <c r="G5298" s="20"/>
      <c r="H5298" s="20"/>
      <c r="I5298" s="20"/>
      <c r="J5298" s="20"/>
      <c r="K5298" s="20"/>
      <c r="L5298" s="20"/>
      <c r="M5298" s="20"/>
      <c r="N5298" s="20"/>
      <c r="O5298" s="20"/>
      <c r="P5298" s="20"/>
      <c r="Q5298" s="20"/>
      <c r="R5298" s="20"/>
      <c r="S5298" s="20"/>
      <c r="T5298" s="20"/>
      <c r="U5298" s="20"/>
      <c r="V5298" s="20"/>
      <c r="W5298" s="21"/>
      <c r="X5298" s="20"/>
      <c r="Y5298" s="22"/>
      <c r="Z5298" s="22"/>
      <c r="AA5298" s="22"/>
      <c r="AB5298" s="22"/>
      <c r="AC5298" s="22"/>
    </row>
    <row r="5299" spans="1:29" ht="32.25" customHeight="1">
      <c r="A5299" s="19"/>
      <c r="B5299" s="20"/>
      <c r="C5299" s="20"/>
      <c r="D5299" s="20"/>
      <c r="E5299" s="20"/>
      <c r="F5299" s="20"/>
      <c r="G5299" s="20"/>
      <c r="H5299" s="20"/>
      <c r="I5299" s="20"/>
      <c r="J5299" s="20"/>
      <c r="K5299" s="20"/>
      <c r="L5299" s="20"/>
      <c r="M5299" s="20"/>
      <c r="N5299" s="20"/>
      <c r="O5299" s="20"/>
      <c r="P5299" s="20"/>
      <c r="Q5299" s="20"/>
      <c r="R5299" s="20"/>
      <c r="S5299" s="20"/>
      <c r="T5299" s="20"/>
      <c r="U5299" s="20"/>
      <c r="V5299" s="20"/>
      <c r="W5299" s="21"/>
      <c r="X5299" s="20"/>
      <c r="Y5299" s="22"/>
      <c r="Z5299" s="22"/>
      <c r="AA5299" s="22"/>
      <c r="AB5299" s="22"/>
      <c r="AC5299" s="22"/>
    </row>
    <row r="5300" spans="1:29" ht="32.25" customHeight="1">
      <c r="A5300" s="19"/>
      <c r="B5300" s="20"/>
      <c r="C5300" s="20"/>
      <c r="D5300" s="20"/>
      <c r="E5300" s="20"/>
      <c r="F5300" s="20"/>
      <c r="G5300" s="20"/>
      <c r="H5300" s="20"/>
      <c r="I5300" s="20"/>
      <c r="J5300" s="20"/>
      <c r="K5300" s="20"/>
      <c r="L5300" s="20"/>
      <c r="M5300" s="20"/>
      <c r="N5300" s="20"/>
      <c r="O5300" s="20"/>
      <c r="P5300" s="20"/>
      <c r="Q5300" s="20"/>
      <c r="R5300" s="20"/>
      <c r="S5300" s="20"/>
      <c r="T5300" s="20"/>
      <c r="U5300" s="20"/>
      <c r="V5300" s="20"/>
      <c r="W5300" s="21"/>
      <c r="X5300" s="20"/>
      <c r="Y5300" s="22"/>
      <c r="Z5300" s="22"/>
      <c r="AA5300" s="22"/>
      <c r="AB5300" s="22"/>
      <c r="AC5300" s="22"/>
    </row>
    <row r="5301" spans="1:29" ht="32.25" customHeight="1">
      <c r="A5301" s="19"/>
      <c r="B5301" s="20"/>
      <c r="C5301" s="20"/>
      <c r="D5301" s="20"/>
      <c r="E5301" s="20"/>
      <c r="F5301" s="20"/>
      <c r="G5301" s="20"/>
      <c r="H5301" s="20"/>
      <c r="I5301" s="20"/>
      <c r="J5301" s="20"/>
      <c r="K5301" s="20"/>
      <c r="L5301" s="20"/>
      <c r="M5301" s="20"/>
      <c r="N5301" s="20"/>
      <c r="O5301" s="20"/>
      <c r="P5301" s="20"/>
      <c r="Q5301" s="20"/>
      <c r="R5301" s="20"/>
      <c r="S5301" s="20"/>
      <c r="T5301" s="20"/>
      <c r="U5301" s="20"/>
      <c r="V5301" s="20"/>
      <c r="W5301" s="21"/>
      <c r="X5301" s="20"/>
      <c r="Y5301" s="22"/>
      <c r="Z5301" s="22"/>
      <c r="AA5301" s="22"/>
      <c r="AB5301" s="22"/>
      <c r="AC5301" s="22"/>
    </row>
    <row r="5302" spans="1:29" ht="32.25" customHeight="1">
      <c r="A5302" s="19"/>
      <c r="B5302" s="20"/>
      <c r="C5302" s="20"/>
      <c r="D5302" s="20"/>
      <c r="E5302" s="20"/>
      <c r="F5302" s="20"/>
      <c r="G5302" s="20"/>
      <c r="H5302" s="20"/>
      <c r="I5302" s="20"/>
      <c r="J5302" s="20"/>
      <c r="K5302" s="20"/>
      <c r="L5302" s="20"/>
      <c r="M5302" s="20"/>
      <c r="N5302" s="20"/>
      <c r="O5302" s="20"/>
      <c r="P5302" s="20"/>
      <c r="Q5302" s="20"/>
      <c r="R5302" s="20"/>
      <c r="S5302" s="20"/>
      <c r="T5302" s="20"/>
      <c r="U5302" s="20"/>
      <c r="V5302" s="20"/>
      <c r="W5302" s="21"/>
      <c r="X5302" s="20"/>
      <c r="Y5302" s="22"/>
      <c r="Z5302" s="22"/>
      <c r="AA5302" s="22"/>
      <c r="AB5302" s="22"/>
      <c r="AC5302" s="22"/>
    </row>
    <row r="5303" spans="1:29" ht="32.25" customHeight="1">
      <c r="A5303" s="19"/>
      <c r="B5303" s="20"/>
      <c r="C5303" s="20"/>
      <c r="D5303" s="20"/>
      <c r="E5303" s="20"/>
      <c r="F5303" s="20"/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1"/>
      <c r="X5303" s="20"/>
      <c r="Y5303" s="22"/>
      <c r="Z5303" s="22"/>
      <c r="AA5303" s="22"/>
      <c r="AB5303" s="22"/>
      <c r="AC5303" s="22"/>
    </row>
    <row r="5304" spans="1:29" ht="32.25" customHeight="1">
      <c r="A5304" s="19"/>
      <c r="B5304" s="20"/>
      <c r="C5304" s="20"/>
      <c r="D5304" s="20"/>
      <c r="E5304" s="20"/>
      <c r="F5304" s="20"/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1"/>
      <c r="X5304" s="20"/>
      <c r="Y5304" s="22"/>
      <c r="Z5304" s="22"/>
      <c r="AA5304" s="22"/>
      <c r="AB5304" s="22"/>
      <c r="AC5304" s="22"/>
    </row>
    <row r="5305" spans="1:29" ht="32.25" customHeight="1">
      <c r="A5305" s="19"/>
      <c r="B5305" s="20"/>
      <c r="C5305" s="20"/>
      <c r="D5305" s="20"/>
      <c r="E5305" s="20"/>
      <c r="F5305" s="20"/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1"/>
      <c r="X5305" s="20"/>
      <c r="Y5305" s="22"/>
      <c r="Z5305" s="22"/>
      <c r="AA5305" s="22"/>
      <c r="AB5305" s="22"/>
      <c r="AC5305" s="22"/>
    </row>
    <row r="5306" spans="1:29" ht="32.25" customHeight="1">
      <c r="A5306" s="19"/>
      <c r="B5306" s="20"/>
      <c r="C5306" s="20"/>
      <c r="D5306" s="20"/>
      <c r="E5306" s="20"/>
      <c r="F5306" s="20"/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1"/>
      <c r="X5306" s="20"/>
      <c r="Y5306" s="22"/>
      <c r="Z5306" s="22"/>
      <c r="AA5306" s="22"/>
      <c r="AB5306" s="22"/>
      <c r="AC5306" s="22"/>
    </row>
    <row r="5307" spans="1:29" ht="32.25" customHeight="1">
      <c r="A5307" s="19"/>
      <c r="B5307" s="20"/>
      <c r="C5307" s="20"/>
      <c r="D5307" s="20"/>
      <c r="E5307" s="20"/>
      <c r="F5307" s="20"/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1"/>
      <c r="X5307" s="20"/>
      <c r="Y5307" s="22"/>
      <c r="Z5307" s="22"/>
      <c r="AA5307" s="22"/>
      <c r="AB5307" s="22"/>
      <c r="AC5307" s="22"/>
    </row>
    <row r="5308" spans="1:29" ht="32.25" customHeight="1">
      <c r="A5308" s="19"/>
      <c r="B5308" s="20"/>
      <c r="C5308" s="20"/>
      <c r="D5308" s="20"/>
      <c r="E5308" s="20"/>
      <c r="F5308" s="20"/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1"/>
      <c r="X5308" s="20"/>
      <c r="Y5308" s="22"/>
      <c r="Z5308" s="22"/>
      <c r="AA5308" s="22"/>
      <c r="AB5308" s="22"/>
      <c r="AC5308" s="22"/>
    </row>
    <row r="5309" spans="1:29" ht="32.25" customHeight="1">
      <c r="A5309" s="19"/>
      <c r="B5309" s="20"/>
      <c r="C5309" s="20"/>
      <c r="D5309" s="20"/>
      <c r="E5309" s="20"/>
      <c r="F5309" s="20"/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1"/>
      <c r="X5309" s="20"/>
      <c r="Y5309" s="22"/>
      <c r="Z5309" s="22"/>
      <c r="AA5309" s="22"/>
      <c r="AB5309" s="22"/>
      <c r="AC5309" s="22"/>
    </row>
    <row r="5310" spans="1:29" ht="32.25" customHeight="1">
      <c r="A5310" s="19"/>
      <c r="B5310" s="20"/>
      <c r="C5310" s="20"/>
      <c r="D5310" s="20"/>
      <c r="E5310" s="20"/>
      <c r="F5310" s="20"/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1"/>
      <c r="X5310" s="20"/>
      <c r="Y5310" s="22"/>
      <c r="Z5310" s="22"/>
      <c r="AA5310" s="22"/>
      <c r="AB5310" s="22"/>
      <c r="AC5310" s="22"/>
    </row>
    <row r="5311" spans="1:29" ht="32.25" customHeight="1">
      <c r="A5311" s="19"/>
      <c r="B5311" s="20"/>
      <c r="C5311" s="20"/>
      <c r="D5311" s="20"/>
      <c r="E5311" s="20"/>
      <c r="F5311" s="20"/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1"/>
      <c r="X5311" s="20"/>
      <c r="Y5311" s="22"/>
      <c r="Z5311" s="22"/>
      <c r="AA5311" s="22"/>
      <c r="AB5311" s="22"/>
      <c r="AC5311" s="22"/>
    </row>
    <row r="5312" spans="1:29" ht="32.25" customHeight="1">
      <c r="A5312" s="19"/>
      <c r="B5312" s="20"/>
      <c r="C5312" s="20"/>
      <c r="D5312" s="20"/>
      <c r="E5312" s="20"/>
      <c r="F5312" s="20"/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1"/>
      <c r="X5312" s="20"/>
      <c r="Y5312" s="22"/>
      <c r="Z5312" s="22"/>
      <c r="AA5312" s="22"/>
      <c r="AB5312" s="22"/>
      <c r="AC5312" s="22"/>
    </row>
    <row r="5313" spans="1:29" ht="32.25" customHeight="1">
      <c r="A5313" s="19"/>
      <c r="B5313" s="20"/>
      <c r="C5313" s="20"/>
      <c r="D5313" s="20"/>
      <c r="E5313" s="20"/>
      <c r="F5313" s="20"/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1"/>
      <c r="X5313" s="20"/>
      <c r="Y5313" s="22"/>
      <c r="Z5313" s="22"/>
      <c r="AA5313" s="22"/>
      <c r="AB5313" s="22"/>
      <c r="AC5313" s="22"/>
    </row>
    <row r="5314" spans="1:29" ht="32.25" customHeight="1">
      <c r="A5314" s="19"/>
      <c r="B5314" s="20"/>
      <c r="C5314" s="20"/>
      <c r="D5314" s="20"/>
      <c r="E5314" s="20"/>
      <c r="F5314" s="20"/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1"/>
      <c r="X5314" s="20"/>
      <c r="Y5314" s="22"/>
      <c r="Z5314" s="22"/>
      <c r="AA5314" s="22"/>
      <c r="AB5314" s="22"/>
      <c r="AC5314" s="22"/>
    </row>
    <row r="5315" spans="1:29" ht="32.25" customHeight="1">
      <c r="A5315" s="19"/>
      <c r="B5315" s="20"/>
      <c r="C5315" s="20"/>
      <c r="D5315" s="20"/>
      <c r="E5315" s="20"/>
      <c r="F5315" s="20"/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1"/>
      <c r="X5315" s="20"/>
      <c r="Y5315" s="22"/>
      <c r="Z5315" s="22"/>
      <c r="AA5315" s="22"/>
      <c r="AB5315" s="22"/>
      <c r="AC5315" s="22"/>
    </row>
    <row r="5316" spans="1:29" ht="32.25" customHeight="1">
      <c r="A5316" s="19"/>
      <c r="B5316" s="20"/>
      <c r="C5316" s="20"/>
      <c r="D5316" s="20"/>
      <c r="E5316" s="20"/>
      <c r="F5316" s="20"/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1"/>
      <c r="X5316" s="20"/>
      <c r="Y5316" s="22"/>
      <c r="Z5316" s="22"/>
      <c r="AA5316" s="22"/>
      <c r="AB5316" s="22"/>
      <c r="AC5316" s="22"/>
    </row>
    <row r="5317" spans="1:29" ht="32.25" customHeight="1">
      <c r="A5317" s="19"/>
      <c r="B5317" s="20"/>
      <c r="C5317" s="20"/>
      <c r="D5317" s="20"/>
      <c r="E5317" s="20"/>
      <c r="F5317" s="20"/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1"/>
      <c r="X5317" s="20"/>
      <c r="Y5317" s="22"/>
      <c r="Z5317" s="22"/>
      <c r="AA5317" s="22"/>
      <c r="AB5317" s="22"/>
      <c r="AC5317" s="22"/>
    </row>
    <row r="5318" spans="1:29" ht="32.25" customHeight="1">
      <c r="A5318" s="19"/>
      <c r="B5318" s="20"/>
      <c r="C5318" s="20"/>
      <c r="D5318" s="20"/>
      <c r="E5318" s="20"/>
      <c r="F5318" s="20"/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1"/>
      <c r="X5318" s="20"/>
      <c r="Y5318" s="22"/>
      <c r="Z5318" s="22"/>
      <c r="AA5318" s="22"/>
      <c r="AB5318" s="22"/>
      <c r="AC5318" s="22"/>
    </row>
    <row r="5319" spans="1:29" ht="32.25" customHeight="1">
      <c r="A5319" s="19"/>
      <c r="B5319" s="20"/>
      <c r="C5319" s="20"/>
      <c r="D5319" s="20"/>
      <c r="E5319" s="20"/>
      <c r="F5319" s="20"/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1"/>
      <c r="X5319" s="20"/>
      <c r="Y5319" s="22"/>
      <c r="Z5319" s="22"/>
      <c r="AA5319" s="22"/>
      <c r="AB5319" s="22"/>
      <c r="AC5319" s="22"/>
    </row>
    <row r="5320" spans="1:29" ht="32.25" customHeight="1">
      <c r="A5320" s="19"/>
      <c r="B5320" s="20"/>
      <c r="C5320" s="20"/>
      <c r="D5320" s="20"/>
      <c r="E5320" s="20"/>
      <c r="F5320" s="20"/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1"/>
      <c r="X5320" s="20"/>
      <c r="Y5320" s="22"/>
      <c r="Z5320" s="22"/>
      <c r="AA5320" s="22"/>
      <c r="AB5320" s="22"/>
      <c r="AC5320" s="22"/>
    </row>
    <row r="5321" spans="1:29" ht="32.25" customHeight="1">
      <c r="A5321" s="19"/>
      <c r="B5321" s="20"/>
      <c r="C5321" s="20"/>
      <c r="D5321" s="20"/>
      <c r="E5321" s="20"/>
      <c r="F5321" s="20"/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1"/>
      <c r="X5321" s="20"/>
      <c r="Y5321" s="22"/>
      <c r="Z5321" s="22"/>
      <c r="AA5321" s="22"/>
      <c r="AB5321" s="22"/>
      <c r="AC5321" s="22"/>
    </row>
    <row r="5322" spans="1:29" ht="32.25" customHeight="1">
      <c r="A5322" s="19"/>
      <c r="B5322" s="20"/>
      <c r="C5322" s="20"/>
      <c r="D5322" s="20"/>
      <c r="E5322" s="20"/>
      <c r="F5322" s="20"/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1"/>
      <c r="X5322" s="20"/>
      <c r="Y5322" s="22"/>
      <c r="Z5322" s="22"/>
      <c r="AA5322" s="22"/>
      <c r="AB5322" s="22"/>
      <c r="AC5322" s="22"/>
    </row>
    <row r="5323" spans="1:29" ht="32.25" customHeight="1">
      <c r="A5323" s="19"/>
      <c r="B5323" s="20"/>
      <c r="C5323" s="20"/>
      <c r="D5323" s="20"/>
      <c r="E5323" s="20"/>
      <c r="F5323" s="20"/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1"/>
      <c r="X5323" s="20"/>
      <c r="Y5323" s="22"/>
      <c r="Z5323" s="22"/>
      <c r="AA5323" s="22"/>
      <c r="AB5323" s="22"/>
      <c r="AC5323" s="22"/>
    </row>
    <row r="5324" spans="1:29" ht="32.25" customHeight="1">
      <c r="A5324" s="19"/>
      <c r="B5324" s="20"/>
      <c r="C5324" s="20"/>
      <c r="D5324" s="20"/>
      <c r="E5324" s="20"/>
      <c r="F5324" s="20"/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1"/>
      <c r="X5324" s="20"/>
      <c r="Y5324" s="22"/>
      <c r="Z5324" s="22"/>
      <c r="AA5324" s="22"/>
      <c r="AB5324" s="22"/>
      <c r="AC5324" s="22"/>
    </row>
    <row r="5325" spans="1:29" ht="32.25" customHeight="1">
      <c r="A5325" s="19"/>
      <c r="B5325" s="20"/>
      <c r="C5325" s="20"/>
      <c r="D5325" s="20"/>
      <c r="E5325" s="20"/>
      <c r="F5325" s="20"/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1"/>
      <c r="X5325" s="20"/>
      <c r="Y5325" s="22"/>
      <c r="Z5325" s="22"/>
      <c r="AA5325" s="22"/>
      <c r="AB5325" s="22"/>
      <c r="AC5325" s="22"/>
    </row>
    <row r="5326" spans="1:29" ht="32.25" customHeight="1">
      <c r="A5326" s="19"/>
      <c r="B5326" s="20"/>
      <c r="C5326" s="20"/>
      <c r="D5326" s="20"/>
      <c r="E5326" s="20"/>
      <c r="F5326" s="20"/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1"/>
      <c r="X5326" s="20"/>
      <c r="Y5326" s="22"/>
      <c r="Z5326" s="22"/>
      <c r="AA5326" s="22"/>
      <c r="AB5326" s="22"/>
      <c r="AC5326" s="22"/>
    </row>
    <row r="5327" spans="1:29" ht="32.25" customHeight="1">
      <c r="A5327" s="19"/>
      <c r="B5327" s="20"/>
      <c r="C5327" s="20"/>
      <c r="D5327" s="20"/>
      <c r="E5327" s="20"/>
      <c r="F5327" s="20"/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1"/>
      <c r="X5327" s="20"/>
      <c r="Y5327" s="22"/>
      <c r="Z5327" s="22"/>
      <c r="AA5327" s="22"/>
      <c r="AB5327" s="22"/>
      <c r="AC5327" s="22"/>
    </row>
    <row r="5328" spans="1:29" ht="32.25" customHeight="1">
      <c r="A5328" s="19"/>
      <c r="B5328" s="20"/>
      <c r="C5328" s="20"/>
      <c r="D5328" s="20"/>
      <c r="E5328" s="20"/>
      <c r="F5328" s="20"/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1"/>
      <c r="X5328" s="20"/>
      <c r="Y5328" s="22"/>
      <c r="Z5328" s="22"/>
      <c r="AA5328" s="22"/>
      <c r="AB5328" s="22"/>
      <c r="AC5328" s="22"/>
    </row>
    <row r="5329" spans="1:29" ht="32.25" customHeight="1">
      <c r="A5329" s="19"/>
      <c r="B5329" s="20"/>
      <c r="C5329" s="20"/>
      <c r="D5329" s="20"/>
      <c r="E5329" s="20"/>
      <c r="F5329" s="20"/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1"/>
      <c r="X5329" s="20"/>
      <c r="Y5329" s="22"/>
      <c r="Z5329" s="22"/>
      <c r="AA5329" s="22"/>
      <c r="AB5329" s="22"/>
      <c r="AC5329" s="22"/>
    </row>
    <row r="5330" spans="1:29" ht="32.25" customHeight="1">
      <c r="A5330" s="19"/>
      <c r="B5330" s="20"/>
      <c r="C5330" s="20"/>
      <c r="D5330" s="20"/>
      <c r="E5330" s="20"/>
      <c r="F5330" s="20"/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1"/>
      <c r="X5330" s="20"/>
      <c r="Y5330" s="22"/>
      <c r="Z5330" s="22"/>
      <c r="AA5330" s="22"/>
      <c r="AB5330" s="22"/>
      <c r="AC5330" s="22"/>
    </row>
    <row r="5331" spans="1:29" ht="32.25" customHeight="1">
      <c r="A5331" s="19"/>
      <c r="B5331" s="20"/>
      <c r="C5331" s="20"/>
      <c r="D5331" s="20"/>
      <c r="E5331" s="20"/>
      <c r="F5331" s="20"/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1"/>
      <c r="X5331" s="20"/>
      <c r="Y5331" s="22"/>
      <c r="Z5331" s="22"/>
      <c r="AA5331" s="22"/>
      <c r="AB5331" s="22"/>
      <c r="AC5331" s="22"/>
    </row>
    <row r="5332" spans="1:29" ht="32.25" customHeight="1">
      <c r="A5332" s="19"/>
      <c r="B5332" s="20"/>
      <c r="C5332" s="20"/>
      <c r="D5332" s="20"/>
      <c r="E5332" s="20"/>
      <c r="F5332" s="20"/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1"/>
      <c r="X5332" s="20"/>
      <c r="Y5332" s="22"/>
      <c r="Z5332" s="22"/>
      <c r="AA5332" s="22"/>
      <c r="AB5332" s="22"/>
      <c r="AC5332" s="22"/>
    </row>
    <row r="5333" spans="1:29" ht="32.25" customHeight="1">
      <c r="A5333" s="19"/>
      <c r="B5333" s="20"/>
      <c r="C5333" s="20"/>
      <c r="D5333" s="20"/>
      <c r="E5333" s="20"/>
      <c r="F5333" s="20"/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1"/>
      <c r="X5333" s="20"/>
      <c r="Y5333" s="22"/>
      <c r="Z5333" s="22"/>
      <c r="AA5333" s="22"/>
      <c r="AB5333" s="22"/>
      <c r="AC5333" s="22"/>
    </row>
    <row r="5334" spans="1:29" ht="32.25" customHeight="1">
      <c r="A5334" s="19"/>
      <c r="B5334" s="20"/>
      <c r="C5334" s="20"/>
      <c r="D5334" s="20"/>
      <c r="E5334" s="20"/>
      <c r="F5334" s="20"/>
      <c r="G5334" s="20"/>
      <c r="H5334" s="20"/>
      <c r="I5334" s="20"/>
      <c r="J5334" s="20"/>
      <c r="K5334" s="20"/>
      <c r="L5334" s="20"/>
      <c r="M5334" s="20"/>
      <c r="N5334" s="20"/>
      <c r="O5334" s="20"/>
      <c r="P5334" s="20"/>
      <c r="Q5334" s="20"/>
      <c r="R5334" s="20"/>
      <c r="S5334" s="20"/>
      <c r="T5334" s="20"/>
      <c r="U5334" s="20"/>
      <c r="V5334" s="20"/>
      <c r="W5334" s="21"/>
      <c r="X5334" s="20"/>
      <c r="Y5334" s="22"/>
      <c r="Z5334" s="22"/>
      <c r="AA5334" s="22"/>
      <c r="AB5334" s="22"/>
      <c r="AC5334" s="22"/>
    </row>
    <row r="5335" spans="1:29" ht="32.25" customHeight="1">
      <c r="A5335" s="19"/>
      <c r="B5335" s="20"/>
      <c r="C5335" s="20"/>
      <c r="D5335" s="20"/>
      <c r="E5335" s="20"/>
      <c r="F5335" s="20"/>
      <c r="G5335" s="20"/>
      <c r="H5335" s="20"/>
      <c r="I5335" s="20"/>
      <c r="J5335" s="20"/>
      <c r="K5335" s="20"/>
      <c r="L5335" s="20"/>
      <c r="M5335" s="20"/>
      <c r="N5335" s="20"/>
      <c r="O5335" s="20"/>
      <c r="P5335" s="20"/>
      <c r="Q5335" s="20"/>
      <c r="R5335" s="20"/>
      <c r="S5335" s="20"/>
      <c r="T5335" s="20"/>
      <c r="U5335" s="20"/>
      <c r="V5335" s="20"/>
      <c r="W5335" s="21"/>
      <c r="X5335" s="20"/>
      <c r="Y5335" s="22"/>
      <c r="Z5335" s="22"/>
      <c r="AA5335" s="22"/>
      <c r="AB5335" s="22"/>
      <c r="AC5335" s="22"/>
    </row>
    <row r="5336" spans="1:29" ht="32.25" customHeight="1">
      <c r="A5336" s="19"/>
      <c r="B5336" s="20"/>
      <c r="C5336" s="20"/>
      <c r="D5336" s="20"/>
      <c r="E5336" s="20"/>
      <c r="F5336" s="20"/>
      <c r="G5336" s="20"/>
      <c r="H5336" s="20"/>
      <c r="I5336" s="20"/>
      <c r="J5336" s="20"/>
      <c r="K5336" s="20"/>
      <c r="L5336" s="20"/>
      <c r="M5336" s="20"/>
      <c r="N5336" s="20"/>
      <c r="O5336" s="20"/>
      <c r="P5336" s="20"/>
      <c r="Q5336" s="20"/>
      <c r="R5336" s="20"/>
      <c r="S5336" s="20"/>
      <c r="T5336" s="20"/>
      <c r="U5336" s="20"/>
      <c r="V5336" s="20"/>
      <c r="W5336" s="21"/>
      <c r="X5336" s="20"/>
      <c r="Y5336" s="22"/>
      <c r="Z5336" s="22"/>
      <c r="AA5336" s="22"/>
      <c r="AB5336" s="22"/>
      <c r="AC5336" s="22"/>
    </row>
    <row r="5337" spans="1:29" ht="32.25" customHeight="1">
      <c r="A5337" s="19"/>
      <c r="B5337" s="20"/>
      <c r="C5337" s="20"/>
      <c r="D5337" s="20"/>
      <c r="E5337" s="20"/>
      <c r="F5337" s="20"/>
      <c r="G5337" s="20"/>
      <c r="H5337" s="20"/>
      <c r="I5337" s="20"/>
      <c r="J5337" s="20"/>
      <c r="K5337" s="20"/>
      <c r="L5337" s="20"/>
      <c r="M5337" s="20"/>
      <c r="N5337" s="20"/>
      <c r="O5337" s="20"/>
      <c r="P5337" s="20"/>
      <c r="Q5337" s="20"/>
      <c r="R5337" s="20"/>
      <c r="S5337" s="20"/>
      <c r="T5337" s="20"/>
      <c r="U5337" s="20"/>
      <c r="V5337" s="20"/>
      <c r="W5337" s="21"/>
      <c r="X5337" s="20"/>
      <c r="Y5337" s="22"/>
      <c r="Z5337" s="22"/>
      <c r="AA5337" s="22"/>
      <c r="AB5337" s="22"/>
      <c r="AC5337" s="22"/>
    </row>
    <row r="5338" spans="1:29" ht="32.25" customHeight="1">
      <c r="A5338" s="19"/>
      <c r="B5338" s="20"/>
      <c r="C5338" s="20"/>
      <c r="D5338" s="20"/>
      <c r="E5338" s="20"/>
      <c r="F5338" s="20"/>
      <c r="G5338" s="20"/>
      <c r="H5338" s="20"/>
      <c r="I5338" s="20"/>
      <c r="J5338" s="20"/>
      <c r="K5338" s="20"/>
      <c r="L5338" s="20"/>
      <c r="M5338" s="20"/>
      <c r="N5338" s="20"/>
      <c r="O5338" s="20"/>
      <c r="P5338" s="20"/>
      <c r="Q5338" s="20"/>
      <c r="R5338" s="20"/>
      <c r="S5338" s="20"/>
      <c r="T5338" s="20"/>
      <c r="U5338" s="20"/>
      <c r="V5338" s="20"/>
      <c r="W5338" s="21"/>
      <c r="X5338" s="20"/>
      <c r="Y5338" s="22"/>
      <c r="Z5338" s="22"/>
      <c r="AA5338" s="22"/>
      <c r="AB5338" s="22"/>
      <c r="AC5338" s="22"/>
    </row>
    <row r="5339" spans="1:29" ht="32.25" customHeight="1">
      <c r="A5339" s="19"/>
      <c r="B5339" s="20"/>
      <c r="C5339" s="20"/>
      <c r="D5339" s="20"/>
      <c r="E5339" s="20"/>
      <c r="F5339" s="20"/>
      <c r="G5339" s="20"/>
      <c r="H5339" s="20"/>
      <c r="I5339" s="20"/>
      <c r="J5339" s="20"/>
      <c r="K5339" s="20"/>
      <c r="L5339" s="20"/>
      <c r="M5339" s="20"/>
      <c r="N5339" s="20"/>
      <c r="O5339" s="20"/>
      <c r="P5339" s="20"/>
      <c r="Q5339" s="20"/>
      <c r="R5339" s="20"/>
      <c r="S5339" s="20"/>
      <c r="T5339" s="20"/>
      <c r="U5339" s="20"/>
      <c r="V5339" s="20"/>
      <c r="W5339" s="21"/>
      <c r="X5339" s="20"/>
      <c r="Y5339" s="22"/>
      <c r="Z5339" s="22"/>
      <c r="AA5339" s="22"/>
      <c r="AB5339" s="22"/>
      <c r="AC5339" s="22"/>
    </row>
    <row r="5340" spans="1:29" ht="32.25" customHeight="1">
      <c r="A5340" s="19"/>
      <c r="B5340" s="20"/>
      <c r="C5340" s="20"/>
      <c r="D5340" s="20"/>
      <c r="E5340" s="20"/>
      <c r="F5340" s="20"/>
      <c r="G5340" s="20"/>
      <c r="H5340" s="20"/>
      <c r="I5340" s="20"/>
      <c r="J5340" s="20"/>
      <c r="K5340" s="20"/>
      <c r="L5340" s="20"/>
      <c r="M5340" s="20"/>
      <c r="N5340" s="20"/>
      <c r="O5340" s="20"/>
      <c r="P5340" s="20"/>
      <c r="Q5340" s="20"/>
      <c r="R5340" s="20"/>
      <c r="S5340" s="20"/>
      <c r="T5340" s="20"/>
      <c r="U5340" s="20"/>
      <c r="V5340" s="20"/>
      <c r="W5340" s="21"/>
      <c r="X5340" s="20"/>
      <c r="Y5340" s="22"/>
      <c r="Z5340" s="22"/>
      <c r="AA5340" s="22"/>
      <c r="AB5340" s="22"/>
      <c r="AC5340" s="22"/>
    </row>
    <row r="5341" spans="1:29" ht="32.25" customHeight="1">
      <c r="A5341" s="19"/>
      <c r="B5341" s="20"/>
      <c r="C5341" s="20"/>
      <c r="D5341" s="20"/>
      <c r="E5341" s="20"/>
      <c r="F5341" s="20"/>
      <c r="G5341" s="20"/>
      <c r="H5341" s="20"/>
      <c r="I5341" s="20"/>
      <c r="J5341" s="20"/>
      <c r="K5341" s="20"/>
      <c r="L5341" s="20"/>
      <c r="M5341" s="20"/>
      <c r="N5341" s="20"/>
      <c r="O5341" s="20"/>
      <c r="P5341" s="20"/>
      <c r="Q5341" s="20"/>
      <c r="R5341" s="20"/>
      <c r="S5341" s="20"/>
      <c r="T5341" s="20"/>
      <c r="U5341" s="20"/>
      <c r="V5341" s="20"/>
      <c r="W5341" s="21"/>
      <c r="X5341" s="20"/>
      <c r="Y5341" s="22"/>
      <c r="Z5341" s="22"/>
      <c r="AA5341" s="22"/>
      <c r="AB5341" s="22"/>
      <c r="AC5341" s="22"/>
    </row>
    <row r="5342" spans="1:29" ht="32.25" customHeight="1">
      <c r="A5342" s="19"/>
      <c r="B5342" s="20"/>
      <c r="C5342" s="20"/>
      <c r="D5342" s="20"/>
      <c r="E5342" s="20"/>
      <c r="F5342" s="20"/>
      <c r="G5342" s="20"/>
      <c r="H5342" s="20"/>
      <c r="I5342" s="20"/>
      <c r="J5342" s="20"/>
      <c r="K5342" s="20"/>
      <c r="L5342" s="20"/>
      <c r="M5342" s="20"/>
      <c r="N5342" s="20"/>
      <c r="O5342" s="20"/>
      <c r="P5342" s="20"/>
      <c r="Q5342" s="20"/>
      <c r="R5342" s="20"/>
      <c r="S5342" s="20"/>
      <c r="T5342" s="20"/>
      <c r="U5342" s="20"/>
      <c r="V5342" s="20"/>
      <c r="W5342" s="21"/>
      <c r="X5342" s="20"/>
      <c r="Y5342" s="22"/>
      <c r="Z5342" s="22"/>
      <c r="AA5342" s="22"/>
      <c r="AB5342" s="22"/>
      <c r="AC5342" s="22"/>
    </row>
    <row r="5343" spans="1:29" ht="32.25" customHeight="1">
      <c r="A5343" s="19"/>
      <c r="B5343" s="20"/>
      <c r="C5343" s="20"/>
      <c r="D5343" s="20"/>
      <c r="E5343" s="20"/>
      <c r="F5343" s="20"/>
      <c r="G5343" s="20"/>
      <c r="H5343" s="20"/>
      <c r="I5343" s="20"/>
      <c r="J5343" s="20"/>
      <c r="K5343" s="20"/>
      <c r="L5343" s="20"/>
      <c r="M5343" s="20"/>
      <c r="N5343" s="20"/>
      <c r="O5343" s="20"/>
      <c r="P5343" s="20"/>
      <c r="Q5343" s="20"/>
      <c r="R5343" s="20"/>
      <c r="S5343" s="20"/>
      <c r="T5343" s="20"/>
      <c r="U5343" s="20"/>
      <c r="V5343" s="20"/>
      <c r="W5343" s="21"/>
      <c r="X5343" s="20"/>
      <c r="Y5343" s="22"/>
      <c r="Z5343" s="22"/>
      <c r="AA5343" s="22"/>
      <c r="AB5343" s="22"/>
      <c r="AC5343" s="22"/>
    </row>
    <row r="5344" spans="1:29" ht="32.25" customHeight="1">
      <c r="A5344" s="19"/>
      <c r="B5344" s="20"/>
      <c r="C5344" s="20"/>
      <c r="D5344" s="20"/>
      <c r="E5344" s="20"/>
      <c r="F5344" s="20"/>
      <c r="G5344" s="20"/>
      <c r="H5344" s="20"/>
      <c r="I5344" s="20"/>
      <c r="J5344" s="20"/>
      <c r="K5344" s="20"/>
      <c r="L5344" s="20"/>
      <c r="M5344" s="20"/>
      <c r="N5344" s="20"/>
      <c r="O5344" s="20"/>
      <c r="P5344" s="20"/>
      <c r="Q5344" s="20"/>
      <c r="R5344" s="20"/>
      <c r="S5344" s="20"/>
      <c r="T5344" s="20"/>
      <c r="U5344" s="20"/>
      <c r="V5344" s="20"/>
      <c r="W5344" s="21"/>
      <c r="X5344" s="20"/>
      <c r="Y5344" s="22"/>
      <c r="Z5344" s="22"/>
      <c r="AA5344" s="22"/>
      <c r="AB5344" s="22"/>
      <c r="AC5344" s="22"/>
    </row>
    <row r="5345" spans="1:29" ht="32.25" customHeight="1">
      <c r="A5345" s="19"/>
      <c r="B5345" s="20"/>
      <c r="C5345" s="20"/>
      <c r="D5345" s="20"/>
      <c r="E5345" s="20"/>
      <c r="F5345" s="20"/>
      <c r="G5345" s="20"/>
      <c r="H5345" s="20"/>
      <c r="I5345" s="20"/>
      <c r="J5345" s="20"/>
      <c r="K5345" s="20"/>
      <c r="L5345" s="20"/>
      <c r="M5345" s="20"/>
      <c r="N5345" s="20"/>
      <c r="O5345" s="20"/>
      <c r="P5345" s="20"/>
      <c r="Q5345" s="20"/>
      <c r="R5345" s="20"/>
      <c r="S5345" s="20"/>
      <c r="T5345" s="20"/>
      <c r="U5345" s="20"/>
      <c r="V5345" s="20"/>
      <c r="W5345" s="21"/>
      <c r="X5345" s="20"/>
      <c r="Y5345" s="22"/>
      <c r="Z5345" s="22"/>
      <c r="AA5345" s="22"/>
      <c r="AB5345" s="22"/>
      <c r="AC5345" s="22"/>
    </row>
    <row r="5346" spans="1:29" ht="32.25" customHeight="1">
      <c r="A5346" s="19"/>
      <c r="B5346" s="20"/>
      <c r="C5346" s="20"/>
      <c r="D5346" s="20"/>
      <c r="E5346" s="20"/>
      <c r="F5346" s="20"/>
      <c r="G5346" s="20"/>
      <c r="H5346" s="20"/>
      <c r="I5346" s="20"/>
      <c r="J5346" s="20"/>
      <c r="K5346" s="20"/>
      <c r="L5346" s="20"/>
      <c r="M5346" s="20"/>
      <c r="N5346" s="20"/>
      <c r="O5346" s="20"/>
      <c r="P5346" s="20"/>
      <c r="Q5346" s="20"/>
      <c r="R5346" s="20"/>
      <c r="S5346" s="20"/>
      <c r="T5346" s="20"/>
      <c r="U5346" s="20"/>
      <c r="V5346" s="20"/>
      <c r="W5346" s="21"/>
      <c r="X5346" s="20"/>
      <c r="Y5346" s="22"/>
      <c r="Z5346" s="22"/>
      <c r="AA5346" s="22"/>
      <c r="AB5346" s="22"/>
      <c r="AC5346" s="22"/>
    </row>
    <row r="5347" spans="1:29" ht="32.25" customHeight="1">
      <c r="A5347" s="19"/>
      <c r="B5347" s="20"/>
      <c r="C5347" s="20"/>
      <c r="D5347" s="20"/>
      <c r="E5347" s="20"/>
      <c r="F5347" s="20"/>
      <c r="G5347" s="20"/>
      <c r="H5347" s="20"/>
      <c r="I5347" s="20"/>
      <c r="J5347" s="20"/>
      <c r="K5347" s="20"/>
      <c r="L5347" s="20"/>
      <c r="M5347" s="20"/>
      <c r="N5347" s="20"/>
      <c r="O5347" s="20"/>
      <c r="P5347" s="20"/>
      <c r="Q5347" s="20"/>
      <c r="R5347" s="20"/>
      <c r="S5347" s="20"/>
      <c r="T5347" s="20"/>
      <c r="U5347" s="20"/>
      <c r="V5347" s="20"/>
      <c r="W5347" s="21"/>
      <c r="X5347" s="20"/>
      <c r="Y5347" s="22"/>
      <c r="Z5347" s="22"/>
      <c r="AA5347" s="22"/>
      <c r="AB5347" s="22"/>
      <c r="AC5347" s="22"/>
    </row>
    <row r="5348" spans="1:29" ht="32.25" customHeight="1">
      <c r="A5348" s="19"/>
      <c r="B5348" s="20"/>
      <c r="C5348" s="20"/>
      <c r="D5348" s="20"/>
      <c r="E5348" s="20"/>
      <c r="F5348" s="20"/>
      <c r="G5348" s="20"/>
      <c r="H5348" s="20"/>
      <c r="I5348" s="20"/>
      <c r="J5348" s="20"/>
      <c r="K5348" s="20"/>
      <c r="L5348" s="20"/>
      <c r="M5348" s="20"/>
      <c r="N5348" s="20"/>
      <c r="O5348" s="20"/>
      <c r="P5348" s="20"/>
      <c r="Q5348" s="20"/>
      <c r="R5348" s="20"/>
      <c r="S5348" s="20"/>
      <c r="T5348" s="20"/>
      <c r="U5348" s="20"/>
      <c r="V5348" s="20"/>
      <c r="W5348" s="21"/>
      <c r="X5348" s="20"/>
      <c r="Y5348" s="22"/>
      <c r="Z5348" s="22"/>
      <c r="AA5348" s="22"/>
      <c r="AB5348" s="22"/>
      <c r="AC5348" s="22"/>
    </row>
    <row r="5349" spans="1:29" ht="32.25" customHeight="1">
      <c r="A5349" s="19"/>
      <c r="B5349" s="20"/>
      <c r="C5349" s="20"/>
      <c r="D5349" s="20"/>
      <c r="E5349" s="20"/>
      <c r="F5349" s="20"/>
      <c r="G5349" s="20"/>
      <c r="H5349" s="20"/>
      <c r="I5349" s="20"/>
      <c r="J5349" s="20"/>
      <c r="K5349" s="20"/>
      <c r="L5349" s="20"/>
      <c r="M5349" s="20"/>
      <c r="N5349" s="20"/>
      <c r="O5349" s="20"/>
      <c r="P5349" s="20"/>
      <c r="Q5349" s="20"/>
      <c r="R5349" s="20"/>
      <c r="S5349" s="20"/>
      <c r="T5349" s="20"/>
      <c r="U5349" s="20"/>
      <c r="V5349" s="20"/>
      <c r="W5349" s="21"/>
      <c r="X5349" s="20"/>
      <c r="Y5349" s="22"/>
      <c r="Z5349" s="22"/>
      <c r="AA5349" s="22"/>
      <c r="AB5349" s="22"/>
      <c r="AC5349" s="22"/>
    </row>
    <row r="5350" spans="1:29" ht="32.25" customHeight="1">
      <c r="A5350" s="19"/>
      <c r="B5350" s="20"/>
      <c r="C5350" s="20"/>
      <c r="D5350" s="20"/>
      <c r="E5350" s="20"/>
      <c r="F5350" s="20"/>
      <c r="G5350" s="20"/>
      <c r="H5350" s="20"/>
      <c r="I5350" s="20"/>
      <c r="J5350" s="20"/>
      <c r="K5350" s="20"/>
      <c r="L5350" s="20"/>
      <c r="M5350" s="20"/>
      <c r="N5350" s="20"/>
      <c r="O5350" s="20"/>
      <c r="P5350" s="20"/>
      <c r="Q5350" s="20"/>
      <c r="R5350" s="20"/>
      <c r="S5350" s="20"/>
      <c r="T5350" s="20"/>
      <c r="U5350" s="20"/>
      <c r="V5350" s="20"/>
      <c r="W5350" s="21"/>
      <c r="X5350" s="20"/>
      <c r="Y5350" s="22"/>
      <c r="Z5350" s="22"/>
      <c r="AA5350" s="22"/>
      <c r="AB5350" s="22"/>
      <c r="AC5350" s="22"/>
    </row>
    <row r="5351" spans="1:29" ht="32.25" customHeight="1">
      <c r="A5351" s="19"/>
      <c r="B5351" s="20"/>
      <c r="C5351" s="20"/>
      <c r="D5351" s="20"/>
      <c r="E5351" s="20"/>
      <c r="F5351" s="20"/>
      <c r="G5351" s="20"/>
      <c r="H5351" s="20"/>
      <c r="I5351" s="20"/>
      <c r="J5351" s="20"/>
      <c r="K5351" s="20"/>
      <c r="L5351" s="20"/>
      <c r="M5351" s="20"/>
      <c r="N5351" s="20"/>
      <c r="O5351" s="20"/>
      <c r="P5351" s="20"/>
      <c r="Q5351" s="20"/>
      <c r="R5351" s="20"/>
      <c r="S5351" s="20"/>
      <c r="T5351" s="20"/>
      <c r="U5351" s="20"/>
      <c r="V5351" s="20"/>
      <c r="W5351" s="21"/>
      <c r="X5351" s="20"/>
      <c r="Y5351" s="22"/>
      <c r="Z5351" s="22"/>
      <c r="AA5351" s="22"/>
      <c r="AB5351" s="22"/>
      <c r="AC5351" s="22"/>
    </row>
    <row r="5352" spans="1:29" ht="32.25" customHeight="1">
      <c r="A5352" s="19"/>
      <c r="B5352" s="20"/>
      <c r="C5352" s="20"/>
      <c r="D5352" s="20"/>
      <c r="E5352" s="20"/>
      <c r="F5352" s="20"/>
      <c r="G5352" s="20"/>
      <c r="H5352" s="20"/>
      <c r="I5352" s="20"/>
      <c r="J5352" s="20"/>
      <c r="K5352" s="20"/>
      <c r="L5352" s="20"/>
      <c r="M5352" s="20"/>
      <c r="N5352" s="20"/>
      <c r="O5352" s="20"/>
      <c r="P5352" s="20"/>
      <c r="Q5352" s="20"/>
      <c r="R5352" s="20"/>
      <c r="S5352" s="20"/>
      <c r="T5352" s="20"/>
      <c r="U5352" s="20"/>
      <c r="V5352" s="20"/>
      <c r="W5352" s="21"/>
      <c r="X5352" s="20"/>
      <c r="Y5352" s="22"/>
      <c r="Z5352" s="22"/>
      <c r="AA5352" s="22"/>
      <c r="AB5352" s="22"/>
      <c r="AC5352" s="22"/>
    </row>
    <row r="5353" spans="1:29" ht="32.25" customHeight="1">
      <c r="A5353" s="19"/>
      <c r="B5353" s="20"/>
      <c r="C5353" s="20"/>
      <c r="D5353" s="20"/>
      <c r="E5353" s="20"/>
      <c r="F5353" s="20"/>
      <c r="G5353" s="20"/>
      <c r="H5353" s="20"/>
      <c r="I5353" s="20"/>
      <c r="J5353" s="20"/>
      <c r="K5353" s="20"/>
      <c r="L5353" s="20"/>
      <c r="M5353" s="20"/>
      <c r="N5353" s="20"/>
      <c r="O5353" s="20"/>
      <c r="P5353" s="20"/>
      <c r="Q5353" s="20"/>
      <c r="R5353" s="20"/>
      <c r="S5353" s="20"/>
      <c r="T5353" s="20"/>
      <c r="U5353" s="20"/>
      <c r="V5353" s="20"/>
      <c r="W5353" s="21"/>
      <c r="X5353" s="20"/>
      <c r="Y5353" s="22"/>
      <c r="Z5353" s="22"/>
      <c r="AA5353" s="22"/>
      <c r="AB5353" s="22"/>
      <c r="AC5353" s="22"/>
    </row>
    <row r="5354" spans="1:29" ht="32.25" customHeight="1">
      <c r="A5354" s="19"/>
      <c r="B5354" s="20"/>
      <c r="C5354" s="20"/>
      <c r="D5354" s="20"/>
      <c r="E5354" s="20"/>
      <c r="F5354" s="20"/>
      <c r="G5354" s="20"/>
      <c r="H5354" s="20"/>
      <c r="I5354" s="20"/>
      <c r="J5354" s="20"/>
      <c r="K5354" s="20"/>
      <c r="L5354" s="20"/>
      <c r="M5354" s="20"/>
      <c r="N5354" s="20"/>
      <c r="O5354" s="20"/>
      <c r="P5354" s="20"/>
      <c r="Q5354" s="20"/>
      <c r="R5354" s="20"/>
      <c r="S5354" s="20"/>
      <c r="T5354" s="20"/>
      <c r="U5354" s="20"/>
      <c r="V5354" s="20"/>
      <c r="W5354" s="21"/>
      <c r="X5354" s="20"/>
      <c r="Y5354" s="22"/>
      <c r="Z5354" s="22"/>
      <c r="AA5354" s="22"/>
      <c r="AB5354" s="22"/>
      <c r="AC5354" s="22"/>
    </row>
    <row r="5355" spans="1:29" ht="32.25" customHeight="1">
      <c r="A5355" s="19"/>
      <c r="B5355" s="20"/>
      <c r="C5355" s="20"/>
      <c r="D5355" s="20"/>
      <c r="E5355" s="20"/>
      <c r="F5355" s="20"/>
      <c r="G5355" s="20"/>
      <c r="H5355" s="20"/>
      <c r="I5355" s="20"/>
      <c r="J5355" s="20"/>
      <c r="K5355" s="20"/>
      <c r="L5355" s="20"/>
      <c r="M5355" s="20"/>
      <c r="N5355" s="20"/>
      <c r="O5355" s="20"/>
      <c r="P5355" s="20"/>
      <c r="Q5355" s="20"/>
      <c r="R5355" s="20"/>
      <c r="S5355" s="20"/>
      <c r="T5355" s="20"/>
      <c r="U5355" s="20"/>
      <c r="V5355" s="20"/>
      <c r="W5355" s="21"/>
      <c r="X5355" s="20"/>
      <c r="Y5355" s="22"/>
      <c r="Z5355" s="22"/>
      <c r="AA5355" s="22"/>
      <c r="AB5355" s="22"/>
      <c r="AC5355" s="22"/>
    </row>
    <row r="5356" spans="1:29" ht="32.25" customHeight="1">
      <c r="A5356" s="19"/>
      <c r="B5356" s="20"/>
      <c r="C5356" s="20"/>
      <c r="D5356" s="20"/>
      <c r="E5356" s="20"/>
      <c r="F5356" s="20"/>
      <c r="G5356" s="20"/>
      <c r="H5356" s="20"/>
      <c r="I5356" s="20"/>
      <c r="J5356" s="20"/>
      <c r="K5356" s="20"/>
      <c r="L5356" s="20"/>
      <c r="M5356" s="20"/>
      <c r="N5356" s="20"/>
      <c r="O5356" s="20"/>
      <c r="P5356" s="20"/>
      <c r="Q5356" s="20"/>
      <c r="R5356" s="20"/>
      <c r="S5356" s="20"/>
      <c r="T5356" s="20"/>
      <c r="U5356" s="20"/>
      <c r="V5356" s="20"/>
      <c r="W5356" s="21"/>
      <c r="X5356" s="20"/>
      <c r="Y5356" s="22"/>
      <c r="Z5356" s="22"/>
      <c r="AA5356" s="22"/>
      <c r="AB5356" s="22"/>
      <c r="AC5356" s="22"/>
    </row>
    <row r="5357" spans="1:29" ht="32.25" customHeight="1">
      <c r="A5357" s="19"/>
      <c r="B5357" s="20"/>
      <c r="C5357" s="20"/>
      <c r="D5357" s="20"/>
      <c r="E5357" s="20"/>
      <c r="F5357" s="20"/>
      <c r="G5357" s="20"/>
      <c r="H5357" s="20"/>
      <c r="I5357" s="20"/>
      <c r="J5357" s="20"/>
      <c r="K5357" s="20"/>
      <c r="L5357" s="20"/>
      <c r="M5357" s="20"/>
      <c r="N5357" s="20"/>
      <c r="O5357" s="20"/>
      <c r="P5357" s="20"/>
      <c r="Q5357" s="20"/>
      <c r="R5357" s="20"/>
      <c r="S5357" s="20"/>
      <c r="T5357" s="20"/>
      <c r="U5357" s="20"/>
      <c r="V5357" s="20"/>
      <c r="W5357" s="21"/>
      <c r="X5357" s="20"/>
      <c r="Y5357" s="22"/>
      <c r="Z5357" s="22"/>
      <c r="AA5357" s="22"/>
      <c r="AB5357" s="22"/>
      <c r="AC5357" s="22"/>
    </row>
    <row r="5358" spans="1:29" ht="32.25" customHeight="1">
      <c r="A5358" s="19"/>
      <c r="B5358" s="20"/>
      <c r="C5358" s="20"/>
      <c r="D5358" s="20"/>
      <c r="E5358" s="20"/>
      <c r="F5358" s="20"/>
      <c r="G5358" s="20"/>
      <c r="H5358" s="20"/>
      <c r="I5358" s="20"/>
      <c r="J5358" s="20"/>
      <c r="K5358" s="20"/>
      <c r="L5358" s="20"/>
      <c r="M5358" s="20"/>
      <c r="N5358" s="20"/>
      <c r="O5358" s="20"/>
      <c r="P5358" s="20"/>
      <c r="Q5358" s="20"/>
      <c r="R5358" s="20"/>
      <c r="S5358" s="20"/>
      <c r="T5358" s="20"/>
      <c r="U5358" s="20"/>
      <c r="V5358" s="20"/>
      <c r="W5358" s="21"/>
      <c r="X5358" s="20"/>
      <c r="Y5358" s="22"/>
      <c r="Z5358" s="22"/>
      <c r="AA5358" s="22"/>
      <c r="AB5358" s="22"/>
      <c r="AC5358" s="22"/>
    </row>
    <row r="5359" spans="1:29" ht="32.25" customHeight="1">
      <c r="A5359" s="19"/>
      <c r="B5359" s="20"/>
      <c r="C5359" s="20"/>
      <c r="D5359" s="20"/>
      <c r="E5359" s="20"/>
      <c r="F5359" s="20"/>
      <c r="G5359" s="20"/>
      <c r="H5359" s="20"/>
      <c r="I5359" s="20"/>
      <c r="J5359" s="20"/>
      <c r="K5359" s="20"/>
      <c r="L5359" s="20"/>
      <c r="M5359" s="20"/>
      <c r="N5359" s="20"/>
      <c r="O5359" s="20"/>
      <c r="P5359" s="20"/>
      <c r="Q5359" s="20"/>
      <c r="R5359" s="20"/>
      <c r="S5359" s="20"/>
      <c r="T5359" s="20"/>
      <c r="U5359" s="20"/>
      <c r="V5359" s="20"/>
      <c r="W5359" s="21"/>
      <c r="X5359" s="20"/>
      <c r="Y5359" s="22"/>
      <c r="Z5359" s="22"/>
      <c r="AA5359" s="22"/>
      <c r="AB5359" s="22"/>
      <c r="AC5359" s="22"/>
    </row>
    <row r="5360" spans="1:29" ht="32.25" customHeight="1">
      <c r="A5360" s="19"/>
      <c r="B5360" s="20"/>
      <c r="C5360" s="20"/>
      <c r="D5360" s="20"/>
      <c r="E5360" s="20"/>
      <c r="F5360" s="20"/>
      <c r="G5360" s="20"/>
      <c r="H5360" s="20"/>
      <c r="I5360" s="20"/>
      <c r="J5360" s="20"/>
      <c r="K5360" s="20"/>
      <c r="L5360" s="20"/>
      <c r="M5360" s="20"/>
      <c r="N5360" s="20"/>
      <c r="O5360" s="20"/>
      <c r="P5360" s="20"/>
      <c r="Q5360" s="20"/>
      <c r="R5360" s="20"/>
      <c r="S5360" s="20"/>
      <c r="T5360" s="20"/>
      <c r="U5360" s="20"/>
      <c r="V5360" s="20"/>
      <c r="W5360" s="21"/>
      <c r="X5360" s="20"/>
      <c r="Y5360" s="22"/>
      <c r="Z5360" s="22"/>
      <c r="AA5360" s="22"/>
      <c r="AB5360" s="22"/>
      <c r="AC5360" s="22"/>
    </row>
    <row r="5361" spans="1:29" ht="32.25" customHeight="1">
      <c r="A5361" s="19"/>
      <c r="B5361" s="20"/>
      <c r="C5361" s="20"/>
      <c r="D5361" s="20"/>
      <c r="E5361" s="20"/>
      <c r="F5361" s="20"/>
      <c r="G5361" s="20"/>
      <c r="H5361" s="20"/>
      <c r="I5361" s="20"/>
      <c r="J5361" s="20"/>
      <c r="K5361" s="20"/>
      <c r="L5361" s="20"/>
      <c r="M5361" s="20"/>
      <c r="N5361" s="20"/>
      <c r="O5361" s="20"/>
      <c r="P5361" s="20"/>
      <c r="Q5361" s="20"/>
      <c r="R5361" s="20"/>
      <c r="S5361" s="20"/>
      <c r="T5361" s="20"/>
      <c r="U5361" s="20"/>
      <c r="V5361" s="20"/>
      <c r="W5361" s="21"/>
      <c r="X5361" s="20"/>
      <c r="Y5361" s="22"/>
      <c r="Z5361" s="22"/>
      <c r="AA5361" s="22"/>
      <c r="AB5361" s="22"/>
      <c r="AC5361" s="22"/>
    </row>
    <row r="5362" spans="1:29" ht="32.25" customHeight="1">
      <c r="A5362" s="19"/>
      <c r="B5362" s="20"/>
      <c r="C5362" s="20"/>
      <c r="D5362" s="20"/>
      <c r="E5362" s="20"/>
      <c r="F5362" s="20"/>
      <c r="G5362" s="20"/>
      <c r="H5362" s="20"/>
      <c r="I5362" s="20"/>
      <c r="J5362" s="20"/>
      <c r="K5362" s="20"/>
      <c r="L5362" s="20"/>
      <c r="M5362" s="20"/>
      <c r="N5362" s="20"/>
      <c r="O5362" s="20"/>
      <c r="P5362" s="20"/>
      <c r="Q5362" s="20"/>
      <c r="R5362" s="20"/>
      <c r="S5362" s="20"/>
      <c r="T5362" s="20"/>
      <c r="U5362" s="20"/>
      <c r="V5362" s="20"/>
      <c r="W5362" s="21"/>
      <c r="X5362" s="20"/>
      <c r="Y5362" s="22"/>
      <c r="Z5362" s="22"/>
      <c r="AA5362" s="22"/>
      <c r="AB5362" s="22"/>
      <c r="AC5362" s="22"/>
    </row>
    <row r="5363" spans="1:29" ht="32.25" customHeight="1">
      <c r="A5363" s="19"/>
      <c r="B5363" s="20"/>
      <c r="C5363" s="20"/>
      <c r="D5363" s="20"/>
      <c r="E5363" s="20"/>
      <c r="F5363" s="20"/>
      <c r="G5363" s="20"/>
      <c r="H5363" s="20"/>
      <c r="I5363" s="20"/>
      <c r="J5363" s="20"/>
      <c r="K5363" s="20"/>
      <c r="L5363" s="20"/>
      <c r="M5363" s="20"/>
      <c r="N5363" s="20"/>
      <c r="O5363" s="20"/>
      <c r="P5363" s="20"/>
      <c r="Q5363" s="20"/>
      <c r="R5363" s="20"/>
      <c r="S5363" s="20"/>
      <c r="T5363" s="20"/>
      <c r="U5363" s="20"/>
      <c r="V5363" s="20"/>
      <c r="W5363" s="21"/>
      <c r="X5363" s="20"/>
      <c r="Y5363" s="22"/>
      <c r="Z5363" s="22"/>
      <c r="AA5363" s="22"/>
      <c r="AB5363" s="22"/>
      <c r="AC5363" s="22"/>
    </row>
    <row r="5364" spans="1:29" ht="32.25" customHeight="1">
      <c r="A5364" s="19"/>
      <c r="B5364" s="20"/>
      <c r="C5364" s="20"/>
      <c r="D5364" s="20"/>
      <c r="E5364" s="20"/>
      <c r="F5364" s="20"/>
      <c r="G5364" s="20"/>
      <c r="H5364" s="20"/>
      <c r="I5364" s="20"/>
      <c r="J5364" s="20"/>
      <c r="K5364" s="20"/>
      <c r="L5364" s="20"/>
      <c r="M5364" s="20"/>
      <c r="N5364" s="20"/>
      <c r="O5364" s="20"/>
      <c r="P5364" s="20"/>
      <c r="Q5364" s="20"/>
      <c r="R5364" s="20"/>
      <c r="S5364" s="20"/>
      <c r="T5364" s="20"/>
      <c r="U5364" s="20"/>
      <c r="V5364" s="20"/>
      <c r="W5364" s="21"/>
      <c r="X5364" s="20"/>
      <c r="Y5364" s="22"/>
      <c r="Z5364" s="22"/>
      <c r="AA5364" s="22"/>
      <c r="AB5364" s="22"/>
      <c r="AC5364" s="22"/>
    </row>
    <row r="5365" spans="1:29" ht="32.25" customHeight="1">
      <c r="A5365" s="19"/>
      <c r="B5365" s="20"/>
      <c r="C5365" s="20"/>
      <c r="D5365" s="20"/>
      <c r="E5365" s="20"/>
      <c r="F5365" s="20"/>
      <c r="G5365" s="20"/>
      <c r="H5365" s="20"/>
      <c r="I5365" s="20"/>
      <c r="J5365" s="20"/>
      <c r="K5365" s="20"/>
      <c r="L5365" s="20"/>
      <c r="M5365" s="20"/>
      <c r="N5365" s="20"/>
      <c r="O5365" s="20"/>
      <c r="P5365" s="20"/>
      <c r="Q5365" s="20"/>
      <c r="R5365" s="20"/>
      <c r="S5365" s="20"/>
      <c r="T5365" s="20"/>
      <c r="U5365" s="20"/>
      <c r="V5365" s="20"/>
      <c r="W5365" s="21"/>
      <c r="X5365" s="20"/>
      <c r="Y5365" s="22"/>
      <c r="Z5365" s="22"/>
      <c r="AA5365" s="22"/>
      <c r="AB5365" s="22"/>
      <c r="AC5365" s="22"/>
    </row>
    <row r="5366" spans="1:29" ht="32.25" customHeight="1">
      <c r="A5366" s="19"/>
      <c r="B5366" s="20"/>
      <c r="C5366" s="20"/>
      <c r="D5366" s="20"/>
      <c r="E5366" s="20"/>
      <c r="F5366" s="20"/>
      <c r="G5366" s="20"/>
      <c r="H5366" s="20"/>
      <c r="I5366" s="20"/>
      <c r="J5366" s="20"/>
      <c r="K5366" s="20"/>
      <c r="L5366" s="20"/>
      <c r="M5366" s="20"/>
      <c r="N5366" s="20"/>
      <c r="O5366" s="20"/>
      <c r="P5366" s="20"/>
      <c r="Q5366" s="20"/>
      <c r="R5366" s="20"/>
      <c r="S5366" s="20"/>
      <c r="T5366" s="20"/>
      <c r="U5366" s="20"/>
      <c r="V5366" s="20"/>
      <c r="W5366" s="21"/>
      <c r="X5366" s="20"/>
      <c r="Y5366" s="22"/>
      <c r="Z5366" s="22"/>
      <c r="AA5366" s="22"/>
      <c r="AB5366" s="22"/>
      <c r="AC5366" s="22"/>
    </row>
    <row r="5367" spans="1:29" ht="32.25" customHeight="1">
      <c r="A5367" s="19"/>
      <c r="B5367" s="20"/>
      <c r="C5367" s="20"/>
      <c r="D5367" s="20"/>
      <c r="E5367" s="20"/>
      <c r="F5367" s="20"/>
      <c r="G5367" s="20"/>
      <c r="H5367" s="20"/>
      <c r="I5367" s="20"/>
      <c r="J5367" s="20"/>
      <c r="K5367" s="20"/>
      <c r="L5367" s="20"/>
      <c r="M5367" s="20"/>
      <c r="N5367" s="20"/>
      <c r="O5367" s="20"/>
      <c r="P5367" s="20"/>
      <c r="Q5367" s="20"/>
      <c r="R5367" s="20"/>
      <c r="S5367" s="20"/>
      <c r="T5367" s="20"/>
      <c r="U5367" s="20"/>
      <c r="V5367" s="20"/>
      <c r="W5367" s="21"/>
      <c r="X5367" s="20"/>
      <c r="Y5367" s="22"/>
      <c r="Z5367" s="22"/>
      <c r="AA5367" s="22"/>
      <c r="AB5367" s="22"/>
      <c r="AC5367" s="22"/>
    </row>
    <row r="5368" spans="1:29" ht="32.25" customHeight="1">
      <c r="A5368" s="19"/>
      <c r="B5368" s="20"/>
      <c r="C5368" s="20"/>
      <c r="D5368" s="20"/>
      <c r="E5368" s="20"/>
      <c r="F5368" s="20"/>
      <c r="G5368" s="20"/>
      <c r="H5368" s="20"/>
      <c r="I5368" s="20"/>
      <c r="J5368" s="20"/>
      <c r="K5368" s="20"/>
      <c r="L5368" s="20"/>
      <c r="M5368" s="20"/>
      <c r="N5368" s="20"/>
      <c r="O5368" s="20"/>
      <c r="P5368" s="20"/>
      <c r="Q5368" s="20"/>
      <c r="R5368" s="20"/>
      <c r="S5368" s="20"/>
      <c r="T5368" s="20"/>
      <c r="U5368" s="20"/>
      <c r="V5368" s="20"/>
      <c r="W5368" s="21"/>
      <c r="X5368" s="20"/>
      <c r="Y5368" s="22"/>
      <c r="Z5368" s="22"/>
      <c r="AA5368" s="22"/>
      <c r="AB5368" s="22"/>
      <c r="AC5368" s="22"/>
    </row>
    <row r="5369" spans="1:29" ht="32.25" customHeight="1">
      <c r="A5369" s="19"/>
      <c r="B5369" s="20"/>
      <c r="C5369" s="20"/>
      <c r="D5369" s="20"/>
      <c r="E5369" s="20"/>
      <c r="F5369" s="20"/>
      <c r="G5369" s="20"/>
      <c r="H5369" s="20"/>
      <c r="I5369" s="20"/>
      <c r="J5369" s="20"/>
      <c r="K5369" s="20"/>
      <c r="L5369" s="20"/>
      <c r="M5369" s="20"/>
      <c r="N5369" s="20"/>
      <c r="O5369" s="20"/>
      <c r="P5369" s="20"/>
      <c r="Q5369" s="20"/>
      <c r="R5369" s="20"/>
      <c r="S5369" s="20"/>
      <c r="T5369" s="20"/>
      <c r="U5369" s="20"/>
      <c r="V5369" s="20"/>
      <c r="W5369" s="21"/>
      <c r="X5369" s="20"/>
      <c r="Y5369" s="22"/>
      <c r="Z5369" s="22"/>
      <c r="AA5369" s="22"/>
      <c r="AB5369" s="22"/>
      <c r="AC5369" s="22"/>
    </row>
    <row r="5370" spans="1:29" ht="32.25" customHeight="1">
      <c r="A5370" s="19"/>
      <c r="B5370" s="20"/>
      <c r="C5370" s="20"/>
      <c r="D5370" s="20"/>
      <c r="E5370" s="20"/>
      <c r="F5370" s="20"/>
      <c r="G5370" s="20"/>
      <c r="H5370" s="20"/>
      <c r="I5370" s="20"/>
      <c r="J5370" s="20"/>
      <c r="K5370" s="20"/>
      <c r="L5370" s="20"/>
      <c r="M5370" s="20"/>
      <c r="N5370" s="20"/>
      <c r="O5370" s="20"/>
      <c r="P5370" s="20"/>
      <c r="Q5370" s="20"/>
      <c r="R5370" s="20"/>
      <c r="S5370" s="20"/>
      <c r="T5370" s="20"/>
      <c r="U5370" s="20"/>
      <c r="V5370" s="20"/>
      <c r="W5370" s="21"/>
      <c r="X5370" s="20"/>
      <c r="Y5370" s="22"/>
      <c r="Z5370" s="22"/>
      <c r="AA5370" s="22"/>
      <c r="AB5370" s="22"/>
      <c r="AC5370" s="22"/>
    </row>
    <row r="5371" spans="1:29" ht="32.25" customHeight="1">
      <c r="A5371" s="19"/>
      <c r="B5371" s="20"/>
      <c r="C5371" s="20"/>
      <c r="D5371" s="20"/>
      <c r="E5371" s="20"/>
      <c r="F5371" s="20"/>
      <c r="G5371" s="20"/>
      <c r="H5371" s="20"/>
      <c r="I5371" s="20"/>
      <c r="J5371" s="20"/>
      <c r="K5371" s="20"/>
      <c r="L5371" s="20"/>
      <c r="M5371" s="20"/>
      <c r="N5371" s="20"/>
      <c r="O5371" s="20"/>
      <c r="P5371" s="20"/>
      <c r="Q5371" s="20"/>
      <c r="R5371" s="20"/>
      <c r="S5371" s="20"/>
      <c r="T5371" s="20"/>
      <c r="U5371" s="20"/>
      <c r="V5371" s="20"/>
      <c r="W5371" s="21"/>
      <c r="X5371" s="20"/>
      <c r="Y5371" s="22"/>
      <c r="Z5371" s="22"/>
      <c r="AA5371" s="22"/>
      <c r="AB5371" s="22"/>
      <c r="AC5371" s="22"/>
    </row>
    <row r="5372" spans="1:29" ht="32.25" customHeight="1">
      <c r="A5372" s="19"/>
      <c r="B5372" s="20"/>
      <c r="C5372" s="20"/>
      <c r="D5372" s="20"/>
      <c r="E5372" s="20"/>
      <c r="F5372" s="20"/>
      <c r="G5372" s="20"/>
      <c r="H5372" s="20"/>
      <c r="I5372" s="20"/>
      <c r="J5372" s="20"/>
      <c r="K5372" s="20"/>
      <c r="L5372" s="20"/>
      <c r="M5372" s="20"/>
      <c r="N5372" s="20"/>
      <c r="O5372" s="20"/>
      <c r="P5372" s="20"/>
      <c r="Q5372" s="20"/>
      <c r="R5372" s="20"/>
      <c r="S5372" s="20"/>
      <c r="T5372" s="20"/>
      <c r="U5372" s="20"/>
      <c r="V5372" s="20"/>
      <c r="W5372" s="21"/>
      <c r="X5372" s="20"/>
      <c r="Y5372" s="22"/>
      <c r="Z5372" s="22"/>
      <c r="AA5372" s="22"/>
      <c r="AB5372" s="22"/>
      <c r="AC5372" s="22"/>
    </row>
    <row r="5373" spans="1:29" ht="32.25" customHeight="1">
      <c r="A5373" s="19"/>
      <c r="B5373" s="20"/>
      <c r="C5373" s="20"/>
      <c r="D5373" s="20"/>
      <c r="E5373" s="20"/>
      <c r="F5373" s="20"/>
      <c r="G5373" s="20"/>
      <c r="H5373" s="20"/>
      <c r="I5373" s="20"/>
      <c r="J5373" s="20"/>
      <c r="K5373" s="20"/>
      <c r="L5373" s="20"/>
      <c r="M5373" s="20"/>
      <c r="N5373" s="20"/>
      <c r="O5373" s="20"/>
      <c r="P5373" s="20"/>
      <c r="Q5373" s="20"/>
      <c r="R5373" s="20"/>
      <c r="S5373" s="20"/>
      <c r="T5373" s="20"/>
      <c r="U5373" s="20"/>
      <c r="V5373" s="20"/>
      <c r="W5373" s="21"/>
      <c r="X5373" s="20"/>
      <c r="Y5373" s="22"/>
      <c r="Z5373" s="22"/>
      <c r="AA5373" s="22"/>
      <c r="AB5373" s="22"/>
      <c r="AC5373" s="22"/>
    </row>
    <row r="5374" spans="1:29" ht="32.25" customHeight="1">
      <c r="A5374" s="19"/>
      <c r="B5374" s="20"/>
      <c r="C5374" s="20"/>
      <c r="D5374" s="20"/>
      <c r="E5374" s="20"/>
      <c r="F5374" s="20"/>
      <c r="G5374" s="20"/>
      <c r="H5374" s="20"/>
      <c r="I5374" s="20"/>
      <c r="J5374" s="20"/>
      <c r="K5374" s="20"/>
      <c r="L5374" s="20"/>
      <c r="M5374" s="20"/>
      <c r="N5374" s="20"/>
      <c r="O5374" s="20"/>
      <c r="P5374" s="20"/>
      <c r="Q5374" s="20"/>
      <c r="R5374" s="20"/>
      <c r="S5374" s="20"/>
      <c r="T5374" s="20"/>
      <c r="U5374" s="20"/>
      <c r="V5374" s="20"/>
      <c r="W5374" s="21"/>
      <c r="X5374" s="20"/>
      <c r="Y5374" s="22"/>
      <c r="Z5374" s="22"/>
      <c r="AA5374" s="22"/>
      <c r="AB5374" s="22"/>
      <c r="AC5374" s="22"/>
    </row>
    <row r="5375" spans="1:29" ht="32.25" customHeight="1">
      <c r="A5375" s="19"/>
      <c r="B5375" s="20"/>
      <c r="C5375" s="20"/>
      <c r="D5375" s="20"/>
      <c r="E5375" s="20"/>
      <c r="F5375" s="20"/>
      <c r="G5375" s="20"/>
      <c r="H5375" s="20"/>
      <c r="I5375" s="20"/>
      <c r="J5375" s="20"/>
      <c r="K5375" s="20"/>
      <c r="L5375" s="20"/>
      <c r="M5375" s="20"/>
      <c r="N5375" s="20"/>
      <c r="O5375" s="20"/>
      <c r="P5375" s="20"/>
      <c r="Q5375" s="20"/>
      <c r="R5375" s="20"/>
      <c r="S5375" s="20"/>
      <c r="T5375" s="20"/>
      <c r="U5375" s="20"/>
      <c r="V5375" s="20"/>
      <c r="W5375" s="21"/>
      <c r="X5375" s="20"/>
      <c r="Y5375" s="22"/>
      <c r="Z5375" s="22"/>
      <c r="AA5375" s="22"/>
      <c r="AB5375" s="22"/>
      <c r="AC5375" s="22"/>
    </row>
    <row r="5376" spans="1:29" ht="32.25" customHeight="1">
      <c r="A5376" s="19"/>
      <c r="B5376" s="20"/>
      <c r="C5376" s="20"/>
      <c r="D5376" s="20"/>
      <c r="E5376" s="20"/>
      <c r="F5376" s="20"/>
      <c r="G5376" s="20"/>
      <c r="H5376" s="20"/>
      <c r="I5376" s="20"/>
      <c r="J5376" s="20"/>
      <c r="K5376" s="20"/>
      <c r="L5376" s="20"/>
      <c r="M5376" s="20"/>
      <c r="N5376" s="20"/>
      <c r="O5376" s="20"/>
      <c r="P5376" s="20"/>
      <c r="Q5376" s="20"/>
      <c r="R5376" s="20"/>
      <c r="S5376" s="20"/>
      <c r="T5376" s="20"/>
      <c r="U5376" s="20"/>
      <c r="V5376" s="20"/>
      <c r="W5376" s="21"/>
      <c r="X5376" s="20"/>
      <c r="Y5376" s="22"/>
      <c r="Z5376" s="22"/>
      <c r="AA5376" s="22"/>
      <c r="AB5376" s="22"/>
      <c r="AC5376" s="22"/>
    </row>
    <row r="5377" spans="1:29" ht="32.25" customHeight="1">
      <c r="A5377" s="19"/>
      <c r="B5377" s="20"/>
      <c r="C5377" s="20"/>
      <c r="D5377" s="20"/>
      <c r="E5377" s="20"/>
      <c r="F5377" s="20"/>
      <c r="G5377" s="20"/>
      <c r="H5377" s="20"/>
      <c r="I5377" s="20"/>
      <c r="J5377" s="20"/>
      <c r="K5377" s="20"/>
      <c r="L5377" s="20"/>
      <c r="M5377" s="20"/>
      <c r="N5377" s="20"/>
      <c r="O5377" s="20"/>
      <c r="P5377" s="20"/>
      <c r="Q5377" s="20"/>
      <c r="R5377" s="20"/>
      <c r="S5377" s="20"/>
      <c r="T5377" s="20"/>
      <c r="U5377" s="20"/>
      <c r="V5377" s="20"/>
      <c r="W5377" s="21"/>
      <c r="X5377" s="20"/>
      <c r="Y5377" s="22"/>
      <c r="Z5377" s="22"/>
      <c r="AA5377" s="22"/>
      <c r="AB5377" s="22"/>
      <c r="AC5377" s="22"/>
    </row>
    <row r="5378" spans="1:29" ht="32.25" customHeight="1">
      <c r="A5378" s="19"/>
      <c r="B5378" s="20"/>
      <c r="C5378" s="20"/>
      <c r="D5378" s="20"/>
      <c r="E5378" s="20"/>
      <c r="F5378" s="20"/>
      <c r="G5378" s="20"/>
      <c r="H5378" s="20"/>
      <c r="I5378" s="20"/>
      <c r="J5378" s="20"/>
      <c r="K5378" s="20"/>
      <c r="L5378" s="20"/>
      <c r="M5378" s="20"/>
      <c r="N5378" s="20"/>
      <c r="O5378" s="20"/>
      <c r="P5378" s="20"/>
      <c r="Q5378" s="20"/>
      <c r="R5378" s="20"/>
      <c r="S5378" s="20"/>
      <c r="T5378" s="20"/>
      <c r="U5378" s="20"/>
      <c r="V5378" s="20"/>
      <c r="W5378" s="21"/>
      <c r="X5378" s="20"/>
      <c r="Y5378" s="22"/>
      <c r="Z5378" s="22"/>
      <c r="AA5378" s="22"/>
      <c r="AB5378" s="22"/>
      <c r="AC5378" s="22"/>
    </row>
    <row r="5379" spans="1:29" ht="32.25" customHeight="1">
      <c r="A5379" s="19"/>
      <c r="B5379" s="20"/>
      <c r="C5379" s="20"/>
      <c r="D5379" s="20"/>
      <c r="E5379" s="20"/>
      <c r="F5379" s="20"/>
      <c r="G5379" s="20"/>
      <c r="H5379" s="20"/>
      <c r="I5379" s="20"/>
      <c r="J5379" s="20"/>
      <c r="K5379" s="20"/>
      <c r="L5379" s="20"/>
      <c r="M5379" s="20"/>
      <c r="N5379" s="20"/>
      <c r="O5379" s="20"/>
      <c r="P5379" s="20"/>
      <c r="Q5379" s="20"/>
      <c r="R5379" s="20"/>
      <c r="S5379" s="20"/>
      <c r="T5379" s="20"/>
      <c r="U5379" s="20"/>
      <c r="V5379" s="20"/>
      <c r="W5379" s="21"/>
      <c r="X5379" s="20"/>
      <c r="Y5379" s="22"/>
      <c r="Z5379" s="22"/>
      <c r="AA5379" s="22"/>
      <c r="AB5379" s="22"/>
      <c r="AC5379" s="22"/>
    </row>
    <row r="5380" spans="1:29" ht="32.25" customHeight="1">
      <c r="A5380" s="19"/>
      <c r="B5380" s="20"/>
      <c r="C5380" s="20"/>
      <c r="D5380" s="20"/>
      <c r="E5380" s="20"/>
      <c r="F5380" s="20"/>
      <c r="G5380" s="20"/>
      <c r="H5380" s="20"/>
      <c r="I5380" s="20"/>
      <c r="J5380" s="20"/>
      <c r="K5380" s="20"/>
      <c r="L5380" s="20"/>
      <c r="M5380" s="20"/>
      <c r="N5380" s="20"/>
      <c r="O5380" s="20"/>
      <c r="P5380" s="20"/>
      <c r="Q5380" s="20"/>
      <c r="R5380" s="20"/>
      <c r="S5380" s="20"/>
      <c r="T5380" s="20"/>
      <c r="U5380" s="20"/>
      <c r="V5380" s="20"/>
      <c r="W5380" s="21"/>
      <c r="X5380" s="20"/>
      <c r="Y5380" s="22"/>
      <c r="Z5380" s="22"/>
      <c r="AA5380" s="22"/>
      <c r="AB5380" s="22"/>
      <c r="AC5380" s="22"/>
    </row>
    <row r="5381" spans="1:29" ht="32.25" customHeight="1">
      <c r="A5381" s="19"/>
      <c r="B5381" s="20"/>
      <c r="C5381" s="20"/>
      <c r="D5381" s="20"/>
      <c r="E5381" s="20"/>
      <c r="F5381" s="20"/>
      <c r="G5381" s="20"/>
      <c r="H5381" s="20"/>
      <c r="I5381" s="20"/>
      <c r="J5381" s="20"/>
      <c r="K5381" s="20"/>
      <c r="L5381" s="20"/>
      <c r="M5381" s="20"/>
      <c r="N5381" s="20"/>
      <c r="O5381" s="20"/>
      <c r="P5381" s="20"/>
      <c r="Q5381" s="20"/>
      <c r="R5381" s="20"/>
      <c r="S5381" s="20"/>
      <c r="T5381" s="20"/>
      <c r="U5381" s="20"/>
      <c r="V5381" s="20"/>
      <c r="W5381" s="21"/>
      <c r="X5381" s="20"/>
      <c r="Y5381" s="22"/>
      <c r="Z5381" s="22"/>
      <c r="AA5381" s="22"/>
      <c r="AB5381" s="22"/>
      <c r="AC5381" s="22"/>
    </row>
    <row r="5382" spans="1:29" ht="32.25" customHeight="1">
      <c r="A5382" s="19"/>
      <c r="B5382" s="20"/>
      <c r="C5382" s="20"/>
      <c r="D5382" s="20"/>
      <c r="E5382" s="20"/>
      <c r="F5382" s="20"/>
      <c r="G5382" s="20"/>
      <c r="H5382" s="20"/>
      <c r="I5382" s="20"/>
      <c r="J5382" s="20"/>
      <c r="K5382" s="20"/>
      <c r="L5382" s="20"/>
      <c r="M5382" s="20"/>
      <c r="N5382" s="20"/>
      <c r="O5382" s="20"/>
      <c r="P5382" s="20"/>
      <c r="Q5382" s="20"/>
      <c r="R5382" s="20"/>
      <c r="S5382" s="20"/>
      <c r="T5382" s="20"/>
      <c r="U5382" s="20"/>
      <c r="V5382" s="20"/>
      <c r="W5382" s="21"/>
      <c r="X5382" s="20"/>
      <c r="Y5382" s="22"/>
      <c r="Z5382" s="22"/>
      <c r="AA5382" s="22"/>
      <c r="AB5382" s="22"/>
      <c r="AC5382" s="22"/>
    </row>
    <row r="5383" spans="1:29" ht="32.25" customHeight="1">
      <c r="A5383" s="19"/>
      <c r="B5383" s="20"/>
      <c r="C5383" s="20"/>
      <c r="D5383" s="20"/>
      <c r="E5383" s="20"/>
      <c r="F5383" s="20"/>
      <c r="G5383" s="20"/>
      <c r="H5383" s="20"/>
      <c r="I5383" s="20"/>
      <c r="J5383" s="20"/>
      <c r="K5383" s="20"/>
      <c r="L5383" s="20"/>
      <c r="M5383" s="20"/>
      <c r="N5383" s="20"/>
      <c r="O5383" s="20"/>
      <c r="P5383" s="20"/>
      <c r="Q5383" s="20"/>
      <c r="R5383" s="20"/>
      <c r="S5383" s="20"/>
      <c r="T5383" s="20"/>
      <c r="U5383" s="20"/>
      <c r="V5383" s="20"/>
      <c r="W5383" s="21"/>
      <c r="X5383" s="20"/>
      <c r="Y5383" s="22"/>
      <c r="Z5383" s="22"/>
      <c r="AA5383" s="22"/>
      <c r="AB5383" s="22"/>
      <c r="AC5383" s="22"/>
    </row>
    <row r="5384" spans="1:29" ht="32.25" customHeight="1">
      <c r="A5384" s="19"/>
      <c r="B5384" s="20"/>
      <c r="C5384" s="20"/>
      <c r="D5384" s="20"/>
      <c r="E5384" s="20"/>
      <c r="F5384" s="20"/>
      <c r="G5384" s="20"/>
      <c r="H5384" s="20"/>
      <c r="I5384" s="20"/>
      <c r="J5384" s="20"/>
      <c r="K5384" s="20"/>
      <c r="L5384" s="20"/>
      <c r="M5384" s="20"/>
      <c r="N5384" s="20"/>
      <c r="O5384" s="20"/>
      <c r="P5384" s="20"/>
      <c r="Q5384" s="20"/>
      <c r="R5384" s="20"/>
      <c r="S5384" s="20"/>
      <c r="T5384" s="20"/>
      <c r="U5384" s="20"/>
      <c r="V5384" s="20"/>
      <c r="W5384" s="21"/>
      <c r="X5384" s="20"/>
      <c r="Y5384" s="22"/>
      <c r="Z5384" s="22"/>
      <c r="AA5384" s="22"/>
      <c r="AB5384" s="22"/>
      <c r="AC5384" s="22"/>
    </row>
    <row r="5385" spans="1:29" ht="32.25" customHeight="1">
      <c r="A5385" s="19"/>
      <c r="B5385" s="20"/>
      <c r="C5385" s="20"/>
      <c r="D5385" s="20"/>
      <c r="E5385" s="20"/>
      <c r="F5385" s="20"/>
      <c r="G5385" s="20"/>
      <c r="H5385" s="20"/>
      <c r="I5385" s="20"/>
      <c r="J5385" s="20"/>
      <c r="K5385" s="20"/>
      <c r="L5385" s="20"/>
      <c r="M5385" s="20"/>
      <c r="N5385" s="20"/>
      <c r="O5385" s="20"/>
      <c r="P5385" s="20"/>
      <c r="Q5385" s="20"/>
      <c r="R5385" s="20"/>
      <c r="S5385" s="20"/>
      <c r="T5385" s="20"/>
      <c r="U5385" s="20"/>
      <c r="V5385" s="20"/>
      <c r="W5385" s="21"/>
      <c r="X5385" s="20"/>
      <c r="Y5385" s="22"/>
      <c r="Z5385" s="22"/>
      <c r="AA5385" s="22"/>
      <c r="AB5385" s="22"/>
      <c r="AC5385" s="22"/>
    </row>
    <row r="5386" spans="1:29" ht="32.25" customHeight="1">
      <c r="A5386" s="19"/>
      <c r="B5386" s="20"/>
      <c r="C5386" s="20"/>
      <c r="D5386" s="20"/>
      <c r="E5386" s="20"/>
      <c r="F5386" s="20"/>
      <c r="G5386" s="20"/>
      <c r="H5386" s="20"/>
      <c r="I5386" s="20"/>
      <c r="J5386" s="20"/>
      <c r="K5386" s="20"/>
      <c r="L5386" s="20"/>
      <c r="M5386" s="20"/>
      <c r="N5386" s="20"/>
      <c r="O5386" s="20"/>
      <c r="P5386" s="20"/>
      <c r="Q5386" s="20"/>
      <c r="R5386" s="20"/>
      <c r="S5386" s="20"/>
      <c r="T5386" s="20"/>
      <c r="U5386" s="20"/>
      <c r="V5386" s="20"/>
      <c r="W5386" s="21"/>
      <c r="X5386" s="20"/>
      <c r="Y5386" s="22"/>
      <c r="Z5386" s="22"/>
      <c r="AA5386" s="22"/>
      <c r="AB5386" s="22"/>
      <c r="AC5386" s="22"/>
    </row>
    <row r="5387" spans="1:29" ht="32.25" customHeight="1">
      <c r="A5387" s="19"/>
      <c r="B5387" s="20"/>
      <c r="C5387" s="20"/>
      <c r="D5387" s="20"/>
      <c r="E5387" s="20"/>
      <c r="F5387" s="20"/>
      <c r="G5387" s="20"/>
      <c r="H5387" s="20"/>
      <c r="I5387" s="20"/>
      <c r="J5387" s="20"/>
      <c r="K5387" s="20"/>
      <c r="L5387" s="20"/>
      <c r="M5387" s="20"/>
      <c r="N5387" s="20"/>
      <c r="O5387" s="20"/>
      <c r="P5387" s="20"/>
      <c r="Q5387" s="20"/>
      <c r="R5387" s="20"/>
      <c r="S5387" s="20"/>
      <c r="T5387" s="20"/>
      <c r="U5387" s="20"/>
      <c r="V5387" s="20"/>
      <c r="W5387" s="21"/>
      <c r="X5387" s="20"/>
      <c r="Y5387" s="22"/>
      <c r="Z5387" s="22"/>
      <c r="AA5387" s="22"/>
      <c r="AB5387" s="22"/>
      <c r="AC5387" s="22"/>
    </row>
    <row r="5388" spans="1:29" ht="32.25" customHeight="1">
      <c r="A5388" s="19"/>
      <c r="B5388" s="20"/>
      <c r="C5388" s="20"/>
      <c r="D5388" s="20"/>
      <c r="E5388" s="20"/>
      <c r="F5388" s="20"/>
      <c r="G5388" s="20"/>
      <c r="H5388" s="20"/>
      <c r="I5388" s="20"/>
      <c r="J5388" s="20"/>
      <c r="K5388" s="20"/>
      <c r="L5388" s="20"/>
      <c r="M5388" s="20"/>
      <c r="N5388" s="20"/>
      <c r="O5388" s="20"/>
      <c r="P5388" s="20"/>
      <c r="Q5388" s="20"/>
      <c r="R5388" s="20"/>
      <c r="S5388" s="20"/>
      <c r="T5388" s="20"/>
      <c r="U5388" s="20"/>
      <c r="V5388" s="20"/>
      <c r="W5388" s="21"/>
      <c r="X5388" s="20"/>
      <c r="Y5388" s="22"/>
      <c r="Z5388" s="22"/>
      <c r="AA5388" s="22"/>
      <c r="AB5388" s="22"/>
      <c r="AC5388" s="22"/>
    </row>
    <row r="5389" spans="1:29" ht="32.25" customHeight="1">
      <c r="A5389" s="19"/>
      <c r="B5389" s="20"/>
      <c r="C5389" s="20"/>
      <c r="D5389" s="20"/>
      <c r="E5389" s="20"/>
      <c r="F5389" s="20"/>
      <c r="G5389" s="20"/>
      <c r="H5389" s="20"/>
      <c r="I5389" s="20"/>
      <c r="J5389" s="20"/>
      <c r="K5389" s="20"/>
      <c r="L5389" s="20"/>
      <c r="M5389" s="20"/>
      <c r="N5389" s="20"/>
      <c r="O5389" s="20"/>
      <c r="P5389" s="20"/>
      <c r="Q5389" s="20"/>
      <c r="R5389" s="20"/>
      <c r="S5389" s="20"/>
      <c r="T5389" s="20"/>
      <c r="U5389" s="20"/>
      <c r="V5389" s="20"/>
      <c r="W5389" s="21"/>
      <c r="X5389" s="20"/>
      <c r="Y5389" s="22"/>
      <c r="Z5389" s="22"/>
      <c r="AA5389" s="22"/>
      <c r="AB5389" s="22"/>
      <c r="AC5389" s="22"/>
    </row>
    <row r="5390" spans="1:29" ht="32.25" customHeight="1">
      <c r="A5390" s="19"/>
      <c r="B5390" s="20"/>
      <c r="C5390" s="20"/>
      <c r="D5390" s="20"/>
      <c r="E5390" s="20"/>
      <c r="F5390" s="20"/>
      <c r="G5390" s="20"/>
      <c r="H5390" s="20"/>
      <c r="I5390" s="20"/>
      <c r="J5390" s="20"/>
      <c r="K5390" s="20"/>
      <c r="L5390" s="20"/>
      <c r="M5390" s="20"/>
      <c r="N5390" s="20"/>
      <c r="O5390" s="20"/>
      <c r="P5390" s="20"/>
      <c r="Q5390" s="20"/>
      <c r="R5390" s="20"/>
      <c r="S5390" s="20"/>
      <c r="T5390" s="20"/>
      <c r="U5390" s="20"/>
      <c r="V5390" s="20"/>
      <c r="W5390" s="21"/>
      <c r="X5390" s="20"/>
      <c r="Y5390" s="22"/>
      <c r="Z5390" s="22"/>
      <c r="AA5390" s="22"/>
      <c r="AB5390" s="22"/>
      <c r="AC5390" s="22"/>
    </row>
    <row r="5391" spans="1:29" ht="32.25" customHeight="1">
      <c r="A5391" s="19"/>
      <c r="B5391" s="20"/>
      <c r="C5391" s="20"/>
      <c r="D5391" s="20"/>
      <c r="E5391" s="20"/>
      <c r="F5391" s="20"/>
      <c r="G5391" s="20"/>
      <c r="H5391" s="20"/>
      <c r="I5391" s="20"/>
      <c r="J5391" s="20"/>
      <c r="K5391" s="20"/>
      <c r="L5391" s="20"/>
      <c r="M5391" s="20"/>
      <c r="N5391" s="20"/>
      <c r="O5391" s="20"/>
      <c r="P5391" s="20"/>
      <c r="Q5391" s="20"/>
      <c r="R5391" s="20"/>
      <c r="S5391" s="20"/>
      <c r="T5391" s="20"/>
      <c r="U5391" s="20"/>
      <c r="V5391" s="20"/>
      <c r="W5391" s="21"/>
      <c r="X5391" s="20"/>
      <c r="Y5391" s="22"/>
      <c r="Z5391" s="22"/>
      <c r="AA5391" s="22"/>
      <c r="AB5391" s="22"/>
      <c r="AC5391" s="22"/>
    </row>
    <row r="5392" spans="1:29" ht="32.25" customHeight="1">
      <c r="A5392" s="19"/>
      <c r="B5392" s="20"/>
      <c r="C5392" s="20"/>
      <c r="D5392" s="20"/>
      <c r="E5392" s="20"/>
      <c r="F5392" s="20"/>
      <c r="G5392" s="20"/>
      <c r="H5392" s="20"/>
      <c r="I5392" s="20"/>
      <c r="J5392" s="20"/>
      <c r="K5392" s="20"/>
      <c r="L5392" s="20"/>
      <c r="M5392" s="20"/>
      <c r="N5392" s="20"/>
      <c r="O5392" s="20"/>
      <c r="P5392" s="20"/>
      <c r="Q5392" s="20"/>
      <c r="R5392" s="20"/>
      <c r="S5392" s="20"/>
      <c r="T5392" s="20"/>
      <c r="U5392" s="20"/>
      <c r="V5392" s="20"/>
      <c r="W5392" s="21"/>
      <c r="X5392" s="20"/>
      <c r="Y5392" s="22"/>
      <c r="Z5392" s="22"/>
      <c r="AA5392" s="22"/>
      <c r="AB5392" s="22"/>
      <c r="AC5392" s="22"/>
    </row>
    <row r="5393" spans="1:29" ht="32.25" customHeight="1">
      <c r="A5393" s="19"/>
      <c r="B5393" s="20"/>
      <c r="C5393" s="20"/>
      <c r="D5393" s="20"/>
      <c r="E5393" s="20"/>
      <c r="F5393" s="20"/>
      <c r="G5393" s="20"/>
      <c r="H5393" s="20"/>
      <c r="I5393" s="20"/>
      <c r="J5393" s="20"/>
      <c r="K5393" s="20"/>
      <c r="L5393" s="20"/>
      <c r="M5393" s="20"/>
      <c r="N5393" s="20"/>
      <c r="O5393" s="20"/>
      <c r="P5393" s="20"/>
      <c r="Q5393" s="20"/>
      <c r="R5393" s="20"/>
      <c r="S5393" s="20"/>
      <c r="T5393" s="20"/>
      <c r="U5393" s="20"/>
      <c r="V5393" s="20"/>
      <c r="W5393" s="21"/>
      <c r="X5393" s="20"/>
      <c r="Y5393" s="22"/>
      <c r="Z5393" s="22"/>
      <c r="AA5393" s="22"/>
      <c r="AB5393" s="22"/>
      <c r="AC5393" s="22"/>
    </row>
    <row r="5394" spans="1:29" ht="32.25" customHeight="1">
      <c r="A5394" s="19"/>
      <c r="B5394" s="20"/>
      <c r="C5394" s="20"/>
      <c r="D5394" s="20"/>
      <c r="E5394" s="20"/>
      <c r="F5394" s="20"/>
      <c r="G5394" s="20"/>
      <c r="H5394" s="20"/>
      <c r="I5394" s="20"/>
      <c r="J5394" s="20"/>
      <c r="K5394" s="20"/>
      <c r="L5394" s="20"/>
      <c r="M5394" s="20"/>
      <c r="N5394" s="20"/>
      <c r="O5394" s="20"/>
      <c r="P5394" s="20"/>
      <c r="Q5394" s="20"/>
      <c r="R5394" s="20"/>
      <c r="S5394" s="20"/>
      <c r="T5394" s="20"/>
      <c r="U5394" s="20"/>
      <c r="V5394" s="20"/>
      <c r="W5394" s="21"/>
      <c r="X5394" s="20"/>
      <c r="Y5394" s="22"/>
      <c r="Z5394" s="22"/>
      <c r="AA5394" s="22"/>
      <c r="AB5394" s="22"/>
      <c r="AC5394" s="22"/>
    </row>
    <row r="5395" spans="1:29" ht="32.25" customHeight="1">
      <c r="A5395" s="19"/>
      <c r="B5395" s="20"/>
      <c r="C5395" s="20"/>
      <c r="D5395" s="20"/>
      <c r="E5395" s="20"/>
      <c r="F5395" s="20"/>
      <c r="G5395" s="20"/>
      <c r="H5395" s="20"/>
      <c r="I5395" s="20"/>
      <c r="J5395" s="20"/>
      <c r="K5395" s="20"/>
      <c r="L5395" s="20"/>
      <c r="M5395" s="20"/>
      <c r="N5395" s="20"/>
      <c r="O5395" s="20"/>
      <c r="P5395" s="20"/>
      <c r="Q5395" s="20"/>
      <c r="R5395" s="20"/>
      <c r="S5395" s="20"/>
      <c r="T5395" s="20"/>
      <c r="U5395" s="20"/>
      <c r="V5395" s="20"/>
      <c r="W5395" s="21"/>
      <c r="X5395" s="20"/>
      <c r="Y5395" s="22"/>
      <c r="Z5395" s="22"/>
      <c r="AA5395" s="22"/>
      <c r="AB5395" s="22"/>
      <c r="AC5395" s="22"/>
    </row>
    <row r="5396" spans="1:29" ht="32.25" customHeight="1">
      <c r="A5396" s="19"/>
      <c r="B5396" s="20"/>
      <c r="C5396" s="20"/>
      <c r="D5396" s="20"/>
      <c r="E5396" s="20"/>
      <c r="F5396" s="20"/>
      <c r="G5396" s="20"/>
      <c r="H5396" s="20"/>
      <c r="I5396" s="20"/>
      <c r="J5396" s="20"/>
      <c r="K5396" s="20"/>
      <c r="L5396" s="20"/>
      <c r="M5396" s="20"/>
      <c r="N5396" s="20"/>
      <c r="O5396" s="20"/>
      <c r="P5396" s="20"/>
      <c r="Q5396" s="20"/>
      <c r="R5396" s="20"/>
      <c r="S5396" s="20"/>
      <c r="T5396" s="20"/>
      <c r="U5396" s="20"/>
      <c r="V5396" s="20"/>
      <c r="W5396" s="21"/>
      <c r="X5396" s="20"/>
      <c r="Y5396" s="22"/>
      <c r="Z5396" s="22"/>
      <c r="AA5396" s="22"/>
      <c r="AB5396" s="22"/>
      <c r="AC5396" s="22"/>
    </row>
    <row r="5397" spans="1:29" ht="32.25" customHeight="1">
      <c r="A5397" s="19"/>
      <c r="B5397" s="20"/>
      <c r="C5397" s="20"/>
      <c r="D5397" s="20"/>
      <c r="E5397" s="20"/>
      <c r="F5397" s="20"/>
      <c r="G5397" s="20"/>
      <c r="H5397" s="20"/>
      <c r="I5397" s="20"/>
      <c r="J5397" s="20"/>
      <c r="K5397" s="20"/>
      <c r="L5397" s="20"/>
      <c r="M5397" s="20"/>
      <c r="N5397" s="20"/>
      <c r="O5397" s="20"/>
      <c r="P5397" s="20"/>
      <c r="Q5397" s="20"/>
      <c r="R5397" s="20"/>
      <c r="S5397" s="20"/>
      <c r="T5397" s="20"/>
      <c r="U5397" s="20"/>
      <c r="V5397" s="20"/>
      <c r="W5397" s="21"/>
      <c r="X5397" s="20"/>
      <c r="Y5397" s="22"/>
      <c r="Z5397" s="22"/>
      <c r="AA5397" s="22"/>
      <c r="AB5397" s="22"/>
      <c r="AC5397" s="22"/>
    </row>
    <row r="5398" spans="1:29" ht="32.25" customHeight="1">
      <c r="A5398" s="19"/>
      <c r="B5398" s="20"/>
      <c r="C5398" s="20"/>
      <c r="D5398" s="20"/>
      <c r="E5398" s="20"/>
      <c r="F5398" s="20"/>
      <c r="G5398" s="20"/>
      <c r="H5398" s="20"/>
      <c r="I5398" s="20"/>
      <c r="J5398" s="20"/>
      <c r="K5398" s="20"/>
      <c r="L5398" s="20"/>
      <c r="M5398" s="20"/>
      <c r="N5398" s="20"/>
      <c r="O5398" s="20"/>
      <c r="P5398" s="20"/>
      <c r="Q5398" s="20"/>
      <c r="R5398" s="20"/>
      <c r="S5398" s="20"/>
      <c r="T5398" s="20"/>
      <c r="U5398" s="20"/>
      <c r="V5398" s="20"/>
      <c r="W5398" s="21"/>
      <c r="X5398" s="20"/>
      <c r="Y5398" s="22"/>
      <c r="Z5398" s="22"/>
      <c r="AA5398" s="22"/>
      <c r="AB5398" s="22"/>
      <c r="AC5398" s="22"/>
    </row>
    <row r="5399" spans="1:29" ht="32.25" customHeight="1">
      <c r="A5399" s="19"/>
      <c r="B5399" s="20"/>
      <c r="C5399" s="20"/>
      <c r="D5399" s="20"/>
      <c r="E5399" s="20"/>
      <c r="F5399" s="20"/>
      <c r="G5399" s="20"/>
      <c r="H5399" s="20"/>
      <c r="I5399" s="20"/>
      <c r="J5399" s="20"/>
      <c r="K5399" s="20"/>
      <c r="L5399" s="20"/>
      <c r="M5399" s="20"/>
      <c r="N5399" s="20"/>
      <c r="O5399" s="20"/>
      <c r="P5399" s="20"/>
      <c r="Q5399" s="20"/>
      <c r="R5399" s="20"/>
      <c r="S5399" s="20"/>
      <c r="T5399" s="20"/>
      <c r="U5399" s="20"/>
      <c r="V5399" s="20"/>
      <c r="W5399" s="21"/>
      <c r="X5399" s="20"/>
      <c r="Y5399" s="22"/>
      <c r="Z5399" s="22"/>
      <c r="AA5399" s="22"/>
      <c r="AB5399" s="22"/>
      <c r="AC5399" s="22"/>
    </row>
    <row r="5400" spans="1:29" ht="32.25" customHeight="1">
      <c r="A5400" s="19"/>
      <c r="B5400" s="20"/>
      <c r="C5400" s="20"/>
      <c r="D5400" s="20"/>
      <c r="E5400" s="20"/>
      <c r="F5400" s="20"/>
      <c r="G5400" s="20"/>
      <c r="H5400" s="20"/>
      <c r="I5400" s="20"/>
      <c r="J5400" s="20"/>
      <c r="K5400" s="20"/>
      <c r="L5400" s="20"/>
      <c r="M5400" s="20"/>
      <c r="N5400" s="20"/>
      <c r="O5400" s="20"/>
      <c r="P5400" s="20"/>
      <c r="Q5400" s="20"/>
      <c r="R5400" s="20"/>
      <c r="S5400" s="20"/>
      <c r="T5400" s="20"/>
      <c r="U5400" s="20"/>
      <c r="V5400" s="20"/>
      <c r="W5400" s="21"/>
      <c r="X5400" s="20"/>
      <c r="Y5400" s="22"/>
      <c r="Z5400" s="22"/>
      <c r="AA5400" s="22"/>
      <c r="AB5400" s="22"/>
      <c r="AC5400" s="22"/>
    </row>
    <row r="5401" spans="1:29" ht="32.25" customHeight="1">
      <c r="A5401" s="19"/>
      <c r="B5401" s="20"/>
      <c r="C5401" s="20"/>
      <c r="D5401" s="20"/>
      <c r="E5401" s="20"/>
      <c r="F5401" s="20"/>
      <c r="G5401" s="20"/>
      <c r="H5401" s="20"/>
      <c r="I5401" s="20"/>
      <c r="J5401" s="20"/>
      <c r="K5401" s="20"/>
      <c r="L5401" s="20"/>
      <c r="M5401" s="20"/>
      <c r="N5401" s="20"/>
      <c r="O5401" s="20"/>
      <c r="P5401" s="20"/>
      <c r="Q5401" s="20"/>
      <c r="R5401" s="20"/>
      <c r="S5401" s="20"/>
      <c r="T5401" s="20"/>
      <c r="U5401" s="20"/>
      <c r="V5401" s="20"/>
      <c r="W5401" s="21"/>
      <c r="X5401" s="20"/>
      <c r="Y5401" s="22"/>
      <c r="Z5401" s="22"/>
      <c r="AA5401" s="22"/>
      <c r="AB5401" s="22"/>
      <c r="AC5401" s="22"/>
    </row>
    <row r="5402" spans="1:29" ht="32.25" customHeight="1">
      <c r="A5402" s="19"/>
      <c r="B5402" s="20"/>
      <c r="C5402" s="20"/>
      <c r="D5402" s="20"/>
      <c r="E5402" s="20"/>
      <c r="F5402" s="20"/>
      <c r="G5402" s="20"/>
      <c r="H5402" s="20"/>
      <c r="I5402" s="20"/>
      <c r="J5402" s="20"/>
      <c r="K5402" s="20"/>
      <c r="L5402" s="20"/>
      <c r="M5402" s="20"/>
      <c r="N5402" s="20"/>
      <c r="O5402" s="20"/>
      <c r="P5402" s="20"/>
      <c r="Q5402" s="20"/>
      <c r="R5402" s="20"/>
      <c r="S5402" s="20"/>
      <c r="T5402" s="20"/>
      <c r="U5402" s="20"/>
      <c r="V5402" s="20"/>
      <c r="W5402" s="21"/>
      <c r="X5402" s="20"/>
      <c r="Y5402" s="22"/>
      <c r="Z5402" s="22"/>
      <c r="AA5402" s="22"/>
      <c r="AB5402" s="22"/>
      <c r="AC5402" s="22"/>
    </row>
    <row r="5403" spans="1:29" ht="32.25" customHeight="1">
      <c r="A5403" s="19"/>
      <c r="B5403" s="20"/>
      <c r="C5403" s="20"/>
      <c r="D5403" s="20"/>
      <c r="E5403" s="20"/>
      <c r="F5403" s="20"/>
      <c r="G5403" s="20"/>
      <c r="H5403" s="20"/>
      <c r="I5403" s="20"/>
      <c r="J5403" s="20"/>
      <c r="K5403" s="20"/>
      <c r="L5403" s="20"/>
      <c r="M5403" s="20"/>
      <c r="N5403" s="20"/>
      <c r="O5403" s="20"/>
      <c r="P5403" s="20"/>
      <c r="Q5403" s="20"/>
      <c r="R5403" s="20"/>
      <c r="S5403" s="20"/>
      <c r="T5403" s="20"/>
      <c r="U5403" s="20"/>
      <c r="V5403" s="20"/>
      <c r="W5403" s="21"/>
      <c r="X5403" s="20"/>
      <c r="Y5403" s="22"/>
      <c r="Z5403" s="22"/>
      <c r="AA5403" s="22"/>
      <c r="AB5403" s="22"/>
      <c r="AC5403" s="22"/>
    </row>
    <row r="5404" spans="1:29" ht="32.25" customHeight="1">
      <c r="A5404" s="19"/>
      <c r="B5404" s="20"/>
      <c r="C5404" s="20"/>
      <c r="D5404" s="20"/>
      <c r="E5404" s="20"/>
      <c r="F5404" s="20"/>
      <c r="G5404" s="20"/>
      <c r="H5404" s="20"/>
      <c r="I5404" s="20"/>
      <c r="J5404" s="20"/>
      <c r="K5404" s="20"/>
      <c r="L5404" s="20"/>
      <c r="M5404" s="20"/>
      <c r="N5404" s="20"/>
      <c r="O5404" s="20"/>
      <c r="P5404" s="20"/>
      <c r="Q5404" s="20"/>
      <c r="R5404" s="20"/>
      <c r="S5404" s="20"/>
      <c r="T5404" s="20"/>
      <c r="U5404" s="20"/>
      <c r="V5404" s="20"/>
      <c r="W5404" s="21"/>
      <c r="X5404" s="20"/>
      <c r="Y5404" s="22"/>
      <c r="Z5404" s="22"/>
      <c r="AA5404" s="22"/>
      <c r="AB5404" s="22"/>
      <c r="AC5404" s="22"/>
    </row>
    <row r="5405" spans="1:29" ht="32.25" customHeight="1">
      <c r="A5405" s="19"/>
      <c r="B5405" s="20"/>
      <c r="C5405" s="20"/>
      <c r="D5405" s="20"/>
      <c r="E5405" s="20"/>
      <c r="F5405" s="20"/>
      <c r="G5405" s="20"/>
      <c r="H5405" s="20"/>
      <c r="I5405" s="20"/>
      <c r="J5405" s="20"/>
      <c r="K5405" s="20"/>
      <c r="L5405" s="20"/>
      <c r="M5405" s="20"/>
      <c r="N5405" s="20"/>
      <c r="O5405" s="20"/>
      <c r="P5405" s="20"/>
      <c r="Q5405" s="20"/>
      <c r="R5405" s="20"/>
      <c r="S5405" s="20"/>
      <c r="T5405" s="20"/>
      <c r="U5405" s="20"/>
      <c r="V5405" s="20"/>
      <c r="W5405" s="21"/>
      <c r="X5405" s="20"/>
      <c r="Y5405" s="22"/>
      <c r="Z5405" s="22"/>
      <c r="AA5405" s="22"/>
      <c r="AB5405" s="22"/>
      <c r="AC5405" s="22"/>
    </row>
    <row r="5406" spans="1:29" ht="32.25" customHeight="1">
      <c r="A5406" s="19"/>
      <c r="B5406" s="20"/>
      <c r="C5406" s="20"/>
      <c r="D5406" s="20"/>
      <c r="E5406" s="20"/>
      <c r="F5406" s="20"/>
      <c r="G5406" s="20"/>
      <c r="H5406" s="20"/>
      <c r="I5406" s="20"/>
      <c r="J5406" s="20"/>
      <c r="K5406" s="20"/>
      <c r="L5406" s="20"/>
      <c r="M5406" s="20"/>
      <c r="N5406" s="20"/>
      <c r="O5406" s="20"/>
      <c r="P5406" s="20"/>
      <c r="Q5406" s="20"/>
      <c r="R5406" s="20"/>
      <c r="S5406" s="20"/>
      <c r="T5406" s="20"/>
      <c r="U5406" s="20"/>
      <c r="V5406" s="20"/>
      <c r="W5406" s="21"/>
      <c r="X5406" s="20"/>
      <c r="Y5406" s="22"/>
      <c r="Z5406" s="22"/>
      <c r="AA5406" s="22"/>
      <c r="AB5406" s="22"/>
      <c r="AC5406" s="22"/>
    </row>
    <row r="5407" spans="1:29" ht="32.25" customHeight="1">
      <c r="A5407" s="19"/>
      <c r="B5407" s="20"/>
      <c r="C5407" s="20"/>
      <c r="D5407" s="20"/>
      <c r="E5407" s="20"/>
      <c r="F5407" s="20"/>
      <c r="G5407" s="20"/>
      <c r="H5407" s="20"/>
      <c r="I5407" s="20"/>
      <c r="J5407" s="20"/>
      <c r="K5407" s="20"/>
      <c r="L5407" s="20"/>
      <c r="M5407" s="20"/>
      <c r="N5407" s="20"/>
      <c r="O5407" s="20"/>
      <c r="P5407" s="20"/>
      <c r="Q5407" s="20"/>
      <c r="R5407" s="20"/>
      <c r="S5407" s="20"/>
      <c r="T5407" s="20"/>
      <c r="U5407" s="20"/>
      <c r="V5407" s="20"/>
      <c r="W5407" s="21"/>
      <c r="X5407" s="20"/>
      <c r="Y5407" s="22"/>
      <c r="Z5407" s="22"/>
      <c r="AA5407" s="22"/>
      <c r="AB5407" s="22"/>
      <c r="AC5407" s="22"/>
    </row>
    <row r="5408" spans="1:29" ht="32.25" customHeight="1">
      <c r="A5408" s="19"/>
      <c r="B5408" s="20"/>
      <c r="C5408" s="20"/>
      <c r="D5408" s="20"/>
      <c r="E5408" s="20"/>
      <c r="F5408" s="20"/>
      <c r="G5408" s="20"/>
      <c r="H5408" s="20"/>
      <c r="I5408" s="20"/>
      <c r="J5408" s="20"/>
      <c r="K5408" s="20"/>
      <c r="L5408" s="20"/>
      <c r="M5408" s="20"/>
      <c r="N5408" s="20"/>
      <c r="O5408" s="20"/>
      <c r="P5408" s="20"/>
      <c r="Q5408" s="20"/>
      <c r="R5408" s="20"/>
      <c r="S5408" s="20"/>
      <c r="T5408" s="20"/>
      <c r="U5408" s="20"/>
      <c r="V5408" s="20"/>
      <c r="W5408" s="21"/>
      <c r="X5408" s="20"/>
      <c r="Y5408" s="22"/>
      <c r="Z5408" s="22"/>
      <c r="AA5408" s="22"/>
      <c r="AB5408" s="22"/>
      <c r="AC5408" s="22"/>
    </row>
    <row r="5409" spans="1:29" ht="32.25" customHeight="1">
      <c r="A5409" s="19"/>
      <c r="B5409" s="20"/>
      <c r="C5409" s="20"/>
      <c r="D5409" s="20"/>
      <c r="E5409" s="20"/>
      <c r="F5409" s="20"/>
      <c r="G5409" s="20"/>
      <c r="H5409" s="20"/>
      <c r="I5409" s="20"/>
      <c r="J5409" s="20"/>
      <c r="K5409" s="20"/>
      <c r="L5409" s="20"/>
      <c r="M5409" s="20"/>
      <c r="N5409" s="20"/>
      <c r="O5409" s="20"/>
      <c r="P5409" s="20"/>
      <c r="Q5409" s="20"/>
      <c r="R5409" s="20"/>
      <c r="S5409" s="20"/>
      <c r="T5409" s="20"/>
      <c r="U5409" s="20"/>
      <c r="V5409" s="20"/>
      <c r="W5409" s="21"/>
      <c r="X5409" s="20"/>
      <c r="Y5409" s="22"/>
      <c r="Z5409" s="22"/>
      <c r="AA5409" s="22"/>
      <c r="AB5409" s="22"/>
      <c r="AC5409" s="22"/>
    </row>
    <row r="5410" spans="1:29" ht="32.25" customHeight="1">
      <c r="A5410" s="19"/>
      <c r="B5410" s="20"/>
      <c r="C5410" s="20"/>
      <c r="D5410" s="20"/>
      <c r="E5410" s="20"/>
      <c r="F5410" s="20"/>
      <c r="G5410" s="20"/>
      <c r="H5410" s="20"/>
      <c r="I5410" s="20"/>
      <c r="J5410" s="20"/>
      <c r="K5410" s="20"/>
      <c r="L5410" s="20"/>
      <c r="M5410" s="20"/>
      <c r="N5410" s="20"/>
      <c r="O5410" s="20"/>
      <c r="P5410" s="20"/>
      <c r="Q5410" s="20"/>
      <c r="R5410" s="20"/>
      <c r="S5410" s="20"/>
      <c r="T5410" s="20"/>
      <c r="U5410" s="20"/>
      <c r="V5410" s="20"/>
      <c r="W5410" s="21"/>
      <c r="X5410" s="20"/>
      <c r="Y5410" s="22"/>
      <c r="Z5410" s="22"/>
      <c r="AA5410" s="22"/>
      <c r="AB5410" s="22"/>
      <c r="AC5410" s="22"/>
    </row>
    <row r="5411" spans="1:29" ht="32.25" customHeight="1">
      <c r="A5411" s="19"/>
      <c r="B5411" s="20"/>
      <c r="C5411" s="20"/>
      <c r="D5411" s="20"/>
      <c r="E5411" s="20"/>
      <c r="F5411" s="20"/>
      <c r="G5411" s="20"/>
      <c r="H5411" s="20"/>
      <c r="I5411" s="20"/>
      <c r="J5411" s="20"/>
      <c r="K5411" s="20"/>
      <c r="L5411" s="20"/>
      <c r="M5411" s="20"/>
      <c r="N5411" s="20"/>
      <c r="O5411" s="20"/>
      <c r="P5411" s="20"/>
      <c r="Q5411" s="20"/>
      <c r="R5411" s="20"/>
      <c r="S5411" s="20"/>
      <c r="T5411" s="20"/>
      <c r="U5411" s="20"/>
      <c r="V5411" s="20"/>
      <c r="W5411" s="21"/>
      <c r="X5411" s="20"/>
      <c r="Y5411" s="22"/>
      <c r="Z5411" s="22"/>
      <c r="AA5411" s="22"/>
      <c r="AB5411" s="22"/>
      <c r="AC5411" s="22"/>
    </row>
    <row r="5412" spans="1:29" ht="32.25" customHeight="1">
      <c r="A5412" s="19"/>
      <c r="B5412" s="20"/>
      <c r="C5412" s="20"/>
      <c r="D5412" s="20"/>
      <c r="E5412" s="20"/>
      <c r="F5412" s="20"/>
      <c r="G5412" s="20"/>
      <c r="H5412" s="20"/>
      <c r="I5412" s="20"/>
      <c r="J5412" s="20"/>
      <c r="K5412" s="20"/>
      <c r="L5412" s="20"/>
      <c r="M5412" s="20"/>
      <c r="N5412" s="20"/>
      <c r="O5412" s="20"/>
      <c r="P5412" s="20"/>
      <c r="Q5412" s="20"/>
      <c r="R5412" s="20"/>
      <c r="S5412" s="20"/>
      <c r="T5412" s="20"/>
      <c r="U5412" s="20"/>
      <c r="V5412" s="20"/>
      <c r="W5412" s="21"/>
      <c r="X5412" s="20"/>
      <c r="Y5412" s="22"/>
      <c r="Z5412" s="22"/>
      <c r="AA5412" s="22"/>
      <c r="AB5412" s="22"/>
      <c r="AC5412" s="22"/>
    </row>
    <row r="5413" spans="1:29" ht="32.25" customHeight="1">
      <c r="A5413" s="19"/>
      <c r="B5413" s="20"/>
      <c r="C5413" s="20"/>
      <c r="D5413" s="20"/>
      <c r="E5413" s="20"/>
      <c r="F5413" s="20"/>
      <c r="G5413" s="20"/>
      <c r="H5413" s="20"/>
      <c r="I5413" s="20"/>
      <c r="J5413" s="20"/>
      <c r="K5413" s="20"/>
      <c r="L5413" s="20"/>
      <c r="M5413" s="20"/>
      <c r="N5413" s="20"/>
      <c r="O5413" s="20"/>
      <c r="P5413" s="20"/>
      <c r="Q5413" s="20"/>
      <c r="R5413" s="20"/>
      <c r="S5413" s="20"/>
      <c r="T5413" s="20"/>
      <c r="U5413" s="20"/>
      <c r="V5413" s="20"/>
      <c r="W5413" s="21"/>
      <c r="X5413" s="20"/>
      <c r="Y5413" s="22"/>
      <c r="Z5413" s="22"/>
      <c r="AA5413" s="22"/>
      <c r="AB5413" s="22"/>
      <c r="AC5413" s="22"/>
    </row>
    <row r="5414" spans="1:29" ht="32.25" customHeight="1">
      <c r="A5414" s="19"/>
      <c r="B5414" s="20"/>
      <c r="C5414" s="20"/>
      <c r="D5414" s="20"/>
      <c r="E5414" s="20"/>
      <c r="F5414" s="20"/>
      <c r="G5414" s="20"/>
      <c r="H5414" s="20"/>
      <c r="I5414" s="20"/>
      <c r="J5414" s="20"/>
      <c r="K5414" s="20"/>
      <c r="L5414" s="20"/>
      <c r="M5414" s="20"/>
      <c r="N5414" s="20"/>
      <c r="O5414" s="20"/>
      <c r="P5414" s="20"/>
      <c r="Q5414" s="20"/>
      <c r="R5414" s="20"/>
      <c r="S5414" s="20"/>
      <c r="T5414" s="20"/>
      <c r="U5414" s="20"/>
      <c r="V5414" s="20"/>
      <c r="W5414" s="21"/>
      <c r="X5414" s="20"/>
      <c r="Y5414" s="22"/>
      <c r="Z5414" s="22"/>
      <c r="AA5414" s="22"/>
      <c r="AB5414" s="22"/>
      <c r="AC5414" s="22"/>
    </row>
    <row r="5415" spans="1:29" ht="32.25" customHeight="1">
      <c r="A5415" s="19"/>
      <c r="B5415" s="20"/>
      <c r="C5415" s="20"/>
      <c r="D5415" s="20"/>
      <c r="E5415" s="20"/>
      <c r="F5415" s="20"/>
      <c r="G5415" s="20"/>
      <c r="H5415" s="20"/>
      <c r="I5415" s="20"/>
      <c r="J5415" s="20"/>
      <c r="K5415" s="20"/>
      <c r="L5415" s="20"/>
      <c r="M5415" s="20"/>
      <c r="N5415" s="20"/>
      <c r="O5415" s="20"/>
      <c r="P5415" s="20"/>
      <c r="Q5415" s="20"/>
      <c r="R5415" s="20"/>
      <c r="S5415" s="20"/>
      <c r="T5415" s="20"/>
      <c r="U5415" s="20"/>
      <c r="V5415" s="20"/>
      <c r="W5415" s="21"/>
      <c r="X5415" s="20"/>
      <c r="Y5415" s="22"/>
      <c r="Z5415" s="22"/>
      <c r="AA5415" s="22"/>
      <c r="AB5415" s="22"/>
      <c r="AC5415" s="22"/>
    </row>
    <row r="5416" spans="1:29" ht="32.25" customHeight="1">
      <c r="A5416" s="19"/>
      <c r="B5416" s="20"/>
      <c r="C5416" s="20"/>
      <c r="D5416" s="20"/>
      <c r="E5416" s="20"/>
      <c r="F5416" s="20"/>
      <c r="G5416" s="20"/>
      <c r="H5416" s="20"/>
      <c r="I5416" s="20"/>
      <c r="J5416" s="20"/>
      <c r="K5416" s="20"/>
      <c r="L5416" s="20"/>
      <c r="M5416" s="20"/>
      <c r="N5416" s="20"/>
      <c r="O5416" s="20"/>
      <c r="P5416" s="20"/>
      <c r="Q5416" s="20"/>
      <c r="R5416" s="20"/>
      <c r="S5416" s="20"/>
      <c r="T5416" s="20"/>
      <c r="U5416" s="20"/>
      <c r="V5416" s="20"/>
      <c r="W5416" s="21"/>
      <c r="X5416" s="20"/>
      <c r="Y5416" s="22"/>
      <c r="Z5416" s="22"/>
      <c r="AA5416" s="22"/>
      <c r="AB5416" s="22"/>
      <c r="AC5416" s="22"/>
    </row>
    <row r="5417" spans="1:29" ht="32.25" customHeight="1">
      <c r="A5417" s="19"/>
      <c r="B5417" s="20"/>
      <c r="C5417" s="20"/>
      <c r="D5417" s="20"/>
      <c r="E5417" s="20"/>
      <c r="F5417" s="20"/>
      <c r="G5417" s="20"/>
      <c r="H5417" s="20"/>
      <c r="I5417" s="20"/>
      <c r="J5417" s="20"/>
      <c r="K5417" s="20"/>
      <c r="L5417" s="20"/>
      <c r="M5417" s="20"/>
      <c r="N5417" s="20"/>
      <c r="O5417" s="20"/>
      <c r="P5417" s="20"/>
      <c r="Q5417" s="20"/>
      <c r="R5417" s="20"/>
      <c r="S5417" s="20"/>
      <c r="T5417" s="20"/>
      <c r="U5417" s="20"/>
      <c r="V5417" s="20"/>
      <c r="W5417" s="21"/>
      <c r="X5417" s="20"/>
      <c r="Y5417" s="22"/>
      <c r="Z5417" s="22"/>
      <c r="AA5417" s="22"/>
      <c r="AB5417" s="22"/>
      <c r="AC5417" s="22"/>
    </row>
    <row r="5418" spans="1:29" ht="32.25" customHeight="1">
      <c r="A5418" s="19"/>
      <c r="B5418" s="20"/>
      <c r="C5418" s="20"/>
      <c r="D5418" s="20"/>
      <c r="E5418" s="20"/>
      <c r="F5418" s="20"/>
      <c r="G5418" s="20"/>
      <c r="H5418" s="20"/>
      <c r="I5418" s="20"/>
      <c r="J5418" s="20"/>
      <c r="K5418" s="20"/>
      <c r="L5418" s="20"/>
      <c r="M5418" s="20"/>
      <c r="N5418" s="20"/>
      <c r="O5418" s="20"/>
      <c r="P5418" s="20"/>
      <c r="Q5418" s="20"/>
      <c r="R5418" s="20"/>
      <c r="S5418" s="20"/>
      <c r="T5418" s="20"/>
      <c r="U5418" s="20"/>
      <c r="V5418" s="20"/>
      <c r="W5418" s="21"/>
      <c r="X5418" s="20"/>
      <c r="Y5418" s="22"/>
      <c r="Z5418" s="22"/>
      <c r="AA5418" s="22"/>
      <c r="AB5418" s="22"/>
      <c r="AC5418" s="22"/>
    </row>
    <row r="5419" spans="1:29" ht="32.25" customHeight="1">
      <c r="A5419" s="19"/>
      <c r="B5419" s="20"/>
      <c r="C5419" s="20"/>
      <c r="D5419" s="20"/>
      <c r="E5419" s="20"/>
      <c r="F5419" s="20"/>
      <c r="G5419" s="20"/>
      <c r="H5419" s="20"/>
      <c r="I5419" s="20"/>
      <c r="J5419" s="20"/>
      <c r="K5419" s="20"/>
      <c r="L5419" s="20"/>
      <c r="M5419" s="20"/>
      <c r="N5419" s="20"/>
      <c r="O5419" s="20"/>
      <c r="P5419" s="20"/>
      <c r="Q5419" s="20"/>
      <c r="R5419" s="20"/>
      <c r="S5419" s="20"/>
      <c r="T5419" s="20"/>
      <c r="U5419" s="20"/>
      <c r="V5419" s="20"/>
      <c r="W5419" s="21"/>
      <c r="X5419" s="20"/>
      <c r="Y5419" s="22"/>
      <c r="Z5419" s="22"/>
      <c r="AA5419" s="22"/>
      <c r="AB5419" s="22"/>
      <c r="AC5419" s="22"/>
    </row>
    <row r="5420" spans="1:29" ht="32.25" customHeight="1">
      <c r="A5420" s="19"/>
      <c r="B5420" s="20"/>
      <c r="C5420" s="20"/>
      <c r="D5420" s="20"/>
      <c r="E5420" s="20"/>
      <c r="F5420" s="20"/>
      <c r="G5420" s="20"/>
      <c r="H5420" s="20"/>
      <c r="I5420" s="20"/>
      <c r="J5420" s="20"/>
      <c r="K5420" s="20"/>
      <c r="L5420" s="20"/>
      <c r="M5420" s="20"/>
      <c r="N5420" s="20"/>
      <c r="O5420" s="20"/>
      <c r="P5420" s="20"/>
      <c r="Q5420" s="20"/>
      <c r="R5420" s="20"/>
      <c r="S5420" s="20"/>
      <c r="T5420" s="20"/>
      <c r="U5420" s="20"/>
      <c r="V5420" s="20"/>
      <c r="W5420" s="21"/>
      <c r="X5420" s="20"/>
      <c r="Y5420" s="22"/>
      <c r="Z5420" s="22"/>
      <c r="AA5420" s="22"/>
      <c r="AB5420" s="22"/>
      <c r="AC5420" s="22"/>
    </row>
    <row r="5421" spans="1:29" ht="32.25" customHeight="1">
      <c r="A5421" s="19"/>
      <c r="B5421" s="20"/>
      <c r="C5421" s="20"/>
      <c r="D5421" s="20"/>
      <c r="E5421" s="20"/>
      <c r="F5421" s="20"/>
      <c r="G5421" s="20"/>
      <c r="H5421" s="20"/>
      <c r="I5421" s="20"/>
      <c r="J5421" s="20"/>
      <c r="K5421" s="20"/>
      <c r="L5421" s="20"/>
      <c r="M5421" s="20"/>
      <c r="N5421" s="20"/>
      <c r="O5421" s="20"/>
      <c r="P5421" s="20"/>
      <c r="Q5421" s="20"/>
      <c r="R5421" s="20"/>
      <c r="S5421" s="20"/>
      <c r="T5421" s="20"/>
      <c r="U5421" s="20"/>
      <c r="V5421" s="20"/>
      <c r="W5421" s="21"/>
      <c r="X5421" s="20"/>
      <c r="Y5421" s="22"/>
      <c r="Z5421" s="22"/>
      <c r="AA5421" s="22"/>
      <c r="AB5421" s="22"/>
      <c r="AC5421" s="22"/>
    </row>
    <row r="5422" spans="1:29" ht="32.25" customHeight="1">
      <c r="A5422" s="19"/>
      <c r="B5422" s="20"/>
      <c r="C5422" s="20"/>
      <c r="D5422" s="20"/>
      <c r="E5422" s="20"/>
      <c r="F5422" s="20"/>
      <c r="G5422" s="20"/>
      <c r="H5422" s="20"/>
      <c r="I5422" s="20"/>
      <c r="J5422" s="20"/>
      <c r="K5422" s="20"/>
      <c r="L5422" s="20"/>
      <c r="M5422" s="20"/>
      <c r="N5422" s="20"/>
      <c r="O5422" s="20"/>
      <c r="P5422" s="20"/>
      <c r="Q5422" s="20"/>
      <c r="R5422" s="20"/>
      <c r="S5422" s="20"/>
      <c r="T5422" s="20"/>
      <c r="U5422" s="20"/>
      <c r="V5422" s="20"/>
      <c r="W5422" s="21"/>
      <c r="X5422" s="20"/>
      <c r="Y5422" s="22"/>
      <c r="Z5422" s="22"/>
      <c r="AA5422" s="22"/>
      <c r="AB5422" s="22"/>
      <c r="AC5422" s="22"/>
    </row>
    <row r="5423" spans="1:29" ht="32.25" customHeight="1">
      <c r="A5423" s="19"/>
      <c r="B5423" s="20"/>
      <c r="C5423" s="20"/>
      <c r="D5423" s="20"/>
      <c r="E5423" s="20"/>
      <c r="F5423" s="20"/>
      <c r="G5423" s="20"/>
      <c r="H5423" s="20"/>
      <c r="I5423" s="20"/>
      <c r="J5423" s="20"/>
      <c r="K5423" s="20"/>
      <c r="L5423" s="20"/>
      <c r="M5423" s="20"/>
      <c r="N5423" s="20"/>
      <c r="O5423" s="20"/>
      <c r="P5423" s="20"/>
      <c r="Q5423" s="20"/>
      <c r="R5423" s="20"/>
      <c r="S5423" s="20"/>
      <c r="T5423" s="20"/>
      <c r="U5423" s="20"/>
      <c r="V5423" s="20"/>
      <c r="W5423" s="21"/>
      <c r="X5423" s="20"/>
      <c r="Y5423" s="22"/>
      <c r="Z5423" s="22"/>
      <c r="AA5423" s="22"/>
      <c r="AB5423" s="22"/>
      <c r="AC5423" s="22"/>
    </row>
    <row r="5424" spans="1:29" ht="32.25" customHeight="1">
      <c r="A5424" s="19"/>
      <c r="B5424" s="20"/>
      <c r="C5424" s="20"/>
      <c r="D5424" s="20"/>
      <c r="E5424" s="20"/>
      <c r="F5424" s="20"/>
      <c r="G5424" s="20"/>
      <c r="H5424" s="20"/>
      <c r="I5424" s="20"/>
      <c r="J5424" s="20"/>
      <c r="K5424" s="20"/>
      <c r="L5424" s="20"/>
      <c r="M5424" s="20"/>
      <c r="N5424" s="20"/>
      <c r="O5424" s="20"/>
      <c r="P5424" s="20"/>
      <c r="Q5424" s="20"/>
      <c r="R5424" s="20"/>
      <c r="S5424" s="20"/>
      <c r="T5424" s="20"/>
      <c r="U5424" s="20"/>
      <c r="V5424" s="20"/>
      <c r="W5424" s="21"/>
      <c r="X5424" s="20"/>
      <c r="Y5424" s="22"/>
      <c r="Z5424" s="22"/>
      <c r="AA5424" s="22"/>
      <c r="AB5424" s="22"/>
      <c r="AC5424" s="22"/>
    </row>
    <row r="5425" spans="1:29" ht="32.25" customHeight="1">
      <c r="A5425" s="19"/>
      <c r="B5425" s="20"/>
      <c r="C5425" s="20"/>
      <c r="D5425" s="20"/>
      <c r="E5425" s="20"/>
      <c r="F5425" s="20"/>
      <c r="G5425" s="20"/>
      <c r="H5425" s="20"/>
      <c r="I5425" s="20"/>
      <c r="J5425" s="20"/>
      <c r="K5425" s="20"/>
      <c r="L5425" s="20"/>
      <c r="M5425" s="20"/>
      <c r="N5425" s="20"/>
      <c r="O5425" s="20"/>
      <c r="P5425" s="20"/>
      <c r="Q5425" s="20"/>
      <c r="R5425" s="20"/>
      <c r="S5425" s="20"/>
      <c r="T5425" s="20"/>
      <c r="U5425" s="20"/>
      <c r="V5425" s="20"/>
      <c r="W5425" s="21"/>
      <c r="X5425" s="20"/>
      <c r="Y5425" s="22"/>
      <c r="Z5425" s="22"/>
      <c r="AA5425" s="22"/>
      <c r="AB5425" s="22"/>
      <c r="AC5425" s="22"/>
    </row>
    <row r="5426" spans="1:29" ht="32.25" customHeight="1">
      <c r="A5426" s="19"/>
      <c r="B5426" s="20"/>
      <c r="C5426" s="20"/>
      <c r="D5426" s="20"/>
      <c r="E5426" s="20"/>
      <c r="F5426" s="20"/>
      <c r="G5426" s="20"/>
      <c r="H5426" s="20"/>
      <c r="I5426" s="20"/>
      <c r="J5426" s="20"/>
      <c r="K5426" s="20"/>
      <c r="L5426" s="20"/>
      <c r="M5426" s="20"/>
      <c r="N5426" s="20"/>
      <c r="O5426" s="20"/>
      <c r="P5426" s="20"/>
      <c r="Q5426" s="20"/>
      <c r="R5426" s="20"/>
      <c r="S5426" s="20"/>
      <c r="T5426" s="20"/>
      <c r="U5426" s="20"/>
      <c r="V5426" s="20"/>
      <c r="W5426" s="21"/>
      <c r="X5426" s="20"/>
      <c r="Y5426" s="22"/>
      <c r="Z5426" s="22"/>
      <c r="AA5426" s="22"/>
      <c r="AB5426" s="22"/>
      <c r="AC5426" s="22"/>
    </row>
    <row r="5427" spans="1:29" ht="32.25" customHeight="1">
      <c r="A5427" s="19"/>
      <c r="B5427" s="20"/>
      <c r="C5427" s="20"/>
      <c r="D5427" s="20"/>
      <c r="E5427" s="20"/>
      <c r="F5427" s="20"/>
      <c r="G5427" s="20"/>
      <c r="H5427" s="20"/>
      <c r="I5427" s="20"/>
      <c r="J5427" s="20"/>
      <c r="K5427" s="20"/>
      <c r="L5427" s="20"/>
      <c r="M5427" s="20"/>
      <c r="N5427" s="20"/>
      <c r="O5427" s="20"/>
      <c r="P5427" s="20"/>
      <c r="Q5427" s="20"/>
      <c r="R5427" s="20"/>
      <c r="S5427" s="20"/>
      <c r="T5427" s="20"/>
      <c r="U5427" s="20"/>
      <c r="V5427" s="20"/>
      <c r="W5427" s="21"/>
      <c r="X5427" s="20"/>
      <c r="Y5427" s="22"/>
      <c r="Z5427" s="22"/>
      <c r="AA5427" s="22"/>
      <c r="AB5427" s="22"/>
      <c r="AC5427" s="22"/>
    </row>
    <row r="5428" spans="1:29" ht="32.25" customHeight="1">
      <c r="A5428" s="19"/>
      <c r="B5428" s="20"/>
      <c r="C5428" s="20"/>
      <c r="D5428" s="20"/>
      <c r="E5428" s="20"/>
      <c r="F5428" s="20"/>
      <c r="G5428" s="20"/>
      <c r="H5428" s="20"/>
      <c r="I5428" s="20"/>
      <c r="J5428" s="20"/>
      <c r="K5428" s="20"/>
      <c r="L5428" s="20"/>
      <c r="M5428" s="20"/>
      <c r="N5428" s="20"/>
      <c r="O5428" s="20"/>
      <c r="P5428" s="20"/>
      <c r="Q5428" s="20"/>
      <c r="R5428" s="20"/>
      <c r="S5428" s="20"/>
      <c r="T5428" s="20"/>
      <c r="U5428" s="20"/>
      <c r="V5428" s="20"/>
      <c r="W5428" s="21"/>
      <c r="X5428" s="20"/>
      <c r="Y5428" s="22"/>
      <c r="Z5428" s="22"/>
      <c r="AA5428" s="22"/>
      <c r="AB5428" s="22"/>
      <c r="AC5428" s="22"/>
    </row>
    <row r="5429" spans="1:29" ht="32.25" customHeight="1">
      <c r="A5429" s="19"/>
      <c r="B5429" s="20"/>
      <c r="C5429" s="20"/>
      <c r="D5429" s="20"/>
      <c r="E5429" s="20"/>
      <c r="F5429" s="20"/>
      <c r="G5429" s="20"/>
      <c r="H5429" s="20"/>
      <c r="I5429" s="20"/>
      <c r="J5429" s="20"/>
      <c r="K5429" s="20"/>
      <c r="L5429" s="20"/>
      <c r="M5429" s="20"/>
      <c r="N5429" s="20"/>
      <c r="O5429" s="20"/>
      <c r="P5429" s="20"/>
      <c r="Q5429" s="20"/>
      <c r="R5429" s="20"/>
      <c r="S5429" s="20"/>
      <c r="T5429" s="20"/>
      <c r="U5429" s="20"/>
      <c r="V5429" s="20"/>
      <c r="W5429" s="21"/>
      <c r="X5429" s="20"/>
      <c r="Y5429" s="22"/>
      <c r="Z5429" s="22"/>
      <c r="AA5429" s="22"/>
      <c r="AB5429" s="22"/>
      <c r="AC5429" s="22"/>
    </row>
    <row r="5430" spans="1:29" ht="32.25" customHeight="1">
      <c r="A5430" s="19"/>
      <c r="B5430" s="20"/>
      <c r="C5430" s="20"/>
      <c r="D5430" s="20"/>
      <c r="E5430" s="20"/>
      <c r="F5430" s="20"/>
      <c r="G5430" s="20"/>
      <c r="H5430" s="20"/>
      <c r="I5430" s="20"/>
      <c r="J5430" s="20"/>
      <c r="K5430" s="20"/>
      <c r="L5430" s="20"/>
      <c r="M5430" s="20"/>
      <c r="N5430" s="20"/>
      <c r="O5430" s="20"/>
      <c r="P5430" s="20"/>
      <c r="Q5430" s="20"/>
      <c r="R5430" s="20"/>
      <c r="S5430" s="20"/>
      <c r="T5430" s="20"/>
      <c r="U5430" s="20"/>
      <c r="V5430" s="20"/>
      <c r="W5430" s="21"/>
      <c r="X5430" s="20"/>
      <c r="Y5430" s="22"/>
      <c r="Z5430" s="22"/>
      <c r="AA5430" s="22"/>
      <c r="AB5430" s="22"/>
      <c r="AC5430" s="22"/>
    </row>
    <row r="5431" spans="1:29" ht="32.25" customHeight="1">
      <c r="A5431" s="19"/>
      <c r="B5431" s="20"/>
      <c r="C5431" s="20"/>
      <c r="D5431" s="20"/>
      <c r="E5431" s="20"/>
      <c r="F5431" s="20"/>
      <c r="G5431" s="20"/>
      <c r="H5431" s="20"/>
      <c r="I5431" s="20"/>
      <c r="J5431" s="20"/>
      <c r="K5431" s="20"/>
      <c r="L5431" s="20"/>
      <c r="M5431" s="20"/>
      <c r="N5431" s="20"/>
      <c r="O5431" s="20"/>
      <c r="P5431" s="20"/>
      <c r="Q5431" s="20"/>
      <c r="R5431" s="20"/>
      <c r="S5431" s="20"/>
      <c r="T5431" s="20"/>
      <c r="U5431" s="20"/>
      <c r="V5431" s="20"/>
      <c r="W5431" s="21"/>
      <c r="X5431" s="20"/>
      <c r="Y5431" s="22"/>
      <c r="Z5431" s="22"/>
      <c r="AA5431" s="22"/>
      <c r="AB5431" s="22"/>
      <c r="AC5431" s="22"/>
    </row>
    <row r="5432" spans="1:29" ht="32.25" customHeight="1">
      <c r="A5432" s="19"/>
      <c r="B5432" s="20"/>
      <c r="C5432" s="20"/>
      <c r="D5432" s="20"/>
      <c r="E5432" s="20"/>
      <c r="F5432" s="20"/>
      <c r="G5432" s="20"/>
      <c r="H5432" s="20"/>
      <c r="I5432" s="20"/>
      <c r="J5432" s="20"/>
      <c r="K5432" s="20"/>
      <c r="L5432" s="20"/>
      <c r="M5432" s="20"/>
      <c r="N5432" s="20"/>
      <c r="O5432" s="20"/>
      <c r="P5432" s="20"/>
      <c r="Q5432" s="20"/>
      <c r="R5432" s="20"/>
      <c r="S5432" s="20"/>
      <c r="T5432" s="20"/>
      <c r="U5432" s="20"/>
      <c r="V5432" s="20"/>
      <c r="W5432" s="21"/>
      <c r="X5432" s="20"/>
      <c r="Y5432" s="22"/>
      <c r="Z5432" s="22"/>
      <c r="AA5432" s="22"/>
      <c r="AB5432" s="22"/>
      <c r="AC5432" s="22"/>
    </row>
    <row r="5433" spans="1:29" ht="32.25" customHeight="1">
      <c r="A5433" s="19"/>
      <c r="B5433" s="20"/>
      <c r="C5433" s="20"/>
      <c r="D5433" s="20"/>
      <c r="E5433" s="20"/>
      <c r="F5433" s="20"/>
      <c r="G5433" s="20"/>
      <c r="H5433" s="20"/>
      <c r="I5433" s="20"/>
      <c r="J5433" s="20"/>
      <c r="K5433" s="20"/>
      <c r="L5433" s="20"/>
      <c r="M5433" s="20"/>
      <c r="N5433" s="20"/>
      <c r="O5433" s="20"/>
      <c r="P5433" s="20"/>
      <c r="Q5433" s="20"/>
      <c r="R5433" s="20"/>
      <c r="S5433" s="20"/>
      <c r="T5433" s="20"/>
      <c r="U5433" s="20"/>
      <c r="V5433" s="20"/>
      <c r="W5433" s="21"/>
      <c r="X5433" s="20"/>
      <c r="Y5433" s="22"/>
      <c r="Z5433" s="22"/>
      <c r="AA5433" s="22"/>
      <c r="AB5433" s="22"/>
      <c r="AC5433" s="22"/>
    </row>
    <row r="5434" spans="1:29" ht="32.25" customHeight="1">
      <c r="A5434" s="19"/>
      <c r="B5434" s="20"/>
      <c r="C5434" s="20"/>
      <c r="D5434" s="20"/>
      <c r="E5434" s="20"/>
      <c r="F5434" s="20"/>
      <c r="G5434" s="20"/>
      <c r="H5434" s="20"/>
      <c r="I5434" s="20"/>
      <c r="J5434" s="20"/>
      <c r="K5434" s="20"/>
      <c r="L5434" s="20"/>
      <c r="M5434" s="20"/>
      <c r="N5434" s="20"/>
      <c r="O5434" s="20"/>
      <c r="P5434" s="20"/>
      <c r="Q5434" s="20"/>
      <c r="R5434" s="20"/>
      <c r="S5434" s="20"/>
      <c r="T5434" s="20"/>
      <c r="U5434" s="20"/>
      <c r="V5434" s="20"/>
      <c r="W5434" s="21"/>
      <c r="X5434" s="20"/>
      <c r="Y5434" s="22"/>
      <c r="Z5434" s="22"/>
      <c r="AA5434" s="22"/>
      <c r="AB5434" s="22"/>
      <c r="AC5434" s="22"/>
    </row>
    <row r="5435" spans="1:29" ht="32.25" customHeight="1">
      <c r="A5435" s="19"/>
      <c r="B5435" s="20"/>
      <c r="C5435" s="20"/>
      <c r="D5435" s="20"/>
      <c r="E5435" s="20"/>
      <c r="F5435" s="20"/>
      <c r="G5435" s="20"/>
      <c r="H5435" s="20"/>
      <c r="I5435" s="20"/>
      <c r="J5435" s="20"/>
      <c r="K5435" s="20"/>
      <c r="L5435" s="20"/>
      <c r="M5435" s="20"/>
      <c r="N5435" s="20"/>
      <c r="O5435" s="20"/>
      <c r="P5435" s="20"/>
      <c r="Q5435" s="20"/>
      <c r="R5435" s="20"/>
      <c r="S5435" s="20"/>
      <c r="T5435" s="20"/>
      <c r="U5435" s="20"/>
      <c r="V5435" s="20"/>
      <c r="W5435" s="21"/>
      <c r="X5435" s="20"/>
      <c r="Y5435" s="22"/>
      <c r="Z5435" s="22"/>
      <c r="AA5435" s="22"/>
      <c r="AB5435" s="22"/>
      <c r="AC5435" s="22"/>
    </row>
    <row r="5436" spans="1:29" ht="32.25" customHeight="1">
      <c r="A5436" s="19"/>
      <c r="B5436" s="20"/>
      <c r="C5436" s="20"/>
      <c r="D5436" s="20"/>
      <c r="E5436" s="20"/>
      <c r="F5436" s="20"/>
      <c r="G5436" s="20"/>
      <c r="H5436" s="20"/>
      <c r="I5436" s="20"/>
      <c r="J5436" s="20"/>
      <c r="K5436" s="20"/>
      <c r="L5436" s="20"/>
      <c r="M5436" s="20"/>
      <c r="N5436" s="20"/>
      <c r="O5436" s="20"/>
      <c r="P5436" s="20"/>
      <c r="Q5436" s="20"/>
      <c r="R5436" s="20"/>
      <c r="S5436" s="20"/>
      <c r="T5436" s="20"/>
      <c r="U5436" s="20"/>
      <c r="V5436" s="20"/>
      <c r="W5436" s="21"/>
      <c r="X5436" s="20"/>
      <c r="Y5436" s="22"/>
      <c r="Z5436" s="22"/>
      <c r="AA5436" s="22"/>
      <c r="AB5436" s="22"/>
      <c r="AC5436" s="22"/>
    </row>
    <row r="5437" spans="1:29" ht="32.25" customHeight="1">
      <c r="A5437" s="19"/>
      <c r="B5437" s="20"/>
      <c r="C5437" s="20"/>
      <c r="D5437" s="20"/>
      <c r="E5437" s="20"/>
      <c r="F5437" s="20"/>
      <c r="G5437" s="20"/>
      <c r="H5437" s="20"/>
      <c r="I5437" s="20"/>
      <c r="J5437" s="20"/>
      <c r="K5437" s="20"/>
      <c r="L5437" s="20"/>
      <c r="M5437" s="20"/>
      <c r="N5437" s="20"/>
      <c r="O5437" s="20"/>
      <c r="P5437" s="20"/>
      <c r="Q5437" s="20"/>
      <c r="R5437" s="20"/>
      <c r="S5437" s="20"/>
      <c r="T5437" s="20"/>
      <c r="U5437" s="20"/>
      <c r="V5437" s="20"/>
      <c r="W5437" s="21"/>
      <c r="X5437" s="20"/>
      <c r="Y5437" s="22"/>
      <c r="Z5437" s="22"/>
      <c r="AA5437" s="22"/>
      <c r="AB5437" s="22"/>
      <c r="AC5437" s="22"/>
    </row>
    <row r="5438" spans="1:29" ht="32.25" customHeight="1">
      <c r="A5438" s="19"/>
      <c r="B5438" s="20"/>
      <c r="C5438" s="20"/>
      <c r="D5438" s="20"/>
      <c r="E5438" s="20"/>
      <c r="F5438" s="20"/>
      <c r="G5438" s="20"/>
      <c r="H5438" s="20"/>
      <c r="I5438" s="20"/>
      <c r="J5438" s="20"/>
      <c r="K5438" s="20"/>
      <c r="L5438" s="20"/>
      <c r="M5438" s="20"/>
      <c r="N5438" s="20"/>
      <c r="O5438" s="20"/>
      <c r="P5438" s="20"/>
      <c r="Q5438" s="20"/>
      <c r="R5438" s="20"/>
      <c r="S5438" s="20"/>
      <c r="T5438" s="20"/>
      <c r="U5438" s="20"/>
      <c r="V5438" s="20"/>
      <c r="W5438" s="21"/>
      <c r="X5438" s="20"/>
      <c r="Y5438" s="22"/>
      <c r="Z5438" s="22"/>
      <c r="AA5438" s="22"/>
      <c r="AB5438" s="22"/>
      <c r="AC5438" s="22"/>
    </row>
    <row r="5439" spans="1:29" ht="32.25" customHeight="1">
      <c r="A5439" s="19"/>
      <c r="B5439" s="20"/>
      <c r="C5439" s="20"/>
      <c r="D5439" s="20"/>
      <c r="E5439" s="20"/>
      <c r="F5439" s="20"/>
      <c r="G5439" s="20"/>
      <c r="H5439" s="20"/>
      <c r="I5439" s="20"/>
      <c r="J5439" s="20"/>
      <c r="K5439" s="20"/>
      <c r="L5439" s="20"/>
      <c r="M5439" s="20"/>
      <c r="N5439" s="20"/>
      <c r="O5439" s="20"/>
      <c r="P5439" s="20"/>
      <c r="Q5439" s="20"/>
      <c r="R5439" s="20"/>
      <c r="S5439" s="20"/>
      <c r="T5439" s="20"/>
      <c r="U5439" s="20"/>
      <c r="V5439" s="20"/>
      <c r="W5439" s="21"/>
      <c r="X5439" s="20"/>
      <c r="Y5439" s="22"/>
      <c r="Z5439" s="22"/>
      <c r="AA5439" s="22"/>
      <c r="AB5439" s="22"/>
      <c r="AC5439" s="22"/>
    </row>
    <row r="5440" spans="1:29" ht="32.25" customHeight="1">
      <c r="A5440" s="19"/>
      <c r="B5440" s="20"/>
      <c r="C5440" s="20"/>
      <c r="D5440" s="20"/>
      <c r="E5440" s="20"/>
      <c r="F5440" s="20"/>
      <c r="G5440" s="20"/>
      <c r="H5440" s="20"/>
      <c r="I5440" s="20"/>
      <c r="J5440" s="20"/>
      <c r="K5440" s="20"/>
      <c r="L5440" s="20"/>
      <c r="M5440" s="20"/>
      <c r="N5440" s="20"/>
      <c r="O5440" s="20"/>
      <c r="P5440" s="20"/>
      <c r="Q5440" s="20"/>
      <c r="R5440" s="20"/>
      <c r="S5440" s="20"/>
      <c r="T5440" s="20"/>
      <c r="U5440" s="20"/>
      <c r="V5440" s="20"/>
      <c r="W5440" s="21"/>
      <c r="X5440" s="20"/>
      <c r="Y5440" s="22"/>
      <c r="Z5440" s="22"/>
      <c r="AA5440" s="22"/>
      <c r="AB5440" s="22"/>
      <c r="AC5440" s="22"/>
    </row>
    <row r="5441" spans="1:29" ht="32.25" customHeight="1">
      <c r="A5441" s="19"/>
      <c r="B5441" s="20"/>
      <c r="C5441" s="20"/>
      <c r="D5441" s="20"/>
      <c r="E5441" s="20"/>
      <c r="F5441" s="20"/>
      <c r="G5441" s="20"/>
      <c r="H5441" s="20"/>
      <c r="I5441" s="20"/>
      <c r="J5441" s="20"/>
      <c r="K5441" s="20"/>
      <c r="L5441" s="20"/>
      <c r="M5441" s="20"/>
      <c r="N5441" s="20"/>
      <c r="O5441" s="20"/>
      <c r="P5441" s="20"/>
      <c r="Q5441" s="20"/>
      <c r="R5441" s="20"/>
      <c r="S5441" s="20"/>
      <c r="T5441" s="20"/>
      <c r="U5441" s="20"/>
      <c r="V5441" s="20"/>
      <c r="W5441" s="21"/>
      <c r="X5441" s="20"/>
      <c r="Y5441" s="22"/>
      <c r="Z5441" s="22"/>
      <c r="AA5441" s="22"/>
      <c r="AB5441" s="22"/>
      <c r="AC5441" s="22"/>
    </row>
    <row r="5442" spans="1:29" ht="32.25" customHeight="1">
      <c r="A5442" s="19"/>
      <c r="B5442" s="20"/>
      <c r="C5442" s="20"/>
      <c r="D5442" s="20"/>
      <c r="E5442" s="20"/>
      <c r="F5442" s="20"/>
      <c r="G5442" s="20"/>
      <c r="H5442" s="20"/>
      <c r="I5442" s="20"/>
      <c r="J5442" s="20"/>
      <c r="K5442" s="20"/>
      <c r="L5442" s="20"/>
      <c r="M5442" s="20"/>
      <c r="N5442" s="20"/>
      <c r="O5442" s="20"/>
      <c r="P5442" s="20"/>
      <c r="Q5442" s="20"/>
      <c r="R5442" s="20"/>
      <c r="S5442" s="20"/>
      <c r="T5442" s="20"/>
      <c r="U5442" s="20"/>
      <c r="V5442" s="20"/>
      <c r="W5442" s="21"/>
      <c r="X5442" s="20"/>
      <c r="Y5442" s="22"/>
      <c r="Z5442" s="22"/>
      <c r="AA5442" s="22"/>
      <c r="AB5442" s="22"/>
      <c r="AC5442" s="22"/>
    </row>
    <row r="5443" spans="1:29" ht="32.25" customHeight="1">
      <c r="A5443" s="19"/>
      <c r="B5443" s="20"/>
      <c r="C5443" s="20"/>
      <c r="D5443" s="20"/>
      <c r="E5443" s="20"/>
      <c r="F5443" s="20"/>
      <c r="G5443" s="20"/>
      <c r="H5443" s="20"/>
      <c r="I5443" s="20"/>
      <c r="J5443" s="20"/>
      <c r="K5443" s="20"/>
      <c r="L5443" s="20"/>
      <c r="M5443" s="20"/>
      <c r="N5443" s="20"/>
      <c r="O5443" s="20"/>
      <c r="P5443" s="20"/>
      <c r="Q5443" s="20"/>
      <c r="R5443" s="20"/>
      <c r="S5443" s="20"/>
      <c r="T5443" s="20"/>
      <c r="U5443" s="20"/>
      <c r="V5443" s="20"/>
      <c r="W5443" s="21"/>
      <c r="X5443" s="20"/>
      <c r="Y5443" s="22"/>
      <c r="Z5443" s="22"/>
      <c r="AA5443" s="22"/>
      <c r="AB5443" s="22"/>
      <c r="AC5443" s="22"/>
    </row>
    <row r="5444" spans="1:29" ht="32.25" customHeight="1">
      <c r="A5444" s="19"/>
      <c r="B5444" s="20"/>
      <c r="C5444" s="20"/>
      <c r="D5444" s="20"/>
      <c r="E5444" s="20"/>
      <c r="F5444" s="20"/>
      <c r="G5444" s="20"/>
      <c r="H5444" s="20"/>
      <c r="I5444" s="20"/>
      <c r="J5444" s="20"/>
      <c r="K5444" s="20"/>
      <c r="L5444" s="20"/>
      <c r="M5444" s="20"/>
      <c r="N5444" s="20"/>
      <c r="O5444" s="20"/>
      <c r="P5444" s="20"/>
      <c r="Q5444" s="20"/>
      <c r="R5444" s="20"/>
      <c r="S5444" s="20"/>
      <c r="T5444" s="20"/>
      <c r="U5444" s="20"/>
      <c r="V5444" s="20"/>
      <c r="W5444" s="21"/>
      <c r="X5444" s="20"/>
      <c r="Y5444" s="22"/>
      <c r="Z5444" s="22"/>
      <c r="AA5444" s="22"/>
      <c r="AB5444" s="22"/>
      <c r="AC5444" s="22"/>
    </row>
    <row r="5445" spans="1:29" ht="32.25" customHeight="1">
      <c r="A5445" s="19"/>
      <c r="B5445" s="20"/>
      <c r="C5445" s="20"/>
      <c r="D5445" s="20"/>
      <c r="E5445" s="20"/>
      <c r="F5445" s="20"/>
      <c r="G5445" s="20"/>
      <c r="H5445" s="20"/>
      <c r="I5445" s="20"/>
      <c r="J5445" s="20"/>
      <c r="K5445" s="20"/>
      <c r="L5445" s="20"/>
      <c r="M5445" s="20"/>
      <c r="N5445" s="20"/>
      <c r="O5445" s="20"/>
      <c r="P5445" s="20"/>
      <c r="Q5445" s="20"/>
      <c r="R5445" s="20"/>
      <c r="S5445" s="20"/>
      <c r="T5445" s="20"/>
      <c r="U5445" s="20"/>
      <c r="V5445" s="20"/>
      <c r="W5445" s="21"/>
      <c r="X5445" s="20"/>
      <c r="Y5445" s="22"/>
      <c r="Z5445" s="22"/>
      <c r="AA5445" s="22"/>
      <c r="AB5445" s="22"/>
      <c r="AC5445" s="22"/>
    </row>
    <row r="5446" spans="1:29" ht="32.25" customHeight="1">
      <c r="A5446" s="19"/>
      <c r="B5446" s="20"/>
      <c r="C5446" s="20"/>
      <c r="D5446" s="20"/>
      <c r="E5446" s="20"/>
      <c r="F5446" s="20"/>
      <c r="G5446" s="20"/>
      <c r="H5446" s="20"/>
      <c r="I5446" s="20"/>
      <c r="J5446" s="20"/>
      <c r="K5446" s="20"/>
      <c r="L5446" s="20"/>
      <c r="M5446" s="20"/>
      <c r="N5446" s="20"/>
      <c r="O5446" s="20"/>
      <c r="P5446" s="20"/>
      <c r="Q5446" s="20"/>
      <c r="R5446" s="20"/>
      <c r="S5446" s="20"/>
      <c r="T5446" s="20"/>
      <c r="U5446" s="20"/>
      <c r="V5446" s="20"/>
      <c r="W5446" s="21"/>
      <c r="X5446" s="20"/>
      <c r="Y5446" s="22"/>
      <c r="Z5446" s="22"/>
      <c r="AA5446" s="22"/>
      <c r="AB5446" s="22"/>
      <c r="AC5446" s="22"/>
    </row>
    <row r="5447" spans="1:29" ht="32.25" customHeight="1">
      <c r="A5447" s="19"/>
      <c r="B5447" s="20"/>
      <c r="C5447" s="20"/>
      <c r="D5447" s="20"/>
      <c r="E5447" s="20"/>
      <c r="F5447" s="20"/>
      <c r="G5447" s="20"/>
      <c r="H5447" s="20"/>
      <c r="I5447" s="20"/>
      <c r="J5447" s="20"/>
      <c r="K5447" s="20"/>
      <c r="L5447" s="20"/>
      <c r="M5447" s="20"/>
      <c r="N5447" s="20"/>
      <c r="O5447" s="20"/>
      <c r="P5447" s="20"/>
      <c r="Q5447" s="20"/>
      <c r="R5447" s="20"/>
      <c r="S5447" s="20"/>
      <c r="T5447" s="20"/>
      <c r="U5447" s="20"/>
      <c r="V5447" s="20"/>
      <c r="W5447" s="21"/>
      <c r="X5447" s="20"/>
      <c r="Y5447" s="22"/>
      <c r="Z5447" s="22"/>
      <c r="AA5447" s="22"/>
      <c r="AB5447" s="22"/>
      <c r="AC5447" s="22"/>
    </row>
    <row r="5448" spans="1:29" ht="32.25" customHeight="1">
      <c r="A5448" s="19"/>
      <c r="B5448" s="20"/>
      <c r="C5448" s="20"/>
      <c r="D5448" s="20"/>
      <c r="E5448" s="20"/>
      <c r="F5448" s="20"/>
      <c r="G5448" s="20"/>
      <c r="H5448" s="20"/>
      <c r="I5448" s="20"/>
      <c r="J5448" s="20"/>
      <c r="K5448" s="20"/>
      <c r="L5448" s="20"/>
      <c r="M5448" s="20"/>
      <c r="N5448" s="20"/>
      <c r="O5448" s="20"/>
      <c r="P5448" s="20"/>
      <c r="Q5448" s="20"/>
      <c r="R5448" s="20"/>
      <c r="S5448" s="20"/>
      <c r="T5448" s="20"/>
      <c r="U5448" s="20"/>
      <c r="V5448" s="20"/>
      <c r="W5448" s="21"/>
      <c r="X5448" s="20"/>
      <c r="Y5448" s="22"/>
      <c r="Z5448" s="22"/>
      <c r="AA5448" s="22"/>
      <c r="AB5448" s="22"/>
      <c r="AC5448" s="22"/>
    </row>
    <row r="5449" spans="1:29" ht="32.25" customHeight="1">
      <c r="A5449" s="19"/>
      <c r="B5449" s="20"/>
      <c r="C5449" s="20"/>
      <c r="D5449" s="20"/>
      <c r="E5449" s="20"/>
      <c r="F5449" s="20"/>
      <c r="G5449" s="20"/>
      <c r="H5449" s="20"/>
      <c r="I5449" s="20"/>
      <c r="J5449" s="20"/>
      <c r="K5449" s="20"/>
      <c r="L5449" s="20"/>
      <c r="M5449" s="20"/>
      <c r="N5449" s="20"/>
      <c r="O5449" s="20"/>
      <c r="P5449" s="20"/>
      <c r="Q5449" s="20"/>
      <c r="R5449" s="20"/>
      <c r="S5449" s="20"/>
      <c r="T5449" s="20"/>
      <c r="U5449" s="20"/>
      <c r="V5449" s="20"/>
      <c r="W5449" s="21"/>
      <c r="X5449" s="20"/>
      <c r="Y5449" s="22"/>
      <c r="Z5449" s="22"/>
      <c r="AA5449" s="22"/>
      <c r="AB5449" s="22"/>
      <c r="AC5449" s="22"/>
    </row>
    <row r="5450" spans="1:29" ht="32.25" customHeight="1">
      <c r="A5450" s="19"/>
      <c r="B5450" s="20"/>
      <c r="C5450" s="20"/>
      <c r="D5450" s="20"/>
      <c r="E5450" s="20"/>
      <c r="F5450" s="20"/>
      <c r="G5450" s="20"/>
      <c r="H5450" s="20"/>
      <c r="I5450" s="20"/>
      <c r="J5450" s="20"/>
      <c r="K5450" s="20"/>
      <c r="L5450" s="20"/>
      <c r="M5450" s="20"/>
      <c r="N5450" s="20"/>
      <c r="O5450" s="20"/>
      <c r="P5450" s="20"/>
      <c r="Q5450" s="20"/>
      <c r="R5450" s="20"/>
      <c r="S5450" s="20"/>
      <c r="T5450" s="20"/>
      <c r="U5450" s="20"/>
      <c r="V5450" s="20"/>
      <c r="W5450" s="21"/>
      <c r="X5450" s="20"/>
      <c r="Y5450" s="22"/>
      <c r="Z5450" s="22"/>
      <c r="AA5450" s="22"/>
      <c r="AB5450" s="22"/>
      <c r="AC5450" s="22"/>
    </row>
    <row r="5451" spans="1:29" ht="32.25" customHeight="1">
      <c r="A5451" s="19"/>
      <c r="B5451" s="20"/>
      <c r="C5451" s="20"/>
      <c r="D5451" s="20"/>
      <c r="E5451" s="20"/>
      <c r="F5451" s="20"/>
      <c r="G5451" s="20"/>
      <c r="H5451" s="20"/>
      <c r="I5451" s="20"/>
      <c r="J5451" s="20"/>
      <c r="K5451" s="20"/>
      <c r="L5451" s="20"/>
      <c r="M5451" s="20"/>
      <c r="N5451" s="20"/>
      <c r="O5451" s="20"/>
      <c r="P5451" s="20"/>
      <c r="Q5451" s="20"/>
      <c r="R5451" s="20"/>
      <c r="S5451" s="20"/>
      <c r="T5451" s="20"/>
      <c r="U5451" s="20"/>
      <c r="V5451" s="20"/>
      <c r="W5451" s="21"/>
      <c r="X5451" s="20"/>
      <c r="Y5451" s="22"/>
      <c r="Z5451" s="22"/>
      <c r="AA5451" s="22"/>
      <c r="AB5451" s="22"/>
      <c r="AC5451" s="22"/>
    </row>
    <row r="5452" spans="1:29" ht="32.25" customHeight="1">
      <c r="A5452" s="19"/>
      <c r="B5452" s="20"/>
      <c r="C5452" s="20"/>
      <c r="D5452" s="20"/>
      <c r="E5452" s="20"/>
      <c r="F5452" s="20"/>
      <c r="G5452" s="20"/>
      <c r="H5452" s="20"/>
      <c r="I5452" s="20"/>
      <c r="J5452" s="20"/>
      <c r="K5452" s="20"/>
      <c r="L5452" s="20"/>
      <c r="M5452" s="20"/>
      <c r="N5452" s="20"/>
      <c r="O5452" s="20"/>
      <c r="P5452" s="20"/>
      <c r="Q5452" s="20"/>
      <c r="R5452" s="20"/>
      <c r="S5452" s="20"/>
      <c r="T5452" s="20"/>
      <c r="U5452" s="20"/>
      <c r="V5452" s="20"/>
      <c r="W5452" s="21"/>
      <c r="X5452" s="20"/>
      <c r="Y5452" s="22"/>
      <c r="Z5452" s="22"/>
      <c r="AA5452" s="22"/>
      <c r="AB5452" s="22"/>
      <c r="AC5452" s="22"/>
    </row>
    <row r="5453" spans="1:29" ht="32.25" customHeight="1">
      <c r="A5453" s="19"/>
      <c r="B5453" s="20"/>
      <c r="C5453" s="20"/>
      <c r="D5453" s="20"/>
      <c r="E5453" s="20"/>
      <c r="F5453" s="20"/>
      <c r="G5453" s="20"/>
      <c r="H5453" s="20"/>
      <c r="I5453" s="20"/>
      <c r="J5453" s="20"/>
      <c r="K5453" s="20"/>
      <c r="L5453" s="20"/>
      <c r="M5453" s="20"/>
      <c r="N5453" s="20"/>
      <c r="O5453" s="20"/>
      <c r="P5453" s="20"/>
      <c r="Q5453" s="20"/>
      <c r="R5453" s="20"/>
      <c r="S5453" s="20"/>
      <c r="T5453" s="20"/>
      <c r="U5453" s="20"/>
      <c r="V5453" s="20"/>
      <c r="W5453" s="21"/>
      <c r="X5453" s="20"/>
      <c r="Y5453" s="22"/>
      <c r="Z5453" s="22"/>
      <c r="AA5453" s="22"/>
      <c r="AB5453" s="22"/>
      <c r="AC5453" s="22"/>
    </row>
    <row r="5454" spans="1:29" ht="32.25" customHeight="1">
      <c r="A5454" s="19"/>
      <c r="B5454" s="20"/>
      <c r="C5454" s="20"/>
      <c r="D5454" s="20"/>
      <c r="E5454" s="20"/>
      <c r="F5454" s="20"/>
      <c r="G5454" s="20"/>
      <c r="H5454" s="20"/>
      <c r="I5454" s="20"/>
      <c r="J5454" s="20"/>
      <c r="K5454" s="20"/>
      <c r="L5454" s="20"/>
      <c r="M5454" s="20"/>
      <c r="N5454" s="20"/>
      <c r="O5454" s="20"/>
      <c r="P5454" s="20"/>
      <c r="Q5454" s="20"/>
      <c r="R5454" s="20"/>
      <c r="S5454" s="20"/>
      <c r="T5454" s="20"/>
      <c r="U5454" s="20"/>
      <c r="V5454" s="20"/>
      <c r="W5454" s="21"/>
      <c r="X5454" s="20"/>
      <c r="Y5454" s="22"/>
      <c r="Z5454" s="22"/>
      <c r="AA5454" s="22"/>
      <c r="AB5454" s="22"/>
      <c r="AC5454" s="22"/>
    </row>
    <row r="5455" spans="1:29" ht="32.25" customHeight="1">
      <c r="A5455" s="19"/>
      <c r="B5455" s="20"/>
      <c r="C5455" s="20"/>
      <c r="D5455" s="20"/>
      <c r="E5455" s="20"/>
      <c r="F5455" s="20"/>
      <c r="G5455" s="20"/>
      <c r="H5455" s="20"/>
      <c r="I5455" s="20"/>
      <c r="J5455" s="20"/>
      <c r="K5455" s="20"/>
      <c r="L5455" s="20"/>
      <c r="M5455" s="20"/>
      <c r="N5455" s="20"/>
      <c r="O5455" s="20"/>
      <c r="P5455" s="20"/>
      <c r="Q5455" s="20"/>
      <c r="R5455" s="20"/>
      <c r="S5455" s="20"/>
      <c r="T5455" s="20"/>
      <c r="U5455" s="20"/>
      <c r="V5455" s="20"/>
      <c r="W5455" s="21"/>
      <c r="X5455" s="20"/>
      <c r="Y5455" s="22"/>
      <c r="Z5455" s="22"/>
      <c r="AA5455" s="22"/>
      <c r="AB5455" s="22"/>
      <c r="AC5455" s="22"/>
    </row>
    <row r="5456" spans="1:29" ht="32.25" customHeight="1">
      <c r="A5456" s="19"/>
      <c r="B5456" s="20"/>
      <c r="C5456" s="20"/>
      <c r="D5456" s="20"/>
      <c r="E5456" s="20"/>
      <c r="F5456" s="20"/>
      <c r="G5456" s="20"/>
      <c r="H5456" s="20"/>
      <c r="I5456" s="20"/>
      <c r="J5456" s="20"/>
      <c r="K5456" s="20"/>
      <c r="L5456" s="20"/>
      <c r="M5456" s="20"/>
      <c r="N5456" s="20"/>
      <c r="O5456" s="20"/>
      <c r="P5456" s="20"/>
      <c r="Q5456" s="20"/>
      <c r="R5456" s="20"/>
      <c r="S5456" s="20"/>
      <c r="T5456" s="20"/>
      <c r="U5456" s="20"/>
      <c r="V5456" s="20"/>
      <c r="W5456" s="21"/>
      <c r="X5456" s="20"/>
      <c r="Y5456" s="22"/>
      <c r="Z5456" s="22"/>
      <c r="AA5456" s="22"/>
      <c r="AB5456" s="22"/>
      <c r="AC5456" s="22"/>
    </row>
    <row r="5457" spans="1:29" ht="32.25" customHeight="1">
      <c r="A5457" s="19"/>
      <c r="B5457" s="20"/>
      <c r="C5457" s="20"/>
      <c r="D5457" s="20"/>
      <c r="E5457" s="20"/>
      <c r="F5457" s="20"/>
      <c r="G5457" s="20"/>
      <c r="H5457" s="20"/>
      <c r="I5457" s="20"/>
      <c r="J5457" s="20"/>
      <c r="K5457" s="20"/>
      <c r="L5457" s="20"/>
      <c r="M5457" s="20"/>
      <c r="N5457" s="20"/>
      <c r="O5457" s="20"/>
      <c r="P5457" s="20"/>
      <c r="Q5457" s="20"/>
      <c r="R5457" s="20"/>
      <c r="S5457" s="20"/>
      <c r="T5457" s="20"/>
      <c r="U5457" s="20"/>
      <c r="V5457" s="20"/>
      <c r="W5457" s="21"/>
      <c r="X5457" s="20"/>
      <c r="Y5457" s="22"/>
      <c r="Z5457" s="22"/>
      <c r="AA5457" s="22"/>
      <c r="AB5457" s="22"/>
      <c r="AC5457" s="22"/>
    </row>
    <row r="5458" spans="1:29" ht="32.25" customHeight="1">
      <c r="A5458" s="19"/>
      <c r="B5458" s="20"/>
      <c r="C5458" s="20"/>
      <c r="D5458" s="20"/>
      <c r="E5458" s="20"/>
      <c r="F5458" s="20"/>
      <c r="G5458" s="20"/>
      <c r="H5458" s="20"/>
      <c r="I5458" s="20"/>
      <c r="J5458" s="20"/>
      <c r="K5458" s="20"/>
      <c r="L5458" s="20"/>
      <c r="M5458" s="20"/>
      <c r="N5458" s="20"/>
      <c r="O5458" s="20"/>
      <c r="P5458" s="20"/>
      <c r="Q5458" s="20"/>
      <c r="R5458" s="20"/>
      <c r="S5458" s="20"/>
      <c r="T5458" s="20"/>
      <c r="U5458" s="20"/>
      <c r="V5458" s="20"/>
      <c r="W5458" s="21"/>
      <c r="X5458" s="20"/>
      <c r="Y5458" s="22"/>
      <c r="Z5458" s="22"/>
      <c r="AA5458" s="22"/>
      <c r="AB5458" s="22"/>
      <c r="AC5458" s="22"/>
    </row>
    <row r="5459" spans="1:29" ht="32.25" customHeight="1">
      <c r="A5459" s="19"/>
      <c r="B5459" s="20"/>
      <c r="C5459" s="20"/>
      <c r="D5459" s="20"/>
      <c r="E5459" s="20"/>
      <c r="F5459" s="20"/>
      <c r="G5459" s="20"/>
      <c r="H5459" s="20"/>
      <c r="I5459" s="20"/>
      <c r="J5459" s="20"/>
      <c r="K5459" s="20"/>
      <c r="L5459" s="20"/>
      <c r="M5459" s="20"/>
      <c r="N5459" s="20"/>
      <c r="O5459" s="20"/>
      <c r="P5459" s="20"/>
      <c r="Q5459" s="20"/>
      <c r="R5459" s="20"/>
      <c r="S5459" s="20"/>
      <c r="T5459" s="20"/>
      <c r="U5459" s="20"/>
      <c r="V5459" s="20"/>
      <c r="W5459" s="21"/>
      <c r="X5459" s="20"/>
      <c r="Y5459" s="22"/>
      <c r="Z5459" s="22"/>
      <c r="AA5459" s="22"/>
      <c r="AB5459" s="22"/>
      <c r="AC5459" s="22"/>
    </row>
    <row r="5460" spans="1:29" ht="32.25" customHeight="1">
      <c r="A5460" s="19"/>
      <c r="B5460" s="20"/>
      <c r="C5460" s="20"/>
      <c r="D5460" s="20"/>
      <c r="E5460" s="20"/>
      <c r="F5460" s="20"/>
      <c r="G5460" s="20"/>
      <c r="H5460" s="20"/>
      <c r="I5460" s="20"/>
      <c r="J5460" s="20"/>
      <c r="K5460" s="20"/>
      <c r="L5460" s="20"/>
      <c r="M5460" s="20"/>
      <c r="N5460" s="20"/>
      <c r="O5460" s="20"/>
      <c r="P5460" s="20"/>
      <c r="Q5460" s="20"/>
      <c r="R5460" s="20"/>
      <c r="S5460" s="20"/>
      <c r="T5460" s="20"/>
      <c r="U5460" s="20"/>
      <c r="V5460" s="20"/>
      <c r="W5460" s="21"/>
      <c r="X5460" s="20"/>
      <c r="Y5460" s="22"/>
      <c r="Z5460" s="22"/>
      <c r="AA5460" s="22"/>
      <c r="AB5460" s="22"/>
      <c r="AC5460" s="22"/>
    </row>
    <row r="5461" spans="1:29" ht="32.25" customHeight="1">
      <c r="A5461" s="19"/>
      <c r="B5461" s="20"/>
      <c r="C5461" s="20"/>
      <c r="D5461" s="20"/>
      <c r="E5461" s="20"/>
      <c r="F5461" s="20"/>
      <c r="G5461" s="20"/>
      <c r="H5461" s="20"/>
      <c r="I5461" s="20"/>
      <c r="J5461" s="20"/>
      <c r="K5461" s="20"/>
      <c r="L5461" s="20"/>
      <c r="M5461" s="20"/>
      <c r="N5461" s="20"/>
      <c r="O5461" s="20"/>
      <c r="P5461" s="20"/>
      <c r="Q5461" s="20"/>
      <c r="R5461" s="20"/>
      <c r="S5461" s="20"/>
      <c r="T5461" s="20"/>
      <c r="U5461" s="20"/>
      <c r="V5461" s="20"/>
      <c r="W5461" s="21"/>
      <c r="X5461" s="20"/>
      <c r="Y5461" s="22"/>
      <c r="Z5461" s="22"/>
      <c r="AA5461" s="22"/>
      <c r="AB5461" s="22"/>
      <c r="AC5461" s="22"/>
    </row>
    <row r="5462" spans="1:29" ht="32.25" customHeight="1">
      <c r="A5462" s="19"/>
      <c r="B5462" s="20"/>
      <c r="C5462" s="20"/>
      <c r="D5462" s="20"/>
      <c r="E5462" s="20"/>
      <c r="F5462" s="20"/>
      <c r="G5462" s="20"/>
      <c r="H5462" s="20"/>
      <c r="I5462" s="20"/>
      <c r="J5462" s="20"/>
      <c r="K5462" s="20"/>
      <c r="L5462" s="20"/>
      <c r="M5462" s="20"/>
      <c r="N5462" s="20"/>
      <c r="O5462" s="20"/>
      <c r="P5462" s="20"/>
      <c r="Q5462" s="20"/>
      <c r="R5462" s="20"/>
      <c r="S5462" s="20"/>
      <c r="T5462" s="20"/>
      <c r="U5462" s="20"/>
      <c r="V5462" s="20"/>
      <c r="W5462" s="21"/>
      <c r="X5462" s="20"/>
      <c r="Y5462" s="22"/>
      <c r="Z5462" s="22"/>
      <c r="AA5462" s="22"/>
      <c r="AB5462" s="22"/>
      <c r="AC5462" s="22"/>
    </row>
    <row r="5463" spans="1:29" ht="32.25" customHeight="1">
      <c r="A5463" s="19"/>
      <c r="B5463" s="20"/>
      <c r="C5463" s="20"/>
      <c r="D5463" s="20"/>
      <c r="E5463" s="20"/>
      <c r="F5463" s="20"/>
      <c r="G5463" s="20"/>
      <c r="H5463" s="20"/>
      <c r="I5463" s="20"/>
      <c r="J5463" s="20"/>
      <c r="K5463" s="20"/>
      <c r="L5463" s="20"/>
      <c r="M5463" s="20"/>
      <c r="N5463" s="20"/>
      <c r="O5463" s="20"/>
      <c r="P5463" s="20"/>
      <c r="Q5463" s="20"/>
      <c r="R5463" s="20"/>
      <c r="S5463" s="20"/>
      <c r="T5463" s="20"/>
      <c r="U5463" s="20"/>
      <c r="V5463" s="20"/>
      <c r="W5463" s="21"/>
      <c r="X5463" s="20"/>
      <c r="Y5463" s="22"/>
      <c r="Z5463" s="22"/>
      <c r="AA5463" s="22"/>
      <c r="AB5463" s="22"/>
      <c r="AC5463" s="22"/>
    </row>
    <row r="5464" spans="1:29" ht="32.25" customHeight="1">
      <c r="A5464" s="19"/>
      <c r="B5464" s="20"/>
      <c r="C5464" s="20"/>
      <c r="D5464" s="20"/>
      <c r="E5464" s="20"/>
      <c r="F5464" s="20"/>
      <c r="G5464" s="20"/>
      <c r="H5464" s="20"/>
      <c r="I5464" s="20"/>
      <c r="J5464" s="20"/>
      <c r="K5464" s="20"/>
      <c r="L5464" s="20"/>
      <c r="M5464" s="20"/>
      <c r="N5464" s="20"/>
      <c r="O5464" s="20"/>
      <c r="P5464" s="20"/>
      <c r="Q5464" s="20"/>
      <c r="R5464" s="20"/>
      <c r="S5464" s="20"/>
      <c r="T5464" s="20"/>
      <c r="U5464" s="20"/>
      <c r="V5464" s="20"/>
      <c r="W5464" s="21"/>
      <c r="X5464" s="20"/>
      <c r="Y5464" s="22"/>
      <c r="Z5464" s="22"/>
      <c r="AA5464" s="22"/>
      <c r="AB5464" s="22"/>
      <c r="AC5464" s="22"/>
    </row>
    <row r="5465" spans="1:29" ht="32.25" customHeight="1">
      <c r="A5465" s="19"/>
      <c r="B5465" s="20"/>
      <c r="C5465" s="20"/>
      <c r="D5465" s="20"/>
      <c r="E5465" s="20"/>
      <c r="F5465" s="20"/>
      <c r="G5465" s="20"/>
      <c r="H5465" s="20"/>
      <c r="I5465" s="20"/>
      <c r="J5465" s="20"/>
      <c r="K5465" s="20"/>
      <c r="L5465" s="20"/>
      <c r="M5465" s="20"/>
      <c r="N5465" s="20"/>
      <c r="O5465" s="20"/>
      <c r="P5465" s="20"/>
      <c r="Q5465" s="20"/>
      <c r="R5465" s="20"/>
      <c r="S5465" s="20"/>
      <c r="T5465" s="20"/>
      <c r="U5465" s="20"/>
      <c r="V5465" s="20"/>
      <c r="W5465" s="21"/>
      <c r="X5465" s="20"/>
      <c r="Y5465" s="22"/>
      <c r="Z5465" s="22"/>
      <c r="AA5465" s="22"/>
      <c r="AB5465" s="22"/>
      <c r="AC5465" s="22"/>
    </row>
    <row r="5466" spans="1:29" ht="32.25" customHeight="1">
      <c r="A5466" s="19"/>
      <c r="B5466" s="20"/>
      <c r="C5466" s="20"/>
      <c r="D5466" s="20"/>
      <c r="E5466" s="20"/>
      <c r="F5466" s="20"/>
      <c r="G5466" s="20"/>
      <c r="H5466" s="20"/>
      <c r="I5466" s="20"/>
      <c r="J5466" s="20"/>
      <c r="K5466" s="20"/>
      <c r="L5466" s="20"/>
      <c r="M5466" s="20"/>
      <c r="N5466" s="20"/>
      <c r="O5466" s="20"/>
      <c r="P5466" s="20"/>
      <c r="Q5466" s="20"/>
      <c r="R5466" s="20"/>
      <c r="S5466" s="20"/>
      <c r="T5466" s="20"/>
      <c r="U5466" s="20"/>
      <c r="V5466" s="20"/>
      <c r="W5466" s="21"/>
      <c r="X5466" s="20"/>
      <c r="Y5466" s="22"/>
      <c r="Z5466" s="22"/>
      <c r="AA5466" s="22"/>
      <c r="AB5466" s="22"/>
      <c r="AC5466" s="22"/>
    </row>
    <row r="5467" spans="1:29" ht="32.25" customHeight="1">
      <c r="A5467" s="19"/>
      <c r="B5467" s="20"/>
      <c r="C5467" s="20"/>
      <c r="D5467" s="20"/>
      <c r="E5467" s="20"/>
      <c r="F5467" s="20"/>
      <c r="G5467" s="20"/>
      <c r="H5467" s="20"/>
      <c r="I5467" s="20"/>
      <c r="J5467" s="20"/>
      <c r="K5467" s="20"/>
      <c r="L5467" s="20"/>
      <c r="M5467" s="20"/>
      <c r="N5467" s="20"/>
      <c r="O5467" s="20"/>
      <c r="P5467" s="20"/>
      <c r="Q5467" s="20"/>
      <c r="R5467" s="20"/>
      <c r="S5467" s="20"/>
      <c r="T5467" s="20"/>
      <c r="U5467" s="20"/>
      <c r="V5467" s="20"/>
      <c r="W5467" s="21"/>
      <c r="X5467" s="20"/>
      <c r="Y5467" s="22"/>
      <c r="Z5467" s="22"/>
      <c r="AA5467" s="22"/>
      <c r="AB5467" s="22"/>
      <c r="AC5467" s="22"/>
    </row>
    <row r="5468" spans="1:29" ht="32.25" customHeight="1">
      <c r="A5468" s="19"/>
      <c r="B5468" s="20"/>
      <c r="C5468" s="20"/>
      <c r="D5468" s="20"/>
      <c r="E5468" s="20"/>
      <c r="F5468" s="20"/>
      <c r="G5468" s="20"/>
      <c r="H5468" s="20"/>
      <c r="I5468" s="20"/>
      <c r="J5468" s="20"/>
      <c r="K5468" s="20"/>
      <c r="L5468" s="20"/>
      <c r="M5468" s="20"/>
      <c r="N5468" s="20"/>
      <c r="O5468" s="20"/>
      <c r="P5468" s="20"/>
      <c r="Q5468" s="20"/>
      <c r="R5468" s="20"/>
      <c r="S5468" s="20"/>
      <c r="T5468" s="20"/>
      <c r="U5468" s="20"/>
      <c r="V5468" s="20"/>
      <c r="W5468" s="21"/>
      <c r="X5468" s="20"/>
      <c r="Y5468" s="22"/>
      <c r="Z5468" s="22"/>
      <c r="AA5468" s="22"/>
      <c r="AB5468" s="22"/>
      <c r="AC5468" s="22"/>
    </row>
    <row r="5469" spans="1:29" ht="32.25" customHeight="1">
      <c r="A5469" s="19"/>
      <c r="B5469" s="20"/>
      <c r="C5469" s="20"/>
      <c r="D5469" s="20"/>
      <c r="E5469" s="20"/>
      <c r="F5469" s="20"/>
      <c r="G5469" s="20"/>
      <c r="H5469" s="20"/>
      <c r="I5469" s="20"/>
      <c r="J5469" s="20"/>
      <c r="K5469" s="20"/>
      <c r="L5469" s="20"/>
      <c r="M5469" s="20"/>
      <c r="N5469" s="20"/>
      <c r="O5469" s="20"/>
      <c r="P5469" s="20"/>
      <c r="Q5469" s="20"/>
      <c r="R5469" s="20"/>
      <c r="S5469" s="20"/>
      <c r="T5469" s="20"/>
      <c r="U5469" s="20"/>
      <c r="V5469" s="20"/>
      <c r="W5469" s="21"/>
      <c r="X5469" s="20"/>
      <c r="Y5469" s="22"/>
      <c r="Z5469" s="22"/>
      <c r="AA5469" s="22"/>
      <c r="AB5469" s="22"/>
      <c r="AC5469" s="22"/>
    </row>
    <row r="5470" spans="1:29" ht="32.25" customHeight="1">
      <c r="A5470" s="19"/>
      <c r="B5470" s="20"/>
      <c r="C5470" s="20"/>
      <c r="D5470" s="20"/>
      <c r="E5470" s="20"/>
      <c r="F5470" s="20"/>
      <c r="G5470" s="20"/>
      <c r="H5470" s="20"/>
      <c r="I5470" s="20"/>
      <c r="J5470" s="20"/>
      <c r="K5470" s="20"/>
      <c r="L5470" s="20"/>
      <c r="M5470" s="20"/>
      <c r="N5470" s="20"/>
      <c r="O5470" s="20"/>
      <c r="P5470" s="20"/>
      <c r="Q5470" s="20"/>
      <c r="R5470" s="20"/>
      <c r="S5470" s="20"/>
      <c r="T5470" s="20"/>
      <c r="U5470" s="20"/>
      <c r="V5470" s="20"/>
      <c r="W5470" s="21"/>
      <c r="X5470" s="20"/>
      <c r="Y5470" s="22"/>
      <c r="Z5470" s="22"/>
      <c r="AA5470" s="22"/>
      <c r="AB5470" s="22"/>
      <c r="AC5470" s="22"/>
    </row>
    <row r="5471" spans="1:29" ht="32.25" customHeight="1">
      <c r="A5471" s="19"/>
      <c r="B5471" s="20"/>
      <c r="C5471" s="20"/>
      <c r="D5471" s="20"/>
      <c r="E5471" s="20"/>
      <c r="F5471" s="20"/>
      <c r="G5471" s="20"/>
      <c r="H5471" s="20"/>
      <c r="I5471" s="20"/>
      <c r="J5471" s="20"/>
      <c r="K5471" s="20"/>
      <c r="L5471" s="20"/>
      <c r="M5471" s="20"/>
      <c r="N5471" s="20"/>
      <c r="O5471" s="20"/>
      <c r="P5471" s="20"/>
      <c r="Q5471" s="20"/>
      <c r="R5471" s="20"/>
      <c r="S5471" s="20"/>
      <c r="T5471" s="20"/>
      <c r="U5471" s="20"/>
      <c r="V5471" s="20"/>
      <c r="W5471" s="21"/>
      <c r="X5471" s="20"/>
      <c r="Y5471" s="22"/>
      <c r="Z5471" s="22"/>
      <c r="AA5471" s="22"/>
      <c r="AB5471" s="22"/>
      <c r="AC5471" s="22"/>
    </row>
    <row r="5472" spans="1:29" ht="32.25" customHeight="1">
      <c r="A5472" s="19"/>
      <c r="B5472" s="20"/>
      <c r="C5472" s="20"/>
      <c r="D5472" s="20"/>
      <c r="E5472" s="20"/>
      <c r="F5472" s="20"/>
      <c r="G5472" s="20"/>
      <c r="H5472" s="20"/>
      <c r="I5472" s="20"/>
      <c r="J5472" s="20"/>
      <c r="K5472" s="20"/>
      <c r="L5472" s="20"/>
      <c r="M5472" s="20"/>
      <c r="N5472" s="20"/>
      <c r="O5472" s="20"/>
      <c r="P5472" s="20"/>
      <c r="Q5472" s="20"/>
      <c r="R5472" s="20"/>
      <c r="S5472" s="20"/>
      <c r="T5472" s="20"/>
      <c r="U5472" s="20"/>
      <c r="V5472" s="20"/>
      <c r="W5472" s="21"/>
      <c r="X5472" s="20"/>
      <c r="Y5472" s="22"/>
      <c r="Z5472" s="22"/>
      <c r="AA5472" s="22"/>
      <c r="AB5472" s="22"/>
      <c r="AC5472" s="22"/>
    </row>
    <row r="5473" spans="1:29" ht="32.25" customHeight="1">
      <c r="A5473" s="19"/>
      <c r="B5473" s="20"/>
      <c r="C5473" s="20"/>
      <c r="D5473" s="20"/>
      <c r="E5473" s="20"/>
      <c r="F5473" s="20"/>
      <c r="G5473" s="20"/>
      <c r="H5473" s="20"/>
      <c r="I5473" s="20"/>
      <c r="J5473" s="20"/>
      <c r="K5473" s="20"/>
      <c r="L5473" s="20"/>
      <c r="M5473" s="20"/>
      <c r="N5473" s="20"/>
      <c r="O5473" s="20"/>
      <c r="P5473" s="20"/>
      <c r="Q5473" s="20"/>
      <c r="R5473" s="20"/>
      <c r="S5473" s="20"/>
      <c r="T5473" s="20"/>
      <c r="U5473" s="20"/>
      <c r="V5473" s="20"/>
      <c r="W5473" s="21"/>
      <c r="X5473" s="20"/>
      <c r="Y5473" s="22"/>
      <c r="Z5473" s="22"/>
      <c r="AA5473" s="22"/>
      <c r="AB5473" s="22"/>
      <c r="AC5473" s="22"/>
    </row>
    <row r="5474" spans="1:29" ht="32.25" customHeight="1">
      <c r="A5474" s="19"/>
      <c r="B5474" s="20"/>
      <c r="C5474" s="20"/>
      <c r="D5474" s="20"/>
      <c r="E5474" s="20"/>
      <c r="F5474" s="20"/>
      <c r="G5474" s="20"/>
      <c r="H5474" s="20"/>
      <c r="I5474" s="20"/>
      <c r="J5474" s="20"/>
      <c r="K5474" s="20"/>
      <c r="L5474" s="20"/>
      <c r="M5474" s="20"/>
      <c r="N5474" s="20"/>
      <c r="O5474" s="20"/>
      <c r="P5474" s="20"/>
      <c r="Q5474" s="20"/>
      <c r="R5474" s="20"/>
      <c r="S5474" s="20"/>
      <c r="T5474" s="20"/>
      <c r="U5474" s="20"/>
      <c r="V5474" s="20"/>
      <c r="W5474" s="21"/>
      <c r="X5474" s="20"/>
      <c r="Y5474" s="22"/>
      <c r="Z5474" s="22"/>
      <c r="AA5474" s="22"/>
      <c r="AB5474" s="22"/>
      <c r="AC5474" s="22"/>
    </row>
    <row r="5475" spans="1:29" ht="32.25" customHeight="1">
      <c r="A5475" s="19"/>
      <c r="B5475" s="20"/>
      <c r="C5475" s="20"/>
      <c r="D5475" s="20"/>
      <c r="E5475" s="20"/>
      <c r="F5475" s="20"/>
      <c r="G5475" s="20"/>
      <c r="H5475" s="20"/>
      <c r="I5475" s="20"/>
      <c r="J5475" s="20"/>
      <c r="K5475" s="20"/>
      <c r="L5475" s="20"/>
      <c r="M5475" s="20"/>
      <c r="N5475" s="20"/>
      <c r="O5475" s="20"/>
      <c r="P5475" s="20"/>
      <c r="Q5475" s="20"/>
      <c r="R5475" s="20"/>
      <c r="S5475" s="20"/>
      <c r="T5475" s="20"/>
      <c r="U5475" s="20"/>
      <c r="V5475" s="20"/>
      <c r="W5475" s="21"/>
      <c r="X5475" s="20"/>
      <c r="Y5475" s="22"/>
      <c r="Z5475" s="22"/>
      <c r="AA5475" s="22"/>
      <c r="AB5475" s="22"/>
      <c r="AC5475" s="22"/>
    </row>
    <row r="5476" spans="1:29" ht="32.25" customHeight="1">
      <c r="A5476" s="19"/>
      <c r="B5476" s="20"/>
      <c r="C5476" s="20"/>
      <c r="D5476" s="20"/>
      <c r="E5476" s="20"/>
      <c r="F5476" s="20"/>
      <c r="G5476" s="20"/>
      <c r="H5476" s="20"/>
      <c r="I5476" s="20"/>
      <c r="J5476" s="20"/>
      <c r="K5476" s="20"/>
      <c r="L5476" s="20"/>
      <c r="M5476" s="20"/>
      <c r="N5476" s="20"/>
      <c r="O5476" s="20"/>
      <c r="P5476" s="20"/>
      <c r="Q5476" s="20"/>
      <c r="R5476" s="20"/>
      <c r="S5476" s="20"/>
      <c r="T5476" s="20"/>
      <c r="U5476" s="20"/>
      <c r="V5476" s="20"/>
      <c r="W5476" s="21"/>
      <c r="X5476" s="20"/>
      <c r="Y5476" s="22"/>
      <c r="Z5476" s="22"/>
      <c r="AA5476" s="22"/>
      <c r="AB5476" s="22"/>
      <c r="AC5476" s="22"/>
    </row>
    <row r="5477" spans="1:29" ht="32.25" customHeight="1">
      <c r="A5477" s="19"/>
      <c r="B5477" s="20"/>
      <c r="C5477" s="20"/>
      <c r="D5477" s="20"/>
      <c r="E5477" s="20"/>
      <c r="F5477" s="20"/>
      <c r="G5477" s="20"/>
      <c r="H5477" s="20"/>
      <c r="I5477" s="20"/>
      <c r="J5477" s="20"/>
      <c r="K5477" s="20"/>
      <c r="L5477" s="20"/>
      <c r="M5477" s="20"/>
      <c r="N5477" s="20"/>
      <c r="O5477" s="20"/>
      <c r="P5477" s="20"/>
      <c r="Q5477" s="20"/>
      <c r="R5477" s="20"/>
      <c r="S5477" s="20"/>
      <c r="T5477" s="20"/>
      <c r="U5477" s="20"/>
      <c r="V5477" s="20"/>
      <c r="W5477" s="21"/>
      <c r="X5477" s="20"/>
      <c r="Y5477" s="22"/>
      <c r="Z5477" s="22"/>
      <c r="AA5477" s="22"/>
      <c r="AB5477" s="22"/>
      <c r="AC5477" s="22"/>
    </row>
    <row r="5478" spans="1:29" ht="32.25" customHeight="1">
      <c r="A5478" s="19"/>
      <c r="B5478" s="20"/>
      <c r="C5478" s="20"/>
      <c r="D5478" s="20"/>
      <c r="E5478" s="20"/>
      <c r="F5478" s="20"/>
      <c r="G5478" s="20"/>
      <c r="H5478" s="20"/>
      <c r="I5478" s="20"/>
      <c r="J5478" s="20"/>
      <c r="K5478" s="20"/>
      <c r="L5478" s="20"/>
      <c r="M5478" s="20"/>
      <c r="N5478" s="20"/>
      <c r="O5478" s="20"/>
      <c r="P5478" s="20"/>
      <c r="Q5478" s="20"/>
      <c r="R5478" s="20"/>
      <c r="S5478" s="20"/>
      <c r="T5478" s="20"/>
      <c r="U5478" s="20"/>
      <c r="V5478" s="20"/>
      <c r="W5478" s="21"/>
      <c r="X5478" s="20"/>
      <c r="Y5478" s="22"/>
      <c r="Z5478" s="22"/>
      <c r="AA5478" s="22"/>
      <c r="AB5478" s="22"/>
      <c r="AC5478" s="22"/>
    </row>
    <row r="5479" spans="1:29" ht="32.25" customHeight="1">
      <c r="A5479" s="19"/>
      <c r="B5479" s="20"/>
      <c r="C5479" s="20"/>
      <c r="D5479" s="20"/>
      <c r="E5479" s="20"/>
      <c r="F5479" s="20"/>
      <c r="G5479" s="20"/>
      <c r="H5479" s="20"/>
      <c r="I5479" s="20"/>
      <c r="J5479" s="20"/>
      <c r="K5479" s="20"/>
      <c r="L5479" s="20"/>
      <c r="M5479" s="20"/>
      <c r="N5479" s="20"/>
      <c r="O5479" s="20"/>
      <c r="P5479" s="20"/>
      <c r="Q5479" s="20"/>
      <c r="R5479" s="20"/>
      <c r="S5479" s="20"/>
      <c r="T5479" s="20"/>
      <c r="U5479" s="20"/>
      <c r="V5479" s="20"/>
      <c r="W5479" s="21"/>
      <c r="X5479" s="20"/>
      <c r="Y5479" s="22"/>
      <c r="Z5479" s="22"/>
      <c r="AA5479" s="22"/>
      <c r="AB5479" s="22"/>
      <c r="AC5479" s="22"/>
    </row>
    <row r="5480" spans="1:29" ht="32.25" customHeight="1">
      <c r="A5480" s="19"/>
      <c r="B5480" s="20"/>
      <c r="C5480" s="20"/>
      <c r="D5480" s="20"/>
      <c r="E5480" s="20"/>
      <c r="F5480" s="20"/>
      <c r="G5480" s="20"/>
      <c r="H5480" s="20"/>
      <c r="I5480" s="20"/>
      <c r="J5480" s="20"/>
      <c r="K5480" s="20"/>
      <c r="L5480" s="20"/>
      <c r="M5480" s="20"/>
      <c r="N5480" s="20"/>
      <c r="O5480" s="20"/>
      <c r="P5480" s="20"/>
      <c r="Q5480" s="20"/>
      <c r="R5480" s="20"/>
      <c r="S5480" s="20"/>
      <c r="T5480" s="20"/>
      <c r="U5480" s="20"/>
      <c r="V5480" s="20"/>
      <c r="W5480" s="21"/>
      <c r="X5480" s="20"/>
      <c r="Y5480" s="22"/>
      <c r="Z5480" s="22"/>
      <c r="AA5480" s="22"/>
      <c r="AB5480" s="22"/>
      <c r="AC5480" s="22"/>
    </row>
    <row r="5481" spans="1:29" ht="32.25" customHeight="1">
      <c r="A5481" s="19"/>
      <c r="B5481" s="20"/>
      <c r="C5481" s="20"/>
      <c r="D5481" s="20"/>
      <c r="E5481" s="20"/>
      <c r="F5481" s="20"/>
      <c r="G5481" s="20"/>
      <c r="H5481" s="20"/>
      <c r="I5481" s="20"/>
      <c r="J5481" s="20"/>
      <c r="K5481" s="20"/>
      <c r="L5481" s="20"/>
      <c r="M5481" s="20"/>
      <c r="N5481" s="20"/>
      <c r="O5481" s="20"/>
      <c r="P5481" s="20"/>
      <c r="Q5481" s="20"/>
      <c r="R5481" s="20"/>
      <c r="S5481" s="20"/>
      <c r="T5481" s="20"/>
      <c r="U5481" s="20"/>
      <c r="V5481" s="20"/>
      <c r="W5481" s="21"/>
      <c r="X5481" s="20"/>
      <c r="Y5481" s="22"/>
      <c r="Z5481" s="22"/>
      <c r="AA5481" s="22"/>
      <c r="AB5481" s="22"/>
      <c r="AC5481" s="22"/>
    </row>
    <row r="5482" spans="1:29" ht="32.25" customHeight="1">
      <c r="A5482" s="19"/>
      <c r="B5482" s="20"/>
      <c r="C5482" s="20"/>
      <c r="D5482" s="20"/>
      <c r="E5482" s="20"/>
      <c r="F5482" s="20"/>
      <c r="G5482" s="20"/>
      <c r="H5482" s="20"/>
      <c r="I5482" s="20"/>
      <c r="J5482" s="20"/>
      <c r="K5482" s="20"/>
      <c r="L5482" s="20"/>
      <c r="M5482" s="20"/>
      <c r="N5482" s="20"/>
      <c r="O5482" s="20"/>
      <c r="P5482" s="20"/>
      <c r="Q5482" s="20"/>
      <c r="R5482" s="20"/>
      <c r="S5482" s="20"/>
      <c r="T5482" s="20"/>
      <c r="U5482" s="20"/>
      <c r="V5482" s="20"/>
      <c r="W5482" s="21"/>
      <c r="X5482" s="20"/>
      <c r="Y5482" s="22"/>
      <c r="Z5482" s="22"/>
      <c r="AA5482" s="22"/>
      <c r="AB5482" s="22"/>
      <c r="AC5482" s="22"/>
    </row>
    <row r="5483" spans="1:29" ht="32.25" customHeight="1">
      <c r="A5483" s="19"/>
      <c r="B5483" s="20"/>
      <c r="C5483" s="20"/>
      <c r="D5483" s="20"/>
      <c r="E5483" s="20"/>
      <c r="F5483" s="20"/>
      <c r="G5483" s="20"/>
      <c r="H5483" s="20"/>
      <c r="I5483" s="20"/>
      <c r="J5483" s="20"/>
      <c r="K5483" s="20"/>
      <c r="L5483" s="20"/>
      <c r="M5483" s="20"/>
      <c r="N5483" s="20"/>
      <c r="O5483" s="20"/>
      <c r="P5483" s="20"/>
      <c r="Q5483" s="20"/>
      <c r="R5483" s="20"/>
      <c r="S5483" s="20"/>
      <c r="T5483" s="20"/>
      <c r="U5483" s="20"/>
      <c r="V5483" s="20"/>
      <c r="W5483" s="21"/>
      <c r="X5483" s="20"/>
      <c r="Y5483" s="22"/>
      <c r="Z5483" s="22"/>
      <c r="AA5483" s="22"/>
      <c r="AB5483" s="22"/>
      <c r="AC5483" s="22"/>
    </row>
    <row r="5484" spans="1:29" ht="32.25" customHeight="1">
      <c r="A5484" s="19"/>
      <c r="B5484" s="20"/>
      <c r="C5484" s="20"/>
      <c r="D5484" s="20"/>
      <c r="E5484" s="20"/>
      <c r="F5484" s="20"/>
      <c r="G5484" s="20"/>
      <c r="H5484" s="20"/>
      <c r="I5484" s="20"/>
      <c r="J5484" s="20"/>
      <c r="K5484" s="20"/>
      <c r="L5484" s="20"/>
      <c r="M5484" s="20"/>
      <c r="N5484" s="20"/>
      <c r="O5484" s="20"/>
      <c r="P5484" s="20"/>
      <c r="Q5484" s="20"/>
      <c r="R5484" s="20"/>
      <c r="S5484" s="20"/>
      <c r="T5484" s="20"/>
      <c r="U5484" s="20"/>
      <c r="V5484" s="20"/>
      <c r="W5484" s="21"/>
      <c r="X5484" s="20"/>
      <c r="Y5484" s="22"/>
      <c r="Z5484" s="22"/>
      <c r="AA5484" s="22"/>
      <c r="AB5484" s="22"/>
      <c r="AC5484" s="22"/>
    </row>
    <row r="5485" spans="1:29" ht="32.25" customHeight="1">
      <c r="A5485" s="19"/>
      <c r="B5485" s="20"/>
      <c r="C5485" s="20"/>
      <c r="D5485" s="20"/>
      <c r="E5485" s="20"/>
      <c r="F5485" s="20"/>
      <c r="G5485" s="20"/>
      <c r="H5485" s="20"/>
      <c r="I5485" s="20"/>
      <c r="J5485" s="20"/>
      <c r="K5485" s="20"/>
      <c r="L5485" s="20"/>
      <c r="M5485" s="20"/>
      <c r="N5485" s="20"/>
      <c r="O5485" s="20"/>
      <c r="P5485" s="20"/>
      <c r="Q5485" s="20"/>
      <c r="R5485" s="20"/>
      <c r="S5485" s="20"/>
      <c r="T5485" s="20"/>
      <c r="U5485" s="20"/>
      <c r="V5485" s="20"/>
      <c r="W5485" s="21"/>
      <c r="X5485" s="20"/>
      <c r="Y5485" s="22"/>
      <c r="Z5485" s="22"/>
      <c r="AA5485" s="22"/>
      <c r="AB5485" s="22"/>
      <c r="AC5485" s="22"/>
    </row>
    <row r="5486" spans="1:29" ht="32.25" customHeight="1">
      <c r="A5486" s="19"/>
      <c r="B5486" s="20"/>
      <c r="C5486" s="20"/>
      <c r="D5486" s="20"/>
      <c r="E5486" s="20"/>
      <c r="F5486" s="20"/>
      <c r="G5486" s="20"/>
      <c r="H5486" s="20"/>
      <c r="I5486" s="20"/>
      <c r="J5486" s="20"/>
      <c r="K5486" s="20"/>
      <c r="L5486" s="20"/>
      <c r="M5486" s="20"/>
      <c r="N5486" s="20"/>
      <c r="O5486" s="20"/>
      <c r="P5486" s="20"/>
      <c r="Q5486" s="20"/>
      <c r="R5486" s="20"/>
      <c r="S5486" s="20"/>
      <c r="T5486" s="20"/>
      <c r="U5486" s="20"/>
      <c r="V5486" s="20"/>
      <c r="W5486" s="21"/>
      <c r="X5486" s="20"/>
      <c r="Y5486" s="22"/>
      <c r="Z5486" s="22"/>
      <c r="AA5486" s="22"/>
      <c r="AB5486" s="22"/>
      <c r="AC5486" s="22"/>
    </row>
    <row r="5487" spans="1:29" ht="32.25" customHeight="1">
      <c r="A5487" s="19"/>
      <c r="B5487" s="20"/>
      <c r="C5487" s="20"/>
      <c r="D5487" s="20"/>
      <c r="E5487" s="20"/>
      <c r="F5487" s="20"/>
      <c r="G5487" s="20"/>
      <c r="H5487" s="20"/>
      <c r="I5487" s="20"/>
      <c r="J5487" s="20"/>
      <c r="K5487" s="20"/>
      <c r="L5487" s="20"/>
      <c r="M5487" s="20"/>
      <c r="N5487" s="20"/>
      <c r="O5487" s="20"/>
      <c r="P5487" s="20"/>
      <c r="Q5487" s="20"/>
      <c r="R5487" s="20"/>
      <c r="S5487" s="20"/>
      <c r="T5487" s="20"/>
      <c r="U5487" s="20"/>
      <c r="V5487" s="20"/>
      <c r="W5487" s="21"/>
      <c r="X5487" s="20"/>
      <c r="Y5487" s="22"/>
      <c r="Z5487" s="22"/>
      <c r="AA5487" s="22"/>
      <c r="AB5487" s="22"/>
      <c r="AC5487" s="22"/>
    </row>
    <row r="5488" spans="1:29" ht="32.25" customHeight="1">
      <c r="A5488" s="19"/>
      <c r="B5488" s="20"/>
      <c r="C5488" s="20"/>
      <c r="D5488" s="20"/>
      <c r="E5488" s="20"/>
      <c r="F5488" s="20"/>
      <c r="G5488" s="20"/>
      <c r="H5488" s="20"/>
      <c r="I5488" s="20"/>
      <c r="J5488" s="20"/>
      <c r="K5488" s="20"/>
      <c r="L5488" s="20"/>
      <c r="M5488" s="20"/>
      <c r="N5488" s="20"/>
      <c r="O5488" s="20"/>
      <c r="P5488" s="20"/>
      <c r="Q5488" s="20"/>
      <c r="R5488" s="20"/>
      <c r="S5488" s="20"/>
      <c r="T5488" s="20"/>
      <c r="U5488" s="20"/>
      <c r="V5488" s="20"/>
      <c r="W5488" s="21"/>
      <c r="X5488" s="20"/>
      <c r="Y5488" s="22"/>
      <c r="Z5488" s="22"/>
      <c r="AA5488" s="22"/>
      <c r="AB5488" s="22"/>
      <c r="AC5488" s="22"/>
    </row>
    <row r="5489" spans="1:29" ht="32.25" customHeight="1">
      <c r="A5489" s="19"/>
      <c r="B5489" s="20"/>
      <c r="C5489" s="20"/>
      <c r="D5489" s="20"/>
      <c r="E5489" s="20"/>
      <c r="F5489" s="20"/>
      <c r="G5489" s="20"/>
      <c r="H5489" s="20"/>
      <c r="I5489" s="20"/>
      <c r="J5489" s="20"/>
      <c r="K5489" s="20"/>
      <c r="L5489" s="20"/>
      <c r="M5489" s="20"/>
      <c r="N5489" s="20"/>
      <c r="O5489" s="20"/>
      <c r="P5489" s="20"/>
      <c r="Q5489" s="20"/>
      <c r="R5489" s="20"/>
      <c r="S5489" s="20"/>
      <c r="T5489" s="20"/>
      <c r="U5489" s="20"/>
      <c r="V5489" s="20"/>
      <c r="W5489" s="21"/>
      <c r="X5489" s="20"/>
      <c r="Y5489" s="22"/>
      <c r="Z5489" s="22"/>
      <c r="AA5489" s="22"/>
      <c r="AB5489" s="22"/>
      <c r="AC5489" s="22"/>
    </row>
    <row r="5490" spans="1:29" ht="32.25" customHeight="1">
      <c r="A5490" s="19"/>
      <c r="B5490" s="20"/>
      <c r="C5490" s="20"/>
      <c r="D5490" s="20"/>
      <c r="E5490" s="20"/>
      <c r="F5490" s="20"/>
      <c r="G5490" s="20"/>
      <c r="H5490" s="20"/>
      <c r="I5490" s="20"/>
      <c r="J5490" s="20"/>
      <c r="K5490" s="20"/>
      <c r="L5490" s="20"/>
      <c r="M5490" s="20"/>
      <c r="N5490" s="20"/>
      <c r="O5490" s="20"/>
      <c r="P5490" s="20"/>
      <c r="Q5490" s="20"/>
      <c r="R5490" s="20"/>
      <c r="S5490" s="20"/>
      <c r="T5490" s="20"/>
      <c r="U5490" s="20"/>
      <c r="V5490" s="20"/>
      <c r="W5490" s="21"/>
      <c r="X5490" s="20"/>
      <c r="Y5490" s="22"/>
      <c r="Z5490" s="22"/>
      <c r="AA5490" s="22"/>
      <c r="AB5490" s="22"/>
      <c r="AC5490" s="22"/>
    </row>
    <row r="5491" spans="1:29" ht="32.25" customHeight="1">
      <c r="A5491" s="19"/>
      <c r="B5491" s="20"/>
      <c r="C5491" s="20"/>
      <c r="D5491" s="20"/>
      <c r="E5491" s="20"/>
      <c r="F5491" s="20"/>
      <c r="G5491" s="20"/>
      <c r="H5491" s="20"/>
      <c r="I5491" s="20"/>
      <c r="J5491" s="20"/>
      <c r="K5491" s="20"/>
      <c r="L5491" s="20"/>
      <c r="M5491" s="20"/>
      <c r="N5491" s="20"/>
      <c r="O5491" s="20"/>
      <c r="P5491" s="20"/>
      <c r="Q5491" s="20"/>
      <c r="R5491" s="20"/>
      <c r="S5491" s="20"/>
      <c r="T5491" s="20"/>
      <c r="U5491" s="20"/>
      <c r="V5491" s="20"/>
      <c r="W5491" s="21"/>
      <c r="X5491" s="20"/>
      <c r="Y5491" s="22"/>
      <c r="Z5491" s="22"/>
      <c r="AA5491" s="22"/>
      <c r="AB5491" s="22"/>
      <c r="AC5491" s="22"/>
    </row>
    <row r="5492" spans="1:29" ht="32.25" customHeight="1">
      <c r="A5492" s="19"/>
      <c r="B5492" s="20"/>
      <c r="C5492" s="20"/>
      <c r="D5492" s="20"/>
      <c r="E5492" s="20"/>
      <c r="F5492" s="20"/>
      <c r="G5492" s="20"/>
      <c r="H5492" s="20"/>
      <c r="I5492" s="20"/>
      <c r="J5492" s="20"/>
      <c r="K5492" s="20"/>
      <c r="L5492" s="20"/>
      <c r="M5492" s="20"/>
      <c r="N5492" s="20"/>
      <c r="O5492" s="20"/>
      <c r="P5492" s="20"/>
      <c r="Q5492" s="20"/>
      <c r="R5492" s="20"/>
      <c r="S5492" s="20"/>
      <c r="T5492" s="20"/>
      <c r="U5492" s="20"/>
      <c r="V5492" s="20"/>
      <c r="W5492" s="21"/>
      <c r="X5492" s="20"/>
      <c r="Y5492" s="22"/>
      <c r="Z5492" s="22"/>
      <c r="AA5492" s="22"/>
      <c r="AB5492" s="22"/>
      <c r="AC5492" s="22"/>
    </row>
    <row r="5493" spans="1:29" ht="32.25" customHeight="1">
      <c r="A5493" s="19"/>
      <c r="B5493" s="20"/>
      <c r="C5493" s="20"/>
      <c r="D5493" s="20"/>
      <c r="E5493" s="20"/>
      <c r="F5493" s="20"/>
      <c r="G5493" s="20"/>
      <c r="H5493" s="20"/>
      <c r="I5493" s="20"/>
      <c r="J5493" s="20"/>
      <c r="K5493" s="20"/>
      <c r="L5493" s="20"/>
      <c r="M5493" s="20"/>
      <c r="N5493" s="20"/>
      <c r="O5493" s="20"/>
      <c r="P5493" s="20"/>
      <c r="Q5493" s="20"/>
      <c r="R5493" s="20"/>
      <c r="S5493" s="20"/>
      <c r="T5493" s="20"/>
      <c r="U5493" s="20"/>
      <c r="V5493" s="20"/>
      <c r="W5493" s="21"/>
      <c r="X5493" s="20"/>
      <c r="Y5493" s="22"/>
      <c r="Z5493" s="22"/>
      <c r="AA5493" s="22"/>
      <c r="AB5493" s="22"/>
      <c r="AC5493" s="22"/>
    </row>
    <row r="5494" spans="1:29" ht="32.25" customHeight="1">
      <c r="A5494" s="19"/>
      <c r="B5494" s="20"/>
      <c r="C5494" s="20"/>
      <c r="D5494" s="20"/>
      <c r="E5494" s="20"/>
      <c r="F5494" s="20"/>
      <c r="G5494" s="20"/>
      <c r="H5494" s="20"/>
      <c r="I5494" s="20"/>
      <c r="J5494" s="20"/>
      <c r="K5494" s="20"/>
      <c r="L5494" s="20"/>
      <c r="M5494" s="20"/>
      <c r="N5494" s="20"/>
      <c r="O5494" s="20"/>
      <c r="P5494" s="20"/>
      <c r="Q5494" s="20"/>
      <c r="R5494" s="20"/>
      <c r="S5494" s="20"/>
      <c r="T5494" s="20"/>
      <c r="U5494" s="20"/>
      <c r="V5494" s="20"/>
      <c r="W5494" s="21"/>
      <c r="X5494" s="20"/>
      <c r="Y5494" s="22"/>
      <c r="Z5494" s="22"/>
      <c r="AA5494" s="22"/>
      <c r="AB5494" s="22"/>
      <c r="AC5494" s="22"/>
    </row>
    <row r="5495" spans="1:29" ht="32.25" customHeight="1">
      <c r="A5495" s="19"/>
      <c r="B5495" s="20"/>
      <c r="C5495" s="20"/>
      <c r="D5495" s="20"/>
      <c r="E5495" s="20"/>
      <c r="F5495" s="20"/>
      <c r="G5495" s="20"/>
      <c r="H5495" s="20"/>
      <c r="I5495" s="20"/>
      <c r="J5495" s="20"/>
      <c r="K5495" s="20"/>
      <c r="L5495" s="20"/>
      <c r="M5495" s="20"/>
      <c r="N5495" s="20"/>
      <c r="O5495" s="20"/>
      <c r="P5495" s="20"/>
      <c r="Q5495" s="20"/>
      <c r="R5495" s="20"/>
      <c r="S5495" s="20"/>
      <c r="T5495" s="20"/>
      <c r="U5495" s="20"/>
      <c r="V5495" s="20"/>
      <c r="W5495" s="21"/>
      <c r="X5495" s="20"/>
      <c r="Y5495" s="22"/>
      <c r="Z5495" s="22"/>
      <c r="AA5495" s="22"/>
      <c r="AB5495" s="22"/>
      <c r="AC5495" s="22"/>
    </row>
    <row r="5496" spans="1:29" ht="32.25" customHeight="1">
      <c r="A5496" s="19"/>
      <c r="B5496" s="20"/>
      <c r="C5496" s="20"/>
      <c r="D5496" s="20"/>
      <c r="E5496" s="20"/>
      <c r="F5496" s="20"/>
      <c r="G5496" s="20"/>
      <c r="H5496" s="20"/>
      <c r="I5496" s="20"/>
      <c r="J5496" s="20"/>
      <c r="K5496" s="20"/>
      <c r="L5496" s="20"/>
      <c r="M5496" s="20"/>
      <c r="N5496" s="20"/>
      <c r="O5496" s="20"/>
      <c r="P5496" s="20"/>
      <c r="Q5496" s="20"/>
      <c r="R5496" s="20"/>
      <c r="S5496" s="20"/>
      <c r="T5496" s="20"/>
      <c r="U5496" s="20"/>
      <c r="V5496" s="20"/>
      <c r="W5496" s="21"/>
      <c r="X5496" s="20"/>
      <c r="Y5496" s="22"/>
      <c r="Z5496" s="22"/>
      <c r="AA5496" s="22"/>
      <c r="AB5496" s="22"/>
      <c r="AC5496" s="22"/>
    </row>
    <row r="5497" spans="1:29" ht="32.25" customHeight="1">
      <c r="A5497" s="19"/>
      <c r="B5497" s="20"/>
      <c r="C5497" s="20"/>
      <c r="D5497" s="20"/>
      <c r="E5497" s="20"/>
      <c r="F5497" s="20"/>
      <c r="G5497" s="20"/>
      <c r="H5497" s="20"/>
      <c r="I5497" s="20"/>
      <c r="J5497" s="20"/>
      <c r="K5497" s="20"/>
      <c r="L5497" s="20"/>
      <c r="M5497" s="20"/>
      <c r="N5497" s="20"/>
      <c r="O5497" s="20"/>
      <c r="P5497" s="20"/>
      <c r="Q5497" s="20"/>
      <c r="R5497" s="20"/>
      <c r="S5497" s="20"/>
      <c r="T5497" s="20"/>
      <c r="U5497" s="20"/>
      <c r="V5497" s="20"/>
      <c r="W5497" s="21"/>
      <c r="X5497" s="20"/>
      <c r="Y5497" s="22"/>
      <c r="Z5497" s="22"/>
      <c r="AA5497" s="22"/>
      <c r="AB5497" s="22"/>
      <c r="AC5497" s="22"/>
    </row>
    <row r="5498" spans="1:29" ht="32.25" customHeight="1">
      <c r="A5498" s="19"/>
      <c r="B5498" s="20"/>
      <c r="C5498" s="20"/>
      <c r="D5498" s="20"/>
      <c r="E5498" s="20"/>
      <c r="F5498" s="20"/>
      <c r="G5498" s="20"/>
      <c r="H5498" s="20"/>
      <c r="I5498" s="20"/>
      <c r="J5498" s="20"/>
      <c r="K5498" s="20"/>
      <c r="L5498" s="20"/>
      <c r="M5498" s="20"/>
      <c r="N5498" s="20"/>
      <c r="O5498" s="20"/>
      <c r="P5498" s="20"/>
      <c r="Q5498" s="20"/>
      <c r="R5498" s="20"/>
      <c r="S5498" s="20"/>
      <c r="T5498" s="20"/>
      <c r="U5498" s="20"/>
      <c r="V5498" s="20"/>
      <c r="W5498" s="21"/>
      <c r="X5498" s="20"/>
      <c r="Y5498" s="22"/>
      <c r="Z5498" s="22"/>
      <c r="AA5498" s="22"/>
      <c r="AB5498" s="22"/>
      <c r="AC5498" s="22"/>
    </row>
    <row r="5499" spans="1:29" ht="32.25" customHeight="1">
      <c r="A5499" s="19"/>
      <c r="B5499" s="20"/>
      <c r="C5499" s="20"/>
      <c r="D5499" s="20"/>
      <c r="E5499" s="20"/>
      <c r="F5499" s="20"/>
      <c r="G5499" s="20"/>
      <c r="H5499" s="20"/>
      <c r="I5499" s="20"/>
      <c r="J5499" s="20"/>
      <c r="K5499" s="20"/>
      <c r="L5499" s="20"/>
      <c r="M5499" s="20"/>
      <c r="N5499" s="20"/>
      <c r="O5499" s="20"/>
      <c r="P5499" s="20"/>
      <c r="Q5499" s="20"/>
      <c r="R5499" s="20"/>
      <c r="S5499" s="20"/>
      <c r="T5499" s="20"/>
      <c r="U5499" s="20"/>
      <c r="V5499" s="20"/>
      <c r="W5499" s="21"/>
      <c r="X5499" s="20"/>
      <c r="Y5499" s="22"/>
      <c r="Z5499" s="22"/>
      <c r="AA5499" s="22"/>
      <c r="AB5499" s="22"/>
      <c r="AC5499" s="22"/>
    </row>
    <row r="5500" spans="1:29" ht="32.25" customHeight="1">
      <c r="A5500" s="19"/>
      <c r="B5500" s="20"/>
      <c r="C5500" s="20"/>
      <c r="D5500" s="20"/>
      <c r="E5500" s="20"/>
      <c r="F5500" s="20"/>
      <c r="G5500" s="20"/>
      <c r="H5500" s="20"/>
      <c r="I5500" s="20"/>
      <c r="J5500" s="20"/>
      <c r="K5500" s="20"/>
      <c r="L5500" s="20"/>
      <c r="M5500" s="20"/>
      <c r="N5500" s="20"/>
      <c r="O5500" s="20"/>
      <c r="P5500" s="20"/>
      <c r="Q5500" s="20"/>
      <c r="R5500" s="20"/>
      <c r="S5500" s="20"/>
      <c r="T5500" s="20"/>
      <c r="U5500" s="20"/>
      <c r="V5500" s="20"/>
      <c r="W5500" s="21"/>
      <c r="X5500" s="20"/>
      <c r="Y5500" s="22"/>
      <c r="Z5500" s="22"/>
      <c r="AA5500" s="22"/>
      <c r="AB5500" s="22"/>
      <c r="AC5500" s="22"/>
    </row>
    <row r="5501" spans="1:29" ht="32.25" customHeight="1">
      <c r="A5501" s="19"/>
      <c r="B5501" s="20"/>
      <c r="C5501" s="20"/>
      <c r="D5501" s="20"/>
      <c r="E5501" s="20"/>
      <c r="F5501" s="20"/>
      <c r="G5501" s="20"/>
      <c r="H5501" s="20"/>
      <c r="I5501" s="20"/>
      <c r="J5501" s="20"/>
      <c r="K5501" s="20"/>
      <c r="L5501" s="20"/>
      <c r="M5501" s="20"/>
      <c r="N5501" s="20"/>
      <c r="O5501" s="20"/>
      <c r="P5501" s="20"/>
      <c r="Q5501" s="20"/>
      <c r="R5501" s="20"/>
      <c r="S5501" s="20"/>
      <c r="T5501" s="20"/>
      <c r="U5501" s="20"/>
      <c r="V5501" s="20"/>
      <c r="W5501" s="21"/>
      <c r="X5501" s="20"/>
      <c r="Y5501" s="22"/>
      <c r="Z5501" s="22"/>
      <c r="AA5501" s="22"/>
      <c r="AB5501" s="22"/>
      <c r="AC5501" s="22"/>
    </row>
    <row r="5502" spans="1:29" ht="32.25" customHeight="1">
      <c r="A5502" s="19"/>
      <c r="B5502" s="20"/>
      <c r="C5502" s="20"/>
      <c r="D5502" s="20"/>
      <c r="E5502" s="20"/>
      <c r="F5502" s="20"/>
      <c r="G5502" s="20"/>
      <c r="H5502" s="20"/>
      <c r="I5502" s="20"/>
      <c r="J5502" s="20"/>
      <c r="K5502" s="20"/>
      <c r="L5502" s="20"/>
      <c r="M5502" s="20"/>
      <c r="N5502" s="20"/>
      <c r="O5502" s="20"/>
      <c r="P5502" s="20"/>
      <c r="Q5502" s="20"/>
      <c r="R5502" s="20"/>
      <c r="S5502" s="20"/>
      <c r="T5502" s="20"/>
      <c r="U5502" s="20"/>
      <c r="V5502" s="20"/>
      <c r="W5502" s="21"/>
      <c r="X5502" s="20"/>
      <c r="Y5502" s="22"/>
      <c r="Z5502" s="22"/>
      <c r="AA5502" s="22"/>
      <c r="AB5502" s="22"/>
      <c r="AC5502" s="22"/>
    </row>
    <row r="5503" spans="1:29" ht="32.25" customHeight="1">
      <c r="A5503" s="19"/>
      <c r="B5503" s="20"/>
      <c r="C5503" s="20"/>
      <c r="D5503" s="20"/>
      <c r="E5503" s="20"/>
      <c r="F5503" s="20"/>
      <c r="G5503" s="20"/>
      <c r="H5503" s="20"/>
      <c r="I5503" s="20"/>
      <c r="J5503" s="20"/>
      <c r="K5503" s="20"/>
      <c r="L5503" s="20"/>
      <c r="M5503" s="20"/>
      <c r="N5503" s="20"/>
      <c r="O5503" s="20"/>
      <c r="P5503" s="20"/>
      <c r="Q5503" s="20"/>
      <c r="R5503" s="20"/>
      <c r="S5503" s="20"/>
      <c r="T5503" s="20"/>
      <c r="U5503" s="20"/>
      <c r="V5503" s="20"/>
      <c r="W5503" s="21"/>
      <c r="X5503" s="20"/>
      <c r="Y5503" s="22"/>
      <c r="Z5503" s="22"/>
      <c r="AA5503" s="22"/>
      <c r="AB5503" s="22"/>
      <c r="AC5503" s="22"/>
    </row>
    <row r="5504" spans="1:29" ht="32.25" customHeight="1">
      <c r="A5504" s="19"/>
      <c r="B5504" s="20"/>
      <c r="C5504" s="20"/>
      <c r="D5504" s="20"/>
      <c r="E5504" s="20"/>
      <c r="F5504" s="20"/>
      <c r="G5504" s="20"/>
      <c r="H5504" s="20"/>
      <c r="I5504" s="20"/>
      <c r="J5504" s="20"/>
      <c r="K5504" s="20"/>
      <c r="L5504" s="20"/>
      <c r="M5504" s="20"/>
      <c r="N5504" s="20"/>
      <c r="O5504" s="20"/>
      <c r="P5504" s="20"/>
      <c r="Q5504" s="20"/>
      <c r="R5504" s="20"/>
      <c r="S5504" s="20"/>
      <c r="T5504" s="20"/>
      <c r="U5504" s="20"/>
      <c r="V5504" s="20"/>
      <c r="W5504" s="21"/>
      <c r="X5504" s="20"/>
      <c r="Y5504" s="22"/>
      <c r="Z5504" s="22"/>
      <c r="AA5504" s="22"/>
      <c r="AB5504" s="22"/>
      <c r="AC5504" s="22"/>
    </row>
    <row r="5505" spans="1:29" ht="32.25" customHeight="1">
      <c r="A5505" s="19"/>
      <c r="B5505" s="20"/>
      <c r="C5505" s="20"/>
      <c r="D5505" s="20"/>
      <c r="E5505" s="20"/>
      <c r="F5505" s="20"/>
      <c r="G5505" s="20"/>
      <c r="H5505" s="20"/>
      <c r="I5505" s="20"/>
      <c r="J5505" s="20"/>
      <c r="K5505" s="20"/>
      <c r="L5505" s="20"/>
      <c r="M5505" s="20"/>
      <c r="N5505" s="20"/>
      <c r="O5505" s="20"/>
      <c r="P5505" s="20"/>
      <c r="Q5505" s="20"/>
      <c r="R5505" s="20"/>
      <c r="S5505" s="20"/>
      <c r="T5505" s="20"/>
      <c r="U5505" s="20"/>
      <c r="V5505" s="20"/>
      <c r="W5505" s="21"/>
      <c r="X5505" s="20"/>
      <c r="Y5505" s="22"/>
      <c r="Z5505" s="22"/>
      <c r="AA5505" s="22"/>
      <c r="AB5505" s="22"/>
      <c r="AC5505" s="22"/>
    </row>
    <row r="5506" spans="1:29" ht="32.25" customHeight="1">
      <c r="A5506" s="19"/>
      <c r="B5506" s="20"/>
      <c r="C5506" s="20"/>
      <c r="D5506" s="20"/>
      <c r="E5506" s="20"/>
      <c r="F5506" s="20"/>
      <c r="G5506" s="20"/>
      <c r="H5506" s="20"/>
      <c r="I5506" s="20"/>
      <c r="J5506" s="20"/>
      <c r="K5506" s="20"/>
      <c r="L5506" s="20"/>
      <c r="M5506" s="20"/>
      <c r="N5506" s="20"/>
      <c r="O5506" s="20"/>
      <c r="P5506" s="20"/>
      <c r="Q5506" s="20"/>
      <c r="R5506" s="20"/>
      <c r="S5506" s="20"/>
      <c r="T5506" s="20"/>
      <c r="U5506" s="20"/>
      <c r="V5506" s="20"/>
      <c r="W5506" s="21"/>
      <c r="X5506" s="20"/>
      <c r="Y5506" s="22"/>
      <c r="Z5506" s="22"/>
      <c r="AA5506" s="22"/>
      <c r="AB5506" s="22"/>
      <c r="AC5506" s="22"/>
    </row>
    <row r="5507" spans="1:29" ht="32.25" customHeight="1">
      <c r="A5507" s="19"/>
      <c r="B5507" s="20"/>
      <c r="C5507" s="20"/>
      <c r="D5507" s="20"/>
      <c r="E5507" s="20"/>
      <c r="F5507" s="20"/>
      <c r="G5507" s="20"/>
      <c r="H5507" s="20"/>
      <c r="I5507" s="20"/>
      <c r="J5507" s="20"/>
      <c r="K5507" s="20"/>
      <c r="L5507" s="20"/>
      <c r="M5507" s="20"/>
      <c r="N5507" s="20"/>
      <c r="O5507" s="20"/>
      <c r="P5507" s="20"/>
      <c r="Q5507" s="20"/>
      <c r="R5507" s="20"/>
      <c r="S5507" s="20"/>
      <c r="T5507" s="20"/>
      <c r="U5507" s="20"/>
      <c r="V5507" s="20"/>
      <c r="W5507" s="21"/>
      <c r="X5507" s="20"/>
      <c r="Y5507" s="22"/>
      <c r="Z5507" s="22"/>
      <c r="AA5507" s="22"/>
      <c r="AB5507" s="22"/>
      <c r="AC5507" s="22"/>
    </row>
    <row r="5508" spans="1:29" ht="32.25" customHeight="1">
      <c r="A5508" s="19"/>
      <c r="B5508" s="20"/>
      <c r="C5508" s="20"/>
      <c r="D5508" s="20"/>
      <c r="E5508" s="20"/>
      <c r="F5508" s="20"/>
      <c r="G5508" s="20"/>
      <c r="H5508" s="20"/>
      <c r="I5508" s="20"/>
      <c r="J5508" s="20"/>
      <c r="K5508" s="20"/>
      <c r="L5508" s="20"/>
      <c r="M5508" s="20"/>
      <c r="N5508" s="20"/>
      <c r="O5508" s="20"/>
      <c r="P5508" s="20"/>
      <c r="Q5508" s="20"/>
      <c r="R5508" s="20"/>
      <c r="S5508" s="20"/>
      <c r="T5508" s="20"/>
      <c r="U5508" s="20"/>
      <c r="V5508" s="20"/>
      <c r="W5508" s="21"/>
      <c r="X5508" s="20"/>
      <c r="Y5508" s="22"/>
      <c r="Z5508" s="22"/>
      <c r="AA5508" s="22"/>
      <c r="AB5508" s="22"/>
      <c r="AC5508" s="22"/>
    </row>
    <row r="5509" spans="1:29" ht="32.25" customHeight="1">
      <c r="A5509" s="19"/>
      <c r="B5509" s="20"/>
      <c r="C5509" s="20"/>
      <c r="D5509" s="20"/>
      <c r="E5509" s="20"/>
      <c r="F5509" s="20"/>
      <c r="G5509" s="20"/>
      <c r="H5509" s="20"/>
      <c r="I5509" s="20"/>
      <c r="J5509" s="20"/>
      <c r="K5509" s="20"/>
      <c r="L5509" s="20"/>
      <c r="M5509" s="20"/>
      <c r="N5509" s="20"/>
      <c r="O5509" s="20"/>
      <c r="P5509" s="20"/>
      <c r="Q5509" s="20"/>
      <c r="R5509" s="20"/>
      <c r="S5509" s="20"/>
      <c r="T5509" s="20"/>
      <c r="U5509" s="20"/>
      <c r="V5509" s="20"/>
      <c r="W5509" s="21"/>
      <c r="X5509" s="20"/>
      <c r="Y5509" s="22"/>
      <c r="Z5509" s="22"/>
      <c r="AA5509" s="22"/>
      <c r="AB5509" s="22"/>
      <c r="AC5509" s="22"/>
    </row>
    <row r="5510" spans="1:29" ht="32.25" customHeight="1">
      <c r="A5510" s="19"/>
      <c r="B5510" s="20"/>
      <c r="C5510" s="20"/>
      <c r="D5510" s="20"/>
      <c r="E5510" s="20"/>
      <c r="F5510" s="20"/>
      <c r="G5510" s="20"/>
      <c r="H5510" s="20"/>
      <c r="I5510" s="20"/>
      <c r="J5510" s="20"/>
      <c r="K5510" s="20"/>
      <c r="L5510" s="20"/>
      <c r="M5510" s="20"/>
      <c r="N5510" s="20"/>
      <c r="O5510" s="20"/>
      <c r="P5510" s="20"/>
      <c r="Q5510" s="20"/>
      <c r="R5510" s="20"/>
      <c r="S5510" s="20"/>
      <c r="T5510" s="20"/>
      <c r="U5510" s="20"/>
      <c r="V5510" s="20"/>
      <c r="W5510" s="21"/>
      <c r="X5510" s="20"/>
      <c r="Y5510" s="22"/>
      <c r="Z5510" s="22"/>
      <c r="AA5510" s="22"/>
      <c r="AB5510" s="22"/>
      <c r="AC5510" s="22"/>
    </row>
    <row r="5511" spans="1:29" ht="32.25" customHeight="1">
      <c r="A5511" s="19"/>
      <c r="B5511" s="20"/>
      <c r="C5511" s="20"/>
      <c r="D5511" s="20"/>
      <c r="E5511" s="20"/>
      <c r="F5511" s="20"/>
      <c r="G5511" s="20"/>
      <c r="H5511" s="20"/>
      <c r="I5511" s="20"/>
      <c r="J5511" s="20"/>
      <c r="K5511" s="20"/>
      <c r="L5511" s="20"/>
      <c r="M5511" s="20"/>
      <c r="N5511" s="20"/>
      <c r="O5511" s="20"/>
      <c r="P5511" s="20"/>
      <c r="Q5511" s="20"/>
      <c r="R5511" s="20"/>
      <c r="S5511" s="20"/>
      <c r="T5511" s="20"/>
      <c r="U5511" s="20"/>
      <c r="V5511" s="20"/>
      <c r="W5511" s="21"/>
      <c r="X5511" s="20"/>
      <c r="Y5511" s="22"/>
      <c r="Z5511" s="22"/>
      <c r="AA5511" s="22"/>
      <c r="AB5511" s="22"/>
      <c r="AC5511" s="22"/>
    </row>
    <row r="5512" spans="1:29" ht="32.25" customHeight="1">
      <c r="A5512" s="19"/>
      <c r="B5512" s="20"/>
      <c r="C5512" s="20"/>
      <c r="D5512" s="20"/>
      <c r="E5512" s="20"/>
      <c r="F5512" s="20"/>
      <c r="G5512" s="20"/>
      <c r="H5512" s="20"/>
      <c r="I5512" s="20"/>
      <c r="J5512" s="20"/>
      <c r="K5512" s="20"/>
      <c r="L5512" s="20"/>
      <c r="M5512" s="20"/>
      <c r="N5512" s="20"/>
      <c r="O5512" s="20"/>
      <c r="P5512" s="20"/>
      <c r="Q5512" s="20"/>
      <c r="R5512" s="20"/>
      <c r="S5512" s="20"/>
      <c r="T5512" s="20"/>
      <c r="U5512" s="20"/>
      <c r="V5512" s="20"/>
      <c r="W5512" s="21"/>
      <c r="X5512" s="20"/>
      <c r="Y5512" s="22"/>
      <c r="Z5512" s="22"/>
      <c r="AA5512" s="22"/>
      <c r="AB5512" s="22"/>
      <c r="AC5512" s="22"/>
    </row>
    <row r="5513" spans="1:29" ht="32.25" customHeight="1">
      <c r="A5513" s="19"/>
      <c r="B5513" s="20"/>
      <c r="C5513" s="20"/>
      <c r="D5513" s="20"/>
      <c r="E5513" s="20"/>
      <c r="F5513" s="20"/>
      <c r="G5513" s="20"/>
      <c r="H5513" s="20"/>
      <c r="I5513" s="20"/>
      <c r="J5513" s="20"/>
      <c r="K5513" s="20"/>
      <c r="L5513" s="20"/>
      <c r="M5513" s="20"/>
      <c r="N5513" s="20"/>
      <c r="O5513" s="20"/>
      <c r="P5513" s="20"/>
      <c r="Q5513" s="20"/>
      <c r="R5513" s="20"/>
      <c r="S5513" s="20"/>
      <c r="T5513" s="20"/>
      <c r="U5513" s="20"/>
      <c r="V5513" s="20"/>
      <c r="W5513" s="21"/>
      <c r="X5513" s="20"/>
      <c r="Y5513" s="22"/>
      <c r="Z5513" s="22"/>
      <c r="AA5513" s="22"/>
      <c r="AB5513" s="22"/>
      <c r="AC5513" s="22"/>
    </row>
    <row r="5514" spans="1:29" ht="32.25" customHeight="1">
      <c r="A5514" s="19"/>
      <c r="B5514" s="20"/>
      <c r="C5514" s="20"/>
      <c r="D5514" s="20"/>
      <c r="E5514" s="20"/>
      <c r="F5514" s="20"/>
      <c r="G5514" s="20"/>
      <c r="H5514" s="20"/>
      <c r="I5514" s="20"/>
      <c r="J5514" s="20"/>
      <c r="K5514" s="20"/>
      <c r="L5514" s="20"/>
      <c r="M5514" s="20"/>
      <c r="N5514" s="20"/>
      <c r="O5514" s="20"/>
      <c r="P5514" s="20"/>
      <c r="Q5514" s="20"/>
      <c r="R5514" s="20"/>
      <c r="S5514" s="20"/>
      <c r="T5514" s="20"/>
      <c r="U5514" s="20"/>
      <c r="V5514" s="20"/>
      <c r="W5514" s="21"/>
      <c r="X5514" s="20"/>
      <c r="Y5514" s="22"/>
      <c r="Z5514" s="22"/>
      <c r="AA5514" s="22"/>
      <c r="AB5514" s="22"/>
      <c r="AC5514" s="22"/>
    </row>
    <row r="5515" spans="1:29" ht="32.25" customHeight="1">
      <c r="A5515" s="19"/>
      <c r="B5515" s="20"/>
      <c r="C5515" s="20"/>
      <c r="D5515" s="20"/>
      <c r="E5515" s="20"/>
      <c r="F5515" s="20"/>
      <c r="G5515" s="20"/>
      <c r="H5515" s="20"/>
      <c r="I5515" s="20"/>
      <c r="J5515" s="20"/>
      <c r="K5515" s="20"/>
      <c r="L5515" s="20"/>
      <c r="M5515" s="20"/>
      <c r="N5515" s="20"/>
      <c r="O5515" s="20"/>
      <c r="P5515" s="20"/>
      <c r="Q5515" s="20"/>
      <c r="R5515" s="20"/>
      <c r="S5515" s="20"/>
      <c r="T5515" s="20"/>
      <c r="U5515" s="20"/>
      <c r="V5515" s="20"/>
      <c r="W5515" s="21"/>
      <c r="X5515" s="20"/>
      <c r="Y5515" s="22"/>
      <c r="Z5515" s="22"/>
      <c r="AA5515" s="22"/>
      <c r="AB5515" s="22"/>
      <c r="AC5515" s="22"/>
    </row>
    <row r="5516" spans="1:29" ht="32.25" customHeight="1">
      <c r="A5516" s="19"/>
      <c r="B5516" s="20"/>
      <c r="C5516" s="20"/>
      <c r="D5516" s="20"/>
      <c r="E5516" s="20"/>
      <c r="F5516" s="20"/>
      <c r="G5516" s="20"/>
      <c r="H5516" s="20"/>
      <c r="I5516" s="20"/>
      <c r="J5516" s="20"/>
      <c r="K5516" s="20"/>
      <c r="L5516" s="20"/>
      <c r="M5516" s="20"/>
      <c r="N5516" s="20"/>
      <c r="O5516" s="20"/>
      <c r="P5516" s="20"/>
      <c r="Q5516" s="20"/>
      <c r="R5516" s="20"/>
      <c r="S5516" s="20"/>
      <c r="T5516" s="20"/>
      <c r="U5516" s="20"/>
      <c r="V5516" s="20"/>
      <c r="W5516" s="21"/>
      <c r="X5516" s="20"/>
      <c r="Y5516" s="22"/>
      <c r="Z5516" s="22"/>
      <c r="AA5516" s="22"/>
      <c r="AB5516" s="22"/>
      <c r="AC5516" s="22"/>
    </row>
    <row r="5517" spans="1:29" ht="32.25" customHeight="1">
      <c r="A5517" s="19"/>
      <c r="B5517" s="20"/>
      <c r="C5517" s="20"/>
      <c r="D5517" s="20"/>
      <c r="E5517" s="20"/>
      <c r="F5517" s="20"/>
      <c r="G5517" s="20"/>
      <c r="H5517" s="20"/>
      <c r="I5517" s="20"/>
      <c r="J5517" s="20"/>
      <c r="K5517" s="20"/>
      <c r="L5517" s="20"/>
      <c r="M5517" s="20"/>
      <c r="N5517" s="20"/>
      <c r="O5517" s="20"/>
      <c r="P5517" s="20"/>
      <c r="Q5517" s="20"/>
      <c r="R5517" s="20"/>
      <c r="S5517" s="20"/>
      <c r="T5517" s="20"/>
      <c r="U5517" s="20"/>
      <c r="V5517" s="20"/>
      <c r="W5517" s="21"/>
      <c r="X5517" s="20"/>
      <c r="Y5517" s="22"/>
      <c r="Z5517" s="22"/>
      <c r="AA5517" s="22"/>
      <c r="AB5517" s="22"/>
      <c r="AC5517" s="22"/>
    </row>
    <row r="5518" spans="1:29" ht="32.25" customHeight="1">
      <c r="A5518" s="19"/>
      <c r="B5518" s="20"/>
      <c r="C5518" s="20"/>
      <c r="D5518" s="20"/>
      <c r="E5518" s="20"/>
      <c r="F5518" s="20"/>
      <c r="G5518" s="20"/>
      <c r="H5518" s="20"/>
      <c r="I5518" s="20"/>
      <c r="J5518" s="20"/>
      <c r="K5518" s="20"/>
      <c r="L5518" s="20"/>
      <c r="M5518" s="20"/>
      <c r="N5518" s="20"/>
      <c r="O5518" s="20"/>
      <c r="P5518" s="20"/>
      <c r="Q5518" s="20"/>
      <c r="R5518" s="20"/>
      <c r="S5518" s="20"/>
      <c r="T5518" s="20"/>
      <c r="U5518" s="20"/>
      <c r="V5518" s="20"/>
      <c r="W5518" s="21"/>
      <c r="X5518" s="20"/>
      <c r="Y5518" s="22"/>
      <c r="Z5518" s="22"/>
      <c r="AA5518" s="22"/>
      <c r="AB5518" s="22"/>
      <c r="AC5518" s="22"/>
    </row>
    <row r="5519" spans="1:29" ht="32.25" customHeight="1">
      <c r="A5519" s="19"/>
      <c r="B5519" s="20"/>
      <c r="C5519" s="20"/>
      <c r="D5519" s="20"/>
      <c r="E5519" s="20"/>
      <c r="F5519" s="20"/>
      <c r="G5519" s="20"/>
      <c r="H5519" s="20"/>
      <c r="I5519" s="20"/>
      <c r="J5519" s="20"/>
      <c r="K5519" s="20"/>
      <c r="L5519" s="20"/>
      <c r="M5519" s="20"/>
      <c r="N5519" s="20"/>
      <c r="O5519" s="20"/>
      <c r="P5519" s="20"/>
      <c r="Q5519" s="20"/>
      <c r="R5519" s="20"/>
      <c r="S5519" s="20"/>
      <c r="T5519" s="20"/>
      <c r="U5519" s="20"/>
      <c r="V5519" s="20"/>
      <c r="W5519" s="21"/>
      <c r="X5519" s="20"/>
      <c r="Y5519" s="22"/>
      <c r="Z5519" s="22"/>
      <c r="AA5519" s="22"/>
      <c r="AB5519" s="22"/>
      <c r="AC5519" s="22"/>
    </row>
    <row r="5520" spans="1:29" ht="32.25" customHeight="1">
      <c r="A5520" s="19"/>
      <c r="B5520" s="20"/>
      <c r="C5520" s="20"/>
      <c r="D5520" s="20"/>
      <c r="E5520" s="20"/>
      <c r="F5520" s="20"/>
      <c r="G5520" s="20"/>
      <c r="H5520" s="20"/>
      <c r="I5520" s="20"/>
      <c r="J5520" s="20"/>
      <c r="K5520" s="20"/>
      <c r="L5520" s="20"/>
      <c r="M5520" s="20"/>
      <c r="N5520" s="20"/>
      <c r="O5520" s="20"/>
      <c r="P5520" s="20"/>
      <c r="Q5520" s="20"/>
      <c r="R5520" s="20"/>
      <c r="S5520" s="20"/>
      <c r="T5520" s="20"/>
      <c r="U5520" s="20"/>
      <c r="V5520" s="20"/>
      <c r="W5520" s="21"/>
      <c r="X5520" s="20"/>
      <c r="Y5520" s="22"/>
      <c r="Z5520" s="22"/>
      <c r="AA5520" s="22"/>
      <c r="AB5520" s="22"/>
      <c r="AC5520" s="22"/>
    </row>
    <row r="5521" spans="1:29" ht="32.25" customHeight="1">
      <c r="A5521" s="19"/>
      <c r="B5521" s="20"/>
      <c r="C5521" s="20"/>
      <c r="D5521" s="20"/>
      <c r="E5521" s="20"/>
      <c r="F5521" s="20"/>
      <c r="G5521" s="20"/>
      <c r="H5521" s="20"/>
      <c r="I5521" s="20"/>
      <c r="J5521" s="20"/>
      <c r="K5521" s="20"/>
      <c r="L5521" s="20"/>
      <c r="M5521" s="20"/>
      <c r="N5521" s="20"/>
      <c r="O5521" s="20"/>
      <c r="P5521" s="20"/>
      <c r="Q5521" s="20"/>
      <c r="R5521" s="20"/>
      <c r="S5521" s="20"/>
      <c r="T5521" s="20"/>
      <c r="U5521" s="20"/>
      <c r="V5521" s="20"/>
      <c r="W5521" s="21"/>
      <c r="X5521" s="20"/>
      <c r="Y5521" s="22"/>
      <c r="Z5521" s="22"/>
      <c r="AA5521" s="22"/>
      <c r="AB5521" s="22"/>
      <c r="AC5521" s="22"/>
    </row>
    <row r="5522" spans="1:29" ht="32.25" customHeight="1">
      <c r="A5522" s="19"/>
      <c r="B5522" s="20"/>
      <c r="C5522" s="20"/>
      <c r="D5522" s="20"/>
      <c r="E5522" s="20"/>
      <c r="F5522" s="20"/>
      <c r="G5522" s="20"/>
      <c r="H5522" s="20"/>
      <c r="I5522" s="20"/>
      <c r="J5522" s="20"/>
      <c r="K5522" s="20"/>
      <c r="L5522" s="20"/>
      <c r="M5522" s="20"/>
      <c r="N5522" s="20"/>
      <c r="O5522" s="20"/>
      <c r="P5522" s="20"/>
      <c r="Q5522" s="20"/>
      <c r="R5522" s="20"/>
      <c r="S5522" s="20"/>
      <c r="T5522" s="20"/>
      <c r="U5522" s="20"/>
      <c r="V5522" s="20"/>
      <c r="W5522" s="21"/>
      <c r="X5522" s="20"/>
      <c r="Y5522" s="22"/>
      <c r="Z5522" s="22"/>
      <c r="AA5522" s="22"/>
      <c r="AB5522" s="22"/>
      <c r="AC5522" s="22"/>
    </row>
    <row r="5523" spans="1:29" ht="32.25" customHeight="1">
      <c r="A5523" s="19"/>
      <c r="B5523" s="20"/>
      <c r="C5523" s="20"/>
      <c r="D5523" s="20"/>
      <c r="E5523" s="20"/>
      <c r="F5523" s="20"/>
      <c r="G5523" s="20"/>
      <c r="H5523" s="20"/>
      <c r="I5523" s="20"/>
      <c r="J5523" s="20"/>
      <c r="K5523" s="20"/>
      <c r="L5523" s="20"/>
      <c r="M5523" s="20"/>
      <c r="N5523" s="20"/>
      <c r="O5523" s="20"/>
      <c r="P5523" s="20"/>
      <c r="Q5523" s="20"/>
      <c r="R5523" s="20"/>
      <c r="S5523" s="20"/>
      <c r="T5523" s="20"/>
      <c r="U5523" s="20"/>
      <c r="V5523" s="20"/>
      <c r="W5523" s="21"/>
      <c r="X5523" s="20"/>
      <c r="Y5523" s="22"/>
      <c r="Z5523" s="22"/>
      <c r="AA5523" s="22"/>
      <c r="AB5523" s="22"/>
      <c r="AC5523" s="22"/>
    </row>
    <row r="5524" spans="1:29" ht="32.25" customHeight="1">
      <c r="A5524" s="19"/>
      <c r="B5524" s="20"/>
      <c r="C5524" s="20"/>
      <c r="D5524" s="20"/>
      <c r="E5524" s="20"/>
      <c r="F5524" s="20"/>
      <c r="G5524" s="20"/>
      <c r="H5524" s="20"/>
      <c r="I5524" s="20"/>
      <c r="J5524" s="20"/>
      <c r="K5524" s="20"/>
      <c r="L5524" s="20"/>
      <c r="M5524" s="20"/>
      <c r="N5524" s="20"/>
      <c r="O5524" s="20"/>
      <c r="P5524" s="20"/>
      <c r="Q5524" s="20"/>
      <c r="R5524" s="20"/>
      <c r="S5524" s="20"/>
      <c r="T5524" s="20"/>
      <c r="U5524" s="20"/>
      <c r="V5524" s="20"/>
      <c r="W5524" s="21"/>
      <c r="X5524" s="20"/>
      <c r="Y5524" s="22"/>
      <c r="Z5524" s="22"/>
      <c r="AA5524" s="22"/>
      <c r="AB5524" s="22"/>
      <c r="AC5524" s="22"/>
    </row>
    <row r="5525" spans="1:29" ht="32.25" customHeight="1">
      <c r="A5525" s="19"/>
      <c r="B5525" s="20"/>
      <c r="C5525" s="20"/>
      <c r="D5525" s="20"/>
      <c r="E5525" s="20"/>
      <c r="F5525" s="20"/>
      <c r="G5525" s="20"/>
      <c r="H5525" s="20"/>
      <c r="I5525" s="20"/>
      <c r="J5525" s="20"/>
      <c r="K5525" s="20"/>
      <c r="L5525" s="20"/>
      <c r="M5525" s="20"/>
      <c r="N5525" s="20"/>
      <c r="O5525" s="20"/>
      <c r="P5525" s="20"/>
      <c r="Q5525" s="20"/>
      <c r="R5525" s="20"/>
      <c r="S5525" s="20"/>
      <c r="T5525" s="20"/>
      <c r="U5525" s="20"/>
      <c r="V5525" s="20"/>
      <c r="W5525" s="21"/>
      <c r="X5525" s="20"/>
      <c r="Y5525" s="22"/>
      <c r="Z5525" s="22"/>
      <c r="AA5525" s="22"/>
      <c r="AB5525" s="22"/>
      <c r="AC5525" s="22"/>
    </row>
    <row r="5526" spans="1:29" ht="32.25" customHeight="1">
      <c r="A5526" s="19"/>
      <c r="B5526" s="20"/>
      <c r="C5526" s="20"/>
      <c r="D5526" s="20"/>
      <c r="E5526" s="20"/>
      <c r="F5526" s="20"/>
      <c r="G5526" s="20"/>
      <c r="H5526" s="20"/>
      <c r="I5526" s="20"/>
      <c r="J5526" s="20"/>
      <c r="K5526" s="20"/>
      <c r="L5526" s="20"/>
      <c r="M5526" s="20"/>
      <c r="N5526" s="20"/>
      <c r="O5526" s="20"/>
      <c r="P5526" s="20"/>
      <c r="Q5526" s="20"/>
      <c r="R5526" s="20"/>
      <c r="S5526" s="20"/>
      <c r="T5526" s="20"/>
      <c r="U5526" s="20"/>
      <c r="V5526" s="20"/>
      <c r="W5526" s="21"/>
      <c r="X5526" s="20"/>
      <c r="Y5526" s="22"/>
      <c r="Z5526" s="22"/>
      <c r="AA5526" s="22"/>
      <c r="AB5526" s="22"/>
      <c r="AC5526" s="22"/>
    </row>
    <row r="5527" spans="1:29" ht="32.25" customHeight="1">
      <c r="A5527" s="19"/>
      <c r="B5527" s="20"/>
      <c r="C5527" s="20"/>
      <c r="D5527" s="20"/>
      <c r="E5527" s="20"/>
      <c r="F5527" s="20"/>
      <c r="G5527" s="20"/>
      <c r="H5527" s="20"/>
      <c r="I5527" s="20"/>
      <c r="J5527" s="20"/>
      <c r="K5527" s="20"/>
      <c r="L5527" s="20"/>
      <c r="M5527" s="20"/>
      <c r="N5527" s="20"/>
      <c r="O5527" s="20"/>
      <c r="P5527" s="20"/>
      <c r="Q5527" s="20"/>
      <c r="R5527" s="20"/>
      <c r="S5527" s="20"/>
      <c r="T5527" s="20"/>
      <c r="U5527" s="20"/>
      <c r="V5527" s="20"/>
      <c r="W5527" s="21"/>
      <c r="X5527" s="20"/>
      <c r="Y5527" s="22"/>
      <c r="Z5527" s="22"/>
      <c r="AA5527" s="22"/>
      <c r="AB5527" s="22"/>
      <c r="AC5527" s="22"/>
    </row>
    <row r="5528" spans="1:29" ht="32.25" customHeight="1">
      <c r="A5528" s="19"/>
      <c r="B5528" s="20"/>
      <c r="C5528" s="20"/>
      <c r="D5528" s="20"/>
      <c r="E5528" s="20"/>
      <c r="F5528" s="20"/>
      <c r="G5528" s="20"/>
      <c r="H5528" s="20"/>
      <c r="I5528" s="20"/>
      <c r="J5528" s="20"/>
      <c r="K5528" s="20"/>
      <c r="L5528" s="20"/>
      <c r="M5528" s="20"/>
      <c r="N5528" s="20"/>
      <c r="O5528" s="20"/>
      <c r="P5528" s="20"/>
      <c r="Q5528" s="20"/>
      <c r="R5528" s="20"/>
      <c r="S5528" s="20"/>
      <c r="T5528" s="20"/>
      <c r="U5528" s="20"/>
      <c r="V5528" s="20"/>
      <c r="W5528" s="21"/>
      <c r="X5528" s="20"/>
      <c r="Y5528" s="22"/>
      <c r="Z5528" s="22"/>
      <c r="AA5528" s="22"/>
      <c r="AB5528" s="22"/>
      <c r="AC5528" s="22"/>
    </row>
    <row r="5529" spans="1:29" ht="32.25" customHeight="1">
      <c r="A5529" s="19"/>
      <c r="B5529" s="20"/>
      <c r="C5529" s="20"/>
      <c r="D5529" s="20"/>
      <c r="E5529" s="20"/>
      <c r="F5529" s="20"/>
      <c r="G5529" s="20"/>
      <c r="H5529" s="20"/>
      <c r="I5529" s="20"/>
      <c r="J5529" s="20"/>
      <c r="K5529" s="20"/>
      <c r="L5529" s="20"/>
      <c r="M5529" s="20"/>
      <c r="N5529" s="20"/>
      <c r="O5529" s="20"/>
      <c r="P5529" s="20"/>
      <c r="Q5529" s="20"/>
      <c r="R5529" s="20"/>
      <c r="S5529" s="20"/>
      <c r="T5529" s="20"/>
      <c r="U5529" s="20"/>
      <c r="V5529" s="20"/>
      <c r="W5529" s="21"/>
      <c r="X5529" s="20"/>
      <c r="Y5529" s="22"/>
      <c r="Z5529" s="22"/>
      <c r="AA5529" s="22"/>
      <c r="AB5529" s="22"/>
      <c r="AC5529" s="22"/>
    </row>
    <row r="5530" spans="1:29" ht="32.25" customHeight="1">
      <c r="A5530" s="19"/>
      <c r="B5530" s="20"/>
      <c r="C5530" s="20"/>
      <c r="D5530" s="20"/>
      <c r="E5530" s="20"/>
      <c r="F5530" s="20"/>
      <c r="G5530" s="20"/>
      <c r="H5530" s="20"/>
      <c r="I5530" s="20"/>
      <c r="J5530" s="20"/>
      <c r="K5530" s="20"/>
      <c r="L5530" s="20"/>
      <c r="M5530" s="20"/>
      <c r="N5530" s="20"/>
      <c r="O5530" s="20"/>
      <c r="P5530" s="20"/>
      <c r="Q5530" s="20"/>
      <c r="R5530" s="20"/>
      <c r="S5530" s="20"/>
      <c r="T5530" s="20"/>
      <c r="U5530" s="20"/>
      <c r="V5530" s="20"/>
      <c r="W5530" s="21"/>
      <c r="X5530" s="20"/>
      <c r="Y5530" s="22"/>
      <c r="Z5530" s="22"/>
      <c r="AA5530" s="22"/>
      <c r="AB5530" s="22"/>
      <c r="AC5530" s="22"/>
    </row>
    <row r="5531" spans="1:29" ht="32.25" customHeight="1">
      <c r="A5531" s="19"/>
      <c r="B5531" s="20"/>
      <c r="C5531" s="20"/>
      <c r="D5531" s="20"/>
      <c r="E5531" s="20"/>
      <c r="F5531" s="20"/>
      <c r="G5531" s="20"/>
      <c r="H5531" s="20"/>
      <c r="I5531" s="20"/>
      <c r="J5531" s="20"/>
      <c r="K5531" s="20"/>
      <c r="L5531" s="20"/>
      <c r="M5531" s="20"/>
      <c r="N5531" s="20"/>
      <c r="O5531" s="20"/>
      <c r="P5531" s="20"/>
      <c r="Q5531" s="20"/>
      <c r="R5531" s="20"/>
      <c r="S5531" s="20"/>
      <c r="T5531" s="20"/>
      <c r="U5531" s="20"/>
      <c r="V5531" s="20"/>
      <c r="W5531" s="21"/>
      <c r="X5531" s="20"/>
      <c r="Y5531" s="22"/>
      <c r="Z5531" s="22"/>
      <c r="AA5531" s="22"/>
      <c r="AB5531" s="22"/>
      <c r="AC5531" s="22"/>
    </row>
    <row r="5532" spans="1:29" ht="32.25" customHeight="1">
      <c r="A5532" s="19"/>
      <c r="B5532" s="20"/>
      <c r="C5532" s="20"/>
      <c r="D5532" s="20"/>
      <c r="E5532" s="20"/>
      <c r="F5532" s="20"/>
      <c r="G5532" s="20"/>
      <c r="H5532" s="20"/>
      <c r="I5532" s="20"/>
      <c r="J5532" s="20"/>
      <c r="K5532" s="20"/>
      <c r="L5532" s="20"/>
      <c r="M5532" s="20"/>
      <c r="N5532" s="20"/>
      <c r="O5532" s="20"/>
      <c r="P5532" s="20"/>
      <c r="Q5532" s="20"/>
      <c r="R5532" s="20"/>
      <c r="S5532" s="20"/>
      <c r="T5532" s="20"/>
      <c r="U5532" s="20"/>
      <c r="V5532" s="20"/>
      <c r="W5532" s="21"/>
      <c r="X5532" s="20"/>
      <c r="Y5532" s="22"/>
      <c r="Z5532" s="22"/>
      <c r="AA5532" s="22"/>
      <c r="AB5532" s="22"/>
      <c r="AC5532" s="22"/>
    </row>
    <row r="5533" spans="1:29" ht="32.25" customHeight="1">
      <c r="A5533" s="19"/>
      <c r="B5533" s="20"/>
      <c r="C5533" s="20"/>
      <c r="D5533" s="20"/>
      <c r="E5533" s="20"/>
      <c r="F5533" s="20"/>
      <c r="G5533" s="20"/>
      <c r="H5533" s="20"/>
      <c r="I5533" s="20"/>
      <c r="J5533" s="20"/>
      <c r="K5533" s="20"/>
      <c r="L5533" s="20"/>
      <c r="M5533" s="20"/>
      <c r="N5533" s="20"/>
      <c r="O5533" s="20"/>
      <c r="P5533" s="20"/>
      <c r="Q5533" s="20"/>
      <c r="R5533" s="20"/>
      <c r="S5533" s="20"/>
      <c r="T5533" s="20"/>
      <c r="U5533" s="20"/>
      <c r="V5533" s="20"/>
      <c r="W5533" s="21"/>
      <c r="X5533" s="20"/>
      <c r="Y5533" s="22"/>
      <c r="Z5533" s="22"/>
      <c r="AA5533" s="22"/>
      <c r="AB5533" s="22"/>
      <c r="AC5533" s="22"/>
    </row>
    <row r="5534" spans="1:29" ht="32.25" customHeight="1">
      <c r="A5534" s="19"/>
      <c r="B5534" s="20"/>
      <c r="C5534" s="20"/>
      <c r="D5534" s="20"/>
      <c r="E5534" s="20"/>
      <c r="F5534" s="20"/>
      <c r="G5534" s="20"/>
      <c r="H5534" s="20"/>
      <c r="I5534" s="20"/>
      <c r="J5534" s="20"/>
      <c r="K5534" s="20"/>
      <c r="L5534" s="20"/>
      <c r="M5534" s="20"/>
      <c r="N5534" s="20"/>
      <c r="O5534" s="20"/>
      <c r="P5534" s="20"/>
      <c r="Q5534" s="20"/>
      <c r="R5534" s="20"/>
      <c r="S5534" s="20"/>
      <c r="T5534" s="20"/>
      <c r="U5534" s="20"/>
      <c r="V5534" s="20"/>
      <c r="W5534" s="21"/>
      <c r="X5534" s="20"/>
      <c r="Y5534" s="22"/>
      <c r="Z5534" s="22"/>
      <c r="AA5534" s="22"/>
      <c r="AB5534" s="22"/>
      <c r="AC5534" s="22"/>
    </row>
    <row r="5535" spans="1:29" ht="32.25" customHeight="1">
      <c r="A5535" s="19"/>
      <c r="B5535" s="20"/>
      <c r="C5535" s="20"/>
      <c r="D5535" s="20"/>
      <c r="E5535" s="20"/>
      <c r="F5535" s="20"/>
      <c r="G5535" s="20"/>
      <c r="H5535" s="20"/>
      <c r="I5535" s="20"/>
      <c r="J5535" s="20"/>
      <c r="K5535" s="20"/>
      <c r="L5535" s="20"/>
      <c r="M5535" s="20"/>
      <c r="N5535" s="20"/>
      <c r="O5535" s="20"/>
      <c r="P5535" s="20"/>
      <c r="Q5535" s="20"/>
      <c r="R5535" s="20"/>
      <c r="S5535" s="20"/>
      <c r="T5535" s="20"/>
      <c r="U5535" s="20"/>
      <c r="V5535" s="20"/>
      <c r="W5535" s="21"/>
      <c r="X5535" s="20"/>
      <c r="Y5535" s="22"/>
      <c r="Z5535" s="22"/>
      <c r="AA5535" s="22"/>
      <c r="AB5535" s="22"/>
      <c r="AC5535" s="22"/>
    </row>
    <row r="5536" spans="1:29" ht="32.25" customHeight="1">
      <c r="A5536" s="19"/>
      <c r="B5536" s="20"/>
      <c r="C5536" s="20"/>
      <c r="D5536" s="20"/>
      <c r="E5536" s="20"/>
      <c r="F5536" s="20"/>
      <c r="G5536" s="20"/>
      <c r="H5536" s="20"/>
      <c r="I5536" s="20"/>
      <c r="J5536" s="20"/>
      <c r="K5536" s="20"/>
      <c r="L5536" s="20"/>
      <c r="M5536" s="20"/>
      <c r="N5536" s="20"/>
      <c r="O5536" s="20"/>
      <c r="P5536" s="20"/>
      <c r="Q5536" s="20"/>
      <c r="R5536" s="20"/>
      <c r="S5536" s="20"/>
      <c r="T5536" s="20"/>
      <c r="U5536" s="20"/>
      <c r="V5536" s="20"/>
      <c r="W5536" s="21"/>
      <c r="X5536" s="20"/>
      <c r="Y5536" s="22"/>
      <c r="Z5536" s="22"/>
      <c r="AA5536" s="22"/>
      <c r="AB5536" s="22"/>
      <c r="AC5536" s="22"/>
    </row>
    <row r="5537" spans="1:29" ht="32.25" customHeight="1">
      <c r="A5537" s="19"/>
      <c r="B5537" s="20"/>
      <c r="C5537" s="20"/>
      <c r="D5537" s="20"/>
      <c r="E5537" s="20"/>
      <c r="F5537" s="20"/>
      <c r="G5537" s="20"/>
      <c r="H5537" s="20"/>
      <c r="I5537" s="20"/>
      <c r="J5537" s="20"/>
      <c r="K5537" s="20"/>
      <c r="L5537" s="20"/>
      <c r="M5537" s="20"/>
      <c r="N5537" s="20"/>
      <c r="O5537" s="20"/>
      <c r="P5537" s="20"/>
      <c r="Q5537" s="20"/>
      <c r="R5537" s="20"/>
      <c r="S5537" s="20"/>
      <c r="T5537" s="20"/>
      <c r="U5537" s="20"/>
      <c r="V5537" s="20"/>
      <c r="W5537" s="21"/>
      <c r="X5537" s="20"/>
      <c r="Y5537" s="22"/>
      <c r="Z5537" s="22"/>
      <c r="AA5537" s="22"/>
      <c r="AB5537" s="22"/>
      <c r="AC5537" s="22"/>
    </row>
    <row r="5538" spans="1:29" ht="32.25" customHeight="1">
      <c r="A5538" s="19"/>
      <c r="B5538" s="20"/>
      <c r="C5538" s="20"/>
      <c r="D5538" s="20"/>
      <c r="E5538" s="20"/>
      <c r="F5538" s="20"/>
      <c r="G5538" s="20"/>
      <c r="H5538" s="20"/>
      <c r="I5538" s="20"/>
      <c r="J5538" s="20"/>
      <c r="K5538" s="20"/>
      <c r="L5538" s="20"/>
      <c r="M5538" s="20"/>
      <c r="N5538" s="20"/>
      <c r="O5538" s="20"/>
      <c r="P5538" s="20"/>
      <c r="Q5538" s="20"/>
      <c r="R5538" s="20"/>
      <c r="S5538" s="20"/>
      <c r="T5538" s="20"/>
      <c r="U5538" s="20"/>
      <c r="V5538" s="20"/>
      <c r="W5538" s="21"/>
      <c r="X5538" s="20"/>
      <c r="Y5538" s="22"/>
      <c r="Z5538" s="22"/>
      <c r="AA5538" s="22"/>
      <c r="AB5538" s="22"/>
      <c r="AC5538" s="22"/>
    </row>
    <row r="5539" spans="1:29" ht="32.25" customHeight="1">
      <c r="A5539" s="19"/>
      <c r="B5539" s="20"/>
      <c r="C5539" s="20"/>
      <c r="D5539" s="20"/>
      <c r="E5539" s="20"/>
      <c r="F5539" s="20"/>
      <c r="G5539" s="20"/>
      <c r="H5539" s="20"/>
      <c r="I5539" s="20"/>
      <c r="J5539" s="20"/>
      <c r="K5539" s="20"/>
      <c r="L5539" s="20"/>
      <c r="M5539" s="20"/>
      <c r="N5539" s="20"/>
      <c r="O5539" s="20"/>
      <c r="P5539" s="20"/>
      <c r="Q5539" s="20"/>
      <c r="R5539" s="20"/>
      <c r="S5539" s="20"/>
      <c r="T5539" s="20"/>
      <c r="U5539" s="20"/>
      <c r="V5539" s="20"/>
      <c r="W5539" s="21"/>
      <c r="X5539" s="20"/>
      <c r="Y5539" s="22"/>
      <c r="Z5539" s="22"/>
      <c r="AA5539" s="22"/>
      <c r="AB5539" s="22"/>
      <c r="AC5539" s="22"/>
    </row>
    <row r="5540" spans="1:29" ht="32.25" customHeight="1">
      <c r="A5540" s="19"/>
      <c r="B5540" s="20"/>
      <c r="C5540" s="20"/>
      <c r="D5540" s="20"/>
      <c r="E5540" s="20"/>
      <c r="F5540" s="20"/>
      <c r="G5540" s="20"/>
      <c r="H5540" s="20"/>
      <c r="I5540" s="20"/>
      <c r="J5540" s="20"/>
      <c r="K5540" s="20"/>
      <c r="L5540" s="20"/>
      <c r="M5540" s="20"/>
      <c r="N5540" s="20"/>
      <c r="O5540" s="20"/>
      <c r="P5540" s="20"/>
      <c r="Q5540" s="20"/>
      <c r="R5540" s="20"/>
      <c r="S5540" s="20"/>
      <c r="T5540" s="20"/>
      <c r="U5540" s="20"/>
      <c r="V5540" s="20"/>
      <c r="W5540" s="21"/>
      <c r="X5540" s="20"/>
      <c r="Y5540" s="22"/>
      <c r="Z5540" s="22"/>
      <c r="AA5540" s="22"/>
      <c r="AB5540" s="22"/>
      <c r="AC5540" s="22"/>
    </row>
    <row r="5541" spans="1:29" ht="32.25" customHeight="1">
      <c r="A5541" s="19"/>
      <c r="B5541" s="20"/>
      <c r="C5541" s="20"/>
      <c r="D5541" s="20"/>
      <c r="E5541" s="20"/>
      <c r="F5541" s="20"/>
      <c r="G5541" s="20"/>
      <c r="H5541" s="20"/>
      <c r="I5541" s="20"/>
      <c r="J5541" s="20"/>
      <c r="K5541" s="20"/>
      <c r="L5541" s="20"/>
      <c r="M5541" s="20"/>
      <c r="N5541" s="20"/>
      <c r="O5541" s="20"/>
      <c r="P5541" s="20"/>
      <c r="Q5541" s="20"/>
      <c r="R5541" s="20"/>
      <c r="S5541" s="20"/>
      <c r="T5541" s="20"/>
      <c r="U5541" s="20"/>
      <c r="V5541" s="20"/>
      <c r="W5541" s="21"/>
      <c r="X5541" s="20"/>
      <c r="Y5541" s="22"/>
      <c r="Z5541" s="22"/>
      <c r="AA5541" s="22"/>
      <c r="AB5541" s="22"/>
      <c r="AC5541" s="22"/>
    </row>
    <row r="5542" spans="1:29" ht="32.25" customHeight="1">
      <c r="A5542" s="19"/>
      <c r="B5542" s="20"/>
      <c r="C5542" s="20"/>
      <c r="D5542" s="20"/>
      <c r="E5542" s="20"/>
      <c r="F5542" s="20"/>
      <c r="G5542" s="20"/>
      <c r="H5542" s="20"/>
      <c r="I5542" s="20"/>
      <c r="J5542" s="20"/>
      <c r="K5542" s="20"/>
      <c r="L5542" s="20"/>
      <c r="M5542" s="20"/>
      <c r="N5542" s="20"/>
      <c r="O5542" s="20"/>
      <c r="P5542" s="20"/>
      <c r="Q5542" s="20"/>
      <c r="R5542" s="20"/>
      <c r="S5542" s="20"/>
      <c r="T5542" s="20"/>
      <c r="U5542" s="20"/>
      <c r="V5542" s="20"/>
      <c r="W5542" s="21"/>
      <c r="X5542" s="20"/>
      <c r="Y5542" s="22"/>
      <c r="Z5542" s="22"/>
      <c r="AA5542" s="22"/>
      <c r="AB5542" s="22"/>
      <c r="AC5542" s="22"/>
    </row>
    <row r="5543" spans="1:29" ht="32.25" customHeight="1">
      <c r="A5543" s="19"/>
      <c r="B5543" s="20"/>
      <c r="C5543" s="20"/>
      <c r="D5543" s="20"/>
      <c r="E5543" s="20"/>
      <c r="F5543" s="20"/>
      <c r="G5543" s="20"/>
      <c r="H5543" s="20"/>
      <c r="I5543" s="20"/>
      <c r="J5543" s="20"/>
      <c r="K5543" s="20"/>
      <c r="L5543" s="20"/>
      <c r="M5543" s="20"/>
      <c r="N5543" s="20"/>
      <c r="O5543" s="20"/>
      <c r="P5543" s="20"/>
      <c r="Q5543" s="20"/>
      <c r="R5543" s="20"/>
      <c r="S5543" s="20"/>
      <c r="T5543" s="20"/>
      <c r="U5543" s="20"/>
      <c r="V5543" s="20"/>
      <c r="W5543" s="21"/>
      <c r="X5543" s="20"/>
      <c r="Y5543" s="22"/>
      <c r="Z5543" s="22"/>
      <c r="AA5543" s="22"/>
      <c r="AB5543" s="22"/>
      <c r="AC5543" s="22"/>
    </row>
    <row r="5544" spans="1:29" ht="32.25" customHeight="1">
      <c r="A5544" s="19"/>
      <c r="B5544" s="20"/>
      <c r="C5544" s="20"/>
      <c r="D5544" s="20"/>
      <c r="E5544" s="20"/>
      <c r="F5544" s="20"/>
      <c r="G5544" s="20"/>
      <c r="H5544" s="20"/>
      <c r="I5544" s="20"/>
      <c r="J5544" s="20"/>
      <c r="K5544" s="20"/>
      <c r="L5544" s="20"/>
      <c r="M5544" s="20"/>
      <c r="N5544" s="20"/>
      <c r="O5544" s="20"/>
      <c r="P5544" s="20"/>
      <c r="Q5544" s="20"/>
      <c r="R5544" s="20"/>
      <c r="S5544" s="20"/>
      <c r="T5544" s="20"/>
      <c r="U5544" s="20"/>
      <c r="V5544" s="20"/>
      <c r="W5544" s="21"/>
      <c r="X5544" s="20"/>
      <c r="Y5544" s="22"/>
      <c r="Z5544" s="22"/>
      <c r="AA5544" s="22"/>
      <c r="AB5544" s="22"/>
      <c r="AC5544" s="22"/>
    </row>
    <row r="5545" spans="1:29" ht="32.25" customHeight="1">
      <c r="A5545" s="19"/>
      <c r="B5545" s="20"/>
      <c r="C5545" s="20"/>
      <c r="D5545" s="20"/>
      <c r="E5545" s="20"/>
      <c r="F5545" s="20"/>
      <c r="G5545" s="20"/>
      <c r="H5545" s="20"/>
      <c r="I5545" s="20"/>
      <c r="J5545" s="20"/>
      <c r="K5545" s="20"/>
      <c r="L5545" s="20"/>
      <c r="M5545" s="20"/>
      <c r="N5545" s="20"/>
      <c r="O5545" s="20"/>
      <c r="P5545" s="20"/>
      <c r="Q5545" s="20"/>
      <c r="R5545" s="20"/>
      <c r="S5545" s="20"/>
      <c r="T5545" s="20"/>
      <c r="U5545" s="20"/>
      <c r="V5545" s="20"/>
      <c r="W5545" s="21"/>
      <c r="X5545" s="20"/>
      <c r="Y5545" s="22"/>
      <c r="Z5545" s="22"/>
      <c r="AA5545" s="22"/>
      <c r="AB5545" s="22"/>
      <c r="AC5545" s="22"/>
    </row>
    <row r="5546" spans="1:29" ht="32.25" customHeight="1">
      <c r="A5546" s="19"/>
      <c r="B5546" s="20"/>
      <c r="C5546" s="20"/>
      <c r="D5546" s="20"/>
      <c r="E5546" s="20"/>
      <c r="F5546" s="20"/>
      <c r="G5546" s="20"/>
      <c r="H5546" s="20"/>
      <c r="I5546" s="20"/>
      <c r="J5546" s="20"/>
      <c r="K5546" s="20"/>
      <c r="L5546" s="20"/>
      <c r="M5546" s="20"/>
      <c r="N5546" s="20"/>
      <c r="O5546" s="20"/>
      <c r="P5546" s="20"/>
      <c r="Q5546" s="20"/>
      <c r="R5546" s="20"/>
      <c r="S5546" s="20"/>
      <c r="T5546" s="20"/>
      <c r="U5546" s="20"/>
      <c r="V5546" s="20"/>
      <c r="W5546" s="21"/>
      <c r="X5546" s="20"/>
      <c r="Y5546" s="22"/>
      <c r="Z5546" s="22"/>
      <c r="AA5546" s="22"/>
      <c r="AB5546" s="22"/>
      <c r="AC5546" s="22"/>
    </row>
    <row r="5547" spans="1:29" ht="32.25" customHeight="1">
      <c r="A5547" s="19"/>
      <c r="B5547" s="20"/>
      <c r="C5547" s="20"/>
      <c r="D5547" s="20"/>
      <c r="E5547" s="20"/>
      <c r="F5547" s="20"/>
      <c r="G5547" s="20"/>
      <c r="H5547" s="20"/>
      <c r="I5547" s="20"/>
      <c r="J5547" s="20"/>
      <c r="K5547" s="20"/>
      <c r="L5547" s="20"/>
      <c r="M5547" s="20"/>
      <c r="N5547" s="20"/>
      <c r="O5547" s="20"/>
      <c r="P5547" s="20"/>
      <c r="Q5547" s="20"/>
      <c r="R5547" s="20"/>
      <c r="S5547" s="20"/>
      <c r="T5547" s="20"/>
      <c r="U5547" s="20"/>
      <c r="V5547" s="20"/>
      <c r="W5547" s="21"/>
      <c r="X5547" s="20"/>
      <c r="Y5547" s="22"/>
      <c r="Z5547" s="22"/>
      <c r="AA5547" s="22"/>
      <c r="AB5547" s="22"/>
      <c r="AC5547" s="22"/>
    </row>
    <row r="5548" spans="1:29" ht="32.25" customHeight="1">
      <c r="A5548" s="19"/>
      <c r="B5548" s="20"/>
      <c r="C5548" s="20"/>
      <c r="D5548" s="20"/>
      <c r="E5548" s="20"/>
      <c r="F5548" s="20"/>
      <c r="G5548" s="20"/>
      <c r="H5548" s="20"/>
      <c r="I5548" s="20"/>
      <c r="J5548" s="20"/>
      <c r="K5548" s="20"/>
      <c r="L5548" s="20"/>
      <c r="M5548" s="20"/>
      <c r="N5548" s="20"/>
      <c r="O5548" s="20"/>
      <c r="P5548" s="20"/>
      <c r="Q5548" s="20"/>
      <c r="R5548" s="20"/>
      <c r="S5548" s="20"/>
      <c r="T5548" s="20"/>
      <c r="U5548" s="20"/>
      <c r="V5548" s="20"/>
      <c r="W5548" s="21"/>
      <c r="X5548" s="20"/>
      <c r="Y5548" s="22"/>
      <c r="Z5548" s="22"/>
      <c r="AA5548" s="22"/>
      <c r="AB5548" s="22"/>
      <c r="AC5548" s="22"/>
    </row>
    <row r="5549" spans="1:29" ht="32.25" customHeight="1">
      <c r="A5549" s="19"/>
      <c r="B5549" s="20"/>
      <c r="C5549" s="20"/>
      <c r="D5549" s="20"/>
      <c r="E5549" s="20"/>
      <c r="F5549" s="20"/>
      <c r="G5549" s="20"/>
      <c r="H5549" s="20"/>
      <c r="I5549" s="20"/>
      <c r="J5549" s="20"/>
      <c r="K5549" s="20"/>
      <c r="L5549" s="20"/>
      <c r="M5549" s="20"/>
      <c r="N5549" s="20"/>
      <c r="O5549" s="20"/>
      <c r="P5549" s="20"/>
      <c r="Q5549" s="20"/>
      <c r="R5549" s="20"/>
      <c r="S5549" s="20"/>
      <c r="T5549" s="20"/>
      <c r="U5549" s="20"/>
      <c r="V5549" s="20"/>
      <c r="W5549" s="21"/>
      <c r="X5549" s="20"/>
      <c r="Y5549" s="22"/>
      <c r="Z5549" s="22"/>
      <c r="AA5549" s="22"/>
      <c r="AB5549" s="22"/>
      <c r="AC5549" s="22"/>
    </row>
    <row r="5550" spans="1:29" ht="32.25" customHeight="1">
      <c r="A5550" s="19"/>
      <c r="B5550" s="20"/>
      <c r="C5550" s="20"/>
      <c r="D5550" s="20"/>
      <c r="E5550" s="20"/>
      <c r="F5550" s="20"/>
      <c r="G5550" s="20"/>
      <c r="H5550" s="20"/>
      <c r="I5550" s="20"/>
      <c r="J5550" s="20"/>
      <c r="K5550" s="20"/>
      <c r="L5550" s="20"/>
      <c r="M5550" s="20"/>
      <c r="N5550" s="20"/>
      <c r="O5550" s="20"/>
      <c r="P5550" s="20"/>
      <c r="Q5550" s="20"/>
      <c r="R5550" s="20"/>
      <c r="S5550" s="20"/>
      <c r="T5550" s="20"/>
      <c r="U5550" s="20"/>
      <c r="V5550" s="20"/>
      <c r="W5550" s="21"/>
      <c r="X5550" s="20"/>
      <c r="Y5550" s="22"/>
      <c r="Z5550" s="22"/>
      <c r="AA5550" s="22"/>
      <c r="AB5550" s="22"/>
      <c r="AC5550" s="22"/>
    </row>
    <row r="5551" spans="1:29" ht="32.25" customHeight="1">
      <c r="A5551" s="19"/>
      <c r="B5551" s="20"/>
      <c r="C5551" s="20"/>
      <c r="D5551" s="20"/>
      <c r="E5551" s="20"/>
      <c r="F5551" s="20"/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1"/>
      <c r="X5551" s="20"/>
      <c r="Y5551" s="22"/>
      <c r="Z5551" s="22"/>
      <c r="AA5551" s="22"/>
      <c r="AB5551" s="22"/>
      <c r="AC5551" s="22"/>
    </row>
    <row r="5552" spans="1:29" ht="32.25" customHeight="1">
      <c r="A5552" s="19"/>
      <c r="B5552" s="20"/>
      <c r="C5552" s="20"/>
      <c r="D5552" s="20"/>
      <c r="E5552" s="20"/>
      <c r="F5552" s="20"/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1"/>
      <c r="X5552" s="20"/>
      <c r="Y5552" s="22"/>
      <c r="Z5552" s="22"/>
      <c r="AA5552" s="22"/>
      <c r="AB5552" s="22"/>
      <c r="AC5552" s="22"/>
    </row>
    <row r="5553" spans="1:29" ht="32.25" customHeight="1">
      <c r="A5553" s="19"/>
      <c r="B5553" s="20"/>
      <c r="C5553" s="20"/>
      <c r="D5553" s="20"/>
      <c r="E5553" s="20"/>
      <c r="F5553" s="20"/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1"/>
      <c r="X5553" s="20"/>
      <c r="Y5553" s="22"/>
      <c r="Z5553" s="22"/>
      <c r="AA5553" s="22"/>
      <c r="AB5553" s="22"/>
      <c r="AC5553" s="22"/>
    </row>
    <row r="5554" spans="1:29" ht="32.25" customHeight="1">
      <c r="A5554" s="19"/>
      <c r="B5554" s="20"/>
      <c r="C5554" s="20"/>
      <c r="D5554" s="20"/>
      <c r="E5554" s="20"/>
      <c r="F5554" s="20"/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1"/>
      <c r="X5554" s="20"/>
      <c r="Y5554" s="22"/>
      <c r="Z5554" s="22"/>
      <c r="AA5554" s="22"/>
      <c r="AB5554" s="22"/>
      <c r="AC5554" s="22"/>
    </row>
    <row r="5555" spans="1:29" ht="32.25" customHeight="1">
      <c r="A5555" s="19"/>
      <c r="B5555" s="20"/>
      <c r="C5555" s="20"/>
      <c r="D5555" s="20"/>
      <c r="E5555" s="20"/>
      <c r="F5555" s="20"/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1"/>
      <c r="X5555" s="20"/>
      <c r="Y5555" s="22"/>
      <c r="Z5555" s="22"/>
      <c r="AA5555" s="22"/>
      <c r="AB5555" s="22"/>
      <c r="AC5555" s="22"/>
    </row>
    <row r="5556" spans="1:29" ht="32.25" customHeight="1">
      <c r="A5556" s="19"/>
      <c r="B5556" s="20"/>
      <c r="C5556" s="20"/>
      <c r="D5556" s="20"/>
      <c r="E5556" s="20"/>
      <c r="F5556" s="20"/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1"/>
      <c r="X5556" s="20"/>
      <c r="Y5556" s="22"/>
      <c r="Z5556" s="22"/>
      <c r="AA5556" s="22"/>
      <c r="AB5556" s="22"/>
      <c r="AC5556" s="22"/>
    </row>
    <row r="5557" spans="1:29" ht="32.25" customHeight="1">
      <c r="A5557" s="19"/>
      <c r="B5557" s="20"/>
      <c r="C5557" s="20"/>
      <c r="D5557" s="20"/>
      <c r="E5557" s="20"/>
      <c r="F5557" s="20"/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1"/>
      <c r="X5557" s="20"/>
      <c r="Y5557" s="22"/>
      <c r="Z5557" s="22"/>
      <c r="AA5557" s="22"/>
      <c r="AB5557" s="22"/>
      <c r="AC5557" s="22"/>
    </row>
    <row r="5558" spans="1:29" ht="32.25" customHeight="1">
      <c r="A5558" s="19"/>
      <c r="B5558" s="20"/>
      <c r="C5558" s="20"/>
      <c r="D5558" s="20"/>
      <c r="E5558" s="20"/>
      <c r="F5558" s="20"/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1"/>
      <c r="X5558" s="20"/>
      <c r="Y5558" s="22"/>
      <c r="Z5558" s="22"/>
      <c r="AA5558" s="22"/>
      <c r="AB5558" s="22"/>
      <c r="AC5558" s="22"/>
    </row>
    <row r="5559" spans="1:29" ht="32.25" customHeight="1">
      <c r="A5559" s="19"/>
      <c r="B5559" s="20"/>
      <c r="C5559" s="20"/>
      <c r="D5559" s="20"/>
      <c r="E5559" s="20"/>
      <c r="F5559" s="20"/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1"/>
      <c r="X5559" s="20"/>
      <c r="Y5559" s="22"/>
      <c r="Z5559" s="22"/>
      <c r="AA5559" s="22"/>
      <c r="AB5559" s="22"/>
      <c r="AC5559" s="22"/>
    </row>
    <row r="5560" spans="1:29" ht="32.25" customHeight="1">
      <c r="A5560" s="19"/>
      <c r="B5560" s="20"/>
      <c r="C5560" s="20"/>
      <c r="D5560" s="20"/>
      <c r="E5560" s="20"/>
      <c r="F5560" s="20"/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1"/>
      <c r="X5560" s="20"/>
      <c r="Y5560" s="22"/>
      <c r="Z5560" s="22"/>
      <c r="AA5560" s="22"/>
      <c r="AB5560" s="22"/>
      <c r="AC5560" s="22"/>
    </row>
    <row r="5561" spans="1:29" ht="32.25" customHeight="1">
      <c r="A5561" s="19"/>
      <c r="B5561" s="20"/>
      <c r="C5561" s="20"/>
      <c r="D5561" s="20"/>
      <c r="E5561" s="20"/>
      <c r="F5561" s="20"/>
      <c r="G5561" s="20"/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1"/>
      <c r="X5561" s="20"/>
      <c r="Y5561" s="22"/>
      <c r="Z5561" s="22"/>
      <c r="AA5561" s="22"/>
      <c r="AB5561" s="22"/>
      <c r="AC5561" s="22"/>
    </row>
    <row r="5562" spans="1:29" ht="32.25" customHeight="1">
      <c r="A5562" s="19"/>
      <c r="B5562" s="20"/>
      <c r="C5562" s="20"/>
      <c r="D5562" s="20"/>
      <c r="E5562" s="20"/>
      <c r="F5562" s="20"/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1"/>
      <c r="X5562" s="20"/>
      <c r="Y5562" s="22"/>
      <c r="Z5562" s="22"/>
      <c r="AA5562" s="22"/>
      <c r="AB5562" s="22"/>
      <c r="AC5562" s="22"/>
    </row>
    <row r="5563" spans="1:29" ht="32.25" customHeight="1">
      <c r="A5563" s="19"/>
      <c r="B5563" s="20"/>
      <c r="C5563" s="20"/>
      <c r="D5563" s="20"/>
      <c r="E5563" s="20"/>
      <c r="F5563" s="20"/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1"/>
      <c r="X5563" s="20"/>
      <c r="Y5563" s="22"/>
      <c r="Z5563" s="22"/>
      <c r="AA5563" s="22"/>
      <c r="AB5563" s="22"/>
      <c r="AC5563" s="22"/>
    </row>
    <row r="5564" spans="1:29" ht="32.25" customHeight="1">
      <c r="A5564" s="19"/>
      <c r="B5564" s="20"/>
      <c r="C5564" s="20"/>
      <c r="D5564" s="20"/>
      <c r="E5564" s="20"/>
      <c r="F5564" s="20"/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1"/>
      <c r="X5564" s="20"/>
      <c r="Y5564" s="22"/>
      <c r="Z5564" s="22"/>
      <c r="AA5564" s="22"/>
      <c r="AB5564" s="22"/>
      <c r="AC5564" s="22"/>
    </row>
    <row r="5565" spans="1:29" ht="32.25" customHeight="1">
      <c r="A5565" s="19"/>
      <c r="B5565" s="20"/>
      <c r="C5565" s="20"/>
      <c r="D5565" s="20"/>
      <c r="E5565" s="20"/>
      <c r="F5565" s="20"/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1"/>
      <c r="X5565" s="20"/>
      <c r="Y5565" s="22"/>
      <c r="Z5565" s="22"/>
      <c r="AA5565" s="22"/>
      <c r="AB5565" s="22"/>
      <c r="AC5565" s="22"/>
    </row>
    <row r="5566" spans="1:29" ht="32.25" customHeight="1">
      <c r="A5566" s="19"/>
      <c r="B5566" s="20"/>
      <c r="C5566" s="20"/>
      <c r="D5566" s="20"/>
      <c r="E5566" s="20"/>
      <c r="F5566" s="20"/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1"/>
      <c r="X5566" s="20"/>
      <c r="Y5566" s="22"/>
      <c r="Z5566" s="22"/>
      <c r="AA5566" s="22"/>
      <c r="AB5566" s="22"/>
      <c r="AC5566" s="22"/>
    </row>
    <row r="5567" spans="1:29" ht="32.25" customHeight="1">
      <c r="A5567" s="19"/>
      <c r="B5567" s="20"/>
      <c r="C5567" s="20"/>
      <c r="D5567" s="20"/>
      <c r="E5567" s="20"/>
      <c r="F5567" s="20"/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1"/>
      <c r="X5567" s="20"/>
      <c r="Y5567" s="22"/>
      <c r="Z5567" s="22"/>
      <c r="AA5567" s="22"/>
      <c r="AB5567" s="22"/>
      <c r="AC5567" s="22"/>
    </row>
    <row r="5568" spans="1:29" ht="32.25" customHeight="1">
      <c r="A5568" s="19"/>
      <c r="B5568" s="20"/>
      <c r="C5568" s="20"/>
      <c r="D5568" s="20"/>
      <c r="E5568" s="20"/>
      <c r="F5568" s="20"/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1"/>
      <c r="X5568" s="20"/>
      <c r="Y5568" s="22"/>
      <c r="Z5568" s="22"/>
      <c r="AA5568" s="22"/>
      <c r="AB5568" s="22"/>
      <c r="AC5568" s="22"/>
    </row>
    <row r="5569" spans="1:29" ht="32.25" customHeight="1">
      <c r="A5569" s="19"/>
      <c r="B5569" s="20"/>
      <c r="C5569" s="20"/>
      <c r="D5569" s="20"/>
      <c r="E5569" s="20"/>
      <c r="F5569" s="20"/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1"/>
      <c r="X5569" s="20"/>
      <c r="Y5569" s="22"/>
      <c r="Z5569" s="22"/>
      <c r="AA5569" s="22"/>
      <c r="AB5569" s="22"/>
      <c r="AC5569" s="22"/>
    </row>
    <row r="5570" spans="1:29" ht="32.25" customHeight="1">
      <c r="A5570" s="19"/>
      <c r="B5570" s="20"/>
      <c r="C5570" s="20"/>
      <c r="D5570" s="20"/>
      <c r="E5570" s="20"/>
      <c r="F5570" s="20"/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1"/>
      <c r="X5570" s="20"/>
      <c r="Y5570" s="22"/>
      <c r="Z5570" s="22"/>
      <c r="AA5570" s="22"/>
      <c r="AB5570" s="22"/>
      <c r="AC5570" s="22"/>
    </row>
    <row r="5571" spans="1:29" ht="32.25" customHeight="1">
      <c r="A5571" s="19"/>
      <c r="B5571" s="20"/>
      <c r="C5571" s="20"/>
      <c r="D5571" s="20"/>
      <c r="E5571" s="20"/>
      <c r="F5571" s="20"/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1"/>
      <c r="X5571" s="20"/>
      <c r="Y5571" s="22"/>
      <c r="Z5571" s="22"/>
      <c r="AA5571" s="22"/>
      <c r="AB5571" s="22"/>
      <c r="AC5571" s="22"/>
    </row>
    <row r="5572" spans="1:29" ht="32.25" customHeight="1">
      <c r="A5572" s="19"/>
      <c r="B5572" s="20"/>
      <c r="C5572" s="20"/>
      <c r="D5572" s="20"/>
      <c r="E5572" s="20"/>
      <c r="F5572" s="20"/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1"/>
      <c r="X5572" s="20"/>
      <c r="Y5572" s="22"/>
      <c r="Z5572" s="22"/>
      <c r="AA5572" s="22"/>
      <c r="AB5572" s="22"/>
      <c r="AC5572" s="22"/>
    </row>
    <row r="5573" spans="1:29" ht="32.25" customHeight="1">
      <c r="A5573" s="19"/>
      <c r="B5573" s="20"/>
      <c r="C5573" s="20"/>
      <c r="D5573" s="20"/>
      <c r="E5573" s="20"/>
      <c r="F5573" s="20"/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1"/>
      <c r="X5573" s="20"/>
      <c r="Y5573" s="22"/>
      <c r="Z5573" s="22"/>
      <c r="AA5573" s="22"/>
      <c r="AB5573" s="22"/>
      <c r="AC5573" s="22"/>
    </row>
    <row r="5574" spans="1:29" ht="32.25" customHeight="1">
      <c r="A5574" s="19"/>
      <c r="B5574" s="20"/>
      <c r="C5574" s="20"/>
      <c r="D5574" s="20"/>
      <c r="E5574" s="20"/>
      <c r="F5574" s="20"/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1"/>
      <c r="X5574" s="20"/>
      <c r="Y5574" s="22"/>
      <c r="Z5574" s="22"/>
      <c r="AA5574" s="22"/>
      <c r="AB5574" s="22"/>
      <c r="AC5574" s="22"/>
    </row>
    <row r="5575" spans="1:29" ht="32.25" customHeight="1">
      <c r="A5575" s="19"/>
      <c r="B5575" s="20"/>
      <c r="C5575" s="20"/>
      <c r="D5575" s="20"/>
      <c r="E5575" s="20"/>
      <c r="F5575" s="20"/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1"/>
      <c r="X5575" s="20"/>
      <c r="Y5575" s="22"/>
      <c r="Z5575" s="22"/>
      <c r="AA5575" s="22"/>
      <c r="AB5575" s="22"/>
      <c r="AC5575" s="22"/>
    </row>
    <row r="5576" spans="1:29" ht="32.25" customHeight="1">
      <c r="A5576" s="19"/>
      <c r="B5576" s="20"/>
      <c r="C5576" s="20"/>
      <c r="D5576" s="20"/>
      <c r="E5576" s="20"/>
      <c r="F5576" s="20"/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1"/>
      <c r="X5576" s="20"/>
      <c r="Y5576" s="22"/>
      <c r="Z5576" s="22"/>
      <c r="AA5576" s="22"/>
      <c r="AB5576" s="22"/>
      <c r="AC5576" s="22"/>
    </row>
    <row r="5577" spans="1:29" ht="32.25" customHeight="1">
      <c r="A5577" s="19"/>
      <c r="B5577" s="20"/>
      <c r="C5577" s="20"/>
      <c r="D5577" s="20"/>
      <c r="E5577" s="20"/>
      <c r="F5577" s="20"/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1"/>
      <c r="X5577" s="20"/>
      <c r="Y5577" s="22"/>
      <c r="Z5577" s="22"/>
      <c r="AA5577" s="22"/>
      <c r="AB5577" s="22"/>
      <c r="AC5577" s="22"/>
    </row>
    <row r="5578" spans="1:29" ht="32.25" customHeight="1">
      <c r="A5578" s="19"/>
      <c r="B5578" s="20"/>
      <c r="C5578" s="20"/>
      <c r="D5578" s="20"/>
      <c r="E5578" s="20"/>
      <c r="F5578" s="20"/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1"/>
      <c r="X5578" s="20"/>
      <c r="Y5578" s="22"/>
      <c r="Z5578" s="22"/>
      <c r="AA5578" s="22"/>
      <c r="AB5578" s="22"/>
      <c r="AC5578" s="22"/>
    </row>
    <row r="5579" spans="1:29" ht="32.25" customHeight="1">
      <c r="A5579" s="19"/>
      <c r="B5579" s="20"/>
      <c r="C5579" s="20"/>
      <c r="D5579" s="20"/>
      <c r="E5579" s="20"/>
      <c r="F5579" s="20"/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1"/>
      <c r="X5579" s="20"/>
      <c r="Y5579" s="22"/>
      <c r="Z5579" s="22"/>
      <c r="AA5579" s="22"/>
      <c r="AB5579" s="22"/>
      <c r="AC5579" s="22"/>
    </row>
    <row r="5580" spans="1:29" ht="32.25" customHeight="1">
      <c r="A5580" s="19"/>
      <c r="B5580" s="20"/>
      <c r="C5580" s="20"/>
      <c r="D5580" s="20"/>
      <c r="E5580" s="20"/>
      <c r="F5580" s="20"/>
      <c r="G5580" s="20"/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1"/>
      <c r="X5580" s="20"/>
      <c r="Y5580" s="22"/>
      <c r="Z5580" s="22"/>
      <c r="AA5580" s="22"/>
      <c r="AB5580" s="22"/>
      <c r="AC5580" s="22"/>
    </row>
    <row r="5581" spans="1:29" ht="32.25" customHeight="1">
      <c r="A5581" s="19"/>
      <c r="B5581" s="20"/>
      <c r="C5581" s="20"/>
      <c r="D5581" s="20"/>
      <c r="E5581" s="20"/>
      <c r="F5581" s="20"/>
      <c r="G5581" s="20"/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1"/>
      <c r="X5581" s="20"/>
      <c r="Y5581" s="22"/>
      <c r="Z5581" s="22"/>
      <c r="AA5581" s="22"/>
      <c r="AB5581" s="22"/>
      <c r="AC5581" s="22"/>
    </row>
    <row r="5582" spans="1:29" ht="32.25" customHeight="1">
      <c r="A5582" s="19"/>
      <c r="B5582" s="20"/>
      <c r="C5582" s="20"/>
      <c r="D5582" s="20"/>
      <c r="E5582" s="20"/>
      <c r="F5582" s="20"/>
      <c r="G5582" s="20"/>
      <c r="H5582" s="20"/>
      <c r="I5582" s="20"/>
      <c r="J5582" s="20"/>
      <c r="K5582" s="20"/>
      <c r="L5582" s="20"/>
      <c r="M5582" s="20"/>
      <c r="N5582" s="20"/>
      <c r="O5582" s="20"/>
      <c r="P5582" s="20"/>
      <c r="Q5582" s="20"/>
      <c r="R5582" s="20"/>
      <c r="S5582" s="20"/>
      <c r="T5582" s="20"/>
      <c r="U5582" s="20"/>
      <c r="V5582" s="20"/>
      <c r="W5582" s="21"/>
      <c r="X5582" s="20"/>
      <c r="Y5582" s="22"/>
      <c r="Z5582" s="22"/>
      <c r="AA5582" s="22"/>
      <c r="AB5582" s="22"/>
      <c r="AC5582" s="22"/>
    </row>
    <row r="5583" spans="1:29" ht="32.25" customHeight="1">
      <c r="A5583" s="19"/>
      <c r="B5583" s="20"/>
      <c r="C5583" s="20"/>
      <c r="D5583" s="20"/>
      <c r="E5583" s="20"/>
      <c r="F5583" s="20"/>
      <c r="G5583" s="20"/>
      <c r="H5583" s="20"/>
      <c r="I5583" s="20"/>
      <c r="J5583" s="20"/>
      <c r="K5583" s="20"/>
      <c r="L5583" s="20"/>
      <c r="M5583" s="20"/>
      <c r="N5583" s="20"/>
      <c r="O5583" s="20"/>
      <c r="P5583" s="20"/>
      <c r="Q5583" s="20"/>
      <c r="R5583" s="20"/>
      <c r="S5583" s="20"/>
      <c r="T5583" s="20"/>
      <c r="U5583" s="20"/>
      <c r="V5583" s="20"/>
      <c r="W5583" s="21"/>
      <c r="X5583" s="20"/>
      <c r="Y5583" s="22"/>
      <c r="Z5583" s="22"/>
      <c r="AA5583" s="22"/>
      <c r="AB5583" s="22"/>
      <c r="AC5583" s="22"/>
    </row>
    <row r="5584" spans="1:29" ht="32.25" customHeight="1">
      <c r="A5584" s="19"/>
      <c r="B5584" s="20"/>
      <c r="C5584" s="20"/>
      <c r="D5584" s="20"/>
      <c r="E5584" s="20"/>
      <c r="F5584" s="20"/>
      <c r="G5584" s="20"/>
      <c r="H5584" s="20"/>
      <c r="I5584" s="20"/>
      <c r="J5584" s="20"/>
      <c r="K5584" s="20"/>
      <c r="L5584" s="20"/>
      <c r="M5584" s="20"/>
      <c r="N5584" s="20"/>
      <c r="O5584" s="20"/>
      <c r="P5584" s="20"/>
      <c r="Q5584" s="20"/>
      <c r="R5584" s="20"/>
      <c r="S5584" s="20"/>
      <c r="T5584" s="20"/>
      <c r="U5584" s="20"/>
      <c r="V5584" s="20"/>
      <c r="W5584" s="21"/>
      <c r="X5584" s="20"/>
      <c r="Y5584" s="22"/>
      <c r="Z5584" s="22"/>
      <c r="AA5584" s="22"/>
      <c r="AB5584" s="22"/>
      <c r="AC5584" s="22"/>
    </row>
    <row r="5585" spans="1:29" ht="32.25" customHeight="1">
      <c r="A5585" s="19"/>
      <c r="B5585" s="20"/>
      <c r="C5585" s="20"/>
      <c r="D5585" s="20"/>
      <c r="E5585" s="20"/>
      <c r="F5585" s="20"/>
      <c r="G5585" s="20"/>
      <c r="H5585" s="20"/>
      <c r="I5585" s="20"/>
      <c r="J5585" s="20"/>
      <c r="K5585" s="20"/>
      <c r="L5585" s="20"/>
      <c r="M5585" s="20"/>
      <c r="N5585" s="20"/>
      <c r="O5585" s="20"/>
      <c r="P5585" s="20"/>
      <c r="Q5585" s="20"/>
      <c r="R5585" s="20"/>
      <c r="S5585" s="20"/>
      <c r="T5585" s="20"/>
      <c r="U5585" s="20"/>
      <c r="V5585" s="20"/>
      <c r="W5585" s="21"/>
      <c r="X5585" s="20"/>
      <c r="Y5585" s="22"/>
      <c r="Z5585" s="22"/>
      <c r="AA5585" s="22"/>
      <c r="AB5585" s="22"/>
      <c r="AC5585" s="22"/>
    </row>
    <row r="5586" spans="1:29" ht="32.25" customHeight="1">
      <c r="A5586" s="19"/>
      <c r="B5586" s="20"/>
      <c r="C5586" s="20"/>
      <c r="D5586" s="20"/>
      <c r="E5586" s="20"/>
      <c r="F5586" s="20"/>
      <c r="G5586" s="20"/>
      <c r="H5586" s="20"/>
      <c r="I5586" s="20"/>
      <c r="J5586" s="20"/>
      <c r="K5586" s="20"/>
      <c r="L5586" s="20"/>
      <c r="M5586" s="20"/>
      <c r="N5586" s="20"/>
      <c r="O5586" s="20"/>
      <c r="P5586" s="20"/>
      <c r="Q5586" s="20"/>
      <c r="R5586" s="20"/>
      <c r="S5586" s="20"/>
      <c r="T5586" s="20"/>
      <c r="U5586" s="20"/>
      <c r="V5586" s="20"/>
      <c r="W5586" s="21"/>
      <c r="X5586" s="20"/>
      <c r="Y5586" s="22"/>
      <c r="Z5586" s="22"/>
      <c r="AA5586" s="22"/>
      <c r="AB5586" s="22"/>
      <c r="AC5586" s="22"/>
    </row>
    <row r="5587" spans="1:29" ht="32.25" customHeight="1">
      <c r="A5587" s="19"/>
      <c r="B5587" s="20"/>
      <c r="C5587" s="20"/>
      <c r="D5587" s="20"/>
      <c r="E5587" s="20"/>
      <c r="F5587" s="20"/>
      <c r="G5587" s="20"/>
      <c r="H5587" s="20"/>
      <c r="I5587" s="20"/>
      <c r="J5587" s="20"/>
      <c r="K5587" s="20"/>
      <c r="L5587" s="20"/>
      <c r="M5587" s="20"/>
      <c r="N5587" s="20"/>
      <c r="O5587" s="20"/>
      <c r="P5587" s="20"/>
      <c r="Q5587" s="20"/>
      <c r="R5587" s="20"/>
      <c r="S5587" s="20"/>
      <c r="T5587" s="20"/>
      <c r="U5587" s="20"/>
      <c r="V5587" s="20"/>
      <c r="W5587" s="21"/>
      <c r="X5587" s="20"/>
      <c r="Y5587" s="22"/>
      <c r="Z5587" s="22"/>
      <c r="AA5587" s="22"/>
      <c r="AB5587" s="22"/>
      <c r="AC5587" s="22"/>
    </row>
    <row r="5588" spans="1:29" ht="32.25" customHeight="1">
      <c r="A5588" s="19"/>
      <c r="B5588" s="20"/>
      <c r="C5588" s="20"/>
      <c r="D5588" s="20"/>
      <c r="E5588" s="20"/>
      <c r="F5588" s="20"/>
      <c r="G5588" s="20"/>
      <c r="H5588" s="20"/>
      <c r="I5588" s="20"/>
      <c r="J5588" s="20"/>
      <c r="K5588" s="20"/>
      <c r="L5588" s="20"/>
      <c r="M5588" s="20"/>
      <c r="N5588" s="20"/>
      <c r="O5588" s="20"/>
      <c r="P5588" s="20"/>
      <c r="Q5588" s="20"/>
      <c r="R5588" s="20"/>
      <c r="S5588" s="20"/>
      <c r="T5588" s="20"/>
      <c r="U5588" s="20"/>
      <c r="V5588" s="20"/>
      <c r="W5588" s="21"/>
      <c r="X5588" s="20"/>
      <c r="Y5588" s="22"/>
      <c r="Z5588" s="22"/>
      <c r="AA5588" s="22"/>
      <c r="AB5588" s="22"/>
      <c r="AC5588" s="22"/>
    </row>
    <row r="5589" spans="1:29" ht="32.25" customHeight="1">
      <c r="A5589" s="19"/>
      <c r="B5589" s="20"/>
      <c r="C5589" s="20"/>
      <c r="D5589" s="20"/>
      <c r="E5589" s="20"/>
      <c r="F5589" s="20"/>
      <c r="G5589" s="20"/>
      <c r="H5589" s="20"/>
      <c r="I5589" s="20"/>
      <c r="J5589" s="20"/>
      <c r="K5589" s="20"/>
      <c r="L5589" s="20"/>
      <c r="M5589" s="20"/>
      <c r="N5589" s="20"/>
      <c r="O5589" s="20"/>
      <c r="P5589" s="20"/>
      <c r="Q5589" s="20"/>
      <c r="R5589" s="20"/>
      <c r="S5589" s="20"/>
      <c r="T5589" s="20"/>
      <c r="U5589" s="20"/>
      <c r="V5589" s="20"/>
      <c r="W5589" s="21"/>
      <c r="X5589" s="20"/>
      <c r="Y5589" s="22"/>
      <c r="Z5589" s="22"/>
      <c r="AA5589" s="22"/>
      <c r="AB5589" s="22"/>
      <c r="AC5589" s="22"/>
    </row>
    <row r="5590" spans="1:29" ht="32.25" customHeight="1">
      <c r="A5590" s="19"/>
      <c r="B5590" s="20"/>
      <c r="C5590" s="20"/>
      <c r="D5590" s="20"/>
      <c r="E5590" s="20"/>
      <c r="F5590" s="20"/>
      <c r="G5590" s="20"/>
      <c r="H5590" s="20"/>
      <c r="I5590" s="20"/>
      <c r="J5590" s="20"/>
      <c r="K5590" s="20"/>
      <c r="L5590" s="20"/>
      <c r="M5590" s="20"/>
      <c r="N5590" s="20"/>
      <c r="O5590" s="20"/>
      <c r="P5590" s="20"/>
      <c r="Q5590" s="20"/>
      <c r="R5590" s="20"/>
      <c r="S5590" s="20"/>
      <c r="T5590" s="20"/>
      <c r="U5590" s="20"/>
      <c r="V5590" s="20"/>
      <c r="W5590" s="21"/>
      <c r="X5590" s="20"/>
      <c r="Y5590" s="22"/>
      <c r="Z5590" s="22"/>
      <c r="AA5590" s="22"/>
      <c r="AB5590" s="22"/>
      <c r="AC5590" s="22"/>
    </row>
    <row r="5591" spans="1:29" ht="32.25" customHeight="1">
      <c r="A5591" s="19"/>
      <c r="B5591" s="20"/>
      <c r="C5591" s="20"/>
      <c r="D5591" s="20"/>
      <c r="E5591" s="20"/>
      <c r="F5591" s="20"/>
      <c r="G5591" s="20"/>
      <c r="H5591" s="20"/>
      <c r="I5591" s="20"/>
      <c r="J5591" s="20"/>
      <c r="K5591" s="20"/>
      <c r="L5591" s="20"/>
      <c r="M5591" s="20"/>
      <c r="N5591" s="20"/>
      <c r="O5591" s="20"/>
      <c r="P5591" s="20"/>
      <c r="Q5591" s="20"/>
      <c r="R5591" s="20"/>
      <c r="S5591" s="20"/>
      <c r="T5591" s="20"/>
      <c r="U5591" s="20"/>
      <c r="V5591" s="20"/>
      <c r="W5591" s="21"/>
      <c r="X5591" s="20"/>
      <c r="Y5591" s="22"/>
      <c r="Z5591" s="22"/>
      <c r="AA5591" s="22"/>
      <c r="AB5591" s="22"/>
      <c r="AC5591" s="22"/>
    </row>
    <row r="5592" spans="1:29" ht="32.25" customHeight="1">
      <c r="A5592" s="19"/>
      <c r="B5592" s="20"/>
      <c r="C5592" s="20"/>
      <c r="D5592" s="20"/>
      <c r="E5592" s="20"/>
      <c r="F5592" s="20"/>
      <c r="G5592" s="20"/>
      <c r="H5592" s="20"/>
      <c r="I5592" s="20"/>
      <c r="J5592" s="20"/>
      <c r="K5592" s="20"/>
      <c r="L5592" s="20"/>
      <c r="M5592" s="20"/>
      <c r="N5592" s="20"/>
      <c r="O5592" s="20"/>
      <c r="P5592" s="20"/>
      <c r="Q5592" s="20"/>
      <c r="R5592" s="20"/>
      <c r="S5592" s="20"/>
      <c r="T5592" s="20"/>
      <c r="U5592" s="20"/>
      <c r="V5592" s="20"/>
      <c r="W5592" s="21"/>
      <c r="X5592" s="20"/>
      <c r="Y5592" s="22"/>
      <c r="Z5592" s="22"/>
      <c r="AA5592" s="22"/>
      <c r="AB5592" s="22"/>
      <c r="AC5592" s="22"/>
    </row>
    <row r="5593" spans="1:29" ht="32.25" customHeight="1">
      <c r="A5593" s="19"/>
      <c r="B5593" s="20"/>
      <c r="C5593" s="20"/>
      <c r="D5593" s="20"/>
      <c r="E5593" s="20"/>
      <c r="F5593" s="20"/>
      <c r="G5593" s="20"/>
      <c r="H5593" s="20"/>
      <c r="I5593" s="20"/>
      <c r="J5593" s="20"/>
      <c r="K5593" s="20"/>
      <c r="L5593" s="20"/>
      <c r="M5593" s="20"/>
      <c r="N5593" s="20"/>
      <c r="O5593" s="20"/>
      <c r="P5593" s="20"/>
      <c r="Q5593" s="20"/>
      <c r="R5593" s="20"/>
      <c r="S5593" s="20"/>
      <c r="T5593" s="20"/>
      <c r="U5593" s="20"/>
      <c r="V5593" s="20"/>
      <c r="W5593" s="21"/>
      <c r="X5593" s="20"/>
      <c r="Y5593" s="22"/>
      <c r="Z5593" s="22"/>
      <c r="AA5593" s="22"/>
      <c r="AB5593" s="22"/>
      <c r="AC5593" s="22"/>
    </row>
    <row r="5594" spans="1:29" ht="32.25" customHeight="1">
      <c r="A5594" s="19"/>
      <c r="B5594" s="20"/>
      <c r="C5594" s="20"/>
      <c r="D5594" s="20"/>
      <c r="E5594" s="20"/>
      <c r="F5594" s="20"/>
      <c r="G5594" s="20"/>
      <c r="H5594" s="20"/>
      <c r="I5594" s="20"/>
      <c r="J5594" s="20"/>
      <c r="K5594" s="20"/>
      <c r="L5594" s="20"/>
      <c r="M5594" s="20"/>
      <c r="N5594" s="20"/>
      <c r="O5594" s="20"/>
      <c r="P5594" s="20"/>
      <c r="Q5594" s="20"/>
      <c r="R5594" s="20"/>
      <c r="S5594" s="20"/>
      <c r="T5594" s="20"/>
      <c r="U5594" s="20"/>
      <c r="V5594" s="20"/>
      <c r="W5594" s="21"/>
      <c r="X5594" s="20"/>
      <c r="Y5594" s="22"/>
      <c r="Z5594" s="22"/>
      <c r="AA5594" s="22"/>
      <c r="AB5594" s="22"/>
      <c r="AC5594" s="22"/>
    </row>
    <row r="5595" spans="1:29" ht="32.25" customHeight="1">
      <c r="A5595" s="19"/>
      <c r="B5595" s="20"/>
      <c r="C5595" s="20"/>
      <c r="D5595" s="20"/>
      <c r="E5595" s="20"/>
      <c r="F5595" s="20"/>
      <c r="G5595" s="20"/>
      <c r="H5595" s="20"/>
      <c r="I5595" s="20"/>
      <c r="J5595" s="20"/>
      <c r="K5595" s="20"/>
      <c r="L5595" s="20"/>
      <c r="M5595" s="20"/>
      <c r="N5595" s="20"/>
      <c r="O5595" s="20"/>
      <c r="P5595" s="20"/>
      <c r="Q5595" s="20"/>
      <c r="R5595" s="20"/>
      <c r="S5595" s="20"/>
      <c r="T5595" s="20"/>
      <c r="U5595" s="20"/>
      <c r="V5595" s="20"/>
      <c r="W5595" s="21"/>
      <c r="X5595" s="20"/>
      <c r="Y5595" s="22"/>
      <c r="Z5595" s="22"/>
      <c r="AA5595" s="22"/>
      <c r="AB5595" s="22"/>
      <c r="AC5595" s="22"/>
    </row>
    <row r="5596" spans="1:29" ht="32.25" customHeight="1">
      <c r="A5596" s="19"/>
      <c r="B5596" s="20"/>
      <c r="C5596" s="20"/>
      <c r="D5596" s="20"/>
      <c r="E5596" s="20"/>
      <c r="F5596" s="20"/>
      <c r="G5596" s="20"/>
      <c r="H5596" s="20"/>
      <c r="I5596" s="20"/>
      <c r="J5596" s="20"/>
      <c r="K5596" s="20"/>
      <c r="L5596" s="20"/>
      <c r="M5596" s="20"/>
      <c r="N5596" s="20"/>
      <c r="O5596" s="20"/>
      <c r="P5596" s="20"/>
      <c r="Q5596" s="20"/>
      <c r="R5596" s="20"/>
      <c r="S5596" s="20"/>
      <c r="T5596" s="20"/>
      <c r="U5596" s="20"/>
      <c r="V5596" s="20"/>
      <c r="W5596" s="21"/>
      <c r="X5596" s="20"/>
      <c r="Y5596" s="22"/>
      <c r="Z5596" s="22"/>
      <c r="AA5596" s="22"/>
      <c r="AB5596" s="22"/>
      <c r="AC5596" s="22"/>
    </row>
    <row r="5597" spans="1:29" ht="32.25" customHeight="1">
      <c r="A5597" s="19"/>
      <c r="B5597" s="20"/>
      <c r="C5597" s="20"/>
      <c r="D5597" s="20"/>
      <c r="E5597" s="20"/>
      <c r="F5597" s="20"/>
      <c r="G5597" s="20"/>
      <c r="H5597" s="20"/>
      <c r="I5597" s="20"/>
      <c r="J5597" s="20"/>
      <c r="K5597" s="20"/>
      <c r="L5597" s="20"/>
      <c r="M5597" s="20"/>
      <c r="N5597" s="20"/>
      <c r="O5597" s="20"/>
      <c r="P5597" s="20"/>
      <c r="Q5597" s="20"/>
      <c r="R5597" s="20"/>
      <c r="S5597" s="20"/>
      <c r="T5597" s="20"/>
      <c r="U5597" s="20"/>
      <c r="V5597" s="20"/>
      <c r="W5597" s="21"/>
      <c r="X5597" s="20"/>
      <c r="Y5597" s="22"/>
      <c r="Z5597" s="22"/>
      <c r="AA5597" s="22"/>
      <c r="AB5597" s="22"/>
      <c r="AC5597" s="22"/>
    </row>
    <row r="5598" spans="1:29" ht="32.25" customHeight="1">
      <c r="A5598" s="19"/>
      <c r="B5598" s="20"/>
      <c r="C5598" s="20"/>
      <c r="D5598" s="20"/>
      <c r="E5598" s="20"/>
      <c r="F5598" s="20"/>
      <c r="G5598" s="20"/>
      <c r="H5598" s="20"/>
      <c r="I5598" s="20"/>
      <c r="J5598" s="20"/>
      <c r="K5598" s="20"/>
      <c r="L5598" s="20"/>
      <c r="M5598" s="20"/>
      <c r="N5598" s="20"/>
      <c r="O5598" s="20"/>
      <c r="P5598" s="20"/>
      <c r="Q5598" s="20"/>
      <c r="R5598" s="20"/>
      <c r="S5598" s="20"/>
      <c r="T5598" s="20"/>
      <c r="U5598" s="20"/>
      <c r="V5598" s="20"/>
      <c r="W5598" s="21"/>
      <c r="X5598" s="20"/>
      <c r="Y5598" s="22"/>
      <c r="Z5598" s="22"/>
      <c r="AA5598" s="22"/>
      <c r="AB5598" s="22"/>
      <c r="AC5598" s="22"/>
    </row>
    <row r="5599" spans="1:29" ht="32.25" customHeight="1">
      <c r="A5599" s="19"/>
      <c r="B5599" s="20"/>
      <c r="C5599" s="20"/>
      <c r="D5599" s="20"/>
      <c r="E5599" s="20"/>
      <c r="F5599" s="20"/>
      <c r="G5599" s="20"/>
      <c r="H5599" s="20"/>
      <c r="I5599" s="20"/>
      <c r="J5599" s="20"/>
      <c r="K5599" s="20"/>
      <c r="L5599" s="20"/>
      <c r="M5599" s="20"/>
      <c r="N5599" s="20"/>
      <c r="O5599" s="20"/>
      <c r="P5599" s="20"/>
      <c r="Q5599" s="20"/>
      <c r="R5599" s="20"/>
      <c r="S5599" s="20"/>
      <c r="T5599" s="20"/>
      <c r="U5599" s="20"/>
      <c r="V5599" s="20"/>
      <c r="W5599" s="21"/>
      <c r="X5599" s="20"/>
      <c r="Y5599" s="22"/>
      <c r="Z5599" s="22"/>
      <c r="AA5599" s="22"/>
      <c r="AB5599" s="22"/>
      <c r="AC5599" s="22"/>
    </row>
    <row r="5600" spans="1:29" ht="32.25" customHeight="1">
      <c r="A5600" s="19"/>
      <c r="B5600" s="20"/>
      <c r="C5600" s="20"/>
      <c r="D5600" s="20"/>
      <c r="E5600" s="20"/>
      <c r="F5600" s="20"/>
      <c r="G5600" s="20"/>
      <c r="H5600" s="20"/>
      <c r="I5600" s="20"/>
      <c r="J5600" s="20"/>
      <c r="K5600" s="20"/>
      <c r="L5600" s="20"/>
      <c r="M5600" s="20"/>
      <c r="N5600" s="20"/>
      <c r="O5600" s="20"/>
      <c r="P5600" s="20"/>
      <c r="Q5600" s="20"/>
      <c r="R5600" s="20"/>
      <c r="S5600" s="20"/>
      <c r="T5600" s="20"/>
      <c r="U5600" s="20"/>
      <c r="V5600" s="20"/>
      <c r="W5600" s="21"/>
      <c r="X5600" s="20"/>
      <c r="Y5600" s="22"/>
      <c r="Z5600" s="22"/>
      <c r="AA5600" s="22"/>
      <c r="AB5600" s="22"/>
      <c r="AC5600" s="22"/>
    </row>
    <row r="5601" spans="1:29" ht="32.25" customHeight="1">
      <c r="A5601" s="19"/>
      <c r="B5601" s="20"/>
      <c r="C5601" s="20"/>
      <c r="D5601" s="20"/>
      <c r="E5601" s="20"/>
      <c r="F5601" s="20"/>
      <c r="G5601" s="20"/>
      <c r="H5601" s="20"/>
      <c r="I5601" s="20"/>
      <c r="J5601" s="20"/>
      <c r="K5601" s="20"/>
      <c r="L5601" s="20"/>
      <c r="M5601" s="20"/>
      <c r="N5601" s="20"/>
      <c r="O5601" s="20"/>
      <c r="P5601" s="20"/>
      <c r="Q5601" s="20"/>
      <c r="R5601" s="20"/>
      <c r="S5601" s="20"/>
      <c r="T5601" s="20"/>
      <c r="U5601" s="20"/>
      <c r="V5601" s="20"/>
      <c r="W5601" s="21"/>
      <c r="X5601" s="20"/>
      <c r="Y5601" s="22"/>
      <c r="Z5601" s="22"/>
      <c r="AA5601" s="22"/>
      <c r="AB5601" s="22"/>
      <c r="AC5601" s="22"/>
    </row>
    <row r="5602" spans="1:29" ht="32.25" customHeight="1">
      <c r="A5602" s="19"/>
      <c r="B5602" s="20"/>
      <c r="C5602" s="20"/>
      <c r="D5602" s="20"/>
      <c r="E5602" s="20"/>
      <c r="F5602" s="20"/>
      <c r="G5602" s="20"/>
      <c r="H5602" s="20"/>
      <c r="I5602" s="20"/>
      <c r="J5602" s="20"/>
      <c r="K5602" s="20"/>
      <c r="L5602" s="20"/>
      <c r="M5602" s="20"/>
      <c r="N5602" s="20"/>
      <c r="O5602" s="20"/>
      <c r="P5602" s="20"/>
      <c r="Q5602" s="20"/>
      <c r="R5602" s="20"/>
      <c r="S5602" s="20"/>
      <c r="T5602" s="20"/>
      <c r="U5602" s="20"/>
      <c r="V5602" s="20"/>
      <c r="W5602" s="21"/>
      <c r="X5602" s="20"/>
      <c r="Y5602" s="22"/>
      <c r="Z5602" s="22"/>
      <c r="AA5602" s="22"/>
      <c r="AB5602" s="22"/>
      <c r="AC5602" s="22"/>
    </row>
    <row r="5603" spans="1:29" ht="32.25" customHeight="1">
      <c r="A5603" s="19"/>
      <c r="B5603" s="20"/>
      <c r="C5603" s="20"/>
      <c r="D5603" s="20"/>
      <c r="E5603" s="20"/>
      <c r="F5603" s="20"/>
      <c r="G5603" s="20"/>
      <c r="H5603" s="20"/>
      <c r="I5603" s="20"/>
      <c r="J5603" s="20"/>
      <c r="K5603" s="20"/>
      <c r="L5603" s="20"/>
      <c r="M5603" s="20"/>
      <c r="N5603" s="20"/>
      <c r="O5603" s="20"/>
      <c r="P5603" s="20"/>
      <c r="Q5603" s="20"/>
      <c r="R5603" s="20"/>
      <c r="S5603" s="20"/>
      <c r="T5603" s="20"/>
      <c r="U5603" s="20"/>
      <c r="V5603" s="20"/>
      <c r="W5603" s="21"/>
      <c r="X5603" s="20"/>
      <c r="Y5603" s="22"/>
      <c r="Z5603" s="22"/>
      <c r="AA5603" s="22"/>
      <c r="AB5603" s="22"/>
      <c r="AC5603" s="22"/>
    </row>
    <row r="5604" spans="1:29" ht="32.25" customHeight="1">
      <c r="A5604" s="19"/>
      <c r="B5604" s="20"/>
      <c r="C5604" s="20"/>
      <c r="D5604" s="20"/>
      <c r="E5604" s="20"/>
      <c r="F5604" s="20"/>
      <c r="G5604" s="20"/>
      <c r="H5604" s="20"/>
      <c r="I5604" s="20"/>
      <c r="J5604" s="20"/>
      <c r="K5604" s="20"/>
      <c r="L5604" s="20"/>
      <c r="M5604" s="20"/>
      <c r="N5604" s="20"/>
      <c r="O5604" s="20"/>
      <c r="P5604" s="20"/>
      <c r="Q5604" s="20"/>
      <c r="R5604" s="20"/>
      <c r="S5604" s="20"/>
      <c r="T5604" s="20"/>
      <c r="U5604" s="20"/>
      <c r="V5604" s="20"/>
      <c r="W5604" s="21"/>
      <c r="X5604" s="20"/>
      <c r="Y5604" s="22"/>
      <c r="Z5604" s="22"/>
      <c r="AA5604" s="22"/>
      <c r="AB5604" s="22"/>
      <c r="AC5604" s="22"/>
    </row>
    <row r="5605" spans="1:29" ht="32.25" customHeight="1">
      <c r="A5605" s="19"/>
      <c r="B5605" s="20"/>
      <c r="C5605" s="20"/>
      <c r="D5605" s="20"/>
      <c r="E5605" s="20"/>
      <c r="F5605" s="20"/>
      <c r="G5605" s="20"/>
      <c r="H5605" s="20"/>
      <c r="I5605" s="20"/>
      <c r="J5605" s="20"/>
      <c r="K5605" s="20"/>
      <c r="L5605" s="20"/>
      <c r="M5605" s="20"/>
      <c r="N5605" s="20"/>
      <c r="O5605" s="20"/>
      <c r="P5605" s="20"/>
      <c r="Q5605" s="20"/>
      <c r="R5605" s="20"/>
      <c r="S5605" s="20"/>
      <c r="T5605" s="20"/>
      <c r="U5605" s="20"/>
      <c r="V5605" s="20"/>
      <c r="W5605" s="21"/>
      <c r="X5605" s="20"/>
      <c r="Y5605" s="22"/>
      <c r="Z5605" s="22"/>
      <c r="AA5605" s="22"/>
      <c r="AB5605" s="22"/>
      <c r="AC5605" s="22"/>
    </row>
    <row r="5606" spans="1:29" ht="32.25" customHeight="1">
      <c r="A5606" s="19"/>
      <c r="B5606" s="20"/>
      <c r="C5606" s="20"/>
      <c r="D5606" s="20"/>
      <c r="E5606" s="20"/>
      <c r="F5606" s="20"/>
      <c r="G5606" s="20"/>
      <c r="H5606" s="20"/>
      <c r="I5606" s="20"/>
      <c r="J5606" s="20"/>
      <c r="K5606" s="20"/>
      <c r="L5606" s="20"/>
      <c r="M5606" s="20"/>
      <c r="N5606" s="20"/>
      <c r="O5606" s="20"/>
      <c r="P5606" s="20"/>
      <c r="Q5606" s="20"/>
      <c r="R5606" s="20"/>
      <c r="S5606" s="20"/>
      <c r="T5606" s="20"/>
      <c r="U5606" s="20"/>
      <c r="V5606" s="20"/>
      <c r="W5606" s="21"/>
      <c r="X5606" s="20"/>
      <c r="Y5606" s="22"/>
      <c r="Z5606" s="22"/>
      <c r="AA5606" s="22"/>
      <c r="AB5606" s="22"/>
      <c r="AC5606" s="22"/>
    </row>
    <row r="5607" spans="1:29" ht="32.25" customHeight="1">
      <c r="A5607" s="19"/>
      <c r="B5607" s="20"/>
      <c r="C5607" s="20"/>
      <c r="D5607" s="20"/>
      <c r="E5607" s="20"/>
      <c r="F5607" s="20"/>
      <c r="G5607" s="20"/>
      <c r="H5607" s="20"/>
      <c r="I5607" s="20"/>
      <c r="J5607" s="20"/>
      <c r="K5607" s="20"/>
      <c r="L5607" s="20"/>
      <c r="M5607" s="20"/>
      <c r="N5607" s="20"/>
      <c r="O5607" s="20"/>
      <c r="P5607" s="20"/>
      <c r="Q5607" s="20"/>
      <c r="R5607" s="20"/>
      <c r="S5607" s="20"/>
      <c r="T5607" s="20"/>
      <c r="U5607" s="20"/>
      <c r="V5607" s="20"/>
      <c r="W5607" s="21"/>
      <c r="X5607" s="20"/>
      <c r="Y5607" s="22"/>
      <c r="Z5607" s="22"/>
      <c r="AA5607" s="22"/>
      <c r="AB5607" s="22"/>
      <c r="AC5607" s="22"/>
    </row>
    <row r="5608" spans="1:29" ht="32.25" customHeight="1">
      <c r="A5608" s="19"/>
      <c r="B5608" s="20"/>
      <c r="C5608" s="20"/>
      <c r="D5608" s="20"/>
      <c r="E5608" s="20"/>
      <c r="F5608" s="20"/>
      <c r="G5608" s="20"/>
      <c r="H5608" s="20"/>
      <c r="I5608" s="20"/>
      <c r="J5608" s="20"/>
      <c r="K5608" s="20"/>
      <c r="L5608" s="20"/>
      <c r="M5608" s="20"/>
      <c r="N5608" s="20"/>
      <c r="O5608" s="20"/>
      <c r="P5608" s="20"/>
      <c r="Q5608" s="20"/>
      <c r="R5608" s="20"/>
      <c r="S5608" s="20"/>
      <c r="T5608" s="20"/>
      <c r="U5608" s="20"/>
      <c r="V5608" s="20"/>
      <c r="W5608" s="21"/>
      <c r="X5608" s="20"/>
      <c r="Y5608" s="22"/>
      <c r="Z5608" s="22"/>
      <c r="AA5608" s="22"/>
      <c r="AB5608" s="22"/>
      <c r="AC5608" s="22"/>
    </row>
    <row r="5609" spans="1:29" ht="32.25" customHeight="1">
      <c r="A5609" s="19"/>
      <c r="B5609" s="20"/>
      <c r="C5609" s="20"/>
      <c r="D5609" s="20"/>
      <c r="E5609" s="20"/>
      <c r="F5609" s="20"/>
      <c r="G5609" s="20"/>
      <c r="H5609" s="20"/>
      <c r="I5609" s="20"/>
      <c r="J5609" s="20"/>
      <c r="K5609" s="20"/>
      <c r="L5609" s="20"/>
      <c r="M5609" s="20"/>
      <c r="N5609" s="20"/>
      <c r="O5609" s="20"/>
      <c r="P5609" s="20"/>
      <c r="Q5609" s="20"/>
      <c r="R5609" s="20"/>
      <c r="S5609" s="20"/>
      <c r="T5609" s="20"/>
      <c r="U5609" s="20"/>
      <c r="V5609" s="20"/>
      <c r="W5609" s="21"/>
      <c r="X5609" s="20"/>
      <c r="Y5609" s="22"/>
      <c r="Z5609" s="22"/>
      <c r="AA5609" s="22"/>
      <c r="AB5609" s="22"/>
      <c r="AC5609" s="22"/>
    </row>
    <row r="5610" spans="1:29" ht="32.25" customHeight="1">
      <c r="A5610" s="19"/>
      <c r="B5610" s="20"/>
      <c r="C5610" s="20"/>
      <c r="D5610" s="20"/>
      <c r="E5610" s="20"/>
      <c r="F5610" s="20"/>
      <c r="G5610" s="20"/>
      <c r="H5610" s="20"/>
      <c r="I5610" s="20"/>
      <c r="J5610" s="20"/>
      <c r="K5610" s="20"/>
      <c r="L5610" s="20"/>
      <c r="M5610" s="20"/>
      <c r="N5610" s="20"/>
      <c r="O5610" s="20"/>
      <c r="P5610" s="20"/>
      <c r="Q5610" s="20"/>
      <c r="R5610" s="20"/>
      <c r="S5610" s="20"/>
      <c r="T5610" s="20"/>
      <c r="U5610" s="20"/>
      <c r="V5610" s="20"/>
      <c r="W5610" s="21"/>
      <c r="X5610" s="20"/>
      <c r="Y5610" s="22"/>
      <c r="Z5610" s="22"/>
      <c r="AA5610" s="22"/>
      <c r="AB5610" s="22"/>
      <c r="AC5610" s="22"/>
    </row>
    <row r="5611" spans="1:29" ht="32.25" customHeight="1">
      <c r="A5611" s="19"/>
      <c r="B5611" s="20"/>
      <c r="C5611" s="20"/>
      <c r="D5611" s="20"/>
      <c r="E5611" s="20"/>
      <c r="F5611" s="20"/>
      <c r="G5611" s="20"/>
      <c r="H5611" s="20"/>
      <c r="I5611" s="20"/>
      <c r="J5611" s="20"/>
      <c r="K5611" s="20"/>
      <c r="L5611" s="20"/>
      <c r="M5611" s="20"/>
      <c r="N5611" s="20"/>
      <c r="O5611" s="20"/>
      <c r="P5611" s="20"/>
      <c r="Q5611" s="20"/>
      <c r="R5611" s="20"/>
      <c r="S5611" s="20"/>
      <c r="T5611" s="20"/>
      <c r="U5611" s="20"/>
      <c r="V5611" s="20"/>
      <c r="W5611" s="21"/>
      <c r="X5611" s="20"/>
      <c r="Y5611" s="22"/>
      <c r="Z5611" s="22"/>
      <c r="AA5611" s="22"/>
      <c r="AB5611" s="22"/>
      <c r="AC5611" s="22"/>
    </row>
    <row r="5612" spans="1:29" ht="32.25" customHeight="1">
      <c r="A5612" s="19"/>
      <c r="B5612" s="20"/>
      <c r="C5612" s="20"/>
      <c r="D5612" s="20"/>
      <c r="E5612" s="20"/>
      <c r="F5612" s="20"/>
      <c r="G5612" s="20"/>
      <c r="H5612" s="20"/>
      <c r="I5612" s="20"/>
      <c r="J5612" s="20"/>
      <c r="K5612" s="20"/>
      <c r="L5612" s="20"/>
      <c r="M5612" s="20"/>
      <c r="N5612" s="20"/>
      <c r="O5612" s="20"/>
      <c r="P5612" s="20"/>
      <c r="Q5612" s="20"/>
      <c r="R5612" s="20"/>
      <c r="S5612" s="20"/>
      <c r="T5612" s="20"/>
      <c r="U5612" s="20"/>
      <c r="V5612" s="20"/>
      <c r="W5612" s="21"/>
      <c r="X5612" s="20"/>
      <c r="Y5612" s="22"/>
      <c r="Z5612" s="22"/>
      <c r="AA5612" s="22"/>
      <c r="AB5612" s="22"/>
      <c r="AC5612" s="22"/>
    </row>
    <row r="5613" spans="1:29" ht="32.25" customHeight="1">
      <c r="A5613" s="19"/>
      <c r="B5613" s="20"/>
      <c r="C5613" s="20"/>
      <c r="D5613" s="20"/>
      <c r="E5613" s="20"/>
      <c r="F5613" s="20"/>
      <c r="G5613" s="20"/>
      <c r="H5613" s="20"/>
      <c r="I5613" s="20"/>
      <c r="J5613" s="20"/>
      <c r="K5613" s="20"/>
      <c r="L5613" s="20"/>
      <c r="M5613" s="20"/>
      <c r="N5613" s="20"/>
      <c r="O5613" s="20"/>
      <c r="P5613" s="20"/>
      <c r="Q5613" s="20"/>
      <c r="R5613" s="20"/>
      <c r="S5613" s="20"/>
      <c r="T5613" s="20"/>
      <c r="U5613" s="20"/>
      <c r="V5613" s="20"/>
      <c r="W5613" s="21"/>
      <c r="X5613" s="20"/>
      <c r="Y5613" s="22"/>
      <c r="Z5613" s="22"/>
      <c r="AA5613" s="22"/>
      <c r="AB5613" s="22"/>
      <c r="AC5613" s="22"/>
    </row>
    <row r="5614" spans="1:29" ht="32.25" customHeight="1">
      <c r="A5614" s="19"/>
      <c r="B5614" s="20"/>
      <c r="C5614" s="20"/>
      <c r="D5614" s="20"/>
      <c r="E5614" s="20"/>
      <c r="F5614" s="20"/>
      <c r="G5614" s="20"/>
      <c r="H5614" s="20"/>
      <c r="I5614" s="20"/>
      <c r="J5614" s="20"/>
      <c r="K5614" s="20"/>
      <c r="L5614" s="20"/>
      <c r="M5614" s="20"/>
      <c r="N5614" s="20"/>
      <c r="O5614" s="20"/>
      <c r="P5614" s="20"/>
      <c r="Q5614" s="20"/>
      <c r="R5614" s="20"/>
      <c r="S5614" s="20"/>
      <c r="T5614" s="20"/>
      <c r="U5614" s="20"/>
      <c r="V5614" s="20"/>
      <c r="W5614" s="21"/>
      <c r="X5614" s="20"/>
      <c r="Y5614" s="22"/>
      <c r="Z5614" s="22"/>
      <c r="AA5614" s="22"/>
      <c r="AB5614" s="22"/>
      <c r="AC5614" s="22"/>
    </row>
    <row r="5615" spans="1:29" ht="32.25" customHeight="1">
      <c r="A5615" s="19"/>
      <c r="B5615" s="20"/>
      <c r="C5615" s="20"/>
      <c r="D5615" s="20"/>
      <c r="E5615" s="20"/>
      <c r="F5615" s="20"/>
      <c r="G5615" s="20"/>
      <c r="H5615" s="20"/>
      <c r="I5615" s="20"/>
      <c r="J5615" s="20"/>
      <c r="K5615" s="20"/>
      <c r="L5615" s="20"/>
      <c r="M5615" s="20"/>
      <c r="N5615" s="20"/>
      <c r="O5615" s="20"/>
      <c r="P5615" s="20"/>
      <c r="Q5615" s="20"/>
      <c r="R5615" s="20"/>
      <c r="S5615" s="20"/>
      <c r="T5615" s="20"/>
      <c r="U5615" s="20"/>
      <c r="V5615" s="20"/>
      <c r="W5615" s="21"/>
      <c r="X5615" s="20"/>
      <c r="Y5615" s="22"/>
      <c r="Z5615" s="22"/>
      <c r="AA5615" s="22"/>
      <c r="AB5615" s="22"/>
      <c r="AC5615" s="22"/>
    </row>
    <row r="5616" spans="1:29" ht="32.25" customHeight="1">
      <c r="A5616" s="19"/>
      <c r="B5616" s="20"/>
      <c r="C5616" s="20"/>
      <c r="D5616" s="20"/>
      <c r="E5616" s="20"/>
      <c r="F5616" s="20"/>
      <c r="G5616" s="20"/>
      <c r="H5616" s="20"/>
      <c r="I5616" s="20"/>
      <c r="J5616" s="20"/>
      <c r="K5616" s="20"/>
      <c r="L5616" s="20"/>
      <c r="M5616" s="20"/>
      <c r="N5616" s="20"/>
      <c r="O5616" s="20"/>
      <c r="P5616" s="20"/>
      <c r="Q5616" s="20"/>
      <c r="R5616" s="20"/>
      <c r="S5616" s="20"/>
      <c r="T5616" s="20"/>
      <c r="U5616" s="20"/>
      <c r="V5616" s="20"/>
      <c r="W5616" s="21"/>
      <c r="X5616" s="20"/>
      <c r="Y5616" s="22"/>
      <c r="Z5616" s="22"/>
      <c r="AA5616" s="22"/>
      <c r="AB5616" s="22"/>
      <c r="AC5616" s="22"/>
    </row>
    <row r="5617" spans="1:29" ht="32.25" customHeight="1">
      <c r="A5617" s="19"/>
      <c r="B5617" s="20"/>
      <c r="C5617" s="20"/>
      <c r="D5617" s="20"/>
      <c r="E5617" s="20"/>
      <c r="F5617" s="20"/>
      <c r="G5617" s="20"/>
      <c r="H5617" s="20"/>
      <c r="I5617" s="20"/>
      <c r="J5617" s="20"/>
      <c r="K5617" s="20"/>
      <c r="L5617" s="20"/>
      <c r="M5617" s="20"/>
      <c r="N5617" s="20"/>
      <c r="O5617" s="20"/>
      <c r="P5617" s="20"/>
      <c r="Q5617" s="20"/>
      <c r="R5617" s="20"/>
      <c r="S5617" s="20"/>
      <c r="T5617" s="20"/>
      <c r="U5617" s="20"/>
      <c r="V5617" s="20"/>
      <c r="W5617" s="21"/>
      <c r="X5617" s="20"/>
      <c r="Y5617" s="22"/>
      <c r="Z5617" s="22"/>
      <c r="AA5617" s="22"/>
      <c r="AB5617" s="22"/>
      <c r="AC5617" s="22"/>
    </row>
    <row r="5618" spans="1:29" ht="32.25" customHeight="1">
      <c r="A5618" s="19"/>
      <c r="B5618" s="20"/>
      <c r="C5618" s="20"/>
      <c r="D5618" s="20"/>
      <c r="E5618" s="20"/>
      <c r="F5618" s="20"/>
      <c r="G5618" s="20"/>
      <c r="H5618" s="20"/>
      <c r="I5618" s="20"/>
      <c r="J5618" s="20"/>
      <c r="K5618" s="20"/>
      <c r="L5618" s="20"/>
      <c r="M5618" s="20"/>
      <c r="N5618" s="20"/>
      <c r="O5618" s="20"/>
      <c r="P5618" s="20"/>
      <c r="Q5618" s="20"/>
      <c r="R5618" s="20"/>
      <c r="S5618" s="20"/>
      <c r="T5618" s="20"/>
      <c r="U5618" s="20"/>
      <c r="V5618" s="20"/>
      <c r="W5618" s="21"/>
      <c r="X5618" s="20"/>
      <c r="Y5618" s="22"/>
      <c r="Z5618" s="22"/>
      <c r="AA5618" s="22"/>
      <c r="AB5618" s="22"/>
      <c r="AC5618" s="22"/>
    </row>
    <row r="5619" spans="1:29" ht="32.25" customHeight="1">
      <c r="A5619" s="19"/>
      <c r="B5619" s="20"/>
      <c r="C5619" s="20"/>
      <c r="D5619" s="20"/>
      <c r="E5619" s="20"/>
      <c r="F5619" s="20"/>
      <c r="G5619" s="20"/>
      <c r="H5619" s="20"/>
      <c r="I5619" s="20"/>
      <c r="J5619" s="20"/>
      <c r="K5619" s="20"/>
      <c r="L5619" s="20"/>
      <c r="M5619" s="20"/>
      <c r="N5619" s="20"/>
      <c r="O5619" s="20"/>
      <c r="P5619" s="20"/>
      <c r="Q5619" s="20"/>
      <c r="R5619" s="20"/>
      <c r="S5619" s="20"/>
      <c r="T5619" s="20"/>
      <c r="U5619" s="20"/>
      <c r="V5619" s="20"/>
      <c r="W5619" s="21"/>
      <c r="X5619" s="20"/>
      <c r="Y5619" s="22"/>
      <c r="Z5619" s="22"/>
      <c r="AA5619" s="22"/>
      <c r="AB5619" s="22"/>
      <c r="AC5619" s="22"/>
    </row>
    <row r="5620" spans="1:29" ht="32.25" customHeight="1">
      <c r="A5620" s="19"/>
      <c r="B5620" s="20"/>
      <c r="C5620" s="20"/>
      <c r="D5620" s="20"/>
      <c r="E5620" s="20"/>
      <c r="F5620" s="20"/>
      <c r="G5620" s="20"/>
      <c r="H5620" s="20"/>
      <c r="I5620" s="20"/>
      <c r="J5620" s="20"/>
      <c r="K5620" s="20"/>
      <c r="L5620" s="20"/>
      <c r="M5620" s="20"/>
      <c r="N5620" s="20"/>
      <c r="O5620" s="20"/>
      <c r="P5620" s="20"/>
      <c r="Q5620" s="20"/>
      <c r="R5620" s="20"/>
      <c r="S5620" s="20"/>
      <c r="T5620" s="20"/>
      <c r="U5620" s="20"/>
      <c r="V5620" s="20"/>
      <c r="W5620" s="21"/>
      <c r="X5620" s="20"/>
      <c r="Y5620" s="22"/>
      <c r="Z5620" s="22"/>
      <c r="AA5620" s="22"/>
      <c r="AB5620" s="22"/>
      <c r="AC5620" s="22"/>
    </row>
    <row r="5621" spans="1:29" ht="32.25" customHeight="1">
      <c r="A5621" s="19"/>
      <c r="B5621" s="20"/>
      <c r="C5621" s="20"/>
      <c r="D5621" s="20"/>
      <c r="E5621" s="20"/>
      <c r="F5621" s="20"/>
      <c r="G5621" s="20"/>
      <c r="H5621" s="20"/>
      <c r="I5621" s="20"/>
      <c r="J5621" s="20"/>
      <c r="K5621" s="20"/>
      <c r="L5621" s="20"/>
      <c r="M5621" s="20"/>
      <c r="N5621" s="20"/>
      <c r="O5621" s="20"/>
      <c r="P5621" s="20"/>
      <c r="Q5621" s="20"/>
      <c r="R5621" s="20"/>
      <c r="S5621" s="20"/>
      <c r="T5621" s="20"/>
      <c r="U5621" s="20"/>
      <c r="V5621" s="20"/>
      <c r="W5621" s="21"/>
      <c r="X5621" s="20"/>
      <c r="Y5621" s="22"/>
      <c r="Z5621" s="22"/>
      <c r="AA5621" s="22"/>
      <c r="AB5621" s="22"/>
      <c r="AC5621" s="22"/>
    </row>
    <row r="5622" spans="1:29" ht="32.25" customHeight="1">
      <c r="A5622" s="19"/>
      <c r="B5622" s="20"/>
      <c r="C5622" s="20"/>
      <c r="D5622" s="20"/>
      <c r="E5622" s="20"/>
      <c r="F5622" s="20"/>
      <c r="G5622" s="20"/>
      <c r="H5622" s="20"/>
      <c r="I5622" s="20"/>
      <c r="J5622" s="20"/>
      <c r="K5622" s="20"/>
      <c r="L5622" s="20"/>
      <c r="M5622" s="20"/>
      <c r="N5622" s="20"/>
      <c r="O5622" s="20"/>
      <c r="P5622" s="20"/>
      <c r="Q5622" s="20"/>
      <c r="R5622" s="20"/>
      <c r="S5622" s="20"/>
      <c r="T5622" s="20"/>
      <c r="U5622" s="20"/>
      <c r="V5622" s="20"/>
      <c r="W5622" s="21"/>
      <c r="X5622" s="20"/>
      <c r="Y5622" s="22"/>
      <c r="Z5622" s="22"/>
      <c r="AA5622" s="22"/>
      <c r="AB5622" s="22"/>
      <c r="AC5622" s="22"/>
    </row>
    <row r="5623" spans="1:29" ht="32.25" customHeight="1">
      <c r="A5623" s="19"/>
      <c r="B5623" s="20"/>
      <c r="C5623" s="20"/>
      <c r="D5623" s="20"/>
      <c r="E5623" s="20"/>
      <c r="F5623" s="20"/>
      <c r="G5623" s="20"/>
      <c r="H5623" s="20"/>
      <c r="I5623" s="20"/>
      <c r="J5623" s="20"/>
      <c r="K5623" s="20"/>
      <c r="L5623" s="20"/>
      <c r="M5623" s="20"/>
      <c r="N5623" s="20"/>
      <c r="O5623" s="20"/>
      <c r="P5623" s="20"/>
      <c r="Q5623" s="20"/>
      <c r="R5623" s="20"/>
      <c r="S5623" s="20"/>
      <c r="T5623" s="20"/>
      <c r="U5623" s="20"/>
      <c r="V5623" s="20"/>
      <c r="W5623" s="21"/>
      <c r="X5623" s="20"/>
      <c r="Y5623" s="22"/>
      <c r="Z5623" s="22"/>
      <c r="AA5623" s="22"/>
      <c r="AB5623" s="22"/>
      <c r="AC5623" s="22"/>
    </row>
    <row r="5624" spans="1:29" ht="32.25" customHeight="1">
      <c r="A5624" s="19"/>
      <c r="B5624" s="20"/>
      <c r="C5624" s="20"/>
      <c r="D5624" s="20"/>
      <c r="E5624" s="20"/>
      <c r="F5624" s="20"/>
      <c r="G5624" s="20"/>
      <c r="H5624" s="20"/>
      <c r="I5624" s="20"/>
      <c r="J5624" s="20"/>
      <c r="K5624" s="20"/>
      <c r="L5624" s="20"/>
      <c r="M5624" s="20"/>
      <c r="N5624" s="20"/>
      <c r="O5624" s="20"/>
      <c r="P5624" s="20"/>
      <c r="Q5624" s="20"/>
      <c r="R5624" s="20"/>
      <c r="S5624" s="20"/>
      <c r="T5624" s="20"/>
      <c r="U5624" s="20"/>
      <c r="V5624" s="20"/>
      <c r="W5624" s="21"/>
      <c r="X5624" s="20"/>
      <c r="Y5624" s="22"/>
      <c r="Z5624" s="22"/>
      <c r="AA5624" s="22"/>
      <c r="AB5624" s="22"/>
      <c r="AC5624" s="22"/>
    </row>
    <row r="5625" spans="1:29" ht="32.25" customHeight="1">
      <c r="A5625" s="19"/>
      <c r="B5625" s="20"/>
      <c r="C5625" s="20"/>
      <c r="D5625" s="20"/>
      <c r="E5625" s="20"/>
      <c r="F5625" s="20"/>
      <c r="G5625" s="20"/>
      <c r="H5625" s="20"/>
      <c r="I5625" s="20"/>
      <c r="J5625" s="20"/>
      <c r="K5625" s="20"/>
      <c r="L5625" s="20"/>
      <c r="M5625" s="20"/>
      <c r="N5625" s="20"/>
      <c r="O5625" s="20"/>
      <c r="P5625" s="20"/>
      <c r="Q5625" s="20"/>
      <c r="R5625" s="20"/>
      <c r="S5625" s="20"/>
      <c r="T5625" s="20"/>
      <c r="U5625" s="20"/>
      <c r="V5625" s="20"/>
      <c r="W5625" s="21"/>
      <c r="X5625" s="20"/>
      <c r="Y5625" s="22"/>
      <c r="Z5625" s="22"/>
      <c r="AA5625" s="22"/>
      <c r="AB5625" s="22"/>
      <c r="AC5625" s="22"/>
    </row>
    <row r="5626" spans="1:29" ht="32.25" customHeight="1">
      <c r="A5626" s="19"/>
      <c r="B5626" s="20"/>
      <c r="C5626" s="20"/>
      <c r="D5626" s="20"/>
      <c r="E5626" s="20"/>
      <c r="F5626" s="20"/>
      <c r="G5626" s="20"/>
      <c r="H5626" s="20"/>
      <c r="I5626" s="20"/>
      <c r="J5626" s="20"/>
      <c r="K5626" s="20"/>
      <c r="L5626" s="20"/>
      <c r="M5626" s="20"/>
      <c r="N5626" s="20"/>
      <c r="O5626" s="20"/>
      <c r="P5626" s="20"/>
      <c r="Q5626" s="20"/>
      <c r="R5626" s="20"/>
      <c r="S5626" s="20"/>
      <c r="T5626" s="20"/>
      <c r="U5626" s="20"/>
      <c r="V5626" s="20"/>
      <c r="W5626" s="21"/>
      <c r="X5626" s="20"/>
      <c r="Y5626" s="22"/>
      <c r="Z5626" s="22"/>
      <c r="AA5626" s="22"/>
      <c r="AB5626" s="22"/>
      <c r="AC5626" s="22"/>
    </row>
    <row r="5627" spans="1:29" ht="32.25" customHeight="1">
      <c r="A5627" s="19"/>
      <c r="B5627" s="20"/>
      <c r="C5627" s="20"/>
      <c r="D5627" s="20"/>
      <c r="E5627" s="20"/>
      <c r="F5627" s="20"/>
      <c r="G5627" s="20"/>
      <c r="H5627" s="20"/>
      <c r="I5627" s="20"/>
      <c r="J5627" s="20"/>
      <c r="K5627" s="20"/>
      <c r="L5627" s="20"/>
      <c r="M5627" s="20"/>
      <c r="N5627" s="20"/>
      <c r="O5627" s="20"/>
      <c r="P5627" s="20"/>
      <c r="Q5627" s="20"/>
      <c r="R5627" s="20"/>
      <c r="S5627" s="20"/>
      <c r="T5627" s="20"/>
      <c r="U5627" s="20"/>
      <c r="V5627" s="20"/>
      <c r="W5627" s="21"/>
      <c r="X5627" s="20"/>
      <c r="Y5627" s="22"/>
      <c r="Z5627" s="22"/>
      <c r="AA5627" s="22"/>
      <c r="AB5627" s="22"/>
      <c r="AC5627" s="22"/>
    </row>
    <row r="5628" spans="1:29" ht="32.25" customHeight="1">
      <c r="A5628" s="19"/>
      <c r="B5628" s="20"/>
      <c r="C5628" s="20"/>
      <c r="D5628" s="20"/>
      <c r="E5628" s="20"/>
      <c r="F5628" s="20"/>
      <c r="G5628" s="20"/>
      <c r="H5628" s="20"/>
      <c r="I5628" s="20"/>
      <c r="J5628" s="20"/>
      <c r="K5628" s="20"/>
      <c r="L5628" s="20"/>
      <c r="M5628" s="20"/>
      <c r="N5628" s="20"/>
      <c r="O5628" s="20"/>
      <c r="P5628" s="20"/>
      <c r="Q5628" s="20"/>
      <c r="R5628" s="20"/>
      <c r="S5628" s="20"/>
      <c r="T5628" s="20"/>
      <c r="U5628" s="20"/>
      <c r="V5628" s="20"/>
      <c r="W5628" s="21"/>
      <c r="X5628" s="20"/>
      <c r="Y5628" s="22"/>
      <c r="Z5628" s="22"/>
      <c r="AA5628" s="22"/>
      <c r="AB5628" s="22"/>
      <c r="AC5628" s="22"/>
    </row>
    <row r="5629" spans="1:29" ht="32.25" customHeight="1">
      <c r="A5629" s="19"/>
      <c r="B5629" s="20"/>
      <c r="C5629" s="20"/>
      <c r="D5629" s="20"/>
      <c r="E5629" s="20"/>
      <c r="F5629" s="20"/>
      <c r="G5629" s="20"/>
      <c r="H5629" s="20"/>
      <c r="I5629" s="20"/>
      <c r="J5629" s="20"/>
      <c r="K5629" s="20"/>
      <c r="L5629" s="20"/>
      <c r="M5629" s="20"/>
      <c r="N5629" s="20"/>
      <c r="O5629" s="20"/>
      <c r="P5629" s="20"/>
      <c r="Q5629" s="20"/>
      <c r="R5629" s="20"/>
      <c r="S5629" s="20"/>
      <c r="T5629" s="20"/>
      <c r="U5629" s="20"/>
      <c r="V5629" s="20"/>
      <c r="W5629" s="21"/>
      <c r="X5629" s="20"/>
      <c r="Y5629" s="22"/>
      <c r="Z5629" s="22"/>
      <c r="AA5629" s="22"/>
      <c r="AB5629" s="22"/>
      <c r="AC5629" s="22"/>
    </row>
    <row r="5630" spans="1:29" ht="32.25" customHeight="1">
      <c r="A5630" s="19"/>
      <c r="B5630" s="20"/>
      <c r="C5630" s="20"/>
      <c r="D5630" s="20"/>
      <c r="E5630" s="20"/>
      <c r="F5630" s="20"/>
      <c r="G5630" s="20"/>
      <c r="H5630" s="20"/>
      <c r="I5630" s="20"/>
      <c r="J5630" s="20"/>
      <c r="K5630" s="20"/>
      <c r="L5630" s="20"/>
      <c r="M5630" s="20"/>
      <c r="N5630" s="20"/>
      <c r="O5630" s="20"/>
      <c r="P5630" s="20"/>
      <c r="Q5630" s="20"/>
      <c r="R5630" s="20"/>
      <c r="S5630" s="20"/>
      <c r="T5630" s="20"/>
      <c r="U5630" s="20"/>
      <c r="V5630" s="20"/>
      <c r="W5630" s="21"/>
      <c r="X5630" s="20"/>
      <c r="Y5630" s="22"/>
      <c r="Z5630" s="22"/>
      <c r="AA5630" s="22"/>
      <c r="AB5630" s="22"/>
      <c r="AC5630" s="22"/>
    </row>
    <row r="5631" spans="1:29" ht="32.25" customHeight="1">
      <c r="A5631" s="19"/>
      <c r="B5631" s="20"/>
      <c r="C5631" s="20"/>
      <c r="D5631" s="20"/>
      <c r="E5631" s="20"/>
      <c r="F5631" s="20"/>
      <c r="G5631" s="20"/>
      <c r="H5631" s="20"/>
      <c r="I5631" s="20"/>
      <c r="J5631" s="20"/>
      <c r="K5631" s="20"/>
      <c r="L5631" s="20"/>
      <c r="M5631" s="20"/>
      <c r="N5631" s="20"/>
      <c r="O5631" s="20"/>
      <c r="P5631" s="20"/>
      <c r="Q5631" s="20"/>
      <c r="R5631" s="20"/>
      <c r="S5631" s="20"/>
      <c r="T5631" s="20"/>
      <c r="U5631" s="20"/>
      <c r="V5631" s="20"/>
      <c r="W5631" s="21"/>
      <c r="X5631" s="20"/>
      <c r="Y5631" s="22"/>
      <c r="Z5631" s="22"/>
      <c r="AA5631" s="22"/>
      <c r="AB5631" s="22"/>
      <c r="AC5631" s="22"/>
    </row>
    <row r="5632" spans="1:29" ht="32.25" customHeight="1">
      <c r="A5632" s="19"/>
      <c r="B5632" s="20"/>
      <c r="C5632" s="20"/>
      <c r="D5632" s="20"/>
      <c r="E5632" s="20"/>
      <c r="F5632" s="20"/>
      <c r="G5632" s="20"/>
      <c r="H5632" s="20"/>
      <c r="I5632" s="20"/>
      <c r="J5632" s="20"/>
      <c r="K5632" s="20"/>
      <c r="L5632" s="20"/>
      <c r="M5632" s="20"/>
      <c r="N5632" s="20"/>
      <c r="O5632" s="20"/>
      <c r="P5632" s="20"/>
      <c r="Q5632" s="20"/>
      <c r="R5632" s="20"/>
      <c r="S5632" s="20"/>
      <c r="T5632" s="20"/>
      <c r="U5632" s="20"/>
      <c r="V5632" s="20"/>
      <c r="W5632" s="21"/>
      <c r="X5632" s="20"/>
      <c r="Y5632" s="22"/>
      <c r="Z5632" s="22"/>
      <c r="AA5632" s="22"/>
      <c r="AB5632" s="22"/>
      <c r="AC5632" s="22"/>
    </row>
    <row r="5633" spans="1:29" ht="32.25" customHeight="1">
      <c r="A5633" s="19"/>
      <c r="B5633" s="20"/>
      <c r="C5633" s="20"/>
      <c r="D5633" s="20"/>
      <c r="E5633" s="20"/>
      <c r="F5633" s="20"/>
      <c r="G5633" s="20"/>
      <c r="H5633" s="20"/>
      <c r="I5633" s="20"/>
      <c r="J5633" s="20"/>
      <c r="K5633" s="20"/>
      <c r="L5633" s="20"/>
      <c r="M5633" s="20"/>
      <c r="N5633" s="20"/>
      <c r="O5633" s="20"/>
      <c r="P5633" s="20"/>
      <c r="Q5633" s="20"/>
      <c r="R5633" s="20"/>
      <c r="S5633" s="20"/>
      <c r="T5633" s="20"/>
      <c r="U5633" s="20"/>
      <c r="V5633" s="20"/>
      <c r="W5633" s="21"/>
      <c r="X5633" s="20"/>
      <c r="Y5633" s="22"/>
      <c r="Z5633" s="22"/>
      <c r="AA5633" s="22"/>
      <c r="AB5633" s="22"/>
      <c r="AC5633" s="22"/>
    </row>
    <row r="5634" spans="1:29" ht="32.25" customHeight="1">
      <c r="A5634" s="19"/>
      <c r="B5634" s="20"/>
      <c r="C5634" s="20"/>
      <c r="D5634" s="20"/>
      <c r="E5634" s="20"/>
      <c r="F5634" s="20"/>
      <c r="G5634" s="20"/>
      <c r="H5634" s="20"/>
      <c r="I5634" s="20"/>
      <c r="J5634" s="20"/>
      <c r="K5634" s="20"/>
      <c r="L5634" s="20"/>
      <c r="M5634" s="20"/>
      <c r="N5634" s="20"/>
      <c r="O5634" s="20"/>
      <c r="P5634" s="20"/>
      <c r="Q5634" s="20"/>
      <c r="R5634" s="20"/>
      <c r="S5634" s="20"/>
      <c r="T5634" s="20"/>
      <c r="U5634" s="20"/>
      <c r="V5634" s="20"/>
      <c r="W5634" s="21"/>
      <c r="X5634" s="20"/>
      <c r="Y5634" s="22"/>
      <c r="Z5634" s="22"/>
      <c r="AA5634" s="22"/>
      <c r="AB5634" s="22"/>
      <c r="AC5634" s="22"/>
    </row>
    <row r="5635" spans="1:29" ht="32.25" customHeight="1">
      <c r="A5635" s="19"/>
      <c r="B5635" s="20"/>
      <c r="C5635" s="20"/>
      <c r="D5635" s="20"/>
      <c r="E5635" s="20"/>
      <c r="F5635" s="20"/>
      <c r="G5635" s="20"/>
      <c r="H5635" s="20"/>
      <c r="I5635" s="20"/>
      <c r="J5635" s="20"/>
      <c r="K5635" s="20"/>
      <c r="L5635" s="20"/>
      <c r="M5635" s="20"/>
      <c r="N5635" s="20"/>
      <c r="O5635" s="20"/>
      <c r="P5635" s="20"/>
      <c r="Q5635" s="20"/>
      <c r="R5635" s="20"/>
      <c r="S5635" s="20"/>
      <c r="T5635" s="20"/>
      <c r="U5635" s="20"/>
      <c r="V5635" s="20"/>
      <c r="W5635" s="21"/>
      <c r="X5635" s="20"/>
      <c r="Y5635" s="22"/>
      <c r="Z5635" s="22"/>
      <c r="AA5635" s="22"/>
      <c r="AB5635" s="22"/>
      <c r="AC5635" s="22"/>
    </row>
    <row r="5636" spans="1:29" ht="32.25" customHeight="1">
      <c r="A5636" s="19"/>
      <c r="B5636" s="20"/>
      <c r="C5636" s="20"/>
      <c r="D5636" s="20"/>
      <c r="E5636" s="20"/>
      <c r="F5636" s="20"/>
      <c r="G5636" s="20"/>
      <c r="H5636" s="20"/>
      <c r="I5636" s="20"/>
      <c r="J5636" s="20"/>
      <c r="K5636" s="20"/>
      <c r="L5636" s="20"/>
      <c r="M5636" s="20"/>
      <c r="N5636" s="20"/>
      <c r="O5636" s="20"/>
      <c r="P5636" s="20"/>
      <c r="Q5636" s="20"/>
      <c r="R5636" s="20"/>
      <c r="S5636" s="20"/>
      <c r="T5636" s="20"/>
      <c r="U5636" s="20"/>
      <c r="V5636" s="20"/>
      <c r="W5636" s="21"/>
      <c r="X5636" s="20"/>
      <c r="Y5636" s="22"/>
      <c r="Z5636" s="22"/>
      <c r="AA5636" s="22"/>
      <c r="AB5636" s="22"/>
      <c r="AC5636" s="22"/>
    </row>
    <row r="5637" spans="1:29" ht="32.25" customHeight="1">
      <c r="A5637" s="19"/>
      <c r="B5637" s="20"/>
      <c r="C5637" s="20"/>
      <c r="D5637" s="20"/>
      <c r="E5637" s="20"/>
      <c r="F5637" s="20"/>
      <c r="G5637" s="20"/>
      <c r="H5637" s="20"/>
      <c r="I5637" s="20"/>
      <c r="J5637" s="20"/>
      <c r="K5637" s="20"/>
      <c r="L5637" s="20"/>
      <c r="M5637" s="20"/>
      <c r="N5637" s="20"/>
      <c r="O5637" s="20"/>
      <c r="P5637" s="20"/>
      <c r="Q5637" s="20"/>
      <c r="R5637" s="20"/>
      <c r="S5637" s="20"/>
      <c r="T5637" s="20"/>
      <c r="U5637" s="20"/>
      <c r="V5637" s="20"/>
      <c r="W5637" s="21"/>
      <c r="X5637" s="20"/>
      <c r="Y5637" s="22"/>
      <c r="Z5637" s="22"/>
      <c r="AA5637" s="22"/>
      <c r="AB5637" s="22"/>
      <c r="AC5637" s="22"/>
    </row>
    <row r="5638" spans="1:29" ht="32.25" customHeight="1">
      <c r="A5638" s="19"/>
      <c r="B5638" s="20"/>
      <c r="C5638" s="20"/>
      <c r="D5638" s="20"/>
      <c r="E5638" s="20"/>
      <c r="F5638" s="20"/>
      <c r="G5638" s="20"/>
      <c r="H5638" s="20"/>
      <c r="I5638" s="20"/>
      <c r="J5638" s="20"/>
      <c r="K5638" s="20"/>
      <c r="L5638" s="20"/>
      <c r="M5638" s="20"/>
      <c r="N5638" s="20"/>
      <c r="O5638" s="20"/>
      <c r="P5638" s="20"/>
      <c r="Q5638" s="20"/>
      <c r="R5638" s="20"/>
      <c r="S5638" s="20"/>
      <c r="T5638" s="20"/>
      <c r="U5638" s="20"/>
      <c r="V5638" s="20"/>
      <c r="W5638" s="21"/>
      <c r="X5638" s="20"/>
      <c r="Y5638" s="22"/>
      <c r="Z5638" s="22"/>
      <c r="AA5638" s="22"/>
      <c r="AB5638" s="22"/>
      <c r="AC5638" s="22"/>
    </row>
    <row r="5639" spans="1:29" ht="32.25" customHeight="1">
      <c r="A5639" s="19"/>
      <c r="B5639" s="20"/>
      <c r="C5639" s="20"/>
      <c r="D5639" s="20"/>
      <c r="E5639" s="20"/>
      <c r="F5639" s="20"/>
      <c r="G5639" s="20"/>
      <c r="H5639" s="20"/>
      <c r="I5639" s="20"/>
      <c r="J5639" s="20"/>
      <c r="K5639" s="20"/>
      <c r="L5639" s="20"/>
      <c r="M5639" s="20"/>
      <c r="N5639" s="20"/>
      <c r="O5639" s="20"/>
      <c r="P5639" s="20"/>
      <c r="Q5639" s="20"/>
      <c r="R5639" s="20"/>
      <c r="S5639" s="20"/>
      <c r="T5639" s="20"/>
      <c r="U5639" s="20"/>
      <c r="V5639" s="20"/>
      <c r="W5639" s="21"/>
      <c r="X5639" s="20"/>
      <c r="Y5639" s="22"/>
      <c r="Z5639" s="22"/>
      <c r="AA5639" s="22"/>
      <c r="AB5639" s="22"/>
      <c r="AC5639" s="22"/>
    </row>
    <row r="5640" spans="1:29" ht="32.25" customHeight="1">
      <c r="A5640" s="19"/>
      <c r="B5640" s="20"/>
      <c r="C5640" s="20"/>
      <c r="D5640" s="20"/>
      <c r="E5640" s="20"/>
      <c r="F5640" s="20"/>
      <c r="G5640" s="20"/>
      <c r="H5640" s="20"/>
      <c r="I5640" s="20"/>
      <c r="J5640" s="20"/>
      <c r="K5640" s="20"/>
      <c r="L5640" s="20"/>
      <c r="M5640" s="20"/>
      <c r="N5640" s="20"/>
      <c r="O5640" s="20"/>
      <c r="P5640" s="20"/>
      <c r="Q5640" s="20"/>
      <c r="R5640" s="20"/>
      <c r="S5640" s="20"/>
      <c r="T5640" s="20"/>
      <c r="U5640" s="20"/>
      <c r="V5640" s="20"/>
      <c r="W5640" s="21"/>
      <c r="X5640" s="20"/>
      <c r="Y5640" s="22"/>
      <c r="Z5640" s="22"/>
      <c r="AA5640" s="22"/>
      <c r="AB5640" s="22"/>
      <c r="AC5640" s="22"/>
    </row>
    <row r="5641" spans="1:29" ht="32.25" customHeight="1">
      <c r="A5641" s="19"/>
      <c r="B5641" s="20"/>
      <c r="C5641" s="20"/>
      <c r="D5641" s="20"/>
      <c r="E5641" s="20"/>
      <c r="F5641" s="20"/>
      <c r="G5641" s="20"/>
      <c r="H5641" s="20"/>
      <c r="I5641" s="20"/>
      <c r="J5641" s="20"/>
      <c r="K5641" s="20"/>
      <c r="L5641" s="20"/>
      <c r="M5641" s="20"/>
      <c r="N5641" s="20"/>
      <c r="O5641" s="20"/>
      <c r="P5641" s="20"/>
      <c r="Q5641" s="20"/>
      <c r="R5641" s="20"/>
      <c r="S5641" s="20"/>
      <c r="T5641" s="20"/>
      <c r="U5641" s="20"/>
      <c r="V5641" s="20"/>
      <c r="W5641" s="21"/>
      <c r="X5641" s="20"/>
      <c r="Y5641" s="22"/>
      <c r="Z5641" s="22"/>
      <c r="AA5641" s="22"/>
      <c r="AB5641" s="22"/>
      <c r="AC5641" s="22"/>
    </row>
    <row r="5642" spans="1:29" ht="32.25" customHeight="1">
      <c r="A5642" s="19"/>
      <c r="B5642" s="20"/>
      <c r="C5642" s="20"/>
      <c r="D5642" s="20"/>
      <c r="E5642" s="20"/>
      <c r="F5642" s="20"/>
      <c r="G5642" s="20"/>
      <c r="H5642" s="20"/>
      <c r="I5642" s="20"/>
      <c r="J5642" s="20"/>
      <c r="K5642" s="20"/>
      <c r="L5642" s="20"/>
      <c r="M5642" s="20"/>
      <c r="N5642" s="20"/>
      <c r="O5642" s="20"/>
      <c r="P5642" s="20"/>
      <c r="Q5642" s="20"/>
      <c r="R5642" s="20"/>
      <c r="S5642" s="20"/>
      <c r="T5642" s="20"/>
      <c r="U5642" s="20"/>
      <c r="V5642" s="20"/>
      <c r="W5642" s="21"/>
      <c r="X5642" s="20"/>
      <c r="Y5642" s="22"/>
      <c r="Z5642" s="22"/>
      <c r="AA5642" s="22"/>
      <c r="AB5642" s="22"/>
      <c r="AC5642" s="22"/>
    </row>
    <row r="5643" spans="1:29" ht="32.25" customHeight="1">
      <c r="A5643" s="19"/>
      <c r="B5643" s="20"/>
      <c r="C5643" s="20"/>
      <c r="D5643" s="20"/>
      <c r="E5643" s="20"/>
      <c r="F5643" s="20"/>
      <c r="G5643" s="20"/>
      <c r="H5643" s="20"/>
      <c r="I5643" s="20"/>
      <c r="J5643" s="20"/>
      <c r="K5643" s="20"/>
      <c r="L5643" s="20"/>
      <c r="M5643" s="20"/>
      <c r="N5643" s="20"/>
      <c r="O5643" s="20"/>
      <c r="P5643" s="20"/>
      <c r="Q5643" s="20"/>
      <c r="R5643" s="20"/>
      <c r="S5643" s="20"/>
      <c r="T5643" s="20"/>
      <c r="U5643" s="20"/>
      <c r="V5643" s="20"/>
      <c r="W5643" s="21"/>
      <c r="X5643" s="20"/>
      <c r="Y5643" s="22"/>
      <c r="Z5643" s="22"/>
      <c r="AA5643" s="22"/>
      <c r="AB5643" s="22"/>
      <c r="AC5643" s="22"/>
    </row>
    <row r="5644" spans="1:29" ht="32.25" customHeight="1">
      <c r="A5644" s="19"/>
      <c r="B5644" s="20"/>
      <c r="C5644" s="20"/>
      <c r="D5644" s="20"/>
      <c r="E5644" s="20"/>
      <c r="F5644" s="20"/>
      <c r="G5644" s="20"/>
      <c r="H5644" s="20"/>
      <c r="I5644" s="20"/>
      <c r="J5644" s="20"/>
      <c r="K5644" s="20"/>
      <c r="L5644" s="20"/>
      <c r="M5644" s="20"/>
      <c r="N5644" s="20"/>
      <c r="O5644" s="20"/>
      <c r="P5644" s="20"/>
      <c r="Q5644" s="20"/>
      <c r="R5644" s="20"/>
      <c r="S5644" s="20"/>
      <c r="T5644" s="20"/>
      <c r="U5644" s="20"/>
      <c r="V5644" s="20"/>
      <c r="W5644" s="21"/>
      <c r="X5644" s="20"/>
      <c r="Y5644" s="22"/>
      <c r="Z5644" s="22"/>
      <c r="AA5644" s="22"/>
      <c r="AB5644" s="22"/>
      <c r="AC5644" s="22"/>
    </row>
    <row r="5645" spans="1:29" ht="32.25" customHeight="1">
      <c r="A5645" s="19"/>
      <c r="B5645" s="20"/>
      <c r="C5645" s="20"/>
      <c r="D5645" s="20"/>
      <c r="E5645" s="20"/>
      <c r="F5645" s="20"/>
      <c r="G5645" s="20"/>
      <c r="H5645" s="20"/>
      <c r="I5645" s="20"/>
      <c r="J5645" s="20"/>
      <c r="K5645" s="20"/>
      <c r="L5645" s="20"/>
      <c r="M5645" s="20"/>
      <c r="N5645" s="20"/>
      <c r="O5645" s="20"/>
      <c r="P5645" s="20"/>
      <c r="Q5645" s="20"/>
      <c r="R5645" s="20"/>
      <c r="S5645" s="20"/>
      <c r="T5645" s="20"/>
      <c r="U5645" s="20"/>
      <c r="V5645" s="20"/>
      <c r="W5645" s="21"/>
      <c r="X5645" s="20"/>
      <c r="Y5645" s="22"/>
      <c r="Z5645" s="22"/>
      <c r="AA5645" s="22"/>
      <c r="AB5645" s="22"/>
      <c r="AC5645" s="22"/>
    </row>
    <row r="5646" spans="1:29" ht="32.25" customHeight="1">
      <c r="A5646" s="19"/>
      <c r="B5646" s="20"/>
      <c r="C5646" s="20"/>
      <c r="D5646" s="20"/>
      <c r="E5646" s="20"/>
      <c r="F5646" s="20"/>
      <c r="G5646" s="20"/>
      <c r="H5646" s="20"/>
      <c r="I5646" s="20"/>
      <c r="J5646" s="20"/>
      <c r="K5646" s="20"/>
      <c r="L5646" s="20"/>
      <c r="M5646" s="20"/>
      <c r="N5646" s="20"/>
      <c r="O5646" s="20"/>
      <c r="P5646" s="20"/>
      <c r="Q5646" s="20"/>
      <c r="R5646" s="20"/>
      <c r="S5646" s="20"/>
      <c r="T5646" s="20"/>
      <c r="U5646" s="20"/>
      <c r="V5646" s="20"/>
      <c r="W5646" s="21"/>
      <c r="X5646" s="20"/>
      <c r="Y5646" s="22"/>
      <c r="Z5646" s="22"/>
      <c r="AA5646" s="22"/>
      <c r="AB5646" s="22"/>
      <c r="AC5646" s="22"/>
    </row>
    <row r="5647" spans="1:29" ht="32.25" customHeight="1">
      <c r="A5647" s="19"/>
      <c r="B5647" s="20"/>
      <c r="C5647" s="20"/>
      <c r="D5647" s="20"/>
      <c r="E5647" s="20"/>
      <c r="F5647" s="20"/>
      <c r="G5647" s="20"/>
      <c r="H5647" s="20"/>
      <c r="I5647" s="20"/>
      <c r="J5647" s="20"/>
      <c r="K5647" s="20"/>
      <c r="L5647" s="20"/>
      <c r="M5647" s="20"/>
      <c r="N5647" s="20"/>
      <c r="O5647" s="20"/>
      <c r="P5647" s="20"/>
      <c r="Q5647" s="20"/>
      <c r="R5647" s="20"/>
      <c r="S5647" s="20"/>
      <c r="T5647" s="20"/>
      <c r="U5647" s="20"/>
      <c r="V5647" s="20"/>
      <c r="W5647" s="21"/>
      <c r="X5647" s="20"/>
      <c r="Y5647" s="22"/>
      <c r="Z5647" s="22"/>
      <c r="AA5647" s="22"/>
      <c r="AB5647" s="22"/>
      <c r="AC5647" s="22"/>
    </row>
    <row r="5648" spans="1:29" ht="32.25" customHeight="1">
      <c r="A5648" s="19"/>
      <c r="B5648" s="20"/>
      <c r="C5648" s="20"/>
      <c r="D5648" s="20"/>
      <c r="E5648" s="20"/>
      <c r="F5648" s="20"/>
      <c r="G5648" s="20"/>
      <c r="H5648" s="20"/>
      <c r="I5648" s="20"/>
      <c r="J5648" s="20"/>
      <c r="K5648" s="20"/>
      <c r="L5648" s="20"/>
      <c r="M5648" s="20"/>
      <c r="N5648" s="20"/>
      <c r="O5648" s="20"/>
      <c r="P5648" s="20"/>
      <c r="Q5648" s="20"/>
      <c r="R5648" s="20"/>
      <c r="S5648" s="20"/>
      <c r="T5648" s="20"/>
      <c r="U5648" s="20"/>
      <c r="V5648" s="20"/>
      <c r="W5648" s="21"/>
      <c r="X5648" s="20"/>
      <c r="Y5648" s="22"/>
      <c r="Z5648" s="22"/>
      <c r="AA5648" s="22"/>
      <c r="AB5648" s="22"/>
      <c r="AC5648" s="22"/>
    </row>
    <row r="5649" spans="1:29" ht="32.25" customHeight="1">
      <c r="A5649" s="19"/>
      <c r="B5649" s="20"/>
      <c r="C5649" s="20"/>
      <c r="D5649" s="20"/>
      <c r="E5649" s="20"/>
      <c r="F5649" s="20"/>
      <c r="G5649" s="20"/>
      <c r="H5649" s="20"/>
      <c r="I5649" s="20"/>
      <c r="J5649" s="20"/>
      <c r="K5649" s="20"/>
      <c r="L5649" s="20"/>
      <c r="M5649" s="20"/>
      <c r="N5649" s="20"/>
      <c r="O5649" s="20"/>
      <c r="P5649" s="20"/>
      <c r="Q5649" s="20"/>
      <c r="R5649" s="20"/>
      <c r="S5649" s="20"/>
      <c r="T5649" s="20"/>
      <c r="U5649" s="20"/>
      <c r="V5649" s="20"/>
      <c r="W5649" s="21"/>
      <c r="X5649" s="20"/>
      <c r="Y5649" s="22"/>
      <c r="Z5649" s="22"/>
      <c r="AA5649" s="22"/>
      <c r="AB5649" s="22"/>
      <c r="AC5649" s="22"/>
    </row>
    <row r="5650" spans="1:29" ht="32.25" customHeight="1">
      <c r="A5650" s="19"/>
      <c r="B5650" s="20"/>
      <c r="C5650" s="20"/>
      <c r="D5650" s="20"/>
      <c r="E5650" s="20"/>
      <c r="F5650" s="20"/>
      <c r="G5650" s="20"/>
      <c r="H5650" s="20"/>
      <c r="I5650" s="20"/>
      <c r="J5650" s="20"/>
      <c r="K5650" s="20"/>
      <c r="L5650" s="20"/>
      <c r="M5650" s="20"/>
      <c r="N5650" s="20"/>
      <c r="O5650" s="20"/>
      <c r="P5650" s="20"/>
      <c r="Q5650" s="20"/>
      <c r="R5650" s="20"/>
      <c r="S5650" s="20"/>
      <c r="T5650" s="20"/>
      <c r="U5650" s="20"/>
      <c r="V5650" s="20"/>
      <c r="W5650" s="21"/>
      <c r="X5650" s="20"/>
      <c r="Y5650" s="22"/>
      <c r="Z5650" s="22"/>
      <c r="AA5650" s="22"/>
      <c r="AB5650" s="22"/>
      <c r="AC5650" s="22"/>
    </row>
    <row r="5651" spans="1:29" ht="32.25" customHeight="1">
      <c r="A5651" s="19"/>
      <c r="B5651" s="20"/>
      <c r="C5651" s="20"/>
      <c r="D5651" s="20"/>
      <c r="E5651" s="20"/>
      <c r="F5651" s="20"/>
      <c r="G5651" s="20"/>
      <c r="H5651" s="20"/>
      <c r="I5651" s="20"/>
      <c r="J5651" s="20"/>
      <c r="K5651" s="20"/>
      <c r="L5651" s="20"/>
      <c r="M5651" s="20"/>
      <c r="N5651" s="20"/>
      <c r="O5651" s="20"/>
      <c r="P5651" s="20"/>
      <c r="Q5651" s="20"/>
      <c r="R5651" s="20"/>
      <c r="S5651" s="20"/>
      <c r="T5651" s="20"/>
      <c r="U5651" s="20"/>
      <c r="V5651" s="20"/>
      <c r="W5651" s="21"/>
      <c r="X5651" s="20"/>
      <c r="Y5651" s="22"/>
      <c r="Z5651" s="22"/>
      <c r="AA5651" s="22"/>
      <c r="AB5651" s="22"/>
      <c r="AC5651" s="22"/>
    </row>
    <row r="5652" spans="1:29" ht="32.25" customHeight="1">
      <c r="A5652" s="19"/>
      <c r="B5652" s="20"/>
      <c r="C5652" s="20"/>
      <c r="D5652" s="20"/>
      <c r="E5652" s="20"/>
      <c r="F5652" s="20"/>
      <c r="G5652" s="20"/>
      <c r="H5652" s="20"/>
      <c r="I5652" s="20"/>
      <c r="J5652" s="20"/>
      <c r="K5652" s="20"/>
      <c r="L5652" s="20"/>
      <c r="M5652" s="20"/>
      <c r="N5652" s="20"/>
      <c r="O5652" s="20"/>
      <c r="P5652" s="20"/>
      <c r="Q5652" s="20"/>
      <c r="R5652" s="20"/>
      <c r="S5652" s="20"/>
      <c r="T5652" s="20"/>
      <c r="U5652" s="20"/>
      <c r="V5652" s="20"/>
      <c r="W5652" s="21"/>
      <c r="X5652" s="20"/>
      <c r="Y5652" s="22"/>
      <c r="Z5652" s="22"/>
      <c r="AA5652" s="22"/>
      <c r="AB5652" s="22"/>
      <c r="AC5652" s="22"/>
    </row>
    <row r="5653" spans="1:29" ht="32.25" customHeight="1">
      <c r="A5653" s="19"/>
      <c r="B5653" s="20"/>
      <c r="C5653" s="20"/>
      <c r="D5653" s="20"/>
      <c r="E5653" s="20"/>
      <c r="F5653" s="20"/>
      <c r="G5653" s="20"/>
      <c r="H5653" s="20"/>
      <c r="I5653" s="20"/>
      <c r="J5653" s="20"/>
      <c r="K5653" s="20"/>
      <c r="L5653" s="20"/>
      <c r="M5653" s="20"/>
      <c r="N5653" s="20"/>
      <c r="O5653" s="20"/>
      <c r="P5653" s="20"/>
      <c r="Q5653" s="20"/>
      <c r="R5653" s="20"/>
      <c r="S5653" s="20"/>
      <c r="T5653" s="20"/>
      <c r="U5653" s="20"/>
      <c r="V5653" s="20"/>
      <c r="W5653" s="21"/>
      <c r="X5653" s="20"/>
      <c r="Y5653" s="22"/>
      <c r="Z5653" s="22"/>
      <c r="AA5653" s="22"/>
      <c r="AB5653" s="22"/>
      <c r="AC5653" s="22"/>
    </row>
    <row r="5654" spans="1:29" ht="32.25" customHeight="1">
      <c r="A5654" s="19"/>
      <c r="B5654" s="20"/>
      <c r="C5654" s="20"/>
      <c r="D5654" s="20"/>
      <c r="E5654" s="20"/>
      <c r="F5654" s="20"/>
      <c r="G5654" s="20"/>
      <c r="H5654" s="20"/>
      <c r="I5654" s="20"/>
      <c r="J5654" s="20"/>
      <c r="K5654" s="20"/>
      <c r="L5654" s="20"/>
      <c r="M5654" s="20"/>
      <c r="N5654" s="20"/>
      <c r="O5654" s="20"/>
      <c r="P5654" s="20"/>
      <c r="Q5654" s="20"/>
      <c r="R5654" s="20"/>
      <c r="S5654" s="20"/>
      <c r="T5654" s="20"/>
      <c r="U5654" s="20"/>
      <c r="V5654" s="20"/>
      <c r="W5654" s="21"/>
      <c r="X5654" s="20"/>
      <c r="Y5654" s="22"/>
      <c r="Z5654" s="22"/>
      <c r="AA5654" s="22"/>
      <c r="AB5654" s="22"/>
      <c r="AC5654" s="22"/>
    </row>
    <row r="5655" spans="1:29" ht="32.25" customHeight="1">
      <c r="A5655" s="19"/>
      <c r="B5655" s="20"/>
      <c r="C5655" s="20"/>
      <c r="D5655" s="20"/>
      <c r="E5655" s="20"/>
      <c r="F5655" s="20"/>
      <c r="G5655" s="20"/>
      <c r="H5655" s="20"/>
      <c r="I5655" s="20"/>
      <c r="J5655" s="20"/>
      <c r="K5655" s="20"/>
      <c r="L5655" s="20"/>
      <c r="M5655" s="20"/>
      <c r="N5655" s="20"/>
      <c r="O5655" s="20"/>
      <c r="P5655" s="20"/>
      <c r="Q5655" s="20"/>
      <c r="R5655" s="20"/>
      <c r="S5655" s="20"/>
      <c r="T5655" s="20"/>
      <c r="U5655" s="20"/>
      <c r="V5655" s="20"/>
      <c r="W5655" s="21"/>
      <c r="X5655" s="20"/>
      <c r="Y5655" s="22"/>
      <c r="Z5655" s="22"/>
      <c r="AA5655" s="22"/>
      <c r="AB5655" s="22"/>
      <c r="AC5655" s="22"/>
    </row>
    <row r="5656" spans="1:29" ht="32.25" customHeight="1">
      <c r="A5656" s="19"/>
      <c r="B5656" s="20"/>
      <c r="C5656" s="20"/>
      <c r="D5656" s="20"/>
      <c r="E5656" s="20"/>
      <c r="F5656" s="20"/>
      <c r="G5656" s="20"/>
      <c r="H5656" s="20"/>
      <c r="I5656" s="20"/>
      <c r="J5656" s="20"/>
      <c r="K5656" s="20"/>
      <c r="L5656" s="20"/>
      <c r="M5656" s="20"/>
      <c r="N5656" s="20"/>
      <c r="O5656" s="20"/>
      <c r="P5656" s="20"/>
      <c r="Q5656" s="20"/>
      <c r="R5656" s="20"/>
      <c r="S5656" s="20"/>
      <c r="T5656" s="20"/>
      <c r="U5656" s="20"/>
      <c r="V5656" s="20"/>
      <c r="W5656" s="21"/>
      <c r="X5656" s="20"/>
      <c r="Y5656" s="22"/>
      <c r="Z5656" s="22"/>
      <c r="AA5656" s="22"/>
      <c r="AB5656" s="22"/>
      <c r="AC5656" s="22"/>
    </row>
    <row r="5657" spans="1:29" ht="32.25" customHeight="1">
      <c r="A5657" s="19"/>
      <c r="B5657" s="20"/>
      <c r="C5657" s="20"/>
      <c r="D5657" s="20"/>
      <c r="E5657" s="20"/>
      <c r="F5657" s="20"/>
      <c r="G5657" s="20"/>
      <c r="H5657" s="20"/>
      <c r="I5657" s="20"/>
      <c r="J5657" s="20"/>
      <c r="K5657" s="20"/>
      <c r="L5657" s="20"/>
      <c r="M5657" s="20"/>
      <c r="N5657" s="20"/>
      <c r="O5657" s="20"/>
      <c r="P5657" s="20"/>
      <c r="Q5657" s="20"/>
      <c r="R5657" s="20"/>
      <c r="S5657" s="20"/>
      <c r="T5657" s="20"/>
      <c r="U5657" s="20"/>
      <c r="V5657" s="20"/>
      <c r="W5657" s="21"/>
      <c r="X5657" s="20"/>
      <c r="Y5657" s="22"/>
      <c r="Z5657" s="22"/>
      <c r="AA5657" s="22"/>
      <c r="AB5657" s="22"/>
      <c r="AC5657" s="22"/>
    </row>
    <row r="5658" spans="1:29" ht="32.25" customHeight="1">
      <c r="A5658" s="19"/>
      <c r="B5658" s="20"/>
      <c r="C5658" s="20"/>
      <c r="D5658" s="20"/>
      <c r="E5658" s="20"/>
      <c r="F5658" s="20"/>
      <c r="G5658" s="20"/>
      <c r="H5658" s="20"/>
      <c r="I5658" s="20"/>
      <c r="J5658" s="20"/>
      <c r="K5658" s="20"/>
      <c r="L5658" s="20"/>
      <c r="M5658" s="20"/>
      <c r="N5658" s="20"/>
      <c r="O5658" s="20"/>
      <c r="P5658" s="20"/>
      <c r="Q5658" s="20"/>
      <c r="R5658" s="20"/>
      <c r="S5658" s="20"/>
      <c r="T5658" s="20"/>
      <c r="U5658" s="20"/>
      <c r="V5658" s="20"/>
      <c r="W5658" s="21"/>
      <c r="X5658" s="20"/>
      <c r="Y5658" s="22"/>
      <c r="Z5658" s="22"/>
      <c r="AA5658" s="22"/>
      <c r="AB5658" s="22"/>
      <c r="AC5658" s="22"/>
    </row>
    <row r="5659" spans="1:29" ht="32.25" customHeight="1">
      <c r="A5659" s="19"/>
      <c r="B5659" s="20"/>
      <c r="C5659" s="20"/>
      <c r="D5659" s="20"/>
      <c r="E5659" s="20"/>
      <c r="F5659" s="20"/>
      <c r="G5659" s="20"/>
      <c r="H5659" s="20"/>
      <c r="I5659" s="20"/>
      <c r="J5659" s="20"/>
      <c r="K5659" s="20"/>
      <c r="L5659" s="20"/>
      <c r="M5659" s="20"/>
      <c r="N5659" s="20"/>
      <c r="O5659" s="20"/>
      <c r="P5659" s="20"/>
      <c r="Q5659" s="20"/>
      <c r="R5659" s="20"/>
      <c r="S5659" s="20"/>
      <c r="T5659" s="20"/>
      <c r="U5659" s="20"/>
      <c r="V5659" s="20"/>
      <c r="W5659" s="21"/>
      <c r="X5659" s="20"/>
      <c r="Y5659" s="22"/>
      <c r="Z5659" s="22"/>
      <c r="AA5659" s="22"/>
      <c r="AB5659" s="22"/>
      <c r="AC5659" s="22"/>
    </row>
    <row r="5660" spans="1:29" ht="32.25" customHeight="1">
      <c r="A5660" s="19"/>
      <c r="B5660" s="20"/>
      <c r="C5660" s="20"/>
      <c r="D5660" s="20"/>
      <c r="E5660" s="20"/>
      <c r="F5660" s="20"/>
      <c r="G5660" s="20"/>
      <c r="H5660" s="20"/>
      <c r="I5660" s="20"/>
      <c r="J5660" s="20"/>
      <c r="K5660" s="20"/>
      <c r="L5660" s="20"/>
      <c r="M5660" s="20"/>
      <c r="N5660" s="20"/>
      <c r="O5660" s="20"/>
      <c r="P5660" s="20"/>
      <c r="Q5660" s="20"/>
      <c r="R5660" s="20"/>
      <c r="S5660" s="20"/>
      <c r="T5660" s="20"/>
      <c r="U5660" s="20"/>
      <c r="V5660" s="20"/>
      <c r="W5660" s="21"/>
      <c r="X5660" s="20"/>
      <c r="Y5660" s="22"/>
      <c r="Z5660" s="22"/>
      <c r="AA5660" s="22"/>
      <c r="AB5660" s="22"/>
      <c r="AC5660" s="22"/>
    </row>
    <row r="5661" spans="1:29" ht="32.25" customHeight="1">
      <c r="A5661" s="19"/>
      <c r="B5661" s="20"/>
      <c r="C5661" s="20"/>
      <c r="D5661" s="20"/>
      <c r="E5661" s="20"/>
      <c r="F5661" s="20"/>
      <c r="G5661" s="20"/>
      <c r="H5661" s="20"/>
      <c r="I5661" s="20"/>
      <c r="J5661" s="20"/>
      <c r="K5661" s="20"/>
      <c r="L5661" s="20"/>
      <c r="M5661" s="20"/>
      <c r="N5661" s="20"/>
      <c r="O5661" s="20"/>
      <c r="P5661" s="20"/>
      <c r="Q5661" s="20"/>
      <c r="R5661" s="20"/>
      <c r="S5661" s="20"/>
      <c r="T5661" s="20"/>
      <c r="U5661" s="20"/>
      <c r="V5661" s="20"/>
      <c r="W5661" s="21"/>
      <c r="X5661" s="20"/>
      <c r="Y5661" s="22"/>
      <c r="Z5661" s="22"/>
      <c r="AA5661" s="22"/>
      <c r="AB5661" s="22"/>
      <c r="AC5661" s="22"/>
    </row>
    <row r="5662" spans="1:29" ht="32.25" customHeight="1">
      <c r="A5662" s="19"/>
      <c r="B5662" s="20"/>
      <c r="C5662" s="20"/>
      <c r="D5662" s="20"/>
      <c r="E5662" s="20"/>
      <c r="F5662" s="20"/>
      <c r="G5662" s="20"/>
      <c r="H5662" s="20"/>
      <c r="I5662" s="20"/>
      <c r="J5662" s="20"/>
      <c r="K5662" s="20"/>
      <c r="L5662" s="20"/>
      <c r="M5662" s="20"/>
      <c r="N5662" s="20"/>
      <c r="O5662" s="20"/>
      <c r="P5662" s="20"/>
      <c r="Q5662" s="20"/>
      <c r="R5662" s="20"/>
      <c r="S5662" s="20"/>
      <c r="T5662" s="20"/>
      <c r="U5662" s="20"/>
      <c r="V5662" s="20"/>
      <c r="W5662" s="21"/>
      <c r="X5662" s="20"/>
      <c r="Y5662" s="22"/>
      <c r="Z5662" s="22"/>
      <c r="AA5662" s="22"/>
      <c r="AB5662" s="22"/>
      <c r="AC5662" s="22"/>
    </row>
    <row r="5663" spans="1:29" ht="32.25" customHeight="1">
      <c r="A5663" s="19"/>
      <c r="B5663" s="20"/>
      <c r="C5663" s="20"/>
      <c r="D5663" s="20"/>
      <c r="E5663" s="20"/>
      <c r="F5663" s="20"/>
      <c r="G5663" s="20"/>
      <c r="H5663" s="20"/>
      <c r="I5663" s="20"/>
      <c r="J5663" s="20"/>
      <c r="K5663" s="20"/>
      <c r="L5663" s="20"/>
      <c r="M5663" s="20"/>
      <c r="N5663" s="20"/>
      <c r="O5663" s="20"/>
      <c r="P5663" s="20"/>
      <c r="Q5663" s="20"/>
      <c r="R5663" s="20"/>
      <c r="S5663" s="20"/>
      <c r="T5663" s="20"/>
      <c r="U5663" s="20"/>
      <c r="V5663" s="20"/>
      <c r="W5663" s="21"/>
      <c r="X5663" s="20"/>
      <c r="Y5663" s="22"/>
      <c r="Z5663" s="22"/>
      <c r="AA5663" s="22"/>
      <c r="AB5663" s="22"/>
      <c r="AC5663" s="22"/>
    </row>
    <row r="5664" spans="1:29" ht="32.25" customHeight="1">
      <c r="A5664" s="19"/>
      <c r="B5664" s="20"/>
      <c r="C5664" s="20"/>
      <c r="D5664" s="20"/>
      <c r="E5664" s="20"/>
      <c r="F5664" s="20"/>
      <c r="G5664" s="20"/>
      <c r="H5664" s="20"/>
      <c r="I5664" s="20"/>
      <c r="J5664" s="20"/>
      <c r="K5664" s="20"/>
      <c r="L5664" s="20"/>
      <c r="M5664" s="20"/>
      <c r="N5664" s="20"/>
      <c r="O5664" s="20"/>
      <c r="P5664" s="20"/>
      <c r="Q5664" s="20"/>
      <c r="R5664" s="20"/>
      <c r="S5664" s="20"/>
      <c r="T5664" s="20"/>
      <c r="U5664" s="20"/>
      <c r="V5664" s="20"/>
      <c r="W5664" s="21"/>
      <c r="X5664" s="20"/>
      <c r="Y5664" s="22"/>
      <c r="Z5664" s="22"/>
      <c r="AA5664" s="22"/>
      <c r="AB5664" s="22"/>
      <c r="AC5664" s="22"/>
    </row>
    <row r="5665" spans="1:29" ht="32.25" customHeight="1">
      <c r="A5665" s="19"/>
      <c r="B5665" s="20"/>
      <c r="C5665" s="20"/>
      <c r="D5665" s="20"/>
      <c r="E5665" s="20"/>
      <c r="F5665" s="20"/>
      <c r="G5665" s="20"/>
      <c r="H5665" s="20"/>
      <c r="I5665" s="20"/>
      <c r="J5665" s="20"/>
      <c r="K5665" s="20"/>
      <c r="L5665" s="20"/>
      <c r="M5665" s="20"/>
      <c r="N5665" s="20"/>
      <c r="O5665" s="20"/>
      <c r="P5665" s="20"/>
      <c r="Q5665" s="20"/>
      <c r="R5665" s="20"/>
      <c r="S5665" s="20"/>
      <c r="T5665" s="20"/>
      <c r="U5665" s="20"/>
      <c r="V5665" s="20"/>
      <c r="W5665" s="21"/>
      <c r="X5665" s="20"/>
      <c r="Y5665" s="22"/>
      <c r="Z5665" s="22"/>
      <c r="AA5665" s="22"/>
      <c r="AB5665" s="22"/>
      <c r="AC5665" s="22"/>
    </row>
    <row r="5666" spans="1:29" ht="32.25" customHeight="1">
      <c r="A5666" s="19"/>
      <c r="B5666" s="20"/>
      <c r="C5666" s="20"/>
      <c r="D5666" s="20"/>
      <c r="E5666" s="20"/>
      <c r="F5666" s="20"/>
      <c r="G5666" s="20"/>
      <c r="H5666" s="20"/>
      <c r="I5666" s="20"/>
      <c r="J5666" s="20"/>
      <c r="K5666" s="20"/>
      <c r="L5666" s="20"/>
      <c r="M5666" s="20"/>
      <c r="N5666" s="20"/>
      <c r="O5666" s="20"/>
      <c r="P5666" s="20"/>
      <c r="Q5666" s="20"/>
      <c r="R5666" s="20"/>
      <c r="S5666" s="20"/>
      <c r="T5666" s="20"/>
      <c r="U5666" s="20"/>
      <c r="V5666" s="20"/>
      <c r="W5666" s="21"/>
      <c r="X5666" s="20"/>
      <c r="Y5666" s="22"/>
      <c r="Z5666" s="22"/>
      <c r="AA5666" s="22"/>
      <c r="AB5666" s="22"/>
      <c r="AC5666" s="22"/>
    </row>
    <row r="5667" spans="1:29" ht="32.25" customHeight="1">
      <c r="A5667" s="19"/>
      <c r="B5667" s="20"/>
      <c r="C5667" s="20"/>
      <c r="D5667" s="20"/>
      <c r="E5667" s="20"/>
      <c r="F5667" s="20"/>
      <c r="G5667" s="20"/>
      <c r="H5667" s="20"/>
      <c r="I5667" s="20"/>
      <c r="J5667" s="20"/>
      <c r="K5667" s="20"/>
      <c r="L5667" s="20"/>
      <c r="M5667" s="20"/>
      <c r="N5667" s="20"/>
      <c r="O5667" s="20"/>
      <c r="P5667" s="20"/>
      <c r="Q5667" s="20"/>
      <c r="R5667" s="20"/>
      <c r="S5667" s="20"/>
      <c r="T5667" s="20"/>
      <c r="U5667" s="20"/>
      <c r="V5667" s="20"/>
      <c r="W5667" s="21"/>
      <c r="X5667" s="20"/>
      <c r="Y5667" s="22"/>
      <c r="Z5667" s="22"/>
      <c r="AA5667" s="22"/>
      <c r="AB5667" s="22"/>
      <c r="AC5667" s="22"/>
    </row>
    <row r="5668" spans="1:29" ht="32.25" customHeight="1">
      <c r="A5668" s="19"/>
      <c r="B5668" s="20"/>
      <c r="C5668" s="20"/>
      <c r="D5668" s="20"/>
      <c r="E5668" s="20"/>
      <c r="F5668" s="20"/>
      <c r="G5668" s="20"/>
      <c r="H5668" s="20"/>
      <c r="I5668" s="20"/>
      <c r="J5668" s="20"/>
      <c r="K5668" s="20"/>
      <c r="L5668" s="20"/>
      <c r="M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1"/>
      <c r="X5668" s="20"/>
      <c r="Y5668" s="22"/>
      <c r="Z5668" s="22"/>
      <c r="AA5668" s="22"/>
      <c r="AB5668" s="22"/>
      <c r="AC5668" s="22"/>
    </row>
    <row r="5669" spans="1:29" ht="32.25" customHeight="1">
      <c r="A5669" s="19"/>
      <c r="B5669" s="20"/>
      <c r="C5669" s="20"/>
      <c r="D5669" s="20"/>
      <c r="E5669" s="20"/>
      <c r="F5669" s="20"/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1"/>
      <c r="X5669" s="20"/>
      <c r="Y5669" s="22"/>
      <c r="Z5669" s="22"/>
      <c r="AA5669" s="22"/>
      <c r="AB5669" s="22"/>
      <c r="AC5669" s="22"/>
    </row>
    <row r="5670" spans="1:29" ht="32.25" customHeight="1">
      <c r="A5670" s="19"/>
      <c r="B5670" s="20"/>
      <c r="C5670" s="20"/>
      <c r="D5670" s="20"/>
      <c r="E5670" s="20"/>
      <c r="F5670" s="20"/>
      <c r="G5670" s="20"/>
      <c r="H5670" s="20"/>
      <c r="I5670" s="20"/>
      <c r="J5670" s="20"/>
      <c r="K5670" s="20"/>
      <c r="L5670" s="20"/>
      <c r="M5670" s="20"/>
      <c r="N5670" s="20"/>
      <c r="O5670" s="20"/>
      <c r="P5670" s="20"/>
      <c r="Q5670" s="20"/>
      <c r="R5670" s="20"/>
      <c r="S5670" s="20"/>
      <c r="T5670" s="20"/>
      <c r="U5670" s="20"/>
      <c r="V5670" s="20"/>
      <c r="W5670" s="21"/>
      <c r="X5670" s="20"/>
      <c r="Y5670" s="22"/>
      <c r="Z5670" s="22"/>
      <c r="AA5670" s="22"/>
      <c r="AB5670" s="22"/>
      <c r="AC5670" s="22"/>
    </row>
    <row r="5671" spans="1:29" ht="32.25" customHeight="1">
      <c r="A5671" s="19"/>
      <c r="B5671" s="20"/>
      <c r="C5671" s="20"/>
      <c r="D5671" s="20"/>
      <c r="E5671" s="20"/>
      <c r="F5671" s="20"/>
      <c r="G5671" s="20"/>
      <c r="H5671" s="20"/>
      <c r="I5671" s="20"/>
      <c r="J5671" s="20"/>
      <c r="K5671" s="20"/>
      <c r="L5671" s="20"/>
      <c r="M5671" s="20"/>
      <c r="N5671" s="20"/>
      <c r="O5671" s="20"/>
      <c r="P5671" s="20"/>
      <c r="Q5671" s="20"/>
      <c r="R5671" s="20"/>
      <c r="S5671" s="20"/>
      <c r="T5671" s="20"/>
      <c r="U5671" s="20"/>
      <c r="V5671" s="20"/>
      <c r="W5671" s="21"/>
      <c r="X5671" s="20"/>
      <c r="Y5671" s="22"/>
      <c r="Z5671" s="22"/>
      <c r="AA5671" s="22"/>
      <c r="AB5671" s="22"/>
      <c r="AC5671" s="22"/>
    </row>
    <row r="5672" spans="1:29" ht="32.25" customHeight="1">
      <c r="A5672" s="19"/>
      <c r="B5672" s="20"/>
      <c r="C5672" s="20"/>
      <c r="D5672" s="20"/>
      <c r="E5672" s="20"/>
      <c r="F5672" s="20"/>
      <c r="G5672" s="20"/>
      <c r="H5672" s="20"/>
      <c r="I5672" s="20"/>
      <c r="J5672" s="20"/>
      <c r="K5672" s="20"/>
      <c r="L5672" s="20"/>
      <c r="M5672" s="20"/>
      <c r="N5672" s="20"/>
      <c r="O5672" s="20"/>
      <c r="P5672" s="20"/>
      <c r="Q5672" s="20"/>
      <c r="R5672" s="20"/>
      <c r="S5672" s="20"/>
      <c r="T5672" s="20"/>
      <c r="U5672" s="20"/>
      <c r="V5672" s="20"/>
      <c r="W5672" s="21"/>
      <c r="X5672" s="20"/>
      <c r="Y5672" s="22"/>
      <c r="Z5672" s="22"/>
      <c r="AA5672" s="22"/>
      <c r="AB5672" s="22"/>
      <c r="AC5672" s="22"/>
    </row>
    <row r="5673" spans="1:29" ht="32.25" customHeight="1">
      <c r="A5673" s="19"/>
      <c r="B5673" s="20"/>
      <c r="C5673" s="20"/>
      <c r="D5673" s="20"/>
      <c r="E5673" s="20"/>
      <c r="F5673" s="20"/>
      <c r="G5673" s="20"/>
      <c r="H5673" s="20"/>
      <c r="I5673" s="20"/>
      <c r="J5673" s="20"/>
      <c r="K5673" s="20"/>
      <c r="L5673" s="20"/>
      <c r="M5673" s="20"/>
      <c r="N5673" s="20"/>
      <c r="O5673" s="20"/>
      <c r="P5673" s="20"/>
      <c r="Q5673" s="20"/>
      <c r="R5673" s="20"/>
      <c r="S5673" s="20"/>
      <c r="T5673" s="20"/>
      <c r="U5673" s="20"/>
      <c r="V5673" s="20"/>
      <c r="W5673" s="21"/>
      <c r="X5673" s="20"/>
      <c r="Y5673" s="22"/>
      <c r="Z5673" s="22"/>
      <c r="AA5673" s="22"/>
      <c r="AB5673" s="22"/>
      <c r="AC5673" s="22"/>
    </row>
    <row r="5674" spans="1:29" ht="32.25" customHeight="1">
      <c r="A5674" s="19"/>
      <c r="B5674" s="20"/>
      <c r="C5674" s="20"/>
      <c r="D5674" s="20"/>
      <c r="E5674" s="20"/>
      <c r="F5674" s="20"/>
      <c r="G5674" s="20"/>
      <c r="H5674" s="20"/>
      <c r="I5674" s="20"/>
      <c r="J5674" s="20"/>
      <c r="K5674" s="20"/>
      <c r="L5674" s="20"/>
      <c r="M5674" s="20"/>
      <c r="N5674" s="20"/>
      <c r="O5674" s="20"/>
      <c r="P5674" s="20"/>
      <c r="Q5674" s="20"/>
      <c r="R5674" s="20"/>
      <c r="S5674" s="20"/>
      <c r="T5674" s="20"/>
      <c r="U5674" s="20"/>
      <c r="V5674" s="20"/>
      <c r="W5674" s="21"/>
      <c r="X5674" s="20"/>
      <c r="Y5674" s="22"/>
      <c r="Z5674" s="22"/>
      <c r="AA5674" s="22"/>
      <c r="AB5674" s="22"/>
      <c r="AC5674" s="22"/>
    </row>
    <row r="5675" spans="1:29" ht="32.25" customHeight="1">
      <c r="A5675" s="19"/>
      <c r="B5675" s="20"/>
      <c r="C5675" s="20"/>
      <c r="D5675" s="20"/>
      <c r="E5675" s="20"/>
      <c r="F5675" s="20"/>
      <c r="G5675" s="20"/>
      <c r="H5675" s="20"/>
      <c r="I5675" s="20"/>
      <c r="J5675" s="20"/>
      <c r="K5675" s="20"/>
      <c r="L5675" s="20"/>
      <c r="M5675" s="20"/>
      <c r="N5675" s="20"/>
      <c r="O5675" s="20"/>
      <c r="P5675" s="20"/>
      <c r="Q5675" s="20"/>
      <c r="R5675" s="20"/>
      <c r="S5675" s="20"/>
      <c r="T5675" s="20"/>
      <c r="U5675" s="20"/>
      <c r="V5675" s="20"/>
      <c r="W5675" s="21"/>
      <c r="X5675" s="20"/>
      <c r="Y5675" s="22"/>
      <c r="Z5675" s="22"/>
      <c r="AA5675" s="22"/>
      <c r="AB5675" s="22"/>
      <c r="AC5675" s="22"/>
    </row>
    <row r="5676" spans="1:29" ht="32.25" customHeight="1">
      <c r="A5676" s="19"/>
      <c r="B5676" s="20"/>
      <c r="C5676" s="20"/>
      <c r="D5676" s="20"/>
      <c r="E5676" s="20"/>
      <c r="F5676" s="20"/>
      <c r="G5676" s="20"/>
      <c r="H5676" s="20"/>
      <c r="I5676" s="20"/>
      <c r="J5676" s="20"/>
      <c r="K5676" s="20"/>
      <c r="L5676" s="20"/>
      <c r="M5676" s="20"/>
      <c r="N5676" s="20"/>
      <c r="O5676" s="20"/>
      <c r="P5676" s="20"/>
      <c r="Q5676" s="20"/>
      <c r="R5676" s="20"/>
      <c r="S5676" s="20"/>
      <c r="T5676" s="20"/>
      <c r="U5676" s="20"/>
      <c r="V5676" s="20"/>
      <c r="W5676" s="21"/>
      <c r="X5676" s="20"/>
      <c r="Y5676" s="22"/>
      <c r="Z5676" s="22"/>
      <c r="AA5676" s="22"/>
      <c r="AB5676" s="22"/>
      <c r="AC5676" s="22"/>
    </row>
    <row r="5677" spans="1:29" ht="32.25" customHeight="1">
      <c r="A5677" s="19"/>
      <c r="B5677" s="20"/>
      <c r="C5677" s="20"/>
      <c r="D5677" s="20"/>
      <c r="E5677" s="20"/>
      <c r="F5677" s="20"/>
      <c r="G5677" s="20"/>
      <c r="H5677" s="20"/>
      <c r="I5677" s="20"/>
      <c r="J5677" s="20"/>
      <c r="K5677" s="20"/>
      <c r="L5677" s="20"/>
      <c r="M5677" s="20"/>
      <c r="N5677" s="20"/>
      <c r="O5677" s="20"/>
      <c r="P5677" s="20"/>
      <c r="Q5677" s="20"/>
      <c r="R5677" s="20"/>
      <c r="S5677" s="20"/>
      <c r="T5677" s="20"/>
      <c r="U5677" s="20"/>
      <c r="V5677" s="20"/>
      <c r="W5677" s="21"/>
      <c r="X5677" s="20"/>
      <c r="Y5677" s="22"/>
      <c r="Z5677" s="22"/>
      <c r="AA5677" s="22"/>
      <c r="AB5677" s="22"/>
      <c r="AC5677" s="22"/>
    </row>
    <row r="5678" spans="1:29" ht="32.25" customHeight="1">
      <c r="A5678" s="19"/>
      <c r="B5678" s="20"/>
      <c r="C5678" s="20"/>
      <c r="D5678" s="20"/>
      <c r="E5678" s="20"/>
      <c r="F5678" s="20"/>
      <c r="G5678" s="20"/>
      <c r="H5678" s="20"/>
      <c r="I5678" s="20"/>
      <c r="J5678" s="20"/>
      <c r="K5678" s="20"/>
      <c r="L5678" s="20"/>
      <c r="M5678" s="20"/>
      <c r="N5678" s="20"/>
      <c r="O5678" s="20"/>
      <c r="P5678" s="20"/>
      <c r="Q5678" s="20"/>
      <c r="R5678" s="20"/>
      <c r="S5678" s="20"/>
      <c r="T5678" s="20"/>
      <c r="U5678" s="20"/>
      <c r="V5678" s="20"/>
      <c r="W5678" s="21"/>
      <c r="X5678" s="20"/>
      <c r="Y5678" s="22"/>
      <c r="Z5678" s="22"/>
      <c r="AA5678" s="22"/>
      <c r="AB5678" s="22"/>
      <c r="AC5678" s="22"/>
    </row>
    <row r="5679" spans="1:29" ht="32.25" customHeight="1">
      <c r="A5679" s="19"/>
      <c r="B5679" s="20"/>
      <c r="C5679" s="20"/>
      <c r="D5679" s="20"/>
      <c r="E5679" s="20"/>
      <c r="F5679" s="20"/>
      <c r="G5679" s="20"/>
      <c r="H5679" s="20"/>
      <c r="I5679" s="20"/>
      <c r="J5679" s="20"/>
      <c r="K5679" s="20"/>
      <c r="L5679" s="20"/>
      <c r="M5679" s="20"/>
      <c r="N5679" s="20"/>
      <c r="O5679" s="20"/>
      <c r="P5679" s="20"/>
      <c r="Q5679" s="20"/>
      <c r="R5679" s="20"/>
      <c r="S5679" s="20"/>
      <c r="T5679" s="20"/>
      <c r="U5679" s="20"/>
      <c r="V5679" s="20"/>
      <c r="W5679" s="21"/>
      <c r="X5679" s="20"/>
      <c r="Y5679" s="22"/>
      <c r="Z5679" s="22"/>
      <c r="AA5679" s="22"/>
      <c r="AB5679" s="22"/>
      <c r="AC5679" s="22"/>
    </row>
    <row r="5680" spans="1:29" ht="32.25" customHeight="1">
      <c r="A5680" s="19"/>
      <c r="B5680" s="20"/>
      <c r="C5680" s="20"/>
      <c r="D5680" s="20"/>
      <c r="E5680" s="20"/>
      <c r="F5680" s="20"/>
      <c r="G5680" s="20"/>
      <c r="H5680" s="20"/>
      <c r="I5680" s="20"/>
      <c r="J5680" s="20"/>
      <c r="K5680" s="20"/>
      <c r="L5680" s="20"/>
      <c r="M5680" s="20"/>
      <c r="N5680" s="20"/>
      <c r="O5680" s="20"/>
      <c r="P5680" s="20"/>
      <c r="Q5680" s="20"/>
      <c r="R5680" s="20"/>
      <c r="S5680" s="20"/>
      <c r="T5680" s="20"/>
      <c r="U5680" s="20"/>
      <c r="V5680" s="20"/>
      <c r="W5680" s="21"/>
      <c r="X5680" s="20"/>
      <c r="Y5680" s="22"/>
      <c r="Z5680" s="22"/>
      <c r="AA5680" s="22"/>
      <c r="AB5680" s="22"/>
      <c r="AC5680" s="22"/>
    </row>
    <row r="5681" spans="1:29" ht="32.25" customHeight="1">
      <c r="A5681" s="19"/>
      <c r="B5681" s="20"/>
      <c r="C5681" s="20"/>
      <c r="D5681" s="20"/>
      <c r="E5681" s="20"/>
      <c r="F5681" s="20"/>
      <c r="G5681" s="20"/>
      <c r="H5681" s="20"/>
      <c r="I5681" s="20"/>
      <c r="J5681" s="20"/>
      <c r="K5681" s="20"/>
      <c r="L5681" s="20"/>
      <c r="M5681" s="20"/>
      <c r="N5681" s="20"/>
      <c r="O5681" s="20"/>
      <c r="P5681" s="20"/>
      <c r="Q5681" s="20"/>
      <c r="R5681" s="20"/>
      <c r="S5681" s="20"/>
      <c r="T5681" s="20"/>
      <c r="U5681" s="20"/>
      <c r="V5681" s="20"/>
      <c r="W5681" s="21"/>
      <c r="X5681" s="20"/>
      <c r="Y5681" s="22"/>
      <c r="Z5681" s="22"/>
      <c r="AA5681" s="22"/>
      <c r="AB5681" s="22"/>
      <c r="AC5681" s="22"/>
    </row>
    <row r="5682" spans="1:29" ht="32.25" customHeight="1">
      <c r="A5682" s="19"/>
      <c r="B5682" s="20"/>
      <c r="C5682" s="20"/>
      <c r="D5682" s="20"/>
      <c r="E5682" s="20"/>
      <c r="F5682" s="20"/>
      <c r="G5682" s="20"/>
      <c r="H5682" s="20"/>
      <c r="I5682" s="20"/>
      <c r="J5682" s="20"/>
      <c r="K5682" s="20"/>
      <c r="L5682" s="20"/>
      <c r="M5682" s="20"/>
      <c r="N5682" s="20"/>
      <c r="O5682" s="20"/>
      <c r="P5682" s="20"/>
      <c r="Q5682" s="20"/>
      <c r="R5682" s="20"/>
      <c r="S5682" s="20"/>
      <c r="T5682" s="20"/>
      <c r="U5682" s="20"/>
      <c r="V5682" s="20"/>
      <c r="W5682" s="21"/>
      <c r="X5682" s="20"/>
      <c r="Y5682" s="22"/>
      <c r="Z5682" s="22"/>
      <c r="AA5682" s="22"/>
      <c r="AB5682" s="22"/>
      <c r="AC5682" s="22"/>
    </row>
    <row r="5683" spans="1:29" ht="32.25" customHeight="1">
      <c r="A5683" s="19"/>
      <c r="B5683" s="20"/>
      <c r="C5683" s="20"/>
      <c r="D5683" s="20"/>
      <c r="E5683" s="20"/>
      <c r="F5683" s="20"/>
      <c r="G5683" s="20"/>
      <c r="H5683" s="20"/>
      <c r="I5683" s="20"/>
      <c r="J5683" s="20"/>
      <c r="K5683" s="20"/>
      <c r="L5683" s="20"/>
      <c r="M5683" s="20"/>
      <c r="N5683" s="20"/>
      <c r="O5683" s="20"/>
      <c r="P5683" s="20"/>
      <c r="Q5683" s="20"/>
      <c r="R5683" s="20"/>
      <c r="S5683" s="20"/>
      <c r="T5683" s="20"/>
      <c r="U5683" s="20"/>
      <c r="V5683" s="20"/>
      <c r="W5683" s="21"/>
      <c r="X5683" s="20"/>
      <c r="Y5683" s="22"/>
      <c r="Z5683" s="22"/>
      <c r="AA5683" s="22"/>
      <c r="AB5683" s="22"/>
      <c r="AC5683" s="22"/>
    </row>
    <row r="5684" spans="1:29" ht="32.25" customHeight="1">
      <c r="A5684" s="19"/>
      <c r="B5684" s="20"/>
      <c r="C5684" s="20"/>
      <c r="D5684" s="20"/>
      <c r="E5684" s="20"/>
      <c r="F5684" s="20"/>
      <c r="G5684" s="20"/>
      <c r="H5684" s="20"/>
      <c r="I5684" s="20"/>
      <c r="J5684" s="20"/>
      <c r="K5684" s="20"/>
      <c r="L5684" s="20"/>
      <c r="M5684" s="20"/>
      <c r="N5684" s="20"/>
      <c r="O5684" s="20"/>
      <c r="P5684" s="20"/>
      <c r="Q5684" s="20"/>
      <c r="R5684" s="20"/>
      <c r="S5684" s="20"/>
      <c r="T5684" s="20"/>
      <c r="U5684" s="20"/>
      <c r="V5684" s="20"/>
      <c r="W5684" s="21"/>
      <c r="X5684" s="20"/>
      <c r="Y5684" s="22"/>
      <c r="Z5684" s="22"/>
      <c r="AA5684" s="22"/>
      <c r="AB5684" s="22"/>
      <c r="AC5684" s="22"/>
    </row>
    <row r="5685" spans="1:29" ht="32.25" customHeight="1">
      <c r="A5685" s="19"/>
      <c r="B5685" s="20"/>
      <c r="C5685" s="20"/>
      <c r="D5685" s="20"/>
      <c r="E5685" s="20"/>
      <c r="F5685" s="20"/>
      <c r="G5685" s="20"/>
      <c r="H5685" s="20"/>
      <c r="I5685" s="20"/>
      <c r="J5685" s="20"/>
      <c r="K5685" s="20"/>
      <c r="L5685" s="20"/>
      <c r="M5685" s="20"/>
      <c r="N5685" s="20"/>
      <c r="O5685" s="20"/>
      <c r="P5685" s="20"/>
      <c r="Q5685" s="20"/>
      <c r="R5685" s="20"/>
      <c r="S5685" s="20"/>
      <c r="T5685" s="20"/>
      <c r="U5685" s="20"/>
      <c r="V5685" s="20"/>
      <c r="W5685" s="21"/>
      <c r="X5685" s="20"/>
      <c r="Y5685" s="22"/>
      <c r="Z5685" s="22"/>
      <c r="AA5685" s="22"/>
      <c r="AB5685" s="22"/>
      <c r="AC5685" s="22"/>
    </row>
    <row r="5686" spans="1:29" ht="32.25" customHeight="1">
      <c r="A5686" s="19"/>
      <c r="B5686" s="20"/>
      <c r="C5686" s="20"/>
      <c r="D5686" s="20"/>
      <c r="E5686" s="20"/>
      <c r="F5686" s="20"/>
      <c r="G5686" s="20"/>
      <c r="H5686" s="20"/>
      <c r="I5686" s="20"/>
      <c r="J5686" s="20"/>
      <c r="K5686" s="20"/>
      <c r="L5686" s="20"/>
      <c r="M5686" s="20"/>
      <c r="N5686" s="20"/>
      <c r="O5686" s="20"/>
      <c r="P5686" s="20"/>
      <c r="Q5686" s="20"/>
      <c r="R5686" s="20"/>
      <c r="S5686" s="20"/>
      <c r="T5686" s="20"/>
      <c r="U5686" s="20"/>
      <c r="V5686" s="20"/>
      <c r="W5686" s="21"/>
      <c r="X5686" s="20"/>
      <c r="Y5686" s="22"/>
      <c r="Z5686" s="22"/>
      <c r="AA5686" s="22"/>
      <c r="AB5686" s="22"/>
      <c r="AC5686" s="22"/>
    </row>
    <row r="5687" spans="1:29" ht="32.25" customHeight="1">
      <c r="A5687" s="19"/>
      <c r="B5687" s="20"/>
      <c r="C5687" s="20"/>
      <c r="D5687" s="20"/>
      <c r="E5687" s="20"/>
      <c r="F5687" s="20"/>
      <c r="G5687" s="20"/>
      <c r="H5687" s="20"/>
      <c r="I5687" s="20"/>
      <c r="J5687" s="20"/>
      <c r="K5687" s="20"/>
      <c r="L5687" s="20"/>
      <c r="M5687" s="20"/>
      <c r="N5687" s="20"/>
      <c r="O5687" s="20"/>
      <c r="P5687" s="20"/>
      <c r="Q5687" s="20"/>
      <c r="R5687" s="20"/>
      <c r="S5687" s="20"/>
      <c r="T5687" s="20"/>
      <c r="U5687" s="20"/>
      <c r="V5687" s="20"/>
      <c r="W5687" s="21"/>
      <c r="X5687" s="20"/>
      <c r="Y5687" s="22"/>
      <c r="Z5687" s="22"/>
      <c r="AA5687" s="22"/>
      <c r="AB5687" s="22"/>
      <c r="AC5687" s="22"/>
    </row>
    <row r="5688" spans="1:29" ht="32.25" customHeight="1">
      <c r="A5688" s="19"/>
      <c r="B5688" s="20"/>
      <c r="C5688" s="20"/>
      <c r="D5688" s="20"/>
      <c r="E5688" s="20"/>
      <c r="F5688" s="20"/>
      <c r="G5688" s="20"/>
      <c r="H5688" s="20"/>
      <c r="I5688" s="20"/>
      <c r="J5688" s="20"/>
      <c r="K5688" s="20"/>
      <c r="L5688" s="20"/>
      <c r="M5688" s="20"/>
      <c r="N5688" s="20"/>
      <c r="O5688" s="20"/>
      <c r="P5688" s="20"/>
      <c r="Q5688" s="20"/>
      <c r="R5688" s="20"/>
      <c r="S5688" s="20"/>
      <c r="T5688" s="20"/>
      <c r="U5688" s="20"/>
      <c r="V5688" s="20"/>
      <c r="W5688" s="21"/>
      <c r="X5688" s="20"/>
      <c r="Y5688" s="22"/>
      <c r="Z5688" s="22"/>
      <c r="AA5688" s="22"/>
      <c r="AB5688" s="22"/>
      <c r="AC5688" s="22"/>
    </row>
    <row r="5689" spans="1:29" ht="32.25" customHeight="1">
      <c r="A5689" s="19"/>
      <c r="B5689" s="20"/>
      <c r="C5689" s="20"/>
      <c r="D5689" s="20"/>
      <c r="E5689" s="20"/>
      <c r="F5689" s="20"/>
      <c r="G5689" s="20"/>
      <c r="H5689" s="20"/>
      <c r="I5689" s="20"/>
      <c r="J5689" s="20"/>
      <c r="K5689" s="20"/>
      <c r="L5689" s="20"/>
      <c r="M5689" s="20"/>
      <c r="N5689" s="20"/>
      <c r="O5689" s="20"/>
      <c r="P5689" s="20"/>
      <c r="Q5689" s="20"/>
      <c r="R5689" s="20"/>
      <c r="S5689" s="20"/>
      <c r="T5689" s="20"/>
      <c r="U5689" s="20"/>
      <c r="V5689" s="20"/>
      <c r="W5689" s="21"/>
      <c r="X5689" s="20"/>
      <c r="Y5689" s="22"/>
      <c r="Z5689" s="22"/>
      <c r="AA5689" s="22"/>
      <c r="AB5689" s="22"/>
      <c r="AC5689" s="22"/>
    </row>
    <row r="5690" spans="1:29" ht="32.25" customHeight="1">
      <c r="A5690" s="19"/>
      <c r="B5690" s="20"/>
      <c r="C5690" s="20"/>
      <c r="D5690" s="20"/>
      <c r="E5690" s="20"/>
      <c r="F5690" s="20"/>
      <c r="G5690" s="20"/>
      <c r="H5690" s="20"/>
      <c r="I5690" s="20"/>
      <c r="J5690" s="20"/>
      <c r="K5690" s="20"/>
      <c r="L5690" s="20"/>
      <c r="M5690" s="20"/>
      <c r="N5690" s="20"/>
      <c r="O5690" s="20"/>
      <c r="P5690" s="20"/>
      <c r="Q5690" s="20"/>
      <c r="R5690" s="20"/>
      <c r="S5690" s="20"/>
      <c r="T5690" s="20"/>
      <c r="U5690" s="20"/>
      <c r="V5690" s="20"/>
      <c r="W5690" s="21"/>
      <c r="X5690" s="20"/>
      <c r="Y5690" s="22"/>
      <c r="Z5690" s="22"/>
      <c r="AA5690" s="22"/>
      <c r="AB5690" s="22"/>
      <c r="AC5690" s="22"/>
    </row>
    <row r="5691" spans="1:29" ht="32.25" customHeight="1">
      <c r="A5691" s="19"/>
      <c r="B5691" s="20"/>
      <c r="C5691" s="20"/>
      <c r="D5691" s="20"/>
      <c r="E5691" s="20"/>
      <c r="F5691" s="20"/>
      <c r="G5691" s="20"/>
      <c r="H5691" s="20"/>
      <c r="I5691" s="20"/>
      <c r="J5691" s="20"/>
      <c r="K5691" s="20"/>
      <c r="L5691" s="20"/>
      <c r="M5691" s="20"/>
      <c r="N5691" s="20"/>
      <c r="O5691" s="20"/>
      <c r="P5691" s="20"/>
      <c r="Q5691" s="20"/>
      <c r="R5691" s="20"/>
      <c r="S5691" s="20"/>
      <c r="T5691" s="20"/>
      <c r="U5691" s="20"/>
      <c r="V5691" s="20"/>
      <c r="W5691" s="21"/>
      <c r="X5691" s="20"/>
      <c r="Y5691" s="22"/>
      <c r="Z5691" s="22"/>
      <c r="AA5691" s="22"/>
      <c r="AB5691" s="22"/>
      <c r="AC5691" s="22"/>
    </row>
    <row r="5692" spans="1:29" ht="32.25" customHeight="1">
      <c r="A5692" s="19"/>
      <c r="B5692" s="20"/>
      <c r="C5692" s="20"/>
      <c r="D5692" s="20"/>
      <c r="E5692" s="20"/>
      <c r="F5692" s="20"/>
      <c r="G5692" s="20"/>
      <c r="H5692" s="20"/>
      <c r="I5692" s="20"/>
      <c r="J5692" s="20"/>
      <c r="K5692" s="20"/>
      <c r="L5692" s="20"/>
      <c r="M5692" s="20"/>
      <c r="N5692" s="20"/>
      <c r="O5692" s="20"/>
      <c r="P5692" s="20"/>
      <c r="Q5692" s="20"/>
      <c r="R5692" s="20"/>
      <c r="S5692" s="20"/>
      <c r="T5692" s="20"/>
      <c r="U5692" s="20"/>
      <c r="V5692" s="20"/>
      <c r="W5692" s="21"/>
      <c r="X5692" s="20"/>
      <c r="Y5692" s="22"/>
      <c r="Z5692" s="22"/>
      <c r="AA5692" s="22"/>
      <c r="AB5692" s="22"/>
      <c r="AC5692" s="22"/>
    </row>
    <row r="5693" spans="1:29" ht="32.25" customHeight="1">
      <c r="A5693" s="19"/>
      <c r="B5693" s="20"/>
      <c r="C5693" s="20"/>
      <c r="D5693" s="20"/>
      <c r="E5693" s="20"/>
      <c r="F5693" s="20"/>
      <c r="G5693" s="20"/>
      <c r="H5693" s="20"/>
      <c r="I5693" s="20"/>
      <c r="J5693" s="20"/>
      <c r="K5693" s="20"/>
      <c r="L5693" s="20"/>
      <c r="M5693" s="20"/>
      <c r="N5693" s="20"/>
      <c r="O5693" s="20"/>
      <c r="P5693" s="20"/>
      <c r="Q5693" s="20"/>
      <c r="R5693" s="20"/>
      <c r="S5693" s="20"/>
      <c r="T5693" s="20"/>
      <c r="U5693" s="20"/>
      <c r="V5693" s="20"/>
      <c r="W5693" s="21"/>
      <c r="X5693" s="20"/>
      <c r="Y5693" s="22"/>
      <c r="Z5693" s="22"/>
      <c r="AA5693" s="22"/>
      <c r="AB5693" s="22"/>
      <c r="AC5693" s="22"/>
    </row>
    <row r="5694" spans="1:29" ht="32.25" customHeight="1">
      <c r="A5694" s="19"/>
      <c r="B5694" s="20"/>
      <c r="C5694" s="20"/>
      <c r="D5694" s="20"/>
      <c r="E5694" s="20"/>
      <c r="F5694" s="20"/>
      <c r="G5694" s="20"/>
      <c r="H5694" s="20"/>
      <c r="I5694" s="20"/>
      <c r="J5694" s="20"/>
      <c r="K5694" s="20"/>
      <c r="L5694" s="20"/>
      <c r="M5694" s="20"/>
      <c r="N5694" s="20"/>
      <c r="O5694" s="20"/>
      <c r="P5694" s="20"/>
      <c r="Q5694" s="20"/>
      <c r="R5694" s="20"/>
      <c r="S5694" s="20"/>
      <c r="T5694" s="20"/>
      <c r="U5694" s="20"/>
      <c r="V5694" s="20"/>
      <c r="W5694" s="21"/>
      <c r="X5694" s="20"/>
      <c r="Y5694" s="22"/>
      <c r="Z5694" s="22"/>
      <c r="AA5694" s="22"/>
      <c r="AB5694" s="22"/>
      <c r="AC5694" s="22"/>
    </row>
    <row r="5695" spans="1:29" ht="32.25" customHeight="1">
      <c r="A5695" s="19"/>
      <c r="B5695" s="20"/>
      <c r="C5695" s="20"/>
      <c r="D5695" s="20"/>
      <c r="E5695" s="20"/>
      <c r="F5695" s="20"/>
      <c r="G5695" s="20"/>
      <c r="H5695" s="20"/>
      <c r="I5695" s="20"/>
      <c r="J5695" s="20"/>
      <c r="K5695" s="20"/>
      <c r="L5695" s="20"/>
      <c r="M5695" s="20"/>
      <c r="N5695" s="20"/>
      <c r="O5695" s="20"/>
      <c r="P5695" s="20"/>
      <c r="Q5695" s="20"/>
      <c r="R5695" s="20"/>
      <c r="S5695" s="20"/>
      <c r="T5695" s="20"/>
      <c r="U5695" s="20"/>
      <c r="V5695" s="20"/>
      <c r="W5695" s="21"/>
      <c r="X5695" s="20"/>
      <c r="Y5695" s="22"/>
      <c r="Z5695" s="22"/>
      <c r="AA5695" s="22"/>
      <c r="AB5695" s="22"/>
      <c r="AC5695" s="22"/>
    </row>
    <row r="5696" spans="1:29" ht="32.25" customHeight="1">
      <c r="A5696" s="19"/>
      <c r="B5696" s="20"/>
      <c r="C5696" s="20"/>
      <c r="D5696" s="20"/>
      <c r="E5696" s="20"/>
      <c r="F5696" s="20"/>
      <c r="G5696" s="20"/>
      <c r="H5696" s="20"/>
      <c r="I5696" s="20"/>
      <c r="J5696" s="20"/>
      <c r="K5696" s="20"/>
      <c r="L5696" s="20"/>
      <c r="M5696" s="20"/>
      <c r="N5696" s="20"/>
      <c r="O5696" s="20"/>
      <c r="P5696" s="20"/>
      <c r="Q5696" s="20"/>
      <c r="R5696" s="20"/>
      <c r="S5696" s="20"/>
      <c r="T5696" s="20"/>
      <c r="U5696" s="20"/>
      <c r="V5696" s="20"/>
      <c r="W5696" s="21"/>
      <c r="X5696" s="20"/>
      <c r="Y5696" s="22"/>
      <c r="Z5696" s="22"/>
      <c r="AA5696" s="22"/>
      <c r="AB5696" s="22"/>
      <c r="AC5696" s="22"/>
    </row>
    <row r="5697" spans="1:29" ht="32.25" customHeight="1">
      <c r="A5697" s="19"/>
      <c r="B5697" s="20"/>
      <c r="C5697" s="20"/>
      <c r="D5697" s="20"/>
      <c r="E5697" s="20"/>
      <c r="F5697" s="20"/>
      <c r="G5697" s="20"/>
      <c r="H5697" s="20"/>
      <c r="I5697" s="20"/>
      <c r="J5697" s="20"/>
      <c r="K5697" s="20"/>
      <c r="L5697" s="20"/>
      <c r="M5697" s="20"/>
      <c r="N5697" s="20"/>
      <c r="O5697" s="20"/>
      <c r="P5697" s="20"/>
      <c r="Q5697" s="20"/>
      <c r="R5697" s="20"/>
      <c r="S5697" s="20"/>
      <c r="T5697" s="20"/>
      <c r="U5697" s="20"/>
      <c r="V5697" s="20"/>
      <c r="W5697" s="21"/>
      <c r="X5697" s="20"/>
      <c r="Y5697" s="22"/>
      <c r="Z5697" s="22"/>
      <c r="AA5697" s="22"/>
      <c r="AB5697" s="22"/>
      <c r="AC5697" s="22"/>
    </row>
    <row r="5698" spans="1:29" ht="32.25" customHeight="1">
      <c r="A5698" s="19"/>
      <c r="B5698" s="20"/>
      <c r="C5698" s="20"/>
      <c r="D5698" s="20"/>
      <c r="E5698" s="20"/>
      <c r="F5698" s="20"/>
      <c r="G5698" s="20"/>
      <c r="H5698" s="20"/>
      <c r="I5698" s="20"/>
      <c r="J5698" s="20"/>
      <c r="K5698" s="20"/>
      <c r="L5698" s="20"/>
      <c r="M5698" s="20"/>
      <c r="N5698" s="20"/>
      <c r="O5698" s="20"/>
      <c r="P5698" s="20"/>
      <c r="Q5698" s="20"/>
      <c r="R5698" s="20"/>
      <c r="S5698" s="20"/>
      <c r="T5698" s="20"/>
      <c r="U5698" s="20"/>
      <c r="V5698" s="20"/>
      <c r="W5698" s="21"/>
      <c r="X5698" s="20"/>
      <c r="Y5698" s="22"/>
      <c r="Z5698" s="22"/>
      <c r="AA5698" s="22"/>
      <c r="AB5698" s="22"/>
      <c r="AC5698" s="22"/>
    </row>
    <row r="5699" spans="1:29" ht="32.25" customHeight="1">
      <c r="A5699" s="19"/>
      <c r="B5699" s="20"/>
      <c r="C5699" s="20"/>
      <c r="D5699" s="20"/>
      <c r="E5699" s="20"/>
      <c r="F5699" s="20"/>
      <c r="G5699" s="20"/>
      <c r="H5699" s="20"/>
      <c r="I5699" s="20"/>
      <c r="J5699" s="20"/>
      <c r="K5699" s="20"/>
      <c r="L5699" s="20"/>
      <c r="M5699" s="20"/>
      <c r="N5699" s="20"/>
      <c r="O5699" s="20"/>
      <c r="P5699" s="20"/>
      <c r="Q5699" s="20"/>
      <c r="R5699" s="20"/>
      <c r="S5699" s="20"/>
      <c r="T5699" s="20"/>
      <c r="U5699" s="20"/>
      <c r="V5699" s="20"/>
      <c r="W5699" s="21"/>
      <c r="X5699" s="20"/>
      <c r="Y5699" s="22"/>
      <c r="Z5699" s="22"/>
      <c r="AA5699" s="22"/>
      <c r="AB5699" s="22"/>
      <c r="AC5699" s="22"/>
    </row>
    <row r="5700" spans="1:29" ht="32.25" customHeight="1">
      <c r="A5700" s="19"/>
      <c r="B5700" s="20"/>
      <c r="C5700" s="20"/>
      <c r="D5700" s="20"/>
      <c r="E5700" s="20"/>
      <c r="F5700" s="20"/>
      <c r="G5700" s="20"/>
      <c r="H5700" s="20"/>
      <c r="I5700" s="20"/>
      <c r="J5700" s="20"/>
      <c r="K5700" s="20"/>
      <c r="L5700" s="20"/>
      <c r="M5700" s="20"/>
      <c r="N5700" s="20"/>
      <c r="O5700" s="20"/>
      <c r="P5700" s="20"/>
      <c r="Q5700" s="20"/>
      <c r="R5700" s="20"/>
      <c r="S5700" s="20"/>
      <c r="T5700" s="20"/>
      <c r="U5700" s="20"/>
      <c r="V5700" s="20"/>
      <c r="W5700" s="21"/>
      <c r="X5700" s="20"/>
      <c r="Y5700" s="22"/>
      <c r="Z5700" s="22"/>
      <c r="AA5700" s="22"/>
      <c r="AB5700" s="22"/>
      <c r="AC5700" s="22"/>
    </row>
    <row r="5701" spans="1:29" ht="32.25" customHeight="1">
      <c r="A5701" s="19"/>
      <c r="B5701" s="20"/>
      <c r="C5701" s="20"/>
      <c r="D5701" s="20"/>
      <c r="E5701" s="20"/>
      <c r="F5701" s="20"/>
      <c r="G5701" s="20"/>
      <c r="H5701" s="20"/>
      <c r="I5701" s="20"/>
      <c r="J5701" s="20"/>
      <c r="K5701" s="20"/>
      <c r="L5701" s="20"/>
      <c r="M5701" s="20"/>
      <c r="N5701" s="20"/>
      <c r="O5701" s="20"/>
      <c r="P5701" s="20"/>
      <c r="Q5701" s="20"/>
      <c r="R5701" s="20"/>
      <c r="S5701" s="20"/>
      <c r="T5701" s="20"/>
      <c r="U5701" s="20"/>
      <c r="V5701" s="20"/>
      <c r="W5701" s="21"/>
      <c r="X5701" s="20"/>
      <c r="Y5701" s="22"/>
      <c r="Z5701" s="22"/>
      <c r="AA5701" s="22"/>
      <c r="AB5701" s="22"/>
      <c r="AC5701" s="22"/>
    </row>
    <row r="5702" spans="1:29" ht="32.25" customHeight="1">
      <c r="A5702" s="19"/>
      <c r="B5702" s="20"/>
      <c r="C5702" s="20"/>
      <c r="D5702" s="20"/>
      <c r="E5702" s="20"/>
      <c r="F5702" s="20"/>
      <c r="G5702" s="20"/>
      <c r="H5702" s="20"/>
      <c r="I5702" s="20"/>
      <c r="J5702" s="20"/>
      <c r="K5702" s="20"/>
      <c r="L5702" s="20"/>
      <c r="M5702" s="20"/>
      <c r="N5702" s="20"/>
      <c r="O5702" s="20"/>
      <c r="P5702" s="20"/>
      <c r="Q5702" s="20"/>
      <c r="R5702" s="20"/>
      <c r="S5702" s="20"/>
      <c r="T5702" s="20"/>
      <c r="U5702" s="20"/>
      <c r="V5702" s="20"/>
      <c r="W5702" s="21"/>
      <c r="X5702" s="20"/>
      <c r="Y5702" s="22"/>
      <c r="Z5702" s="22"/>
      <c r="AA5702" s="22"/>
      <c r="AB5702" s="22"/>
      <c r="AC5702" s="22"/>
    </row>
    <row r="5703" spans="1:29" ht="32.25" customHeight="1">
      <c r="A5703" s="19"/>
      <c r="B5703" s="20"/>
      <c r="C5703" s="20"/>
      <c r="D5703" s="20"/>
      <c r="E5703" s="20"/>
      <c r="F5703" s="20"/>
      <c r="G5703" s="20"/>
      <c r="H5703" s="20"/>
      <c r="I5703" s="20"/>
      <c r="J5703" s="20"/>
      <c r="K5703" s="20"/>
      <c r="L5703" s="20"/>
      <c r="M5703" s="20"/>
      <c r="N5703" s="20"/>
      <c r="O5703" s="20"/>
      <c r="P5703" s="20"/>
      <c r="Q5703" s="20"/>
      <c r="R5703" s="20"/>
      <c r="S5703" s="20"/>
      <c r="T5703" s="20"/>
      <c r="U5703" s="20"/>
      <c r="V5703" s="20"/>
      <c r="W5703" s="21"/>
      <c r="X5703" s="20"/>
      <c r="Y5703" s="22"/>
      <c r="Z5703" s="22"/>
      <c r="AA5703" s="22"/>
      <c r="AB5703" s="22"/>
      <c r="AC5703" s="22"/>
    </row>
    <row r="5704" spans="1:29" ht="32.25" customHeight="1">
      <c r="A5704" s="19"/>
      <c r="B5704" s="20"/>
      <c r="C5704" s="20"/>
      <c r="D5704" s="20"/>
      <c r="E5704" s="20"/>
      <c r="F5704" s="20"/>
      <c r="G5704" s="20"/>
      <c r="H5704" s="20"/>
      <c r="I5704" s="20"/>
      <c r="J5704" s="20"/>
      <c r="K5704" s="20"/>
      <c r="L5704" s="20"/>
      <c r="M5704" s="20"/>
      <c r="N5704" s="20"/>
      <c r="O5704" s="20"/>
      <c r="P5704" s="20"/>
      <c r="Q5704" s="20"/>
      <c r="R5704" s="20"/>
      <c r="S5704" s="20"/>
      <c r="T5704" s="20"/>
      <c r="U5704" s="20"/>
      <c r="V5704" s="20"/>
      <c r="W5704" s="21"/>
      <c r="X5704" s="20"/>
      <c r="Y5704" s="22"/>
      <c r="Z5704" s="22"/>
      <c r="AA5704" s="22"/>
      <c r="AB5704" s="22"/>
      <c r="AC5704" s="22"/>
    </row>
    <row r="5705" spans="1:29" ht="32.25" customHeight="1">
      <c r="A5705" s="19"/>
      <c r="B5705" s="20"/>
      <c r="C5705" s="20"/>
      <c r="D5705" s="20"/>
      <c r="E5705" s="20"/>
      <c r="F5705" s="20"/>
      <c r="G5705" s="20"/>
      <c r="H5705" s="20"/>
      <c r="I5705" s="20"/>
      <c r="J5705" s="20"/>
      <c r="K5705" s="20"/>
      <c r="L5705" s="20"/>
      <c r="M5705" s="20"/>
      <c r="N5705" s="20"/>
      <c r="O5705" s="20"/>
      <c r="P5705" s="20"/>
      <c r="Q5705" s="20"/>
      <c r="R5705" s="20"/>
      <c r="S5705" s="20"/>
      <c r="T5705" s="20"/>
      <c r="U5705" s="20"/>
      <c r="V5705" s="20"/>
      <c r="W5705" s="21"/>
      <c r="X5705" s="20"/>
      <c r="Y5705" s="22"/>
      <c r="Z5705" s="22"/>
      <c r="AA5705" s="22"/>
      <c r="AB5705" s="22"/>
      <c r="AC5705" s="22"/>
    </row>
    <row r="5706" spans="1:29" ht="32.25" customHeight="1">
      <c r="A5706" s="19"/>
      <c r="B5706" s="20"/>
      <c r="C5706" s="20"/>
      <c r="D5706" s="20"/>
      <c r="E5706" s="20"/>
      <c r="F5706" s="20"/>
      <c r="G5706" s="20"/>
      <c r="H5706" s="20"/>
      <c r="I5706" s="20"/>
      <c r="J5706" s="20"/>
      <c r="K5706" s="20"/>
      <c r="L5706" s="20"/>
      <c r="M5706" s="20"/>
      <c r="N5706" s="20"/>
      <c r="O5706" s="20"/>
      <c r="P5706" s="20"/>
      <c r="Q5706" s="20"/>
      <c r="R5706" s="20"/>
      <c r="S5706" s="20"/>
      <c r="T5706" s="20"/>
      <c r="U5706" s="20"/>
      <c r="V5706" s="20"/>
      <c r="W5706" s="21"/>
      <c r="X5706" s="20"/>
      <c r="Y5706" s="22"/>
      <c r="Z5706" s="22"/>
      <c r="AA5706" s="22"/>
      <c r="AB5706" s="22"/>
      <c r="AC5706" s="22"/>
    </row>
    <row r="5707" spans="1:29" ht="32.25" customHeight="1">
      <c r="A5707" s="19"/>
      <c r="B5707" s="20"/>
      <c r="C5707" s="20"/>
      <c r="D5707" s="20"/>
      <c r="E5707" s="20"/>
      <c r="F5707" s="20"/>
      <c r="G5707" s="20"/>
      <c r="H5707" s="20"/>
      <c r="I5707" s="20"/>
      <c r="J5707" s="20"/>
      <c r="K5707" s="20"/>
      <c r="L5707" s="20"/>
      <c r="M5707" s="20"/>
      <c r="N5707" s="20"/>
      <c r="O5707" s="20"/>
      <c r="P5707" s="20"/>
      <c r="Q5707" s="20"/>
      <c r="R5707" s="20"/>
      <c r="S5707" s="20"/>
      <c r="T5707" s="20"/>
      <c r="U5707" s="20"/>
      <c r="V5707" s="20"/>
      <c r="W5707" s="21"/>
      <c r="X5707" s="20"/>
      <c r="Y5707" s="22"/>
      <c r="Z5707" s="22"/>
      <c r="AA5707" s="22"/>
      <c r="AB5707" s="22"/>
      <c r="AC5707" s="22"/>
    </row>
    <row r="5708" spans="1:29" ht="32.25" customHeight="1">
      <c r="A5708" s="19"/>
      <c r="B5708" s="20"/>
      <c r="C5708" s="20"/>
      <c r="D5708" s="20"/>
      <c r="E5708" s="20"/>
      <c r="F5708" s="20"/>
      <c r="G5708" s="20"/>
      <c r="H5708" s="20"/>
      <c r="I5708" s="20"/>
      <c r="J5708" s="20"/>
      <c r="K5708" s="20"/>
      <c r="L5708" s="20"/>
      <c r="M5708" s="20"/>
      <c r="N5708" s="20"/>
      <c r="O5708" s="20"/>
      <c r="P5708" s="20"/>
      <c r="Q5708" s="20"/>
      <c r="R5708" s="20"/>
      <c r="S5708" s="20"/>
      <c r="T5708" s="20"/>
      <c r="U5708" s="20"/>
      <c r="V5708" s="20"/>
      <c r="W5708" s="21"/>
      <c r="X5708" s="20"/>
      <c r="Y5708" s="22"/>
      <c r="Z5708" s="22"/>
      <c r="AA5708" s="22"/>
      <c r="AB5708" s="22"/>
      <c r="AC5708" s="22"/>
    </row>
    <row r="5709" spans="1:29" ht="32.25" customHeight="1">
      <c r="A5709" s="19"/>
      <c r="B5709" s="20"/>
      <c r="C5709" s="20"/>
      <c r="D5709" s="20"/>
      <c r="E5709" s="20"/>
      <c r="F5709" s="20"/>
      <c r="G5709" s="20"/>
      <c r="H5709" s="20"/>
      <c r="I5709" s="20"/>
      <c r="J5709" s="20"/>
      <c r="K5709" s="20"/>
      <c r="L5709" s="20"/>
      <c r="M5709" s="20"/>
      <c r="N5709" s="20"/>
      <c r="O5709" s="20"/>
      <c r="P5709" s="20"/>
      <c r="Q5709" s="20"/>
      <c r="R5709" s="20"/>
      <c r="S5709" s="20"/>
      <c r="T5709" s="20"/>
      <c r="U5709" s="20"/>
      <c r="V5709" s="20"/>
      <c r="W5709" s="21"/>
      <c r="X5709" s="20"/>
      <c r="Y5709" s="22"/>
      <c r="Z5709" s="22"/>
      <c r="AA5709" s="22"/>
      <c r="AB5709" s="22"/>
      <c r="AC5709" s="22"/>
    </row>
    <row r="5710" spans="1:29" ht="32.25" customHeight="1">
      <c r="A5710" s="19"/>
      <c r="B5710" s="20"/>
      <c r="C5710" s="20"/>
      <c r="D5710" s="20"/>
      <c r="E5710" s="20"/>
      <c r="F5710" s="20"/>
      <c r="G5710" s="20"/>
      <c r="H5710" s="20"/>
      <c r="I5710" s="20"/>
      <c r="J5710" s="20"/>
      <c r="K5710" s="20"/>
      <c r="L5710" s="20"/>
      <c r="M5710" s="20"/>
      <c r="N5710" s="20"/>
      <c r="O5710" s="20"/>
      <c r="P5710" s="20"/>
      <c r="Q5710" s="20"/>
      <c r="R5710" s="20"/>
      <c r="S5710" s="20"/>
      <c r="T5710" s="20"/>
      <c r="U5710" s="20"/>
      <c r="V5710" s="20"/>
      <c r="W5710" s="21"/>
      <c r="X5710" s="20"/>
      <c r="Y5710" s="22"/>
      <c r="Z5710" s="22"/>
      <c r="AA5710" s="22"/>
      <c r="AB5710" s="22"/>
      <c r="AC5710" s="22"/>
    </row>
    <row r="5711" spans="1:29" ht="32.25" customHeight="1">
      <c r="A5711" s="19"/>
      <c r="B5711" s="20"/>
      <c r="C5711" s="20"/>
      <c r="D5711" s="20"/>
      <c r="E5711" s="20"/>
      <c r="F5711" s="20"/>
      <c r="G5711" s="20"/>
      <c r="H5711" s="20"/>
      <c r="I5711" s="20"/>
      <c r="J5711" s="20"/>
      <c r="K5711" s="20"/>
      <c r="L5711" s="20"/>
      <c r="M5711" s="20"/>
      <c r="N5711" s="20"/>
      <c r="O5711" s="20"/>
      <c r="P5711" s="20"/>
      <c r="Q5711" s="20"/>
      <c r="R5711" s="20"/>
      <c r="S5711" s="20"/>
      <c r="T5711" s="20"/>
      <c r="U5711" s="20"/>
      <c r="V5711" s="20"/>
      <c r="W5711" s="21"/>
      <c r="X5711" s="20"/>
      <c r="Y5711" s="22"/>
      <c r="Z5711" s="22"/>
      <c r="AA5711" s="22"/>
      <c r="AB5711" s="22"/>
      <c r="AC5711" s="22"/>
    </row>
    <row r="5712" spans="1:29" ht="32.25" customHeight="1">
      <c r="A5712" s="19"/>
      <c r="B5712" s="20"/>
      <c r="C5712" s="20"/>
      <c r="D5712" s="20"/>
      <c r="E5712" s="20"/>
      <c r="F5712" s="20"/>
      <c r="G5712" s="20"/>
      <c r="H5712" s="20"/>
      <c r="I5712" s="20"/>
      <c r="J5712" s="20"/>
      <c r="K5712" s="20"/>
      <c r="L5712" s="20"/>
      <c r="M5712" s="20"/>
      <c r="N5712" s="20"/>
      <c r="O5712" s="20"/>
      <c r="P5712" s="20"/>
      <c r="Q5712" s="20"/>
      <c r="R5712" s="20"/>
      <c r="S5712" s="20"/>
      <c r="T5712" s="20"/>
      <c r="U5712" s="20"/>
      <c r="V5712" s="20"/>
      <c r="W5712" s="21"/>
      <c r="X5712" s="20"/>
      <c r="Y5712" s="22"/>
      <c r="Z5712" s="22"/>
      <c r="AA5712" s="22"/>
      <c r="AB5712" s="22"/>
      <c r="AC5712" s="22"/>
    </row>
    <row r="5713" spans="1:29" ht="32.25" customHeight="1">
      <c r="A5713" s="19"/>
      <c r="B5713" s="20"/>
      <c r="C5713" s="20"/>
      <c r="D5713" s="20"/>
      <c r="E5713" s="20"/>
      <c r="F5713" s="20"/>
      <c r="G5713" s="20"/>
      <c r="H5713" s="20"/>
      <c r="I5713" s="20"/>
      <c r="J5713" s="20"/>
      <c r="K5713" s="20"/>
      <c r="L5713" s="20"/>
      <c r="M5713" s="20"/>
      <c r="N5713" s="20"/>
      <c r="O5713" s="20"/>
      <c r="P5713" s="20"/>
      <c r="Q5713" s="20"/>
      <c r="R5713" s="20"/>
      <c r="S5713" s="20"/>
      <c r="T5713" s="20"/>
      <c r="U5713" s="20"/>
      <c r="V5713" s="20"/>
      <c r="W5713" s="21"/>
      <c r="X5713" s="20"/>
      <c r="Y5713" s="22"/>
      <c r="Z5713" s="22"/>
      <c r="AA5713" s="22"/>
      <c r="AB5713" s="22"/>
      <c r="AC5713" s="22"/>
    </row>
    <row r="5714" spans="1:29" ht="32.25" customHeight="1">
      <c r="A5714" s="19"/>
      <c r="B5714" s="20"/>
      <c r="C5714" s="20"/>
      <c r="D5714" s="20"/>
      <c r="E5714" s="20"/>
      <c r="F5714" s="20"/>
      <c r="G5714" s="20"/>
      <c r="H5714" s="20"/>
      <c r="I5714" s="20"/>
      <c r="J5714" s="20"/>
      <c r="K5714" s="20"/>
      <c r="L5714" s="20"/>
      <c r="M5714" s="20"/>
      <c r="N5714" s="20"/>
      <c r="O5714" s="20"/>
      <c r="P5714" s="20"/>
      <c r="Q5714" s="20"/>
      <c r="R5714" s="20"/>
      <c r="S5714" s="20"/>
      <c r="T5714" s="20"/>
      <c r="U5714" s="20"/>
      <c r="V5714" s="20"/>
      <c r="W5714" s="21"/>
      <c r="X5714" s="20"/>
      <c r="Y5714" s="22"/>
      <c r="Z5714" s="22"/>
      <c r="AA5714" s="22"/>
      <c r="AB5714" s="22"/>
      <c r="AC5714" s="22"/>
    </row>
    <row r="5715" spans="1:29" ht="32.25" customHeight="1">
      <c r="A5715" s="19"/>
      <c r="B5715" s="20"/>
      <c r="C5715" s="20"/>
      <c r="D5715" s="20"/>
      <c r="E5715" s="20"/>
      <c r="F5715" s="20"/>
      <c r="G5715" s="20"/>
      <c r="H5715" s="20"/>
      <c r="I5715" s="20"/>
      <c r="J5715" s="20"/>
      <c r="K5715" s="20"/>
      <c r="L5715" s="20"/>
      <c r="M5715" s="20"/>
      <c r="N5715" s="20"/>
      <c r="O5715" s="20"/>
      <c r="P5715" s="20"/>
      <c r="Q5715" s="20"/>
      <c r="R5715" s="20"/>
      <c r="S5715" s="20"/>
      <c r="T5715" s="20"/>
      <c r="U5715" s="20"/>
      <c r="V5715" s="20"/>
      <c r="W5715" s="21"/>
      <c r="X5715" s="20"/>
      <c r="Y5715" s="22"/>
      <c r="Z5715" s="22"/>
      <c r="AA5715" s="22"/>
      <c r="AB5715" s="22"/>
      <c r="AC5715" s="22"/>
    </row>
    <row r="5716" spans="1:29" ht="32.25" customHeight="1">
      <c r="A5716" s="19"/>
      <c r="B5716" s="20"/>
      <c r="C5716" s="20"/>
      <c r="D5716" s="20"/>
      <c r="E5716" s="20"/>
      <c r="F5716" s="20"/>
      <c r="G5716" s="20"/>
      <c r="H5716" s="20"/>
      <c r="I5716" s="20"/>
      <c r="J5716" s="20"/>
      <c r="K5716" s="20"/>
      <c r="L5716" s="20"/>
      <c r="M5716" s="20"/>
      <c r="N5716" s="20"/>
      <c r="O5716" s="20"/>
      <c r="P5716" s="20"/>
      <c r="Q5716" s="20"/>
      <c r="R5716" s="20"/>
      <c r="S5716" s="20"/>
      <c r="T5716" s="20"/>
      <c r="U5716" s="20"/>
      <c r="V5716" s="20"/>
      <c r="W5716" s="21"/>
      <c r="X5716" s="20"/>
      <c r="Y5716" s="22"/>
      <c r="Z5716" s="22"/>
      <c r="AA5716" s="22"/>
      <c r="AB5716" s="22"/>
      <c r="AC5716" s="22"/>
    </row>
    <row r="5717" spans="1:29" ht="32.25" customHeight="1">
      <c r="A5717" s="19"/>
      <c r="B5717" s="20"/>
      <c r="C5717" s="20"/>
      <c r="D5717" s="20"/>
      <c r="E5717" s="20"/>
      <c r="F5717" s="20"/>
      <c r="G5717" s="20"/>
      <c r="H5717" s="20"/>
      <c r="I5717" s="20"/>
      <c r="J5717" s="20"/>
      <c r="K5717" s="20"/>
      <c r="L5717" s="20"/>
      <c r="M5717" s="20"/>
      <c r="N5717" s="20"/>
      <c r="O5717" s="20"/>
      <c r="P5717" s="20"/>
      <c r="Q5717" s="20"/>
      <c r="R5717" s="20"/>
      <c r="S5717" s="20"/>
      <c r="T5717" s="20"/>
      <c r="U5717" s="20"/>
      <c r="V5717" s="20"/>
      <c r="W5717" s="21"/>
      <c r="X5717" s="20"/>
      <c r="Y5717" s="22"/>
      <c r="Z5717" s="22"/>
      <c r="AA5717" s="22"/>
      <c r="AB5717" s="22"/>
      <c r="AC5717" s="22"/>
    </row>
    <row r="5718" spans="1:29" ht="32.25" customHeight="1">
      <c r="A5718" s="19"/>
      <c r="B5718" s="20"/>
      <c r="C5718" s="20"/>
      <c r="D5718" s="20"/>
      <c r="E5718" s="20"/>
      <c r="F5718" s="20"/>
      <c r="G5718" s="20"/>
      <c r="H5718" s="20"/>
      <c r="I5718" s="20"/>
      <c r="J5718" s="20"/>
      <c r="K5718" s="20"/>
      <c r="L5718" s="20"/>
      <c r="M5718" s="20"/>
      <c r="N5718" s="20"/>
      <c r="O5718" s="20"/>
      <c r="P5718" s="20"/>
      <c r="Q5718" s="20"/>
      <c r="R5718" s="20"/>
      <c r="S5718" s="20"/>
      <c r="T5718" s="20"/>
      <c r="U5718" s="20"/>
      <c r="V5718" s="20"/>
      <c r="W5718" s="21"/>
      <c r="X5718" s="20"/>
      <c r="Y5718" s="22"/>
      <c r="Z5718" s="22"/>
      <c r="AA5718" s="22"/>
      <c r="AB5718" s="22"/>
      <c r="AC5718" s="22"/>
    </row>
    <row r="5719" spans="1:29" ht="32.25" customHeight="1">
      <c r="A5719" s="19"/>
      <c r="B5719" s="20"/>
      <c r="C5719" s="20"/>
      <c r="D5719" s="20"/>
      <c r="E5719" s="20"/>
      <c r="F5719" s="20"/>
      <c r="G5719" s="20"/>
      <c r="H5719" s="20"/>
      <c r="I5719" s="20"/>
      <c r="J5719" s="20"/>
      <c r="K5719" s="20"/>
      <c r="L5719" s="20"/>
      <c r="M5719" s="20"/>
      <c r="N5719" s="20"/>
      <c r="O5719" s="20"/>
      <c r="P5719" s="20"/>
      <c r="Q5719" s="20"/>
      <c r="R5719" s="20"/>
      <c r="S5719" s="20"/>
      <c r="T5719" s="20"/>
      <c r="U5719" s="20"/>
      <c r="V5719" s="20"/>
      <c r="W5719" s="21"/>
      <c r="X5719" s="20"/>
      <c r="Y5719" s="22"/>
      <c r="Z5719" s="22"/>
      <c r="AA5719" s="22"/>
      <c r="AB5719" s="22"/>
      <c r="AC5719" s="22"/>
    </row>
    <row r="5720" spans="1:29" ht="32.25" customHeight="1">
      <c r="A5720" s="19"/>
      <c r="B5720" s="20"/>
      <c r="C5720" s="20"/>
      <c r="D5720" s="20"/>
      <c r="E5720" s="20"/>
      <c r="F5720" s="20"/>
      <c r="G5720" s="20"/>
      <c r="H5720" s="20"/>
      <c r="I5720" s="20"/>
      <c r="J5720" s="20"/>
      <c r="K5720" s="20"/>
      <c r="L5720" s="20"/>
      <c r="M5720" s="20"/>
      <c r="N5720" s="20"/>
      <c r="O5720" s="20"/>
      <c r="P5720" s="20"/>
      <c r="Q5720" s="20"/>
      <c r="R5720" s="20"/>
      <c r="S5720" s="20"/>
      <c r="T5720" s="20"/>
      <c r="U5720" s="20"/>
      <c r="V5720" s="20"/>
      <c r="W5720" s="21"/>
      <c r="X5720" s="20"/>
      <c r="Y5720" s="22"/>
      <c r="Z5720" s="22"/>
      <c r="AA5720" s="22"/>
      <c r="AB5720" s="22"/>
      <c r="AC5720" s="22"/>
    </row>
    <row r="5721" spans="1:29" ht="32.25" customHeight="1">
      <c r="A5721" s="19"/>
      <c r="B5721" s="20"/>
      <c r="C5721" s="20"/>
      <c r="D5721" s="20"/>
      <c r="E5721" s="20"/>
      <c r="F5721" s="20"/>
      <c r="G5721" s="20"/>
      <c r="H5721" s="20"/>
      <c r="I5721" s="20"/>
      <c r="J5721" s="20"/>
      <c r="K5721" s="20"/>
      <c r="L5721" s="20"/>
      <c r="M5721" s="20"/>
      <c r="N5721" s="20"/>
      <c r="O5721" s="20"/>
      <c r="P5721" s="20"/>
      <c r="Q5721" s="20"/>
      <c r="R5721" s="20"/>
      <c r="S5721" s="20"/>
      <c r="T5721" s="20"/>
      <c r="U5721" s="20"/>
      <c r="V5721" s="20"/>
      <c r="W5721" s="21"/>
      <c r="X5721" s="20"/>
      <c r="Y5721" s="22"/>
      <c r="Z5721" s="22"/>
      <c r="AA5721" s="22"/>
      <c r="AB5721" s="22"/>
      <c r="AC5721" s="22"/>
    </row>
    <row r="5722" spans="1:29" ht="32.25" customHeight="1">
      <c r="A5722" s="19"/>
      <c r="B5722" s="20"/>
      <c r="C5722" s="20"/>
      <c r="D5722" s="20"/>
      <c r="E5722" s="20"/>
      <c r="F5722" s="20"/>
      <c r="G5722" s="20"/>
      <c r="H5722" s="20"/>
      <c r="I5722" s="20"/>
      <c r="J5722" s="20"/>
      <c r="K5722" s="20"/>
      <c r="L5722" s="20"/>
      <c r="M5722" s="20"/>
      <c r="N5722" s="20"/>
      <c r="O5722" s="20"/>
      <c r="P5722" s="20"/>
      <c r="Q5722" s="20"/>
      <c r="R5722" s="20"/>
      <c r="S5722" s="20"/>
      <c r="T5722" s="20"/>
      <c r="U5722" s="20"/>
      <c r="V5722" s="20"/>
      <c r="W5722" s="21"/>
      <c r="X5722" s="20"/>
      <c r="Y5722" s="22"/>
      <c r="Z5722" s="22"/>
      <c r="AA5722" s="22"/>
      <c r="AB5722" s="22"/>
      <c r="AC5722" s="22"/>
    </row>
    <row r="5723" spans="1:29" ht="32.25" customHeight="1">
      <c r="A5723" s="19"/>
      <c r="B5723" s="20"/>
      <c r="C5723" s="20"/>
      <c r="D5723" s="20"/>
      <c r="E5723" s="20"/>
      <c r="F5723" s="20"/>
      <c r="G5723" s="20"/>
      <c r="H5723" s="20"/>
      <c r="I5723" s="20"/>
      <c r="J5723" s="20"/>
      <c r="K5723" s="20"/>
      <c r="L5723" s="20"/>
      <c r="M5723" s="20"/>
      <c r="N5723" s="20"/>
      <c r="O5723" s="20"/>
      <c r="P5723" s="20"/>
      <c r="Q5723" s="20"/>
      <c r="R5723" s="20"/>
      <c r="S5723" s="20"/>
      <c r="T5723" s="20"/>
      <c r="U5723" s="20"/>
      <c r="V5723" s="20"/>
      <c r="W5723" s="21"/>
      <c r="X5723" s="20"/>
      <c r="Y5723" s="22"/>
      <c r="Z5723" s="22"/>
      <c r="AA5723" s="22"/>
      <c r="AB5723" s="22"/>
      <c r="AC5723" s="22"/>
    </row>
    <row r="5724" spans="1:29" ht="32.25" customHeight="1">
      <c r="A5724" s="19"/>
      <c r="B5724" s="20"/>
      <c r="C5724" s="20"/>
      <c r="D5724" s="20"/>
      <c r="E5724" s="20"/>
      <c r="F5724" s="20"/>
      <c r="G5724" s="20"/>
      <c r="H5724" s="20"/>
      <c r="I5724" s="20"/>
      <c r="J5724" s="20"/>
      <c r="K5724" s="20"/>
      <c r="L5724" s="20"/>
      <c r="M5724" s="20"/>
      <c r="N5724" s="20"/>
      <c r="O5724" s="20"/>
      <c r="P5724" s="20"/>
      <c r="Q5724" s="20"/>
      <c r="R5724" s="20"/>
      <c r="S5724" s="20"/>
      <c r="T5724" s="20"/>
      <c r="U5724" s="20"/>
      <c r="V5724" s="20"/>
      <c r="W5724" s="21"/>
      <c r="X5724" s="20"/>
      <c r="Y5724" s="22"/>
      <c r="Z5724" s="22"/>
      <c r="AA5724" s="22"/>
      <c r="AB5724" s="22"/>
      <c r="AC5724" s="22"/>
    </row>
    <row r="5725" spans="1:29" ht="32.25" customHeight="1">
      <c r="A5725" s="19"/>
      <c r="B5725" s="20"/>
      <c r="C5725" s="20"/>
      <c r="D5725" s="20"/>
      <c r="E5725" s="20"/>
      <c r="F5725" s="20"/>
      <c r="G5725" s="20"/>
      <c r="H5725" s="20"/>
      <c r="I5725" s="20"/>
      <c r="J5725" s="20"/>
      <c r="K5725" s="20"/>
      <c r="L5725" s="20"/>
      <c r="M5725" s="20"/>
      <c r="N5725" s="20"/>
      <c r="O5725" s="20"/>
      <c r="P5725" s="20"/>
      <c r="Q5725" s="20"/>
      <c r="R5725" s="20"/>
      <c r="S5725" s="20"/>
      <c r="T5725" s="20"/>
      <c r="U5725" s="20"/>
      <c r="V5725" s="20"/>
      <c r="W5725" s="21"/>
      <c r="X5725" s="20"/>
      <c r="Y5725" s="22"/>
      <c r="Z5725" s="22"/>
      <c r="AA5725" s="22"/>
      <c r="AB5725" s="22"/>
      <c r="AC5725" s="22"/>
    </row>
    <row r="5726" spans="1:29" ht="32.25" customHeight="1">
      <c r="A5726" s="19"/>
      <c r="B5726" s="20"/>
      <c r="C5726" s="20"/>
      <c r="D5726" s="20"/>
      <c r="E5726" s="20"/>
      <c r="F5726" s="20"/>
      <c r="G5726" s="20"/>
      <c r="H5726" s="20"/>
      <c r="I5726" s="20"/>
      <c r="J5726" s="20"/>
      <c r="K5726" s="20"/>
      <c r="L5726" s="20"/>
      <c r="M5726" s="20"/>
      <c r="N5726" s="20"/>
      <c r="O5726" s="20"/>
      <c r="P5726" s="20"/>
      <c r="Q5726" s="20"/>
      <c r="R5726" s="20"/>
      <c r="S5726" s="20"/>
      <c r="T5726" s="20"/>
      <c r="U5726" s="20"/>
      <c r="V5726" s="20"/>
      <c r="W5726" s="21"/>
      <c r="X5726" s="20"/>
      <c r="Y5726" s="22"/>
      <c r="Z5726" s="22"/>
      <c r="AA5726" s="22"/>
      <c r="AB5726" s="22"/>
      <c r="AC5726" s="22"/>
    </row>
    <row r="5727" spans="1:29" ht="32.25" customHeight="1">
      <c r="A5727" s="19"/>
      <c r="B5727" s="20"/>
      <c r="C5727" s="20"/>
      <c r="D5727" s="20"/>
      <c r="E5727" s="20"/>
      <c r="F5727" s="20"/>
      <c r="G5727" s="20"/>
      <c r="H5727" s="20"/>
      <c r="I5727" s="20"/>
      <c r="J5727" s="20"/>
      <c r="K5727" s="20"/>
      <c r="L5727" s="20"/>
      <c r="M5727" s="20"/>
      <c r="N5727" s="20"/>
      <c r="O5727" s="20"/>
      <c r="P5727" s="20"/>
      <c r="Q5727" s="20"/>
      <c r="R5727" s="20"/>
      <c r="S5727" s="20"/>
      <c r="T5727" s="20"/>
      <c r="U5727" s="20"/>
      <c r="V5727" s="20"/>
      <c r="W5727" s="21"/>
      <c r="X5727" s="20"/>
      <c r="Y5727" s="22"/>
      <c r="Z5727" s="22"/>
      <c r="AA5727" s="22"/>
      <c r="AB5727" s="22"/>
      <c r="AC5727" s="22"/>
    </row>
    <row r="5728" spans="1:29" ht="32.25" customHeight="1">
      <c r="A5728" s="19"/>
      <c r="B5728" s="20"/>
      <c r="C5728" s="20"/>
      <c r="D5728" s="20"/>
      <c r="E5728" s="20"/>
      <c r="F5728" s="20"/>
      <c r="G5728" s="20"/>
      <c r="H5728" s="20"/>
      <c r="I5728" s="20"/>
      <c r="J5728" s="20"/>
      <c r="K5728" s="20"/>
      <c r="L5728" s="20"/>
      <c r="M5728" s="20"/>
      <c r="N5728" s="20"/>
      <c r="O5728" s="20"/>
      <c r="P5728" s="20"/>
      <c r="Q5728" s="20"/>
      <c r="R5728" s="20"/>
      <c r="S5728" s="20"/>
      <c r="T5728" s="20"/>
      <c r="U5728" s="20"/>
      <c r="V5728" s="20"/>
      <c r="W5728" s="21"/>
      <c r="X5728" s="20"/>
      <c r="Y5728" s="22"/>
      <c r="Z5728" s="22"/>
      <c r="AA5728" s="22"/>
      <c r="AB5728" s="22"/>
      <c r="AC5728" s="22"/>
    </row>
    <row r="5729" spans="1:29" ht="32.25" customHeight="1">
      <c r="A5729" s="19"/>
      <c r="B5729" s="20"/>
      <c r="C5729" s="20"/>
      <c r="D5729" s="20"/>
      <c r="E5729" s="20"/>
      <c r="F5729" s="20"/>
      <c r="G5729" s="20"/>
      <c r="H5729" s="20"/>
      <c r="I5729" s="20"/>
      <c r="J5729" s="20"/>
      <c r="K5729" s="20"/>
      <c r="L5729" s="20"/>
      <c r="M5729" s="20"/>
      <c r="N5729" s="20"/>
      <c r="O5729" s="20"/>
      <c r="P5729" s="20"/>
      <c r="Q5729" s="20"/>
      <c r="R5729" s="20"/>
      <c r="S5729" s="20"/>
      <c r="T5729" s="20"/>
      <c r="U5729" s="20"/>
      <c r="V5729" s="20"/>
      <c r="W5729" s="21"/>
      <c r="X5729" s="20"/>
      <c r="Y5729" s="22"/>
      <c r="Z5729" s="22"/>
      <c r="AA5729" s="22"/>
      <c r="AB5729" s="22"/>
      <c r="AC5729" s="22"/>
    </row>
    <row r="5730" spans="1:29" ht="32.25" customHeight="1">
      <c r="A5730" s="19"/>
      <c r="B5730" s="20"/>
      <c r="C5730" s="20"/>
      <c r="D5730" s="20"/>
      <c r="E5730" s="20"/>
      <c r="F5730" s="20"/>
      <c r="G5730" s="20"/>
      <c r="H5730" s="20"/>
      <c r="I5730" s="20"/>
      <c r="J5730" s="20"/>
      <c r="K5730" s="20"/>
      <c r="L5730" s="20"/>
      <c r="M5730" s="20"/>
      <c r="N5730" s="20"/>
      <c r="O5730" s="20"/>
      <c r="P5730" s="20"/>
      <c r="Q5730" s="20"/>
      <c r="R5730" s="20"/>
      <c r="S5730" s="20"/>
      <c r="T5730" s="20"/>
      <c r="U5730" s="20"/>
      <c r="V5730" s="20"/>
      <c r="W5730" s="21"/>
      <c r="X5730" s="20"/>
      <c r="Y5730" s="22"/>
      <c r="Z5730" s="22"/>
      <c r="AA5730" s="22"/>
      <c r="AB5730" s="22"/>
      <c r="AC5730" s="22"/>
    </row>
    <row r="5731" spans="1:29" ht="32.25" customHeight="1">
      <c r="A5731" s="19"/>
      <c r="B5731" s="20"/>
      <c r="C5731" s="20"/>
      <c r="D5731" s="20"/>
      <c r="E5731" s="20"/>
      <c r="F5731" s="20"/>
      <c r="G5731" s="20"/>
      <c r="H5731" s="20"/>
      <c r="I5731" s="20"/>
      <c r="J5731" s="20"/>
      <c r="K5731" s="20"/>
      <c r="L5731" s="20"/>
      <c r="M5731" s="20"/>
      <c r="N5731" s="20"/>
      <c r="O5731" s="20"/>
      <c r="P5731" s="20"/>
      <c r="Q5731" s="20"/>
      <c r="R5731" s="20"/>
      <c r="S5731" s="20"/>
      <c r="T5731" s="20"/>
      <c r="U5731" s="20"/>
      <c r="V5731" s="20"/>
      <c r="W5731" s="21"/>
      <c r="X5731" s="20"/>
      <c r="Y5731" s="22"/>
      <c r="Z5731" s="22"/>
      <c r="AA5731" s="22"/>
      <c r="AB5731" s="22"/>
      <c r="AC5731" s="22"/>
    </row>
    <row r="5732" spans="1:29" ht="32.25" customHeight="1">
      <c r="A5732" s="19"/>
      <c r="B5732" s="20"/>
      <c r="C5732" s="20"/>
      <c r="D5732" s="20"/>
      <c r="E5732" s="20"/>
      <c r="F5732" s="20"/>
      <c r="G5732" s="20"/>
      <c r="H5732" s="20"/>
      <c r="I5732" s="20"/>
      <c r="J5732" s="20"/>
      <c r="K5732" s="20"/>
      <c r="L5732" s="20"/>
      <c r="M5732" s="20"/>
      <c r="N5732" s="20"/>
      <c r="O5732" s="20"/>
      <c r="P5732" s="20"/>
      <c r="Q5732" s="20"/>
      <c r="R5732" s="20"/>
      <c r="S5732" s="20"/>
      <c r="T5732" s="20"/>
      <c r="U5732" s="20"/>
      <c r="V5732" s="20"/>
      <c r="W5732" s="21"/>
      <c r="X5732" s="20"/>
      <c r="Y5732" s="22"/>
      <c r="Z5732" s="22"/>
      <c r="AA5732" s="22"/>
      <c r="AB5732" s="22"/>
      <c r="AC5732" s="22"/>
    </row>
    <row r="5733" spans="1:29" ht="32.25" customHeight="1">
      <c r="A5733" s="19"/>
      <c r="B5733" s="20"/>
      <c r="C5733" s="20"/>
      <c r="D5733" s="20"/>
      <c r="E5733" s="20"/>
      <c r="F5733" s="20"/>
      <c r="G5733" s="20"/>
      <c r="H5733" s="20"/>
      <c r="I5733" s="20"/>
      <c r="J5733" s="20"/>
      <c r="K5733" s="20"/>
      <c r="L5733" s="20"/>
      <c r="M5733" s="20"/>
      <c r="N5733" s="20"/>
      <c r="O5733" s="20"/>
      <c r="P5733" s="20"/>
      <c r="Q5733" s="20"/>
      <c r="R5733" s="20"/>
      <c r="S5733" s="20"/>
      <c r="T5733" s="20"/>
      <c r="U5733" s="20"/>
      <c r="V5733" s="20"/>
      <c r="W5733" s="21"/>
      <c r="X5733" s="20"/>
      <c r="Y5733" s="22"/>
      <c r="Z5733" s="22"/>
      <c r="AA5733" s="22"/>
      <c r="AB5733" s="22"/>
      <c r="AC5733" s="22"/>
    </row>
    <row r="5734" spans="1:29" ht="32.25" customHeight="1">
      <c r="A5734" s="19"/>
      <c r="B5734" s="20"/>
      <c r="C5734" s="20"/>
      <c r="D5734" s="20"/>
      <c r="E5734" s="20"/>
      <c r="F5734" s="20"/>
      <c r="G5734" s="20"/>
      <c r="H5734" s="20"/>
      <c r="I5734" s="20"/>
      <c r="J5734" s="20"/>
      <c r="K5734" s="20"/>
      <c r="L5734" s="20"/>
      <c r="M5734" s="20"/>
      <c r="N5734" s="20"/>
      <c r="O5734" s="20"/>
      <c r="P5734" s="20"/>
      <c r="Q5734" s="20"/>
      <c r="R5734" s="20"/>
      <c r="S5734" s="20"/>
      <c r="T5734" s="20"/>
      <c r="U5734" s="20"/>
      <c r="V5734" s="20"/>
      <c r="W5734" s="21"/>
      <c r="X5734" s="20"/>
      <c r="Y5734" s="22"/>
      <c r="Z5734" s="22"/>
      <c r="AA5734" s="22"/>
      <c r="AB5734" s="22"/>
      <c r="AC5734" s="22"/>
    </row>
    <row r="5735" spans="1:29" ht="32.25" customHeight="1">
      <c r="A5735" s="19"/>
      <c r="B5735" s="20"/>
      <c r="C5735" s="20"/>
      <c r="D5735" s="20"/>
      <c r="E5735" s="20"/>
      <c r="F5735" s="20"/>
      <c r="G5735" s="20"/>
      <c r="H5735" s="20"/>
      <c r="I5735" s="20"/>
      <c r="J5735" s="20"/>
      <c r="K5735" s="20"/>
      <c r="L5735" s="20"/>
      <c r="M5735" s="20"/>
      <c r="N5735" s="20"/>
      <c r="O5735" s="20"/>
      <c r="P5735" s="20"/>
      <c r="Q5735" s="20"/>
      <c r="R5735" s="20"/>
      <c r="S5735" s="20"/>
      <c r="T5735" s="20"/>
      <c r="U5735" s="20"/>
      <c r="V5735" s="20"/>
      <c r="W5735" s="21"/>
      <c r="X5735" s="20"/>
      <c r="Y5735" s="22"/>
      <c r="Z5735" s="22"/>
      <c r="AA5735" s="22"/>
      <c r="AB5735" s="22"/>
      <c r="AC5735" s="22"/>
    </row>
    <row r="5736" spans="1:29" ht="32.25" customHeight="1">
      <c r="A5736" s="19"/>
      <c r="B5736" s="20"/>
      <c r="C5736" s="20"/>
      <c r="D5736" s="20"/>
      <c r="E5736" s="20"/>
      <c r="F5736" s="20"/>
      <c r="G5736" s="20"/>
      <c r="H5736" s="20"/>
      <c r="I5736" s="20"/>
      <c r="J5736" s="20"/>
      <c r="K5736" s="20"/>
      <c r="L5736" s="20"/>
      <c r="M5736" s="20"/>
      <c r="N5736" s="20"/>
      <c r="O5736" s="20"/>
      <c r="P5736" s="20"/>
      <c r="Q5736" s="20"/>
      <c r="R5736" s="20"/>
      <c r="S5736" s="20"/>
      <c r="T5736" s="20"/>
      <c r="U5736" s="20"/>
      <c r="V5736" s="20"/>
      <c r="W5736" s="21"/>
      <c r="X5736" s="20"/>
      <c r="Y5736" s="22"/>
      <c r="Z5736" s="22"/>
      <c r="AA5736" s="22"/>
      <c r="AB5736" s="22"/>
      <c r="AC5736" s="22"/>
    </row>
    <row r="5737" spans="1:29" ht="32.25" customHeight="1">
      <c r="A5737" s="19"/>
      <c r="B5737" s="20"/>
      <c r="C5737" s="20"/>
      <c r="D5737" s="20"/>
      <c r="E5737" s="20"/>
      <c r="F5737" s="20"/>
      <c r="G5737" s="20"/>
      <c r="H5737" s="20"/>
      <c r="I5737" s="20"/>
      <c r="J5737" s="20"/>
      <c r="K5737" s="20"/>
      <c r="L5737" s="20"/>
      <c r="M5737" s="20"/>
      <c r="N5737" s="20"/>
      <c r="O5737" s="20"/>
      <c r="P5737" s="20"/>
      <c r="Q5737" s="20"/>
      <c r="R5737" s="20"/>
      <c r="S5737" s="20"/>
      <c r="T5737" s="20"/>
      <c r="U5737" s="20"/>
      <c r="V5737" s="20"/>
      <c r="W5737" s="21"/>
      <c r="X5737" s="20"/>
      <c r="Y5737" s="22"/>
      <c r="Z5737" s="22"/>
      <c r="AA5737" s="22"/>
      <c r="AB5737" s="22"/>
      <c r="AC5737" s="22"/>
    </row>
    <row r="5738" spans="1:29" ht="32.25" customHeight="1">
      <c r="A5738" s="19"/>
      <c r="B5738" s="20"/>
      <c r="C5738" s="20"/>
      <c r="D5738" s="20"/>
      <c r="E5738" s="20"/>
      <c r="F5738" s="20"/>
      <c r="G5738" s="20"/>
      <c r="H5738" s="20"/>
      <c r="I5738" s="20"/>
      <c r="J5738" s="20"/>
      <c r="K5738" s="20"/>
      <c r="L5738" s="20"/>
      <c r="M5738" s="20"/>
      <c r="N5738" s="20"/>
      <c r="O5738" s="20"/>
      <c r="P5738" s="20"/>
      <c r="Q5738" s="20"/>
      <c r="R5738" s="20"/>
      <c r="S5738" s="20"/>
      <c r="T5738" s="20"/>
      <c r="U5738" s="20"/>
      <c r="V5738" s="20"/>
      <c r="W5738" s="21"/>
      <c r="X5738" s="20"/>
      <c r="Y5738" s="22"/>
      <c r="Z5738" s="22"/>
      <c r="AA5738" s="22"/>
      <c r="AB5738" s="22"/>
      <c r="AC5738" s="22"/>
    </row>
    <row r="5739" spans="1:29" ht="32.25" customHeight="1">
      <c r="A5739" s="19"/>
      <c r="B5739" s="20"/>
      <c r="C5739" s="20"/>
      <c r="D5739" s="20"/>
      <c r="E5739" s="20"/>
      <c r="F5739" s="20"/>
      <c r="G5739" s="20"/>
      <c r="H5739" s="20"/>
      <c r="I5739" s="20"/>
      <c r="J5739" s="20"/>
      <c r="K5739" s="20"/>
      <c r="L5739" s="20"/>
      <c r="M5739" s="20"/>
      <c r="N5739" s="20"/>
      <c r="O5739" s="20"/>
      <c r="P5739" s="20"/>
      <c r="Q5739" s="20"/>
      <c r="R5739" s="20"/>
      <c r="S5739" s="20"/>
      <c r="T5739" s="20"/>
      <c r="U5739" s="20"/>
      <c r="V5739" s="20"/>
      <c r="W5739" s="21"/>
      <c r="X5739" s="20"/>
      <c r="Y5739" s="22"/>
      <c r="Z5739" s="22"/>
      <c r="AA5739" s="22"/>
      <c r="AB5739" s="22"/>
      <c r="AC5739" s="22"/>
    </row>
    <row r="5740" spans="1:29" ht="32.25" customHeight="1">
      <c r="A5740" s="19"/>
      <c r="B5740" s="20"/>
      <c r="C5740" s="20"/>
      <c r="D5740" s="20"/>
      <c r="E5740" s="20"/>
      <c r="F5740" s="20"/>
      <c r="G5740" s="20"/>
      <c r="H5740" s="20"/>
      <c r="I5740" s="20"/>
      <c r="J5740" s="20"/>
      <c r="K5740" s="20"/>
      <c r="L5740" s="20"/>
      <c r="M5740" s="20"/>
      <c r="N5740" s="20"/>
      <c r="O5740" s="20"/>
      <c r="P5740" s="20"/>
      <c r="Q5740" s="20"/>
      <c r="R5740" s="20"/>
      <c r="S5740" s="20"/>
      <c r="T5740" s="20"/>
      <c r="U5740" s="20"/>
      <c r="V5740" s="20"/>
      <c r="W5740" s="21"/>
      <c r="X5740" s="20"/>
      <c r="Y5740" s="22"/>
      <c r="Z5740" s="22"/>
      <c r="AA5740" s="22"/>
      <c r="AB5740" s="22"/>
      <c r="AC5740" s="22"/>
    </row>
    <row r="5741" spans="1:29" ht="32.25" customHeight="1">
      <c r="A5741" s="19"/>
      <c r="B5741" s="20"/>
      <c r="C5741" s="20"/>
      <c r="D5741" s="20"/>
      <c r="E5741" s="20"/>
      <c r="F5741" s="20"/>
      <c r="G5741" s="20"/>
      <c r="H5741" s="20"/>
      <c r="I5741" s="20"/>
      <c r="J5741" s="20"/>
      <c r="K5741" s="20"/>
      <c r="L5741" s="20"/>
      <c r="M5741" s="20"/>
      <c r="N5741" s="20"/>
      <c r="O5741" s="20"/>
      <c r="P5741" s="20"/>
      <c r="Q5741" s="20"/>
      <c r="R5741" s="20"/>
      <c r="S5741" s="20"/>
      <c r="T5741" s="20"/>
      <c r="U5741" s="20"/>
      <c r="V5741" s="20"/>
      <c r="W5741" s="21"/>
      <c r="X5741" s="20"/>
      <c r="Y5741" s="22"/>
      <c r="Z5741" s="22"/>
      <c r="AA5741" s="22"/>
      <c r="AB5741" s="22"/>
      <c r="AC5741" s="22"/>
    </row>
    <row r="5742" spans="1:29" ht="32.25" customHeight="1">
      <c r="A5742" s="19"/>
      <c r="B5742" s="20"/>
      <c r="C5742" s="20"/>
      <c r="D5742" s="20"/>
      <c r="E5742" s="20"/>
      <c r="F5742" s="20"/>
      <c r="G5742" s="20"/>
      <c r="H5742" s="20"/>
      <c r="I5742" s="20"/>
      <c r="J5742" s="20"/>
      <c r="K5742" s="20"/>
      <c r="L5742" s="20"/>
      <c r="M5742" s="20"/>
      <c r="N5742" s="20"/>
      <c r="O5742" s="20"/>
      <c r="P5742" s="20"/>
      <c r="Q5742" s="20"/>
      <c r="R5742" s="20"/>
      <c r="S5742" s="20"/>
      <c r="T5742" s="20"/>
      <c r="U5742" s="20"/>
      <c r="V5742" s="20"/>
      <c r="W5742" s="21"/>
      <c r="X5742" s="20"/>
      <c r="Y5742" s="22"/>
      <c r="Z5742" s="22"/>
      <c r="AA5742" s="22"/>
      <c r="AB5742" s="22"/>
      <c r="AC5742" s="22"/>
    </row>
    <row r="5743" spans="1:29" ht="32.25" customHeight="1">
      <c r="A5743" s="19"/>
      <c r="B5743" s="20"/>
      <c r="C5743" s="20"/>
      <c r="D5743" s="20"/>
      <c r="E5743" s="20"/>
      <c r="F5743" s="20"/>
      <c r="G5743" s="20"/>
      <c r="H5743" s="20"/>
      <c r="I5743" s="20"/>
      <c r="J5743" s="20"/>
      <c r="K5743" s="20"/>
      <c r="L5743" s="20"/>
      <c r="M5743" s="20"/>
      <c r="N5743" s="20"/>
      <c r="O5743" s="20"/>
      <c r="P5743" s="20"/>
      <c r="Q5743" s="20"/>
      <c r="R5743" s="20"/>
      <c r="S5743" s="20"/>
      <c r="T5743" s="20"/>
      <c r="U5743" s="20"/>
      <c r="V5743" s="20"/>
      <c r="W5743" s="21"/>
      <c r="X5743" s="20"/>
      <c r="Y5743" s="22"/>
      <c r="Z5743" s="22"/>
      <c r="AA5743" s="22"/>
      <c r="AB5743" s="22"/>
      <c r="AC5743" s="22"/>
    </row>
    <row r="5744" spans="1:29" ht="32.25" customHeight="1">
      <c r="A5744" s="19"/>
      <c r="B5744" s="20"/>
      <c r="C5744" s="20"/>
      <c r="D5744" s="20"/>
      <c r="E5744" s="20"/>
      <c r="F5744" s="20"/>
      <c r="G5744" s="20"/>
      <c r="H5744" s="20"/>
      <c r="I5744" s="20"/>
      <c r="J5744" s="20"/>
      <c r="K5744" s="20"/>
      <c r="L5744" s="20"/>
      <c r="M5744" s="20"/>
      <c r="N5744" s="20"/>
      <c r="O5744" s="20"/>
      <c r="P5744" s="20"/>
      <c r="Q5744" s="20"/>
      <c r="R5744" s="20"/>
      <c r="S5744" s="20"/>
      <c r="T5744" s="20"/>
      <c r="U5744" s="20"/>
      <c r="V5744" s="20"/>
      <c r="W5744" s="21"/>
      <c r="X5744" s="20"/>
      <c r="Y5744" s="22"/>
      <c r="Z5744" s="22"/>
      <c r="AA5744" s="22"/>
      <c r="AB5744" s="22"/>
      <c r="AC5744" s="22"/>
    </row>
    <row r="5745" spans="1:29" ht="32.25" customHeight="1">
      <c r="A5745" s="19"/>
      <c r="B5745" s="20"/>
      <c r="C5745" s="20"/>
      <c r="D5745" s="20"/>
      <c r="E5745" s="20"/>
      <c r="F5745" s="20"/>
      <c r="G5745" s="20"/>
      <c r="H5745" s="20"/>
      <c r="I5745" s="20"/>
      <c r="J5745" s="20"/>
      <c r="K5745" s="20"/>
      <c r="L5745" s="20"/>
      <c r="M5745" s="20"/>
      <c r="N5745" s="20"/>
      <c r="O5745" s="20"/>
      <c r="P5745" s="20"/>
      <c r="Q5745" s="20"/>
      <c r="R5745" s="20"/>
      <c r="S5745" s="20"/>
      <c r="T5745" s="20"/>
      <c r="U5745" s="20"/>
      <c r="V5745" s="20"/>
      <c r="W5745" s="21"/>
      <c r="X5745" s="20"/>
      <c r="Y5745" s="22"/>
      <c r="Z5745" s="22"/>
      <c r="AA5745" s="22"/>
      <c r="AB5745" s="22"/>
      <c r="AC5745" s="22"/>
    </row>
    <row r="5746" spans="1:29" ht="32.25" customHeight="1">
      <c r="A5746" s="19"/>
      <c r="B5746" s="20"/>
      <c r="C5746" s="20"/>
      <c r="D5746" s="20"/>
      <c r="E5746" s="20"/>
      <c r="F5746" s="20"/>
      <c r="G5746" s="20"/>
      <c r="H5746" s="20"/>
      <c r="I5746" s="20"/>
      <c r="J5746" s="20"/>
      <c r="K5746" s="20"/>
      <c r="L5746" s="20"/>
      <c r="M5746" s="20"/>
      <c r="N5746" s="20"/>
      <c r="O5746" s="20"/>
      <c r="P5746" s="20"/>
      <c r="Q5746" s="20"/>
      <c r="R5746" s="20"/>
      <c r="S5746" s="20"/>
      <c r="T5746" s="20"/>
      <c r="U5746" s="20"/>
      <c r="V5746" s="20"/>
      <c r="W5746" s="21"/>
      <c r="X5746" s="20"/>
      <c r="Y5746" s="22"/>
      <c r="Z5746" s="22"/>
      <c r="AA5746" s="22"/>
      <c r="AB5746" s="22"/>
      <c r="AC5746" s="22"/>
    </row>
    <row r="5747" spans="1:29" ht="32.25" customHeight="1">
      <c r="A5747" s="19"/>
      <c r="B5747" s="20"/>
      <c r="C5747" s="20"/>
      <c r="D5747" s="20"/>
      <c r="E5747" s="20"/>
      <c r="F5747" s="20"/>
      <c r="G5747" s="20"/>
      <c r="H5747" s="20"/>
      <c r="I5747" s="20"/>
      <c r="J5747" s="20"/>
      <c r="K5747" s="20"/>
      <c r="L5747" s="20"/>
      <c r="M5747" s="20"/>
      <c r="N5747" s="20"/>
      <c r="O5747" s="20"/>
      <c r="P5747" s="20"/>
      <c r="Q5747" s="20"/>
      <c r="R5747" s="20"/>
      <c r="S5747" s="20"/>
      <c r="T5747" s="20"/>
      <c r="U5747" s="20"/>
      <c r="V5747" s="20"/>
      <c r="W5747" s="21"/>
      <c r="X5747" s="20"/>
      <c r="Y5747" s="22"/>
      <c r="Z5747" s="22"/>
      <c r="AA5747" s="22"/>
      <c r="AB5747" s="22"/>
      <c r="AC5747" s="22"/>
    </row>
    <row r="5748" spans="1:29" ht="32.25" customHeight="1">
      <c r="A5748" s="19"/>
      <c r="B5748" s="20"/>
      <c r="C5748" s="20"/>
      <c r="D5748" s="20"/>
      <c r="E5748" s="20"/>
      <c r="F5748" s="20"/>
      <c r="G5748" s="20"/>
      <c r="H5748" s="20"/>
      <c r="I5748" s="20"/>
      <c r="J5748" s="20"/>
      <c r="K5748" s="20"/>
      <c r="L5748" s="20"/>
      <c r="M5748" s="20"/>
      <c r="N5748" s="20"/>
      <c r="O5748" s="20"/>
      <c r="P5748" s="20"/>
      <c r="Q5748" s="20"/>
      <c r="R5748" s="20"/>
      <c r="S5748" s="20"/>
      <c r="T5748" s="20"/>
      <c r="U5748" s="20"/>
      <c r="V5748" s="20"/>
      <c r="W5748" s="21"/>
      <c r="X5748" s="20"/>
      <c r="Y5748" s="22"/>
      <c r="Z5748" s="22"/>
      <c r="AA5748" s="22"/>
      <c r="AB5748" s="22"/>
      <c r="AC5748" s="22"/>
    </row>
    <row r="5749" spans="1:29" ht="32.25" customHeight="1">
      <c r="A5749" s="19"/>
      <c r="B5749" s="20"/>
      <c r="C5749" s="20"/>
      <c r="D5749" s="20"/>
      <c r="E5749" s="20"/>
      <c r="F5749" s="20"/>
      <c r="G5749" s="20"/>
      <c r="H5749" s="20"/>
      <c r="I5749" s="20"/>
      <c r="J5749" s="20"/>
      <c r="K5749" s="20"/>
      <c r="L5749" s="20"/>
      <c r="M5749" s="20"/>
      <c r="N5749" s="20"/>
      <c r="O5749" s="20"/>
      <c r="P5749" s="20"/>
      <c r="Q5749" s="20"/>
      <c r="R5749" s="20"/>
      <c r="S5749" s="20"/>
      <c r="T5749" s="20"/>
      <c r="U5749" s="20"/>
      <c r="V5749" s="20"/>
      <c r="W5749" s="21"/>
      <c r="X5749" s="20"/>
      <c r="Y5749" s="22"/>
      <c r="Z5749" s="22"/>
      <c r="AA5749" s="22"/>
      <c r="AB5749" s="22"/>
      <c r="AC5749" s="22"/>
    </row>
    <row r="5750" spans="1:29" ht="32.25" customHeight="1">
      <c r="A5750" s="19"/>
      <c r="B5750" s="20"/>
      <c r="C5750" s="20"/>
      <c r="D5750" s="20"/>
      <c r="E5750" s="20"/>
      <c r="F5750" s="20"/>
      <c r="G5750" s="20"/>
      <c r="H5750" s="20"/>
      <c r="I5750" s="20"/>
      <c r="J5750" s="20"/>
      <c r="K5750" s="20"/>
      <c r="L5750" s="20"/>
      <c r="M5750" s="20"/>
      <c r="N5750" s="20"/>
      <c r="O5750" s="20"/>
      <c r="P5750" s="20"/>
      <c r="Q5750" s="20"/>
      <c r="R5750" s="20"/>
      <c r="S5750" s="20"/>
      <c r="T5750" s="20"/>
      <c r="U5750" s="20"/>
      <c r="V5750" s="20"/>
      <c r="W5750" s="21"/>
      <c r="X5750" s="20"/>
      <c r="Y5750" s="22"/>
      <c r="Z5750" s="22"/>
      <c r="AA5750" s="22"/>
      <c r="AB5750" s="22"/>
      <c r="AC5750" s="22"/>
    </row>
    <row r="5751" spans="1:29" ht="32.25" customHeight="1">
      <c r="A5751" s="19"/>
      <c r="B5751" s="20"/>
      <c r="C5751" s="20"/>
      <c r="D5751" s="20"/>
      <c r="E5751" s="20"/>
      <c r="F5751" s="20"/>
      <c r="G5751" s="20"/>
      <c r="H5751" s="20"/>
      <c r="I5751" s="20"/>
      <c r="J5751" s="20"/>
      <c r="K5751" s="20"/>
      <c r="L5751" s="20"/>
      <c r="M5751" s="20"/>
      <c r="N5751" s="20"/>
      <c r="O5751" s="20"/>
      <c r="P5751" s="20"/>
      <c r="Q5751" s="20"/>
      <c r="R5751" s="20"/>
      <c r="S5751" s="20"/>
      <c r="T5751" s="20"/>
      <c r="U5751" s="20"/>
      <c r="V5751" s="20"/>
      <c r="W5751" s="21"/>
      <c r="X5751" s="20"/>
      <c r="Y5751" s="22"/>
      <c r="Z5751" s="22"/>
      <c r="AA5751" s="22"/>
      <c r="AB5751" s="22"/>
      <c r="AC5751" s="22"/>
    </row>
    <row r="5752" spans="1:29" ht="32.25" customHeight="1">
      <c r="A5752" s="19"/>
      <c r="B5752" s="20"/>
      <c r="C5752" s="20"/>
      <c r="D5752" s="20"/>
      <c r="E5752" s="20"/>
      <c r="F5752" s="20"/>
      <c r="G5752" s="20"/>
      <c r="H5752" s="20"/>
      <c r="I5752" s="20"/>
      <c r="J5752" s="20"/>
      <c r="K5752" s="20"/>
      <c r="L5752" s="20"/>
      <c r="M5752" s="20"/>
      <c r="N5752" s="20"/>
      <c r="O5752" s="20"/>
      <c r="P5752" s="20"/>
      <c r="Q5752" s="20"/>
      <c r="R5752" s="20"/>
      <c r="S5752" s="20"/>
      <c r="T5752" s="20"/>
      <c r="U5752" s="20"/>
      <c r="V5752" s="20"/>
      <c r="W5752" s="21"/>
      <c r="X5752" s="20"/>
      <c r="Y5752" s="22"/>
      <c r="Z5752" s="22"/>
      <c r="AA5752" s="22"/>
      <c r="AB5752" s="22"/>
      <c r="AC5752" s="22"/>
    </row>
    <row r="5753" spans="1:29" ht="32.25" customHeight="1">
      <c r="A5753" s="19"/>
      <c r="B5753" s="20"/>
      <c r="C5753" s="20"/>
      <c r="D5753" s="20"/>
      <c r="E5753" s="20"/>
      <c r="F5753" s="20"/>
      <c r="G5753" s="20"/>
      <c r="H5753" s="20"/>
      <c r="I5753" s="20"/>
      <c r="J5753" s="20"/>
      <c r="K5753" s="20"/>
      <c r="L5753" s="20"/>
      <c r="M5753" s="20"/>
      <c r="N5753" s="20"/>
      <c r="O5753" s="20"/>
      <c r="P5753" s="20"/>
      <c r="Q5753" s="20"/>
      <c r="R5753" s="20"/>
      <c r="S5753" s="20"/>
      <c r="T5753" s="20"/>
      <c r="U5753" s="20"/>
      <c r="V5753" s="20"/>
      <c r="W5753" s="21"/>
      <c r="X5753" s="20"/>
      <c r="Y5753" s="22"/>
      <c r="Z5753" s="22"/>
      <c r="AA5753" s="22"/>
      <c r="AB5753" s="22"/>
      <c r="AC5753" s="22"/>
    </row>
    <row r="5754" spans="1:29" ht="32.25" customHeight="1">
      <c r="A5754" s="19"/>
      <c r="B5754" s="20"/>
      <c r="C5754" s="20"/>
      <c r="D5754" s="20"/>
      <c r="E5754" s="20"/>
      <c r="F5754" s="20"/>
      <c r="G5754" s="20"/>
      <c r="H5754" s="20"/>
      <c r="I5754" s="20"/>
      <c r="J5754" s="20"/>
      <c r="K5754" s="20"/>
      <c r="L5754" s="20"/>
      <c r="M5754" s="20"/>
      <c r="N5754" s="20"/>
      <c r="O5754" s="20"/>
      <c r="P5754" s="20"/>
      <c r="Q5754" s="20"/>
      <c r="R5754" s="20"/>
      <c r="S5754" s="20"/>
      <c r="T5754" s="20"/>
      <c r="U5754" s="20"/>
      <c r="V5754" s="20"/>
      <c r="W5754" s="21"/>
      <c r="X5754" s="20"/>
      <c r="Y5754" s="22"/>
      <c r="Z5754" s="22"/>
      <c r="AA5754" s="22"/>
      <c r="AB5754" s="22"/>
      <c r="AC5754" s="22"/>
    </row>
    <row r="5755" spans="1:29" ht="32.25" customHeight="1">
      <c r="A5755" s="19"/>
      <c r="B5755" s="20"/>
      <c r="C5755" s="20"/>
      <c r="D5755" s="20"/>
      <c r="E5755" s="20"/>
      <c r="F5755" s="20"/>
      <c r="G5755" s="20"/>
      <c r="H5755" s="20"/>
      <c r="I5755" s="20"/>
      <c r="J5755" s="20"/>
      <c r="K5755" s="20"/>
      <c r="L5755" s="20"/>
      <c r="M5755" s="20"/>
      <c r="N5755" s="20"/>
      <c r="O5755" s="20"/>
      <c r="P5755" s="20"/>
      <c r="Q5755" s="20"/>
      <c r="R5755" s="20"/>
      <c r="S5755" s="20"/>
      <c r="T5755" s="20"/>
      <c r="U5755" s="20"/>
      <c r="V5755" s="20"/>
      <c r="W5755" s="21"/>
      <c r="X5755" s="20"/>
      <c r="Y5755" s="22"/>
      <c r="Z5755" s="22"/>
      <c r="AA5755" s="22"/>
      <c r="AB5755" s="22"/>
      <c r="AC5755" s="22"/>
    </row>
    <row r="5756" spans="1:29" ht="32.25" customHeight="1">
      <c r="A5756" s="19"/>
      <c r="B5756" s="20"/>
      <c r="C5756" s="20"/>
      <c r="D5756" s="20"/>
      <c r="E5756" s="20"/>
      <c r="F5756" s="20"/>
      <c r="G5756" s="20"/>
      <c r="H5756" s="20"/>
      <c r="I5756" s="20"/>
      <c r="J5756" s="20"/>
      <c r="K5756" s="20"/>
      <c r="L5756" s="20"/>
      <c r="M5756" s="20"/>
      <c r="N5756" s="20"/>
      <c r="O5756" s="20"/>
      <c r="P5756" s="20"/>
      <c r="Q5756" s="20"/>
      <c r="R5756" s="20"/>
      <c r="S5756" s="20"/>
      <c r="T5756" s="20"/>
      <c r="U5756" s="20"/>
      <c r="V5756" s="20"/>
      <c r="W5756" s="21"/>
      <c r="X5756" s="20"/>
      <c r="Y5756" s="22"/>
      <c r="Z5756" s="22"/>
      <c r="AA5756" s="22"/>
      <c r="AB5756" s="22"/>
      <c r="AC5756" s="22"/>
    </row>
    <row r="5757" spans="1:29" ht="32.25" customHeight="1">
      <c r="A5757" s="19"/>
      <c r="B5757" s="20"/>
      <c r="C5757" s="20"/>
      <c r="D5757" s="20"/>
      <c r="E5757" s="20"/>
      <c r="F5757" s="20"/>
      <c r="G5757" s="20"/>
      <c r="H5757" s="20"/>
      <c r="I5757" s="20"/>
      <c r="J5757" s="20"/>
      <c r="K5757" s="20"/>
      <c r="L5757" s="20"/>
      <c r="M5757" s="20"/>
      <c r="N5757" s="20"/>
      <c r="O5757" s="20"/>
      <c r="P5757" s="20"/>
      <c r="Q5757" s="20"/>
      <c r="R5757" s="20"/>
      <c r="S5757" s="20"/>
      <c r="T5757" s="20"/>
      <c r="U5757" s="20"/>
      <c r="V5757" s="20"/>
      <c r="W5757" s="21"/>
      <c r="X5757" s="20"/>
      <c r="Y5757" s="22"/>
      <c r="Z5757" s="22"/>
      <c r="AA5757" s="22"/>
      <c r="AB5757" s="22"/>
      <c r="AC5757" s="22"/>
    </row>
    <row r="5758" spans="1:29" ht="32.25" customHeight="1">
      <c r="A5758" s="19"/>
      <c r="B5758" s="20"/>
      <c r="C5758" s="20"/>
      <c r="D5758" s="20"/>
      <c r="E5758" s="20"/>
      <c r="F5758" s="20"/>
      <c r="G5758" s="20"/>
      <c r="H5758" s="20"/>
      <c r="I5758" s="20"/>
      <c r="J5758" s="20"/>
      <c r="K5758" s="20"/>
      <c r="L5758" s="20"/>
      <c r="M5758" s="20"/>
      <c r="N5758" s="20"/>
      <c r="O5758" s="20"/>
      <c r="P5758" s="20"/>
      <c r="Q5758" s="20"/>
      <c r="R5758" s="20"/>
      <c r="S5758" s="20"/>
      <c r="T5758" s="20"/>
      <c r="U5758" s="20"/>
      <c r="V5758" s="20"/>
      <c r="W5758" s="21"/>
      <c r="X5758" s="20"/>
      <c r="Y5758" s="22"/>
      <c r="Z5758" s="22"/>
      <c r="AA5758" s="22"/>
      <c r="AB5758" s="22"/>
      <c r="AC5758" s="22"/>
    </row>
    <row r="5759" spans="1:29" ht="32.25" customHeight="1">
      <c r="A5759" s="19"/>
      <c r="B5759" s="20"/>
      <c r="C5759" s="20"/>
      <c r="D5759" s="20"/>
      <c r="E5759" s="20"/>
      <c r="F5759" s="20"/>
      <c r="G5759" s="20"/>
      <c r="H5759" s="20"/>
      <c r="I5759" s="20"/>
      <c r="J5759" s="20"/>
      <c r="K5759" s="20"/>
      <c r="L5759" s="20"/>
      <c r="M5759" s="20"/>
      <c r="N5759" s="20"/>
      <c r="O5759" s="20"/>
      <c r="P5759" s="20"/>
      <c r="Q5759" s="20"/>
      <c r="R5759" s="20"/>
      <c r="S5759" s="20"/>
      <c r="T5759" s="20"/>
      <c r="U5759" s="20"/>
      <c r="V5759" s="20"/>
      <c r="W5759" s="21"/>
      <c r="X5759" s="20"/>
      <c r="Y5759" s="22"/>
      <c r="Z5759" s="22"/>
      <c r="AA5759" s="22"/>
      <c r="AB5759" s="22"/>
      <c r="AC5759" s="22"/>
    </row>
    <row r="5760" spans="1:29" ht="32.25" customHeight="1">
      <c r="A5760" s="19"/>
      <c r="B5760" s="20"/>
      <c r="C5760" s="20"/>
      <c r="D5760" s="20"/>
      <c r="E5760" s="20"/>
      <c r="F5760" s="20"/>
      <c r="G5760" s="20"/>
      <c r="H5760" s="20"/>
      <c r="I5760" s="20"/>
      <c r="J5760" s="20"/>
      <c r="K5760" s="20"/>
      <c r="L5760" s="20"/>
      <c r="M5760" s="20"/>
      <c r="N5760" s="20"/>
      <c r="O5760" s="20"/>
      <c r="P5760" s="20"/>
      <c r="Q5760" s="20"/>
      <c r="R5760" s="20"/>
      <c r="S5760" s="20"/>
      <c r="T5760" s="20"/>
      <c r="U5760" s="20"/>
      <c r="V5760" s="20"/>
      <c r="W5760" s="21"/>
      <c r="X5760" s="20"/>
      <c r="Y5760" s="22"/>
      <c r="Z5760" s="22"/>
      <c r="AA5760" s="22"/>
      <c r="AB5760" s="22"/>
      <c r="AC5760" s="22"/>
    </row>
    <row r="5761" spans="1:29" ht="32.25" customHeight="1">
      <c r="A5761" s="19"/>
      <c r="B5761" s="20"/>
      <c r="C5761" s="20"/>
      <c r="D5761" s="20"/>
      <c r="E5761" s="20"/>
      <c r="F5761" s="20"/>
      <c r="G5761" s="20"/>
      <c r="H5761" s="20"/>
      <c r="I5761" s="20"/>
      <c r="J5761" s="20"/>
      <c r="K5761" s="20"/>
      <c r="L5761" s="20"/>
      <c r="M5761" s="20"/>
      <c r="N5761" s="20"/>
      <c r="O5761" s="20"/>
      <c r="P5761" s="20"/>
      <c r="Q5761" s="20"/>
      <c r="R5761" s="20"/>
      <c r="S5761" s="20"/>
      <c r="T5761" s="20"/>
      <c r="U5761" s="20"/>
      <c r="V5761" s="20"/>
      <c r="W5761" s="21"/>
      <c r="X5761" s="20"/>
      <c r="Y5761" s="22"/>
      <c r="Z5761" s="22"/>
      <c r="AA5761" s="22"/>
      <c r="AB5761" s="22"/>
      <c r="AC5761" s="22"/>
    </row>
    <row r="5762" spans="1:29" ht="32.25" customHeight="1">
      <c r="A5762" s="19"/>
      <c r="B5762" s="20"/>
      <c r="C5762" s="20"/>
      <c r="D5762" s="20"/>
      <c r="E5762" s="20"/>
      <c r="F5762" s="20"/>
      <c r="G5762" s="20"/>
      <c r="H5762" s="20"/>
      <c r="I5762" s="20"/>
      <c r="J5762" s="20"/>
      <c r="K5762" s="20"/>
      <c r="L5762" s="20"/>
      <c r="M5762" s="20"/>
      <c r="N5762" s="20"/>
      <c r="O5762" s="20"/>
      <c r="P5762" s="20"/>
      <c r="Q5762" s="20"/>
      <c r="R5762" s="20"/>
      <c r="S5762" s="20"/>
      <c r="T5762" s="20"/>
      <c r="U5762" s="20"/>
      <c r="V5762" s="20"/>
      <c r="W5762" s="21"/>
      <c r="X5762" s="20"/>
      <c r="Y5762" s="22"/>
      <c r="Z5762" s="22"/>
      <c r="AA5762" s="22"/>
      <c r="AB5762" s="22"/>
      <c r="AC5762" s="22"/>
    </row>
    <row r="5763" spans="1:29" ht="32.25" customHeight="1">
      <c r="A5763" s="19"/>
      <c r="B5763" s="20"/>
      <c r="C5763" s="20"/>
      <c r="D5763" s="20"/>
      <c r="E5763" s="20"/>
      <c r="F5763" s="20"/>
      <c r="G5763" s="20"/>
      <c r="H5763" s="20"/>
      <c r="I5763" s="20"/>
      <c r="J5763" s="20"/>
      <c r="K5763" s="20"/>
      <c r="L5763" s="20"/>
      <c r="M5763" s="20"/>
      <c r="N5763" s="20"/>
      <c r="O5763" s="20"/>
      <c r="P5763" s="20"/>
      <c r="Q5763" s="20"/>
      <c r="R5763" s="20"/>
      <c r="S5763" s="20"/>
      <c r="T5763" s="20"/>
      <c r="U5763" s="20"/>
      <c r="V5763" s="20"/>
      <c r="W5763" s="21"/>
      <c r="X5763" s="20"/>
      <c r="Y5763" s="22"/>
      <c r="Z5763" s="22"/>
      <c r="AA5763" s="22"/>
      <c r="AB5763" s="22"/>
      <c r="AC5763" s="22"/>
    </row>
    <row r="5764" spans="1:29" ht="32.25" customHeight="1">
      <c r="A5764" s="19"/>
      <c r="B5764" s="20"/>
      <c r="C5764" s="20"/>
      <c r="D5764" s="20"/>
      <c r="E5764" s="20"/>
      <c r="F5764" s="20"/>
      <c r="G5764" s="20"/>
      <c r="H5764" s="20"/>
      <c r="I5764" s="20"/>
      <c r="J5764" s="20"/>
      <c r="K5764" s="20"/>
      <c r="L5764" s="20"/>
      <c r="M5764" s="20"/>
      <c r="N5764" s="20"/>
      <c r="O5764" s="20"/>
      <c r="P5764" s="20"/>
      <c r="Q5764" s="20"/>
      <c r="R5764" s="20"/>
      <c r="S5764" s="20"/>
      <c r="T5764" s="20"/>
      <c r="U5764" s="20"/>
      <c r="V5764" s="20"/>
      <c r="W5764" s="21"/>
      <c r="X5764" s="20"/>
      <c r="Y5764" s="22"/>
      <c r="Z5764" s="22"/>
      <c r="AA5764" s="22"/>
      <c r="AB5764" s="22"/>
      <c r="AC5764" s="22"/>
    </row>
    <row r="5765" spans="1:29" ht="32.25" customHeight="1">
      <c r="A5765" s="19"/>
      <c r="B5765" s="20"/>
      <c r="C5765" s="20"/>
      <c r="D5765" s="20"/>
      <c r="E5765" s="20"/>
      <c r="F5765" s="20"/>
      <c r="G5765" s="20"/>
      <c r="H5765" s="20"/>
      <c r="I5765" s="20"/>
      <c r="J5765" s="20"/>
      <c r="K5765" s="20"/>
      <c r="L5765" s="20"/>
      <c r="M5765" s="20"/>
      <c r="N5765" s="20"/>
      <c r="O5765" s="20"/>
      <c r="P5765" s="20"/>
      <c r="Q5765" s="20"/>
      <c r="R5765" s="20"/>
      <c r="S5765" s="20"/>
      <c r="T5765" s="20"/>
      <c r="U5765" s="20"/>
      <c r="V5765" s="20"/>
      <c r="W5765" s="21"/>
      <c r="X5765" s="20"/>
      <c r="Y5765" s="22"/>
      <c r="Z5765" s="22"/>
      <c r="AA5765" s="22"/>
      <c r="AB5765" s="22"/>
      <c r="AC5765" s="22"/>
    </row>
    <row r="5766" spans="1:29" ht="32.25" customHeight="1">
      <c r="A5766" s="19"/>
      <c r="B5766" s="20"/>
      <c r="C5766" s="20"/>
      <c r="D5766" s="20"/>
      <c r="E5766" s="20"/>
      <c r="F5766" s="20"/>
      <c r="G5766" s="20"/>
      <c r="H5766" s="20"/>
      <c r="I5766" s="20"/>
      <c r="J5766" s="20"/>
      <c r="K5766" s="20"/>
      <c r="L5766" s="20"/>
      <c r="M5766" s="20"/>
      <c r="N5766" s="20"/>
      <c r="O5766" s="20"/>
      <c r="P5766" s="20"/>
      <c r="Q5766" s="20"/>
      <c r="R5766" s="20"/>
      <c r="S5766" s="20"/>
      <c r="T5766" s="20"/>
      <c r="U5766" s="20"/>
      <c r="V5766" s="20"/>
      <c r="W5766" s="21"/>
      <c r="X5766" s="20"/>
      <c r="Y5766" s="22"/>
      <c r="Z5766" s="22"/>
      <c r="AA5766" s="22"/>
      <c r="AB5766" s="22"/>
      <c r="AC5766" s="22"/>
    </row>
    <row r="5767" spans="1:29" ht="32.25" customHeight="1">
      <c r="A5767" s="19"/>
      <c r="B5767" s="20"/>
      <c r="C5767" s="20"/>
      <c r="D5767" s="20"/>
      <c r="E5767" s="20"/>
      <c r="F5767" s="20"/>
      <c r="G5767" s="20"/>
      <c r="H5767" s="20"/>
      <c r="I5767" s="20"/>
      <c r="J5767" s="20"/>
      <c r="K5767" s="20"/>
      <c r="L5767" s="20"/>
      <c r="M5767" s="20"/>
      <c r="N5767" s="20"/>
      <c r="O5767" s="20"/>
      <c r="P5767" s="20"/>
      <c r="Q5767" s="20"/>
      <c r="R5767" s="20"/>
      <c r="S5767" s="20"/>
      <c r="T5767" s="20"/>
      <c r="U5767" s="20"/>
      <c r="V5767" s="20"/>
      <c r="W5767" s="21"/>
      <c r="X5767" s="20"/>
      <c r="Y5767" s="22"/>
      <c r="Z5767" s="22"/>
      <c r="AA5767" s="22"/>
      <c r="AB5767" s="22"/>
      <c r="AC5767" s="22"/>
    </row>
    <row r="5768" spans="1:29" ht="32.25" customHeight="1">
      <c r="A5768" s="19"/>
      <c r="B5768" s="20"/>
      <c r="C5768" s="20"/>
      <c r="D5768" s="20"/>
      <c r="E5768" s="20"/>
      <c r="F5768" s="20"/>
      <c r="G5768" s="20"/>
      <c r="H5768" s="20"/>
      <c r="I5768" s="20"/>
      <c r="J5768" s="20"/>
      <c r="K5768" s="20"/>
      <c r="L5768" s="20"/>
      <c r="M5768" s="20"/>
      <c r="N5768" s="20"/>
      <c r="O5768" s="20"/>
      <c r="P5768" s="20"/>
      <c r="Q5768" s="20"/>
      <c r="R5768" s="20"/>
      <c r="S5768" s="20"/>
      <c r="T5768" s="20"/>
      <c r="U5768" s="20"/>
      <c r="V5768" s="20"/>
      <c r="W5768" s="21"/>
      <c r="X5768" s="20"/>
      <c r="Y5768" s="22"/>
      <c r="Z5768" s="22"/>
      <c r="AA5768" s="22"/>
      <c r="AB5768" s="22"/>
      <c r="AC5768" s="22"/>
    </row>
    <row r="5769" spans="1:29" ht="32.25" customHeight="1">
      <c r="A5769" s="19"/>
      <c r="B5769" s="20"/>
      <c r="C5769" s="20"/>
      <c r="D5769" s="20"/>
      <c r="E5769" s="20"/>
      <c r="F5769" s="20"/>
      <c r="G5769" s="20"/>
      <c r="H5769" s="20"/>
      <c r="I5769" s="20"/>
      <c r="J5769" s="20"/>
      <c r="K5769" s="20"/>
      <c r="L5769" s="20"/>
      <c r="M5769" s="20"/>
      <c r="N5769" s="20"/>
      <c r="O5769" s="20"/>
      <c r="P5769" s="20"/>
      <c r="Q5769" s="20"/>
      <c r="R5769" s="20"/>
      <c r="S5769" s="20"/>
      <c r="T5769" s="20"/>
      <c r="U5769" s="20"/>
      <c r="V5769" s="20"/>
      <c r="W5769" s="21"/>
      <c r="X5769" s="20"/>
      <c r="Y5769" s="22"/>
      <c r="Z5769" s="22"/>
      <c r="AA5769" s="22"/>
      <c r="AB5769" s="22"/>
      <c r="AC5769" s="22"/>
    </row>
    <row r="5770" spans="1:29" ht="32.25" customHeight="1">
      <c r="A5770" s="19"/>
      <c r="B5770" s="20"/>
      <c r="C5770" s="20"/>
      <c r="D5770" s="20"/>
      <c r="E5770" s="20"/>
      <c r="F5770" s="20"/>
      <c r="G5770" s="20"/>
      <c r="H5770" s="20"/>
      <c r="I5770" s="20"/>
      <c r="J5770" s="20"/>
      <c r="K5770" s="20"/>
      <c r="L5770" s="20"/>
      <c r="M5770" s="20"/>
      <c r="N5770" s="20"/>
      <c r="O5770" s="20"/>
      <c r="P5770" s="20"/>
      <c r="Q5770" s="20"/>
      <c r="R5770" s="20"/>
      <c r="S5770" s="20"/>
      <c r="T5770" s="20"/>
      <c r="U5770" s="20"/>
      <c r="V5770" s="20"/>
      <c r="W5770" s="21"/>
      <c r="X5770" s="20"/>
      <c r="Y5770" s="22"/>
      <c r="Z5770" s="22"/>
      <c r="AA5770" s="22"/>
      <c r="AB5770" s="22"/>
      <c r="AC5770" s="22"/>
    </row>
    <row r="5771" spans="1:29" ht="32.25" customHeight="1">
      <c r="A5771" s="19"/>
      <c r="B5771" s="20"/>
      <c r="C5771" s="20"/>
      <c r="D5771" s="20"/>
      <c r="E5771" s="20"/>
      <c r="F5771" s="20"/>
      <c r="G5771" s="20"/>
      <c r="H5771" s="20"/>
      <c r="I5771" s="20"/>
      <c r="J5771" s="20"/>
      <c r="K5771" s="20"/>
      <c r="L5771" s="20"/>
      <c r="M5771" s="20"/>
      <c r="N5771" s="20"/>
      <c r="O5771" s="20"/>
      <c r="P5771" s="20"/>
      <c r="Q5771" s="20"/>
      <c r="R5771" s="20"/>
      <c r="S5771" s="20"/>
      <c r="T5771" s="20"/>
      <c r="U5771" s="20"/>
      <c r="V5771" s="20"/>
      <c r="W5771" s="21"/>
      <c r="X5771" s="20"/>
      <c r="Y5771" s="22"/>
      <c r="Z5771" s="22"/>
      <c r="AA5771" s="22"/>
      <c r="AB5771" s="22"/>
      <c r="AC5771" s="22"/>
    </row>
    <row r="5772" spans="1:29" ht="32.25" customHeight="1">
      <c r="A5772" s="19"/>
      <c r="B5772" s="20"/>
      <c r="C5772" s="20"/>
      <c r="D5772" s="20"/>
      <c r="E5772" s="20"/>
      <c r="F5772" s="20"/>
      <c r="G5772" s="20"/>
      <c r="H5772" s="20"/>
      <c r="I5772" s="20"/>
      <c r="J5772" s="20"/>
      <c r="K5772" s="20"/>
      <c r="L5772" s="20"/>
      <c r="M5772" s="20"/>
      <c r="N5772" s="20"/>
      <c r="O5772" s="20"/>
      <c r="P5772" s="20"/>
      <c r="Q5772" s="20"/>
      <c r="R5772" s="20"/>
      <c r="S5772" s="20"/>
      <c r="T5772" s="20"/>
      <c r="U5772" s="20"/>
      <c r="V5772" s="20"/>
      <c r="W5772" s="21"/>
      <c r="X5772" s="20"/>
      <c r="Y5772" s="22"/>
      <c r="Z5772" s="22"/>
      <c r="AA5772" s="22"/>
      <c r="AB5772" s="22"/>
      <c r="AC5772" s="22"/>
    </row>
    <row r="5773" spans="1:29" ht="32.25" customHeight="1">
      <c r="A5773" s="19"/>
      <c r="B5773" s="20"/>
      <c r="C5773" s="20"/>
      <c r="D5773" s="20"/>
      <c r="E5773" s="20"/>
      <c r="F5773" s="20"/>
      <c r="G5773" s="20"/>
      <c r="H5773" s="20"/>
      <c r="I5773" s="20"/>
      <c r="J5773" s="20"/>
      <c r="K5773" s="20"/>
      <c r="L5773" s="20"/>
      <c r="M5773" s="20"/>
      <c r="N5773" s="20"/>
      <c r="O5773" s="20"/>
      <c r="P5773" s="20"/>
      <c r="Q5773" s="20"/>
      <c r="R5773" s="20"/>
      <c r="S5773" s="20"/>
      <c r="T5773" s="20"/>
      <c r="U5773" s="20"/>
      <c r="V5773" s="20"/>
      <c r="W5773" s="21"/>
      <c r="X5773" s="20"/>
      <c r="Y5773" s="22"/>
      <c r="Z5773" s="22"/>
      <c r="AA5773" s="22"/>
      <c r="AB5773" s="22"/>
      <c r="AC5773" s="22"/>
    </row>
    <row r="5774" spans="1:29" ht="32.25" customHeight="1">
      <c r="A5774" s="19"/>
      <c r="B5774" s="20"/>
      <c r="C5774" s="20"/>
      <c r="D5774" s="20"/>
      <c r="E5774" s="20"/>
      <c r="F5774" s="20"/>
      <c r="G5774" s="20"/>
      <c r="H5774" s="20"/>
      <c r="I5774" s="20"/>
      <c r="J5774" s="20"/>
      <c r="K5774" s="20"/>
      <c r="L5774" s="20"/>
      <c r="M5774" s="20"/>
      <c r="N5774" s="20"/>
      <c r="O5774" s="20"/>
      <c r="P5774" s="20"/>
      <c r="Q5774" s="20"/>
      <c r="R5774" s="20"/>
      <c r="S5774" s="20"/>
      <c r="T5774" s="20"/>
      <c r="U5774" s="20"/>
      <c r="V5774" s="20"/>
      <c r="W5774" s="21"/>
      <c r="X5774" s="20"/>
      <c r="Y5774" s="22"/>
      <c r="Z5774" s="22"/>
      <c r="AA5774" s="22"/>
      <c r="AB5774" s="22"/>
      <c r="AC5774" s="22"/>
    </row>
    <row r="5775" spans="1:29" ht="32.25" customHeight="1">
      <c r="A5775" s="19"/>
      <c r="B5775" s="20"/>
      <c r="C5775" s="20"/>
      <c r="D5775" s="20"/>
      <c r="E5775" s="20"/>
      <c r="F5775" s="20"/>
      <c r="G5775" s="20"/>
      <c r="H5775" s="20"/>
      <c r="I5775" s="20"/>
      <c r="J5775" s="20"/>
      <c r="K5775" s="20"/>
      <c r="L5775" s="20"/>
      <c r="M5775" s="20"/>
      <c r="N5775" s="20"/>
      <c r="O5775" s="20"/>
      <c r="P5775" s="20"/>
      <c r="Q5775" s="20"/>
      <c r="R5775" s="20"/>
      <c r="S5775" s="20"/>
      <c r="T5775" s="20"/>
      <c r="U5775" s="20"/>
      <c r="V5775" s="20"/>
      <c r="W5775" s="21"/>
      <c r="X5775" s="20"/>
      <c r="Y5775" s="22"/>
      <c r="Z5775" s="22"/>
      <c r="AA5775" s="22"/>
      <c r="AB5775" s="22"/>
      <c r="AC5775" s="22"/>
    </row>
    <row r="5776" spans="1:29" ht="32.25" customHeight="1">
      <c r="A5776" s="19"/>
      <c r="B5776" s="20"/>
      <c r="C5776" s="20"/>
      <c r="D5776" s="20"/>
      <c r="E5776" s="20"/>
      <c r="F5776" s="20"/>
      <c r="G5776" s="20"/>
      <c r="H5776" s="20"/>
      <c r="I5776" s="20"/>
      <c r="J5776" s="20"/>
      <c r="K5776" s="20"/>
      <c r="L5776" s="20"/>
      <c r="M5776" s="20"/>
      <c r="N5776" s="20"/>
      <c r="O5776" s="20"/>
      <c r="P5776" s="20"/>
      <c r="Q5776" s="20"/>
      <c r="R5776" s="20"/>
      <c r="S5776" s="20"/>
      <c r="T5776" s="20"/>
      <c r="U5776" s="20"/>
      <c r="V5776" s="20"/>
      <c r="W5776" s="21"/>
      <c r="X5776" s="20"/>
      <c r="Y5776" s="22"/>
      <c r="Z5776" s="22"/>
      <c r="AA5776" s="22"/>
      <c r="AB5776" s="22"/>
      <c r="AC5776" s="22"/>
    </row>
    <row r="5777" spans="1:29" ht="32.25" customHeight="1">
      <c r="A5777" s="19"/>
      <c r="B5777" s="20"/>
      <c r="C5777" s="20"/>
      <c r="D5777" s="20"/>
      <c r="E5777" s="20"/>
      <c r="F5777" s="20"/>
      <c r="G5777" s="20"/>
      <c r="H5777" s="20"/>
      <c r="I5777" s="20"/>
      <c r="J5777" s="20"/>
      <c r="K5777" s="20"/>
      <c r="L5777" s="20"/>
      <c r="M5777" s="20"/>
      <c r="N5777" s="20"/>
      <c r="O5777" s="20"/>
      <c r="P5777" s="20"/>
      <c r="Q5777" s="20"/>
      <c r="R5777" s="20"/>
      <c r="S5777" s="20"/>
      <c r="T5777" s="20"/>
      <c r="U5777" s="20"/>
      <c r="V5777" s="20"/>
      <c r="W5777" s="21"/>
      <c r="X5777" s="20"/>
      <c r="Y5777" s="22"/>
      <c r="Z5777" s="22"/>
      <c r="AA5777" s="22"/>
      <c r="AB5777" s="22"/>
      <c r="AC5777" s="22"/>
    </row>
    <row r="5778" spans="1:29" ht="32.25" customHeight="1">
      <c r="A5778" s="19"/>
      <c r="B5778" s="20"/>
      <c r="C5778" s="20"/>
      <c r="D5778" s="20"/>
      <c r="E5778" s="20"/>
      <c r="F5778" s="20"/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1"/>
      <c r="X5778" s="20"/>
      <c r="Y5778" s="22"/>
      <c r="Z5778" s="22"/>
      <c r="AA5778" s="22"/>
      <c r="AB5778" s="22"/>
      <c r="AC5778" s="22"/>
    </row>
    <row r="5779" spans="1:29" ht="32.25" customHeight="1">
      <c r="A5779" s="19"/>
      <c r="B5779" s="20"/>
      <c r="C5779" s="20"/>
      <c r="D5779" s="20"/>
      <c r="E5779" s="20"/>
      <c r="F5779" s="20"/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1"/>
      <c r="X5779" s="20"/>
      <c r="Y5779" s="22"/>
      <c r="Z5779" s="22"/>
      <c r="AA5779" s="22"/>
      <c r="AB5779" s="22"/>
      <c r="AC5779" s="22"/>
    </row>
    <row r="5780" spans="1:29" ht="32.25" customHeight="1">
      <c r="A5780" s="19"/>
      <c r="B5780" s="20"/>
      <c r="C5780" s="20"/>
      <c r="D5780" s="20"/>
      <c r="E5780" s="20"/>
      <c r="F5780" s="20"/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1"/>
      <c r="X5780" s="20"/>
      <c r="Y5780" s="22"/>
      <c r="Z5780" s="22"/>
      <c r="AA5780" s="22"/>
      <c r="AB5780" s="22"/>
      <c r="AC5780" s="22"/>
    </row>
    <row r="5781" spans="1:29" ht="32.25" customHeight="1">
      <c r="A5781" s="19"/>
      <c r="B5781" s="20"/>
      <c r="C5781" s="20"/>
      <c r="D5781" s="20"/>
      <c r="E5781" s="20"/>
      <c r="F5781" s="20"/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1"/>
      <c r="X5781" s="20"/>
      <c r="Y5781" s="22"/>
      <c r="Z5781" s="22"/>
      <c r="AA5781" s="22"/>
      <c r="AB5781" s="22"/>
      <c r="AC5781" s="22"/>
    </row>
    <row r="5782" spans="1:29" ht="32.25" customHeight="1">
      <c r="A5782" s="19"/>
      <c r="B5782" s="20"/>
      <c r="C5782" s="20"/>
      <c r="D5782" s="20"/>
      <c r="E5782" s="20"/>
      <c r="F5782" s="20"/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1"/>
      <c r="X5782" s="20"/>
      <c r="Y5782" s="22"/>
      <c r="Z5782" s="22"/>
      <c r="AA5782" s="22"/>
      <c r="AB5782" s="22"/>
      <c r="AC5782" s="22"/>
    </row>
    <row r="5783" spans="1:29" ht="32.25" customHeight="1">
      <c r="A5783" s="19"/>
      <c r="B5783" s="20"/>
      <c r="C5783" s="20"/>
      <c r="D5783" s="20"/>
      <c r="E5783" s="20"/>
      <c r="F5783" s="20"/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1"/>
      <c r="X5783" s="20"/>
      <c r="Y5783" s="22"/>
      <c r="Z5783" s="22"/>
      <c r="AA5783" s="22"/>
      <c r="AB5783" s="22"/>
      <c r="AC5783" s="22"/>
    </row>
    <row r="5784" spans="1:29" ht="32.25" customHeight="1">
      <c r="A5784" s="19"/>
      <c r="B5784" s="20"/>
      <c r="C5784" s="20"/>
      <c r="D5784" s="20"/>
      <c r="E5784" s="20"/>
      <c r="F5784" s="20"/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1"/>
      <c r="X5784" s="20"/>
      <c r="Y5784" s="22"/>
      <c r="Z5784" s="22"/>
      <c r="AA5784" s="22"/>
      <c r="AB5784" s="22"/>
      <c r="AC5784" s="22"/>
    </row>
    <row r="5785" spans="1:29" ht="32.25" customHeight="1">
      <c r="A5785" s="19"/>
      <c r="B5785" s="20"/>
      <c r="C5785" s="20"/>
      <c r="D5785" s="20"/>
      <c r="E5785" s="20"/>
      <c r="F5785" s="20"/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1"/>
      <c r="X5785" s="20"/>
      <c r="Y5785" s="22"/>
      <c r="Z5785" s="22"/>
      <c r="AA5785" s="22"/>
      <c r="AB5785" s="22"/>
      <c r="AC5785" s="22"/>
    </row>
    <row r="5786" spans="1:29" ht="32.25" customHeight="1">
      <c r="A5786" s="19"/>
      <c r="B5786" s="20"/>
      <c r="C5786" s="20"/>
      <c r="D5786" s="20"/>
      <c r="E5786" s="20"/>
      <c r="F5786" s="20"/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1"/>
      <c r="X5786" s="20"/>
      <c r="Y5786" s="22"/>
      <c r="Z5786" s="22"/>
      <c r="AA5786" s="22"/>
      <c r="AB5786" s="22"/>
      <c r="AC5786" s="22"/>
    </row>
    <row r="5787" spans="1:29" ht="32.25" customHeight="1">
      <c r="A5787" s="19"/>
      <c r="B5787" s="20"/>
      <c r="C5787" s="20"/>
      <c r="D5787" s="20"/>
      <c r="E5787" s="20"/>
      <c r="F5787" s="20"/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1"/>
      <c r="X5787" s="20"/>
      <c r="Y5787" s="22"/>
      <c r="Z5787" s="22"/>
      <c r="AA5787" s="22"/>
      <c r="AB5787" s="22"/>
      <c r="AC5787" s="22"/>
    </row>
    <row r="5788" spans="1:29" ht="32.25" customHeight="1">
      <c r="A5788" s="19"/>
      <c r="B5788" s="20"/>
      <c r="C5788" s="20"/>
      <c r="D5788" s="20"/>
      <c r="E5788" s="20"/>
      <c r="F5788" s="20"/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1"/>
      <c r="X5788" s="20"/>
      <c r="Y5788" s="22"/>
      <c r="Z5788" s="22"/>
      <c r="AA5788" s="22"/>
      <c r="AB5788" s="22"/>
      <c r="AC5788" s="22"/>
    </row>
    <row r="5789" spans="1:29" ht="32.25" customHeight="1">
      <c r="A5789" s="19"/>
      <c r="B5789" s="20"/>
      <c r="C5789" s="20"/>
      <c r="D5789" s="20"/>
      <c r="E5789" s="20"/>
      <c r="F5789" s="20"/>
      <c r="G5789" s="20"/>
      <c r="H5789" s="20"/>
      <c r="I5789" s="20"/>
      <c r="J5789" s="20"/>
      <c r="K5789" s="20"/>
      <c r="L5789" s="20"/>
      <c r="M5789" s="20"/>
      <c r="N5789" s="20"/>
      <c r="O5789" s="20"/>
      <c r="P5789" s="20"/>
      <c r="Q5789" s="20"/>
      <c r="R5789" s="20"/>
      <c r="S5789" s="20"/>
      <c r="T5789" s="20"/>
      <c r="U5789" s="20"/>
      <c r="V5789" s="20"/>
      <c r="W5789" s="21"/>
      <c r="X5789" s="20"/>
      <c r="Y5789" s="22"/>
      <c r="Z5789" s="22"/>
      <c r="AA5789" s="22"/>
      <c r="AB5789" s="22"/>
      <c r="AC5789" s="22"/>
    </row>
    <row r="5790" spans="1:29" ht="32.25" customHeight="1">
      <c r="A5790" s="19"/>
      <c r="B5790" s="20"/>
      <c r="C5790" s="20"/>
      <c r="D5790" s="20"/>
      <c r="E5790" s="20"/>
      <c r="F5790" s="20"/>
      <c r="G5790" s="20"/>
      <c r="H5790" s="20"/>
      <c r="I5790" s="20"/>
      <c r="J5790" s="20"/>
      <c r="K5790" s="20"/>
      <c r="L5790" s="20"/>
      <c r="M5790" s="20"/>
      <c r="N5790" s="20"/>
      <c r="O5790" s="20"/>
      <c r="P5790" s="20"/>
      <c r="Q5790" s="20"/>
      <c r="R5790" s="20"/>
      <c r="S5790" s="20"/>
      <c r="T5790" s="20"/>
      <c r="U5790" s="20"/>
      <c r="V5790" s="20"/>
      <c r="W5790" s="21"/>
      <c r="X5790" s="20"/>
      <c r="Y5790" s="22"/>
      <c r="Z5790" s="22"/>
      <c r="AA5790" s="22"/>
      <c r="AB5790" s="22"/>
      <c r="AC5790" s="22"/>
    </row>
    <row r="5791" spans="1:29" ht="32.25" customHeight="1">
      <c r="A5791" s="19"/>
      <c r="B5791" s="20"/>
      <c r="C5791" s="20"/>
      <c r="D5791" s="20"/>
      <c r="E5791" s="20"/>
      <c r="F5791" s="20"/>
      <c r="G5791" s="20"/>
      <c r="H5791" s="20"/>
      <c r="I5791" s="20"/>
      <c r="J5791" s="20"/>
      <c r="K5791" s="20"/>
      <c r="L5791" s="20"/>
      <c r="M5791" s="20"/>
      <c r="N5791" s="20"/>
      <c r="O5791" s="20"/>
      <c r="P5791" s="20"/>
      <c r="Q5791" s="20"/>
      <c r="R5791" s="20"/>
      <c r="S5791" s="20"/>
      <c r="T5791" s="20"/>
      <c r="U5791" s="20"/>
      <c r="V5791" s="20"/>
      <c r="W5791" s="21"/>
      <c r="X5791" s="20"/>
      <c r="Y5791" s="22"/>
      <c r="Z5791" s="22"/>
      <c r="AA5791" s="22"/>
      <c r="AB5791" s="22"/>
      <c r="AC5791" s="22"/>
    </row>
    <row r="5792" spans="1:29" ht="32.25" customHeight="1">
      <c r="A5792" s="19"/>
      <c r="B5792" s="20"/>
      <c r="C5792" s="20"/>
      <c r="D5792" s="20"/>
      <c r="E5792" s="20"/>
      <c r="F5792" s="20"/>
      <c r="G5792" s="20"/>
      <c r="H5792" s="20"/>
      <c r="I5792" s="20"/>
      <c r="J5792" s="20"/>
      <c r="K5792" s="20"/>
      <c r="L5792" s="20"/>
      <c r="M5792" s="20"/>
      <c r="N5792" s="20"/>
      <c r="O5792" s="20"/>
      <c r="P5792" s="20"/>
      <c r="Q5792" s="20"/>
      <c r="R5792" s="20"/>
      <c r="S5792" s="20"/>
      <c r="T5792" s="20"/>
      <c r="U5792" s="20"/>
      <c r="V5792" s="20"/>
      <c r="W5792" s="21"/>
      <c r="X5792" s="20"/>
      <c r="Y5792" s="22"/>
      <c r="Z5792" s="22"/>
      <c r="AA5792" s="22"/>
      <c r="AB5792" s="22"/>
      <c r="AC5792" s="22"/>
    </row>
    <row r="5793" spans="1:29" ht="32.25" customHeight="1">
      <c r="A5793" s="19"/>
      <c r="B5793" s="20"/>
      <c r="C5793" s="20"/>
      <c r="D5793" s="20"/>
      <c r="E5793" s="20"/>
      <c r="F5793" s="20"/>
      <c r="G5793" s="20"/>
      <c r="H5793" s="20"/>
      <c r="I5793" s="20"/>
      <c r="J5793" s="20"/>
      <c r="K5793" s="20"/>
      <c r="L5793" s="20"/>
      <c r="M5793" s="20"/>
      <c r="N5793" s="20"/>
      <c r="O5793" s="20"/>
      <c r="P5793" s="20"/>
      <c r="Q5793" s="20"/>
      <c r="R5793" s="20"/>
      <c r="S5793" s="20"/>
      <c r="T5793" s="20"/>
      <c r="U5793" s="20"/>
      <c r="V5793" s="20"/>
      <c r="W5793" s="21"/>
      <c r="X5793" s="20"/>
      <c r="Y5793" s="22"/>
      <c r="Z5793" s="22"/>
      <c r="AA5793" s="22"/>
      <c r="AB5793" s="22"/>
      <c r="AC5793" s="22"/>
    </row>
    <row r="5794" spans="1:29" ht="32.25" customHeight="1">
      <c r="A5794" s="19"/>
      <c r="B5794" s="20"/>
      <c r="C5794" s="20"/>
      <c r="D5794" s="20"/>
      <c r="E5794" s="20"/>
      <c r="F5794" s="20"/>
      <c r="G5794" s="20"/>
      <c r="H5794" s="20"/>
      <c r="I5794" s="20"/>
      <c r="J5794" s="20"/>
      <c r="K5794" s="20"/>
      <c r="L5794" s="20"/>
      <c r="M5794" s="20"/>
      <c r="N5794" s="20"/>
      <c r="O5794" s="20"/>
      <c r="P5794" s="20"/>
      <c r="Q5794" s="20"/>
      <c r="R5794" s="20"/>
      <c r="S5794" s="20"/>
      <c r="T5794" s="20"/>
      <c r="U5794" s="20"/>
      <c r="V5794" s="20"/>
      <c r="W5794" s="21"/>
      <c r="X5794" s="20"/>
      <c r="Y5794" s="22"/>
      <c r="Z5794" s="22"/>
      <c r="AA5794" s="22"/>
      <c r="AB5794" s="22"/>
      <c r="AC5794" s="22"/>
    </row>
    <row r="5795" spans="1:29" ht="32.25" customHeight="1">
      <c r="A5795" s="19"/>
      <c r="B5795" s="20"/>
      <c r="C5795" s="20"/>
      <c r="D5795" s="20"/>
      <c r="E5795" s="20"/>
      <c r="F5795" s="20"/>
      <c r="G5795" s="20"/>
      <c r="H5795" s="20"/>
      <c r="I5795" s="20"/>
      <c r="J5795" s="20"/>
      <c r="K5795" s="20"/>
      <c r="L5795" s="20"/>
      <c r="M5795" s="20"/>
      <c r="N5795" s="20"/>
      <c r="O5795" s="20"/>
      <c r="P5795" s="20"/>
      <c r="Q5795" s="20"/>
      <c r="R5795" s="20"/>
      <c r="S5795" s="20"/>
      <c r="T5795" s="20"/>
      <c r="U5795" s="20"/>
      <c r="V5795" s="20"/>
      <c r="W5795" s="21"/>
      <c r="X5795" s="20"/>
      <c r="Y5795" s="22"/>
      <c r="Z5795" s="22"/>
      <c r="AA5795" s="22"/>
      <c r="AB5795" s="22"/>
      <c r="AC5795" s="22"/>
    </row>
    <row r="5796" spans="1:29" ht="32.25" customHeight="1">
      <c r="A5796" s="19"/>
      <c r="B5796" s="20"/>
      <c r="C5796" s="20"/>
      <c r="D5796" s="20"/>
      <c r="E5796" s="20"/>
      <c r="F5796" s="20"/>
      <c r="G5796" s="20"/>
      <c r="H5796" s="20"/>
      <c r="I5796" s="20"/>
      <c r="J5796" s="20"/>
      <c r="K5796" s="20"/>
      <c r="L5796" s="20"/>
      <c r="M5796" s="20"/>
      <c r="N5796" s="20"/>
      <c r="O5796" s="20"/>
      <c r="P5796" s="20"/>
      <c r="Q5796" s="20"/>
      <c r="R5796" s="20"/>
      <c r="S5796" s="20"/>
      <c r="T5796" s="20"/>
      <c r="U5796" s="20"/>
      <c r="V5796" s="20"/>
      <c r="W5796" s="21"/>
      <c r="X5796" s="20"/>
      <c r="Y5796" s="22"/>
      <c r="Z5796" s="22"/>
      <c r="AA5796" s="22"/>
      <c r="AB5796" s="22"/>
      <c r="AC5796" s="22"/>
    </row>
    <row r="5797" spans="1:29" ht="32.25" customHeight="1">
      <c r="A5797" s="19"/>
      <c r="B5797" s="20"/>
      <c r="C5797" s="20"/>
      <c r="D5797" s="20"/>
      <c r="E5797" s="20"/>
      <c r="F5797" s="20"/>
      <c r="G5797" s="20"/>
      <c r="H5797" s="20"/>
      <c r="I5797" s="20"/>
      <c r="J5797" s="20"/>
      <c r="K5797" s="20"/>
      <c r="L5797" s="20"/>
      <c r="M5797" s="20"/>
      <c r="N5797" s="20"/>
      <c r="O5797" s="20"/>
      <c r="P5797" s="20"/>
      <c r="Q5797" s="20"/>
      <c r="R5797" s="20"/>
      <c r="S5797" s="20"/>
      <c r="T5797" s="20"/>
      <c r="U5797" s="20"/>
      <c r="V5797" s="20"/>
      <c r="W5797" s="21"/>
      <c r="X5797" s="20"/>
      <c r="Y5797" s="22"/>
      <c r="Z5797" s="22"/>
      <c r="AA5797" s="22"/>
      <c r="AB5797" s="22"/>
      <c r="AC5797" s="22"/>
    </row>
    <row r="5798" spans="1:29" ht="32.25" customHeight="1">
      <c r="A5798" s="19"/>
      <c r="B5798" s="20"/>
      <c r="C5798" s="20"/>
      <c r="D5798" s="20"/>
      <c r="E5798" s="20"/>
      <c r="F5798" s="20"/>
      <c r="G5798" s="20"/>
      <c r="H5798" s="20"/>
      <c r="I5798" s="20"/>
      <c r="J5798" s="20"/>
      <c r="K5798" s="20"/>
      <c r="L5798" s="20"/>
      <c r="M5798" s="20"/>
      <c r="N5798" s="20"/>
      <c r="O5798" s="20"/>
      <c r="P5798" s="20"/>
      <c r="Q5798" s="20"/>
      <c r="R5798" s="20"/>
      <c r="S5798" s="20"/>
      <c r="T5798" s="20"/>
      <c r="U5798" s="20"/>
      <c r="V5798" s="20"/>
      <c r="W5798" s="21"/>
      <c r="X5798" s="20"/>
      <c r="Y5798" s="22"/>
      <c r="Z5798" s="22"/>
      <c r="AA5798" s="22"/>
      <c r="AB5798" s="22"/>
      <c r="AC5798" s="22"/>
    </row>
    <row r="5799" spans="1:29" ht="32.25" customHeight="1">
      <c r="A5799" s="19"/>
      <c r="B5799" s="20"/>
      <c r="C5799" s="20"/>
      <c r="D5799" s="20"/>
      <c r="E5799" s="20"/>
      <c r="F5799" s="20"/>
      <c r="G5799" s="20"/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1"/>
      <c r="X5799" s="20"/>
      <c r="Y5799" s="22"/>
      <c r="Z5799" s="22"/>
      <c r="AA5799" s="22"/>
      <c r="AB5799" s="22"/>
      <c r="AC5799" s="22"/>
    </row>
    <row r="5800" spans="1:29" ht="32.25" customHeight="1">
      <c r="A5800" s="19"/>
      <c r="B5800" s="20"/>
      <c r="C5800" s="20"/>
      <c r="D5800" s="20"/>
      <c r="E5800" s="20"/>
      <c r="F5800" s="20"/>
      <c r="G5800" s="20"/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1"/>
      <c r="X5800" s="20"/>
      <c r="Y5800" s="22"/>
      <c r="Z5800" s="22"/>
      <c r="AA5800" s="22"/>
      <c r="AB5800" s="22"/>
      <c r="AC5800" s="22"/>
    </row>
    <row r="5801" spans="1:29" ht="32.25" customHeight="1">
      <c r="A5801" s="19"/>
      <c r="B5801" s="20"/>
      <c r="C5801" s="20"/>
      <c r="D5801" s="20"/>
      <c r="E5801" s="20"/>
      <c r="F5801" s="20"/>
      <c r="G5801" s="20"/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1"/>
      <c r="X5801" s="20"/>
      <c r="Y5801" s="22"/>
      <c r="Z5801" s="22"/>
      <c r="AA5801" s="22"/>
      <c r="AB5801" s="22"/>
      <c r="AC5801" s="22"/>
    </row>
    <row r="5802" spans="1:29" ht="32.25" customHeight="1">
      <c r="A5802" s="19"/>
      <c r="B5802" s="20"/>
      <c r="C5802" s="20"/>
      <c r="D5802" s="20"/>
      <c r="E5802" s="20"/>
      <c r="F5802" s="20"/>
      <c r="G5802" s="20"/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1"/>
      <c r="X5802" s="20"/>
      <c r="Y5802" s="22"/>
      <c r="Z5802" s="22"/>
      <c r="AA5802" s="22"/>
      <c r="AB5802" s="22"/>
      <c r="AC5802" s="22"/>
    </row>
    <row r="5803" spans="1:29" ht="32.25" customHeight="1">
      <c r="A5803" s="19"/>
      <c r="B5803" s="20"/>
      <c r="C5803" s="20"/>
      <c r="D5803" s="20"/>
      <c r="E5803" s="20"/>
      <c r="F5803" s="20"/>
      <c r="G5803" s="20"/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1"/>
      <c r="X5803" s="20"/>
      <c r="Y5803" s="22"/>
      <c r="Z5803" s="22"/>
      <c r="AA5803" s="22"/>
      <c r="AB5803" s="22"/>
      <c r="AC5803" s="22"/>
    </row>
    <row r="5804" spans="1:29" ht="32.25" customHeight="1">
      <c r="A5804" s="19"/>
      <c r="B5804" s="20"/>
      <c r="C5804" s="20"/>
      <c r="D5804" s="20"/>
      <c r="E5804" s="20"/>
      <c r="F5804" s="20"/>
      <c r="G5804" s="20"/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1"/>
      <c r="X5804" s="20"/>
      <c r="Y5804" s="22"/>
      <c r="Z5804" s="22"/>
      <c r="AA5804" s="22"/>
      <c r="AB5804" s="22"/>
      <c r="AC5804" s="22"/>
    </row>
    <row r="5805" spans="1:29" ht="32.25" customHeight="1">
      <c r="A5805" s="19"/>
      <c r="B5805" s="20"/>
      <c r="C5805" s="20"/>
      <c r="D5805" s="20"/>
      <c r="E5805" s="20"/>
      <c r="F5805" s="20"/>
      <c r="G5805" s="20"/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1"/>
      <c r="X5805" s="20"/>
      <c r="Y5805" s="22"/>
      <c r="Z5805" s="22"/>
      <c r="AA5805" s="22"/>
      <c r="AB5805" s="22"/>
      <c r="AC5805" s="22"/>
    </row>
    <row r="5806" spans="1:29" ht="32.25" customHeight="1">
      <c r="A5806" s="19"/>
      <c r="B5806" s="20"/>
      <c r="C5806" s="20"/>
      <c r="D5806" s="20"/>
      <c r="E5806" s="20"/>
      <c r="F5806" s="20"/>
      <c r="G5806" s="20"/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1"/>
      <c r="X5806" s="20"/>
      <c r="Y5806" s="22"/>
      <c r="Z5806" s="22"/>
      <c r="AA5806" s="22"/>
      <c r="AB5806" s="22"/>
      <c r="AC5806" s="22"/>
    </row>
    <row r="5807" spans="1:29" ht="32.25" customHeight="1">
      <c r="A5807" s="19"/>
      <c r="B5807" s="20"/>
      <c r="C5807" s="20"/>
      <c r="D5807" s="20"/>
      <c r="E5807" s="20"/>
      <c r="F5807" s="20"/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1"/>
      <c r="X5807" s="20"/>
      <c r="Y5807" s="22"/>
      <c r="Z5807" s="22"/>
      <c r="AA5807" s="22"/>
      <c r="AB5807" s="22"/>
      <c r="AC5807" s="22"/>
    </row>
    <row r="5808" spans="1:29" ht="32.25" customHeight="1">
      <c r="A5808" s="19"/>
      <c r="B5808" s="20"/>
      <c r="C5808" s="20"/>
      <c r="D5808" s="20"/>
      <c r="E5808" s="20"/>
      <c r="F5808" s="20"/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1"/>
      <c r="X5808" s="20"/>
      <c r="Y5808" s="22"/>
      <c r="Z5808" s="22"/>
      <c r="AA5808" s="22"/>
      <c r="AB5808" s="22"/>
      <c r="AC5808" s="22"/>
    </row>
    <row r="5809" spans="1:29" ht="32.25" customHeight="1">
      <c r="A5809" s="19"/>
      <c r="B5809" s="20"/>
      <c r="C5809" s="20"/>
      <c r="D5809" s="20"/>
      <c r="E5809" s="20"/>
      <c r="F5809" s="20"/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1"/>
      <c r="X5809" s="20"/>
      <c r="Y5809" s="22"/>
      <c r="Z5809" s="22"/>
      <c r="AA5809" s="22"/>
      <c r="AB5809" s="22"/>
      <c r="AC5809" s="22"/>
    </row>
    <row r="5810" spans="1:29" ht="32.25" customHeight="1">
      <c r="A5810" s="19"/>
      <c r="B5810" s="20"/>
      <c r="C5810" s="20"/>
      <c r="D5810" s="20"/>
      <c r="E5810" s="20"/>
      <c r="F5810" s="20"/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1"/>
      <c r="X5810" s="20"/>
      <c r="Y5810" s="22"/>
      <c r="Z5810" s="22"/>
      <c r="AA5810" s="22"/>
      <c r="AB5810" s="22"/>
      <c r="AC5810" s="22"/>
    </row>
    <row r="5811" spans="1:29" ht="32.25" customHeight="1">
      <c r="A5811" s="19"/>
      <c r="B5811" s="20"/>
      <c r="C5811" s="20"/>
      <c r="D5811" s="20"/>
      <c r="E5811" s="20"/>
      <c r="F5811" s="20"/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1"/>
      <c r="X5811" s="20"/>
      <c r="Y5811" s="22"/>
      <c r="Z5811" s="22"/>
      <c r="AA5811" s="22"/>
      <c r="AB5811" s="22"/>
      <c r="AC5811" s="22"/>
    </row>
    <row r="5812" spans="1:29" ht="32.25" customHeight="1">
      <c r="A5812" s="19"/>
      <c r="B5812" s="20"/>
      <c r="C5812" s="20"/>
      <c r="D5812" s="20"/>
      <c r="E5812" s="20"/>
      <c r="F5812" s="20"/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1"/>
      <c r="X5812" s="20"/>
      <c r="Y5812" s="22"/>
      <c r="Z5812" s="22"/>
      <c r="AA5812" s="22"/>
      <c r="AB5812" s="22"/>
      <c r="AC5812" s="22"/>
    </row>
    <row r="5813" spans="1:29" ht="32.25" customHeight="1">
      <c r="A5813" s="19"/>
      <c r="B5813" s="20"/>
      <c r="C5813" s="20"/>
      <c r="D5813" s="20"/>
      <c r="E5813" s="20"/>
      <c r="F5813" s="20"/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1"/>
      <c r="X5813" s="20"/>
      <c r="Y5813" s="22"/>
      <c r="Z5813" s="22"/>
      <c r="AA5813" s="22"/>
      <c r="AB5813" s="22"/>
      <c r="AC5813" s="22"/>
    </row>
    <row r="5814" spans="1:29" ht="32.25" customHeight="1">
      <c r="A5814" s="19"/>
      <c r="B5814" s="20"/>
      <c r="C5814" s="20"/>
      <c r="D5814" s="20"/>
      <c r="E5814" s="20"/>
      <c r="F5814" s="20"/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1"/>
      <c r="X5814" s="20"/>
      <c r="Y5814" s="22"/>
      <c r="Z5814" s="22"/>
      <c r="AA5814" s="22"/>
      <c r="AB5814" s="22"/>
      <c r="AC5814" s="22"/>
    </row>
    <row r="5815" spans="1:29" ht="32.25" customHeight="1">
      <c r="A5815" s="19"/>
      <c r="B5815" s="20"/>
      <c r="C5815" s="20"/>
      <c r="D5815" s="20"/>
      <c r="E5815" s="20"/>
      <c r="F5815" s="20"/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1"/>
      <c r="X5815" s="20"/>
      <c r="Y5815" s="22"/>
      <c r="Z5815" s="22"/>
      <c r="AA5815" s="22"/>
      <c r="AB5815" s="22"/>
      <c r="AC5815" s="22"/>
    </row>
    <row r="5816" spans="1:29" ht="32.25" customHeight="1">
      <c r="A5816" s="19"/>
      <c r="B5816" s="20"/>
      <c r="C5816" s="20"/>
      <c r="D5816" s="20"/>
      <c r="E5816" s="20"/>
      <c r="F5816" s="20"/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1"/>
      <c r="X5816" s="20"/>
      <c r="Y5816" s="22"/>
      <c r="Z5816" s="22"/>
      <c r="AA5816" s="22"/>
      <c r="AB5816" s="22"/>
      <c r="AC5816" s="22"/>
    </row>
    <row r="5817" spans="1:29" ht="32.25" customHeight="1">
      <c r="A5817" s="19"/>
      <c r="B5817" s="20"/>
      <c r="C5817" s="20"/>
      <c r="D5817" s="20"/>
      <c r="E5817" s="20"/>
      <c r="F5817" s="20"/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1"/>
      <c r="X5817" s="20"/>
      <c r="Y5817" s="22"/>
      <c r="Z5817" s="22"/>
      <c r="AA5817" s="22"/>
      <c r="AB5817" s="22"/>
      <c r="AC5817" s="22"/>
    </row>
    <row r="5818" spans="1:29" ht="32.25" customHeight="1">
      <c r="A5818" s="19"/>
      <c r="B5818" s="20"/>
      <c r="C5818" s="20"/>
      <c r="D5818" s="20"/>
      <c r="E5818" s="20"/>
      <c r="F5818" s="20"/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1"/>
      <c r="X5818" s="20"/>
      <c r="Y5818" s="22"/>
      <c r="Z5818" s="22"/>
      <c r="AA5818" s="22"/>
      <c r="AB5818" s="22"/>
      <c r="AC5818" s="22"/>
    </row>
    <row r="5819" spans="1:29" ht="32.25" customHeight="1">
      <c r="A5819" s="19"/>
      <c r="B5819" s="20"/>
      <c r="C5819" s="20"/>
      <c r="D5819" s="20"/>
      <c r="E5819" s="20"/>
      <c r="F5819" s="20"/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1"/>
      <c r="X5819" s="20"/>
      <c r="Y5819" s="22"/>
      <c r="Z5819" s="22"/>
      <c r="AA5819" s="22"/>
      <c r="AB5819" s="22"/>
      <c r="AC5819" s="22"/>
    </row>
    <row r="5820" spans="1:29" ht="32.25" customHeight="1">
      <c r="A5820" s="19"/>
      <c r="B5820" s="20"/>
      <c r="C5820" s="20"/>
      <c r="D5820" s="20"/>
      <c r="E5820" s="20"/>
      <c r="F5820" s="20"/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1"/>
      <c r="X5820" s="20"/>
      <c r="Y5820" s="22"/>
      <c r="Z5820" s="22"/>
      <c r="AA5820" s="22"/>
      <c r="AB5820" s="22"/>
      <c r="AC5820" s="22"/>
    </row>
    <row r="5821" spans="1:29" ht="32.25" customHeight="1">
      <c r="A5821" s="19"/>
      <c r="B5821" s="20"/>
      <c r="C5821" s="20"/>
      <c r="D5821" s="20"/>
      <c r="E5821" s="20"/>
      <c r="F5821" s="20"/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1"/>
      <c r="X5821" s="20"/>
      <c r="Y5821" s="22"/>
      <c r="Z5821" s="22"/>
      <c r="AA5821" s="22"/>
      <c r="AB5821" s="22"/>
      <c r="AC5821" s="22"/>
    </row>
    <row r="5822" spans="1:29" ht="32.25" customHeight="1">
      <c r="A5822" s="19"/>
      <c r="B5822" s="20"/>
      <c r="C5822" s="20"/>
      <c r="D5822" s="20"/>
      <c r="E5822" s="20"/>
      <c r="F5822" s="20"/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1"/>
      <c r="X5822" s="20"/>
      <c r="Y5822" s="22"/>
      <c r="Z5822" s="22"/>
      <c r="AA5822" s="22"/>
      <c r="AB5822" s="22"/>
      <c r="AC5822" s="22"/>
    </row>
    <row r="5823" spans="1:29" ht="32.25" customHeight="1">
      <c r="A5823" s="19"/>
      <c r="B5823" s="20"/>
      <c r="C5823" s="20"/>
      <c r="D5823" s="20"/>
      <c r="E5823" s="20"/>
      <c r="F5823" s="20"/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1"/>
      <c r="X5823" s="20"/>
      <c r="Y5823" s="22"/>
      <c r="Z5823" s="22"/>
      <c r="AA5823" s="22"/>
      <c r="AB5823" s="22"/>
      <c r="AC5823" s="22"/>
    </row>
    <row r="5824" spans="1:29" ht="32.25" customHeight="1">
      <c r="A5824" s="19"/>
      <c r="B5824" s="20"/>
      <c r="C5824" s="20"/>
      <c r="D5824" s="20"/>
      <c r="E5824" s="20"/>
      <c r="F5824" s="20"/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1"/>
      <c r="X5824" s="20"/>
      <c r="Y5824" s="22"/>
      <c r="Z5824" s="22"/>
      <c r="AA5824" s="22"/>
      <c r="AB5824" s="22"/>
      <c r="AC5824" s="22"/>
    </row>
    <row r="5825" spans="1:29" ht="32.25" customHeight="1">
      <c r="A5825" s="19"/>
      <c r="B5825" s="20"/>
      <c r="C5825" s="20"/>
      <c r="D5825" s="20"/>
      <c r="E5825" s="20"/>
      <c r="F5825" s="20"/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1"/>
      <c r="X5825" s="20"/>
      <c r="Y5825" s="22"/>
      <c r="Z5825" s="22"/>
      <c r="AA5825" s="22"/>
      <c r="AB5825" s="22"/>
      <c r="AC5825" s="22"/>
    </row>
    <row r="5826" spans="1:29" ht="32.25" customHeight="1">
      <c r="A5826" s="19"/>
      <c r="B5826" s="20"/>
      <c r="C5826" s="20"/>
      <c r="D5826" s="20"/>
      <c r="E5826" s="20"/>
      <c r="F5826" s="20"/>
      <c r="G5826" s="20"/>
      <c r="H5826" s="20"/>
      <c r="I5826" s="20"/>
      <c r="J5826" s="20"/>
      <c r="K5826" s="20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1"/>
      <c r="X5826" s="20"/>
      <c r="Y5826" s="22"/>
      <c r="Z5826" s="22"/>
      <c r="AA5826" s="22"/>
      <c r="AB5826" s="22"/>
      <c r="AC5826" s="22"/>
    </row>
    <row r="5827" spans="1:29" ht="32.25" customHeight="1">
      <c r="A5827" s="19"/>
      <c r="B5827" s="20"/>
      <c r="C5827" s="20"/>
      <c r="D5827" s="20"/>
      <c r="E5827" s="20"/>
      <c r="F5827" s="20"/>
      <c r="G5827" s="20"/>
      <c r="H5827" s="20"/>
      <c r="I5827" s="20"/>
      <c r="J5827" s="20"/>
      <c r="K5827" s="20"/>
      <c r="L5827" s="20"/>
      <c r="M5827" s="20"/>
      <c r="N5827" s="20"/>
      <c r="O5827" s="20"/>
      <c r="P5827" s="20"/>
      <c r="Q5827" s="20"/>
      <c r="R5827" s="20"/>
      <c r="S5827" s="20"/>
      <c r="T5827" s="20"/>
      <c r="U5827" s="20"/>
      <c r="V5827" s="20"/>
      <c r="W5827" s="21"/>
      <c r="X5827" s="20"/>
      <c r="Y5827" s="22"/>
      <c r="Z5827" s="22"/>
      <c r="AA5827" s="22"/>
      <c r="AB5827" s="22"/>
      <c r="AC5827" s="22"/>
    </row>
    <row r="5828" spans="1:29" ht="32.25" customHeight="1">
      <c r="A5828" s="19"/>
      <c r="B5828" s="20"/>
      <c r="C5828" s="20"/>
      <c r="D5828" s="20"/>
      <c r="E5828" s="20"/>
      <c r="F5828" s="20"/>
      <c r="G5828" s="20"/>
      <c r="H5828" s="20"/>
      <c r="I5828" s="20"/>
      <c r="J5828" s="20"/>
      <c r="K5828" s="20"/>
      <c r="L5828" s="20"/>
      <c r="M5828" s="20"/>
      <c r="N5828" s="20"/>
      <c r="O5828" s="20"/>
      <c r="P5828" s="20"/>
      <c r="Q5828" s="20"/>
      <c r="R5828" s="20"/>
      <c r="S5828" s="20"/>
      <c r="T5828" s="20"/>
      <c r="U5828" s="20"/>
      <c r="V5828" s="20"/>
      <c r="W5828" s="21"/>
      <c r="X5828" s="20"/>
      <c r="Y5828" s="22"/>
      <c r="Z5828" s="22"/>
      <c r="AA5828" s="22"/>
      <c r="AB5828" s="22"/>
      <c r="AC5828" s="22"/>
    </row>
    <row r="5829" spans="1:29" ht="32.25" customHeight="1">
      <c r="A5829" s="19"/>
      <c r="B5829" s="20"/>
      <c r="C5829" s="20"/>
      <c r="D5829" s="20"/>
      <c r="E5829" s="20"/>
      <c r="F5829" s="20"/>
      <c r="G5829" s="20"/>
      <c r="H5829" s="20"/>
      <c r="I5829" s="20"/>
      <c r="J5829" s="20"/>
      <c r="K5829" s="20"/>
      <c r="L5829" s="20"/>
      <c r="M5829" s="20"/>
      <c r="N5829" s="20"/>
      <c r="O5829" s="20"/>
      <c r="P5829" s="20"/>
      <c r="Q5829" s="20"/>
      <c r="R5829" s="20"/>
      <c r="S5829" s="20"/>
      <c r="T5829" s="20"/>
      <c r="U5829" s="20"/>
      <c r="V5829" s="20"/>
      <c r="W5829" s="21"/>
      <c r="X5829" s="20"/>
      <c r="Y5829" s="22"/>
      <c r="Z5829" s="22"/>
      <c r="AA5829" s="22"/>
      <c r="AB5829" s="22"/>
      <c r="AC5829" s="22"/>
    </row>
    <row r="5830" spans="1:29" ht="32.25" customHeight="1">
      <c r="A5830" s="19"/>
      <c r="B5830" s="20"/>
      <c r="C5830" s="20"/>
      <c r="D5830" s="20"/>
      <c r="E5830" s="20"/>
      <c r="F5830" s="20"/>
      <c r="G5830" s="20"/>
      <c r="H5830" s="20"/>
      <c r="I5830" s="20"/>
      <c r="J5830" s="20"/>
      <c r="K5830" s="20"/>
      <c r="L5830" s="20"/>
      <c r="M5830" s="20"/>
      <c r="N5830" s="20"/>
      <c r="O5830" s="20"/>
      <c r="P5830" s="20"/>
      <c r="Q5830" s="20"/>
      <c r="R5830" s="20"/>
      <c r="S5830" s="20"/>
      <c r="T5830" s="20"/>
      <c r="U5830" s="20"/>
      <c r="V5830" s="20"/>
      <c r="W5830" s="21"/>
      <c r="X5830" s="20"/>
      <c r="Y5830" s="22"/>
      <c r="Z5830" s="22"/>
      <c r="AA5830" s="22"/>
      <c r="AB5830" s="22"/>
      <c r="AC5830" s="22"/>
    </row>
    <row r="5831" spans="1:29" ht="32.25" customHeight="1">
      <c r="A5831" s="19"/>
      <c r="B5831" s="20"/>
      <c r="C5831" s="20"/>
      <c r="D5831" s="20"/>
      <c r="E5831" s="20"/>
      <c r="F5831" s="20"/>
      <c r="G5831" s="20"/>
      <c r="H5831" s="20"/>
      <c r="I5831" s="20"/>
      <c r="J5831" s="20"/>
      <c r="K5831" s="20"/>
      <c r="L5831" s="20"/>
      <c r="M5831" s="20"/>
      <c r="N5831" s="20"/>
      <c r="O5831" s="20"/>
      <c r="P5831" s="20"/>
      <c r="Q5831" s="20"/>
      <c r="R5831" s="20"/>
      <c r="S5831" s="20"/>
      <c r="T5831" s="20"/>
      <c r="U5831" s="20"/>
      <c r="V5831" s="20"/>
      <c r="W5831" s="21"/>
      <c r="X5831" s="20"/>
      <c r="Y5831" s="22"/>
      <c r="Z5831" s="22"/>
      <c r="AA5831" s="22"/>
      <c r="AB5831" s="22"/>
      <c r="AC5831" s="22"/>
    </row>
    <row r="5832" spans="1:29" ht="32.25" customHeight="1">
      <c r="A5832" s="19"/>
      <c r="B5832" s="20"/>
      <c r="C5832" s="20"/>
      <c r="D5832" s="20"/>
      <c r="E5832" s="20"/>
      <c r="F5832" s="20"/>
      <c r="G5832" s="20"/>
      <c r="H5832" s="20"/>
      <c r="I5832" s="20"/>
      <c r="J5832" s="20"/>
      <c r="K5832" s="20"/>
      <c r="L5832" s="20"/>
      <c r="M5832" s="20"/>
      <c r="N5832" s="20"/>
      <c r="O5832" s="20"/>
      <c r="P5832" s="20"/>
      <c r="Q5832" s="20"/>
      <c r="R5832" s="20"/>
      <c r="S5832" s="20"/>
      <c r="T5832" s="20"/>
      <c r="U5832" s="20"/>
      <c r="V5832" s="20"/>
      <c r="W5832" s="21"/>
      <c r="X5832" s="20"/>
      <c r="Y5832" s="22"/>
      <c r="Z5832" s="22"/>
      <c r="AA5832" s="22"/>
      <c r="AB5832" s="22"/>
      <c r="AC5832" s="22"/>
    </row>
    <row r="5833" spans="1:29" ht="32.25" customHeight="1">
      <c r="A5833" s="19"/>
      <c r="B5833" s="20"/>
      <c r="C5833" s="20"/>
      <c r="D5833" s="20"/>
      <c r="E5833" s="20"/>
      <c r="F5833" s="20"/>
      <c r="G5833" s="20"/>
      <c r="H5833" s="20"/>
      <c r="I5833" s="20"/>
      <c r="J5833" s="20"/>
      <c r="K5833" s="20"/>
      <c r="L5833" s="20"/>
      <c r="M5833" s="20"/>
      <c r="N5833" s="20"/>
      <c r="O5833" s="20"/>
      <c r="P5833" s="20"/>
      <c r="Q5833" s="20"/>
      <c r="R5833" s="20"/>
      <c r="S5833" s="20"/>
      <c r="T5833" s="20"/>
      <c r="U5833" s="20"/>
      <c r="V5833" s="20"/>
      <c r="W5833" s="21"/>
      <c r="X5833" s="20"/>
      <c r="Y5833" s="22"/>
      <c r="Z5833" s="22"/>
      <c r="AA5833" s="22"/>
      <c r="AB5833" s="22"/>
      <c r="AC5833" s="22"/>
    </row>
    <row r="5834" spans="1:29" ht="32.25" customHeight="1">
      <c r="A5834" s="19"/>
      <c r="B5834" s="20"/>
      <c r="C5834" s="20"/>
      <c r="D5834" s="20"/>
      <c r="E5834" s="20"/>
      <c r="F5834" s="20"/>
      <c r="G5834" s="20"/>
      <c r="H5834" s="20"/>
      <c r="I5834" s="20"/>
      <c r="J5834" s="20"/>
      <c r="K5834" s="20"/>
      <c r="L5834" s="20"/>
      <c r="M5834" s="20"/>
      <c r="N5834" s="20"/>
      <c r="O5834" s="20"/>
      <c r="P5834" s="20"/>
      <c r="Q5834" s="20"/>
      <c r="R5834" s="20"/>
      <c r="S5834" s="20"/>
      <c r="T5834" s="20"/>
      <c r="U5834" s="20"/>
      <c r="V5834" s="20"/>
      <c r="W5834" s="21"/>
      <c r="X5834" s="20"/>
      <c r="Y5834" s="22"/>
      <c r="Z5834" s="22"/>
      <c r="AA5834" s="22"/>
      <c r="AB5834" s="22"/>
      <c r="AC5834" s="22"/>
    </row>
    <row r="5835" spans="1:29" ht="32.25" customHeight="1">
      <c r="A5835" s="19"/>
      <c r="B5835" s="20"/>
      <c r="C5835" s="20"/>
      <c r="D5835" s="20"/>
      <c r="E5835" s="20"/>
      <c r="F5835" s="20"/>
      <c r="G5835" s="20"/>
      <c r="H5835" s="20"/>
      <c r="I5835" s="20"/>
      <c r="J5835" s="20"/>
      <c r="K5835" s="20"/>
      <c r="L5835" s="20"/>
      <c r="M5835" s="20"/>
      <c r="N5835" s="20"/>
      <c r="O5835" s="20"/>
      <c r="P5835" s="20"/>
      <c r="Q5835" s="20"/>
      <c r="R5835" s="20"/>
      <c r="S5835" s="20"/>
      <c r="T5835" s="20"/>
      <c r="U5835" s="20"/>
      <c r="V5835" s="20"/>
      <c r="W5835" s="21"/>
      <c r="X5835" s="20"/>
      <c r="Y5835" s="22"/>
      <c r="Z5835" s="22"/>
      <c r="AA5835" s="22"/>
      <c r="AB5835" s="22"/>
      <c r="AC5835" s="22"/>
    </row>
    <row r="5836" spans="1:29" ht="32.25" customHeight="1">
      <c r="A5836" s="19"/>
      <c r="B5836" s="20"/>
      <c r="C5836" s="20"/>
      <c r="D5836" s="20"/>
      <c r="E5836" s="20"/>
      <c r="F5836" s="20"/>
      <c r="G5836" s="20"/>
      <c r="H5836" s="20"/>
      <c r="I5836" s="20"/>
      <c r="J5836" s="20"/>
      <c r="K5836" s="20"/>
      <c r="L5836" s="20"/>
      <c r="M5836" s="20"/>
      <c r="N5836" s="20"/>
      <c r="O5836" s="20"/>
      <c r="P5836" s="20"/>
      <c r="Q5836" s="20"/>
      <c r="R5836" s="20"/>
      <c r="S5836" s="20"/>
      <c r="T5836" s="20"/>
      <c r="U5836" s="20"/>
      <c r="V5836" s="20"/>
      <c r="W5836" s="21"/>
      <c r="X5836" s="20"/>
      <c r="Y5836" s="22"/>
      <c r="Z5836" s="22"/>
      <c r="AA5836" s="22"/>
      <c r="AB5836" s="22"/>
      <c r="AC5836" s="22"/>
    </row>
    <row r="5837" spans="1:29" ht="32.25" customHeight="1">
      <c r="A5837" s="19"/>
      <c r="B5837" s="20"/>
      <c r="C5837" s="20"/>
      <c r="D5837" s="20"/>
      <c r="E5837" s="20"/>
      <c r="F5837" s="20"/>
      <c r="G5837" s="20"/>
      <c r="H5837" s="20"/>
      <c r="I5837" s="20"/>
      <c r="J5837" s="20"/>
      <c r="K5837" s="20"/>
      <c r="L5837" s="20"/>
      <c r="M5837" s="20"/>
      <c r="N5837" s="20"/>
      <c r="O5837" s="20"/>
      <c r="P5837" s="20"/>
      <c r="Q5837" s="20"/>
      <c r="R5837" s="20"/>
      <c r="S5837" s="20"/>
      <c r="T5837" s="20"/>
      <c r="U5837" s="20"/>
      <c r="V5837" s="20"/>
      <c r="W5837" s="21"/>
      <c r="X5837" s="20"/>
      <c r="Y5837" s="22"/>
      <c r="Z5837" s="22"/>
      <c r="AA5837" s="22"/>
      <c r="AB5837" s="22"/>
      <c r="AC5837" s="22"/>
    </row>
    <row r="5838" spans="1:29" ht="32.25" customHeight="1">
      <c r="A5838" s="19"/>
      <c r="B5838" s="20"/>
      <c r="C5838" s="20"/>
      <c r="D5838" s="20"/>
      <c r="E5838" s="20"/>
      <c r="F5838" s="20"/>
      <c r="G5838" s="20"/>
      <c r="H5838" s="20"/>
      <c r="I5838" s="20"/>
      <c r="J5838" s="20"/>
      <c r="K5838" s="20"/>
      <c r="L5838" s="20"/>
      <c r="M5838" s="20"/>
      <c r="N5838" s="20"/>
      <c r="O5838" s="20"/>
      <c r="P5838" s="20"/>
      <c r="Q5838" s="20"/>
      <c r="R5838" s="20"/>
      <c r="S5838" s="20"/>
      <c r="T5838" s="20"/>
      <c r="U5838" s="20"/>
      <c r="V5838" s="20"/>
      <c r="W5838" s="21"/>
      <c r="X5838" s="20"/>
      <c r="Y5838" s="22"/>
      <c r="Z5838" s="22"/>
      <c r="AA5838" s="22"/>
      <c r="AB5838" s="22"/>
      <c r="AC5838" s="22"/>
    </row>
    <row r="5839" spans="1:29" ht="32.25" customHeight="1">
      <c r="A5839" s="19"/>
      <c r="B5839" s="20"/>
      <c r="C5839" s="20"/>
      <c r="D5839" s="20"/>
      <c r="E5839" s="20"/>
      <c r="F5839" s="20"/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/>
      <c r="R5839" s="20"/>
      <c r="S5839" s="20"/>
      <c r="T5839" s="20"/>
      <c r="U5839" s="20"/>
      <c r="V5839" s="20"/>
      <c r="W5839" s="21"/>
      <c r="X5839" s="20"/>
      <c r="Y5839" s="22"/>
      <c r="Z5839" s="22"/>
      <c r="AA5839" s="22"/>
      <c r="AB5839" s="22"/>
      <c r="AC5839" s="22"/>
    </row>
    <row r="5840" spans="1:29" ht="32.25" customHeight="1">
      <c r="A5840" s="19"/>
      <c r="B5840" s="20"/>
      <c r="C5840" s="20"/>
      <c r="D5840" s="20"/>
      <c r="E5840" s="20"/>
      <c r="F5840" s="20"/>
      <c r="G5840" s="20"/>
      <c r="H5840" s="20"/>
      <c r="I5840" s="20"/>
      <c r="J5840" s="20"/>
      <c r="K5840" s="20"/>
      <c r="L5840" s="20"/>
      <c r="M5840" s="20"/>
      <c r="N5840" s="20"/>
      <c r="O5840" s="20"/>
      <c r="P5840" s="20"/>
      <c r="Q5840" s="20"/>
      <c r="R5840" s="20"/>
      <c r="S5840" s="20"/>
      <c r="T5840" s="20"/>
      <c r="U5840" s="20"/>
      <c r="V5840" s="20"/>
      <c r="W5840" s="21"/>
      <c r="X5840" s="20"/>
      <c r="Y5840" s="22"/>
      <c r="Z5840" s="22"/>
      <c r="AA5840" s="22"/>
      <c r="AB5840" s="22"/>
      <c r="AC5840" s="22"/>
    </row>
    <row r="5841" spans="1:29" ht="32.25" customHeight="1">
      <c r="A5841" s="19"/>
      <c r="B5841" s="20"/>
      <c r="C5841" s="20"/>
      <c r="D5841" s="20"/>
      <c r="E5841" s="20"/>
      <c r="F5841" s="20"/>
      <c r="G5841" s="20"/>
      <c r="H5841" s="20"/>
      <c r="I5841" s="20"/>
      <c r="J5841" s="20"/>
      <c r="K5841" s="20"/>
      <c r="L5841" s="20"/>
      <c r="M5841" s="20"/>
      <c r="N5841" s="20"/>
      <c r="O5841" s="20"/>
      <c r="P5841" s="20"/>
      <c r="Q5841" s="20"/>
      <c r="R5841" s="20"/>
      <c r="S5841" s="20"/>
      <c r="T5841" s="20"/>
      <c r="U5841" s="20"/>
      <c r="V5841" s="20"/>
      <c r="W5841" s="21"/>
      <c r="X5841" s="20"/>
      <c r="Y5841" s="22"/>
      <c r="Z5841" s="22"/>
      <c r="AA5841" s="22"/>
      <c r="AB5841" s="22"/>
      <c r="AC5841" s="22"/>
    </row>
    <row r="5842" spans="1:29" ht="32.25" customHeight="1">
      <c r="A5842" s="19"/>
      <c r="B5842" s="20"/>
      <c r="C5842" s="20"/>
      <c r="D5842" s="20"/>
      <c r="E5842" s="20"/>
      <c r="F5842" s="20"/>
      <c r="G5842" s="20"/>
      <c r="H5842" s="20"/>
      <c r="I5842" s="20"/>
      <c r="J5842" s="20"/>
      <c r="K5842" s="20"/>
      <c r="L5842" s="20"/>
      <c r="M5842" s="20"/>
      <c r="N5842" s="20"/>
      <c r="O5842" s="20"/>
      <c r="P5842" s="20"/>
      <c r="Q5842" s="20"/>
      <c r="R5842" s="20"/>
      <c r="S5842" s="20"/>
      <c r="T5842" s="20"/>
      <c r="U5842" s="20"/>
      <c r="V5842" s="20"/>
      <c r="W5842" s="21"/>
      <c r="X5842" s="20"/>
      <c r="Y5842" s="22"/>
      <c r="Z5842" s="22"/>
      <c r="AA5842" s="22"/>
      <c r="AB5842" s="22"/>
      <c r="AC5842" s="22"/>
    </row>
    <row r="5843" spans="1:29" ht="32.25" customHeight="1">
      <c r="A5843" s="19"/>
      <c r="B5843" s="20"/>
      <c r="C5843" s="20"/>
      <c r="D5843" s="20"/>
      <c r="E5843" s="20"/>
      <c r="F5843" s="20"/>
      <c r="G5843" s="20"/>
      <c r="H5843" s="20"/>
      <c r="I5843" s="20"/>
      <c r="J5843" s="20"/>
      <c r="K5843" s="20"/>
      <c r="L5843" s="20"/>
      <c r="M5843" s="20"/>
      <c r="N5843" s="20"/>
      <c r="O5843" s="20"/>
      <c r="P5843" s="20"/>
      <c r="Q5843" s="20"/>
      <c r="R5843" s="20"/>
      <c r="S5843" s="20"/>
      <c r="T5843" s="20"/>
      <c r="U5843" s="20"/>
      <c r="V5843" s="20"/>
      <c r="W5843" s="21"/>
      <c r="X5843" s="20"/>
      <c r="Y5843" s="22"/>
      <c r="Z5843" s="22"/>
      <c r="AA5843" s="22"/>
      <c r="AB5843" s="22"/>
      <c r="AC5843" s="22"/>
    </row>
    <row r="5844" spans="1:29" ht="32.25" customHeight="1">
      <c r="A5844" s="19"/>
      <c r="B5844" s="20"/>
      <c r="C5844" s="20"/>
      <c r="D5844" s="20"/>
      <c r="E5844" s="20"/>
      <c r="F5844" s="20"/>
      <c r="G5844" s="20"/>
      <c r="H5844" s="20"/>
      <c r="I5844" s="20"/>
      <c r="J5844" s="20"/>
      <c r="K5844" s="20"/>
      <c r="L5844" s="20"/>
      <c r="M5844" s="20"/>
      <c r="N5844" s="20"/>
      <c r="O5844" s="20"/>
      <c r="P5844" s="20"/>
      <c r="Q5844" s="20"/>
      <c r="R5844" s="20"/>
      <c r="S5844" s="20"/>
      <c r="T5844" s="20"/>
      <c r="U5844" s="20"/>
      <c r="V5844" s="20"/>
      <c r="W5844" s="21"/>
      <c r="X5844" s="20"/>
      <c r="Y5844" s="22"/>
      <c r="Z5844" s="22"/>
      <c r="AA5844" s="22"/>
      <c r="AB5844" s="22"/>
      <c r="AC5844" s="22"/>
    </row>
    <row r="5845" spans="1:29" ht="32.25" customHeight="1">
      <c r="A5845" s="19"/>
      <c r="B5845" s="20"/>
      <c r="C5845" s="20"/>
      <c r="D5845" s="20"/>
      <c r="E5845" s="20"/>
      <c r="F5845" s="20"/>
      <c r="G5845" s="20"/>
      <c r="H5845" s="20"/>
      <c r="I5845" s="20"/>
      <c r="J5845" s="20"/>
      <c r="K5845" s="20"/>
      <c r="L5845" s="20"/>
      <c r="M5845" s="20"/>
      <c r="N5845" s="20"/>
      <c r="O5845" s="20"/>
      <c r="P5845" s="20"/>
      <c r="Q5845" s="20"/>
      <c r="R5845" s="20"/>
      <c r="S5845" s="20"/>
      <c r="T5845" s="20"/>
      <c r="U5845" s="20"/>
      <c r="V5845" s="20"/>
      <c r="W5845" s="21"/>
      <c r="X5845" s="20"/>
      <c r="Y5845" s="22"/>
      <c r="Z5845" s="22"/>
      <c r="AA5845" s="22"/>
      <c r="AB5845" s="22"/>
      <c r="AC5845" s="22"/>
    </row>
    <row r="5846" spans="1:29" ht="32.25" customHeight="1">
      <c r="A5846" s="19"/>
      <c r="B5846" s="20"/>
      <c r="C5846" s="20"/>
      <c r="D5846" s="20"/>
      <c r="E5846" s="20"/>
      <c r="F5846" s="20"/>
      <c r="G5846" s="20"/>
      <c r="H5846" s="20"/>
      <c r="I5846" s="20"/>
      <c r="J5846" s="20"/>
      <c r="K5846" s="20"/>
      <c r="L5846" s="20"/>
      <c r="M5846" s="20"/>
      <c r="N5846" s="20"/>
      <c r="O5846" s="20"/>
      <c r="P5846" s="20"/>
      <c r="Q5846" s="20"/>
      <c r="R5846" s="20"/>
      <c r="S5846" s="20"/>
      <c r="T5846" s="20"/>
      <c r="U5846" s="20"/>
      <c r="V5846" s="20"/>
      <c r="W5846" s="21"/>
      <c r="X5846" s="20"/>
      <c r="Y5846" s="22"/>
      <c r="Z5846" s="22"/>
      <c r="AA5846" s="22"/>
      <c r="AB5846" s="22"/>
      <c r="AC5846" s="22"/>
    </row>
    <row r="5847" spans="1:29" ht="32.25" customHeight="1">
      <c r="A5847" s="19"/>
      <c r="B5847" s="20"/>
      <c r="C5847" s="20"/>
      <c r="D5847" s="20"/>
      <c r="E5847" s="20"/>
      <c r="F5847" s="20"/>
      <c r="G5847" s="20"/>
      <c r="H5847" s="20"/>
      <c r="I5847" s="20"/>
      <c r="J5847" s="20"/>
      <c r="K5847" s="20"/>
      <c r="L5847" s="20"/>
      <c r="M5847" s="20"/>
      <c r="N5847" s="20"/>
      <c r="O5847" s="20"/>
      <c r="P5847" s="20"/>
      <c r="Q5847" s="20"/>
      <c r="R5847" s="20"/>
      <c r="S5847" s="20"/>
      <c r="T5847" s="20"/>
      <c r="U5847" s="20"/>
      <c r="V5847" s="20"/>
      <c r="W5847" s="21"/>
      <c r="X5847" s="20"/>
      <c r="Y5847" s="22"/>
      <c r="Z5847" s="22"/>
      <c r="AA5847" s="22"/>
      <c r="AB5847" s="22"/>
      <c r="AC5847" s="22"/>
    </row>
    <row r="5848" spans="1:29" ht="32.25" customHeight="1">
      <c r="A5848" s="19"/>
      <c r="B5848" s="20"/>
      <c r="C5848" s="20"/>
      <c r="D5848" s="20"/>
      <c r="E5848" s="20"/>
      <c r="F5848" s="20"/>
      <c r="G5848" s="20"/>
      <c r="H5848" s="20"/>
      <c r="I5848" s="20"/>
      <c r="J5848" s="20"/>
      <c r="K5848" s="20"/>
      <c r="L5848" s="20"/>
      <c r="M5848" s="20"/>
      <c r="N5848" s="20"/>
      <c r="O5848" s="20"/>
      <c r="P5848" s="20"/>
      <c r="Q5848" s="20"/>
      <c r="R5848" s="20"/>
      <c r="S5848" s="20"/>
      <c r="T5848" s="20"/>
      <c r="U5848" s="20"/>
      <c r="V5848" s="20"/>
      <c r="W5848" s="21"/>
      <c r="X5848" s="20"/>
      <c r="Y5848" s="22"/>
      <c r="Z5848" s="22"/>
      <c r="AA5848" s="22"/>
      <c r="AB5848" s="22"/>
      <c r="AC5848" s="22"/>
    </row>
    <row r="5849" spans="1:29" ht="32.25" customHeight="1">
      <c r="A5849" s="19"/>
      <c r="B5849" s="20"/>
      <c r="C5849" s="20"/>
      <c r="D5849" s="20"/>
      <c r="E5849" s="20"/>
      <c r="F5849" s="20"/>
      <c r="G5849" s="20"/>
      <c r="H5849" s="20"/>
      <c r="I5849" s="20"/>
      <c r="J5849" s="20"/>
      <c r="K5849" s="20"/>
      <c r="L5849" s="20"/>
      <c r="M5849" s="20"/>
      <c r="N5849" s="20"/>
      <c r="O5849" s="20"/>
      <c r="P5849" s="20"/>
      <c r="Q5849" s="20"/>
      <c r="R5849" s="20"/>
      <c r="S5849" s="20"/>
      <c r="T5849" s="20"/>
      <c r="U5849" s="20"/>
      <c r="V5849" s="20"/>
      <c r="W5849" s="21"/>
      <c r="X5849" s="20"/>
      <c r="Y5849" s="22"/>
      <c r="Z5849" s="22"/>
      <c r="AA5849" s="22"/>
      <c r="AB5849" s="22"/>
      <c r="AC5849" s="22"/>
    </row>
    <row r="5850" spans="1:29" ht="32.25" customHeight="1">
      <c r="A5850" s="19"/>
      <c r="B5850" s="20"/>
      <c r="C5850" s="20"/>
      <c r="D5850" s="20"/>
      <c r="E5850" s="20"/>
      <c r="F5850" s="20"/>
      <c r="G5850" s="20"/>
      <c r="H5850" s="20"/>
      <c r="I5850" s="20"/>
      <c r="J5850" s="20"/>
      <c r="K5850" s="20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1"/>
      <c r="X5850" s="20"/>
      <c r="Y5850" s="22"/>
      <c r="Z5850" s="22"/>
      <c r="AA5850" s="22"/>
      <c r="AB5850" s="22"/>
      <c r="AC5850" s="22"/>
    </row>
    <row r="5851" spans="1:29" ht="32.25" customHeight="1">
      <c r="A5851" s="19"/>
      <c r="B5851" s="20"/>
      <c r="C5851" s="20"/>
      <c r="D5851" s="20"/>
      <c r="E5851" s="20"/>
      <c r="F5851" s="20"/>
      <c r="G5851" s="20"/>
      <c r="H5851" s="20"/>
      <c r="I5851" s="20"/>
      <c r="J5851" s="20"/>
      <c r="K5851" s="20"/>
      <c r="L5851" s="20"/>
      <c r="M5851" s="20"/>
      <c r="N5851" s="20"/>
      <c r="O5851" s="20"/>
      <c r="P5851" s="20"/>
      <c r="Q5851" s="20"/>
      <c r="R5851" s="20"/>
      <c r="S5851" s="20"/>
      <c r="T5851" s="20"/>
      <c r="U5851" s="20"/>
      <c r="V5851" s="20"/>
      <c r="W5851" s="21"/>
      <c r="X5851" s="20"/>
      <c r="Y5851" s="22"/>
      <c r="Z5851" s="22"/>
      <c r="AA5851" s="22"/>
      <c r="AB5851" s="22"/>
      <c r="AC5851" s="22"/>
    </row>
    <row r="5852" spans="1:29" ht="32.25" customHeight="1">
      <c r="A5852" s="19"/>
      <c r="B5852" s="20"/>
      <c r="C5852" s="20"/>
      <c r="D5852" s="20"/>
      <c r="E5852" s="20"/>
      <c r="F5852" s="20"/>
      <c r="G5852" s="20"/>
      <c r="H5852" s="20"/>
      <c r="I5852" s="20"/>
      <c r="J5852" s="20"/>
      <c r="K5852" s="20"/>
      <c r="L5852" s="20"/>
      <c r="M5852" s="20"/>
      <c r="N5852" s="20"/>
      <c r="O5852" s="20"/>
      <c r="P5852" s="20"/>
      <c r="Q5852" s="20"/>
      <c r="R5852" s="20"/>
      <c r="S5852" s="20"/>
      <c r="T5852" s="20"/>
      <c r="U5852" s="20"/>
      <c r="V5852" s="20"/>
      <c r="W5852" s="21"/>
      <c r="X5852" s="20"/>
      <c r="Y5852" s="22"/>
      <c r="Z5852" s="22"/>
      <c r="AA5852" s="22"/>
      <c r="AB5852" s="22"/>
      <c r="AC5852" s="22"/>
    </row>
    <row r="5853" spans="1:29" ht="32.25" customHeight="1">
      <c r="A5853" s="19"/>
      <c r="B5853" s="20"/>
      <c r="C5853" s="20"/>
      <c r="D5853" s="20"/>
      <c r="E5853" s="20"/>
      <c r="F5853" s="20"/>
      <c r="G5853" s="20"/>
      <c r="H5853" s="20"/>
      <c r="I5853" s="20"/>
      <c r="J5853" s="20"/>
      <c r="K5853" s="20"/>
      <c r="L5853" s="20"/>
      <c r="M5853" s="20"/>
      <c r="N5853" s="20"/>
      <c r="O5853" s="20"/>
      <c r="P5853" s="20"/>
      <c r="Q5853" s="20"/>
      <c r="R5853" s="20"/>
      <c r="S5853" s="20"/>
      <c r="T5853" s="20"/>
      <c r="U5853" s="20"/>
      <c r="V5853" s="20"/>
      <c r="W5853" s="21"/>
      <c r="X5853" s="20"/>
      <c r="Y5853" s="22"/>
      <c r="Z5853" s="22"/>
      <c r="AA5853" s="22"/>
      <c r="AB5853" s="22"/>
      <c r="AC5853" s="22"/>
    </row>
    <row r="5854" spans="1:29" ht="32.25" customHeight="1">
      <c r="A5854" s="19"/>
      <c r="B5854" s="20"/>
      <c r="C5854" s="20"/>
      <c r="D5854" s="20"/>
      <c r="E5854" s="20"/>
      <c r="F5854" s="20"/>
      <c r="G5854" s="20"/>
      <c r="H5854" s="20"/>
      <c r="I5854" s="20"/>
      <c r="J5854" s="20"/>
      <c r="K5854" s="20"/>
      <c r="L5854" s="20"/>
      <c r="M5854" s="20"/>
      <c r="N5854" s="20"/>
      <c r="O5854" s="20"/>
      <c r="P5854" s="20"/>
      <c r="Q5854" s="20"/>
      <c r="R5854" s="20"/>
      <c r="S5854" s="20"/>
      <c r="T5854" s="20"/>
      <c r="U5854" s="20"/>
      <c r="V5854" s="20"/>
      <c r="W5854" s="21"/>
      <c r="X5854" s="20"/>
      <c r="Y5854" s="22"/>
      <c r="Z5854" s="22"/>
      <c r="AA5854" s="22"/>
      <c r="AB5854" s="22"/>
      <c r="AC5854" s="22"/>
    </row>
    <row r="5855" spans="1:29" ht="32.25" customHeight="1">
      <c r="A5855" s="19"/>
      <c r="B5855" s="20"/>
      <c r="C5855" s="20"/>
      <c r="D5855" s="20"/>
      <c r="E5855" s="20"/>
      <c r="F5855" s="20"/>
      <c r="G5855" s="20"/>
      <c r="H5855" s="20"/>
      <c r="I5855" s="20"/>
      <c r="J5855" s="20"/>
      <c r="K5855" s="20"/>
      <c r="L5855" s="20"/>
      <c r="M5855" s="20"/>
      <c r="N5855" s="20"/>
      <c r="O5855" s="20"/>
      <c r="P5855" s="20"/>
      <c r="Q5855" s="20"/>
      <c r="R5855" s="20"/>
      <c r="S5855" s="20"/>
      <c r="T5855" s="20"/>
      <c r="U5855" s="20"/>
      <c r="V5855" s="20"/>
      <c r="W5855" s="21"/>
      <c r="X5855" s="20"/>
      <c r="Y5855" s="22"/>
      <c r="Z5855" s="22"/>
      <c r="AA5855" s="22"/>
      <c r="AB5855" s="22"/>
      <c r="AC5855" s="22"/>
    </row>
    <row r="5856" spans="1:29" ht="32.25" customHeight="1">
      <c r="A5856" s="19"/>
      <c r="B5856" s="20"/>
      <c r="C5856" s="20"/>
      <c r="D5856" s="20"/>
      <c r="E5856" s="20"/>
      <c r="F5856" s="20"/>
      <c r="G5856" s="20"/>
      <c r="H5856" s="20"/>
      <c r="I5856" s="20"/>
      <c r="J5856" s="20"/>
      <c r="K5856" s="20"/>
      <c r="L5856" s="20"/>
      <c r="M5856" s="20"/>
      <c r="N5856" s="20"/>
      <c r="O5856" s="20"/>
      <c r="P5856" s="20"/>
      <c r="Q5856" s="20"/>
      <c r="R5856" s="20"/>
      <c r="S5856" s="20"/>
      <c r="T5856" s="20"/>
      <c r="U5856" s="20"/>
      <c r="V5856" s="20"/>
      <c r="W5856" s="21"/>
      <c r="X5856" s="20"/>
      <c r="Y5856" s="22"/>
      <c r="Z5856" s="22"/>
      <c r="AA5856" s="22"/>
      <c r="AB5856" s="22"/>
      <c r="AC5856" s="22"/>
    </row>
    <row r="5857" spans="1:29" ht="32.25" customHeight="1">
      <c r="A5857" s="19"/>
      <c r="B5857" s="20"/>
      <c r="C5857" s="20"/>
      <c r="D5857" s="20"/>
      <c r="E5857" s="20"/>
      <c r="F5857" s="20"/>
      <c r="G5857" s="20"/>
      <c r="H5857" s="20"/>
      <c r="I5857" s="20"/>
      <c r="J5857" s="20"/>
      <c r="K5857" s="20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1"/>
      <c r="X5857" s="20"/>
      <c r="Y5857" s="22"/>
      <c r="Z5857" s="22"/>
      <c r="AA5857" s="22"/>
      <c r="AB5857" s="22"/>
      <c r="AC5857" s="22"/>
    </row>
    <row r="5858" spans="1:29" ht="32.25" customHeight="1">
      <c r="A5858" s="19"/>
      <c r="B5858" s="20"/>
      <c r="C5858" s="20"/>
      <c r="D5858" s="20"/>
      <c r="E5858" s="20"/>
      <c r="F5858" s="20"/>
      <c r="G5858" s="20"/>
      <c r="H5858" s="20"/>
      <c r="I5858" s="20"/>
      <c r="J5858" s="20"/>
      <c r="K5858" s="20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1"/>
      <c r="X5858" s="20"/>
      <c r="Y5858" s="22"/>
      <c r="Z5858" s="22"/>
      <c r="AA5858" s="22"/>
      <c r="AB5858" s="22"/>
      <c r="AC5858" s="22"/>
    </row>
    <row r="5859" spans="1:29" ht="32.25" customHeight="1">
      <c r="A5859" s="19"/>
      <c r="B5859" s="20"/>
      <c r="C5859" s="20"/>
      <c r="D5859" s="20"/>
      <c r="E5859" s="20"/>
      <c r="F5859" s="20"/>
      <c r="G5859" s="20"/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1"/>
      <c r="X5859" s="20"/>
      <c r="Y5859" s="22"/>
      <c r="Z5859" s="22"/>
      <c r="AA5859" s="22"/>
      <c r="AB5859" s="22"/>
      <c r="AC5859" s="22"/>
    </row>
    <row r="5860" spans="1:29" ht="32.25" customHeight="1">
      <c r="A5860" s="19"/>
      <c r="B5860" s="20"/>
      <c r="C5860" s="20"/>
      <c r="D5860" s="20"/>
      <c r="E5860" s="20"/>
      <c r="F5860" s="20"/>
      <c r="G5860" s="20"/>
      <c r="H5860" s="20"/>
      <c r="I5860" s="20"/>
      <c r="J5860" s="20"/>
      <c r="K5860" s="20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1"/>
      <c r="X5860" s="20"/>
      <c r="Y5860" s="22"/>
      <c r="Z5860" s="22"/>
      <c r="AA5860" s="22"/>
      <c r="AB5860" s="22"/>
      <c r="AC5860" s="22"/>
    </row>
    <row r="5861" spans="1:29" ht="32.25" customHeight="1">
      <c r="A5861" s="19"/>
      <c r="B5861" s="20"/>
      <c r="C5861" s="20"/>
      <c r="D5861" s="20"/>
      <c r="E5861" s="20"/>
      <c r="F5861" s="20"/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1"/>
      <c r="X5861" s="20"/>
      <c r="Y5861" s="22"/>
      <c r="Z5861" s="22"/>
      <c r="AA5861" s="22"/>
      <c r="AB5861" s="22"/>
      <c r="AC5861" s="22"/>
    </row>
    <row r="5862" spans="1:29" ht="32.25" customHeight="1">
      <c r="A5862" s="19"/>
      <c r="B5862" s="20"/>
      <c r="C5862" s="20"/>
      <c r="D5862" s="20"/>
      <c r="E5862" s="20"/>
      <c r="F5862" s="20"/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1"/>
      <c r="X5862" s="20"/>
      <c r="Y5862" s="22"/>
      <c r="Z5862" s="22"/>
      <c r="AA5862" s="22"/>
      <c r="AB5862" s="22"/>
      <c r="AC5862" s="22"/>
    </row>
    <row r="5863" spans="1:29" ht="32.25" customHeight="1">
      <c r="A5863" s="19"/>
      <c r="B5863" s="20"/>
      <c r="C5863" s="20"/>
      <c r="D5863" s="20"/>
      <c r="E5863" s="20"/>
      <c r="F5863" s="20"/>
      <c r="G5863" s="20"/>
      <c r="H5863" s="20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1"/>
      <c r="X5863" s="20"/>
      <c r="Y5863" s="22"/>
      <c r="Z5863" s="22"/>
      <c r="AA5863" s="22"/>
      <c r="AB5863" s="22"/>
      <c r="AC5863" s="22"/>
    </row>
    <row r="5864" spans="1:29" ht="32.25" customHeight="1">
      <c r="A5864" s="19"/>
      <c r="B5864" s="20"/>
      <c r="C5864" s="20"/>
      <c r="D5864" s="20"/>
      <c r="E5864" s="20"/>
      <c r="F5864" s="20"/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1"/>
      <c r="X5864" s="20"/>
      <c r="Y5864" s="22"/>
      <c r="Z5864" s="22"/>
      <c r="AA5864" s="22"/>
      <c r="AB5864" s="22"/>
      <c r="AC5864" s="22"/>
    </row>
    <row r="5865" spans="1:29" ht="32.25" customHeight="1">
      <c r="A5865" s="19"/>
      <c r="B5865" s="20"/>
      <c r="C5865" s="20"/>
      <c r="D5865" s="20"/>
      <c r="E5865" s="20"/>
      <c r="F5865" s="20"/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1"/>
      <c r="X5865" s="20"/>
      <c r="Y5865" s="22"/>
      <c r="Z5865" s="22"/>
      <c r="AA5865" s="22"/>
      <c r="AB5865" s="22"/>
      <c r="AC5865" s="22"/>
    </row>
    <row r="5866" spans="1:29" ht="32.25" customHeight="1">
      <c r="A5866" s="19"/>
      <c r="B5866" s="20"/>
      <c r="C5866" s="20"/>
      <c r="D5866" s="20"/>
      <c r="E5866" s="20"/>
      <c r="F5866" s="20"/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1"/>
      <c r="X5866" s="20"/>
      <c r="Y5866" s="22"/>
      <c r="Z5866" s="22"/>
      <c r="AA5866" s="22"/>
      <c r="AB5866" s="22"/>
      <c r="AC5866" s="22"/>
    </row>
    <row r="5867" spans="1:29" ht="32.25" customHeight="1">
      <c r="A5867" s="19"/>
      <c r="B5867" s="20"/>
      <c r="C5867" s="20"/>
      <c r="D5867" s="20"/>
      <c r="E5867" s="20"/>
      <c r="F5867" s="20"/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1"/>
      <c r="X5867" s="20"/>
      <c r="Y5867" s="22"/>
      <c r="Z5867" s="22"/>
      <c r="AA5867" s="22"/>
      <c r="AB5867" s="22"/>
      <c r="AC5867" s="22"/>
    </row>
    <row r="5868" spans="1:29" ht="32.25" customHeight="1">
      <c r="A5868" s="19"/>
      <c r="B5868" s="20"/>
      <c r="C5868" s="20"/>
      <c r="D5868" s="20"/>
      <c r="E5868" s="20"/>
      <c r="F5868" s="20"/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1"/>
      <c r="X5868" s="20"/>
      <c r="Y5868" s="22"/>
      <c r="Z5868" s="22"/>
      <c r="AA5868" s="22"/>
      <c r="AB5868" s="22"/>
      <c r="AC5868" s="22"/>
    </row>
    <row r="5869" spans="1:29" ht="32.25" customHeight="1">
      <c r="A5869" s="19"/>
      <c r="B5869" s="20"/>
      <c r="C5869" s="20"/>
      <c r="D5869" s="20"/>
      <c r="E5869" s="20"/>
      <c r="F5869" s="20"/>
      <c r="G5869" s="20"/>
      <c r="H5869" s="20"/>
      <c r="I5869" s="20"/>
      <c r="J5869" s="20"/>
      <c r="K5869" s="20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1"/>
      <c r="X5869" s="20"/>
      <c r="Y5869" s="22"/>
      <c r="Z5869" s="22"/>
      <c r="AA5869" s="22"/>
      <c r="AB5869" s="22"/>
      <c r="AC5869" s="22"/>
    </row>
    <row r="5870" spans="1:29" ht="32.25" customHeight="1">
      <c r="A5870" s="19"/>
      <c r="B5870" s="20"/>
      <c r="C5870" s="20"/>
      <c r="D5870" s="20"/>
      <c r="E5870" s="20"/>
      <c r="F5870" s="20"/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1"/>
      <c r="X5870" s="20"/>
      <c r="Y5870" s="22"/>
      <c r="Z5870" s="22"/>
      <c r="AA5870" s="22"/>
      <c r="AB5870" s="22"/>
      <c r="AC5870" s="22"/>
    </row>
    <row r="5871" spans="1:29" ht="32.25" customHeight="1">
      <c r="A5871" s="19"/>
      <c r="B5871" s="20"/>
      <c r="C5871" s="20"/>
      <c r="D5871" s="20"/>
      <c r="E5871" s="20"/>
      <c r="F5871" s="20"/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1"/>
      <c r="X5871" s="20"/>
      <c r="Y5871" s="22"/>
      <c r="Z5871" s="22"/>
      <c r="AA5871" s="22"/>
      <c r="AB5871" s="22"/>
      <c r="AC5871" s="22"/>
    </row>
    <row r="5872" spans="1:29" ht="32.25" customHeight="1">
      <c r="A5872" s="19"/>
      <c r="B5872" s="20"/>
      <c r="C5872" s="20"/>
      <c r="D5872" s="20"/>
      <c r="E5872" s="20"/>
      <c r="F5872" s="20"/>
      <c r="G5872" s="20"/>
      <c r="H5872" s="20"/>
      <c r="I5872" s="20"/>
      <c r="J5872" s="20"/>
      <c r="K5872" s="20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1"/>
      <c r="X5872" s="20"/>
      <c r="Y5872" s="22"/>
      <c r="Z5872" s="22"/>
      <c r="AA5872" s="22"/>
      <c r="AB5872" s="22"/>
      <c r="AC5872" s="22"/>
    </row>
    <row r="5873" spans="1:29" ht="32.25" customHeight="1">
      <c r="A5873" s="19"/>
      <c r="B5873" s="20"/>
      <c r="C5873" s="20"/>
      <c r="D5873" s="20"/>
      <c r="E5873" s="20"/>
      <c r="F5873" s="20"/>
      <c r="G5873" s="20"/>
      <c r="H5873" s="20"/>
      <c r="I5873" s="20"/>
      <c r="J5873" s="20"/>
      <c r="K5873" s="20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1"/>
      <c r="X5873" s="20"/>
      <c r="Y5873" s="22"/>
      <c r="Z5873" s="22"/>
      <c r="AA5873" s="22"/>
      <c r="AB5873" s="22"/>
      <c r="AC5873" s="22"/>
    </row>
    <row r="5874" spans="1:29" ht="32.25" customHeight="1">
      <c r="A5874" s="19"/>
      <c r="B5874" s="20"/>
      <c r="C5874" s="20"/>
      <c r="D5874" s="20"/>
      <c r="E5874" s="20"/>
      <c r="F5874" s="20"/>
      <c r="G5874" s="20"/>
      <c r="H5874" s="20"/>
      <c r="I5874" s="20"/>
      <c r="J5874" s="20"/>
      <c r="K5874" s="20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1"/>
      <c r="X5874" s="20"/>
      <c r="Y5874" s="22"/>
      <c r="Z5874" s="22"/>
      <c r="AA5874" s="22"/>
      <c r="AB5874" s="22"/>
      <c r="AC5874" s="22"/>
    </row>
    <row r="5875" spans="1:29" ht="32.25" customHeight="1">
      <c r="A5875" s="19"/>
      <c r="B5875" s="20"/>
      <c r="C5875" s="20"/>
      <c r="D5875" s="20"/>
      <c r="E5875" s="20"/>
      <c r="F5875" s="20"/>
      <c r="G5875" s="20"/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1"/>
      <c r="X5875" s="20"/>
      <c r="Y5875" s="22"/>
      <c r="Z5875" s="22"/>
      <c r="AA5875" s="22"/>
      <c r="AB5875" s="22"/>
      <c r="AC5875" s="22"/>
    </row>
    <row r="5876" spans="1:29" ht="32.25" customHeight="1">
      <c r="A5876" s="19"/>
      <c r="B5876" s="20"/>
      <c r="C5876" s="20"/>
      <c r="D5876" s="20"/>
      <c r="E5876" s="20"/>
      <c r="F5876" s="20"/>
      <c r="G5876" s="20"/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0"/>
      <c r="V5876" s="20"/>
      <c r="W5876" s="21"/>
      <c r="X5876" s="20"/>
      <c r="Y5876" s="22"/>
      <c r="Z5876" s="22"/>
      <c r="AA5876" s="22"/>
      <c r="AB5876" s="22"/>
      <c r="AC5876" s="22"/>
    </row>
    <row r="5877" spans="1:29" ht="32.25" customHeight="1">
      <c r="A5877" s="19"/>
      <c r="B5877" s="20"/>
      <c r="C5877" s="20"/>
      <c r="D5877" s="20"/>
      <c r="E5877" s="20"/>
      <c r="F5877" s="20"/>
      <c r="G5877" s="20"/>
      <c r="H5877" s="20"/>
      <c r="I5877" s="20"/>
      <c r="J5877" s="20"/>
      <c r="K5877" s="20"/>
      <c r="L5877" s="20"/>
      <c r="M5877" s="20"/>
      <c r="N5877" s="20"/>
      <c r="O5877" s="20"/>
      <c r="P5877" s="20"/>
      <c r="Q5877" s="20"/>
      <c r="R5877" s="20"/>
      <c r="S5877" s="20"/>
      <c r="T5877" s="20"/>
      <c r="U5877" s="20"/>
      <c r="V5877" s="20"/>
      <c r="W5877" s="21"/>
      <c r="X5877" s="20"/>
      <c r="Y5877" s="22"/>
      <c r="Z5877" s="22"/>
      <c r="AA5877" s="22"/>
      <c r="AB5877" s="22"/>
      <c r="AC5877" s="22"/>
    </row>
    <row r="5878" spans="1:29" ht="32.25" customHeight="1">
      <c r="A5878" s="19"/>
      <c r="B5878" s="20"/>
      <c r="C5878" s="20"/>
      <c r="D5878" s="20"/>
      <c r="E5878" s="20"/>
      <c r="F5878" s="20"/>
      <c r="G5878" s="20"/>
      <c r="H5878" s="20"/>
      <c r="I5878" s="20"/>
      <c r="J5878" s="20"/>
      <c r="K5878" s="20"/>
      <c r="L5878" s="20"/>
      <c r="M5878" s="20"/>
      <c r="N5878" s="20"/>
      <c r="O5878" s="20"/>
      <c r="P5878" s="20"/>
      <c r="Q5878" s="20"/>
      <c r="R5878" s="20"/>
      <c r="S5878" s="20"/>
      <c r="T5878" s="20"/>
      <c r="U5878" s="20"/>
      <c r="V5878" s="20"/>
      <c r="W5878" s="21"/>
      <c r="X5878" s="20"/>
      <c r="Y5878" s="22"/>
      <c r="Z5878" s="22"/>
      <c r="AA5878" s="22"/>
      <c r="AB5878" s="22"/>
      <c r="AC5878" s="22"/>
    </row>
    <row r="5879" spans="1:29" ht="32.25" customHeight="1">
      <c r="A5879" s="19"/>
      <c r="B5879" s="20"/>
      <c r="C5879" s="20"/>
      <c r="D5879" s="20"/>
      <c r="E5879" s="20"/>
      <c r="F5879" s="20"/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0"/>
      <c r="R5879" s="20"/>
      <c r="S5879" s="20"/>
      <c r="T5879" s="20"/>
      <c r="U5879" s="20"/>
      <c r="V5879" s="20"/>
      <c r="W5879" s="21"/>
      <c r="X5879" s="20"/>
      <c r="Y5879" s="22"/>
      <c r="Z5879" s="22"/>
      <c r="AA5879" s="22"/>
      <c r="AB5879" s="22"/>
      <c r="AC5879" s="22"/>
    </row>
    <row r="5880" spans="1:29" ht="32.25" customHeight="1">
      <c r="A5880" s="19"/>
      <c r="B5880" s="20"/>
      <c r="C5880" s="20"/>
      <c r="D5880" s="20"/>
      <c r="E5880" s="20"/>
      <c r="F5880" s="20"/>
      <c r="G5880" s="20"/>
      <c r="H5880" s="20"/>
      <c r="I5880" s="20"/>
      <c r="J5880" s="20"/>
      <c r="K5880" s="20"/>
      <c r="L5880" s="20"/>
      <c r="M5880" s="20"/>
      <c r="N5880" s="20"/>
      <c r="O5880" s="20"/>
      <c r="P5880" s="20"/>
      <c r="Q5880" s="20"/>
      <c r="R5880" s="20"/>
      <c r="S5880" s="20"/>
      <c r="T5880" s="20"/>
      <c r="U5880" s="20"/>
      <c r="V5880" s="20"/>
      <c r="W5880" s="21"/>
      <c r="X5880" s="20"/>
      <c r="Y5880" s="22"/>
      <c r="Z5880" s="22"/>
      <c r="AA5880" s="22"/>
      <c r="AB5880" s="22"/>
      <c r="AC5880" s="22"/>
    </row>
    <row r="5881" spans="1:29" ht="32.25" customHeight="1">
      <c r="A5881" s="19"/>
      <c r="B5881" s="20"/>
      <c r="C5881" s="20"/>
      <c r="D5881" s="20"/>
      <c r="E5881" s="20"/>
      <c r="F5881" s="20"/>
      <c r="G5881" s="20"/>
      <c r="H5881" s="20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1"/>
      <c r="X5881" s="20"/>
      <c r="Y5881" s="22"/>
      <c r="Z5881" s="22"/>
      <c r="AA5881" s="22"/>
      <c r="AB5881" s="22"/>
      <c r="AC5881" s="22"/>
    </row>
    <row r="5882" spans="1:29" ht="32.25" customHeight="1">
      <c r="A5882" s="19"/>
      <c r="B5882" s="20"/>
      <c r="C5882" s="20"/>
      <c r="D5882" s="20"/>
      <c r="E5882" s="20"/>
      <c r="F5882" s="20"/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1"/>
      <c r="X5882" s="20"/>
      <c r="Y5882" s="22"/>
      <c r="Z5882" s="22"/>
      <c r="AA5882" s="22"/>
      <c r="AB5882" s="22"/>
      <c r="AC5882" s="22"/>
    </row>
    <row r="5883" spans="1:29" ht="32.25" customHeight="1">
      <c r="A5883" s="19"/>
      <c r="B5883" s="20"/>
      <c r="C5883" s="20"/>
      <c r="D5883" s="20"/>
      <c r="E5883" s="20"/>
      <c r="F5883" s="20"/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1"/>
      <c r="X5883" s="20"/>
      <c r="Y5883" s="22"/>
      <c r="Z5883" s="22"/>
      <c r="AA5883" s="22"/>
      <c r="AB5883" s="22"/>
      <c r="AC5883" s="22"/>
    </row>
    <row r="5884" spans="1:29" ht="32.25" customHeight="1">
      <c r="A5884" s="19"/>
      <c r="B5884" s="20"/>
      <c r="C5884" s="20"/>
      <c r="D5884" s="20"/>
      <c r="E5884" s="20"/>
      <c r="F5884" s="20"/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1"/>
      <c r="X5884" s="20"/>
      <c r="Y5884" s="22"/>
      <c r="Z5884" s="22"/>
      <c r="AA5884" s="22"/>
      <c r="AB5884" s="22"/>
      <c r="AC5884" s="22"/>
    </row>
    <row r="5885" spans="1:29" ht="32.25" customHeight="1">
      <c r="A5885" s="19"/>
      <c r="B5885" s="20"/>
      <c r="C5885" s="20"/>
      <c r="D5885" s="20"/>
      <c r="E5885" s="20"/>
      <c r="F5885" s="20"/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1"/>
      <c r="X5885" s="20"/>
      <c r="Y5885" s="22"/>
      <c r="Z5885" s="22"/>
      <c r="AA5885" s="22"/>
      <c r="AB5885" s="22"/>
      <c r="AC5885" s="22"/>
    </row>
    <row r="5886" spans="1:29" ht="32.25" customHeight="1">
      <c r="A5886" s="19"/>
      <c r="B5886" s="20"/>
      <c r="C5886" s="20"/>
      <c r="D5886" s="20"/>
      <c r="E5886" s="20"/>
      <c r="F5886" s="20"/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1"/>
      <c r="X5886" s="20"/>
      <c r="Y5886" s="22"/>
      <c r="Z5886" s="22"/>
      <c r="AA5886" s="22"/>
      <c r="AB5886" s="22"/>
      <c r="AC5886" s="22"/>
    </row>
    <row r="5887" spans="1:29" ht="32.25" customHeight="1">
      <c r="A5887" s="19"/>
      <c r="B5887" s="20"/>
      <c r="C5887" s="20"/>
      <c r="D5887" s="20"/>
      <c r="E5887" s="20"/>
      <c r="F5887" s="20"/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1"/>
      <c r="X5887" s="20"/>
      <c r="Y5887" s="22"/>
      <c r="Z5887" s="22"/>
      <c r="AA5887" s="22"/>
      <c r="AB5887" s="22"/>
      <c r="AC5887" s="22"/>
    </row>
    <row r="5888" spans="1:29" ht="32.25" customHeight="1">
      <c r="A5888" s="19"/>
      <c r="B5888" s="20"/>
      <c r="C5888" s="20"/>
      <c r="D5888" s="20"/>
      <c r="E5888" s="20"/>
      <c r="F5888" s="20"/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1"/>
      <c r="X5888" s="20"/>
      <c r="Y5888" s="22"/>
      <c r="Z5888" s="22"/>
      <c r="AA5888" s="22"/>
      <c r="AB5888" s="22"/>
      <c r="AC5888" s="22"/>
    </row>
    <row r="5889" spans="1:29" ht="32.25" customHeight="1">
      <c r="A5889" s="19"/>
      <c r="B5889" s="20"/>
      <c r="C5889" s="20"/>
      <c r="D5889" s="20"/>
      <c r="E5889" s="20"/>
      <c r="F5889" s="20"/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1"/>
      <c r="X5889" s="20"/>
      <c r="Y5889" s="22"/>
      <c r="Z5889" s="22"/>
      <c r="AA5889" s="22"/>
      <c r="AB5889" s="22"/>
      <c r="AC5889" s="22"/>
    </row>
    <row r="5890" spans="1:29" ht="32.25" customHeight="1">
      <c r="A5890" s="19"/>
      <c r="B5890" s="20"/>
      <c r="C5890" s="20"/>
      <c r="D5890" s="20"/>
      <c r="E5890" s="20"/>
      <c r="F5890" s="20"/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/>
      <c r="V5890" s="20"/>
      <c r="W5890" s="21"/>
      <c r="X5890" s="20"/>
      <c r="Y5890" s="22"/>
      <c r="Z5890" s="22"/>
      <c r="AA5890" s="22"/>
      <c r="AB5890" s="22"/>
      <c r="AC5890" s="22"/>
    </row>
    <row r="5891" spans="1:29" ht="32.25" customHeight="1">
      <c r="A5891" s="19"/>
      <c r="B5891" s="20"/>
      <c r="C5891" s="20"/>
      <c r="D5891" s="20"/>
      <c r="E5891" s="20"/>
      <c r="F5891" s="20"/>
      <c r="G5891" s="20"/>
      <c r="H5891" s="20"/>
      <c r="I5891" s="20"/>
      <c r="J5891" s="20"/>
      <c r="K5891" s="20"/>
      <c r="L5891" s="20"/>
      <c r="M5891" s="20"/>
      <c r="N5891" s="20"/>
      <c r="O5891" s="20"/>
      <c r="P5891" s="20"/>
      <c r="Q5891" s="20"/>
      <c r="R5891" s="20"/>
      <c r="S5891" s="20"/>
      <c r="T5891" s="20"/>
      <c r="U5891" s="20"/>
      <c r="V5891" s="20"/>
      <c r="W5891" s="21"/>
      <c r="X5891" s="20"/>
      <c r="Y5891" s="22"/>
      <c r="Z5891" s="22"/>
      <c r="AA5891" s="22"/>
      <c r="AB5891" s="22"/>
      <c r="AC5891" s="22"/>
    </row>
    <row r="5892" spans="1:29" ht="32.25" customHeight="1">
      <c r="A5892" s="19"/>
      <c r="B5892" s="20"/>
      <c r="C5892" s="20"/>
      <c r="D5892" s="20"/>
      <c r="E5892" s="20"/>
      <c r="F5892" s="20"/>
      <c r="G5892" s="20"/>
      <c r="H5892" s="20"/>
      <c r="I5892" s="20"/>
      <c r="J5892" s="20"/>
      <c r="K5892" s="20"/>
      <c r="L5892" s="20"/>
      <c r="M5892" s="20"/>
      <c r="N5892" s="20"/>
      <c r="O5892" s="20"/>
      <c r="P5892" s="20"/>
      <c r="Q5892" s="20"/>
      <c r="R5892" s="20"/>
      <c r="S5892" s="20"/>
      <c r="T5892" s="20"/>
      <c r="U5892" s="20"/>
      <c r="V5892" s="20"/>
      <c r="W5892" s="21"/>
      <c r="X5892" s="20"/>
      <c r="Y5892" s="22"/>
      <c r="Z5892" s="22"/>
      <c r="AA5892" s="22"/>
      <c r="AB5892" s="22"/>
      <c r="AC5892" s="22"/>
    </row>
    <row r="5893" spans="1:29" ht="32.25" customHeight="1">
      <c r="A5893" s="19"/>
      <c r="B5893" s="20"/>
      <c r="C5893" s="20"/>
      <c r="D5893" s="20"/>
      <c r="E5893" s="20"/>
      <c r="F5893" s="20"/>
      <c r="G5893" s="20"/>
      <c r="H5893" s="20"/>
      <c r="I5893" s="20"/>
      <c r="J5893" s="20"/>
      <c r="K5893" s="20"/>
      <c r="L5893" s="20"/>
      <c r="M5893" s="20"/>
      <c r="N5893" s="20"/>
      <c r="O5893" s="20"/>
      <c r="P5893" s="20"/>
      <c r="Q5893" s="20"/>
      <c r="R5893" s="20"/>
      <c r="S5893" s="20"/>
      <c r="T5893" s="20"/>
      <c r="U5893" s="20"/>
      <c r="V5893" s="20"/>
      <c r="W5893" s="21"/>
      <c r="X5893" s="20"/>
      <c r="Y5893" s="22"/>
      <c r="Z5893" s="22"/>
      <c r="AA5893" s="22"/>
      <c r="AB5893" s="22"/>
      <c r="AC5893" s="22"/>
    </row>
    <row r="5894" spans="1:29" ht="32.25" customHeight="1">
      <c r="A5894" s="19"/>
      <c r="B5894" s="20"/>
      <c r="C5894" s="20"/>
      <c r="D5894" s="20"/>
      <c r="E5894" s="20"/>
      <c r="F5894" s="20"/>
      <c r="G5894" s="20"/>
      <c r="H5894" s="20"/>
      <c r="I5894" s="20"/>
      <c r="J5894" s="20"/>
      <c r="K5894" s="20"/>
      <c r="L5894" s="20"/>
      <c r="M5894" s="20"/>
      <c r="N5894" s="20"/>
      <c r="O5894" s="20"/>
      <c r="P5894" s="20"/>
      <c r="Q5894" s="20"/>
      <c r="R5894" s="20"/>
      <c r="S5894" s="20"/>
      <c r="T5894" s="20"/>
      <c r="U5894" s="20"/>
      <c r="V5894" s="20"/>
      <c r="W5894" s="21"/>
      <c r="X5894" s="20"/>
      <c r="Y5894" s="22"/>
      <c r="Z5894" s="22"/>
      <c r="AA5894" s="22"/>
      <c r="AB5894" s="22"/>
      <c r="AC5894" s="22"/>
    </row>
    <row r="5895" spans="1:29" ht="32.25" customHeight="1">
      <c r="A5895" s="19"/>
      <c r="B5895" s="20"/>
      <c r="C5895" s="20"/>
      <c r="D5895" s="20"/>
      <c r="E5895" s="20"/>
      <c r="F5895" s="20"/>
      <c r="G5895" s="20"/>
      <c r="H5895" s="20"/>
      <c r="I5895" s="20"/>
      <c r="J5895" s="20"/>
      <c r="K5895" s="20"/>
      <c r="L5895" s="20"/>
      <c r="M5895" s="20"/>
      <c r="N5895" s="20"/>
      <c r="O5895" s="20"/>
      <c r="P5895" s="20"/>
      <c r="Q5895" s="20"/>
      <c r="R5895" s="20"/>
      <c r="S5895" s="20"/>
      <c r="T5895" s="20"/>
      <c r="U5895" s="20"/>
      <c r="V5895" s="20"/>
      <c r="W5895" s="21"/>
      <c r="X5895" s="20"/>
      <c r="Y5895" s="22"/>
      <c r="Z5895" s="22"/>
      <c r="AA5895" s="22"/>
      <c r="AB5895" s="22"/>
      <c r="AC5895" s="22"/>
    </row>
    <row r="5896" spans="1:29" ht="32.25" customHeight="1">
      <c r="A5896" s="19"/>
      <c r="B5896" s="20"/>
      <c r="C5896" s="20"/>
      <c r="D5896" s="20"/>
      <c r="E5896" s="20"/>
      <c r="F5896" s="20"/>
      <c r="G5896" s="20"/>
      <c r="H5896" s="20"/>
      <c r="I5896" s="20"/>
      <c r="J5896" s="20"/>
      <c r="K5896" s="20"/>
      <c r="L5896" s="20"/>
      <c r="M5896" s="20"/>
      <c r="N5896" s="20"/>
      <c r="O5896" s="20"/>
      <c r="P5896" s="20"/>
      <c r="Q5896" s="20"/>
      <c r="R5896" s="20"/>
      <c r="S5896" s="20"/>
      <c r="T5896" s="20"/>
      <c r="U5896" s="20"/>
      <c r="V5896" s="20"/>
      <c r="W5896" s="21"/>
      <c r="X5896" s="20"/>
      <c r="Y5896" s="22"/>
      <c r="Z5896" s="22"/>
      <c r="AA5896" s="22"/>
      <c r="AB5896" s="22"/>
      <c r="AC5896" s="22"/>
    </row>
    <row r="5897" spans="1:29" ht="32.25" customHeight="1">
      <c r="A5897" s="19"/>
      <c r="B5897" s="20"/>
      <c r="C5897" s="20"/>
      <c r="D5897" s="20"/>
      <c r="E5897" s="20"/>
      <c r="F5897" s="20"/>
      <c r="G5897" s="20"/>
      <c r="H5897" s="20"/>
      <c r="I5897" s="20"/>
      <c r="J5897" s="20"/>
      <c r="K5897" s="20"/>
      <c r="L5897" s="20"/>
      <c r="M5897" s="20"/>
      <c r="N5897" s="20"/>
      <c r="O5897" s="20"/>
      <c r="P5897" s="20"/>
      <c r="Q5897" s="20"/>
      <c r="R5897" s="20"/>
      <c r="S5897" s="20"/>
      <c r="T5897" s="20"/>
      <c r="U5897" s="20"/>
      <c r="V5897" s="20"/>
      <c r="W5897" s="21"/>
      <c r="X5897" s="20"/>
      <c r="Y5897" s="22"/>
      <c r="Z5897" s="22"/>
      <c r="AA5897" s="22"/>
      <c r="AB5897" s="22"/>
      <c r="AC5897" s="22"/>
    </row>
    <row r="5898" spans="1:29" ht="32.25" customHeight="1">
      <c r="A5898" s="19"/>
      <c r="B5898" s="20"/>
      <c r="C5898" s="20"/>
      <c r="D5898" s="20"/>
      <c r="E5898" s="20"/>
      <c r="F5898" s="20"/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1"/>
      <c r="X5898" s="20"/>
      <c r="Y5898" s="22"/>
      <c r="Z5898" s="22"/>
      <c r="AA5898" s="22"/>
      <c r="AB5898" s="22"/>
      <c r="AC5898" s="22"/>
    </row>
    <row r="5899" spans="1:29" ht="32.25" customHeight="1">
      <c r="A5899" s="19"/>
      <c r="B5899" s="20"/>
      <c r="C5899" s="20"/>
      <c r="D5899" s="20"/>
      <c r="E5899" s="20"/>
      <c r="F5899" s="20"/>
      <c r="G5899" s="20"/>
      <c r="H5899" s="20"/>
      <c r="I5899" s="20"/>
      <c r="J5899" s="20"/>
      <c r="K5899" s="20"/>
      <c r="L5899" s="20"/>
      <c r="M5899" s="20"/>
      <c r="N5899" s="20"/>
      <c r="O5899" s="20"/>
      <c r="P5899" s="20"/>
      <c r="Q5899" s="20"/>
      <c r="R5899" s="20"/>
      <c r="S5899" s="20"/>
      <c r="T5899" s="20"/>
      <c r="U5899" s="20"/>
      <c r="V5899" s="20"/>
      <c r="W5899" s="21"/>
      <c r="X5899" s="20"/>
      <c r="Y5899" s="22"/>
      <c r="Z5899" s="22"/>
      <c r="AA5899" s="22"/>
      <c r="AB5899" s="22"/>
      <c r="AC5899" s="22"/>
    </row>
    <row r="5900" spans="1:29" ht="32.25" customHeight="1">
      <c r="A5900" s="19"/>
      <c r="B5900" s="20"/>
      <c r="C5900" s="20"/>
      <c r="D5900" s="20"/>
      <c r="E5900" s="20"/>
      <c r="F5900" s="20"/>
      <c r="G5900" s="20"/>
      <c r="H5900" s="20"/>
      <c r="I5900" s="20"/>
      <c r="J5900" s="20"/>
      <c r="K5900" s="20"/>
      <c r="L5900" s="20"/>
      <c r="M5900" s="20"/>
      <c r="N5900" s="20"/>
      <c r="O5900" s="20"/>
      <c r="P5900" s="20"/>
      <c r="Q5900" s="20"/>
      <c r="R5900" s="20"/>
      <c r="S5900" s="20"/>
      <c r="T5900" s="20"/>
      <c r="U5900" s="20"/>
      <c r="V5900" s="20"/>
      <c r="W5900" s="21"/>
      <c r="X5900" s="20"/>
      <c r="Y5900" s="22"/>
      <c r="Z5900" s="22"/>
      <c r="AA5900" s="22"/>
      <c r="AB5900" s="22"/>
      <c r="AC5900" s="22"/>
    </row>
    <row r="5901" spans="1:29" ht="32.25" customHeight="1">
      <c r="A5901" s="19"/>
      <c r="B5901" s="20"/>
      <c r="C5901" s="20"/>
      <c r="D5901" s="20"/>
      <c r="E5901" s="20"/>
      <c r="F5901" s="20"/>
      <c r="G5901" s="20"/>
      <c r="H5901" s="20"/>
      <c r="I5901" s="20"/>
      <c r="J5901" s="20"/>
      <c r="K5901" s="20"/>
      <c r="L5901" s="20"/>
      <c r="M5901" s="20"/>
      <c r="N5901" s="20"/>
      <c r="O5901" s="20"/>
      <c r="P5901" s="20"/>
      <c r="Q5901" s="20"/>
      <c r="R5901" s="20"/>
      <c r="S5901" s="20"/>
      <c r="T5901" s="20"/>
      <c r="U5901" s="20"/>
      <c r="V5901" s="20"/>
      <c r="W5901" s="21"/>
      <c r="X5901" s="20"/>
      <c r="Y5901" s="22"/>
      <c r="Z5901" s="22"/>
      <c r="AA5901" s="22"/>
      <c r="AB5901" s="22"/>
      <c r="AC5901" s="22"/>
    </row>
    <row r="5902" spans="1:29" ht="32.25" customHeight="1">
      <c r="A5902" s="19"/>
      <c r="B5902" s="20"/>
      <c r="C5902" s="20"/>
      <c r="D5902" s="20"/>
      <c r="E5902" s="20"/>
      <c r="F5902" s="20"/>
      <c r="G5902" s="20"/>
      <c r="H5902" s="20"/>
      <c r="I5902" s="20"/>
      <c r="J5902" s="20"/>
      <c r="K5902" s="20"/>
      <c r="L5902" s="20"/>
      <c r="M5902" s="20"/>
      <c r="N5902" s="20"/>
      <c r="O5902" s="20"/>
      <c r="P5902" s="20"/>
      <c r="Q5902" s="20"/>
      <c r="R5902" s="20"/>
      <c r="S5902" s="20"/>
      <c r="T5902" s="20"/>
      <c r="U5902" s="20"/>
      <c r="V5902" s="20"/>
      <c r="W5902" s="21"/>
      <c r="X5902" s="20"/>
      <c r="Y5902" s="22"/>
      <c r="Z5902" s="22"/>
      <c r="AA5902" s="22"/>
      <c r="AB5902" s="22"/>
      <c r="AC5902" s="22"/>
    </row>
    <row r="5903" spans="1:29" ht="32.25" customHeight="1">
      <c r="A5903" s="19"/>
      <c r="B5903" s="20"/>
      <c r="C5903" s="20"/>
      <c r="D5903" s="20"/>
      <c r="E5903" s="20"/>
      <c r="F5903" s="20"/>
      <c r="G5903" s="20"/>
      <c r="H5903" s="20"/>
      <c r="I5903" s="20"/>
      <c r="J5903" s="20"/>
      <c r="K5903" s="20"/>
      <c r="L5903" s="20"/>
      <c r="M5903" s="20"/>
      <c r="N5903" s="20"/>
      <c r="O5903" s="20"/>
      <c r="P5903" s="20"/>
      <c r="Q5903" s="20"/>
      <c r="R5903" s="20"/>
      <c r="S5903" s="20"/>
      <c r="T5903" s="20"/>
      <c r="U5903" s="20"/>
      <c r="V5903" s="20"/>
      <c r="W5903" s="21"/>
      <c r="X5903" s="20"/>
      <c r="Y5903" s="22"/>
      <c r="Z5903" s="22"/>
      <c r="AA5903" s="22"/>
      <c r="AB5903" s="22"/>
      <c r="AC5903" s="22"/>
    </row>
    <row r="5904" spans="1:29" ht="32.25" customHeight="1">
      <c r="A5904" s="19"/>
      <c r="B5904" s="20"/>
      <c r="C5904" s="20"/>
      <c r="D5904" s="20"/>
      <c r="E5904" s="20"/>
      <c r="F5904" s="20"/>
      <c r="G5904" s="20"/>
      <c r="H5904" s="20"/>
      <c r="I5904" s="20"/>
      <c r="J5904" s="20"/>
      <c r="K5904" s="20"/>
      <c r="L5904" s="20"/>
      <c r="M5904" s="20"/>
      <c r="N5904" s="20"/>
      <c r="O5904" s="20"/>
      <c r="P5904" s="20"/>
      <c r="Q5904" s="20"/>
      <c r="R5904" s="20"/>
      <c r="S5904" s="20"/>
      <c r="T5904" s="20"/>
      <c r="U5904" s="20"/>
      <c r="V5904" s="20"/>
      <c r="W5904" s="21"/>
      <c r="X5904" s="20"/>
      <c r="Y5904" s="22"/>
      <c r="Z5904" s="22"/>
      <c r="AA5904" s="22"/>
      <c r="AB5904" s="22"/>
      <c r="AC5904" s="22"/>
    </row>
    <row r="5905" spans="1:29" ht="32.25" customHeight="1">
      <c r="A5905" s="19"/>
      <c r="B5905" s="20"/>
      <c r="C5905" s="20"/>
      <c r="D5905" s="20"/>
      <c r="E5905" s="20"/>
      <c r="F5905" s="20"/>
      <c r="G5905" s="20"/>
      <c r="H5905" s="20"/>
      <c r="I5905" s="20"/>
      <c r="J5905" s="20"/>
      <c r="K5905" s="20"/>
      <c r="L5905" s="20"/>
      <c r="M5905" s="20"/>
      <c r="N5905" s="20"/>
      <c r="O5905" s="20"/>
      <c r="P5905" s="20"/>
      <c r="Q5905" s="20"/>
      <c r="R5905" s="20"/>
      <c r="S5905" s="20"/>
      <c r="T5905" s="20"/>
      <c r="U5905" s="20"/>
      <c r="V5905" s="20"/>
      <c r="W5905" s="21"/>
      <c r="X5905" s="20"/>
      <c r="Y5905" s="22"/>
      <c r="Z5905" s="22"/>
      <c r="AA5905" s="22"/>
      <c r="AB5905" s="22"/>
      <c r="AC5905" s="22"/>
    </row>
    <row r="5906" spans="1:29" ht="32.25" customHeight="1">
      <c r="A5906" s="19"/>
      <c r="B5906" s="20"/>
      <c r="C5906" s="20"/>
      <c r="D5906" s="20"/>
      <c r="E5906" s="20"/>
      <c r="F5906" s="20"/>
      <c r="G5906" s="20"/>
      <c r="H5906" s="20"/>
      <c r="I5906" s="20"/>
      <c r="J5906" s="20"/>
      <c r="K5906" s="20"/>
      <c r="L5906" s="20"/>
      <c r="M5906" s="20"/>
      <c r="N5906" s="20"/>
      <c r="O5906" s="20"/>
      <c r="P5906" s="20"/>
      <c r="Q5906" s="20"/>
      <c r="R5906" s="20"/>
      <c r="S5906" s="20"/>
      <c r="T5906" s="20"/>
      <c r="U5906" s="20"/>
      <c r="V5906" s="20"/>
      <c r="W5906" s="21"/>
      <c r="X5906" s="20"/>
      <c r="Y5906" s="22"/>
      <c r="Z5906" s="22"/>
      <c r="AA5906" s="22"/>
      <c r="AB5906" s="22"/>
      <c r="AC5906" s="22"/>
    </row>
    <row r="5907" spans="1:29" ht="32.25" customHeight="1">
      <c r="A5907" s="19"/>
      <c r="B5907" s="20"/>
      <c r="C5907" s="20"/>
      <c r="D5907" s="20"/>
      <c r="E5907" s="20"/>
      <c r="F5907" s="20"/>
      <c r="G5907" s="20"/>
      <c r="H5907" s="20"/>
      <c r="I5907" s="20"/>
      <c r="J5907" s="20"/>
      <c r="K5907" s="20"/>
      <c r="L5907" s="20"/>
      <c r="M5907" s="20"/>
      <c r="N5907" s="20"/>
      <c r="O5907" s="20"/>
      <c r="P5907" s="20"/>
      <c r="Q5907" s="20"/>
      <c r="R5907" s="20"/>
      <c r="S5907" s="20"/>
      <c r="T5907" s="20"/>
      <c r="U5907" s="20"/>
      <c r="V5907" s="20"/>
      <c r="W5907" s="21"/>
      <c r="X5907" s="20"/>
      <c r="Y5907" s="22"/>
      <c r="Z5907" s="22"/>
      <c r="AA5907" s="22"/>
      <c r="AB5907" s="22"/>
      <c r="AC5907" s="22"/>
    </row>
    <row r="5908" spans="1:29" ht="32.25" customHeight="1">
      <c r="A5908" s="19"/>
      <c r="B5908" s="20"/>
      <c r="C5908" s="20"/>
      <c r="D5908" s="20"/>
      <c r="E5908" s="20"/>
      <c r="F5908" s="20"/>
      <c r="G5908" s="20"/>
      <c r="H5908" s="20"/>
      <c r="I5908" s="20"/>
      <c r="J5908" s="20"/>
      <c r="K5908" s="20"/>
      <c r="L5908" s="20"/>
      <c r="M5908" s="20"/>
      <c r="N5908" s="20"/>
      <c r="O5908" s="20"/>
      <c r="P5908" s="20"/>
      <c r="Q5908" s="20"/>
      <c r="R5908" s="20"/>
      <c r="S5908" s="20"/>
      <c r="T5908" s="20"/>
      <c r="U5908" s="20"/>
      <c r="V5908" s="20"/>
      <c r="W5908" s="21"/>
      <c r="X5908" s="20"/>
      <c r="Y5908" s="22"/>
      <c r="Z5908" s="22"/>
      <c r="AA5908" s="22"/>
      <c r="AB5908" s="22"/>
      <c r="AC5908" s="22"/>
    </row>
    <row r="5909" spans="1:29" ht="32.25" customHeight="1">
      <c r="A5909" s="19"/>
      <c r="B5909" s="20"/>
      <c r="C5909" s="20"/>
      <c r="D5909" s="20"/>
      <c r="E5909" s="20"/>
      <c r="F5909" s="20"/>
      <c r="G5909" s="20"/>
      <c r="H5909" s="20"/>
      <c r="I5909" s="20"/>
      <c r="J5909" s="20"/>
      <c r="K5909" s="20"/>
      <c r="L5909" s="20"/>
      <c r="M5909" s="20"/>
      <c r="N5909" s="20"/>
      <c r="O5909" s="20"/>
      <c r="P5909" s="20"/>
      <c r="Q5909" s="20"/>
      <c r="R5909" s="20"/>
      <c r="S5909" s="20"/>
      <c r="T5909" s="20"/>
      <c r="U5909" s="20"/>
      <c r="V5909" s="20"/>
      <c r="W5909" s="21"/>
      <c r="X5909" s="20"/>
      <c r="Y5909" s="22"/>
      <c r="Z5909" s="22"/>
      <c r="AA5909" s="22"/>
      <c r="AB5909" s="22"/>
      <c r="AC5909" s="22"/>
    </row>
    <row r="5910" spans="1:29" ht="32.25" customHeight="1">
      <c r="A5910" s="19"/>
      <c r="B5910" s="20"/>
      <c r="C5910" s="20"/>
      <c r="D5910" s="20"/>
      <c r="E5910" s="20"/>
      <c r="F5910" s="20"/>
      <c r="G5910" s="20"/>
      <c r="H5910" s="20"/>
      <c r="I5910" s="20"/>
      <c r="J5910" s="20"/>
      <c r="K5910" s="20"/>
      <c r="L5910" s="20"/>
      <c r="M5910" s="20"/>
      <c r="N5910" s="20"/>
      <c r="O5910" s="20"/>
      <c r="P5910" s="20"/>
      <c r="Q5910" s="20"/>
      <c r="R5910" s="20"/>
      <c r="S5910" s="20"/>
      <c r="T5910" s="20"/>
      <c r="U5910" s="20"/>
      <c r="V5910" s="20"/>
      <c r="W5910" s="21"/>
      <c r="X5910" s="20"/>
      <c r="Y5910" s="22"/>
      <c r="Z5910" s="22"/>
      <c r="AA5910" s="22"/>
      <c r="AB5910" s="22"/>
      <c r="AC5910" s="22"/>
    </row>
    <row r="5911" spans="1:29" ht="32.25" customHeight="1">
      <c r="A5911" s="19"/>
      <c r="B5911" s="20"/>
      <c r="C5911" s="20"/>
      <c r="D5911" s="20"/>
      <c r="E5911" s="20"/>
      <c r="F5911" s="20"/>
      <c r="G5911" s="20"/>
      <c r="H5911" s="20"/>
      <c r="I5911" s="20"/>
      <c r="J5911" s="20"/>
      <c r="K5911" s="20"/>
      <c r="L5911" s="20"/>
      <c r="M5911" s="20"/>
      <c r="N5911" s="20"/>
      <c r="O5911" s="20"/>
      <c r="P5911" s="20"/>
      <c r="Q5911" s="20"/>
      <c r="R5911" s="20"/>
      <c r="S5911" s="20"/>
      <c r="T5911" s="20"/>
      <c r="U5911" s="20"/>
      <c r="V5911" s="20"/>
      <c r="W5911" s="21"/>
      <c r="X5911" s="20"/>
      <c r="Y5911" s="22"/>
      <c r="Z5911" s="22"/>
      <c r="AA5911" s="22"/>
      <c r="AB5911" s="22"/>
      <c r="AC5911" s="22"/>
    </row>
    <row r="5912" spans="1:29" ht="32.25" customHeight="1">
      <c r="A5912" s="19"/>
      <c r="B5912" s="20"/>
      <c r="C5912" s="20"/>
      <c r="D5912" s="20"/>
      <c r="E5912" s="20"/>
      <c r="F5912" s="20"/>
      <c r="G5912" s="20"/>
      <c r="H5912" s="20"/>
      <c r="I5912" s="20"/>
      <c r="J5912" s="20"/>
      <c r="K5912" s="20"/>
      <c r="L5912" s="20"/>
      <c r="M5912" s="20"/>
      <c r="N5912" s="20"/>
      <c r="O5912" s="20"/>
      <c r="P5912" s="20"/>
      <c r="Q5912" s="20"/>
      <c r="R5912" s="20"/>
      <c r="S5912" s="20"/>
      <c r="T5912" s="20"/>
      <c r="U5912" s="20"/>
      <c r="V5912" s="20"/>
      <c r="W5912" s="21"/>
      <c r="X5912" s="20"/>
      <c r="Y5912" s="22"/>
      <c r="Z5912" s="22"/>
      <c r="AA5912" s="22"/>
      <c r="AB5912" s="22"/>
      <c r="AC5912" s="22"/>
    </row>
    <row r="5913" spans="1:29" ht="32.25" customHeight="1">
      <c r="A5913" s="19"/>
      <c r="B5913" s="20"/>
      <c r="C5913" s="20"/>
      <c r="D5913" s="20"/>
      <c r="E5913" s="20"/>
      <c r="F5913" s="20"/>
      <c r="G5913" s="20"/>
      <c r="H5913" s="20"/>
      <c r="I5913" s="20"/>
      <c r="J5913" s="20"/>
      <c r="K5913" s="20"/>
      <c r="L5913" s="20"/>
      <c r="M5913" s="20"/>
      <c r="N5913" s="20"/>
      <c r="O5913" s="20"/>
      <c r="P5913" s="20"/>
      <c r="Q5913" s="20"/>
      <c r="R5913" s="20"/>
      <c r="S5913" s="20"/>
      <c r="T5913" s="20"/>
      <c r="U5913" s="20"/>
      <c r="V5913" s="20"/>
      <c r="W5913" s="21"/>
      <c r="X5913" s="20"/>
      <c r="Y5913" s="22"/>
      <c r="Z5913" s="22"/>
      <c r="AA5913" s="22"/>
      <c r="AB5913" s="22"/>
      <c r="AC5913" s="22"/>
    </row>
    <row r="5914" spans="1:29" ht="32.25" customHeight="1">
      <c r="A5914" s="19"/>
      <c r="B5914" s="20"/>
      <c r="C5914" s="20"/>
      <c r="D5914" s="20"/>
      <c r="E5914" s="20"/>
      <c r="F5914" s="20"/>
      <c r="G5914" s="20"/>
      <c r="H5914" s="20"/>
      <c r="I5914" s="20"/>
      <c r="J5914" s="20"/>
      <c r="K5914" s="20"/>
      <c r="L5914" s="20"/>
      <c r="M5914" s="20"/>
      <c r="N5914" s="20"/>
      <c r="O5914" s="20"/>
      <c r="P5914" s="20"/>
      <c r="Q5914" s="20"/>
      <c r="R5914" s="20"/>
      <c r="S5914" s="20"/>
      <c r="T5914" s="20"/>
      <c r="U5914" s="20"/>
      <c r="V5914" s="20"/>
      <c r="W5914" s="21"/>
      <c r="X5914" s="20"/>
      <c r="Y5914" s="22"/>
      <c r="Z5914" s="22"/>
      <c r="AA5914" s="22"/>
      <c r="AB5914" s="22"/>
      <c r="AC5914" s="22"/>
    </row>
    <row r="5915" spans="1:29" ht="32.25" customHeight="1">
      <c r="A5915" s="19"/>
      <c r="B5915" s="20"/>
      <c r="C5915" s="20"/>
      <c r="D5915" s="20"/>
      <c r="E5915" s="20"/>
      <c r="F5915" s="20"/>
      <c r="G5915" s="20"/>
      <c r="H5915" s="20"/>
      <c r="I5915" s="20"/>
      <c r="J5915" s="20"/>
      <c r="K5915" s="20"/>
      <c r="L5915" s="20"/>
      <c r="M5915" s="20"/>
      <c r="N5915" s="20"/>
      <c r="O5915" s="20"/>
      <c r="P5915" s="20"/>
      <c r="Q5915" s="20"/>
      <c r="R5915" s="20"/>
      <c r="S5915" s="20"/>
      <c r="T5915" s="20"/>
      <c r="U5915" s="20"/>
      <c r="V5915" s="20"/>
      <c r="W5915" s="21"/>
      <c r="X5915" s="20"/>
      <c r="Y5915" s="22"/>
      <c r="Z5915" s="22"/>
      <c r="AA5915" s="22"/>
      <c r="AB5915" s="22"/>
      <c r="AC5915" s="22"/>
    </row>
    <row r="5916" spans="1:29" ht="32.25" customHeight="1">
      <c r="A5916" s="19"/>
      <c r="B5916" s="20"/>
      <c r="C5916" s="20"/>
      <c r="D5916" s="20"/>
      <c r="E5916" s="20"/>
      <c r="F5916" s="20"/>
      <c r="G5916" s="20"/>
      <c r="H5916" s="20"/>
      <c r="I5916" s="20"/>
      <c r="J5916" s="20"/>
      <c r="K5916" s="20"/>
      <c r="L5916" s="20"/>
      <c r="M5916" s="20"/>
      <c r="N5916" s="20"/>
      <c r="O5916" s="20"/>
      <c r="P5916" s="20"/>
      <c r="Q5916" s="20"/>
      <c r="R5916" s="20"/>
      <c r="S5916" s="20"/>
      <c r="T5916" s="20"/>
      <c r="U5916" s="20"/>
      <c r="V5916" s="20"/>
      <c r="W5916" s="21"/>
      <c r="X5916" s="20"/>
      <c r="Y5916" s="22"/>
      <c r="Z5916" s="22"/>
      <c r="AA5916" s="22"/>
      <c r="AB5916" s="22"/>
      <c r="AC5916" s="22"/>
    </row>
    <row r="5917" spans="1:29" ht="32.25" customHeight="1">
      <c r="A5917" s="19"/>
      <c r="B5917" s="20"/>
      <c r="C5917" s="20"/>
      <c r="D5917" s="20"/>
      <c r="E5917" s="20"/>
      <c r="F5917" s="20"/>
      <c r="G5917" s="20"/>
      <c r="H5917" s="20"/>
      <c r="I5917" s="20"/>
      <c r="J5917" s="20"/>
      <c r="K5917" s="20"/>
      <c r="L5917" s="20"/>
      <c r="M5917" s="20"/>
      <c r="N5917" s="20"/>
      <c r="O5917" s="20"/>
      <c r="P5917" s="20"/>
      <c r="Q5917" s="20"/>
      <c r="R5917" s="20"/>
      <c r="S5917" s="20"/>
      <c r="T5917" s="20"/>
      <c r="U5917" s="20"/>
      <c r="V5917" s="20"/>
      <c r="W5917" s="21"/>
      <c r="X5917" s="20"/>
      <c r="Y5917" s="22"/>
      <c r="Z5917" s="22"/>
      <c r="AA5917" s="22"/>
      <c r="AB5917" s="22"/>
      <c r="AC5917" s="22"/>
    </row>
    <row r="5918" spans="1:29" ht="32.25" customHeight="1">
      <c r="A5918" s="19"/>
      <c r="B5918" s="20"/>
      <c r="C5918" s="20"/>
      <c r="D5918" s="20"/>
      <c r="E5918" s="20"/>
      <c r="F5918" s="20"/>
      <c r="G5918" s="20"/>
      <c r="H5918" s="20"/>
      <c r="I5918" s="20"/>
      <c r="J5918" s="20"/>
      <c r="K5918" s="20"/>
      <c r="L5918" s="20"/>
      <c r="M5918" s="20"/>
      <c r="N5918" s="20"/>
      <c r="O5918" s="20"/>
      <c r="P5918" s="20"/>
      <c r="Q5918" s="20"/>
      <c r="R5918" s="20"/>
      <c r="S5918" s="20"/>
      <c r="T5918" s="20"/>
      <c r="U5918" s="20"/>
      <c r="V5918" s="20"/>
      <c r="W5918" s="21"/>
      <c r="X5918" s="20"/>
      <c r="Y5918" s="22"/>
      <c r="Z5918" s="22"/>
      <c r="AA5918" s="22"/>
      <c r="AB5918" s="22"/>
      <c r="AC5918" s="22"/>
    </row>
    <row r="5919" spans="1:29" ht="32.25" customHeight="1">
      <c r="A5919" s="19"/>
      <c r="B5919" s="20"/>
      <c r="C5919" s="20"/>
      <c r="D5919" s="20"/>
      <c r="E5919" s="20"/>
      <c r="F5919" s="20"/>
      <c r="G5919" s="20"/>
      <c r="H5919" s="20"/>
      <c r="I5919" s="20"/>
      <c r="J5919" s="20"/>
      <c r="K5919" s="20"/>
      <c r="L5919" s="20"/>
      <c r="M5919" s="20"/>
      <c r="N5919" s="20"/>
      <c r="O5919" s="20"/>
      <c r="P5919" s="20"/>
      <c r="Q5919" s="20"/>
      <c r="R5919" s="20"/>
      <c r="S5919" s="20"/>
      <c r="T5919" s="20"/>
      <c r="U5919" s="20"/>
      <c r="V5919" s="20"/>
      <c r="W5919" s="21"/>
      <c r="X5919" s="20"/>
      <c r="Y5919" s="22"/>
      <c r="Z5919" s="22"/>
      <c r="AA5919" s="22"/>
      <c r="AB5919" s="22"/>
      <c r="AC5919" s="22"/>
    </row>
    <row r="5920" spans="1:29" ht="32.25" customHeight="1">
      <c r="A5920" s="19"/>
      <c r="B5920" s="20"/>
      <c r="C5920" s="20"/>
      <c r="D5920" s="20"/>
      <c r="E5920" s="20"/>
      <c r="F5920" s="20"/>
      <c r="G5920" s="20"/>
      <c r="H5920" s="20"/>
      <c r="I5920" s="20"/>
      <c r="J5920" s="20"/>
      <c r="K5920" s="20"/>
      <c r="L5920" s="20"/>
      <c r="M5920" s="20"/>
      <c r="N5920" s="20"/>
      <c r="O5920" s="20"/>
      <c r="P5920" s="20"/>
      <c r="Q5920" s="20"/>
      <c r="R5920" s="20"/>
      <c r="S5920" s="20"/>
      <c r="T5920" s="20"/>
      <c r="U5920" s="20"/>
      <c r="V5920" s="20"/>
      <c r="W5920" s="21"/>
      <c r="X5920" s="20"/>
      <c r="Y5920" s="22"/>
      <c r="Z5920" s="22"/>
      <c r="AA5920" s="22"/>
      <c r="AB5920" s="22"/>
      <c r="AC5920" s="22"/>
    </row>
    <row r="5921" spans="1:29" ht="32.25" customHeight="1">
      <c r="A5921" s="19"/>
      <c r="B5921" s="20"/>
      <c r="C5921" s="20"/>
      <c r="D5921" s="20"/>
      <c r="E5921" s="20"/>
      <c r="F5921" s="20"/>
      <c r="G5921" s="20"/>
      <c r="H5921" s="20"/>
      <c r="I5921" s="20"/>
      <c r="J5921" s="20"/>
      <c r="K5921" s="20"/>
      <c r="L5921" s="20"/>
      <c r="M5921" s="20"/>
      <c r="N5921" s="20"/>
      <c r="O5921" s="20"/>
      <c r="P5921" s="20"/>
      <c r="Q5921" s="20"/>
      <c r="R5921" s="20"/>
      <c r="S5921" s="20"/>
      <c r="T5921" s="20"/>
      <c r="U5921" s="20"/>
      <c r="V5921" s="20"/>
      <c r="W5921" s="21"/>
      <c r="X5921" s="20"/>
      <c r="Y5921" s="22"/>
      <c r="Z5921" s="22"/>
      <c r="AA5921" s="22"/>
      <c r="AB5921" s="22"/>
      <c r="AC5921" s="22"/>
    </row>
    <row r="5922" spans="1:29" ht="32.25" customHeight="1">
      <c r="A5922" s="19"/>
      <c r="B5922" s="20"/>
      <c r="C5922" s="20"/>
      <c r="D5922" s="20"/>
      <c r="E5922" s="20"/>
      <c r="F5922" s="20"/>
      <c r="G5922" s="20"/>
      <c r="H5922" s="20"/>
      <c r="I5922" s="20"/>
      <c r="J5922" s="20"/>
      <c r="K5922" s="20"/>
      <c r="L5922" s="20"/>
      <c r="M5922" s="20"/>
      <c r="N5922" s="20"/>
      <c r="O5922" s="20"/>
      <c r="P5922" s="20"/>
      <c r="Q5922" s="20"/>
      <c r="R5922" s="20"/>
      <c r="S5922" s="20"/>
      <c r="T5922" s="20"/>
      <c r="U5922" s="20"/>
      <c r="V5922" s="20"/>
      <c r="W5922" s="21"/>
      <c r="X5922" s="20"/>
      <c r="Y5922" s="22"/>
      <c r="Z5922" s="22"/>
      <c r="AA5922" s="22"/>
      <c r="AB5922" s="22"/>
      <c r="AC5922" s="22"/>
    </row>
    <row r="5923" spans="1:29" ht="32.25" customHeight="1">
      <c r="A5923" s="19"/>
      <c r="B5923" s="20"/>
      <c r="C5923" s="20"/>
      <c r="D5923" s="20"/>
      <c r="E5923" s="20"/>
      <c r="F5923" s="20"/>
      <c r="G5923" s="20"/>
      <c r="H5923" s="20"/>
      <c r="I5923" s="20"/>
      <c r="J5923" s="20"/>
      <c r="K5923" s="20"/>
      <c r="L5923" s="20"/>
      <c r="M5923" s="20"/>
      <c r="N5923" s="20"/>
      <c r="O5923" s="20"/>
      <c r="P5923" s="20"/>
      <c r="Q5923" s="20"/>
      <c r="R5923" s="20"/>
      <c r="S5923" s="20"/>
      <c r="T5923" s="20"/>
      <c r="U5923" s="20"/>
      <c r="V5923" s="20"/>
      <c r="W5923" s="21"/>
      <c r="X5923" s="20"/>
      <c r="Y5923" s="22"/>
      <c r="Z5923" s="22"/>
      <c r="AA5923" s="22"/>
      <c r="AB5923" s="22"/>
      <c r="AC5923" s="22"/>
    </row>
    <row r="5924" spans="1:29" ht="32.25" customHeight="1">
      <c r="A5924" s="19"/>
      <c r="B5924" s="20"/>
      <c r="C5924" s="20"/>
      <c r="D5924" s="20"/>
      <c r="E5924" s="20"/>
      <c r="F5924" s="20"/>
      <c r="G5924" s="20"/>
      <c r="H5924" s="20"/>
      <c r="I5924" s="20"/>
      <c r="J5924" s="20"/>
      <c r="K5924" s="20"/>
      <c r="L5924" s="20"/>
      <c r="M5924" s="20"/>
      <c r="N5924" s="20"/>
      <c r="O5924" s="20"/>
      <c r="P5924" s="20"/>
      <c r="Q5924" s="20"/>
      <c r="R5924" s="20"/>
      <c r="S5924" s="20"/>
      <c r="T5924" s="20"/>
      <c r="U5924" s="20"/>
      <c r="V5924" s="20"/>
      <c r="W5924" s="21"/>
      <c r="X5924" s="20"/>
      <c r="Y5924" s="22"/>
      <c r="Z5924" s="22"/>
      <c r="AA5924" s="22"/>
      <c r="AB5924" s="22"/>
      <c r="AC5924" s="22"/>
    </row>
    <row r="5925" spans="1:29" ht="32.25" customHeight="1">
      <c r="A5925" s="19"/>
      <c r="B5925" s="20"/>
      <c r="C5925" s="20"/>
      <c r="D5925" s="20"/>
      <c r="E5925" s="20"/>
      <c r="F5925" s="20"/>
      <c r="G5925" s="20"/>
      <c r="H5925" s="20"/>
      <c r="I5925" s="20"/>
      <c r="J5925" s="20"/>
      <c r="K5925" s="20"/>
      <c r="L5925" s="20"/>
      <c r="M5925" s="20"/>
      <c r="N5925" s="20"/>
      <c r="O5925" s="20"/>
      <c r="P5925" s="20"/>
      <c r="Q5925" s="20"/>
      <c r="R5925" s="20"/>
      <c r="S5925" s="20"/>
      <c r="T5925" s="20"/>
      <c r="U5925" s="20"/>
      <c r="V5925" s="20"/>
      <c r="W5925" s="21"/>
      <c r="X5925" s="20"/>
      <c r="Y5925" s="22"/>
      <c r="Z5925" s="22"/>
      <c r="AA5925" s="22"/>
      <c r="AB5925" s="22"/>
      <c r="AC5925" s="22"/>
    </row>
    <row r="5926" spans="1:29" ht="32.25" customHeight="1">
      <c r="A5926" s="19"/>
      <c r="B5926" s="20"/>
      <c r="C5926" s="20"/>
      <c r="D5926" s="20"/>
      <c r="E5926" s="20"/>
      <c r="F5926" s="20"/>
      <c r="G5926" s="20"/>
      <c r="H5926" s="20"/>
      <c r="I5926" s="20"/>
      <c r="J5926" s="20"/>
      <c r="K5926" s="20"/>
      <c r="L5926" s="20"/>
      <c r="M5926" s="20"/>
      <c r="N5926" s="20"/>
      <c r="O5926" s="20"/>
      <c r="P5926" s="20"/>
      <c r="Q5926" s="20"/>
      <c r="R5926" s="20"/>
      <c r="S5926" s="20"/>
      <c r="T5926" s="20"/>
      <c r="U5926" s="20"/>
      <c r="V5926" s="20"/>
      <c r="W5926" s="21"/>
      <c r="X5926" s="20"/>
      <c r="Y5926" s="22"/>
      <c r="Z5926" s="22"/>
      <c r="AA5926" s="22"/>
      <c r="AB5926" s="22"/>
      <c r="AC5926" s="22"/>
    </row>
    <row r="5927" spans="1:29" ht="32.25" customHeight="1">
      <c r="A5927" s="19"/>
      <c r="B5927" s="20"/>
      <c r="C5927" s="20"/>
      <c r="D5927" s="20"/>
      <c r="E5927" s="20"/>
      <c r="F5927" s="20"/>
      <c r="G5927" s="20"/>
      <c r="H5927" s="20"/>
      <c r="I5927" s="20"/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1"/>
      <c r="X5927" s="20"/>
      <c r="Y5927" s="22"/>
      <c r="Z5927" s="22"/>
      <c r="AA5927" s="22"/>
      <c r="AB5927" s="22"/>
      <c r="AC5927" s="22"/>
    </row>
    <row r="5928" spans="1:29" ht="32.25" customHeight="1">
      <c r="A5928" s="19"/>
      <c r="B5928" s="20"/>
      <c r="C5928" s="20"/>
      <c r="D5928" s="20"/>
      <c r="E5928" s="20"/>
      <c r="F5928" s="20"/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1"/>
      <c r="X5928" s="20"/>
      <c r="Y5928" s="22"/>
      <c r="Z5928" s="22"/>
      <c r="AA5928" s="22"/>
      <c r="AB5928" s="22"/>
      <c r="AC5928" s="22"/>
    </row>
    <row r="5929" spans="1:29" ht="32.25" customHeight="1">
      <c r="A5929" s="19"/>
      <c r="B5929" s="20"/>
      <c r="C5929" s="20"/>
      <c r="D5929" s="20"/>
      <c r="E5929" s="20"/>
      <c r="F5929" s="20"/>
      <c r="G5929" s="20"/>
      <c r="H5929" s="20"/>
      <c r="I5929" s="20"/>
      <c r="J5929" s="20"/>
      <c r="K5929" s="20"/>
      <c r="L5929" s="20"/>
      <c r="M5929" s="20"/>
      <c r="N5929" s="20"/>
      <c r="O5929" s="20"/>
      <c r="P5929" s="20"/>
      <c r="Q5929" s="20"/>
      <c r="R5929" s="20"/>
      <c r="S5929" s="20"/>
      <c r="T5929" s="20"/>
      <c r="U5929" s="20"/>
      <c r="V5929" s="20"/>
      <c r="W5929" s="21"/>
      <c r="X5929" s="20"/>
      <c r="Y5929" s="22"/>
      <c r="Z5929" s="22"/>
      <c r="AA5929" s="22"/>
      <c r="AB5929" s="22"/>
      <c r="AC5929" s="22"/>
    </row>
    <row r="5930" spans="1:29" ht="32.25" customHeight="1">
      <c r="A5930" s="19"/>
      <c r="B5930" s="20"/>
      <c r="C5930" s="20"/>
      <c r="D5930" s="20"/>
      <c r="E5930" s="20"/>
      <c r="F5930" s="20"/>
      <c r="G5930" s="20"/>
      <c r="H5930" s="20"/>
      <c r="I5930" s="20"/>
      <c r="J5930" s="20"/>
      <c r="K5930" s="20"/>
      <c r="L5930" s="20"/>
      <c r="M5930" s="20"/>
      <c r="N5930" s="20"/>
      <c r="O5930" s="20"/>
      <c r="P5930" s="20"/>
      <c r="Q5930" s="20"/>
      <c r="R5930" s="20"/>
      <c r="S5930" s="20"/>
      <c r="T5930" s="20"/>
      <c r="U5930" s="20"/>
      <c r="V5930" s="20"/>
      <c r="W5930" s="21"/>
      <c r="X5930" s="20"/>
      <c r="Y5930" s="22"/>
      <c r="Z5930" s="22"/>
      <c r="AA5930" s="22"/>
      <c r="AB5930" s="22"/>
      <c r="AC5930" s="22"/>
    </row>
    <row r="5931" spans="1:29" ht="32.25" customHeight="1">
      <c r="A5931" s="19"/>
      <c r="B5931" s="20"/>
      <c r="C5931" s="20"/>
      <c r="D5931" s="20"/>
      <c r="E5931" s="20"/>
      <c r="F5931" s="20"/>
      <c r="G5931" s="20"/>
      <c r="H5931" s="20"/>
      <c r="I5931" s="20"/>
      <c r="J5931" s="20"/>
      <c r="K5931" s="20"/>
      <c r="L5931" s="20"/>
      <c r="M5931" s="20"/>
      <c r="N5931" s="20"/>
      <c r="O5931" s="20"/>
      <c r="P5931" s="20"/>
      <c r="Q5931" s="20"/>
      <c r="R5931" s="20"/>
      <c r="S5931" s="20"/>
      <c r="T5931" s="20"/>
      <c r="U5931" s="20"/>
      <c r="V5931" s="20"/>
      <c r="W5931" s="21"/>
      <c r="X5931" s="20"/>
      <c r="Y5931" s="22"/>
      <c r="Z5931" s="22"/>
      <c r="AA5931" s="22"/>
      <c r="AB5931" s="22"/>
      <c r="AC5931" s="22"/>
    </row>
    <row r="5932" spans="1:29" ht="32.25" customHeight="1">
      <c r="A5932" s="19"/>
      <c r="B5932" s="20"/>
      <c r="C5932" s="20"/>
      <c r="D5932" s="20"/>
      <c r="E5932" s="20"/>
      <c r="F5932" s="20"/>
      <c r="G5932" s="20"/>
      <c r="H5932" s="20"/>
      <c r="I5932" s="20"/>
      <c r="J5932" s="20"/>
      <c r="K5932" s="20"/>
      <c r="L5932" s="20"/>
      <c r="M5932" s="20"/>
      <c r="N5932" s="20"/>
      <c r="O5932" s="20"/>
      <c r="P5932" s="20"/>
      <c r="Q5932" s="20"/>
      <c r="R5932" s="20"/>
      <c r="S5932" s="20"/>
      <c r="T5932" s="20"/>
      <c r="U5932" s="20"/>
      <c r="V5932" s="20"/>
      <c r="W5932" s="21"/>
      <c r="X5932" s="20"/>
      <c r="Y5932" s="22"/>
      <c r="Z5932" s="22"/>
      <c r="AA5932" s="22"/>
      <c r="AB5932" s="22"/>
      <c r="AC5932" s="22"/>
    </row>
    <row r="5933" spans="1:29" ht="32.25" customHeight="1">
      <c r="A5933" s="19"/>
      <c r="B5933" s="20"/>
      <c r="C5933" s="20"/>
      <c r="D5933" s="20"/>
      <c r="E5933" s="20"/>
      <c r="F5933" s="20"/>
      <c r="G5933" s="20"/>
      <c r="H5933" s="20"/>
      <c r="I5933" s="20"/>
      <c r="J5933" s="20"/>
      <c r="K5933" s="20"/>
      <c r="L5933" s="20"/>
      <c r="M5933" s="20"/>
      <c r="N5933" s="20"/>
      <c r="O5933" s="20"/>
      <c r="P5933" s="20"/>
      <c r="Q5933" s="20"/>
      <c r="R5933" s="20"/>
      <c r="S5933" s="20"/>
      <c r="T5933" s="20"/>
      <c r="U5933" s="20"/>
      <c r="V5933" s="20"/>
      <c r="W5933" s="21"/>
      <c r="X5933" s="20"/>
      <c r="Y5933" s="22"/>
      <c r="Z5933" s="22"/>
      <c r="AA5933" s="22"/>
      <c r="AB5933" s="22"/>
      <c r="AC5933" s="22"/>
    </row>
    <row r="5934" spans="1:29" ht="32.25" customHeight="1">
      <c r="A5934" s="19"/>
      <c r="B5934" s="20"/>
      <c r="C5934" s="20"/>
      <c r="D5934" s="20"/>
      <c r="E5934" s="20"/>
      <c r="F5934" s="20"/>
      <c r="G5934" s="20"/>
      <c r="H5934" s="20"/>
      <c r="I5934" s="20"/>
      <c r="J5934" s="20"/>
      <c r="K5934" s="20"/>
      <c r="L5934" s="20"/>
      <c r="M5934" s="20"/>
      <c r="N5934" s="20"/>
      <c r="O5934" s="20"/>
      <c r="P5934" s="20"/>
      <c r="Q5934" s="20"/>
      <c r="R5934" s="20"/>
      <c r="S5934" s="20"/>
      <c r="T5934" s="20"/>
      <c r="U5934" s="20"/>
      <c r="V5934" s="20"/>
      <c r="W5934" s="21"/>
      <c r="X5934" s="20"/>
      <c r="Y5934" s="22"/>
      <c r="Z5934" s="22"/>
      <c r="AA5934" s="22"/>
      <c r="AB5934" s="22"/>
      <c r="AC5934" s="22"/>
    </row>
    <row r="5935" spans="1:29" ht="32.25" customHeight="1">
      <c r="A5935" s="19"/>
      <c r="B5935" s="20"/>
      <c r="C5935" s="20"/>
      <c r="D5935" s="20"/>
      <c r="E5935" s="20"/>
      <c r="F5935" s="20"/>
      <c r="G5935" s="20"/>
      <c r="H5935" s="20"/>
      <c r="I5935" s="20"/>
      <c r="J5935" s="20"/>
      <c r="K5935" s="20"/>
      <c r="L5935" s="20"/>
      <c r="M5935" s="20"/>
      <c r="N5935" s="20"/>
      <c r="O5935" s="20"/>
      <c r="P5935" s="20"/>
      <c r="Q5935" s="20"/>
      <c r="R5935" s="20"/>
      <c r="S5935" s="20"/>
      <c r="T5935" s="20"/>
      <c r="U5935" s="20"/>
      <c r="V5935" s="20"/>
      <c r="W5935" s="21"/>
      <c r="X5935" s="20"/>
      <c r="Y5935" s="22"/>
      <c r="Z5935" s="22"/>
      <c r="AA5935" s="22"/>
      <c r="AB5935" s="22"/>
      <c r="AC5935" s="22"/>
    </row>
    <row r="5936" spans="1:29" ht="32.25" customHeight="1">
      <c r="A5936" s="19"/>
      <c r="B5936" s="20"/>
      <c r="C5936" s="20"/>
      <c r="D5936" s="20"/>
      <c r="E5936" s="20"/>
      <c r="F5936" s="20"/>
      <c r="G5936" s="20"/>
      <c r="H5936" s="20"/>
      <c r="I5936" s="20"/>
      <c r="J5936" s="20"/>
      <c r="K5936" s="20"/>
      <c r="L5936" s="20"/>
      <c r="M5936" s="20"/>
      <c r="N5936" s="20"/>
      <c r="O5936" s="20"/>
      <c r="P5936" s="20"/>
      <c r="Q5936" s="20"/>
      <c r="R5936" s="20"/>
      <c r="S5936" s="20"/>
      <c r="T5936" s="20"/>
      <c r="U5936" s="20"/>
      <c r="V5936" s="20"/>
      <c r="W5936" s="21"/>
      <c r="X5936" s="20"/>
      <c r="Y5936" s="22"/>
      <c r="Z5936" s="22"/>
      <c r="AA5936" s="22"/>
      <c r="AB5936" s="22"/>
      <c r="AC5936" s="22"/>
    </row>
    <row r="5937" spans="1:29" ht="32.25" customHeight="1">
      <c r="A5937" s="19"/>
      <c r="B5937" s="20"/>
      <c r="C5937" s="20"/>
      <c r="D5937" s="20"/>
      <c r="E5937" s="20"/>
      <c r="F5937" s="20"/>
      <c r="G5937" s="20"/>
      <c r="H5937" s="20"/>
      <c r="I5937" s="20"/>
      <c r="J5937" s="20"/>
      <c r="K5937" s="20"/>
      <c r="L5937" s="20"/>
      <c r="M5937" s="20"/>
      <c r="N5937" s="20"/>
      <c r="O5937" s="20"/>
      <c r="P5937" s="20"/>
      <c r="Q5937" s="20"/>
      <c r="R5937" s="20"/>
      <c r="S5937" s="20"/>
      <c r="T5937" s="20"/>
      <c r="U5937" s="20"/>
      <c r="V5937" s="20"/>
      <c r="W5937" s="21"/>
      <c r="X5937" s="20"/>
      <c r="Y5937" s="22"/>
      <c r="Z5937" s="22"/>
      <c r="AA5937" s="22"/>
      <c r="AB5937" s="22"/>
      <c r="AC5937" s="22"/>
    </row>
    <row r="5938" spans="1:29" ht="32.25" customHeight="1">
      <c r="A5938" s="19"/>
      <c r="B5938" s="20"/>
      <c r="C5938" s="20"/>
      <c r="D5938" s="20"/>
      <c r="E5938" s="20"/>
      <c r="F5938" s="20"/>
      <c r="G5938" s="20"/>
      <c r="H5938" s="20"/>
      <c r="I5938" s="20"/>
      <c r="J5938" s="20"/>
      <c r="K5938" s="20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1"/>
      <c r="X5938" s="20"/>
      <c r="Y5938" s="22"/>
      <c r="Z5938" s="22"/>
      <c r="AA5938" s="22"/>
      <c r="AB5938" s="22"/>
      <c r="AC5938" s="22"/>
    </row>
    <row r="5939" spans="1:29" ht="32.25" customHeight="1">
      <c r="A5939" s="19"/>
      <c r="B5939" s="20"/>
      <c r="C5939" s="20"/>
      <c r="D5939" s="20"/>
      <c r="E5939" s="20"/>
      <c r="F5939" s="20"/>
      <c r="G5939" s="20"/>
      <c r="H5939" s="20"/>
      <c r="I5939" s="20"/>
      <c r="J5939" s="20"/>
      <c r="K5939" s="20"/>
      <c r="L5939" s="20"/>
      <c r="M5939" s="20"/>
      <c r="N5939" s="20"/>
      <c r="O5939" s="20"/>
      <c r="P5939" s="20"/>
      <c r="Q5939" s="20"/>
      <c r="R5939" s="20"/>
      <c r="S5939" s="20"/>
      <c r="T5939" s="20"/>
      <c r="U5939" s="20"/>
      <c r="V5939" s="20"/>
      <c r="W5939" s="21"/>
      <c r="X5939" s="20"/>
      <c r="Y5939" s="22"/>
      <c r="Z5939" s="22"/>
      <c r="AA5939" s="22"/>
      <c r="AB5939" s="22"/>
      <c r="AC5939" s="22"/>
    </row>
    <row r="5940" spans="1:29" ht="32.25" customHeight="1">
      <c r="A5940" s="19"/>
      <c r="B5940" s="20"/>
      <c r="C5940" s="20"/>
      <c r="D5940" s="20"/>
      <c r="E5940" s="20"/>
      <c r="F5940" s="20"/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/>
      <c r="R5940" s="20"/>
      <c r="S5940" s="20"/>
      <c r="T5940" s="20"/>
      <c r="U5940" s="20"/>
      <c r="V5940" s="20"/>
      <c r="W5940" s="21"/>
      <c r="X5940" s="20"/>
      <c r="Y5940" s="22"/>
      <c r="Z5940" s="22"/>
      <c r="AA5940" s="22"/>
      <c r="AB5940" s="22"/>
      <c r="AC5940" s="22"/>
    </row>
    <row r="5941" spans="1:29" ht="32.25" customHeight="1">
      <c r="A5941" s="19"/>
      <c r="B5941" s="20"/>
      <c r="C5941" s="20"/>
      <c r="D5941" s="20"/>
      <c r="E5941" s="20"/>
      <c r="F5941" s="20"/>
      <c r="G5941" s="20"/>
      <c r="H5941" s="20"/>
      <c r="I5941" s="20"/>
      <c r="J5941" s="20"/>
      <c r="K5941" s="20"/>
      <c r="L5941" s="20"/>
      <c r="M5941" s="20"/>
      <c r="N5941" s="20"/>
      <c r="O5941" s="20"/>
      <c r="P5941" s="20"/>
      <c r="Q5941" s="20"/>
      <c r="R5941" s="20"/>
      <c r="S5941" s="20"/>
      <c r="T5941" s="20"/>
      <c r="U5941" s="20"/>
      <c r="V5941" s="20"/>
      <c r="W5941" s="21"/>
      <c r="X5941" s="20"/>
      <c r="Y5941" s="22"/>
      <c r="Z5941" s="22"/>
      <c r="AA5941" s="22"/>
      <c r="AB5941" s="22"/>
      <c r="AC5941" s="22"/>
    </row>
    <row r="5942" spans="1:29" ht="32.25" customHeight="1">
      <c r="A5942" s="19"/>
      <c r="B5942" s="20"/>
      <c r="C5942" s="20"/>
      <c r="D5942" s="20"/>
      <c r="E5942" s="20"/>
      <c r="F5942" s="20"/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1"/>
      <c r="X5942" s="20"/>
      <c r="Y5942" s="22"/>
      <c r="Z5942" s="22"/>
      <c r="AA5942" s="22"/>
      <c r="AB5942" s="22"/>
      <c r="AC5942" s="22"/>
    </row>
    <row r="5943" spans="1:29" ht="32.25" customHeight="1">
      <c r="A5943" s="19"/>
      <c r="B5943" s="20"/>
      <c r="C5943" s="20"/>
      <c r="D5943" s="20"/>
      <c r="E5943" s="20"/>
      <c r="F5943" s="20"/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1"/>
      <c r="X5943" s="20"/>
      <c r="Y5943" s="22"/>
      <c r="Z5943" s="22"/>
      <c r="AA5943" s="22"/>
      <c r="AB5943" s="22"/>
      <c r="AC5943" s="22"/>
    </row>
    <row r="5944" spans="1:29" ht="32.25" customHeight="1">
      <c r="A5944" s="19"/>
      <c r="B5944" s="20"/>
      <c r="C5944" s="20"/>
      <c r="D5944" s="20"/>
      <c r="E5944" s="20"/>
      <c r="F5944" s="20"/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1"/>
      <c r="X5944" s="20"/>
      <c r="Y5944" s="22"/>
      <c r="Z5944" s="22"/>
      <c r="AA5944" s="22"/>
      <c r="AB5944" s="22"/>
      <c r="AC5944" s="22"/>
    </row>
    <row r="5945" spans="1:29" ht="32.25" customHeight="1">
      <c r="A5945" s="19"/>
      <c r="B5945" s="20"/>
      <c r="C5945" s="20"/>
      <c r="D5945" s="20"/>
      <c r="E5945" s="20"/>
      <c r="F5945" s="20"/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1"/>
      <c r="X5945" s="20"/>
      <c r="Y5945" s="22"/>
      <c r="Z5945" s="22"/>
      <c r="AA5945" s="22"/>
      <c r="AB5945" s="22"/>
      <c r="AC5945" s="22"/>
    </row>
    <row r="5946" spans="1:29" ht="32.25" customHeight="1">
      <c r="A5946" s="19"/>
      <c r="B5946" s="20"/>
      <c r="C5946" s="20"/>
      <c r="D5946" s="20"/>
      <c r="E5946" s="20"/>
      <c r="F5946" s="20"/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1"/>
      <c r="X5946" s="20"/>
      <c r="Y5946" s="22"/>
      <c r="Z5946" s="22"/>
      <c r="AA5946" s="22"/>
      <c r="AB5946" s="22"/>
      <c r="AC5946" s="22"/>
    </row>
    <row r="5947" spans="1:29" ht="32.25" customHeight="1">
      <c r="A5947" s="19"/>
      <c r="B5947" s="20"/>
      <c r="C5947" s="20"/>
      <c r="D5947" s="20"/>
      <c r="E5947" s="20"/>
      <c r="F5947" s="20"/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1"/>
      <c r="X5947" s="20"/>
      <c r="Y5947" s="22"/>
      <c r="Z5947" s="22"/>
      <c r="AA5947" s="22"/>
      <c r="AB5947" s="22"/>
      <c r="AC5947" s="22"/>
    </row>
    <row r="5948" spans="1:29" ht="32.25" customHeight="1">
      <c r="A5948" s="19"/>
      <c r="B5948" s="20"/>
      <c r="C5948" s="20"/>
      <c r="D5948" s="20"/>
      <c r="E5948" s="20"/>
      <c r="F5948" s="20"/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1"/>
      <c r="X5948" s="20"/>
      <c r="Y5948" s="22"/>
      <c r="Z5948" s="22"/>
      <c r="AA5948" s="22"/>
      <c r="AB5948" s="22"/>
      <c r="AC5948" s="22"/>
    </row>
    <row r="5949" spans="1:29" ht="32.25" customHeight="1">
      <c r="A5949" s="19"/>
      <c r="B5949" s="20"/>
      <c r="C5949" s="20"/>
      <c r="D5949" s="20"/>
      <c r="E5949" s="20"/>
      <c r="F5949" s="20"/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1"/>
      <c r="X5949" s="20"/>
      <c r="Y5949" s="22"/>
      <c r="Z5949" s="22"/>
      <c r="AA5949" s="22"/>
      <c r="AB5949" s="22"/>
      <c r="AC5949" s="22"/>
    </row>
    <row r="5950" spans="1:29" ht="32.25" customHeight="1">
      <c r="A5950" s="19"/>
      <c r="B5950" s="20"/>
      <c r="C5950" s="20"/>
      <c r="D5950" s="20"/>
      <c r="E5950" s="20"/>
      <c r="F5950" s="20"/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1"/>
      <c r="X5950" s="20"/>
      <c r="Y5950" s="22"/>
      <c r="Z5950" s="22"/>
      <c r="AA5950" s="22"/>
      <c r="AB5950" s="22"/>
      <c r="AC5950" s="22"/>
    </row>
    <row r="5951" spans="1:29" ht="32.25" customHeight="1">
      <c r="A5951" s="19"/>
      <c r="B5951" s="20"/>
      <c r="C5951" s="20"/>
      <c r="D5951" s="20"/>
      <c r="E5951" s="20"/>
      <c r="F5951" s="20"/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1"/>
      <c r="X5951" s="20"/>
      <c r="Y5951" s="22"/>
      <c r="Z5951" s="22"/>
      <c r="AA5951" s="22"/>
      <c r="AB5951" s="22"/>
      <c r="AC5951" s="22"/>
    </row>
    <row r="5952" spans="1:29" ht="32.25" customHeight="1">
      <c r="A5952" s="19"/>
      <c r="B5952" s="20"/>
      <c r="C5952" s="20"/>
      <c r="D5952" s="20"/>
      <c r="E5952" s="20"/>
      <c r="F5952" s="20"/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1"/>
      <c r="X5952" s="20"/>
      <c r="Y5952" s="22"/>
      <c r="Z5952" s="22"/>
      <c r="AA5952" s="22"/>
      <c r="AB5952" s="22"/>
      <c r="AC5952" s="22"/>
    </row>
    <row r="5953" spans="1:29" ht="32.25" customHeight="1">
      <c r="A5953" s="19"/>
      <c r="B5953" s="20"/>
      <c r="C5953" s="20"/>
      <c r="D5953" s="20"/>
      <c r="E5953" s="20"/>
      <c r="F5953" s="20"/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1"/>
      <c r="X5953" s="20"/>
      <c r="Y5953" s="22"/>
      <c r="Z5953" s="22"/>
      <c r="AA5953" s="22"/>
      <c r="AB5953" s="22"/>
      <c r="AC5953" s="22"/>
    </row>
    <row r="5954" spans="1:29" ht="32.25" customHeight="1">
      <c r="A5954" s="19"/>
      <c r="B5954" s="20"/>
      <c r="C5954" s="20"/>
      <c r="D5954" s="20"/>
      <c r="E5954" s="20"/>
      <c r="F5954" s="20"/>
      <c r="G5954" s="20"/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1"/>
      <c r="X5954" s="20"/>
      <c r="Y5954" s="22"/>
      <c r="Z5954" s="22"/>
      <c r="AA5954" s="22"/>
      <c r="AB5954" s="22"/>
      <c r="AC5954" s="22"/>
    </row>
    <row r="5955" spans="1:29" ht="32.25" customHeight="1">
      <c r="A5955" s="19"/>
      <c r="B5955" s="20"/>
      <c r="C5955" s="20"/>
      <c r="D5955" s="20"/>
      <c r="E5955" s="20"/>
      <c r="F5955" s="20"/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1"/>
      <c r="X5955" s="20"/>
      <c r="Y5955" s="22"/>
      <c r="Z5955" s="22"/>
      <c r="AA5955" s="22"/>
      <c r="AB5955" s="22"/>
      <c r="AC5955" s="22"/>
    </row>
    <row r="5956" spans="1:29" ht="32.25" customHeight="1">
      <c r="A5956" s="19"/>
      <c r="B5956" s="20"/>
      <c r="C5956" s="20"/>
      <c r="D5956" s="20"/>
      <c r="E5956" s="20"/>
      <c r="F5956" s="20"/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1"/>
      <c r="X5956" s="20"/>
      <c r="Y5956" s="22"/>
      <c r="Z5956" s="22"/>
      <c r="AA5956" s="22"/>
      <c r="AB5956" s="22"/>
      <c r="AC5956" s="22"/>
    </row>
    <row r="5957" spans="1:29" ht="32.25" customHeight="1">
      <c r="A5957" s="19"/>
      <c r="B5957" s="20"/>
      <c r="C5957" s="20"/>
      <c r="D5957" s="20"/>
      <c r="E5957" s="20"/>
      <c r="F5957" s="20"/>
      <c r="G5957" s="20"/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1"/>
      <c r="X5957" s="20"/>
      <c r="Y5957" s="22"/>
      <c r="Z5957" s="22"/>
      <c r="AA5957" s="22"/>
      <c r="AB5957" s="22"/>
      <c r="AC5957" s="22"/>
    </row>
    <row r="5958" spans="1:29" ht="32.25" customHeight="1">
      <c r="A5958" s="19"/>
      <c r="B5958" s="20"/>
      <c r="C5958" s="20"/>
      <c r="D5958" s="20"/>
      <c r="E5958" s="20"/>
      <c r="F5958" s="20"/>
      <c r="G5958" s="20"/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1"/>
      <c r="X5958" s="20"/>
      <c r="Y5958" s="22"/>
      <c r="Z5958" s="22"/>
      <c r="AA5958" s="22"/>
      <c r="AB5958" s="22"/>
      <c r="AC5958" s="22"/>
    </row>
    <row r="5959" spans="1:29" ht="32.25" customHeight="1">
      <c r="A5959" s="19"/>
      <c r="B5959" s="20"/>
      <c r="C5959" s="20"/>
      <c r="D5959" s="20"/>
      <c r="E5959" s="20"/>
      <c r="F5959" s="20"/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1"/>
      <c r="X5959" s="20"/>
      <c r="Y5959" s="22"/>
      <c r="Z5959" s="22"/>
      <c r="AA5959" s="22"/>
      <c r="AB5959" s="22"/>
      <c r="AC5959" s="22"/>
    </row>
    <row r="5960" spans="1:29" ht="32.25" customHeight="1">
      <c r="A5960" s="19"/>
      <c r="B5960" s="20"/>
      <c r="C5960" s="20"/>
      <c r="D5960" s="20"/>
      <c r="E5960" s="20"/>
      <c r="F5960" s="20"/>
      <c r="G5960" s="20"/>
      <c r="H5960" s="20"/>
      <c r="I5960" s="20"/>
      <c r="J5960" s="20"/>
      <c r="K5960" s="20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1"/>
      <c r="X5960" s="20"/>
      <c r="Y5960" s="22"/>
      <c r="Z5960" s="22"/>
      <c r="AA5960" s="22"/>
      <c r="AB5960" s="22"/>
      <c r="AC5960" s="22"/>
    </row>
    <row r="5961" spans="1:29" ht="32.25" customHeight="1">
      <c r="A5961" s="19"/>
      <c r="B5961" s="20"/>
      <c r="C5961" s="20"/>
      <c r="D5961" s="20"/>
      <c r="E5961" s="20"/>
      <c r="F5961" s="20"/>
      <c r="G5961" s="20"/>
      <c r="H5961" s="20"/>
      <c r="I5961" s="20"/>
      <c r="J5961" s="20"/>
      <c r="K5961" s="20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1"/>
      <c r="X5961" s="20"/>
      <c r="Y5961" s="22"/>
      <c r="Z5961" s="22"/>
      <c r="AA5961" s="22"/>
      <c r="AB5961" s="22"/>
      <c r="AC5961" s="22"/>
    </row>
    <row r="5962" spans="1:29" ht="32.25" customHeight="1">
      <c r="A5962" s="19"/>
      <c r="B5962" s="20"/>
      <c r="C5962" s="20"/>
      <c r="D5962" s="20"/>
      <c r="E5962" s="20"/>
      <c r="F5962" s="20"/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1"/>
      <c r="X5962" s="20"/>
      <c r="Y5962" s="22"/>
      <c r="Z5962" s="22"/>
      <c r="AA5962" s="22"/>
      <c r="AB5962" s="22"/>
      <c r="AC5962" s="22"/>
    </row>
    <row r="5963" spans="1:29" ht="32.25" customHeight="1">
      <c r="A5963" s="19"/>
      <c r="B5963" s="20"/>
      <c r="C5963" s="20"/>
      <c r="D5963" s="20"/>
      <c r="E5963" s="20"/>
      <c r="F5963" s="20"/>
      <c r="G5963" s="20"/>
      <c r="H5963" s="20"/>
      <c r="I5963" s="20"/>
      <c r="J5963" s="20"/>
      <c r="K5963" s="20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1"/>
      <c r="X5963" s="20"/>
      <c r="Y5963" s="22"/>
      <c r="Z5963" s="22"/>
      <c r="AA5963" s="22"/>
      <c r="AB5963" s="22"/>
      <c r="AC5963" s="22"/>
    </row>
    <row r="5964" spans="1:29" ht="32.25" customHeight="1">
      <c r="A5964" s="19"/>
      <c r="B5964" s="20"/>
      <c r="C5964" s="20"/>
      <c r="D5964" s="20"/>
      <c r="E5964" s="20"/>
      <c r="F5964" s="20"/>
      <c r="G5964" s="20"/>
      <c r="H5964" s="20"/>
      <c r="I5964" s="20"/>
      <c r="J5964" s="20"/>
      <c r="K5964" s="20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1"/>
      <c r="X5964" s="20"/>
      <c r="Y5964" s="22"/>
      <c r="Z5964" s="22"/>
      <c r="AA5964" s="22"/>
      <c r="AB5964" s="22"/>
      <c r="AC5964" s="22"/>
    </row>
    <row r="5965" spans="1:29" ht="32.25" customHeight="1">
      <c r="A5965" s="19"/>
      <c r="B5965" s="20"/>
      <c r="C5965" s="20"/>
      <c r="D5965" s="20"/>
      <c r="E5965" s="20"/>
      <c r="F5965" s="20"/>
      <c r="G5965" s="20"/>
      <c r="H5965" s="20"/>
      <c r="I5965" s="20"/>
      <c r="J5965" s="20"/>
      <c r="K5965" s="20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1"/>
      <c r="X5965" s="20"/>
      <c r="Y5965" s="22"/>
      <c r="Z5965" s="22"/>
      <c r="AA5965" s="22"/>
      <c r="AB5965" s="22"/>
      <c r="AC5965" s="22"/>
    </row>
    <row r="5966" spans="1:29" ht="32.25" customHeight="1">
      <c r="A5966" s="19"/>
      <c r="B5966" s="20"/>
      <c r="C5966" s="20"/>
      <c r="D5966" s="20"/>
      <c r="E5966" s="20"/>
      <c r="F5966" s="20"/>
      <c r="G5966" s="20"/>
      <c r="H5966" s="20"/>
      <c r="I5966" s="20"/>
      <c r="J5966" s="20"/>
      <c r="K5966" s="20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1"/>
      <c r="X5966" s="20"/>
      <c r="Y5966" s="22"/>
      <c r="Z5966" s="22"/>
      <c r="AA5966" s="22"/>
      <c r="AB5966" s="22"/>
      <c r="AC5966" s="22"/>
    </row>
    <row r="5967" spans="1:29" ht="32.25" customHeight="1">
      <c r="A5967" s="19"/>
      <c r="B5967" s="20"/>
      <c r="C5967" s="20"/>
      <c r="D5967" s="20"/>
      <c r="E5967" s="20"/>
      <c r="F5967" s="20"/>
      <c r="G5967" s="20"/>
      <c r="H5967" s="20"/>
      <c r="I5967" s="20"/>
      <c r="J5967" s="20"/>
      <c r="K5967" s="20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1"/>
      <c r="X5967" s="20"/>
      <c r="Y5967" s="22"/>
      <c r="Z5967" s="22"/>
      <c r="AA5967" s="22"/>
      <c r="AB5967" s="22"/>
      <c r="AC5967" s="22"/>
    </row>
    <row r="5968" spans="1:29" ht="32.25" customHeight="1">
      <c r="A5968" s="19"/>
      <c r="B5968" s="20"/>
      <c r="C5968" s="20"/>
      <c r="D5968" s="20"/>
      <c r="E5968" s="20"/>
      <c r="F5968" s="20"/>
      <c r="G5968" s="20"/>
      <c r="H5968" s="20"/>
      <c r="I5968" s="20"/>
      <c r="J5968" s="20"/>
      <c r="K5968" s="20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1"/>
      <c r="X5968" s="20"/>
      <c r="Y5968" s="22"/>
      <c r="Z5968" s="22"/>
      <c r="AA5968" s="22"/>
      <c r="AB5968" s="22"/>
      <c r="AC5968" s="22"/>
    </row>
    <row r="5969" spans="1:29" ht="32.25" customHeight="1">
      <c r="A5969" s="19"/>
      <c r="B5969" s="20"/>
      <c r="C5969" s="20"/>
      <c r="D5969" s="20"/>
      <c r="E5969" s="20"/>
      <c r="F5969" s="20"/>
      <c r="G5969" s="20"/>
      <c r="H5969" s="20"/>
      <c r="I5969" s="20"/>
      <c r="J5969" s="20"/>
      <c r="K5969" s="20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1"/>
      <c r="X5969" s="20"/>
      <c r="Y5969" s="22"/>
      <c r="Z5969" s="22"/>
      <c r="AA5969" s="22"/>
      <c r="AB5969" s="22"/>
      <c r="AC5969" s="22"/>
    </row>
    <row r="5970" spans="1:29" ht="32.25" customHeight="1">
      <c r="A5970" s="19"/>
      <c r="B5970" s="20"/>
      <c r="C5970" s="20"/>
      <c r="D5970" s="20"/>
      <c r="E5970" s="20"/>
      <c r="F5970" s="20"/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1"/>
      <c r="X5970" s="20"/>
      <c r="Y5970" s="22"/>
      <c r="Z5970" s="22"/>
      <c r="AA5970" s="22"/>
      <c r="AB5970" s="22"/>
      <c r="AC5970" s="22"/>
    </row>
    <row r="5971" spans="1:29" ht="32.25" customHeight="1">
      <c r="A5971" s="19"/>
      <c r="B5971" s="20"/>
      <c r="C5971" s="20"/>
      <c r="D5971" s="20"/>
      <c r="E5971" s="20"/>
      <c r="F5971" s="20"/>
      <c r="G5971" s="20"/>
      <c r="H5971" s="20"/>
      <c r="I5971" s="20"/>
      <c r="J5971" s="20"/>
      <c r="K5971" s="20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1"/>
      <c r="X5971" s="20"/>
      <c r="Y5971" s="22"/>
      <c r="Z5971" s="22"/>
      <c r="AA5971" s="22"/>
      <c r="AB5971" s="22"/>
      <c r="AC5971" s="22"/>
    </row>
    <row r="5972" spans="1:29" ht="32.25" customHeight="1">
      <c r="A5972" s="19"/>
      <c r="B5972" s="20"/>
      <c r="C5972" s="20"/>
      <c r="D5972" s="20"/>
      <c r="E5972" s="20"/>
      <c r="F5972" s="20"/>
      <c r="G5972" s="20"/>
      <c r="H5972" s="20"/>
      <c r="I5972" s="20"/>
      <c r="J5972" s="20"/>
      <c r="K5972" s="20"/>
      <c r="L5972" s="20"/>
      <c r="M5972" s="20"/>
      <c r="N5972" s="20"/>
      <c r="O5972" s="20"/>
      <c r="P5972" s="20"/>
      <c r="Q5972" s="20"/>
      <c r="R5972" s="20"/>
      <c r="S5972" s="20"/>
      <c r="T5972" s="20"/>
      <c r="U5972" s="20"/>
      <c r="V5972" s="20"/>
      <c r="W5972" s="21"/>
      <c r="X5972" s="20"/>
      <c r="Y5972" s="22"/>
      <c r="Z5972" s="22"/>
      <c r="AA5972" s="22"/>
      <c r="AB5972" s="22"/>
      <c r="AC5972" s="22"/>
    </row>
    <row r="5973" spans="1:29" ht="32.25" customHeight="1">
      <c r="A5973" s="19"/>
      <c r="B5973" s="20"/>
      <c r="C5973" s="20"/>
      <c r="D5973" s="20"/>
      <c r="E5973" s="20"/>
      <c r="F5973" s="20"/>
      <c r="G5973" s="20"/>
      <c r="H5973" s="20"/>
      <c r="I5973" s="20"/>
      <c r="J5973" s="20"/>
      <c r="K5973" s="20"/>
      <c r="L5973" s="20"/>
      <c r="M5973" s="20"/>
      <c r="N5973" s="20"/>
      <c r="O5973" s="20"/>
      <c r="P5973" s="20"/>
      <c r="Q5973" s="20"/>
      <c r="R5973" s="20"/>
      <c r="S5973" s="20"/>
      <c r="T5973" s="20"/>
      <c r="U5973" s="20"/>
      <c r="V5973" s="20"/>
      <c r="W5973" s="21"/>
      <c r="X5973" s="20"/>
      <c r="Y5973" s="22"/>
      <c r="Z5973" s="22"/>
      <c r="AA5973" s="22"/>
      <c r="AB5973" s="22"/>
      <c r="AC5973" s="22"/>
    </row>
    <row r="5974" spans="1:29" ht="32.25" customHeight="1">
      <c r="A5974" s="19"/>
      <c r="B5974" s="20"/>
      <c r="C5974" s="20"/>
      <c r="D5974" s="20"/>
      <c r="E5974" s="20"/>
      <c r="F5974" s="20"/>
      <c r="G5974" s="20"/>
      <c r="H5974" s="20"/>
      <c r="I5974" s="20"/>
      <c r="J5974" s="20"/>
      <c r="K5974" s="20"/>
      <c r="L5974" s="20"/>
      <c r="M5974" s="20"/>
      <c r="N5974" s="20"/>
      <c r="O5974" s="20"/>
      <c r="P5974" s="20"/>
      <c r="Q5974" s="20"/>
      <c r="R5974" s="20"/>
      <c r="S5974" s="20"/>
      <c r="T5974" s="20"/>
      <c r="U5974" s="20"/>
      <c r="V5974" s="20"/>
      <c r="W5974" s="21"/>
      <c r="X5974" s="20"/>
      <c r="Y5974" s="22"/>
      <c r="Z5974" s="22"/>
      <c r="AA5974" s="22"/>
      <c r="AB5974" s="22"/>
      <c r="AC5974" s="22"/>
    </row>
    <row r="5975" spans="1:29" ht="32.25" customHeight="1">
      <c r="A5975" s="19"/>
      <c r="B5975" s="20"/>
      <c r="C5975" s="20"/>
      <c r="D5975" s="20"/>
      <c r="E5975" s="20"/>
      <c r="F5975" s="20"/>
      <c r="G5975" s="20"/>
      <c r="H5975" s="20"/>
      <c r="I5975" s="20"/>
      <c r="J5975" s="20"/>
      <c r="K5975" s="20"/>
      <c r="L5975" s="20"/>
      <c r="M5975" s="20"/>
      <c r="N5975" s="20"/>
      <c r="O5975" s="20"/>
      <c r="P5975" s="20"/>
      <c r="Q5975" s="20"/>
      <c r="R5975" s="20"/>
      <c r="S5975" s="20"/>
      <c r="T5975" s="20"/>
      <c r="U5975" s="20"/>
      <c r="V5975" s="20"/>
      <c r="W5975" s="21"/>
      <c r="X5975" s="20"/>
      <c r="Y5975" s="22"/>
      <c r="Z5975" s="22"/>
      <c r="AA5975" s="22"/>
      <c r="AB5975" s="22"/>
      <c r="AC5975" s="22"/>
    </row>
    <row r="5976" spans="1:29" ht="32.25" customHeight="1">
      <c r="A5976" s="19"/>
      <c r="B5976" s="20"/>
      <c r="C5976" s="20"/>
      <c r="D5976" s="20"/>
      <c r="E5976" s="20"/>
      <c r="F5976" s="20"/>
      <c r="G5976" s="20"/>
      <c r="H5976" s="20"/>
      <c r="I5976" s="20"/>
      <c r="J5976" s="20"/>
      <c r="K5976" s="20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1"/>
      <c r="X5976" s="20"/>
      <c r="Y5976" s="22"/>
      <c r="Z5976" s="22"/>
      <c r="AA5976" s="22"/>
      <c r="AB5976" s="22"/>
      <c r="AC5976" s="22"/>
    </row>
    <row r="5977" spans="1:29" ht="32.25" customHeight="1">
      <c r="A5977" s="19"/>
      <c r="B5977" s="20"/>
      <c r="C5977" s="20"/>
      <c r="D5977" s="20"/>
      <c r="E5977" s="20"/>
      <c r="F5977" s="20"/>
      <c r="G5977" s="20"/>
      <c r="H5977" s="20"/>
      <c r="I5977" s="20"/>
      <c r="J5977" s="20"/>
      <c r="K5977" s="20"/>
      <c r="L5977" s="20"/>
      <c r="M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1"/>
      <c r="X5977" s="20"/>
      <c r="Y5977" s="22"/>
      <c r="Z5977" s="22"/>
      <c r="AA5977" s="22"/>
      <c r="AB5977" s="22"/>
      <c r="AC5977" s="22"/>
    </row>
    <row r="5978" spans="1:29" ht="32.25" customHeight="1">
      <c r="A5978" s="19"/>
      <c r="B5978" s="20"/>
      <c r="C5978" s="20"/>
      <c r="D5978" s="20"/>
      <c r="E5978" s="20"/>
      <c r="F5978" s="20"/>
      <c r="G5978" s="20"/>
      <c r="H5978" s="20"/>
      <c r="I5978" s="20"/>
      <c r="J5978" s="20"/>
      <c r="K5978" s="20"/>
      <c r="L5978" s="20"/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1"/>
      <c r="X5978" s="20"/>
      <c r="Y5978" s="22"/>
      <c r="Z5978" s="22"/>
      <c r="AA5978" s="22"/>
      <c r="AB5978" s="22"/>
      <c r="AC5978" s="22"/>
    </row>
    <row r="5979" spans="1:29" ht="32.25" customHeight="1">
      <c r="A5979" s="19"/>
      <c r="B5979" s="20"/>
      <c r="C5979" s="20"/>
      <c r="D5979" s="20"/>
      <c r="E5979" s="20"/>
      <c r="F5979" s="20"/>
      <c r="G5979" s="20"/>
      <c r="H5979" s="20"/>
      <c r="I5979" s="20"/>
      <c r="J5979" s="20"/>
      <c r="K5979" s="20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1"/>
      <c r="X5979" s="20"/>
      <c r="Y5979" s="22"/>
      <c r="Z5979" s="22"/>
      <c r="AA5979" s="22"/>
      <c r="AB5979" s="22"/>
      <c r="AC5979" s="22"/>
    </row>
    <row r="5980" spans="1:29" ht="32.25" customHeight="1">
      <c r="A5980" s="19"/>
      <c r="B5980" s="20"/>
      <c r="C5980" s="20"/>
      <c r="D5980" s="20"/>
      <c r="E5980" s="20"/>
      <c r="F5980" s="20"/>
      <c r="G5980" s="20"/>
      <c r="H5980" s="20"/>
      <c r="I5980" s="20"/>
      <c r="J5980" s="20"/>
      <c r="K5980" s="20"/>
      <c r="L5980" s="20"/>
      <c r="M5980" s="20"/>
      <c r="N5980" s="20"/>
      <c r="O5980" s="20"/>
      <c r="P5980" s="20"/>
      <c r="Q5980" s="20"/>
      <c r="R5980" s="20"/>
      <c r="S5980" s="20"/>
      <c r="T5980" s="20"/>
      <c r="U5980" s="20"/>
      <c r="V5980" s="20"/>
      <c r="W5980" s="21"/>
      <c r="X5980" s="20"/>
      <c r="Y5980" s="22"/>
      <c r="Z5980" s="22"/>
      <c r="AA5980" s="22"/>
      <c r="AB5980" s="22"/>
      <c r="AC5980" s="22"/>
    </row>
    <row r="5981" spans="1:29" ht="32.25" customHeight="1">
      <c r="A5981" s="19"/>
      <c r="B5981" s="20"/>
      <c r="C5981" s="20"/>
      <c r="D5981" s="20"/>
      <c r="E5981" s="20"/>
      <c r="F5981" s="20"/>
      <c r="G5981" s="20"/>
      <c r="H5981" s="20"/>
      <c r="I5981" s="20"/>
      <c r="J5981" s="20"/>
      <c r="K5981" s="20"/>
      <c r="L5981" s="20"/>
      <c r="M5981" s="20"/>
      <c r="N5981" s="20"/>
      <c r="O5981" s="20"/>
      <c r="P5981" s="20"/>
      <c r="Q5981" s="20"/>
      <c r="R5981" s="20"/>
      <c r="S5981" s="20"/>
      <c r="T5981" s="20"/>
      <c r="U5981" s="20"/>
      <c r="V5981" s="20"/>
      <c r="W5981" s="21"/>
      <c r="X5981" s="20"/>
      <c r="Y5981" s="22"/>
      <c r="Z5981" s="22"/>
      <c r="AA5981" s="22"/>
      <c r="AB5981" s="22"/>
      <c r="AC5981" s="22"/>
    </row>
    <row r="5982" spans="1:29" ht="32.25" customHeight="1">
      <c r="A5982" s="19"/>
      <c r="B5982" s="20"/>
      <c r="C5982" s="20"/>
      <c r="D5982" s="20"/>
      <c r="E5982" s="20"/>
      <c r="F5982" s="20"/>
      <c r="G5982" s="20"/>
      <c r="H5982" s="20"/>
      <c r="I5982" s="20"/>
      <c r="J5982" s="20"/>
      <c r="K5982" s="20"/>
      <c r="L5982" s="20"/>
      <c r="M5982" s="20"/>
      <c r="N5982" s="20"/>
      <c r="O5982" s="20"/>
      <c r="P5982" s="20"/>
      <c r="Q5982" s="20"/>
      <c r="R5982" s="20"/>
      <c r="S5982" s="20"/>
      <c r="T5982" s="20"/>
      <c r="U5982" s="20"/>
      <c r="V5982" s="20"/>
      <c r="W5982" s="21"/>
      <c r="X5982" s="20"/>
      <c r="Y5982" s="22"/>
      <c r="Z5982" s="22"/>
      <c r="AA5982" s="22"/>
      <c r="AB5982" s="22"/>
      <c r="AC5982" s="22"/>
    </row>
    <row r="5983" spans="1:29" ht="32.25" customHeight="1">
      <c r="A5983" s="19"/>
      <c r="B5983" s="20"/>
      <c r="C5983" s="20"/>
      <c r="D5983" s="20"/>
      <c r="E5983" s="20"/>
      <c r="F5983" s="20"/>
      <c r="G5983" s="20"/>
      <c r="H5983" s="20"/>
      <c r="I5983" s="20"/>
      <c r="J5983" s="20"/>
      <c r="K5983" s="20"/>
      <c r="L5983" s="20"/>
      <c r="M5983" s="20"/>
      <c r="N5983" s="20"/>
      <c r="O5983" s="20"/>
      <c r="P5983" s="20"/>
      <c r="Q5983" s="20"/>
      <c r="R5983" s="20"/>
      <c r="S5983" s="20"/>
      <c r="T5983" s="20"/>
      <c r="U5983" s="20"/>
      <c r="V5983" s="20"/>
      <c r="W5983" s="21"/>
      <c r="X5983" s="20"/>
      <c r="Y5983" s="22"/>
      <c r="Z5983" s="22"/>
      <c r="AA5983" s="22"/>
      <c r="AB5983" s="22"/>
      <c r="AC5983" s="22"/>
    </row>
    <row r="5984" spans="1:29" ht="32.25" customHeight="1">
      <c r="A5984" s="19"/>
      <c r="B5984" s="20"/>
      <c r="C5984" s="20"/>
      <c r="D5984" s="20"/>
      <c r="E5984" s="20"/>
      <c r="F5984" s="20"/>
      <c r="G5984" s="20"/>
      <c r="H5984" s="20"/>
      <c r="I5984" s="20"/>
      <c r="J5984" s="20"/>
      <c r="K5984" s="20"/>
      <c r="L5984" s="20"/>
      <c r="M5984" s="20"/>
      <c r="N5984" s="20"/>
      <c r="O5984" s="20"/>
      <c r="P5984" s="20"/>
      <c r="Q5984" s="20"/>
      <c r="R5984" s="20"/>
      <c r="S5984" s="20"/>
      <c r="T5984" s="20"/>
      <c r="U5984" s="20"/>
      <c r="V5984" s="20"/>
      <c r="W5984" s="21"/>
      <c r="X5984" s="20"/>
      <c r="Y5984" s="22"/>
      <c r="Z5984" s="22"/>
      <c r="AA5984" s="22"/>
      <c r="AB5984" s="22"/>
      <c r="AC5984" s="22"/>
    </row>
    <row r="5985" spans="1:29" ht="32.25" customHeight="1">
      <c r="A5985" s="19"/>
      <c r="B5985" s="20"/>
      <c r="C5985" s="20"/>
      <c r="D5985" s="20"/>
      <c r="E5985" s="20"/>
      <c r="F5985" s="20"/>
      <c r="G5985" s="20"/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1"/>
      <c r="X5985" s="20"/>
      <c r="Y5985" s="22"/>
      <c r="Z5985" s="22"/>
      <c r="AA5985" s="22"/>
      <c r="AB5985" s="22"/>
      <c r="AC5985" s="22"/>
    </row>
    <row r="5986" spans="1:29" ht="32.25" customHeight="1">
      <c r="A5986" s="19"/>
      <c r="B5986" s="20"/>
      <c r="C5986" s="20"/>
      <c r="D5986" s="20"/>
      <c r="E5986" s="20"/>
      <c r="F5986" s="20"/>
      <c r="G5986" s="20"/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1"/>
      <c r="X5986" s="20"/>
      <c r="Y5986" s="22"/>
      <c r="Z5986" s="22"/>
      <c r="AA5986" s="22"/>
      <c r="AB5986" s="22"/>
      <c r="AC5986" s="22"/>
    </row>
    <row r="5987" spans="1:29" ht="32.25" customHeight="1">
      <c r="A5987" s="19"/>
      <c r="B5987" s="20"/>
      <c r="C5987" s="20"/>
      <c r="D5987" s="20"/>
      <c r="E5987" s="20"/>
      <c r="F5987" s="20"/>
      <c r="G5987" s="20"/>
      <c r="H5987" s="20"/>
      <c r="I5987" s="20"/>
      <c r="J5987" s="20"/>
      <c r="K5987" s="20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1"/>
      <c r="X5987" s="20"/>
      <c r="Y5987" s="22"/>
      <c r="Z5987" s="22"/>
      <c r="AA5987" s="22"/>
      <c r="AB5987" s="22"/>
      <c r="AC5987" s="22"/>
    </row>
    <row r="5988" spans="1:29" ht="32.25" customHeight="1">
      <c r="A5988" s="19"/>
      <c r="B5988" s="20"/>
      <c r="C5988" s="20"/>
      <c r="D5988" s="20"/>
      <c r="E5988" s="20"/>
      <c r="F5988" s="20"/>
      <c r="G5988" s="20"/>
      <c r="H5988" s="20"/>
      <c r="I5988" s="20"/>
      <c r="J5988" s="20"/>
      <c r="K5988" s="20"/>
      <c r="L5988" s="20"/>
      <c r="M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1"/>
      <c r="X5988" s="20"/>
      <c r="Y5988" s="22"/>
      <c r="Z5988" s="22"/>
      <c r="AA5988" s="22"/>
      <c r="AB5988" s="22"/>
      <c r="AC5988" s="22"/>
    </row>
    <row r="5989" spans="1:29" ht="32.25" customHeight="1">
      <c r="A5989" s="19"/>
      <c r="B5989" s="20"/>
      <c r="C5989" s="20"/>
      <c r="D5989" s="20"/>
      <c r="E5989" s="20"/>
      <c r="F5989" s="20"/>
      <c r="G5989" s="20"/>
      <c r="H5989" s="20"/>
      <c r="I5989" s="20"/>
      <c r="J5989" s="20"/>
      <c r="K5989" s="20"/>
      <c r="L5989" s="20"/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1"/>
      <c r="X5989" s="20"/>
      <c r="Y5989" s="22"/>
      <c r="Z5989" s="22"/>
      <c r="AA5989" s="22"/>
      <c r="AB5989" s="22"/>
      <c r="AC5989" s="22"/>
    </row>
    <row r="5990" spans="1:29" ht="32.25" customHeight="1">
      <c r="A5990" s="19"/>
      <c r="B5990" s="20"/>
      <c r="C5990" s="20"/>
      <c r="D5990" s="20"/>
      <c r="E5990" s="20"/>
      <c r="F5990" s="20"/>
      <c r="G5990" s="20"/>
      <c r="H5990" s="20"/>
      <c r="I5990" s="20"/>
      <c r="J5990" s="20"/>
      <c r="K5990" s="20"/>
      <c r="L5990" s="20"/>
      <c r="M5990" s="20"/>
      <c r="N5990" s="20"/>
      <c r="O5990" s="20"/>
      <c r="P5990" s="20"/>
      <c r="Q5990" s="20"/>
      <c r="R5990" s="20"/>
      <c r="S5990" s="20"/>
      <c r="T5990" s="20"/>
      <c r="U5990" s="20"/>
      <c r="V5990" s="20"/>
      <c r="W5990" s="21"/>
      <c r="X5990" s="20"/>
      <c r="Y5990" s="22"/>
      <c r="Z5990" s="22"/>
      <c r="AA5990" s="22"/>
      <c r="AB5990" s="22"/>
      <c r="AC5990" s="22"/>
    </row>
    <row r="5991" spans="1:29" ht="32.25" customHeight="1">
      <c r="A5991" s="19"/>
      <c r="B5991" s="20"/>
      <c r="C5991" s="20"/>
      <c r="D5991" s="20"/>
      <c r="E5991" s="20"/>
      <c r="F5991" s="20"/>
      <c r="G5991" s="20"/>
      <c r="H5991" s="20"/>
      <c r="I5991" s="20"/>
      <c r="J5991" s="20"/>
      <c r="K5991" s="20"/>
      <c r="L5991" s="20"/>
      <c r="M5991" s="20"/>
      <c r="N5991" s="20"/>
      <c r="O5991" s="20"/>
      <c r="P5991" s="20"/>
      <c r="Q5991" s="20"/>
      <c r="R5991" s="20"/>
      <c r="S5991" s="20"/>
      <c r="T5991" s="20"/>
      <c r="U5991" s="20"/>
      <c r="V5991" s="20"/>
      <c r="W5991" s="21"/>
      <c r="X5991" s="20"/>
      <c r="Y5991" s="22"/>
      <c r="Z5991" s="22"/>
      <c r="AA5991" s="22"/>
      <c r="AB5991" s="22"/>
      <c r="AC5991" s="22"/>
    </row>
    <row r="5992" spans="1:29" ht="32.25" customHeight="1">
      <c r="A5992" s="19"/>
      <c r="B5992" s="20"/>
      <c r="C5992" s="20"/>
      <c r="D5992" s="20"/>
      <c r="E5992" s="20"/>
      <c r="F5992" s="20"/>
      <c r="G5992" s="20"/>
      <c r="H5992" s="20"/>
      <c r="I5992" s="20"/>
      <c r="J5992" s="20"/>
      <c r="K5992" s="20"/>
      <c r="L5992" s="20"/>
      <c r="M5992" s="20"/>
      <c r="N5992" s="20"/>
      <c r="O5992" s="20"/>
      <c r="P5992" s="20"/>
      <c r="Q5992" s="20"/>
      <c r="R5992" s="20"/>
      <c r="S5992" s="20"/>
      <c r="T5992" s="20"/>
      <c r="U5992" s="20"/>
      <c r="V5992" s="20"/>
      <c r="W5992" s="21"/>
      <c r="X5992" s="20"/>
      <c r="Y5992" s="22"/>
      <c r="Z5992" s="22"/>
      <c r="AA5992" s="22"/>
      <c r="AB5992" s="22"/>
      <c r="AC5992" s="22"/>
    </row>
    <row r="5993" spans="1:29" ht="32.25" customHeight="1">
      <c r="A5993" s="19"/>
      <c r="B5993" s="20"/>
      <c r="C5993" s="20"/>
      <c r="D5993" s="20"/>
      <c r="E5993" s="20"/>
      <c r="F5993" s="20"/>
      <c r="G5993" s="20"/>
      <c r="H5993" s="20"/>
      <c r="I5993" s="20"/>
      <c r="J5993" s="20"/>
      <c r="K5993" s="20"/>
      <c r="L5993" s="20"/>
      <c r="M5993" s="20"/>
      <c r="N5993" s="20"/>
      <c r="O5993" s="20"/>
      <c r="P5993" s="20"/>
      <c r="Q5993" s="20"/>
      <c r="R5993" s="20"/>
      <c r="S5993" s="20"/>
      <c r="T5993" s="20"/>
      <c r="U5993" s="20"/>
      <c r="V5993" s="20"/>
      <c r="W5993" s="21"/>
      <c r="X5993" s="20"/>
      <c r="Y5993" s="22"/>
      <c r="Z5993" s="22"/>
      <c r="AA5993" s="22"/>
      <c r="AB5993" s="22"/>
      <c r="AC5993" s="22"/>
    </row>
    <row r="5994" spans="1:29" ht="32.25" customHeight="1">
      <c r="A5994" s="19"/>
      <c r="B5994" s="20"/>
      <c r="C5994" s="20"/>
      <c r="D5994" s="20"/>
      <c r="E5994" s="20"/>
      <c r="F5994" s="20"/>
      <c r="G5994" s="20"/>
      <c r="H5994" s="20"/>
      <c r="I5994" s="20"/>
      <c r="J5994" s="20"/>
      <c r="K5994" s="20"/>
      <c r="L5994" s="20"/>
      <c r="M5994" s="20"/>
      <c r="N5994" s="20"/>
      <c r="O5994" s="20"/>
      <c r="P5994" s="20"/>
      <c r="Q5994" s="20"/>
      <c r="R5994" s="20"/>
      <c r="S5994" s="20"/>
      <c r="T5994" s="20"/>
      <c r="U5994" s="20"/>
      <c r="V5994" s="20"/>
      <c r="W5994" s="21"/>
      <c r="X5994" s="20"/>
      <c r="Y5994" s="22"/>
      <c r="Z5994" s="22"/>
      <c r="AA5994" s="22"/>
      <c r="AB5994" s="22"/>
      <c r="AC5994" s="22"/>
    </row>
    <row r="5995" spans="1:29" ht="32.25" customHeight="1">
      <c r="A5995" s="19"/>
      <c r="B5995" s="20"/>
      <c r="C5995" s="20"/>
      <c r="D5995" s="20"/>
      <c r="E5995" s="20"/>
      <c r="F5995" s="20"/>
      <c r="G5995" s="20"/>
      <c r="H5995" s="20"/>
      <c r="I5995" s="20"/>
      <c r="J5995" s="20"/>
      <c r="K5995" s="20"/>
      <c r="L5995" s="20"/>
      <c r="M5995" s="20"/>
      <c r="N5995" s="20"/>
      <c r="O5995" s="20"/>
      <c r="P5995" s="20"/>
      <c r="Q5995" s="20"/>
      <c r="R5995" s="20"/>
      <c r="S5995" s="20"/>
      <c r="T5995" s="20"/>
      <c r="U5995" s="20"/>
      <c r="V5995" s="20"/>
      <c r="W5995" s="21"/>
      <c r="X5995" s="20"/>
      <c r="Y5995" s="22"/>
      <c r="Z5995" s="22"/>
      <c r="AA5995" s="22"/>
      <c r="AB5995" s="22"/>
      <c r="AC5995" s="22"/>
    </row>
    <row r="5996" spans="1:29" ht="32.25" customHeight="1">
      <c r="A5996" s="19"/>
      <c r="B5996" s="20"/>
      <c r="C5996" s="20"/>
      <c r="D5996" s="20"/>
      <c r="E5996" s="20"/>
      <c r="F5996" s="20"/>
      <c r="G5996" s="20"/>
      <c r="H5996" s="20"/>
      <c r="I5996" s="20"/>
      <c r="J5996" s="20"/>
      <c r="K5996" s="20"/>
      <c r="L5996" s="20"/>
      <c r="M5996" s="20"/>
      <c r="N5996" s="20"/>
      <c r="O5996" s="20"/>
      <c r="P5996" s="20"/>
      <c r="Q5996" s="20"/>
      <c r="R5996" s="20"/>
      <c r="S5996" s="20"/>
      <c r="T5996" s="20"/>
      <c r="U5996" s="20"/>
      <c r="V5996" s="20"/>
      <c r="W5996" s="21"/>
      <c r="X5996" s="20"/>
      <c r="Y5996" s="22"/>
      <c r="Z5996" s="22"/>
      <c r="AA5996" s="22"/>
      <c r="AB5996" s="22"/>
      <c r="AC5996" s="22"/>
    </row>
    <row r="5997" spans="1:29" ht="32.25" customHeight="1">
      <c r="A5997" s="19"/>
      <c r="B5997" s="20"/>
      <c r="C5997" s="20"/>
      <c r="D5997" s="20"/>
      <c r="E5997" s="20"/>
      <c r="F5997" s="20"/>
      <c r="G5997" s="20"/>
      <c r="H5997" s="20"/>
      <c r="I5997" s="20"/>
      <c r="J5997" s="20"/>
      <c r="K5997" s="20"/>
      <c r="L5997" s="20"/>
      <c r="M5997" s="20"/>
      <c r="N5997" s="20"/>
      <c r="O5997" s="20"/>
      <c r="P5997" s="20"/>
      <c r="Q5997" s="20"/>
      <c r="R5997" s="20"/>
      <c r="S5997" s="20"/>
      <c r="T5997" s="20"/>
      <c r="U5997" s="20"/>
      <c r="V5997" s="20"/>
      <c r="W5997" s="21"/>
      <c r="X5997" s="20"/>
      <c r="Y5997" s="22"/>
      <c r="Z5997" s="22"/>
      <c r="AA5997" s="22"/>
      <c r="AB5997" s="22"/>
      <c r="AC5997" s="22"/>
    </row>
    <row r="5998" spans="1:29" ht="32.25" customHeight="1">
      <c r="A5998" s="19"/>
      <c r="B5998" s="20"/>
      <c r="C5998" s="20"/>
      <c r="D5998" s="20"/>
      <c r="E5998" s="20"/>
      <c r="F5998" s="20"/>
      <c r="G5998" s="20"/>
      <c r="H5998" s="20"/>
      <c r="I5998" s="20"/>
      <c r="J5998" s="20"/>
      <c r="K5998" s="20"/>
      <c r="L5998" s="20"/>
      <c r="M5998" s="20"/>
      <c r="N5998" s="20"/>
      <c r="O5998" s="20"/>
      <c r="P5998" s="20"/>
      <c r="Q5998" s="20"/>
      <c r="R5998" s="20"/>
      <c r="S5998" s="20"/>
      <c r="T5998" s="20"/>
      <c r="U5998" s="20"/>
      <c r="V5998" s="20"/>
      <c r="W5998" s="21"/>
      <c r="X5998" s="20"/>
      <c r="Y5998" s="22"/>
      <c r="Z5998" s="22"/>
      <c r="AA5998" s="22"/>
      <c r="AB5998" s="22"/>
      <c r="AC5998" s="22"/>
    </row>
  </sheetData>
  <autoFilter ref="A2:AF4998" xr:uid="{00000000-0009-0000-0000-000002000000}">
    <filterColumn colId="16">
      <filters>
        <filter val="#REF!"/>
      </filters>
    </filterColumn>
  </autoFilter>
  <mergeCells count="3">
    <mergeCell ref="C1:O1"/>
    <mergeCell ref="P1:S1"/>
    <mergeCell ref="Z1:AC1"/>
  </mergeCells>
  <dataValidations count="1">
    <dataValidation type="list" allowBlank="1" showErrorMessage="1" sqref="W3:W5998" xr:uid="{00000000-0002-0000-0200-000000000000}">
      <formula1>"Г-1,Г-2,ДК,ДСГ,М-1,М-2,М-3,М-4,ПУСТО"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13"/>
  <sheetViews>
    <sheetView workbookViewId="0">
      <selection sqref="A1:A2"/>
    </sheetView>
  </sheetViews>
  <sheetFormatPr defaultColWidth="12.5546875" defaultRowHeight="15.75" customHeight="1"/>
  <cols>
    <col min="1" max="1" width="21.88671875" customWidth="1"/>
    <col min="8" max="8" width="14.33203125" customWidth="1"/>
  </cols>
  <sheetData>
    <row r="1" spans="1:15" ht="18">
      <c r="A1" s="91" t="s">
        <v>9333</v>
      </c>
      <c r="B1" s="63" t="s">
        <v>68</v>
      </c>
      <c r="C1" s="63" t="s">
        <v>68</v>
      </c>
      <c r="D1" s="63" t="s">
        <v>89</v>
      </c>
      <c r="E1" s="63" t="s">
        <v>89</v>
      </c>
      <c r="F1" s="63" t="s">
        <v>153</v>
      </c>
      <c r="G1" s="63" t="s">
        <v>153</v>
      </c>
      <c r="H1" s="63" t="s">
        <v>41</v>
      </c>
      <c r="I1" s="63" t="s">
        <v>41</v>
      </c>
      <c r="J1" s="63" t="s">
        <v>143</v>
      </c>
      <c r="K1" s="63" t="s">
        <v>143</v>
      </c>
      <c r="L1" s="63" t="s">
        <v>295</v>
      </c>
      <c r="M1" s="63" t="s">
        <v>295</v>
      </c>
      <c r="N1" s="93" t="s">
        <v>9334</v>
      </c>
      <c r="O1" s="90"/>
    </row>
    <row r="2" spans="1:15" ht="18">
      <c r="A2" s="92"/>
      <c r="B2" s="64" t="s">
        <v>44</v>
      </c>
      <c r="C2" s="64" t="s">
        <v>58</v>
      </c>
      <c r="D2" s="64" t="s">
        <v>44</v>
      </c>
      <c r="E2" s="64" t="s">
        <v>58</v>
      </c>
      <c r="F2" s="64" t="s">
        <v>44</v>
      </c>
      <c r="G2" s="64" t="s">
        <v>58</v>
      </c>
      <c r="H2" s="64" t="s">
        <v>44</v>
      </c>
      <c r="I2" s="64" t="s">
        <v>58</v>
      </c>
      <c r="J2" s="64" t="s">
        <v>44</v>
      </c>
      <c r="K2" s="64" t="s">
        <v>58</v>
      </c>
      <c r="L2" s="64" t="s">
        <v>44</v>
      </c>
      <c r="M2" s="64" t="s">
        <v>58</v>
      </c>
      <c r="N2" s="65" t="s">
        <v>44</v>
      </c>
      <c r="O2" s="65" t="s">
        <v>58</v>
      </c>
    </row>
    <row r="3" spans="1:15" ht="18">
      <c r="A3" s="66" t="s">
        <v>42</v>
      </c>
      <c r="B3" s="67">
        <v>16</v>
      </c>
      <c r="C3" s="67">
        <v>0</v>
      </c>
      <c r="D3" s="67">
        <v>67</v>
      </c>
      <c r="E3" s="67">
        <v>3</v>
      </c>
      <c r="F3" s="67">
        <v>25</v>
      </c>
      <c r="G3" s="67">
        <v>59</v>
      </c>
      <c r="H3" s="67">
        <v>175</v>
      </c>
      <c r="I3" s="67">
        <v>145</v>
      </c>
      <c r="J3" s="67">
        <v>137</v>
      </c>
      <c r="K3" s="67">
        <v>1</v>
      </c>
      <c r="L3" s="67">
        <v>36</v>
      </c>
      <c r="M3" s="67">
        <v>79</v>
      </c>
      <c r="N3" s="68">
        <v>456</v>
      </c>
      <c r="O3" s="68">
        <v>287</v>
      </c>
    </row>
    <row r="4" spans="1:15" ht="18">
      <c r="A4" s="66" t="s">
        <v>135</v>
      </c>
      <c r="B4" s="67">
        <v>133</v>
      </c>
      <c r="C4" s="67">
        <v>0</v>
      </c>
      <c r="D4" s="67">
        <v>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0</v>
      </c>
      <c r="M4" s="67">
        <v>0</v>
      </c>
      <c r="N4" s="68">
        <v>133</v>
      </c>
      <c r="O4" s="68">
        <v>0</v>
      </c>
    </row>
    <row r="5" spans="1:15" ht="18">
      <c r="A5" s="66" t="s">
        <v>80</v>
      </c>
      <c r="B5" s="67">
        <v>76</v>
      </c>
      <c r="C5" s="67">
        <v>0</v>
      </c>
      <c r="D5" s="67">
        <v>195</v>
      </c>
      <c r="E5" s="67">
        <v>0</v>
      </c>
      <c r="F5" s="67">
        <v>18</v>
      </c>
      <c r="G5" s="67">
        <v>0</v>
      </c>
      <c r="H5" s="67">
        <v>128</v>
      </c>
      <c r="I5" s="67">
        <v>0</v>
      </c>
      <c r="J5" s="67">
        <v>139</v>
      </c>
      <c r="K5" s="67">
        <v>0</v>
      </c>
      <c r="L5" s="67">
        <v>21</v>
      </c>
      <c r="M5" s="67">
        <v>0</v>
      </c>
      <c r="N5" s="68">
        <v>577</v>
      </c>
      <c r="O5" s="68">
        <v>0</v>
      </c>
    </row>
    <row r="6" spans="1:15" ht="18">
      <c r="A6" s="66" t="s">
        <v>262</v>
      </c>
      <c r="B6" s="67">
        <v>38</v>
      </c>
      <c r="C6" s="67">
        <v>0</v>
      </c>
      <c r="D6" s="67">
        <v>26</v>
      </c>
      <c r="E6" s="67">
        <v>0</v>
      </c>
      <c r="F6" s="67">
        <v>3</v>
      </c>
      <c r="G6" s="67">
        <v>0</v>
      </c>
      <c r="H6" s="67">
        <v>12</v>
      </c>
      <c r="I6" s="67">
        <v>0</v>
      </c>
      <c r="J6" s="67">
        <v>44</v>
      </c>
      <c r="K6" s="67">
        <v>0</v>
      </c>
      <c r="L6" s="67">
        <v>2</v>
      </c>
      <c r="M6" s="67">
        <v>0</v>
      </c>
      <c r="N6" s="68">
        <v>125</v>
      </c>
      <c r="O6" s="68">
        <v>0</v>
      </c>
    </row>
    <row r="7" spans="1:15" ht="18">
      <c r="A7" s="65" t="s">
        <v>9335</v>
      </c>
      <c r="B7" s="68">
        <v>21</v>
      </c>
      <c r="C7" s="68">
        <v>0</v>
      </c>
      <c r="D7" s="68">
        <v>14</v>
      </c>
      <c r="E7" s="68">
        <v>0</v>
      </c>
      <c r="F7" s="68">
        <v>13</v>
      </c>
      <c r="G7" s="68">
        <v>0</v>
      </c>
      <c r="H7" s="68">
        <v>66</v>
      </c>
      <c r="I7" s="68">
        <v>0</v>
      </c>
      <c r="J7" s="68">
        <v>28</v>
      </c>
      <c r="K7" s="68">
        <v>0</v>
      </c>
      <c r="L7" s="68">
        <v>18</v>
      </c>
      <c r="M7" s="68">
        <v>0</v>
      </c>
      <c r="N7" s="69">
        <v>160</v>
      </c>
      <c r="O7" s="69">
        <v>0</v>
      </c>
    </row>
    <row r="8" spans="1:15" ht="19.5" customHeight="1">
      <c r="A8" s="66" t="s">
        <v>42</v>
      </c>
      <c r="B8" s="67">
        <v>2</v>
      </c>
      <c r="C8" s="67">
        <v>0</v>
      </c>
      <c r="D8" s="67">
        <v>7</v>
      </c>
      <c r="E8" s="67">
        <v>0</v>
      </c>
      <c r="F8" s="67">
        <v>7</v>
      </c>
      <c r="G8" s="67">
        <v>0</v>
      </c>
      <c r="H8" s="67">
        <v>29</v>
      </c>
      <c r="I8" s="67">
        <v>0</v>
      </c>
      <c r="J8" s="67">
        <v>1</v>
      </c>
      <c r="K8" s="67">
        <v>0</v>
      </c>
      <c r="L8" s="67">
        <v>10</v>
      </c>
      <c r="M8" s="67">
        <v>0</v>
      </c>
      <c r="N8" s="68">
        <v>56</v>
      </c>
      <c r="O8" s="68">
        <v>0</v>
      </c>
    </row>
    <row r="9" spans="1:15" ht="19.5" customHeight="1">
      <c r="A9" s="66" t="s">
        <v>135</v>
      </c>
      <c r="B9" s="67">
        <v>3</v>
      </c>
      <c r="C9" s="67">
        <v>0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8">
        <v>3</v>
      </c>
      <c r="O9" s="68">
        <v>0</v>
      </c>
    </row>
    <row r="10" spans="1:15" ht="19.5" customHeight="1">
      <c r="A10" s="66" t="s">
        <v>80</v>
      </c>
      <c r="B10" s="67">
        <v>9</v>
      </c>
      <c r="C10" s="67">
        <v>0</v>
      </c>
      <c r="D10" s="67">
        <v>5</v>
      </c>
      <c r="E10" s="67">
        <v>0</v>
      </c>
      <c r="F10" s="67">
        <v>6</v>
      </c>
      <c r="G10" s="67">
        <v>0</v>
      </c>
      <c r="H10" s="67">
        <v>29</v>
      </c>
      <c r="I10" s="67">
        <v>0</v>
      </c>
      <c r="J10" s="67">
        <v>19</v>
      </c>
      <c r="K10" s="67">
        <v>0</v>
      </c>
      <c r="L10" s="67">
        <v>6</v>
      </c>
      <c r="M10" s="67">
        <v>0</v>
      </c>
      <c r="N10" s="68">
        <v>74</v>
      </c>
      <c r="O10" s="68">
        <v>0</v>
      </c>
    </row>
    <row r="11" spans="1:15" ht="18">
      <c r="A11" s="66" t="s">
        <v>262</v>
      </c>
      <c r="B11" s="67">
        <v>7</v>
      </c>
      <c r="C11" s="67">
        <v>0</v>
      </c>
      <c r="D11" s="67">
        <v>2</v>
      </c>
      <c r="E11" s="67">
        <v>0</v>
      </c>
      <c r="F11" s="67">
        <v>0</v>
      </c>
      <c r="G11" s="67">
        <v>0</v>
      </c>
      <c r="H11" s="67">
        <v>8</v>
      </c>
      <c r="I11" s="67">
        <v>0</v>
      </c>
      <c r="J11" s="67">
        <v>8</v>
      </c>
      <c r="K11" s="67">
        <v>0</v>
      </c>
      <c r="L11" s="67">
        <v>2</v>
      </c>
      <c r="M11" s="67">
        <v>0</v>
      </c>
      <c r="N11" s="68">
        <v>27</v>
      </c>
      <c r="O11" s="68">
        <v>0</v>
      </c>
    </row>
    <row r="12" spans="1:15" ht="18">
      <c r="A12" s="65" t="s">
        <v>9334</v>
      </c>
      <c r="B12" s="66">
        <v>263</v>
      </c>
      <c r="C12" s="66">
        <v>0</v>
      </c>
      <c r="D12" s="66">
        <v>288</v>
      </c>
      <c r="E12" s="66">
        <v>3</v>
      </c>
      <c r="F12" s="66">
        <v>46</v>
      </c>
      <c r="G12" s="66">
        <v>59</v>
      </c>
      <c r="H12" s="66">
        <v>315</v>
      </c>
      <c r="I12" s="66">
        <v>145</v>
      </c>
      <c r="J12" s="66">
        <v>320</v>
      </c>
      <c r="K12" s="66">
        <v>1</v>
      </c>
      <c r="L12" s="66">
        <v>59</v>
      </c>
      <c r="M12" s="66">
        <v>79</v>
      </c>
      <c r="N12" s="68">
        <v>1291</v>
      </c>
      <c r="O12" s="68">
        <v>287</v>
      </c>
    </row>
    <row r="13" spans="1:15" ht="18">
      <c r="A13" s="70" t="s">
        <v>9334</v>
      </c>
      <c r="B13" s="89">
        <v>263</v>
      </c>
      <c r="C13" s="90"/>
      <c r="D13" s="89">
        <v>291</v>
      </c>
      <c r="E13" s="90"/>
      <c r="F13" s="89">
        <v>105</v>
      </c>
      <c r="G13" s="90"/>
      <c r="H13" s="89">
        <v>460</v>
      </c>
      <c r="I13" s="90"/>
      <c r="J13" s="89">
        <v>321</v>
      </c>
      <c r="K13" s="90"/>
      <c r="L13" s="89">
        <v>138</v>
      </c>
      <c r="M13" s="90"/>
      <c r="N13" s="89">
        <v>1578</v>
      </c>
      <c r="O13" s="90"/>
    </row>
  </sheetData>
  <mergeCells count="9">
    <mergeCell ref="L13:M13"/>
    <mergeCell ref="N13:O13"/>
    <mergeCell ref="A1:A2"/>
    <mergeCell ref="N1:O1"/>
    <mergeCell ref="B13:C13"/>
    <mergeCell ref="D13:E13"/>
    <mergeCell ref="F13:G13"/>
    <mergeCell ref="H13:I13"/>
    <mergeCell ref="J13:K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1660"/>
  <sheetViews>
    <sheetView workbookViewId="0"/>
  </sheetViews>
  <sheetFormatPr defaultColWidth="12.5546875" defaultRowHeight="15.75" customHeight="1"/>
  <cols>
    <col min="12" max="12" width="19.44140625" customWidth="1"/>
  </cols>
  <sheetData>
    <row r="1" spans="1:12" ht="15.75" customHeight="1">
      <c r="A1" s="71" t="s">
        <v>9336</v>
      </c>
      <c r="B1" s="72" t="s">
        <v>10</v>
      </c>
      <c r="C1" s="72" t="s">
        <v>11</v>
      </c>
      <c r="D1" s="72" t="s">
        <v>14</v>
      </c>
      <c r="E1" s="72" t="s">
        <v>9337</v>
      </c>
      <c r="F1" s="72" t="s">
        <v>15</v>
      </c>
      <c r="G1" s="72" t="s">
        <v>9338</v>
      </c>
      <c r="H1" s="72" t="s">
        <v>9339</v>
      </c>
      <c r="I1" s="72" t="s">
        <v>20</v>
      </c>
      <c r="J1" s="72" t="s">
        <v>17</v>
      </c>
      <c r="K1" s="72" t="s">
        <v>9340</v>
      </c>
      <c r="L1" s="72" t="s">
        <v>9341</v>
      </c>
    </row>
    <row r="2" spans="1:12" ht="41.4">
      <c r="A2" s="73">
        <v>1</v>
      </c>
      <c r="B2" s="74" t="s">
        <v>9342</v>
      </c>
      <c r="C2" s="74" t="s">
        <v>9343</v>
      </c>
      <c r="D2" s="74" t="s">
        <v>295</v>
      </c>
      <c r="E2" s="74" t="s">
        <v>9344</v>
      </c>
      <c r="F2" s="74" t="s">
        <v>9345</v>
      </c>
      <c r="G2" s="74" t="s">
        <v>9346</v>
      </c>
      <c r="H2" s="74" t="s">
        <v>297</v>
      </c>
      <c r="I2" s="74" t="s">
        <v>47</v>
      </c>
      <c r="J2" s="74" t="s">
        <v>9347</v>
      </c>
      <c r="K2" s="74"/>
      <c r="L2" s="74"/>
    </row>
    <row r="3" spans="1:12" ht="41.4">
      <c r="A3" s="73">
        <v>2</v>
      </c>
      <c r="B3" s="74" t="s">
        <v>9348</v>
      </c>
      <c r="C3" s="74" t="s">
        <v>9349</v>
      </c>
      <c r="D3" s="74" t="s">
        <v>41</v>
      </c>
      <c r="E3" s="74" t="s">
        <v>9344</v>
      </c>
      <c r="F3" s="74" t="s">
        <v>9345</v>
      </c>
      <c r="G3" s="74" t="s">
        <v>9350</v>
      </c>
      <c r="H3" s="74" t="s">
        <v>662</v>
      </c>
      <c r="I3" s="74" t="s">
        <v>47</v>
      </c>
      <c r="J3" s="74" t="s">
        <v>9351</v>
      </c>
      <c r="K3" s="74" t="s">
        <v>9352</v>
      </c>
      <c r="L3" s="74" t="s">
        <v>331</v>
      </c>
    </row>
    <row r="4" spans="1:12" ht="41.4">
      <c r="A4" s="73">
        <v>3</v>
      </c>
      <c r="B4" s="74" t="s">
        <v>9353</v>
      </c>
      <c r="C4" s="74" t="s">
        <v>9354</v>
      </c>
      <c r="D4" s="74" t="s">
        <v>295</v>
      </c>
      <c r="E4" s="74" t="s">
        <v>9344</v>
      </c>
      <c r="F4" s="74" t="s">
        <v>9345</v>
      </c>
      <c r="G4" s="74" t="s">
        <v>9355</v>
      </c>
      <c r="H4" s="74" t="s">
        <v>297</v>
      </c>
      <c r="I4" s="74" t="s">
        <v>416</v>
      </c>
      <c r="J4" s="74" t="s">
        <v>9351</v>
      </c>
      <c r="K4" s="74" t="s">
        <v>9356</v>
      </c>
      <c r="L4" s="74" t="s">
        <v>711</v>
      </c>
    </row>
    <row r="5" spans="1:12" ht="41.4">
      <c r="A5" s="73">
        <v>4</v>
      </c>
      <c r="B5" s="74" t="s">
        <v>9357</v>
      </c>
      <c r="C5" s="74" t="s">
        <v>2799</v>
      </c>
      <c r="D5" s="74" t="s">
        <v>89</v>
      </c>
      <c r="E5" s="74" t="s">
        <v>9344</v>
      </c>
      <c r="F5" s="74" t="s">
        <v>9345</v>
      </c>
      <c r="G5" s="74" t="s">
        <v>9358</v>
      </c>
      <c r="H5" s="74" t="s">
        <v>102</v>
      </c>
      <c r="I5" s="74" t="s">
        <v>92</v>
      </c>
      <c r="J5" s="74" t="s">
        <v>9351</v>
      </c>
      <c r="K5" s="74" t="s">
        <v>9359</v>
      </c>
      <c r="L5" s="74" t="s">
        <v>251</v>
      </c>
    </row>
    <row r="6" spans="1:12" ht="55.2">
      <c r="A6" s="73">
        <v>5</v>
      </c>
      <c r="B6" s="74" t="s">
        <v>9360</v>
      </c>
      <c r="C6" s="74" t="s">
        <v>3233</v>
      </c>
      <c r="D6" s="74" t="s">
        <v>143</v>
      </c>
      <c r="E6" s="74" t="s">
        <v>9344</v>
      </c>
      <c r="F6" s="74" t="s">
        <v>9345</v>
      </c>
      <c r="G6" s="74" t="s">
        <v>9361</v>
      </c>
      <c r="H6" s="74" t="s">
        <v>327</v>
      </c>
      <c r="I6" s="74" t="s">
        <v>110</v>
      </c>
      <c r="J6" s="74" t="s">
        <v>9351</v>
      </c>
      <c r="K6" s="74" t="s">
        <v>9362</v>
      </c>
      <c r="L6" s="74" t="s">
        <v>251</v>
      </c>
    </row>
    <row r="7" spans="1:12" ht="41.4">
      <c r="A7" s="73">
        <v>6</v>
      </c>
      <c r="B7" s="74" t="s">
        <v>9363</v>
      </c>
      <c r="C7" s="74" t="s">
        <v>3468</v>
      </c>
      <c r="D7" s="74" t="s">
        <v>41</v>
      </c>
      <c r="E7" s="74" t="s">
        <v>9344</v>
      </c>
      <c r="F7" s="74" t="s">
        <v>9345</v>
      </c>
      <c r="G7" s="74" t="s">
        <v>9364</v>
      </c>
      <c r="H7" s="74" t="s">
        <v>662</v>
      </c>
      <c r="I7" s="74" t="s">
        <v>47</v>
      </c>
      <c r="J7" s="74" t="s">
        <v>9347</v>
      </c>
      <c r="K7" s="74" t="s">
        <v>9365</v>
      </c>
      <c r="L7" s="74" t="s">
        <v>331</v>
      </c>
    </row>
    <row r="8" spans="1:12" ht="69">
      <c r="A8" s="73">
        <v>7</v>
      </c>
      <c r="B8" s="74" t="s">
        <v>9366</v>
      </c>
      <c r="C8" s="74" t="s">
        <v>9367</v>
      </c>
      <c r="D8" s="74" t="s">
        <v>41</v>
      </c>
      <c r="E8" s="74" t="s">
        <v>9344</v>
      </c>
      <c r="F8" s="74" t="s">
        <v>9345</v>
      </c>
      <c r="G8" s="74" t="s">
        <v>9368</v>
      </c>
      <c r="H8" s="74" t="s">
        <v>46</v>
      </c>
      <c r="I8" s="74" t="s">
        <v>47</v>
      </c>
      <c r="J8" s="74" t="s">
        <v>9347</v>
      </c>
      <c r="K8" s="74" t="s">
        <v>9369</v>
      </c>
      <c r="L8" s="74" t="s">
        <v>331</v>
      </c>
    </row>
    <row r="9" spans="1:12" ht="55.2">
      <c r="A9" s="73">
        <v>8</v>
      </c>
      <c r="B9" s="74" t="s">
        <v>9370</v>
      </c>
      <c r="C9" s="74" t="s">
        <v>9371</v>
      </c>
      <c r="D9" s="74" t="s">
        <v>41</v>
      </c>
      <c r="E9" s="74" t="s">
        <v>9344</v>
      </c>
      <c r="F9" s="74" t="s">
        <v>9345</v>
      </c>
      <c r="G9" s="74" t="s">
        <v>9372</v>
      </c>
      <c r="H9" s="74" t="s">
        <v>479</v>
      </c>
      <c r="I9" s="74" t="s">
        <v>47</v>
      </c>
      <c r="J9" s="74" t="s">
        <v>9347</v>
      </c>
      <c r="K9" s="74" t="s">
        <v>9373</v>
      </c>
      <c r="L9" s="74" t="s">
        <v>318</v>
      </c>
    </row>
    <row r="10" spans="1:12" ht="55.2">
      <c r="A10" s="73">
        <v>9</v>
      </c>
      <c r="B10" s="74" t="s">
        <v>9374</v>
      </c>
      <c r="C10" s="74" t="s">
        <v>6540</v>
      </c>
      <c r="D10" s="74" t="s">
        <v>143</v>
      </c>
      <c r="E10" s="74" t="s">
        <v>9344</v>
      </c>
      <c r="F10" s="74" t="s">
        <v>9345</v>
      </c>
      <c r="G10" s="74" t="s">
        <v>9375</v>
      </c>
      <c r="H10" s="74" t="s">
        <v>327</v>
      </c>
      <c r="I10" s="74" t="s">
        <v>47</v>
      </c>
      <c r="J10" s="74" t="s">
        <v>9351</v>
      </c>
      <c r="K10" s="74" t="s">
        <v>9376</v>
      </c>
      <c r="L10" s="74" t="s">
        <v>251</v>
      </c>
    </row>
    <row r="11" spans="1:12" ht="55.2">
      <c r="A11" s="73">
        <v>10</v>
      </c>
      <c r="B11" s="74" t="s">
        <v>9377</v>
      </c>
      <c r="C11" s="74" t="s">
        <v>6007</v>
      </c>
      <c r="D11" s="74" t="s">
        <v>68</v>
      </c>
      <c r="E11" s="74" t="s">
        <v>9344</v>
      </c>
      <c r="F11" s="74" t="s">
        <v>9345</v>
      </c>
      <c r="G11" s="74" t="s">
        <v>9378</v>
      </c>
      <c r="H11" s="74" t="s">
        <v>70</v>
      </c>
      <c r="I11" s="74" t="s">
        <v>3956</v>
      </c>
      <c r="J11" s="74" t="s">
        <v>9351</v>
      </c>
      <c r="K11" s="74" t="s">
        <v>9379</v>
      </c>
      <c r="L11" s="74" t="s">
        <v>3207</v>
      </c>
    </row>
    <row r="12" spans="1:12" ht="69">
      <c r="A12" s="73">
        <v>11</v>
      </c>
      <c r="B12" s="74" t="s">
        <v>9380</v>
      </c>
      <c r="C12" s="74" t="s">
        <v>9381</v>
      </c>
      <c r="D12" s="74" t="s">
        <v>41</v>
      </c>
      <c r="E12" s="74" t="s">
        <v>9344</v>
      </c>
      <c r="F12" s="74" t="s">
        <v>9345</v>
      </c>
      <c r="G12" s="74" t="s">
        <v>9382</v>
      </c>
      <c r="H12" s="74" t="s">
        <v>46</v>
      </c>
      <c r="I12" s="74" t="s">
        <v>47</v>
      </c>
      <c r="J12" s="74" t="s">
        <v>9351</v>
      </c>
      <c r="K12" s="74"/>
      <c r="L12" s="74"/>
    </row>
    <row r="13" spans="1:12" ht="69">
      <c r="A13" s="73">
        <v>12</v>
      </c>
      <c r="B13" s="74" t="s">
        <v>9383</v>
      </c>
      <c r="C13" s="74" t="s">
        <v>9384</v>
      </c>
      <c r="D13" s="74" t="s">
        <v>41</v>
      </c>
      <c r="E13" s="74" t="s">
        <v>9344</v>
      </c>
      <c r="F13" s="74" t="s">
        <v>9345</v>
      </c>
      <c r="G13" s="74" t="s">
        <v>9385</v>
      </c>
      <c r="H13" s="74" t="s">
        <v>46</v>
      </c>
      <c r="I13" s="74" t="s">
        <v>47</v>
      </c>
      <c r="J13" s="74" t="s">
        <v>9347</v>
      </c>
      <c r="K13" s="74"/>
      <c r="L13" s="74"/>
    </row>
    <row r="14" spans="1:12" ht="55.2">
      <c r="A14" s="73">
        <v>13</v>
      </c>
      <c r="B14" s="74" t="s">
        <v>9386</v>
      </c>
      <c r="C14" s="74" t="s">
        <v>9387</v>
      </c>
      <c r="D14" s="74" t="s">
        <v>143</v>
      </c>
      <c r="E14" s="74" t="s">
        <v>9344</v>
      </c>
      <c r="F14" s="74" t="s">
        <v>9345</v>
      </c>
      <c r="G14" s="74" t="s">
        <v>9388</v>
      </c>
      <c r="H14" s="74" t="s">
        <v>597</v>
      </c>
      <c r="I14" s="74" t="s">
        <v>47</v>
      </c>
      <c r="J14" s="74" t="s">
        <v>9351</v>
      </c>
      <c r="K14" s="74" t="s">
        <v>9389</v>
      </c>
      <c r="L14" s="74" t="s">
        <v>251</v>
      </c>
    </row>
    <row r="15" spans="1:12" ht="41.4">
      <c r="A15" s="73">
        <v>14</v>
      </c>
      <c r="B15" s="74" t="s">
        <v>9390</v>
      </c>
      <c r="C15" s="74" t="s">
        <v>9391</v>
      </c>
      <c r="D15" s="74" t="s">
        <v>41</v>
      </c>
      <c r="E15" s="74" t="s">
        <v>9344</v>
      </c>
      <c r="F15" s="74" t="s">
        <v>9345</v>
      </c>
      <c r="G15" s="74" t="s">
        <v>9392</v>
      </c>
      <c r="H15" s="74" t="s">
        <v>200</v>
      </c>
      <c r="I15" s="74" t="s">
        <v>47</v>
      </c>
      <c r="J15" s="74" t="s">
        <v>9347</v>
      </c>
      <c r="K15" s="74"/>
      <c r="L15" s="74"/>
    </row>
    <row r="16" spans="1:12" ht="69">
      <c r="A16" s="73">
        <v>15</v>
      </c>
      <c r="B16" s="74" t="s">
        <v>9393</v>
      </c>
      <c r="C16" s="74" t="s">
        <v>9394</v>
      </c>
      <c r="D16" s="74" t="s">
        <v>89</v>
      </c>
      <c r="E16" s="74" t="s">
        <v>9395</v>
      </c>
      <c r="F16" s="74" t="s">
        <v>80</v>
      </c>
      <c r="G16" s="74" t="s">
        <v>9396</v>
      </c>
      <c r="H16" s="74" t="s">
        <v>91</v>
      </c>
      <c r="I16" s="74" t="s">
        <v>47</v>
      </c>
      <c r="J16" s="74" t="s">
        <v>9347</v>
      </c>
      <c r="K16" s="74" t="s">
        <v>9397</v>
      </c>
      <c r="L16" s="74" t="s">
        <v>1916</v>
      </c>
    </row>
    <row r="17" spans="1:12" ht="55.2">
      <c r="A17" s="73">
        <v>16</v>
      </c>
      <c r="B17" s="74" t="s">
        <v>9398</v>
      </c>
      <c r="C17" s="74" t="s">
        <v>9399</v>
      </c>
      <c r="D17" s="74" t="s">
        <v>295</v>
      </c>
      <c r="E17" s="74" t="s">
        <v>9344</v>
      </c>
      <c r="F17" s="74" t="s">
        <v>9345</v>
      </c>
      <c r="G17" s="74" t="s">
        <v>9400</v>
      </c>
      <c r="H17" s="74" t="s">
        <v>407</v>
      </c>
      <c r="I17" s="74" t="s">
        <v>47</v>
      </c>
      <c r="J17" s="74" t="s">
        <v>9347</v>
      </c>
      <c r="K17" s="74"/>
      <c r="L17" s="74"/>
    </row>
    <row r="18" spans="1:12" ht="55.2">
      <c r="A18" s="73">
        <v>17</v>
      </c>
      <c r="B18" s="74" t="s">
        <v>9401</v>
      </c>
      <c r="C18" s="74" t="s">
        <v>5347</v>
      </c>
      <c r="D18" s="74" t="s">
        <v>143</v>
      </c>
      <c r="E18" s="74" t="s">
        <v>9344</v>
      </c>
      <c r="F18" s="74" t="s">
        <v>9345</v>
      </c>
      <c r="G18" s="74" t="s">
        <v>9375</v>
      </c>
      <c r="H18" s="74" t="s">
        <v>327</v>
      </c>
      <c r="I18" s="74" t="s">
        <v>47</v>
      </c>
      <c r="J18" s="74" t="s">
        <v>9351</v>
      </c>
      <c r="K18" s="74" t="s">
        <v>9402</v>
      </c>
      <c r="L18" s="74" t="s">
        <v>370</v>
      </c>
    </row>
    <row r="19" spans="1:12" ht="41.4">
      <c r="A19" s="73">
        <v>18</v>
      </c>
      <c r="B19" s="74" t="s">
        <v>9403</v>
      </c>
      <c r="C19" s="74" t="s">
        <v>9404</v>
      </c>
      <c r="D19" s="74" t="s">
        <v>41</v>
      </c>
      <c r="E19" s="74" t="s">
        <v>9344</v>
      </c>
      <c r="F19" s="74" t="s">
        <v>9345</v>
      </c>
      <c r="G19" s="74" t="s">
        <v>9405</v>
      </c>
      <c r="H19" s="74" t="s">
        <v>662</v>
      </c>
      <c r="I19" s="74" t="s">
        <v>47</v>
      </c>
      <c r="J19" s="74" t="s">
        <v>9351</v>
      </c>
      <c r="K19" s="74" t="s">
        <v>9406</v>
      </c>
      <c r="L19" s="74" t="s">
        <v>331</v>
      </c>
    </row>
    <row r="20" spans="1:12" ht="55.2">
      <c r="A20" s="73">
        <v>19</v>
      </c>
      <c r="B20" s="74" t="s">
        <v>9407</v>
      </c>
      <c r="C20" s="74" t="s">
        <v>3796</v>
      </c>
      <c r="D20" s="74" t="s">
        <v>68</v>
      </c>
      <c r="E20" s="74" t="s">
        <v>9344</v>
      </c>
      <c r="F20" s="74" t="s">
        <v>9345</v>
      </c>
      <c r="G20" s="74" t="s">
        <v>9378</v>
      </c>
      <c r="H20" s="74" t="s">
        <v>70</v>
      </c>
      <c r="I20" s="74" t="s">
        <v>473</v>
      </c>
      <c r="J20" s="74" t="s">
        <v>9351</v>
      </c>
      <c r="K20" s="74" t="s">
        <v>9408</v>
      </c>
      <c r="L20" s="74" t="s">
        <v>3207</v>
      </c>
    </row>
    <row r="21" spans="1:12" ht="55.2">
      <c r="A21" s="73">
        <v>20</v>
      </c>
      <c r="B21" s="74" t="s">
        <v>9409</v>
      </c>
      <c r="C21" s="74" t="s">
        <v>5892</v>
      </c>
      <c r="D21" s="74" t="s">
        <v>41</v>
      </c>
      <c r="E21" s="74" t="s">
        <v>9344</v>
      </c>
      <c r="F21" s="74" t="s">
        <v>9345</v>
      </c>
      <c r="G21" s="74" t="s">
        <v>9410</v>
      </c>
      <c r="H21" s="74" t="s">
        <v>130</v>
      </c>
      <c r="I21" s="74" t="s">
        <v>47</v>
      </c>
      <c r="J21" s="74" t="s">
        <v>9347</v>
      </c>
      <c r="K21" s="74"/>
      <c r="L21" s="74"/>
    </row>
    <row r="22" spans="1:12" ht="69">
      <c r="A22" s="73">
        <v>21</v>
      </c>
      <c r="B22" s="74" t="s">
        <v>9411</v>
      </c>
      <c r="C22" s="74" t="s">
        <v>9412</v>
      </c>
      <c r="D22" s="74" t="s">
        <v>41</v>
      </c>
      <c r="E22" s="74" t="s">
        <v>9344</v>
      </c>
      <c r="F22" s="74" t="s">
        <v>9345</v>
      </c>
      <c r="G22" s="74" t="s">
        <v>9413</v>
      </c>
      <c r="H22" s="74" t="s">
        <v>46</v>
      </c>
      <c r="I22" s="74" t="s">
        <v>47</v>
      </c>
      <c r="J22" s="74" t="s">
        <v>9347</v>
      </c>
      <c r="K22" s="74"/>
      <c r="L22" s="74"/>
    </row>
    <row r="23" spans="1:12" ht="55.2">
      <c r="A23" s="73">
        <v>22</v>
      </c>
      <c r="B23" s="74" t="s">
        <v>9414</v>
      </c>
      <c r="C23" s="74" t="s">
        <v>9415</v>
      </c>
      <c r="D23" s="74" t="s">
        <v>68</v>
      </c>
      <c r="E23" s="74" t="s">
        <v>9344</v>
      </c>
      <c r="F23" s="74" t="s">
        <v>9345</v>
      </c>
      <c r="G23" s="74" t="s">
        <v>9378</v>
      </c>
      <c r="H23" s="74" t="s">
        <v>70</v>
      </c>
      <c r="I23" s="74" t="s">
        <v>2807</v>
      </c>
      <c r="J23" s="74" t="s">
        <v>9351</v>
      </c>
      <c r="K23" s="74" t="s">
        <v>9416</v>
      </c>
      <c r="L23" s="74" t="s">
        <v>3207</v>
      </c>
    </row>
    <row r="24" spans="1:12" ht="82.8">
      <c r="A24" s="73">
        <v>23</v>
      </c>
      <c r="B24" s="74" t="s">
        <v>9417</v>
      </c>
      <c r="C24" s="74" t="s">
        <v>9418</v>
      </c>
      <c r="D24" s="74" t="s">
        <v>68</v>
      </c>
      <c r="E24" s="74" t="s">
        <v>9419</v>
      </c>
      <c r="F24" s="74" t="s">
        <v>135</v>
      </c>
      <c r="G24" s="74" t="s">
        <v>9420</v>
      </c>
      <c r="H24" s="74" t="s">
        <v>9421</v>
      </c>
      <c r="I24" s="74" t="s">
        <v>416</v>
      </c>
      <c r="J24" s="74" t="s">
        <v>9351</v>
      </c>
      <c r="K24" s="74" t="s">
        <v>9422</v>
      </c>
      <c r="L24" s="74" t="s">
        <v>3207</v>
      </c>
    </row>
    <row r="25" spans="1:12" ht="82.8">
      <c r="A25" s="73">
        <v>24</v>
      </c>
      <c r="B25" s="74" t="s">
        <v>9423</v>
      </c>
      <c r="C25" s="74" t="s">
        <v>9424</v>
      </c>
      <c r="D25" s="74" t="s">
        <v>68</v>
      </c>
      <c r="E25" s="74" t="s">
        <v>9419</v>
      </c>
      <c r="F25" s="74" t="s">
        <v>135</v>
      </c>
      <c r="G25" s="74" t="s">
        <v>9420</v>
      </c>
      <c r="H25" s="74" t="s">
        <v>9421</v>
      </c>
      <c r="I25" s="74" t="s">
        <v>416</v>
      </c>
      <c r="J25" s="74" t="s">
        <v>9351</v>
      </c>
      <c r="K25" s="74" t="s">
        <v>9425</v>
      </c>
      <c r="L25" s="74" t="s">
        <v>3207</v>
      </c>
    </row>
    <row r="26" spans="1:12" ht="41.4">
      <c r="A26" s="73">
        <v>25</v>
      </c>
      <c r="B26" s="74" t="s">
        <v>9426</v>
      </c>
      <c r="C26" s="74" t="s">
        <v>2573</v>
      </c>
      <c r="D26" s="74" t="s">
        <v>41</v>
      </c>
      <c r="E26" s="74" t="s">
        <v>9344</v>
      </c>
      <c r="F26" s="74" t="s">
        <v>9345</v>
      </c>
      <c r="G26" s="74" t="s">
        <v>9410</v>
      </c>
      <c r="H26" s="74" t="s">
        <v>130</v>
      </c>
      <c r="I26" s="74" t="s">
        <v>47</v>
      </c>
      <c r="J26" s="74" t="s">
        <v>9347</v>
      </c>
      <c r="K26" s="74"/>
      <c r="L26" s="74"/>
    </row>
    <row r="27" spans="1:12" ht="96.6">
      <c r="A27" s="73">
        <v>26</v>
      </c>
      <c r="B27" s="74" t="s">
        <v>9427</v>
      </c>
      <c r="C27" s="74" t="s">
        <v>9428</v>
      </c>
      <c r="D27" s="74" t="s">
        <v>153</v>
      </c>
      <c r="E27" s="74" t="s">
        <v>9344</v>
      </c>
      <c r="F27" s="74" t="s">
        <v>9345</v>
      </c>
      <c r="G27" s="74" t="s">
        <v>9429</v>
      </c>
      <c r="H27" s="74" t="s">
        <v>155</v>
      </c>
      <c r="I27" s="74" t="s">
        <v>47</v>
      </c>
      <c r="J27" s="74" t="s">
        <v>9347</v>
      </c>
      <c r="K27" s="74"/>
      <c r="L27" s="74"/>
    </row>
    <row r="28" spans="1:12" ht="41.4">
      <c r="A28" s="73">
        <v>27</v>
      </c>
      <c r="B28" s="74" t="s">
        <v>9430</v>
      </c>
      <c r="C28" s="74" t="s">
        <v>9431</v>
      </c>
      <c r="D28" s="74" t="s">
        <v>295</v>
      </c>
      <c r="E28" s="74" t="s">
        <v>9344</v>
      </c>
      <c r="F28" s="74" t="s">
        <v>9345</v>
      </c>
      <c r="G28" s="74" t="s">
        <v>9432</v>
      </c>
      <c r="H28" s="74" t="s">
        <v>297</v>
      </c>
      <c r="I28" s="74" t="s">
        <v>47</v>
      </c>
      <c r="J28" s="74" t="s">
        <v>9347</v>
      </c>
      <c r="K28" s="74"/>
      <c r="L28" s="74"/>
    </row>
    <row r="29" spans="1:12" ht="41.4">
      <c r="A29" s="73">
        <v>28</v>
      </c>
      <c r="B29" s="74" t="s">
        <v>9433</v>
      </c>
      <c r="C29" s="74" t="s">
        <v>9434</v>
      </c>
      <c r="D29" s="74" t="s">
        <v>41</v>
      </c>
      <c r="E29" s="74" t="s">
        <v>9344</v>
      </c>
      <c r="F29" s="74" t="s">
        <v>9345</v>
      </c>
      <c r="G29" s="74" t="s">
        <v>9410</v>
      </c>
      <c r="H29" s="74" t="s">
        <v>130</v>
      </c>
      <c r="I29" s="74" t="s">
        <v>47</v>
      </c>
      <c r="J29" s="74" t="s">
        <v>9347</v>
      </c>
      <c r="K29" s="74"/>
      <c r="L29" s="74"/>
    </row>
    <row r="30" spans="1:12" ht="41.4">
      <c r="A30" s="73">
        <v>29</v>
      </c>
      <c r="B30" s="74" t="s">
        <v>9435</v>
      </c>
      <c r="C30" s="74" t="s">
        <v>9436</v>
      </c>
      <c r="D30" s="74" t="s">
        <v>153</v>
      </c>
      <c r="E30" s="74" t="s">
        <v>9344</v>
      </c>
      <c r="F30" s="74" t="s">
        <v>9345</v>
      </c>
      <c r="G30" s="74" t="s">
        <v>9437</v>
      </c>
      <c r="H30" s="74" t="s">
        <v>155</v>
      </c>
      <c r="I30" s="74" t="s">
        <v>47</v>
      </c>
      <c r="J30" s="74" t="s">
        <v>9347</v>
      </c>
      <c r="K30" s="74"/>
      <c r="L30" s="74"/>
    </row>
    <row r="31" spans="1:12" ht="41.4">
      <c r="A31" s="73">
        <v>30</v>
      </c>
      <c r="B31" s="74" t="s">
        <v>9438</v>
      </c>
      <c r="C31" s="74" t="s">
        <v>9439</v>
      </c>
      <c r="D31" s="74" t="s">
        <v>295</v>
      </c>
      <c r="E31" s="74" t="s">
        <v>9344</v>
      </c>
      <c r="F31" s="74" t="s">
        <v>9345</v>
      </c>
      <c r="G31" s="74" t="s">
        <v>9400</v>
      </c>
      <c r="H31" s="74" t="s">
        <v>407</v>
      </c>
      <c r="I31" s="74" t="s">
        <v>47</v>
      </c>
      <c r="J31" s="74" t="s">
        <v>9347</v>
      </c>
      <c r="K31" s="74"/>
      <c r="L31" s="74"/>
    </row>
    <row r="32" spans="1:12" ht="55.2">
      <c r="A32" s="73">
        <v>31</v>
      </c>
      <c r="B32" s="74" t="s">
        <v>9440</v>
      </c>
      <c r="C32" s="74" t="s">
        <v>9441</v>
      </c>
      <c r="D32" s="74" t="s">
        <v>295</v>
      </c>
      <c r="E32" s="74" t="s">
        <v>9344</v>
      </c>
      <c r="F32" s="74" t="s">
        <v>9345</v>
      </c>
      <c r="G32" s="74" t="s">
        <v>9355</v>
      </c>
      <c r="H32" s="74" t="s">
        <v>297</v>
      </c>
      <c r="I32" s="74" t="s">
        <v>47</v>
      </c>
      <c r="J32" s="74" t="s">
        <v>9347</v>
      </c>
      <c r="K32" s="74" t="s">
        <v>9442</v>
      </c>
      <c r="L32" s="74" t="s">
        <v>318</v>
      </c>
    </row>
    <row r="33" spans="1:12" ht="41.4">
      <c r="A33" s="73">
        <v>32</v>
      </c>
      <c r="B33" s="74" t="s">
        <v>9443</v>
      </c>
      <c r="C33" s="74" t="s">
        <v>9444</v>
      </c>
      <c r="D33" s="74" t="s">
        <v>89</v>
      </c>
      <c r="E33" s="74" t="s">
        <v>9395</v>
      </c>
      <c r="F33" s="74" t="s">
        <v>80</v>
      </c>
      <c r="G33" s="74" t="s">
        <v>9445</v>
      </c>
      <c r="H33" s="74" t="s">
        <v>102</v>
      </c>
      <c r="I33" s="74" t="s">
        <v>416</v>
      </c>
      <c r="J33" s="74" t="s">
        <v>9351</v>
      </c>
      <c r="K33" s="74" t="s">
        <v>9446</v>
      </c>
      <c r="L33" s="74" t="s">
        <v>1266</v>
      </c>
    </row>
    <row r="34" spans="1:12" ht="41.4">
      <c r="A34" s="73">
        <v>33</v>
      </c>
      <c r="B34" s="74" t="s">
        <v>9447</v>
      </c>
      <c r="C34" s="74" t="s">
        <v>9448</v>
      </c>
      <c r="D34" s="74" t="s">
        <v>153</v>
      </c>
      <c r="E34" s="74" t="s">
        <v>9344</v>
      </c>
      <c r="F34" s="74" t="s">
        <v>9345</v>
      </c>
      <c r="G34" s="74" t="s">
        <v>9437</v>
      </c>
      <c r="H34" s="74" t="s">
        <v>155</v>
      </c>
      <c r="I34" s="74" t="s">
        <v>47</v>
      </c>
      <c r="J34" s="74" t="s">
        <v>9347</v>
      </c>
      <c r="K34" s="74"/>
      <c r="L34" s="74"/>
    </row>
    <row r="35" spans="1:12" ht="55.2">
      <c r="A35" s="73">
        <v>34</v>
      </c>
      <c r="B35" s="74" t="s">
        <v>9449</v>
      </c>
      <c r="C35" s="74" t="s">
        <v>9450</v>
      </c>
      <c r="D35" s="74" t="s">
        <v>41</v>
      </c>
      <c r="E35" s="74" t="s">
        <v>9344</v>
      </c>
      <c r="F35" s="74" t="s">
        <v>9345</v>
      </c>
      <c r="G35" s="74" t="s">
        <v>9451</v>
      </c>
      <c r="H35" s="74" t="s">
        <v>130</v>
      </c>
      <c r="I35" s="74" t="s">
        <v>47</v>
      </c>
      <c r="J35" s="74" t="s">
        <v>9347</v>
      </c>
      <c r="K35" s="74"/>
      <c r="L35" s="74"/>
    </row>
    <row r="36" spans="1:12" ht="41.4">
      <c r="A36" s="73">
        <v>35</v>
      </c>
      <c r="B36" s="74" t="s">
        <v>9452</v>
      </c>
      <c r="C36" s="74" t="s">
        <v>9453</v>
      </c>
      <c r="D36" s="74" t="s">
        <v>153</v>
      </c>
      <c r="E36" s="74" t="s">
        <v>9344</v>
      </c>
      <c r="F36" s="74" t="s">
        <v>9345</v>
      </c>
      <c r="G36" s="74" t="s">
        <v>9454</v>
      </c>
      <c r="H36" s="74" t="s">
        <v>155</v>
      </c>
      <c r="I36" s="74" t="s">
        <v>47</v>
      </c>
      <c r="J36" s="74" t="s">
        <v>9347</v>
      </c>
      <c r="K36" s="74"/>
      <c r="L36" s="74"/>
    </row>
    <row r="37" spans="1:12" ht="55.2">
      <c r="A37" s="73">
        <v>36</v>
      </c>
      <c r="B37" s="74" t="s">
        <v>9455</v>
      </c>
      <c r="C37" s="74" t="s">
        <v>9456</v>
      </c>
      <c r="D37" s="74" t="s">
        <v>41</v>
      </c>
      <c r="E37" s="74" t="s">
        <v>9344</v>
      </c>
      <c r="F37" s="74" t="s">
        <v>9345</v>
      </c>
      <c r="G37" s="74" t="s">
        <v>9372</v>
      </c>
      <c r="H37" s="74" t="s">
        <v>479</v>
      </c>
      <c r="I37" s="74" t="s">
        <v>47</v>
      </c>
      <c r="J37" s="74" t="s">
        <v>9347</v>
      </c>
      <c r="K37" s="74"/>
      <c r="L37" s="74"/>
    </row>
    <row r="38" spans="1:12" ht="41.4">
      <c r="A38" s="73">
        <v>37</v>
      </c>
      <c r="B38" s="74" t="s">
        <v>9457</v>
      </c>
      <c r="C38" s="74" t="s">
        <v>6815</v>
      </c>
      <c r="D38" s="74" t="s">
        <v>41</v>
      </c>
      <c r="E38" s="74" t="s">
        <v>9344</v>
      </c>
      <c r="F38" s="74" t="s">
        <v>9345</v>
      </c>
      <c r="G38" s="74" t="s">
        <v>9451</v>
      </c>
      <c r="H38" s="74" t="s">
        <v>130</v>
      </c>
      <c r="I38" s="74" t="s">
        <v>47</v>
      </c>
      <c r="J38" s="74" t="s">
        <v>9347</v>
      </c>
      <c r="K38" s="74"/>
      <c r="L38" s="74"/>
    </row>
    <row r="39" spans="1:12" ht="55.2">
      <c r="A39" s="73">
        <v>38</v>
      </c>
      <c r="B39" s="74" t="s">
        <v>9458</v>
      </c>
      <c r="C39" s="74" t="s">
        <v>9459</v>
      </c>
      <c r="D39" s="74" t="s">
        <v>295</v>
      </c>
      <c r="E39" s="74" t="s">
        <v>9344</v>
      </c>
      <c r="F39" s="74" t="s">
        <v>9345</v>
      </c>
      <c r="G39" s="74" t="s">
        <v>9346</v>
      </c>
      <c r="H39" s="74" t="s">
        <v>297</v>
      </c>
      <c r="I39" s="74" t="s">
        <v>47</v>
      </c>
      <c r="J39" s="74" t="s">
        <v>9347</v>
      </c>
      <c r="K39" s="74"/>
      <c r="L39" s="74"/>
    </row>
    <row r="40" spans="1:12" ht="41.4">
      <c r="A40" s="73">
        <v>39</v>
      </c>
      <c r="B40" s="74" t="s">
        <v>9460</v>
      </c>
      <c r="C40" s="74" t="s">
        <v>9461</v>
      </c>
      <c r="D40" s="74" t="s">
        <v>41</v>
      </c>
      <c r="E40" s="74" t="s">
        <v>9344</v>
      </c>
      <c r="F40" s="74" t="s">
        <v>9345</v>
      </c>
      <c r="G40" s="74" t="s">
        <v>9350</v>
      </c>
      <c r="H40" s="74" t="s">
        <v>662</v>
      </c>
      <c r="I40" s="74" t="s">
        <v>47</v>
      </c>
      <c r="J40" s="74" t="s">
        <v>9351</v>
      </c>
      <c r="K40" s="74"/>
      <c r="L40" s="74"/>
    </row>
    <row r="41" spans="1:12" ht="69">
      <c r="A41" s="73">
        <v>40</v>
      </c>
      <c r="B41" s="74" t="s">
        <v>9462</v>
      </c>
      <c r="C41" s="74" t="s">
        <v>784</v>
      </c>
      <c r="D41" s="74" t="s">
        <v>41</v>
      </c>
      <c r="E41" s="74" t="s">
        <v>9344</v>
      </c>
      <c r="F41" s="74" t="s">
        <v>9345</v>
      </c>
      <c r="G41" s="74" t="s">
        <v>9413</v>
      </c>
      <c r="H41" s="74" t="s">
        <v>46</v>
      </c>
      <c r="I41" s="74" t="s">
        <v>47</v>
      </c>
      <c r="J41" s="74" t="s">
        <v>9351</v>
      </c>
      <c r="K41" s="74" t="s">
        <v>9463</v>
      </c>
      <c r="L41" s="74" t="s">
        <v>331</v>
      </c>
    </row>
    <row r="42" spans="1:12" ht="69">
      <c r="A42" s="73">
        <v>41</v>
      </c>
      <c r="B42" s="74" t="s">
        <v>9464</v>
      </c>
      <c r="C42" s="74" t="s">
        <v>9465</v>
      </c>
      <c r="D42" s="74" t="s">
        <v>41</v>
      </c>
      <c r="E42" s="74" t="s">
        <v>9344</v>
      </c>
      <c r="F42" s="74" t="s">
        <v>9345</v>
      </c>
      <c r="G42" s="74" t="s">
        <v>9368</v>
      </c>
      <c r="H42" s="74" t="s">
        <v>46</v>
      </c>
      <c r="I42" s="74" t="s">
        <v>47</v>
      </c>
      <c r="J42" s="74" t="s">
        <v>9351</v>
      </c>
      <c r="K42" s="74"/>
      <c r="L42" s="74"/>
    </row>
    <row r="43" spans="1:12" ht="41.4">
      <c r="A43" s="73">
        <v>42</v>
      </c>
      <c r="B43" s="74" t="s">
        <v>9466</v>
      </c>
      <c r="C43" s="74" t="s">
        <v>9467</v>
      </c>
      <c r="D43" s="74" t="s">
        <v>153</v>
      </c>
      <c r="E43" s="74" t="s">
        <v>9344</v>
      </c>
      <c r="F43" s="74" t="s">
        <v>9345</v>
      </c>
      <c r="G43" s="74" t="s">
        <v>9468</v>
      </c>
      <c r="H43" s="74" t="s">
        <v>155</v>
      </c>
      <c r="I43" s="74" t="s">
        <v>47</v>
      </c>
      <c r="J43" s="74" t="s">
        <v>9347</v>
      </c>
      <c r="K43" s="74"/>
      <c r="L43" s="74"/>
    </row>
    <row r="44" spans="1:12" ht="69">
      <c r="A44" s="73">
        <v>43</v>
      </c>
      <c r="B44" s="74" t="s">
        <v>9469</v>
      </c>
      <c r="C44" s="74" t="s">
        <v>9470</v>
      </c>
      <c r="D44" s="74" t="s">
        <v>153</v>
      </c>
      <c r="E44" s="74" t="s">
        <v>9344</v>
      </c>
      <c r="F44" s="74" t="s">
        <v>9345</v>
      </c>
      <c r="G44" s="74" t="s">
        <v>9471</v>
      </c>
      <c r="H44" s="74" t="s">
        <v>155</v>
      </c>
      <c r="I44" s="74" t="s">
        <v>1462</v>
      </c>
      <c r="J44" s="74" t="s">
        <v>9347</v>
      </c>
      <c r="K44" s="74"/>
      <c r="L44" s="74"/>
    </row>
    <row r="45" spans="1:12" ht="55.2">
      <c r="A45" s="73">
        <v>44</v>
      </c>
      <c r="B45" s="74" t="s">
        <v>9472</v>
      </c>
      <c r="C45" s="74" t="s">
        <v>9473</v>
      </c>
      <c r="D45" s="74" t="s">
        <v>41</v>
      </c>
      <c r="E45" s="74" t="s">
        <v>9344</v>
      </c>
      <c r="F45" s="74" t="s">
        <v>9345</v>
      </c>
      <c r="G45" s="74" t="s">
        <v>9451</v>
      </c>
      <c r="H45" s="74" t="s">
        <v>130</v>
      </c>
      <c r="I45" s="74" t="s">
        <v>47</v>
      </c>
      <c r="J45" s="74" t="s">
        <v>9347</v>
      </c>
      <c r="K45" s="74"/>
      <c r="L45" s="74"/>
    </row>
    <row r="46" spans="1:12" ht="69">
      <c r="A46" s="73">
        <v>45</v>
      </c>
      <c r="B46" s="74" t="s">
        <v>9474</v>
      </c>
      <c r="C46" s="74" t="s">
        <v>2352</v>
      </c>
      <c r="D46" s="74" t="s">
        <v>41</v>
      </c>
      <c r="E46" s="74" t="s">
        <v>9344</v>
      </c>
      <c r="F46" s="74" t="s">
        <v>9345</v>
      </c>
      <c r="G46" s="74" t="s">
        <v>9368</v>
      </c>
      <c r="H46" s="74" t="s">
        <v>46</v>
      </c>
      <c r="I46" s="74" t="s">
        <v>47</v>
      </c>
      <c r="J46" s="74" t="s">
        <v>9351</v>
      </c>
      <c r="K46" s="74" t="s">
        <v>9475</v>
      </c>
      <c r="L46" s="74" t="s">
        <v>331</v>
      </c>
    </row>
    <row r="47" spans="1:12" ht="41.4">
      <c r="A47" s="73">
        <v>46</v>
      </c>
      <c r="B47" s="74" t="s">
        <v>9476</v>
      </c>
      <c r="C47" s="74" t="s">
        <v>9477</v>
      </c>
      <c r="D47" s="74" t="s">
        <v>295</v>
      </c>
      <c r="E47" s="74" t="s">
        <v>9344</v>
      </c>
      <c r="F47" s="74" t="s">
        <v>9345</v>
      </c>
      <c r="G47" s="74" t="s">
        <v>9478</v>
      </c>
      <c r="H47" s="74" t="s">
        <v>407</v>
      </c>
      <c r="I47" s="74" t="s">
        <v>47</v>
      </c>
      <c r="J47" s="74" t="s">
        <v>9347</v>
      </c>
      <c r="K47" s="74"/>
      <c r="L47" s="74"/>
    </row>
    <row r="48" spans="1:12" ht="41.4">
      <c r="A48" s="73">
        <v>47</v>
      </c>
      <c r="B48" s="74" t="s">
        <v>9479</v>
      </c>
      <c r="C48" s="74" t="s">
        <v>9480</v>
      </c>
      <c r="D48" s="74" t="s">
        <v>41</v>
      </c>
      <c r="E48" s="74" t="s">
        <v>9344</v>
      </c>
      <c r="F48" s="74" t="s">
        <v>9345</v>
      </c>
      <c r="G48" s="74" t="s">
        <v>9350</v>
      </c>
      <c r="H48" s="74" t="s">
        <v>662</v>
      </c>
      <c r="I48" s="74" t="s">
        <v>47</v>
      </c>
      <c r="J48" s="74" t="s">
        <v>9351</v>
      </c>
      <c r="K48" s="74"/>
      <c r="L48" s="74"/>
    </row>
    <row r="49" spans="1:12" ht="41.4">
      <c r="A49" s="73">
        <v>48</v>
      </c>
      <c r="B49" s="74" t="s">
        <v>9481</v>
      </c>
      <c r="C49" s="74" t="s">
        <v>6567</v>
      </c>
      <c r="D49" s="74" t="s">
        <v>295</v>
      </c>
      <c r="E49" s="74" t="s">
        <v>9344</v>
      </c>
      <c r="F49" s="74" t="s">
        <v>9345</v>
      </c>
      <c r="G49" s="74" t="s">
        <v>9346</v>
      </c>
      <c r="H49" s="74" t="s">
        <v>297</v>
      </c>
      <c r="I49" s="74" t="s">
        <v>47</v>
      </c>
      <c r="J49" s="74" t="s">
        <v>9347</v>
      </c>
      <c r="K49" s="74" t="s">
        <v>9482</v>
      </c>
      <c r="L49" s="74" t="s">
        <v>318</v>
      </c>
    </row>
    <row r="50" spans="1:12" ht="41.4">
      <c r="A50" s="73">
        <v>49</v>
      </c>
      <c r="B50" s="74" t="s">
        <v>9483</v>
      </c>
      <c r="C50" s="74" t="s">
        <v>9484</v>
      </c>
      <c r="D50" s="74" t="s">
        <v>153</v>
      </c>
      <c r="E50" s="74" t="s">
        <v>9344</v>
      </c>
      <c r="F50" s="74" t="s">
        <v>9345</v>
      </c>
      <c r="G50" s="74" t="s">
        <v>9485</v>
      </c>
      <c r="H50" s="74" t="s">
        <v>155</v>
      </c>
      <c r="I50" s="74" t="s">
        <v>47</v>
      </c>
      <c r="J50" s="74" t="s">
        <v>9347</v>
      </c>
      <c r="K50" s="74" t="s">
        <v>9486</v>
      </c>
      <c r="L50" s="74" t="s">
        <v>331</v>
      </c>
    </row>
    <row r="51" spans="1:12" ht="41.4">
      <c r="A51" s="73">
        <v>50</v>
      </c>
      <c r="B51" s="74" t="s">
        <v>9487</v>
      </c>
      <c r="C51" s="74" t="s">
        <v>9488</v>
      </c>
      <c r="D51" s="74" t="s">
        <v>295</v>
      </c>
      <c r="E51" s="74" t="s">
        <v>9344</v>
      </c>
      <c r="F51" s="74" t="s">
        <v>9345</v>
      </c>
      <c r="G51" s="74" t="s">
        <v>9489</v>
      </c>
      <c r="H51" s="74" t="s">
        <v>407</v>
      </c>
      <c r="I51" s="74" t="s">
        <v>47</v>
      </c>
      <c r="J51" s="74" t="s">
        <v>9347</v>
      </c>
      <c r="K51" s="74"/>
      <c r="L51" s="74"/>
    </row>
    <row r="52" spans="1:12" ht="69">
      <c r="A52" s="73">
        <v>51</v>
      </c>
      <c r="B52" s="74" t="s">
        <v>9490</v>
      </c>
      <c r="C52" s="74" t="s">
        <v>862</v>
      </c>
      <c r="D52" s="74" t="s">
        <v>41</v>
      </c>
      <c r="E52" s="74" t="s">
        <v>9344</v>
      </c>
      <c r="F52" s="74" t="s">
        <v>9345</v>
      </c>
      <c r="G52" s="74" t="s">
        <v>9368</v>
      </c>
      <c r="H52" s="74" t="s">
        <v>46</v>
      </c>
      <c r="I52" s="74" t="s">
        <v>47</v>
      </c>
      <c r="J52" s="74" t="s">
        <v>9351</v>
      </c>
      <c r="K52" s="74"/>
      <c r="L52" s="74"/>
    </row>
    <row r="53" spans="1:12" ht="82.8">
      <c r="A53" s="73">
        <v>52</v>
      </c>
      <c r="B53" s="74" t="s">
        <v>9491</v>
      </c>
      <c r="C53" s="74" t="s">
        <v>9492</v>
      </c>
      <c r="D53" s="74" t="s">
        <v>68</v>
      </c>
      <c r="E53" s="74" t="s">
        <v>9419</v>
      </c>
      <c r="F53" s="74" t="s">
        <v>135</v>
      </c>
      <c r="G53" s="74" t="s">
        <v>9420</v>
      </c>
      <c r="H53" s="74" t="s">
        <v>9421</v>
      </c>
      <c r="I53" s="74" t="s">
        <v>47</v>
      </c>
      <c r="J53" s="74" t="s">
        <v>9351</v>
      </c>
      <c r="K53" s="74" t="s">
        <v>9493</v>
      </c>
      <c r="L53" s="74" t="s">
        <v>1266</v>
      </c>
    </row>
    <row r="54" spans="1:12" ht="55.2">
      <c r="A54" s="73">
        <v>53</v>
      </c>
      <c r="B54" s="74" t="s">
        <v>9494</v>
      </c>
      <c r="C54" s="74" t="s">
        <v>9495</v>
      </c>
      <c r="D54" s="74" t="s">
        <v>295</v>
      </c>
      <c r="E54" s="74" t="s">
        <v>9344</v>
      </c>
      <c r="F54" s="74" t="s">
        <v>9345</v>
      </c>
      <c r="G54" s="74" t="s">
        <v>9400</v>
      </c>
      <c r="H54" s="74" t="s">
        <v>407</v>
      </c>
      <c r="I54" s="74" t="s">
        <v>47</v>
      </c>
      <c r="J54" s="74" t="s">
        <v>9347</v>
      </c>
      <c r="K54" s="74"/>
      <c r="L54" s="74"/>
    </row>
    <row r="55" spans="1:12" ht="69">
      <c r="A55" s="73">
        <v>54</v>
      </c>
      <c r="B55" s="74" t="s">
        <v>9496</v>
      </c>
      <c r="C55" s="74" t="s">
        <v>9497</v>
      </c>
      <c r="D55" s="74" t="s">
        <v>41</v>
      </c>
      <c r="E55" s="74" t="s">
        <v>9344</v>
      </c>
      <c r="F55" s="74" t="s">
        <v>9345</v>
      </c>
      <c r="G55" s="74" t="s">
        <v>9368</v>
      </c>
      <c r="H55" s="74" t="s">
        <v>46</v>
      </c>
      <c r="I55" s="74" t="s">
        <v>47</v>
      </c>
      <c r="J55" s="74" t="s">
        <v>9347</v>
      </c>
      <c r="K55" s="74"/>
      <c r="L55" s="74"/>
    </row>
    <row r="56" spans="1:12" ht="41.4">
      <c r="A56" s="73">
        <v>55</v>
      </c>
      <c r="B56" s="74" t="s">
        <v>9498</v>
      </c>
      <c r="C56" s="74" t="s">
        <v>9499</v>
      </c>
      <c r="D56" s="74" t="s">
        <v>41</v>
      </c>
      <c r="E56" s="74" t="s">
        <v>9344</v>
      </c>
      <c r="F56" s="74" t="s">
        <v>9345</v>
      </c>
      <c r="G56" s="74" t="s">
        <v>9500</v>
      </c>
      <c r="H56" s="74" t="s">
        <v>200</v>
      </c>
      <c r="I56" s="74" t="s">
        <v>47</v>
      </c>
      <c r="J56" s="74" t="s">
        <v>9351</v>
      </c>
      <c r="K56" s="74"/>
      <c r="L56" s="74"/>
    </row>
    <row r="57" spans="1:12" ht="55.2">
      <c r="A57" s="73">
        <v>56</v>
      </c>
      <c r="B57" s="74" t="s">
        <v>9501</v>
      </c>
      <c r="C57" s="74" t="s">
        <v>9502</v>
      </c>
      <c r="D57" s="74" t="s">
        <v>89</v>
      </c>
      <c r="E57" s="74" t="s">
        <v>9395</v>
      </c>
      <c r="F57" s="74" t="s">
        <v>80</v>
      </c>
      <c r="G57" s="74" t="s">
        <v>9503</v>
      </c>
      <c r="H57" s="74" t="s">
        <v>102</v>
      </c>
      <c r="I57" s="74" t="s">
        <v>47</v>
      </c>
      <c r="J57" s="74" t="s">
        <v>9351</v>
      </c>
      <c r="K57" s="74" t="s">
        <v>9504</v>
      </c>
      <c r="L57" s="74" t="s">
        <v>711</v>
      </c>
    </row>
    <row r="58" spans="1:12" ht="55.2">
      <c r="A58" s="73">
        <v>57</v>
      </c>
      <c r="B58" s="74" t="s">
        <v>9505</v>
      </c>
      <c r="C58" s="74" t="s">
        <v>8796</v>
      </c>
      <c r="D58" s="74" t="s">
        <v>143</v>
      </c>
      <c r="E58" s="74" t="s">
        <v>9344</v>
      </c>
      <c r="F58" s="74" t="s">
        <v>9345</v>
      </c>
      <c r="G58" s="74" t="s">
        <v>9388</v>
      </c>
      <c r="H58" s="74" t="s">
        <v>597</v>
      </c>
      <c r="I58" s="74" t="s">
        <v>47</v>
      </c>
      <c r="J58" s="74" t="s">
        <v>9351</v>
      </c>
      <c r="K58" s="74" t="s">
        <v>9506</v>
      </c>
      <c r="L58" s="74" t="s">
        <v>370</v>
      </c>
    </row>
    <row r="59" spans="1:12" ht="41.4">
      <c r="A59" s="73">
        <v>58</v>
      </c>
      <c r="B59" s="74" t="s">
        <v>9507</v>
      </c>
      <c r="C59" s="74" t="s">
        <v>4086</v>
      </c>
      <c r="D59" s="74" t="s">
        <v>143</v>
      </c>
      <c r="E59" s="74" t="s">
        <v>9344</v>
      </c>
      <c r="F59" s="74" t="s">
        <v>9345</v>
      </c>
      <c r="G59" s="74" t="s">
        <v>9388</v>
      </c>
      <c r="H59" s="74" t="s">
        <v>597</v>
      </c>
      <c r="I59" s="74" t="s">
        <v>47</v>
      </c>
      <c r="J59" s="74" t="s">
        <v>9351</v>
      </c>
      <c r="K59" s="74" t="s">
        <v>9508</v>
      </c>
      <c r="L59" s="74" t="s">
        <v>370</v>
      </c>
    </row>
    <row r="60" spans="1:12" ht="69">
      <c r="A60" s="73">
        <v>59</v>
      </c>
      <c r="B60" s="74" t="s">
        <v>9509</v>
      </c>
      <c r="C60" s="74" t="s">
        <v>2260</v>
      </c>
      <c r="D60" s="74" t="s">
        <v>143</v>
      </c>
      <c r="E60" s="74" t="s">
        <v>9344</v>
      </c>
      <c r="F60" s="74" t="s">
        <v>9345</v>
      </c>
      <c r="G60" s="74" t="s">
        <v>9510</v>
      </c>
      <c r="H60" s="74" t="s">
        <v>220</v>
      </c>
      <c r="I60" s="74" t="s">
        <v>47</v>
      </c>
      <c r="J60" s="74" t="s">
        <v>9351</v>
      </c>
      <c r="K60" s="74" t="s">
        <v>9511</v>
      </c>
      <c r="L60" s="74" t="s">
        <v>251</v>
      </c>
    </row>
    <row r="61" spans="1:12" ht="55.2">
      <c r="A61" s="73">
        <v>60</v>
      </c>
      <c r="B61" s="74" t="s">
        <v>9512</v>
      </c>
      <c r="C61" s="74" t="s">
        <v>9513</v>
      </c>
      <c r="D61" s="74" t="s">
        <v>143</v>
      </c>
      <c r="E61" s="74" t="s">
        <v>9344</v>
      </c>
      <c r="F61" s="74" t="s">
        <v>9345</v>
      </c>
      <c r="G61" s="74" t="s">
        <v>9514</v>
      </c>
      <c r="H61" s="74" t="s">
        <v>327</v>
      </c>
      <c r="I61" s="74" t="s">
        <v>47</v>
      </c>
      <c r="J61" s="74" t="s">
        <v>9351</v>
      </c>
      <c r="K61" s="74" t="s">
        <v>9515</v>
      </c>
      <c r="L61" s="74" t="s">
        <v>370</v>
      </c>
    </row>
    <row r="62" spans="1:12" ht="69">
      <c r="A62" s="73">
        <v>61</v>
      </c>
      <c r="B62" s="74" t="s">
        <v>9516</v>
      </c>
      <c r="C62" s="74" t="s">
        <v>9517</v>
      </c>
      <c r="D62" s="74" t="s">
        <v>41</v>
      </c>
      <c r="E62" s="74" t="s">
        <v>9344</v>
      </c>
      <c r="F62" s="74" t="s">
        <v>9345</v>
      </c>
      <c r="G62" s="74" t="s">
        <v>9368</v>
      </c>
      <c r="H62" s="74" t="s">
        <v>46</v>
      </c>
      <c r="I62" s="74" t="s">
        <v>47</v>
      </c>
      <c r="J62" s="74" t="s">
        <v>9351</v>
      </c>
      <c r="K62" s="74" t="s">
        <v>9518</v>
      </c>
      <c r="L62" s="74" t="s">
        <v>331</v>
      </c>
    </row>
    <row r="63" spans="1:12" ht="41.4">
      <c r="A63" s="73">
        <v>62</v>
      </c>
      <c r="B63" s="74" t="s">
        <v>9519</v>
      </c>
      <c r="C63" s="74" t="s">
        <v>9520</v>
      </c>
      <c r="D63" s="74" t="s">
        <v>41</v>
      </c>
      <c r="E63" s="74" t="s">
        <v>9344</v>
      </c>
      <c r="F63" s="74" t="s">
        <v>9345</v>
      </c>
      <c r="G63" s="74" t="s">
        <v>9451</v>
      </c>
      <c r="H63" s="74" t="s">
        <v>130</v>
      </c>
      <c r="I63" s="74" t="s">
        <v>47</v>
      </c>
      <c r="J63" s="74" t="s">
        <v>9347</v>
      </c>
      <c r="K63" s="74"/>
      <c r="L63" s="74"/>
    </row>
    <row r="64" spans="1:12" ht="82.8">
      <c r="A64" s="73">
        <v>63</v>
      </c>
      <c r="B64" s="74" t="s">
        <v>9521</v>
      </c>
      <c r="C64" s="74" t="s">
        <v>9522</v>
      </c>
      <c r="D64" s="74" t="s">
        <v>68</v>
      </c>
      <c r="E64" s="74" t="s">
        <v>9419</v>
      </c>
      <c r="F64" s="74" t="s">
        <v>135</v>
      </c>
      <c r="G64" s="74" t="s">
        <v>9420</v>
      </c>
      <c r="H64" s="74" t="s">
        <v>9421</v>
      </c>
      <c r="I64" s="74" t="s">
        <v>47</v>
      </c>
      <c r="J64" s="74" t="s">
        <v>9351</v>
      </c>
      <c r="K64" s="74" t="s">
        <v>9523</v>
      </c>
      <c r="L64" s="74" t="s">
        <v>1266</v>
      </c>
    </row>
    <row r="65" spans="1:12" ht="41.4">
      <c r="A65" s="73">
        <v>64</v>
      </c>
      <c r="B65" s="74" t="s">
        <v>9524</v>
      </c>
      <c r="C65" s="74" t="s">
        <v>9525</v>
      </c>
      <c r="D65" s="74" t="s">
        <v>153</v>
      </c>
      <c r="E65" s="74" t="s">
        <v>9344</v>
      </c>
      <c r="F65" s="74" t="s">
        <v>9345</v>
      </c>
      <c r="G65" s="74" t="s">
        <v>9526</v>
      </c>
      <c r="H65" s="74" t="s">
        <v>155</v>
      </c>
      <c r="I65" s="74" t="s">
        <v>47</v>
      </c>
      <c r="J65" s="74" t="s">
        <v>9347</v>
      </c>
      <c r="K65" s="74"/>
      <c r="L65" s="74"/>
    </row>
    <row r="66" spans="1:12" ht="69">
      <c r="A66" s="73">
        <v>65</v>
      </c>
      <c r="B66" s="74" t="s">
        <v>9527</v>
      </c>
      <c r="C66" s="74" t="s">
        <v>4870</v>
      </c>
      <c r="D66" s="74" t="s">
        <v>89</v>
      </c>
      <c r="E66" s="74" t="s">
        <v>9344</v>
      </c>
      <c r="F66" s="74" t="s">
        <v>9345</v>
      </c>
      <c r="G66" s="74" t="s">
        <v>9528</v>
      </c>
      <c r="H66" s="74" t="s">
        <v>91</v>
      </c>
      <c r="I66" s="74" t="s">
        <v>47</v>
      </c>
      <c r="J66" s="74" t="s">
        <v>9351</v>
      </c>
      <c r="K66" s="74" t="s">
        <v>9529</v>
      </c>
      <c r="L66" s="74" t="s">
        <v>711</v>
      </c>
    </row>
    <row r="67" spans="1:12" ht="41.4">
      <c r="A67" s="73">
        <v>66</v>
      </c>
      <c r="B67" s="74" t="s">
        <v>9530</v>
      </c>
      <c r="C67" s="74" t="s">
        <v>9531</v>
      </c>
      <c r="D67" s="74" t="s">
        <v>41</v>
      </c>
      <c r="E67" s="74" t="s">
        <v>9344</v>
      </c>
      <c r="F67" s="74" t="s">
        <v>9345</v>
      </c>
      <c r="G67" s="74" t="s">
        <v>9451</v>
      </c>
      <c r="H67" s="74" t="s">
        <v>130</v>
      </c>
      <c r="I67" s="74" t="s">
        <v>47</v>
      </c>
      <c r="J67" s="74" t="s">
        <v>9347</v>
      </c>
      <c r="K67" s="74" t="s">
        <v>9532</v>
      </c>
      <c r="L67" s="74" t="s">
        <v>318</v>
      </c>
    </row>
    <row r="68" spans="1:12" ht="55.2">
      <c r="A68" s="73">
        <v>67</v>
      </c>
      <c r="B68" s="74" t="s">
        <v>9533</v>
      </c>
      <c r="C68" s="74" t="s">
        <v>6806</v>
      </c>
      <c r="D68" s="74" t="s">
        <v>143</v>
      </c>
      <c r="E68" s="74" t="s">
        <v>9344</v>
      </c>
      <c r="F68" s="74" t="s">
        <v>9345</v>
      </c>
      <c r="G68" s="74" t="s">
        <v>9534</v>
      </c>
      <c r="H68" s="74" t="s">
        <v>145</v>
      </c>
      <c r="I68" s="74" t="s">
        <v>47</v>
      </c>
      <c r="J68" s="74" t="s">
        <v>9351</v>
      </c>
      <c r="K68" s="74"/>
      <c r="L68" s="74"/>
    </row>
    <row r="69" spans="1:12" ht="69">
      <c r="A69" s="73">
        <v>68</v>
      </c>
      <c r="B69" s="74" t="s">
        <v>9535</v>
      </c>
      <c r="C69" s="74" t="s">
        <v>9536</v>
      </c>
      <c r="D69" s="74" t="s">
        <v>295</v>
      </c>
      <c r="E69" s="74" t="s">
        <v>9344</v>
      </c>
      <c r="F69" s="74" t="s">
        <v>9345</v>
      </c>
      <c r="G69" s="74" t="s">
        <v>9537</v>
      </c>
      <c r="H69" s="74" t="s">
        <v>9538</v>
      </c>
      <c r="I69" s="74" t="s">
        <v>47</v>
      </c>
      <c r="J69" s="74" t="s">
        <v>9347</v>
      </c>
      <c r="K69" s="74" t="s">
        <v>9539</v>
      </c>
      <c r="L69" s="74" t="s">
        <v>711</v>
      </c>
    </row>
    <row r="70" spans="1:12" ht="41.4">
      <c r="A70" s="73">
        <v>69</v>
      </c>
      <c r="B70" s="74" t="s">
        <v>9540</v>
      </c>
      <c r="C70" s="74" t="s">
        <v>7762</v>
      </c>
      <c r="D70" s="74" t="s">
        <v>143</v>
      </c>
      <c r="E70" s="74" t="s">
        <v>9344</v>
      </c>
      <c r="F70" s="74" t="s">
        <v>9345</v>
      </c>
      <c r="G70" s="74" t="s">
        <v>9388</v>
      </c>
      <c r="H70" s="74" t="s">
        <v>597</v>
      </c>
      <c r="I70" s="74" t="s">
        <v>47</v>
      </c>
      <c r="J70" s="74" t="s">
        <v>9351</v>
      </c>
      <c r="K70" s="74" t="s">
        <v>9541</v>
      </c>
      <c r="L70" s="74" t="s">
        <v>370</v>
      </c>
    </row>
    <row r="71" spans="1:12" ht="55.2">
      <c r="A71" s="73">
        <v>70</v>
      </c>
      <c r="B71" s="74" t="s">
        <v>9542</v>
      </c>
      <c r="C71" s="74" t="s">
        <v>9543</v>
      </c>
      <c r="D71" s="74" t="s">
        <v>295</v>
      </c>
      <c r="E71" s="74" t="s">
        <v>9344</v>
      </c>
      <c r="F71" s="74" t="s">
        <v>9345</v>
      </c>
      <c r="G71" s="74" t="s">
        <v>9346</v>
      </c>
      <c r="H71" s="74" t="s">
        <v>297</v>
      </c>
      <c r="I71" s="74" t="s">
        <v>47</v>
      </c>
      <c r="J71" s="74" t="s">
        <v>9347</v>
      </c>
      <c r="K71" s="74" t="s">
        <v>9544</v>
      </c>
      <c r="L71" s="74" t="s">
        <v>1266</v>
      </c>
    </row>
    <row r="72" spans="1:12" ht="69">
      <c r="A72" s="73">
        <v>71</v>
      </c>
      <c r="B72" s="74" t="s">
        <v>9545</v>
      </c>
      <c r="C72" s="74" t="s">
        <v>9546</v>
      </c>
      <c r="D72" s="74" t="s">
        <v>153</v>
      </c>
      <c r="E72" s="74" t="s">
        <v>9344</v>
      </c>
      <c r="F72" s="74" t="s">
        <v>9345</v>
      </c>
      <c r="G72" s="74" t="s">
        <v>9471</v>
      </c>
      <c r="H72" s="74" t="s">
        <v>155</v>
      </c>
      <c r="I72" s="74" t="s">
        <v>47</v>
      </c>
      <c r="J72" s="74" t="s">
        <v>9347</v>
      </c>
      <c r="K72" s="74" t="s">
        <v>9547</v>
      </c>
      <c r="L72" s="74" t="s">
        <v>318</v>
      </c>
    </row>
    <row r="73" spans="1:12" ht="82.8">
      <c r="A73" s="73">
        <v>72</v>
      </c>
      <c r="B73" s="74" t="s">
        <v>9548</v>
      </c>
      <c r="C73" s="74" t="s">
        <v>9549</v>
      </c>
      <c r="D73" s="74" t="s">
        <v>68</v>
      </c>
      <c r="E73" s="74" t="s">
        <v>9419</v>
      </c>
      <c r="F73" s="74" t="s">
        <v>135</v>
      </c>
      <c r="G73" s="74" t="s">
        <v>9420</v>
      </c>
      <c r="H73" s="74" t="s">
        <v>9421</v>
      </c>
      <c r="I73" s="74" t="s">
        <v>92</v>
      </c>
      <c r="J73" s="74" t="s">
        <v>9351</v>
      </c>
      <c r="K73" s="74" t="s">
        <v>9550</v>
      </c>
      <c r="L73" s="74" t="s">
        <v>3207</v>
      </c>
    </row>
    <row r="74" spans="1:12" ht="82.8">
      <c r="A74" s="73">
        <v>73</v>
      </c>
      <c r="B74" s="74" t="s">
        <v>9551</v>
      </c>
      <c r="C74" s="74" t="s">
        <v>9552</v>
      </c>
      <c r="D74" s="74" t="s">
        <v>68</v>
      </c>
      <c r="E74" s="74" t="s">
        <v>9419</v>
      </c>
      <c r="F74" s="74" t="s">
        <v>135</v>
      </c>
      <c r="G74" s="74" t="s">
        <v>9420</v>
      </c>
      <c r="H74" s="74" t="s">
        <v>9421</v>
      </c>
      <c r="I74" s="74" t="s">
        <v>92</v>
      </c>
      <c r="J74" s="74" t="s">
        <v>9351</v>
      </c>
      <c r="K74" s="74" t="s">
        <v>9553</v>
      </c>
      <c r="L74" s="74" t="s">
        <v>3207</v>
      </c>
    </row>
    <row r="75" spans="1:12" ht="41.4">
      <c r="A75" s="73">
        <v>74</v>
      </c>
      <c r="B75" s="74" t="s">
        <v>9554</v>
      </c>
      <c r="C75" s="74" t="s">
        <v>9555</v>
      </c>
      <c r="D75" s="74" t="s">
        <v>89</v>
      </c>
      <c r="E75" s="74" t="s">
        <v>9344</v>
      </c>
      <c r="F75" s="74" t="s">
        <v>9345</v>
      </c>
      <c r="G75" s="74" t="s">
        <v>9556</v>
      </c>
      <c r="H75" s="74" t="s">
        <v>102</v>
      </c>
      <c r="I75" s="74" t="s">
        <v>47</v>
      </c>
      <c r="J75" s="74" t="s">
        <v>9351</v>
      </c>
      <c r="K75" s="74" t="s">
        <v>9557</v>
      </c>
      <c r="L75" s="74" t="s">
        <v>370</v>
      </c>
    </row>
    <row r="76" spans="1:12" ht="82.8">
      <c r="A76" s="73">
        <v>75</v>
      </c>
      <c r="B76" s="74" t="s">
        <v>9558</v>
      </c>
      <c r="C76" s="74" t="s">
        <v>9559</v>
      </c>
      <c r="D76" s="74" t="s">
        <v>68</v>
      </c>
      <c r="E76" s="74" t="s">
        <v>9419</v>
      </c>
      <c r="F76" s="74" t="s">
        <v>135</v>
      </c>
      <c r="G76" s="74" t="s">
        <v>9420</v>
      </c>
      <c r="H76" s="74" t="s">
        <v>9421</v>
      </c>
      <c r="I76" s="74" t="s">
        <v>92</v>
      </c>
      <c r="J76" s="74" t="s">
        <v>9351</v>
      </c>
      <c r="K76" s="74" t="s">
        <v>9560</v>
      </c>
      <c r="L76" s="74" t="s">
        <v>3207</v>
      </c>
    </row>
    <row r="77" spans="1:12" ht="41.4">
      <c r="A77" s="73">
        <v>76</v>
      </c>
      <c r="B77" s="74" t="s">
        <v>9561</v>
      </c>
      <c r="C77" s="74" t="s">
        <v>5136</v>
      </c>
      <c r="D77" s="74" t="s">
        <v>41</v>
      </c>
      <c r="E77" s="74" t="s">
        <v>9344</v>
      </c>
      <c r="F77" s="74" t="s">
        <v>9345</v>
      </c>
      <c r="G77" s="74" t="s">
        <v>9451</v>
      </c>
      <c r="H77" s="74" t="s">
        <v>130</v>
      </c>
      <c r="I77" s="74" t="s">
        <v>47</v>
      </c>
      <c r="J77" s="74" t="s">
        <v>9347</v>
      </c>
      <c r="K77" s="74"/>
      <c r="L77" s="74"/>
    </row>
    <row r="78" spans="1:12" ht="69">
      <c r="A78" s="73">
        <v>77</v>
      </c>
      <c r="B78" s="74" t="s">
        <v>9562</v>
      </c>
      <c r="C78" s="74" t="s">
        <v>7640</v>
      </c>
      <c r="D78" s="74" t="s">
        <v>41</v>
      </c>
      <c r="E78" s="74" t="s">
        <v>9344</v>
      </c>
      <c r="F78" s="74" t="s">
        <v>9345</v>
      </c>
      <c r="G78" s="74" t="s">
        <v>9385</v>
      </c>
      <c r="H78" s="74" t="s">
        <v>46</v>
      </c>
      <c r="I78" s="74" t="s">
        <v>47</v>
      </c>
      <c r="J78" s="74" t="s">
        <v>9351</v>
      </c>
      <c r="K78" s="74" t="s">
        <v>9563</v>
      </c>
      <c r="L78" s="74" t="s">
        <v>331</v>
      </c>
    </row>
    <row r="79" spans="1:12" ht="69">
      <c r="A79" s="73">
        <v>78</v>
      </c>
      <c r="B79" s="74" t="s">
        <v>9564</v>
      </c>
      <c r="C79" s="74" t="s">
        <v>3766</v>
      </c>
      <c r="D79" s="74" t="s">
        <v>89</v>
      </c>
      <c r="E79" s="74" t="s">
        <v>9344</v>
      </c>
      <c r="F79" s="74" t="s">
        <v>9345</v>
      </c>
      <c r="G79" s="74" t="s">
        <v>9528</v>
      </c>
      <c r="H79" s="74" t="s">
        <v>91</v>
      </c>
      <c r="I79" s="74" t="s">
        <v>47</v>
      </c>
      <c r="J79" s="74" t="s">
        <v>9351</v>
      </c>
      <c r="K79" s="74" t="s">
        <v>9565</v>
      </c>
      <c r="L79" s="74" t="s">
        <v>251</v>
      </c>
    </row>
    <row r="80" spans="1:12" ht="55.2">
      <c r="A80" s="73">
        <v>79</v>
      </c>
      <c r="B80" s="74" t="s">
        <v>9566</v>
      </c>
      <c r="C80" s="74" t="s">
        <v>9567</v>
      </c>
      <c r="D80" s="74" t="s">
        <v>153</v>
      </c>
      <c r="E80" s="74" t="s">
        <v>9344</v>
      </c>
      <c r="F80" s="74" t="s">
        <v>9345</v>
      </c>
      <c r="G80" s="74" t="s">
        <v>9568</v>
      </c>
      <c r="H80" s="74" t="s">
        <v>155</v>
      </c>
      <c r="I80" s="74" t="s">
        <v>47</v>
      </c>
      <c r="J80" s="74" t="s">
        <v>9347</v>
      </c>
      <c r="K80" s="74" t="s">
        <v>9569</v>
      </c>
      <c r="L80" s="74" t="s">
        <v>318</v>
      </c>
    </row>
    <row r="81" spans="1:12" ht="55.2">
      <c r="A81" s="73">
        <v>80</v>
      </c>
      <c r="B81" s="74" t="s">
        <v>9570</v>
      </c>
      <c r="C81" s="74" t="s">
        <v>9571</v>
      </c>
      <c r="D81" s="74" t="s">
        <v>41</v>
      </c>
      <c r="E81" s="74" t="s">
        <v>9344</v>
      </c>
      <c r="F81" s="74" t="s">
        <v>9345</v>
      </c>
      <c r="G81" s="74" t="s">
        <v>9572</v>
      </c>
      <c r="H81" s="74" t="s">
        <v>479</v>
      </c>
      <c r="I81" s="74" t="s">
        <v>47</v>
      </c>
      <c r="J81" s="74" t="s">
        <v>9351</v>
      </c>
      <c r="K81" s="74" t="s">
        <v>9573</v>
      </c>
      <c r="L81" s="74" t="s">
        <v>331</v>
      </c>
    </row>
    <row r="82" spans="1:12" ht="55.2">
      <c r="A82" s="73">
        <v>81</v>
      </c>
      <c r="B82" s="74" t="s">
        <v>9574</v>
      </c>
      <c r="C82" s="74" t="s">
        <v>7557</v>
      </c>
      <c r="D82" s="74" t="s">
        <v>143</v>
      </c>
      <c r="E82" s="74" t="s">
        <v>9344</v>
      </c>
      <c r="F82" s="74" t="s">
        <v>9345</v>
      </c>
      <c r="G82" s="74" t="s">
        <v>9388</v>
      </c>
      <c r="H82" s="74" t="s">
        <v>597</v>
      </c>
      <c r="I82" s="74" t="s">
        <v>47</v>
      </c>
      <c r="J82" s="74" t="s">
        <v>9351</v>
      </c>
      <c r="K82" s="74"/>
      <c r="L82" s="74"/>
    </row>
    <row r="83" spans="1:12" ht="55.2">
      <c r="A83" s="73">
        <v>82</v>
      </c>
      <c r="B83" s="74" t="s">
        <v>9575</v>
      </c>
      <c r="C83" s="74" t="s">
        <v>7179</v>
      </c>
      <c r="D83" s="74" t="s">
        <v>143</v>
      </c>
      <c r="E83" s="74" t="s">
        <v>9344</v>
      </c>
      <c r="F83" s="74" t="s">
        <v>9345</v>
      </c>
      <c r="G83" s="74" t="s">
        <v>9361</v>
      </c>
      <c r="H83" s="74" t="s">
        <v>327</v>
      </c>
      <c r="I83" s="74" t="s">
        <v>47</v>
      </c>
      <c r="J83" s="74" t="s">
        <v>9351</v>
      </c>
      <c r="K83" s="74" t="s">
        <v>9576</v>
      </c>
      <c r="L83" s="74" t="s">
        <v>370</v>
      </c>
    </row>
    <row r="84" spans="1:12" ht="55.2">
      <c r="A84" s="73">
        <v>83</v>
      </c>
      <c r="B84" s="74" t="s">
        <v>9577</v>
      </c>
      <c r="C84" s="74" t="s">
        <v>9578</v>
      </c>
      <c r="D84" s="74" t="s">
        <v>295</v>
      </c>
      <c r="E84" s="74" t="s">
        <v>9344</v>
      </c>
      <c r="F84" s="74" t="s">
        <v>9345</v>
      </c>
      <c r="G84" s="74" t="s">
        <v>9579</v>
      </c>
      <c r="H84" s="74" t="s">
        <v>407</v>
      </c>
      <c r="I84" s="74" t="s">
        <v>47</v>
      </c>
      <c r="J84" s="74" t="s">
        <v>9347</v>
      </c>
      <c r="K84" s="74"/>
      <c r="L84" s="74"/>
    </row>
    <row r="85" spans="1:12" ht="55.2">
      <c r="A85" s="73">
        <v>84</v>
      </c>
      <c r="B85" s="74" t="s">
        <v>9580</v>
      </c>
      <c r="C85" s="74" t="s">
        <v>9581</v>
      </c>
      <c r="D85" s="74" t="s">
        <v>41</v>
      </c>
      <c r="E85" s="74" t="s">
        <v>9344</v>
      </c>
      <c r="F85" s="74" t="s">
        <v>9345</v>
      </c>
      <c r="G85" s="74" t="s">
        <v>9405</v>
      </c>
      <c r="H85" s="74" t="s">
        <v>662</v>
      </c>
      <c r="I85" s="74" t="s">
        <v>47</v>
      </c>
      <c r="J85" s="74" t="s">
        <v>9347</v>
      </c>
      <c r="K85" s="74"/>
      <c r="L85" s="74"/>
    </row>
    <row r="86" spans="1:12" ht="41.4">
      <c r="A86" s="73">
        <v>85</v>
      </c>
      <c r="B86" s="74" t="s">
        <v>9582</v>
      </c>
      <c r="C86" s="74" t="s">
        <v>9583</v>
      </c>
      <c r="D86" s="74" t="s">
        <v>295</v>
      </c>
      <c r="E86" s="74" t="s">
        <v>9344</v>
      </c>
      <c r="F86" s="74" t="s">
        <v>9345</v>
      </c>
      <c r="G86" s="74" t="s">
        <v>9584</v>
      </c>
      <c r="H86" s="74" t="s">
        <v>297</v>
      </c>
      <c r="I86" s="74" t="s">
        <v>47</v>
      </c>
      <c r="J86" s="74" t="s">
        <v>9347</v>
      </c>
      <c r="K86" s="74" t="s">
        <v>9585</v>
      </c>
      <c r="L86" s="74" t="s">
        <v>711</v>
      </c>
    </row>
    <row r="87" spans="1:12" ht="96.6">
      <c r="A87" s="73">
        <v>86</v>
      </c>
      <c r="B87" s="74" t="s">
        <v>9586</v>
      </c>
      <c r="C87" s="74" t="s">
        <v>9587</v>
      </c>
      <c r="D87" s="74" t="s">
        <v>153</v>
      </c>
      <c r="E87" s="74" t="s">
        <v>9344</v>
      </c>
      <c r="F87" s="74" t="s">
        <v>9345</v>
      </c>
      <c r="G87" s="74" t="s">
        <v>9429</v>
      </c>
      <c r="H87" s="74" t="s">
        <v>155</v>
      </c>
      <c r="I87" s="74" t="s">
        <v>47</v>
      </c>
      <c r="J87" s="74" t="s">
        <v>9347</v>
      </c>
      <c r="K87" s="74" t="s">
        <v>9588</v>
      </c>
      <c r="L87" s="74" t="s">
        <v>701</v>
      </c>
    </row>
    <row r="88" spans="1:12" ht="55.2">
      <c r="A88" s="73">
        <v>87</v>
      </c>
      <c r="B88" s="74" t="s">
        <v>9589</v>
      </c>
      <c r="C88" s="74" t="s">
        <v>9590</v>
      </c>
      <c r="D88" s="74" t="s">
        <v>41</v>
      </c>
      <c r="E88" s="74" t="s">
        <v>9344</v>
      </c>
      <c r="F88" s="74" t="s">
        <v>9345</v>
      </c>
      <c r="G88" s="74" t="s">
        <v>9591</v>
      </c>
      <c r="H88" s="74" t="s">
        <v>130</v>
      </c>
      <c r="I88" s="74" t="s">
        <v>47</v>
      </c>
      <c r="J88" s="74" t="s">
        <v>9347</v>
      </c>
      <c r="K88" s="74"/>
      <c r="L88" s="74"/>
    </row>
    <row r="89" spans="1:12" ht="69">
      <c r="A89" s="73">
        <v>88</v>
      </c>
      <c r="B89" s="74" t="s">
        <v>9592</v>
      </c>
      <c r="C89" s="74" t="s">
        <v>9593</v>
      </c>
      <c r="D89" s="74" t="s">
        <v>41</v>
      </c>
      <c r="E89" s="74" t="s">
        <v>9344</v>
      </c>
      <c r="F89" s="74" t="s">
        <v>9345</v>
      </c>
      <c r="G89" s="74" t="s">
        <v>9413</v>
      </c>
      <c r="H89" s="74" t="s">
        <v>46</v>
      </c>
      <c r="I89" s="74" t="s">
        <v>47</v>
      </c>
      <c r="J89" s="74" t="s">
        <v>9347</v>
      </c>
      <c r="K89" s="74" t="s">
        <v>9594</v>
      </c>
      <c r="L89" s="74" t="s">
        <v>318</v>
      </c>
    </row>
    <row r="90" spans="1:12" ht="41.4">
      <c r="A90" s="73">
        <v>89</v>
      </c>
      <c r="B90" s="74" t="s">
        <v>9595</v>
      </c>
      <c r="C90" s="74" t="s">
        <v>1736</v>
      </c>
      <c r="D90" s="74" t="s">
        <v>295</v>
      </c>
      <c r="E90" s="74" t="s">
        <v>9344</v>
      </c>
      <c r="F90" s="74" t="s">
        <v>9345</v>
      </c>
      <c r="G90" s="74" t="s">
        <v>9584</v>
      </c>
      <c r="H90" s="74" t="s">
        <v>297</v>
      </c>
      <c r="I90" s="74" t="s">
        <v>47</v>
      </c>
      <c r="J90" s="74" t="s">
        <v>9347</v>
      </c>
      <c r="K90" s="74" t="s">
        <v>9596</v>
      </c>
      <c r="L90" s="74" t="s">
        <v>318</v>
      </c>
    </row>
    <row r="91" spans="1:12" ht="69">
      <c r="A91" s="73">
        <v>90</v>
      </c>
      <c r="B91" s="74" t="s">
        <v>9597</v>
      </c>
      <c r="C91" s="74" t="s">
        <v>9598</v>
      </c>
      <c r="D91" s="74" t="s">
        <v>143</v>
      </c>
      <c r="E91" s="74" t="s">
        <v>9344</v>
      </c>
      <c r="F91" s="74" t="s">
        <v>9345</v>
      </c>
      <c r="G91" s="74" t="s">
        <v>9510</v>
      </c>
      <c r="H91" s="74" t="s">
        <v>220</v>
      </c>
      <c r="I91" s="74" t="s">
        <v>47</v>
      </c>
      <c r="J91" s="74" t="s">
        <v>9351</v>
      </c>
      <c r="K91" s="74" t="s">
        <v>9599</v>
      </c>
      <c r="L91" s="74" t="s">
        <v>251</v>
      </c>
    </row>
    <row r="92" spans="1:12" ht="55.2">
      <c r="A92" s="73">
        <v>91</v>
      </c>
      <c r="B92" s="74" t="s">
        <v>9600</v>
      </c>
      <c r="C92" s="74" t="s">
        <v>9601</v>
      </c>
      <c r="D92" s="74" t="s">
        <v>295</v>
      </c>
      <c r="E92" s="74" t="s">
        <v>9344</v>
      </c>
      <c r="F92" s="74" t="s">
        <v>9345</v>
      </c>
      <c r="G92" s="74" t="s">
        <v>9579</v>
      </c>
      <c r="H92" s="74" t="s">
        <v>407</v>
      </c>
      <c r="I92" s="74" t="s">
        <v>47</v>
      </c>
      <c r="J92" s="74" t="s">
        <v>9347</v>
      </c>
      <c r="K92" s="74"/>
      <c r="L92" s="74"/>
    </row>
    <row r="93" spans="1:12" ht="41.4">
      <c r="A93" s="73">
        <v>92</v>
      </c>
      <c r="B93" s="74" t="s">
        <v>9602</v>
      </c>
      <c r="C93" s="74" t="s">
        <v>9603</v>
      </c>
      <c r="D93" s="74" t="s">
        <v>41</v>
      </c>
      <c r="E93" s="74" t="s">
        <v>9344</v>
      </c>
      <c r="F93" s="74" t="s">
        <v>9345</v>
      </c>
      <c r="G93" s="74" t="s">
        <v>9350</v>
      </c>
      <c r="H93" s="74" t="s">
        <v>662</v>
      </c>
      <c r="I93" s="74" t="s">
        <v>47</v>
      </c>
      <c r="J93" s="74" t="s">
        <v>9351</v>
      </c>
      <c r="K93" s="74"/>
      <c r="L93" s="74"/>
    </row>
    <row r="94" spans="1:12" ht="41.4">
      <c r="A94" s="73">
        <v>93</v>
      </c>
      <c r="B94" s="74" t="s">
        <v>9604</v>
      </c>
      <c r="C94" s="74" t="s">
        <v>9605</v>
      </c>
      <c r="D94" s="74" t="s">
        <v>295</v>
      </c>
      <c r="E94" s="74" t="s">
        <v>9344</v>
      </c>
      <c r="F94" s="74" t="s">
        <v>9345</v>
      </c>
      <c r="G94" s="74" t="s">
        <v>9346</v>
      </c>
      <c r="H94" s="74" t="s">
        <v>297</v>
      </c>
      <c r="I94" s="74" t="s">
        <v>47</v>
      </c>
      <c r="J94" s="74" t="s">
        <v>9347</v>
      </c>
      <c r="K94" s="74" t="s">
        <v>9606</v>
      </c>
      <c r="L94" s="74" t="s">
        <v>318</v>
      </c>
    </row>
    <row r="95" spans="1:12" ht="27.6">
      <c r="A95" s="73">
        <v>94</v>
      </c>
      <c r="B95" s="74" t="s">
        <v>9607</v>
      </c>
      <c r="C95" s="74" t="s">
        <v>9608</v>
      </c>
      <c r="D95" s="74" t="s">
        <v>89</v>
      </c>
      <c r="E95" s="74" t="s">
        <v>9395</v>
      </c>
      <c r="F95" s="74" t="s">
        <v>80</v>
      </c>
      <c r="G95" s="74" t="s">
        <v>9445</v>
      </c>
      <c r="H95" s="74" t="s">
        <v>102</v>
      </c>
      <c r="I95" s="74" t="s">
        <v>416</v>
      </c>
      <c r="J95" s="74" t="s">
        <v>9351</v>
      </c>
      <c r="K95" s="74" t="s">
        <v>9609</v>
      </c>
      <c r="L95" s="74" t="s">
        <v>1916</v>
      </c>
    </row>
    <row r="96" spans="1:12" ht="41.4">
      <c r="A96" s="73">
        <v>95</v>
      </c>
      <c r="B96" s="74" t="s">
        <v>9610</v>
      </c>
      <c r="C96" s="74" t="s">
        <v>9611</v>
      </c>
      <c r="D96" s="74" t="s">
        <v>295</v>
      </c>
      <c r="E96" s="74" t="s">
        <v>9344</v>
      </c>
      <c r="F96" s="74" t="s">
        <v>9345</v>
      </c>
      <c r="G96" s="74" t="s">
        <v>9346</v>
      </c>
      <c r="H96" s="74" t="s">
        <v>297</v>
      </c>
      <c r="I96" s="74" t="s">
        <v>47</v>
      </c>
      <c r="J96" s="74" t="s">
        <v>9347</v>
      </c>
      <c r="K96" s="74"/>
      <c r="L96" s="74"/>
    </row>
    <row r="97" spans="1:12" ht="55.2">
      <c r="A97" s="73">
        <v>96</v>
      </c>
      <c r="B97" s="74" t="s">
        <v>9612</v>
      </c>
      <c r="C97" s="74" t="s">
        <v>826</v>
      </c>
      <c r="D97" s="74" t="s">
        <v>143</v>
      </c>
      <c r="E97" s="74" t="s">
        <v>9344</v>
      </c>
      <c r="F97" s="74" t="s">
        <v>9345</v>
      </c>
      <c r="G97" s="74" t="s">
        <v>9514</v>
      </c>
      <c r="H97" s="74" t="s">
        <v>327</v>
      </c>
      <c r="I97" s="74" t="s">
        <v>47</v>
      </c>
      <c r="J97" s="74" t="s">
        <v>9351</v>
      </c>
      <c r="K97" s="74" t="s">
        <v>9613</v>
      </c>
      <c r="L97" s="74" t="s">
        <v>370</v>
      </c>
    </row>
    <row r="98" spans="1:12" ht="41.4">
      <c r="A98" s="73">
        <v>97</v>
      </c>
      <c r="B98" s="74" t="s">
        <v>9614</v>
      </c>
      <c r="C98" s="74" t="s">
        <v>9615</v>
      </c>
      <c r="D98" s="74" t="s">
        <v>295</v>
      </c>
      <c r="E98" s="74" t="s">
        <v>9344</v>
      </c>
      <c r="F98" s="74" t="s">
        <v>9345</v>
      </c>
      <c r="G98" s="74" t="s">
        <v>9346</v>
      </c>
      <c r="H98" s="74" t="s">
        <v>297</v>
      </c>
      <c r="I98" s="74" t="s">
        <v>47</v>
      </c>
      <c r="J98" s="74" t="s">
        <v>9347</v>
      </c>
      <c r="K98" s="74"/>
      <c r="L98" s="74"/>
    </row>
    <row r="99" spans="1:12" ht="41.4">
      <c r="A99" s="73">
        <v>98</v>
      </c>
      <c r="B99" s="74" t="s">
        <v>9616</v>
      </c>
      <c r="C99" s="74" t="s">
        <v>9617</v>
      </c>
      <c r="D99" s="74" t="s">
        <v>41</v>
      </c>
      <c r="E99" s="74" t="s">
        <v>9344</v>
      </c>
      <c r="F99" s="74" t="s">
        <v>9345</v>
      </c>
      <c r="G99" s="74" t="s">
        <v>9364</v>
      </c>
      <c r="H99" s="74" t="s">
        <v>662</v>
      </c>
      <c r="I99" s="74" t="s">
        <v>47</v>
      </c>
      <c r="J99" s="74" t="s">
        <v>9351</v>
      </c>
      <c r="K99" s="74"/>
      <c r="L99" s="74"/>
    </row>
    <row r="100" spans="1:12" ht="41.4">
      <c r="A100" s="73">
        <v>99</v>
      </c>
      <c r="B100" s="74" t="s">
        <v>9618</v>
      </c>
      <c r="C100" s="74" t="s">
        <v>9619</v>
      </c>
      <c r="D100" s="74" t="s">
        <v>41</v>
      </c>
      <c r="E100" s="74" t="s">
        <v>9344</v>
      </c>
      <c r="F100" s="74" t="s">
        <v>9345</v>
      </c>
      <c r="G100" s="74" t="s">
        <v>9350</v>
      </c>
      <c r="H100" s="74" t="s">
        <v>662</v>
      </c>
      <c r="I100" s="74" t="s">
        <v>47</v>
      </c>
      <c r="J100" s="74" t="s">
        <v>9351</v>
      </c>
      <c r="K100" s="74" t="s">
        <v>9620</v>
      </c>
      <c r="L100" s="74" t="s">
        <v>331</v>
      </c>
    </row>
    <row r="101" spans="1:12" ht="55.2">
      <c r="A101" s="73">
        <v>100</v>
      </c>
      <c r="B101" s="74" t="s">
        <v>9621</v>
      </c>
      <c r="C101" s="74" t="s">
        <v>3552</v>
      </c>
      <c r="D101" s="74" t="s">
        <v>143</v>
      </c>
      <c r="E101" s="74" t="s">
        <v>9344</v>
      </c>
      <c r="F101" s="74" t="s">
        <v>9345</v>
      </c>
      <c r="G101" s="74" t="s">
        <v>9361</v>
      </c>
      <c r="H101" s="74" t="s">
        <v>327</v>
      </c>
      <c r="I101" s="74" t="s">
        <v>47</v>
      </c>
      <c r="J101" s="74" t="s">
        <v>9351</v>
      </c>
      <c r="K101" s="74" t="s">
        <v>9622</v>
      </c>
      <c r="L101" s="74" t="s">
        <v>370</v>
      </c>
    </row>
    <row r="102" spans="1:12" ht="82.8">
      <c r="A102" s="73">
        <v>101</v>
      </c>
      <c r="B102" s="74" t="s">
        <v>9623</v>
      </c>
      <c r="C102" s="74" t="s">
        <v>9624</v>
      </c>
      <c r="D102" s="74" t="s">
        <v>68</v>
      </c>
      <c r="E102" s="74" t="s">
        <v>9419</v>
      </c>
      <c r="F102" s="74" t="s">
        <v>135</v>
      </c>
      <c r="G102" s="74" t="s">
        <v>9420</v>
      </c>
      <c r="H102" s="74" t="s">
        <v>9421</v>
      </c>
      <c r="I102" s="74" t="s">
        <v>47</v>
      </c>
      <c r="J102" s="74" t="s">
        <v>9351</v>
      </c>
      <c r="K102" s="74"/>
      <c r="L102" s="74"/>
    </row>
    <row r="103" spans="1:12" ht="55.2">
      <c r="A103" s="73">
        <v>102</v>
      </c>
      <c r="B103" s="74" t="s">
        <v>9625</v>
      </c>
      <c r="C103" s="74" t="s">
        <v>9626</v>
      </c>
      <c r="D103" s="74" t="s">
        <v>41</v>
      </c>
      <c r="E103" s="74" t="s">
        <v>9344</v>
      </c>
      <c r="F103" s="74" t="s">
        <v>9345</v>
      </c>
      <c r="G103" s="74" t="s">
        <v>9572</v>
      </c>
      <c r="H103" s="74" t="s">
        <v>479</v>
      </c>
      <c r="I103" s="74" t="s">
        <v>47</v>
      </c>
      <c r="J103" s="74" t="s">
        <v>9347</v>
      </c>
      <c r="K103" s="74"/>
      <c r="L103" s="74"/>
    </row>
    <row r="104" spans="1:12" ht="96.6">
      <c r="A104" s="73">
        <v>103</v>
      </c>
      <c r="B104" s="74" t="s">
        <v>9627</v>
      </c>
      <c r="C104" s="74" t="s">
        <v>3458</v>
      </c>
      <c r="D104" s="74" t="s">
        <v>153</v>
      </c>
      <c r="E104" s="74" t="s">
        <v>9344</v>
      </c>
      <c r="F104" s="74" t="s">
        <v>9345</v>
      </c>
      <c r="G104" s="74" t="s">
        <v>9429</v>
      </c>
      <c r="H104" s="74" t="s">
        <v>155</v>
      </c>
      <c r="I104" s="74" t="s">
        <v>47</v>
      </c>
      <c r="J104" s="74" t="s">
        <v>9347</v>
      </c>
      <c r="K104" s="74"/>
      <c r="L104" s="74"/>
    </row>
    <row r="105" spans="1:12" ht="41.4">
      <c r="A105" s="73">
        <v>104</v>
      </c>
      <c r="B105" s="74" t="s">
        <v>9628</v>
      </c>
      <c r="C105" s="74" t="s">
        <v>9629</v>
      </c>
      <c r="D105" s="74" t="s">
        <v>295</v>
      </c>
      <c r="E105" s="74" t="s">
        <v>9344</v>
      </c>
      <c r="F105" s="74" t="s">
        <v>9345</v>
      </c>
      <c r="G105" s="74" t="s">
        <v>9400</v>
      </c>
      <c r="H105" s="74" t="s">
        <v>407</v>
      </c>
      <c r="I105" s="74" t="s">
        <v>47</v>
      </c>
      <c r="J105" s="74" t="s">
        <v>9347</v>
      </c>
      <c r="K105" s="74"/>
      <c r="L105" s="74"/>
    </row>
    <row r="106" spans="1:12" ht="55.2">
      <c r="A106" s="73">
        <v>105</v>
      </c>
      <c r="B106" s="74" t="s">
        <v>9630</v>
      </c>
      <c r="C106" s="74" t="s">
        <v>9631</v>
      </c>
      <c r="D106" s="74" t="s">
        <v>68</v>
      </c>
      <c r="E106" s="74" t="s">
        <v>9344</v>
      </c>
      <c r="F106" s="74" t="s">
        <v>9345</v>
      </c>
      <c r="G106" s="74" t="s">
        <v>9378</v>
      </c>
      <c r="H106" s="74" t="s">
        <v>70</v>
      </c>
      <c r="I106" s="74" t="s">
        <v>47</v>
      </c>
      <c r="J106" s="74" t="s">
        <v>9351</v>
      </c>
      <c r="K106" s="74"/>
      <c r="L106" s="74"/>
    </row>
    <row r="107" spans="1:12" ht="41.4">
      <c r="A107" s="73">
        <v>106</v>
      </c>
      <c r="B107" s="74" t="s">
        <v>9632</v>
      </c>
      <c r="C107" s="74" t="s">
        <v>9633</v>
      </c>
      <c r="D107" s="74" t="s">
        <v>41</v>
      </c>
      <c r="E107" s="74" t="s">
        <v>9344</v>
      </c>
      <c r="F107" s="74" t="s">
        <v>9345</v>
      </c>
      <c r="G107" s="74" t="s">
        <v>9392</v>
      </c>
      <c r="H107" s="74" t="s">
        <v>200</v>
      </c>
      <c r="I107" s="74" t="s">
        <v>47</v>
      </c>
      <c r="J107" s="74" t="s">
        <v>9347</v>
      </c>
      <c r="K107" s="74"/>
      <c r="L107" s="74"/>
    </row>
    <row r="108" spans="1:12" ht="69">
      <c r="A108" s="73">
        <v>107</v>
      </c>
      <c r="B108" s="74" t="s">
        <v>9634</v>
      </c>
      <c r="C108" s="74" t="s">
        <v>9635</v>
      </c>
      <c r="D108" s="74" t="s">
        <v>41</v>
      </c>
      <c r="E108" s="74" t="s">
        <v>9344</v>
      </c>
      <c r="F108" s="74" t="s">
        <v>9345</v>
      </c>
      <c r="G108" s="74" t="s">
        <v>9413</v>
      </c>
      <c r="H108" s="74" t="s">
        <v>46</v>
      </c>
      <c r="I108" s="74" t="s">
        <v>47</v>
      </c>
      <c r="J108" s="74" t="s">
        <v>9347</v>
      </c>
      <c r="K108" s="74"/>
      <c r="L108" s="74"/>
    </row>
    <row r="109" spans="1:12" ht="82.8">
      <c r="A109" s="73">
        <v>108</v>
      </c>
      <c r="B109" s="74" t="s">
        <v>9636</v>
      </c>
      <c r="C109" s="74" t="s">
        <v>9637</v>
      </c>
      <c r="D109" s="74" t="s">
        <v>68</v>
      </c>
      <c r="E109" s="74" t="s">
        <v>9419</v>
      </c>
      <c r="F109" s="74" t="s">
        <v>135</v>
      </c>
      <c r="G109" s="74" t="s">
        <v>9420</v>
      </c>
      <c r="H109" s="74" t="s">
        <v>9421</v>
      </c>
      <c r="I109" s="74" t="s">
        <v>92</v>
      </c>
      <c r="J109" s="74" t="s">
        <v>9351</v>
      </c>
      <c r="K109" s="74" t="s">
        <v>9638</v>
      </c>
      <c r="L109" s="74" t="s">
        <v>1266</v>
      </c>
    </row>
    <row r="110" spans="1:12" ht="41.4">
      <c r="A110" s="73">
        <v>109</v>
      </c>
      <c r="B110" s="74" t="s">
        <v>9639</v>
      </c>
      <c r="C110" s="74" t="s">
        <v>8162</v>
      </c>
      <c r="D110" s="74" t="s">
        <v>153</v>
      </c>
      <c r="E110" s="74" t="s">
        <v>9344</v>
      </c>
      <c r="F110" s="74" t="s">
        <v>9345</v>
      </c>
      <c r="G110" s="74" t="s">
        <v>9485</v>
      </c>
      <c r="H110" s="74" t="s">
        <v>155</v>
      </c>
      <c r="I110" s="74" t="s">
        <v>47</v>
      </c>
      <c r="J110" s="74" t="s">
        <v>9347</v>
      </c>
      <c r="K110" s="74"/>
      <c r="L110" s="74"/>
    </row>
    <row r="111" spans="1:12" ht="55.2">
      <c r="A111" s="73">
        <v>110</v>
      </c>
      <c r="B111" s="74" t="s">
        <v>9640</v>
      </c>
      <c r="C111" s="74" t="s">
        <v>887</v>
      </c>
      <c r="D111" s="74" t="s">
        <v>68</v>
      </c>
      <c r="E111" s="74" t="s">
        <v>9344</v>
      </c>
      <c r="F111" s="74" t="s">
        <v>9345</v>
      </c>
      <c r="G111" s="74" t="s">
        <v>9378</v>
      </c>
      <c r="H111" s="74" t="s">
        <v>70</v>
      </c>
      <c r="I111" s="74" t="s">
        <v>473</v>
      </c>
      <c r="J111" s="74" t="s">
        <v>9351</v>
      </c>
      <c r="K111" s="74" t="s">
        <v>9641</v>
      </c>
      <c r="L111" s="74" t="s">
        <v>891</v>
      </c>
    </row>
    <row r="112" spans="1:12" ht="55.2">
      <c r="A112" s="73">
        <v>111</v>
      </c>
      <c r="B112" s="74" t="s">
        <v>9642</v>
      </c>
      <c r="C112" s="74" t="s">
        <v>8725</v>
      </c>
      <c r="D112" s="74" t="s">
        <v>68</v>
      </c>
      <c r="E112" s="74" t="s">
        <v>9344</v>
      </c>
      <c r="F112" s="74" t="s">
        <v>9345</v>
      </c>
      <c r="G112" s="74" t="s">
        <v>9378</v>
      </c>
      <c r="H112" s="74" t="s">
        <v>70</v>
      </c>
      <c r="I112" s="74" t="s">
        <v>8583</v>
      </c>
      <c r="J112" s="74" t="s">
        <v>9351</v>
      </c>
      <c r="K112" s="74" t="s">
        <v>9643</v>
      </c>
      <c r="L112" s="74" t="s">
        <v>891</v>
      </c>
    </row>
    <row r="113" spans="1:12" ht="55.2">
      <c r="A113" s="73">
        <v>112</v>
      </c>
      <c r="B113" s="74" t="s">
        <v>9644</v>
      </c>
      <c r="C113" s="74" t="s">
        <v>6017</v>
      </c>
      <c r="D113" s="74" t="s">
        <v>68</v>
      </c>
      <c r="E113" s="74" t="s">
        <v>9344</v>
      </c>
      <c r="F113" s="74" t="s">
        <v>9345</v>
      </c>
      <c r="G113" s="74" t="s">
        <v>9378</v>
      </c>
      <c r="H113" s="74" t="s">
        <v>70</v>
      </c>
      <c r="I113" s="74" t="s">
        <v>3203</v>
      </c>
      <c r="J113" s="74" t="s">
        <v>9351</v>
      </c>
      <c r="K113" s="74" t="s">
        <v>9645</v>
      </c>
      <c r="L113" s="74" t="s">
        <v>891</v>
      </c>
    </row>
    <row r="114" spans="1:12" ht="41.4">
      <c r="A114" s="73">
        <v>113</v>
      </c>
      <c r="B114" s="74" t="s">
        <v>9646</v>
      </c>
      <c r="C114" s="74" t="s">
        <v>9647</v>
      </c>
      <c r="D114" s="74" t="s">
        <v>41</v>
      </c>
      <c r="E114" s="74" t="s">
        <v>9344</v>
      </c>
      <c r="F114" s="74" t="s">
        <v>9345</v>
      </c>
      <c r="G114" s="74" t="s">
        <v>9648</v>
      </c>
      <c r="H114" s="74" t="s">
        <v>200</v>
      </c>
      <c r="I114" s="74" t="s">
        <v>2036</v>
      </c>
      <c r="J114" s="74" t="s">
        <v>9351</v>
      </c>
      <c r="K114" s="74" t="s">
        <v>9649</v>
      </c>
      <c r="L114" s="74" t="s">
        <v>331</v>
      </c>
    </row>
    <row r="115" spans="1:12" ht="55.2">
      <c r="A115" s="73">
        <v>114</v>
      </c>
      <c r="B115" s="74" t="s">
        <v>9650</v>
      </c>
      <c r="C115" s="74" t="s">
        <v>9651</v>
      </c>
      <c r="D115" s="74" t="s">
        <v>41</v>
      </c>
      <c r="E115" s="74" t="s">
        <v>9344</v>
      </c>
      <c r="F115" s="74" t="s">
        <v>9345</v>
      </c>
      <c r="G115" s="74" t="s">
        <v>9372</v>
      </c>
      <c r="H115" s="74" t="s">
        <v>479</v>
      </c>
      <c r="I115" s="74" t="s">
        <v>2036</v>
      </c>
      <c r="J115" s="74" t="s">
        <v>9351</v>
      </c>
      <c r="K115" s="74" t="s">
        <v>9652</v>
      </c>
      <c r="L115" s="74" t="s">
        <v>331</v>
      </c>
    </row>
    <row r="116" spans="1:12" ht="41.4">
      <c r="A116" s="73">
        <v>115</v>
      </c>
      <c r="B116" s="74" t="s">
        <v>9653</v>
      </c>
      <c r="C116" s="74" t="s">
        <v>9654</v>
      </c>
      <c r="D116" s="74" t="s">
        <v>41</v>
      </c>
      <c r="E116" s="74" t="s">
        <v>9344</v>
      </c>
      <c r="F116" s="74" t="s">
        <v>9345</v>
      </c>
      <c r="G116" s="74" t="s">
        <v>9648</v>
      </c>
      <c r="H116" s="74" t="s">
        <v>200</v>
      </c>
      <c r="I116" s="74" t="s">
        <v>2036</v>
      </c>
      <c r="J116" s="74" t="s">
        <v>9351</v>
      </c>
      <c r="K116" s="74" t="s">
        <v>9655</v>
      </c>
      <c r="L116" s="74" t="s">
        <v>331</v>
      </c>
    </row>
    <row r="117" spans="1:12" ht="55.2">
      <c r="A117" s="73">
        <v>116</v>
      </c>
      <c r="B117" s="74" t="s">
        <v>9656</v>
      </c>
      <c r="C117" s="74" t="s">
        <v>9657</v>
      </c>
      <c r="D117" s="74" t="s">
        <v>41</v>
      </c>
      <c r="E117" s="74" t="s">
        <v>9344</v>
      </c>
      <c r="F117" s="74" t="s">
        <v>9345</v>
      </c>
      <c r="G117" s="74" t="s">
        <v>9372</v>
      </c>
      <c r="H117" s="74" t="s">
        <v>479</v>
      </c>
      <c r="I117" s="74" t="s">
        <v>2036</v>
      </c>
      <c r="J117" s="74" t="s">
        <v>9351</v>
      </c>
      <c r="K117" s="74" t="s">
        <v>9658</v>
      </c>
      <c r="L117" s="74" t="s">
        <v>331</v>
      </c>
    </row>
    <row r="118" spans="1:12" ht="55.2">
      <c r="A118" s="73">
        <v>117</v>
      </c>
      <c r="B118" s="74" t="s">
        <v>9659</v>
      </c>
      <c r="C118" s="74" t="s">
        <v>9660</v>
      </c>
      <c r="D118" s="74" t="s">
        <v>41</v>
      </c>
      <c r="E118" s="74" t="s">
        <v>9344</v>
      </c>
      <c r="F118" s="74" t="s">
        <v>9345</v>
      </c>
      <c r="G118" s="74" t="s">
        <v>9372</v>
      </c>
      <c r="H118" s="74" t="s">
        <v>479</v>
      </c>
      <c r="I118" s="74" t="s">
        <v>2036</v>
      </c>
      <c r="J118" s="74" t="s">
        <v>9351</v>
      </c>
      <c r="K118" s="74" t="s">
        <v>9661</v>
      </c>
      <c r="L118" s="74" t="s">
        <v>331</v>
      </c>
    </row>
    <row r="119" spans="1:12" ht="41.4">
      <c r="A119" s="73">
        <v>118</v>
      </c>
      <c r="B119" s="74" t="s">
        <v>9662</v>
      </c>
      <c r="C119" s="74" t="s">
        <v>5363</v>
      </c>
      <c r="D119" s="74" t="s">
        <v>153</v>
      </c>
      <c r="E119" s="74" t="s">
        <v>9344</v>
      </c>
      <c r="F119" s="74" t="s">
        <v>9345</v>
      </c>
      <c r="G119" s="74" t="s">
        <v>9468</v>
      </c>
      <c r="H119" s="74" t="s">
        <v>155</v>
      </c>
      <c r="I119" s="74" t="s">
        <v>47</v>
      </c>
      <c r="J119" s="74" t="s">
        <v>9347</v>
      </c>
      <c r="K119" s="74"/>
      <c r="L119" s="74"/>
    </row>
    <row r="120" spans="1:12" ht="41.4">
      <c r="A120" s="73">
        <v>119</v>
      </c>
      <c r="B120" s="74" t="s">
        <v>9663</v>
      </c>
      <c r="C120" s="74" t="s">
        <v>9664</v>
      </c>
      <c r="D120" s="74" t="s">
        <v>41</v>
      </c>
      <c r="E120" s="74" t="s">
        <v>9344</v>
      </c>
      <c r="F120" s="74" t="s">
        <v>9345</v>
      </c>
      <c r="G120" s="74" t="s">
        <v>9665</v>
      </c>
      <c r="H120" s="74" t="s">
        <v>662</v>
      </c>
      <c r="I120" s="74" t="s">
        <v>47</v>
      </c>
      <c r="J120" s="74" t="s">
        <v>9351</v>
      </c>
      <c r="K120" s="74"/>
      <c r="L120" s="74"/>
    </row>
    <row r="121" spans="1:12" ht="55.2">
      <c r="A121" s="73">
        <v>120</v>
      </c>
      <c r="B121" s="74" t="s">
        <v>9666</v>
      </c>
      <c r="C121" s="74" t="s">
        <v>7297</v>
      </c>
      <c r="D121" s="74" t="s">
        <v>41</v>
      </c>
      <c r="E121" s="74" t="s">
        <v>9344</v>
      </c>
      <c r="F121" s="74" t="s">
        <v>9345</v>
      </c>
      <c r="G121" s="74" t="s">
        <v>9665</v>
      </c>
      <c r="H121" s="74" t="s">
        <v>662</v>
      </c>
      <c r="I121" s="74" t="s">
        <v>47</v>
      </c>
      <c r="J121" s="74" t="s">
        <v>9351</v>
      </c>
      <c r="K121" s="74" t="s">
        <v>9667</v>
      </c>
      <c r="L121" s="74" t="s">
        <v>1916</v>
      </c>
    </row>
    <row r="122" spans="1:12" ht="69">
      <c r="A122" s="73">
        <v>121</v>
      </c>
      <c r="B122" s="74" t="s">
        <v>9668</v>
      </c>
      <c r="C122" s="74" t="s">
        <v>9669</v>
      </c>
      <c r="D122" s="74" t="s">
        <v>41</v>
      </c>
      <c r="E122" s="74" t="s">
        <v>9344</v>
      </c>
      <c r="F122" s="74" t="s">
        <v>9345</v>
      </c>
      <c r="G122" s="74" t="s">
        <v>9385</v>
      </c>
      <c r="H122" s="74" t="s">
        <v>46</v>
      </c>
      <c r="I122" s="74" t="s">
        <v>47</v>
      </c>
      <c r="J122" s="74" t="s">
        <v>9351</v>
      </c>
      <c r="K122" s="74" t="s">
        <v>9670</v>
      </c>
      <c r="L122" s="74" t="s">
        <v>331</v>
      </c>
    </row>
    <row r="123" spans="1:12" ht="41.4">
      <c r="A123" s="73">
        <v>122</v>
      </c>
      <c r="B123" s="74" t="s">
        <v>9671</v>
      </c>
      <c r="C123" s="74" t="s">
        <v>3067</v>
      </c>
      <c r="D123" s="74" t="s">
        <v>143</v>
      </c>
      <c r="E123" s="74" t="s">
        <v>9344</v>
      </c>
      <c r="F123" s="74" t="s">
        <v>9345</v>
      </c>
      <c r="G123" s="74" t="s">
        <v>9388</v>
      </c>
      <c r="H123" s="74" t="s">
        <v>597</v>
      </c>
      <c r="I123" s="74" t="s">
        <v>47</v>
      </c>
      <c r="J123" s="74" t="s">
        <v>9351</v>
      </c>
      <c r="K123" s="74" t="s">
        <v>9672</v>
      </c>
      <c r="L123" s="74" t="s">
        <v>370</v>
      </c>
    </row>
    <row r="124" spans="1:12" ht="41.4">
      <c r="A124" s="73">
        <v>123</v>
      </c>
      <c r="B124" s="74" t="s">
        <v>9673</v>
      </c>
      <c r="C124" s="74" t="s">
        <v>9674</v>
      </c>
      <c r="D124" s="74" t="s">
        <v>41</v>
      </c>
      <c r="E124" s="74" t="s">
        <v>9344</v>
      </c>
      <c r="F124" s="74" t="s">
        <v>9345</v>
      </c>
      <c r="G124" s="74" t="s">
        <v>9451</v>
      </c>
      <c r="H124" s="74" t="s">
        <v>130</v>
      </c>
      <c r="I124" s="74" t="s">
        <v>47</v>
      </c>
      <c r="J124" s="74" t="s">
        <v>9347</v>
      </c>
      <c r="K124" s="74"/>
      <c r="L124" s="74"/>
    </row>
    <row r="125" spans="1:12" ht="41.4">
      <c r="A125" s="73">
        <v>124</v>
      </c>
      <c r="B125" s="74" t="s">
        <v>9675</v>
      </c>
      <c r="C125" s="74" t="s">
        <v>9676</v>
      </c>
      <c r="D125" s="74" t="s">
        <v>295</v>
      </c>
      <c r="E125" s="74" t="s">
        <v>9344</v>
      </c>
      <c r="F125" s="74" t="s">
        <v>9345</v>
      </c>
      <c r="G125" s="74" t="s">
        <v>9677</v>
      </c>
      <c r="H125" s="74" t="s">
        <v>407</v>
      </c>
      <c r="I125" s="74" t="s">
        <v>47</v>
      </c>
      <c r="J125" s="74" t="s">
        <v>9347</v>
      </c>
      <c r="K125" s="74"/>
      <c r="L125" s="74"/>
    </row>
    <row r="126" spans="1:12" ht="69">
      <c r="A126" s="73">
        <v>125</v>
      </c>
      <c r="B126" s="74" t="s">
        <v>9678</v>
      </c>
      <c r="C126" s="74" t="s">
        <v>9679</v>
      </c>
      <c r="D126" s="74" t="s">
        <v>295</v>
      </c>
      <c r="E126" s="74" t="s">
        <v>9344</v>
      </c>
      <c r="F126" s="74" t="s">
        <v>9345</v>
      </c>
      <c r="G126" s="74" t="s">
        <v>9537</v>
      </c>
      <c r="H126" s="74" t="s">
        <v>9538</v>
      </c>
      <c r="I126" s="74" t="s">
        <v>47</v>
      </c>
      <c r="J126" s="74" t="s">
        <v>9347</v>
      </c>
      <c r="K126" s="74"/>
      <c r="L126" s="74"/>
    </row>
    <row r="127" spans="1:12" ht="41.4">
      <c r="A127" s="73">
        <v>126</v>
      </c>
      <c r="B127" s="74" t="s">
        <v>9680</v>
      </c>
      <c r="C127" s="74" t="s">
        <v>8646</v>
      </c>
      <c r="D127" s="74" t="s">
        <v>89</v>
      </c>
      <c r="E127" s="74" t="s">
        <v>9344</v>
      </c>
      <c r="F127" s="74" t="s">
        <v>9345</v>
      </c>
      <c r="G127" s="74" t="s">
        <v>9556</v>
      </c>
      <c r="H127" s="74" t="s">
        <v>102</v>
      </c>
      <c r="I127" s="74" t="s">
        <v>47</v>
      </c>
      <c r="J127" s="74" t="s">
        <v>9351</v>
      </c>
      <c r="K127" s="74"/>
      <c r="L127" s="74"/>
    </row>
    <row r="128" spans="1:12" ht="69">
      <c r="A128" s="73">
        <v>127</v>
      </c>
      <c r="B128" s="74" t="s">
        <v>9681</v>
      </c>
      <c r="C128" s="74" t="s">
        <v>5723</v>
      </c>
      <c r="D128" s="74" t="s">
        <v>89</v>
      </c>
      <c r="E128" s="74" t="s">
        <v>9344</v>
      </c>
      <c r="F128" s="74" t="s">
        <v>9345</v>
      </c>
      <c r="G128" s="74" t="s">
        <v>9682</v>
      </c>
      <c r="H128" s="74" t="s">
        <v>91</v>
      </c>
      <c r="I128" s="74" t="s">
        <v>416</v>
      </c>
      <c r="J128" s="74" t="s">
        <v>9351</v>
      </c>
      <c r="K128" s="74" t="s">
        <v>9683</v>
      </c>
      <c r="L128" s="74" t="s">
        <v>711</v>
      </c>
    </row>
    <row r="129" spans="1:12" ht="55.2">
      <c r="A129" s="73">
        <v>128</v>
      </c>
      <c r="B129" s="74" t="s">
        <v>9684</v>
      </c>
      <c r="C129" s="74" t="s">
        <v>9685</v>
      </c>
      <c r="D129" s="74" t="s">
        <v>153</v>
      </c>
      <c r="E129" s="74" t="s">
        <v>9344</v>
      </c>
      <c r="F129" s="74" t="s">
        <v>9345</v>
      </c>
      <c r="G129" s="74" t="s">
        <v>9686</v>
      </c>
      <c r="H129" s="74" t="s">
        <v>155</v>
      </c>
      <c r="I129" s="74" t="s">
        <v>47</v>
      </c>
      <c r="J129" s="74" t="s">
        <v>9347</v>
      </c>
      <c r="K129" s="74"/>
      <c r="L129" s="74"/>
    </row>
    <row r="130" spans="1:12" ht="41.4">
      <c r="A130" s="73">
        <v>129</v>
      </c>
      <c r="B130" s="74" t="s">
        <v>9687</v>
      </c>
      <c r="C130" s="74" t="s">
        <v>9688</v>
      </c>
      <c r="D130" s="74" t="s">
        <v>295</v>
      </c>
      <c r="E130" s="74" t="s">
        <v>9344</v>
      </c>
      <c r="F130" s="74" t="s">
        <v>9345</v>
      </c>
      <c r="G130" s="74" t="s">
        <v>9579</v>
      </c>
      <c r="H130" s="74" t="s">
        <v>407</v>
      </c>
      <c r="I130" s="74" t="s">
        <v>47</v>
      </c>
      <c r="J130" s="74" t="s">
        <v>9347</v>
      </c>
      <c r="K130" s="74"/>
      <c r="L130" s="74"/>
    </row>
    <row r="131" spans="1:12" ht="69">
      <c r="A131" s="73">
        <v>130</v>
      </c>
      <c r="B131" s="74" t="s">
        <v>9689</v>
      </c>
      <c r="C131" s="74" t="s">
        <v>8753</v>
      </c>
      <c r="D131" s="74" t="s">
        <v>89</v>
      </c>
      <c r="E131" s="74" t="s">
        <v>9344</v>
      </c>
      <c r="F131" s="74" t="s">
        <v>9345</v>
      </c>
      <c r="G131" s="74" t="s">
        <v>9528</v>
      </c>
      <c r="H131" s="74" t="s">
        <v>91</v>
      </c>
      <c r="I131" s="74" t="s">
        <v>416</v>
      </c>
      <c r="J131" s="74" t="s">
        <v>9351</v>
      </c>
      <c r="K131" s="74" t="s">
        <v>9690</v>
      </c>
      <c r="L131" s="74" t="s">
        <v>711</v>
      </c>
    </row>
    <row r="132" spans="1:12" ht="41.4">
      <c r="A132" s="73">
        <v>131</v>
      </c>
      <c r="B132" s="74" t="s">
        <v>9691</v>
      </c>
      <c r="C132" s="74" t="s">
        <v>9692</v>
      </c>
      <c r="D132" s="74" t="s">
        <v>89</v>
      </c>
      <c r="E132" s="74" t="s">
        <v>9344</v>
      </c>
      <c r="F132" s="74" t="s">
        <v>9345</v>
      </c>
      <c r="G132" s="74" t="s">
        <v>9358</v>
      </c>
      <c r="H132" s="74" t="s">
        <v>102</v>
      </c>
      <c r="I132" s="74" t="s">
        <v>416</v>
      </c>
      <c r="J132" s="74" t="s">
        <v>9351</v>
      </c>
      <c r="K132" s="74" t="s">
        <v>9693</v>
      </c>
      <c r="L132" s="74" t="s">
        <v>711</v>
      </c>
    </row>
    <row r="133" spans="1:12" ht="41.4">
      <c r="A133" s="73">
        <v>132</v>
      </c>
      <c r="B133" s="74" t="s">
        <v>9694</v>
      </c>
      <c r="C133" s="74" t="s">
        <v>9695</v>
      </c>
      <c r="D133" s="74" t="s">
        <v>295</v>
      </c>
      <c r="E133" s="74" t="s">
        <v>9344</v>
      </c>
      <c r="F133" s="74" t="s">
        <v>9345</v>
      </c>
      <c r="G133" s="74" t="s">
        <v>9489</v>
      </c>
      <c r="H133" s="74" t="s">
        <v>407</v>
      </c>
      <c r="I133" s="74" t="s">
        <v>47</v>
      </c>
      <c r="J133" s="74" t="s">
        <v>9347</v>
      </c>
      <c r="K133" s="74" t="s">
        <v>9696</v>
      </c>
      <c r="L133" s="74" t="s">
        <v>318</v>
      </c>
    </row>
    <row r="134" spans="1:12" ht="41.4">
      <c r="A134" s="73">
        <v>133</v>
      </c>
      <c r="B134" s="74" t="s">
        <v>9697</v>
      </c>
      <c r="C134" s="74" t="s">
        <v>9698</v>
      </c>
      <c r="D134" s="74" t="s">
        <v>153</v>
      </c>
      <c r="E134" s="74" t="s">
        <v>9344</v>
      </c>
      <c r="F134" s="74" t="s">
        <v>9345</v>
      </c>
      <c r="G134" s="74" t="s">
        <v>9454</v>
      </c>
      <c r="H134" s="74" t="s">
        <v>155</v>
      </c>
      <c r="I134" s="74" t="s">
        <v>47</v>
      </c>
      <c r="J134" s="74" t="s">
        <v>9347</v>
      </c>
      <c r="K134" s="74"/>
      <c r="L134" s="74"/>
    </row>
    <row r="135" spans="1:12" ht="41.4">
      <c r="A135" s="73">
        <v>134</v>
      </c>
      <c r="B135" s="74" t="s">
        <v>9699</v>
      </c>
      <c r="C135" s="74" t="s">
        <v>9700</v>
      </c>
      <c r="D135" s="74" t="s">
        <v>153</v>
      </c>
      <c r="E135" s="74" t="s">
        <v>9344</v>
      </c>
      <c r="F135" s="74" t="s">
        <v>9345</v>
      </c>
      <c r="G135" s="74" t="s">
        <v>9686</v>
      </c>
      <c r="H135" s="74" t="s">
        <v>155</v>
      </c>
      <c r="I135" s="74" t="s">
        <v>47</v>
      </c>
      <c r="J135" s="74" t="s">
        <v>9351</v>
      </c>
      <c r="K135" s="74"/>
      <c r="L135" s="74"/>
    </row>
    <row r="136" spans="1:12" ht="69">
      <c r="A136" s="73">
        <v>135</v>
      </c>
      <c r="B136" s="74" t="s">
        <v>9701</v>
      </c>
      <c r="C136" s="74" t="s">
        <v>4291</v>
      </c>
      <c r="D136" s="74" t="s">
        <v>89</v>
      </c>
      <c r="E136" s="74" t="s">
        <v>9344</v>
      </c>
      <c r="F136" s="74" t="s">
        <v>9345</v>
      </c>
      <c r="G136" s="74" t="s">
        <v>9528</v>
      </c>
      <c r="H136" s="74" t="s">
        <v>91</v>
      </c>
      <c r="I136" s="74" t="s">
        <v>47</v>
      </c>
      <c r="J136" s="74" t="s">
        <v>9351</v>
      </c>
      <c r="K136" s="74"/>
      <c r="L136" s="74"/>
    </row>
    <row r="137" spans="1:12" ht="69">
      <c r="A137" s="73">
        <v>136</v>
      </c>
      <c r="B137" s="74" t="s">
        <v>9702</v>
      </c>
      <c r="C137" s="74" t="s">
        <v>9703</v>
      </c>
      <c r="D137" s="74" t="s">
        <v>295</v>
      </c>
      <c r="E137" s="74" t="s">
        <v>9344</v>
      </c>
      <c r="F137" s="74" t="s">
        <v>9345</v>
      </c>
      <c r="G137" s="74" t="s">
        <v>9537</v>
      </c>
      <c r="H137" s="74" t="s">
        <v>9538</v>
      </c>
      <c r="I137" s="74" t="s">
        <v>47</v>
      </c>
      <c r="J137" s="74" t="s">
        <v>9347</v>
      </c>
      <c r="K137" s="74"/>
      <c r="L137" s="74"/>
    </row>
    <row r="138" spans="1:12" ht="55.2">
      <c r="A138" s="73">
        <v>137</v>
      </c>
      <c r="B138" s="74" t="s">
        <v>9704</v>
      </c>
      <c r="C138" s="74" t="s">
        <v>2216</v>
      </c>
      <c r="D138" s="74" t="s">
        <v>143</v>
      </c>
      <c r="E138" s="74" t="s">
        <v>9344</v>
      </c>
      <c r="F138" s="74" t="s">
        <v>9345</v>
      </c>
      <c r="G138" s="74" t="s">
        <v>9361</v>
      </c>
      <c r="H138" s="74" t="s">
        <v>327</v>
      </c>
      <c r="I138" s="74" t="s">
        <v>47</v>
      </c>
      <c r="J138" s="74" t="s">
        <v>9351</v>
      </c>
      <c r="K138" s="74" t="s">
        <v>9705</v>
      </c>
      <c r="L138" s="74" t="s">
        <v>370</v>
      </c>
    </row>
    <row r="139" spans="1:12" ht="41.4">
      <c r="A139" s="73">
        <v>138</v>
      </c>
      <c r="B139" s="74" t="s">
        <v>9706</v>
      </c>
      <c r="C139" s="74" t="s">
        <v>9707</v>
      </c>
      <c r="D139" s="74" t="s">
        <v>295</v>
      </c>
      <c r="E139" s="74" t="s">
        <v>9344</v>
      </c>
      <c r="F139" s="74" t="s">
        <v>9345</v>
      </c>
      <c r="G139" s="74" t="s">
        <v>9708</v>
      </c>
      <c r="H139" s="74" t="s">
        <v>407</v>
      </c>
      <c r="I139" s="74" t="s">
        <v>47</v>
      </c>
      <c r="J139" s="74" t="s">
        <v>9347</v>
      </c>
      <c r="K139" s="74"/>
      <c r="L139" s="74"/>
    </row>
    <row r="140" spans="1:12" ht="55.2">
      <c r="A140" s="73">
        <v>139</v>
      </c>
      <c r="B140" s="74" t="s">
        <v>9709</v>
      </c>
      <c r="C140" s="74" t="s">
        <v>9710</v>
      </c>
      <c r="D140" s="74" t="s">
        <v>295</v>
      </c>
      <c r="E140" s="74" t="s">
        <v>9344</v>
      </c>
      <c r="F140" s="74" t="s">
        <v>9345</v>
      </c>
      <c r="G140" s="74" t="s">
        <v>9346</v>
      </c>
      <c r="H140" s="74" t="s">
        <v>297</v>
      </c>
      <c r="I140" s="74" t="s">
        <v>47</v>
      </c>
      <c r="J140" s="74" t="s">
        <v>9347</v>
      </c>
      <c r="K140" s="74"/>
      <c r="L140" s="74"/>
    </row>
    <row r="141" spans="1:12" ht="41.4">
      <c r="A141" s="73">
        <v>140</v>
      </c>
      <c r="B141" s="74" t="s">
        <v>9711</v>
      </c>
      <c r="C141" s="74" t="s">
        <v>5410</v>
      </c>
      <c r="D141" s="74" t="s">
        <v>295</v>
      </c>
      <c r="E141" s="74" t="s">
        <v>9344</v>
      </c>
      <c r="F141" s="74" t="s">
        <v>9345</v>
      </c>
      <c r="G141" s="74" t="s">
        <v>9478</v>
      </c>
      <c r="H141" s="74" t="s">
        <v>407</v>
      </c>
      <c r="I141" s="74" t="s">
        <v>47</v>
      </c>
      <c r="J141" s="74" t="s">
        <v>9347</v>
      </c>
      <c r="K141" s="74"/>
      <c r="L141" s="74"/>
    </row>
    <row r="142" spans="1:12" ht="69">
      <c r="A142" s="73">
        <v>141</v>
      </c>
      <c r="B142" s="74" t="s">
        <v>9712</v>
      </c>
      <c r="C142" s="74" t="s">
        <v>5847</v>
      </c>
      <c r="D142" s="74" t="s">
        <v>143</v>
      </c>
      <c r="E142" s="74" t="s">
        <v>9344</v>
      </c>
      <c r="F142" s="74" t="s">
        <v>9345</v>
      </c>
      <c r="G142" s="74" t="s">
        <v>9510</v>
      </c>
      <c r="H142" s="74" t="s">
        <v>220</v>
      </c>
      <c r="I142" s="74" t="s">
        <v>47</v>
      </c>
      <c r="J142" s="74" t="s">
        <v>9351</v>
      </c>
      <c r="K142" s="74" t="s">
        <v>9713</v>
      </c>
      <c r="L142" s="74" t="s">
        <v>251</v>
      </c>
    </row>
    <row r="143" spans="1:12" ht="69">
      <c r="A143" s="73">
        <v>142</v>
      </c>
      <c r="B143" s="74" t="s">
        <v>9714</v>
      </c>
      <c r="C143" s="74" t="s">
        <v>4629</v>
      </c>
      <c r="D143" s="74" t="s">
        <v>143</v>
      </c>
      <c r="E143" s="74" t="s">
        <v>9344</v>
      </c>
      <c r="F143" s="74" t="s">
        <v>9345</v>
      </c>
      <c r="G143" s="74" t="s">
        <v>9715</v>
      </c>
      <c r="H143" s="74" t="s">
        <v>220</v>
      </c>
      <c r="I143" s="74" t="s">
        <v>47</v>
      </c>
      <c r="J143" s="74" t="s">
        <v>9351</v>
      </c>
      <c r="K143" s="74" t="s">
        <v>9716</v>
      </c>
      <c r="L143" s="74" t="s">
        <v>251</v>
      </c>
    </row>
    <row r="144" spans="1:12" ht="41.4">
      <c r="A144" s="73">
        <v>143</v>
      </c>
      <c r="B144" s="74" t="s">
        <v>9717</v>
      </c>
      <c r="C144" s="74" t="s">
        <v>9718</v>
      </c>
      <c r="D144" s="74" t="s">
        <v>153</v>
      </c>
      <c r="E144" s="74" t="s">
        <v>9344</v>
      </c>
      <c r="F144" s="74" t="s">
        <v>9345</v>
      </c>
      <c r="G144" s="74" t="s">
        <v>9454</v>
      </c>
      <c r="H144" s="74" t="s">
        <v>155</v>
      </c>
      <c r="I144" s="74" t="s">
        <v>47</v>
      </c>
      <c r="J144" s="74" t="s">
        <v>9347</v>
      </c>
      <c r="K144" s="74" t="s">
        <v>9719</v>
      </c>
      <c r="L144" s="74" t="s">
        <v>331</v>
      </c>
    </row>
    <row r="145" spans="1:12" ht="41.4">
      <c r="A145" s="73">
        <v>144</v>
      </c>
      <c r="B145" s="74" t="s">
        <v>9720</v>
      </c>
      <c r="C145" s="74" t="s">
        <v>9721</v>
      </c>
      <c r="D145" s="74" t="s">
        <v>153</v>
      </c>
      <c r="E145" s="74" t="s">
        <v>9344</v>
      </c>
      <c r="F145" s="74" t="s">
        <v>9345</v>
      </c>
      <c r="G145" s="74" t="s">
        <v>9686</v>
      </c>
      <c r="H145" s="74" t="s">
        <v>155</v>
      </c>
      <c r="I145" s="74" t="s">
        <v>47</v>
      </c>
      <c r="J145" s="74" t="s">
        <v>9347</v>
      </c>
      <c r="K145" s="74"/>
      <c r="L145" s="74"/>
    </row>
    <row r="146" spans="1:12" ht="41.4">
      <c r="A146" s="73">
        <v>145</v>
      </c>
      <c r="B146" s="74" t="s">
        <v>9722</v>
      </c>
      <c r="C146" s="74" t="s">
        <v>4155</v>
      </c>
      <c r="D146" s="74" t="s">
        <v>89</v>
      </c>
      <c r="E146" s="74" t="s">
        <v>9344</v>
      </c>
      <c r="F146" s="74" t="s">
        <v>9345</v>
      </c>
      <c r="G146" s="74" t="s">
        <v>9723</v>
      </c>
      <c r="H146" s="74" t="s">
        <v>4024</v>
      </c>
      <c r="I146" s="74" t="s">
        <v>47</v>
      </c>
      <c r="J146" s="74" t="s">
        <v>9351</v>
      </c>
      <c r="K146" s="74" t="s">
        <v>9724</v>
      </c>
      <c r="L146" s="74" t="s">
        <v>251</v>
      </c>
    </row>
    <row r="147" spans="1:12" ht="69">
      <c r="A147" s="73">
        <v>146</v>
      </c>
      <c r="B147" s="74" t="s">
        <v>9725</v>
      </c>
      <c r="C147" s="74" t="s">
        <v>9726</v>
      </c>
      <c r="D147" s="74" t="s">
        <v>143</v>
      </c>
      <c r="E147" s="74" t="s">
        <v>9344</v>
      </c>
      <c r="F147" s="74" t="s">
        <v>9345</v>
      </c>
      <c r="G147" s="74" t="s">
        <v>9510</v>
      </c>
      <c r="H147" s="74" t="s">
        <v>220</v>
      </c>
      <c r="I147" s="74" t="s">
        <v>47</v>
      </c>
      <c r="J147" s="74" t="s">
        <v>9351</v>
      </c>
      <c r="K147" s="74" t="s">
        <v>9727</v>
      </c>
      <c r="L147" s="74" t="s">
        <v>251</v>
      </c>
    </row>
    <row r="148" spans="1:12" ht="55.2">
      <c r="A148" s="73">
        <v>147</v>
      </c>
      <c r="B148" s="74" t="s">
        <v>9728</v>
      </c>
      <c r="C148" s="74" t="s">
        <v>9729</v>
      </c>
      <c r="D148" s="74" t="s">
        <v>295</v>
      </c>
      <c r="E148" s="74" t="s">
        <v>9344</v>
      </c>
      <c r="F148" s="74" t="s">
        <v>9345</v>
      </c>
      <c r="G148" s="74" t="s">
        <v>9677</v>
      </c>
      <c r="H148" s="74" t="s">
        <v>407</v>
      </c>
      <c r="I148" s="74" t="s">
        <v>47</v>
      </c>
      <c r="J148" s="74" t="s">
        <v>9347</v>
      </c>
      <c r="K148" s="74"/>
      <c r="L148" s="74"/>
    </row>
    <row r="149" spans="1:12" ht="41.4">
      <c r="A149" s="73">
        <v>148</v>
      </c>
      <c r="B149" s="74" t="s">
        <v>9730</v>
      </c>
      <c r="C149" s="74" t="s">
        <v>9731</v>
      </c>
      <c r="D149" s="74" t="s">
        <v>41</v>
      </c>
      <c r="E149" s="74" t="s">
        <v>9344</v>
      </c>
      <c r="F149" s="74" t="s">
        <v>9345</v>
      </c>
      <c r="G149" s="74" t="s">
        <v>9451</v>
      </c>
      <c r="H149" s="74" t="s">
        <v>130</v>
      </c>
      <c r="I149" s="74" t="s">
        <v>47</v>
      </c>
      <c r="J149" s="74" t="s">
        <v>9347</v>
      </c>
      <c r="K149" s="74"/>
      <c r="L149" s="74"/>
    </row>
    <row r="150" spans="1:12" ht="41.4">
      <c r="A150" s="73">
        <v>149</v>
      </c>
      <c r="B150" s="74" t="s">
        <v>9732</v>
      </c>
      <c r="C150" s="74" t="s">
        <v>9733</v>
      </c>
      <c r="D150" s="74" t="s">
        <v>153</v>
      </c>
      <c r="E150" s="74" t="s">
        <v>9344</v>
      </c>
      <c r="F150" s="74" t="s">
        <v>9345</v>
      </c>
      <c r="G150" s="74" t="s">
        <v>9686</v>
      </c>
      <c r="H150" s="74" t="s">
        <v>155</v>
      </c>
      <c r="I150" s="74" t="s">
        <v>47</v>
      </c>
      <c r="J150" s="74" t="s">
        <v>9347</v>
      </c>
      <c r="K150" s="74"/>
      <c r="L150" s="74"/>
    </row>
    <row r="151" spans="1:12" ht="55.2">
      <c r="A151" s="73">
        <v>150</v>
      </c>
      <c r="B151" s="74" t="s">
        <v>9734</v>
      </c>
      <c r="C151" s="74" t="s">
        <v>4944</v>
      </c>
      <c r="D151" s="74" t="s">
        <v>143</v>
      </c>
      <c r="E151" s="74" t="s">
        <v>9344</v>
      </c>
      <c r="F151" s="74" t="s">
        <v>9345</v>
      </c>
      <c r="G151" s="74" t="s">
        <v>9534</v>
      </c>
      <c r="H151" s="74" t="s">
        <v>145</v>
      </c>
      <c r="I151" s="74" t="s">
        <v>47</v>
      </c>
      <c r="J151" s="74" t="s">
        <v>9351</v>
      </c>
      <c r="K151" s="74"/>
      <c r="L151" s="74"/>
    </row>
    <row r="152" spans="1:12" ht="41.4">
      <c r="A152" s="73">
        <v>151</v>
      </c>
      <c r="B152" s="74" t="s">
        <v>9735</v>
      </c>
      <c r="C152" s="74" t="s">
        <v>9736</v>
      </c>
      <c r="D152" s="74" t="s">
        <v>295</v>
      </c>
      <c r="E152" s="74" t="s">
        <v>9344</v>
      </c>
      <c r="F152" s="74" t="s">
        <v>9345</v>
      </c>
      <c r="G152" s="74" t="s">
        <v>9489</v>
      </c>
      <c r="H152" s="74" t="s">
        <v>407</v>
      </c>
      <c r="I152" s="74" t="s">
        <v>47</v>
      </c>
      <c r="J152" s="74" t="s">
        <v>9347</v>
      </c>
      <c r="K152" s="74"/>
      <c r="L152" s="74"/>
    </row>
    <row r="153" spans="1:12" ht="41.4">
      <c r="A153" s="73">
        <v>152</v>
      </c>
      <c r="B153" s="74" t="s">
        <v>9737</v>
      </c>
      <c r="C153" s="74" t="s">
        <v>9738</v>
      </c>
      <c r="D153" s="74" t="s">
        <v>153</v>
      </c>
      <c r="E153" s="74" t="s">
        <v>9344</v>
      </c>
      <c r="F153" s="74" t="s">
        <v>9345</v>
      </c>
      <c r="G153" s="74" t="s">
        <v>9568</v>
      </c>
      <c r="H153" s="74" t="s">
        <v>155</v>
      </c>
      <c r="I153" s="74" t="s">
        <v>47</v>
      </c>
      <c r="J153" s="74" t="s">
        <v>9347</v>
      </c>
      <c r="K153" s="74"/>
      <c r="L153" s="74"/>
    </row>
    <row r="154" spans="1:12" ht="55.2">
      <c r="A154" s="73">
        <v>153</v>
      </c>
      <c r="B154" s="74" t="s">
        <v>9739</v>
      </c>
      <c r="C154" s="74" t="s">
        <v>5746</v>
      </c>
      <c r="D154" s="74" t="s">
        <v>68</v>
      </c>
      <c r="E154" s="74" t="s">
        <v>9344</v>
      </c>
      <c r="F154" s="74" t="s">
        <v>9345</v>
      </c>
      <c r="G154" s="74" t="s">
        <v>9378</v>
      </c>
      <c r="H154" s="74" t="s">
        <v>70</v>
      </c>
      <c r="I154" s="74" t="s">
        <v>416</v>
      </c>
      <c r="J154" s="74" t="s">
        <v>9351</v>
      </c>
      <c r="K154" s="74" t="s">
        <v>9740</v>
      </c>
      <c r="L154" s="74" t="s">
        <v>3207</v>
      </c>
    </row>
    <row r="155" spans="1:12" ht="41.4">
      <c r="A155" s="73">
        <v>154</v>
      </c>
      <c r="B155" s="74" t="s">
        <v>9741</v>
      </c>
      <c r="C155" s="74" t="s">
        <v>9742</v>
      </c>
      <c r="D155" s="74" t="s">
        <v>89</v>
      </c>
      <c r="E155" s="74" t="s">
        <v>9344</v>
      </c>
      <c r="F155" s="74" t="s">
        <v>9345</v>
      </c>
      <c r="G155" s="74" t="s">
        <v>9358</v>
      </c>
      <c r="H155" s="74" t="s">
        <v>102</v>
      </c>
      <c r="I155" s="74" t="s">
        <v>416</v>
      </c>
      <c r="J155" s="74" t="s">
        <v>9351</v>
      </c>
      <c r="K155" s="74" t="s">
        <v>9743</v>
      </c>
      <c r="L155" s="74" t="s">
        <v>711</v>
      </c>
    </row>
    <row r="156" spans="1:12" ht="41.4">
      <c r="A156" s="73">
        <v>155</v>
      </c>
      <c r="B156" s="74" t="s">
        <v>9744</v>
      </c>
      <c r="C156" s="74" t="s">
        <v>9745</v>
      </c>
      <c r="D156" s="74" t="s">
        <v>89</v>
      </c>
      <c r="E156" s="74" t="s">
        <v>9344</v>
      </c>
      <c r="F156" s="74" t="s">
        <v>9345</v>
      </c>
      <c r="G156" s="74" t="s">
        <v>9358</v>
      </c>
      <c r="H156" s="74" t="s">
        <v>102</v>
      </c>
      <c r="I156" s="74" t="s">
        <v>416</v>
      </c>
      <c r="J156" s="74" t="s">
        <v>9351</v>
      </c>
      <c r="K156" s="74" t="s">
        <v>9746</v>
      </c>
      <c r="L156" s="74" t="s">
        <v>711</v>
      </c>
    </row>
    <row r="157" spans="1:12" ht="41.4">
      <c r="A157" s="73">
        <v>156</v>
      </c>
      <c r="B157" s="74" t="s">
        <v>9747</v>
      </c>
      <c r="C157" s="74" t="s">
        <v>2279</v>
      </c>
      <c r="D157" s="74" t="s">
        <v>89</v>
      </c>
      <c r="E157" s="74" t="s">
        <v>9344</v>
      </c>
      <c r="F157" s="74" t="s">
        <v>9345</v>
      </c>
      <c r="G157" s="74" t="s">
        <v>9358</v>
      </c>
      <c r="H157" s="74" t="s">
        <v>102</v>
      </c>
      <c r="I157" s="74" t="s">
        <v>416</v>
      </c>
      <c r="J157" s="74" t="s">
        <v>9351</v>
      </c>
      <c r="K157" s="74" t="s">
        <v>9748</v>
      </c>
      <c r="L157" s="74" t="s">
        <v>711</v>
      </c>
    </row>
    <row r="158" spans="1:12" ht="55.2">
      <c r="A158" s="73">
        <v>157</v>
      </c>
      <c r="B158" s="74" t="s">
        <v>9749</v>
      </c>
      <c r="C158" s="74" t="s">
        <v>9750</v>
      </c>
      <c r="D158" s="74" t="s">
        <v>41</v>
      </c>
      <c r="E158" s="74" t="s">
        <v>9344</v>
      </c>
      <c r="F158" s="74" t="s">
        <v>9345</v>
      </c>
      <c r="G158" s="74" t="s">
        <v>9591</v>
      </c>
      <c r="H158" s="74" t="s">
        <v>130</v>
      </c>
      <c r="I158" s="74" t="s">
        <v>47</v>
      </c>
      <c r="J158" s="74" t="s">
        <v>9347</v>
      </c>
      <c r="K158" s="74"/>
      <c r="L158" s="74"/>
    </row>
    <row r="159" spans="1:12" ht="41.4">
      <c r="A159" s="73">
        <v>158</v>
      </c>
      <c r="B159" s="74" t="s">
        <v>9751</v>
      </c>
      <c r="C159" s="74" t="s">
        <v>9752</v>
      </c>
      <c r="D159" s="74" t="s">
        <v>153</v>
      </c>
      <c r="E159" s="74" t="s">
        <v>9344</v>
      </c>
      <c r="F159" s="74" t="s">
        <v>9345</v>
      </c>
      <c r="G159" s="74" t="s">
        <v>9753</v>
      </c>
      <c r="H159" s="74" t="s">
        <v>155</v>
      </c>
      <c r="I159" s="74" t="s">
        <v>47</v>
      </c>
      <c r="J159" s="74" t="s">
        <v>9347</v>
      </c>
      <c r="K159" s="74"/>
      <c r="L159" s="74"/>
    </row>
    <row r="160" spans="1:12" ht="69">
      <c r="A160" s="73">
        <v>159</v>
      </c>
      <c r="B160" s="74" t="s">
        <v>9754</v>
      </c>
      <c r="C160" s="74" t="s">
        <v>9755</v>
      </c>
      <c r="D160" s="74" t="s">
        <v>41</v>
      </c>
      <c r="E160" s="74" t="s">
        <v>9344</v>
      </c>
      <c r="F160" s="74" t="s">
        <v>9345</v>
      </c>
      <c r="G160" s="74" t="s">
        <v>9413</v>
      </c>
      <c r="H160" s="74" t="s">
        <v>46</v>
      </c>
      <c r="I160" s="74" t="s">
        <v>47</v>
      </c>
      <c r="J160" s="74" t="s">
        <v>9347</v>
      </c>
      <c r="K160" s="74"/>
      <c r="L160" s="74"/>
    </row>
    <row r="161" spans="1:12" ht="41.4">
      <c r="A161" s="73">
        <v>160</v>
      </c>
      <c r="B161" s="74" t="s">
        <v>9756</v>
      </c>
      <c r="C161" s="74" t="s">
        <v>7383</v>
      </c>
      <c r="D161" s="74" t="s">
        <v>41</v>
      </c>
      <c r="E161" s="74" t="s">
        <v>9344</v>
      </c>
      <c r="F161" s="74" t="s">
        <v>9345</v>
      </c>
      <c r="G161" s="74" t="s">
        <v>9757</v>
      </c>
      <c r="H161" s="74" t="s">
        <v>200</v>
      </c>
      <c r="I161" s="74" t="s">
        <v>47</v>
      </c>
      <c r="J161" s="74" t="s">
        <v>9347</v>
      </c>
      <c r="K161" s="74"/>
      <c r="L161" s="74"/>
    </row>
    <row r="162" spans="1:12" ht="69">
      <c r="A162" s="73">
        <v>161</v>
      </c>
      <c r="B162" s="74" t="s">
        <v>9758</v>
      </c>
      <c r="C162" s="74" t="s">
        <v>9759</v>
      </c>
      <c r="D162" s="74" t="s">
        <v>295</v>
      </c>
      <c r="E162" s="74" t="s">
        <v>9344</v>
      </c>
      <c r="F162" s="74" t="s">
        <v>9345</v>
      </c>
      <c r="G162" s="74" t="s">
        <v>9537</v>
      </c>
      <c r="H162" s="74" t="s">
        <v>9538</v>
      </c>
      <c r="I162" s="74" t="s">
        <v>47</v>
      </c>
      <c r="J162" s="74" t="s">
        <v>9347</v>
      </c>
      <c r="K162" s="74"/>
      <c r="L162" s="74"/>
    </row>
    <row r="163" spans="1:12" ht="55.2">
      <c r="A163" s="73">
        <v>162</v>
      </c>
      <c r="B163" s="74" t="s">
        <v>9760</v>
      </c>
      <c r="C163" s="74" t="s">
        <v>1549</v>
      </c>
      <c r="D163" s="74" t="s">
        <v>41</v>
      </c>
      <c r="E163" s="74" t="s">
        <v>9344</v>
      </c>
      <c r="F163" s="74" t="s">
        <v>9345</v>
      </c>
      <c r="G163" s="74" t="s">
        <v>9761</v>
      </c>
      <c r="H163" s="74" t="s">
        <v>479</v>
      </c>
      <c r="I163" s="74" t="s">
        <v>47</v>
      </c>
      <c r="J163" s="74" t="s">
        <v>9347</v>
      </c>
      <c r="K163" s="74"/>
      <c r="L163" s="74"/>
    </row>
    <row r="164" spans="1:12" ht="55.2">
      <c r="A164" s="73">
        <v>163</v>
      </c>
      <c r="B164" s="74" t="s">
        <v>9762</v>
      </c>
      <c r="C164" s="74" t="s">
        <v>2591</v>
      </c>
      <c r="D164" s="74" t="s">
        <v>153</v>
      </c>
      <c r="E164" s="74" t="s">
        <v>9344</v>
      </c>
      <c r="F164" s="74" t="s">
        <v>9345</v>
      </c>
      <c r="G164" s="74" t="s">
        <v>9763</v>
      </c>
      <c r="H164" s="74" t="s">
        <v>155</v>
      </c>
      <c r="I164" s="74" t="s">
        <v>47</v>
      </c>
      <c r="J164" s="74" t="s">
        <v>9351</v>
      </c>
      <c r="K164" s="74"/>
      <c r="L164" s="74"/>
    </row>
    <row r="165" spans="1:12" ht="55.2">
      <c r="A165" s="73">
        <v>164</v>
      </c>
      <c r="B165" s="74" t="s">
        <v>9764</v>
      </c>
      <c r="C165" s="74" t="s">
        <v>9765</v>
      </c>
      <c r="D165" s="74" t="s">
        <v>41</v>
      </c>
      <c r="E165" s="74" t="s">
        <v>9344</v>
      </c>
      <c r="F165" s="74" t="s">
        <v>9345</v>
      </c>
      <c r="G165" s="74" t="s">
        <v>9500</v>
      </c>
      <c r="H165" s="74" t="s">
        <v>200</v>
      </c>
      <c r="I165" s="74" t="s">
        <v>47</v>
      </c>
      <c r="J165" s="74" t="s">
        <v>9347</v>
      </c>
      <c r="K165" s="74" t="s">
        <v>9766</v>
      </c>
      <c r="L165" s="74" t="s">
        <v>331</v>
      </c>
    </row>
    <row r="166" spans="1:12" ht="55.2">
      <c r="A166" s="73">
        <v>165</v>
      </c>
      <c r="B166" s="74" t="s">
        <v>9767</v>
      </c>
      <c r="C166" s="74" t="s">
        <v>6619</v>
      </c>
      <c r="D166" s="74" t="s">
        <v>295</v>
      </c>
      <c r="E166" s="74" t="s">
        <v>9344</v>
      </c>
      <c r="F166" s="74" t="s">
        <v>9345</v>
      </c>
      <c r="G166" s="74" t="s">
        <v>9579</v>
      </c>
      <c r="H166" s="74" t="s">
        <v>407</v>
      </c>
      <c r="I166" s="74" t="s">
        <v>47</v>
      </c>
      <c r="J166" s="74" t="s">
        <v>9347</v>
      </c>
      <c r="K166" s="74"/>
      <c r="L166" s="74"/>
    </row>
    <row r="167" spans="1:12" ht="41.4">
      <c r="A167" s="73">
        <v>166</v>
      </c>
      <c r="B167" s="74" t="s">
        <v>9768</v>
      </c>
      <c r="C167" s="74" t="s">
        <v>9769</v>
      </c>
      <c r="D167" s="74" t="s">
        <v>41</v>
      </c>
      <c r="E167" s="74" t="s">
        <v>9344</v>
      </c>
      <c r="F167" s="74" t="s">
        <v>9345</v>
      </c>
      <c r="G167" s="74" t="s">
        <v>9500</v>
      </c>
      <c r="H167" s="74" t="s">
        <v>200</v>
      </c>
      <c r="I167" s="74" t="s">
        <v>47</v>
      </c>
      <c r="J167" s="74" t="s">
        <v>9351</v>
      </c>
      <c r="K167" s="74"/>
      <c r="L167" s="74"/>
    </row>
    <row r="168" spans="1:12" ht="41.4">
      <c r="A168" s="73">
        <v>167</v>
      </c>
      <c r="B168" s="74" t="s">
        <v>9770</v>
      </c>
      <c r="C168" s="74" t="s">
        <v>9771</v>
      </c>
      <c r="D168" s="74" t="s">
        <v>295</v>
      </c>
      <c r="E168" s="74" t="s">
        <v>9344</v>
      </c>
      <c r="F168" s="74" t="s">
        <v>9345</v>
      </c>
      <c r="G168" s="74" t="s">
        <v>9708</v>
      </c>
      <c r="H168" s="74" t="s">
        <v>407</v>
      </c>
      <c r="I168" s="74" t="s">
        <v>47</v>
      </c>
      <c r="J168" s="74" t="s">
        <v>9347</v>
      </c>
      <c r="K168" s="74"/>
      <c r="L168" s="74"/>
    </row>
    <row r="169" spans="1:12" ht="41.4">
      <c r="A169" s="73">
        <v>168</v>
      </c>
      <c r="B169" s="74" t="s">
        <v>9772</v>
      </c>
      <c r="C169" s="74" t="s">
        <v>9773</v>
      </c>
      <c r="D169" s="74" t="s">
        <v>295</v>
      </c>
      <c r="E169" s="74" t="s">
        <v>9344</v>
      </c>
      <c r="F169" s="74" t="s">
        <v>9345</v>
      </c>
      <c r="G169" s="74" t="s">
        <v>9346</v>
      </c>
      <c r="H169" s="74" t="s">
        <v>297</v>
      </c>
      <c r="I169" s="74" t="s">
        <v>47</v>
      </c>
      <c r="J169" s="74" t="s">
        <v>9347</v>
      </c>
      <c r="K169" s="74"/>
      <c r="L169" s="74"/>
    </row>
    <row r="170" spans="1:12" ht="41.4">
      <c r="A170" s="73">
        <v>169</v>
      </c>
      <c r="B170" s="74" t="s">
        <v>9774</v>
      </c>
      <c r="C170" s="74" t="s">
        <v>9775</v>
      </c>
      <c r="D170" s="74" t="s">
        <v>41</v>
      </c>
      <c r="E170" s="74" t="s">
        <v>9344</v>
      </c>
      <c r="F170" s="74" t="s">
        <v>9345</v>
      </c>
      <c r="G170" s="74" t="s">
        <v>9776</v>
      </c>
      <c r="H170" s="74" t="s">
        <v>200</v>
      </c>
      <c r="I170" s="74" t="s">
        <v>47</v>
      </c>
      <c r="J170" s="74" t="s">
        <v>9347</v>
      </c>
      <c r="K170" s="74"/>
      <c r="L170" s="74"/>
    </row>
    <row r="171" spans="1:12" ht="55.2">
      <c r="A171" s="73">
        <v>170</v>
      </c>
      <c r="B171" s="74" t="s">
        <v>9777</v>
      </c>
      <c r="C171" s="74" t="s">
        <v>9778</v>
      </c>
      <c r="D171" s="74" t="s">
        <v>41</v>
      </c>
      <c r="E171" s="74" t="s">
        <v>9344</v>
      </c>
      <c r="F171" s="74" t="s">
        <v>9345</v>
      </c>
      <c r="G171" s="74" t="s">
        <v>9372</v>
      </c>
      <c r="H171" s="74" t="s">
        <v>479</v>
      </c>
      <c r="I171" s="74" t="s">
        <v>47</v>
      </c>
      <c r="J171" s="74" t="s">
        <v>9347</v>
      </c>
      <c r="K171" s="74"/>
      <c r="L171" s="74"/>
    </row>
    <row r="172" spans="1:12" ht="41.4">
      <c r="A172" s="73">
        <v>171</v>
      </c>
      <c r="B172" s="74" t="s">
        <v>9779</v>
      </c>
      <c r="C172" s="74" t="s">
        <v>9780</v>
      </c>
      <c r="D172" s="74" t="s">
        <v>153</v>
      </c>
      <c r="E172" s="74" t="s">
        <v>9344</v>
      </c>
      <c r="F172" s="74" t="s">
        <v>9345</v>
      </c>
      <c r="G172" s="74" t="s">
        <v>9781</v>
      </c>
      <c r="H172" s="74" t="s">
        <v>155</v>
      </c>
      <c r="I172" s="74" t="s">
        <v>47</v>
      </c>
      <c r="J172" s="74" t="s">
        <v>9347</v>
      </c>
      <c r="K172" s="74"/>
      <c r="L172" s="74"/>
    </row>
    <row r="173" spans="1:12" ht="41.4">
      <c r="A173" s="73">
        <v>172</v>
      </c>
      <c r="B173" s="74" t="s">
        <v>9782</v>
      </c>
      <c r="C173" s="74" t="s">
        <v>9783</v>
      </c>
      <c r="D173" s="74" t="s">
        <v>153</v>
      </c>
      <c r="E173" s="74" t="s">
        <v>9344</v>
      </c>
      <c r="F173" s="74" t="s">
        <v>9345</v>
      </c>
      <c r="G173" s="74" t="s">
        <v>9526</v>
      </c>
      <c r="H173" s="74" t="s">
        <v>155</v>
      </c>
      <c r="I173" s="74" t="s">
        <v>47</v>
      </c>
      <c r="J173" s="74" t="s">
        <v>9347</v>
      </c>
      <c r="K173" s="74"/>
      <c r="L173" s="74"/>
    </row>
    <row r="174" spans="1:12" ht="41.4">
      <c r="A174" s="73">
        <v>173</v>
      </c>
      <c r="B174" s="74" t="s">
        <v>9784</v>
      </c>
      <c r="C174" s="74" t="s">
        <v>9785</v>
      </c>
      <c r="D174" s="74" t="s">
        <v>41</v>
      </c>
      <c r="E174" s="74" t="s">
        <v>9344</v>
      </c>
      <c r="F174" s="74" t="s">
        <v>9345</v>
      </c>
      <c r="G174" s="74" t="s">
        <v>9591</v>
      </c>
      <c r="H174" s="74" t="s">
        <v>130</v>
      </c>
      <c r="I174" s="74" t="s">
        <v>47</v>
      </c>
      <c r="J174" s="74" t="s">
        <v>9347</v>
      </c>
      <c r="K174" s="74" t="s">
        <v>9786</v>
      </c>
      <c r="L174" s="74" t="s">
        <v>318</v>
      </c>
    </row>
    <row r="175" spans="1:12" ht="69">
      <c r="A175" s="73">
        <v>174</v>
      </c>
      <c r="B175" s="74" t="s">
        <v>9787</v>
      </c>
      <c r="C175" s="74" t="s">
        <v>9788</v>
      </c>
      <c r="D175" s="74" t="s">
        <v>295</v>
      </c>
      <c r="E175" s="74" t="s">
        <v>9344</v>
      </c>
      <c r="F175" s="74" t="s">
        <v>9345</v>
      </c>
      <c r="G175" s="74" t="s">
        <v>9537</v>
      </c>
      <c r="H175" s="74" t="s">
        <v>9538</v>
      </c>
      <c r="I175" s="74" t="s">
        <v>47</v>
      </c>
      <c r="J175" s="74" t="s">
        <v>9347</v>
      </c>
      <c r="K175" s="74"/>
      <c r="L175" s="74"/>
    </row>
    <row r="176" spans="1:12" ht="41.4">
      <c r="A176" s="73">
        <v>175</v>
      </c>
      <c r="B176" s="74" t="s">
        <v>9789</v>
      </c>
      <c r="C176" s="74" t="s">
        <v>9790</v>
      </c>
      <c r="D176" s="74" t="s">
        <v>41</v>
      </c>
      <c r="E176" s="74" t="s">
        <v>9344</v>
      </c>
      <c r="F176" s="74" t="s">
        <v>9345</v>
      </c>
      <c r="G176" s="74" t="s">
        <v>9648</v>
      </c>
      <c r="H176" s="74" t="s">
        <v>200</v>
      </c>
      <c r="I176" s="74" t="s">
        <v>47</v>
      </c>
      <c r="J176" s="74" t="s">
        <v>9347</v>
      </c>
      <c r="K176" s="74"/>
      <c r="L176" s="74"/>
    </row>
    <row r="177" spans="1:12" ht="69">
      <c r="A177" s="73">
        <v>176</v>
      </c>
      <c r="B177" s="74" t="s">
        <v>9791</v>
      </c>
      <c r="C177" s="74" t="s">
        <v>9792</v>
      </c>
      <c r="D177" s="74" t="s">
        <v>41</v>
      </c>
      <c r="E177" s="74" t="s">
        <v>9344</v>
      </c>
      <c r="F177" s="74" t="s">
        <v>9345</v>
      </c>
      <c r="G177" s="74" t="s">
        <v>9793</v>
      </c>
      <c r="H177" s="74" t="s">
        <v>46</v>
      </c>
      <c r="I177" s="74" t="s">
        <v>47</v>
      </c>
      <c r="J177" s="74" t="s">
        <v>9347</v>
      </c>
      <c r="K177" s="74"/>
      <c r="L177" s="74"/>
    </row>
    <row r="178" spans="1:12" ht="41.4">
      <c r="A178" s="73">
        <v>177</v>
      </c>
      <c r="B178" s="74" t="s">
        <v>9794</v>
      </c>
      <c r="C178" s="74" t="s">
        <v>9795</v>
      </c>
      <c r="D178" s="74" t="s">
        <v>41</v>
      </c>
      <c r="E178" s="74" t="s">
        <v>9344</v>
      </c>
      <c r="F178" s="74" t="s">
        <v>9345</v>
      </c>
      <c r="G178" s="74" t="s">
        <v>9796</v>
      </c>
      <c r="H178" s="74" t="s">
        <v>200</v>
      </c>
      <c r="I178" s="74" t="s">
        <v>47</v>
      </c>
      <c r="J178" s="74" t="s">
        <v>9347</v>
      </c>
      <c r="K178" s="74"/>
      <c r="L178" s="74"/>
    </row>
    <row r="179" spans="1:12" ht="41.4">
      <c r="A179" s="73">
        <v>178</v>
      </c>
      <c r="B179" s="74" t="s">
        <v>9797</v>
      </c>
      <c r="C179" s="74" t="s">
        <v>9798</v>
      </c>
      <c r="D179" s="74" t="s">
        <v>295</v>
      </c>
      <c r="E179" s="74" t="s">
        <v>9344</v>
      </c>
      <c r="F179" s="74" t="s">
        <v>9345</v>
      </c>
      <c r="G179" s="74" t="s">
        <v>9677</v>
      </c>
      <c r="H179" s="74" t="s">
        <v>407</v>
      </c>
      <c r="I179" s="74" t="s">
        <v>47</v>
      </c>
      <c r="J179" s="74" t="s">
        <v>9347</v>
      </c>
      <c r="K179" s="74"/>
      <c r="L179" s="74"/>
    </row>
    <row r="180" spans="1:12" ht="69">
      <c r="A180" s="73">
        <v>179</v>
      </c>
      <c r="B180" s="74" t="s">
        <v>9799</v>
      </c>
      <c r="C180" s="74" t="s">
        <v>9800</v>
      </c>
      <c r="D180" s="74" t="s">
        <v>295</v>
      </c>
      <c r="E180" s="74" t="s">
        <v>9344</v>
      </c>
      <c r="F180" s="74" t="s">
        <v>9345</v>
      </c>
      <c r="G180" s="74" t="s">
        <v>9537</v>
      </c>
      <c r="H180" s="74" t="s">
        <v>9538</v>
      </c>
      <c r="I180" s="74" t="s">
        <v>47</v>
      </c>
      <c r="J180" s="74" t="s">
        <v>9347</v>
      </c>
      <c r="K180" s="74"/>
      <c r="L180" s="74"/>
    </row>
    <row r="181" spans="1:12" ht="69">
      <c r="A181" s="73">
        <v>180</v>
      </c>
      <c r="B181" s="74" t="s">
        <v>9801</v>
      </c>
      <c r="C181" s="74" t="s">
        <v>6370</v>
      </c>
      <c r="D181" s="74" t="s">
        <v>41</v>
      </c>
      <c r="E181" s="74" t="s">
        <v>9344</v>
      </c>
      <c r="F181" s="74" t="s">
        <v>9345</v>
      </c>
      <c r="G181" s="74" t="s">
        <v>9793</v>
      </c>
      <c r="H181" s="74" t="s">
        <v>46</v>
      </c>
      <c r="I181" s="74" t="s">
        <v>47</v>
      </c>
      <c r="J181" s="74" t="s">
        <v>9351</v>
      </c>
      <c r="K181" s="74"/>
      <c r="L181" s="74"/>
    </row>
    <row r="182" spans="1:12" ht="55.2">
      <c r="A182" s="73">
        <v>181</v>
      </c>
      <c r="B182" s="74" t="s">
        <v>9802</v>
      </c>
      <c r="C182" s="74" t="s">
        <v>9803</v>
      </c>
      <c r="D182" s="74" t="s">
        <v>41</v>
      </c>
      <c r="E182" s="74" t="s">
        <v>9344</v>
      </c>
      <c r="F182" s="74" t="s">
        <v>9345</v>
      </c>
      <c r="G182" s="74" t="s">
        <v>9761</v>
      </c>
      <c r="H182" s="74" t="s">
        <v>479</v>
      </c>
      <c r="I182" s="74" t="s">
        <v>47</v>
      </c>
      <c r="J182" s="74" t="s">
        <v>9351</v>
      </c>
      <c r="K182" s="74"/>
      <c r="L182" s="74"/>
    </row>
    <row r="183" spans="1:12" ht="69">
      <c r="A183" s="73">
        <v>182</v>
      </c>
      <c r="B183" s="74" t="s">
        <v>9804</v>
      </c>
      <c r="C183" s="74" t="s">
        <v>9805</v>
      </c>
      <c r="D183" s="74" t="s">
        <v>41</v>
      </c>
      <c r="E183" s="74" t="s">
        <v>9344</v>
      </c>
      <c r="F183" s="74" t="s">
        <v>9345</v>
      </c>
      <c r="G183" s="74" t="s">
        <v>9385</v>
      </c>
      <c r="H183" s="74" t="s">
        <v>46</v>
      </c>
      <c r="I183" s="74" t="s">
        <v>47</v>
      </c>
      <c r="J183" s="74" t="s">
        <v>9351</v>
      </c>
      <c r="K183" s="74"/>
      <c r="L183" s="74"/>
    </row>
    <row r="184" spans="1:12" ht="41.4">
      <c r="A184" s="73">
        <v>183</v>
      </c>
      <c r="B184" s="74" t="s">
        <v>9806</v>
      </c>
      <c r="C184" s="74" t="s">
        <v>9807</v>
      </c>
      <c r="D184" s="74" t="s">
        <v>153</v>
      </c>
      <c r="E184" s="74" t="s">
        <v>9344</v>
      </c>
      <c r="F184" s="74" t="s">
        <v>9345</v>
      </c>
      <c r="G184" s="74" t="s">
        <v>9686</v>
      </c>
      <c r="H184" s="74" t="s">
        <v>155</v>
      </c>
      <c r="I184" s="74" t="s">
        <v>47</v>
      </c>
      <c r="J184" s="74" t="s">
        <v>9347</v>
      </c>
      <c r="K184" s="74"/>
      <c r="L184" s="74"/>
    </row>
    <row r="185" spans="1:12" ht="41.4">
      <c r="A185" s="73">
        <v>184</v>
      </c>
      <c r="B185" s="74" t="s">
        <v>9808</v>
      </c>
      <c r="C185" s="74" t="s">
        <v>9809</v>
      </c>
      <c r="D185" s="74" t="s">
        <v>295</v>
      </c>
      <c r="E185" s="74" t="s">
        <v>9344</v>
      </c>
      <c r="F185" s="74" t="s">
        <v>9345</v>
      </c>
      <c r="G185" s="74" t="s">
        <v>9677</v>
      </c>
      <c r="H185" s="74" t="s">
        <v>407</v>
      </c>
      <c r="I185" s="74" t="s">
        <v>47</v>
      </c>
      <c r="J185" s="74" t="s">
        <v>9347</v>
      </c>
      <c r="K185" s="74"/>
      <c r="L185" s="74"/>
    </row>
    <row r="186" spans="1:12" ht="41.4">
      <c r="A186" s="73">
        <v>185</v>
      </c>
      <c r="B186" s="74" t="s">
        <v>9810</v>
      </c>
      <c r="C186" s="74" t="s">
        <v>1984</v>
      </c>
      <c r="D186" s="74" t="s">
        <v>41</v>
      </c>
      <c r="E186" s="74" t="s">
        <v>9344</v>
      </c>
      <c r="F186" s="74" t="s">
        <v>9345</v>
      </c>
      <c r="G186" s="74" t="s">
        <v>9757</v>
      </c>
      <c r="H186" s="74" t="s">
        <v>200</v>
      </c>
      <c r="I186" s="74" t="s">
        <v>47</v>
      </c>
      <c r="J186" s="74" t="s">
        <v>9811</v>
      </c>
      <c r="K186" s="74"/>
      <c r="L186" s="74"/>
    </row>
    <row r="187" spans="1:12" ht="69">
      <c r="A187" s="73">
        <v>186</v>
      </c>
      <c r="B187" s="74" t="s">
        <v>9812</v>
      </c>
      <c r="C187" s="74" t="s">
        <v>7730</v>
      </c>
      <c r="D187" s="74" t="s">
        <v>89</v>
      </c>
      <c r="E187" s="74" t="s">
        <v>9344</v>
      </c>
      <c r="F187" s="74" t="s">
        <v>9345</v>
      </c>
      <c r="G187" s="74" t="s">
        <v>9528</v>
      </c>
      <c r="H187" s="74" t="s">
        <v>91</v>
      </c>
      <c r="I187" s="74" t="s">
        <v>47</v>
      </c>
      <c r="J187" s="74" t="s">
        <v>9351</v>
      </c>
      <c r="K187" s="74" t="s">
        <v>9813</v>
      </c>
      <c r="L187" s="74" t="s">
        <v>711</v>
      </c>
    </row>
    <row r="188" spans="1:12" ht="41.4">
      <c r="A188" s="73">
        <v>187</v>
      </c>
      <c r="B188" s="74" t="s">
        <v>9814</v>
      </c>
      <c r="C188" s="74" t="s">
        <v>9815</v>
      </c>
      <c r="D188" s="74" t="s">
        <v>41</v>
      </c>
      <c r="E188" s="74" t="s">
        <v>9344</v>
      </c>
      <c r="F188" s="74" t="s">
        <v>9345</v>
      </c>
      <c r="G188" s="74" t="s">
        <v>9350</v>
      </c>
      <c r="H188" s="74" t="s">
        <v>662</v>
      </c>
      <c r="I188" s="74" t="s">
        <v>47</v>
      </c>
      <c r="J188" s="74" t="s">
        <v>9347</v>
      </c>
      <c r="K188" s="74"/>
      <c r="L188" s="74"/>
    </row>
    <row r="189" spans="1:12" ht="69">
      <c r="A189" s="73">
        <v>188</v>
      </c>
      <c r="B189" s="74" t="s">
        <v>9816</v>
      </c>
      <c r="C189" s="74" t="s">
        <v>9817</v>
      </c>
      <c r="D189" s="74" t="s">
        <v>89</v>
      </c>
      <c r="E189" s="74" t="s">
        <v>9344</v>
      </c>
      <c r="F189" s="74" t="s">
        <v>9345</v>
      </c>
      <c r="G189" s="74" t="s">
        <v>9528</v>
      </c>
      <c r="H189" s="74" t="s">
        <v>91</v>
      </c>
      <c r="I189" s="74" t="s">
        <v>47</v>
      </c>
      <c r="J189" s="74" t="s">
        <v>9351</v>
      </c>
      <c r="K189" s="74" t="s">
        <v>9818</v>
      </c>
      <c r="L189" s="74" t="s">
        <v>711</v>
      </c>
    </row>
    <row r="190" spans="1:12" ht="55.2">
      <c r="A190" s="73">
        <v>189</v>
      </c>
      <c r="B190" s="74" t="s">
        <v>9819</v>
      </c>
      <c r="C190" s="74" t="s">
        <v>9820</v>
      </c>
      <c r="D190" s="74" t="s">
        <v>153</v>
      </c>
      <c r="E190" s="74" t="s">
        <v>9344</v>
      </c>
      <c r="F190" s="74" t="s">
        <v>9345</v>
      </c>
      <c r="G190" s="74" t="s">
        <v>9568</v>
      </c>
      <c r="H190" s="74" t="s">
        <v>155</v>
      </c>
      <c r="I190" s="74" t="s">
        <v>47</v>
      </c>
      <c r="J190" s="74" t="s">
        <v>9347</v>
      </c>
      <c r="K190" s="74"/>
      <c r="L190" s="74"/>
    </row>
    <row r="191" spans="1:12" ht="41.4">
      <c r="A191" s="73">
        <v>190</v>
      </c>
      <c r="B191" s="74" t="s">
        <v>9821</v>
      </c>
      <c r="C191" s="74" t="s">
        <v>2394</v>
      </c>
      <c r="D191" s="74" t="s">
        <v>143</v>
      </c>
      <c r="E191" s="74" t="s">
        <v>9344</v>
      </c>
      <c r="F191" s="74" t="s">
        <v>9345</v>
      </c>
      <c r="G191" s="74" t="s">
        <v>9388</v>
      </c>
      <c r="H191" s="74" t="s">
        <v>597</v>
      </c>
      <c r="I191" s="74" t="s">
        <v>47</v>
      </c>
      <c r="J191" s="74" t="s">
        <v>9351</v>
      </c>
      <c r="K191" s="74" t="s">
        <v>9822</v>
      </c>
      <c r="L191" s="74" t="s">
        <v>370</v>
      </c>
    </row>
    <row r="192" spans="1:12" ht="69">
      <c r="A192" s="73">
        <v>191</v>
      </c>
      <c r="B192" s="74" t="s">
        <v>9823</v>
      </c>
      <c r="C192" s="74" t="s">
        <v>5930</v>
      </c>
      <c r="D192" s="74" t="s">
        <v>41</v>
      </c>
      <c r="E192" s="74" t="s">
        <v>9344</v>
      </c>
      <c r="F192" s="74" t="s">
        <v>9345</v>
      </c>
      <c r="G192" s="74" t="s">
        <v>9824</v>
      </c>
      <c r="H192" s="74" t="s">
        <v>46</v>
      </c>
      <c r="I192" s="74" t="s">
        <v>47</v>
      </c>
      <c r="J192" s="74" t="s">
        <v>9351</v>
      </c>
      <c r="K192" s="74" t="s">
        <v>9825</v>
      </c>
      <c r="L192" s="74" t="s">
        <v>331</v>
      </c>
    </row>
    <row r="193" spans="1:12" ht="41.4">
      <c r="A193" s="73">
        <v>192</v>
      </c>
      <c r="B193" s="74" t="s">
        <v>9826</v>
      </c>
      <c r="C193" s="74" t="s">
        <v>9827</v>
      </c>
      <c r="D193" s="74" t="s">
        <v>153</v>
      </c>
      <c r="E193" s="74" t="s">
        <v>9344</v>
      </c>
      <c r="F193" s="74" t="s">
        <v>9345</v>
      </c>
      <c r="G193" s="74" t="s">
        <v>9454</v>
      </c>
      <c r="H193" s="74" t="s">
        <v>155</v>
      </c>
      <c r="I193" s="74" t="s">
        <v>47</v>
      </c>
      <c r="J193" s="74" t="s">
        <v>9347</v>
      </c>
      <c r="K193" s="74" t="s">
        <v>9828</v>
      </c>
      <c r="L193" s="74" t="s">
        <v>701</v>
      </c>
    </row>
    <row r="194" spans="1:12" ht="41.4">
      <c r="A194" s="73">
        <v>193</v>
      </c>
      <c r="B194" s="74" t="s">
        <v>9829</v>
      </c>
      <c r="C194" s="74" t="s">
        <v>9830</v>
      </c>
      <c r="D194" s="74" t="s">
        <v>41</v>
      </c>
      <c r="E194" s="74" t="s">
        <v>9344</v>
      </c>
      <c r="F194" s="74" t="s">
        <v>9345</v>
      </c>
      <c r="G194" s="74" t="s">
        <v>9392</v>
      </c>
      <c r="H194" s="74" t="s">
        <v>200</v>
      </c>
      <c r="I194" s="74" t="s">
        <v>47</v>
      </c>
      <c r="J194" s="74" t="s">
        <v>9347</v>
      </c>
      <c r="K194" s="74"/>
      <c r="L194" s="74"/>
    </row>
    <row r="195" spans="1:12" ht="41.4">
      <c r="A195" s="73">
        <v>194</v>
      </c>
      <c r="B195" s="74" t="s">
        <v>9831</v>
      </c>
      <c r="C195" s="74" t="s">
        <v>3355</v>
      </c>
      <c r="D195" s="74" t="s">
        <v>153</v>
      </c>
      <c r="E195" s="74" t="s">
        <v>9344</v>
      </c>
      <c r="F195" s="74" t="s">
        <v>9345</v>
      </c>
      <c r="G195" s="74" t="s">
        <v>9753</v>
      </c>
      <c r="H195" s="74" t="s">
        <v>155</v>
      </c>
      <c r="I195" s="74" t="s">
        <v>47</v>
      </c>
      <c r="J195" s="74" t="s">
        <v>9347</v>
      </c>
      <c r="K195" s="74"/>
      <c r="L195" s="74"/>
    </row>
    <row r="196" spans="1:12" ht="41.4">
      <c r="A196" s="73">
        <v>195</v>
      </c>
      <c r="B196" s="74" t="s">
        <v>9832</v>
      </c>
      <c r="C196" s="74" t="s">
        <v>9833</v>
      </c>
      <c r="D196" s="74" t="s">
        <v>41</v>
      </c>
      <c r="E196" s="74" t="s">
        <v>9344</v>
      </c>
      <c r="F196" s="74" t="s">
        <v>9345</v>
      </c>
      <c r="G196" s="74" t="s">
        <v>9648</v>
      </c>
      <c r="H196" s="74" t="s">
        <v>200</v>
      </c>
      <c r="I196" s="74" t="s">
        <v>47</v>
      </c>
      <c r="J196" s="74" t="s">
        <v>9347</v>
      </c>
      <c r="K196" s="74"/>
      <c r="L196" s="74"/>
    </row>
    <row r="197" spans="1:12" ht="55.2">
      <c r="A197" s="73">
        <v>196</v>
      </c>
      <c r="B197" s="74" t="s">
        <v>9834</v>
      </c>
      <c r="C197" s="74" t="s">
        <v>9835</v>
      </c>
      <c r="D197" s="74" t="s">
        <v>153</v>
      </c>
      <c r="E197" s="74" t="s">
        <v>9344</v>
      </c>
      <c r="F197" s="74" t="s">
        <v>9345</v>
      </c>
      <c r="G197" s="74" t="s">
        <v>9836</v>
      </c>
      <c r="H197" s="74" t="s">
        <v>155</v>
      </c>
      <c r="I197" s="74" t="s">
        <v>47</v>
      </c>
      <c r="J197" s="74" t="s">
        <v>9347</v>
      </c>
      <c r="K197" s="74"/>
      <c r="L197" s="74"/>
    </row>
    <row r="198" spans="1:12" ht="55.2">
      <c r="A198" s="73">
        <v>197</v>
      </c>
      <c r="B198" s="74" t="s">
        <v>9837</v>
      </c>
      <c r="C198" s="74" t="s">
        <v>9838</v>
      </c>
      <c r="D198" s="74" t="s">
        <v>143</v>
      </c>
      <c r="E198" s="74" t="s">
        <v>9344</v>
      </c>
      <c r="F198" s="74" t="s">
        <v>9345</v>
      </c>
      <c r="G198" s="74" t="s">
        <v>9534</v>
      </c>
      <c r="H198" s="74" t="s">
        <v>145</v>
      </c>
      <c r="I198" s="74" t="s">
        <v>47</v>
      </c>
      <c r="J198" s="74" t="s">
        <v>9351</v>
      </c>
      <c r="K198" s="74"/>
      <c r="L198" s="74"/>
    </row>
    <row r="199" spans="1:12" ht="41.4">
      <c r="A199" s="73">
        <v>198</v>
      </c>
      <c r="B199" s="74" t="s">
        <v>9839</v>
      </c>
      <c r="C199" s="74" t="s">
        <v>9840</v>
      </c>
      <c r="D199" s="74" t="s">
        <v>89</v>
      </c>
      <c r="E199" s="74" t="s">
        <v>9344</v>
      </c>
      <c r="F199" s="74" t="s">
        <v>9345</v>
      </c>
      <c r="G199" s="74" t="s">
        <v>9723</v>
      </c>
      <c r="H199" s="74" t="s">
        <v>4024</v>
      </c>
      <c r="I199" s="74" t="s">
        <v>416</v>
      </c>
      <c r="J199" s="74" t="s">
        <v>9351</v>
      </c>
      <c r="K199" s="74" t="s">
        <v>9841</v>
      </c>
      <c r="L199" s="74" t="s">
        <v>701</v>
      </c>
    </row>
    <row r="200" spans="1:12" ht="41.4">
      <c r="A200" s="73">
        <v>199</v>
      </c>
      <c r="B200" s="74" t="s">
        <v>9842</v>
      </c>
      <c r="C200" s="74" t="s">
        <v>5173</v>
      </c>
      <c r="D200" s="74" t="s">
        <v>295</v>
      </c>
      <c r="E200" s="74" t="s">
        <v>9344</v>
      </c>
      <c r="F200" s="74" t="s">
        <v>9345</v>
      </c>
      <c r="G200" s="74" t="s">
        <v>9478</v>
      </c>
      <c r="H200" s="74" t="s">
        <v>407</v>
      </c>
      <c r="I200" s="74" t="s">
        <v>47</v>
      </c>
      <c r="J200" s="74" t="s">
        <v>9351</v>
      </c>
      <c r="K200" s="74" t="s">
        <v>9843</v>
      </c>
      <c r="L200" s="74" t="s">
        <v>318</v>
      </c>
    </row>
    <row r="201" spans="1:12" ht="41.4">
      <c r="A201" s="73">
        <v>200</v>
      </c>
      <c r="B201" s="74" t="s">
        <v>9844</v>
      </c>
      <c r="C201" s="74" t="s">
        <v>9845</v>
      </c>
      <c r="D201" s="74" t="s">
        <v>41</v>
      </c>
      <c r="E201" s="74" t="s">
        <v>9344</v>
      </c>
      <c r="F201" s="74" t="s">
        <v>9345</v>
      </c>
      <c r="G201" s="74" t="s">
        <v>9796</v>
      </c>
      <c r="H201" s="74" t="s">
        <v>200</v>
      </c>
      <c r="I201" s="74" t="s">
        <v>47</v>
      </c>
      <c r="J201" s="74" t="s">
        <v>9347</v>
      </c>
      <c r="K201" s="74"/>
      <c r="L201" s="74"/>
    </row>
    <row r="202" spans="1:12" ht="41.4">
      <c r="A202" s="73">
        <v>201</v>
      </c>
      <c r="B202" s="74" t="s">
        <v>9846</v>
      </c>
      <c r="C202" s="74" t="s">
        <v>2876</v>
      </c>
      <c r="D202" s="74" t="s">
        <v>143</v>
      </c>
      <c r="E202" s="74" t="s">
        <v>9344</v>
      </c>
      <c r="F202" s="74" t="s">
        <v>9345</v>
      </c>
      <c r="G202" s="74" t="s">
        <v>9388</v>
      </c>
      <c r="H202" s="74" t="s">
        <v>597</v>
      </c>
      <c r="I202" s="74" t="s">
        <v>416</v>
      </c>
      <c r="J202" s="74" t="s">
        <v>9351</v>
      </c>
      <c r="K202" s="74" t="s">
        <v>9847</v>
      </c>
      <c r="L202" s="74" t="s">
        <v>370</v>
      </c>
    </row>
    <row r="203" spans="1:12" ht="55.2">
      <c r="A203" s="73">
        <v>202</v>
      </c>
      <c r="B203" s="74" t="s">
        <v>9848</v>
      </c>
      <c r="C203" s="74" t="s">
        <v>8968</v>
      </c>
      <c r="D203" s="74" t="s">
        <v>295</v>
      </c>
      <c r="E203" s="74" t="s">
        <v>9344</v>
      </c>
      <c r="F203" s="74" t="s">
        <v>9345</v>
      </c>
      <c r="G203" s="74" t="s">
        <v>9579</v>
      </c>
      <c r="H203" s="74" t="s">
        <v>407</v>
      </c>
      <c r="I203" s="74" t="s">
        <v>47</v>
      </c>
      <c r="J203" s="74" t="s">
        <v>9347</v>
      </c>
      <c r="K203" s="74" t="s">
        <v>9849</v>
      </c>
      <c r="L203" s="74" t="s">
        <v>318</v>
      </c>
    </row>
    <row r="204" spans="1:12" ht="55.2">
      <c r="A204" s="73">
        <v>203</v>
      </c>
      <c r="B204" s="74" t="s">
        <v>9850</v>
      </c>
      <c r="C204" s="74" t="s">
        <v>9851</v>
      </c>
      <c r="D204" s="74" t="s">
        <v>41</v>
      </c>
      <c r="E204" s="74" t="s">
        <v>9344</v>
      </c>
      <c r="F204" s="74" t="s">
        <v>9345</v>
      </c>
      <c r="G204" s="74" t="s">
        <v>9757</v>
      </c>
      <c r="H204" s="74" t="s">
        <v>200</v>
      </c>
      <c r="I204" s="74" t="s">
        <v>47</v>
      </c>
      <c r="J204" s="74" t="s">
        <v>9347</v>
      </c>
      <c r="K204" s="74"/>
      <c r="L204" s="74"/>
    </row>
    <row r="205" spans="1:12" ht="55.2">
      <c r="A205" s="73">
        <v>204</v>
      </c>
      <c r="B205" s="74" t="s">
        <v>9852</v>
      </c>
      <c r="C205" s="74" t="s">
        <v>9853</v>
      </c>
      <c r="D205" s="74" t="s">
        <v>143</v>
      </c>
      <c r="E205" s="74" t="s">
        <v>9344</v>
      </c>
      <c r="F205" s="74" t="s">
        <v>9345</v>
      </c>
      <c r="G205" s="74" t="s">
        <v>9514</v>
      </c>
      <c r="H205" s="74" t="s">
        <v>327</v>
      </c>
      <c r="I205" s="74" t="s">
        <v>47</v>
      </c>
      <c r="J205" s="74" t="s">
        <v>9351</v>
      </c>
      <c r="K205" s="74" t="s">
        <v>9854</v>
      </c>
      <c r="L205" s="74" t="s">
        <v>370</v>
      </c>
    </row>
    <row r="206" spans="1:12" ht="41.4">
      <c r="A206" s="73">
        <v>205</v>
      </c>
      <c r="B206" s="74" t="s">
        <v>9855</v>
      </c>
      <c r="C206" s="74" t="s">
        <v>9856</v>
      </c>
      <c r="D206" s="74" t="s">
        <v>295</v>
      </c>
      <c r="E206" s="74" t="s">
        <v>9344</v>
      </c>
      <c r="F206" s="74" t="s">
        <v>9345</v>
      </c>
      <c r="G206" s="74" t="s">
        <v>9579</v>
      </c>
      <c r="H206" s="74" t="s">
        <v>407</v>
      </c>
      <c r="I206" s="74" t="s">
        <v>47</v>
      </c>
      <c r="J206" s="74" t="s">
        <v>9347</v>
      </c>
      <c r="K206" s="74"/>
      <c r="L206" s="74"/>
    </row>
    <row r="207" spans="1:12" ht="41.4">
      <c r="A207" s="73">
        <v>206</v>
      </c>
      <c r="B207" s="74" t="s">
        <v>9857</v>
      </c>
      <c r="C207" s="74" t="s">
        <v>2980</v>
      </c>
      <c r="D207" s="74" t="s">
        <v>295</v>
      </c>
      <c r="E207" s="74" t="s">
        <v>9344</v>
      </c>
      <c r="F207" s="74" t="s">
        <v>9345</v>
      </c>
      <c r="G207" s="74" t="s">
        <v>9708</v>
      </c>
      <c r="H207" s="74" t="s">
        <v>407</v>
      </c>
      <c r="I207" s="74" t="s">
        <v>47</v>
      </c>
      <c r="J207" s="74" t="s">
        <v>9351</v>
      </c>
      <c r="K207" s="74"/>
      <c r="L207" s="74"/>
    </row>
    <row r="208" spans="1:12" ht="69">
      <c r="A208" s="73">
        <v>207</v>
      </c>
      <c r="B208" s="74" t="s">
        <v>9858</v>
      </c>
      <c r="C208" s="74" t="s">
        <v>9859</v>
      </c>
      <c r="D208" s="74" t="s">
        <v>41</v>
      </c>
      <c r="E208" s="74" t="s">
        <v>9344</v>
      </c>
      <c r="F208" s="74" t="s">
        <v>9345</v>
      </c>
      <c r="G208" s="74" t="s">
        <v>9413</v>
      </c>
      <c r="H208" s="74" t="s">
        <v>46</v>
      </c>
      <c r="I208" s="74" t="s">
        <v>47</v>
      </c>
      <c r="J208" s="74" t="s">
        <v>9347</v>
      </c>
      <c r="K208" s="74" t="s">
        <v>9860</v>
      </c>
      <c r="L208" s="74" t="s">
        <v>331</v>
      </c>
    </row>
    <row r="209" spans="1:12" ht="41.4">
      <c r="A209" s="73">
        <v>208</v>
      </c>
      <c r="B209" s="74" t="s">
        <v>9861</v>
      </c>
      <c r="C209" s="74" t="s">
        <v>6395</v>
      </c>
      <c r="D209" s="74" t="s">
        <v>41</v>
      </c>
      <c r="E209" s="74" t="s">
        <v>9344</v>
      </c>
      <c r="F209" s="74" t="s">
        <v>9345</v>
      </c>
      <c r="G209" s="74" t="s">
        <v>9405</v>
      </c>
      <c r="H209" s="74" t="s">
        <v>662</v>
      </c>
      <c r="I209" s="74" t="s">
        <v>47</v>
      </c>
      <c r="J209" s="74" t="s">
        <v>9351</v>
      </c>
      <c r="K209" s="74"/>
      <c r="L209" s="74"/>
    </row>
    <row r="210" spans="1:12" ht="55.2">
      <c r="A210" s="73">
        <v>209</v>
      </c>
      <c r="B210" s="74" t="s">
        <v>9862</v>
      </c>
      <c r="C210" s="74" t="s">
        <v>9863</v>
      </c>
      <c r="D210" s="74" t="s">
        <v>295</v>
      </c>
      <c r="E210" s="74" t="s">
        <v>9344</v>
      </c>
      <c r="F210" s="74" t="s">
        <v>9345</v>
      </c>
      <c r="G210" s="74" t="s">
        <v>9864</v>
      </c>
      <c r="H210" s="74" t="s">
        <v>9865</v>
      </c>
      <c r="I210" s="74" t="s">
        <v>47</v>
      </c>
      <c r="J210" s="74" t="s">
        <v>9347</v>
      </c>
      <c r="K210" s="74"/>
      <c r="L210" s="74"/>
    </row>
    <row r="211" spans="1:12" ht="55.2">
      <c r="A211" s="73">
        <v>210</v>
      </c>
      <c r="B211" s="74" t="s">
        <v>9866</v>
      </c>
      <c r="C211" s="74" t="s">
        <v>8348</v>
      </c>
      <c r="D211" s="74" t="s">
        <v>295</v>
      </c>
      <c r="E211" s="74" t="s">
        <v>9344</v>
      </c>
      <c r="F211" s="74" t="s">
        <v>9345</v>
      </c>
      <c r="G211" s="74" t="s">
        <v>9489</v>
      </c>
      <c r="H211" s="74" t="s">
        <v>407</v>
      </c>
      <c r="I211" s="74" t="s">
        <v>47</v>
      </c>
      <c r="J211" s="74" t="s">
        <v>9347</v>
      </c>
      <c r="K211" s="74"/>
      <c r="L211" s="74"/>
    </row>
    <row r="212" spans="1:12" ht="41.4">
      <c r="A212" s="73">
        <v>211</v>
      </c>
      <c r="B212" s="74" t="s">
        <v>9867</v>
      </c>
      <c r="C212" s="74" t="s">
        <v>9868</v>
      </c>
      <c r="D212" s="74" t="s">
        <v>153</v>
      </c>
      <c r="E212" s="74" t="s">
        <v>9344</v>
      </c>
      <c r="F212" s="74" t="s">
        <v>9345</v>
      </c>
      <c r="G212" s="74" t="s">
        <v>9781</v>
      </c>
      <c r="H212" s="74" t="s">
        <v>155</v>
      </c>
      <c r="I212" s="74" t="s">
        <v>47</v>
      </c>
      <c r="J212" s="74" t="s">
        <v>9347</v>
      </c>
      <c r="K212" s="74" t="s">
        <v>9869</v>
      </c>
      <c r="L212" s="74" t="s">
        <v>3207</v>
      </c>
    </row>
    <row r="213" spans="1:12" ht="41.4">
      <c r="A213" s="73">
        <v>212</v>
      </c>
      <c r="B213" s="74" t="s">
        <v>9870</v>
      </c>
      <c r="C213" s="74" t="s">
        <v>9871</v>
      </c>
      <c r="D213" s="74" t="s">
        <v>41</v>
      </c>
      <c r="E213" s="74" t="s">
        <v>9344</v>
      </c>
      <c r="F213" s="74" t="s">
        <v>9345</v>
      </c>
      <c r="G213" s="74" t="s">
        <v>9350</v>
      </c>
      <c r="H213" s="74" t="s">
        <v>662</v>
      </c>
      <c r="I213" s="74" t="s">
        <v>47</v>
      </c>
      <c r="J213" s="74" t="s">
        <v>9347</v>
      </c>
      <c r="K213" s="74"/>
      <c r="L213" s="74"/>
    </row>
    <row r="214" spans="1:12" ht="41.4">
      <c r="A214" s="73">
        <v>213</v>
      </c>
      <c r="B214" s="74" t="s">
        <v>9872</v>
      </c>
      <c r="C214" s="74" t="s">
        <v>8937</v>
      </c>
      <c r="D214" s="74" t="s">
        <v>89</v>
      </c>
      <c r="E214" s="74" t="s">
        <v>9344</v>
      </c>
      <c r="F214" s="74" t="s">
        <v>9345</v>
      </c>
      <c r="G214" s="74" t="s">
        <v>9358</v>
      </c>
      <c r="H214" s="74" t="s">
        <v>102</v>
      </c>
      <c r="I214" s="74" t="s">
        <v>416</v>
      </c>
      <c r="J214" s="74" t="s">
        <v>9351</v>
      </c>
      <c r="K214" s="74" t="s">
        <v>9873</v>
      </c>
      <c r="L214" s="74" t="s">
        <v>711</v>
      </c>
    </row>
    <row r="215" spans="1:12" ht="55.2">
      <c r="A215" s="73">
        <v>214</v>
      </c>
      <c r="B215" s="74" t="s">
        <v>9874</v>
      </c>
      <c r="C215" s="74" t="s">
        <v>9875</v>
      </c>
      <c r="D215" s="74" t="s">
        <v>153</v>
      </c>
      <c r="E215" s="74" t="s">
        <v>9344</v>
      </c>
      <c r="F215" s="74" t="s">
        <v>9345</v>
      </c>
      <c r="G215" s="74" t="s">
        <v>9485</v>
      </c>
      <c r="H215" s="74" t="s">
        <v>155</v>
      </c>
      <c r="I215" s="74" t="s">
        <v>47</v>
      </c>
      <c r="J215" s="74" t="s">
        <v>9347</v>
      </c>
      <c r="K215" s="74"/>
      <c r="L215" s="74"/>
    </row>
    <row r="216" spans="1:12" ht="55.2">
      <c r="A216" s="73">
        <v>215</v>
      </c>
      <c r="B216" s="74" t="s">
        <v>9876</v>
      </c>
      <c r="C216" s="74" t="s">
        <v>9877</v>
      </c>
      <c r="D216" s="74" t="s">
        <v>295</v>
      </c>
      <c r="E216" s="74" t="s">
        <v>9344</v>
      </c>
      <c r="F216" s="74" t="s">
        <v>9345</v>
      </c>
      <c r="G216" s="74" t="s">
        <v>9489</v>
      </c>
      <c r="H216" s="74" t="s">
        <v>407</v>
      </c>
      <c r="I216" s="74" t="s">
        <v>47</v>
      </c>
      <c r="J216" s="74" t="s">
        <v>9347</v>
      </c>
      <c r="K216" s="74"/>
      <c r="L216" s="74"/>
    </row>
    <row r="217" spans="1:12" ht="41.4">
      <c r="A217" s="73">
        <v>216</v>
      </c>
      <c r="B217" s="74" t="s">
        <v>9878</v>
      </c>
      <c r="C217" s="74" t="s">
        <v>9879</v>
      </c>
      <c r="D217" s="74" t="s">
        <v>295</v>
      </c>
      <c r="E217" s="74" t="s">
        <v>9344</v>
      </c>
      <c r="F217" s="74" t="s">
        <v>9345</v>
      </c>
      <c r="G217" s="74" t="s">
        <v>9355</v>
      </c>
      <c r="H217" s="74" t="s">
        <v>297</v>
      </c>
      <c r="I217" s="74" t="s">
        <v>47</v>
      </c>
      <c r="J217" s="74" t="s">
        <v>9347</v>
      </c>
      <c r="K217" s="74"/>
      <c r="L217" s="74"/>
    </row>
    <row r="218" spans="1:12" ht="41.4">
      <c r="A218" s="73">
        <v>217</v>
      </c>
      <c r="B218" s="74" t="s">
        <v>9880</v>
      </c>
      <c r="C218" s="74" t="s">
        <v>9881</v>
      </c>
      <c r="D218" s="74" t="s">
        <v>295</v>
      </c>
      <c r="E218" s="74" t="s">
        <v>9344</v>
      </c>
      <c r="F218" s="74" t="s">
        <v>9345</v>
      </c>
      <c r="G218" s="74" t="s">
        <v>9708</v>
      </c>
      <c r="H218" s="74" t="s">
        <v>407</v>
      </c>
      <c r="I218" s="74" t="s">
        <v>47</v>
      </c>
      <c r="J218" s="74" t="s">
        <v>9347</v>
      </c>
      <c r="K218" s="74"/>
      <c r="L218" s="74"/>
    </row>
    <row r="219" spans="1:12" ht="69">
      <c r="A219" s="73">
        <v>218</v>
      </c>
      <c r="B219" s="74" t="s">
        <v>9882</v>
      </c>
      <c r="C219" s="74" t="s">
        <v>9883</v>
      </c>
      <c r="D219" s="74" t="s">
        <v>295</v>
      </c>
      <c r="E219" s="74" t="s">
        <v>9344</v>
      </c>
      <c r="F219" s="74" t="s">
        <v>9345</v>
      </c>
      <c r="G219" s="74" t="s">
        <v>9537</v>
      </c>
      <c r="H219" s="74" t="s">
        <v>9538</v>
      </c>
      <c r="I219" s="74" t="s">
        <v>47</v>
      </c>
      <c r="J219" s="74" t="s">
        <v>9347</v>
      </c>
      <c r="K219" s="74"/>
      <c r="L219" s="74"/>
    </row>
    <row r="220" spans="1:12" ht="69">
      <c r="A220" s="73">
        <v>219</v>
      </c>
      <c r="B220" s="74" t="s">
        <v>9884</v>
      </c>
      <c r="C220" s="74" t="s">
        <v>9885</v>
      </c>
      <c r="D220" s="74" t="s">
        <v>89</v>
      </c>
      <c r="E220" s="74" t="s">
        <v>9344</v>
      </c>
      <c r="F220" s="74" t="s">
        <v>9345</v>
      </c>
      <c r="G220" s="74" t="s">
        <v>9682</v>
      </c>
      <c r="H220" s="74" t="s">
        <v>91</v>
      </c>
      <c r="I220" s="74" t="s">
        <v>416</v>
      </c>
      <c r="J220" s="74" t="s">
        <v>9351</v>
      </c>
      <c r="K220" s="74" t="s">
        <v>9886</v>
      </c>
      <c r="L220" s="74" t="s">
        <v>711</v>
      </c>
    </row>
    <row r="221" spans="1:12" ht="69">
      <c r="A221" s="73">
        <v>220</v>
      </c>
      <c r="B221" s="74" t="s">
        <v>9887</v>
      </c>
      <c r="C221" s="74" t="s">
        <v>9888</v>
      </c>
      <c r="D221" s="74" t="s">
        <v>41</v>
      </c>
      <c r="E221" s="74" t="s">
        <v>9344</v>
      </c>
      <c r="F221" s="74" t="s">
        <v>9345</v>
      </c>
      <c r="G221" s="74" t="s">
        <v>9413</v>
      </c>
      <c r="H221" s="74" t="s">
        <v>46</v>
      </c>
      <c r="I221" s="74" t="s">
        <v>47</v>
      </c>
      <c r="J221" s="74" t="s">
        <v>9347</v>
      </c>
      <c r="K221" s="74"/>
      <c r="L221" s="74"/>
    </row>
    <row r="222" spans="1:12" ht="69">
      <c r="A222" s="73">
        <v>221</v>
      </c>
      <c r="B222" s="74" t="s">
        <v>9889</v>
      </c>
      <c r="C222" s="74" t="s">
        <v>9890</v>
      </c>
      <c r="D222" s="74" t="s">
        <v>89</v>
      </c>
      <c r="E222" s="74" t="s">
        <v>9344</v>
      </c>
      <c r="F222" s="74" t="s">
        <v>9345</v>
      </c>
      <c r="G222" s="74" t="s">
        <v>9682</v>
      </c>
      <c r="H222" s="74" t="s">
        <v>91</v>
      </c>
      <c r="I222" s="74" t="s">
        <v>416</v>
      </c>
      <c r="J222" s="74" t="s">
        <v>9351</v>
      </c>
      <c r="K222" s="74" t="s">
        <v>9891</v>
      </c>
      <c r="L222" s="74" t="s">
        <v>711</v>
      </c>
    </row>
    <row r="223" spans="1:12" ht="55.2">
      <c r="A223" s="73">
        <v>222</v>
      </c>
      <c r="B223" s="74" t="s">
        <v>9892</v>
      </c>
      <c r="C223" s="74" t="s">
        <v>9893</v>
      </c>
      <c r="D223" s="74" t="s">
        <v>295</v>
      </c>
      <c r="E223" s="74" t="s">
        <v>9344</v>
      </c>
      <c r="F223" s="74" t="s">
        <v>9345</v>
      </c>
      <c r="G223" s="74" t="s">
        <v>9864</v>
      </c>
      <c r="H223" s="74" t="s">
        <v>9865</v>
      </c>
      <c r="I223" s="74" t="s">
        <v>47</v>
      </c>
      <c r="J223" s="74" t="s">
        <v>9347</v>
      </c>
      <c r="K223" s="74"/>
      <c r="L223" s="74"/>
    </row>
    <row r="224" spans="1:12" ht="69">
      <c r="A224" s="73">
        <v>223</v>
      </c>
      <c r="B224" s="74" t="s">
        <v>9894</v>
      </c>
      <c r="C224" s="74" t="s">
        <v>9895</v>
      </c>
      <c r="D224" s="74" t="s">
        <v>41</v>
      </c>
      <c r="E224" s="74" t="s">
        <v>9344</v>
      </c>
      <c r="F224" s="74" t="s">
        <v>9345</v>
      </c>
      <c r="G224" s="74" t="s">
        <v>9824</v>
      </c>
      <c r="H224" s="74" t="s">
        <v>46</v>
      </c>
      <c r="I224" s="74" t="s">
        <v>47</v>
      </c>
      <c r="J224" s="74" t="s">
        <v>9351</v>
      </c>
      <c r="K224" s="74" t="s">
        <v>9896</v>
      </c>
      <c r="L224" s="74" t="s">
        <v>331</v>
      </c>
    </row>
    <row r="225" spans="1:12" ht="55.2">
      <c r="A225" s="73">
        <v>224</v>
      </c>
      <c r="B225" s="74" t="s">
        <v>9897</v>
      </c>
      <c r="C225" s="74" t="s">
        <v>6386</v>
      </c>
      <c r="D225" s="74" t="s">
        <v>68</v>
      </c>
      <c r="E225" s="74" t="s">
        <v>9344</v>
      </c>
      <c r="F225" s="74" t="s">
        <v>9345</v>
      </c>
      <c r="G225" s="74" t="s">
        <v>9378</v>
      </c>
      <c r="H225" s="74" t="s">
        <v>70</v>
      </c>
      <c r="I225" s="74" t="s">
        <v>47</v>
      </c>
      <c r="J225" s="74" t="s">
        <v>9351</v>
      </c>
      <c r="K225" s="74" t="s">
        <v>9898</v>
      </c>
      <c r="L225" s="74" t="s">
        <v>3207</v>
      </c>
    </row>
    <row r="226" spans="1:12" ht="41.4">
      <c r="A226" s="73">
        <v>225</v>
      </c>
      <c r="B226" s="74" t="s">
        <v>9899</v>
      </c>
      <c r="C226" s="74" t="s">
        <v>3158</v>
      </c>
      <c r="D226" s="74" t="s">
        <v>41</v>
      </c>
      <c r="E226" s="74" t="s">
        <v>9344</v>
      </c>
      <c r="F226" s="74" t="s">
        <v>9345</v>
      </c>
      <c r="G226" s="74" t="s">
        <v>9665</v>
      </c>
      <c r="H226" s="74" t="s">
        <v>662</v>
      </c>
      <c r="I226" s="74" t="s">
        <v>47</v>
      </c>
      <c r="J226" s="74" t="s">
        <v>9351</v>
      </c>
      <c r="K226" s="74" t="s">
        <v>9900</v>
      </c>
      <c r="L226" s="74" t="s">
        <v>1916</v>
      </c>
    </row>
    <row r="227" spans="1:12" ht="69">
      <c r="A227" s="73">
        <v>226</v>
      </c>
      <c r="B227" s="74" t="s">
        <v>9901</v>
      </c>
      <c r="C227" s="74" t="s">
        <v>9902</v>
      </c>
      <c r="D227" s="74" t="s">
        <v>41</v>
      </c>
      <c r="E227" s="74" t="s">
        <v>9344</v>
      </c>
      <c r="F227" s="74" t="s">
        <v>9345</v>
      </c>
      <c r="G227" s="74" t="s">
        <v>9824</v>
      </c>
      <c r="H227" s="74" t="s">
        <v>46</v>
      </c>
      <c r="I227" s="74" t="s">
        <v>47</v>
      </c>
      <c r="J227" s="74" t="s">
        <v>9811</v>
      </c>
      <c r="K227" s="74"/>
      <c r="L227" s="74"/>
    </row>
    <row r="228" spans="1:12" ht="41.4">
      <c r="A228" s="73">
        <v>227</v>
      </c>
      <c r="B228" s="74" t="s">
        <v>9903</v>
      </c>
      <c r="C228" s="74" t="s">
        <v>3478</v>
      </c>
      <c r="D228" s="74" t="s">
        <v>89</v>
      </c>
      <c r="E228" s="74" t="s">
        <v>9344</v>
      </c>
      <c r="F228" s="74" t="s">
        <v>9345</v>
      </c>
      <c r="G228" s="74" t="s">
        <v>9723</v>
      </c>
      <c r="H228" s="74" t="s">
        <v>4024</v>
      </c>
      <c r="I228" s="74" t="s">
        <v>416</v>
      </c>
      <c r="J228" s="74" t="s">
        <v>9351</v>
      </c>
      <c r="K228" s="74" t="s">
        <v>9904</v>
      </c>
      <c r="L228" s="74" t="s">
        <v>331</v>
      </c>
    </row>
    <row r="229" spans="1:12" ht="41.4">
      <c r="A229" s="73">
        <v>228</v>
      </c>
      <c r="B229" s="74" t="s">
        <v>9905</v>
      </c>
      <c r="C229" s="74" t="s">
        <v>9906</v>
      </c>
      <c r="D229" s="74" t="s">
        <v>153</v>
      </c>
      <c r="E229" s="74" t="s">
        <v>9344</v>
      </c>
      <c r="F229" s="74" t="s">
        <v>9345</v>
      </c>
      <c r="G229" s="74" t="s">
        <v>9686</v>
      </c>
      <c r="H229" s="74" t="s">
        <v>155</v>
      </c>
      <c r="I229" s="74" t="s">
        <v>47</v>
      </c>
      <c r="J229" s="74" t="s">
        <v>9347</v>
      </c>
      <c r="K229" s="74"/>
      <c r="L229" s="74"/>
    </row>
    <row r="230" spans="1:12" ht="55.2">
      <c r="A230" s="73">
        <v>229</v>
      </c>
      <c r="B230" s="74" t="s">
        <v>9907</v>
      </c>
      <c r="C230" s="74" t="s">
        <v>9908</v>
      </c>
      <c r="D230" s="74" t="s">
        <v>295</v>
      </c>
      <c r="E230" s="74" t="s">
        <v>9344</v>
      </c>
      <c r="F230" s="74" t="s">
        <v>9345</v>
      </c>
      <c r="G230" s="74" t="s">
        <v>9489</v>
      </c>
      <c r="H230" s="74" t="s">
        <v>407</v>
      </c>
      <c r="I230" s="74" t="s">
        <v>47</v>
      </c>
      <c r="J230" s="74" t="s">
        <v>9347</v>
      </c>
      <c r="K230" s="74"/>
      <c r="L230" s="74"/>
    </row>
    <row r="231" spans="1:12" ht="55.2">
      <c r="A231" s="73">
        <v>230</v>
      </c>
      <c r="B231" s="74" t="s">
        <v>9909</v>
      </c>
      <c r="C231" s="74" t="s">
        <v>6183</v>
      </c>
      <c r="D231" s="74" t="s">
        <v>143</v>
      </c>
      <c r="E231" s="74" t="s">
        <v>9344</v>
      </c>
      <c r="F231" s="74" t="s">
        <v>9345</v>
      </c>
      <c r="G231" s="74" t="s">
        <v>9910</v>
      </c>
      <c r="H231" s="74" t="s">
        <v>145</v>
      </c>
      <c r="I231" s="74" t="s">
        <v>47</v>
      </c>
      <c r="J231" s="74" t="s">
        <v>9351</v>
      </c>
      <c r="K231" s="74" t="s">
        <v>9911</v>
      </c>
      <c r="L231" s="74" t="s">
        <v>251</v>
      </c>
    </row>
    <row r="232" spans="1:12" ht="69">
      <c r="A232" s="73">
        <v>231</v>
      </c>
      <c r="B232" s="74" t="s">
        <v>9912</v>
      </c>
      <c r="C232" s="74" t="s">
        <v>9913</v>
      </c>
      <c r="D232" s="74" t="s">
        <v>41</v>
      </c>
      <c r="E232" s="74" t="s">
        <v>9344</v>
      </c>
      <c r="F232" s="74" t="s">
        <v>9345</v>
      </c>
      <c r="G232" s="74" t="s">
        <v>9368</v>
      </c>
      <c r="H232" s="74" t="s">
        <v>46</v>
      </c>
      <c r="I232" s="74" t="s">
        <v>47</v>
      </c>
      <c r="J232" s="74" t="s">
        <v>9351</v>
      </c>
      <c r="K232" s="74"/>
      <c r="L232" s="74"/>
    </row>
    <row r="233" spans="1:12" ht="41.4">
      <c r="A233" s="73">
        <v>232</v>
      </c>
      <c r="B233" s="74" t="s">
        <v>9914</v>
      </c>
      <c r="C233" s="74" t="s">
        <v>6295</v>
      </c>
      <c r="D233" s="74" t="s">
        <v>41</v>
      </c>
      <c r="E233" s="74" t="s">
        <v>9344</v>
      </c>
      <c r="F233" s="74" t="s">
        <v>9345</v>
      </c>
      <c r="G233" s="74" t="s">
        <v>9364</v>
      </c>
      <c r="H233" s="74" t="s">
        <v>662</v>
      </c>
      <c r="I233" s="74" t="s">
        <v>47</v>
      </c>
      <c r="J233" s="74" t="s">
        <v>9347</v>
      </c>
      <c r="K233" s="74"/>
      <c r="L233" s="74"/>
    </row>
    <row r="234" spans="1:12" ht="55.2">
      <c r="A234" s="73">
        <v>233</v>
      </c>
      <c r="B234" s="74" t="s">
        <v>9915</v>
      </c>
      <c r="C234" s="74" t="s">
        <v>2421</v>
      </c>
      <c r="D234" s="74" t="s">
        <v>143</v>
      </c>
      <c r="E234" s="74" t="s">
        <v>9344</v>
      </c>
      <c r="F234" s="74" t="s">
        <v>9345</v>
      </c>
      <c r="G234" s="74" t="s">
        <v>9916</v>
      </c>
      <c r="H234" s="74" t="s">
        <v>327</v>
      </c>
      <c r="I234" s="74" t="s">
        <v>47</v>
      </c>
      <c r="J234" s="74" t="s">
        <v>9351</v>
      </c>
      <c r="K234" s="74"/>
      <c r="L234" s="74"/>
    </row>
    <row r="235" spans="1:12" ht="41.4">
      <c r="A235" s="73">
        <v>234</v>
      </c>
      <c r="B235" s="74" t="s">
        <v>9917</v>
      </c>
      <c r="C235" s="74" t="s">
        <v>9918</v>
      </c>
      <c r="D235" s="74" t="s">
        <v>41</v>
      </c>
      <c r="E235" s="74" t="s">
        <v>9344</v>
      </c>
      <c r="F235" s="74" t="s">
        <v>9345</v>
      </c>
      <c r="G235" s="74" t="s">
        <v>9796</v>
      </c>
      <c r="H235" s="74" t="s">
        <v>200</v>
      </c>
      <c r="I235" s="74" t="s">
        <v>47</v>
      </c>
      <c r="J235" s="74" t="s">
        <v>9347</v>
      </c>
      <c r="K235" s="74"/>
      <c r="L235" s="74"/>
    </row>
    <row r="236" spans="1:12" ht="41.4">
      <c r="A236" s="73">
        <v>235</v>
      </c>
      <c r="B236" s="74" t="s">
        <v>9919</v>
      </c>
      <c r="C236" s="74" t="s">
        <v>9920</v>
      </c>
      <c r="D236" s="74" t="s">
        <v>153</v>
      </c>
      <c r="E236" s="74" t="s">
        <v>9344</v>
      </c>
      <c r="F236" s="74" t="s">
        <v>9345</v>
      </c>
      <c r="G236" s="74" t="s">
        <v>9468</v>
      </c>
      <c r="H236" s="74" t="s">
        <v>155</v>
      </c>
      <c r="I236" s="74" t="s">
        <v>47</v>
      </c>
      <c r="J236" s="74" t="s">
        <v>9347</v>
      </c>
      <c r="K236" s="74"/>
      <c r="L236" s="74"/>
    </row>
    <row r="237" spans="1:12" ht="69">
      <c r="A237" s="73">
        <v>236</v>
      </c>
      <c r="B237" s="74" t="s">
        <v>9921</v>
      </c>
      <c r="C237" s="74" t="s">
        <v>9922</v>
      </c>
      <c r="D237" s="74" t="s">
        <v>41</v>
      </c>
      <c r="E237" s="74" t="s">
        <v>9344</v>
      </c>
      <c r="F237" s="74" t="s">
        <v>9345</v>
      </c>
      <c r="G237" s="74" t="s">
        <v>9413</v>
      </c>
      <c r="H237" s="74" t="s">
        <v>46</v>
      </c>
      <c r="I237" s="74" t="s">
        <v>47</v>
      </c>
      <c r="J237" s="74" t="s">
        <v>9347</v>
      </c>
      <c r="K237" s="74"/>
      <c r="L237" s="74"/>
    </row>
    <row r="238" spans="1:12" ht="41.4">
      <c r="A238" s="73">
        <v>237</v>
      </c>
      <c r="B238" s="74" t="s">
        <v>9923</v>
      </c>
      <c r="C238" s="74" t="s">
        <v>2711</v>
      </c>
      <c r="D238" s="74" t="s">
        <v>41</v>
      </c>
      <c r="E238" s="74" t="s">
        <v>9344</v>
      </c>
      <c r="F238" s="74" t="s">
        <v>9345</v>
      </c>
      <c r="G238" s="74" t="s">
        <v>9591</v>
      </c>
      <c r="H238" s="74" t="s">
        <v>130</v>
      </c>
      <c r="I238" s="74" t="s">
        <v>47</v>
      </c>
      <c r="J238" s="74" t="s">
        <v>9347</v>
      </c>
      <c r="K238" s="74"/>
      <c r="L238" s="74"/>
    </row>
    <row r="239" spans="1:12" ht="41.4">
      <c r="A239" s="73">
        <v>238</v>
      </c>
      <c r="B239" s="74" t="s">
        <v>9924</v>
      </c>
      <c r="C239" s="74" t="s">
        <v>9925</v>
      </c>
      <c r="D239" s="74" t="s">
        <v>295</v>
      </c>
      <c r="E239" s="74" t="s">
        <v>9344</v>
      </c>
      <c r="F239" s="74" t="s">
        <v>9345</v>
      </c>
      <c r="G239" s="74" t="s">
        <v>9346</v>
      </c>
      <c r="H239" s="74" t="s">
        <v>297</v>
      </c>
      <c r="I239" s="74" t="s">
        <v>47</v>
      </c>
      <c r="J239" s="74" t="s">
        <v>9347</v>
      </c>
      <c r="K239" s="74"/>
      <c r="L239" s="74"/>
    </row>
    <row r="240" spans="1:12" ht="55.2">
      <c r="A240" s="73">
        <v>239</v>
      </c>
      <c r="B240" s="74" t="s">
        <v>9926</v>
      </c>
      <c r="C240" s="74" t="s">
        <v>9927</v>
      </c>
      <c r="D240" s="74" t="s">
        <v>153</v>
      </c>
      <c r="E240" s="74" t="s">
        <v>9344</v>
      </c>
      <c r="F240" s="74" t="s">
        <v>9345</v>
      </c>
      <c r="G240" s="74" t="s">
        <v>9781</v>
      </c>
      <c r="H240" s="74" t="s">
        <v>155</v>
      </c>
      <c r="I240" s="74" t="s">
        <v>47</v>
      </c>
      <c r="J240" s="74" t="s">
        <v>9351</v>
      </c>
      <c r="K240" s="74"/>
      <c r="L240" s="74"/>
    </row>
    <row r="241" spans="1:12" ht="55.2">
      <c r="A241" s="73">
        <v>240</v>
      </c>
      <c r="B241" s="74" t="s">
        <v>9928</v>
      </c>
      <c r="C241" s="74" t="s">
        <v>9929</v>
      </c>
      <c r="D241" s="74" t="s">
        <v>41</v>
      </c>
      <c r="E241" s="74" t="s">
        <v>9344</v>
      </c>
      <c r="F241" s="74" t="s">
        <v>9345</v>
      </c>
      <c r="G241" s="74" t="s">
        <v>9451</v>
      </c>
      <c r="H241" s="74" t="s">
        <v>130</v>
      </c>
      <c r="I241" s="74" t="s">
        <v>47</v>
      </c>
      <c r="J241" s="74" t="s">
        <v>9347</v>
      </c>
      <c r="K241" s="74"/>
      <c r="L241" s="74"/>
    </row>
    <row r="242" spans="1:12" ht="41.4">
      <c r="A242" s="73">
        <v>241</v>
      </c>
      <c r="B242" s="74" t="s">
        <v>9930</v>
      </c>
      <c r="C242" s="74" t="s">
        <v>9931</v>
      </c>
      <c r="D242" s="74" t="s">
        <v>143</v>
      </c>
      <c r="E242" s="74" t="s">
        <v>9344</v>
      </c>
      <c r="F242" s="74" t="s">
        <v>9345</v>
      </c>
      <c r="G242" s="74" t="s">
        <v>9388</v>
      </c>
      <c r="H242" s="74" t="s">
        <v>597</v>
      </c>
      <c r="I242" s="74" t="s">
        <v>47</v>
      </c>
      <c r="J242" s="74" t="s">
        <v>9351</v>
      </c>
      <c r="K242" s="74"/>
      <c r="L242" s="74"/>
    </row>
    <row r="243" spans="1:12" ht="69">
      <c r="A243" s="73">
        <v>242</v>
      </c>
      <c r="B243" s="74" t="s">
        <v>9932</v>
      </c>
      <c r="C243" s="74" t="s">
        <v>9933</v>
      </c>
      <c r="D243" s="74" t="s">
        <v>41</v>
      </c>
      <c r="E243" s="74" t="s">
        <v>9344</v>
      </c>
      <c r="F243" s="74" t="s">
        <v>9345</v>
      </c>
      <c r="G243" s="74" t="s">
        <v>9368</v>
      </c>
      <c r="H243" s="74" t="s">
        <v>46</v>
      </c>
      <c r="I243" s="74" t="s">
        <v>47</v>
      </c>
      <c r="J243" s="74" t="s">
        <v>9347</v>
      </c>
      <c r="K243" s="74"/>
      <c r="L243" s="74"/>
    </row>
    <row r="244" spans="1:12" ht="55.2">
      <c r="A244" s="73">
        <v>243</v>
      </c>
      <c r="B244" s="74" t="s">
        <v>9934</v>
      </c>
      <c r="C244" s="74" t="s">
        <v>9935</v>
      </c>
      <c r="D244" s="74" t="s">
        <v>41</v>
      </c>
      <c r="E244" s="74" t="s">
        <v>9344</v>
      </c>
      <c r="F244" s="74" t="s">
        <v>9345</v>
      </c>
      <c r="G244" s="74" t="s">
        <v>9648</v>
      </c>
      <c r="H244" s="74" t="s">
        <v>200</v>
      </c>
      <c r="I244" s="74" t="s">
        <v>47</v>
      </c>
      <c r="J244" s="74" t="s">
        <v>9347</v>
      </c>
      <c r="K244" s="74"/>
      <c r="L244" s="74"/>
    </row>
    <row r="245" spans="1:12" ht="55.2">
      <c r="A245" s="73">
        <v>244</v>
      </c>
      <c r="B245" s="74" t="s">
        <v>9936</v>
      </c>
      <c r="C245" s="74" t="s">
        <v>9937</v>
      </c>
      <c r="D245" s="74" t="s">
        <v>41</v>
      </c>
      <c r="E245" s="74" t="s">
        <v>9344</v>
      </c>
      <c r="F245" s="74" t="s">
        <v>9345</v>
      </c>
      <c r="G245" s="74" t="s">
        <v>9451</v>
      </c>
      <c r="H245" s="74" t="s">
        <v>130</v>
      </c>
      <c r="I245" s="74" t="s">
        <v>47</v>
      </c>
      <c r="J245" s="74" t="s">
        <v>9347</v>
      </c>
      <c r="K245" s="74"/>
      <c r="L245" s="74"/>
    </row>
    <row r="246" spans="1:12" ht="41.4">
      <c r="A246" s="73">
        <v>245</v>
      </c>
      <c r="B246" s="74" t="s">
        <v>9938</v>
      </c>
      <c r="C246" s="74" t="s">
        <v>9939</v>
      </c>
      <c r="D246" s="74" t="s">
        <v>295</v>
      </c>
      <c r="E246" s="74" t="s">
        <v>9344</v>
      </c>
      <c r="F246" s="74" t="s">
        <v>9345</v>
      </c>
      <c r="G246" s="74" t="s">
        <v>9864</v>
      </c>
      <c r="H246" s="74" t="s">
        <v>9865</v>
      </c>
      <c r="I246" s="74" t="s">
        <v>47</v>
      </c>
      <c r="J246" s="74" t="s">
        <v>9347</v>
      </c>
      <c r="K246" s="74"/>
      <c r="L246" s="74"/>
    </row>
    <row r="247" spans="1:12" ht="69">
      <c r="A247" s="73">
        <v>246</v>
      </c>
      <c r="B247" s="74" t="s">
        <v>9940</v>
      </c>
      <c r="C247" s="74" t="s">
        <v>9941</v>
      </c>
      <c r="D247" s="74" t="s">
        <v>295</v>
      </c>
      <c r="E247" s="74" t="s">
        <v>9344</v>
      </c>
      <c r="F247" s="74" t="s">
        <v>9345</v>
      </c>
      <c r="G247" s="74" t="s">
        <v>9537</v>
      </c>
      <c r="H247" s="74" t="s">
        <v>9538</v>
      </c>
      <c r="I247" s="74" t="s">
        <v>47</v>
      </c>
      <c r="J247" s="74" t="s">
        <v>9347</v>
      </c>
      <c r="K247" s="74"/>
      <c r="L247" s="74"/>
    </row>
    <row r="248" spans="1:12" ht="41.4">
      <c r="A248" s="73">
        <v>247</v>
      </c>
      <c r="B248" s="74" t="s">
        <v>9942</v>
      </c>
      <c r="C248" s="74" t="s">
        <v>9943</v>
      </c>
      <c r="D248" s="74" t="s">
        <v>41</v>
      </c>
      <c r="E248" s="74" t="s">
        <v>9344</v>
      </c>
      <c r="F248" s="74" t="s">
        <v>9345</v>
      </c>
      <c r="G248" s="74" t="s">
        <v>9757</v>
      </c>
      <c r="H248" s="74" t="s">
        <v>200</v>
      </c>
      <c r="I248" s="74" t="s">
        <v>47</v>
      </c>
      <c r="J248" s="74" t="s">
        <v>9347</v>
      </c>
      <c r="K248" s="74"/>
      <c r="L248" s="74"/>
    </row>
    <row r="249" spans="1:12" ht="41.4">
      <c r="A249" s="73">
        <v>248</v>
      </c>
      <c r="B249" s="74" t="s">
        <v>9944</v>
      </c>
      <c r="C249" s="74" t="s">
        <v>9945</v>
      </c>
      <c r="D249" s="74" t="s">
        <v>41</v>
      </c>
      <c r="E249" s="74" t="s">
        <v>9344</v>
      </c>
      <c r="F249" s="74" t="s">
        <v>9345</v>
      </c>
      <c r="G249" s="74" t="s">
        <v>9392</v>
      </c>
      <c r="H249" s="74" t="s">
        <v>200</v>
      </c>
      <c r="I249" s="74" t="s">
        <v>47</v>
      </c>
      <c r="J249" s="74" t="s">
        <v>9347</v>
      </c>
      <c r="K249" s="74"/>
      <c r="L249" s="74"/>
    </row>
    <row r="250" spans="1:12" ht="69">
      <c r="A250" s="73">
        <v>249</v>
      </c>
      <c r="B250" s="74" t="s">
        <v>9946</v>
      </c>
      <c r="C250" s="74" t="s">
        <v>9947</v>
      </c>
      <c r="D250" s="74" t="s">
        <v>41</v>
      </c>
      <c r="E250" s="74" t="s">
        <v>9344</v>
      </c>
      <c r="F250" s="74" t="s">
        <v>9345</v>
      </c>
      <c r="G250" s="74" t="s">
        <v>9793</v>
      </c>
      <c r="H250" s="74" t="s">
        <v>46</v>
      </c>
      <c r="I250" s="74" t="s">
        <v>47</v>
      </c>
      <c r="J250" s="74" t="s">
        <v>9347</v>
      </c>
      <c r="K250" s="74"/>
      <c r="L250" s="74"/>
    </row>
    <row r="251" spans="1:12" ht="55.2">
      <c r="A251" s="73">
        <v>250</v>
      </c>
      <c r="B251" s="74" t="s">
        <v>9948</v>
      </c>
      <c r="C251" s="74" t="s">
        <v>9949</v>
      </c>
      <c r="D251" s="74" t="s">
        <v>41</v>
      </c>
      <c r="E251" s="74" t="s">
        <v>9344</v>
      </c>
      <c r="F251" s="74" t="s">
        <v>9345</v>
      </c>
      <c r="G251" s="74" t="s">
        <v>9761</v>
      </c>
      <c r="H251" s="74" t="s">
        <v>479</v>
      </c>
      <c r="I251" s="74" t="s">
        <v>47</v>
      </c>
      <c r="J251" s="74" t="s">
        <v>9351</v>
      </c>
      <c r="K251" s="74"/>
      <c r="L251" s="74"/>
    </row>
    <row r="252" spans="1:12" ht="41.4">
      <c r="A252" s="73">
        <v>251</v>
      </c>
      <c r="B252" s="74" t="s">
        <v>9950</v>
      </c>
      <c r="C252" s="74" t="s">
        <v>3406</v>
      </c>
      <c r="D252" s="74" t="s">
        <v>41</v>
      </c>
      <c r="E252" s="74" t="s">
        <v>9344</v>
      </c>
      <c r="F252" s="74" t="s">
        <v>9345</v>
      </c>
      <c r="G252" s="74" t="s">
        <v>9757</v>
      </c>
      <c r="H252" s="74" t="s">
        <v>200</v>
      </c>
      <c r="I252" s="74" t="s">
        <v>47</v>
      </c>
      <c r="J252" s="74" t="s">
        <v>9347</v>
      </c>
      <c r="K252" s="74"/>
      <c r="L252" s="74"/>
    </row>
    <row r="253" spans="1:12" ht="69">
      <c r="A253" s="73">
        <v>252</v>
      </c>
      <c r="B253" s="74" t="s">
        <v>9951</v>
      </c>
      <c r="C253" s="74" t="s">
        <v>9952</v>
      </c>
      <c r="D253" s="74" t="s">
        <v>295</v>
      </c>
      <c r="E253" s="74" t="s">
        <v>9344</v>
      </c>
      <c r="F253" s="74" t="s">
        <v>9345</v>
      </c>
      <c r="G253" s="74" t="s">
        <v>9537</v>
      </c>
      <c r="H253" s="74" t="s">
        <v>9538</v>
      </c>
      <c r="I253" s="74" t="s">
        <v>47</v>
      </c>
      <c r="J253" s="74" t="s">
        <v>9347</v>
      </c>
      <c r="K253" s="74"/>
      <c r="L253" s="74"/>
    </row>
    <row r="254" spans="1:12" ht="41.4">
      <c r="A254" s="73">
        <v>253</v>
      </c>
      <c r="B254" s="74" t="s">
        <v>9953</v>
      </c>
      <c r="C254" s="74" t="s">
        <v>9954</v>
      </c>
      <c r="D254" s="74" t="s">
        <v>295</v>
      </c>
      <c r="E254" s="74" t="s">
        <v>9344</v>
      </c>
      <c r="F254" s="74" t="s">
        <v>9345</v>
      </c>
      <c r="G254" s="74" t="s">
        <v>9355</v>
      </c>
      <c r="H254" s="74" t="s">
        <v>297</v>
      </c>
      <c r="I254" s="74" t="s">
        <v>47</v>
      </c>
      <c r="J254" s="74" t="s">
        <v>9347</v>
      </c>
      <c r="K254" s="74"/>
      <c r="L254" s="74"/>
    </row>
    <row r="255" spans="1:12" ht="55.2">
      <c r="A255" s="73">
        <v>254</v>
      </c>
      <c r="B255" s="74" t="s">
        <v>9955</v>
      </c>
      <c r="C255" s="74" t="s">
        <v>9956</v>
      </c>
      <c r="D255" s="74" t="s">
        <v>41</v>
      </c>
      <c r="E255" s="74" t="s">
        <v>9344</v>
      </c>
      <c r="F255" s="74" t="s">
        <v>9345</v>
      </c>
      <c r="G255" s="74" t="s">
        <v>9761</v>
      </c>
      <c r="H255" s="74" t="s">
        <v>479</v>
      </c>
      <c r="I255" s="74" t="s">
        <v>47</v>
      </c>
      <c r="J255" s="74" t="s">
        <v>9347</v>
      </c>
      <c r="K255" s="74"/>
      <c r="L255" s="74"/>
    </row>
    <row r="256" spans="1:12" ht="41.4">
      <c r="A256" s="73">
        <v>255</v>
      </c>
      <c r="B256" s="74" t="s">
        <v>9957</v>
      </c>
      <c r="C256" s="74" t="s">
        <v>3678</v>
      </c>
      <c r="D256" s="74" t="s">
        <v>143</v>
      </c>
      <c r="E256" s="74" t="s">
        <v>9344</v>
      </c>
      <c r="F256" s="74" t="s">
        <v>9345</v>
      </c>
      <c r="G256" s="74" t="s">
        <v>9388</v>
      </c>
      <c r="H256" s="74" t="s">
        <v>597</v>
      </c>
      <c r="I256" s="74" t="s">
        <v>47</v>
      </c>
      <c r="J256" s="74" t="s">
        <v>9351</v>
      </c>
      <c r="K256" s="74" t="s">
        <v>9958</v>
      </c>
      <c r="L256" s="74" t="s">
        <v>370</v>
      </c>
    </row>
    <row r="257" spans="1:12" ht="41.4">
      <c r="A257" s="73">
        <v>256</v>
      </c>
      <c r="B257" s="74" t="s">
        <v>9959</v>
      </c>
      <c r="C257" s="74" t="s">
        <v>9960</v>
      </c>
      <c r="D257" s="74" t="s">
        <v>153</v>
      </c>
      <c r="E257" s="74" t="s">
        <v>9344</v>
      </c>
      <c r="F257" s="74" t="s">
        <v>9345</v>
      </c>
      <c r="G257" s="74" t="s">
        <v>9686</v>
      </c>
      <c r="H257" s="74" t="s">
        <v>155</v>
      </c>
      <c r="I257" s="74" t="s">
        <v>47</v>
      </c>
      <c r="J257" s="74" t="s">
        <v>9347</v>
      </c>
      <c r="K257" s="74"/>
      <c r="L257" s="74"/>
    </row>
    <row r="258" spans="1:12" ht="55.2">
      <c r="A258" s="73">
        <v>257</v>
      </c>
      <c r="B258" s="74" t="s">
        <v>9961</v>
      </c>
      <c r="C258" s="74" t="s">
        <v>7867</v>
      </c>
      <c r="D258" s="74" t="s">
        <v>143</v>
      </c>
      <c r="E258" s="74" t="s">
        <v>9344</v>
      </c>
      <c r="F258" s="74" t="s">
        <v>9345</v>
      </c>
      <c r="G258" s="74" t="s">
        <v>9910</v>
      </c>
      <c r="H258" s="74" t="s">
        <v>145</v>
      </c>
      <c r="I258" s="74" t="s">
        <v>47</v>
      </c>
      <c r="J258" s="74" t="s">
        <v>9351</v>
      </c>
      <c r="K258" s="74"/>
      <c r="L258" s="74"/>
    </row>
    <row r="259" spans="1:12" ht="41.4">
      <c r="A259" s="73">
        <v>258</v>
      </c>
      <c r="B259" s="74" t="s">
        <v>9962</v>
      </c>
      <c r="C259" s="74" t="s">
        <v>9963</v>
      </c>
      <c r="D259" s="74" t="s">
        <v>295</v>
      </c>
      <c r="E259" s="74" t="s">
        <v>9344</v>
      </c>
      <c r="F259" s="74" t="s">
        <v>9345</v>
      </c>
      <c r="G259" s="74" t="s">
        <v>9677</v>
      </c>
      <c r="H259" s="74" t="s">
        <v>407</v>
      </c>
      <c r="I259" s="74" t="s">
        <v>47</v>
      </c>
      <c r="J259" s="74" t="s">
        <v>9347</v>
      </c>
      <c r="K259" s="74"/>
      <c r="L259" s="74"/>
    </row>
    <row r="260" spans="1:12" ht="55.2">
      <c r="A260" s="73">
        <v>259</v>
      </c>
      <c r="B260" s="74" t="s">
        <v>9964</v>
      </c>
      <c r="C260" s="74" t="s">
        <v>7456</v>
      </c>
      <c r="D260" s="74" t="s">
        <v>68</v>
      </c>
      <c r="E260" s="74" t="s">
        <v>9344</v>
      </c>
      <c r="F260" s="74" t="s">
        <v>9345</v>
      </c>
      <c r="G260" s="74" t="s">
        <v>9378</v>
      </c>
      <c r="H260" s="74" t="s">
        <v>70</v>
      </c>
      <c r="I260" s="74" t="s">
        <v>47</v>
      </c>
      <c r="J260" s="74" t="s">
        <v>9351</v>
      </c>
      <c r="K260" s="74" t="s">
        <v>9965</v>
      </c>
      <c r="L260" s="74" t="s">
        <v>3207</v>
      </c>
    </row>
    <row r="261" spans="1:12" ht="41.4">
      <c r="A261" s="73">
        <v>260</v>
      </c>
      <c r="B261" s="74" t="s">
        <v>9966</v>
      </c>
      <c r="C261" s="74" t="s">
        <v>8466</v>
      </c>
      <c r="D261" s="74" t="s">
        <v>41</v>
      </c>
      <c r="E261" s="74" t="s">
        <v>9344</v>
      </c>
      <c r="F261" s="74" t="s">
        <v>9345</v>
      </c>
      <c r="G261" s="74" t="s">
        <v>9364</v>
      </c>
      <c r="H261" s="74" t="s">
        <v>662</v>
      </c>
      <c r="I261" s="74" t="s">
        <v>47</v>
      </c>
      <c r="J261" s="74" t="s">
        <v>9347</v>
      </c>
      <c r="K261" s="74"/>
      <c r="L261" s="74"/>
    </row>
    <row r="262" spans="1:12" ht="69">
      <c r="A262" s="73">
        <v>261</v>
      </c>
      <c r="B262" s="74" t="s">
        <v>9967</v>
      </c>
      <c r="C262" s="74" t="s">
        <v>4327</v>
      </c>
      <c r="D262" s="74" t="s">
        <v>41</v>
      </c>
      <c r="E262" s="74" t="s">
        <v>9344</v>
      </c>
      <c r="F262" s="74" t="s">
        <v>9345</v>
      </c>
      <c r="G262" s="74" t="s">
        <v>9385</v>
      </c>
      <c r="H262" s="74" t="s">
        <v>46</v>
      </c>
      <c r="I262" s="74" t="s">
        <v>416</v>
      </c>
      <c r="J262" s="74" t="s">
        <v>9351</v>
      </c>
      <c r="K262" s="74" t="s">
        <v>9968</v>
      </c>
      <c r="L262" s="74" t="s">
        <v>701</v>
      </c>
    </row>
    <row r="263" spans="1:12" ht="41.4">
      <c r="A263" s="73">
        <v>262</v>
      </c>
      <c r="B263" s="74" t="s">
        <v>9969</v>
      </c>
      <c r="C263" s="74" t="s">
        <v>1906</v>
      </c>
      <c r="D263" s="74" t="s">
        <v>89</v>
      </c>
      <c r="E263" s="74" t="s">
        <v>9344</v>
      </c>
      <c r="F263" s="74" t="s">
        <v>9345</v>
      </c>
      <c r="G263" s="74" t="s">
        <v>9556</v>
      </c>
      <c r="H263" s="74" t="s">
        <v>102</v>
      </c>
      <c r="I263" s="74" t="s">
        <v>416</v>
      </c>
      <c r="J263" s="74" t="s">
        <v>9351</v>
      </c>
      <c r="K263" s="74" t="s">
        <v>9970</v>
      </c>
      <c r="L263" s="74" t="s">
        <v>711</v>
      </c>
    </row>
    <row r="264" spans="1:12" ht="41.4">
      <c r="A264" s="73">
        <v>263</v>
      </c>
      <c r="B264" s="74" t="s">
        <v>9971</v>
      </c>
      <c r="C264" s="74" t="s">
        <v>9972</v>
      </c>
      <c r="D264" s="74" t="s">
        <v>295</v>
      </c>
      <c r="E264" s="74" t="s">
        <v>9344</v>
      </c>
      <c r="F264" s="74" t="s">
        <v>9345</v>
      </c>
      <c r="G264" s="74" t="s">
        <v>9489</v>
      </c>
      <c r="H264" s="74" t="s">
        <v>407</v>
      </c>
      <c r="I264" s="74" t="s">
        <v>416</v>
      </c>
      <c r="J264" s="74" t="s">
        <v>9347</v>
      </c>
      <c r="K264" s="74"/>
      <c r="L264" s="74"/>
    </row>
    <row r="265" spans="1:12" ht="69">
      <c r="A265" s="73">
        <v>264</v>
      </c>
      <c r="B265" s="74" t="s">
        <v>9973</v>
      </c>
      <c r="C265" s="74" t="s">
        <v>9974</v>
      </c>
      <c r="D265" s="74" t="s">
        <v>41</v>
      </c>
      <c r="E265" s="74" t="s">
        <v>9344</v>
      </c>
      <c r="F265" s="74" t="s">
        <v>9345</v>
      </c>
      <c r="G265" s="74" t="s">
        <v>9368</v>
      </c>
      <c r="H265" s="74" t="s">
        <v>46</v>
      </c>
      <c r="I265" s="74" t="s">
        <v>47</v>
      </c>
      <c r="J265" s="74" t="s">
        <v>9347</v>
      </c>
      <c r="K265" s="74"/>
      <c r="L265" s="74"/>
    </row>
    <row r="266" spans="1:12" ht="55.2">
      <c r="A266" s="73">
        <v>265</v>
      </c>
      <c r="B266" s="74" t="s">
        <v>9975</v>
      </c>
      <c r="C266" s="74" t="s">
        <v>9976</v>
      </c>
      <c r="D266" s="74" t="s">
        <v>153</v>
      </c>
      <c r="E266" s="74" t="s">
        <v>9344</v>
      </c>
      <c r="F266" s="74" t="s">
        <v>9345</v>
      </c>
      <c r="G266" s="74" t="s">
        <v>9686</v>
      </c>
      <c r="H266" s="74" t="s">
        <v>155</v>
      </c>
      <c r="I266" s="74" t="s">
        <v>47</v>
      </c>
      <c r="J266" s="74" t="s">
        <v>9347</v>
      </c>
      <c r="K266" s="74" t="s">
        <v>9977</v>
      </c>
      <c r="L266" s="74" t="s">
        <v>318</v>
      </c>
    </row>
    <row r="267" spans="1:12" ht="69">
      <c r="A267" s="73">
        <v>266</v>
      </c>
      <c r="B267" s="74" t="s">
        <v>9978</v>
      </c>
      <c r="C267" s="74" t="s">
        <v>4880</v>
      </c>
      <c r="D267" s="74" t="s">
        <v>143</v>
      </c>
      <c r="E267" s="74" t="s">
        <v>9344</v>
      </c>
      <c r="F267" s="74" t="s">
        <v>9345</v>
      </c>
      <c r="G267" s="74" t="s">
        <v>9510</v>
      </c>
      <c r="H267" s="74" t="s">
        <v>220</v>
      </c>
      <c r="I267" s="74" t="s">
        <v>47</v>
      </c>
      <c r="J267" s="74" t="s">
        <v>9351</v>
      </c>
      <c r="K267" s="74" t="s">
        <v>9979</v>
      </c>
      <c r="L267" s="74" t="s">
        <v>251</v>
      </c>
    </row>
    <row r="268" spans="1:12" ht="69">
      <c r="A268" s="73">
        <v>267</v>
      </c>
      <c r="B268" s="74" t="s">
        <v>9980</v>
      </c>
      <c r="C268" s="74" t="s">
        <v>9981</v>
      </c>
      <c r="D268" s="74" t="s">
        <v>41</v>
      </c>
      <c r="E268" s="74" t="s">
        <v>9395</v>
      </c>
      <c r="F268" s="74" t="s">
        <v>80</v>
      </c>
      <c r="G268" s="74" t="s">
        <v>9982</v>
      </c>
      <c r="H268" s="74" t="s">
        <v>46</v>
      </c>
      <c r="I268" s="74" t="s">
        <v>47</v>
      </c>
      <c r="J268" s="74" t="s">
        <v>9351</v>
      </c>
      <c r="K268" s="74" t="s">
        <v>9983</v>
      </c>
      <c r="L268" s="74" t="s">
        <v>897</v>
      </c>
    </row>
    <row r="269" spans="1:12" ht="41.4">
      <c r="A269" s="73">
        <v>268</v>
      </c>
      <c r="B269" s="74" t="s">
        <v>9984</v>
      </c>
      <c r="C269" s="74" t="s">
        <v>544</v>
      </c>
      <c r="D269" s="74" t="s">
        <v>295</v>
      </c>
      <c r="E269" s="74" t="s">
        <v>9344</v>
      </c>
      <c r="F269" s="74" t="s">
        <v>9345</v>
      </c>
      <c r="G269" s="74" t="s">
        <v>9432</v>
      </c>
      <c r="H269" s="74" t="s">
        <v>297</v>
      </c>
      <c r="I269" s="74" t="s">
        <v>47</v>
      </c>
      <c r="J269" s="74" t="s">
        <v>9347</v>
      </c>
      <c r="K269" s="74" t="s">
        <v>9985</v>
      </c>
      <c r="L269" s="74" t="s">
        <v>318</v>
      </c>
    </row>
    <row r="270" spans="1:12" ht="55.2">
      <c r="A270" s="73">
        <v>269</v>
      </c>
      <c r="B270" s="74" t="s">
        <v>9986</v>
      </c>
      <c r="C270" s="74" t="s">
        <v>9987</v>
      </c>
      <c r="D270" s="74" t="s">
        <v>295</v>
      </c>
      <c r="E270" s="74" t="s">
        <v>9344</v>
      </c>
      <c r="F270" s="74" t="s">
        <v>9345</v>
      </c>
      <c r="G270" s="74" t="s">
        <v>9579</v>
      </c>
      <c r="H270" s="74" t="s">
        <v>407</v>
      </c>
      <c r="I270" s="74" t="s">
        <v>47</v>
      </c>
      <c r="J270" s="74" t="s">
        <v>9347</v>
      </c>
      <c r="K270" s="74"/>
      <c r="L270" s="74"/>
    </row>
    <row r="271" spans="1:12" ht="69">
      <c r="A271" s="73">
        <v>270</v>
      </c>
      <c r="B271" s="74" t="s">
        <v>9988</v>
      </c>
      <c r="C271" s="74" t="s">
        <v>3915</v>
      </c>
      <c r="D271" s="74" t="s">
        <v>89</v>
      </c>
      <c r="E271" s="74" t="s">
        <v>9344</v>
      </c>
      <c r="F271" s="74" t="s">
        <v>9345</v>
      </c>
      <c r="G271" s="74" t="s">
        <v>9528</v>
      </c>
      <c r="H271" s="74" t="s">
        <v>91</v>
      </c>
      <c r="I271" s="74" t="s">
        <v>416</v>
      </c>
      <c r="J271" s="74" t="s">
        <v>9351</v>
      </c>
      <c r="K271" s="74" t="s">
        <v>9989</v>
      </c>
      <c r="L271" s="74" t="s">
        <v>711</v>
      </c>
    </row>
    <row r="272" spans="1:12" ht="41.4">
      <c r="A272" s="73">
        <v>271</v>
      </c>
      <c r="B272" s="74" t="s">
        <v>9990</v>
      </c>
      <c r="C272" s="74" t="s">
        <v>6564</v>
      </c>
      <c r="D272" s="74" t="s">
        <v>295</v>
      </c>
      <c r="E272" s="74" t="s">
        <v>9344</v>
      </c>
      <c r="F272" s="74" t="s">
        <v>9345</v>
      </c>
      <c r="G272" s="74" t="s">
        <v>9478</v>
      </c>
      <c r="H272" s="74" t="s">
        <v>407</v>
      </c>
      <c r="I272" s="74" t="s">
        <v>47</v>
      </c>
      <c r="J272" s="74" t="s">
        <v>9351</v>
      </c>
      <c r="K272" s="74"/>
      <c r="L272" s="74"/>
    </row>
    <row r="273" spans="1:12" ht="41.4">
      <c r="A273" s="73">
        <v>272</v>
      </c>
      <c r="B273" s="74" t="s">
        <v>9991</v>
      </c>
      <c r="C273" s="74" t="s">
        <v>9992</v>
      </c>
      <c r="D273" s="74" t="s">
        <v>153</v>
      </c>
      <c r="E273" s="74" t="s">
        <v>9344</v>
      </c>
      <c r="F273" s="74" t="s">
        <v>9345</v>
      </c>
      <c r="G273" s="74" t="s">
        <v>9993</v>
      </c>
      <c r="H273" s="74" t="s">
        <v>155</v>
      </c>
      <c r="I273" s="74" t="s">
        <v>47</v>
      </c>
      <c r="J273" s="74" t="s">
        <v>9347</v>
      </c>
      <c r="K273" s="74"/>
      <c r="L273" s="74"/>
    </row>
    <row r="274" spans="1:12" ht="69">
      <c r="A274" s="73">
        <v>273</v>
      </c>
      <c r="B274" s="74" t="s">
        <v>9994</v>
      </c>
      <c r="C274" s="74" t="s">
        <v>9995</v>
      </c>
      <c r="D274" s="74" t="s">
        <v>295</v>
      </c>
      <c r="E274" s="74" t="s">
        <v>9344</v>
      </c>
      <c r="F274" s="74" t="s">
        <v>9345</v>
      </c>
      <c r="G274" s="74" t="s">
        <v>9537</v>
      </c>
      <c r="H274" s="74" t="s">
        <v>9538</v>
      </c>
      <c r="I274" s="74" t="s">
        <v>47</v>
      </c>
      <c r="J274" s="74" t="s">
        <v>9347</v>
      </c>
      <c r="K274" s="74"/>
      <c r="L274" s="74"/>
    </row>
    <row r="275" spans="1:12" ht="69">
      <c r="A275" s="73">
        <v>274</v>
      </c>
      <c r="B275" s="74" t="s">
        <v>9996</v>
      </c>
      <c r="C275" s="74" t="s">
        <v>9997</v>
      </c>
      <c r="D275" s="74" t="s">
        <v>89</v>
      </c>
      <c r="E275" s="74" t="s">
        <v>9395</v>
      </c>
      <c r="F275" s="74" t="s">
        <v>80</v>
      </c>
      <c r="G275" s="74" t="s">
        <v>9998</v>
      </c>
      <c r="H275" s="74" t="s">
        <v>91</v>
      </c>
      <c r="I275" s="74" t="s">
        <v>416</v>
      </c>
      <c r="J275" s="74" t="s">
        <v>9351</v>
      </c>
      <c r="K275" s="74" t="s">
        <v>9999</v>
      </c>
      <c r="L275" s="74" t="s">
        <v>318</v>
      </c>
    </row>
    <row r="276" spans="1:12" ht="41.4">
      <c r="A276" s="73">
        <v>275</v>
      </c>
      <c r="B276" s="74" t="s">
        <v>10000</v>
      </c>
      <c r="C276" s="74" t="s">
        <v>10001</v>
      </c>
      <c r="D276" s="74" t="s">
        <v>295</v>
      </c>
      <c r="E276" s="74" t="s">
        <v>9344</v>
      </c>
      <c r="F276" s="74" t="s">
        <v>9345</v>
      </c>
      <c r="G276" s="74" t="s">
        <v>9677</v>
      </c>
      <c r="H276" s="74" t="s">
        <v>407</v>
      </c>
      <c r="I276" s="74" t="s">
        <v>47</v>
      </c>
      <c r="J276" s="74" t="s">
        <v>9347</v>
      </c>
      <c r="K276" s="74"/>
      <c r="L276" s="74"/>
    </row>
    <row r="277" spans="1:12" ht="69">
      <c r="A277" s="73">
        <v>276</v>
      </c>
      <c r="B277" s="74" t="s">
        <v>10002</v>
      </c>
      <c r="C277" s="74" t="s">
        <v>10003</v>
      </c>
      <c r="D277" s="74" t="s">
        <v>143</v>
      </c>
      <c r="E277" s="74" t="s">
        <v>9344</v>
      </c>
      <c r="F277" s="74" t="s">
        <v>9345</v>
      </c>
      <c r="G277" s="74" t="s">
        <v>9510</v>
      </c>
      <c r="H277" s="74" t="s">
        <v>220</v>
      </c>
      <c r="I277" s="74" t="s">
        <v>47</v>
      </c>
      <c r="J277" s="74" t="s">
        <v>9351</v>
      </c>
      <c r="K277" s="74" t="s">
        <v>10004</v>
      </c>
      <c r="L277" s="74" t="s">
        <v>251</v>
      </c>
    </row>
    <row r="278" spans="1:12" ht="55.2">
      <c r="A278" s="73">
        <v>277</v>
      </c>
      <c r="B278" s="74" t="s">
        <v>10005</v>
      </c>
      <c r="C278" s="74" t="s">
        <v>10006</v>
      </c>
      <c r="D278" s="74" t="s">
        <v>41</v>
      </c>
      <c r="E278" s="74" t="s">
        <v>9344</v>
      </c>
      <c r="F278" s="74" t="s">
        <v>9345</v>
      </c>
      <c r="G278" s="74" t="s">
        <v>9761</v>
      </c>
      <c r="H278" s="74" t="s">
        <v>479</v>
      </c>
      <c r="I278" s="74" t="s">
        <v>47</v>
      </c>
      <c r="J278" s="74" t="s">
        <v>9347</v>
      </c>
      <c r="K278" s="74" t="s">
        <v>10007</v>
      </c>
      <c r="L278" s="74" t="s">
        <v>891</v>
      </c>
    </row>
    <row r="279" spans="1:12" ht="41.4">
      <c r="A279" s="73">
        <v>278</v>
      </c>
      <c r="B279" s="74" t="s">
        <v>10008</v>
      </c>
      <c r="C279" s="74" t="s">
        <v>10009</v>
      </c>
      <c r="D279" s="74" t="s">
        <v>295</v>
      </c>
      <c r="E279" s="74" t="s">
        <v>9344</v>
      </c>
      <c r="F279" s="74" t="s">
        <v>9345</v>
      </c>
      <c r="G279" s="74" t="s">
        <v>9864</v>
      </c>
      <c r="H279" s="74" t="s">
        <v>9865</v>
      </c>
      <c r="I279" s="74" t="s">
        <v>47</v>
      </c>
      <c r="J279" s="74" t="s">
        <v>9347</v>
      </c>
      <c r="K279" s="74"/>
      <c r="L279" s="74"/>
    </row>
    <row r="280" spans="1:12" ht="41.4">
      <c r="A280" s="73">
        <v>279</v>
      </c>
      <c r="B280" s="74" t="s">
        <v>10010</v>
      </c>
      <c r="C280" s="74" t="s">
        <v>10011</v>
      </c>
      <c r="D280" s="74" t="s">
        <v>41</v>
      </c>
      <c r="E280" s="74" t="s">
        <v>9344</v>
      </c>
      <c r="F280" s="74" t="s">
        <v>9345</v>
      </c>
      <c r="G280" s="74" t="s">
        <v>9451</v>
      </c>
      <c r="H280" s="74" t="s">
        <v>130</v>
      </c>
      <c r="I280" s="74" t="s">
        <v>47</v>
      </c>
      <c r="J280" s="74" t="s">
        <v>9347</v>
      </c>
      <c r="K280" s="74"/>
      <c r="L280" s="74"/>
    </row>
    <row r="281" spans="1:12" ht="55.2">
      <c r="A281" s="73">
        <v>280</v>
      </c>
      <c r="B281" s="74" t="s">
        <v>10012</v>
      </c>
      <c r="C281" s="74" t="s">
        <v>10013</v>
      </c>
      <c r="D281" s="74" t="s">
        <v>41</v>
      </c>
      <c r="E281" s="74" t="s">
        <v>9344</v>
      </c>
      <c r="F281" s="74" t="s">
        <v>9345</v>
      </c>
      <c r="G281" s="74" t="s">
        <v>9591</v>
      </c>
      <c r="H281" s="74" t="s">
        <v>130</v>
      </c>
      <c r="I281" s="74" t="s">
        <v>47</v>
      </c>
      <c r="J281" s="74" t="s">
        <v>9347</v>
      </c>
      <c r="K281" s="74"/>
      <c r="L281" s="74"/>
    </row>
    <row r="282" spans="1:12" ht="41.4">
      <c r="A282" s="73">
        <v>281</v>
      </c>
      <c r="B282" s="74" t="s">
        <v>10014</v>
      </c>
      <c r="C282" s="74" t="s">
        <v>10015</v>
      </c>
      <c r="D282" s="74" t="s">
        <v>41</v>
      </c>
      <c r="E282" s="74" t="s">
        <v>9344</v>
      </c>
      <c r="F282" s="74" t="s">
        <v>9345</v>
      </c>
      <c r="G282" s="74" t="s">
        <v>9757</v>
      </c>
      <c r="H282" s="74" t="s">
        <v>200</v>
      </c>
      <c r="I282" s="74" t="s">
        <v>47</v>
      </c>
      <c r="J282" s="74" t="s">
        <v>9351</v>
      </c>
      <c r="K282" s="74"/>
      <c r="L282" s="74"/>
    </row>
    <row r="283" spans="1:12" ht="41.4">
      <c r="A283" s="73">
        <v>282</v>
      </c>
      <c r="B283" s="74" t="s">
        <v>10016</v>
      </c>
      <c r="C283" s="74" t="s">
        <v>10017</v>
      </c>
      <c r="D283" s="74" t="s">
        <v>153</v>
      </c>
      <c r="E283" s="74" t="s">
        <v>9344</v>
      </c>
      <c r="F283" s="74" t="s">
        <v>9345</v>
      </c>
      <c r="G283" s="74" t="s">
        <v>9993</v>
      </c>
      <c r="H283" s="74" t="s">
        <v>155</v>
      </c>
      <c r="I283" s="74" t="s">
        <v>47</v>
      </c>
      <c r="J283" s="74" t="s">
        <v>9347</v>
      </c>
      <c r="K283" s="74" t="s">
        <v>10018</v>
      </c>
      <c r="L283" s="74" t="s">
        <v>3207</v>
      </c>
    </row>
    <row r="284" spans="1:12" ht="41.4">
      <c r="A284" s="73">
        <v>283</v>
      </c>
      <c r="B284" s="74" t="s">
        <v>10019</v>
      </c>
      <c r="C284" s="74" t="s">
        <v>10020</v>
      </c>
      <c r="D284" s="74" t="s">
        <v>41</v>
      </c>
      <c r="E284" s="74" t="s">
        <v>9344</v>
      </c>
      <c r="F284" s="74" t="s">
        <v>9345</v>
      </c>
      <c r="G284" s="74" t="s">
        <v>9392</v>
      </c>
      <c r="H284" s="74" t="s">
        <v>200</v>
      </c>
      <c r="I284" s="74" t="s">
        <v>47</v>
      </c>
      <c r="J284" s="74" t="s">
        <v>9347</v>
      </c>
      <c r="K284" s="74"/>
      <c r="L284" s="74"/>
    </row>
    <row r="285" spans="1:12" ht="41.4">
      <c r="A285" s="73">
        <v>284</v>
      </c>
      <c r="B285" s="74" t="s">
        <v>10021</v>
      </c>
      <c r="C285" s="74" t="s">
        <v>10022</v>
      </c>
      <c r="D285" s="74" t="s">
        <v>295</v>
      </c>
      <c r="E285" s="74" t="s">
        <v>9344</v>
      </c>
      <c r="F285" s="74" t="s">
        <v>9345</v>
      </c>
      <c r="G285" s="74" t="s">
        <v>9677</v>
      </c>
      <c r="H285" s="74" t="s">
        <v>407</v>
      </c>
      <c r="I285" s="74" t="s">
        <v>47</v>
      </c>
      <c r="J285" s="74" t="s">
        <v>9347</v>
      </c>
      <c r="K285" s="74"/>
      <c r="L285" s="74"/>
    </row>
    <row r="286" spans="1:12" ht="69">
      <c r="A286" s="73">
        <v>285</v>
      </c>
      <c r="B286" s="74" t="s">
        <v>10023</v>
      </c>
      <c r="C286" s="74" t="s">
        <v>10024</v>
      </c>
      <c r="D286" s="74" t="s">
        <v>143</v>
      </c>
      <c r="E286" s="74" t="s">
        <v>9344</v>
      </c>
      <c r="F286" s="74" t="s">
        <v>9345</v>
      </c>
      <c r="G286" s="74" t="s">
        <v>9510</v>
      </c>
      <c r="H286" s="74" t="s">
        <v>220</v>
      </c>
      <c r="I286" s="74" t="s">
        <v>416</v>
      </c>
      <c r="J286" s="74" t="s">
        <v>9351</v>
      </c>
      <c r="K286" s="74" t="s">
        <v>10025</v>
      </c>
      <c r="L286" s="74" t="s">
        <v>701</v>
      </c>
    </row>
    <row r="287" spans="1:12" ht="55.2">
      <c r="A287" s="73">
        <v>286</v>
      </c>
      <c r="B287" s="74" t="s">
        <v>10026</v>
      </c>
      <c r="C287" s="74" t="s">
        <v>10027</v>
      </c>
      <c r="D287" s="74" t="s">
        <v>295</v>
      </c>
      <c r="E287" s="74" t="s">
        <v>9344</v>
      </c>
      <c r="F287" s="74" t="s">
        <v>9345</v>
      </c>
      <c r="G287" s="74" t="s">
        <v>9355</v>
      </c>
      <c r="H287" s="74" t="s">
        <v>297</v>
      </c>
      <c r="I287" s="74" t="s">
        <v>47</v>
      </c>
      <c r="J287" s="74" t="s">
        <v>9347</v>
      </c>
      <c r="K287" s="74"/>
      <c r="L287" s="74"/>
    </row>
    <row r="288" spans="1:12" ht="55.2">
      <c r="A288" s="73">
        <v>287</v>
      </c>
      <c r="B288" s="74" t="s">
        <v>10028</v>
      </c>
      <c r="C288" s="74" t="s">
        <v>724</v>
      </c>
      <c r="D288" s="74" t="s">
        <v>143</v>
      </c>
      <c r="E288" s="74" t="s">
        <v>9344</v>
      </c>
      <c r="F288" s="74" t="s">
        <v>9345</v>
      </c>
      <c r="G288" s="74" t="s">
        <v>9534</v>
      </c>
      <c r="H288" s="74" t="s">
        <v>145</v>
      </c>
      <c r="I288" s="74" t="s">
        <v>47</v>
      </c>
      <c r="J288" s="74" t="s">
        <v>9351</v>
      </c>
      <c r="K288" s="74"/>
      <c r="L288" s="74"/>
    </row>
    <row r="289" spans="1:12" ht="41.4">
      <c r="A289" s="73">
        <v>288</v>
      </c>
      <c r="B289" s="74" t="s">
        <v>10029</v>
      </c>
      <c r="C289" s="74" t="s">
        <v>10030</v>
      </c>
      <c r="D289" s="74" t="s">
        <v>41</v>
      </c>
      <c r="E289" s="74" t="s">
        <v>9344</v>
      </c>
      <c r="F289" s="74" t="s">
        <v>9345</v>
      </c>
      <c r="G289" s="74" t="s">
        <v>9796</v>
      </c>
      <c r="H289" s="74" t="s">
        <v>200</v>
      </c>
      <c r="I289" s="74" t="s">
        <v>47</v>
      </c>
      <c r="J289" s="74" t="s">
        <v>9347</v>
      </c>
      <c r="K289" s="74"/>
      <c r="L289" s="74"/>
    </row>
    <row r="290" spans="1:12" ht="41.4">
      <c r="A290" s="73">
        <v>289</v>
      </c>
      <c r="B290" s="74" t="s">
        <v>10031</v>
      </c>
      <c r="C290" s="74" t="s">
        <v>10032</v>
      </c>
      <c r="D290" s="74" t="s">
        <v>153</v>
      </c>
      <c r="E290" s="74" t="s">
        <v>9344</v>
      </c>
      <c r="F290" s="74" t="s">
        <v>9345</v>
      </c>
      <c r="G290" s="74" t="s">
        <v>10033</v>
      </c>
      <c r="H290" s="74" t="s">
        <v>155</v>
      </c>
      <c r="I290" s="74" t="s">
        <v>47</v>
      </c>
      <c r="J290" s="74" t="s">
        <v>9347</v>
      </c>
      <c r="K290" s="74" t="s">
        <v>10034</v>
      </c>
      <c r="L290" s="74" t="s">
        <v>331</v>
      </c>
    </row>
    <row r="291" spans="1:12" ht="69">
      <c r="A291" s="73">
        <v>290</v>
      </c>
      <c r="B291" s="74" t="s">
        <v>10035</v>
      </c>
      <c r="C291" s="74" t="s">
        <v>10036</v>
      </c>
      <c r="D291" s="74" t="s">
        <v>41</v>
      </c>
      <c r="E291" s="74" t="s">
        <v>9344</v>
      </c>
      <c r="F291" s="74" t="s">
        <v>9345</v>
      </c>
      <c r="G291" s="74" t="s">
        <v>9824</v>
      </c>
      <c r="H291" s="74" t="s">
        <v>46</v>
      </c>
      <c r="I291" s="74" t="s">
        <v>47</v>
      </c>
      <c r="J291" s="74" t="s">
        <v>9351</v>
      </c>
      <c r="K291" s="74" t="s">
        <v>10037</v>
      </c>
      <c r="L291" s="74" t="s">
        <v>331</v>
      </c>
    </row>
    <row r="292" spans="1:12" ht="55.2">
      <c r="A292" s="73">
        <v>291</v>
      </c>
      <c r="B292" s="74" t="s">
        <v>10038</v>
      </c>
      <c r="C292" s="74" t="s">
        <v>10039</v>
      </c>
      <c r="D292" s="74" t="s">
        <v>153</v>
      </c>
      <c r="E292" s="74" t="s">
        <v>9344</v>
      </c>
      <c r="F292" s="74" t="s">
        <v>9345</v>
      </c>
      <c r="G292" s="74" t="s">
        <v>9836</v>
      </c>
      <c r="H292" s="74" t="s">
        <v>155</v>
      </c>
      <c r="I292" s="74" t="s">
        <v>47</v>
      </c>
      <c r="J292" s="74" t="s">
        <v>9351</v>
      </c>
      <c r="K292" s="74"/>
      <c r="L292" s="74"/>
    </row>
    <row r="293" spans="1:12" ht="69">
      <c r="A293" s="73">
        <v>292</v>
      </c>
      <c r="B293" s="74" t="s">
        <v>10040</v>
      </c>
      <c r="C293" s="74" t="s">
        <v>10041</v>
      </c>
      <c r="D293" s="74" t="s">
        <v>41</v>
      </c>
      <c r="E293" s="74" t="s">
        <v>9344</v>
      </c>
      <c r="F293" s="74" t="s">
        <v>9345</v>
      </c>
      <c r="G293" s="74" t="s">
        <v>9824</v>
      </c>
      <c r="H293" s="74" t="s">
        <v>46</v>
      </c>
      <c r="I293" s="74" t="s">
        <v>47</v>
      </c>
      <c r="J293" s="74" t="s">
        <v>9351</v>
      </c>
      <c r="K293" s="74" t="s">
        <v>10042</v>
      </c>
      <c r="L293" s="74" t="s">
        <v>331</v>
      </c>
    </row>
    <row r="294" spans="1:12" ht="55.2">
      <c r="A294" s="73">
        <v>293</v>
      </c>
      <c r="B294" s="74" t="s">
        <v>10043</v>
      </c>
      <c r="C294" s="74" t="s">
        <v>2257</v>
      </c>
      <c r="D294" s="74" t="s">
        <v>41</v>
      </c>
      <c r="E294" s="74" t="s">
        <v>9344</v>
      </c>
      <c r="F294" s="74" t="s">
        <v>9345</v>
      </c>
      <c r="G294" s="74" t="s">
        <v>9572</v>
      </c>
      <c r="H294" s="74" t="s">
        <v>479</v>
      </c>
      <c r="I294" s="74" t="s">
        <v>47</v>
      </c>
      <c r="J294" s="74" t="s">
        <v>9351</v>
      </c>
      <c r="K294" s="74" t="s">
        <v>10044</v>
      </c>
      <c r="L294" s="74" t="s">
        <v>331</v>
      </c>
    </row>
    <row r="295" spans="1:12" ht="69">
      <c r="A295" s="73">
        <v>294</v>
      </c>
      <c r="B295" s="74" t="s">
        <v>10045</v>
      </c>
      <c r="C295" s="74" t="s">
        <v>10046</v>
      </c>
      <c r="D295" s="74" t="s">
        <v>41</v>
      </c>
      <c r="E295" s="74" t="s">
        <v>9344</v>
      </c>
      <c r="F295" s="74" t="s">
        <v>9345</v>
      </c>
      <c r="G295" s="74" t="s">
        <v>9368</v>
      </c>
      <c r="H295" s="74" t="s">
        <v>46</v>
      </c>
      <c r="I295" s="74" t="s">
        <v>47</v>
      </c>
      <c r="J295" s="74" t="s">
        <v>9347</v>
      </c>
      <c r="K295" s="74"/>
      <c r="L295" s="74"/>
    </row>
    <row r="296" spans="1:12" ht="55.2">
      <c r="A296" s="73">
        <v>295</v>
      </c>
      <c r="B296" s="74" t="s">
        <v>10047</v>
      </c>
      <c r="C296" s="74" t="s">
        <v>10048</v>
      </c>
      <c r="D296" s="74" t="s">
        <v>41</v>
      </c>
      <c r="E296" s="74" t="s">
        <v>9344</v>
      </c>
      <c r="F296" s="74" t="s">
        <v>9345</v>
      </c>
      <c r="G296" s="74" t="s">
        <v>9776</v>
      </c>
      <c r="H296" s="74" t="s">
        <v>200</v>
      </c>
      <c r="I296" s="74" t="s">
        <v>47</v>
      </c>
      <c r="J296" s="74" t="s">
        <v>9347</v>
      </c>
      <c r="K296" s="74"/>
      <c r="L296" s="74"/>
    </row>
    <row r="297" spans="1:12" ht="41.4">
      <c r="A297" s="73">
        <v>296</v>
      </c>
      <c r="B297" s="74" t="s">
        <v>10049</v>
      </c>
      <c r="C297" s="74" t="s">
        <v>10050</v>
      </c>
      <c r="D297" s="74" t="s">
        <v>295</v>
      </c>
      <c r="E297" s="74" t="s">
        <v>9344</v>
      </c>
      <c r="F297" s="74" t="s">
        <v>9345</v>
      </c>
      <c r="G297" s="74" t="s">
        <v>9355</v>
      </c>
      <c r="H297" s="74" t="s">
        <v>297</v>
      </c>
      <c r="I297" s="74" t="s">
        <v>47</v>
      </c>
      <c r="J297" s="74" t="s">
        <v>9347</v>
      </c>
      <c r="K297" s="74" t="s">
        <v>10051</v>
      </c>
      <c r="L297" s="74" t="s">
        <v>318</v>
      </c>
    </row>
    <row r="298" spans="1:12" ht="41.4">
      <c r="A298" s="73">
        <v>297</v>
      </c>
      <c r="B298" s="74" t="s">
        <v>10052</v>
      </c>
      <c r="C298" s="74" t="s">
        <v>10053</v>
      </c>
      <c r="D298" s="74" t="s">
        <v>89</v>
      </c>
      <c r="E298" s="74" t="s">
        <v>9395</v>
      </c>
      <c r="F298" s="74" t="s">
        <v>80</v>
      </c>
      <c r="G298" s="74" t="s">
        <v>10054</v>
      </c>
      <c r="H298" s="74" t="s">
        <v>102</v>
      </c>
      <c r="I298" s="74" t="s">
        <v>110</v>
      </c>
      <c r="J298" s="74" t="s">
        <v>9351</v>
      </c>
      <c r="K298" s="74" t="s">
        <v>10055</v>
      </c>
      <c r="L298" s="74" t="s">
        <v>711</v>
      </c>
    </row>
    <row r="299" spans="1:12" ht="41.4">
      <c r="A299" s="73">
        <v>298</v>
      </c>
      <c r="B299" s="74" t="s">
        <v>10056</v>
      </c>
      <c r="C299" s="74" t="s">
        <v>10057</v>
      </c>
      <c r="D299" s="74" t="s">
        <v>153</v>
      </c>
      <c r="E299" s="74" t="s">
        <v>9344</v>
      </c>
      <c r="F299" s="74" t="s">
        <v>9345</v>
      </c>
      <c r="G299" s="74" t="s">
        <v>9781</v>
      </c>
      <c r="H299" s="74" t="s">
        <v>155</v>
      </c>
      <c r="I299" s="74" t="s">
        <v>47</v>
      </c>
      <c r="J299" s="74" t="s">
        <v>9347</v>
      </c>
      <c r="K299" s="74"/>
      <c r="L299" s="74"/>
    </row>
    <row r="300" spans="1:12" ht="41.4">
      <c r="A300" s="73">
        <v>299</v>
      </c>
      <c r="B300" s="74" t="s">
        <v>10058</v>
      </c>
      <c r="C300" s="74" t="s">
        <v>10059</v>
      </c>
      <c r="D300" s="74" t="s">
        <v>295</v>
      </c>
      <c r="E300" s="74" t="s">
        <v>9344</v>
      </c>
      <c r="F300" s="74" t="s">
        <v>9345</v>
      </c>
      <c r="G300" s="74" t="s">
        <v>9864</v>
      </c>
      <c r="H300" s="74" t="s">
        <v>9865</v>
      </c>
      <c r="I300" s="74" t="s">
        <v>47</v>
      </c>
      <c r="J300" s="74" t="s">
        <v>9347</v>
      </c>
      <c r="K300" s="74"/>
      <c r="L300" s="74"/>
    </row>
    <row r="301" spans="1:12" ht="41.4">
      <c r="A301" s="73">
        <v>300</v>
      </c>
      <c r="B301" s="74" t="s">
        <v>10060</v>
      </c>
      <c r="C301" s="74" t="s">
        <v>10061</v>
      </c>
      <c r="D301" s="74" t="s">
        <v>89</v>
      </c>
      <c r="E301" s="74" t="s">
        <v>9344</v>
      </c>
      <c r="F301" s="74" t="s">
        <v>9345</v>
      </c>
      <c r="G301" s="74" t="s">
        <v>9556</v>
      </c>
      <c r="H301" s="74" t="s">
        <v>102</v>
      </c>
      <c r="I301" s="74" t="s">
        <v>416</v>
      </c>
      <c r="J301" s="74" t="s">
        <v>9351</v>
      </c>
      <c r="K301" s="74" t="s">
        <v>10062</v>
      </c>
      <c r="L301" s="74" t="s">
        <v>711</v>
      </c>
    </row>
    <row r="302" spans="1:12" ht="55.2">
      <c r="A302" s="73">
        <v>301</v>
      </c>
      <c r="B302" s="74" t="s">
        <v>10063</v>
      </c>
      <c r="C302" s="74" t="s">
        <v>1599</v>
      </c>
      <c r="D302" s="74" t="s">
        <v>295</v>
      </c>
      <c r="E302" s="74" t="s">
        <v>9344</v>
      </c>
      <c r="F302" s="74" t="s">
        <v>9345</v>
      </c>
      <c r="G302" s="74" t="s">
        <v>9864</v>
      </c>
      <c r="H302" s="74" t="s">
        <v>9865</v>
      </c>
      <c r="I302" s="74" t="s">
        <v>47</v>
      </c>
      <c r="J302" s="74" t="s">
        <v>9347</v>
      </c>
      <c r="K302" s="74" t="s">
        <v>10064</v>
      </c>
      <c r="L302" s="74" t="s">
        <v>318</v>
      </c>
    </row>
    <row r="303" spans="1:12" ht="69">
      <c r="A303" s="73">
        <v>302</v>
      </c>
      <c r="B303" s="74" t="s">
        <v>10065</v>
      </c>
      <c r="C303" s="74" t="s">
        <v>10066</v>
      </c>
      <c r="D303" s="74" t="s">
        <v>41</v>
      </c>
      <c r="E303" s="74" t="s">
        <v>9344</v>
      </c>
      <c r="F303" s="74" t="s">
        <v>9345</v>
      </c>
      <c r="G303" s="74" t="s">
        <v>9824</v>
      </c>
      <c r="H303" s="74" t="s">
        <v>46</v>
      </c>
      <c r="I303" s="74" t="s">
        <v>47</v>
      </c>
      <c r="J303" s="74" t="s">
        <v>9351</v>
      </c>
      <c r="K303" s="74"/>
      <c r="L303" s="74"/>
    </row>
    <row r="304" spans="1:12" ht="55.2">
      <c r="A304" s="73">
        <v>303</v>
      </c>
      <c r="B304" s="74" t="s">
        <v>10067</v>
      </c>
      <c r="C304" s="74" t="s">
        <v>1952</v>
      </c>
      <c r="D304" s="74" t="s">
        <v>68</v>
      </c>
      <c r="E304" s="74" t="s">
        <v>9344</v>
      </c>
      <c r="F304" s="74" t="s">
        <v>9345</v>
      </c>
      <c r="G304" s="74" t="s">
        <v>9378</v>
      </c>
      <c r="H304" s="74" t="s">
        <v>70</v>
      </c>
      <c r="I304" s="74" t="s">
        <v>47</v>
      </c>
      <c r="J304" s="74" t="s">
        <v>9347</v>
      </c>
      <c r="K304" s="74"/>
      <c r="L304" s="74"/>
    </row>
    <row r="305" spans="1:12" ht="69">
      <c r="A305" s="73">
        <v>304</v>
      </c>
      <c r="B305" s="74" t="s">
        <v>10068</v>
      </c>
      <c r="C305" s="74" t="s">
        <v>10069</v>
      </c>
      <c r="D305" s="74" t="s">
        <v>143</v>
      </c>
      <c r="E305" s="74" t="s">
        <v>9344</v>
      </c>
      <c r="F305" s="74" t="s">
        <v>9345</v>
      </c>
      <c r="G305" s="74" t="s">
        <v>9715</v>
      </c>
      <c r="H305" s="74" t="s">
        <v>220</v>
      </c>
      <c r="I305" s="74" t="s">
        <v>47</v>
      </c>
      <c r="J305" s="74" t="s">
        <v>9351</v>
      </c>
      <c r="K305" s="74" t="s">
        <v>10070</v>
      </c>
      <c r="L305" s="74" t="s">
        <v>251</v>
      </c>
    </row>
    <row r="306" spans="1:12" ht="41.4">
      <c r="A306" s="73">
        <v>305</v>
      </c>
      <c r="B306" s="74" t="s">
        <v>10071</v>
      </c>
      <c r="C306" s="74" t="s">
        <v>912</v>
      </c>
      <c r="D306" s="74" t="s">
        <v>89</v>
      </c>
      <c r="E306" s="74" t="s">
        <v>9344</v>
      </c>
      <c r="F306" s="74" t="s">
        <v>9345</v>
      </c>
      <c r="G306" s="74" t="s">
        <v>9556</v>
      </c>
      <c r="H306" s="74" t="s">
        <v>102</v>
      </c>
      <c r="I306" s="74" t="s">
        <v>416</v>
      </c>
      <c r="J306" s="74" t="s">
        <v>9351</v>
      </c>
      <c r="K306" s="74" t="s">
        <v>10072</v>
      </c>
      <c r="L306" s="74" t="s">
        <v>711</v>
      </c>
    </row>
    <row r="307" spans="1:12" ht="41.4">
      <c r="A307" s="73">
        <v>306</v>
      </c>
      <c r="B307" s="74" t="s">
        <v>10073</v>
      </c>
      <c r="C307" s="74" t="s">
        <v>10074</v>
      </c>
      <c r="D307" s="74" t="s">
        <v>295</v>
      </c>
      <c r="E307" s="74" t="s">
        <v>9344</v>
      </c>
      <c r="F307" s="74" t="s">
        <v>9345</v>
      </c>
      <c r="G307" s="74" t="s">
        <v>9584</v>
      </c>
      <c r="H307" s="74" t="s">
        <v>297</v>
      </c>
      <c r="I307" s="74" t="s">
        <v>47</v>
      </c>
      <c r="J307" s="74" t="s">
        <v>9347</v>
      </c>
      <c r="K307" s="74"/>
      <c r="L307" s="74"/>
    </row>
    <row r="308" spans="1:12" ht="55.2">
      <c r="A308" s="73">
        <v>307</v>
      </c>
      <c r="B308" s="74" t="s">
        <v>10075</v>
      </c>
      <c r="C308" s="74" t="s">
        <v>1946</v>
      </c>
      <c r="D308" s="74" t="s">
        <v>41</v>
      </c>
      <c r="E308" s="74" t="s">
        <v>9344</v>
      </c>
      <c r="F308" s="74" t="s">
        <v>9345</v>
      </c>
      <c r="G308" s="74" t="s">
        <v>9364</v>
      </c>
      <c r="H308" s="74" t="s">
        <v>662</v>
      </c>
      <c r="I308" s="74" t="s">
        <v>47</v>
      </c>
      <c r="J308" s="74" t="s">
        <v>9347</v>
      </c>
      <c r="K308" s="74"/>
      <c r="L308" s="74"/>
    </row>
    <row r="309" spans="1:12" ht="55.2">
      <c r="A309" s="73">
        <v>308</v>
      </c>
      <c r="B309" s="74" t="s">
        <v>10076</v>
      </c>
      <c r="C309" s="74" t="s">
        <v>10077</v>
      </c>
      <c r="D309" s="74" t="s">
        <v>153</v>
      </c>
      <c r="E309" s="74" t="s">
        <v>9344</v>
      </c>
      <c r="F309" s="74" t="s">
        <v>9345</v>
      </c>
      <c r="G309" s="74" t="s">
        <v>9781</v>
      </c>
      <c r="H309" s="74" t="s">
        <v>155</v>
      </c>
      <c r="I309" s="74" t="s">
        <v>47</v>
      </c>
      <c r="J309" s="74" t="s">
        <v>9347</v>
      </c>
      <c r="K309" s="74"/>
      <c r="L309" s="74"/>
    </row>
    <row r="310" spans="1:12" ht="55.2">
      <c r="A310" s="73">
        <v>309</v>
      </c>
      <c r="B310" s="74" t="s">
        <v>10078</v>
      </c>
      <c r="C310" s="74" t="s">
        <v>10079</v>
      </c>
      <c r="D310" s="74" t="s">
        <v>41</v>
      </c>
      <c r="E310" s="74" t="s">
        <v>9344</v>
      </c>
      <c r="F310" s="74" t="s">
        <v>9345</v>
      </c>
      <c r="G310" s="74" t="s">
        <v>9410</v>
      </c>
      <c r="H310" s="74" t="s">
        <v>130</v>
      </c>
      <c r="I310" s="74" t="s">
        <v>47</v>
      </c>
      <c r="J310" s="74" t="s">
        <v>9347</v>
      </c>
      <c r="K310" s="74" t="s">
        <v>10080</v>
      </c>
      <c r="L310" s="74" t="s">
        <v>318</v>
      </c>
    </row>
    <row r="311" spans="1:12" ht="41.4">
      <c r="A311" s="73">
        <v>310</v>
      </c>
      <c r="B311" s="74" t="s">
        <v>10081</v>
      </c>
      <c r="C311" s="74" t="s">
        <v>10082</v>
      </c>
      <c r="D311" s="74" t="s">
        <v>295</v>
      </c>
      <c r="E311" s="74" t="s">
        <v>9344</v>
      </c>
      <c r="F311" s="74" t="s">
        <v>9345</v>
      </c>
      <c r="G311" s="74" t="s">
        <v>9677</v>
      </c>
      <c r="H311" s="74" t="s">
        <v>407</v>
      </c>
      <c r="I311" s="74" t="s">
        <v>47</v>
      </c>
      <c r="J311" s="74" t="s">
        <v>9347</v>
      </c>
      <c r="K311" s="74"/>
      <c r="L311" s="74"/>
    </row>
    <row r="312" spans="1:12" ht="41.4">
      <c r="A312" s="73">
        <v>311</v>
      </c>
      <c r="B312" s="74" t="s">
        <v>10083</v>
      </c>
      <c r="C312" s="74" t="s">
        <v>8080</v>
      </c>
      <c r="D312" s="74" t="s">
        <v>41</v>
      </c>
      <c r="E312" s="74" t="s">
        <v>9344</v>
      </c>
      <c r="F312" s="74" t="s">
        <v>9345</v>
      </c>
      <c r="G312" s="74" t="s">
        <v>9350</v>
      </c>
      <c r="H312" s="74" t="s">
        <v>662</v>
      </c>
      <c r="I312" s="74" t="s">
        <v>47</v>
      </c>
      <c r="J312" s="74" t="s">
        <v>9347</v>
      </c>
      <c r="K312" s="74"/>
      <c r="L312" s="74"/>
    </row>
    <row r="313" spans="1:12" ht="41.4">
      <c r="A313" s="73">
        <v>312</v>
      </c>
      <c r="B313" s="74" t="s">
        <v>10084</v>
      </c>
      <c r="C313" s="74" t="s">
        <v>10085</v>
      </c>
      <c r="D313" s="74" t="s">
        <v>295</v>
      </c>
      <c r="E313" s="74" t="s">
        <v>9344</v>
      </c>
      <c r="F313" s="74" t="s">
        <v>9345</v>
      </c>
      <c r="G313" s="74" t="s">
        <v>9355</v>
      </c>
      <c r="H313" s="74" t="s">
        <v>297</v>
      </c>
      <c r="I313" s="74" t="s">
        <v>47</v>
      </c>
      <c r="J313" s="74" t="s">
        <v>9347</v>
      </c>
      <c r="K313" s="74" t="s">
        <v>10086</v>
      </c>
      <c r="L313" s="74" t="s">
        <v>318</v>
      </c>
    </row>
    <row r="314" spans="1:12" ht="55.2">
      <c r="A314" s="73">
        <v>313</v>
      </c>
      <c r="B314" s="74" t="s">
        <v>10087</v>
      </c>
      <c r="C314" s="74" t="s">
        <v>8759</v>
      </c>
      <c r="D314" s="74" t="s">
        <v>143</v>
      </c>
      <c r="E314" s="74" t="s">
        <v>9344</v>
      </c>
      <c r="F314" s="74" t="s">
        <v>9345</v>
      </c>
      <c r="G314" s="74" t="s">
        <v>9514</v>
      </c>
      <c r="H314" s="74" t="s">
        <v>327</v>
      </c>
      <c r="I314" s="74" t="s">
        <v>47</v>
      </c>
      <c r="J314" s="74" t="s">
        <v>9351</v>
      </c>
      <c r="K314" s="74" t="s">
        <v>10088</v>
      </c>
      <c r="L314" s="74" t="s">
        <v>370</v>
      </c>
    </row>
    <row r="315" spans="1:12" ht="41.4">
      <c r="A315" s="73">
        <v>314</v>
      </c>
      <c r="B315" s="74" t="s">
        <v>10089</v>
      </c>
      <c r="C315" s="74" t="s">
        <v>5344</v>
      </c>
      <c r="D315" s="74" t="s">
        <v>153</v>
      </c>
      <c r="E315" s="74" t="s">
        <v>9344</v>
      </c>
      <c r="F315" s="74" t="s">
        <v>9345</v>
      </c>
      <c r="G315" s="74" t="s">
        <v>9454</v>
      </c>
      <c r="H315" s="74" t="s">
        <v>155</v>
      </c>
      <c r="I315" s="74" t="s">
        <v>47</v>
      </c>
      <c r="J315" s="74" t="s">
        <v>9347</v>
      </c>
      <c r="K315" s="74"/>
      <c r="L315" s="74"/>
    </row>
    <row r="316" spans="1:12" ht="41.4">
      <c r="A316" s="73">
        <v>315</v>
      </c>
      <c r="B316" s="74" t="s">
        <v>10090</v>
      </c>
      <c r="C316" s="74" t="s">
        <v>10091</v>
      </c>
      <c r="D316" s="74" t="s">
        <v>41</v>
      </c>
      <c r="E316" s="74" t="s">
        <v>9344</v>
      </c>
      <c r="F316" s="74" t="s">
        <v>9345</v>
      </c>
      <c r="G316" s="74" t="s">
        <v>9796</v>
      </c>
      <c r="H316" s="74" t="s">
        <v>200</v>
      </c>
      <c r="I316" s="74" t="s">
        <v>47</v>
      </c>
      <c r="J316" s="74" t="s">
        <v>9347</v>
      </c>
      <c r="K316" s="74"/>
      <c r="L316" s="74"/>
    </row>
    <row r="317" spans="1:12" ht="41.4">
      <c r="A317" s="73">
        <v>316</v>
      </c>
      <c r="B317" s="74" t="s">
        <v>10092</v>
      </c>
      <c r="C317" s="74" t="s">
        <v>10093</v>
      </c>
      <c r="D317" s="74" t="s">
        <v>41</v>
      </c>
      <c r="E317" s="74" t="s">
        <v>9344</v>
      </c>
      <c r="F317" s="74" t="s">
        <v>9345</v>
      </c>
      <c r="G317" s="74" t="s">
        <v>9405</v>
      </c>
      <c r="H317" s="74" t="s">
        <v>662</v>
      </c>
      <c r="I317" s="74" t="s">
        <v>47</v>
      </c>
      <c r="J317" s="74" t="s">
        <v>9351</v>
      </c>
      <c r="K317" s="74" t="s">
        <v>10094</v>
      </c>
      <c r="L317" s="74" t="s">
        <v>331</v>
      </c>
    </row>
    <row r="318" spans="1:12" ht="55.2">
      <c r="A318" s="73">
        <v>317</v>
      </c>
      <c r="B318" s="74" t="s">
        <v>10095</v>
      </c>
      <c r="C318" s="74" t="s">
        <v>4741</v>
      </c>
      <c r="D318" s="74" t="s">
        <v>41</v>
      </c>
      <c r="E318" s="74" t="s">
        <v>9344</v>
      </c>
      <c r="F318" s="74" t="s">
        <v>9345</v>
      </c>
      <c r="G318" s="74" t="s">
        <v>9761</v>
      </c>
      <c r="H318" s="74" t="s">
        <v>479</v>
      </c>
      <c r="I318" s="74" t="s">
        <v>47</v>
      </c>
      <c r="J318" s="74" t="s">
        <v>9347</v>
      </c>
      <c r="K318" s="74"/>
      <c r="L318" s="74"/>
    </row>
    <row r="319" spans="1:12" ht="41.4">
      <c r="A319" s="73">
        <v>318</v>
      </c>
      <c r="B319" s="74" t="s">
        <v>10096</v>
      </c>
      <c r="C319" s="74" t="s">
        <v>10097</v>
      </c>
      <c r="D319" s="74" t="s">
        <v>41</v>
      </c>
      <c r="E319" s="74" t="s">
        <v>9344</v>
      </c>
      <c r="F319" s="74" t="s">
        <v>9345</v>
      </c>
      <c r="G319" s="74" t="s">
        <v>9451</v>
      </c>
      <c r="H319" s="74" t="s">
        <v>130</v>
      </c>
      <c r="I319" s="74" t="s">
        <v>47</v>
      </c>
      <c r="J319" s="74" t="s">
        <v>9347</v>
      </c>
      <c r="K319" s="74"/>
      <c r="L319" s="74"/>
    </row>
    <row r="320" spans="1:12" ht="41.4">
      <c r="A320" s="73">
        <v>319</v>
      </c>
      <c r="B320" s="74" t="s">
        <v>10098</v>
      </c>
      <c r="C320" s="74" t="s">
        <v>1782</v>
      </c>
      <c r="D320" s="74" t="s">
        <v>295</v>
      </c>
      <c r="E320" s="74" t="s">
        <v>9344</v>
      </c>
      <c r="F320" s="74" t="s">
        <v>9345</v>
      </c>
      <c r="G320" s="74" t="s">
        <v>10099</v>
      </c>
      <c r="H320" s="74" t="s">
        <v>297</v>
      </c>
      <c r="I320" s="74" t="s">
        <v>47</v>
      </c>
      <c r="J320" s="74" t="s">
        <v>9347</v>
      </c>
      <c r="K320" s="74" t="s">
        <v>10100</v>
      </c>
      <c r="L320" s="74" t="s">
        <v>897</v>
      </c>
    </row>
    <row r="321" spans="1:12" ht="41.4">
      <c r="A321" s="73">
        <v>320</v>
      </c>
      <c r="B321" s="74" t="s">
        <v>10101</v>
      </c>
      <c r="C321" s="74" t="s">
        <v>10102</v>
      </c>
      <c r="D321" s="74" t="s">
        <v>153</v>
      </c>
      <c r="E321" s="74" t="s">
        <v>9344</v>
      </c>
      <c r="F321" s="74" t="s">
        <v>9345</v>
      </c>
      <c r="G321" s="74" t="s">
        <v>9568</v>
      </c>
      <c r="H321" s="74" t="s">
        <v>155</v>
      </c>
      <c r="I321" s="74" t="s">
        <v>47</v>
      </c>
      <c r="J321" s="74" t="s">
        <v>9347</v>
      </c>
      <c r="K321" s="74"/>
      <c r="L321" s="74"/>
    </row>
    <row r="322" spans="1:12" ht="69">
      <c r="A322" s="73">
        <v>321</v>
      </c>
      <c r="B322" s="74" t="s">
        <v>10103</v>
      </c>
      <c r="C322" s="74" t="s">
        <v>10104</v>
      </c>
      <c r="D322" s="74" t="s">
        <v>41</v>
      </c>
      <c r="E322" s="74" t="s">
        <v>9344</v>
      </c>
      <c r="F322" s="74" t="s">
        <v>9345</v>
      </c>
      <c r="G322" s="74" t="s">
        <v>9413</v>
      </c>
      <c r="H322" s="74" t="s">
        <v>46</v>
      </c>
      <c r="I322" s="74" t="s">
        <v>47</v>
      </c>
      <c r="J322" s="74" t="s">
        <v>9347</v>
      </c>
      <c r="K322" s="74"/>
      <c r="L322" s="74"/>
    </row>
    <row r="323" spans="1:12" ht="55.2">
      <c r="A323" s="73">
        <v>322</v>
      </c>
      <c r="B323" s="74" t="s">
        <v>10105</v>
      </c>
      <c r="C323" s="74" t="s">
        <v>10106</v>
      </c>
      <c r="D323" s="74" t="s">
        <v>41</v>
      </c>
      <c r="E323" s="74" t="s">
        <v>9344</v>
      </c>
      <c r="F323" s="74" t="s">
        <v>9345</v>
      </c>
      <c r="G323" s="74" t="s">
        <v>9451</v>
      </c>
      <c r="H323" s="74" t="s">
        <v>130</v>
      </c>
      <c r="I323" s="74" t="s">
        <v>47</v>
      </c>
      <c r="J323" s="74" t="s">
        <v>9347</v>
      </c>
      <c r="K323" s="74"/>
      <c r="L323" s="74"/>
    </row>
    <row r="324" spans="1:12" ht="55.2">
      <c r="A324" s="73">
        <v>323</v>
      </c>
      <c r="B324" s="74" t="s">
        <v>10107</v>
      </c>
      <c r="C324" s="74" t="s">
        <v>10108</v>
      </c>
      <c r="D324" s="74" t="s">
        <v>41</v>
      </c>
      <c r="E324" s="74" t="s">
        <v>9344</v>
      </c>
      <c r="F324" s="74" t="s">
        <v>9345</v>
      </c>
      <c r="G324" s="74" t="s">
        <v>9451</v>
      </c>
      <c r="H324" s="74" t="s">
        <v>130</v>
      </c>
      <c r="I324" s="74" t="s">
        <v>47</v>
      </c>
      <c r="J324" s="74" t="s">
        <v>9347</v>
      </c>
      <c r="K324" s="74"/>
      <c r="L324" s="74"/>
    </row>
    <row r="325" spans="1:12" ht="55.2">
      <c r="A325" s="73">
        <v>324</v>
      </c>
      <c r="B325" s="74" t="s">
        <v>10109</v>
      </c>
      <c r="C325" s="74" t="s">
        <v>2099</v>
      </c>
      <c r="D325" s="74" t="s">
        <v>143</v>
      </c>
      <c r="E325" s="74" t="s">
        <v>9344</v>
      </c>
      <c r="F325" s="74" t="s">
        <v>9345</v>
      </c>
      <c r="G325" s="74" t="s">
        <v>9361</v>
      </c>
      <c r="H325" s="74" t="s">
        <v>327</v>
      </c>
      <c r="I325" s="74" t="s">
        <v>47</v>
      </c>
      <c r="J325" s="74" t="s">
        <v>9351</v>
      </c>
      <c r="K325" s="74" t="s">
        <v>10110</v>
      </c>
      <c r="L325" s="74" t="s">
        <v>370</v>
      </c>
    </row>
    <row r="326" spans="1:12" ht="69">
      <c r="A326" s="73">
        <v>325</v>
      </c>
      <c r="B326" s="74" t="s">
        <v>10111</v>
      </c>
      <c r="C326" s="74" t="s">
        <v>10112</v>
      </c>
      <c r="D326" s="74" t="s">
        <v>41</v>
      </c>
      <c r="E326" s="74" t="s">
        <v>9344</v>
      </c>
      <c r="F326" s="74" t="s">
        <v>9345</v>
      </c>
      <c r="G326" s="74" t="s">
        <v>9385</v>
      </c>
      <c r="H326" s="74" t="s">
        <v>46</v>
      </c>
      <c r="I326" s="74" t="s">
        <v>47</v>
      </c>
      <c r="J326" s="74" t="s">
        <v>9351</v>
      </c>
      <c r="K326" s="74"/>
      <c r="L326" s="74"/>
    </row>
    <row r="327" spans="1:12" ht="41.4">
      <c r="A327" s="73">
        <v>326</v>
      </c>
      <c r="B327" s="74" t="s">
        <v>10113</v>
      </c>
      <c r="C327" s="74" t="s">
        <v>9154</v>
      </c>
      <c r="D327" s="74" t="s">
        <v>295</v>
      </c>
      <c r="E327" s="74" t="s">
        <v>9344</v>
      </c>
      <c r="F327" s="74" t="s">
        <v>9345</v>
      </c>
      <c r="G327" s="74" t="s">
        <v>9478</v>
      </c>
      <c r="H327" s="74" t="s">
        <v>407</v>
      </c>
      <c r="I327" s="74" t="s">
        <v>47</v>
      </c>
      <c r="J327" s="74" t="s">
        <v>9347</v>
      </c>
      <c r="K327" s="74" t="s">
        <v>10114</v>
      </c>
      <c r="L327" s="74" t="s">
        <v>318</v>
      </c>
    </row>
    <row r="328" spans="1:12" ht="41.4">
      <c r="A328" s="73">
        <v>327</v>
      </c>
      <c r="B328" s="74" t="s">
        <v>10115</v>
      </c>
      <c r="C328" s="74" t="s">
        <v>10116</v>
      </c>
      <c r="D328" s="74" t="s">
        <v>295</v>
      </c>
      <c r="E328" s="74" t="s">
        <v>9344</v>
      </c>
      <c r="F328" s="74" t="s">
        <v>9345</v>
      </c>
      <c r="G328" s="74" t="s">
        <v>9708</v>
      </c>
      <c r="H328" s="74" t="s">
        <v>407</v>
      </c>
      <c r="I328" s="74" t="s">
        <v>47</v>
      </c>
      <c r="J328" s="74" t="s">
        <v>9347</v>
      </c>
      <c r="K328" s="74"/>
      <c r="L328" s="74"/>
    </row>
    <row r="329" spans="1:12" ht="55.2">
      <c r="A329" s="73">
        <v>328</v>
      </c>
      <c r="B329" s="74" t="s">
        <v>10117</v>
      </c>
      <c r="C329" s="74" t="s">
        <v>6933</v>
      </c>
      <c r="D329" s="74" t="s">
        <v>68</v>
      </c>
      <c r="E329" s="74" t="s">
        <v>9344</v>
      </c>
      <c r="F329" s="74" t="s">
        <v>9345</v>
      </c>
      <c r="G329" s="74" t="s">
        <v>9378</v>
      </c>
      <c r="H329" s="74" t="s">
        <v>70</v>
      </c>
      <c r="I329" s="74" t="s">
        <v>47</v>
      </c>
      <c r="J329" s="74" t="s">
        <v>9351</v>
      </c>
      <c r="K329" s="74" t="s">
        <v>10118</v>
      </c>
      <c r="L329" s="74" t="s">
        <v>1266</v>
      </c>
    </row>
    <row r="330" spans="1:12" ht="41.4">
      <c r="A330" s="73">
        <v>329</v>
      </c>
      <c r="B330" s="74" t="s">
        <v>10119</v>
      </c>
      <c r="C330" s="74" t="s">
        <v>10120</v>
      </c>
      <c r="D330" s="74" t="s">
        <v>153</v>
      </c>
      <c r="E330" s="74" t="s">
        <v>9344</v>
      </c>
      <c r="F330" s="74" t="s">
        <v>9345</v>
      </c>
      <c r="G330" s="74" t="s">
        <v>9753</v>
      </c>
      <c r="H330" s="74" t="s">
        <v>155</v>
      </c>
      <c r="I330" s="74" t="s">
        <v>47</v>
      </c>
      <c r="J330" s="74" t="s">
        <v>9347</v>
      </c>
      <c r="K330" s="74" t="s">
        <v>10121</v>
      </c>
      <c r="L330" s="74" t="s">
        <v>1266</v>
      </c>
    </row>
    <row r="331" spans="1:12" ht="41.4">
      <c r="A331" s="73">
        <v>330</v>
      </c>
      <c r="B331" s="74" t="s">
        <v>10122</v>
      </c>
      <c r="C331" s="74" t="s">
        <v>10123</v>
      </c>
      <c r="D331" s="74" t="s">
        <v>153</v>
      </c>
      <c r="E331" s="74" t="s">
        <v>9344</v>
      </c>
      <c r="F331" s="74" t="s">
        <v>9345</v>
      </c>
      <c r="G331" s="74" t="s">
        <v>10124</v>
      </c>
      <c r="H331" s="74" t="s">
        <v>155</v>
      </c>
      <c r="I331" s="74" t="s">
        <v>47</v>
      </c>
      <c r="J331" s="74" t="s">
        <v>9347</v>
      </c>
      <c r="K331" s="74" t="s">
        <v>10125</v>
      </c>
      <c r="L331" s="74" t="s">
        <v>331</v>
      </c>
    </row>
    <row r="332" spans="1:12" ht="41.4">
      <c r="A332" s="73">
        <v>331</v>
      </c>
      <c r="B332" s="74" t="s">
        <v>10126</v>
      </c>
      <c r="C332" s="74" t="s">
        <v>10127</v>
      </c>
      <c r="D332" s="74" t="s">
        <v>41</v>
      </c>
      <c r="E332" s="74" t="s">
        <v>9344</v>
      </c>
      <c r="F332" s="74" t="s">
        <v>9345</v>
      </c>
      <c r="G332" s="74" t="s">
        <v>9776</v>
      </c>
      <c r="H332" s="74" t="s">
        <v>200</v>
      </c>
      <c r="I332" s="74" t="s">
        <v>47</v>
      </c>
      <c r="J332" s="74" t="s">
        <v>9347</v>
      </c>
      <c r="K332" s="74"/>
      <c r="L332" s="74"/>
    </row>
    <row r="333" spans="1:12" ht="55.2">
      <c r="A333" s="73">
        <v>332</v>
      </c>
      <c r="B333" s="74" t="s">
        <v>10128</v>
      </c>
      <c r="C333" s="74" t="s">
        <v>10129</v>
      </c>
      <c r="D333" s="74" t="s">
        <v>68</v>
      </c>
      <c r="E333" s="74" t="s">
        <v>9344</v>
      </c>
      <c r="F333" s="74" t="s">
        <v>9345</v>
      </c>
      <c r="G333" s="74" t="s">
        <v>9378</v>
      </c>
      <c r="H333" s="74" t="s">
        <v>70</v>
      </c>
      <c r="I333" s="74" t="s">
        <v>416</v>
      </c>
      <c r="J333" s="74" t="s">
        <v>9351</v>
      </c>
      <c r="K333" s="74" t="s">
        <v>10130</v>
      </c>
      <c r="L333" s="74" t="s">
        <v>3207</v>
      </c>
    </row>
    <row r="334" spans="1:12" ht="55.2">
      <c r="A334" s="73">
        <v>333</v>
      </c>
      <c r="B334" s="74" t="s">
        <v>10131</v>
      </c>
      <c r="C334" s="74" t="s">
        <v>10132</v>
      </c>
      <c r="D334" s="74" t="s">
        <v>68</v>
      </c>
      <c r="E334" s="74" t="s">
        <v>9344</v>
      </c>
      <c r="F334" s="74" t="s">
        <v>9345</v>
      </c>
      <c r="G334" s="74" t="s">
        <v>9378</v>
      </c>
      <c r="H334" s="74" t="s">
        <v>70</v>
      </c>
      <c r="I334" s="74" t="s">
        <v>47</v>
      </c>
      <c r="J334" s="74" t="s">
        <v>9351</v>
      </c>
      <c r="K334" s="74" t="s">
        <v>10133</v>
      </c>
      <c r="L334" s="74" t="s">
        <v>3207</v>
      </c>
    </row>
    <row r="335" spans="1:12" ht="55.2">
      <c r="A335" s="73">
        <v>334</v>
      </c>
      <c r="B335" s="74" t="s">
        <v>10134</v>
      </c>
      <c r="C335" s="74" t="s">
        <v>6340</v>
      </c>
      <c r="D335" s="74" t="s">
        <v>143</v>
      </c>
      <c r="E335" s="74" t="s">
        <v>9344</v>
      </c>
      <c r="F335" s="74" t="s">
        <v>9345</v>
      </c>
      <c r="G335" s="74" t="s">
        <v>9534</v>
      </c>
      <c r="H335" s="74" t="s">
        <v>145</v>
      </c>
      <c r="I335" s="74" t="s">
        <v>47</v>
      </c>
      <c r="J335" s="74" t="s">
        <v>9351</v>
      </c>
      <c r="K335" s="74" t="s">
        <v>10135</v>
      </c>
      <c r="L335" s="74" t="s">
        <v>251</v>
      </c>
    </row>
    <row r="336" spans="1:12" ht="55.2">
      <c r="A336" s="73">
        <v>335</v>
      </c>
      <c r="B336" s="74" t="s">
        <v>10136</v>
      </c>
      <c r="C336" s="74" t="s">
        <v>10137</v>
      </c>
      <c r="D336" s="74" t="s">
        <v>143</v>
      </c>
      <c r="E336" s="74" t="s">
        <v>9344</v>
      </c>
      <c r="F336" s="74" t="s">
        <v>9345</v>
      </c>
      <c r="G336" s="74" t="s">
        <v>9514</v>
      </c>
      <c r="H336" s="74" t="s">
        <v>327</v>
      </c>
      <c r="I336" s="74" t="s">
        <v>47</v>
      </c>
      <c r="J336" s="74" t="s">
        <v>9351</v>
      </c>
      <c r="K336" s="74"/>
      <c r="L336" s="74"/>
    </row>
    <row r="337" spans="1:12" ht="55.2">
      <c r="A337" s="73">
        <v>336</v>
      </c>
      <c r="B337" s="74" t="s">
        <v>10138</v>
      </c>
      <c r="C337" s="74" t="s">
        <v>4158</v>
      </c>
      <c r="D337" s="74" t="s">
        <v>41</v>
      </c>
      <c r="E337" s="74" t="s">
        <v>9344</v>
      </c>
      <c r="F337" s="74" t="s">
        <v>9345</v>
      </c>
      <c r="G337" s="74" t="s">
        <v>9405</v>
      </c>
      <c r="H337" s="74" t="s">
        <v>662</v>
      </c>
      <c r="I337" s="74" t="s">
        <v>47</v>
      </c>
      <c r="J337" s="74" t="s">
        <v>9351</v>
      </c>
      <c r="K337" s="74"/>
      <c r="L337" s="74"/>
    </row>
    <row r="338" spans="1:12" ht="69">
      <c r="A338" s="73">
        <v>337</v>
      </c>
      <c r="B338" s="74" t="s">
        <v>10139</v>
      </c>
      <c r="C338" s="74" t="s">
        <v>1663</v>
      </c>
      <c r="D338" s="74" t="s">
        <v>89</v>
      </c>
      <c r="E338" s="74" t="s">
        <v>9344</v>
      </c>
      <c r="F338" s="74" t="s">
        <v>9345</v>
      </c>
      <c r="G338" s="74" t="s">
        <v>9528</v>
      </c>
      <c r="H338" s="74" t="s">
        <v>91</v>
      </c>
      <c r="I338" s="74" t="s">
        <v>47</v>
      </c>
      <c r="J338" s="74" t="s">
        <v>9351</v>
      </c>
      <c r="K338" s="74" t="s">
        <v>10140</v>
      </c>
      <c r="L338" s="74" t="s">
        <v>711</v>
      </c>
    </row>
    <row r="339" spans="1:12" ht="55.2">
      <c r="A339" s="73">
        <v>338</v>
      </c>
      <c r="B339" s="74" t="s">
        <v>10141</v>
      </c>
      <c r="C339" s="74" t="s">
        <v>10142</v>
      </c>
      <c r="D339" s="74" t="s">
        <v>41</v>
      </c>
      <c r="E339" s="74" t="s">
        <v>9344</v>
      </c>
      <c r="F339" s="74" t="s">
        <v>9345</v>
      </c>
      <c r="G339" s="74" t="s">
        <v>9451</v>
      </c>
      <c r="H339" s="74" t="s">
        <v>130</v>
      </c>
      <c r="I339" s="74" t="s">
        <v>47</v>
      </c>
      <c r="J339" s="74" t="s">
        <v>9347</v>
      </c>
      <c r="K339" s="74"/>
      <c r="L339" s="74"/>
    </row>
    <row r="340" spans="1:12" ht="55.2">
      <c r="A340" s="73">
        <v>339</v>
      </c>
      <c r="B340" s="74" t="s">
        <v>10143</v>
      </c>
      <c r="C340" s="74" t="s">
        <v>10144</v>
      </c>
      <c r="D340" s="74" t="s">
        <v>41</v>
      </c>
      <c r="E340" s="74" t="s">
        <v>9344</v>
      </c>
      <c r="F340" s="74" t="s">
        <v>9345</v>
      </c>
      <c r="G340" s="74" t="s">
        <v>9761</v>
      </c>
      <c r="H340" s="74" t="s">
        <v>479</v>
      </c>
      <c r="I340" s="74" t="s">
        <v>47</v>
      </c>
      <c r="J340" s="74" t="s">
        <v>9347</v>
      </c>
      <c r="K340" s="74"/>
      <c r="L340" s="74"/>
    </row>
    <row r="341" spans="1:12" ht="41.4">
      <c r="A341" s="73">
        <v>340</v>
      </c>
      <c r="B341" s="74" t="s">
        <v>10145</v>
      </c>
      <c r="C341" s="74" t="s">
        <v>10146</v>
      </c>
      <c r="D341" s="74" t="s">
        <v>41</v>
      </c>
      <c r="E341" s="74" t="s">
        <v>9344</v>
      </c>
      <c r="F341" s="74" t="s">
        <v>9345</v>
      </c>
      <c r="G341" s="74" t="s">
        <v>9665</v>
      </c>
      <c r="H341" s="74" t="s">
        <v>662</v>
      </c>
      <c r="I341" s="74" t="s">
        <v>47</v>
      </c>
      <c r="J341" s="74" t="s">
        <v>9351</v>
      </c>
      <c r="K341" s="74" t="s">
        <v>10147</v>
      </c>
      <c r="L341" s="74" t="s">
        <v>897</v>
      </c>
    </row>
    <row r="342" spans="1:12" ht="41.4">
      <c r="A342" s="73">
        <v>341</v>
      </c>
      <c r="B342" s="74" t="s">
        <v>10148</v>
      </c>
      <c r="C342" s="74" t="s">
        <v>10149</v>
      </c>
      <c r="D342" s="74" t="s">
        <v>295</v>
      </c>
      <c r="E342" s="74" t="s">
        <v>9344</v>
      </c>
      <c r="F342" s="74" t="s">
        <v>9345</v>
      </c>
      <c r="G342" s="74" t="s">
        <v>9346</v>
      </c>
      <c r="H342" s="74" t="s">
        <v>297</v>
      </c>
      <c r="I342" s="74" t="s">
        <v>47</v>
      </c>
      <c r="J342" s="74" t="s">
        <v>9347</v>
      </c>
      <c r="K342" s="74"/>
      <c r="L342" s="74"/>
    </row>
    <row r="343" spans="1:12" ht="69">
      <c r="A343" s="73">
        <v>342</v>
      </c>
      <c r="B343" s="74" t="s">
        <v>10150</v>
      </c>
      <c r="C343" s="74" t="s">
        <v>10151</v>
      </c>
      <c r="D343" s="74" t="s">
        <v>41</v>
      </c>
      <c r="E343" s="74" t="s">
        <v>9344</v>
      </c>
      <c r="F343" s="74" t="s">
        <v>9345</v>
      </c>
      <c r="G343" s="74" t="s">
        <v>9793</v>
      </c>
      <c r="H343" s="74" t="s">
        <v>46</v>
      </c>
      <c r="I343" s="74" t="s">
        <v>47</v>
      </c>
      <c r="J343" s="74" t="s">
        <v>9351</v>
      </c>
      <c r="K343" s="74"/>
      <c r="L343" s="74"/>
    </row>
    <row r="344" spans="1:12" ht="41.4">
      <c r="A344" s="73">
        <v>343</v>
      </c>
      <c r="B344" s="74" t="s">
        <v>10152</v>
      </c>
      <c r="C344" s="74" t="s">
        <v>10153</v>
      </c>
      <c r="D344" s="74" t="s">
        <v>153</v>
      </c>
      <c r="E344" s="74" t="s">
        <v>9344</v>
      </c>
      <c r="F344" s="74" t="s">
        <v>9345</v>
      </c>
      <c r="G344" s="74" t="s">
        <v>9568</v>
      </c>
      <c r="H344" s="74" t="s">
        <v>155</v>
      </c>
      <c r="I344" s="74" t="s">
        <v>47</v>
      </c>
      <c r="J344" s="74" t="s">
        <v>9351</v>
      </c>
      <c r="K344" s="74"/>
      <c r="L344" s="74"/>
    </row>
    <row r="345" spans="1:12" ht="41.4">
      <c r="A345" s="73">
        <v>344</v>
      </c>
      <c r="B345" s="74" t="s">
        <v>10154</v>
      </c>
      <c r="C345" s="74" t="s">
        <v>10155</v>
      </c>
      <c r="D345" s="74" t="s">
        <v>41</v>
      </c>
      <c r="E345" s="74" t="s">
        <v>9344</v>
      </c>
      <c r="F345" s="74" t="s">
        <v>9345</v>
      </c>
      <c r="G345" s="74" t="s">
        <v>9591</v>
      </c>
      <c r="H345" s="74" t="s">
        <v>130</v>
      </c>
      <c r="I345" s="74" t="s">
        <v>47</v>
      </c>
      <c r="J345" s="74" t="s">
        <v>9347</v>
      </c>
      <c r="K345" s="74" t="s">
        <v>10156</v>
      </c>
      <c r="L345" s="74" t="s">
        <v>318</v>
      </c>
    </row>
    <row r="346" spans="1:12" ht="69">
      <c r="A346" s="73">
        <v>345</v>
      </c>
      <c r="B346" s="74" t="s">
        <v>10157</v>
      </c>
      <c r="C346" s="74" t="s">
        <v>7936</v>
      </c>
      <c r="D346" s="74" t="s">
        <v>89</v>
      </c>
      <c r="E346" s="74" t="s">
        <v>9344</v>
      </c>
      <c r="F346" s="74" t="s">
        <v>9345</v>
      </c>
      <c r="G346" s="74" t="s">
        <v>9528</v>
      </c>
      <c r="H346" s="74" t="s">
        <v>91</v>
      </c>
      <c r="I346" s="74" t="s">
        <v>47</v>
      </c>
      <c r="J346" s="74" t="s">
        <v>9351</v>
      </c>
      <c r="K346" s="74"/>
      <c r="L346" s="74"/>
    </row>
    <row r="347" spans="1:12" ht="69">
      <c r="A347" s="73">
        <v>346</v>
      </c>
      <c r="B347" s="74" t="s">
        <v>10158</v>
      </c>
      <c r="C347" s="74" t="s">
        <v>1679</v>
      </c>
      <c r="D347" s="74" t="s">
        <v>41</v>
      </c>
      <c r="E347" s="74" t="s">
        <v>9344</v>
      </c>
      <c r="F347" s="74" t="s">
        <v>9345</v>
      </c>
      <c r="G347" s="74" t="s">
        <v>9793</v>
      </c>
      <c r="H347" s="74" t="s">
        <v>46</v>
      </c>
      <c r="I347" s="74" t="s">
        <v>47</v>
      </c>
      <c r="J347" s="74" t="s">
        <v>9347</v>
      </c>
      <c r="K347" s="74" t="s">
        <v>10159</v>
      </c>
      <c r="L347" s="74" t="s">
        <v>331</v>
      </c>
    </row>
    <row r="348" spans="1:12" ht="41.4">
      <c r="A348" s="73">
        <v>347</v>
      </c>
      <c r="B348" s="74" t="s">
        <v>10160</v>
      </c>
      <c r="C348" s="74" t="s">
        <v>10161</v>
      </c>
      <c r="D348" s="74" t="s">
        <v>295</v>
      </c>
      <c r="E348" s="74" t="s">
        <v>9344</v>
      </c>
      <c r="F348" s="74" t="s">
        <v>9345</v>
      </c>
      <c r="G348" s="74" t="s">
        <v>9355</v>
      </c>
      <c r="H348" s="74" t="s">
        <v>297</v>
      </c>
      <c r="I348" s="74" t="s">
        <v>47</v>
      </c>
      <c r="J348" s="74" t="s">
        <v>9347</v>
      </c>
      <c r="K348" s="74"/>
      <c r="L348" s="74"/>
    </row>
    <row r="349" spans="1:12" ht="69">
      <c r="A349" s="73">
        <v>348</v>
      </c>
      <c r="B349" s="74" t="s">
        <v>10162</v>
      </c>
      <c r="C349" s="74" t="s">
        <v>8916</v>
      </c>
      <c r="D349" s="74" t="s">
        <v>41</v>
      </c>
      <c r="E349" s="74" t="s">
        <v>9344</v>
      </c>
      <c r="F349" s="74" t="s">
        <v>9345</v>
      </c>
      <c r="G349" s="74" t="s">
        <v>9824</v>
      </c>
      <c r="H349" s="74" t="s">
        <v>46</v>
      </c>
      <c r="I349" s="74" t="s">
        <v>47</v>
      </c>
      <c r="J349" s="74" t="s">
        <v>9351</v>
      </c>
      <c r="K349" s="74"/>
      <c r="L349" s="74"/>
    </row>
    <row r="350" spans="1:12" ht="41.4">
      <c r="A350" s="73">
        <v>349</v>
      </c>
      <c r="B350" s="74" t="s">
        <v>10163</v>
      </c>
      <c r="C350" s="74" t="s">
        <v>10164</v>
      </c>
      <c r="D350" s="74" t="s">
        <v>295</v>
      </c>
      <c r="E350" s="74" t="s">
        <v>9344</v>
      </c>
      <c r="F350" s="74" t="s">
        <v>9345</v>
      </c>
      <c r="G350" s="74" t="s">
        <v>9579</v>
      </c>
      <c r="H350" s="74" t="s">
        <v>407</v>
      </c>
      <c r="I350" s="74" t="s">
        <v>47</v>
      </c>
      <c r="J350" s="74" t="s">
        <v>9351</v>
      </c>
      <c r="K350" s="74" t="s">
        <v>10165</v>
      </c>
      <c r="L350" s="74" t="s">
        <v>318</v>
      </c>
    </row>
    <row r="351" spans="1:12" ht="41.4">
      <c r="A351" s="73">
        <v>350</v>
      </c>
      <c r="B351" s="74" t="s">
        <v>10166</v>
      </c>
      <c r="C351" s="74" t="s">
        <v>5481</v>
      </c>
      <c r="D351" s="74" t="s">
        <v>41</v>
      </c>
      <c r="E351" s="74" t="s">
        <v>9344</v>
      </c>
      <c r="F351" s="74" t="s">
        <v>9345</v>
      </c>
      <c r="G351" s="74" t="s">
        <v>9665</v>
      </c>
      <c r="H351" s="74" t="s">
        <v>662</v>
      </c>
      <c r="I351" s="74" t="s">
        <v>47</v>
      </c>
      <c r="J351" s="74" t="s">
        <v>9351</v>
      </c>
      <c r="K351" s="74" t="s">
        <v>10167</v>
      </c>
      <c r="L351" s="74" t="s">
        <v>318</v>
      </c>
    </row>
    <row r="352" spans="1:12" ht="41.4">
      <c r="A352" s="73">
        <v>351</v>
      </c>
      <c r="B352" s="74" t="s">
        <v>10168</v>
      </c>
      <c r="C352" s="74" t="s">
        <v>375</v>
      </c>
      <c r="D352" s="74" t="s">
        <v>295</v>
      </c>
      <c r="E352" s="74" t="s">
        <v>9344</v>
      </c>
      <c r="F352" s="74" t="s">
        <v>9345</v>
      </c>
      <c r="G352" s="74" t="s">
        <v>9708</v>
      </c>
      <c r="H352" s="74" t="s">
        <v>407</v>
      </c>
      <c r="I352" s="74" t="s">
        <v>47</v>
      </c>
      <c r="J352" s="74" t="s">
        <v>9347</v>
      </c>
      <c r="K352" s="74"/>
      <c r="L352" s="74"/>
    </row>
    <row r="353" spans="1:12" ht="41.4">
      <c r="A353" s="73">
        <v>352</v>
      </c>
      <c r="B353" s="74" t="s">
        <v>10169</v>
      </c>
      <c r="C353" s="74" t="s">
        <v>10170</v>
      </c>
      <c r="D353" s="74" t="s">
        <v>153</v>
      </c>
      <c r="E353" s="74" t="s">
        <v>9344</v>
      </c>
      <c r="F353" s="74" t="s">
        <v>9345</v>
      </c>
      <c r="G353" s="74" t="s">
        <v>9437</v>
      </c>
      <c r="H353" s="74" t="s">
        <v>155</v>
      </c>
      <c r="I353" s="74" t="s">
        <v>47</v>
      </c>
      <c r="J353" s="74" t="s">
        <v>9347</v>
      </c>
      <c r="K353" s="74" t="s">
        <v>10171</v>
      </c>
      <c r="L353" s="74" t="s">
        <v>3561</v>
      </c>
    </row>
    <row r="354" spans="1:12" ht="41.4">
      <c r="A354" s="73">
        <v>353</v>
      </c>
      <c r="B354" s="74" t="s">
        <v>10172</v>
      </c>
      <c r="C354" s="74" t="s">
        <v>10173</v>
      </c>
      <c r="D354" s="74" t="s">
        <v>295</v>
      </c>
      <c r="E354" s="74" t="s">
        <v>9344</v>
      </c>
      <c r="F354" s="74" t="s">
        <v>9345</v>
      </c>
      <c r="G354" s="74" t="s">
        <v>9432</v>
      </c>
      <c r="H354" s="74" t="s">
        <v>297</v>
      </c>
      <c r="I354" s="74" t="s">
        <v>47</v>
      </c>
      <c r="J354" s="74" t="s">
        <v>9347</v>
      </c>
      <c r="K354" s="74"/>
      <c r="L354" s="74"/>
    </row>
    <row r="355" spans="1:12" ht="69">
      <c r="A355" s="73">
        <v>354</v>
      </c>
      <c r="B355" s="74" t="s">
        <v>10174</v>
      </c>
      <c r="C355" s="74" t="s">
        <v>10175</v>
      </c>
      <c r="D355" s="74" t="s">
        <v>295</v>
      </c>
      <c r="E355" s="74" t="s">
        <v>9344</v>
      </c>
      <c r="F355" s="74" t="s">
        <v>9345</v>
      </c>
      <c r="G355" s="74" t="s">
        <v>9537</v>
      </c>
      <c r="H355" s="74" t="s">
        <v>9538</v>
      </c>
      <c r="I355" s="74" t="s">
        <v>47</v>
      </c>
      <c r="J355" s="74" t="s">
        <v>9347</v>
      </c>
      <c r="K355" s="74"/>
      <c r="L355" s="74"/>
    </row>
    <row r="356" spans="1:12" ht="69">
      <c r="A356" s="73">
        <v>355</v>
      </c>
      <c r="B356" s="74" t="s">
        <v>10176</v>
      </c>
      <c r="C356" s="74" t="s">
        <v>1282</v>
      </c>
      <c r="D356" s="74" t="s">
        <v>143</v>
      </c>
      <c r="E356" s="74" t="s">
        <v>9344</v>
      </c>
      <c r="F356" s="74" t="s">
        <v>9345</v>
      </c>
      <c r="G356" s="74" t="s">
        <v>9715</v>
      </c>
      <c r="H356" s="74" t="s">
        <v>220</v>
      </c>
      <c r="I356" s="74" t="s">
        <v>47</v>
      </c>
      <c r="J356" s="74" t="s">
        <v>9351</v>
      </c>
      <c r="K356" s="74"/>
      <c r="L356" s="74"/>
    </row>
    <row r="357" spans="1:12" ht="41.4">
      <c r="A357" s="73">
        <v>356</v>
      </c>
      <c r="B357" s="74" t="s">
        <v>10177</v>
      </c>
      <c r="C357" s="74" t="s">
        <v>6592</v>
      </c>
      <c r="D357" s="74" t="s">
        <v>295</v>
      </c>
      <c r="E357" s="74" t="s">
        <v>9344</v>
      </c>
      <c r="F357" s="74" t="s">
        <v>9345</v>
      </c>
      <c r="G357" s="74" t="s">
        <v>9579</v>
      </c>
      <c r="H357" s="74" t="s">
        <v>407</v>
      </c>
      <c r="I357" s="74" t="s">
        <v>47</v>
      </c>
      <c r="J357" s="74" t="s">
        <v>9347</v>
      </c>
      <c r="K357" s="74" t="s">
        <v>10178</v>
      </c>
      <c r="L357" s="74" t="s">
        <v>318</v>
      </c>
    </row>
    <row r="358" spans="1:12" ht="41.4">
      <c r="A358" s="73">
        <v>357</v>
      </c>
      <c r="B358" s="74" t="s">
        <v>10179</v>
      </c>
      <c r="C358" s="74" t="s">
        <v>10180</v>
      </c>
      <c r="D358" s="74" t="s">
        <v>153</v>
      </c>
      <c r="E358" s="74" t="s">
        <v>9344</v>
      </c>
      <c r="F358" s="74" t="s">
        <v>9345</v>
      </c>
      <c r="G358" s="74" t="s">
        <v>9781</v>
      </c>
      <c r="H358" s="74" t="s">
        <v>155</v>
      </c>
      <c r="I358" s="74" t="s">
        <v>47</v>
      </c>
      <c r="J358" s="74" t="s">
        <v>9347</v>
      </c>
      <c r="K358" s="74"/>
      <c r="L358" s="74"/>
    </row>
    <row r="359" spans="1:12" ht="55.2">
      <c r="A359" s="73">
        <v>358</v>
      </c>
      <c r="B359" s="74" t="s">
        <v>10181</v>
      </c>
      <c r="C359" s="74" t="s">
        <v>5341</v>
      </c>
      <c r="D359" s="74" t="s">
        <v>295</v>
      </c>
      <c r="E359" s="74" t="s">
        <v>9344</v>
      </c>
      <c r="F359" s="74" t="s">
        <v>9345</v>
      </c>
      <c r="G359" s="74" t="s">
        <v>9346</v>
      </c>
      <c r="H359" s="74" t="s">
        <v>297</v>
      </c>
      <c r="I359" s="74" t="s">
        <v>47</v>
      </c>
      <c r="J359" s="74" t="s">
        <v>9347</v>
      </c>
      <c r="K359" s="74" t="s">
        <v>10182</v>
      </c>
      <c r="L359" s="74" t="s">
        <v>318</v>
      </c>
    </row>
    <row r="360" spans="1:12" ht="69">
      <c r="A360" s="73">
        <v>359</v>
      </c>
      <c r="B360" s="74" t="s">
        <v>10183</v>
      </c>
      <c r="C360" s="74" t="s">
        <v>10184</v>
      </c>
      <c r="D360" s="74" t="s">
        <v>295</v>
      </c>
      <c r="E360" s="74" t="s">
        <v>9344</v>
      </c>
      <c r="F360" s="74" t="s">
        <v>9345</v>
      </c>
      <c r="G360" s="74" t="s">
        <v>9537</v>
      </c>
      <c r="H360" s="74" t="s">
        <v>9538</v>
      </c>
      <c r="I360" s="74" t="s">
        <v>47</v>
      </c>
      <c r="J360" s="74" t="s">
        <v>9347</v>
      </c>
      <c r="K360" s="74" t="s">
        <v>10185</v>
      </c>
      <c r="L360" s="74" t="s">
        <v>897</v>
      </c>
    </row>
    <row r="361" spans="1:12" ht="69">
      <c r="A361" s="73">
        <v>360</v>
      </c>
      <c r="B361" s="74" t="s">
        <v>10186</v>
      </c>
      <c r="C361" s="74" t="s">
        <v>4803</v>
      </c>
      <c r="D361" s="74" t="s">
        <v>41</v>
      </c>
      <c r="E361" s="74" t="s">
        <v>9344</v>
      </c>
      <c r="F361" s="74" t="s">
        <v>9345</v>
      </c>
      <c r="G361" s="74" t="s">
        <v>9413</v>
      </c>
      <c r="H361" s="74" t="s">
        <v>46</v>
      </c>
      <c r="I361" s="74" t="s">
        <v>47</v>
      </c>
      <c r="J361" s="74" t="s">
        <v>9347</v>
      </c>
      <c r="K361" s="74"/>
      <c r="L361" s="74"/>
    </row>
    <row r="362" spans="1:12" ht="41.4">
      <c r="A362" s="73">
        <v>361</v>
      </c>
      <c r="B362" s="74" t="s">
        <v>10187</v>
      </c>
      <c r="C362" s="74" t="s">
        <v>10188</v>
      </c>
      <c r="D362" s="74" t="s">
        <v>41</v>
      </c>
      <c r="E362" s="74" t="s">
        <v>9344</v>
      </c>
      <c r="F362" s="74" t="s">
        <v>9345</v>
      </c>
      <c r="G362" s="74" t="s">
        <v>9776</v>
      </c>
      <c r="H362" s="74" t="s">
        <v>200</v>
      </c>
      <c r="I362" s="74" t="s">
        <v>47</v>
      </c>
      <c r="J362" s="74" t="s">
        <v>9347</v>
      </c>
      <c r="K362" s="74"/>
      <c r="L362" s="74"/>
    </row>
    <row r="363" spans="1:12" ht="69">
      <c r="A363" s="73">
        <v>362</v>
      </c>
      <c r="B363" s="74" t="s">
        <v>10189</v>
      </c>
      <c r="C363" s="74" t="s">
        <v>10190</v>
      </c>
      <c r="D363" s="74" t="s">
        <v>41</v>
      </c>
      <c r="E363" s="74" t="s">
        <v>9344</v>
      </c>
      <c r="F363" s="74" t="s">
        <v>9345</v>
      </c>
      <c r="G363" s="74" t="s">
        <v>9385</v>
      </c>
      <c r="H363" s="74" t="s">
        <v>46</v>
      </c>
      <c r="I363" s="74" t="s">
        <v>47</v>
      </c>
      <c r="J363" s="74" t="s">
        <v>9351</v>
      </c>
      <c r="K363" s="74"/>
      <c r="L363" s="74"/>
    </row>
    <row r="364" spans="1:12" ht="55.2">
      <c r="A364" s="73">
        <v>363</v>
      </c>
      <c r="B364" s="74" t="s">
        <v>10191</v>
      </c>
      <c r="C364" s="74" t="s">
        <v>10192</v>
      </c>
      <c r="D364" s="74" t="s">
        <v>41</v>
      </c>
      <c r="E364" s="74" t="s">
        <v>9344</v>
      </c>
      <c r="F364" s="74" t="s">
        <v>9345</v>
      </c>
      <c r="G364" s="74" t="s">
        <v>9500</v>
      </c>
      <c r="H364" s="74" t="s">
        <v>200</v>
      </c>
      <c r="I364" s="74" t="s">
        <v>47</v>
      </c>
      <c r="J364" s="74" t="s">
        <v>9351</v>
      </c>
      <c r="K364" s="74" t="s">
        <v>10193</v>
      </c>
      <c r="L364" s="74" t="s">
        <v>1916</v>
      </c>
    </row>
    <row r="365" spans="1:12" ht="69">
      <c r="A365" s="73">
        <v>364</v>
      </c>
      <c r="B365" s="74" t="s">
        <v>10194</v>
      </c>
      <c r="C365" s="74" t="s">
        <v>10195</v>
      </c>
      <c r="D365" s="74" t="s">
        <v>41</v>
      </c>
      <c r="E365" s="74" t="s">
        <v>9344</v>
      </c>
      <c r="F365" s="74" t="s">
        <v>9345</v>
      </c>
      <c r="G365" s="74" t="s">
        <v>9368</v>
      </c>
      <c r="H365" s="74" t="s">
        <v>46</v>
      </c>
      <c r="I365" s="74" t="s">
        <v>47</v>
      </c>
      <c r="J365" s="74" t="s">
        <v>9347</v>
      </c>
      <c r="K365" s="74" t="s">
        <v>10196</v>
      </c>
      <c r="L365" s="74" t="s">
        <v>331</v>
      </c>
    </row>
    <row r="366" spans="1:12" ht="55.2">
      <c r="A366" s="73">
        <v>365</v>
      </c>
      <c r="B366" s="74" t="s">
        <v>10197</v>
      </c>
      <c r="C366" s="74" t="s">
        <v>10198</v>
      </c>
      <c r="D366" s="74" t="s">
        <v>41</v>
      </c>
      <c r="E366" s="74" t="s">
        <v>9344</v>
      </c>
      <c r="F366" s="74" t="s">
        <v>9345</v>
      </c>
      <c r="G366" s="74" t="s">
        <v>9364</v>
      </c>
      <c r="H366" s="74" t="s">
        <v>662</v>
      </c>
      <c r="I366" s="74" t="s">
        <v>47</v>
      </c>
      <c r="J366" s="74" t="s">
        <v>9347</v>
      </c>
      <c r="K366" s="74"/>
      <c r="L366" s="74"/>
    </row>
    <row r="367" spans="1:12" ht="69">
      <c r="A367" s="73">
        <v>366</v>
      </c>
      <c r="B367" s="74" t="s">
        <v>10199</v>
      </c>
      <c r="C367" s="74" t="s">
        <v>10200</v>
      </c>
      <c r="D367" s="74" t="s">
        <v>295</v>
      </c>
      <c r="E367" s="74" t="s">
        <v>9344</v>
      </c>
      <c r="F367" s="74" t="s">
        <v>9345</v>
      </c>
      <c r="G367" s="74" t="s">
        <v>9537</v>
      </c>
      <c r="H367" s="74" t="s">
        <v>9538</v>
      </c>
      <c r="I367" s="74" t="s">
        <v>47</v>
      </c>
      <c r="J367" s="74" t="s">
        <v>9347</v>
      </c>
      <c r="K367" s="74"/>
      <c r="L367" s="74"/>
    </row>
    <row r="368" spans="1:12" ht="55.2">
      <c r="A368" s="73">
        <v>367</v>
      </c>
      <c r="B368" s="74" t="s">
        <v>10201</v>
      </c>
      <c r="C368" s="74" t="s">
        <v>5559</v>
      </c>
      <c r="D368" s="74" t="s">
        <v>143</v>
      </c>
      <c r="E368" s="74" t="s">
        <v>9344</v>
      </c>
      <c r="F368" s="74" t="s">
        <v>9345</v>
      </c>
      <c r="G368" s="74" t="s">
        <v>9534</v>
      </c>
      <c r="H368" s="74" t="s">
        <v>145</v>
      </c>
      <c r="I368" s="74" t="s">
        <v>47</v>
      </c>
      <c r="J368" s="74" t="s">
        <v>9351</v>
      </c>
      <c r="K368" s="74" t="s">
        <v>10202</v>
      </c>
      <c r="L368" s="74" t="s">
        <v>251</v>
      </c>
    </row>
    <row r="369" spans="1:12" ht="41.4">
      <c r="A369" s="73">
        <v>368</v>
      </c>
      <c r="B369" s="74" t="s">
        <v>10203</v>
      </c>
      <c r="C369" s="74" t="s">
        <v>10204</v>
      </c>
      <c r="D369" s="74" t="s">
        <v>295</v>
      </c>
      <c r="E369" s="74" t="s">
        <v>9344</v>
      </c>
      <c r="F369" s="74" t="s">
        <v>9345</v>
      </c>
      <c r="G369" s="74" t="s">
        <v>9489</v>
      </c>
      <c r="H369" s="74" t="s">
        <v>407</v>
      </c>
      <c r="I369" s="74" t="s">
        <v>47</v>
      </c>
      <c r="J369" s="74" t="s">
        <v>9347</v>
      </c>
      <c r="K369" s="74" t="s">
        <v>10205</v>
      </c>
      <c r="L369" s="74" t="s">
        <v>318</v>
      </c>
    </row>
    <row r="370" spans="1:12" ht="41.4">
      <c r="A370" s="73">
        <v>369</v>
      </c>
      <c r="B370" s="74" t="s">
        <v>10206</v>
      </c>
      <c r="C370" s="74" t="s">
        <v>10207</v>
      </c>
      <c r="D370" s="74" t="s">
        <v>41</v>
      </c>
      <c r="E370" s="74" t="s">
        <v>9344</v>
      </c>
      <c r="F370" s="74" t="s">
        <v>9345</v>
      </c>
      <c r="G370" s="74" t="s">
        <v>9410</v>
      </c>
      <c r="H370" s="74" t="s">
        <v>130</v>
      </c>
      <c r="I370" s="74" t="s">
        <v>47</v>
      </c>
      <c r="J370" s="74" t="s">
        <v>9347</v>
      </c>
      <c r="K370" s="74" t="s">
        <v>10208</v>
      </c>
      <c r="L370" s="74" t="s">
        <v>318</v>
      </c>
    </row>
    <row r="371" spans="1:12" ht="55.2">
      <c r="A371" s="73">
        <v>370</v>
      </c>
      <c r="B371" s="74" t="s">
        <v>10209</v>
      </c>
      <c r="C371" s="74" t="s">
        <v>10210</v>
      </c>
      <c r="D371" s="74" t="s">
        <v>143</v>
      </c>
      <c r="E371" s="74" t="s">
        <v>9344</v>
      </c>
      <c r="F371" s="74" t="s">
        <v>9345</v>
      </c>
      <c r="G371" s="74" t="s">
        <v>9534</v>
      </c>
      <c r="H371" s="74" t="s">
        <v>145</v>
      </c>
      <c r="I371" s="74" t="s">
        <v>47</v>
      </c>
      <c r="J371" s="74" t="s">
        <v>9351</v>
      </c>
      <c r="K371" s="74"/>
      <c r="L371" s="74"/>
    </row>
    <row r="372" spans="1:12" ht="55.2">
      <c r="A372" s="73">
        <v>371</v>
      </c>
      <c r="B372" s="74" t="s">
        <v>10211</v>
      </c>
      <c r="C372" s="74" t="s">
        <v>10212</v>
      </c>
      <c r="D372" s="74" t="s">
        <v>153</v>
      </c>
      <c r="E372" s="74" t="s">
        <v>9344</v>
      </c>
      <c r="F372" s="74" t="s">
        <v>9345</v>
      </c>
      <c r="G372" s="74" t="s">
        <v>9568</v>
      </c>
      <c r="H372" s="74" t="s">
        <v>155</v>
      </c>
      <c r="I372" s="74" t="s">
        <v>47</v>
      </c>
      <c r="J372" s="74" t="s">
        <v>9347</v>
      </c>
      <c r="K372" s="74"/>
      <c r="L372" s="74"/>
    </row>
    <row r="373" spans="1:12" ht="41.4">
      <c r="A373" s="73">
        <v>372</v>
      </c>
      <c r="B373" s="74" t="s">
        <v>10213</v>
      </c>
      <c r="C373" s="74" t="s">
        <v>10214</v>
      </c>
      <c r="D373" s="74" t="s">
        <v>295</v>
      </c>
      <c r="E373" s="74" t="s">
        <v>9344</v>
      </c>
      <c r="F373" s="74" t="s">
        <v>9345</v>
      </c>
      <c r="G373" s="74" t="s">
        <v>9708</v>
      </c>
      <c r="H373" s="74" t="s">
        <v>407</v>
      </c>
      <c r="I373" s="74" t="s">
        <v>47</v>
      </c>
      <c r="J373" s="74" t="s">
        <v>9347</v>
      </c>
      <c r="K373" s="74"/>
      <c r="L373" s="74"/>
    </row>
    <row r="374" spans="1:12" ht="41.4">
      <c r="A374" s="73">
        <v>373</v>
      </c>
      <c r="B374" s="74" t="s">
        <v>10215</v>
      </c>
      <c r="C374" s="74" t="s">
        <v>10216</v>
      </c>
      <c r="D374" s="74" t="s">
        <v>295</v>
      </c>
      <c r="E374" s="74" t="s">
        <v>9344</v>
      </c>
      <c r="F374" s="74" t="s">
        <v>9345</v>
      </c>
      <c r="G374" s="74" t="s">
        <v>9489</v>
      </c>
      <c r="H374" s="74" t="s">
        <v>407</v>
      </c>
      <c r="I374" s="74" t="s">
        <v>47</v>
      </c>
      <c r="J374" s="74" t="s">
        <v>9347</v>
      </c>
      <c r="K374" s="74" t="s">
        <v>10217</v>
      </c>
      <c r="L374" s="74" t="s">
        <v>318</v>
      </c>
    </row>
    <row r="375" spans="1:12" ht="41.4">
      <c r="A375" s="73">
        <v>374</v>
      </c>
      <c r="B375" s="74" t="s">
        <v>10218</v>
      </c>
      <c r="C375" s="74" t="s">
        <v>10219</v>
      </c>
      <c r="D375" s="74" t="s">
        <v>295</v>
      </c>
      <c r="E375" s="74" t="s">
        <v>9344</v>
      </c>
      <c r="F375" s="74" t="s">
        <v>9345</v>
      </c>
      <c r="G375" s="74" t="s">
        <v>9579</v>
      </c>
      <c r="H375" s="74" t="s">
        <v>407</v>
      </c>
      <c r="I375" s="74" t="s">
        <v>47</v>
      </c>
      <c r="J375" s="74" t="s">
        <v>9347</v>
      </c>
      <c r="K375" s="74"/>
      <c r="L375" s="74"/>
    </row>
    <row r="376" spans="1:12" ht="55.2">
      <c r="A376" s="73">
        <v>375</v>
      </c>
      <c r="B376" s="74" t="s">
        <v>10220</v>
      </c>
      <c r="C376" s="74" t="s">
        <v>10221</v>
      </c>
      <c r="D376" s="74" t="s">
        <v>295</v>
      </c>
      <c r="E376" s="74" t="s">
        <v>9344</v>
      </c>
      <c r="F376" s="74" t="s">
        <v>9345</v>
      </c>
      <c r="G376" s="74" t="s">
        <v>9355</v>
      </c>
      <c r="H376" s="74" t="s">
        <v>297</v>
      </c>
      <c r="I376" s="74" t="s">
        <v>47</v>
      </c>
      <c r="J376" s="74" t="s">
        <v>9347</v>
      </c>
      <c r="K376" s="74"/>
      <c r="L376" s="74"/>
    </row>
    <row r="377" spans="1:12" ht="41.4">
      <c r="A377" s="73">
        <v>376</v>
      </c>
      <c r="B377" s="74" t="s">
        <v>10222</v>
      </c>
      <c r="C377" s="74" t="s">
        <v>2905</v>
      </c>
      <c r="D377" s="74" t="s">
        <v>295</v>
      </c>
      <c r="E377" s="74" t="s">
        <v>9344</v>
      </c>
      <c r="F377" s="74" t="s">
        <v>9345</v>
      </c>
      <c r="G377" s="74" t="s">
        <v>9579</v>
      </c>
      <c r="H377" s="74" t="s">
        <v>407</v>
      </c>
      <c r="I377" s="74" t="s">
        <v>47</v>
      </c>
      <c r="J377" s="74" t="s">
        <v>9347</v>
      </c>
      <c r="K377" s="74"/>
      <c r="L377" s="74"/>
    </row>
    <row r="378" spans="1:12" ht="41.4">
      <c r="A378" s="73">
        <v>377</v>
      </c>
      <c r="B378" s="74" t="s">
        <v>10223</v>
      </c>
      <c r="C378" s="74" t="s">
        <v>10224</v>
      </c>
      <c r="D378" s="74" t="s">
        <v>295</v>
      </c>
      <c r="E378" s="74" t="s">
        <v>9344</v>
      </c>
      <c r="F378" s="74" t="s">
        <v>9345</v>
      </c>
      <c r="G378" s="74" t="s">
        <v>9579</v>
      </c>
      <c r="H378" s="74" t="s">
        <v>407</v>
      </c>
      <c r="I378" s="74" t="s">
        <v>47</v>
      </c>
      <c r="J378" s="74" t="s">
        <v>9347</v>
      </c>
      <c r="K378" s="74"/>
      <c r="L378" s="74"/>
    </row>
    <row r="379" spans="1:12" ht="41.4">
      <c r="A379" s="73">
        <v>378</v>
      </c>
      <c r="B379" s="74" t="s">
        <v>10225</v>
      </c>
      <c r="C379" s="74" t="s">
        <v>10226</v>
      </c>
      <c r="D379" s="74" t="s">
        <v>295</v>
      </c>
      <c r="E379" s="74" t="s">
        <v>9344</v>
      </c>
      <c r="F379" s="74" t="s">
        <v>9345</v>
      </c>
      <c r="G379" s="74" t="s">
        <v>9584</v>
      </c>
      <c r="H379" s="74" t="s">
        <v>297</v>
      </c>
      <c r="I379" s="74" t="s">
        <v>47</v>
      </c>
      <c r="J379" s="74" t="s">
        <v>9347</v>
      </c>
      <c r="K379" s="74"/>
      <c r="L379" s="74"/>
    </row>
    <row r="380" spans="1:12" ht="41.4">
      <c r="A380" s="73">
        <v>379</v>
      </c>
      <c r="B380" s="74" t="s">
        <v>10227</v>
      </c>
      <c r="C380" s="74" t="s">
        <v>10228</v>
      </c>
      <c r="D380" s="74" t="s">
        <v>295</v>
      </c>
      <c r="E380" s="74" t="s">
        <v>9344</v>
      </c>
      <c r="F380" s="74" t="s">
        <v>9345</v>
      </c>
      <c r="G380" s="74" t="s">
        <v>9346</v>
      </c>
      <c r="H380" s="74" t="s">
        <v>297</v>
      </c>
      <c r="I380" s="74" t="s">
        <v>47</v>
      </c>
      <c r="J380" s="74" t="s">
        <v>9347</v>
      </c>
      <c r="K380" s="74"/>
      <c r="L380" s="74"/>
    </row>
    <row r="381" spans="1:12" ht="55.2">
      <c r="A381" s="73">
        <v>380</v>
      </c>
      <c r="B381" s="74" t="s">
        <v>10229</v>
      </c>
      <c r="C381" s="74" t="s">
        <v>10230</v>
      </c>
      <c r="D381" s="74" t="s">
        <v>295</v>
      </c>
      <c r="E381" s="74" t="s">
        <v>9344</v>
      </c>
      <c r="F381" s="74" t="s">
        <v>9345</v>
      </c>
      <c r="G381" s="74" t="s">
        <v>9346</v>
      </c>
      <c r="H381" s="74" t="s">
        <v>297</v>
      </c>
      <c r="I381" s="74" t="s">
        <v>47</v>
      </c>
      <c r="J381" s="74" t="s">
        <v>9347</v>
      </c>
      <c r="K381" s="74"/>
      <c r="L381" s="74"/>
    </row>
    <row r="382" spans="1:12" ht="41.4">
      <c r="A382" s="73">
        <v>381</v>
      </c>
      <c r="B382" s="74" t="s">
        <v>10231</v>
      </c>
      <c r="C382" s="74" t="s">
        <v>10232</v>
      </c>
      <c r="D382" s="74" t="s">
        <v>41</v>
      </c>
      <c r="E382" s="74" t="s">
        <v>9344</v>
      </c>
      <c r="F382" s="74" t="s">
        <v>9345</v>
      </c>
      <c r="G382" s="74" t="s">
        <v>9796</v>
      </c>
      <c r="H382" s="74" t="s">
        <v>200</v>
      </c>
      <c r="I382" s="74" t="s">
        <v>47</v>
      </c>
      <c r="J382" s="74" t="s">
        <v>9347</v>
      </c>
      <c r="K382" s="74"/>
      <c r="L382" s="74"/>
    </row>
    <row r="383" spans="1:12" ht="41.4">
      <c r="A383" s="73">
        <v>382</v>
      </c>
      <c r="B383" s="74" t="s">
        <v>10233</v>
      </c>
      <c r="C383" s="74" t="s">
        <v>10234</v>
      </c>
      <c r="D383" s="74" t="s">
        <v>41</v>
      </c>
      <c r="E383" s="74" t="s">
        <v>9344</v>
      </c>
      <c r="F383" s="74" t="s">
        <v>9345</v>
      </c>
      <c r="G383" s="74" t="s">
        <v>9451</v>
      </c>
      <c r="H383" s="74" t="s">
        <v>130</v>
      </c>
      <c r="I383" s="74" t="s">
        <v>47</v>
      </c>
      <c r="J383" s="74" t="s">
        <v>9347</v>
      </c>
      <c r="K383" s="74" t="s">
        <v>10235</v>
      </c>
      <c r="L383" s="74" t="s">
        <v>318</v>
      </c>
    </row>
    <row r="384" spans="1:12" ht="41.4">
      <c r="A384" s="73">
        <v>383</v>
      </c>
      <c r="B384" s="74" t="s">
        <v>10236</v>
      </c>
      <c r="C384" s="74" t="s">
        <v>10237</v>
      </c>
      <c r="D384" s="74" t="s">
        <v>295</v>
      </c>
      <c r="E384" s="74" t="s">
        <v>9344</v>
      </c>
      <c r="F384" s="74" t="s">
        <v>9345</v>
      </c>
      <c r="G384" s="74" t="s">
        <v>9579</v>
      </c>
      <c r="H384" s="74" t="s">
        <v>407</v>
      </c>
      <c r="I384" s="74" t="s">
        <v>47</v>
      </c>
      <c r="J384" s="74" t="s">
        <v>9347</v>
      </c>
      <c r="K384" s="74" t="s">
        <v>10238</v>
      </c>
      <c r="L384" s="74" t="s">
        <v>318</v>
      </c>
    </row>
    <row r="385" spans="1:12" ht="41.4">
      <c r="A385" s="73">
        <v>384</v>
      </c>
      <c r="B385" s="74" t="s">
        <v>10239</v>
      </c>
      <c r="C385" s="74" t="s">
        <v>10240</v>
      </c>
      <c r="D385" s="74" t="s">
        <v>41</v>
      </c>
      <c r="E385" s="74" t="s">
        <v>9344</v>
      </c>
      <c r="F385" s="74" t="s">
        <v>9345</v>
      </c>
      <c r="G385" s="74" t="s">
        <v>9350</v>
      </c>
      <c r="H385" s="74" t="s">
        <v>662</v>
      </c>
      <c r="I385" s="74" t="s">
        <v>47</v>
      </c>
      <c r="J385" s="74" t="s">
        <v>9347</v>
      </c>
      <c r="K385" s="74"/>
      <c r="L385" s="74"/>
    </row>
    <row r="386" spans="1:12" ht="41.4">
      <c r="A386" s="73">
        <v>385</v>
      </c>
      <c r="B386" s="74" t="s">
        <v>10241</v>
      </c>
      <c r="C386" s="74" t="s">
        <v>10242</v>
      </c>
      <c r="D386" s="74" t="s">
        <v>41</v>
      </c>
      <c r="E386" s="74" t="s">
        <v>9344</v>
      </c>
      <c r="F386" s="74" t="s">
        <v>9345</v>
      </c>
      <c r="G386" s="74" t="s">
        <v>9796</v>
      </c>
      <c r="H386" s="74" t="s">
        <v>200</v>
      </c>
      <c r="I386" s="74" t="s">
        <v>47</v>
      </c>
      <c r="J386" s="74" t="s">
        <v>9347</v>
      </c>
      <c r="K386" s="74"/>
      <c r="L386" s="74"/>
    </row>
    <row r="387" spans="1:12" ht="69">
      <c r="A387" s="73">
        <v>386</v>
      </c>
      <c r="B387" s="74" t="s">
        <v>10243</v>
      </c>
      <c r="C387" s="74" t="s">
        <v>10244</v>
      </c>
      <c r="D387" s="74" t="s">
        <v>41</v>
      </c>
      <c r="E387" s="74" t="s">
        <v>9344</v>
      </c>
      <c r="F387" s="74" t="s">
        <v>9345</v>
      </c>
      <c r="G387" s="74" t="s">
        <v>9368</v>
      </c>
      <c r="H387" s="74" t="s">
        <v>46</v>
      </c>
      <c r="I387" s="74" t="s">
        <v>47</v>
      </c>
      <c r="J387" s="74" t="s">
        <v>9347</v>
      </c>
      <c r="K387" s="74"/>
      <c r="L387" s="74"/>
    </row>
    <row r="388" spans="1:12" ht="41.4">
      <c r="A388" s="73">
        <v>387</v>
      </c>
      <c r="B388" s="74" t="s">
        <v>10245</v>
      </c>
      <c r="C388" s="74" t="s">
        <v>10246</v>
      </c>
      <c r="D388" s="74" t="s">
        <v>295</v>
      </c>
      <c r="E388" s="74" t="s">
        <v>9344</v>
      </c>
      <c r="F388" s="74" t="s">
        <v>9345</v>
      </c>
      <c r="G388" s="74" t="s">
        <v>9355</v>
      </c>
      <c r="H388" s="74" t="s">
        <v>297</v>
      </c>
      <c r="I388" s="74" t="s">
        <v>47</v>
      </c>
      <c r="J388" s="74" t="s">
        <v>9347</v>
      </c>
      <c r="K388" s="74"/>
      <c r="L388" s="74"/>
    </row>
    <row r="389" spans="1:12" ht="41.4">
      <c r="A389" s="73">
        <v>388</v>
      </c>
      <c r="B389" s="74" t="s">
        <v>10247</v>
      </c>
      <c r="C389" s="74" t="s">
        <v>3783</v>
      </c>
      <c r="D389" s="74" t="s">
        <v>295</v>
      </c>
      <c r="E389" s="74" t="s">
        <v>9344</v>
      </c>
      <c r="F389" s="74" t="s">
        <v>9345</v>
      </c>
      <c r="G389" s="74" t="s">
        <v>9400</v>
      </c>
      <c r="H389" s="74" t="s">
        <v>407</v>
      </c>
      <c r="I389" s="74" t="s">
        <v>47</v>
      </c>
      <c r="J389" s="74" t="s">
        <v>9347</v>
      </c>
      <c r="K389" s="74"/>
      <c r="L389" s="74"/>
    </row>
    <row r="390" spans="1:12" ht="41.4">
      <c r="A390" s="73">
        <v>389</v>
      </c>
      <c r="B390" s="74" t="s">
        <v>10248</v>
      </c>
      <c r="C390" s="74" t="s">
        <v>10249</v>
      </c>
      <c r="D390" s="74" t="s">
        <v>41</v>
      </c>
      <c r="E390" s="74" t="s">
        <v>9344</v>
      </c>
      <c r="F390" s="74" t="s">
        <v>9345</v>
      </c>
      <c r="G390" s="74" t="s">
        <v>9648</v>
      </c>
      <c r="H390" s="74" t="s">
        <v>200</v>
      </c>
      <c r="I390" s="74" t="s">
        <v>47</v>
      </c>
      <c r="J390" s="74" t="s">
        <v>9347</v>
      </c>
      <c r="K390" s="74"/>
      <c r="L390" s="74"/>
    </row>
    <row r="391" spans="1:12" ht="41.4">
      <c r="A391" s="73">
        <v>390</v>
      </c>
      <c r="B391" s="74" t="s">
        <v>10250</v>
      </c>
      <c r="C391" s="74" t="s">
        <v>10251</v>
      </c>
      <c r="D391" s="74" t="s">
        <v>41</v>
      </c>
      <c r="E391" s="74" t="s">
        <v>9344</v>
      </c>
      <c r="F391" s="74" t="s">
        <v>9345</v>
      </c>
      <c r="G391" s="74" t="s">
        <v>9392</v>
      </c>
      <c r="H391" s="74" t="s">
        <v>200</v>
      </c>
      <c r="I391" s="74" t="s">
        <v>47</v>
      </c>
      <c r="J391" s="74" t="s">
        <v>9347</v>
      </c>
      <c r="K391" s="74"/>
      <c r="L391" s="74"/>
    </row>
    <row r="392" spans="1:12" ht="55.2">
      <c r="A392" s="73">
        <v>391</v>
      </c>
      <c r="B392" s="74" t="s">
        <v>10252</v>
      </c>
      <c r="C392" s="74" t="s">
        <v>10253</v>
      </c>
      <c r="D392" s="74" t="s">
        <v>153</v>
      </c>
      <c r="E392" s="74" t="s">
        <v>9344</v>
      </c>
      <c r="F392" s="74" t="s">
        <v>9345</v>
      </c>
      <c r="G392" s="74" t="s">
        <v>9454</v>
      </c>
      <c r="H392" s="74" t="s">
        <v>155</v>
      </c>
      <c r="I392" s="74" t="s">
        <v>47</v>
      </c>
      <c r="J392" s="74" t="s">
        <v>9811</v>
      </c>
      <c r="K392" s="74"/>
      <c r="L392" s="74"/>
    </row>
    <row r="393" spans="1:12" ht="41.4">
      <c r="A393" s="73">
        <v>392</v>
      </c>
      <c r="B393" s="74" t="s">
        <v>10254</v>
      </c>
      <c r="C393" s="74" t="s">
        <v>10255</v>
      </c>
      <c r="D393" s="74" t="s">
        <v>153</v>
      </c>
      <c r="E393" s="74" t="s">
        <v>9344</v>
      </c>
      <c r="F393" s="74" t="s">
        <v>9345</v>
      </c>
      <c r="G393" s="74" t="s">
        <v>9568</v>
      </c>
      <c r="H393" s="74" t="s">
        <v>155</v>
      </c>
      <c r="I393" s="74" t="s">
        <v>47</v>
      </c>
      <c r="J393" s="74" t="s">
        <v>9347</v>
      </c>
      <c r="K393" s="74"/>
      <c r="L393" s="74"/>
    </row>
    <row r="394" spans="1:12" ht="41.4">
      <c r="A394" s="73">
        <v>393</v>
      </c>
      <c r="B394" s="74" t="s">
        <v>10256</v>
      </c>
      <c r="C394" s="74" t="s">
        <v>10257</v>
      </c>
      <c r="D394" s="74" t="s">
        <v>41</v>
      </c>
      <c r="E394" s="74" t="s">
        <v>9344</v>
      </c>
      <c r="F394" s="74" t="s">
        <v>9345</v>
      </c>
      <c r="G394" s="74" t="s">
        <v>9796</v>
      </c>
      <c r="H394" s="74" t="s">
        <v>200</v>
      </c>
      <c r="I394" s="74" t="s">
        <v>47</v>
      </c>
      <c r="J394" s="74" t="s">
        <v>9347</v>
      </c>
      <c r="K394" s="74"/>
      <c r="L394" s="74"/>
    </row>
    <row r="395" spans="1:12" ht="41.4">
      <c r="A395" s="73">
        <v>394</v>
      </c>
      <c r="B395" s="74" t="s">
        <v>10258</v>
      </c>
      <c r="C395" s="74" t="s">
        <v>10259</v>
      </c>
      <c r="D395" s="74" t="s">
        <v>295</v>
      </c>
      <c r="E395" s="74" t="s">
        <v>9344</v>
      </c>
      <c r="F395" s="74" t="s">
        <v>9345</v>
      </c>
      <c r="G395" s="74" t="s">
        <v>9864</v>
      </c>
      <c r="H395" s="74" t="s">
        <v>9865</v>
      </c>
      <c r="I395" s="74" t="s">
        <v>47</v>
      </c>
      <c r="J395" s="74" t="s">
        <v>9347</v>
      </c>
      <c r="K395" s="74"/>
      <c r="L395" s="74"/>
    </row>
    <row r="396" spans="1:12" ht="41.4">
      <c r="A396" s="73">
        <v>395</v>
      </c>
      <c r="B396" s="74" t="s">
        <v>10260</v>
      </c>
      <c r="C396" s="74" t="s">
        <v>4914</v>
      </c>
      <c r="D396" s="74" t="s">
        <v>41</v>
      </c>
      <c r="E396" s="74" t="s">
        <v>9344</v>
      </c>
      <c r="F396" s="74" t="s">
        <v>9345</v>
      </c>
      <c r="G396" s="74" t="s">
        <v>9665</v>
      </c>
      <c r="H396" s="74" t="s">
        <v>662</v>
      </c>
      <c r="I396" s="74" t="s">
        <v>47</v>
      </c>
      <c r="J396" s="74" t="s">
        <v>9351</v>
      </c>
      <c r="K396" s="74"/>
      <c r="L396" s="74"/>
    </row>
    <row r="397" spans="1:12" ht="41.4">
      <c r="A397" s="73">
        <v>396</v>
      </c>
      <c r="B397" s="74" t="s">
        <v>10261</v>
      </c>
      <c r="C397" s="74" t="s">
        <v>10262</v>
      </c>
      <c r="D397" s="74" t="s">
        <v>153</v>
      </c>
      <c r="E397" s="74" t="s">
        <v>9344</v>
      </c>
      <c r="F397" s="74" t="s">
        <v>9345</v>
      </c>
      <c r="G397" s="74" t="s">
        <v>9993</v>
      </c>
      <c r="H397" s="74" t="s">
        <v>155</v>
      </c>
      <c r="I397" s="74" t="s">
        <v>47</v>
      </c>
      <c r="J397" s="74" t="s">
        <v>9347</v>
      </c>
      <c r="K397" s="74"/>
      <c r="L397" s="74"/>
    </row>
    <row r="398" spans="1:12" ht="41.4">
      <c r="A398" s="73">
        <v>397</v>
      </c>
      <c r="B398" s="74" t="s">
        <v>10263</v>
      </c>
      <c r="C398" s="74" t="s">
        <v>6719</v>
      </c>
      <c r="D398" s="74" t="s">
        <v>295</v>
      </c>
      <c r="E398" s="74" t="s">
        <v>9344</v>
      </c>
      <c r="F398" s="74" t="s">
        <v>9345</v>
      </c>
      <c r="G398" s="74" t="s">
        <v>9584</v>
      </c>
      <c r="H398" s="74" t="s">
        <v>297</v>
      </c>
      <c r="I398" s="74" t="s">
        <v>47</v>
      </c>
      <c r="J398" s="74" t="s">
        <v>9347</v>
      </c>
      <c r="K398" s="74"/>
      <c r="L398" s="74"/>
    </row>
    <row r="399" spans="1:12" ht="55.2">
      <c r="A399" s="73">
        <v>398</v>
      </c>
      <c r="B399" s="74" t="s">
        <v>10264</v>
      </c>
      <c r="C399" s="74" t="s">
        <v>2213</v>
      </c>
      <c r="D399" s="74" t="s">
        <v>143</v>
      </c>
      <c r="E399" s="74" t="s">
        <v>9344</v>
      </c>
      <c r="F399" s="74" t="s">
        <v>9345</v>
      </c>
      <c r="G399" s="74" t="s">
        <v>9916</v>
      </c>
      <c r="H399" s="74" t="s">
        <v>327</v>
      </c>
      <c r="I399" s="74" t="s">
        <v>47</v>
      </c>
      <c r="J399" s="74" t="s">
        <v>9351</v>
      </c>
      <c r="K399" s="74" t="s">
        <v>10265</v>
      </c>
      <c r="L399" s="74" t="s">
        <v>370</v>
      </c>
    </row>
    <row r="400" spans="1:12" ht="41.4">
      <c r="A400" s="73">
        <v>399</v>
      </c>
      <c r="B400" s="74" t="s">
        <v>10266</v>
      </c>
      <c r="C400" s="74" t="s">
        <v>8533</v>
      </c>
      <c r="D400" s="74" t="s">
        <v>143</v>
      </c>
      <c r="E400" s="74" t="s">
        <v>9344</v>
      </c>
      <c r="F400" s="74" t="s">
        <v>9345</v>
      </c>
      <c r="G400" s="74" t="s">
        <v>10267</v>
      </c>
      <c r="H400" s="74" t="s">
        <v>400</v>
      </c>
      <c r="I400" s="74" t="s">
        <v>47</v>
      </c>
      <c r="J400" s="74" t="s">
        <v>9351</v>
      </c>
      <c r="K400" s="74" t="s">
        <v>10268</v>
      </c>
      <c r="L400" s="74" t="s">
        <v>251</v>
      </c>
    </row>
    <row r="401" spans="1:12" ht="41.4">
      <c r="A401" s="73">
        <v>400</v>
      </c>
      <c r="B401" s="74" t="s">
        <v>10269</v>
      </c>
      <c r="C401" s="74" t="s">
        <v>10270</v>
      </c>
      <c r="D401" s="74" t="s">
        <v>153</v>
      </c>
      <c r="E401" s="74" t="s">
        <v>9344</v>
      </c>
      <c r="F401" s="74" t="s">
        <v>9345</v>
      </c>
      <c r="G401" s="74" t="s">
        <v>9468</v>
      </c>
      <c r="H401" s="74" t="s">
        <v>155</v>
      </c>
      <c r="I401" s="74" t="s">
        <v>47</v>
      </c>
      <c r="J401" s="74" t="s">
        <v>9347</v>
      </c>
      <c r="K401" s="74"/>
      <c r="L401" s="74"/>
    </row>
    <row r="402" spans="1:12" ht="41.4">
      <c r="A402" s="73">
        <v>401</v>
      </c>
      <c r="B402" s="74" t="s">
        <v>10271</v>
      </c>
      <c r="C402" s="74" t="s">
        <v>10272</v>
      </c>
      <c r="D402" s="74" t="s">
        <v>295</v>
      </c>
      <c r="E402" s="74" t="s">
        <v>9344</v>
      </c>
      <c r="F402" s="74" t="s">
        <v>9345</v>
      </c>
      <c r="G402" s="74" t="s">
        <v>9355</v>
      </c>
      <c r="H402" s="74" t="s">
        <v>297</v>
      </c>
      <c r="I402" s="74" t="s">
        <v>47</v>
      </c>
      <c r="J402" s="74" t="s">
        <v>9347</v>
      </c>
      <c r="K402" s="74"/>
      <c r="L402" s="74"/>
    </row>
    <row r="403" spans="1:12" ht="55.2">
      <c r="A403" s="73">
        <v>402</v>
      </c>
      <c r="B403" s="74" t="s">
        <v>10273</v>
      </c>
      <c r="C403" s="74" t="s">
        <v>5037</v>
      </c>
      <c r="D403" s="74" t="s">
        <v>295</v>
      </c>
      <c r="E403" s="74" t="s">
        <v>9344</v>
      </c>
      <c r="F403" s="74" t="s">
        <v>9345</v>
      </c>
      <c r="G403" s="74" t="s">
        <v>9346</v>
      </c>
      <c r="H403" s="74" t="s">
        <v>297</v>
      </c>
      <c r="I403" s="74" t="s">
        <v>47</v>
      </c>
      <c r="J403" s="74" t="s">
        <v>9347</v>
      </c>
      <c r="K403" s="74" t="s">
        <v>10274</v>
      </c>
      <c r="L403" s="74" t="s">
        <v>318</v>
      </c>
    </row>
    <row r="404" spans="1:12" ht="55.2">
      <c r="A404" s="73">
        <v>403</v>
      </c>
      <c r="B404" s="74" t="s">
        <v>10275</v>
      </c>
      <c r="C404" s="74" t="s">
        <v>2232</v>
      </c>
      <c r="D404" s="74" t="s">
        <v>89</v>
      </c>
      <c r="E404" s="74" t="s">
        <v>9344</v>
      </c>
      <c r="F404" s="74" t="s">
        <v>9345</v>
      </c>
      <c r="G404" s="74" t="s">
        <v>9556</v>
      </c>
      <c r="H404" s="74" t="s">
        <v>102</v>
      </c>
      <c r="I404" s="74" t="s">
        <v>47</v>
      </c>
      <c r="J404" s="74" t="s">
        <v>9351</v>
      </c>
      <c r="K404" s="74" t="s">
        <v>10276</v>
      </c>
      <c r="L404" s="74" t="s">
        <v>711</v>
      </c>
    </row>
    <row r="405" spans="1:12" ht="55.2">
      <c r="A405" s="73">
        <v>404</v>
      </c>
      <c r="B405" s="74" t="s">
        <v>10277</v>
      </c>
      <c r="C405" s="74" t="s">
        <v>10278</v>
      </c>
      <c r="D405" s="74" t="s">
        <v>41</v>
      </c>
      <c r="E405" s="74" t="s">
        <v>9344</v>
      </c>
      <c r="F405" s="74" t="s">
        <v>9345</v>
      </c>
      <c r="G405" s="74" t="s">
        <v>9648</v>
      </c>
      <c r="H405" s="74" t="s">
        <v>200</v>
      </c>
      <c r="I405" s="74" t="s">
        <v>47</v>
      </c>
      <c r="J405" s="74" t="s">
        <v>9347</v>
      </c>
      <c r="K405" s="74"/>
      <c r="L405" s="74"/>
    </row>
    <row r="406" spans="1:12" ht="69">
      <c r="A406" s="73">
        <v>405</v>
      </c>
      <c r="B406" s="74" t="s">
        <v>10279</v>
      </c>
      <c r="C406" s="74" t="s">
        <v>10280</v>
      </c>
      <c r="D406" s="74" t="s">
        <v>41</v>
      </c>
      <c r="E406" s="74" t="s">
        <v>9344</v>
      </c>
      <c r="F406" s="74" t="s">
        <v>9345</v>
      </c>
      <c r="G406" s="74" t="s">
        <v>9824</v>
      </c>
      <c r="H406" s="74" t="s">
        <v>46</v>
      </c>
      <c r="I406" s="74" t="s">
        <v>47</v>
      </c>
      <c r="J406" s="74" t="s">
        <v>9347</v>
      </c>
      <c r="K406" s="74"/>
      <c r="L406" s="74"/>
    </row>
    <row r="407" spans="1:12" ht="69">
      <c r="A407" s="73">
        <v>406</v>
      </c>
      <c r="B407" s="74" t="s">
        <v>10281</v>
      </c>
      <c r="C407" s="74" t="s">
        <v>5328</v>
      </c>
      <c r="D407" s="74" t="s">
        <v>89</v>
      </c>
      <c r="E407" s="74" t="s">
        <v>9344</v>
      </c>
      <c r="F407" s="74" t="s">
        <v>9345</v>
      </c>
      <c r="G407" s="74" t="s">
        <v>9528</v>
      </c>
      <c r="H407" s="74" t="s">
        <v>91</v>
      </c>
      <c r="I407" s="74" t="s">
        <v>47</v>
      </c>
      <c r="J407" s="74" t="s">
        <v>9351</v>
      </c>
      <c r="K407" s="74" t="s">
        <v>10282</v>
      </c>
      <c r="L407" s="74" t="s">
        <v>711</v>
      </c>
    </row>
    <row r="408" spans="1:12" ht="41.4">
      <c r="A408" s="73">
        <v>407</v>
      </c>
      <c r="B408" s="74" t="s">
        <v>10283</v>
      </c>
      <c r="C408" s="74" t="s">
        <v>1913</v>
      </c>
      <c r="D408" s="74" t="s">
        <v>41</v>
      </c>
      <c r="E408" s="74" t="s">
        <v>9344</v>
      </c>
      <c r="F408" s="74" t="s">
        <v>9345</v>
      </c>
      <c r="G408" s="74" t="s">
        <v>9665</v>
      </c>
      <c r="H408" s="74" t="s">
        <v>662</v>
      </c>
      <c r="I408" s="74" t="s">
        <v>47</v>
      </c>
      <c r="J408" s="74" t="s">
        <v>9351</v>
      </c>
      <c r="K408" s="74" t="s">
        <v>10284</v>
      </c>
      <c r="L408" s="74" t="s">
        <v>1916</v>
      </c>
    </row>
    <row r="409" spans="1:12" ht="69">
      <c r="A409" s="73">
        <v>408</v>
      </c>
      <c r="B409" s="74" t="s">
        <v>10285</v>
      </c>
      <c r="C409" s="74" t="s">
        <v>2383</v>
      </c>
      <c r="D409" s="74" t="s">
        <v>89</v>
      </c>
      <c r="E409" s="74" t="s">
        <v>9344</v>
      </c>
      <c r="F409" s="74" t="s">
        <v>9345</v>
      </c>
      <c r="G409" s="74" t="s">
        <v>9528</v>
      </c>
      <c r="H409" s="74" t="s">
        <v>91</v>
      </c>
      <c r="I409" s="74" t="s">
        <v>47</v>
      </c>
      <c r="J409" s="74" t="s">
        <v>9351</v>
      </c>
      <c r="K409" s="74" t="s">
        <v>10286</v>
      </c>
      <c r="L409" s="74" t="s">
        <v>711</v>
      </c>
    </row>
    <row r="410" spans="1:12" ht="55.2">
      <c r="A410" s="73">
        <v>409</v>
      </c>
      <c r="B410" s="74" t="s">
        <v>10287</v>
      </c>
      <c r="C410" s="74" t="s">
        <v>10288</v>
      </c>
      <c r="D410" s="74" t="s">
        <v>41</v>
      </c>
      <c r="E410" s="74" t="s">
        <v>9344</v>
      </c>
      <c r="F410" s="74" t="s">
        <v>9345</v>
      </c>
      <c r="G410" s="74" t="s">
        <v>9372</v>
      </c>
      <c r="H410" s="74" t="s">
        <v>479</v>
      </c>
      <c r="I410" s="74" t="s">
        <v>47</v>
      </c>
      <c r="J410" s="74" t="s">
        <v>9347</v>
      </c>
      <c r="K410" s="74"/>
      <c r="L410" s="74"/>
    </row>
    <row r="411" spans="1:12" ht="41.4">
      <c r="A411" s="73">
        <v>410</v>
      </c>
      <c r="B411" s="74" t="s">
        <v>10289</v>
      </c>
      <c r="C411" s="74" t="s">
        <v>3514</v>
      </c>
      <c r="D411" s="74" t="s">
        <v>41</v>
      </c>
      <c r="E411" s="74" t="s">
        <v>9344</v>
      </c>
      <c r="F411" s="74" t="s">
        <v>9345</v>
      </c>
      <c r="G411" s="74" t="s">
        <v>9405</v>
      </c>
      <c r="H411" s="74" t="s">
        <v>662</v>
      </c>
      <c r="I411" s="74" t="s">
        <v>47</v>
      </c>
      <c r="J411" s="74" t="s">
        <v>9351</v>
      </c>
      <c r="K411" s="74" t="s">
        <v>10290</v>
      </c>
      <c r="L411" s="74" t="s">
        <v>331</v>
      </c>
    </row>
    <row r="412" spans="1:12" ht="55.2">
      <c r="A412" s="73">
        <v>411</v>
      </c>
      <c r="B412" s="74" t="s">
        <v>10291</v>
      </c>
      <c r="C412" s="74" t="s">
        <v>10292</v>
      </c>
      <c r="D412" s="74" t="s">
        <v>41</v>
      </c>
      <c r="E412" s="74" t="s">
        <v>9344</v>
      </c>
      <c r="F412" s="74" t="s">
        <v>9345</v>
      </c>
      <c r="G412" s="74" t="s">
        <v>9500</v>
      </c>
      <c r="H412" s="74" t="s">
        <v>200</v>
      </c>
      <c r="I412" s="74" t="s">
        <v>47</v>
      </c>
      <c r="J412" s="74" t="s">
        <v>9347</v>
      </c>
      <c r="K412" s="74"/>
      <c r="L412" s="74"/>
    </row>
    <row r="413" spans="1:12" ht="55.2">
      <c r="A413" s="73">
        <v>412</v>
      </c>
      <c r="B413" s="74" t="s">
        <v>10293</v>
      </c>
      <c r="C413" s="74" t="s">
        <v>10294</v>
      </c>
      <c r="D413" s="74" t="s">
        <v>295</v>
      </c>
      <c r="E413" s="74" t="s">
        <v>9344</v>
      </c>
      <c r="F413" s="74" t="s">
        <v>9345</v>
      </c>
      <c r="G413" s="74" t="s">
        <v>9864</v>
      </c>
      <c r="H413" s="74" t="s">
        <v>9865</v>
      </c>
      <c r="I413" s="74" t="s">
        <v>47</v>
      </c>
      <c r="J413" s="74" t="s">
        <v>9347</v>
      </c>
      <c r="K413" s="74"/>
      <c r="L413" s="74"/>
    </row>
    <row r="414" spans="1:12" ht="41.4">
      <c r="A414" s="73">
        <v>413</v>
      </c>
      <c r="B414" s="74" t="s">
        <v>10295</v>
      </c>
      <c r="C414" s="74" t="s">
        <v>10296</v>
      </c>
      <c r="D414" s="74" t="s">
        <v>41</v>
      </c>
      <c r="E414" s="74" t="s">
        <v>9344</v>
      </c>
      <c r="F414" s="74" t="s">
        <v>9345</v>
      </c>
      <c r="G414" s="74" t="s">
        <v>9757</v>
      </c>
      <c r="H414" s="74" t="s">
        <v>200</v>
      </c>
      <c r="I414" s="74" t="s">
        <v>47</v>
      </c>
      <c r="J414" s="74" t="s">
        <v>9351</v>
      </c>
      <c r="K414" s="74" t="s">
        <v>10297</v>
      </c>
      <c r="L414" s="74" t="s">
        <v>331</v>
      </c>
    </row>
    <row r="415" spans="1:12" ht="41.4">
      <c r="A415" s="73">
        <v>414</v>
      </c>
      <c r="B415" s="74" t="s">
        <v>10298</v>
      </c>
      <c r="C415" s="74" t="s">
        <v>5337</v>
      </c>
      <c r="D415" s="74" t="s">
        <v>41</v>
      </c>
      <c r="E415" s="74" t="s">
        <v>9344</v>
      </c>
      <c r="F415" s="74" t="s">
        <v>9345</v>
      </c>
      <c r="G415" s="74" t="s">
        <v>9364</v>
      </c>
      <c r="H415" s="74" t="s">
        <v>662</v>
      </c>
      <c r="I415" s="74" t="s">
        <v>47</v>
      </c>
      <c r="J415" s="74" t="s">
        <v>9347</v>
      </c>
      <c r="K415" s="74" t="s">
        <v>10299</v>
      </c>
      <c r="L415" s="74" t="s">
        <v>331</v>
      </c>
    </row>
    <row r="416" spans="1:12" ht="41.4">
      <c r="A416" s="73">
        <v>415</v>
      </c>
      <c r="B416" s="74" t="s">
        <v>10300</v>
      </c>
      <c r="C416" s="74" t="s">
        <v>10301</v>
      </c>
      <c r="D416" s="74" t="s">
        <v>295</v>
      </c>
      <c r="E416" s="74" t="s">
        <v>9344</v>
      </c>
      <c r="F416" s="74" t="s">
        <v>9345</v>
      </c>
      <c r="G416" s="74" t="s">
        <v>9708</v>
      </c>
      <c r="H416" s="74" t="s">
        <v>407</v>
      </c>
      <c r="I416" s="74" t="s">
        <v>47</v>
      </c>
      <c r="J416" s="74" t="s">
        <v>9347</v>
      </c>
      <c r="K416" s="74"/>
      <c r="L416" s="74"/>
    </row>
    <row r="417" spans="1:12" ht="41.4">
      <c r="A417" s="73">
        <v>416</v>
      </c>
      <c r="B417" s="74" t="s">
        <v>10302</v>
      </c>
      <c r="C417" s="74" t="s">
        <v>10303</v>
      </c>
      <c r="D417" s="74" t="s">
        <v>153</v>
      </c>
      <c r="E417" s="74" t="s">
        <v>9344</v>
      </c>
      <c r="F417" s="74" t="s">
        <v>9345</v>
      </c>
      <c r="G417" s="74" t="s">
        <v>9993</v>
      </c>
      <c r="H417" s="74" t="s">
        <v>155</v>
      </c>
      <c r="I417" s="74" t="s">
        <v>47</v>
      </c>
      <c r="J417" s="74" t="s">
        <v>9347</v>
      </c>
      <c r="K417" s="74" t="s">
        <v>10304</v>
      </c>
      <c r="L417" s="74" t="s">
        <v>1266</v>
      </c>
    </row>
    <row r="418" spans="1:12" ht="55.2">
      <c r="A418" s="73">
        <v>417</v>
      </c>
      <c r="B418" s="74" t="s">
        <v>10305</v>
      </c>
      <c r="C418" s="74" t="s">
        <v>10306</v>
      </c>
      <c r="D418" s="74" t="s">
        <v>143</v>
      </c>
      <c r="E418" s="74" t="s">
        <v>9344</v>
      </c>
      <c r="F418" s="74" t="s">
        <v>9345</v>
      </c>
      <c r="G418" s="74" t="s">
        <v>9534</v>
      </c>
      <c r="H418" s="74" t="s">
        <v>145</v>
      </c>
      <c r="I418" s="74" t="s">
        <v>47</v>
      </c>
      <c r="J418" s="74" t="s">
        <v>9351</v>
      </c>
      <c r="K418" s="74" t="s">
        <v>10307</v>
      </c>
      <c r="L418" s="74" t="s">
        <v>251</v>
      </c>
    </row>
    <row r="419" spans="1:12" ht="41.4">
      <c r="A419" s="73">
        <v>418</v>
      </c>
      <c r="B419" s="74" t="s">
        <v>10308</v>
      </c>
      <c r="C419" s="74" t="s">
        <v>10309</v>
      </c>
      <c r="D419" s="74" t="s">
        <v>295</v>
      </c>
      <c r="E419" s="74" t="s">
        <v>9344</v>
      </c>
      <c r="F419" s="74" t="s">
        <v>9345</v>
      </c>
      <c r="G419" s="74" t="s">
        <v>9864</v>
      </c>
      <c r="H419" s="74" t="s">
        <v>9865</v>
      </c>
      <c r="I419" s="74" t="s">
        <v>47</v>
      </c>
      <c r="J419" s="74" t="s">
        <v>9347</v>
      </c>
      <c r="K419" s="74"/>
      <c r="L419" s="74"/>
    </row>
    <row r="420" spans="1:12" ht="55.2">
      <c r="A420" s="73">
        <v>419</v>
      </c>
      <c r="B420" s="74" t="s">
        <v>10310</v>
      </c>
      <c r="C420" s="74" t="s">
        <v>10311</v>
      </c>
      <c r="D420" s="74" t="s">
        <v>153</v>
      </c>
      <c r="E420" s="74" t="s">
        <v>9344</v>
      </c>
      <c r="F420" s="74" t="s">
        <v>9345</v>
      </c>
      <c r="G420" s="74" t="s">
        <v>9993</v>
      </c>
      <c r="H420" s="74" t="s">
        <v>155</v>
      </c>
      <c r="I420" s="74" t="s">
        <v>47</v>
      </c>
      <c r="J420" s="74" t="s">
        <v>9347</v>
      </c>
      <c r="K420" s="74"/>
      <c r="L420" s="74"/>
    </row>
    <row r="421" spans="1:12" ht="41.4">
      <c r="A421" s="73">
        <v>420</v>
      </c>
      <c r="B421" s="74" t="s">
        <v>10312</v>
      </c>
      <c r="C421" s="74" t="s">
        <v>10313</v>
      </c>
      <c r="D421" s="74" t="s">
        <v>153</v>
      </c>
      <c r="E421" s="74" t="s">
        <v>9344</v>
      </c>
      <c r="F421" s="74" t="s">
        <v>9345</v>
      </c>
      <c r="G421" s="74" t="s">
        <v>9526</v>
      </c>
      <c r="H421" s="74" t="s">
        <v>155</v>
      </c>
      <c r="I421" s="74" t="s">
        <v>47</v>
      </c>
      <c r="J421" s="74" t="s">
        <v>9347</v>
      </c>
      <c r="K421" s="74"/>
      <c r="L421" s="74"/>
    </row>
    <row r="422" spans="1:12" ht="55.2">
      <c r="A422" s="73">
        <v>421</v>
      </c>
      <c r="B422" s="74" t="s">
        <v>10314</v>
      </c>
      <c r="C422" s="74" t="s">
        <v>4851</v>
      </c>
      <c r="D422" s="74" t="s">
        <v>89</v>
      </c>
      <c r="E422" s="74" t="s">
        <v>9344</v>
      </c>
      <c r="F422" s="74" t="s">
        <v>9345</v>
      </c>
      <c r="G422" s="74" t="s">
        <v>9556</v>
      </c>
      <c r="H422" s="74" t="s">
        <v>102</v>
      </c>
      <c r="I422" s="74" t="s">
        <v>47</v>
      </c>
      <c r="J422" s="74" t="s">
        <v>9351</v>
      </c>
      <c r="K422" s="74" t="s">
        <v>10315</v>
      </c>
      <c r="L422" s="74" t="s">
        <v>711</v>
      </c>
    </row>
    <row r="423" spans="1:12" ht="41.4">
      <c r="A423" s="73">
        <v>422</v>
      </c>
      <c r="B423" s="74" t="s">
        <v>10316</v>
      </c>
      <c r="C423" s="74" t="s">
        <v>10317</v>
      </c>
      <c r="D423" s="74" t="s">
        <v>41</v>
      </c>
      <c r="E423" s="74" t="s">
        <v>9344</v>
      </c>
      <c r="F423" s="74" t="s">
        <v>9345</v>
      </c>
      <c r="G423" s="74" t="s">
        <v>9796</v>
      </c>
      <c r="H423" s="74" t="s">
        <v>200</v>
      </c>
      <c r="I423" s="74" t="s">
        <v>47</v>
      </c>
      <c r="J423" s="74" t="s">
        <v>9347</v>
      </c>
      <c r="K423" s="74"/>
      <c r="L423" s="74"/>
    </row>
    <row r="424" spans="1:12" ht="55.2">
      <c r="A424" s="73">
        <v>423</v>
      </c>
      <c r="B424" s="74" t="s">
        <v>10318</v>
      </c>
      <c r="C424" s="74" t="s">
        <v>1897</v>
      </c>
      <c r="D424" s="74" t="s">
        <v>68</v>
      </c>
      <c r="E424" s="74" t="s">
        <v>9344</v>
      </c>
      <c r="F424" s="74" t="s">
        <v>9345</v>
      </c>
      <c r="G424" s="74" t="s">
        <v>9378</v>
      </c>
      <c r="H424" s="74" t="s">
        <v>70</v>
      </c>
      <c r="I424" s="74" t="s">
        <v>47</v>
      </c>
      <c r="J424" s="74" t="s">
        <v>9351</v>
      </c>
      <c r="K424" s="74"/>
      <c r="L424" s="74"/>
    </row>
    <row r="425" spans="1:12" ht="41.4">
      <c r="A425" s="73">
        <v>424</v>
      </c>
      <c r="B425" s="74" t="s">
        <v>10319</v>
      </c>
      <c r="C425" s="74" t="s">
        <v>10320</v>
      </c>
      <c r="D425" s="74" t="s">
        <v>295</v>
      </c>
      <c r="E425" s="74" t="s">
        <v>9344</v>
      </c>
      <c r="F425" s="74" t="s">
        <v>9345</v>
      </c>
      <c r="G425" s="74" t="s">
        <v>9584</v>
      </c>
      <c r="H425" s="74" t="s">
        <v>297</v>
      </c>
      <c r="I425" s="74" t="s">
        <v>47</v>
      </c>
      <c r="J425" s="74" t="s">
        <v>9347</v>
      </c>
      <c r="K425" s="74"/>
      <c r="L425" s="74"/>
    </row>
    <row r="426" spans="1:12" ht="41.4">
      <c r="A426" s="73">
        <v>425</v>
      </c>
      <c r="B426" s="74" t="s">
        <v>10321</v>
      </c>
      <c r="C426" s="74" t="s">
        <v>10322</v>
      </c>
      <c r="D426" s="74" t="s">
        <v>153</v>
      </c>
      <c r="E426" s="74" t="s">
        <v>9344</v>
      </c>
      <c r="F426" s="74" t="s">
        <v>9345</v>
      </c>
      <c r="G426" s="74" t="s">
        <v>10124</v>
      </c>
      <c r="H426" s="74" t="s">
        <v>155</v>
      </c>
      <c r="I426" s="74" t="s">
        <v>47</v>
      </c>
      <c r="J426" s="74" t="s">
        <v>9347</v>
      </c>
      <c r="K426" s="74"/>
      <c r="L426" s="74"/>
    </row>
    <row r="427" spans="1:12" ht="55.2">
      <c r="A427" s="73">
        <v>426</v>
      </c>
      <c r="B427" s="74" t="s">
        <v>10323</v>
      </c>
      <c r="C427" s="74" t="s">
        <v>4101</v>
      </c>
      <c r="D427" s="74" t="s">
        <v>143</v>
      </c>
      <c r="E427" s="74" t="s">
        <v>9344</v>
      </c>
      <c r="F427" s="74" t="s">
        <v>9345</v>
      </c>
      <c r="G427" s="74" t="s">
        <v>9361</v>
      </c>
      <c r="H427" s="74" t="s">
        <v>327</v>
      </c>
      <c r="I427" s="74" t="s">
        <v>47</v>
      </c>
      <c r="J427" s="74" t="s">
        <v>9811</v>
      </c>
      <c r="K427" s="74" t="s">
        <v>10324</v>
      </c>
      <c r="L427" s="74" t="s">
        <v>370</v>
      </c>
    </row>
    <row r="428" spans="1:12" ht="41.4">
      <c r="A428" s="73">
        <v>427</v>
      </c>
      <c r="B428" s="74" t="s">
        <v>10325</v>
      </c>
      <c r="C428" s="74" t="s">
        <v>10326</v>
      </c>
      <c r="D428" s="74" t="s">
        <v>153</v>
      </c>
      <c r="E428" s="74" t="s">
        <v>9344</v>
      </c>
      <c r="F428" s="74" t="s">
        <v>9345</v>
      </c>
      <c r="G428" s="74" t="s">
        <v>9454</v>
      </c>
      <c r="H428" s="74" t="s">
        <v>155</v>
      </c>
      <c r="I428" s="74" t="s">
        <v>47</v>
      </c>
      <c r="J428" s="74" t="s">
        <v>9347</v>
      </c>
      <c r="K428" s="74"/>
      <c r="L428" s="74"/>
    </row>
    <row r="429" spans="1:12" ht="55.2">
      <c r="A429" s="73">
        <v>428</v>
      </c>
      <c r="B429" s="74" t="s">
        <v>10327</v>
      </c>
      <c r="C429" s="74" t="s">
        <v>10328</v>
      </c>
      <c r="D429" s="74" t="s">
        <v>295</v>
      </c>
      <c r="E429" s="74" t="s">
        <v>9344</v>
      </c>
      <c r="F429" s="74" t="s">
        <v>9345</v>
      </c>
      <c r="G429" s="74" t="s">
        <v>9677</v>
      </c>
      <c r="H429" s="74" t="s">
        <v>407</v>
      </c>
      <c r="I429" s="74" t="s">
        <v>47</v>
      </c>
      <c r="J429" s="74" t="s">
        <v>9347</v>
      </c>
      <c r="K429" s="74"/>
      <c r="L429" s="74"/>
    </row>
    <row r="430" spans="1:12" ht="41.4">
      <c r="A430" s="73">
        <v>429</v>
      </c>
      <c r="B430" s="74" t="s">
        <v>10329</v>
      </c>
      <c r="C430" s="74" t="s">
        <v>10330</v>
      </c>
      <c r="D430" s="74" t="s">
        <v>41</v>
      </c>
      <c r="E430" s="74" t="s">
        <v>9344</v>
      </c>
      <c r="F430" s="74" t="s">
        <v>9345</v>
      </c>
      <c r="G430" s="74" t="s">
        <v>9500</v>
      </c>
      <c r="H430" s="74" t="s">
        <v>200</v>
      </c>
      <c r="I430" s="74" t="s">
        <v>47</v>
      </c>
      <c r="J430" s="74" t="s">
        <v>9347</v>
      </c>
      <c r="K430" s="74"/>
      <c r="L430" s="74"/>
    </row>
    <row r="431" spans="1:12" ht="55.2">
      <c r="A431" s="73">
        <v>430</v>
      </c>
      <c r="B431" s="74" t="s">
        <v>10331</v>
      </c>
      <c r="C431" s="74" t="s">
        <v>10332</v>
      </c>
      <c r="D431" s="74" t="s">
        <v>68</v>
      </c>
      <c r="E431" s="74" t="s">
        <v>9344</v>
      </c>
      <c r="F431" s="74" t="s">
        <v>9345</v>
      </c>
      <c r="G431" s="74" t="s">
        <v>9378</v>
      </c>
      <c r="H431" s="74" t="s">
        <v>70</v>
      </c>
      <c r="I431" s="74" t="s">
        <v>496</v>
      </c>
      <c r="J431" s="74" t="s">
        <v>9351</v>
      </c>
      <c r="K431" s="74" t="s">
        <v>10333</v>
      </c>
      <c r="L431" s="74" t="s">
        <v>10334</v>
      </c>
    </row>
    <row r="432" spans="1:12" ht="69">
      <c r="A432" s="73">
        <v>431</v>
      </c>
      <c r="B432" s="74" t="s">
        <v>10335</v>
      </c>
      <c r="C432" s="74" t="s">
        <v>10336</v>
      </c>
      <c r="D432" s="74" t="s">
        <v>295</v>
      </c>
      <c r="E432" s="74" t="s">
        <v>9344</v>
      </c>
      <c r="F432" s="74" t="s">
        <v>9345</v>
      </c>
      <c r="G432" s="74" t="s">
        <v>9537</v>
      </c>
      <c r="H432" s="74" t="s">
        <v>9538</v>
      </c>
      <c r="I432" s="74" t="s">
        <v>47</v>
      </c>
      <c r="J432" s="74" t="s">
        <v>9347</v>
      </c>
      <c r="K432" s="74" t="s">
        <v>10337</v>
      </c>
      <c r="L432" s="74" t="s">
        <v>318</v>
      </c>
    </row>
    <row r="433" spans="1:12" ht="41.4">
      <c r="A433" s="73">
        <v>432</v>
      </c>
      <c r="B433" s="74" t="s">
        <v>10338</v>
      </c>
      <c r="C433" s="74" t="s">
        <v>10339</v>
      </c>
      <c r="D433" s="74" t="s">
        <v>41</v>
      </c>
      <c r="E433" s="74" t="s">
        <v>9344</v>
      </c>
      <c r="F433" s="74" t="s">
        <v>9345</v>
      </c>
      <c r="G433" s="74" t="s">
        <v>9648</v>
      </c>
      <c r="H433" s="74" t="s">
        <v>200</v>
      </c>
      <c r="I433" s="74" t="s">
        <v>47</v>
      </c>
      <c r="J433" s="74" t="s">
        <v>9347</v>
      </c>
      <c r="K433" s="74"/>
      <c r="L433" s="74"/>
    </row>
    <row r="434" spans="1:12" ht="55.2">
      <c r="A434" s="73">
        <v>433</v>
      </c>
      <c r="B434" s="74" t="s">
        <v>10340</v>
      </c>
      <c r="C434" s="74" t="s">
        <v>3368</v>
      </c>
      <c r="D434" s="74" t="s">
        <v>295</v>
      </c>
      <c r="E434" s="74" t="s">
        <v>9344</v>
      </c>
      <c r="F434" s="74" t="s">
        <v>9345</v>
      </c>
      <c r="G434" s="74" t="s">
        <v>9677</v>
      </c>
      <c r="H434" s="74" t="s">
        <v>407</v>
      </c>
      <c r="I434" s="74" t="s">
        <v>47</v>
      </c>
      <c r="J434" s="74" t="s">
        <v>9347</v>
      </c>
      <c r="K434" s="74"/>
      <c r="L434" s="74"/>
    </row>
    <row r="435" spans="1:12" ht="69">
      <c r="A435" s="73">
        <v>434</v>
      </c>
      <c r="B435" s="74" t="s">
        <v>10341</v>
      </c>
      <c r="C435" s="74" t="s">
        <v>2958</v>
      </c>
      <c r="D435" s="74" t="s">
        <v>89</v>
      </c>
      <c r="E435" s="74" t="s">
        <v>9344</v>
      </c>
      <c r="F435" s="74" t="s">
        <v>9345</v>
      </c>
      <c r="G435" s="74" t="s">
        <v>9528</v>
      </c>
      <c r="H435" s="74" t="s">
        <v>91</v>
      </c>
      <c r="I435" s="74" t="s">
        <v>496</v>
      </c>
      <c r="J435" s="74" t="s">
        <v>9351</v>
      </c>
      <c r="K435" s="74" t="s">
        <v>10342</v>
      </c>
      <c r="L435" s="74" t="s">
        <v>711</v>
      </c>
    </row>
    <row r="436" spans="1:12" ht="41.4">
      <c r="A436" s="73">
        <v>435</v>
      </c>
      <c r="B436" s="74" t="s">
        <v>10343</v>
      </c>
      <c r="C436" s="74" t="s">
        <v>10344</v>
      </c>
      <c r="D436" s="74" t="s">
        <v>41</v>
      </c>
      <c r="E436" s="74" t="s">
        <v>9344</v>
      </c>
      <c r="F436" s="74" t="s">
        <v>9345</v>
      </c>
      <c r="G436" s="74" t="s">
        <v>9665</v>
      </c>
      <c r="H436" s="74" t="s">
        <v>662</v>
      </c>
      <c r="I436" s="74" t="s">
        <v>47</v>
      </c>
      <c r="J436" s="74" t="s">
        <v>9351</v>
      </c>
      <c r="K436" s="74" t="s">
        <v>10345</v>
      </c>
      <c r="L436" s="74" t="s">
        <v>897</v>
      </c>
    </row>
    <row r="437" spans="1:12" ht="69">
      <c r="A437" s="73">
        <v>436</v>
      </c>
      <c r="B437" s="74" t="s">
        <v>10346</v>
      </c>
      <c r="C437" s="74" t="s">
        <v>10347</v>
      </c>
      <c r="D437" s="74" t="s">
        <v>89</v>
      </c>
      <c r="E437" s="74" t="s">
        <v>9344</v>
      </c>
      <c r="F437" s="74" t="s">
        <v>9345</v>
      </c>
      <c r="G437" s="74" t="s">
        <v>9682</v>
      </c>
      <c r="H437" s="74" t="s">
        <v>91</v>
      </c>
      <c r="I437" s="74" t="s">
        <v>496</v>
      </c>
      <c r="J437" s="74" t="s">
        <v>9351</v>
      </c>
      <c r="K437" s="74" t="s">
        <v>10348</v>
      </c>
      <c r="L437" s="74" t="s">
        <v>711</v>
      </c>
    </row>
    <row r="438" spans="1:12" ht="55.2">
      <c r="A438" s="73">
        <v>437</v>
      </c>
      <c r="B438" s="74" t="s">
        <v>10349</v>
      </c>
      <c r="C438" s="74" t="s">
        <v>4050</v>
      </c>
      <c r="D438" s="74" t="s">
        <v>143</v>
      </c>
      <c r="E438" s="74" t="s">
        <v>9344</v>
      </c>
      <c r="F438" s="74" t="s">
        <v>9345</v>
      </c>
      <c r="G438" s="74" t="s">
        <v>9916</v>
      </c>
      <c r="H438" s="74" t="s">
        <v>327</v>
      </c>
      <c r="I438" s="74" t="s">
        <v>47</v>
      </c>
      <c r="J438" s="74" t="s">
        <v>9351</v>
      </c>
      <c r="K438" s="74" t="s">
        <v>10350</v>
      </c>
      <c r="L438" s="74" t="s">
        <v>370</v>
      </c>
    </row>
    <row r="439" spans="1:12" ht="41.4">
      <c r="A439" s="73">
        <v>438</v>
      </c>
      <c r="B439" s="74" t="s">
        <v>10351</v>
      </c>
      <c r="C439" s="74" t="s">
        <v>10352</v>
      </c>
      <c r="D439" s="74" t="s">
        <v>153</v>
      </c>
      <c r="E439" s="74" t="s">
        <v>9344</v>
      </c>
      <c r="F439" s="74" t="s">
        <v>9345</v>
      </c>
      <c r="G439" s="74" t="s">
        <v>9468</v>
      </c>
      <c r="H439" s="74" t="s">
        <v>155</v>
      </c>
      <c r="I439" s="74" t="s">
        <v>47</v>
      </c>
      <c r="J439" s="74" t="s">
        <v>9347</v>
      </c>
      <c r="K439" s="74"/>
      <c r="L439" s="74"/>
    </row>
    <row r="440" spans="1:12" ht="41.4">
      <c r="A440" s="73">
        <v>439</v>
      </c>
      <c r="B440" s="74" t="s">
        <v>10353</v>
      </c>
      <c r="C440" s="74" t="s">
        <v>10354</v>
      </c>
      <c r="D440" s="74" t="s">
        <v>295</v>
      </c>
      <c r="E440" s="74" t="s">
        <v>9344</v>
      </c>
      <c r="F440" s="74" t="s">
        <v>9345</v>
      </c>
      <c r="G440" s="74" t="s">
        <v>9677</v>
      </c>
      <c r="H440" s="74" t="s">
        <v>407</v>
      </c>
      <c r="I440" s="74" t="s">
        <v>47</v>
      </c>
      <c r="J440" s="74" t="s">
        <v>9347</v>
      </c>
      <c r="K440" s="74"/>
      <c r="L440" s="74"/>
    </row>
    <row r="441" spans="1:12" ht="41.4">
      <c r="A441" s="73">
        <v>440</v>
      </c>
      <c r="B441" s="74" t="s">
        <v>10355</v>
      </c>
      <c r="C441" s="74" t="s">
        <v>10356</v>
      </c>
      <c r="D441" s="74" t="s">
        <v>41</v>
      </c>
      <c r="E441" s="74" t="s">
        <v>9344</v>
      </c>
      <c r="F441" s="74" t="s">
        <v>9345</v>
      </c>
      <c r="G441" s="74" t="s">
        <v>9392</v>
      </c>
      <c r="H441" s="74" t="s">
        <v>200</v>
      </c>
      <c r="I441" s="74" t="s">
        <v>47</v>
      </c>
      <c r="J441" s="74" t="s">
        <v>9347</v>
      </c>
      <c r="K441" s="74"/>
      <c r="L441" s="74"/>
    </row>
    <row r="442" spans="1:12" ht="41.4">
      <c r="A442" s="73">
        <v>441</v>
      </c>
      <c r="B442" s="74" t="s">
        <v>10357</v>
      </c>
      <c r="C442" s="74" t="s">
        <v>10358</v>
      </c>
      <c r="D442" s="74" t="s">
        <v>41</v>
      </c>
      <c r="E442" s="74" t="s">
        <v>9344</v>
      </c>
      <c r="F442" s="74" t="s">
        <v>9345</v>
      </c>
      <c r="G442" s="74" t="s">
        <v>9392</v>
      </c>
      <c r="H442" s="74" t="s">
        <v>200</v>
      </c>
      <c r="I442" s="74" t="s">
        <v>47</v>
      </c>
      <c r="J442" s="74" t="s">
        <v>9347</v>
      </c>
      <c r="K442" s="74"/>
      <c r="L442" s="74"/>
    </row>
    <row r="443" spans="1:12" ht="55.2">
      <c r="A443" s="73">
        <v>442</v>
      </c>
      <c r="B443" s="74" t="s">
        <v>10359</v>
      </c>
      <c r="C443" s="74" t="s">
        <v>6317</v>
      </c>
      <c r="D443" s="74" t="s">
        <v>143</v>
      </c>
      <c r="E443" s="74" t="s">
        <v>9344</v>
      </c>
      <c r="F443" s="74" t="s">
        <v>9345</v>
      </c>
      <c r="G443" s="74" t="s">
        <v>9375</v>
      </c>
      <c r="H443" s="74" t="s">
        <v>327</v>
      </c>
      <c r="I443" s="74" t="s">
        <v>47</v>
      </c>
      <c r="J443" s="74" t="s">
        <v>9351</v>
      </c>
      <c r="K443" s="74"/>
      <c r="L443" s="74"/>
    </row>
    <row r="444" spans="1:12" ht="41.4">
      <c r="A444" s="73">
        <v>443</v>
      </c>
      <c r="B444" s="74" t="s">
        <v>10360</v>
      </c>
      <c r="C444" s="74" t="s">
        <v>10361</v>
      </c>
      <c r="D444" s="74" t="s">
        <v>89</v>
      </c>
      <c r="E444" s="74" t="s">
        <v>9344</v>
      </c>
      <c r="F444" s="74" t="s">
        <v>9345</v>
      </c>
      <c r="G444" s="74" t="s">
        <v>9723</v>
      </c>
      <c r="H444" s="74" t="s">
        <v>4024</v>
      </c>
      <c r="I444" s="74" t="s">
        <v>496</v>
      </c>
      <c r="J444" s="74" t="s">
        <v>9351</v>
      </c>
      <c r="K444" s="74" t="s">
        <v>10362</v>
      </c>
      <c r="L444" s="74" t="s">
        <v>711</v>
      </c>
    </row>
    <row r="445" spans="1:12" ht="55.2">
      <c r="A445" s="73">
        <v>444</v>
      </c>
      <c r="B445" s="74" t="s">
        <v>10363</v>
      </c>
      <c r="C445" s="74" t="s">
        <v>10364</v>
      </c>
      <c r="D445" s="74" t="s">
        <v>41</v>
      </c>
      <c r="E445" s="74" t="s">
        <v>9344</v>
      </c>
      <c r="F445" s="74" t="s">
        <v>9345</v>
      </c>
      <c r="G445" s="74" t="s">
        <v>9761</v>
      </c>
      <c r="H445" s="74" t="s">
        <v>479</v>
      </c>
      <c r="I445" s="74" t="s">
        <v>47</v>
      </c>
      <c r="J445" s="74" t="s">
        <v>9347</v>
      </c>
      <c r="K445" s="74"/>
      <c r="L445" s="74"/>
    </row>
    <row r="446" spans="1:12" ht="69">
      <c r="A446" s="73">
        <v>445</v>
      </c>
      <c r="B446" s="74" t="s">
        <v>10365</v>
      </c>
      <c r="C446" s="74" t="s">
        <v>10366</v>
      </c>
      <c r="D446" s="74" t="s">
        <v>295</v>
      </c>
      <c r="E446" s="74" t="s">
        <v>9344</v>
      </c>
      <c r="F446" s="74" t="s">
        <v>9345</v>
      </c>
      <c r="G446" s="74" t="s">
        <v>9537</v>
      </c>
      <c r="H446" s="74" t="s">
        <v>9538</v>
      </c>
      <c r="I446" s="74" t="s">
        <v>47</v>
      </c>
      <c r="J446" s="74" t="s">
        <v>9347</v>
      </c>
      <c r="K446" s="74"/>
      <c r="L446" s="74"/>
    </row>
    <row r="447" spans="1:12" ht="41.4">
      <c r="A447" s="73">
        <v>446</v>
      </c>
      <c r="B447" s="74" t="s">
        <v>10367</v>
      </c>
      <c r="C447" s="74" t="s">
        <v>10368</v>
      </c>
      <c r="D447" s="74" t="s">
        <v>295</v>
      </c>
      <c r="E447" s="74" t="s">
        <v>9344</v>
      </c>
      <c r="F447" s="74" t="s">
        <v>9345</v>
      </c>
      <c r="G447" s="74" t="s">
        <v>9346</v>
      </c>
      <c r="H447" s="74" t="s">
        <v>297</v>
      </c>
      <c r="I447" s="74" t="s">
        <v>47</v>
      </c>
      <c r="J447" s="74" t="s">
        <v>9347</v>
      </c>
      <c r="K447" s="74"/>
      <c r="L447" s="74"/>
    </row>
    <row r="448" spans="1:12" ht="55.2">
      <c r="A448" s="73">
        <v>447</v>
      </c>
      <c r="B448" s="74" t="s">
        <v>10369</v>
      </c>
      <c r="C448" s="74" t="s">
        <v>5630</v>
      </c>
      <c r="D448" s="74" t="s">
        <v>89</v>
      </c>
      <c r="E448" s="74" t="s">
        <v>9344</v>
      </c>
      <c r="F448" s="74" t="s">
        <v>9345</v>
      </c>
      <c r="G448" s="74" t="s">
        <v>9723</v>
      </c>
      <c r="H448" s="74" t="s">
        <v>4024</v>
      </c>
      <c r="I448" s="74" t="s">
        <v>496</v>
      </c>
      <c r="J448" s="74" t="s">
        <v>9351</v>
      </c>
      <c r="K448" s="74" t="s">
        <v>10370</v>
      </c>
      <c r="L448" s="74" t="s">
        <v>711</v>
      </c>
    </row>
    <row r="449" spans="1:12" ht="41.4">
      <c r="A449" s="73">
        <v>448</v>
      </c>
      <c r="B449" s="74" t="s">
        <v>10371</v>
      </c>
      <c r="C449" s="74" t="s">
        <v>10372</v>
      </c>
      <c r="D449" s="74" t="s">
        <v>153</v>
      </c>
      <c r="E449" s="74" t="s">
        <v>9344</v>
      </c>
      <c r="F449" s="74" t="s">
        <v>9345</v>
      </c>
      <c r="G449" s="74" t="s">
        <v>9437</v>
      </c>
      <c r="H449" s="74" t="s">
        <v>155</v>
      </c>
      <c r="I449" s="74" t="s">
        <v>47</v>
      </c>
      <c r="J449" s="74" t="s">
        <v>9347</v>
      </c>
      <c r="K449" s="74"/>
      <c r="L449" s="74"/>
    </row>
    <row r="450" spans="1:12" ht="41.4">
      <c r="A450" s="73">
        <v>449</v>
      </c>
      <c r="B450" s="74" t="s">
        <v>10373</v>
      </c>
      <c r="C450" s="74" t="s">
        <v>2583</v>
      </c>
      <c r="D450" s="74" t="s">
        <v>143</v>
      </c>
      <c r="E450" s="74" t="s">
        <v>9344</v>
      </c>
      <c r="F450" s="74" t="s">
        <v>9345</v>
      </c>
      <c r="G450" s="74" t="s">
        <v>10267</v>
      </c>
      <c r="H450" s="74" t="s">
        <v>400</v>
      </c>
      <c r="I450" s="74" t="s">
        <v>47</v>
      </c>
      <c r="J450" s="74" t="s">
        <v>9351</v>
      </c>
      <c r="K450" s="74"/>
      <c r="L450" s="74"/>
    </row>
    <row r="451" spans="1:12" ht="55.2">
      <c r="A451" s="73">
        <v>450</v>
      </c>
      <c r="B451" s="74" t="s">
        <v>10374</v>
      </c>
      <c r="C451" s="74" t="s">
        <v>2002</v>
      </c>
      <c r="D451" s="74" t="s">
        <v>143</v>
      </c>
      <c r="E451" s="74" t="s">
        <v>9344</v>
      </c>
      <c r="F451" s="74" t="s">
        <v>9345</v>
      </c>
      <c r="G451" s="74" t="s">
        <v>9534</v>
      </c>
      <c r="H451" s="74" t="s">
        <v>145</v>
      </c>
      <c r="I451" s="74" t="s">
        <v>47</v>
      </c>
      <c r="J451" s="74" t="s">
        <v>9351</v>
      </c>
      <c r="K451" s="74"/>
      <c r="L451" s="74"/>
    </row>
    <row r="452" spans="1:12" ht="41.4">
      <c r="A452" s="73">
        <v>451</v>
      </c>
      <c r="B452" s="74" t="s">
        <v>10375</v>
      </c>
      <c r="C452" s="74" t="s">
        <v>10376</v>
      </c>
      <c r="D452" s="74" t="s">
        <v>41</v>
      </c>
      <c r="E452" s="74" t="s">
        <v>9344</v>
      </c>
      <c r="F452" s="74" t="s">
        <v>9345</v>
      </c>
      <c r="G452" s="74" t="s">
        <v>9405</v>
      </c>
      <c r="H452" s="74" t="s">
        <v>662</v>
      </c>
      <c r="I452" s="74" t="s">
        <v>47</v>
      </c>
      <c r="J452" s="74" t="s">
        <v>9351</v>
      </c>
      <c r="K452" s="74"/>
      <c r="L452" s="74"/>
    </row>
    <row r="453" spans="1:12" ht="55.2">
      <c r="A453" s="73">
        <v>452</v>
      </c>
      <c r="B453" s="74" t="s">
        <v>10377</v>
      </c>
      <c r="C453" s="74" t="s">
        <v>4551</v>
      </c>
      <c r="D453" s="74" t="s">
        <v>143</v>
      </c>
      <c r="E453" s="74" t="s">
        <v>9344</v>
      </c>
      <c r="F453" s="74" t="s">
        <v>9345</v>
      </c>
      <c r="G453" s="74" t="s">
        <v>9514</v>
      </c>
      <c r="H453" s="74" t="s">
        <v>327</v>
      </c>
      <c r="I453" s="74" t="s">
        <v>47</v>
      </c>
      <c r="J453" s="74" t="s">
        <v>9351</v>
      </c>
      <c r="K453" s="74" t="s">
        <v>10378</v>
      </c>
      <c r="L453" s="74" t="s">
        <v>370</v>
      </c>
    </row>
    <row r="454" spans="1:12" ht="41.4">
      <c r="A454" s="73">
        <v>453</v>
      </c>
      <c r="B454" s="74" t="s">
        <v>10379</v>
      </c>
      <c r="C454" s="74" t="s">
        <v>10380</v>
      </c>
      <c r="D454" s="74" t="s">
        <v>143</v>
      </c>
      <c r="E454" s="74" t="s">
        <v>9344</v>
      </c>
      <c r="F454" s="74" t="s">
        <v>9345</v>
      </c>
      <c r="G454" s="74" t="s">
        <v>10267</v>
      </c>
      <c r="H454" s="74" t="s">
        <v>400</v>
      </c>
      <c r="I454" s="74" t="s">
        <v>47</v>
      </c>
      <c r="J454" s="74" t="s">
        <v>9351</v>
      </c>
      <c r="K454" s="74" t="s">
        <v>10381</v>
      </c>
      <c r="L454" s="74" t="s">
        <v>251</v>
      </c>
    </row>
    <row r="455" spans="1:12" ht="55.2">
      <c r="A455" s="73">
        <v>454</v>
      </c>
      <c r="B455" s="74" t="s">
        <v>10382</v>
      </c>
      <c r="C455" s="74" t="s">
        <v>10383</v>
      </c>
      <c r="D455" s="74" t="s">
        <v>295</v>
      </c>
      <c r="E455" s="74" t="s">
        <v>9344</v>
      </c>
      <c r="F455" s="74" t="s">
        <v>9345</v>
      </c>
      <c r="G455" s="74" t="s">
        <v>9478</v>
      </c>
      <c r="H455" s="74" t="s">
        <v>407</v>
      </c>
      <c r="I455" s="74" t="s">
        <v>47</v>
      </c>
      <c r="J455" s="74" t="s">
        <v>9347</v>
      </c>
      <c r="K455" s="74"/>
      <c r="L455" s="74"/>
    </row>
    <row r="456" spans="1:12" ht="69">
      <c r="A456" s="73">
        <v>455</v>
      </c>
      <c r="B456" s="74" t="s">
        <v>10384</v>
      </c>
      <c r="C456" s="74" t="s">
        <v>10385</v>
      </c>
      <c r="D456" s="74" t="s">
        <v>89</v>
      </c>
      <c r="E456" s="74" t="s">
        <v>9344</v>
      </c>
      <c r="F456" s="74" t="s">
        <v>9345</v>
      </c>
      <c r="G456" s="74" t="s">
        <v>9682</v>
      </c>
      <c r="H456" s="74" t="s">
        <v>91</v>
      </c>
      <c r="I456" s="74" t="s">
        <v>496</v>
      </c>
      <c r="J456" s="74" t="s">
        <v>9351</v>
      </c>
      <c r="K456" s="74" t="s">
        <v>10386</v>
      </c>
      <c r="L456" s="74" t="s">
        <v>711</v>
      </c>
    </row>
    <row r="457" spans="1:12" ht="41.4">
      <c r="A457" s="73">
        <v>456</v>
      </c>
      <c r="B457" s="74" t="s">
        <v>10387</v>
      </c>
      <c r="C457" s="74" t="s">
        <v>3813</v>
      </c>
      <c r="D457" s="74" t="s">
        <v>41</v>
      </c>
      <c r="E457" s="74" t="s">
        <v>9344</v>
      </c>
      <c r="F457" s="74" t="s">
        <v>9345</v>
      </c>
      <c r="G457" s="74" t="s">
        <v>9405</v>
      </c>
      <c r="H457" s="74" t="s">
        <v>662</v>
      </c>
      <c r="I457" s="74" t="s">
        <v>47</v>
      </c>
      <c r="J457" s="74" t="s">
        <v>9351</v>
      </c>
      <c r="K457" s="74" t="s">
        <v>10388</v>
      </c>
      <c r="L457" s="74" t="s">
        <v>331</v>
      </c>
    </row>
    <row r="458" spans="1:12" ht="41.4">
      <c r="A458" s="73">
        <v>457</v>
      </c>
      <c r="B458" s="74" t="s">
        <v>10389</v>
      </c>
      <c r="C458" s="74" t="s">
        <v>8151</v>
      </c>
      <c r="D458" s="74" t="s">
        <v>41</v>
      </c>
      <c r="E458" s="74" t="s">
        <v>9344</v>
      </c>
      <c r="F458" s="74" t="s">
        <v>9345</v>
      </c>
      <c r="G458" s="74" t="s">
        <v>9665</v>
      </c>
      <c r="H458" s="74" t="s">
        <v>662</v>
      </c>
      <c r="I458" s="74" t="s">
        <v>47</v>
      </c>
      <c r="J458" s="74" t="s">
        <v>9351</v>
      </c>
      <c r="K458" s="74" t="s">
        <v>10390</v>
      </c>
      <c r="L458" s="74" t="s">
        <v>1916</v>
      </c>
    </row>
    <row r="459" spans="1:12" ht="55.2">
      <c r="A459" s="73">
        <v>458</v>
      </c>
      <c r="B459" s="74" t="s">
        <v>10391</v>
      </c>
      <c r="C459" s="74" t="s">
        <v>3558</v>
      </c>
      <c r="D459" s="74" t="s">
        <v>41</v>
      </c>
      <c r="E459" s="74" t="s">
        <v>9344</v>
      </c>
      <c r="F459" s="74" t="s">
        <v>9345</v>
      </c>
      <c r="G459" s="74" t="s">
        <v>9761</v>
      </c>
      <c r="H459" s="74" t="s">
        <v>479</v>
      </c>
      <c r="I459" s="74" t="s">
        <v>47</v>
      </c>
      <c r="J459" s="74" t="s">
        <v>9351</v>
      </c>
      <c r="K459" s="74" t="s">
        <v>10392</v>
      </c>
      <c r="L459" s="74" t="s">
        <v>3561</v>
      </c>
    </row>
    <row r="460" spans="1:12" ht="55.2">
      <c r="A460" s="73">
        <v>459</v>
      </c>
      <c r="B460" s="74" t="s">
        <v>10393</v>
      </c>
      <c r="C460" s="74" t="s">
        <v>10394</v>
      </c>
      <c r="D460" s="74" t="s">
        <v>143</v>
      </c>
      <c r="E460" s="74" t="s">
        <v>9395</v>
      </c>
      <c r="F460" s="74" t="s">
        <v>80</v>
      </c>
      <c r="G460" s="74" t="s">
        <v>10395</v>
      </c>
      <c r="H460" s="74" t="s">
        <v>327</v>
      </c>
      <c r="I460" s="74" t="s">
        <v>47</v>
      </c>
      <c r="J460" s="74" t="s">
        <v>9351</v>
      </c>
      <c r="K460" s="74"/>
      <c r="L460" s="74"/>
    </row>
    <row r="461" spans="1:12" ht="41.4">
      <c r="A461" s="73">
        <v>460</v>
      </c>
      <c r="B461" s="74" t="s">
        <v>10396</v>
      </c>
      <c r="C461" s="74" t="s">
        <v>7232</v>
      </c>
      <c r="D461" s="74" t="s">
        <v>295</v>
      </c>
      <c r="E461" s="74" t="s">
        <v>9344</v>
      </c>
      <c r="F461" s="74" t="s">
        <v>9345</v>
      </c>
      <c r="G461" s="74" t="s">
        <v>9489</v>
      </c>
      <c r="H461" s="74" t="s">
        <v>407</v>
      </c>
      <c r="I461" s="74" t="s">
        <v>47</v>
      </c>
      <c r="J461" s="74" t="s">
        <v>9347</v>
      </c>
      <c r="K461" s="74" t="s">
        <v>10397</v>
      </c>
      <c r="L461" s="74" t="s">
        <v>318</v>
      </c>
    </row>
    <row r="462" spans="1:12" ht="69">
      <c r="A462" s="73">
        <v>461</v>
      </c>
      <c r="B462" s="74" t="s">
        <v>10398</v>
      </c>
      <c r="C462" s="74" t="s">
        <v>10399</v>
      </c>
      <c r="D462" s="74" t="s">
        <v>41</v>
      </c>
      <c r="E462" s="74" t="s">
        <v>9344</v>
      </c>
      <c r="F462" s="74" t="s">
        <v>9345</v>
      </c>
      <c r="G462" s="74" t="s">
        <v>9392</v>
      </c>
      <c r="H462" s="74" t="s">
        <v>200</v>
      </c>
      <c r="I462" s="74" t="s">
        <v>47</v>
      </c>
      <c r="J462" s="74" t="s">
        <v>9347</v>
      </c>
      <c r="K462" s="74"/>
      <c r="L462" s="74"/>
    </row>
    <row r="463" spans="1:12" ht="55.2">
      <c r="A463" s="73">
        <v>462</v>
      </c>
      <c r="B463" s="74" t="s">
        <v>10400</v>
      </c>
      <c r="C463" s="74" t="s">
        <v>10401</v>
      </c>
      <c r="D463" s="74" t="s">
        <v>41</v>
      </c>
      <c r="E463" s="74" t="s">
        <v>9344</v>
      </c>
      <c r="F463" s="74" t="s">
        <v>9345</v>
      </c>
      <c r="G463" s="74" t="s">
        <v>9591</v>
      </c>
      <c r="H463" s="74" t="s">
        <v>130</v>
      </c>
      <c r="I463" s="74" t="s">
        <v>47</v>
      </c>
      <c r="J463" s="74" t="s">
        <v>9347</v>
      </c>
      <c r="K463" s="74" t="s">
        <v>10402</v>
      </c>
      <c r="L463" s="74" t="s">
        <v>318</v>
      </c>
    </row>
    <row r="464" spans="1:12" ht="41.4">
      <c r="A464" s="73">
        <v>463</v>
      </c>
      <c r="B464" s="74" t="s">
        <v>10403</v>
      </c>
      <c r="C464" s="74" t="s">
        <v>10404</v>
      </c>
      <c r="D464" s="74" t="s">
        <v>295</v>
      </c>
      <c r="E464" s="74" t="s">
        <v>9344</v>
      </c>
      <c r="F464" s="74" t="s">
        <v>9345</v>
      </c>
      <c r="G464" s="74" t="s">
        <v>9677</v>
      </c>
      <c r="H464" s="74" t="s">
        <v>407</v>
      </c>
      <c r="I464" s="74" t="s">
        <v>47</v>
      </c>
      <c r="J464" s="74" t="s">
        <v>9347</v>
      </c>
      <c r="K464" s="74"/>
      <c r="L464" s="74"/>
    </row>
    <row r="465" spans="1:12" ht="41.4">
      <c r="A465" s="73">
        <v>464</v>
      </c>
      <c r="B465" s="74" t="s">
        <v>10405</v>
      </c>
      <c r="C465" s="74" t="s">
        <v>10406</v>
      </c>
      <c r="D465" s="74" t="s">
        <v>41</v>
      </c>
      <c r="E465" s="74" t="s">
        <v>9344</v>
      </c>
      <c r="F465" s="74" t="s">
        <v>9345</v>
      </c>
      <c r="G465" s="74" t="s">
        <v>9776</v>
      </c>
      <c r="H465" s="74" t="s">
        <v>200</v>
      </c>
      <c r="I465" s="74" t="s">
        <v>47</v>
      </c>
      <c r="J465" s="74" t="s">
        <v>9347</v>
      </c>
      <c r="K465" s="74"/>
      <c r="L465" s="74"/>
    </row>
    <row r="466" spans="1:12" ht="41.4">
      <c r="A466" s="73">
        <v>465</v>
      </c>
      <c r="B466" s="74" t="s">
        <v>10407</v>
      </c>
      <c r="C466" s="74" t="s">
        <v>705</v>
      </c>
      <c r="D466" s="74" t="s">
        <v>89</v>
      </c>
      <c r="E466" s="74" t="s">
        <v>9344</v>
      </c>
      <c r="F466" s="74" t="s">
        <v>9345</v>
      </c>
      <c r="G466" s="74" t="s">
        <v>9358</v>
      </c>
      <c r="H466" s="74" t="s">
        <v>102</v>
      </c>
      <c r="I466" s="74" t="s">
        <v>47</v>
      </c>
      <c r="J466" s="74" t="s">
        <v>9351</v>
      </c>
      <c r="K466" s="74" t="s">
        <v>10408</v>
      </c>
      <c r="L466" s="74" t="s">
        <v>711</v>
      </c>
    </row>
    <row r="467" spans="1:12" ht="41.4">
      <c r="A467" s="73">
        <v>466</v>
      </c>
      <c r="B467" s="74" t="s">
        <v>10409</v>
      </c>
      <c r="C467" s="74" t="s">
        <v>10410</v>
      </c>
      <c r="D467" s="74" t="s">
        <v>295</v>
      </c>
      <c r="E467" s="74" t="s">
        <v>9344</v>
      </c>
      <c r="F467" s="74" t="s">
        <v>9345</v>
      </c>
      <c r="G467" s="74" t="s">
        <v>9579</v>
      </c>
      <c r="H467" s="74" t="s">
        <v>407</v>
      </c>
      <c r="I467" s="74" t="s">
        <v>47</v>
      </c>
      <c r="J467" s="74" t="s">
        <v>9347</v>
      </c>
      <c r="K467" s="74"/>
      <c r="L467" s="74"/>
    </row>
    <row r="468" spans="1:12" ht="55.2">
      <c r="A468" s="73">
        <v>467</v>
      </c>
      <c r="B468" s="74" t="s">
        <v>10411</v>
      </c>
      <c r="C468" s="74" t="s">
        <v>10412</v>
      </c>
      <c r="D468" s="74" t="s">
        <v>68</v>
      </c>
      <c r="E468" s="74" t="s">
        <v>9344</v>
      </c>
      <c r="F468" s="74" t="s">
        <v>9345</v>
      </c>
      <c r="G468" s="74" t="s">
        <v>9378</v>
      </c>
      <c r="H468" s="74" t="s">
        <v>70</v>
      </c>
      <c r="I468" s="74" t="s">
        <v>47</v>
      </c>
      <c r="J468" s="74" t="s">
        <v>9351</v>
      </c>
      <c r="K468" s="74" t="s">
        <v>10413</v>
      </c>
      <c r="L468" s="74" t="s">
        <v>1266</v>
      </c>
    </row>
    <row r="469" spans="1:12" ht="55.2">
      <c r="A469" s="73">
        <v>468</v>
      </c>
      <c r="B469" s="74" t="s">
        <v>10414</v>
      </c>
      <c r="C469" s="74" t="s">
        <v>7682</v>
      </c>
      <c r="D469" s="74" t="s">
        <v>89</v>
      </c>
      <c r="E469" s="74" t="s">
        <v>9344</v>
      </c>
      <c r="F469" s="74" t="s">
        <v>9345</v>
      </c>
      <c r="G469" s="74" t="s">
        <v>9556</v>
      </c>
      <c r="H469" s="74" t="s">
        <v>102</v>
      </c>
      <c r="I469" s="74" t="s">
        <v>496</v>
      </c>
      <c r="J469" s="74" t="s">
        <v>9351</v>
      </c>
      <c r="K469" s="74" t="s">
        <v>10415</v>
      </c>
      <c r="L469" s="74" t="s">
        <v>711</v>
      </c>
    </row>
    <row r="470" spans="1:12" ht="55.2">
      <c r="A470" s="73">
        <v>469</v>
      </c>
      <c r="B470" s="74" t="s">
        <v>10416</v>
      </c>
      <c r="C470" s="74" t="s">
        <v>9242</v>
      </c>
      <c r="D470" s="74" t="s">
        <v>143</v>
      </c>
      <c r="E470" s="74" t="s">
        <v>9344</v>
      </c>
      <c r="F470" s="74" t="s">
        <v>9345</v>
      </c>
      <c r="G470" s="74" t="s">
        <v>9375</v>
      </c>
      <c r="H470" s="74" t="s">
        <v>327</v>
      </c>
      <c r="I470" s="74" t="s">
        <v>47</v>
      </c>
      <c r="J470" s="74" t="s">
        <v>9351</v>
      </c>
      <c r="K470" s="74" t="s">
        <v>10417</v>
      </c>
      <c r="L470" s="74" t="s">
        <v>370</v>
      </c>
    </row>
    <row r="471" spans="1:12" ht="69">
      <c r="A471" s="73">
        <v>470</v>
      </c>
      <c r="B471" s="74" t="s">
        <v>10418</v>
      </c>
      <c r="C471" s="74" t="s">
        <v>2142</v>
      </c>
      <c r="D471" s="74" t="s">
        <v>143</v>
      </c>
      <c r="E471" s="74" t="s">
        <v>9344</v>
      </c>
      <c r="F471" s="74" t="s">
        <v>9345</v>
      </c>
      <c r="G471" s="74" t="s">
        <v>9715</v>
      </c>
      <c r="H471" s="74" t="s">
        <v>220</v>
      </c>
      <c r="I471" s="74" t="s">
        <v>47</v>
      </c>
      <c r="J471" s="74" t="s">
        <v>9351</v>
      </c>
      <c r="K471" s="74" t="s">
        <v>10419</v>
      </c>
      <c r="L471" s="74" t="s">
        <v>251</v>
      </c>
    </row>
    <row r="472" spans="1:12" ht="41.4">
      <c r="A472" s="73">
        <v>471</v>
      </c>
      <c r="B472" s="74" t="s">
        <v>10420</v>
      </c>
      <c r="C472" s="74" t="s">
        <v>5920</v>
      </c>
      <c r="D472" s="74" t="s">
        <v>295</v>
      </c>
      <c r="E472" s="74" t="s">
        <v>9344</v>
      </c>
      <c r="F472" s="74" t="s">
        <v>9345</v>
      </c>
      <c r="G472" s="74" t="s">
        <v>9489</v>
      </c>
      <c r="H472" s="74" t="s">
        <v>407</v>
      </c>
      <c r="I472" s="74" t="s">
        <v>47</v>
      </c>
      <c r="J472" s="74" t="s">
        <v>9351</v>
      </c>
      <c r="K472" s="74" t="s">
        <v>10421</v>
      </c>
      <c r="L472" s="74" t="s">
        <v>318</v>
      </c>
    </row>
    <row r="473" spans="1:12" ht="41.4">
      <c r="A473" s="73">
        <v>472</v>
      </c>
      <c r="B473" s="74" t="s">
        <v>10422</v>
      </c>
      <c r="C473" s="74" t="s">
        <v>10423</v>
      </c>
      <c r="D473" s="74" t="s">
        <v>295</v>
      </c>
      <c r="E473" s="74" t="s">
        <v>9344</v>
      </c>
      <c r="F473" s="74" t="s">
        <v>9345</v>
      </c>
      <c r="G473" s="74" t="s">
        <v>9400</v>
      </c>
      <c r="H473" s="74" t="s">
        <v>407</v>
      </c>
      <c r="I473" s="74" t="s">
        <v>47</v>
      </c>
      <c r="J473" s="74" t="s">
        <v>9347</v>
      </c>
      <c r="K473" s="74"/>
      <c r="L473" s="74"/>
    </row>
    <row r="474" spans="1:12" ht="55.2">
      <c r="A474" s="73">
        <v>473</v>
      </c>
      <c r="B474" s="74" t="s">
        <v>10424</v>
      </c>
      <c r="C474" s="74" t="s">
        <v>10425</v>
      </c>
      <c r="D474" s="74" t="s">
        <v>41</v>
      </c>
      <c r="E474" s="74" t="s">
        <v>9344</v>
      </c>
      <c r="F474" s="74" t="s">
        <v>9345</v>
      </c>
      <c r="G474" s="74" t="s">
        <v>9761</v>
      </c>
      <c r="H474" s="74" t="s">
        <v>479</v>
      </c>
      <c r="I474" s="74" t="s">
        <v>47</v>
      </c>
      <c r="J474" s="74" t="s">
        <v>9347</v>
      </c>
      <c r="K474" s="74"/>
      <c r="L474" s="74"/>
    </row>
    <row r="475" spans="1:12" ht="55.2">
      <c r="A475" s="73">
        <v>474</v>
      </c>
      <c r="B475" s="74" t="s">
        <v>10426</v>
      </c>
      <c r="C475" s="74" t="s">
        <v>7850</v>
      </c>
      <c r="D475" s="74" t="s">
        <v>89</v>
      </c>
      <c r="E475" s="74" t="s">
        <v>9344</v>
      </c>
      <c r="F475" s="74" t="s">
        <v>9345</v>
      </c>
      <c r="G475" s="74" t="s">
        <v>9556</v>
      </c>
      <c r="H475" s="74" t="s">
        <v>102</v>
      </c>
      <c r="I475" s="74" t="s">
        <v>47</v>
      </c>
      <c r="J475" s="74" t="s">
        <v>9351</v>
      </c>
      <c r="K475" s="74" t="s">
        <v>10427</v>
      </c>
      <c r="L475" s="74" t="s">
        <v>711</v>
      </c>
    </row>
    <row r="476" spans="1:12" ht="55.2">
      <c r="A476" s="73">
        <v>475</v>
      </c>
      <c r="B476" s="74" t="s">
        <v>10428</v>
      </c>
      <c r="C476" s="74" t="s">
        <v>10429</v>
      </c>
      <c r="D476" s="74" t="s">
        <v>143</v>
      </c>
      <c r="E476" s="74" t="s">
        <v>9344</v>
      </c>
      <c r="F476" s="74" t="s">
        <v>9345</v>
      </c>
      <c r="G476" s="74" t="s">
        <v>9534</v>
      </c>
      <c r="H476" s="74" t="s">
        <v>145</v>
      </c>
      <c r="I476" s="74" t="s">
        <v>47</v>
      </c>
      <c r="J476" s="74" t="s">
        <v>9351</v>
      </c>
      <c r="K476" s="74" t="s">
        <v>10430</v>
      </c>
      <c r="L476" s="74" t="s">
        <v>251</v>
      </c>
    </row>
    <row r="477" spans="1:12" ht="41.4">
      <c r="A477" s="73">
        <v>476</v>
      </c>
      <c r="B477" s="74" t="s">
        <v>10431</v>
      </c>
      <c r="C477" s="74" t="s">
        <v>10432</v>
      </c>
      <c r="D477" s="74" t="s">
        <v>153</v>
      </c>
      <c r="E477" s="74" t="s">
        <v>9344</v>
      </c>
      <c r="F477" s="74" t="s">
        <v>9345</v>
      </c>
      <c r="G477" s="74" t="s">
        <v>9526</v>
      </c>
      <c r="H477" s="74" t="s">
        <v>155</v>
      </c>
      <c r="I477" s="74" t="s">
        <v>47</v>
      </c>
      <c r="J477" s="74" t="s">
        <v>9347</v>
      </c>
      <c r="K477" s="74"/>
      <c r="L477" s="74"/>
    </row>
    <row r="478" spans="1:12" ht="41.4">
      <c r="A478" s="73">
        <v>477</v>
      </c>
      <c r="B478" s="74" t="s">
        <v>10433</v>
      </c>
      <c r="C478" s="74" t="s">
        <v>10434</v>
      </c>
      <c r="D478" s="74" t="s">
        <v>295</v>
      </c>
      <c r="E478" s="74" t="s">
        <v>9344</v>
      </c>
      <c r="F478" s="74" t="s">
        <v>9345</v>
      </c>
      <c r="G478" s="74" t="s">
        <v>9478</v>
      </c>
      <c r="H478" s="74" t="s">
        <v>407</v>
      </c>
      <c r="I478" s="74" t="s">
        <v>47</v>
      </c>
      <c r="J478" s="74" t="s">
        <v>9347</v>
      </c>
      <c r="K478" s="74" t="s">
        <v>10435</v>
      </c>
      <c r="L478" s="74" t="s">
        <v>318</v>
      </c>
    </row>
    <row r="479" spans="1:12" ht="55.2">
      <c r="A479" s="73">
        <v>478</v>
      </c>
      <c r="B479" s="74" t="s">
        <v>10436</v>
      </c>
      <c r="C479" s="74" t="s">
        <v>868</v>
      </c>
      <c r="D479" s="74" t="s">
        <v>143</v>
      </c>
      <c r="E479" s="74" t="s">
        <v>9344</v>
      </c>
      <c r="F479" s="74" t="s">
        <v>9345</v>
      </c>
      <c r="G479" s="74" t="s">
        <v>9514</v>
      </c>
      <c r="H479" s="74" t="s">
        <v>327</v>
      </c>
      <c r="I479" s="74" t="s">
        <v>47</v>
      </c>
      <c r="J479" s="74" t="s">
        <v>9351</v>
      </c>
      <c r="K479" s="74" t="s">
        <v>10437</v>
      </c>
      <c r="L479" s="74" t="s">
        <v>370</v>
      </c>
    </row>
    <row r="480" spans="1:12" ht="41.4">
      <c r="A480" s="73">
        <v>479</v>
      </c>
      <c r="B480" s="74" t="s">
        <v>10438</v>
      </c>
      <c r="C480" s="74" t="s">
        <v>10439</v>
      </c>
      <c r="D480" s="74" t="s">
        <v>295</v>
      </c>
      <c r="E480" s="74" t="s">
        <v>9344</v>
      </c>
      <c r="F480" s="74" t="s">
        <v>9345</v>
      </c>
      <c r="G480" s="74" t="s">
        <v>9677</v>
      </c>
      <c r="H480" s="74" t="s">
        <v>407</v>
      </c>
      <c r="I480" s="74" t="s">
        <v>47</v>
      </c>
      <c r="J480" s="74" t="s">
        <v>9347</v>
      </c>
      <c r="K480" s="74"/>
      <c r="L480" s="74"/>
    </row>
    <row r="481" spans="1:12" ht="55.2">
      <c r="A481" s="73">
        <v>480</v>
      </c>
      <c r="B481" s="74" t="s">
        <v>10440</v>
      </c>
      <c r="C481" s="74" t="s">
        <v>1507</v>
      </c>
      <c r="D481" s="74" t="s">
        <v>143</v>
      </c>
      <c r="E481" s="74" t="s">
        <v>9344</v>
      </c>
      <c r="F481" s="74" t="s">
        <v>9345</v>
      </c>
      <c r="G481" s="74" t="s">
        <v>9375</v>
      </c>
      <c r="H481" s="74" t="s">
        <v>327</v>
      </c>
      <c r="I481" s="74" t="s">
        <v>47</v>
      </c>
      <c r="J481" s="74" t="s">
        <v>9351</v>
      </c>
      <c r="K481" s="74" t="s">
        <v>10441</v>
      </c>
      <c r="L481" s="74" t="s">
        <v>370</v>
      </c>
    </row>
    <row r="482" spans="1:12" ht="69">
      <c r="A482" s="73">
        <v>481</v>
      </c>
      <c r="B482" s="74" t="s">
        <v>10442</v>
      </c>
      <c r="C482" s="74" t="s">
        <v>10443</v>
      </c>
      <c r="D482" s="74" t="s">
        <v>41</v>
      </c>
      <c r="E482" s="74" t="s">
        <v>9344</v>
      </c>
      <c r="F482" s="74" t="s">
        <v>9345</v>
      </c>
      <c r="G482" s="74" t="s">
        <v>9793</v>
      </c>
      <c r="H482" s="74" t="s">
        <v>46</v>
      </c>
      <c r="I482" s="74" t="s">
        <v>47</v>
      </c>
      <c r="J482" s="74" t="s">
        <v>9347</v>
      </c>
      <c r="K482" s="74"/>
      <c r="L482" s="74"/>
    </row>
    <row r="483" spans="1:12" ht="41.4">
      <c r="A483" s="73">
        <v>482</v>
      </c>
      <c r="B483" s="74" t="s">
        <v>10444</v>
      </c>
      <c r="C483" s="74" t="s">
        <v>8380</v>
      </c>
      <c r="D483" s="74" t="s">
        <v>89</v>
      </c>
      <c r="E483" s="74" t="s">
        <v>9344</v>
      </c>
      <c r="F483" s="74" t="s">
        <v>9345</v>
      </c>
      <c r="G483" s="74" t="s">
        <v>9556</v>
      </c>
      <c r="H483" s="74" t="s">
        <v>102</v>
      </c>
      <c r="I483" s="74" t="s">
        <v>47</v>
      </c>
      <c r="J483" s="74" t="s">
        <v>9351</v>
      </c>
      <c r="K483" s="74" t="s">
        <v>10445</v>
      </c>
      <c r="L483" s="74" t="s">
        <v>711</v>
      </c>
    </row>
    <row r="484" spans="1:12" ht="41.4">
      <c r="A484" s="73">
        <v>483</v>
      </c>
      <c r="B484" s="74" t="s">
        <v>10446</v>
      </c>
      <c r="C484" s="74" t="s">
        <v>1261</v>
      </c>
      <c r="D484" s="74" t="s">
        <v>41</v>
      </c>
      <c r="E484" s="74" t="s">
        <v>9344</v>
      </c>
      <c r="F484" s="74" t="s">
        <v>9345</v>
      </c>
      <c r="G484" s="74" t="s">
        <v>9500</v>
      </c>
      <c r="H484" s="74" t="s">
        <v>200</v>
      </c>
      <c r="I484" s="74" t="s">
        <v>47</v>
      </c>
      <c r="J484" s="74" t="s">
        <v>9347</v>
      </c>
      <c r="K484" s="74" t="s">
        <v>10447</v>
      </c>
      <c r="L484" s="74" t="s">
        <v>1266</v>
      </c>
    </row>
    <row r="485" spans="1:12" ht="41.4">
      <c r="A485" s="73">
        <v>484</v>
      </c>
      <c r="B485" s="74" t="s">
        <v>10448</v>
      </c>
      <c r="C485" s="74" t="s">
        <v>10449</v>
      </c>
      <c r="D485" s="74" t="s">
        <v>41</v>
      </c>
      <c r="E485" s="74" t="s">
        <v>9344</v>
      </c>
      <c r="F485" s="74" t="s">
        <v>9345</v>
      </c>
      <c r="G485" s="74" t="s">
        <v>9648</v>
      </c>
      <c r="H485" s="74" t="s">
        <v>200</v>
      </c>
      <c r="I485" s="74" t="s">
        <v>47</v>
      </c>
      <c r="J485" s="74" t="s">
        <v>9347</v>
      </c>
      <c r="K485" s="74"/>
      <c r="L485" s="74"/>
    </row>
    <row r="486" spans="1:12" ht="41.4">
      <c r="A486" s="73">
        <v>485</v>
      </c>
      <c r="B486" s="74" t="s">
        <v>10450</v>
      </c>
      <c r="C486" s="74" t="s">
        <v>10451</v>
      </c>
      <c r="D486" s="74" t="s">
        <v>153</v>
      </c>
      <c r="E486" s="74" t="s">
        <v>9344</v>
      </c>
      <c r="F486" s="74" t="s">
        <v>9345</v>
      </c>
      <c r="G486" s="74" t="s">
        <v>9836</v>
      </c>
      <c r="H486" s="74" t="s">
        <v>155</v>
      </c>
      <c r="I486" s="74" t="s">
        <v>47</v>
      </c>
      <c r="J486" s="74" t="s">
        <v>9347</v>
      </c>
      <c r="K486" s="74" t="s">
        <v>10452</v>
      </c>
      <c r="L486" s="74" t="s">
        <v>891</v>
      </c>
    </row>
    <row r="487" spans="1:12" ht="41.4">
      <c r="A487" s="73">
        <v>486</v>
      </c>
      <c r="B487" s="74" t="s">
        <v>10453</v>
      </c>
      <c r="C487" s="74" t="s">
        <v>8236</v>
      </c>
      <c r="D487" s="74" t="s">
        <v>89</v>
      </c>
      <c r="E487" s="74" t="s">
        <v>9344</v>
      </c>
      <c r="F487" s="74" t="s">
        <v>9345</v>
      </c>
      <c r="G487" s="74" t="s">
        <v>9556</v>
      </c>
      <c r="H487" s="74" t="s">
        <v>102</v>
      </c>
      <c r="I487" s="74" t="s">
        <v>47</v>
      </c>
      <c r="J487" s="74" t="s">
        <v>9351</v>
      </c>
      <c r="K487" s="74" t="s">
        <v>10454</v>
      </c>
      <c r="L487" s="74" t="s">
        <v>711</v>
      </c>
    </row>
    <row r="488" spans="1:12" ht="55.2">
      <c r="A488" s="73">
        <v>487</v>
      </c>
      <c r="B488" s="74" t="s">
        <v>10455</v>
      </c>
      <c r="C488" s="74" t="s">
        <v>9072</v>
      </c>
      <c r="D488" s="74" t="s">
        <v>143</v>
      </c>
      <c r="E488" s="74" t="s">
        <v>9344</v>
      </c>
      <c r="F488" s="74" t="s">
        <v>9345</v>
      </c>
      <c r="G488" s="74" t="s">
        <v>9361</v>
      </c>
      <c r="H488" s="74" t="s">
        <v>327</v>
      </c>
      <c r="I488" s="74" t="s">
        <v>47</v>
      </c>
      <c r="J488" s="74" t="s">
        <v>9351</v>
      </c>
      <c r="K488" s="74" t="s">
        <v>10456</v>
      </c>
      <c r="L488" s="74" t="s">
        <v>370</v>
      </c>
    </row>
    <row r="489" spans="1:12" ht="55.2">
      <c r="A489" s="73">
        <v>488</v>
      </c>
      <c r="B489" s="74" t="s">
        <v>10457</v>
      </c>
      <c r="C489" s="74" t="s">
        <v>10458</v>
      </c>
      <c r="D489" s="74" t="s">
        <v>153</v>
      </c>
      <c r="E489" s="74" t="s">
        <v>9344</v>
      </c>
      <c r="F489" s="74" t="s">
        <v>9345</v>
      </c>
      <c r="G489" s="74" t="s">
        <v>9485</v>
      </c>
      <c r="H489" s="74" t="s">
        <v>155</v>
      </c>
      <c r="I489" s="74" t="s">
        <v>47</v>
      </c>
      <c r="J489" s="74" t="s">
        <v>9347</v>
      </c>
      <c r="K489" s="74"/>
      <c r="L489" s="74"/>
    </row>
    <row r="490" spans="1:12" ht="55.2">
      <c r="A490" s="73">
        <v>489</v>
      </c>
      <c r="B490" s="74" t="s">
        <v>10459</v>
      </c>
      <c r="C490" s="74" t="s">
        <v>10460</v>
      </c>
      <c r="D490" s="74" t="s">
        <v>153</v>
      </c>
      <c r="E490" s="74" t="s">
        <v>9344</v>
      </c>
      <c r="F490" s="74" t="s">
        <v>9345</v>
      </c>
      <c r="G490" s="74" t="s">
        <v>9568</v>
      </c>
      <c r="H490" s="74" t="s">
        <v>155</v>
      </c>
      <c r="I490" s="74" t="s">
        <v>47</v>
      </c>
      <c r="J490" s="74" t="s">
        <v>9347</v>
      </c>
      <c r="K490" s="74" t="s">
        <v>10461</v>
      </c>
      <c r="L490" s="74" t="s">
        <v>891</v>
      </c>
    </row>
    <row r="491" spans="1:12" ht="55.2">
      <c r="A491" s="73">
        <v>490</v>
      </c>
      <c r="B491" s="74" t="s">
        <v>10462</v>
      </c>
      <c r="C491" s="74" t="s">
        <v>10463</v>
      </c>
      <c r="D491" s="74" t="s">
        <v>143</v>
      </c>
      <c r="E491" s="74" t="s">
        <v>9344</v>
      </c>
      <c r="F491" s="74" t="s">
        <v>9345</v>
      </c>
      <c r="G491" s="74" t="s">
        <v>9514</v>
      </c>
      <c r="H491" s="74" t="s">
        <v>327</v>
      </c>
      <c r="I491" s="74" t="s">
        <v>47</v>
      </c>
      <c r="J491" s="74" t="s">
        <v>9351</v>
      </c>
      <c r="K491" s="74" t="s">
        <v>10464</v>
      </c>
      <c r="L491" s="74" t="s">
        <v>370</v>
      </c>
    </row>
    <row r="492" spans="1:12" ht="41.4">
      <c r="A492" s="73">
        <v>491</v>
      </c>
      <c r="B492" s="74" t="s">
        <v>10465</v>
      </c>
      <c r="C492" s="74" t="s">
        <v>5386</v>
      </c>
      <c r="D492" s="74" t="s">
        <v>41</v>
      </c>
      <c r="E492" s="74" t="s">
        <v>9344</v>
      </c>
      <c r="F492" s="74" t="s">
        <v>9345</v>
      </c>
      <c r="G492" s="74" t="s">
        <v>9364</v>
      </c>
      <c r="H492" s="74" t="s">
        <v>662</v>
      </c>
      <c r="I492" s="74" t="s">
        <v>47</v>
      </c>
      <c r="J492" s="74" t="s">
        <v>9347</v>
      </c>
      <c r="K492" s="74"/>
      <c r="L492" s="74"/>
    </row>
    <row r="493" spans="1:12" ht="55.2">
      <c r="A493" s="73">
        <v>492</v>
      </c>
      <c r="B493" s="74" t="s">
        <v>10466</v>
      </c>
      <c r="C493" s="74" t="s">
        <v>10467</v>
      </c>
      <c r="D493" s="74" t="s">
        <v>295</v>
      </c>
      <c r="E493" s="74" t="s">
        <v>9344</v>
      </c>
      <c r="F493" s="74" t="s">
        <v>9345</v>
      </c>
      <c r="G493" s="74" t="s">
        <v>9346</v>
      </c>
      <c r="H493" s="74" t="s">
        <v>297</v>
      </c>
      <c r="I493" s="74" t="s">
        <v>47</v>
      </c>
      <c r="J493" s="74" t="s">
        <v>9347</v>
      </c>
      <c r="K493" s="74" t="s">
        <v>10468</v>
      </c>
      <c r="L493" s="74" t="s">
        <v>318</v>
      </c>
    </row>
    <row r="494" spans="1:12" ht="55.2">
      <c r="A494" s="73">
        <v>493</v>
      </c>
      <c r="B494" s="74" t="s">
        <v>10469</v>
      </c>
      <c r="C494" s="74" t="s">
        <v>10470</v>
      </c>
      <c r="D494" s="74" t="s">
        <v>41</v>
      </c>
      <c r="E494" s="74" t="s">
        <v>9344</v>
      </c>
      <c r="F494" s="74" t="s">
        <v>9345</v>
      </c>
      <c r="G494" s="74" t="s">
        <v>9761</v>
      </c>
      <c r="H494" s="74" t="s">
        <v>479</v>
      </c>
      <c r="I494" s="74" t="s">
        <v>47</v>
      </c>
      <c r="J494" s="74" t="s">
        <v>9347</v>
      </c>
      <c r="K494" s="74" t="s">
        <v>10471</v>
      </c>
      <c r="L494" s="74" t="s">
        <v>701</v>
      </c>
    </row>
    <row r="495" spans="1:12" ht="41.4">
      <c r="A495" s="73">
        <v>494</v>
      </c>
      <c r="B495" s="74" t="s">
        <v>10472</v>
      </c>
      <c r="C495" s="74" t="s">
        <v>10473</v>
      </c>
      <c r="D495" s="74" t="s">
        <v>295</v>
      </c>
      <c r="E495" s="74" t="s">
        <v>9344</v>
      </c>
      <c r="F495" s="74" t="s">
        <v>9345</v>
      </c>
      <c r="G495" s="74" t="s">
        <v>9432</v>
      </c>
      <c r="H495" s="74" t="s">
        <v>297</v>
      </c>
      <c r="I495" s="74" t="s">
        <v>47</v>
      </c>
      <c r="J495" s="74" t="s">
        <v>9347</v>
      </c>
      <c r="K495" s="74" t="s">
        <v>10474</v>
      </c>
      <c r="L495" s="74" t="s">
        <v>318</v>
      </c>
    </row>
    <row r="496" spans="1:12" ht="55.2">
      <c r="A496" s="73">
        <v>495</v>
      </c>
      <c r="B496" s="74" t="s">
        <v>10475</v>
      </c>
      <c r="C496" s="74" t="s">
        <v>10476</v>
      </c>
      <c r="D496" s="74" t="s">
        <v>153</v>
      </c>
      <c r="E496" s="74" t="s">
        <v>9344</v>
      </c>
      <c r="F496" s="74" t="s">
        <v>9345</v>
      </c>
      <c r="G496" s="74" t="s">
        <v>9568</v>
      </c>
      <c r="H496" s="74" t="s">
        <v>155</v>
      </c>
      <c r="I496" s="74" t="s">
        <v>47</v>
      </c>
      <c r="J496" s="74" t="s">
        <v>9347</v>
      </c>
      <c r="K496" s="74" t="s">
        <v>10477</v>
      </c>
      <c r="L496" s="74" t="s">
        <v>3207</v>
      </c>
    </row>
    <row r="497" spans="1:12" ht="41.4">
      <c r="A497" s="73">
        <v>496</v>
      </c>
      <c r="B497" s="74" t="s">
        <v>10478</v>
      </c>
      <c r="C497" s="74" t="s">
        <v>10479</v>
      </c>
      <c r="D497" s="74" t="s">
        <v>295</v>
      </c>
      <c r="E497" s="74" t="s">
        <v>9344</v>
      </c>
      <c r="F497" s="74" t="s">
        <v>9345</v>
      </c>
      <c r="G497" s="74" t="s">
        <v>9355</v>
      </c>
      <c r="H497" s="74" t="s">
        <v>297</v>
      </c>
      <c r="I497" s="74" t="s">
        <v>47</v>
      </c>
      <c r="J497" s="74" t="s">
        <v>9347</v>
      </c>
      <c r="K497" s="74"/>
      <c r="L497" s="74"/>
    </row>
    <row r="498" spans="1:12" ht="55.2">
      <c r="A498" s="73">
        <v>497</v>
      </c>
      <c r="B498" s="74" t="s">
        <v>10480</v>
      </c>
      <c r="C498" s="74" t="s">
        <v>10481</v>
      </c>
      <c r="D498" s="74" t="s">
        <v>153</v>
      </c>
      <c r="E498" s="74" t="s">
        <v>9344</v>
      </c>
      <c r="F498" s="74" t="s">
        <v>9345</v>
      </c>
      <c r="G498" s="74" t="s">
        <v>9454</v>
      </c>
      <c r="H498" s="74" t="s">
        <v>155</v>
      </c>
      <c r="I498" s="74" t="s">
        <v>47</v>
      </c>
      <c r="J498" s="74" t="s">
        <v>9347</v>
      </c>
      <c r="K498" s="74"/>
      <c r="L498" s="74"/>
    </row>
    <row r="499" spans="1:12" ht="55.2">
      <c r="A499" s="73">
        <v>498</v>
      </c>
      <c r="B499" s="74" t="s">
        <v>10482</v>
      </c>
      <c r="C499" s="74" t="s">
        <v>695</v>
      </c>
      <c r="D499" s="74" t="s">
        <v>68</v>
      </c>
      <c r="E499" s="74" t="s">
        <v>9344</v>
      </c>
      <c r="F499" s="74" t="s">
        <v>9345</v>
      </c>
      <c r="G499" s="74" t="s">
        <v>9378</v>
      </c>
      <c r="H499" s="74" t="s">
        <v>70</v>
      </c>
      <c r="I499" s="74" t="s">
        <v>47</v>
      </c>
      <c r="J499" s="74" t="s">
        <v>9351</v>
      </c>
      <c r="K499" s="74" t="s">
        <v>10483</v>
      </c>
      <c r="L499" s="74" t="s">
        <v>701</v>
      </c>
    </row>
    <row r="500" spans="1:12" ht="41.4">
      <c r="A500" s="73">
        <v>499</v>
      </c>
      <c r="B500" s="74" t="s">
        <v>10484</v>
      </c>
      <c r="C500" s="74" t="s">
        <v>10485</v>
      </c>
      <c r="D500" s="74" t="s">
        <v>41</v>
      </c>
      <c r="E500" s="74" t="s">
        <v>9344</v>
      </c>
      <c r="F500" s="74" t="s">
        <v>9345</v>
      </c>
      <c r="G500" s="74" t="s">
        <v>9648</v>
      </c>
      <c r="H500" s="74" t="s">
        <v>200</v>
      </c>
      <c r="I500" s="74" t="s">
        <v>47</v>
      </c>
      <c r="J500" s="74" t="s">
        <v>9347</v>
      </c>
      <c r="K500" s="74"/>
      <c r="L500" s="74"/>
    </row>
    <row r="501" spans="1:12" ht="55.2">
      <c r="A501" s="73">
        <v>500</v>
      </c>
      <c r="B501" s="74" t="s">
        <v>10486</v>
      </c>
      <c r="C501" s="74" t="s">
        <v>5334</v>
      </c>
      <c r="D501" s="74" t="s">
        <v>143</v>
      </c>
      <c r="E501" s="74" t="s">
        <v>9344</v>
      </c>
      <c r="F501" s="74" t="s">
        <v>9345</v>
      </c>
      <c r="G501" s="74" t="s">
        <v>9910</v>
      </c>
      <c r="H501" s="74" t="s">
        <v>145</v>
      </c>
      <c r="I501" s="74" t="s">
        <v>47</v>
      </c>
      <c r="J501" s="74" t="s">
        <v>9347</v>
      </c>
      <c r="K501" s="74"/>
      <c r="L501" s="74"/>
    </row>
    <row r="502" spans="1:12" ht="41.4">
      <c r="A502" s="73">
        <v>501</v>
      </c>
      <c r="B502" s="74" t="s">
        <v>10487</v>
      </c>
      <c r="C502" s="74" t="s">
        <v>3530</v>
      </c>
      <c r="D502" s="74" t="s">
        <v>41</v>
      </c>
      <c r="E502" s="74" t="s">
        <v>9344</v>
      </c>
      <c r="F502" s="74" t="s">
        <v>9345</v>
      </c>
      <c r="G502" s="74" t="s">
        <v>9776</v>
      </c>
      <c r="H502" s="74" t="s">
        <v>200</v>
      </c>
      <c r="I502" s="74" t="s">
        <v>47</v>
      </c>
      <c r="J502" s="74" t="s">
        <v>9347</v>
      </c>
      <c r="K502" s="74"/>
      <c r="L502" s="74"/>
    </row>
    <row r="503" spans="1:12" ht="55.2">
      <c r="A503" s="73">
        <v>502</v>
      </c>
      <c r="B503" s="74" t="s">
        <v>10488</v>
      </c>
      <c r="C503" s="74" t="s">
        <v>10489</v>
      </c>
      <c r="D503" s="74" t="s">
        <v>41</v>
      </c>
      <c r="E503" s="74" t="s">
        <v>9344</v>
      </c>
      <c r="F503" s="74" t="s">
        <v>9345</v>
      </c>
      <c r="G503" s="74" t="s">
        <v>9648</v>
      </c>
      <c r="H503" s="74" t="s">
        <v>200</v>
      </c>
      <c r="I503" s="74" t="s">
        <v>47</v>
      </c>
      <c r="J503" s="74" t="s">
        <v>9347</v>
      </c>
      <c r="K503" s="74"/>
      <c r="L503" s="74"/>
    </row>
    <row r="504" spans="1:12" ht="41.4">
      <c r="A504" s="73">
        <v>503</v>
      </c>
      <c r="B504" s="74" t="s">
        <v>10490</v>
      </c>
      <c r="C504" s="74" t="s">
        <v>10491</v>
      </c>
      <c r="D504" s="74" t="s">
        <v>41</v>
      </c>
      <c r="E504" s="74" t="s">
        <v>9344</v>
      </c>
      <c r="F504" s="74" t="s">
        <v>9345</v>
      </c>
      <c r="G504" s="74" t="s">
        <v>9757</v>
      </c>
      <c r="H504" s="74" t="s">
        <v>200</v>
      </c>
      <c r="I504" s="74" t="s">
        <v>47</v>
      </c>
      <c r="J504" s="74" t="s">
        <v>9347</v>
      </c>
      <c r="K504" s="74"/>
      <c r="L504" s="74"/>
    </row>
    <row r="505" spans="1:12" ht="41.4">
      <c r="A505" s="73">
        <v>504</v>
      </c>
      <c r="B505" s="74" t="s">
        <v>10492</v>
      </c>
      <c r="C505" s="74" t="s">
        <v>10493</v>
      </c>
      <c r="D505" s="74" t="s">
        <v>41</v>
      </c>
      <c r="E505" s="74" t="s">
        <v>9344</v>
      </c>
      <c r="F505" s="74" t="s">
        <v>9345</v>
      </c>
      <c r="G505" s="74" t="s">
        <v>9757</v>
      </c>
      <c r="H505" s="74" t="s">
        <v>200</v>
      </c>
      <c r="I505" s="74" t="s">
        <v>47</v>
      </c>
      <c r="J505" s="74" t="s">
        <v>9347</v>
      </c>
      <c r="K505" s="74"/>
      <c r="L505" s="74"/>
    </row>
    <row r="506" spans="1:12" ht="41.4">
      <c r="A506" s="73">
        <v>505</v>
      </c>
      <c r="B506" s="74" t="s">
        <v>10494</v>
      </c>
      <c r="C506" s="74" t="s">
        <v>3311</v>
      </c>
      <c r="D506" s="74" t="s">
        <v>295</v>
      </c>
      <c r="E506" s="74" t="s">
        <v>9344</v>
      </c>
      <c r="F506" s="74" t="s">
        <v>9345</v>
      </c>
      <c r="G506" s="74" t="s">
        <v>9489</v>
      </c>
      <c r="H506" s="74" t="s">
        <v>407</v>
      </c>
      <c r="I506" s="74" t="s">
        <v>47</v>
      </c>
      <c r="J506" s="74" t="s">
        <v>9347</v>
      </c>
      <c r="K506" s="74"/>
      <c r="L506" s="74"/>
    </row>
    <row r="507" spans="1:12" ht="41.4">
      <c r="A507" s="73">
        <v>506</v>
      </c>
      <c r="B507" s="74" t="s">
        <v>10495</v>
      </c>
      <c r="C507" s="74" t="s">
        <v>10496</v>
      </c>
      <c r="D507" s="74" t="s">
        <v>295</v>
      </c>
      <c r="E507" s="74" t="s">
        <v>9344</v>
      </c>
      <c r="F507" s="74" t="s">
        <v>9345</v>
      </c>
      <c r="G507" s="74" t="s">
        <v>9864</v>
      </c>
      <c r="H507" s="74" t="s">
        <v>9865</v>
      </c>
      <c r="I507" s="74" t="s">
        <v>47</v>
      </c>
      <c r="J507" s="74" t="s">
        <v>9347</v>
      </c>
      <c r="K507" s="74" t="s">
        <v>10497</v>
      </c>
      <c r="L507" s="74" t="s">
        <v>318</v>
      </c>
    </row>
    <row r="508" spans="1:12" ht="41.4">
      <c r="A508" s="73">
        <v>507</v>
      </c>
      <c r="B508" s="74" t="s">
        <v>10498</v>
      </c>
      <c r="C508" s="74" t="s">
        <v>10499</v>
      </c>
      <c r="D508" s="74" t="s">
        <v>295</v>
      </c>
      <c r="E508" s="74" t="s">
        <v>9344</v>
      </c>
      <c r="F508" s="74" t="s">
        <v>9345</v>
      </c>
      <c r="G508" s="74" t="s">
        <v>9864</v>
      </c>
      <c r="H508" s="74" t="s">
        <v>9865</v>
      </c>
      <c r="I508" s="74" t="s">
        <v>47</v>
      </c>
      <c r="J508" s="74" t="s">
        <v>9347</v>
      </c>
      <c r="K508" s="74"/>
      <c r="L508" s="74"/>
    </row>
    <row r="509" spans="1:12" ht="69">
      <c r="A509" s="73">
        <v>508</v>
      </c>
      <c r="B509" s="74" t="s">
        <v>10500</v>
      </c>
      <c r="C509" s="74" t="s">
        <v>8206</v>
      </c>
      <c r="D509" s="74" t="s">
        <v>41</v>
      </c>
      <c r="E509" s="74" t="s">
        <v>9344</v>
      </c>
      <c r="F509" s="74" t="s">
        <v>9345</v>
      </c>
      <c r="G509" s="74" t="s">
        <v>9413</v>
      </c>
      <c r="H509" s="74" t="s">
        <v>46</v>
      </c>
      <c r="I509" s="74" t="s">
        <v>47</v>
      </c>
      <c r="J509" s="74" t="s">
        <v>9347</v>
      </c>
      <c r="K509" s="74"/>
      <c r="L509" s="74"/>
    </row>
    <row r="510" spans="1:12" ht="55.2">
      <c r="A510" s="73">
        <v>509</v>
      </c>
      <c r="B510" s="74" t="s">
        <v>10501</v>
      </c>
      <c r="C510" s="74" t="s">
        <v>6392</v>
      </c>
      <c r="D510" s="74" t="s">
        <v>41</v>
      </c>
      <c r="E510" s="74" t="s">
        <v>9344</v>
      </c>
      <c r="F510" s="74" t="s">
        <v>9345</v>
      </c>
      <c r="G510" s="74" t="s">
        <v>9572</v>
      </c>
      <c r="H510" s="74" t="s">
        <v>479</v>
      </c>
      <c r="I510" s="74" t="s">
        <v>47</v>
      </c>
      <c r="J510" s="74" t="s">
        <v>9351</v>
      </c>
      <c r="K510" s="74"/>
      <c r="L510" s="74"/>
    </row>
    <row r="511" spans="1:12" ht="41.4">
      <c r="A511" s="73">
        <v>510</v>
      </c>
      <c r="B511" s="74" t="s">
        <v>10502</v>
      </c>
      <c r="C511" s="74" t="s">
        <v>10503</v>
      </c>
      <c r="D511" s="74" t="s">
        <v>153</v>
      </c>
      <c r="E511" s="74" t="s">
        <v>9344</v>
      </c>
      <c r="F511" s="74" t="s">
        <v>9345</v>
      </c>
      <c r="G511" s="74" t="s">
        <v>9485</v>
      </c>
      <c r="H511" s="74" t="s">
        <v>155</v>
      </c>
      <c r="I511" s="74" t="s">
        <v>47</v>
      </c>
      <c r="J511" s="74" t="s">
        <v>9347</v>
      </c>
      <c r="K511" s="74"/>
      <c r="L511" s="74"/>
    </row>
    <row r="512" spans="1:12" ht="69">
      <c r="A512" s="73">
        <v>511</v>
      </c>
      <c r="B512" s="74" t="s">
        <v>10504</v>
      </c>
      <c r="C512" s="74" t="s">
        <v>2923</v>
      </c>
      <c r="D512" s="74" t="s">
        <v>143</v>
      </c>
      <c r="E512" s="74" t="s">
        <v>9344</v>
      </c>
      <c r="F512" s="74" t="s">
        <v>9345</v>
      </c>
      <c r="G512" s="74" t="s">
        <v>9715</v>
      </c>
      <c r="H512" s="74" t="s">
        <v>220</v>
      </c>
      <c r="I512" s="74" t="s">
        <v>47</v>
      </c>
      <c r="J512" s="74" t="s">
        <v>9351</v>
      </c>
      <c r="K512" s="74" t="s">
        <v>10505</v>
      </c>
      <c r="L512" s="74" t="s">
        <v>251</v>
      </c>
    </row>
    <row r="513" spans="1:12" ht="55.2">
      <c r="A513" s="73">
        <v>512</v>
      </c>
      <c r="B513" s="74" t="s">
        <v>10506</v>
      </c>
      <c r="C513" s="74" t="s">
        <v>10507</v>
      </c>
      <c r="D513" s="74" t="s">
        <v>143</v>
      </c>
      <c r="E513" s="74" t="s">
        <v>9344</v>
      </c>
      <c r="F513" s="74" t="s">
        <v>9345</v>
      </c>
      <c r="G513" s="74" t="s">
        <v>9916</v>
      </c>
      <c r="H513" s="74" t="s">
        <v>327</v>
      </c>
      <c r="I513" s="74" t="s">
        <v>47</v>
      </c>
      <c r="J513" s="74" t="s">
        <v>9351</v>
      </c>
      <c r="K513" s="74" t="s">
        <v>10508</v>
      </c>
      <c r="L513" s="74" t="s">
        <v>370</v>
      </c>
    </row>
    <row r="514" spans="1:12" ht="69">
      <c r="A514" s="73">
        <v>513</v>
      </c>
      <c r="B514" s="74" t="s">
        <v>10509</v>
      </c>
      <c r="C514" s="74" t="s">
        <v>10510</v>
      </c>
      <c r="D514" s="74" t="s">
        <v>41</v>
      </c>
      <c r="E514" s="74" t="s">
        <v>9344</v>
      </c>
      <c r="F514" s="74" t="s">
        <v>9345</v>
      </c>
      <c r="G514" s="74" t="s">
        <v>9824</v>
      </c>
      <c r="H514" s="74" t="s">
        <v>46</v>
      </c>
      <c r="I514" s="74" t="s">
        <v>47</v>
      </c>
      <c r="J514" s="74" t="s">
        <v>9351</v>
      </c>
      <c r="K514" s="74" t="s">
        <v>10511</v>
      </c>
      <c r="L514" s="74" t="s">
        <v>331</v>
      </c>
    </row>
    <row r="515" spans="1:12" ht="69">
      <c r="A515" s="73">
        <v>514</v>
      </c>
      <c r="B515" s="74" t="s">
        <v>10512</v>
      </c>
      <c r="C515" s="74" t="s">
        <v>7894</v>
      </c>
      <c r="D515" s="74" t="s">
        <v>41</v>
      </c>
      <c r="E515" s="74" t="s">
        <v>9344</v>
      </c>
      <c r="F515" s="74" t="s">
        <v>9345</v>
      </c>
      <c r="G515" s="74" t="s">
        <v>9824</v>
      </c>
      <c r="H515" s="74" t="s">
        <v>46</v>
      </c>
      <c r="I515" s="74" t="s">
        <v>47</v>
      </c>
      <c r="J515" s="74" t="s">
        <v>9351</v>
      </c>
      <c r="K515" s="74" t="s">
        <v>10513</v>
      </c>
      <c r="L515" s="74" t="s">
        <v>331</v>
      </c>
    </row>
    <row r="516" spans="1:12" ht="41.4">
      <c r="A516" s="73">
        <v>515</v>
      </c>
      <c r="B516" s="74" t="s">
        <v>10514</v>
      </c>
      <c r="C516" s="74" t="s">
        <v>10515</v>
      </c>
      <c r="D516" s="74" t="s">
        <v>153</v>
      </c>
      <c r="E516" s="74" t="s">
        <v>9344</v>
      </c>
      <c r="F516" s="74" t="s">
        <v>9345</v>
      </c>
      <c r="G516" s="74" t="s">
        <v>10124</v>
      </c>
      <c r="H516" s="74" t="s">
        <v>155</v>
      </c>
      <c r="I516" s="74" t="s">
        <v>47</v>
      </c>
      <c r="J516" s="74" t="s">
        <v>9347</v>
      </c>
      <c r="K516" s="74"/>
      <c r="L516" s="74"/>
    </row>
    <row r="517" spans="1:12" ht="41.4">
      <c r="A517" s="73">
        <v>516</v>
      </c>
      <c r="B517" s="74" t="s">
        <v>10516</v>
      </c>
      <c r="C517" s="74" t="s">
        <v>10517</v>
      </c>
      <c r="D517" s="74" t="s">
        <v>41</v>
      </c>
      <c r="E517" s="74" t="s">
        <v>9344</v>
      </c>
      <c r="F517" s="74" t="s">
        <v>9345</v>
      </c>
      <c r="G517" s="74" t="s">
        <v>9665</v>
      </c>
      <c r="H517" s="74" t="s">
        <v>662</v>
      </c>
      <c r="I517" s="74" t="s">
        <v>47</v>
      </c>
      <c r="J517" s="74" t="s">
        <v>9351</v>
      </c>
      <c r="K517" s="74" t="s">
        <v>10518</v>
      </c>
      <c r="L517" s="74" t="s">
        <v>1916</v>
      </c>
    </row>
    <row r="518" spans="1:12" ht="69">
      <c r="A518" s="73">
        <v>517</v>
      </c>
      <c r="B518" s="74" t="s">
        <v>10519</v>
      </c>
      <c r="C518" s="74" t="s">
        <v>2225</v>
      </c>
      <c r="D518" s="74" t="s">
        <v>41</v>
      </c>
      <c r="E518" s="74" t="s">
        <v>9344</v>
      </c>
      <c r="F518" s="74" t="s">
        <v>9345</v>
      </c>
      <c r="G518" s="74" t="s">
        <v>9368</v>
      </c>
      <c r="H518" s="74" t="s">
        <v>46</v>
      </c>
      <c r="I518" s="74" t="s">
        <v>47</v>
      </c>
      <c r="J518" s="74" t="s">
        <v>9351</v>
      </c>
      <c r="K518" s="74" t="s">
        <v>10520</v>
      </c>
      <c r="L518" s="74" t="s">
        <v>331</v>
      </c>
    </row>
    <row r="519" spans="1:12" ht="69">
      <c r="A519" s="73">
        <v>518</v>
      </c>
      <c r="B519" s="74" t="s">
        <v>10521</v>
      </c>
      <c r="C519" s="74" t="s">
        <v>5182</v>
      </c>
      <c r="D519" s="74" t="s">
        <v>89</v>
      </c>
      <c r="E519" s="74" t="s">
        <v>9344</v>
      </c>
      <c r="F519" s="74" t="s">
        <v>9345</v>
      </c>
      <c r="G519" s="74" t="s">
        <v>9528</v>
      </c>
      <c r="H519" s="74" t="s">
        <v>91</v>
      </c>
      <c r="I519" s="74" t="s">
        <v>47</v>
      </c>
      <c r="J519" s="74" t="s">
        <v>9347</v>
      </c>
      <c r="K519" s="74"/>
      <c r="L519" s="74"/>
    </row>
    <row r="520" spans="1:12" ht="69">
      <c r="A520" s="73">
        <v>519</v>
      </c>
      <c r="B520" s="74" t="s">
        <v>10522</v>
      </c>
      <c r="C520" s="74" t="s">
        <v>3630</v>
      </c>
      <c r="D520" s="74" t="s">
        <v>89</v>
      </c>
      <c r="E520" s="74" t="s">
        <v>9344</v>
      </c>
      <c r="F520" s="74" t="s">
        <v>9345</v>
      </c>
      <c r="G520" s="74" t="s">
        <v>9528</v>
      </c>
      <c r="H520" s="74" t="s">
        <v>91</v>
      </c>
      <c r="I520" s="74" t="s">
        <v>47</v>
      </c>
      <c r="J520" s="74" t="s">
        <v>9351</v>
      </c>
      <c r="K520" s="74" t="s">
        <v>10523</v>
      </c>
      <c r="L520" s="74" t="s">
        <v>711</v>
      </c>
    </row>
    <row r="521" spans="1:12" ht="41.4">
      <c r="A521" s="73">
        <v>520</v>
      </c>
      <c r="B521" s="74" t="s">
        <v>10524</v>
      </c>
      <c r="C521" s="74" t="s">
        <v>10525</v>
      </c>
      <c r="D521" s="74" t="s">
        <v>41</v>
      </c>
      <c r="E521" s="74" t="s">
        <v>9344</v>
      </c>
      <c r="F521" s="74" t="s">
        <v>9345</v>
      </c>
      <c r="G521" s="74" t="s">
        <v>9796</v>
      </c>
      <c r="H521" s="74" t="s">
        <v>200</v>
      </c>
      <c r="I521" s="74" t="s">
        <v>47</v>
      </c>
      <c r="J521" s="74" t="s">
        <v>9347</v>
      </c>
      <c r="K521" s="74"/>
      <c r="L521" s="74"/>
    </row>
    <row r="522" spans="1:12" ht="69">
      <c r="A522" s="73">
        <v>521</v>
      </c>
      <c r="B522" s="74" t="s">
        <v>10526</v>
      </c>
      <c r="C522" s="74" t="s">
        <v>10527</v>
      </c>
      <c r="D522" s="74" t="s">
        <v>143</v>
      </c>
      <c r="E522" s="74" t="s">
        <v>9344</v>
      </c>
      <c r="F522" s="74" t="s">
        <v>9345</v>
      </c>
      <c r="G522" s="74" t="s">
        <v>9715</v>
      </c>
      <c r="H522" s="74" t="s">
        <v>220</v>
      </c>
      <c r="I522" s="74" t="s">
        <v>47</v>
      </c>
      <c r="J522" s="74" t="s">
        <v>9351</v>
      </c>
      <c r="K522" s="74" t="s">
        <v>10528</v>
      </c>
      <c r="L522" s="74" t="s">
        <v>251</v>
      </c>
    </row>
    <row r="523" spans="1:12" ht="55.2">
      <c r="A523" s="73">
        <v>522</v>
      </c>
      <c r="B523" s="74" t="s">
        <v>10529</v>
      </c>
      <c r="C523" s="74" t="s">
        <v>10530</v>
      </c>
      <c r="D523" s="74" t="s">
        <v>153</v>
      </c>
      <c r="E523" s="74" t="s">
        <v>9344</v>
      </c>
      <c r="F523" s="74" t="s">
        <v>9345</v>
      </c>
      <c r="G523" s="74" t="s">
        <v>9753</v>
      </c>
      <c r="H523" s="74" t="s">
        <v>155</v>
      </c>
      <c r="I523" s="74" t="s">
        <v>47</v>
      </c>
      <c r="J523" s="74" t="s">
        <v>9347</v>
      </c>
      <c r="K523" s="74"/>
      <c r="L523" s="74"/>
    </row>
    <row r="524" spans="1:12" ht="69">
      <c r="A524" s="73">
        <v>523</v>
      </c>
      <c r="B524" s="74" t="s">
        <v>10531</v>
      </c>
      <c r="C524" s="74" t="s">
        <v>8824</v>
      </c>
      <c r="D524" s="74" t="s">
        <v>295</v>
      </c>
      <c r="E524" s="74" t="s">
        <v>9344</v>
      </c>
      <c r="F524" s="74" t="s">
        <v>9345</v>
      </c>
      <c r="G524" s="74" t="s">
        <v>9489</v>
      </c>
      <c r="H524" s="74" t="s">
        <v>407</v>
      </c>
      <c r="I524" s="74" t="s">
        <v>47</v>
      </c>
      <c r="J524" s="74" t="s">
        <v>9347</v>
      </c>
      <c r="K524" s="74" t="s">
        <v>10532</v>
      </c>
      <c r="L524" s="74" t="s">
        <v>318</v>
      </c>
    </row>
    <row r="525" spans="1:12" ht="55.2">
      <c r="A525" s="73">
        <v>524</v>
      </c>
      <c r="B525" s="74" t="s">
        <v>10533</v>
      </c>
      <c r="C525" s="74" t="s">
        <v>3588</v>
      </c>
      <c r="D525" s="74" t="s">
        <v>68</v>
      </c>
      <c r="E525" s="74" t="s">
        <v>9344</v>
      </c>
      <c r="F525" s="74" t="s">
        <v>9345</v>
      </c>
      <c r="G525" s="74" t="s">
        <v>9378</v>
      </c>
      <c r="H525" s="74" t="s">
        <v>70</v>
      </c>
      <c r="I525" s="74" t="s">
        <v>47</v>
      </c>
      <c r="J525" s="74" t="s">
        <v>9351</v>
      </c>
      <c r="K525" s="74" t="s">
        <v>10534</v>
      </c>
      <c r="L525" s="74" t="s">
        <v>1266</v>
      </c>
    </row>
    <row r="526" spans="1:12" ht="41.4">
      <c r="A526" s="73">
        <v>525</v>
      </c>
      <c r="B526" s="74" t="s">
        <v>10535</v>
      </c>
      <c r="C526" s="74" t="s">
        <v>10536</v>
      </c>
      <c r="D526" s="74" t="s">
        <v>41</v>
      </c>
      <c r="E526" s="74" t="s">
        <v>9344</v>
      </c>
      <c r="F526" s="74" t="s">
        <v>9345</v>
      </c>
      <c r="G526" s="74" t="s">
        <v>9757</v>
      </c>
      <c r="H526" s="74" t="s">
        <v>200</v>
      </c>
      <c r="I526" s="74" t="s">
        <v>47</v>
      </c>
      <c r="J526" s="74" t="s">
        <v>9347</v>
      </c>
      <c r="K526" s="74"/>
      <c r="L526" s="74"/>
    </row>
    <row r="527" spans="1:12" ht="69">
      <c r="A527" s="73">
        <v>526</v>
      </c>
      <c r="B527" s="74" t="s">
        <v>10537</v>
      </c>
      <c r="C527" s="74" t="s">
        <v>10538</v>
      </c>
      <c r="D527" s="74" t="s">
        <v>41</v>
      </c>
      <c r="E527" s="74" t="s">
        <v>9344</v>
      </c>
      <c r="F527" s="74" t="s">
        <v>9345</v>
      </c>
      <c r="G527" s="74" t="s">
        <v>9385</v>
      </c>
      <c r="H527" s="74" t="s">
        <v>46</v>
      </c>
      <c r="I527" s="74" t="s">
        <v>47</v>
      </c>
      <c r="J527" s="74" t="s">
        <v>9351</v>
      </c>
      <c r="K527" s="74" t="s">
        <v>10539</v>
      </c>
      <c r="L527" s="74" t="s">
        <v>331</v>
      </c>
    </row>
    <row r="528" spans="1:12" ht="41.4">
      <c r="A528" s="73">
        <v>527</v>
      </c>
      <c r="B528" s="74" t="s">
        <v>10540</v>
      </c>
      <c r="C528" s="74" t="s">
        <v>2329</v>
      </c>
      <c r="D528" s="74" t="s">
        <v>295</v>
      </c>
      <c r="E528" s="74" t="s">
        <v>9344</v>
      </c>
      <c r="F528" s="74" t="s">
        <v>9345</v>
      </c>
      <c r="G528" s="74" t="s">
        <v>9584</v>
      </c>
      <c r="H528" s="74" t="s">
        <v>297</v>
      </c>
      <c r="I528" s="74" t="s">
        <v>47</v>
      </c>
      <c r="J528" s="74" t="s">
        <v>9347</v>
      </c>
      <c r="K528" s="74"/>
      <c r="L528" s="74"/>
    </row>
    <row r="529" spans="1:12" ht="55.2">
      <c r="A529" s="73">
        <v>528</v>
      </c>
      <c r="B529" s="74" t="s">
        <v>10541</v>
      </c>
      <c r="C529" s="74" t="s">
        <v>4747</v>
      </c>
      <c r="D529" s="74" t="s">
        <v>143</v>
      </c>
      <c r="E529" s="74" t="s">
        <v>9344</v>
      </c>
      <c r="F529" s="74" t="s">
        <v>9345</v>
      </c>
      <c r="G529" s="74" t="s">
        <v>9916</v>
      </c>
      <c r="H529" s="74" t="s">
        <v>327</v>
      </c>
      <c r="I529" s="74" t="s">
        <v>47</v>
      </c>
      <c r="J529" s="74" t="s">
        <v>9351</v>
      </c>
      <c r="K529" s="74"/>
      <c r="L529" s="74"/>
    </row>
    <row r="530" spans="1:12" ht="69">
      <c r="A530" s="73">
        <v>529</v>
      </c>
      <c r="B530" s="74" t="s">
        <v>10542</v>
      </c>
      <c r="C530" s="74" t="s">
        <v>10543</v>
      </c>
      <c r="D530" s="74" t="s">
        <v>89</v>
      </c>
      <c r="E530" s="74" t="s">
        <v>9344</v>
      </c>
      <c r="F530" s="74" t="s">
        <v>9345</v>
      </c>
      <c r="G530" s="74" t="s">
        <v>9528</v>
      </c>
      <c r="H530" s="74" t="s">
        <v>91</v>
      </c>
      <c r="I530" s="74" t="s">
        <v>47</v>
      </c>
      <c r="J530" s="74" t="s">
        <v>9351</v>
      </c>
      <c r="K530" s="74" t="s">
        <v>10544</v>
      </c>
      <c r="L530" s="74" t="s">
        <v>711</v>
      </c>
    </row>
    <row r="531" spans="1:12" ht="55.2">
      <c r="A531" s="73">
        <v>530</v>
      </c>
      <c r="B531" s="74" t="s">
        <v>10545</v>
      </c>
      <c r="C531" s="74" t="s">
        <v>10546</v>
      </c>
      <c r="D531" s="74" t="s">
        <v>41</v>
      </c>
      <c r="E531" s="74" t="s">
        <v>9344</v>
      </c>
      <c r="F531" s="74" t="s">
        <v>9345</v>
      </c>
      <c r="G531" s="74" t="s">
        <v>9451</v>
      </c>
      <c r="H531" s="74" t="s">
        <v>130</v>
      </c>
      <c r="I531" s="74" t="s">
        <v>47</v>
      </c>
      <c r="J531" s="74" t="s">
        <v>9347</v>
      </c>
      <c r="K531" s="74"/>
      <c r="L531" s="74"/>
    </row>
    <row r="532" spans="1:12" ht="69">
      <c r="A532" s="73">
        <v>531</v>
      </c>
      <c r="B532" s="74" t="s">
        <v>10547</v>
      </c>
      <c r="C532" s="74" t="s">
        <v>10548</v>
      </c>
      <c r="D532" s="74" t="s">
        <v>143</v>
      </c>
      <c r="E532" s="74" t="s">
        <v>9344</v>
      </c>
      <c r="F532" s="74" t="s">
        <v>9345</v>
      </c>
      <c r="G532" s="74" t="s">
        <v>9715</v>
      </c>
      <c r="H532" s="74" t="s">
        <v>220</v>
      </c>
      <c r="I532" s="74" t="s">
        <v>47</v>
      </c>
      <c r="J532" s="74" t="s">
        <v>9351</v>
      </c>
      <c r="K532" s="74"/>
      <c r="L532" s="74"/>
    </row>
    <row r="533" spans="1:12" ht="55.2">
      <c r="A533" s="73">
        <v>532</v>
      </c>
      <c r="B533" s="74" t="s">
        <v>10549</v>
      </c>
      <c r="C533" s="74" t="s">
        <v>10550</v>
      </c>
      <c r="D533" s="74" t="s">
        <v>68</v>
      </c>
      <c r="E533" s="74" t="s">
        <v>9344</v>
      </c>
      <c r="F533" s="74" t="s">
        <v>9345</v>
      </c>
      <c r="G533" s="74" t="s">
        <v>9378</v>
      </c>
      <c r="H533" s="74" t="s">
        <v>70</v>
      </c>
      <c r="I533" s="74" t="s">
        <v>47</v>
      </c>
      <c r="J533" s="74" t="s">
        <v>9351</v>
      </c>
      <c r="K533" s="74" t="s">
        <v>10551</v>
      </c>
      <c r="L533" s="74" t="s">
        <v>3207</v>
      </c>
    </row>
    <row r="534" spans="1:12" ht="55.2">
      <c r="A534" s="73">
        <v>533</v>
      </c>
      <c r="B534" s="74" t="s">
        <v>10552</v>
      </c>
      <c r="C534" s="74" t="s">
        <v>10553</v>
      </c>
      <c r="D534" s="74" t="s">
        <v>295</v>
      </c>
      <c r="E534" s="74" t="s">
        <v>9344</v>
      </c>
      <c r="F534" s="74" t="s">
        <v>9345</v>
      </c>
      <c r="G534" s="74" t="s">
        <v>9677</v>
      </c>
      <c r="H534" s="74" t="s">
        <v>407</v>
      </c>
      <c r="I534" s="74" t="s">
        <v>47</v>
      </c>
      <c r="J534" s="74" t="s">
        <v>9347</v>
      </c>
      <c r="K534" s="74" t="s">
        <v>10554</v>
      </c>
      <c r="L534" s="74" t="s">
        <v>318</v>
      </c>
    </row>
    <row r="535" spans="1:12" ht="55.2">
      <c r="A535" s="73">
        <v>534</v>
      </c>
      <c r="B535" s="74" t="s">
        <v>10555</v>
      </c>
      <c r="C535" s="74" t="s">
        <v>10556</v>
      </c>
      <c r="D535" s="74" t="s">
        <v>153</v>
      </c>
      <c r="E535" s="74" t="s">
        <v>9344</v>
      </c>
      <c r="F535" s="74" t="s">
        <v>9345</v>
      </c>
      <c r="G535" s="74" t="s">
        <v>9753</v>
      </c>
      <c r="H535" s="74" t="s">
        <v>155</v>
      </c>
      <c r="I535" s="74" t="s">
        <v>47</v>
      </c>
      <c r="J535" s="74" t="s">
        <v>9347</v>
      </c>
      <c r="K535" s="74"/>
      <c r="L535" s="74"/>
    </row>
    <row r="536" spans="1:12" ht="41.4">
      <c r="A536" s="73">
        <v>535</v>
      </c>
      <c r="B536" s="74" t="s">
        <v>10557</v>
      </c>
      <c r="C536" s="74" t="s">
        <v>4718</v>
      </c>
      <c r="D536" s="74" t="s">
        <v>41</v>
      </c>
      <c r="E536" s="74" t="s">
        <v>9344</v>
      </c>
      <c r="F536" s="74" t="s">
        <v>9345</v>
      </c>
      <c r="G536" s="74" t="s">
        <v>9500</v>
      </c>
      <c r="H536" s="74" t="s">
        <v>200</v>
      </c>
      <c r="I536" s="74" t="s">
        <v>47</v>
      </c>
      <c r="J536" s="74" t="s">
        <v>9351</v>
      </c>
      <c r="K536" s="74" t="s">
        <v>10558</v>
      </c>
      <c r="L536" s="74" t="s">
        <v>331</v>
      </c>
    </row>
    <row r="537" spans="1:12" ht="41.4">
      <c r="A537" s="73">
        <v>536</v>
      </c>
      <c r="B537" s="74" t="s">
        <v>10559</v>
      </c>
      <c r="C537" s="74" t="s">
        <v>10560</v>
      </c>
      <c r="D537" s="74" t="s">
        <v>295</v>
      </c>
      <c r="E537" s="74" t="s">
        <v>9344</v>
      </c>
      <c r="F537" s="74" t="s">
        <v>9345</v>
      </c>
      <c r="G537" s="74" t="s">
        <v>9400</v>
      </c>
      <c r="H537" s="74" t="s">
        <v>407</v>
      </c>
      <c r="I537" s="74" t="s">
        <v>47</v>
      </c>
      <c r="J537" s="74" t="s">
        <v>9347</v>
      </c>
      <c r="K537" s="74"/>
      <c r="L537" s="74"/>
    </row>
    <row r="538" spans="1:12" ht="41.4">
      <c r="A538" s="73">
        <v>537</v>
      </c>
      <c r="B538" s="74" t="s">
        <v>10561</v>
      </c>
      <c r="C538" s="74" t="s">
        <v>10562</v>
      </c>
      <c r="D538" s="74" t="s">
        <v>295</v>
      </c>
      <c r="E538" s="74" t="s">
        <v>9344</v>
      </c>
      <c r="F538" s="74" t="s">
        <v>9345</v>
      </c>
      <c r="G538" s="74" t="s">
        <v>9489</v>
      </c>
      <c r="H538" s="74" t="s">
        <v>407</v>
      </c>
      <c r="I538" s="74" t="s">
        <v>10563</v>
      </c>
      <c r="J538" s="74" t="s">
        <v>9347</v>
      </c>
      <c r="K538" s="74"/>
      <c r="L538" s="74"/>
    </row>
    <row r="539" spans="1:12" ht="41.4">
      <c r="A539" s="73">
        <v>538</v>
      </c>
      <c r="B539" s="74" t="s">
        <v>10564</v>
      </c>
      <c r="C539" s="74" t="s">
        <v>10565</v>
      </c>
      <c r="D539" s="74" t="s">
        <v>153</v>
      </c>
      <c r="E539" s="74" t="s">
        <v>9344</v>
      </c>
      <c r="F539" s="74" t="s">
        <v>9345</v>
      </c>
      <c r="G539" s="74" t="s">
        <v>10124</v>
      </c>
      <c r="H539" s="74" t="s">
        <v>155</v>
      </c>
      <c r="I539" s="74" t="s">
        <v>47</v>
      </c>
      <c r="J539" s="74" t="s">
        <v>9347</v>
      </c>
      <c r="K539" s="74" t="s">
        <v>10566</v>
      </c>
      <c r="L539" s="74" t="s">
        <v>3561</v>
      </c>
    </row>
    <row r="540" spans="1:12" ht="41.4">
      <c r="A540" s="73">
        <v>539</v>
      </c>
      <c r="B540" s="74" t="s">
        <v>10567</v>
      </c>
      <c r="C540" s="74" t="s">
        <v>10568</v>
      </c>
      <c r="D540" s="74" t="s">
        <v>153</v>
      </c>
      <c r="E540" s="74" t="s">
        <v>9344</v>
      </c>
      <c r="F540" s="74" t="s">
        <v>9345</v>
      </c>
      <c r="G540" s="74" t="s">
        <v>9781</v>
      </c>
      <c r="H540" s="74" t="s">
        <v>155</v>
      </c>
      <c r="I540" s="74" t="s">
        <v>47</v>
      </c>
      <c r="J540" s="74" t="s">
        <v>9347</v>
      </c>
      <c r="K540" s="74"/>
      <c r="L540" s="74"/>
    </row>
    <row r="541" spans="1:12" ht="55.2">
      <c r="A541" s="73">
        <v>540</v>
      </c>
      <c r="B541" s="74" t="s">
        <v>10569</v>
      </c>
      <c r="C541" s="74" t="s">
        <v>1469</v>
      </c>
      <c r="D541" s="74" t="s">
        <v>143</v>
      </c>
      <c r="E541" s="74" t="s">
        <v>9344</v>
      </c>
      <c r="F541" s="74" t="s">
        <v>9345</v>
      </c>
      <c r="G541" s="74" t="s">
        <v>10267</v>
      </c>
      <c r="H541" s="74" t="s">
        <v>400</v>
      </c>
      <c r="I541" s="74" t="s">
        <v>47</v>
      </c>
      <c r="J541" s="74" t="s">
        <v>9351</v>
      </c>
      <c r="K541" s="74"/>
      <c r="L541" s="74"/>
    </row>
    <row r="542" spans="1:12" ht="55.2">
      <c r="A542" s="73">
        <v>541</v>
      </c>
      <c r="B542" s="74" t="s">
        <v>10570</v>
      </c>
      <c r="C542" s="74" t="s">
        <v>2342</v>
      </c>
      <c r="D542" s="74" t="s">
        <v>143</v>
      </c>
      <c r="E542" s="74" t="s">
        <v>9344</v>
      </c>
      <c r="F542" s="74" t="s">
        <v>9345</v>
      </c>
      <c r="G542" s="74" t="s">
        <v>9361</v>
      </c>
      <c r="H542" s="74" t="s">
        <v>327</v>
      </c>
      <c r="I542" s="74" t="s">
        <v>47</v>
      </c>
      <c r="J542" s="74" t="s">
        <v>9351</v>
      </c>
      <c r="K542" s="74" t="s">
        <v>10571</v>
      </c>
      <c r="L542" s="74" t="s">
        <v>370</v>
      </c>
    </row>
    <row r="543" spans="1:12" ht="55.2">
      <c r="A543" s="73">
        <v>542</v>
      </c>
      <c r="B543" s="74" t="s">
        <v>10572</v>
      </c>
      <c r="C543" s="74" t="s">
        <v>10573</v>
      </c>
      <c r="D543" s="74" t="s">
        <v>153</v>
      </c>
      <c r="E543" s="74" t="s">
        <v>9344</v>
      </c>
      <c r="F543" s="74" t="s">
        <v>9345</v>
      </c>
      <c r="G543" s="74" t="s">
        <v>9568</v>
      </c>
      <c r="H543" s="74" t="s">
        <v>155</v>
      </c>
      <c r="I543" s="74" t="s">
        <v>47</v>
      </c>
      <c r="J543" s="74" t="s">
        <v>9347</v>
      </c>
      <c r="K543" s="74"/>
      <c r="L543" s="74"/>
    </row>
    <row r="544" spans="1:12" ht="55.2">
      <c r="A544" s="73">
        <v>543</v>
      </c>
      <c r="B544" s="74" t="s">
        <v>10574</v>
      </c>
      <c r="C544" s="74" t="s">
        <v>3582</v>
      </c>
      <c r="D544" s="74" t="s">
        <v>41</v>
      </c>
      <c r="E544" s="74" t="s">
        <v>9344</v>
      </c>
      <c r="F544" s="74" t="s">
        <v>9345</v>
      </c>
      <c r="G544" s="74" t="s">
        <v>9405</v>
      </c>
      <c r="H544" s="74" t="s">
        <v>662</v>
      </c>
      <c r="I544" s="74" t="s">
        <v>47</v>
      </c>
      <c r="J544" s="74" t="s">
        <v>9351</v>
      </c>
      <c r="K544" s="74"/>
      <c r="L544" s="74"/>
    </row>
    <row r="545" spans="1:12" ht="69">
      <c r="A545" s="73">
        <v>544</v>
      </c>
      <c r="B545" s="74" t="s">
        <v>10575</v>
      </c>
      <c r="C545" s="74" t="s">
        <v>10576</v>
      </c>
      <c r="D545" s="74" t="s">
        <v>143</v>
      </c>
      <c r="E545" s="74" t="s">
        <v>9344</v>
      </c>
      <c r="F545" s="74" t="s">
        <v>9345</v>
      </c>
      <c r="G545" s="74" t="s">
        <v>9715</v>
      </c>
      <c r="H545" s="74" t="s">
        <v>220</v>
      </c>
      <c r="I545" s="74" t="s">
        <v>47</v>
      </c>
      <c r="J545" s="74" t="s">
        <v>9351</v>
      </c>
      <c r="K545" s="74"/>
      <c r="L545" s="74"/>
    </row>
    <row r="546" spans="1:12" ht="41.4">
      <c r="A546" s="73">
        <v>545</v>
      </c>
      <c r="B546" s="74" t="s">
        <v>10577</v>
      </c>
      <c r="C546" s="74" t="s">
        <v>10578</v>
      </c>
      <c r="D546" s="74" t="s">
        <v>153</v>
      </c>
      <c r="E546" s="74" t="s">
        <v>9344</v>
      </c>
      <c r="F546" s="74" t="s">
        <v>9345</v>
      </c>
      <c r="G546" s="74" t="s">
        <v>9753</v>
      </c>
      <c r="H546" s="74" t="s">
        <v>155</v>
      </c>
      <c r="I546" s="74" t="s">
        <v>47</v>
      </c>
      <c r="J546" s="74" t="s">
        <v>9347</v>
      </c>
      <c r="K546" s="74" t="s">
        <v>10579</v>
      </c>
      <c r="L546" s="74" t="s">
        <v>1266</v>
      </c>
    </row>
    <row r="547" spans="1:12" ht="55.2">
      <c r="A547" s="73">
        <v>546</v>
      </c>
      <c r="B547" s="74" t="s">
        <v>10580</v>
      </c>
      <c r="C547" s="74" t="s">
        <v>10581</v>
      </c>
      <c r="D547" s="74" t="s">
        <v>41</v>
      </c>
      <c r="E547" s="74" t="s">
        <v>9344</v>
      </c>
      <c r="F547" s="74" t="s">
        <v>9345</v>
      </c>
      <c r="G547" s="74" t="s">
        <v>9572</v>
      </c>
      <c r="H547" s="74" t="s">
        <v>479</v>
      </c>
      <c r="I547" s="74" t="s">
        <v>47</v>
      </c>
      <c r="J547" s="74" t="s">
        <v>9351</v>
      </c>
      <c r="K547" s="74"/>
      <c r="L547" s="74"/>
    </row>
    <row r="548" spans="1:12" ht="55.2">
      <c r="A548" s="73">
        <v>547</v>
      </c>
      <c r="B548" s="74" t="s">
        <v>10582</v>
      </c>
      <c r="C548" s="74" t="s">
        <v>10583</v>
      </c>
      <c r="D548" s="74" t="s">
        <v>41</v>
      </c>
      <c r="E548" s="74" t="s">
        <v>9344</v>
      </c>
      <c r="F548" s="74" t="s">
        <v>9345</v>
      </c>
      <c r="G548" s="74" t="s">
        <v>9761</v>
      </c>
      <c r="H548" s="74" t="s">
        <v>479</v>
      </c>
      <c r="I548" s="74" t="s">
        <v>47</v>
      </c>
      <c r="J548" s="74" t="s">
        <v>9351</v>
      </c>
      <c r="K548" s="74" t="s">
        <v>10584</v>
      </c>
      <c r="L548" s="74" t="s">
        <v>701</v>
      </c>
    </row>
    <row r="549" spans="1:12" ht="69">
      <c r="A549" s="73">
        <v>548</v>
      </c>
      <c r="B549" s="74" t="s">
        <v>10585</v>
      </c>
      <c r="C549" s="74" t="s">
        <v>6511</v>
      </c>
      <c r="D549" s="74" t="s">
        <v>143</v>
      </c>
      <c r="E549" s="74" t="s">
        <v>9344</v>
      </c>
      <c r="F549" s="74" t="s">
        <v>9345</v>
      </c>
      <c r="G549" s="74" t="s">
        <v>9715</v>
      </c>
      <c r="H549" s="74" t="s">
        <v>220</v>
      </c>
      <c r="I549" s="74" t="s">
        <v>47</v>
      </c>
      <c r="J549" s="74" t="s">
        <v>9351</v>
      </c>
      <c r="K549" s="74" t="s">
        <v>10586</v>
      </c>
      <c r="L549" s="74" t="s">
        <v>251</v>
      </c>
    </row>
    <row r="550" spans="1:12" ht="55.2">
      <c r="A550" s="73">
        <v>549</v>
      </c>
      <c r="B550" s="74" t="s">
        <v>10587</v>
      </c>
      <c r="C550" s="74" t="s">
        <v>10588</v>
      </c>
      <c r="D550" s="74" t="s">
        <v>68</v>
      </c>
      <c r="E550" s="74" t="s">
        <v>9395</v>
      </c>
      <c r="F550" s="74" t="s">
        <v>80</v>
      </c>
      <c r="G550" s="74" t="s">
        <v>10589</v>
      </c>
      <c r="H550" s="74" t="s">
        <v>70</v>
      </c>
      <c r="I550" s="74" t="s">
        <v>416</v>
      </c>
      <c r="J550" s="74" t="s">
        <v>9351</v>
      </c>
      <c r="K550" s="74" t="s">
        <v>10590</v>
      </c>
      <c r="L550" s="74" t="s">
        <v>3207</v>
      </c>
    </row>
    <row r="551" spans="1:12" ht="41.4">
      <c r="A551" s="73">
        <v>550</v>
      </c>
      <c r="B551" s="74" t="s">
        <v>10591</v>
      </c>
      <c r="C551" s="74" t="s">
        <v>10592</v>
      </c>
      <c r="D551" s="74" t="s">
        <v>41</v>
      </c>
      <c r="E551" s="74" t="s">
        <v>9344</v>
      </c>
      <c r="F551" s="74" t="s">
        <v>9345</v>
      </c>
      <c r="G551" s="74" t="s">
        <v>9364</v>
      </c>
      <c r="H551" s="74" t="s">
        <v>662</v>
      </c>
      <c r="I551" s="74" t="s">
        <v>47</v>
      </c>
      <c r="J551" s="74" t="s">
        <v>9347</v>
      </c>
      <c r="K551" s="74"/>
      <c r="L551" s="74"/>
    </row>
    <row r="552" spans="1:12" ht="69">
      <c r="A552" s="73">
        <v>551</v>
      </c>
      <c r="B552" s="74" t="s">
        <v>10593</v>
      </c>
      <c r="C552" s="74" t="s">
        <v>10594</v>
      </c>
      <c r="D552" s="74" t="s">
        <v>41</v>
      </c>
      <c r="E552" s="74" t="s">
        <v>9344</v>
      </c>
      <c r="F552" s="74" t="s">
        <v>9345</v>
      </c>
      <c r="G552" s="74" t="s">
        <v>9793</v>
      </c>
      <c r="H552" s="74" t="s">
        <v>46</v>
      </c>
      <c r="I552" s="74" t="s">
        <v>47</v>
      </c>
      <c r="J552" s="74" t="s">
        <v>9351</v>
      </c>
      <c r="K552" s="74"/>
      <c r="L552" s="74"/>
    </row>
    <row r="553" spans="1:12" ht="41.4">
      <c r="A553" s="73">
        <v>552</v>
      </c>
      <c r="B553" s="74" t="s">
        <v>10595</v>
      </c>
      <c r="C553" s="74" t="s">
        <v>10596</v>
      </c>
      <c r="D553" s="74" t="s">
        <v>41</v>
      </c>
      <c r="E553" s="74" t="s">
        <v>9344</v>
      </c>
      <c r="F553" s="74" t="s">
        <v>9345</v>
      </c>
      <c r="G553" s="74" t="s">
        <v>9648</v>
      </c>
      <c r="H553" s="74" t="s">
        <v>200</v>
      </c>
      <c r="I553" s="74" t="s">
        <v>47</v>
      </c>
      <c r="J553" s="74" t="s">
        <v>9347</v>
      </c>
      <c r="K553" s="74"/>
      <c r="L553" s="74"/>
    </row>
    <row r="554" spans="1:12" ht="55.2">
      <c r="A554" s="73">
        <v>553</v>
      </c>
      <c r="B554" s="74" t="s">
        <v>10597</v>
      </c>
      <c r="C554" s="74" t="s">
        <v>3605</v>
      </c>
      <c r="D554" s="74" t="s">
        <v>41</v>
      </c>
      <c r="E554" s="74" t="s">
        <v>9344</v>
      </c>
      <c r="F554" s="74" t="s">
        <v>9345</v>
      </c>
      <c r="G554" s="74" t="s">
        <v>9572</v>
      </c>
      <c r="H554" s="74" t="s">
        <v>479</v>
      </c>
      <c r="I554" s="74" t="s">
        <v>47</v>
      </c>
      <c r="J554" s="74" t="s">
        <v>9351</v>
      </c>
      <c r="K554" s="74"/>
      <c r="L554" s="74"/>
    </row>
    <row r="555" spans="1:12" ht="55.2">
      <c r="A555" s="73">
        <v>554</v>
      </c>
      <c r="B555" s="74" t="s">
        <v>10598</v>
      </c>
      <c r="C555" s="74" t="s">
        <v>10599</v>
      </c>
      <c r="D555" s="74" t="s">
        <v>153</v>
      </c>
      <c r="E555" s="74" t="s">
        <v>9344</v>
      </c>
      <c r="F555" s="74" t="s">
        <v>9345</v>
      </c>
      <c r="G555" s="74" t="s">
        <v>9468</v>
      </c>
      <c r="H555" s="74" t="s">
        <v>155</v>
      </c>
      <c r="I555" s="74" t="s">
        <v>47</v>
      </c>
      <c r="J555" s="74" t="s">
        <v>9347</v>
      </c>
      <c r="K555" s="74" t="s">
        <v>10600</v>
      </c>
      <c r="L555" s="74" t="s">
        <v>331</v>
      </c>
    </row>
    <row r="556" spans="1:12" ht="55.2">
      <c r="A556" s="73">
        <v>555</v>
      </c>
      <c r="B556" s="74" t="s">
        <v>10601</v>
      </c>
      <c r="C556" s="74" t="s">
        <v>10602</v>
      </c>
      <c r="D556" s="74" t="s">
        <v>41</v>
      </c>
      <c r="E556" s="74" t="s">
        <v>9344</v>
      </c>
      <c r="F556" s="74" t="s">
        <v>9345</v>
      </c>
      <c r="G556" s="74" t="s">
        <v>9451</v>
      </c>
      <c r="H556" s="74" t="s">
        <v>130</v>
      </c>
      <c r="I556" s="74" t="s">
        <v>47</v>
      </c>
      <c r="J556" s="74" t="s">
        <v>9347</v>
      </c>
      <c r="K556" s="74"/>
      <c r="L556" s="74"/>
    </row>
    <row r="557" spans="1:12" ht="41.4">
      <c r="A557" s="73">
        <v>556</v>
      </c>
      <c r="B557" s="74" t="s">
        <v>10603</v>
      </c>
      <c r="C557" s="74" t="s">
        <v>10604</v>
      </c>
      <c r="D557" s="74" t="s">
        <v>153</v>
      </c>
      <c r="E557" s="74" t="s">
        <v>9344</v>
      </c>
      <c r="F557" s="74" t="s">
        <v>9345</v>
      </c>
      <c r="G557" s="74" t="s">
        <v>9993</v>
      </c>
      <c r="H557" s="74" t="s">
        <v>155</v>
      </c>
      <c r="I557" s="74" t="s">
        <v>47</v>
      </c>
      <c r="J557" s="74" t="s">
        <v>9347</v>
      </c>
      <c r="K557" s="74"/>
      <c r="L557" s="74"/>
    </row>
    <row r="558" spans="1:12" ht="41.4">
      <c r="A558" s="73">
        <v>557</v>
      </c>
      <c r="B558" s="74" t="s">
        <v>10605</v>
      </c>
      <c r="C558" s="74" t="s">
        <v>10606</v>
      </c>
      <c r="D558" s="74" t="s">
        <v>41</v>
      </c>
      <c r="E558" s="74" t="s">
        <v>9344</v>
      </c>
      <c r="F558" s="74" t="s">
        <v>9345</v>
      </c>
      <c r="G558" s="74" t="s">
        <v>9451</v>
      </c>
      <c r="H558" s="74" t="s">
        <v>130</v>
      </c>
      <c r="I558" s="74" t="s">
        <v>47</v>
      </c>
      <c r="J558" s="74" t="s">
        <v>9347</v>
      </c>
      <c r="K558" s="74"/>
      <c r="L558" s="74"/>
    </row>
    <row r="559" spans="1:12" ht="41.4">
      <c r="A559" s="73">
        <v>558</v>
      </c>
      <c r="B559" s="74" t="s">
        <v>10607</v>
      </c>
      <c r="C559" s="74" t="s">
        <v>10608</v>
      </c>
      <c r="D559" s="74" t="s">
        <v>153</v>
      </c>
      <c r="E559" s="74" t="s">
        <v>9344</v>
      </c>
      <c r="F559" s="74" t="s">
        <v>9345</v>
      </c>
      <c r="G559" s="74" t="s">
        <v>9485</v>
      </c>
      <c r="H559" s="74" t="s">
        <v>155</v>
      </c>
      <c r="I559" s="74" t="s">
        <v>47</v>
      </c>
      <c r="J559" s="74" t="s">
        <v>9347</v>
      </c>
      <c r="K559" s="74"/>
      <c r="L559" s="74"/>
    </row>
    <row r="560" spans="1:12" ht="69">
      <c r="A560" s="73">
        <v>559</v>
      </c>
      <c r="B560" s="74" t="s">
        <v>10609</v>
      </c>
      <c r="C560" s="74" t="s">
        <v>5825</v>
      </c>
      <c r="D560" s="74" t="s">
        <v>143</v>
      </c>
      <c r="E560" s="74" t="s">
        <v>9344</v>
      </c>
      <c r="F560" s="74" t="s">
        <v>9345</v>
      </c>
      <c r="G560" s="74" t="s">
        <v>9510</v>
      </c>
      <c r="H560" s="74" t="s">
        <v>220</v>
      </c>
      <c r="I560" s="74" t="s">
        <v>47</v>
      </c>
      <c r="J560" s="74" t="s">
        <v>9351</v>
      </c>
      <c r="K560" s="74" t="s">
        <v>10610</v>
      </c>
      <c r="L560" s="74" t="s">
        <v>251</v>
      </c>
    </row>
    <row r="561" spans="1:12" ht="41.4">
      <c r="A561" s="73">
        <v>560</v>
      </c>
      <c r="B561" s="74" t="s">
        <v>10611</v>
      </c>
      <c r="C561" s="74" t="s">
        <v>10612</v>
      </c>
      <c r="D561" s="74" t="s">
        <v>41</v>
      </c>
      <c r="E561" s="74" t="s">
        <v>9344</v>
      </c>
      <c r="F561" s="74" t="s">
        <v>9345</v>
      </c>
      <c r="G561" s="74" t="s">
        <v>9796</v>
      </c>
      <c r="H561" s="74" t="s">
        <v>200</v>
      </c>
      <c r="I561" s="74" t="s">
        <v>47</v>
      </c>
      <c r="J561" s="74" t="s">
        <v>9347</v>
      </c>
      <c r="K561" s="74"/>
      <c r="L561" s="74"/>
    </row>
    <row r="562" spans="1:12" ht="41.4">
      <c r="A562" s="73">
        <v>561</v>
      </c>
      <c r="B562" s="74" t="s">
        <v>10613</v>
      </c>
      <c r="C562" s="74" t="s">
        <v>7141</v>
      </c>
      <c r="D562" s="74" t="s">
        <v>153</v>
      </c>
      <c r="E562" s="74" t="s">
        <v>9344</v>
      </c>
      <c r="F562" s="74" t="s">
        <v>9345</v>
      </c>
      <c r="G562" s="74" t="s">
        <v>9763</v>
      </c>
      <c r="H562" s="74" t="s">
        <v>155</v>
      </c>
      <c r="I562" s="74" t="s">
        <v>47</v>
      </c>
      <c r="J562" s="74" t="s">
        <v>9351</v>
      </c>
      <c r="K562" s="74" t="s">
        <v>10614</v>
      </c>
      <c r="L562" s="74" t="s">
        <v>331</v>
      </c>
    </row>
    <row r="563" spans="1:12" ht="69">
      <c r="A563" s="73">
        <v>562</v>
      </c>
      <c r="B563" s="74" t="s">
        <v>10615</v>
      </c>
      <c r="C563" s="74" t="s">
        <v>10616</v>
      </c>
      <c r="D563" s="74" t="s">
        <v>41</v>
      </c>
      <c r="E563" s="74" t="s">
        <v>9344</v>
      </c>
      <c r="F563" s="74" t="s">
        <v>9345</v>
      </c>
      <c r="G563" s="74" t="s">
        <v>9793</v>
      </c>
      <c r="H563" s="74" t="s">
        <v>46</v>
      </c>
      <c r="I563" s="74" t="s">
        <v>47</v>
      </c>
      <c r="J563" s="74" t="s">
        <v>9347</v>
      </c>
      <c r="K563" s="74"/>
      <c r="L563" s="74"/>
    </row>
    <row r="564" spans="1:12" ht="55.2">
      <c r="A564" s="73">
        <v>563</v>
      </c>
      <c r="B564" s="74" t="s">
        <v>10617</v>
      </c>
      <c r="C564" s="74" t="s">
        <v>1027</v>
      </c>
      <c r="D564" s="74" t="s">
        <v>143</v>
      </c>
      <c r="E564" s="74" t="s">
        <v>9344</v>
      </c>
      <c r="F564" s="74" t="s">
        <v>9345</v>
      </c>
      <c r="G564" s="74" t="s">
        <v>9916</v>
      </c>
      <c r="H564" s="74" t="s">
        <v>327</v>
      </c>
      <c r="I564" s="74" t="s">
        <v>47</v>
      </c>
      <c r="J564" s="74" t="s">
        <v>9351</v>
      </c>
      <c r="K564" s="74" t="s">
        <v>10618</v>
      </c>
      <c r="L564" s="74" t="s">
        <v>370</v>
      </c>
    </row>
    <row r="565" spans="1:12" ht="41.4">
      <c r="A565" s="73">
        <v>564</v>
      </c>
      <c r="B565" s="74" t="s">
        <v>10619</v>
      </c>
      <c r="C565" s="74" t="s">
        <v>10620</v>
      </c>
      <c r="D565" s="74" t="s">
        <v>41</v>
      </c>
      <c r="E565" s="74" t="s">
        <v>9344</v>
      </c>
      <c r="F565" s="74" t="s">
        <v>9345</v>
      </c>
      <c r="G565" s="74" t="s">
        <v>9410</v>
      </c>
      <c r="H565" s="74" t="s">
        <v>130</v>
      </c>
      <c r="I565" s="74" t="s">
        <v>47</v>
      </c>
      <c r="J565" s="74" t="s">
        <v>9347</v>
      </c>
      <c r="K565" s="74"/>
      <c r="L565" s="74"/>
    </row>
    <row r="566" spans="1:12" ht="69">
      <c r="A566" s="73">
        <v>565</v>
      </c>
      <c r="B566" s="74" t="s">
        <v>10621</v>
      </c>
      <c r="C566" s="74" t="s">
        <v>10622</v>
      </c>
      <c r="D566" s="74" t="s">
        <v>295</v>
      </c>
      <c r="E566" s="74" t="s">
        <v>9344</v>
      </c>
      <c r="F566" s="74" t="s">
        <v>9345</v>
      </c>
      <c r="G566" s="74" t="s">
        <v>9537</v>
      </c>
      <c r="H566" s="74" t="s">
        <v>9538</v>
      </c>
      <c r="I566" s="74" t="s">
        <v>47</v>
      </c>
      <c r="J566" s="74" t="s">
        <v>9347</v>
      </c>
      <c r="K566" s="74"/>
      <c r="L566" s="74"/>
    </row>
    <row r="567" spans="1:12" ht="41.4">
      <c r="A567" s="73">
        <v>566</v>
      </c>
      <c r="B567" s="74" t="s">
        <v>10623</v>
      </c>
      <c r="C567" s="74" t="s">
        <v>10624</v>
      </c>
      <c r="D567" s="74" t="s">
        <v>153</v>
      </c>
      <c r="E567" s="74" t="s">
        <v>9344</v>
      </c>
      <c r="F567" s="74" t="s">
        <v>9345</v>
      </c>
      <c r="G567" s="74" t="s">
        <v>9993</v>
      </c>
      <c r="H567" s="74" t="s">
        <v>155</v>
      </c>
      <c r="I567" s="74" t="s">
        <v>47</v>
      </c>
      <c r="J567" s="74" t="s">
        <v>9351</v>
      </c>
      <c r="K567" s="74" t="s">
        <v>10625</v>
      </c>
      <c r="L567" s="74" t="s">
        <v>331</v>
      </c>
    </row>
    <row r="568" spans="1:12" ht="41.4">
      <c r="A568" s="73">
        <v>567</v>
      </c>
      <c r="B568" s="74" t="s">
        <v>10626</v>
      </c>
      <c r="C568" s="74" t="s">
        <v>10627</v>
      </c>
      <c r="D568" s="74" t="s">
        <v>295</v>
      </c>
      <c r="E568" s="74" t="s">
        <v>9344</v>
      </c>
      <c r="F568" s="74" t="s">
        <v>9345</v>
      </c>
      <c r="G568" s="74" t="s">
        <v>9478</v>
      </c>
      <c r="H568" s="74" t="s">
        <v>407</v>
      </c>
      <c r="I568" s="74" t="s">
        <v>47</v>
      </c>
      <c r="J568" s="74" t="s">
        <v>9347</v>
      </c>
      <c r="K568" s="74" t="s">
        <v>10628</v>
      </c>
      <c r="L568" s="74" t="s">
        <v>318</v>
      </c>
    </row>
    <row r="569" spans="1:12" ht="41.4">
      <c r="A569" s="73">
        <v>568</v>
      </c>
      <c r="B569" s="74" t="s">
        <v>10629</v>
      </c>
      <c r="C569" s="74" t="s">
        <v>10630</v>
      </c>
      <c r="D569" s="74" t="s">
        <v>295</v>
      </c>
      <c r="E569" s="74" t="s">
        <v>9344</v>
      </c>
      <c r="F569" s="74" t="s">
        <v>9345</v>
      </c>
      <c r="G569" s="74" t="s">
        <v>9432</v>
      </c>
      <c r="H569" s="74" t="s">
        <v>297</v>
      </c>
      <c r="I569" s="74" t="s">
        <v>47</v>
      </c>
      <c r="J569" s="74" t="s">
        <v>9347</v>
      </c>
      <c r="K569" s="74"/>
      <c r="L569" s="74"/>
    </row>
    <row r="570" spans="1:12" ht="69">
      <c r="A570" s="73">
        <v>569</v>
      </c>
      <c r="B570" s="74" t="s">
        <v>10631</v>
      </c>
      <c r="C570" s="74" t="s">
        <v>10632</v>
      </c>
      <c r="D570" s="74" t="s">
        <v>41</v>
      </c>
      <c r="E570" s="74" t="s">
        <v>9344</v>
      </c>
      <c r="F570" s="74" t="s">
        <v>9345</v>
      </c>
      <c r="G570" s="74" t="s">
        <v>9413</v>
      </c>
      <c r="H570" s="74" t="s">
        <v>46</v>
      </c>
      <c r="I570" s="74" t="s">
        <v>47</v>
      </c>
      <c r="J570" s="74" t="s">
        <v>9347</v>
      </c>
      <c r="K570" s="74" t="s">
        <v>10633</v>
      </c>
      <c r="L570" s="74" t="s">
        <v>331</v>
      </c>
    </row>
    <row r="571" spans="1:12" ht="55.2">
      <c r="A571" s="73">
        <v>570</v>
      </c>
      <c r="B571" s="74" t="s">
        <v>10634</v>
      </c>
      <c r="C571" s="74" t="s">
        <v>10635</v>
      </c>
      <c r="D571" s="74" t="s">
        <v>41</v>
      </c>
      <c r="E571" s="74" t="s">
        <v>9344</v>
      </c>
      <c r="F571" s="74" t="s">
        <v>9345</v>
      </c>
      <c r="G571" s="74" t="s">
        <v>9757</v>
      </c>
      <c r="H571" s="74" t="s">
        <v>200</v>
      </c>
      <c r="I571" s="74" t="s">
        <v>47</v>
      </c>
      <c r="J571" s="74" t="s">
        <v>9347</v>
      </c>
      <c r="K571" s="74"/>
      <c r="L571" s="74"/>
    </row>
    <row r="572" spans="1:12" ht="55.2">
      <c r="A572" s="73">
        <v>571</v>
      </c>
      <c r="B572" s="74" t="s">
        <v>10636</v>
      </c>
      <c r="C572" s="74" t="s">
        <v>6066</v>
      </c>
      <c r="D572" s="74" t="s">
        <v>143</v>
      </c>
      <c r="E572" s="74" t="s">
        <v>9344</v>
      </c>
      <c r="F572" s="74" t="s">
        <v>9345</v>
      </c>
      <c r="G572" s="74" t="s">
        <v>9916</v>
      </c>
      <c r="H572" s="74" t="s">
        <v>327</v>
      </c>
      <c r="I572" s="74" t="s">
        <v>47</v>
      </c>
      <c r="J572" s="74" t="s">
        <v>9351</v>
      </c>
      <c r="K572" s="74"/>
      <c r="L572" s="74"/>
    </row>
    <row r="573" spans="1:12" ht="41.4">
      <c r="A573" s="73">
        <v>572</v>
      </c>
      <c r="B573" s="74" t="s">
        <v>10637</v>
      </c>
      <c r="C573" s="74" t="s">
        <v>10638</v>
      </c>
      <c r="D573" s="74" t="s">
        <v>153</v>
      </c>
      <c r="E573" s="74" t="s">
        <v>9344</v>
      </c>
      <c r="F573" s="74" t="s">
        <v>9345</v>
      </c>
      <c r="G573" s="74" t="s">
        <v>10033</v>
      </c>
      <c r="H573" s="74" t="s">
        <v>155</v>
      </c>
      <c r="I573" s="74" t="s">
        <v>47</v>
      </c>
      <c r="J573" s="74" t="s">
        <v>9347</v>
      </c>
      <c r="K573" s="74"/>
      <c r="L573" s="74"/>
    </row>
    <row r="574" spans="1:12" ht="41.4">
      <c r="A574" s="73">
        <v>573</v>
      </c>
      <c r="B574" s="74" t="s">
        <v>10639</v>
      </c>
      <c r="C574" s="74" t="s">
        <v>10640</v>
      </c>
      <c r="D574" s="74" t="s">
        <v>295</v>
      </c>
      <c r="E574" s="74" t="s">
        <v>9344</v>
      </c>
      <c r="F574" s="74" t="s">
        <v>9345</v>
      </c>
      <c r="G574" s="74" t="s">
        <v>9400</v>
      </c>
      <c r="H574" s="74" t="s">
        <v>407</v>
      </c>
      <c r="I574" s="74" t="s">
        <v>47</v>
      </c>
      <c r="J574" s="74" t="s">
        <v>9347</v>
      </c>
      <c r="K574" s="74"/>
      <c r="L574" s="74"/>
    </row>
    <row r="575" spans="1:12" ht="41.4">
      <c r="A575" s="73">
        <v>574</v>
      </c>
      <c r="B575" s="74" t="s">
        <v>10641</v>
      </c>
      <c r="C575" s="74" t="s">
        <v>8273</v>
      </c>
      <c r="D575" s="74" t="s">
        <v>295</v>
      </c>
      <c r="E575" s="74" t="s">
        <v>9344</v>
      </c>
      <c r="F575" s="74" t="s">
        <v>9345</v>
      </c>
      <c r="G575" s="74" t="s">
        <v>9708</v>
      </c>
      <c r="H575" s="74" t="s">
        <v>407</v>
      </c>
      <c r="I575" s="74" t="s">
        <v>47</v>
      </c>
      <c r="J575" s="74" t="s">
        <v>9351</v>
      </c>
      <c r="K575" s="74" t="s">
        <v>10642</v>
      </c>
      <c r="L575" s="74" t="s">
        <v>318</v>
      </c>
    </row>
    <row r="576" spans="1:12" ht="55.2">
      <c r="A576" s="73">
        <v>575</v>
      </c>
      <c r="B576" s="74" t="s">
        <v>10643</v>
      </c>
      <c r="C576" s="74" t="s">
        <v>8896</v>
      </c>
      <c r="D576" s="74" t="s">
        <v>143</v>
      </c>
      <c r="E576" s="74" t="s">
        <v>9344</v>
      </c>
      <c r="F576" s="74" t="s">
        <v>9345</v>
      </c>
      <c r="G576" s="74" t="s">
        <v>9910</v>
      </c>
      <c r="H576" s="74" t="s">
        <v>145</v>
      </c>
      <c r="I576" s="74" t="s">
        <v>47</v>
      </c>
      <c r="J576" s="74" t="s">
        <v>9351</v>
      </c>
      <c r="K576" s="74" t="s">
        <v>10644</v>
      </c>
      <c r="L576" s="74" t="s">
        <v>251</v>
      </c>
    </row>
    <row r="577" spans="1:12" ht="41.4">
      <c r="A577" s="73">
        <v>576</v>
      </c>
      <c r="B577" s="74" t="s">
        <v>10645</v>
      </c>
      <c r="C577" s="74" t="s">
        <v>10646</v>
      </c>
      <c r="D577" s="74" t="s">
        <v>153</v>
      </c>
      <c r="E577" s="74" t="s">
        <v>9344</v>
      </c>
      <c r="F577" s="74" t="s">
        <v>9345</v>
      </c>
      <c r="G577" s="74" t="s">
        <v>10033</v>
      </c>
      <c r="H577" s="74" t="s">
        <v>155</v>
      </c>
      <c r="I577" s="74" t="s">
        <v>47</v>
      </c>
      <c r="J577" s="74" t="s">
        <v>9347</v>
      </c>
      <c r="K577" s="74"/>
      <c r="L577" s="74"/>
    </row>
    <row r="578" spans="1:12" ht="41.4">
      <c r="A578" s="73">
        <v>577</v>
      </c>
      <c r="B578" s="74" t="s">
        <v>10647</v>
      </c>
      <c r="C578" s="74" t="s">
        <v>10648</v>
      </c>
      <c r="D578" s="74" t="s">
        <v>153</v>
      </c>
      <c r="E578" s="74" t="s">
        <v>9344</v>
      </c>
      <c r="F578" s="74" t="s">
        <v>9345</v>
      </c>
      <c r="G578" s="74" t="s">
        <v>10124</v>
      </c>
      <c r="H578" s="74" t="s">
        <v>155</v>
      </c>
      <c r="I578" s="74" t="s">
        <v>47</v>
      </c>
      <c r="J578" s="74" t="s">
        <v>9347</v>
      </c>
      <c r="K578" s="74"/>
      <c r="L578" s="74"/>
    </row>
    <row r="579" spans="1:12" ht="41.4">
      <c r="A579" s="73">
        <v>578</v>
      </c>
      <c r="B579" s="74" t="s">
        <v>10649</v>
      </c>
      <c r="C579" s="74" t="s">
        <v>5155</v>
      </c>
      <c r="D579" s="74" t="s">
        <v>89</v>
      </c>
      <c r="E579" s="74" t="s">
        <v>9344</v>
      </c>
      <c r="F579" s="74" t="s">
        <v>9345</v>
      </c>
      <c r="G579" s="74" t="s">
        <v>9556</v>
      </c>
      <c r="H579" s="74" t="s">
        <v>102</v>
      </c>
      <c r="I579" s="74" t="s">
        <v>47</v>
      </c>
      <c r="J579" s="74" t="s">
        <v>9351</v>
      </c>
      <c r="K579" s="74" t="s">
        <v>10650</v>
      </c>
      <c r="L579" s="74" t="s">
        <v>711</v>
      </c>
    </row>
    <row r="580" spans="1:12" ht="41.4">
      <c r="A580" s="73">
        <v>579</v>
      </c>
      <c r="B580" s="74" t="s">
        <v>10651</v>
      </c>
      <c r="C580" s="74" t="s">
        <v>10652</v>
      </c>
      <c r="D580" s="74" t="s">
        <v>41</v>
      </c>
      <c r="E580" s="74" t="s">
        <v>9344</v>
      </c>
      <c r="F580" s="74" t="s">
        <v>9345</v>
      </c>
      <c r="G580" s="74" t="s">
        <v>9500</v>
      </c>
      <c r="H580" s="74" t="s">
        <v>200</v>
      </c>
      <c r="I580" s="74" t="s">
        <v>47</v>
      </c>
      <c r="J580" s="74" t="s">
        <v>9351</v>
      </c>
      <c r="K580" s="74" t="s">
        <v>10653</v>
      </c>
      <c r="L580" s="74" t="s">
        <v>331</v>
      </c>
    </row>
    <row r="581" spans="1:12" ht="41.4">
      <c r="A581" s="73">
        <v>580</v>
      </c>
      <c r="B581" s="74" t="s">
        <v>10654</v>
      </c>
      <c r="C581" s="74" t="s">
        <v>10655</v>
      </c>
      <c r="D581" s="74" t="s">
        <v>153</v>
      </c>
      <c r="E581" s="74" t="s">
        <v>9344</v>
      </c>
      <c r="F581" s="74" t="s">
        <v>9345</v>
      </c>
      <c r="G581" s="74" t="s">
        <v>10124</v>
      </c>
      <c r="H581" s="74" t="s">
        <v>155</v>
      </c>
      <c r="I581" s="74" t="s">
        <v>47</v>
      </c>
      <c r="J581" s="74" t="s">
        <v>9347</v>
      </c>
      <c r="K581" s="74" t="s">
        <v>10656</v>
      </c>
      <c r="L581" s="74" t="s">
        <v>331</v>
      </c>
    </row>
    <row r="582" spans="1:12" ht="41.4">
      <c r="A582" s="73">
        <v>581</v>
      </c>
      <c r="B582" s="74" t="s">
        <v>10657</v>
      </c>
      <c r="C582" s="74" t="s">
        <v>10658</v>
      </c>
      <c r="D582" s="74" t="s">
        <v>153</v>
      </c>
      <c r="E582" s="74" t="s">
        <v>9344</v>
      </c>
      <c r="F582" s="74" t="s">
        <v>9345</v>
      </c>
      <c r="G582" s="74" t="s">
        <v>9993</v>
      </c>
      <c r="H582" s="74" t="s">
        <v>155</v>
      </c>
      <c r="I582" s="74" t="s">
        <v>47</v>
      </c>
      <c r="J582" s="74" t="s">
        <v>9347</v>
      </c>
      <c r="K582" s="74" t="s">
        <v>10659</v>
      </c>
      <c r="L582" s="74" t="s">
        <v>3561</v>
      </c>
    </row>
    <row r="583" spans="1:12" ht="55.2">
      <c r="A583" s="73">
        <v>582</v>
      </c>
      <c r="B583" s="74" t="s">
        <v>10660</v>
      </c>
      <c r="C583" s="74" t="s">
        <v>2744</v>
      </c>
      <c r="D583" s="74" t="s">
        <v>89</v>
      </c>
      <c r="E583" s="74" t="s">
        <v>9344</v>
      </c>
      <c r="F583" s="74" t="s">
        <v>9345</v>
      </c>
      <c r="G583" s="74" t="s">
        <v>9358</v>
      </c>
      <c r="H583" s="74" t="s">
        <v>102</v>
      </c>
      <c r="I583" s="74" t="s">
        <v>47</v>
      </c>
      <c r="J583" s="74" t="s">
        <v>9351</v>
      </c>
      <c r="K583" s="74" t="s">
        <v>10661</v>
      </c>
      <c r="L583" s="74" t="s">
        <v>711</v>
      </c>
    </row>
    <row r="584" spans="1:12" ht="69">
      <c r="A584" s="73">
        <v>583</v>
      </c>
      <c r="B584" s="74" t="s">
        <v>10662</v>
      </c>
      <c r="C584" s="74" t="s">
        <v>10663</v>
      </c>
      <c r="D584" s="74" t="s">
        <v>143</v>
      </c>
      <c r="E584" s="74" t="s">
        <v>9344</v>
      </c>
      <c r="F584" s="74" t="s">
        <v>9345</v>
      </c>
      <c r="G584" s="74" t="s">
        <v>9510</v>
      </c>
      <c r="H584" s="74" t="s">
        <v>220</v>
      </c>
      <c r="I584" s="74" t="s">
        <v>47</v>
      </c>
      <c r="J584" s="74" t="s">
        <v>9351</v>
      </c>
      <c r="K584" s="74" t="s">
        <v>10664</v>
      </c>
      <c r="L584" s="74" t="s">
        <v>251</v>
      </c>
    </row>
    <row r="585" spans="1:12" ht="55.2">
      <c r="A585" s="73">
        <v>584</v>
      </c>
      <c r="B585" s="74" t="s">
        <v>10665</v>
      </c>
      <c r="C585" s="74" t="s">
        <v>4789</v>
      </c>
      <c r="D585" s="74" t="s">
        <v>41</v>
      </c>
      <c r="E585" s="74" t="s">
        <v>9344</v>
      </c>
      <c r="F585" s="74" t="s">
        <v>9345</v>
      </c>
      <c r="G585" s="74" t="s">
        <v>9572</v>
      </c>
      <c r="H585" s="74" t="s">
        <v>479</v>
      </c>
      <c r="I585" s="74" t="s">
        <v>47</v>
      </c>
      <c r="J585" s="74" t="s">
        <v>9351</v>
      </c>
      <c r="K585" s="74" t="s">
        <v>10666</v>
      </c>
      <c r="L585" s="74" t="s">
        <v>331</v>
      </c>
    </row>
    <row r="586" spans="1:12" ht="55.2">
      <c r="A586" s="73">
        <v>585</v>
      </c>
      <c r="B586" s="74" t="s">
        <v>10667</v>
      </c>
      <c r="C586" s="74" t="s">
        <v>9099</v>
      </c>
      <c r="D586" s="74" t="s">
        <v>143</v>
      </c>
      <c r="E586" s="74" t="s">
        <v>9344</v>
      </c>
      <c r="F586" s="74" t="s">
        <v>9345</v>
      </c>
      <c r="G586" s="74" t="s">
        <v>9910</v>
      </c>
      <c r="H586" s="74" t="s">
        <v>145</v>
      </c>
      <c r="I586" s="74" t="s">
        <v>47</v>
      </c>
      <c r="J586" s="74" t="s">
        <v>9351</v>
      </c>
      <c r="K586" s="74" t="s">
        <v>10668</v>
      </c>
      <c r="L586" s="74" t="s">
        <v>251</v>
      </c>
    </row>
    <row r="587" spans="1:12" ht="41.4">
      <c r="A587" s="73">
        <v>586</v>
      </c>
      <c r="B587" s="74" t="s">
        <v>10669</v>
      </c>
      <c r="C587" s="74" t="s">
        <v>10670</v>
      </c>
      <c r="D587" s="74" t="s">
        <v>295</v>
      </c>
      <c r="E587" s="74" t="s">
        <v>9344</v>
      </c>
      <c r="F587" s="74" t="s">
        <v>9345</v>
      </c>
      <c r="G587" s="74" t="s">
        <v>9708</v>
      </c>
      <c r="H587" s="74" t="s">
        <v>407</v>
      </c>
      <c r="I587" s="74" t="s">
        <v>47</v>
      </c>
      <c r="J587" s="74" t="s">
        <v>9347</v>
      </c>
      <c r="K587" s="74" t="s">
        <v>10671</v>
      </c>
      <c r="L587" s="74" t="s">
        <v>318</v>
      </c>
    </row>
    <row r="588" spans="1:12" ht="55.2">
      <c r="A588" s="73">
        <v>587</v>
      </c>
      <c r="B588" s="74" t="s">
        <v>10672</v>
      </c>
      <c r="C588" s="74" t="s">
        <v>5654</v>
      </c>
      <c r="D588" s="74" t="s">
        <v>143</v>
      </c>
      <c r="E588" s="74" t="s">
        <v>9344</v>
      </c>
      <c r="F588" s="74" t="s">
        <v>9345</v>
      </c>
      <c r="G588" s="74" t="s">
        <v>9361</v>
      </c>
      <c r="H588" s="74" t="s">
        <v>327</v>
      </c>
      <c r="I588" s="74" t="s">
        <v>47</v>
      </c>
      <c r="J588" s="74" t="s">
        <v>9351</v>
      </c>
      <c r="K588" s="74" t="s">
        <v>10673</v>
      </c>
      <c r="L588" s="74" t="s">
        <v>370</v>
      </c>
    </row>
    <row r="589" spans="1:12" ht="69">
      <c r="A589" s="73">
        <v>588</v>
      </c>
      <c r="B589" s="74" t="s">
        <v>10674</v>
      </c>
      <c r="C589" s="74" t="s">
        <v>10675</v>
      </c>
      <c r="D589" s="74" t="s">
        <v>41</v>
      </c>
      <c r="E589" s="74" t="s">
        <v>9344</v>
      </c>
      <c r="F589" s="74" t="s">
        <v>9345</v>
      </c>
      <c r="G589" s="74" t="s">
        <v>9824</v>
      </c>
      <c r="H589" s="74" t="s">
        <v>46</v>
      </c>
      <c r="I589" s="74" t="s">
        <v>47</v>
      </c>
      <c r="J589" s="74" t="s">
        <v>9351</v>
      </c>
      <c r="K589" s="74" t="s">
        <v>10676</v>
      </c>
      <c r="L589" s="74" t="s">
        <v>331</v>
      </c>
    </row>
    <row r="590" spans="1:12" ht="69">
      <c r="A590" s="73">
        <v>589</v>
      </c>
      <c r="B590" s="74" t="s">
        <v>10677</v>
      </c>
      <c r="C590" s="74" t="s">
        <v>7618</v>
      </c>
      <c r="D590" s="74" t="s">
        <v>41</v>
      </c>
      <c r="E590" s="74" t="s">
        <v>9344</v>
      </c>
      <c r="F590" s="74" t="s">
        <v>9345</v>
      </c>
      <c r="G590" s="74" t="s">
        <v>9824</v>
      </c>
      <c r="H590" s="74" t="s">
        <v>46</v>
      </c>
      <c r="I590" s="74" t="s">
        <v>47</v>
      </c>
      <c r="J590" s="74" t="s">
        <v>9351</v>
      </c>
      <c r="K590" s="74" t="s">
        <v>10678</v>
      </c>
      <c r="L590" s="74" t="s">
        <v>331</v>
      </c>
    </row>
    <row r="591" spans="1:12" ht="55.2">
      <c r="A591" s="73">
        <v>590</v>
      </c>
      <c r="B591" s="74" t="s">
        <v>10679</v>
      </c>
      <c r="C591" s="74" t="s">
        <v>10680</v>
      </c>
      <c r="D591" s="74" t="s">
        <v>41</v>
      </c>
      <c r="E591" s="74" t="s">
        <v>9344</v>
      </c>
      <c r="F591" s="74" t="s">
        <v>9345</v>
      </c>
      <c r="G591" s="74" t="s">
        <v>9405</v>
      </c>
      <c r="H591" s="74" t="s">
        <v>662</v>
      </c>
      <c r="I591" s="74" t="s">
        <v>47</v>
      </c>
      <c r="J591" s="74" t="s">
        <v>9347</v>
      </c>
      <c r="K591" s="74"/>
      <c r="L591" s="74"/>
    </row>
    <row r="592" spans="1:12" ht="55.2">
      <c r="A592" s="73">
        <v>591</v>
      </c>
      <c r="B592" s="74" t="s">
        <v>10681</v>
      </c>
      <c r="C592" s="74" t="s">
        <v>857</v>
      </c>
      <c r="D592" s="74" t="s">
        <v>41</v>
      </c>
      <c r="E592" s="74" t="s">
        <v>9344</v>
      </c>
      <c r="F592" s="74" t="s">
        <v>9345</v>
      </c>
      <c r="G592" s="74" t="s">
        <v>9591</v>
      </c>
      <c r="H592" s="74" t="s">
        <v>130</v>
      </c>
      <c r="I592" s="74" t="s">
        <v>47</v>
      </c>
      <c r="J592" s="74" t="s">
        <v>9347</v>
      </c>
      <c r="K592" s="74" t="s">
        <v>10682</v>
      </c>
      <c r="L592" s="74" t="s">
        <v>318</v>
      </c>
    </row>
    <row r="593" spans="1:12" ht="41.4">
      <c r="A593" s="73">
        <v>592</v>
      </c>
      <c r="B593" s="74" t="s">
        <v>10683</v>
      </c>
      <c r="C593" s="74" t="s">
        <v>10684</v>
      </c>
      <c r="D593" s="74" t="s">
        <v>41</v>
      </c>
      <c r="E593" s="74" t="s">
        <v>9344</v>
      </c>
      <c r="F593" s="74" t="s">
        <v>9345</v>
      </c>
      <c r="G593" s="74" t="s">
        <v>9796</v>
      </c>
      <c r="H593" s="74" t="s">
        <v>200</v>
      </c>
      <c r="I593" s="74" t="s">
        <v>47</v>
      </c>
      <c r="J593" s="74" t="s">
        <v>9347</v>
      </c>
      <c r="K593" s="74"/>
      <c r="L593" s="74"/>
    </row>
    <row r="594" spans="1:12" ht="55.2">
      <c r="A594" s="73">
        <v>593</v>
      </c>
      <c r="B594" s="74" t="s">
        <v>10685</v>
      </c>
      <c r="C594" s="74" t="s">
        <v>1039</v>
      </c>
      <c r="D594" s="74" t="s">
        <v>41</v>
      </c>
      <c r="E594" s="74" t="s">
        <v>9344</v>
      </c>
      <c r="F594" s="74" t="s">
        <v>9345</v>
      </c>
      <c r="G594" s="74" t="s">
        <v>9665</v>
      </c>
      <c r="H594" s="74" t="s">
        <v>662</v>
      </c>
      <c r="I594" s="74" t="s">
        <v>47</v>
      </c>
      <c r="J594" s="74" t="s">
        <v>9351</v>
      </c>
      <c r="K594" s="74" t="s">
        <v>10686</v>
      </c>
      <c r="L594" s="74" t="s">
        <v>897</v>
      </c>
    </row>
    <row r="595" spans="1:12" ht="41.4">
      <c r="A595" s="73">
        <v>594</v>
      </c>
      <c r="B595" s="74" t="s">
        <v>10687</v>
      </c>
      <c r="C595" s="74" t="s">
        <v>10688</v>
      </c>
      <c r="D595" s="74" t="s">
        <v>295</v>
      </c>
      <c r="E595" s="74" t="s">
        <v>9344</v>
      </c>
      <c r="F595" s="74" t="s">
        <v>9345</v>
      </c>
      <c r="G595" s="74" t="s">
        <v>9346</v>
      </c>
      <c r="H595" s="74" t="s">
        <v>297</v>
      </c>
      <c r="I595" s="74" t="s">
        <v>47</v>
      </c>
      <c r="J595" s="74" t="s">
        <v>9347</v>
      </c>
      <c r="K595" s="74" t="s">
        <v>10689</v>
      </c>
      <c r="L595" s="74" t="s">
        <v>318</v>
      </c>
    </row>
    <row r="596" spans="1:12" ht="41.4">
      <c r="A596" s="73">
        <v>595</v>
      </c>
      <c r="B596" s="74" t="s">
        <v>10690</v>
      </c>
      <c r="C596" s="74" t="s">
        <v>10691</v>
      </c>
      <c r="D596" s="74" t="s">
        <v>153</v>
      </c>
      <c r="E596" s="74" t="s">
        <v>9344</v>
      </c>
      <c r="F596" s="74" t="s">
        <v>9345</v>
      </c>
      <c r="G596" s="74" t="s">
        <v>9763</v>
      </c>
      <c r="H596" s="74" t="s">
        <v>155</v>
      </c>
      <c r="I596" s="74" t="s">
        <v>47</v>
      </c>
      <c r="J596" s="74" t="s">
        <v>9351</v>
      </c>
      <c r="K596" s="74"/>
      <c r="L596" s="74"/>
    </row>
    <row r="597" spans="1:12" ht="55.2">
      <c r="A597" s="73">
        <v>596</v>
      </c>
      <c r="B597" s="74" t="s">
        <v>10692</v>
      </c>
      <c r="C597" s="74" t="s">
        <v>5505</v>
      </c>
      <c r="D597" s="74" t="s">
        <v>143</v>
      </c>
      <c r="E597" s="74" t="s">
        <v>9344</v>
      </c>
      <c r="F597" s="74" t="s">
        <v>9345</v>
      </c>
      <c r="G597" s="74" t="s">
        <v>9534</v>
      </c>
      <c r="H597" s="74" t="s">
        <v>145</v>
      </c>
      <c r="I597" s="74" t="s">
        <v>47</v>
      </c>
      <c r="J597" s="74" t="s">
        <v>9351</v>
      </c>
      <c r="K597" s="74" t="s">
        <v>10693</v>
      </c>
      <c r="L597" s="74" t="s">
        <v>251</v>
      </c>
    </row>
    <row r="598" spans="1:12" ht="55.2">
      <c r="A598" s="73">
        <v>597</v>
      </c>
      <c r="B598" s="74" t="s">
        <v>10694</v>
      </c>
      <c r="C598" s="74" t="s">
        <v>10695</v>
      </c>
      <c r="D598" s="74" t="s">
        <v>41</v>
      </c>
      <c r="E598" s="74" t="s">
        <v>9344</v>
      </c>
      <c r="F598" s="74" t="s">
        <v>9345</v>
      </c>
      <c r="G598" s="74" t="s">
        <v>9761</v>
      </c>
      <c r="H598" s="74" t="s">
        <v>479</v>
      </c>
      <c r="I598" s="74" t="s">
        <v>47</v>
      </c>
      <c r="J598" s="74" t="s">
        <v>9347</v>
      </c>
      <c r="K598" s="74"/>
      <c r="L598" s="74"/>
    </row>
    <row r="599" spans="1:12" ht="69">
      <c r="A599" s="73">
        <v>598</v>
      </c>
      <c r="B599" s="74" t="s">
        <v>10696</v>
      </c>
      <c r="C599" s="74" t="s">
        <v>10697</v>
      </c>
      <c r="D599" s="74" t="s">
        <v>41</v>
      </c>
      <c r="E599" s="74" t="s">
        <v>9344</v>
      </c>
      <c r="F599" s="74" t="s">
        <v>9345</v>
      </c>
      <c r="G599" s="74" t="s">
        <v>9793</v>
      </c>
      <c r="H599" s="74" t="s">
        <v>46</v>
      </c>
      <c r="I599" s="74" t="s">
        <v>47</v>
      </c>
      <c r="J599" s="74" t="s">
        <v>9811</v>
      </c>
      <c r="K599" s="74"/>
      <c r="L599" s="74"/>
    </row>
    <row r="600" spans="1:12" ht="41.4">
      <c r="A600" s="73">
        <v>599</v>
      </c>
      <c r="B600" s="74" t="s">
        <v>10698</v>
      </c>
      <c r="C600" s="74" t="s">
        <v>5009</v>
      </c>
      <c r="D600" s="74" t="s">
        <v>143</v>
      </c>
      <c r="E600" s="74" t="s">
        <v>9344</v>
      </c>
      <c r="F600" s="74" t="s">
        <v>9345</v>
      </c>
      <c r="G600" s="74" t="s">
        <v>10267</v>
      </c>
      <c r="H600" s="74" t="s">
        <v>400</v>
      </c>
      <c r="I600" s="74" t="s">
        <v>47</v>
      </c>
      <c r="J600" s="74" t="s">
        <v>9351</v>
      </c>
      <c r="K600" s="74" t="s">
        <v>10699</v>
      </c>
      <c r="L600" s="74" t="s">
        <v>251</v>
      </c>
    </row>
    <row r="601" spans="1:12" ht="41.4">
      <c r="A601" s="73">
        <v>600</v>
      </c>
      <c r="B601" s="74" t="s">
        <v>10700</v>
      </c>
      <c r="C601" s="74" t="s">
        <v>10701</v>
      </c>
      <c r="D601" s="74" t="s">
        <v>153</v>
      </c>
      <c r="E601" s="74" t="s">
        <v>9344</v>
      </c>
      <c r="F601" s="74" t="s">
        <v>9345</v>
      </c>
      <c r="G601" s="74" t="s">
        <v>10033</v>
      </c>
      <c r="H601" s="74" t="s">
        <v>155</v>
      </c>
      <c r="I601" s="74" t="s">
        <v>47</v>
      </c>
      <c r="J601" s="74" t="s">
        <v>9347</v>
      </c>
      <c r="K601" s="74" t="s">
        <v>10702</v>
      </c>
      <c r="L601" s="74" t="s">
        <v>331</v>
      </c>
    </row>
    <row r="602" spans="1:12" ht="55.2">
      <c r="A602" s="73">
        <v>601</v>
      </c>
      <c r="B602" s="74" t="s">
        <v>10703</v>
      </c>
      <c r="C602" s="74" t="s">
        <v>10704</v>
      </c>
      <c r="D602" s="74" t="s">
        <v>68</v>
      </c>
      <c r="E602" s="74" t="s">
        <v>9344</v>
      </c>
      <c r="F602" s="74" t="s">
        <v>9345</v>
      </c>
      <c r="G602" s="74" t="s">
        <v>9378</v>
      </c>
      <c r="H602" s="74" t="s">
        <v>70</v>
      </c>
      <c r="I602" s="74" t="s">
        <v>47</v>
      </c>
      <c r="J602" s="74" t="s">
        <v>9351</v>
      </c>
      <c r="K602" s="74" t="s">
        <v>10705</v>
      </c>
      <c r="L602" s="74" t="s">
        <v>891</v>
      </c>
    </row>
    <row r="603" spans="1:12" ht="55.2">
      <c r="A603" s="73">
        <v>602</v>
      </c>
      <c r="B603" s="74" t="s">
        <v>10706</v>
      </c>
      <c r="C603" s="74" t="s">
        <v>5413</v>
      </c>
      <c r="D603" s="74" t="s">
        <v>41</v>
      </c>
      <c r="E603" s="74" t="s">
        <v>9344</v>
      </c>
      <c r="F603" s="74" t="s">
        <v>9345</v>
      </c>
      <c r="G603" s="74" t="s">
        <v>9572</v>
      </c>
      <c r="H603" s="74" t="s">
        <v>479</v>
      </c>
      <c r="I603" s="74" t="s">
        <v>47</v>
      </c>
      <c r="J603" s="74" t="s">
        <v>9351</v>
      </c>
      <c r="K603" s="74" t="s">
        <v>10707</v>
      </c>
      <c r="L603" s="74" t="s">
        <v>251</v>
      </c>
    </row>
    <row r="604" spans="1:12" ht="69">
      <c r="A604" s="73">
        <v>603</v>
      </c>
      <c r="B604" s="74" t="s">
        <v>10708</v>
      </c>
      <c r="C604" s="74" t="s">
        <v>721</v>
      </c>
      <c r="D604" s="74" t="s">
        <v>295</v>
      </c>
      <c r="E604" s="74" t="s">
        <v>9344</v>
      </c>
      <c r="F604" s="74" t="s">
        <v>9345</v>
      </c>
      <c r="G604" s="74" t="s">
        <v>9537</v>
      </c>
      <c r="H604" s="74" t="s">
        <v>9538</v>
      </c>
      <c r="I604" s="74" t="s">
        <v>47</v>
      </c>
      <c r="J604" s="74" t="s">
        <v>9347</v>
      </c>
      <c r="K604" s="74" t="s">
        <v>10709</v>
      </c>
      <c r="L604" s="74" t="s">
        <v>318</v>
      </c>
    </row>
    <row r="605" spans="1:12" ht="41.4">
      <c r="A605" s="73">
        <v>604</v>
      </c>
      <c r="B605" s="74" t="s">
        <v>10710</v>
      </c>
      <c r="C605" s="74" t="s">
        <v>10711</v>
      </c>
      <c r="D605" s="74" t="s">
        <v>41</v>
      </c>
      <c r="E605" s="74" t="s">
        <v>9344</v>
      </c>
      <c r="F605" s="74" t="s">
        <v>9345</v>
      </c>
      <c r="G605" s="74" t="s">
        <v>9648</v>
      </c>
      <c r="H605" s="74" t="s">
        <v>200</v>
      </c>
      <c r="I605" s="74" t="s">
        <v>47</v>
      </c>
      <c r="J605" s="74" t="s">
        <v>9347</v>
      </c>
      <c r="K605" s="74"/>
      <c r="L605" s="74"/>
    </row>
    <row r="606" spans="1:12" ht="41.4">
      <c r="A606" s="73">
        <v>605</v>
      </c>
      <c r="B606" s="74" t="s">
        <v>10712</v>
      </c>
      <c r="C606" s="74" t="s">
        <v>3866</v>
      </c>
      <c r="D606" s="74" t="s">
        <v>143</v>
      </c>
      <c r="E606" s="74" t="s">
        <v>9344</v>
      </c>
      <c r="F606" s="74" t="s">
        <v>9345</v>
      </c>
      <c r="G606" s="74" t="s">
        <v>9388</v>
      </c>
      <c r="H606" s="74" t="s">
        <v>597</v>
      </c>
      <c r="I606" s="74" t="s">
        <v>47</v>
      </c>
      <c r="J606" s="74" t="s">
        <v>9351</v>
      </c>
      <c r="K606" s="74" t="s">
        <v>10713</v>
      </c>
      <c r="L606" s="74" t="s">
        <v>370</v>
      </c>
    </row>
    <row r="607" spans="1:12" ht="41.4">
      <c r="A607" s="73">
        <v>606</v>
      </c>
      <c r="B607" s="74" t="s">
        <v>10714</v>
      </c>
      <c r="C607" s="74" t="s">
        <v>10715</v>
      </c>
      <c r="D607" s="74" t="s">
        <v>295</v>
      </c>
      <c r="E607" s="74" t="s">
        <v>9344</v>
      </c>
      <c r="F607" s="74" t="s">
        <v>9345</v>
      </c>
      <c r="G607" s="74" t="s">
        <v>9346</v>
      </c>
      <c r="H607" s="74" t="s">
        <v>297</v>
      </c>
      <c r="I607" s="74" t="s">
        <v>47</v>
      </c>
      <c r="J607" s="74" t="s">
        <v>9347</v>
      </c>
      <c r="K607" s="74" t="s">
        <v>10716</v>
      </c>
      <c r="L607" s="74" t="s">
        <v>318</v>
      </c>
    </row>
    <row r="608" spans="1:12" ht="69">
      <c r="A608" s="73">
        <v>607</v>
      </c>
      <c r="B608" s="74" t="s">
        <v>10717</v>
      </c>
      <c r="C608" s="74" t="s">
        <v>10718</v>
      </c>
      <c r="D608" s="74" t="s">
        <v>41</v>
      </c>
      <c r="E608" s="74" t="s">
        <v>9344</v>
      </c>
      <c r="F608" s="74" t="s">
        <v>9345</v>
      </c>
      <c r="G608" s="74" t="s">
        <v>9824</v>
      </c>
      <c r="H608" s="74" t="s">
        <v>46</v>
      </c>
      <c r="I608" s="74" t="s">
        <v>47</v>
      </c>
      <c r="J608" s="74" t="s">
        <v>9351</v>
      </c>
      <c r="K608" s="74"/>
      <c r="L608" s="74"/>
    </row>
    <row r="609" spans="1:12" ht="69">
      <c r="A609" s="73">
        <v>608</v>
      </c>
      <c r="B609" s="74" t="s">
        <v>10719</v>
      </c>
      <c r="C609" s="74" t="s">
        <v>6549</v>
      </c>
      <c r="D609" s="74" t="s">
        <v>41</v>
      </c>
      <c r="E609" s="74" t="s">
        <v>9344</v>
      </c>
      <c r="F609" s="74" t="s">
        <v>9345</v>
      </c>
      <c r="G609" s="74" t="s">
        <v>9413</v>
      </c>
      <c r="H609" s="74" t="s">
        <v>46</v>
      </c>
      <c r="I609" s="74" t="s">
        <v>47</v>
      </c>
      <c r="J609" s="74" t="s">
        <v>9351</v>
      </c>
      <c r="K609" s="74"/>
      <c r="L609" s="74"/>
    </row>
    <row r="610" spans="1:12" ht="55.2">
      <c r="A610" s="73">
        <v>609</v>
      </c>
      <c r="B610" s="74" t="s">
        <v>10720</v>
      </c>
      <c r="C610" s="74" t="s">
        <v>6082</v>
      </c>
      <c r="D610" s="74" t="s">
        <v>89</v>
      </c>
      <c r="E610" s="74" t="s">
        <v>9344</v>
      </c>
      <c r="F610" s="74" t="s">
        <v>9345</v>
      </c>
      <c r="G610" s="74" t="s">
        <v>9723</v>
      </c>
      <c r="H610" s="74" t="s">
        <v>4024</v>
      </c>
      <c r="I610" s="74" t="s">
        <v>47</v>
      </c>
      <c r="J610" s="74" t="s">
        <v>9347</v>
      </c>
      <c r="K610" s="74" t="s">
        <v>10721</v>
      </c>
      <c r="L610" s="74" t="s">
        <v>711</v>
      </c>
    </row>
    <row r="611" spans="1:12" ht="41.4">
      <c r="A611" s="73">
        <v>610</v>
      </c>
      <c r="B611" s="74" t="s">
        <v>10722</v>
      </c>
      <c r="C611" s="74" t="s">
        <v>10723</v>
      </c>
      <c r="D611" s="74" t="s">
        <v>41</v>
      </c>
      <c r="E611" s="74" t="s">
        <v>9344</v>
      </c>
      <c r="F611" s="74" t="s">
        <v>9345</v>
      </c>
      <c r="G611" s="74" t="s">
        <v>9500</v>
      </c>
      <c r="H611" s="74" t="s">
        <v>200</v>
      </c>
      <c r="I611" s="74" t="s">
        <v>47</v>
      </c>
      <c r="J611" s="74" t="s">
        <v>9351</v>
      </c>
      <c r="K611" s="74" t="s">
        <v>10724</v>
      </c>
      <c r="L611" s="74" t="s">
        <v>318</v>
      </c>
    </row>
    <row r="612" spans="1:12" ht="69">
      <c r="A612" s="73">
        <v>611</v>
      </c>
      <c r="B612" s="74" t="s">
        <v>10725</v>
      </c>
      <c r="C612" s="74" t="s">
        <v>10726</v>
      </c>
      <c r="D612" s="74" t="s">
        <v>41</v>
      </c>
      <c r="E612" s="74" t="s">
        <v>9344</v>
      </c>
      <c r="F612" s="74" t="s">
        <v>9345</v>
      </c>
      <c r="G612" s="74" t="s">
        <v>9793</v>
      </c>
      <c r="H612" s="74" t="s">
        <v>46</v>
      </c>
      <c r="I612" s="74" t="s">
        <v>47</v>
      </c>
      <c r="J612" s="74" t="s">
        <v>9351</v>
      </c>
      <c r="K612" s="74"/>
      <c r="L612" s="74"/>
    </row>
    <row r="613" spans="1:12" ht="41.4">
      <c r="A613" s="73">
        <v>612</v>
      </c>
      <c r="B613" s="74" t="s">
        <v>10727</v>
      </c>
      <c r="C613" s="74" t="s">
        <v>10728</v>
      </c>
      <c r="D613" s="74" t="s">
        <v>295</v>
      </c>
      <c r="E613" s="74" t="s">
        <v>9344</v>
      </c>
      <c r="F613" s="74" t="s">
        <v>9345</v>
      </c>
      <c r="G613" s="74" t="s">
        <v>9677</v>
      </c>
      <c r="H613" s="74" t="s">
        <v>407</v>
      </c>
      <c r="I613" s="74" t="s">
        <v>47</v>
      </c>
      <c r="J613" s="74" t="s">
        <v>9347</v>
      </c>
      <c r="K613" s="74" t="s">
        <v>10729</v>
      </c>
      <c r="L613" s="74" t="s">
        <v>318</v>
      </c>
    </row>
    <row r="614" spans="1:12" ht="55.2">
      <c r="A614" s="73">
        <v>613</v>
      </c>
      <c r="B614" s="74" t="s">
        <v>10730</v>
      </c>
      <c r="C614" s="74" t="s">
        <v>10731</v>
      </c>
      <c r="D614" s="74" t="s">
        <v>153</v>
      </c>
      <c r="E614" s="74" t="s">
        <v>9344</v>
      </c>
      <c r="F614" s="74" t="s">
        <v>9345</v>
      </c>
      <c r="G614" s="74" t="s">
        <v>9485</v>
      </c>
      <c r="H614" s="74" t="s">
        <v>155</v>
      </c>
      <c r="I614" s="74" t="s">
        <v>47</v>
      </c>
      <c r="J614" s="74" t="s">
        <v>9347</v>
      </c>
      <c r="K614" s="74"/>
      <c r="L614" s="74"/>
    </row>
    <row r="615" spans="1:12" ht="55.2">
      <c r="A615" s="73">
        <v>614</v>
      </c>
      <c r="B615" s="74" t="s">
        <v>10732</v>
      </c>
      <c r="C615" s="74" t="s">
        <v>10733</v>
      </c>
      <c r="D615" s="74" t="s">
        <v>41</v>
      </c>
      <c r="E615" s="74" t="s">
        <v>9344</v>
      </c>
      <c r="F615" s="74" t="s">
        <v>9345</v>
      </c>
      <c r="G615" s="74" t="s">
        <v>9392</v>
      </c>
      <c r="H615" s="74" t="s">
        <v>200</v>
      </c>
      <c r="I615" s="74" t="s">
        <v>47</v>
      </c>
      <c r="J615" s="74" t="s">
        <v>9347</v>
      </c>
      <c r="K615" s="74"/>
      <c r="L615" s="74"/>
    </row>
    <row r="616" spans="1:12" ht="41.4">
      <c r="A616" s="73">
        <v>615</v>
      </c>
      <c r="B616" s="74" t="s">
        <v>10734</v>
      </c>
      <c r="C616" s="74" t="s">
        <v>10735</v>
      </c>
      <c r="D616" s="74" t="s">
        <v>295</v>
      </c>
      <c r="E616" s="74" t="s">
        <v>9344</v>
      </c>
      <c r="F616" s="74" t="s">
        <v>9345</v>
      </c>
      <c r="G616" s="74" t="s">
        <v>9579</v>
      </c>
      <c r="H616" s="74" t="s">
        <v>407</v>
      </c>
      <c r="I616" s="74" t="s">
        <v>47</v>
      </c>
      <c r="J616" s="74" t="s">
        <v>9347</v>
      </c>
      <c r="K616" s="74" t="s">
        <v>10736</v>
      </c>
      <c r="L616" s="74" t="s">
        <v>318</v>
      </c>
    </row>
    <row r="617" spans="1:12" ht="55.2">
      <c r="A617" s="73">
        <v>616</v>
      </c>
      <c r="B617" s="74" t="s">
        <v>10737</v>
      </c>
      <c r="C617" s="74" t="s">
        <v>10738</v>
      </c>
      <c r="D617" s="74" t="s">
        <v>153</v>
      </c>
      <c r="E617" s="74" t="s">
        <v>9344</v>
      </c>
      <c r="F617" s="74" t="s">
        <v>9345</v>
      </c>
      <c r="G617" s="74" t="s">
        <v>9763</v>
      </c>
      <c r="H617" s="74" t="s">
        <v>155</v>
      </c>
      <c r="I617" s="74" t="s">
        <v>47</v>
      </c>
      <c r="J617" s="74" t="s">
        <v>9347</v>
      </c>
      <c r="K617" s="74"/>
      <c r="L617" s="74"/>
    </row>
    <row r="618" spans="1:12" ht="55.2">
      <c r="A618" s="73">
        <v>617</v>
      </c>
      <c r="B618" s="74" t="s">
        <v>10739</v>
      </c>
      <c r="C618" s="74" t="s">
        <v>10740</v>
      </c>
      <c r="D618" s="74" t="s">
        <v>143</v>
      </c>
      <c r="E618" s="74" t="s">
        <v>9344</v>
      </c>
      <c r="F618" s="74" t="s">
        <v>9345</v>
      </c>
      <c r="G618" s="74" t="s">
        <v>9388</v>
      </c>
      <c r="H618" s="74" t="s">
        <v>597</v>
      </c>
      <c r="I618" s="74" t="s">
        <v>47</v>
      </c>
      <c r="J618" s="74" t="s">
        <v>9351</v>
      </c>
      <c r="K618" s="74"/>
      <c r="L618" s="74"/>
    </row>
    <row r="619" spans="1:12" ht="55.2">
      <c r="A619" s="73">
        <v>618</v>
      </c>
      <c r="B619" s="74" t="s">
        <v>10741</v>
      </c>
      <c r="C619" s="74" t="s">
        <v>10742</v>
      </c>
      <c r="D619" s="74" t="s">
        <v>143</v>
      </c>
      <c r="E619" s="74" t="s">
        <v>9344</v>
      </c>
      <c r="F619" s="74" t="s">
        <v>9345</v>
      </c>
      <c r="G619" s="74" t="s">
        <v>10267</v>
      </c>
      <c r="H619" s="74" t="s">
        <v>400</v>
      </c>
      <c r="I619" s="74" t="s">
        <v>47</v>
      </c>
      <c r="J619" s="74" t="s">
        <v>9351</v>
      </c>
      <c r="K619" s="74"/>
      <c r="L619" s="74"/>
    </row>
    <row r="620" spans="1:12" ht="69">
      <c r="A620" s="73">
        <v>619</v>
      </c>
      <c r="B620" s="74" t="s">
        <v>10743</v>
      </c>
      <c r="C620" s="74" t="s">
        <v>6234</v>
      </c>
      <c r="D620" s="74" t="s">
        <v>143</v>
      </c>
      <c r="E620" s="74" t="s">
        <v>9344</v>
      </c>
      <c r="F620" s="74" t="s">
        <v>9345</v>
      </c>
      <c r="G620" s="74" t="s">
        <v>9715</v>
      </c>
      <c r="H620" s="74" t="s">
        <v>220</v>
      </c>
      <c r="I620" s="74" t="s">
        <v>47</v>
      </c>
      <c r="J620" s="74" t="s">
        <v>9351</v>
      </c>
      <c r="K620" s="74" t="s">
        <v>10744</v>
      </c>
      <c r="L620" s="74" t="s">
        <v>251</v>
      </c>
    </row>
    <row r="621" spans="1:12" ht="55.2">
      <c r="A621" s="73">
        <v>620</v>
      </c>
      <c r="B621" s="74" t="s">
        <v>10745</v>
      </c>
      <c r="C621" s="74" t="s">
        <v>10746</v>
      </c>
      <c r="D621" s="74" t="s">
        <v>41</v>
      </c>
      <c r="E621" s="74" t="s">
        <v>9344</v>
      </c>
      <c r="F621" s="74" t="s">
        <v>9345</v>
      </c>
      <c r="G621" s="74" t="s">
        <v>9372</v>
      </c>
      <c r="H621" s="74" t="s">
        <v>479</v>
      </c>
      <c r="I621" s="74" t="s">
        <v>47</v>
      </c>
      <c r="J621" s="74" t="s">
        <v>9347</v>
      </c>
      <c r="K621" s="74"/>
      <c r="L621" s="74"/>
    </row>
    <row r="622" spans="1:12" ht="41.4">
      <c r="A622" s="73">
        <v>621</v>
      </c>
      <c r="B622" s="74" t="s">
        <v>10747</v>
      </c>
      <c r="C622" s="74" t="s">
        <v>10748</v>
      </c>
      <c r="D622" s="74" t="s">
        <v>295</v>
      </c>
      <c r="E622" s="74" t="s">
        <v>9344</v>
      </c>
      <c r="F622" s="74" t="s">
        <v>9345</v>
      </c>
      <c r="G622" s="74" t="s">
        <v>9489</v>
      </c>
      <c r="H622" s="74" t="s">
        <v>407</v>
      </c>
      <c r="I622" s="74" t="s">
        <v>47</v>
      </c>
      <c r="J622" s="74" t="s">
        <v>9347</v>
      </c>
      <c r="K622" s="74"/>
      <c r="L622" s="74"/>
    </row>
    <row r="623" spans="1:12" ht="55.2">
      <c r="A623" s="73">
        <v>622</v>
      </c>
      <c r="B623" s="74" t="s">
        <v>10749</v>
      </c>
      <c r="C623" s="74" t="s">
        <v>10750</v>
      </c>
      <c r="D623" s="74" t="s">
        <v>41</v>
      </c>
      <c r="E623" s="74" t="s">
        <v>9344</v>
      </c>
      <c r="F623" s="74" t="s">
        <v>9345</v>
      </c>
      <c r="G623" s="74" t="s">
        <v>9648</v>
      </c>
      <c r="H623" s="74" t="s">
        <v>200</v>
      </c>
      <c r="I623" s="74" t="s">
        <v>47</v>
      </c>
      <c r="J623" s="74" t="s">
        <v>9347</v>
      </c>
      <c r="K623" s="74" t="s">
        <v>10751</v>
      </c>
      <c r="L623" s="74" t="s">
        <v>891</v>
      </c>
    </row>
    <row r="624" spans="1:12" ht="55.2">
      <c r="A624" s="73">
        <v>623</v>
      </c>
      <c r="B624" s="74" t="s">
        <v>10752</v>
      </c>
      <c r="C624" s="74" t="s">
        <v>5514</v>
      </c>
      <c r="D624" s="74" t="s">
        <v>143</v>
      </c>
      <c r="E624" s="74" t="s">
        <v>9344</v>
      </c>
      <c r="F624" s="74" t="s">
        <v>9345</v>
      </c>
      <c r="G624" s="74" t="s">
        <v>9534</v>
      </c>
      <c r="H624" s="74" t="s">
        <v>145</v>
      </c>
      <c r="I624" s="74" t="s">
        <v>47</v>
      </c>
      <c r="J624" s="74" t="s">
        <v>9347</v>
      </c>
      <c r="K624" s="74" t="s">
        <v>10753</v>
      </c>
      <c r="L624" s="74" t="s">
        <v>251</v>
      </c>
    </row>
    <row r="625" spans="1:12" ht="41.4">
      <c r="A625" s="73">
        <v>624</v>
      </c>
      <c r="B625" s="74" t="s">
        <v>10754</v>
      </c>
      <c r="C625" s="74" t="s">
        <v>10755</v>
      </c>
      <c r="D625" s="74" t="s">
        <v>41</v>
      </c>
      <c r="E625" s="74" t="s">
        <v>9344</v>
      </c>
      <c r="F625" s="74" t="s">
        <v>9345</v>
      </c>
      <c r="G625" s="74" t="s">
        <v>9648</v>
      </c>
      <c r="H625" s="74" t="s">
        <v>200</v>
      </c>
      <c r="I625" s="74" t="s">
        <v>47</v>
      </c>
      <c r="J625" s="74" t="s">
        <v>9347</v>
      </c>
      <c r="K625" s="74" t="s">
        <v>10756</v>
      </c>
      <c r="L625" s="74" t="s">
        <v>891</v>
      </c>
    </row>
    <row r="626" spans="1:12" ht="69">
      <c r="A626" s="73">
        <v>625</v>
      </c>
      <c r="B626" s="74" t="s">
        <v>10757</v>
      </c>
      <c r="C626" s="74" t="s">
        <v>10758</v>
      </c>
      <c r="D626" s="74" t="s">
        <v>41</v>
      </c>
      <c r="E626" s="74" t="s">
        <v>9344</v>
      </c>
      <c r="F626" s="74" t="s">
        <v>9345</v>
      </c>
      <c r="G626" s="74" t="s">
        <v>9385</v>
      </c>
      <c r="H626" s="74" t="s">
        <v>46</v>
      </c>
      <c r="I626" s="74" t="s">
        <v>47</v>
      </c>
      <c r="J626" s="74" t="s">
        <v>9351</v>
      </c>
      <c r="K626" s="74"/>
      <c r="L626" s="74"/>
    </row>
    <row r="627" spans="1:12" ht="69">
      <c r="A627" s="73">
        <v>626</v>
      </c>
      <c r="B627" s="74" t="s">
        <v>10759</v>
      </c>
      <c r="C627" s="74" t="s">
        <v>7933</v>
      </c>
      <c r="D627" s="74" t="s">
        <v>41</v>
      </c>
      <c r="E627" s="74" t="s">
        <v>9344</v>
      </c>
      <c r="F627" s="74" t="s">
        <v>9345</v>
      </c>
      <c r="G627" s="74" t="s">
        <v>9385</v>
      </c>
      <c r="H627" s="74" t="s">
        <v>46</v>
      </c>
      <c r="I627" s="74" t="s">
        <v>47</v>
      </c>
      <c r="J627" s="74" t="s">
        <v>9347</v>
      </c>
      <c r="K627" s="74" t="s">
        <v>10760</v>
      </c>
      <c r="L627" s="74" t="s">
        <v>3207</v>
      </c>
    </row>
    <row r="628" spans="1:12" ht="41.4">
      <c r="A628" s="73">
        <v>627</v>
      </c>
      <c r="B628" s="74" t="s">
        <v>10761</v>
      </c>
      <c r="C628" s="74" t="s">
        <v>1412</v>
      </c>
      <c r="D628" s="74" t="s">
        <v>41</v>
      </c>
      <c r="E628" s="74" t="s">
        <v>9344</v>
      </c>
      <c r="F628" s="74" t="s">
        <v>9345</v>
      </c>
      <c r="G628" s="74" t="s">
        <v>9405</v>
      </c>
      <c r="H628" s="74" t="s">
        <v>662</v>
      </c>
      <c r="I628" s="74" t="s">
        <v>47</v>
      </c>
      <c r="J628" s="74" t="s">
        <v>9351</v>
      </c>
      <c r="K628" s="74" t="s">
        <v>10762</v>
      </c>
      <c r="L628" s="74" t="s">
        <v>331</v>
      </c>
    </row>
    <row r="629" spans="1:12" ht="69">
      <c r="A629" s="73">
        <v>628</v>
      </c>
      <c r="B629" s="74" t="s">
        <v>10763</v>
      </c>
      <c r="C629" s="74" t="s">
        <v>344</v>
      </c>
      <c r="D629" s="74" t="s">
        <v>41</v>
      </c>
      <c r="E629" s="74" t="s">
        <v>9344</v>
      </c>
      <c r="F629" s="74" t="s">
        <v>9345</v>
      </c>
      <c r="G629" s="74" t="s">
        <v>9824</v>
      </c>
      <c r="H629" s="74" t="s">
        <v>46</v>
      </c>
      <c r="I629" s="74" t="s">
        <v>47</v>
      </c>
      <c r="J629" s="74" t="s">
        <v>9351</v>
      </c>
      <c r="K629" s="74"/>
      <c r="L629" s="74"/>
    </row>
    <row r="630" spans="1:12" ht="41.4">
      <c r="A630" s="73">
        <v>629</v>
      </c>
      <c r="B630" s="74" t="s">
        <v>10764</v>
      </c>
      <c r="C630" s="74" t="s">
        <v>10765</v>
      </c>
      <c r="D630" s="74" t="s">
        <v>153</v>
      </c>
      <c r="E630" s="74" t="s">
        <v>9344</v>
      </c>
      <c r="F630" s="74" t="s">
        <v>9345</v>
      </c>
      <c r="G630" s="74" t="s">
        <v>9836</v>
      </c>
      <c r="H630" s="74" t="s">
        <v>155</v>
      </c>
      <c r="I630" s="74" t="s">
        <v>47</v>
      </c>
      <c r="J630" s="74" t="s">
        <v>9347</v>
      </c>
      <c r="K630" s="74"/>
      <c r="L630" s="74"/>
    </row>
    <row r="631" spans="1:12" ht="41.4">
      <c r="A631" s="73">
        <v>630</v>
      </c>
      <c r="B631" s="74" t="s">
        <v>10766</v>
      </c>
      <c r="C631" s="74" t="s">
        <v>10767</v>
      </c>
      <c r="D631" s="74" t="s">
        <v>41</v>
      </c>
      <c r="E631" s="74" t="s">
        <v>9344</v>
      </c>
      <c r="F631" s="74" t="s">
        <v>9345</v>
      </c>
      <c r="G631" s="74" t="s">
        <v>9796</v>
      </c>
      <c r="H631" s="74" t="s">
        <v>200</v>
      </c>
      <c r="I631" s="74" t="s">
        <v>47</v>
      </c>
      <c r="J631" s="74" t="s">
        <v>9347</v>
      </c>
      <c r="K631" s="74" t="s">
        <v>10768</v>
      </c>
      <c r="L631" s="74" t="s">
        <v>1266</v>
      </c>
    </row>
    <row r="632" spans="1:12" ht="55.2">
      <c r="A632" s="73">
        <v>631</v>
      </c>
      <c r="B632" s="74" t="s">
        <v>10769</v>
      </c>
      <c r="C632" s="74" t="s">
        <v>4022</v>
      </c>
      <c r="D632" s="74" t="s">
        <v>89</v>
      </c>
      <c r="E632" s="74" t="s">
        <v>9344</v>
      </c>
      <c r="F632" s="74" t="s">
        <v>9345</v>
      </c>
      <c r="G632" s="74" t="s">
        <v>9723</v>
      </c>
      <c r="H632" s="74" t="s">
        <v>4024</v>
      </c>
      <c r="I632" s="74" t="s">
        <v>47</v>
      </c>
      <c r="J632" s="74" t="s">
        <v>9351</v>
      </c>
      <c r="K632" s="74" t="s">
        <v>10770</v>
      </c>
      <c r="L632" s="74" t="s">
        <v>711</v>
      </c>
    </row>
    <row r="633" spans="1:12" ht="69">
      <c r="A633" s="73">
        <v>632</v>
      </c>
      <c r="B633" s="74" t="s">
        <v>10771</v>
      </c>
      <c r="C633" s="74" t="s">
        <v>10772</v>
      </c>
      <c r="D633" s="74" t="s">
        <v>89</v>
      </c>
      <c r="E633" s="74" t="s">
        <v>9344</v>
      </c>
      <c r="F633" s="74" t="s">
        <v>9345</v>
      </c>
      <c r="G633" s="74" t="s">
        <v>9682</v>
      </c>
      <c r="H633" s="74" t="s">
        <v>91</v>
      </c>
      <c r="I633" s="74" t="s">
        <v>47</v>
      </c>
      <c r="J633" s="74" t="s">
        <v>9351</v>
      </c>
      <c r="K633" s="74" t="s">
        <v>10773</v>
      </c>
      <c r="L633" s="74" t="s">
        <v>711</v>
      </c>
    </row>
    <row r="634" spans="1:12" ht="69">
      <c r="A634" s="73">
        <v>633</v>
      </c>
      <c r="B634" s="74" t="s">
        <v>10774</v>
      </c>
      <c r="C634" s="74" t="s">
        <v>10775</v>
      </c>
      <c r="D634" s="74" t="s">
        <v>41</v>
      </c>
      <c r="E634" s="74" t="s">
        <v>9344</v>
      </c>
      <c r="F634" s="74" t="s">
        <v>9345</v>
      </c>
      <c r="G634" s="74" t="s">
        <v>9824</v>
      </c>
      <c r="H634" s="74" t="s">
        <v>46</v>
      </c>
      <c r="I634" s="74" t="s">
        <v>47</v>
      </c>
      <c r="J634" s="74" t="s">
        <v>9351</v>
      </c>
      <c r="K634" s="74" t="s">
        <v>10776</v>
      </c>
      <c r="L634" s="74" t="s">
        <v>331</v>
      </c>
    </row>
    <row r="635" spans="1:12" ht="41.4">
      <c r="A635" s="73">
        <v>634</v>
      </c>
      <c r="B635" s="74" t="s">
        <v>10777</v>
      </c>
      <c r="C635" s="74" t="s">
        <v>3465</v>
      </c>
      <c r="D635" s="74" t="s">
        <v>89</v>
      </c>
      <c r="E635" s="74" t="s">
        <v>9344</v>
      </c>
      <c r="F635" s="74" t="s">
        <v>9345</v>
      </c>
      <c r="G635" s="74" t="s">
        <v>9556</v>
      </c>
      <c r="H635" s="74" t="s">
        <v>102</v>
      </c>
      <c r="I635" s="74" t="s">
        <v>47</v>
      </c>
      <c r="J635" s="74" t="s">
        <v>9351</v>
      </c>
      <c r="K635" s="74" t="s">
        <v>10778</v>
      </c>
      <c r="L635" s="74" t="s">
        <v>711</v>
      </c>
    </row>
    <row r="636" spans="1:12" ht="69">
      <c r="A636" s="73">
        <v>635</v>
      </c>
      <c r="B636" s="74" t="s">
        <v>10779</v>
      </c>
      <c r="C636" s="74" t="s">
        <v>10780</v>
      </c>
      <c r="D636" s="74" t="s">
        <v>41</v>
      </c>
      <c r="E636" s="74" t="s">
        <v>9344</v>
      </c>
      <c r="F636" s="74" t="s">
        <v>9345</v>
      </c>
      <c r="G636" s="74" t="s">
        <v>9793</v>
      </c>
      <c r="H636" s="74" t="s">
        <v>46</v>
      </c>
      <c r="I636" s="74" t="s">
        <v>416</v>
      </c>
      <c r="J636" s="74" t="s">
        <v>9347</v>
      </c>
      <c r="K636" s="74" t="s">
        <v>10781</v>
      </c>
      <c r="L636" s="74" t="s">
        <v>331</v>
      </c>
    </row>
    <row r="637" spans="1:12" ht="41.4">
      <c r="A637" s="73">
        <v>636</v>
      </c>
      <c r="B637" s="74" t="s">
        <v>10782</v>
      </c>
      <c r="C637" s="74" t="s">
        <v>10783</v>
      </c>
      <c r="D637" s="74" t="s">
        <v>295</v>
      </c>
      <c r="E637" s="74" t="s">
        <v>9344</v>
      </c>
      <c r="F637" s="74" t="s">
        <v>9345</v>
      </c>
      <c r="G637" s="74" t="s">
        <v>9579</v>
      </c>
      <c r="H637" s="74" t="s">
        <v>407</v>
      </c>
      <c r="I637" s="74" t="s">
        <v>47</v>
      </c>
      <c r="J637" s="74" t="s">
        <v>9347</v>
      </c>
      <c r="K637" s="74" t="s">
        <v>10784</v>
      </c>
      <c r="L637" s="74" t="s">
        <v>318</v>
      </c>
    </row>
    <row r="638" spans="1:12" ht="55.2">
      <c r="A638" s="73">
        <v>637</v>
      </c>
      <c r="B638" s="74" t="s">
        <v>10785</v>
      </c>
      <c r="C638" s="74" t="s">
        <v>2554</v>
      </c>
      <c r="D638" s="74" t="s">
        <v>89</v>
      </c>
      <c r="E638" s="74" t="s">
        <v>9344</v>
      </c>
      <c r="F638" s="74" t="s">
        <v>9345</v>
      </c>
      <c r="G638" s="74" t="s">
        <v>9556</v>
      </c>
      <c r="H638" s="74" t="s">
        <v>102</v>
      </c>
      <c r="I638" s="74" t="s">
        <v>47</v>
      </c>
      <c r="J638" s="74" t="s">
        <v>9811</v>
      </c>
      <c r="K638" s="74" t="s">
        <v>10786</v>
      </c>
      <c r="L638" s="74" t="s">
        <v>711</v>
      </c>
    </row>
    <row r="639" spans="1:12" ht="69">
      <c r="A639" s="73">
        <v>638</v>
      </c>
      <c r="B639" s="74" t="s">
        <v>10787</v>
      </c>
      <c r="C639" s="74" t="s">
        <v>5403</v>
      </c>
      <c r="D639" s="74" t="s">
        <v>89</v>
      </c>
      <c r="E639" s="74" t="s">
        <v>9344</v>
      </c>
      <c r="F639" s="74" t="s">
        <v>9345</v>
      </c>
      <c r="G639" s="74" t="s">
        <v>9528</v>
      </c>
      <c r="H639" s="74" t="s">
        <v>91</v>
      </c>
      <c r="I639" s="74" t="s">
        <v>47</v>
      </c>
      <c r="J639" s="74" t="s">
        <v>9351</v>
      </c>
      <c r="K639" s="74" t="s">
        <v>10788</v>
      </c>
      <c r="L639" s="74" t="s">
        <v>711</v>
      </c>
    </row>
    <row r="640" spans="1:12" ht="41.4">
      <c r="A640" s="73">
        <v>639</v>
      </c>
      <c r="B640" s="74" t="s">
        <v>10789</v>
      </c>
      <c r="C640" s="74" t="s">
        <v>10790</v>
      </c>
      <c r="D640" s="74" t="s">
        <v>41</v>
      </c>
      <c r="E640" s="74" t="s">
        <v>9344</v>
      </c>
      <c r="F640" s="74" t="s">
        <v>9345</v>
      </c>
      <c r="G640" s="74" t="s">
        <v>9500</v>
      </c>
      <c r="H640" s="74" t="s">
        <v>200</v>
      </c>
      <c r="I640" s="74" t="s">
        <v>47</v>
      </c>
      <c r="J640" s="74" t="s">
        <v>9351</v>
      </c>
      <c r="K640" s="74"/>
      <c r="L640" s="74"/>
    </row>
    <row r="641" spans="1:12" ht="55.2">
      <c r="A641" s="73">
        <v>640</v>
      </c>
      <c r="B641" s="74" t="s">
        <v>10791</v>
      </c>
      <c r="C641" s="74" t="s">
        <v>10792</v>
      </c>
      <c r="D641" s="74" t="s">
        <v>41</v>
      </c>
      <c r="E641" s="74" t="s">
        <v>9344</v>
      </c>
      <c r="F641" s="74" t="s">
        <v>9345</v>
      </c>
      <c r="G641" s="74" t="s">
        <v>9761</v>
      </c>
      <c r="H641" s="74" t="s">
        <v>479</v>
      </c>
      <c r="I641" s="74" t="s">
        <v>47</v>
      </c>
      <c r="J641" s="74" t="s">
        <v>9347</v>
      </c>
      <c r="K641" s="74"/>
      <c r="L641" s="74"/>
    </row>
    <row r="642" spans="1:12" ht="55.2">
      <c r="A642" s="73">
        <v>641</v>
      </c>
      <c r="B642" s="74" t="s">
        <v>10793</v>
      </c>
      <c r="C642" s="74" t="s">
        <v>10794</v>
      </c>
      <c r="D642" s="74" t="s">
        <v>143</v>
      </c>
      <c r="E642" s="74" t="s">
        <v>9344</v>
      </c>
      <c r="F642" s="74" t="s">
        <v>9345</v>
      </c>
      <c r="G642" s="74" t="s">
        <v>10267</v>
      </c>
      <c r="H642" s="74" t="s">
        <v>400</v>
      </c>
      <c r="I642" s="74" t="s">
        <v>47</v>
      </c>
      <c r="J642" s="74" t="s">
        <v>9351</v>
      </c>
      <c r="K642" s="74" t="s">
        <v>10795</v>
      </c>
      <c r="L642" s="74" t="s">
        <v>251</v>
      </c>
    </row>
    <row r="643" spans="1:12" ht="41.4">
      <c r="A643" s="73">
        <v>642</v>
      </c>
      <c r="B643" s="74" t="s">
        <v>10796</v>
      </c>
      <c r="C643" s="74" t="s">
        <v>10797</v>
      </c>
      <c r="D643" s="74" t="s">
        <v>153</v>
      </c>
      <c r="E643" s="74" t="s">
        <v>9344</v>
      </c>
      <c r="F643" s="74" t="s">
        <v>9345</v>
      </c>
      <c r="G643" s="74" t="s">
        <v>9836</v>
      </c>
      <c r="H643" s="74" t="s">
        <v>155</v>
      </c>
      <c r="I643" s="74" t="s">
        <v>47</v>
      </c>
      <c r="J643" s="74" t="s">
        <v>9347</v>
      </c>
      <c r="K643" s="74"/>
      <c r="L643" s="74"/>
    </row>
    <row r="644" spans="1:12" ht="41.4">
      <c r="A644" s="73">
        <v>643</v>
      </c>
      <c r="B644" s="74" t="s">
        <v>10798</v>
      </c>
      <c r="C644" s="74" t="s">
        <v>10799</v>
      </c>
      <c r="D644" s="74" t="s">
        <v>295</v>
      </c>
      <c r="E644" s="74" t="s">
        <v>9344</v>
      </c>
      <c r="F644" s="74" t="s">
        <v>9345</v>
      </c>
      <c r="G644" s="74" t="s">
        <v>9346</v>
      </c>
      <c r="H644" s="74" t="s">
        <v>297</v>
      </c>
      <c r="I644" s="74" t="s">
        <v>47</v>
      </c>
      <c r="J644" s="74" t="s">
        <v>9347</v>
      </c>
      <c r="K644" s="74" t="s">
        <v>10800</v>
      </c>
      <c r="L644" s="74" t="s">
        <v>318</v>
      </c>
    </row>
    <row r="645" spans="1:12" ht="55.2">
      <c r="A645" s="73">
        <v>644</v>
      </c>
      <c r="B645" s="74" t="s">
        <v>10801</v>
      </c>
      <c r="C645" s="74" t="s">
        <v>10802</v>
      </c>
      <c r="D645" s="74" t="s">
        <v>143</v>
      </c>
      <c r="E645" s="74" t="s">
        <v>9344</v>
      </c>
      <c r="F645" s="74" t="s">
        <v>9345</v>
      </c>
      <c r="G645" s="74" t="s">
        <v>9534</v>
      </c>
      <c r="H645" s="74" t="s">
        <v>145</v>
      </c>
      <c r="I645" s="74" t="s">
        <v>47</v>
      </c>
      <c r="J645" s="74" t="s">
        <v>9351</v>
      </c>
      <c r="K645" s="74" t="s">
        <v>10803</v>
      </c>
      <c r="L645" s="74" t="s">
        <v>251</v>
      </c>
    </row>
    <row r="646" spans="1:12" ht="69">
      <c r="A646" s="73">
        <v>645</v>
      </c>
      <c r="B646" s="74" t="s">
        <v>10804</v>
      </c>
      <c r="C646" s="74" t="s">
        <v>10805</v>
      </c>
      <c r="D646" s="74" t="s">
        <v>41</v>
      </c>
      <c r="E646" s="74" t="s">
        <v>9344</v>
      </c>
      <c r="F646" s="74" t="s">
        <v>9345</v>
      </c>
      <c r="G646" s="74" t="s">
        <v>9793</v>
      </c>
      <c r="H646" s="74" t="s">
        <v>46</v>
      </c>
      <c r="I646" s="74" t="s">
        <v>47</v>
      </c>
      <c r="J646" s="74" t="s">
        <v>9347</v>
      </c>
      <c r="K646" s="74"/>
      <c r="L646" s="74"/>
    </row>
    <row r="647" spans="1:12" ht="41.4">
      <c r="A647" s="73">
        <v>646</v>
      </c>
      <c r="B647" s="74" t="s">
        <v>10806</v>
      </c>
      <c r="C647" s="74" t="s">
        <v>5640</v>
      </c>
      <c r="D647" s="74" t="s">
        <v>89</v>
      </c>
      <c r="E647" s="74" t="s">
        <v>9344</v>
      </c>
      <c r="F647" s="74" t="s">
        <v>9345</v>
      </c>
      <c r="G647" s="74" t="s">
        <v>9556</v>
      </c>
      <c r="H647" s="74" t="s">
        <v>102</v>
      </c>
      <c r="I647" s="74" t="s">
        <v>47</v>
      </c>
      <c r="J647" s="74" t="s">
        <v>9351</v>
      </c>
      <c r="K647" s="74" t="s">
        <v>10807</v>
      </c>
      <c r="L647" s="74" t="s">
        <v>711</v>
      </c>
    </row>
    <row r="648" spans="1:12" ht="55.2">
      <c r="A648" s="73">
        <v>647</v>
      </c>
      <c r="B648" s="74" t="s">
        <v>10808</v>
      </c>
      <c r="C648" s="74" t="s">
        <v>4249</v>
      </c>
      <c r="D648" s="74" t="s">
        <v>143</v>
      </c>
      <c r="E648" s="74" t="s">
        <v>9344</v>
      </c>
      <c r="F648" s="74" t="s">
        <v>9345</v>
      </c>
      <c r="G648" s="74" t="s">
        <v>9514</v>
      </c>
      <c r="H648" s="74" t="s">
        <v>327</v>
      </c>
      <c r="I648" s="74" t="s">
        <v>47</v>
      </c>
      <c r="J648" s="74" t="s">
        <v>9351</v>
      </c>
      <c r="K648" s="74" t="s">
        <v>10809</v>
      </c>
      <c r="L648" s="74" t="s">
        <v>370</v>
      </c>
    </row>
    <row r="649" spans="1:12" ht="55.2">
      <c r="A649" s="73">
        <v>648</v>
      </c>
      <c r="B649" s="74" t="s">
        <v>10810</v>
      </c>
      <c r="C649" s="74" t="s">
        <v>2151</v>
      </c>
      <c r="D649" s="74" t="s">
        <v>41</v>
      </c>
      <c r="E649" s="74" t="s">
        <v>9344</v>
      </c>
      <c r="F649" s="74" t="s">
        <v>9345</v>
      </c>
      <c r="G649" s="74" t="s">
        <v>9776</v>
      </c>
      <c r="H649" s="74" t="s">
        <v>200</v>
      </c>
      <c r="I649" s="74" t="s">
        <v>47</v>
      </c>
      <c r="J649" s="74" t="s">
        <v>9347</v>
      </c>
      <c r="K649" s="74"/>
      <c r="L649" s="74"/>
    </row>
    <row r="650" spans="1:12" ht="55.2">
      <c r="A650" s="73">
        <v>649</v>
      </c>
      <c r="B650" s="74" t="s">
        <v>10811</v>
      </c>
      <c r="C650" s="74" t="s">
        <v>10812</v>
      </c>
      <c r="D650" s="74" t="s">
        <v>41</v>
      </c>
      <c r="E650" s="74" t="s">
        <v>9344</v>
      </c>
      <c r="F650" s="74" t="s">
        <v>9345</v>
      </c>
      <c r="G650" s="74" t="s">
        <v>10813</v>
      </c>
      <c r="H650" s="74" t="s">
        <v>479</v>
      </c>
      <c r="I650" s="74" t="s">
        <v>47</v>
      </c>
      <c r="J650" s="74" t="s">
        <v>9351</v>
      </c>
      <c r="K650" s="74" t="s">
        <v>10814</v>
      </c>
      <c r="L650" s="74" t="s">
        <v>370</v>
      </c>
    </row>
    <row r="651" spans="1:12" ht="69">
      <c r="A651" s="73">
        <v>650</v>
      </c>
      <c r="B651" s="74" t="s">
        <v>10815</v>
      </c>
      <c r="C651" s="74" t="s">
        <v>10816</v>
      </c>
      <c r="D651" s="74" t="s">
        <v>295</v>
      </c>
      <c r="E651" s="74" t="s">
        <v>9344</v>
      </c>
      <c r="F651" s="74" t="s">
        <v>9345</v>
      </c>
      <c r="G651" s="74" t="s">
        <v>9537</v>
      </c>
      <c r="H651" s="74" t="s">
        <v>9538</v>
      </c>
      <c r="I651" s="74" t="s">
        <v>47</v>
      </c>
      <c r="J651" s="74" t="s">
        <v>9347</v>
      </c>
      <c r="K651" s="74" t="s">
        <v>10817</v>
      </c>
      <c r="L651" s="74" t="s">
        <v>318</v>
      </c>
    </row>
    <row r="652" spans="1:12" ht="55.2">
      <c r="A652" s="73">
        <v>651</v>
      </c>
      <c r="B652" s="74" t="s">
        <v>10818</v>
      </c>
      <c r="C652" s="74" t="s">
        <v>10819</v>
      </c>
      <c r="D652" s="74" t="s">
        <v>295</v>
      </c>
      <c r="E652" s="74" t="s">
        <v>9344</v>
      </c>
      <c r="F652" s="74" t="s">
        <v>9345</v>
      </c>
      <c r="G652" s="74" t="s">
        <v>9584</v>
      </c>
      <c r="H652" s="74" t="s">
        <v>297</v>
      </c>
      <c r="I652" s="74" t="s">
        <v>47</v>
      </c>
      <c r="J652" s="74" t="s">
        <v>9347</v>
      </c>
      <c r="K652" s="74"/>
      <c r="L652" s="74"/>
    </row>
    <row r="653" spans="1:12" ht="41.4">
      <c r="A653" s="73">
        <v>652</v>
      </c>
      <c r="B653" s="74" t="s">
        <v>10820</v>
      </c>
      <c r="C653" s="74" t="s">
        <v>10821</v>
      </c>
      <c r="D653" s="74" t="s">
        <v>41</v>
      </c>
      <c r="E653" s="74" t="s">
        <v>9344</v>
      </c>
      <c r="F653" s="74" t="s">
        <v>9345</v>
      </c>
      <c r="G653" s="74" t="s">
        <v>9500</v>
      </c>
      <c r="H653" s="74" t="s">
        <v>200</v>
      </c>
      <c r="I653" s="74" t="s">
        <v>47</v>
      </c>
      <c r="J653" s="74" t="s">
        <v>9347</v>
      </c>
      <c r="K653" s="74"/>
      <c r="L653" s="74"/>
    </row>
    <row r="654" spans="1:12" ht="55.2">
      <c r="A654" s="73">
        <v>653</v>
      </c>
      <c r="B654" s="74" t="s">
        <v>10822</v>
      </c>
      <c r="C654" s="74" t="s">
        <v>3945</v>
      </c>
      <c r="D654" s="74" t="s">
        <v>295</v>
      </c>
      <c r="E654" s="74" t="s">
        <v>9344</v>
      </c>
      <c r="F654" s="74" t="s">
        <v>9345</v>
      </c>
      <c r="G654" s="74" t="s">
        <v>9489</v>
      </c>
      <c r="H654" s="74" t="s">
        <v>407</v>
      </c>
      <c r="I654" s="74" t="s">
        <v>47</v>
      </c>
      <c r="J654" s="74" t="s">
        <v>9347</v>
      </c>
      <c r="K654" s="74"/>
      <c r="L654" s="74"/>
    </row>
    <row r="655" spans="1:12" ht="55.2">
      <c r="A655" s="73">
        <v>654</v>
      </c>
      <c r="B655" s="74" t="s">
        <v>10823</v>
      </c>
      <c r="C655" s="74" t="s">
        <v>10824</v>
      </c>
      <c r="D655" s="74" t="s">
        <v>41</v>
      </c>
      <c r="E655" s="74" t="s">
        <v>9344</v>
      </c>
      <c r="F655" s="74" t="s">
        <v>9345</v>
      </c>
      <c r="G655" s="74" t="s">
        <v>9372</v>
      </c>
      <c r="H655" s="74" t="s">
        <v>479</v>
      </c>
      <c r="I655" s="74" t="s">
        <v>47</v>
      </c>
      <c r="J655" s="74" t="s">
        <v>9347</v>
      </c>
      <c r="K655" s="74"/>
      <c r="L655" s="74"/>
    </row>
    <row r="656" spans="1:12" ht="41.4">
      <c r="A656" s="73">
        <v>655</v>
      </c>
      <c r="B656" s="74" t="s">
        <v>10825</v>
      </c>
      <c r="C656" s="74" t="s">
        <v>3772</v>
      </c>
      <c r="D656" s="74" t="s">
        <v>89</v>
      </c>
      <c r="E656" s="74" t="s">
        <v>9344</v>
      </c>
      <c r="F656" s="74" t="s">
        <v>9345</v>
      </c>
      <c r="G656" s="74" t="s">
        <v>9556</v>
      </c>
      <c r="H656" s="74" t="s">
        <v>102</v>
      </c>
      <c r="I656" s="74" t="s">
        <v>47</v>
      </c>
      <c r="J656" s="74" t="s">
        <v>9347</v>
      </c>
      <c r="K656" s="74" t="s">
        <v>10826</v>
      </c>
      <c r="L656" s="74" t="s">
        <v>711</v>
      </c>
    </row>
    <row r="657" spans="1:12" ht="69">
      <c r="A657" s="73">
        <v>656</v>
      </c>
      <c r="B657" s="74" t="s">
        <v>10827</v>
      </c>
      <c r="C657" s="74" t="s">
        <v>10828</v>
      </c>
      <c r="D657" s="74" t="s">
        <v>295</v>
      </c>
      <c r="E657" s="74" t="s">
        <v>9344</v>
      </c>
      <c r="F657" s="74" t="s">
        <v>9345</v>
      </c>
      <c r="G657" s="74" t="s">
        <v>9537</v>
      </c>
      <c r="H657" s="74" t="s">
        <v>9538</v>
      </c>
      <c r="I657" s="74" t="s">
        <v>47</v>
      </c>
      <c r="J657" s="74" t="s">
        <v>9347</v>
      </c>
      <c r="K657" s="74" t="s">
        <v>10829</v>
      </c>
      <c r="L657" s="74" t="s">
        <v>318</v>
      </c>
    </row>
    <row r="658" spans="1:12" ht="41.4">
      <c r="A658" s="73">
        <v>657</v>
      </c>
      <c r="B658" s="74" t="s">
        <v>10830</v>
      </c>
      <c r="C658" s="74" t="s">
        <v>10831</v>
      </c>
      <c r="D658" s="74" t="s">
        <v>153</v>
      </c>
      <c r="E658" s="74" t="s">
        <v>9344</v>
      </c>
      <c r="F658" s="74" t="s">
        <v>9345</v>
      </c>
      <c r="G658" s="74" t="s">
        <v>9437</v>
      </c>
      <c r="H658" s="74" t="s">
        <v>155</v>
      </c>
      <c r="I658" s="74" t="s">
        <v>47</v>
      </c>
      <c r="J658" s="74" t="s">
        <v>9351</v>
      </c>
      <c r="K658" s="74" t="s">
        <v>10832</v>
      </c>
      <c r="L658" s="74" t="s">
        <v>331</v>
      </c>
    </row>
    <row r="659" spans="1:12" ht="55.2">
      <c r="A659" s="73">
        <v>658</v>
      </c>
      <c r="B659" s="74" t="s">
        <v>10833</v>
      </c>
      <c r="C659" s="74" t="s">
        <v>3500</v>
      </c>
      <c r="D659" s="74" t="s">
        <v>143</v>
      </c>
      <c r="E659" s="74" t="s">
        <v>9344</v>
      </c>
      <c r="F659" s="74" t="s">
        <v>9345</v>
      </c>
      <c r="G659" s="74" t="s">
        <v>10267</v>
      </c>
      <c r="H659" s="74" t="s">
        <v>400</v>
      </c>
      <c r="I659" s="74" t="s">
        <v>47</v>
      </c>
      <c r="J659" s="74" t="s">
        <v>9351</v>
      </c>
      <c r="K659" s="74" t="s">
        <v>10834</v>
      </c>
      <c r="L659" s="74" t="s">
        <v>251</v>
      </c>
    </row>
    <row r="660" spans="1:12" ht="55.2">
      <c r="A660" s="73">
        <v>659</v>
      </c>
      <c r="B660" s="74" t="s">
        <v>10835</v>
      </c>
      <c r="C660" s="74" t="s">
        <v>10836</v>
      </c>
      <c r="D660" s="74" t="s">
        <v>41</v>
      </c>
      <c r="E660" s="74" t="s">
        <v>9344</v>
      </c>
      <c r="F660" s="74" t="s">
        <v>9345</v>
      </c>
      <c r="G660" s="74" t="s">
        <v>9410</v>
      </c>
      <c r="H660" s="74" t="s">
        <v>130</v>
      </c>
      <c r="I660" s="74" t="s">
        <v>47</v>
      </c>
      <c r="J660" s="74" t="s">
        <v>9347</v>
      </c>
      <c r="K660" s="74" t="s">
        <v>10837</v>
      </c>
      <c r="L660" s="74" t="s">
        <v>318</v>
      </c>
    </row>
    <row r="661" spans="1:12" ht="69">
      <c r="A661" s="73">
        <v>660</v>
      </c>
      <c r="B661" s="74" t="s">
        <v>10838</v>
      </c>
      <c r="C661" s="74" t="s">
        <v>10839</v>
      </c>
      <c r="D661" s="74" t="s">
        <v>41</v>
      </c>
      <c r="E661" s="74" t="s">
        <v>9344</v>
      </c>
      <c r="F661" s="74" t="s">
        <v>9345</v>
      </c>
      <c r="G661" s="74" t="s">
        <v>9385</v>
      </c>
      <c r="H661" s="74" t="s">
        <v>46</v>
      </c>
      <c r="I661" s="74" t="s">
        <v>47</v>
      </c>
      <c r="J661" s="74" t="s">
        <v>9351</v>
      </c>
      <c r="K661" s="74"/>
      <c r="L661" s="74"/>
    </row>
    <row r="662" spans="1:12" ht="41.4">
      <c r="A662" s="73">
        <v>661</v>
      </c>
      <c r="B662" s="74" t="s">
        <v>10840</v>
      </c>
      <c r="C662" s="74" t="s">
        <v>10841</v>
      </c>
      <c r="D662" s="74" t="s">
        <v>153</v>
      </c>
      <c r="E662" s="74" t="s">
        <v>9344</v>
      </c>
      <c r="F662" s="74" t="s">
        <v>9345</v>
      </c>
      <c r="G662" s="74" t="s">
        <v>9468</v>
      </c>
      <c r="H662" s="74" t="s">
        <v>155</v>
      </c>
      <c r="I662" s="74" t="s">
        <v>47</v>
      </c>
      <c r="J662" s="74" t="s">
        <v>9347</v>
      </c>
      <c r="K662" s="74" t="s">
        <v>10842</v>
      </c>
      <c r="L662" s="74" t="s">
        <v>3207</v>
      </c>
    </row>
    <row r="663" spans="1:12" ht="41.4">
      <c r="A663" s="73">
        <v>662</v>
      </c>
      <c r="B663" s="74" t="s">
        <v>10843</v>
      </c>
      <c r="C663" s="74" t="s">
        <v>10844</v>
      </c>
      <c r="D663" s="74" t="s">
        <v>41</v>
      </c>
      <c r="E663" s="74" t="s">
        <v>9344</v>
      </c>
      <c r="F663" s="74" t="s">
        <v>9345</v>
      </c>
      <c r="G663" s="74" t="s">
        <v>9410</v>
      </c>
      <c r="H663" s="74" t="s">
        <v>130</v>
      </c>
      <c r="I663" s="74" t="s">
        <v>47</v>
      </c>
      <c r="J663" s="74" t="s">
        <v>9347</v>
      </c>
      <c r="K663" s="74" t="s">
        <v>10845</v>
      </c>
      <c r="L663" s="74" t="s">
        <v>318</v>
      </c>
    </row>
    <row r="664" spans="1:12" ht="41.4">
      <c r="A664" s="73">
        <v>663</v>
      </c>
      <c r="B664" s="74" t="s">
        <v>10846</v>
      </c>
      <c r="C664" s="74" t="s">
        <v>10847</v>
      </c>
      <c r="D664" s="74" t="s">
        <v>153</v>
      </c>
      <c r="E664" s="74" t="s">
        <v>9344</v>
      </c>
      <c r="F664" s="74" t="s">
        <v>9345</v>
      </c>
      <c r="G664" s="74" t="s">
        <v>10033</v>
      </c>
      <c r="H664" s="74" t="s">
        <v>155</v>
      </c>
      <c r="I664" s="74" t="s">
        <v>47</v>
      </c>
      <c r="J664" s="74" t="s">
        <v>9347</v>
      </c>
      <c r="K664" s="74"/>
      <c r="L664" s="74"/>
    </row>
    <row r="665" spans="1:12" ht="55.2">
      <c r="A665" s="73">
        <v>664</v>
      </c>
      <c r="B665" s="74" t="s">
        <v>10848</v>
      </c>
      <c r="C665" s="74" t="s">
        <v>10849</v>
      </c>
      <c r="D665" s="74" t="s">
        <v>295</v>
      </c>
      <c r="E665" s="74" t="s">
        <v>9344</v>
      </c>
      <c r="F665" s="74" t="s">
        <v>9345</v>
      </c>
      <c r="G665" s="74" t="s">
        <v>9584</v>
      </c>
      <c r="H665" s="74" t="s">
        <v>297</v>
      </c>
      <c r="I665" s="74" t="s">
        <v>47</v>
      </c>
      <c r="J665" s="74" t="s">
        <v>9347</v>
      </c>
      <c r="K665" s="74" t="s">
        <v>10850</v>
      </c>
      <c r="L665" s="74" t="s">
        <v>318</v>
      </c>
    </row>
    <row r="666" spans="1:12" ht="69">
      <c r="A666" s="73">
        <v>665</v>
      </c>
      <c r="B666" s="74" t="s">
        <v>10851</v>
      </c>
      <c r="C666" s="74" t="s">
        <v>10852</v>
      </c>
      <c r="D666" s="74" t="s">
        <v>41</v>
      </c>
      <c r="E666" s="74" t="s">
        <v>9344</v>
      </c>
      <c r="F666" s="74" t="s">
        <v>9345</v>
      </c>
      <c r="G666" s="74" t="s">
        <v>9413</v>
      </c>
      <c r="H666" s="74" t="s">
        <v>46</v>
      </c>
      <c r="I666" s="74" t="s">
        <v>47</v>
      </c>
      <c r="J666" s="74" t="s">
        <v>9347</v>
      </c>
      <c r="K666" s="74"/>
      <c r="L666" s="74"/>
    </row>
    <row r="667" spans="1:12" ht="41.4">
      <c r="A667" s="73">
        <v>666</v>
      </c>
      <c r="B667" s="74" t="s">
        <v>10853</v>
      </c>
      <c r="C667" s="74" t="s">
        <v>4236</v>
      </c>
      <c r="D667" s="74" t="s">
        <v>89</v>
      </c>
      <c r="E667" s="74" t="s">
        <v>9344</v>
      </c>
      <c r="F667" s="74" t="s">
        <v>9345</v>
      </c>
      <c r="G667" s="74" t="s">
        <v>9556</v>
      </c>
      <c r="H667" s="74" t="s">
        <v>102</v>
      </c>
      <c r="I667" s="74" t="s">
        <v>47</v>
      </c>
      <c r="J667" s="74" t="s">
        <v>9351</v>
      </c>
      <c r="K667" s="74" t="s">
        <v>10854</v>
      </c>
      <c r="L667" s="74" t="s">
        <v>711</v>
      </c>
    </row>
    <row r="668" spans="1:12" ht="55.2">
      <c r="A668" s="73">
        <v>667</v>
      </c>
      <c r="B668" s="74" t="s">
        <v>10855</v>
      </c>
      <c r="C668" s="74" t="s">
        <v>5257</v>
      </c>
      <c r="D668" s="74" t="s">
        <v>41</v>
      </c>
      <c r="E668" s="74" t="s">
        <v>9344</v>
      </c>
      <c r="F668" s="74" t="s">
        <v>9345</v>
      </c>
      <c r="G668" s="74" t="s">
        <v>9451</v>
      </c>
      <c r="H668" s="74" t="s">
        <v>130</v>
      </c>
      <c r="I668" s="74" t="s">
        <v>47</v>
      </c>
      <c r="J668" s="74" t="s">
        <v>9347</v>
      </c>
      <c r="K668" s="74"/>
      <c r="L668" s="74"/>
    </row>
    <row r="669" spans="1:12" ht="41.4">
      <c r="A669" s="73">
        <v>668</v>
      </c>
      <c r="B669" s="74" t="s">
        <v>10856</v>
      </c>
      <c r="C669" s="74" t="s">
        <v>8342</v>
      </c>
      <c r="D669" s="74" t="s">
        <v>41</v>
      </c>
      <c r="E669" s="74" t="s">
        <v>9344</v>
      </c>
      <c r="F669" s="74" t="s">
        <v>9345</v>
      </c>
      <c r="G669" s="74" t="s">
        <v>9648</v>
      </c>
      <c r="H669" s="74" t="s">
        <v>200</v>
      </c>
      <c r="I669" s="74" t="s">
        <v>47</v>
      </c>
      <c r="J669" s="74" t="s">
        <v>9347</v>
      </c>
      <c r="K669" s="74"/>
      <c r="L669" s="74"/>
    </row>
    <row r="670" spans="1:12" ht="41.4">
      <c r="A670" s="73">
        <v>669</v>
      </c>
      <c r="B670" s="74" t="s">
        <v>10857</v>
      </c>
      <c r="C670" s="74" t="s">
        <v>10858</v>
      </c>
      <c r="D670" s="74" t="s">
        <v>295</v>
      </c>
      <c r="E670" s="74" t="s">
        <v>9344</v>
      </c>
      <c r="F670" s="74" t="s">
        <v>9345</v>
      </c>
      <c r="G670" s="74" t="s">
        <v>9489</v>
      </c>
      <c r="H670" s="74" t="s">
        <v>407</v>
      </c>
      <c r="I670" s="74" t="s">
        <v>47</v>
      </c>
      <c r="J670" s="74" t="s">
        <v>9347</v>
      </c>
      <c r="K670" s="74"/>
      <c r="L670" s="74"/>
    </row>
    <row r="671" spans="1:12" ht="41.4">
      <c r="A671" s="73">
        <v>670</v>
      </c>
      <c r="B671" s="74" t="s">
        <v>10859</v>
      </c>
      <c r="C671" s="74" t="s">
        <v>750</v>
      </c>
      <c r="D671" s="74" t="s">
        <v>153</v>
      </c>
      <c r="E671" s="74" t="s">
        <v>9344</v>
      </c>
      <c r="F671" s="74" t="s">
        <v>9345</v>
      </c>
      <c r="G671" s="74" t="s">
        <v>10033</v>
      </c>
      <c r="H671" s="74" t="s">
        <v>155</v>
      </c>
      <c r="I671" s="74" t="s">
        <v>47</v>
      </c>
      <c r="J671" s="74" t="s">
        <v>9347</v>
      </c>
      <c r="K671" s="74"/>
      <c r="L671" s="74"/>
    </row>
    <row r="672" spans="1:12" ht="69">
      <c r="A672" s="73">
        <v>671</v>
      </c>
      <c r="B672" s="74" t="s">
        <v>10860</v>
      </c>
      <c r="C672" s="74" t="s">
        <v>1472</v>
      </c>
      <c r="D672" s="74" t="s">
        <v>89</v>
      </c>
      <c r="E672" s="74" t="s">
        <v>9344</v>
      </c>
      <c r="F672" s="74" t="s">
        <v>9345</v>
      </c>
      <c r="G672" s="74" t="s">
        <v>9528</v>
      </c>
      <c r="H672" s="74" t="s">
        <v>91</v>
      </c>
      <c r="I672" s="74" t="s">
        <v>47</v>
      </c>
      <c r="J672" s="74" t="s">
        <v>9351</v>
      </c>
      <c r="K672" s="74" t="s">
        <v>10861</v>
      </c>
      <c r="L672" s="74" t="s">
        <v>711</v>
      </c>
    </row>
    <row r="673" spans="1:12" ht="41.4">
      <c r="A673" s="73">
        <v>672</v>
      </c>
      <c r="B673" s="74" t="s">
        <v>10862</v>
      </c>
      <c r="C673" s="74" t="s">
        <v>10863</v>
      </c>
      <c r="D673" s="74" t="s">
        <v>295</v>
      </c>
      <c r="E673" s="74" t="s">
        <v>9344</v>
      </c>
      <c r="F673" s="74" t="s">
        <v>9345</v>
      </c>
      <c r="G673" s="74" t="s">
        <v>9584</v>
      </c>
      <c r="H673" s="74" t="s">
        <v>297</v>
      </c>
      <c r="I673" s="74" t="s">
        <v>47</v>
      </c>
      <c r="J673" s="74" t="s">
        <v>9347</v>
      </c>
      <c r="K673" s="74" t="s">
        <v>10864</v>
      </c>
      <c r="L673" s="74" t="s">
        <v>318</v>
      </c>
    </row>
    <row r="674" spans="1:12" ht="41.4">
      <c r="A674" s="73">
        <v>673</v>
      </c>
      <c r="B674" s="74" t="s">
        <v>10865</v>
      </c>
      <c r="C674" s="74" t="s">
        <v>3527</v>
      </c>
      <c r="D674" s="74" t="s">
        <v>295</v>
      </c>
      <c r="E674" s="74" t="s">
        <v>9344</v>
      </c>
      <c r="F674" s="74" t="s">
        <v>9345</v>
      </c>
      <c r="G674" s="74" t="s">
        <v>9584</v>
      </c>
      <c r="H674" s="74" t="s">
        <v>297</v>
      </c>
      <c r="I674" s="74" t="s">
        <v>47</v>
      </c>
      <c r="J674" s="74" t="s">
        <v>9347</v>
      </c>
      <c r="K674" s="74" t="s">
        <v>10866</v>
      </c>
      <c r="L674" s="74" t="s">
        <v>318</v>
      </c>
    </row>
    <row r="675" spans="1:12" ht="41.4">
      <c r="A675" s="73">
        <v>674</v>
      </c>
      <c r="B675" s="74" t="s">
        <v>10867</v>
      </c>
      <c r="C675" s="74" t="s">
        <v>7205</v>
      </c>
      <c r="D675" s="74" t="s">
        <v>295</v>
      </c>
      <c r="E675" s="74" t="s">
        <v>9344</v>
      </c>
      <c r="F675" s="74" t="s">
        <v>9345</v>
      </c>
      <c r="G675" s="74" t="s">
        <v>9478</v>
      </c>
      <c r="H675" s="74" t="s">
        <v>407</v>
      </c>
      <c r="I675" s="74" t="s">
        <v>47</v>
      </c>
      <c r="J675" s="74" t="s">
        <v>9347</v>
      </c>
      <c r="K675" s="74" t="s">
        <v>10868</v>
      </c>
      <c r="L675" s="74" t="s">
        <v>318</v>
      </c>
    </row>
    <row r="676" spans="1:12" ht="41.4">
      <c r="A676" s="73">
        <v>675</v>
      </c>
      <c r="B676" s="74" t="s">
        <v>10869</v>
      </c>
      <c r="C676" s="74" t="s">
        <v>10870</v>
      </c>
      <c r="D676" s="74" t="s">
        <v>295</v>
      </c>
      <c r="E676" s="74" t="s">
        <v>9344</v>
      </c>
      <c r="F676" s="74" t="s">
        <v>9345</v>
      </c>
      <c r="G676" s="74" t="s">
        <v>9478</v>
      </c>
      <c r="H676" s="74" t="s">
        <v>407</v>
      </c>
      <c r="I676" s="74" t="s">
        <v>47</v>
      </c>
      <c r="J676" s="74" t="s">
        <v>9347</v>
      </c>
      <c r="K676" s="74"/>
      <c r="L676" s="74"/>
    </row>
    <row r="677" spans="1:12" ht="41.4">
      <c r="A677" s="73">
        <v>676</v>
      </c>
      <c r="B677" s="74" t="s">
        <v>10871</v>
      </c>
      <c r="C677" s="74" t="s">
        <v>10872</v>
      </c>
      <c r="D677" s="74" t="s">
        <v>153</v>
      </c>
      <c r="E677" s="74" t="s">
        <v>9344</v>
      </c>
      <c r="F677" s="74" t="s">
        <v>9345</v>
      </c>
      <c r="G677" s="74" t="s">
        <v>9485</v>
      </c>
      <c r="H677" s="74" t="s">
        <v>155</v>
      </c>
      <c r="I677" s="74" t="s">
        <v>47</v>
      </c>
      <c r="J677" s="74" t="s">
        <v>9347</v>
      </c>
      <c r="K677" s="74" t="s">
        <v>10873</v>
      </c>
      <c r="L677" s="74" t="s">
        <v>331</v>
      </c>
    </row>
    <row r="678" spans="1:12" ht="55.2">
      <c r="A678" s="73">
        <v>677</v>
      </c>
      <c r="B678" s="74" t="s">
        <v>10874</v>
      </c>
      <c r="C678" s="74" t="s">
        <v>10875</v>
      </c>
      <c r="D678" s="74" t="s">
        <v>41</v>
      </c>
      <c r="E678" s="74" t="s">
        <v>9344</v>
      </c>
      <c r="F678" s="74" t="s">
        <v>9345</v>
      </c>
      <c r="G678" s="74" t="s">
        <v>9372</v>
      </c>
      <c r="H678" s="74" t="s">
        <v>479</v>
      </c>
      <c r="I678" s="74" t="s">
        <v>47</v>
      </c>
      <c r="J678" s="74" t="s">
        <v>9347</v>
      </c>
      <c r="K678" s="74" t="s">
        <v>10876</v>
      </c>
      <c r="L678" s="74" t="s">
        <v>331</v>
      </c>
    </row>
    <row r="679" spans="1:12" ht="41.4">
      <c r="A679" s="73">
        <v>678</v>
      </c>
      <c r="B679" s="74" t="s">
        <v>10877</v>
      </c>
      <c r="C679" s="74" t="s">
        <v>10878</v>
      </c>
      <c r="D679" s="74" t="s">
        <v>41</v>
      </c>
      <c r="E679" s="74" t="s">
        <v>9344</v>
      </c>
      <c r="F679" s="74" t="s">
        <v>9345</v>
      </c>
      <c r="G679" s="74" t="s">
        <v>9405</v>
      </c>
      <c r="H679" s="74" t="s">
        <v>662</v>
      </c>
      <c r="I679" s="74" t="s">
        <v>47</v>
      </c>
      <c r="J679" s="74" t="s">
        <v>9351</v>
      </c>
      <c r="K679" s="74" t="s">
        <v>10879</v>
      </c>
      <c r="L679" s="74" t="s">
        <v>318</v>
      </c>
    </row>
    <row r="680" spans="1:12" ht="55.2">
      <c r="A680" s="73">
        <v>679</v>
      </c>
      <c r="B680" s="74" t="s">
        <v>10880</v>
      </c>
      <c r="C680" s="74" t="s">
        <v>1690</v>
      </c>
      <c r="D680" s="74" t="s">
        <v>143</v>
      </c>
      <c r="E680" s="74" t="s">
        <v>9344</v>
      </c>
      <c r="F680" s="74" t="s">
        <v>9345</v>
      </c>
      <c r="G680" s="74" t="s">
        <v>9514</v>
      </c>
      <c r="H680" s="74" t="s">
        <v>327</v>
      </c>
      <c r="I680" s="74" t="s">
        <v>47</v>
      </c>
      <c r="J680" s="74" t="s">
        <v>9351</v>
      </c>
      <c r="K680" s="74" t="s">
        <v>10881</v>
      </c>
      <c r="L680" s="74" t="s">
        <v>370</v>
      </c>
    </row>
    <row r="681" spans="1:12" ht="69">
      <c r="A681" s="73">
        <v>680</v>
      </c>
      <c r="B681" s="74" t="s">
        <v>10882</v>
      </c>
      <c r="C681" s="74" t="s">
        <v>10883</v>
      </c>
      <c r="D681" s="74" t="s">
        <v>41</v>
      </c>
      <c r="E681" s="74" t="s">
        <v>9344</v>
      </c>
      <c r="F681" s="74" t="s">
        <v>9345</v>
      </c>
      <c r="G681" s="74" t="s">
        <v>9793</v>
      </c>
      <c r="H681" s="74" t="s">
        <v>46</v>
      </c>
      <c r="I681" s="74" t="s">
        <v>47</v>
      </c>
      <c r="J681" s="74" t="s">
        <v>9347</v>
      </c>
      <c r="K681" s="74" t="s">
        <v>10884</v>
      </c>
      <c r="L681" s="74" t="s">
        <v>331</v>
      </c>
    </row>
    <row r="682" spans="1:12" ht="41.4">
      <c r="A682" s="73">
        <v>681</v>
      </c>
      <c r="B682" s="74" t="s">
        <v>10885</v>
      </c>
      <c r="C682" s="74" t="s">
        <v>4114</v>
      </c>
      <c r="D682" s="74" t="s">
        <v>41</v>
      </c>
      <c r="E682" s="74" t="s">
        <v>9344</v>
      </c>
      <c r="F682" s="74" t="s">
        <v>9345</v>
      </c>
      <c r="G682" s="74" t="s">
        <v>9665</v>
      </c>
      <c r="H682" s="74" t="s">
        <v>662</v>
      </c>
      <c r="I682" s="74" t="s">
        <v>47</v>
      </c>
      <c r="J682" s="74" t="s">
        <v>9351</v>
      </c>
      <c r="K682" s="74" t="s">
        <v>10886</v>
      </c>
      <c r="L682" s="74" t="s">
        <v>897</v>
      </c>
    </row>
    <row r="683" spans="1:12" ht="69">
      <c r="A683" s="73">
        <v>682</v>
      </c>
      <c r="B683" s="74" t="s">
        <v>10887</v>
      </c>
      <c r="C683" s="74" t="s">
        <v>10888</v>
      </c>
      <c r="D683" s="74" t="s">
        <v>41</v>
      </c>
      <c r="E683" s="74" t="s">
        <v>9344</v>
      </c>
      <c r="F683" s="74" t="s">
        <v>9345</v>
      </c>
      <c r="G683" s="74" t="s">
        <v>9793</v>
      </c>
      <c r="H683" s="74" t="s">
        <v>46</v>
      </c>
      <c r="I683" s="74" t="s">
        <v>47</v>
      </c>
      <c r="J683" s="74" t="s">
        <v>9351</v>
      </c>
      <c r="K683" s="74"/>
      <c r="L683" s="74"/>
    </row>
    <row r="684" spans="1:12" ht="69">
      <c r="A684" s="73">
        <v>683</v>
      </c>
      <c r="B684" s="74" t="s">
        <v>10889</v>
      </c>
      <c r="C684" s="74" t="s">
        <v>5547</v>
      </c>
      <c r="D684" s="74" t="s">
        <v>89</v>
      </c>
      <c r="E684" s="74" t="s">
        <v>9344</v>
      </c>
      <c r="F684" s="74" t="s">
        <v>9345</v>
      </c>
      <c r="G684" s="74" t="s">
        <v>9528</v>
      </c>
      <c r="H684" s="74" t="s">
        <v>91</v>
      </c>
      <c r="I684" s="74" t="s">
        <v>47</v>
      </c>
      <c r="J684" s="74" t="s">
        <v>9351</v>
      </c>
      <c r="K684" s="74" t="s">
        <v>10890</v>
      </c>
      <c r="L684" s="74" t="s">
        <v>711</v>
      </c>
    </row>
    <row r="685" spans="1:12" ht="41.4">
      <c r="A685" s="73">
        <v>684</v>
      </c>
      <c r="B685" s="74" t="s">
        <v>10891</v>
      </c>
      <c r="C685" s="74" t="s">
        <v>10892</v>
      </c>
      <c r="D685" s="74" t="s">
        <v>41</v>
      </c>
      <c r="E685" s="74" t="s">
        <v>9344</v>
      </c>
      <c r="F685" s="74" t="s">
        <v>9345</v>
      </c>
      <c r="G685" s="74" t="s">
        <v>9451</v>
      </c>
      <c r="H685" s="74" t="s">
        <v>130</v>
      </c>
      <c r="I685" s="74" t="s">
        <v>47</v>
      </c>
      <c r="J685" s="74" t="s">
        <v>9347</v>
      </c>
      <c r="K685" s="74"/>
      <c r="L685" s="74"/>
    </row>
    <row r="686" spans="1:12" ht="55.2">
      <c r="A686" s="73">
        <v>685</v>
      </c>
      <c r="B686" s="74" t="s">
        <v>10893</v>
      </c>
      <c r="C686" s="74" t="s">
        <v>10894</v>
      </c>
      <c r="D686" s="74" t="s">
        <v>41</v>
      </c>
      <c r="E686" s="74" t="s">
        <v>9344</v>
      </c>
      <c r="F686" s="74" t="s">
        <v>9345</v>
      </c>
      <c r="G686" s="74" t="s">
        <v>9350</v>
      </c>
      <c r="H686" s="74" t="s">
        <v>662</v>
      </c>
      <c r="I686" s="74" t="s">
        <v>47</v>
      </c>
      <c r="J686" s="74" t="s">
        <v>9347</v>
      </c>
      <c r="K686" s="74"/>
      <c r="L686" s="74"/>
    </row>
    <row r="687" spans="1:12" ht="55.2">
      <c r="A687" s="73">
        <v>686</v>
      </c>
      <c r="B687" s="74" t="s">
        <v>10895</v>
      </c>
      <c r="C687" s="74" t="s">
        <v>10896</v>
      </c>
      <c r="D687" s="74" t="s">
        <v>153</v>
      </c>
      <c r="E687" s="74" t="s">
        <v>9344</v>
      </c>
      <c r="F687" s="74" t="s">
        <v>9345</v>
      </c>
      <c r="G687" s="74" t="s">
        <v>9526</v>
      </c>
      <c r="H687" s="74" t="s">
        <v>155</v>
      </c>
      <c r="I687" s="74" t="s">
        <v>47</v>
      </c>
      <c r="J687" s="74" t="s">
        <v>9351</v>
      </c>
      <c r="K687" s="74" t="s">
        <v>10897</v>
      </c>
      <c r="L687" s="74" t="s">
        <v>331</v>
      </c>
    </row>
    <row r="688" spans="1:12" ht="55.2">
      <c r="A688" s="73">
        <v>687</v>
      </c>
      <c r="B688" s="74" t="s">
        <v>10898</v>
      </c>
      <c r="C688" s="74" t="s">
        <v>8215</v>
      </c>
      <c r="D688" s="74" t="s">
        <v>41</v>
      </c>
      <c r="E688" s="74" t="s">
        <v>9344</v>
      </c>
      <c r="F688" s="74" t="s">
        <v>9345</v>
      </c>
      <c r="G688" s="74" t="s">
        <v>9572</v>
      </c>
      <c r="H688" s="74" t="s">
        <v>479</v>
      </c>
      <c r="I688" s="74" t="s">
        <v>47</v>
      </c>
      <c r="J688" s="74" t="s">
        <v>9351</v>
      </c>
      <c r="K688" s="74"/>
      <c r="L688" s="74"/>
    </row>
    <row r="689" spans="1:12" ht="41.4">
      <c r="A689" s="73">
        <v>688</v>
      </c>
      <c r="B689" s="74" t="s">
        <v>10899</v>
      </c>
      <c r="C689" s="74" t="s">
        <v>10900</v>
      </c>
      <c r="D689" s="74" t="s">
        <v>41</v>
      </c>
      <c r="E689" s="74" t="s">
        <v>9344</v>
      </c>
      <c r="F689" s="74" t="s">
        <v>9345</v>
      </c>
      <c r="G689" s="74" t="s">
        <v>9500</v>
      </c>
      <c r="H689" s="74" t="s">
        <v>200</v>
      </c>
      <c r="I689" s="74" t="s">
        <v>47</v>
      </c>
      <c r="J689" s="74" t="s">
        <v>9351</v>
      </c>
      <c r="K689" s="74" t="s">
        <v>10901</v>
      </c>
      <c r="L689" s="74" t="s">
        <v>331</v>
      </c>
    </row>
    <row r="690" spans="1:12" ht="41.4">
      <c r="A690" s="73">
        <v>689</v>
      </c>
      <c r="B690" s="74" t="s">
        <v>10902</v>
      </c>
      <c r="C690" s="74" t="s">
        <v>8139</v>
      </c>
      <c r="D690" s="74" t="s">
        <v>143</v>
      </c>
      <c r="E690" s="74" t="s">
        <v>9344</v>
      </c>
      <c r="F690" s="74" t="s">
        <v>9345</v>
      </c>
      <c r="G690" s="74" t="s">
        <v>9388</v>
      </c>
      <c r="H690" s="74" t="s">
        <v>597</v>
      </c>
      <c r="I690" s="74" t="s">
        <v>47</v>
      </c>
      <c r="J690" s="74" t="s">
        <v>9351</v>
      </c>
      <c r="K690" s="74" t="s">
        <v>10903</v>
      </c>
      <c r="L690" s="74" t="s">
        <v>370</v>
      </c>
    </row>
    <row r="691" spans="1:12" ht="41.4">
      <c r="A691" s="73">
        <v>690</v>
      </c>
      <c r="B691" s="74" t="s">
        <v>10904</v>
      </c>
      <c r="C691" s="74" t="s">
        <v>10905</v>
      </c>
      <c r="D691" s="74" t="s">
        <v>153</v>
      </c>
      <c r="E691" s="74" t="s">
        <v>9344</v>
      </c>
      <c r="F691" s="74" t="s">
        <v>9345</v>
      </c>
      <c r="G691" s="74" t="s">
        <v>9753</v>
      </c>
      <c r="H691" s="74" t="s">
        <v>155</v>
      </c>
      <c r="I691" s="74" t="s">
        <v>47</v>
      </c>
      <c r="J691" s="74" t="s">
        <v>9347</v>
      </c>
      <c r="K691" s="74" t="s">
        <v>10906</v>
      </c>
      <c r="L691" s="74" t="s">
        <v>3561</v>
      </c>
    </row>
    <row r="692" spans="1:12" ht="55.2">
      <c r="A692" s="73">
        <v>691</v>
      </c>
      <c r="B692" s="74" t="s">
        <v>10907</v>
      </c>
      <c r="C692" s="74" t="s">
        <v>10908</v>
      </c>
      <c r="D692" s="74" t="s">
        <v>41</v>
      </c>
      <c r="E692" s="74" t="s">
        <v>9344</v>
      </c>
      <c r="F692" s="74" t="s">
        <v>9345</v>
      </c>
      <c r="G692" s="74" t="s">
        <v>9350</v>
      </c>
      <c r="H692" s="74" t="s">
        <v>662</v>
      </c>
      <c r="I692" s="74" t="s">
        <v>47</v>
      </c>
      <c r="J692" s="74" t="s">
        <v>9351</v>
      </c>
      <c r="K692" s="74" t="s">
        <v>10909</v>
      </c>
      <c r="L692" s="74" t="s">
        <v>331</v>
      </c>
    </row>
    <row r="693" spans="1:12" ht="69">
      <c r="A693" s="73">
        <v>692</v>
      </c>
      <c r="B693" s="74" t="s">
        <v>10910</v>
      </c>
      <c r="C693" s="74" t="s">
        <v>10911</v>
      </c>
      <c r="D693" s="74" t="s">
        <v>41</v>
      </c>
      <c r="E693" s="74" t="s">
        <v>9344</v>
      </c>
      <c r="F693" s="74" t="s">
        <v>9345</v>
      </c>
      <c r="G693" s="74" t="s">
        <v>9368</v>
      </c>
      <c r="H693" s="74" t="s">
        <v>46</v>
      </c>
      <c r="I693" s="74" t="s">
        <v>47</v>
      </c>
      <c r="J693" s="74" t="s">
        <v>9347</v>
      </c>
      <c r="K693" s="74"/>
      <c r="L693" s="74"/>
    </row>
    <row r="694" spans="1:12" ht="55.2">
      <c r="A694" s="73">
        <v>693</v>
      </c>
      <c r="B694" s="74" t="s">
        <v>10912</v>
      </c>
      <c r="C694" s="74" t="s">
        <v>3472</v>
      </c>
      <c r="D694" s="74" t="s">
        <v>143</v>
      </c>
      <c r="E694" s="74" t="s">
        <v>9344</v>
      </c>
      <c r="F694" s="74" t="s">
        <v>9345</v>
      </c>
      <c r="G694" s="74" t="s">
        <v>9361</v>
      </c>
      <c r="H694" s="74" t="s">
        <v>327</v>
      </c>
      <c r="I694" s="74" t="s">
        <v>47</v>
      </c>
      <c r="J694" s="74" t="s">
        <v>9351</v>
      </c>
      <c r="K694" s="74" t="s">
        <v>10913</v>
      </c>
      <c r="L694" s="74" t="s">
        <v>370</v>
      </c>
    </row>
    <row r="695" spans="1:12" ht="55.2">
      <c r="A695" s="73">
        <v>694</v>
      </c>
      <c r="B695" s="74" t="s">
        <v>10914</v>
      </c>
      <c r="C695" s="74" t="s">
        <v>8821</v>
      </c>
      <c r="D695" s="74" t="s">
        <v>143</v>
      </c>
      <c r="E695" s="74" t="s">
        <v>9344</v>
      </c>
      <c r="F695" s="74" t="s">
        <v>9345</v>
      </c>
      <c r="G695" s="74" t="s">
        <v>9916</v>
      </c>
      <c r="H695" s="74" t="s">
        <v>327</v>
      </c>
      <c r="I695" s="74" t="s">
        <v>47</v>
      </c>
      <c r="J695" s="74" t="s">
        <v>9351</v>
      </c>
      <c r="K695" s="74" t="s">
        <v>10915</v>
      </c>
      <c r="L695" s="74" t="s">
        <v>370</v>
      </c>
    </row>
    <row r="696" spans="1:12" ht="55.2">
      <c r="A696" s="73">
        <v>695</v>
      </c>
      <c r="B696" s="74" t="s">
        <v>10916</v>
      </c>
      <c r="C696" s="74" t="s">
        <v>8203</v>
      </c>
      <c r="D696" s="74" t="s">
        <v>41</v>
      </c>
      <c r="E696" s="74" t="s">
        <v>9344</v>
      </c>
      <c r="F696" s="74" t="s">
        <v>9345</v>
      </c>
      <c r="G696" s="74" t="s">
        <v>9410</v>
      </c>
      <c r="H696" s="74" t="s">
        <v>130</v>
      </c>
      <c r="I696" s="74" t="s">
        <v>47</v>
      </c>
      <c r="J696" s="74" t="s">
        <v>9347</v>
      </c>
      <c r="K696" s="74" t="s">
        <v>10917</v>
      </c>
      <c r="L696" s="74" t="s">
        <v>318</v>
      </c>
    </row>
    <row r="697" spans="1:12" ht="41.4">
      <c r="A697" s="73">
        <v>696</v>
      </c>
      <c r="B697" s="74" t="s">
        <v>10918</v>
      </c>
      <c r="C697" s="74" t="s">
        <v>3663</v>
      </c>
      <c r="D697" s="74" t="s">
        <v>143</v>
      </c>
      <c r="E697" s="74" t="s">
        <v>9344</v>
      </c>
      <c r="F697" s="74" t="s">
        <v>9345</v>
      </c>
      <c r="G697" s="74" t="s">
        <v>9388</v>
      </c>
      <c r="H697" s="74" t="s">
        <v>597</v>
      </c>
      <c r="I697" s="74" t="s">
        <v>47</v>
      </c>
      <c r="J697" s="74" t="s">
        <v>9351</v>
      </c>
      <c r="K697" s="74" t="s">
        <v>10919</v>
      </c>
      <c r="L697" s="74" t="s">
        <v>370</v>
      </c>
    </row>
    <row r="698" spans="1:12" ht="41.4">
      <c r="A698" s="73">
        <v>697</v>
      </c>
      <c r="B698" s="74" t="s">
        <v>10920</v>
      </c>
      <c r="C698" s="74" t="s">
        <v>10921</v>
      </c>
      <c r="D698" s="74" t="s">
        <v>295</v>
      </c>
      <c r="E698" s="74" t="s">
        <v>9344</v>
      </c>
      <c r="F698" s="74" t="s">
        <v>9345</v>
      </c>
      <c r="G698" s="74" t="s">
        <v>9708</v>
      </c>
      <c r="H698" s="74" t="s">
        <v>407</v>
      </c>
      <c r="I698" s="74" t="s">
        <v>47</v>
      </c>
      <c r="J698" s="74" t="s">
        <v>9347</v>
      </c>
      <c r="K698" s="74"/>
      <c r="L698" s="74"/>
    </row>
    <row r="699" spans="1:12" ht="55.2">
      <c r="A699" s="73">
        <v>698</v>
      </c>
      <c r="B699" s="74" t="s">
        <v>10922</v>
      </c>
      <c r="C699" s="74" t="s">
        <v>5127</v>
      </c>
      <c r="D699" s="74" t="s">
        <v>143</v>
      </c>
      <c r="E699" s="74" t="s">
        <v>9344</v>
      </c>
      <c r="F699" s="74" t="s">
        <v>9345</v>
      </c>
      <c r="G699" s="74" t="s">
        <v>9534</v>
      </c>
      <c r="H699" s="74" t="s">
        <v>145</v>
      </c>
      <c r="I699" s="74" t="s">
        <v>47</v>
      </c>
      <c r="J699" s="74" t="s">
        <v>9351</v>
      </c>
      <c r="K699" s="74" t="s">
        <v>10923</v>
      </c>
      <c r="L699" s="74" t="s">
        <v>251</v>
      </c>
    </row>
    <row r="700" spans="1:12" ht="41.4">
      <c r="A700" s="73">
        <v>699</v>
      </c>
      <c r="B700" s="74" t="s">
        <v>10924</v>
      </c>
      <c r="C700" s="74" t="s">
        <v>4491</v>
      </c>
      <c r="D700" s="74" t="s">
        <v>41</v>
      </c>
      <c r="E700" s="74" t="s">
        <v>9344</v>
      </c>
      <c r="F700" s="74" t="s">
        <v>9345</v>
      </c>
      <c r="G700" s="74" t="s">
        <v>9757</v>
      </c>
      <c r="H700" s="74" t="s">
        <v>200</v>
      </c>
      <c r="I700" s="74" t="s">
        <v>47</v>
      </c>
      <c r="J700" s="74" t="s">
        <v>9347</v>
      </c>
      <c r="K700" s="74"/>
      <c r="L700" s="74"/>
    </row>
    <row r="701" spans="1:12" ht="55.2">
      <c r="A701" s="73">
        <v>700</v>
      </c>
      <c r="B701" s="74" t="s">
        <v>10925</v>
      </c>
      <c r="C701" s="74" t="s">
        <v>10926</v>
      </c>
      <c r="D701" s="74" t="s">
        <v>143</v>
      </c>
      <c r="E701" s="74" t="s">
        <v>9344</v>
      </c>
      <c r="F701" s="74" t="s">
        <v>9345</v>
      </c>
      <c r="G701" s="74" t="s">
        <v>9514</v>
      </c>
      <c r="H701" s="74" t="s">
        <v>327</v>
      </c>
      <c r="I701" s="74" t="s">
        <v>47</v>
      </c>
      <c r="J701" s="74" t="s">
        <v>9351</v>
      </c>
      <c r="K701" s="74" t="s">
        <v>10927</v>
      </c>
      <c r="L701" s="74" t="s">
        <v>370</v>
      </c>
    </row>
    <row r="702" spans="1:12" ht="41.4">
      <c r="A702" s="73">
        <v>701</v>
      </c>
      <c r="B702" s="74" t="s">
        <v>10928</v>
      </c>
      <c r="C702" s="74" t="s">
        <v>10929</v>
      </c>
      <c r="D702" s="74" t="s">
        <v>153</v>
      </c>
      <c r="E702" s="74" t="s">
        <v>9344</v>
      </c>
      <c r="F702" s="74" t="s">
        <v>9345</v>
      </c>
      <c r="G702" s="74" t="s">
        <v>9753</v>
      </c>
      <c r="H702" s="74" t="s">
        <v>155</v>
      </c>
      <c r="I702" s="74" t="s">
        <v>47</v>
      </c>
      <c r="J702" s="74" t="s">
        <v>9347</v>
      </c>
      <c r="K702" s="74"/>
      <c r="L702" s="74"/>
    </row>
    <row r="703" spans="1:12" ht="41.4">
      <c r="A703" s="73">
        <v>702</v>
      </c>
      <c r="B703" s="74" t="s">
        <v>10930</v>
      </c>
      <c r="C703" s="74" t="s">
        <v>5233</v>
      </c>
      <c r="D703" s="74" t="s">
        <v>41</v>
      </c>
      <c r="E703" s="74" t="s">
        <v>9344</v>
      </c>
      <c r="F703" s="74" t="s">
        <v>9345</v>
      </c>
      <c r="G703" s="74" t="s">
        <v>9500</v>
      </c>
      <c r="H703" s="74" t="s">
        <v>200</v>
      </c>
      <c r="I703" s="74" t="s">
        <v>47</v>
      </c>
      <c r="J703" s="74" t="s">
        <v>9351</v>
      </c>
      <c r="K703" s="74" t="s">
        <v>10931</v>
      </c>
      <c r="L703" s="74" t="s">
        <v>318</v>
      </c>
    </row>
    <row r="704" spans="1:12" ht="41.4">
      <c r="A704" s="73">
        <v>703</v>
      </c>
      <c r="B704" s="74" t="s">
        <v>10932</v>
      </c>
      <c r="C704" s="74" t="s">
        <v>2820</v>
      </c>
      <c r="D704" s="74" t="s">
        <v>41</v>
      </c>
      <c r="E704" s="74" t="s">
        <v>9344</v>
      </c>
      <c r="F704" s="74" t="s">
        <v>9345</v>
      </c>
      <c r="G704" s="74" t="s">
        <v>9665</v>
      </c>
      <c r="H704" s="74" t="s">
        <v>662</v>
      </c>
      <c r="I704" s="74" t="s">
        <v>47</v>
      </c>
      <c r="J704" s="74" t="s">
        <v>9351</v>
      </c>
      <c r="K704" s="74" t="s">
        <v>10933</v>
      </c>
      <c r="L704" s="74" t="s">
        <v>897</v>
      </c>
    </row>
    <row r="705" spans="1:12" ht="41.4">
      <c r="A705" s="73">
        <v>704</v>
      </c>
      <c r="B705" s="74" t="s">
        <v>10934</v>
      </c>
      <c r="C705" s="74" t="s">
        <v>10935</v>
      </c>
      <c r="D705" s="74" t="s">
        <v>295</v>
      </c>
      <c r="E705" s="74" t="s">
        <v>9344</v>
      </c>
      <c r="F705" s="74" t="s">
        <v>9345</v>
      </c>
      <c r="G705" s="74" t="s">
        <v>9400</v>
      </c>
      <c r="H705" s="74" t="s">
        <v>407</v>
      </c>
      <c r="I705" s="74" t="s">
        <v>47</v>
      </c>
      <c r="J705" s="74" t="s">
        <v>9347</v>
      </c>
      <c r="K705" s="74" t="s">
        <v>10936</v>
      </c>
      <c r="L705" s="74" t="s">
        <v>318</v>
      </c>
    </row>
    <row r="706" spans="1:12" ht="55.2">
      <c r="A706" s="73">
        <v>705</v>
      </c>
      <c r="B706" s="74" t="s">
        <v>10937</v>
      </c>
      <c r="C706" s="74" t="s">
        <v>10938</v>
      </c>
      <c r="D706" s="74" t="s">
        <v>153</v>
      </c>
      <c r="E706" s="74" t="s">
        <v>9344</v>
      </c>
      <c r="F706" s="74" t="s">
        <v>9345</v>
      </c>
      <c r="G706" s="74" t="s">
        <v>10033</v>
      </c>
      <c r="H706" s="74" t="s">
        <v>155</v>
      </c>
      <c r="I706" s="74" t="s">
        <v>47</v>
      </c>
      <c r="J706" s="74" t="s">
        <v>9347</v>
      </c>
      <c r="K706" s="74"/>
      <c r="L706" s="74"/>
    </row>
    <row r="707" spans="1:12" ht="55.2">
      <c r="A707" s="73">
        <v>706</v>
      </c>
      <c r="B707" s="74" t="s">
        <v>10939</v>
      </c>
      <c r="C707" s="74" t="s">
        <v>2335</v>
      </c>
      <c r="D707" s="74" t="s">
        <v>89</v>
      </c>
      <c r="E707" s="74" t="s">
        <v>9344</v>
      </c>
      <c r="F707" s="74" t="s">
        <v>9345</v>
      </c>
      <c r="G707" s="74" t="s">
        <v>9556</v>
      </c>
      <c r="H707" s="74" t="s">
        <v>102</v>
      </c>
      <c r="I707" s="74" t="s">
        <v>47</v>
      </c>
      <c r="J707" s="74" t="s">
        <v>9351</v>
      </c>
      <c r="K707" s="74" t="s">
        <v>10940</v>
      </c>
      <c r="L707" s="74" t="s">
        <v>711</v>
      </c>
    </row>
    <row r="708" spans="1:12" ht="69">
      <c r="A708" s="73">
        <v>707</v>
      </c>
      <c r="B708" s="74" t="s">
        <v>10941</v>
      </c>
      <c r="C708" s="74" t="s">
        <v>7251</v>
      </c>
      <c r="D708" s="74" t="s">
        <v>89</v>
      </c>
      <c r="E708" s="74" t="s">
        <v>9344</v>
      </c>
      <c r="F708" s="74" t="s">
        <v>9345</v>
      </c>
      <c r="G708" s="74" t="s">
        <v>9528</v>
      </c>
      <c r="H708" s="74" t="s">
        <v>91</v>
      </c>
      <c r="I708" s="74" t="s">
        <v>47</v>
      </c>
      <c r="J708" s="74" t="s">
        <v>9351</v>
      </c>
      <c r="K708" s="74" t="s">
        <v>10942</v>
      </c>
      <c r="L708" s="74" t="s">
        <v>711</v>
      </c>
    </row>
    <row r="709" spans="1:12" ht="69">
      <c r="A709" s="73">
        <v>708</v>
      </c>
      <c r="B709" s="74" t="s">
        <v>10943</v>
      </c>
      <c r="C709" s="74" t="s">
        <v>9078</v>
      </c>
      <c r="D709" s="74" t="s">
        <v>143</v>
      </c>
      <c r="E709" s="74" t="s">
        <v>9344</v>
      </c>
      <c r="F709" s="74" t="s">
        <v>9345</v>
      </c>
      <c r="G709" s="74" t="s">
        <v>9510</v>
      </c>
      <c r="H709" s="74" t="s">
        <v>220</v>
      </c>
      <c r="I709" s="74" t="s">
        <v>47</v>
      </c>
      <c r="J709" s="74" t="s">
        <v>9351</v>
      </c>
      <c r="K709" s="74" t="s">
        <v>10944</v>
      </c>
      <c r="L709" s="74" t="s">
        <v>251</v>
      </c>
    </row>
    <row r="710" spans="1:12" ht="69">
      <c r="A710" s="73">
        <v>709</v>
      </c>
      <c r="B710" s="74" t="s">
        <v>10945</v>
      </c>
      <c r="C710" s="74" t="s">
        <v>10946</v>
      </c>
      <c r="D710" s="74" t="s">
        <v>41</v>
      </c>
      <c r="E710" s="74" t="s">
        <v>9344</v>
      </c>
      <c r="F710" s="74" t="s">
        <v>9345</v>
      </c>
      <c r="G710" s="74" t="s">
        <v>9385</v>
      </c>
      <c r="H710" s="74" t="s">
        <v>46</v>
      </c>
      <c r="I710" s="74" t="s">
        <v>47</v>
      </c>
      <c r="J710" s="74" t="s">
        <v>9351</v>
      </c>
      <c r="K710" s="74" t="s">
        <v>10947</v>
      </c>
      <c r="L710" s="74" t="s">
        <v>331</v>
      </c>
    </row>
    <row r="711" spans="1:12" ht="69">
      <c r="A711" s="73">
        <v>710</v>
      </c>
      <c r="B711" s="74" t="s">
        <v>10948</v>
      </c>
      <c r="C711" s="74" t="s">
        <v>10949</v>
      </c>
      <c r="D711" s="74" t="s">
        <v>41</v>
      </c>
      <c r="E711" s="74" t="s">
        <v>9344</v>
      </c>
      <c r="F711" s="74" t="s">
        <v>9345</v>
      </c>
      <c r="G711" s="74" t="s">
        <v>9793</v>
      </c>
      <c r="H711" s="74" t="s">
        <v>46</v>
      </c>
      <c r="I711" s="74" t="s">
        <v>47</v>
      </c>
      <c r="J711" s="74" t="s">
        <v>9347</v>
      </c>
      <c r="K711" s="74" t="s">
        <v>10950</v>
      </c>
      <c r="L711" s="74" t="s">
        <v>331</v>
      </c>
    </row>
    <row r="712" spans="1:12" ht="55.2">
      <c r="A712" s="73">
        <v>711</v>
      </c>
      <c r="B712" s="74" t="s">
        <v>10951</v>
      </c>
      <c r="C712" s="74" t="s">
        <v>10952</v>
      </c>
      <c r="D712" s="74" t="s">
        <v>143</v>
      </c>
      <c r="E712" s="74" t="s">
        <v>9344</v>
      </c>
      <c r="F712" s="74" t="s">
        <v>9345</v>
      </c>
      <c r="G712" s="74" t="s">
        <v>9910</v>
      </c>
      <c r="H712" s="74" t="s">
        <v>145</v>
      </c>
      <c r="I712" s="74" t="s">
        <v>47</v>
      </c>
      <c r="J712" s="74" t="s">
        <v>9351</v>
      </c>
      <c r="K712" s="74" t="s">
        <v>10953</v>
      </c>
      <c r="L712" s="74" t="s">
        <v>251</v>
      </c>
    </row>
    <row r="713" spans="1:12" ht="41.4">
      <c r="A713" s="73">
        <v>712</v>
      </c>
      <c r="B713" s="74" t="s">
        <v>10954</v>
      </c>
      <c r="C713" s="74" t="s">
        <v>10955</v>
      </c>
      <c r="D713" s="74" t="s">
        <v>295</v>
      </c>
      <c r="E713" s="74" t="s">
        <v>9344</v>
      </c>
      <c r="F713" s="74" t="s">
        <v>9345</v>
      </c>
      <c r="G713" s="74" t="s">
        <v>9677</v>
      </c>
      <c r="H713" s="74" t="s">
        <v>407</v>
      </c>
      <c r="I713" s="74" t="s">
        <v>47</v>
      </c>
      <c r="J713" s="74" t="s">
        <v>9351</v>
      </c>
      <c r="K713" s="74"/>
      <c r="L713" s="74"/>
    </row>
    <row r="714" spans="1:12" ht="41.4">
      <c r="A714" s="73">
        <v>713</v>
      </c>
      <c r="B714" s="74" t="s">
        <v>10956</v>
      </c>
      <c r="C714" s="74" t="s">
        <v>3971</v>
      </c>
      <c r="D714" s="74" t="s">
        <v>89</v>
      </c>
      <c r="E714" s="74" t="s">
        <v>9344</v>
      </c>
      <c r="F714" s="74" t="s">
        <v>9345</v>
      </c>
      <c r="G714" s="74" t="s">
        <v>9358</v>
      </c>
      <c r="H714" s="74" t="s">
        <v>102</v>
      </c>
      <c r="I714" s="74" t="s">
        <v>47</v>
      </c>
      <c r="J714" s="74" t="s">
        <v>9351</v>
      </c>
      <c r="K714" s="74" t="s">
        <v>10957</v>
      </c>
      <c r="L714" s="74" t="s">
        <v>711</v>
      </c>
    </row>
    <row r="715" spans="1:12" ht="41.4">
      <c r="A715" s="73">
        <v>714</v>
      </c>
      <c r="B715" s="74" t="s">
        <v>10958</v>
      </c>
      <c r="C715" s="74" t="s">
        <v>8558</v>
      </c>
      <c r="D715" s="74" t="s">
        <v>41</v>
      </c>
      <c r="E715" s="74" t="s">
        <v>9344</v>
      </c>
      <c r="F715" s="74" t="s">
        <v>9345</v>
      </c>
      <c r="G715" s="74" t="s">
        <v>9796</v>
      </c>
      <c r="H715" s="74" t="s">
        <v>200</v>
      </c>
      <c r="I715" s="74" t="s">
        <v>47</v>
      </c>
      <c r="J715" s="74" t="s">
        <v>9351</v>
      </c>
      <c r="K715" s="74" t="s">
        <v>10959</v>
      </c>
      <c r="L715" s="74" t="s">
        <v>370</v>
      </c>
    </row>
    <row r="716" spans="1:12" ht="55.2">
      <c r="A716" s="73">
        <v>715</v>
      </c>
      <c r="B716" s="74" t="s">
        <v>10960</v>
      </c>
      <c r="C716" s="74" t="s">
        <v>10961</v>
      </c>
      <c r="D716" s="74" t="s">
        <v>68</v>
      </c>
      <c r="E716" s="74" t="s">
        <v>9344</v>
      </c>
      <c r="F716" s="74" t="s">
        <v>9345</v>
      </c>
      <c r="G716" s="74" t="s">
        <v>9378</v>
      </c>
      <c r="H716" s="74" t="s">
        <v>70</v>
      </c>
      <c r="I716" s="74" t="s">
        <v>47</v>
      </c>
      <c r="J716" s="74" t="s">
        <v>9351</v>
      </c>
      <c r="K716" s="74" t="s">
        <v>10962</v>
      </c>
      <c r="L716" s="74" t="s">
        <v>3207</v>
      </c>
    </row>
    <row r="717" spans="1:12" ht="55.2">
      <c r="A717" s="73">
        <v>716</v>
      </c>
      <c r="B717" s="74" t="s">
        <v>10963</v>
      </c>
      <c r="C717" s="74" t="s">
        <v>4197</v>
      </c>
      <c r="D717" s="74" t="s">
        <v>153</v>
      </c>
      <c r="E717" s="74" t="s">
        <v>9344</v>
      </c>
      <c r="F717" s="74" t="s">
        <v>9345</v>
      </c>
      <c r="G717" s="74" t="s">
        <v>9781</v>
      </c>
      <c r="H717" s="74" t="s">
        <v>155</v>
      </c>
      <c r="I717" s="74" t="s">
        <v>47</v>
      </c>
      <c r="J717" s="74" t="s">
        <v>9347</v>
      </c>
      <c r="K717" s="74" t="s">
        <v>10964</v>
      </c>
      <c r="L717" s="74" t="s">
        <v>3561</v>
      </c>
    </row>
    <row r="718" spans="1:12" ht="41.4">
      <c r="A718" s="73">
        <v>717</v>
      </c>
      <c r="B718" s="74" t="s">
        <v>10965</v>
      </c>
      <c r="C718" s="74" t="s">
        <v>10966</v>
      </c>
      <c r="D718" s="74" t="s">
        <v>143</v>
      </c>
      <c r="E718" s="74" t="s">
        <v>9344</v>
      </c>
      <c r="F718" s="74" t="s">
        <v>9345</v>
      </c>
      <c r="G718" s="74" t="s">
        <v>9388</v>
      </c>
      <c r="H718" s="74" t="s">
        <v>597</v>
      </c>
      <c r="I718" s="74" t="s">
        <v>47</v>
      </c>
      <c r="J718" s="74" t="s">
        <v>9351</v>
      </c>
      <c r="K718" s="74" t="s">
        <v>10967</v>
      </c>
      <c r="L718" s="74" t="s">
        <v>897</v>
      </c>
    </row>
    <row r="719" spans="1:12" ht="41.4">
      <c r="A719" s="73">
        <v>718</v>
      </c>
      <c r="B719" s="74" t="s">
        <v>10968</v>
      </c>
      <c r="C719" s="74" t="s">
        <v>10969</v>
      </c>
      <c r="D719" s="74" t="s">
        <v>41</v>
      </c>
      <c r="E719" s="74" t="s">
        <v>9344</v>
      </c>
      <c r="F719" s="74" t="s">
        <v>9345</v>
      </c>
      <c r="G719" s="74" t="s">
        <v>9591</v>
      </c>
      <c r="H719" s="74" t="s">
        <v>130</v>
      </c>
      <c r="I719" s="74" t="s">
        <v>47</v>
      </c>
      <c r="J719" s="74" t="s">
        <v>9347</v>
      </c>
      <c r="K719" s="74"/>
      <c r="L719" s="74"/>
    </row>
    <row r="720" spans="1:12" ht="55.2">
      <c r="A720" s="73">
        <v>719</v>
      </c>
      <c r="B720" s="74" t="s">
        <v>10970</v>
      </c>
      <c r="C720" s="74" t="s">
        <v>10971</v>
      </c>
      <c r="D720" s="74" t="s">
        <v>41</v>
      </c>
      <c r="E720" s="74" t="s">
        <v>9344</v>
      </c>
      <c r="F720" s="74" t="s">
        <v>9345</v>
      </c>
      <c r="G720" s="74" t="s">
        <v>9392</v>
      </c>
      <c r="H720" s="74" t="s">
        <v>200</v>
      </c>
      <c r="I720" s="74" t="s">
        <v>47</v>
      </c>
      <c r="J720" s="74" t="s">
        <v>9347</v>
      </c>
      <c r="K720" s="74" t="s">
        <v>10972</v>
      </c>
      <c r="L720" s="74" t="s">
        <v>331</v>
      </c>
    </row>
    <row r="721" spans="1:12" ht="41.4">
      <c r="A721" s="73">
        <v>720</v>
      </c>
      <c r="B721" s="74" t="s">
        <v>10973</v>
      </c>
      <c r="C721" s="74" t="s">
        <v>10974</v>
      </c>
      <c r="D721" s="74" t="s">
        <v>41</v>
      </c>
      <c r="E721" s="74" t="s">
        <v>9344</v>
      </c>
      <c r="F721" s="74" t="s">
        <v>9345</v>
      </c>
      <c r="G721" s="74" t="s">
        <v>9591</v>
      </c>
      <c r="H721" s="74" t="s">
        <v>130</v>
      </c>
      <c r="I721" s="74" t="s">
        <v>47</v>
      </c>
      <c r="J721" s="74" t="s">
        <v>9347</v>
      </c>
      <c r="K721" s="74"/>
      <c r="L721" s="74"/>
    </row>
    <row r="722" spans="1:12" ht="41.4">
      <c r="A722" s="73">
        <v>721</v>
      </c>
      <c r="B722" s="74" t="s">
        <v>10975</v>
      </c>
      <c r="C722" s="74" t="s">
        <v>10976</v>
      </c>
      <c r="D722" s="74" t="s">
        <v>41</v>
      </c>
      <c r="E722" s="74" t="s">
        <v>9344</v>
      </c>
      <c r="F722" s="74" t="s">
        <v>9345</v>
      </c>
      <c r="G722" s="74" t="s">
        <v>9591</v>
      </c>
      <c r="H722" s="74" t="s">
        <v>130</v>
      </c>
      <c r="I722" s="74" t="s">
        <v>47</v>
      </c>
      <c r="J722" s="74" t="s">
        <v>9347</v>
      </c>
      <c r="K722" s="74"/>
      <c r="L722" s="74"/>
    </row>
    <row r="723" spans="1:12" ht="69">
      <c r="A723" s="73">
        <v>722</v>
      </c>
      <c r="B723" s="74" t="s">
        <v>10977</v>
      </c>
      <c r="C723" s="74" t="s">
        <v>10978</v>
      </c>
      <c r="D723" s="74" t="s">
        <v>41</v>
      </c>
      <c r="E723" s="74" t="s">
        <v>9344</v>
      </c>
      <c r="F723" s="74" t="s">
        <v>9345</v>
      </c>
      <c r="G723" s="74" t="s">
        <v>9824</v>
      </c>
      <c r="H723" s="74" t="s">
        <v>46</v>
      </c>
      <c r="I723" s="74" t="s">
        <v>47</v>
      </c>
      <c r="J723" s="74" t="s">
        <v>9351</v>
      </c>
      <c r="K723" s="74" t="s">
        <v>10979</v>
      </c>
      <c r="L723" s="74" t="s">
        <v>331</v>
      </c>
    </row>
    <row r="724" spans="1:12" ht="41.4">
      <c r="A724" s="73">
        <v>723</v>
      </c>
      <c r="B724" s="74" t="s">
        <v>10980</v>
      </c>
      <c r="C724" s="74" t="s">
        <v>10981</v>
      </c>
      <c r="D724" s="74" t="s">
        <v>41</v>
      </c>
      <c r="E724" s="74" t="s">
        <v>9344</v>
      </c>
      <c r="F724" s="74" t="s">
        <v>9345</v>
      </c>
      <c r="G724" s="74" t="s">
        <v>9757</v>
      </c>
      <c r="H724" s="74" t="s">
        <v>200</v>
      </c>
      <c r="I724" s="74" t="s">
        <v>47</v>
      </c>
      <c r="J724" s="74" t="s">
        <v>9347</v>
      </c>
      <c r="K724" s="74"/>
      <c r="L724" s="74"/>
    </row>
    <row r="725" spans="1:12" ht="41.4">
      <c r="A725" s="73">
        <v>724</v>
      </c>
      <c r="B725" s="74" t="s">
        <v>10982</v>
      </c>
      <c r="C725" s="74" t="s">
        <v>1309</v>
      </c>
      <c r="D725" s="74" t="s">
        <v>41</v>
      </c>
      <c r="E725" s="74" t="s">
        <v>9344</v>
      </c>
      <c r="F725" s="74" t="s">
        <v>9345</v>
      </c>
      <c r="G725" s="74" t="s">
        <v>9648</v>
      </c>
      <c r="H725" s="74" t="s">
        <v>200</v>
      </c>
      <c r="I725" s="74" t="s">
        <v>47</v>
      </c>
      <c r="J725" s="74" t="s">
        <v>9351</v>
      </c>
      <c r="K725" s="74"/>
      <c r="L725" s="74"/>
    </row>
    <row r="726" spans="1:12" ht="69">
      <c r="A726" s="73">
        <v>725</v>
      </c>
      <c r="B726" s="74" t="s">
        <v>10983</v>
      </c>
      <c r="C726" s="74" t="s">
        <v>3154</v>
      </c>
      <c r="D726" s="74" t="s">
        <v>89</v>
      </c>
      <c r="E726" s="74" t="s">
        <v>9344</v>
      </c>
      <c r="F726" s="74" t="s">
        <v>9345</v>
      </c>
      <c r="G726" s="74" t="s">
        <v>9528</v>
      </c>
      <c r="H726" s="74" t="s">
        <v>91</v>
      </c>
      <c r="I726" s="74" t="s">
        <v>47</v>
      </c>
      <c r="J726" s="74" t="s">
        <v>9351</v>
      </c>
      <c r="K726" s="74" t="s">
        <v>10984</v>
      </c>
      <c r="L726" s="74" t="s">
        <v>711</v>
      </c>
    </row>
    <row r="727" spans="1:12" ht="69">
      <c r="A727" s="73">
        <v>726</v>
      </c>
      <c r="B727" s="74" t="s">
        <v>10985</v>
      </c>
      <c r="C727" s="74" t="s">
        <v>10986</v>
      </c>
      <c r="D727" s="74" t="s">
        <v>41</v>
      </c>
      <c r="E727" s="74" t="s">
        <v>9344</v>
      </c>
      <c r="F727" s="74" t="s">
        <v>9345</v>
      </c>
      <c r="G727" s="74" t="s">
        <v>9413</v>
      </c>
      <c r="H727" s="74" t="s">
        <v>46</v>
      </c>
      <c r="I727" s="74" t="s">
        <v>47</v>
      </c>
      <c r="J727" s="74" t="s">
        <v>9347</v>
      </c>
      <c r="K727" s="74" t="s">
        <v>10987</v>
      </c>
      <c r="L727" s="74" t="s">
        <v>331</v>
      </c>
    </row>
    <row r="728" spans="1:12" ht="41.4">
      <c r="A728" s="73">
        <v>727</v>
      </c>
      <c r="B728" s="74" t="s">
        <v>10988</v>
      </c>
      <c r="C728" s="74" t="s">
        <v>10989</v>
      </c>
      <c r="D728" s="74" t="s">
        <v>295</v>
      </c>
      <c r="E728" s="74" t="s">
        <v>9344</v>
      </c>
      <c r="F728" s="74" t="s">
        <v>9345</v>
      </c>
      <c r="G728" s="74" t="s">
        <v>9355</v>
      </c>
      <c r="H728" s="74" t="s">
        <v>297</v>
      </c>
      <c r="I728" s="74" t="s">
        <v>47</v>
      </c>
      <c r="J728" s="74" t="s">
        <v>9347</v>
      </c>
      <c r="K728" s="74" t="s">
        <v>10990</v>
      </c>
      <c r="L728" s="74" t="s">
        <v>318</v>
      </c>
    </row>
    <row r="729" spans="1:12" ht="41.4">
      <c r="A729" s="73">
        <v>728</v>
      </c>
      <c r="B729" s="74" t="s">
        <v>10991</v>
      </c>
      <c r="C729" s="74" t="s">
        <v>348</v>
      </c>
      <c r="D729" s="74" t="s">
        <v>41</v>
      </c>
      <c r="E729" s="74" t="s">
        <v>9344</v>
      </c>
      <c r="F729" s="74" t="s">
        <v>9345</v>
      </c>
      <c r="G729" s="74" t="s">
        <v>9757</v>
      </c>
      <c r="H729" s="74" t="s">
        <v>200</v>
      </c>
      <c r="I729" s="74" t="s">
        <v>47</v>
      </c>
      <c r="J729" s="74" t="s">
        <v>9347</v>
      </c>
      <c r="K729" s="74"/>
      <c r="L729" s="74"/>
    </row>
    <row r="730" spans="1:12" ht="69">
      <c r="A730" s="73">
        <v>729</v>
      </c>
      <c r="B730" s="74" t="s">
        <v>10992</v>
      </c>
      <c r="C730" s="74" t="s">
        <v>10993</v>
      </c>
      <c r="D730" s="74" t="s">
        <v>41</v>
      </c>
      <c r="E730" s="74" t="s">
        <v>9344</v>
      </c>
      <c r="F730" s="74" t="s">
        <v>9345</v>
      </c>
      <c r="G730" s="74" t="s">
        <v>9368</v>
      </c>
      <c r="H730" s="74" t="s">
        <v>46</v>
      </c>
      <c r="I730" s="74" t="s">
        <v>47</v>
      </c>
      <c r="J730" s="74" t="s">
        <v>9347</v>
      </c>
      <c r="K730" s="74" t="s">
        <v>10994</v>
      </c>
      <c r="L730" s="74" t="s">
        <v>331</v>
      </c>
    </row>
    <row r="731" spans="1:12" ht="55.2">
      <c r="A731" s="73">
        <v>730</v>
      </c>
      <c r="B731" s="74" t="s">
        <v>10995</v>
      </c>
      <c r="C731" s="74" t="s">
        <v>5834</v>
      </c>
      <c r="D731" s="74" t="s">
        <v>143</v>
      </c>
      <c r="E731" s="74" t="s">
        <v>9344</v>
      </c>
      <c r="F731" s="74" t="s">
        <v>9345</v>
      </c>
      <c r="G731" s="74" t="s">
        <v>9514</v>
      </c>
      <c r="H731" s="74" t="s">
        <v>327</v>
      </c>
      <c r="I731" s="74" t="s">
        <v>47</v>
      </c>
      <c r="J731" s="74" t="s">
        <v>9351</v>
      </c>
      <c r="K731" s="74" t="s">
        <v>10996</v>
      </c>
      <c r="L731" s="74" t="s">
        <v>370</v>
      </c>
    </row>
    <row r="732" spans="1:12" ht="69">
      <c r="A732" s="73">
        <v>731</v>
      </c>
      <c r="B732" s="74" t="s">
        <v>10997</v>
      </c>
      <c r="C732" s="74" t="s">
        <v>10998</v>
      </c>
      <c r="D732" s="74" t="s">
        <v>41</v>
      </c>
      <c r="E732" s="74" t="s">
        <v>9344</v>
      </c>
      <c r="F732" s="74" t="s">
        <v>9345</v>
      </c>
      <c r="G732" s="74" t="s">
        <v>9368</v>
      </c>
      <c r="H732" s="74" t="s">
        <v>46</v>
      </c>
      <c r="I732" s="74" t="s">
        <v>47</v>
      </c>
      <c r="J732" s="74" t="s">
        <v>9347</v>
      </c>
      <c r="K732" s="74"/>
      <c r="L732" s="74"/>
    </row>
    <row r="733" spans="1:12" ht="69">
      <c r="A733" s="73">
        <v>732</v>
      </c>
      <c r="B733" s="74" t="s">
        <v>10999</v>
      </c>
      <c r="C733" s="74" t="s">
        <v>2103</v>
      </c>
      <c r="D733" s="74" t="s">
        <v>41</v>
      </c>
      <c r="E733" s="74" t="s">
        <v>9344</v>
      </c>
      <c r="F733" s="74" t="s">
        <v>9345</v>
      </c>
      <c r="G733" s="74" t="s">
        <v>9824</v>
      </c>
      <c r="H733" s="74" t="s">
        <v>46</v>
      </c>
      <c r="I733" s="74" t="s">
        <v>47</v>
      </c>
      <c r="J733" s="74" t="s">
        <v>9351</v>
      </c>
      <c r="K733" s="74" t="s">
        <v>11000</v>
      </c>
      <c r="L733" s="74" t="s">
        <v>318</v>
      </c>
    </row>
    <row r="734" spans="1:12" ht="41.4">
      <c r="A734" s="73">
        <v>733</v>
      </c>
      <c r="B734" s="74" t="s">
        <v>11001</v>
      </c>
      <c r="C734" s="74" t="s">
        <v>11002</v>
      </c>
      <c r="D734" s="74" t="s">
        <v>41</v>
      </c>
      <c r="E734" s="74" t="s">
        <v>9344</v>
      </c>
      <c r="F734" s="74" t="s">
        <v>9345</v>
      </c>
      <c r="G734" s="74" t="s">
        <v>9757</v>
      </c>
      <c r="H734" s="74" t="s">
        <v>200</v>
      </c>
      <c r="I734" s="74" t="s">
        <v>47</v>
      </c>
      <c r="J734" s="74" t="s">
        <v>9351</v>
      </c>
      <c r="K734" s="74" t="s">
        <v>11003</v>
      </c>
      <c r="L734" s="74" t="s">
        <v>3561</v>
      </c>
    </row>
    <row r="735" spans="1:12" ht="69">
      <c r="A735" s="73">
        <v>734</v>
      </c>
      <c r="B735" s="74" t="s">
        <v>11004</v>
      </c>
      <c r="C735" s="74" t="s">
        <v>8212</v>
      </c>
      <c r="D735" s="74" t="s">
        <v>41</v>
      </c>
      <c r="E735" s="74" t="s">
        <v>9344</v>
      </c>
      <c r="F735" s="74" t="s">
        <v>9345</v>
      </c>
      <c r="G735" s="74" t="s">
        <v>9385</v>
      </c>
      <c r="H735" s="74" t="s">
        <v>46</v>
      </c>
      <c r="I735" s="74" t="s">
        <v>47</v>
      </c>
      <c r="J735" s="74" t="s">
        <v>9351</v>
      </c>
      <c r="K735" s="74"/>
      <c r="L735" s="74"/>
    </row>
    <row r="736" spans="1:12" ht="41.4">
      <c r="A736" s="73">
        <v>735</v>
      </c>
      <c r="B736" s="74" t="s">
        <v>11005</v>
      </c>
      <c r="C736" s="74" t="s">
        <v>11006</v>
      </c>
      <c r="D736" s="74" t="s">
        <v>153</v>
      </c>
      <c r="E736" s="74" t="s">
        <v>9344</v>
      </c>
      <c r="F736" s="74" t="s">
        <v>9345</v>
      </c>
      <c r="G736" s="74" t="s">
        <v>9454</v>
      </c>
      <c r="H736" s="74" t="s">
        <v>155</v>
      </c>
      <c r="I736" s="74" t="s">
        <v>47</v>
      </c>
      <c r="J736" s="74" t="s">
        <v>9347</v>
      </c>
      <c r="K736" s="74"/>
      <c r="L736" s="74"/>
    </row>
    <row r="737" spans="1:12" ht="55.2">
      <c r="A737" s="73">
        <v>736</v>
      </c>
      <c r="B737" s="74" t="s">
        <v>11007</v>
      </c>
      <c r="C737" s="74" t="s">
        <v>11008</v>
      </c>
      <c r="D737" s="74" t="s">
        <v>153</v>
      </c>
      <c r="E737" s="74" t="s">
        <v>9344</v>
      </c>
      <c r="F737" s="74" t="s">
        <v>9345</v>
      </c>
      <c r="G737" s="74" t="s">
        <v>9993</v>
      </c>
      <c r="H737" s="74" t="s">
        <v>155</v>
      </c>
      <c r="I737" s="74" t="s">
        <v>47</v>
      </c>
      <c r="J737" s="74" t="s">
        <v>9347</v>
      </c>
      <c r="K737" s="74"/>
      <c r="L737" s="74"/>
    </row>
    <row r="738" spans="1:12" ht="69">
      <c r="A738" s="73">
        <v>737</v>
      </c>
      <c r="B738" s="74" t="s">
        <v>11009</v>
      </c>
      <c r="C738" s="74" t="s">
        <v>6292</v>
      </c>
      <c r="D738" s="74" t="s">
        <v>89</v>
      </c>
      <c r="E738" s="74" t="s">
        <v>9344</v>
      </c>
      <c r="F738" s="74" t="s">
        <v>9345</v>
      </c>
      <c r="G738" s="74" t="s">
        <v>9528</v>
      </c>
      <c r="H738" s="74" t="s">
        <v>91</v>
      </c>
      <c r="I738" s="74" t="s">
        <v>47</v>
      </c>
      <c r="J738" s="74" t="s">
        <v>9351</v>
      </c>
      <c r="K738" s="74" t="s">
        <v>11010</v>
      </c>
      <c r="L738" s="74" t="s">
        <v>711</v>
      </c>
    </row>
    <row r="739" spans="1:12" ht="69">
      <c r="A739" s="73">
        <v>738</v>
      </c>
      <c r="B739" s="74" t="s">
        <v>11011</v>
      </c>
      <c r="C739" s="74" t="s">
        <v>11012</v>
      </c>
      <c r="D739" s="74" t="s">
        <v>89</v>
      </c>
      <c r="E739" s="74" t="s">
        <v>9344</v>
      </c>
      <c r="F739" s="74" t="s">
        <v>9345</v>
      </c>
      <c r="G739" s="74" t="s">
        <v>9682</v>
      </c>
      <c r="H739" s="74" t="s">
        <v>91</v>
      </c>
      <c r="I739" s="74" t="s">
        <v>92</v>
      </c>
      <c r="J739" s="74" t="s">
        <v>9351</v>
      </c>
      <c r="K739" s="74" t="s">
        <v>11013</v>
      </c>
      <c r="L739" s="74" t="s">
        <v>711</v>
      </c>
    </row>
    <row r="740" spans="1:12" ht="41.4">
      <c r="A740" s="73">
        <v>739</v>
      </c>
      <c r="B740" s="74" t="s">
        <v>11014</v>
      </c>
      <c r="C740" s="74" t="s">
        <v>11015</v>
      </c>
      <c r="D740" s="74" t="s">
        <v>153</v>
      </c>
      <c r="E740" s="74" t="s">
        <v>9344</v>
      </c>
      <c r="F740" s="74" t="s">
        <v>9345</v>
      </c>
      <c r="G740" s="74" t="s">
        <v>9686</v>
      </c>
      <c r="H740" s="74" t="s">
        <v>155</v>
      </c>
      <c r="I740" s="74" t="s">
        <v>47</v>
      </c>
      <c r="J740" s="74" t="s">
        <v>9347</v>
      </c>
      <c r="K740" s="74"/>
      <c r="L740" s="74"/>
    </row>
    <row r="741" spans="1:12" ht="69">
      <c r="A741" s="73">
        <v>740</v>
      </c>
      <c r="B741" s="74" t="s">
        <v>11016</v>
      </c>
      <c r="C741" s="74" t="s">
        <v>11017</v>
      </c>
      <c r="D741" s="74" t="s">
        <v>89</v>
      </c>
      <c r="E741" s="74" t="s">
        <v>9344</v>
      </c>
      <c r="F741" s="74" t="s">
        <v>9345</v>
      </c>
      <c r="G741" s="74" t="s">
        <v>9682</v>
      </c>
      <c r="H741" s="74" t="s">
        <v>91</v>
      </c>
      <c r="I741" s="74" t="s">
        <v>47</v>
      </c>
      <c r="J741" s="74" t="s">
        <v>9351</v>
      </c>
      <c r="K741" s="74" t="s">
        <v>11018</v>
      </c>
      <c r="L741" s="74" t="s">
        <v>711</v>
      </c>
    </row>
    <row r="742" spans="1:12" ht="69">
      <c r="A742" s="73">
        <v>741</v>
      </c>
      <c r="B742" s="74" t="s">
        <v>11019</v>
      </c>
      <c r="C742" s="74" t="s">
        <v>11020</v>
      </c>
      <c r="D742" s="74" t="s">
        <v>89</v>
      </c>
      <c r="E742" s="74" t="s">
        <v>9344</v>
      </c>
      <c r="F742" s="74" t="s">
        <v>9345</v>
      </c>
      <c r="G742" s="74" t="s">
        <v>9528</v>
      </c>
      <c r="H742" s="74" t="s">
        <v>91</v>
      </c>
      <c r="I742" s="74" t="s">
        <v>92</v>
      </c>
      <c r="J742" s="74" t="s">
        <v>9351</v>
      </c>
      <c r="K742" s="74" t="s">
        <v>11021</v>
      </c>
      <c r="L742" s="74" t="s">
        <v>711</v>
      </c>
    </row>
    <row r="743" spans="1:12" ht="41.4">
      <c r="A743" s="73">
        <v>742</v>
      </c>
      <c r="B743" s="74" t="s">
        <v>11022</v>
      </c>
      <c r="C743" s="74" t="s">
        <v>11023</v>
      </c>
      <c r="D743" s="74" t="s">
        <v>41</v>
      </c>
      <c r="E743" s="74" t="s">
        <v>9344</v>
      </c>
      <c r="F743" s="74" t="s">
        <v>9345</v>
      </c>
      <c r="G743" s="74" t="s">
        <v>9405</v>
      </c>
      <c r="H743" s="74" t="s">
        <v>662</v>
      </c>
      <c r="I743" s="74" t="s">
        <v>47</v>
      </c>
      <c r="J743" s="74" t="s">
        <v>9351</v>
      </c>
      <c r="K743" s="74"/>
      <c r="L743" s="74"/>
    </row>
    <row r="744" spans="1:12" ht="69">
      <c r="A744" s="73">
        <v>743</v>
      </c>
      <c r="B744" s="74" t="s">
        <v>11024</v>
      </c>
      <c r="C744" s="74" t="s">
        <v>3087</v>
      </c>
      <c r="D744" s="74" t="s">
        <v>89</v>
      </c>
      <c r="E744" s="74" t="s">
        <v>9344</v>
      </c>
      <c r="F744" s="74" t="s">
        <v>9345</v>
      </c>
      <c r="G744" s="74" t="s">
        <v>9528</v>
      </c>
      <c r="H744" s="74" t="s">
        <v>91</v>
      </c>
      <c r="I744" s="74" t="s">
        <v>47</v>
      </c>
      <c r="J744" s="74" t="s">
        <v>9351</v>
      </c>
      <c r="K744" s="74" t="s">
        <v>11025</v>
      </c>
      <c r="L744" s="74" t="s">
        <v>711</v>
      </c>
    </row>
    <row r="745" spans="1:12" ht="41.4">
      <c r="A745" s="73">
        <v>744</v>
      </c>
      <c r="B745" s="74" t="s">
        <v>11026</v>
      </c>
      <c r="C745" s="74" t="s">
        <v>11027</v>
      </c>
      <c r="D745" s="74" t="s">
        <v>153</v>
      </c>
      <c r="E745" s="74" t="s">
        <v>9344</v>
      </c>
      <c r="F745" s="74" t="s">
        <v>9345</v>
      </c>
      <c r="G745" s="74" t="s">
        <v>10033</v>
      </c>
      <c r="H745" s="74" t="s">
        <v>155</v>
      </c>
      <c r="I745" s="74" t="s">
        <v>47</v>
      </c>
      <c r="J745" s="74" t="s">
        <v>9347</v>
      </c>
      <c r="K745" s="74"/>
      <c r="L745" s="74"/>
    </row>
    <row r="746" spans="1:12" ht="41.4">
      <c r="A746" s="73">
        <v>745</v>
      </c>
      <c r="B746" s="74" t="s">
        <v>11028</v>
      </c>
      <c r="C746" s="74" t="s">
        <v>11029</v>
      </c>
      <c r="D746" s="74" t="s">
        <v>153</v>
      </c>
      <c r="E746" s="74" t="s">
        <v>9344</v>
      </c>
      <c r="F746" s="74" t="s">
        <v>9345</v>
      </c>
      <c r="G746" s="74" t="s">
        <v>9993</v>
      </c>
      <c r="H746" s="74" t="s">
        <v>155</v>
      </c>
      <c r="I746" s="74" t="s">
        <v>47</v>
      </c>
      <c r="J746" s="74" t="s">
        <v>9347</v>
      </c>
      <c r="K746" s="74"/>
      <c r="L746" s="74"/>
    </row>
    <row r="747" spans="1:12" ht="41.4">
      <c r="A747" s="73">
        <v>746</v>
      </c>
      <c r="B747" s="74" t="s">
        <v>11030</v>
      </c>
      <c r="C747" s="74" t="s">
        <v>11031</v>
      </c>
      <c r="D747" s="74" t="s">
        <v>41</v>
      </c>
      <c r="E747" s="74" t="s">
        <v>9344</v>
      </c>
      <c r="F747" s="74" t="s">
        <v>9345</v>
      </c>
      <c r="G747" s="74" t="s">
        <v>9410</v>
      </c>
      <c r="H747" s="74" t="s">
        <v>130</v>
      </c>
      <c r="I747" s="74" t="s">
        <v>47</v>
      </c>
      <c r="J747" s="74" t="s">
        <v>9347</v>
      </c>
      <c r="K747" s="74" t="s">
        <v>11032</v>
      </c>
      <c r="L747" s="74" t="s">
        <v>318</v>
      </c>
    </row>
    <row r="748" spans="1:12" ht="55.2">
      <c r="A748" s="73">
        <v>747</v>
      </c>
      <c r="B748" s="74" t="s">
        <v>11033</v>
      </c>
      <c r="C748" s="74" t="s">
        <v>7463</v>
      </c>
      <c r="D748" s="74" t="s">
        <v>41</v>
      </c>
      <c r="E748" s="74" t="s">
        <v>9344</v>
      </c>
      <c r="F748" s="74" t="s">
        <v>9345</v>
      </c>
      <c r="G748" s="74" t="s">
        <v>9572</v>
      </c>
      <c r="H748" s="74" t="s">
        <v>479</v>
      </c>
      <c r="I748" s="74" t="s">
        <v>47</v>
      </c>
      <c r="J748" s="74" t="s">
        <v>9351</v>
      </c>
      <c r="K748" s="74"/>
      <c r="L748" s="74"/>
    </row>
    <row r="749" spans="1:12" ht="69">
      <c r="A749" s="73">
        <v>748</v>
      </c>
      <c r="B749" s="74" t="s">
        <v>11034</v>
      </c>
      <c r="C749" s="74" t="s">
        <v>11035</v>
      </c>
      <c r="D749" s="74" t="s">
        <v>41</v>
      </c>
      <c r="E749" s="74" t="s">
        <v>9344</v>
      </c>
      <c r="F749" s="74" t="s">
        <v>9345</v>
      </c>
      <c r="G749" s="74" t="s">
        <v>9368</v>
      </c>
      <c r="H749" s="74" t="s">
        <v>46</v>
      </c>
      <c r="I749" s="74" t="s">
        <v>47</v>
      </c>
      <c r="J749" s="74" t="s">
        <v>9347</v>
      </c>
      <c r="K749" s="74"/>
      <c r="L749" s="74"/>
    </row>
    <row r="750" spans="1:12" ht="55.2">
      <c r="A750" s="73">
        <v>749</v>
      </c>
      <c r="B750" s="74" t="s">
        <v>11036</v>
      </c>
      <c r="C750" s="74" t="s">
        <v>11037</v>
      </c>
      <c r="D750" s="74" t="s">
        <v>143</v>
      </c>
      <c r="E750" s="74" t="s">
        <v>9344</v>
      </c>
      <c r="F750" s="74" t="s">
        <v>9345</v>
      </c>
      <c r="G750" s="74" t="s">
        <v>9375</v>
      </c>
      <c r="H750" s="74" t="s">
        <v>327</v>
      </c>
      <c r="I750" s="74" t="s">
        <v>47</v>
      </c>
      <c r="J750" s="74" t="s">
        <v>9351</v>
      </c>
      <c r="K750" s="74" t="s">
        <v>11038</v>
      </c>
      <c r="L750" s="74" t="s">
        <v>370</v>
      </c>
    </row>
    <row r="751" spans="1:12" ht="55.2">
      <c r="A751" s="73">
        <v>750</v>
      </c>
      <c r="B751" s="74" t="s">
        <v>11039</v>
      </c>
      <c r="C751" s="74" t="s">
        <v>6282</v>
      </c>
      <c r="D751" s="74" t="s">
        <v>143</v>
      </c>
      <c r="E751" s="74" t="s">
        <v>9344</v>
      </c>
      <c r="F751" s="74" t="s">
        <v>9345</v>
      </c>
      <c r="G751" s="74" t="s">
        <v>9916</v>
      </c>
      <c r="H751" s="74" t="s">
        <v>327</v>
      </c>
      <c r="I751" s="74" t="s">
        <v>47</v>
      </c>
      <c r="J751" s="74" t="s">
        <v>9351</v>
      </c>
      <c r="K751" s="74" t="s">
        <v>11040</v>
      </c>
      <c r="L751" s="74" t="s">
        <v>370</v>
      </c>
    </row>
    <row r="752" spans="1:12" ht="69">
      <c r="A752" s="73">
        <v>751</v>
      </c>
      <c r="B752" s="74" t="s">
        <v>11041</v>
      </c>
      <c r="C752" s="74" t="s">
        <v>11042</v>
      </c>
      <c r="D752" s="74" t="s">
        <v>41</v>
      </c>
      <c r="E752" s="74" t="s">
        <v>9344</v>
      </c>
      <c r="F752" s="74" t="s">
        <v>9345</v>
      </c>
      <c r="G752" s="74" t="s">
        <v>9385</v>
      </c>
      <c r="H752" s="74" t="s">
        <v>46</v>
      </c>
      <c r="I752" s="74" t="s">
        <v>47</v>
      </c>
      <c r="J752" s="74" t="s">
        <v>9351</v>
      </c>
      <c r="K752" s="74" t="s">
        <v>11043</v>
      </c>
      <c r="L752" s="74" t="s">
        <v>331</v>
      </c>
    </row>
    <row r="753" spans="1:12" ht="55.2">
      <c r="A753" s="73">
        <v>752</v>
      </c>
      <c r="B753" s="74" t="s">
        <v>11044</v>
      </c>
      <c r="C753" s="74" t="s">
        <v>1541</v>
      </c>
      <c r="D753" s="74" t="s">
        <v>143</v>
      </c>
      <c r="E753" s="74" t="s">
        <v>9344</v>
      </c>
      <c r="F753" s="74" t="s">
        <v>9345</v>
      </c>
      <c r="G753" s="74" t="s">
        <v>9534</v>
      </c>
      <c r="H753" s="74" t="s">
        <v>145</v>
      </c>
      <c r="I753" s="74" t="s">
        <v>47</v>
      </c>
      <c r="J753" s="74" t="s">
        <v>9351</v>
      </c>
      <c r="K753" s="74" t="s">
        <v>11045</v>
      </c>
      <c r="L753" s="74" t="s">
        <v>251</v>
      </c>
    </row>
    <row r="754" spans="1:12" ht="55.2">
      <c r="A754" s="73">
        <v>753</v>
      </c>
      <c r="B754" s="74" t="s">
        <v>11046</v>
      </c>
      <c r="C754" s="74" t="s">
        <v>11047</v>
      </c>
      <c r="D754" s="74" t="s">
        <v>143</v>
      </c>
      <c r="E754" s="74" t="s">
        <v>9344</v>
      </c>
      <c r="F754" s="74" t="s">
        <v>9345</v>
      </c>
      <c r="G754" s="74" t="s">
        <v>9916</v>
      </c>
      <c r="H754" s="74" t="s">
        <v>327</v>
      </c>
      <c r="I754" s="74" t="s">
        <v>47</v>
      </c>
      <c r="J754" s="74" t="s">
        <v>9351</v>
      </c>
      <c r="K754" s="74" t="s">
        <v>11048</v>
      </c>
      <c r="L754" s="74" t="s">
        <v>370</v>
      </c>
    </row>
    <row r="755" spans="1:12" ht="55.2">
      <c r="A755" s="73">
        <v>754</v>
      </c>
      <c r="B755" s="74" t="s">
        <v>11049</v>
      </c>
      <c r="C755" s="74" t="s">
        <v>6508</v>
      </c>
      <c r="D755" s="74" t="s">
        <v>41</v>
      </c>
      <c r="E755" s="74" t="s">
        <v>9344</v>
      </c>
      <c r="F755" s="74" t="s">
        <v>9345</v>
      </c>
      <c r="G755" s="74" t="s">
        <v>9665</v>
      </c>
      <c r="H755" s="74" t="s">
        <v>662</v>
      </c>
      <c r="I755" s="74" t="s">
        <v>47</v>
      </c>
      <c r="J755" s="74" t="s">
        <v>9351</v>
      </c>
      <c r="K755" s="74" t="s">
        <v>11050</v>
      </c>
      <c r="L755" s="74" t="s">
        <v>331</v>
      </c>
    </row>
    <row r="756" spans="1:12" ht="69">
      <c r="A756" s="73">
        <v>755</v>
      </c>
      <c r="B756" s="74" t="s">
        <v>11051</v>
      </c>
      <c r="C756" s="74" t="s">
        <v>11052</v>
      </c>
      <c r="D756" s="74" t="s">
        <v>41</v>
      </c>
      <c r="E756" s="74" t="s">
        <v>9344</v>
      </c>
      <c r="F756" s="74" t="s">
        <v>9345</v>
      </c>
      <c r="G756" s="74" t="s">
        <v>9385</v>
      </c>
      <c r="H756" s="74" t="s">
        <v>46</v>
      </c>
      <c r="I756" s="74" t="s">
        <v>47</v>
      </c>
      <c r="J756" s="74" t="s">
        <v>9351</v>
      </c>
      <c r="K756" s="74" t="s">
        <v>11053</v>
      </c>
      <c r="L756" s="74" t="s">
        <v>331</v>
      </c>
    </row>
    <row r="757" spans="1:12" ht="41.4">
      <c r="A757" s="73">
        <v>756</v>
      </c>
      <c r="B757" s="74" t="s">
        <v>11054</v>
      </c>
      <c r="C757" s="74" t="s">
        <v>5917</v>
      </c>
      <c r="D757" s="74" t="s">
        <v>89</v>
      </c>
      <c r="E757" s="74" t="s">
        <v>9344</v>
      </c>
      <c r="F757" s="74" t="s">
        <v>9345</v>
      </c>
      <c r="G757" s="74" t="s">
        <v>9556</v>
      </c>
      <c r="H757" s="74" t="s">
        <v>102</v>
      </c>
      <c r="I757" s="74" t="s">
        <v>47</v>
      </c>
      <c r="J757" s="74" t="s">
        <v>9351</v>
      </c>
      <c r="K757" s="74" t="s">
        <v>11055</v>
      </c>
      <c r="L757" s="74" t="s">
        <v>711</v>
      </c>
    </row>
    <row r="758" spans="1:12" ht="41.4">
      <c r="A758" s="73">
        <v>757</v>
      </c>
      <c r="B758" s="74" t="s">
        <v>11056</v>
      </c>
      <c r="C758" s="74" t="s">
        <v>8107</v>
      </c>
      <c r="D758" s="74" t="s">
        <v>143</v>
      </c>
      <c r="E758" s="74" t="s">
        <v>9344</v>
      </c>
      <c r="F758" s="74" t="s">
        <v>9345</v>
      </c>
      <c r="G758" s="74" t="s">
        <v>10267</v>
      </c>
      <c r="H758" s="74" t="s">
        <v>400</v>
      </c>
      <c r="I758" s="74" t="s">
        <v>47</v>
      </c>
      <c r="J758" s="74" t="s">
        <v>9347</v>
      </c>
      <c r="K758" s="74" t="s">
        <v>11057</v>
      </c>
      <c r="L758" s="74" t="s">
        <v>251</v>
      </c>
    </row>
    <row r="759" spans="1:12" ht="69">
      <c r="A759" s="73">
        <v>758</v>
      </c>
      <c r="B759" s="74" t="s">
        <v>11058</v>
      </c>
      <c r="C759" s="74" t="s">
        <v>3572</v>
      </c>
      <c r="D759" s="74" t="s">
        <v>89</v>
      </c>
      <c r="E759" s="74" t="s">
        <v>9344</v>
      </c>
      <c r="F759" s="74" t="s">
        <v>9345</v>
      </c>
      <c r="G759" s="74" t="s">
        <v>9682</v>
      </c>
      <c r="H759" s="74" t="s">
        <v>91</v>
      </c>
      <c r="I759" s="74" t="s">
        <v>47</v>
      </c>
      <c r="J759" s="74" t="s">
        <v>9351</v>
      </c>
      <c r="K759" s="74" t="s">
        <v>11059</v>
      </c>
      <c r="L759" s="74" t="s">
        <v>711</v>
      </c>
    </row>
    <row r="760" spans="1:12" ht="69">
      <c r="A760" s="73">
        <v>759</v>
      </c>
      <c r="B760" s="74" t="s">
        <v>11060</v>
      </c>
      <c r="C760" s="74" t="s">
        <v>11061</v>
      </c>
      <c r="D760" s="74" t="s">
        <v>41</v>
      </c>
      <c r="E760" s="74" t="s">
        <v>9344</v>
      </c>
      <c r="F760" s="74" t="s">
        <v>9345</v>
      </c>
      <c r="G760" s="74" t="s">
        <v>9413</v>
      </c>
      <c r="H760" s="74" t="s">
        <v>46</v>
      </c>
      <c r="I760" s="74" t="s">
        <v>47</v>
      </c>
      <c r="J760" s="74" t="s">
        <v>9347</v>
      </c>
      <c r="K760" s="74"/>
      <c r="L760" s="74"/>
    </row>
    <row r="761" spans="1:12" ht="55.2">
      <c r="A761" s="73">
        <v>760</v>
      </c>
      <c r="B761" s="74" t="s">
        <v>11062</v>
      </c>
      <c r="C761" s="74" t="s">
        <v>11063</v>
      </c>
      <c r="D761" s="74" t="s">
        <v>41</v>
      </c>
      <c r="E761" s="74" t="s">
        <v>9344</v>
      </c>
      <c r="F761" s="74" t="s">
        <v>9345</v>
      </c>
      <c r="G761" s="74" t="s">
        <v>9591</v>
      </c>
      <c r="H761" s="74" t="s">
        <v>130</v>
      </c>
      <c r="I761" s="74" t="s">
        <v>47</v>
      </c>
      <c r="J761" s="74" t="s">
        <v>9347</v>
      </c>
      <c r="K761" s="74"/>
      <c r="L761" s="74"/>
    </row>
    <row r="762" spans="1:12" ht="41.4">
      <c r="A762" s="73">
        <v>761</v>
      </c>
      <c r="B762" s="74" t="s">
        <v>11064</v>
      </c>
      <c r="C762" s="74" t="s">
        <v>11065</v>
      </c>
      <c r="D762" s="74" t="s">
        <v>41</v>
      </c>
      <c r="E762" s="74" t="s">
        <v>9344</v>
      </c>
      <c r="F762" s="74" t="s">
        <v>9345</v>
      </c>
      <c r="G762" s="74" t="s">
        <v>9648</v>
      </c>
      <c r="H762" s="74" t="s">
        <v>200</v>
      </c>
      <c r="I762" s="74" t="s">
        <v>47</v>
      </c>
      <c r="J762" s="74" t="s">
        <v>9347</v>
      </c>
      <c r="K762" s="74" t="s">
        <v>11066</v>
      </c>
      <c r="L762" s="74" t="s">
        <v>331</v>
      </c>
    </row>
    <row r="763" spans="1:12" ht="55.2">
      <c r="A763" s="73">
        <v>762</v>
      </c>
      <c r="B763" s="74" t="s">
        <v>11067</v>
      </c>
      <c r="C763" s="74" t="s">
        <v>11068</v>
      </c>
      <c r="D763" s="74" t="s">
        <v>41</v>
      </c>
      <c r="E763" s="74" t="s">
        <v>9344</v>
      </c>
      <c r="F763" s="74" t="s">
        <v>9345</v>
      </c>
      <c r="G763" s="74" t="s">
        <v>9500</v>
      </c>
      <c r="H763" s="74" t="s">
        <v>200</v>
      </c>
      <c r="I763" s="74" t="s">
        <v>47</v>
      </c>
      <c r="J763" s="74" t="s">
        <v>9351</v>
      </c>
      <c r="K763" s="74" t="s">
        <v>11069</v>
      </c>
      <c r="L763" s="74" t="s">
        <v>331</v>
      </c>
    </row>
    <row r="764" spans="1:12" ht="55.2">
      <c r="A764" s="73">
        <v>763</v>
      </c>
      <c r="B764" s="74" t="s">
        <v>11070</v>
      </c>
      <c r="C764" s="74" t="s">
        <v>8925</v>
      </c>
      <c r="D764" s="74" t="s">
        <v>143</v>
      </c>
      <c r="E764" s="74" t="s">
        <v>9344</v>
      </c>
      <c r="F764" s="74" t="s">
        <v>9345</v>
      </c>
      <c r="G764" s="74" t="s">
        <v>9534</v>
      </c>
      <c r="H764" s="74" t="s">
        <v>145</v>
      </c>
      <c r="I764" s="74" t="s">
        <v>47</v>
      </c>
      <c r="J764" s="74" t="s">
        <v>9351</v>
      </c>
      <c r="K764" s="74" t="s">
        <v>11071</v>
      </c>
      <c r="L764" s="74" t="s">
        <v>251</v>
      </c>
    </row>
    <row r="765" spans="1:12" ht="41.4">
      <c r="A765" s="73">
        <v>764</v>
      </c>
      <c r="B765" s="74" t="s">
        <v>11072</v>
      </c>
      <c r="C765" s="74" t="s">
        <v>7739</v>
      </c>
      <c r="D765" s="74" t="s">
        <v>41</v>
      </c>
      <c r="E765" s="74" t="s">
        <v>9344</v>
      </c>
      <c r="F765" s="74" t="s">
        <v>9345</v>
      </c>
      <c r="G765" s="74" t="s">
        <v>9776</v>
      </c>
      <c r="H765" s="74" t="s">
        <v>200</v>
      </c>
      <c r="I765" s="74" t="s">
        <v>47</v>
      </c>
      <c r="J765" s="74" t="s">
        <v>9347</v>
      </c>
      <c r="K765" s="74"/>
      <c r="L765" s="74"/>
    </row>
    <row r="766" spans="1:12" ht="41.4">
      <c r="A766" s="73">
        <v>765</v>
      </c>
      <c r="B766" s="74" t="s">
        <v>11073</v>
      </c>
      <c r="C766" s="74" t="s">
        <v>11074</v>
      </c>
      <c r="D766" s="74" t="s">
        <v>41</v>
      </c>
      <c r="E766" s="74" t="s">
        <v>9344</v>
      </c>
      <c r="F766" s="74" t="s">
        <v>9345</v>
      </c>
      <c r="G766" s="74" t="s">
        <v>9757</v>
      </c>
      <c r="H766" s="74" t="s">
        <v>200</v>
      </c>
      <c r="I766" s="74" t="s">
        <v>47</v>
      </c>
      <c r="J766" s="74" t="s">
        <v>9347</v>
      </c>
      <c r="K766" s="74"/>
      <c r="L766" s="74"/>
    </row>
    <row r="767" spans="1:12" ht="41.4">
      <c r="A767" s="73">
        <v>766</v>
      </c>
      <c r="B767" s="74" t="s">
        <v>11075</v>
      </c>
      <c r="C767" s="74" t="s">
        <v>2115</v>
      </c>
      <c r="D767" s="74" t="s">
        <v>41</v>
      </c>
      <c r="E767" s="74" t="s">
        <v>9344</v>
      </c>
      <c r="F767" s="74" t="s">
        <v>9345</v>
      </c>
      <c r="G767" s="74" t="s">
        <v>9410</v>
      </c>
      <c r="H767" s="74" t="s">
        <v>130</v>
      </c>
      <c r="I767" s="74" t="s">
        <v>47</v>
      </c>
      <c r="J767" s="74" t="s">
        <v>9347</v>
      </c>
      <c r="K767" s="74" t="s">
        <v>11076</v>
      </c>
      <c r="L767" s="74" t="s">
        <v>318</v>
      </c>
    </row>
    <row r="768" spans="1:12" ht="41.4">
      <c r="A768" s="73">
        <v>767</v>
      </c>
      <c r="B768" s="74" t="s">
        <v>11077</v>
      </c>
      <c r="C768" s="74" t="s">
        <v>11078</v>
      </c>
      <c r="D768" s="74" t="s">
        <v>41</v>
      </c>
      <c r="E768" s="74" t="s">
        <v>9344</v>
      </c>
      <c r="F768" s="74" t="s">
        <v>9345</v>
      </c>
      <c r="G768" s="74" t="s">
        <v>9500</v>
      </c>
      <c r="H768" s="74" t="s">
        <v>200</v>
      </c>
      <c r="I768" s="74" t="s">
        <v>47</v>
      </c>
      <c r="J768" s="74" t="s">
        <v>9351</v>
      </c>
      <c r="K768" s="74"/>
      <c r="L768" s="74"/>
    </row>
    <row r="769" spans="1:12" ht="41.4">
      <c r="A769" s="73">
        <v>768</v>
      </c>
      <c r="B769" s="74" t="s">
        <v>11079</v>
      </c>
      <c r="C769" s="74" t="s">
        <v>11080</v>
      </c>
      <c r="D769" s="74" t="s">
        <v>153</v>
      </c>
      <c r="E769" s="74" t="s">
        <v>9344</v>
      </c>
      <c r="F769" s="74" t="s">
        <v>9345</v>
      </c>
      <c r="G769" s="74" t="s">
        <v>9836</v>
      </c>
      <c r="H769" s="74" t="s">
        <v>155</v>
      </c>
      <c r="I769" s="74" t="s">
        <v>47</v>
      </c>
      <c r="J769" s="74" t="s">
        <v>9347</v>
      </c>
      <c r="K769" s="74"/>
      <c r="L769" s="74"/>
    </row>
    <row r="770" spans="1:12" ht="41.4">
      <c r="A770" s="73">
        <v>769</v>
      </c>
      <c r="B770" s="74" t="s">
        <v>11081</v>
      </c>
      <c r="C770" s="74" t="s">
        <v>11082</v>
      </c>
      <c r="D770" s="74" t="s">
        <v>41</v>
      </c>
      <c r="E770" s="74" t="s">
        <v>9344</v>
      </c>
      <c r="F770" s="74" t="s">
        <v>9345</v>
      </c>
      <c r="G770" s="74" t="s">
        <v>9405</v>
      </c>
      <c r="H770" s="74" t="s">
        <v>662</v>
      </c>
      <c r="I770" s="74" t="s">
        <v>47</v>
      </c>
      <c r="J770" s="74" t="s">
        <v>9347</v>
      </c>
      <c r="K770" s="74" t="s">
        <v>11083</v>
      </c>
      <c r="L770" s="74" t="s">
        <v>331</v>
      </c>
    </row>
    <row r="771" spans="1:12" ht="55.2">
      <c r="A771" s="73">
        <v>770</v>
      </c>
      <c r="B771" s="74" t="s">
        <v>11084</v>
      </c>
      <c r="C771" s="74" t="s">
        <v>7576</v>
      </c>
      <c r="D771" s="74" t="s">
        <v>143</v>
      </c>
      <c r="E771" s="74" t="s">
        <v>9344</v>
      </c>
      <c r="F771" s="74" t="s">
        <v>9345</v>
      </c>
      <c r="G771" s="74" t="s">
        <v>9534</v>
      </c>
      <c r="H771" s="74" t="s">
        <v>145</v>
      </c>
      <c r="I771" s="74" t="s">
        <v>47</v>
      </c>
      <c r="J771" s="74" t="s">
        <v>9351</v>
      </c>
      <c r="K771" s="74" t="s">
        <v>11085</v>
      </c>
      <c r="L771" s="74" t="s">
        <v>251</v>
      </c>
    </row>
    <row r="772" spans="1:12" ht="55.2">
      <c r="A772" s="73">
        <v>771</v>
      </c>
      <c r="B772" s="74" t="s">
        <v>11086</v>
      </c>
      <c r="C772" s="74" t="s">
        <v>11087</v>
      </c>
      <c r="D772" s="74" t="s">
        <v>41</v>
      </c>
      <c r="E772" s="74" t="s">
        <v>9344</v>
      </c>
      <c r="F772" s="74" t="s">
        <v>9345</v>
      </c>
      <c r="G772" s="74" t="s">
        <v>9776</v>
      </c>
      <c r="H772" s="74" t="s">
        <v>200</v>
      </c>
      <c r="I772" s="74" t="s">
        <v>47</v>
      </c>
      <c r="J772" s="74" t="s">
        <v>9347</v>
      </c>
      <c r="K772" s="74" t="s">
        <v>11088</v>
      </c>
      <c r="L772" s="74" t="s">
        <v>3561</v>
      </c>
    </row>
    <row r="773" spans="1:12" ht="55.2">
      <c r="A773" s="73">
        <v>772</v>
      </c>
      <c r="B773" s="74" t="s">
        <v>11089</v>
      </c>
      <c r="C773" s="74" t="s">
        <v>11090</v>
      </c>
      <c r="D773" s="74" t="s">
        <v>295</v>
      </c>
      <c r="E773" s="74" t="s">
        <v>9344</v>
      </c>
      <c r="F773" s="74" t="s">
        <v>9345</v>
      </c>
      <c r="G773" s="74" t="s">
        <v>9346</v>
      </c>
      <c r="H773" s="74" t="s">
        <v>297</v>
      </c>
      <c r="I773" s="74" t="s">
        <v>47</v>
      </c>
      <c r="J773" s="74" t="s">
        <v>9347</v>
      </c>
      <c r="K773" s="74"/>
      <c r="L773" s="74"/>
    </row>
    <row r="774" spans="1:12" ht="55.2">
      <c r="A774" s="73">
        <v>773</v>
      </c>
      <c r="B774" s="74" t="s">
        <v>11091</v>
      </c>
      <c r="C774" s="74" t="s">
        <v>11092</v>
      </c>
      <c r="D774" s="74" t="s">
        <v>41</v>
      </c>
      <c r="E774" s="74" t="s">
        <v>9344</v>
      </c>
      <c r="F774" s="74" t="s">
        <v>9345</v>
      </c>
      <c r="G774" s="74" t="s">
        <v>9500</v>
      </c>
      <c r="H774" s="74" t="s">
        <v>200</v>
      </c>
      <c r="I774" s="74" t="s">
        <v>47</v>
      </c>
      <c r="J774" s="74" t="s">
        <v>9347</v>
      </c>
      <c r="K774" s="74"/>
      <c r="L774" s="74"/>
    </row>
    <row r="775" spans="1:12" ht="41.4">
      <c r="A775" s="73">
        <v>774</v>
      </c>
      <c r="B775" s="74" t="s">
        <v>11093</v>
      </c>
      <c r="C775" s="74" t="s">
        <v>11094</v>
      </c>
      <c r="D775" s="74" t="s">
        <v>41</v>
      </c>
      <c r="E775" s="74" t="s">
        <v>9344</v>
      </c>
      <c r="F775" s="74" t="s">
        <v>9345</v>
      </c>
      <c r="G775" s="74" t="s">
        <v>9648</v>
      </c>
      <c r="H775" s="74" t="s">
        <v>200</v>
      </c>
      <c r="I775" s="74" t="s">
        <v>47</v>
      </c>
      <c r="J775" s="74" t="s">
        <v>9351</v>
      </c>
      <c r="K775" s="74" t="s">
        <v>11095</v>
      </c>
      <c r="L775" s="74" t="s">
        <v>897</v>
      </c>
    </row>
    <row r="776" spans="1:12" ht="41.4">
      <c r="A776" s="73">
        <v>775</v>
      </c>
      <c r="B776" s="74" t="s">
        <v>11096</v>
      </c>
      <c r="C776" s="74" t="s">
        <v>11097</v>
      </c>
      <c r="D776" s="74" t="s">
        <v>41</v>
      </c>
      <c r="E776" s="74" t="s">
        <v>9344</v>
      </c>
      <c r="F776" s="74" t="s">
        <v>9345</v>
      </c>
      <c r="G776" s="74" t="s">
        <v>9451</v>
      </c>
      <c r="H776" s="74" t="s">
        <v>130</v>
      </c>
      <c r="I776" s="74" t="s">
        <v>47</v>
      </c>
      <c r="J776" s="74" t="s">
        <v>9347</v>
      </c>
      <c r="K776" s="74" t="s">
        <v>11098</v>
      </c>
      <c r="L776" s="74" t="s">
        <v>318</v>
      </c>
    </row>
    <row r="777" spans="1:12" ht="55.2">
      <c r="A777" s="73">
        <v>776</v>
      </c>
      <c r="B777" s="74" t="s">
        <v>11099</v>
      </c>
      <c r="C777" s="74" t="s">
        <v>1245</v>
      </c>
      <c r="D777" s="74" t="s">
        <v>143</v>
      </c>
      <c r="E777" s="74" t="s">
        <v>9344</v>
      </c>
      <c r="F777" s="74" t="s">
        <v>9345</v>
      </c>
      <c r="G777" s="74" t="s">
        <v>9361</v>
      </c>
      <c r="H777" s="74" t="s">
        <v>327</v>
      </c>
      <c r="I777" s="74" t="s">
        <v>110</v>
      </c>
      <c r="J777" s="74" t="s">
        <v>9347</v>
      </c>
      <c r="K777" s="74" t="s">
        <v>11100</v>
      </c>
      <c r="L777" s="74" t="s">
        <v>370</v>
      </c>
    </row>
    <row r="778" spans="1:12" ht="55.2">
      <c r="A778" s="73">
        <v>777</v>
      </c>
      <c r="B778" s="74" t="s">
        <v>11101</v>
      </c>
      <c r="C778" s="74" t="s">
        <v>2858</v>
      </c>
      <c r="D778" s="74" t="s">
        <v>143</v>
      </c>
      <c r="E778" s="74" t="s">
        <v>9344</v>
      </c>
      <c r="F778" s="74" t="s">
        <v>9345</v>
      </c>
      <c r="G778" s="74" t="s">
        <v>9375</v>
      </c>
      <c r="H778" s="74" t="s">
        <v>327</v>
      </c>
      <c r="I778" s="74" t="s">
        <v>47</v>
      </c>
      <c r="J778" s="74" t="s">
        <v>9351</v>
      </c>
      <c r="K778" s="74" t="s">
        <v>11102</v>
      </c>
      <c r="L778" s="74" t="s">
        <v>370</v>
      </c>
    </row>
    <row r="779" spans="1:12" ht="41.4">
      <c r="A779" s="73">
        <v>778</v>
      </c>
      <c r="B779" s="74" t="s">
        <v>11103</v>
      </c>
      <c r="C779" s="74" t="s">
        <v>4827</v>
      </c>
      <c r="D779" s="74" t="s">
        <v>295</v>
      </c>
      <c r="E779" s="74" t="s">
        <v>9344</v>
      </c>
      <c r="F779" s="74" t="s">
        <v>9345</v>
      </c>
      <c r="G779" s="74" t="s">
        <v>9579</v>
      </c>
      <c r="H779" s="74" t="s">
        <v>407</v>
      </c>
      <c r="I779" s="74" t="s">
        <v>47</v>
      </c>
      <c r="J779" s="74" t="s">
        <v>9351</v>
      </c>
      <c r="K779" s="74" t="s">
        <v>11104</v>
      </c>
      <c r="L779" s="74" t="s">
        <v>318</v>
      </c>
    </row>
    <row r="780" spans="1:12" ht="41.4">
      <c r="A780" s="73">
        <v>779</v>
      </c>
      <c r="B780" s="74" t="s">
        <v>11105</v>
      </c>
      <c r="C780" s="74" t="s">
        <v>11106</v>
      </c>
      <c r="D780" s="74" t="s">
        <v>153</v>
      </c>
      <c r="E780" s="74" t="s">
        <v>9344</v>
      </c>
      <c r="F780" s="74" t="s">
        <v>9345</v>
      </c>
      <c r="G780" s="74" t="s">
        <v>9437</v>
      </c>
      <c r="H780" s="74" t="s">
        <v>155</v>
      </c>
      <c r="I780" s="74" t="s">
        <v>47</v>
      </c>
      <c r="J780" s="74" t="s">
        <v>9347</v>
      </c>
      <c r="K780" s="74" t="s">
        <v>11107</v>
      </c>
      <c r="L780" s="74" t="s">
        <v>3561</v>
      </c>
    </row>
    <row r="781" spans="1:12" ht="69">
      <c r="A781" s="73">
        <v>780</v>
      </c>
      <c r="B781" s="74" t="s">
        <v>11108</v>
      </c>
      <c r="C781" s="74" t="s">
        <v>730</v>
      </c>
      <c r="D781" s="74" t="s">
        <v>41</v>
      </c>
      <c r="E781" s="74" t="s">
        <v>9344</v>
      </c>
      <c r="F781" s="74" t="s">
        <v>9345</v>
      </c>
      <c r="G781" s="74" t="s">
        <v>9824</v>
      </c>
      <c r="H781" s="74" t="s">
        <v>46</v>
      </c>
      <c r="I781" s="74" t="s">
        <v>47</v>
      </c>
      <c r="J781" s="74" t="s">
        <v>9351</v>
      </c>
      <c r="K781" s="74" t="s">
        <v>11109</v>
      </c>
      <c r="L781" s="74" t="s">
        <v>331</v>
      </c>
    </row>
    <row r="782" spans="1:12" ht="41.4">
      <c r="A782" s="73">
        <v>781</v>
      </c>
      <c r="B782" s="74" t="s">
        <v>11110</v>
      </c>
      <c r="C782" s="74" t="s">
        <v>11111</v>
      </c>
      <c r="D782" s="74" t="s">
        <v>295</v>
      </c>
      <c r="E782" s="74" t="s">
        <v>9344</v>
      </c>
      <c r="F782" s="74" t="s">
        <v>9345</v>
      </c>
      <c r="G782" s="74" t="s">
        <v>9355</v>
      </c>
      <c r="H782" s="74" t="s">
        <v>297</v>
      </c>
      <c r="I782" s="74" t="s">
        <v>47</v>
      </c>
      <c r="J782" s="74" t="s">
        <v>9347</v>
      </c>
      <c r="K782" s="74" t="s">
        <v>11112</v>
      </c>
      <c r="L782" s="74" t="s">
        <v>318</v>
      </c>
    </row>
    <row r="783" spans="1:12" ht="41.4">
      <c r="A783" s="73">
        <v>782</v>
      </c>
      <c r="B783" s="74" t="s">
        <v>11113</v>
      </c>
      <c r="C783" s="74" t="s">
        <v>7285</v>
      </c>
      <c r="D783" s="74" t="s">
        <v>41</v>
      </c>
      <c r="E783" s="74" t="s">
        <v>9344</v>
      </c>
      <c r="F783" s="74" t="s">
        <v>9345</v>
      </c>
      <c r="G783" s="74" t="s">
        <v>9350</v>
      </c>
      <c r="H783" s="74" t="s">
        <v>662</v>
      </c>
      <c r="I783" s="74" t="s">
        <v>47</v>
      </c>
      <c r="J783" s="74" t="s">
        <v>9347</v>
      </c>
      <c r="K783" s="74" t="s">
        <v>11114</v>
      </c>
      <c r="L783" s="74" t="s">
        <v>331</v>
      </c>
    </row>
    <row r="784" spans="1:12" ht="55.2">
      <c r="A784" s="73">
        <v>783</v>
      </c>
      <c r="B784" s="74" t="s">
        <v>11115</v>
      </c>
      <c r="C784" s="74" t="s">
        <v>11116</v>
      </c>
      <c r="D784" s="74" t="s">
        <v>41</v>
      </c>
      <c r="E784" s="74" t="s">
        <v>9344</v>
      </c>
      <c r="F784" s="74" t="s">
        <v>9345</v>
      </c>
      <c r="G784" s="74" t="s">
        <v>9761</v>
      </c>
      <c r="H784" s="74" t="s">
        <v>479</v>
      </c>
      <c r="I784" s="74" t="s">
        <v>47</v>
      </c>
      <c r="J784" s="74" t="s">
        <v>9347</v>
      </c>
      <c r="K784" s="74"/>
      <c r="L784" s="74"/>
    </row>
    <row r="785" spans="1:12" ht="41.4">
      <c r="A785" s="73">
        <v>784</v>
      </c>
      <c r="B785" s="74" t="s">
        <v>11117</v>
      </c>
      <c r="C785" s="74" t="s">
        <v>11118</v>
      </c>
      <c r="D785" s="74" t="s">
        <v>295</v>
      </c>
      <c r="E785" s="74" t="s">
        <v>9344</v>
      </c>
      <c r="F785" s="74" t="s">
        <v>9345</v>
      </c>
      <c r="G785" s="74" t="s">
        <v>9400</v>
      </c>
      <c r="H785" s="74" t="s">
        <v>407</v>
      </c>
      <c r="I785" s="74" t="s">
        <v>47</v>
      </c>
      <c r="J785" s="74" t="s">
        <v>9347</v>
      </c>
      <c r="K785" s="74"/>
      <c r="L785" s="74"/>
    </row>
    <row r="786" spans="1:12" ht="55.2">
      <c r="A786" s="73">
        <v>785</v>
      </c>
      <c r="B786" s="74" t="s">
        <v>11119</v>
      </c>
      <c r="C786" s="74" t="s">
        <v>5800</v>
      </c>
      <c r="D786" s="74" t="s">
        <v>41</v>
      </c>
      <c r="E786" s="74" t="s">
        <v>9344</v>
      </c>
      <c r="F786" s="74" t="s">
        <v>9345</v>
      </c>
      <c r="G786" s="74" t="s">
        <v>9572</v>
      </c>
      <c r="H786" s="74" t="s">
        <v>479</v>
      </c>
      <c r="I786" s="74" t="s">
        <v>47</v>
      </c>
      <c r="J786" s="74" t="s">
        <v>9351</v>
      </c>
      <c r="K786" s="74" t="s">
        <v>11120</v>
      </c>
      <c r="L786" s="74" t="s">
        <v>331</v>
      </c>
    </row>
    <row r="787" spans="1:12" ht="55.2">
      <c r="A787" s="73">
        <v>786</v>
      </c>
      <c r="B787" s="74" t="s">
        <v>11121</v>
      </c>
      <c r="C787" s="74" t="s">
        <v>1706</v>
      </c>
      <c r="D787" s="74" t="s">
        <v>295</v>
      </c>
      <c r="E787" s="74" t="s">
        <v>9344</v>
      </c>
      <c r="F787" s="74" t="s">
        <v>9345</v>
      </c>
      <c r="G787" s="74" t="s">
        <v>9346</v>
      </c>
      <c r="H787" s="74" t="s">
        <v>297</v>
      </c>
      <c r="I787" s="74" t="s">
        <v>47</v>
      </c>
      <c r="J787" s="74" t="s">
        <v>9347</v>
      </c>
      <c r="K787" s="74" t="s">
        <v>11122</v>
      </c>
      <c r="L787" s="74" t="s">
        <v>318</v>
      </c>
    </row>
    <row r="788" spans="1:12" ht="55.2">
      <c r="A788" s="73">
        <v>787</v>
      </c>
      <c r="B788" s="74" t="s">
        <v>11123</v>
      </c>
      <c r="C788" s="74" t="s">
        <v>7220</v>
      </c>
      <c r="D788" s="74" t="s">
        <v>143</v>
      </c>
      <c r="E788" s="74" t="s">
        <v>9344</v>
      </c>
      <c r="F788" s="74" t="s">
        <v>9345</v>
      </c>
      <c r="G788" s="74" t="s">
        <v>9534</v>
      </c>
      <c r="H788" s="74" t="s">
        <v>145</v>
      </c>
      <c r="I788" s="74" t="s">
        <v>47</v>
      </c>
      <c r="J788" s="74" t="s">
        <v>9351</v>
      </c>
      <c r="K788" s="74" t="s">
        <v>11124</v>
      </c>
      <c r="L788" s="74" t="s">
        <v>251</v>
      </c>
    </row>
    <row r="789" spans="1:12" ht="41.4">
      <c r="A789" s="73">
        <v>788</v>
      </c>
      <c r="B789" s="74" t="s">
        <v>11125</v>
      </c>
      <c r="C789" s="74" t="s">
        <v>2187</v>
      </c>
      <c r="D789" s="74" t="s">
        <v>89</v>
      </c>
      <c r="E789" s="74" t="s">
        <v>9344</v>
      </c>
      <c r="F789" s="74" t="s">
        <v>9345</v>
      </c>
      <c r="G789" s="74" t="s">
        <v>9556</v>
      </c>
      <c r="H789" s="74" t="s">
        <v>102</v>
      </c>
      <c r="I789" s="74" t="s">
        <v>47</v>
      </c>
      <c r="J789" s="74" t="s">
        <v>9351</v>
      </c>
      <c r="K789" s="74" t="s">
        <v>11126</v>
      </c>
      <c r="L789" s="74" t="s">
        <v>711</v>
      </c>
    </row>
    <row r="790" spans="1:12" ht="55.2">
      <c r="A790" s="73">
        <v>789</v>
      </c>
      <c r="B790" s="74" t="s">
        <v>11127</v>
      </c>
      <c r="C790" s="74" t="s">
        <v>11128</v>
      </c>
      <c r="D790" s="74" t="s">
        <v>295</v>
      </c>
      <c r="E790" s="74" t="s">
        <v>9344</v>
      </c>
      <c r="F790" s="74" t="s">
        <v>9345</v>
      </c>
      <c r="G790" s="74" t="s">
        <v>9677</v>
      </c>
      <c r="H790" s="74" t="s">
        <v>407</v>
      </c>
      <c r="I790" s="74" t="s">
        <v>47</v>
      </c>
      <c r="J790" s="74" t="s">
        <v>9347</v>
      </c>
      <c r="K790" s="74"/>
      <c r="L790" s="74"/>
    </row>
    <row r="791" spans="1:12" ht="41.4">
      <c r="A791" s="73">
        <v>790</v>
      </c>
      <c r="B791" s="74" t="s">
        <v>11129</v>
      </c>
      <c r="C791" s="74" t="s">
        <v>11130</v>
      </c>
      <c r="D791" s="74" t="s">
        <v>153</v>
      </c>
      <c r="E791" s="74" t="s">
        <v>9344</v>
      </c>
      <c r="F791" s="74" t="s">
        <v>9345</v>
      </c>
      <c r="G791" s="74" t="s">
        <v>9781</v>
      </c>
      <c r="H791" s="74" t="s">
        <v>155</v>
      </c>
      <c r="I791" s="74" t="s">
        <v>47</v>
      </c>
      <c r="J791" s="74" t="s">
        <v>9347</v>
      </c>
      <c r="K791" s="74"/>
      <c r="L791" s="74"/>
    </row>
    <row r="792" spans="1:12" ht="55.2">
      <c r="A792" s="73">
        <v>791</v>
      </c>
      <c r="B792" s="74" t="s">
        <v>11131</v>
      </c>
      <c r="C792" s="74" t="s">
        <v>7282</v>
      </c>
      <c r="D792" s="74" t="s">
        <v>153</v>
      </c>
      <c r="E792" s="74" t="s">
        <v>9344</v>
      </c>
      <c r="F792" s="74" t="s">
        <v>9345</v>
      </c>
      <c r="G792" s="74" t="s">
        <v>9763</v>
      </c>
      <c r="H792" s="74" t="s">
        <v>155</v>
      </c>
      <c r="I792" s="74" t="s">
        <v>47</v>
      </c>
      <c r="J792" s="74" t="s">
        <v>9351</v>
      </c>
      <c r="K792" s="74" t="s">
        <v>11132</v>
      </c>
      <c r="L792" s="74" t="s">
        <v>331</v>
      </c>
    </row>
    <row r="793" spans="1:12" ht="41.4">
      <c r="A793" s="73">
        <v>792</v>
      </c>
      <c r="B793" s="74" t="s">
        <v>11133</v>
      </c>
      <c r="C793" s="74" t="s">
        <v>11134</v>
      </c>
      <c r="D793" s="74" t="s">
        <v>153</v>
      </c>
      <c r="E793" s="74" t="s">
        <v>9344</v>
      </c>
      <c r="F793" s="74" t="s">
        <v>9345</v>
      </c>
      <c r="G793" s="74" t="s">
        <v>10124</v>
      </c>
      <c r="H793" s="74" t="s">
        <v>155</v>
      </c>
      <c r="I793" s="74" t="s">
        <v>47</v>
      </c>
      <c r="J793" s="74" t="s">
        <v>9347</v>
      </c>
      <c r="K793" s="74"/>
      <c r="L793" s="74"/>
    </row>
    <row r="794" spans="1:12" ht="55.2">
      <c r="A794" s="73">
        <v>793</v>
      </c>
      <c r="B794" s="74" t="s">
        <v>11135</v>
      </c>
      <c r="C794" s="74" t="s">
        <v>2948</v>
      </c>
      <c r="D794" s="74" t="s">
        <v>295</v>
      </c>
      <c r="E794" s="74" t="s">
        <v>9344</v>
      </c>
      <c r="F794" s="74" t="s">
        <v>9345</v>
      </c>
      <c r="G794" s="74" t="s">
        <v>9677</v>
      </c>
      <c r="H794" s="74" t="s">
        <v>407</v>
      </c>
      <c r="I794" s="74" t="s">
        <v>47</v>
      </c>
      <c r="J794" s="74" t="s">
        <v>9347</v>
      </c>
      <c r="K794" s="74"/>
      <c r="L794" s="74"/>
    </row>
    <row r="795" spans="1:12" ht="69">
      <c r="A795" s="73">
        <v>794</v>
      </c>
      <c r="B795" s="74" t="s">
        <v>11136</v>
      </c>
      <c r="C795" s="74" t="s">
        <v>798</v>
      </c>
      <c r="D795" s="74" t="s">
        <v>143</v>
      </c>
      <c r="E795" s="74" t="s">
        <v>9344</v>
      </c>
      <c r="F795" s="74" t="s">
        <v>9345</v>
      </c>
      <c r="G795" s="74" t="s">
        <v>9510</v>
      </c>
      <c r="H795" s="74" t="s">
        <v>220</v>
      </c>
      <c r="I795" s="74" t="s">
        <v>47</v>
      </c>
      <c r="J795" s="74" t="s">
        <v>9351</v>
      </c>
      <c r="K795" s="74" t="s">
        <v>11137</v>
      </c>
      <c r="L795" s="74" t="s">
        <v>251</v>
      </c>
    </row>
    <row r="796" spans="1:12" ht="41.4">
      <c r="A796" s="73">
        <v>795</v>
      </c>
      <c r="B796" s="74" t="s">
        <v>11138</v>
      </c>
      <c r="C796" s="74" t="s">
        <v>11139</v>
      </c>
      <c r="D796" s="74" t="s">
        <v>41</v>
      </c>
      <c r="E796" s="74" t="s">
        <v>9344</v>
      </c>
      <c r="F796" s="74" t="s">
        <v>9345</v>
      </c>
      <c r="G796" s="74" t="s">
        <v>9648</v>
      </c>
      <c r="H796" s="74" t="s">
        <v>200</v>
      </c>
      <c r="I796" s="74" t="s">
        <v>47</v>
      </c>
      <c r="J796" s="74" t="s">
        <v>9347</v>
      </c>
      <c r="K796" s="74"/>
      <c r="L796" s="74"/>
    </row>
    <row r="797" spans="1:12" ht="41.4">
      <c r="A797" s="73">
        <v>796</v>
      </c>
      <c r="B797" s="74" t="s">
        <v>11140</v>
      </c>
      <c r="C797" s="74" t="s">
        <v>689</v>
      </c>
      <c r="D797" s="74" t="s">
        <v>41</v>
      </c>
      <c r="E797" s="74" t="s">
        <v>9344</v>
      </c>
      <c r="F797" s="74" t="s">
        <v>9345</v>
      </c>
      <c r="G797" s="74" t="s">
        <v>9405</v>
      </c>
      <c r="H797" s="74" t="s">
        <v>662</v>
      </c>
      <c r="I797" s="74" t="s">
        <v>47</v>
      </c>
      <c r="J797" s="74" t="s">
        <v>9351</v>
      </c>
      <c r="K797" s="74"/>
      <c r="L797" s="74"/>
    </row>
    <row r="798" spans="1:12" ht="55.2">
      <c r="A798" s="73">
        <v>797</v>
      </c>
      <c r="B798" s="74" t="s">
        <v>11141</v>
      </c>
      <c r="C798" s="74" t="s">
        <v>4810</v>
      </c>
      <c r="D798" s="74" t="s">
        <v>41</v>
      </c>
      <c r="E798" s="74" t="s">
        <v>9344</v>
      </c>
      <c r="F798" s="74" t="s">
        <v>9345</v>
      </c>
      <c r="G798" s="74" t="s">
        <v>11142</v>
      </c>
      <c r="H798" s="74" t="s">
        <v>479</v>
      </c>
      <c r="I798" s="74" t="s">
        <v>47</v>
      </c>
      <c r="J798" s="74" t="s">
        <v>9351</v>
      </c>
      <c r="K798" s="74" t="s">
        <v>11143</v>
      </c>
      <c r="L798" s="74" t="s">
        <v>370</v>
      </c>
    </row>
    <row r="799" spans="1:12" ht="55.2">
      <c r="A799" s="73">
        <v>798</v>
      </c>
      <c r="B799" s="74" t="s">
        <v>11144</v>
      </c>
      <c r="C799" s="74" t="s">
        <v>11145</v>
      </c>
      <c r="D799" s="74" t="s">
        <v>153</v>
      </c>
      <c r="E799" s="74" t="s">
        <v>9344</v>
      </c>
      <c r="F799" s="74" t="s">
        <v>9345</v>
      </c>
      <c r="G799" s="74" t="s">
        <v>10033</v>
      </c>
      <c r="H799" s="74" t="s">
        <v>155</v>
      </c>
      <c r="I799" s="74" t="s">
        <v>47</v>
      </c>
      <c r="J799" s="74" t="s">
        <v>9347</v>
      </c>
      <c r="K799" s="74"/>
      <c r="L799" s="74"/>
    </row>
    <row r="800" spans="1:12" ht="55.2">
      <c r="A800" s="73">
        <v>799</v>
      </c>
      <c r="B800" s="74" t="s">
        <v>11146</v>
      </c>
      <c r="C800" s="74" t="s">
        <v>11147</v>
      </c>
      <c r="D800" s="74" t="s">
        <v>153</v>
      </c>
      <c r="E800" s="74" t="s">
        <v>9344</v>
      </c>
      <c r="F800" s="74" t="s">
        <v>9345</v>
      </c>
      <c r="G800" s="74" t="s">
        <v>9568</v>
      </c>
      <c r="H800" s="74" t="s">
        <v>155</v>
      </c>
      <c r="I800" s="74" t="s">
        <v>47</v>
      </c>
      <c r="J800" s="74" t="s">
        <v>9347</v>
      </c>
      <c r="K800" s="74" t="s">
        <v>11148</v>
      </c>
      <c r="L800" s="74" t="s">
        <v>3561</v>
      </c>
    </row>
    <row r="801" spans="1:12" ht="41.4">
      <c r="A801" s="73">
        <v>800</v>
      </c>
      <c r="B801" s="74" t="s">
        <v>11149</v>
      </c>
      <c r="C801" s="74" t="s">
        <v>11150</v>
      </c>
      <c r="D801" s="74" t="s">
        <v>153</v>
      </c>
      <c r="E801" s="74" t="s">
        <v>9344</v>
      </c>
      <c r="F801" s="74" t="s">
        <v>9345</v>
      </c>
      <c r="G801" s="74" t="s">
        <v>9468</v>
      </c>
      <c r="H801" s="74" t="s">
        <v>155</v>
      </c>
      <c r="I801" s="74" t="s">
        <v>47</v>
      </c>
      <c r="J801" s="74" t="s">
        <v>9351</v>
      </c>
      <c r="K801" s="74"/>
      <c r="L801" s="74"/>
    </row>
    <row r="802" spans="1:12" ht="41.4">
      <c r="A802" s="73">
        <v>801</v>
      </c>
      <c r="B802" s="74" t="s">
        <v>11151</v>
      </c>
      <c r="C802" s="74" t="s">
        <v>11152</v>
      </c>
      <c r="D802" s="74" t="s">
        <v>41</v>
      </c>
      <c r="E802" s="74" t="s">
        <v>9344</v>
      </c>
      <c r="F802" s="74" t="s">
        <v>9345</v>
      </c>
      <c r="G802" s="74" t="s">
        <v>9410</v>
      </c>
      <c r="H802" s="74" t="s">
        <v>130</v>
      </c>
      <c r="I802" s="74" t="s">
        <v>47</v>
      </c>
      <c r="J802" s="74" t="s">
        <v>9347</v>
      </c>
      <c r="K802" s="74" t="s">
        <v>11153</v>
      </c>
      <c r="L802" s="74" t="s">
        <v>318</v>
      </c>
    </row>
    <row r="803" spans="1:12" ht="41.4">
      <c r="A803" s="73">
        <v>802</v>
      </c>
      <c r="B803" s="74" t="s">
        <v>11154</v>
      </c>
      <c r="C803" s="74" t="s">
        <v>11155</v>
      </c>
      <c r="D803" s="74" t="s">
        <v>41</v>
      </c>
      <c r="E803" s="74" t="s">
        <v>9344</v>
      </c>
      <c r="F803" s="74" t="s">
        <v>9345</v>
      </c>
      <c r="G803" s="74" t="s">
        <v>9796</v>
      </c>
      <c r="H803" s="74" t="s">
        <v>200</v>
      </c>
      <c r="I803" s="74" t="s">
        <v>47</v>
      </c>
      <c r="J803" s="74" t="s">
        <v>9347</v>
      </c>
      <c r="K803" s="74"/>
      <c r="L803" s="74"/>
    </row>
    <row r="804" spans="1:12" ht="55.2">
      <c r="A804" s="73">
        <v>803</v>
      </c>
      <c r="B804" s="74" t="s">
        <v>11156</v>
      </c>
      <c r="C804" s="74" t="s">
        <v>11157</v>
      </c>
      <c r="D804" s="74" t="s">
        <v>143</v>
      </c>
      <c r="E804" s="74" t="s">
        <v>9344</v>
      </c>
      <c r="F804" s="74" t="s">
        <v>9345</v>
      </c>
      <c r="G804" s="74" t="s">
        <v>10267</v>
      </c>
      <c r="H804" s="74" t="s">
        <v>400</v>
      </c>
      <c r="I804" s="74" t="s">
        <v>47</v>
      </c>
      <c r="J804" s="74" t="s">
        <v>9351</v>
      </c>
      <c r="K804" s="74"/>
      <c r="L804" s="74"/>
    </row>
    <row r="805" spans="1:12" ht="69">
      <c r="A805" s="73">
        <v>804</v>
      </c>
      <c r="B805" s="74" t="s">
        <v>11158</v>
      </c>
      <c r="C805" s="74" t="s">
        <v>11159</v>
      </c>
      <c r="D805" s="74" t="s">
        <v>295</v>
      </c>
      <c r="E805" s="74" t="s">
        <v>9344</v>
      </c>
      <c r="F805" s="74" t="s">
        <v>9345</v>
      </c>
      <c r="G805" s="74" t="s">
        <v>9537</v>
      </c>
      <c r="H805" s="74" t="s">
        <v>9538</v>
      </c>
      <c r="I805" s="74" t="s">
        <v>47</v>
      </c>
      <c r="J805" s="74" t="s">
        <v>9347</v>
      </c>
      <c r="K805" s="74"/>
      <c r="L805" s="74"/>
    </row>
    <row r="806" spans="1:12" ht="41.4">
      <c r="A806" s="73">
        <v>805</v>
      </c>
      <c r="B806" s="74" t="s">
        <v>11160</v>
      </c>
      <c r="C806" s="74" t="s">
        <v>5888</v>
      </c>
      <c r="D806" s="74" t="s">
        <v>89</v>
      </c>
      <c r="E806" s="74" t="s">
        <v>9344</v>
      </c>
      <c r="F806" s="74" t="s">
        <v>9345</v>
      </c>
      <c r="G806" s="74" t="s">
        <v>9723</v>
      </c>
      <c r="H806" s="74" t="s">
        <v>4024</v>
      </c>
      <c r="I806" s="74" t="s">
        <v>47</v>
      </c>
      <c r="J806" s="74" t="s">
        <v>9351</v>
      </c>
      <c r="K806" s="74" t="s">
        <v>11161</v>
      </c>
      <c r="L806" s="74" t="s">
        <v>711</v>
      </c>
    </row>
    <row r="807" spans="1:12" ht="41.4">
      <c r="A807" s="73">
        <v>806</v>
      </c>
      <c r="B807" s="74" t="s">
        <v>11162</v>
      </c>
      <c r="C807" s="74" t="s">
        <v>11163</v>
      </c>
      <c r="D807" s="74" t="s">
        <v>41</v>
      </c>
      <c r="E807" s="74" t="s">
        <v>9344</v>
      </c>
      <c r="F807" s="74" t="s">
        <v>9345</v>
      </c>
      <c r="G807" s="74" t="s">
        <v>9410</v>
      </c>
      <c r="H807" s="74" t="s">
        <v>130</v>
      </c>
      <c r="I807" s="74" t="s">
        <v>47</v>
      </c>
      <c r="J807" s="74" t="s">
        <v>9347</v>
      </c>
      <c r="K807" s="74"/>
      <c r="L807" s="74"/>
    </row>
    <row r="808" spans="1:12" ht="69">
      <c r="A808" s="73">
        <v>807</v>
      </c>
      <c r="B808" s="74" t="s">
        <v>11164</v>
      </c>
      <c r="C808" s="74" t="s">
        <v>11165</v>
      </c>
      <c r="D808" s="74" t="s">
        <v>68</v>
      </c>
      <c r="E808" s="74" t="s">
        <v>9395</v>
      </c>
      <c r="F808" s="74" t="s">
        <v>80</v>
      </c>
      <c r="G808" s="74" t="s">
        <v>11166</v>
      </c>
      <c r="H808" s="74" t="s">
        <v>91</v>
      </c>
      <c r="I808" s="74" t="s">
        <v>416</v>
      </c>
      <c r="J808" s="74" t="s">
        <v>9351</v>
      </c>
      <c r="K808" s="74" t="s">
        <v>11167</v>
      </c>
      <c r="L808" s="74" t="s">
        <v>711</v>
      </c>
    </row>
    <row r="809" spans="1:12" ht="55.2">
      <c r="A809" s="73">
        <v>808</v>
      </c>
      <c r="B809" s="74" t="s">
        <v>11168</v>
      </c>
      <c r="C809" s="74" t="s">
        <v>5149</v>
      </c>
      <c r="D809" s="74" t="s">
        <v>143</v>
      </c>
      <c r="E809" s="74" t="s">
        <v>9344</v>
      </c>
      <c r="F809" s="74" t="s">
        <v>9345</v>
      </c>
      <c r="G809" s="74" t="s">
        <v>9361</v>
      </c>
      <c r="H809" s="74" t="s">
        <v>327</v>
      </c>
      <c r="I809" s="74" t="s">
        <v>47</v>
      </c>
      <c r="J809" s="74" t="s">
        <v>9351</v>
      </c>
      <c r="K809" s="74" t="s">
        <v>11169</v>
      </c>
      <c r="L809" s="74" t="s">
        <v>370</v>
      </c>
    </row>
    <row r="810" spans="1:12" ht="41.4">
      <c r="A810" s="73">
        <v>809</v>
      </c>
      <c r="B810" s="74" t="s">
        <v>11170</v>
      </c>
      <c r="C810" s="74" t="s">
        <v>11171</v>
      </c>
      <c r="D810" s="74" t="s">
        <v>295</v>
      </c>
      <c r="E810" s="74" t="s">
        <v>9344</v>
      </c>
      <c r="F810" s="74" t="s">
        <v>9345</v>
      </c>
      <c r="G810" s="74" t="s">
        <v>9677</v>
      </c>
      <c r="H810" s="74" t="s">
        <v>407</v>
      </c>
      <c r="I810" s="74" t="s">
        <v>47</v>
      </c>
      <c r="J810" s="74" t="s">
        <v>9347</v>
      </c>
      <c r="K810" s="74"/>
      <c r="L810" s="74"/>
    </row>
    <row r="811" spans="1:12" ht="69">
      <c r="A811" s="73">
        <v>810</v>
      </c>
      <c r="B811" s="74" t="s">
        <v>11172</v>
      </c>
      <c r="C811" s="74" t="s">
        <v>6664</v>
      </c>
      <c r="D811" s="74" t="s">
        <v>41</v>
      </c>
      <c r="E811" s="74" t="s">
        <v>9344</v>
      </c>
      <c r="F811" s="74" t="s">
        <v>9345</v>
      </c>
      <c r="G811" s="74" t="s">
        <v>9385</v>
      </c>
      <c r="H811" s="74" t="s">
        <v>46</v>
      </c>
      <c r="I811" s="74" t="s">
        <v>47</v>
      </c>
      <c r="J811" s="74" t="s">
        <v>9351</v>
      </c>
      <c r="K811" s="74" t="s">
        <v>11173</v>
      </c>
      <c r="L811" s="74" t="s">
        <v>1916</v>
      </c>
    </row>
    <row r="812" spans="1:12" ht="41.4">
      <c r="A812" s="73">
        <v>811</v>
      </c>
      <c r="B812" s="74" t="s">
        <v>11174</v>
      </c>
      <c r="C812" s="74" t="s">
        <v>11175</v>
      </c>
      <c r="D812" s="74" t="s">
        <v>153</v>
      </c>
      <c r="E812" s="74" t="s">
        <v>9344</v>
      </c>
      <c r="F812" s="74" t="s">
        <v>9345</v>
      </c>
      <c r="G812" s="74" t="s">
        <v>9485</v>
      </c>
      <c r="H812" s="74" t="s">
        <v>155</v>
      </c>
      <c r="I812" s="74" t="s">
        <v>47</v>
      </c>
      <c r="J812" s="74" t="s">
        <v>9347</v>
      </c>
      <c r="K812" s="74" t="s">
        <v>11176</v>
      </c>
      <c r="L812" s="74" t="s">
        <v>3561</v>
      </c>
    </row>
    <row r="813" spans="1:12" ht="55.2">
      <c r="A813" s="73">
        <v>812</v>
      </c>
      <c r="B813" s="74" t="s">
        <v>11177</v>
      </c>
      <c r="C813" s="74" t="s">
        <v>11178</v>
      </c>
      <c r="D813" s="74" t="s">
        <v>41</v>
      </c>
      <c r="E813" s="74" t="s">
        <v>9344</v>
      </c>
      <c r="F813" s="74" t="s">
        <v>9345</v>
      </c>
      <c r="G813" s="74" t="s">
        <v>9761</v>
      </c>
      <c r="H813" s="74" t="s">
        <v>479</v>
      </c>
      <c r="I813" s="74" t="s">
        <v>47</v>
      </c>
      <c r="J813" s="74" t="s">
        <v>9347</v>
      </c>
      <c r="K813" s="74"/>
      <c r="L813" s="74"/>
    </row>
    <row r="814" spans="1:12" ht="41.4">
      <c r="A814" s="73">
        <v>813</v>
      </c>
      <c r="B814" s="74" t="s">
        <v>11179</v>
      </c>
      <c r="C814" s="74" t="s">
        <v>11180</v>
      </c>
      <c r="D814" s="74" t="s">
        <v>41</v>
      </c>
      <c r="E814" s="74" t="s">
        <v>9344</v>
      </c>
      <c r="F814" s="74" t="s">
        <v>9345</v>
      </c>
      <c r="G814" s="74" t="s">
        <v>9776</v>
      </c>
      <c r="H814" s="74" t="s">
        <v>200</v>
      </c>
      <c r="I814" s="74" t="s">
        <v>47</v>
      </c>
      <c r="J814" s="74" t="s">
        <v>9347</v>
      </c>
      <c r="K814" s="74"/>
      <c r="L814" s="74"/>
    </row>
    <row r="815" spans="1:12" ht="69">
      <c r="A815" s="73">
        <v>814</v>
      </c>
      <c r="B815" s="74" t="s">
        <v>11181</v>
      </c>
      <c r="C815" s="74" t="s">
        <v>11182</v>
      </c>
      <c r="D815" s="74" t="s">
        <v>41</v>
      </c>
      <c r="E815" s="74" t="s">
        <v>9344</v>
      </c>
      <c r="F815" s="74" t="s">
        <v>9345</v>
      </c>
      <c r="G815" s="74" t="s">
        <v>9824</v>
      </c>
      <c r="H815" s="74" t="s">
        <v>46</v>
      </c>
      <c r="I815" s="74" t="s">
        <v>47</v>
      </c>
      <c r="J815" s="74" t="s">
        <v>9351</v>
      </c>
      <c r="K815" s="74" t="s">
        <v>11183</v>
      </c>
      <c r="L815" s="74" t="s">
        <v>318</v>
      </c>
    </row>
    <row r="816" spans="1:12" ht="55.2">
      <c r="A816" s="73">
        <v>815</v>
      </c>
      <c r="B816" s="74" t="s">
        <v>11184</v>
      </c>
      <c r="C816" s="74" t="s">
        <v>5974</v>
      </c>
      <c r="D816" s="74" t="s">
        <v>143</v>
      </c>
      <c r="E816" s="74" t="s">
        <v>9344</v>
      </c>
      <c r="F816" s="74" t="s">
        <v>9345</v>
      </c>
      <c r="G816" s="74" t="s">
        <v>9514</v>
      </c>
      <c r="H816" s="74" t="s">
        <v>327</v>
      </c>
      <c r="I816" s="74" t="s">
        <v>47</v>
      </c>
      <c r="J816" s="74" t="s">
        <v>9351</v>
      </c>
      <c r="K816" s="74" t="s">
        <v>11185</v>
      </c>
      <c r="L816" s="74" t="s">
        <v>370</v>
      </c>
    </row>
    <row r="817" spans="1:12" ht="41.4">
      <c r="A817" s="73">
        <v>816</v>
      </c>
      <c r="B817" s="74" t="s">
        <v>11186</v>
      </c>
      <c r="C817" s="74" t="s">
        <v>11187</v>
      </c>
      <c r="D817" s="74" t="s">
        <v>89</v>
      </c>
      <c r="E817" s="74" t="s">
        <v>9344</v>
      </c>
      <c r="F817" s="74" t="s">
        <v>9345</v>
      </c>
      <c r="G817" s="74" t="s">
        <v>9556</v>
      </c>
      <c r="H817" s="74" t="s">
        <v>102</v>
      </c>
      <c r="I817" s="74" t="s">
        <v>47</v>
      </c>
      <c r="J817" s="74" t="s">
        <v>9351</v>
      </c>
      <c r="K817" s="74" t="s">
        <v>11188</v>
      </c>
      <c r="L817" s="74" t="s">
        <v>711</v>
      </c>
    </row>
    <row r="818" spans="1:12" ht="41.4">
      <c r="A818" s="73">
        <v>817</v>
      </c>
      <c r="B818" s="74" t="s">
        <v>11189</v>
      </c>
      <c r="C818" s="74" t="s">
        <v>1592</v>
      </c>
      <c r="D818" s="74" t="s">
        <v>295</v>
      </c>
      <c r="E818" s="74" t="s">
        <v>9344</v>
      </c>
      <c r="F818" s="74" t="s">
        <v>9345</v>
      </c>
      <c r="G818" s="74" t="s">
        <v>9579</v>
      </c>
      <c r="H818" s="74" t="s">
        <v>407</v>
      </c>
      <c r="I818" s="74" t="s">
        <v>47</v>
      </c>
      <c r="J818" s="74" t="s">
        <v>9347</v>
      </c>
      <c r="K818" s="74" t="s">
        <v>11190</v>
      </c>
      <c r="L818" s="74" t="s">
        <v>318</v>
      </c>
    </row>
    <row r="819" spans="1:12" ht="55.2">
      <c r="A819" s="73">
        <v>818</v>
      </c>
      <c r="B819" s="74" t="s">
        <v>11191</v>
      </c>
      <c r="C819" s="74" t="s">
        <v>3497</v>
      </c>
      <c r="D819" s="74" t="s">
        <v>143</v>
      </c>
      <c r="E819" s="74" t="s">
        <v>9344</v>
      </c>
      <c r="F819" s="74" t="s">
        <v>9345</v>
      </c>
      <c r="G819" s="74" t="s">
        <v>9375</v>
      </c>
      <c r="H819" s="74" t="s">
        <v>327</v>
      </c>
      <c r="I819" s="74" t="s">
        <v>47</v>
      </c>
      <c r="J819" s="74" t="s">
        <v>9351</v>
      </c>
      <c r="K819" s="74" t="s">
        <v>11192</v>
      </c>
      <c r="L819" s="74" t="s">
        <v>370</v>
      </c>
    </row>
    <row r="820" spans="1:12" ht="41.4">
      <c r="A820" s="73">
        <v>819</v>
      </c>
      <c r="B820" s="74" t="s">
        <v>11193</v>
      </c>
      <c r="C820" s="74" t="s">
        <v>11194</v>
      </c>
      <c r="D820" s="74" t="s">
        <v>295</v>
      </c>
      <c r="E820" s="74" t="s">
        <v>9344</v>
      </c>
      <c r="F820" s="74" t="s">
        <v>9345</v>
      </c>
      <c r="G820" s="74" t="s">
        <v>9346</v>
      </c>
      <c r="H820" s="74" t="s">
        <v>297</v>
      </c>
      <c r="I820" s="74" t="s">
        <v>47</v>
      </c>
      <c r="J820" s="74" t="s">
        <v>9347</v>
      </c>
      <c r="K820" s="74" t="s">
        <v>11195</v>
      </c>
      <c r="L820" s="74" t="s">
        <v>318</v>
      </c>
    </row>
    <row r="821" spans="1:12" ht="69">
      <c r="A821" s="73">
        <v>820</v>
      </c>
      <c r="B821" s="74" t="s">
        <v>11196</v>
      </c>
      <c r="C821" s="74" t="s">
        <v>11197</v>
      </c>
      <c r="D821" s="74" t="s">
        <v>89</v>
      </c>
      <c r="E821" s="74" t="s">
        <v>9344</v>
      </c>
      <c r="F821" s="74" t="s">
        <v>9345</v>
      </c>
      <c r="G821" s="74" t="s">
        <v>9682</v>
      </c>
      <c r="H821" s="74" t="s">
        <v>91</v>
      </c>
      <c r="I821" s="74" t="s">
        <v>47</v>
      </c>
      <c r="J821" s="74" t="s">
        <v>9351</v>
      </c>
      <c r="K821" s="74"/>
      <c r="L821" s="74"/>
    </row>
    <row r="822" spans="1:12" ht="41.4">
      <c r="A822" s="73">
        <v>821</v>
      </c>
      <c r="B822" s="74" t="s">
        <v>11198</v>
      </c>
      <c r="C822" s="74" t="s">
        <v>11199</v>
      </c>
      <c r="D822" s="74" t="s">
        <v>41</v>
      </c>
      <c r="E822" s="74" t="s">
        <v>9344</v>
      </c>
      <c r="F822" s="74" t="s">
        <v>9345</v>
      </c>
      <c r="G822" s="74" t="s">
        <v>9776</v>
      </c>
      <c r="H822" s="74" t="s">
        <v>200</v>
      </c>
      <c r="I822" s="74" t="s">
        <v>47</v>
      </c>
      <c r="J822" s="74" t="s">
        <v>9347</v>
      </c>
      <c r="K822" s="74" t="s">
        <v>11200</v>
      </c>
      <c r="L822" s="74" t="s">
        <v>370</v>
      </c>
    </row>
    <row r="823" spans="1:12" ht="41.4">
      <c r="A823" s="73">
        <v>822</v>
      </c>
      <c r="B823" s="74" t="s">
        <v>11201</v>
      </c>
      <c r="C823" s="74" t="s">
        <v>1971</v>
      </c>
      <c r="D823" s="74" t="s">
        <v>295</v>
      </c>
      <c r="E823" s="74" t="s">
        <v>9344</v>
      </c>
      <c r="F823" s="74" t="s">
        <v>9345</v>
      </c>
      <c r="G823" s="74" t="s">
        <v>9489</v>
      </c>
      <c r="H823" s="74" t="s">
        <v>407</v>
      </c>
      <c r="I823" s="74" t="s">
        <v>47</v>
      </c>
      <c r="J823" s="74" t="s">
        <v>9811</v>
      </c>
      <c r="K823" s="74" t="s">
        <v>11202</v>
      </c>
      <c r="L823" s="74" t="s">
        <v>318</v>
      </c>
    </row>
    <row r="824" spans="1:12" ht="69">
      <c r="A824" s="73">
        <v>823</v>
      </c>
      <c r="B824" s="74" t="s">
        <v>11203</v>
      </c>
      <c r="C824" s="74" t="s">
        <v>5212</v>
      </c>
      <c r="D824" s="74" t="s">
        <v>41</v>
      </c>
      <c r="E824" s="74" t="s">
        <v>9344</v>
      </c>
      <c r="F824" s="74" t="s">
        <v>9345</v>
      </c>
      <c r="G824" s="74" t="s">
        <v>9824</v>
      </c>
      <c r="H824" s="74" t="s">
        <v>46</v>
      </c>
      <c r="I824" s="74" t="s">
        <v>47</v>
      </c>
      <c r="J824" s="74" t="s">
        <v>9351</v>
      </c>
      <c r="K824" s="74" t="s">
        <v>11204</v>
      </c>
      <c r="L824" s="74" t="s">
        <v>331</v>
      </c>
    </row>
    <row r="825" spans="1:12" ht="69">
      <c r="A825" s="73">
        <v>824</v>
      </c>
      <c r="B825" s="74" t="s">
        <v>11205</v>
      </c>
      <c r="C825" s="74" t="s">
        <v>11206</v>
      </c>
      <c r="D825" s="74" t="s">
        <v>41</v>
      </c>
      <c r="E825" s="74" t="s">
        <v>9344</v>
      </c>
      <c r="F825" s="74" t="s">
        <v>9345</v>
      </c>
      <c r="G825" s="74" t="s">
        <v>9385</v>
      </c>
      <c r="H825" s="74" t="s">
        <v>46</v>
      </c>
      <c r="I825" s="74" t="s">
        <v>47</v>
      </c>
      <c r="J825" s="74" t="s">
        <v>9351</v>
      </c>
      <c r="K825" s="74"/>
      <c r="L825" s="74"/>
    </row>
    <row r="826" spans="1:12" ht="41.4">
      <c r="A826" s="73">
        <v>825</v>
      </c>
      <c r="B826" s="74" t="s">
        <v>11207</v>
      </c>
      <c r="C826" s="74" t="s">
        <v>11208</v>
      </c>
      <c r="D826" s="74" t="s">
        <v>41</v>
      </c>
      <c r="E826" s="74" t="s">
        <v>9344</v>
      </c>
      <c r="F826" s="74" t="s">
        <v>9345</v>
      </c>
      <c r="G826" s="74" t="s">
        <v>9796</v>
      </c>
      <c r="H826" s="74" t="s">
        <v>200</v>
      </c>
      <c r="I826" s="74" t="s">
        <v>47</v>
      </c>
      <c r="J826" s="74" t="s">
        <v>9347</v>
      </c>
      <c r="K826" s="74"/>
      <c r="L826" s="74"/>
    </row>
    <row r="827" spans="1:12" ht="69">
      <c r="A827" s="73">
        <v>826</v>
      </c>
      <c r="B827" s="74" t="s">
        <v>11209</v>
      </c>
      <c r="C827" s="74" t="s">
        <v>6389</v>
      </c>
      <c r="D827" s="74" t="s">
        <v>41</v>
      </c>
      <c r="E827" s="74" t="s">
        <v>9344</v>
      </c>
      <c r="F827" s="74" t="s">
        <v>9345</v>
      </c>
      <c r="G827" s="74" t="s">
        <v>9793</v>
      </c>
      <c r="H827" s="74" t="s">
        <v>46</v>
      </c>
      <c r="I827" s="74" t="s">
        <v>47</v>
      </c>
      <c r="J827" s="74" t="s">
        <v>9351</v>
      </c>
      <c r="K827" s="74"/>
      <c r="L827" s="74"/>
    </row>
    <row r="828" spans="1:12" ht="41.4">
      <c r="A828" s="73">
        <v>827</v>
      </c>
      <c r="B828" s="74" t="s">
        <v>11210</v>
      </c>
      <c r="C828" s="74" t="s">
        <v>11211</v>
      </c>
      <c r="D828" s="74" t="s">
        <v>295</v>
      </c>
      <c r="E828" s="74" t="s">
        <v>9344</v>
      </c>
      <c r="F828" s="74" t="s">
        <v>9345</v>
      </c>
      <c r="G828" s="74" t="s">
        <v>9677</v>
      </c>
      <c r="H828" s="74" t="s">
        <v>407</v>
      </c>
      <c r="I828" s="74" t="s">
        <v>47</v>
      </c>
      <c r="J828" s="74" t="s">
        <v>9347</v>
      </c>
      <c r="K828" s="74"/>
      <c r="L828" s="74"/>
    </row>
    <row r="829" spans="1:12" ht="69">
      <c r="A829" s="73">
        <v>828</v>
      </c>
      <c r="B829" s="74" t="s">
        <v>11212</v>
      </c>
      <c r="C829" s="74" t="s">
        <v>11213</v>
      </c>
      <c r="D829" s="74" t="s">
        <v>143</v>
      </c>
      <c r="E829" s="74" t="s">
        <v>9344</v>
      </c>
      <c r="F829" s="74" t="s">
        <v>9345</v>
      </c>
      <c r="G829" s="74" t="s">
        <v>9715</v>
      </c>
      <c r="H829" s="74" t="s">
        <v>220</v>
      </c>
      <c r="I829" s="74" t="s">
        <v>47</v>
      </c>
      <c r="J829" s="74" t="s">
        <v>9351</v>
      </c>
      <c r="K829" s="74" t="s">
        <v>11214</v>
      </c>
      <c r="L829" s="74" t="s">
        <v>251</v>
      </c>
    </row>
    <row r="830" spans="1:12" ht="41.4">
      <c r="A830" s="73">
        <v>829</v>
      </c>
      <c r="B830" s="74" t="s">
        <v>11215</v>
      </c>
      <c r="C830" s="74" t="s">
        <v>314</v>
      </c>
      <c r="D830" s="74" t="s">
        <v>295</v>
      </c>
      <c r="E830" s="74" t="s">
        <v>9344</v>
      </c>
      <c r="F830" s="74" t="s">
        <v>9345</v>
      </c>
      <c r="G830" s="74" t="s">
        <v>9489</v>
      </c>
      <c r="H830" s="74" t="s">
        <v>407</v>
      </c>
      <c r="I830" s="74" t="s">
        <v>47</v>
      </c>
      <c r="J830" s="74" t="s">
        <v>9347</v>
      </c>
      <c r="K830" s="74" t="s">
        <v>11216</v>
      </c>
      <c r="L830" s="74" t="s">
        <v>318</v>
      </c>
    </row>
    <row r="831" spans="1:12" ht="41.4">
      <c r="A831" s="73">
        <v>830</v>
      </c>
      <c r="B831" s="74" t="s">
        <v>11217</v>
      </c>
      <c r="C831" s="74" t="s">
        <v>4989</v>
      </c>
      <c r="D831" s="74" t="s">
        <v>41</v>
      </c>
      <c r="E831" s="74" t="s">
        <v>9344</v>
      </c>
      <c r="F831" s="74" t="s">
        <v>9345</v>
      </c>
      <c r="G831" s="74" t="s">
        <v>9648</v>
      </c>
      <c r="H831" s="74" t="s">
        <v>200</v>
      </c>
      <c r="I831" s="74" t="s">
        <v>47</v>
      </c>
      <c r="J831" s="74" t="s">
        <v>9347</v>
      </c>
      <c r="K831" s="74" t="s">
        <v>11218</v>
      </c>
      <c r="L831" s="74" t="s">
        <v>3561</v>
      </c>
    </row>
    <row r="832" spans="1:12" ht="41.4">
      <c r="A832" s="73">
        <v>831</v>
      </c>
      <c r="B832" s="74" t="s">
        <v>11219</v>
      </c>
      <c r="C832" s="74" t="s">
        <v>7569</v>
      </c>
      <c r="D832" s="74" t="s">
        <v>143</v>
      </c>
      <c r="E832" s="74" t="s">
        <v>9344</v>
      </c>
      <c r="F832" s="74" t="s">
        <v>9345</v>
      </c>
      <c r="G832" s="74" t="s">
        <v>10267</v>
      </c>
      <c r="H832" s="74" t="s">
        <v>400</v>
      </c>
      <c r="I832" s="74" t="s">
        <v>47</v>
      </c>
      <c r="J832" s="74" t="s">
        <v>9351</v>
      </c>
      <c r="K832" s="74" t="s">
        <v>11220</v>
      </c>
      <c r="L832" s="74" t="s">
        <v>251</v>
      </c>
    </row>
    <row r="833" spans="1:12" ht="41.4">
      <c r="A833" s="73">
        <v>832</v>
      </c>
      <c r="B833" s="74" t="s">
        <v>11221</v>
      </c>
      <c r="C833" s="74" t="s">
        <v>11222</v>
      </c>
      <c r="D833" s="74" t="s">
        <v>295</v>
      </c>
      <c r="E833" s="74" t="s">
        <v>9344</v>
      </c>
      <c r="F833" s="74" t="s">
        <v>9345</v>
      </c>
      <c r="G833" s="74" t="s">
        <v>9400</v>
      </c>
      <c r="H833" s="74" t="s">
        <v>407</v>
      </c>
      <c r="I833" s="74" t="s">
        <v>47</v>
      </c>
      <c r="J833" s="74" t="s">
        <v>9347</v>
      </c>
      <c r="K833" s="74" t="s">
        <v>11223</v>
      </c>
      <c r="L833" s="74" t="s">
        <v>318</v>
      </c>
    </row>
    <row r="834" spans="1:12" ht="41.4">
      <c r="A834" s="73">
        <v>833</v>
      </c>
      <c r="B834" s="74" t="s">
        <v>11224</v>
      </c>
      <c r="C834" s="74" t="s">
        <v>6206</v>
      </c>
      <c r="D834" s="74" t="s">
        <v>41</v>
      </c>
      <c r="E834" s="74" t="s">
        <v>9344</v>
      </c>
      <c r="F834" s="74" t="s">
        <v>9345</v>
      </c>
      <c r="G834" s="74" t="s">
        <v>9405</v>
      </c>
      <c r="H834" s="74" t="s">
        <v>662</v>
      </c>
      <c r="I834" s="74" t="s">
        <v>47</v>
      </c>
      <c r="J834" s="74" t="s">
        <v>9351</v>
      </c>
      <c r="K834" s="74" t="s">
        <v>11225</v>
      </c>
      <c r="L834" s="74" t="s">
        <v>331</v>
      </c>
    </row>
    <row r="835" spans="1:12" ht="41.4">
      <c r="A835" s="73">
        <v>834</v>
      </c>
      <c r="B835" s="74" t="s">
        <v>11226</v>
      </c>
      <c r="C835" s="74" t="s">
        <v>11227</v>
      </c>
      <c r="D835" s="74" t="s">
        <v>41</v>
      </c>
      <c r="E835" s="74" t="s">
        <v>9344</v>
      </c>
      <c r="F835" s="74" t="s">
        <v>9345</v>
      </c>
      <c r="G835" s="74" t="s">
        <v>9392</v>
      </c>
      <c r="H835" s="74" t="s">
        <v>200</v>
      </c>
      <c r="I835" s="74" t="s">
        <v>47</v>
      </c>
      <c r="J835" s="74" t="s">
        <v>9347</v>
      </c>
      <c r="K835" s="74"/>
      <c r="L835" s="74"/>
    </row>
    <row r="836" spans="1:12" ht="41.4">
      <c r="A836" s="73">
        <v>835</v>
      </c>
      <c r="B836" s="74" t="s">
        <v>11228</v>
      </c>
      <c r="C836" s="74" t="s">
        <v>11229</v>
      </c>
      <c r="D836" s="74" t="s">
        <v>41</v>
      </c>
      <c r="E836" s="74" t="s">
        <v>9344</v>
      </c>
      <c r="F836" s="74" t="s">
        <v>9345</v>
      </c>
      <c r="G836" s="74" t="s">
        <v>9410</v>
      </c>
      <c r="H836" s="74" t="s">
        <v>130</v>
      </c>
      <c r="I836" s="74" t="s">
        <v>47</v>
      </c>
      <c r="J836" s="74" t="s">
        <v>9347</v>
      </c>
      <c r="K836" s="74" t="s">
        <v>11230</v>
      </c>
      <c r="L836" s="74" t="s">
        <v>318</v>
      </c>
    </row>
    <row r="837" spans="1:12" ht="55.2">
      <c r="A837" s="73">
        <v>836</v>
      </c>
      <c r="B837" s="74" t="s">
        <v>11231</v>
      </c>
      <c r="C837" s="74" t="s">
        <v>3840</v>
      </c>
      <c r="D837" s="74" t="s">
        <v>143</v>
      </c>
      <c r="E837" s="74" t="s">
        <v>9344</v>
      </c>
      <c r="F837" s="74" t="s">
        <v>9345</v>
      </c>
      <c r="G837" s="74" t="s">
        <v>9534</v>
      </c>
      <c r="H837" s="74" t="s">
        <v>145</v>
      </c>
      <c r="I837" s="74" t="s">
        <v>47</v>
      </c>
      <c r="J837" s="74" t="s">
        <v>9351</v>
      </c>
      <c r="K837" s="74" t="s">
        <v>11232</v>
      </c>
      <c r="L837" s="74" t="s">
        <v>251</v>
      </c>
    </row>
    <row r="838" spans="1:12" ht="41.4">
      <c r="A838" s="73">
        <v>837</v>
      </c>
      <c r="B838" s="74" t="s">
        <v>11233</v>
      </c>
      <c r="C838" s="74" t="s">
        <v>11234</v>
      </c>
      <c r="D838" s="74" t="s">
        <v>41</v>
      </c>
      <c r="E838" s="74" t="s">
        <v>9344</v>
      </c>
      <c r="F838" s="74" t="s">
        <v>9345</v>
      </c>
      <c r="G838" s="74" t="s">
        <v>9500</v>
      </c>
      <c r="H838" s="74" t="s">
        <v>200</v>
      </c>
      <c r="I838" s="74" t="s">
        <v>47</v>
      </c>
      <c r="J838" s="74" t="s">
        <v>9351</v>
      </c>
      <c r="K838" s="74" t="s">
        <v>11235</v>
      </c>
      <c r="L838" s="74" t="s">
        <v>331</v>
      </c>
    </row>
    <row r="839" spans="1:12" ht="55.2">
      <c r="A839" s="73">
        <v>838</v>
      </c>
      <c r="B839" s="74" t="s">
        <v>11236</v>
      </c>
      <c r="C839" s="74" t="s">
        <v>3302</v>
      </c>
      <c r="D839" s="74" t="s">
        <v>89</v>
      </c>
      <c r="E839" s="74" t="s">
        <v>9344</v>
      </c>
      <c r="F839" s="74" t="s">
        <v>9345</v>
      </c>
      <c r="G839" s="74" t="s">
        <v>9556</v>
      </c>
      <c r="H839" s="74" t="s">
        <v>102</v>
      </c>
      <c r="I839" s="74" t="s">
        <v>47</v>
      </c>
      <c r="J839" s="74" t="s">
        <v>9351</v>
      </c>
      <c r="K839" s="74" t="s">
        <v>11237</v>
      </c>
      <c r="L839" s="74" t="s">
        <v>711</v>
      </c>
    </row>
    <row r="840" spans="1:12" ht="41.4">
      <c r="A840" s="73">
        <v>839</v>
      </c>
      <c r="B840" s="74" t="s">
        <v>11238</v>
      </c>
      <c r="C840" s="74" t="s">
        <v>11239</v>
      </c>
      <c r="D840" s="74" t="s">
        <v>295</v>
      </c>
      <c r="E840" s="74" t="s">
        <v>9344</v>
      </c>
      <c r="F840" s="74" t="s">
        <v>9345</v>
      </c>
      <c r="G840" s="74" t="s">
        <v>9346</v>
      </c>
      <c r="H840" s="74" t="s">
        <v>297</v>
      </c>
      <c r="I840" s="74" t="s">
        <v>47</v>
      </c>
      <c r="J840" s="74" t="s">
        <v>9347</v>
      </c>
      <c r="K840" s="74" t="s">
        <v>11240</v>
      </c>
      <c r="L840" s="74" t="s">
        <v>318</v>
      </c>
    </row>
    <row r="841" spans="1:12" ht="55.2">
      <c r="A841" s="73">
        <v>840</v>
      </c>
      <c r="B841" s="74" t="s">
        <v>11241</v>
      </c>
      <c r="C841" s="74" t="s">
        <v>11242</v>
      </c>
      <c r="D841" s="74" t="s">
        <v>41</v>
      </c>
      <c r="E841" s="74" t="s">
        <v>9344</v>
      </c>
      <c r="F841" s="74" t="s">
        <v>9345</v>
      </c>
      <c r="G841" s="74" t="s">
        <v>9392</v>
      </c>
      <c r="H841" s="74" t="s">
        <v>200</v>
      </c>
      <c r="I841" s="74" t="s">
        <v>47</v>
      </c>
      <c r="J841" s="74" t="s">
        <v>9347</v>
      </c>
      <c r="K841" s="74"/>
      <c r="L841" s="74"/>
    </row>
    <row r="842" spans="1:12" ht="55.2">
      <c r="A842" s="73">
        <v>841</v>
      </c>
      <c r="B842" s="74" t="s">
        <v>11243</v>
      </c>
      <c r="C842" s="74" t="s">
        <v>1185</v>
      </c>
      <c r="D842" s="74" t="s">
        <v>89</v>
      </c>
      <c r="E842" s="74" t="s">
        <v>9344</v>
      </c>
      <c r="F842" s="74" t="s">
        <v>9345</v>
      </c>
      <c r="G842" s="74" t="s">
        <v>9723</v>
      </c>
      <c r="H842" s="74" t="s">
        <v>4024</v>
      </c>
      <c r="I842" s="74" t="s">
        <v>47</v>
      </c>
      <c r="J842" s="74" t="s">
        <v>9351</v>
      </c>
      <c r="K842" s="74" t="s">
        <v>11244</v>
      </c>
      <c r="L842" s="74" t="s">
        <v>711</v>
      </c>
    </row>
    <row r="843" spans="1:12" ht="41.4">
      <c r="A843" s="73">
        <v>842</v>
      </c>
      <c r="B843" s="74" t="s">
        <v>11245</v>
      </c>
      <c r="C843" s="74" t="s">
        <v>11246</v>
      </c>
      <c r="D843" s="74" t="s">
        <v>41</v>
      </c>
      <c r="E843" s="74" t="s">
        <v>9344</v>
      </c>
      <c r="F843" s="74" t="s">
        <v>9345</v>
      </c>
      <c r="G843" s="74" t="s">
        <v>9410</v>
      </c>
      <c r="H843" s="74" t="s">
        <v>130</v>
      </c>
      <c r="I843" s="74" t="s">
        <v>47</v>
      </c>
      <c r="J843" s="74" t="s">
        <v>9347</v>
      </c>
      <c r="K843" s="74" t="s">
        <v>11247</v>
      </c>
      <c r="L843" s="74" t="s">
        <v>318</v>
      </c>
    </row>
    <row r="844" spans="1:12" ht="41.4">
      <c r="A844" s="73">
        <v>843</v>
      </c>
      <c r="B844" s="74" t="s">
        <v>11248</v>
      </c>
      <c r="C844" s="74" t="s">
        <v>11249</v>
      </c>
      <c r="D844" s="74" t="s">
        <v>295</v>
      </c>
      <c r="E844" s="74" t="s">
        <v>9344</v>
      </c>
      <c r="F844" s="74" t="s">
        <v>9345</v>
      </c>
      <c r="G844" s="74" t="s">
        <v>9579</v>
      </c>
      <c r="H844" s="74" t="s">
        <v>407</v>
      </c>
      <c r="I844" s="74" t="s">
        <v>47</v>
      </c>
      <c r="J844" s="74" t="s">
        <v>9347</v>
      </c>
      <c r="K844" s="74" t="s">
        <v>11250</v>
      </c>
      <c r="L844" s="74" t="s">
        <v>318</v>
      </c>
    </row>
    <row r="845" spans="1:12" ht="69">
      <c r="A845" s="73">
        <v>844</v>
      </c>
      <c r="B845" s="74" t="s">
        <v>11251</v>
      </c>
      <c r="C845" s="74" t="s">
        <v>6414</v>
      </c>
      <c r="D845" s="74" t="s">
        <v>41</v>
      </c>
      <c r="E845" s="74" t="s">
        <v>9344</v>
      </c>
      <c r="F845" s="74" t="s">
        <v>9345</v>
      </c>
      <c r="G845" s="74" t="s">
        <v>9824</v>
      </c>
      <c r="H845" s="74" t="s">
        <v>46</v>
      </c>
      <c r="I845" s="74" t="s">
        <v>47</v>
      </c>
      <c r="J845" s="74" t="s">
        <v>9351</v>
      </c>
      <c r="K845" s="74" t="s">
        <v>11252</v>
      </c>
      <c r="L845" s="74" t="s">
        <v>331</v>
      </c>
    </row>
    <row r="846" spans="1:12" ht="55.2">
      <c r="A846" s="73">
        <v>845</v>
      </c>
      <c r="B846" s="74" t="s">
        <v>11253</v>
      </c>
      <c r="C846" s="74" t="s">
        <v>1216</v>
      </c>
      <c r="D846" s="74" t="s">
        <v>41</v>
      </c>
      <c r="E846" s="74" t="s">
        <v>9344</v>
      </c>
      <c r="F846" s="74" t="s">
        <v>9345</v>
      </c>
      <c r="G846" s="74" t="s">
        <v>9372</v>
      </c>
      <c r="H846" s="74" t="s">
        <v>479</v>
      </c>
      <c r="I846" s="74" t="s">
        <v>47</v>
      </c>
      <c r="J846" s="74" t="s">
        <v>9351</v>
      </c>
      <c r="K846" s="74"/>
      <c r="L846" s="74"/>
    </row>
    <row r="847" spans="1:12" ht="69">
      <c r="A847" s="73">
        <v>846</v>
      </c>
      <c r="B847" s="74" t="s">
        <v>11254</v>
      </c>
      <c r="C847" s="74" t="s">
        <v>11255</v>
      </c>
      <c r="D847" s="74" t="s">
        <v>41</v>
      </c>
      <c r="E847" s="74" t="s">
        <v>9344</v>
      </c>
      <c r="F847" s="74" t="s">
        <v>9345</v>
      </c>
      <c r="G847" s="74" t="s">
        <v>9413</v>
      </c>
      <c r="H847" s="74" t="s">
        <v>46</v>
      </c>
      <c r="I847" s="74" t="s">
        <v>47</v>
      </c>
      <c r="J847" s="74" t="s">
        <v>9347</v>
      </c>
      <c r="K847" s="74"/>
      <c r="L847" s="74"/>
    </row>
    <row r="848" spans="1:12" ht="55.2">
      <c r="A848" s="73">
        <v>847</v>
      </c>
      <c r="B848" s="74" t="s">
        <v>11256</v>
      </c>
      <c r="C848" s="74" t="s">
        <v>579</v>
      </c>
      <c r="D848" s="74" t="s">
        <v>41</v>
      </c>
      <c r="E848" s="74" t="s">
        <v>9344</v>
      </c>
      <c r="F848" s="74" t="s">
        <v>9345</v>
      </c>
      <c r="G848" s="74" t="s">
        <v>9572</v>
      </c>
      <c r="H848" s="74" t="s">
        <v>479</v>
      </c>
      <c r="I848" s="74" t="s">
        <v>47</v>
      </c>
      <c r="J848" s="74" t="s">
        <v>9351</v>
      </c>
      <c r="K848" s="74" t="s">
        <v>11257</v>
      </c>
      <c r="L848" s="74" t="s">
        <v>331</v>
      </c>
    </row>
    <row r="849" spans="1:12" ht="55.2">
      <c r="A849" s="73">
        <v>848</v>
      </c>
      <c r="B849" s="74" t="s">
        <v>11258</v>
      </c>
      <c r="C849" s="74" t="s">
        <v>11259</v>
      </c>
      <c r="D849" s="74" t="s">
        <v>41</v>
      </c>
      <c r="E849" s="74" t="s">
        <v>9344</v>
      </c>
      <c r="F849" s="74" t="s">
        <v>9345</v>
      </c>
      <c r="G849" s="74" t="s">
        <v>9648</v>
      </c>
      <c r="H849" s="74" t="s">
        <v>200</v>
      </c>
      <c r="I849" s="74" t="s">
        <v>47</v>
      </c>
      <c r="J849" s="74" t="s">
        <v>9347</v>
      </c>
      <c r="K849" s="74"/>
      <c r="L849" s="74"/>
    </row>
    <row r="850" spans="1:12" ht="55.2">
      <c r="A850" s="73">
        <v>849</v>
      </c>
      <c r="B850" s="74" t="s">
        <v>11260</v>
      </c>
      <c r="C850" s="74" t="s">
        <v>6468</v>
      </c>
      <c r="D850" s="74" t="s">
        <v>143</v>
      </c>
      <c r="E850" s="74" t="s">
        <v>9344</v>
      </c>
      <c r="F850" s="74" t="s">
        <v>9345</v>
      </c>
      <c r="G850" s="74" t="s">
        <v>9375</v>
      </c>
      <c r="H850" s="74" t="s">
        <v>327</v>
      </c>
      <c r="I850" s="74" t="s">
        <v>47</v>
      </c>
      <c r="J850" s="74" t="s">
        <v>9351</v>
      </c>
      <c r="K850" s="74" t="s">
        <v>11261</v>
      </c>
      <c r="L850" s="74" t="s">
        <v>370</v>
      </c>
    </row>
    <row r="851" spans="1:12" ht="55.2">
      <c r="A851" s="73">
        <v>850</v>
      </c>
      <c r="B851" s="74" t="s">
        <v>11262</v>
      </c>
      <c r="C851" s="74" t="s">
        <v>1667</v>
      </c>
      <c r="D851" s="74" t="s">
        <v>143</v>
      </c>
      <c r="E851" s="74" t="s">
        <v>9344</v>
      </c>
      <c r="F851" s="74" t="s">
        <v>9345</v>
      </c>
      <c r="G851" s="74" t="s">
        <v>9375</v>
      </c>
      <c r="H851" s="74" t="s">
        <v>327</v>
      </c>
      <c r="I851" s="74" t="s">
        <v>47</v>
      </c>
      <c r="J851" s="74" t="s">
        <v>9351</v>
      </c>
      <c r="K851" s="74" t="s">
        <v>11263</v>
      </c>
      <c r="L851" s="74" t="s">
        <v>370</v>
      </c>
    </row>
    <row r="852" spans="1:12" ht="41.4">
      <c r="A852" s="73">
        <v>851</v>
      </c>
      <c r="B852" s="74" t="s">
        <v>11264</v>
      </c>
      <c r="C852" s="74" t="s">
        <v>11265</v>
      </c>
      <c r="D852" s="74" t="s">
        <v>295</v>
      </c>
      <c r="E852" s="74" t="s">
        <v>9344</v>
      </c>
      <c r="F852" s="74" t="s">
        <v>9345</v>
      </c>
      <c r="G852" s="74" t="s">
        <v>9864</v>
      </c>
      <c r="H852" s="74" t="s">
        <v>9865</v>
      </c>
      <c r="I852" s="74" t="s">
        <v>47</v>
      </c>
      <c r="J852" s="74" t="s">
        <v>9347</v>
      </c>
      <c r="K852" s="74"/>
      <c r="L852" s="74"/>
    </row>
    <row r="853" spans="1:12" ht="55.2">
      <c r="A853" s="73">
        <v>852</v>
      </c>
      <c r="B853" s="74" t="s">
        <v>11266</v>
      </c>
      <c r="C853" s="74" t="s">
        <v>11267</v>
      </c>
      <c r="D853" s="74" t="s">
        <v>295</v>
      </c>
      <c r="E853" s="74" t="s">
        <v>9344</v>
      </c>
      <c r="F853" s="74" t="s">
        <v>9345</v>
      </c>
      <c r="G853" s="74" t="s">
        <v>9478</v>
      </c>
      <c r="H853" s="74" t="s">
        <v>407</v>
      </c>
      <c r="I853" s="74" t="s">
        <v>47</v>
      </c>
      <c r="J853" s="74" t="s">
        <v>9347</v>
      </c>
      <c r="K853" s="74" t="s">
        <v>11268</v>
      </c>
      <c r="L853" s="74" t="s">
        <v>318</v>
      </c>
    </row>
    <row r="854" spans="1:12" ht="69">
      <c r="A854" s="73">
        <v>853</v>
      </c>
      <c r="B854" s="74" t="s">
        <v>11269</v>
      </c>
      <c r="C854" s="74" t="s">
        <v>11270</v>
      </c>
      <c r="D854" s="74" t="s">
        <v>41</v>
      </c>
      <c r="E854" s="74" t="s">
        <v>9344</v>
      </c>
      <c r="F854" s="74" t="s">
        <v>9345</v>
      </c>
      <c r="G854" s="74" t="s">
        <v>9385</v>
      </c>
      <c r="H854" s="74" t="s">
        <v>46</v>
      </c>
      <c r="I854" s="74" t="s">
        <v>47</v>
      </c>
      <c r="J854" s="74" t="s">
        <v>9351</v>
      </c>
      <c r="K854" s="74" t="s">
        <v>11271</v>
      </c>
      <c r="L854" s="74" t="s">
        <v>331</v>
      </c>
    </row>
    <row r="855" spans="1:12" ht="41.4">
      <c r="A855" s="73">
        <v>854</v>
      </c>
      <c r="B855" s="74" t="s">
        <v>11272</v>
      </c>
      <c r="C855" s="74" t="s">
        <v>4609</v>
      </c>
      <c r="D855" s="74" t="s">
        <v>41</v>
      </c>
      <c r="E855" s="74" t="s">
        <v>9344</v>
      </c>
      <c r="F855" s="74" t="s">
        <v>9345</v>
      </c>
      <c r="G855" s="74" t="s">
        <v>9776</v>
      </c>
      <c r="H855" s="74" t="s">
        <v>200</v>
      </c>
      <c r="I855" s="74" t="s">
        <v>47</v>
      </c>
      <c r="J855" s="74" t="s">
        <v>9347</v>
      </c>
      <c r="K855" s="74"/>
      <c r="L855" s="74"/>
    </row>
    <row r="856" spans="1:12" ht="55.2">
      <c r="A856" s="73">
        <v>855</v>
      </c>
      <c r="B856" s="74" t="s">
        <v>11273</v>
      </c>
      <c r="C856" s="74" t="s">
        <v>11274</v>
      </c>
      <c r="D856" s="74" t="s">
        <v>68</v>
      </c>
      <c r="E856" s="74" t="s">
        <v>9344</v>
      </c>
      <c r="F856" s="74" t="s">
        <v>9345</v>
      </c>
      <c r="G856" s="74" t="s">
        <v>9378</v>
      </c>
      <c r="H856" s="74" t="s">
        <v>70</v>
      </c>
      <c r="I856" s="74" t="s">
        <v>47</v>
      </c>
      <c r="J856" s="74" t="s">
        <v>9351</v>
      </c>
      <c r="K856" s="74" t="s">
        <v>11275</v>
      </c>
      <c r="L856" s="74" t="s">
        <v>3207</v>
      </c>
    </row>
    <row r="857" spans="1:12" ht="41.4">
      <c r="A857" s="73">
        <v>856</v>
      </c>
      <c r="B857" s="74" t="s">
        <v>11276</v>
      </c>
      <c r="C857" s="74" t="s">
        <v>11277</v>
      </c>
      <c r="D857" s="74" t="s">
        <v>295</v>
      </c>
      <c r="E857" s="74" t="s">
        <v>9344</v>
      </c>
      <c r="F857" s="74" t="s">
        <v>9345</v>
      </c>
      <c r="G857" s="74" t="s">
        <v>9355</v>
      </c>
      <c r="H857" s="74" t="s">
        <v>297</v>
      </c>
      <c r="I857" s="74" t="s">
        <v>47</v>
      </c>
      <c r="J857" s="74" t="s">
        <v>9347</v>
      </c>
      <c r="K857" s="74" t="s">
        <v>11278</v>
      </c>
      <c r="L857" s="74" t="s">
        <v>318</v>
      </c>
    </row>
    <row r="858" spans="1:12" ht="41.4">
      <c r="A858" s="73">
        <v>857</v>
      </c>
      <c r="B858" s="74" t="s">
        <v>11279</v>
      </c>
      <c r="C858" s="74" t="s">
        <v>11280</v>
      </c>
      <c r="D858" s="74" t="s">
        <v>41</v>
      </c>
      <c r="E858" s="74" t="s">
        <v>9344</v>
      </c>
      <c r="F858" s="74" t="s">
        <v>9345</v>
      </c>
      <c r="G858" s="74" t="s">
        <v>9591</v>
      </c>
      <c r="H858" s="74" t="s">
        <v>130</v>
      </c>
      <c r="I858" s="74" t="s">
        <v>47</v>
      </c>
      <c r="J858" s="74" t="s">
        <v>9347</v>
      </c>
      <c r="K858" s="74"/>
      <c r="L858" s="74"/>
    </row>
    <row r="859" spans="1:12" ht="41.4">
      <c r="A859" s="73">
        <v>858</v>
      </c>
      <c r="B859" s="74" t="s">
        <v>11281</v>
      </c>
      <c r="C859" s="74" t="s">
        <v>11282</v>
      </c>
      <c r="D859" s="74" t="s">
        <v>41</v>
      </c>
      <c r="E859" s="74" t="s">
        <v>9344</v>
      </c>
      <c r="F859" s="74" t="s">
        <v>9345</v>
      </c>
      <c r="G859" s="74" t="s">
        <v>9500</v>
      </c>
      <c r="H859" s="74" t="s">
        <v>200</v>
      </c>
      <c r="I859" s="74" t="s">
        <v>47</v>
      </c>
      <c r="J859" s="74" t="s">
        <v>9351</v>
      </c>
      <c r="K859" s="74" t="s">
        <v>11283</v>
      </c>
      <c r="L859" s="74" t="s">
        <v>331</v>
      </c>
    </row>
    <row r="860" spans="1:12" ht="55.2">
      <c r="A860" s="73">
        <v>859</v>
      </c>
      <c r="B860" s="74" t="s">
        <v>11284</v>
      </c>
      <c r="C860" s="74" t="s">
        <v>8514</v>
      </c>
      <c r="D860" s="74" t="s">
        <v>68</v>
      </c>
      <c r="E860" s="74" t="s">
        <v>9344</v>
      </c>
      <c r="F860" s="74" t="s">
        <v>9345</v>
      </c>
      <c r="G860" s="74" t="s">
        <v>9378</v>
      </c>
      <c r="H860" s="74" t="s">
        <v>70</v>
      </c>
      <c r="I860" s="74" t="s">
        <v>47</v>
      </c>
      <c r="J860" s="74" t="s">
        <v>9351</v>
      </c>
      <c r="K860" s="74" t="s">
        <v>11285</v>
      </c>
      <c r="L860" s="74" t="s">
        <v>3207</v>
      </c>
    </row>
    <row r="861" spans="1:12" ht="55.2">
      <c r="A861" s="73">
        <v>860</v>
      </c>
      <c r="B861" s="74" t="s">
        <v>11286</v>
      </c>
      <c r="C861" s="74" t="s">
        <v>1382</v>
      </c>
      <c r="D861" s="74" t="s">
        <v>143</v>
      </c>
      <c r="E861" s="74" t="s">
        <v>9344</v>
      </c>
      <c r="F861" s="74" t="s">
        <v>9345</v>
      </c>
      <c r="G861" s="74" t="s">
        <v>9375</v>
      </c>
      <c r="H861" s="74" t="s">
        <v>327</v>
      </c>
      <c r="I861" s="74" t="s">
        <v>47</v>
      </c>
      <c r="J861" s="74" t="s">
        <v>9351</v>
      </c>
      <c r="K861" s="74" t="s">
        <v>11287</v>
      </c>
      <c r="L861" s="74" t="s">
        <v>370</v>
      </c>
    </row>
    <row r="862" spans="1:12" ht="41.4">
      <c r="A862" s="73">
        <v>861</v>
      </c>
      <c r="B862" s="74" t="s">
        <v>11288</v>
      </c>
      <c r="C862" s="74" t="s">
        <v>11289</v>
      </c>
      <c r="D862" s="74" t="s">
        <v>153</v>
      </c>
      <c r="E862" s="74" t="s">
        <v>9344</v>
      </c>
      <c r="F862" s="74" t="s">
        <v>9345</v>
      </c>
      <c r="G862" s="74" t="s">
        <v>9437</v>
      </c>
      <c r="H862" s="74" t="s">
        <v>155</v>
      </c>
      <c r="I862" s="74" t="s">
        <v>47</v>
      </c>
      <c r="J862" s="74" t="s">
        <v>9347</v>
      </c>
      <c r="K862" s="74" t="s">
        <v>11290</v>
      </c>
      <c r="L862" s="74" t="s">
        <v>331</v>
      </c>
    </row>
    <row r="863" spans="1:12" ht="69">
      <c r="A863" s="73">
        <v>862</v>
      </c>
      <c r="B863" s="74" t="s">
        <v>11291</v>
      </c>
      <c r="C863" s="74" t="s">
        <v>11292</v>
      </c>
      <c r="D863" s="74" t="s">
        <v>295</v>
      </c>
      <c r="E863" s="74" t="s">
        <v>9344</v>
      </c>
      <c r="F863" s="74" t="s">
        <v>9345</v>
      </c>
      <c r="G863" s="74" t="s">
        <v>9537</v>
      </c>
      <c r="H863" s="74" t="s">
        <v>9538</v>
      </c>
      <c r="I863" s="74" t="s">
        <v>47</v>
      </c>
      <c r="J863" s="74" t="s">
        <v>9347</v>
      </c>
      <c r="K863" s="74"/>
      <c r="L863" s="74"/>
    </row>
    <row r="864" spans="1:12" ht="41.4">
      <c r="A864" s="73">
        <v>863</v>
      </c>
      <c r="B864" s="74" t="s">
        <v>11293</v>
      </c>
      <c r="C864" s="74" t="s">
        <v>7770</v>
      </c>
      <c r="D864" s="74" t="s">
        <v>153</v>
      </c>
      <c r="E864" s="74" t="s">
        <v>9344</v>
      </c>
      <c r="F864" s="74" t="s">
        <v>9345</v>
      </c>
      <c r="G864" s="74" t="s">
        <v>9781</v>
      </c>
      <c r="H864" s="74" t="s">
        <v>155</v>
      </c>
      <c r="I864" s="74" t="s">
        <v>47</v>
      </c>
      <c r="J864" s="74" t="s">
        <v>9347</v>
      </c>
      <c r="K864" s="74" t="s">
        <v>11294</v>
      </c>
      <c r="L864" s="74" t="s">
        <v>3561</v>
      </c>
    </row>
    <row r="865" spans="1:12" ht="41.4">
      <c r="A865" s="73">
        <v>864</v>
      </c>
      <c r="B865" s="74" t="s">
        <v>11295</v>
      </c>
      <c r="C865" s="74" t="s">
        <v>11296</v>
      </c>
      <c r="D865" s="74" t="s">
        <v>41</v>
      </c>
      <c r="E865" s="74" t="s">
        <v>9344</v>
      </c>
      <c r="F865" s="74" t="s">
        <v>9345</v>
      </c>
      <c r="G865" s="74" t="s">
        <v>9500</v>
      </c>
      <c r="H865" s="74" t="s">
        <v>200</v>
      </c>
      <c r="I865" s="74" t="s">
        <v>47</v>
      </c>
      <c r="J865" s="74" t="s">
        <v>9347</v>
      </c>
      <c r="K865" s="74" t="s">
        <v>11297</v>
      </c>
      <c r="L865" s="74" t="s">
        <v>331</v>
      </c>
    </row>
    <row r="866" spans="1:12" ht="41.4">
      <c r="A866" s="73">
        <v>865</v>
      </c>
      <c r="B866" s="74" t="s">
        <v>11298</v>
      </c>
      <c r="C866" s="74" t="s">
        <v>11299</v>
      </c>
      <c r="D866" s="74" t="s">
        <v>295</v>
      </c>
      <c r="E866" s="74" t="s">
        <v>9344</v>
      </c>
      <c r="F866" s="74" t="s">
        <v>9345</v>
      </c>
      <c r="G866" s="74" t="s">
        <v>9478</v>
      </c>
      <c r="H866" s="74" t="s">
        <v>407</v>
      </c>
      <c r="I866" s="74" t="s">
        <v>47</v>
      </c>
      <c r="J866" s="74" t="s">
        <v>9351</v>
      </c>
      <c r="K866" s="74" t="s">
        <v>11300</v>
      </c>
      <c r="L866" s="74" t="s">
        <v>318</v>
      </c>
    </row>
    <row r="867" spans="1:12" ht="41.4">
      <c r="A867" s="73">
        <v>866</v>
      </c>
      <c r="B867" s="74" t="s">
        <v>11301</v>
      </c>
      <c r="C867" s="74" t="s">
        <v>11302</v>
      </c>
      <c r="D867" s="74" t="s">
        <v>295</v>
      </c>
      <c r="E867" s="74" t="s">
        <v>9344</v>
      </c>
      <c r="F867" s="74" t="s">
        <v>9345</v>
      </c>
      <c r="G867" s="74" t="s">
        <v>9478</v>
      </c>
      <c r="H867" s="74" t="s">
        <v>407</v>
      </c>
      <c r="I867" s="74" t="s">
        <v>47</v>
      </c>
      <c r="J867" s="74" t="s">
        <v>9347</v>
      </c>
      <c r="K867" s="74"/>
      <c r="L867" s="74"/>
    </row>
    <row r="868" spans="1:12" ht="41.4">
      <c r="A868" s="73">
        <v>867</v>
      </c>
      <c r="B868" s="74" t="s">
        <v>11303</v>
      </c>
      <c r="C868" s="74" t="s">
        <v>7037</v>
      </c>
      <c r="D868" s="74" t="s">
        <v>41</v>
      </c>
      <c r="E868" s="74" t="s">
        <v>9344</v>
      </c>
      <c r="F868" s="74" t="s">
        <v>9345</v>
      </c>
      <c r="G868" s="74" t="s">
        <v>9410</v>
      </c>
      <c r="H868" s="74" t="s">
        <v>130</v>
      </c>
      <c r="I868" s="74" t="s">
        <v>47</v>
      </c>
      <c r="J868" s="74" t="s">
        <v>9347</v>
      </c>
      <c r="K868" s="74" t="s">
        <v>11304</v>
      </c>
      <c r="L868" s="74" t="s">
        <v>318</v>
      </c>
    </row>
    <row r="869" spans="1:12" ht="41.4">
      <c r="A869" s="73">
        <v>868</v>
      </c>
      <c r="B869" s="74" t="s">
        <v>11305</v>
      </c>
      <c r="C869" s="74" t="s">
        <v>11306</v>
      </c>
      <c r="D869" s="74" t="s">
        <v>153</v>
      </c>
      <c r="E869" s="74" t="s">
        <v>9344</v>
      </c>
      <c r="F869" s="74" t="s">
        <v>9345</v>
      </c>
      <c r="G869" s="74" t="s">
        <v>9568</v>
      </c>
      <c r="H869" s="74" t="s">
        <v>155</v>
      </c>
      <c r="I869" s="74" t="s">
        <v>47</v>
      </c>
      <c r="J869" s="74" t="s">
        <v>9347</v>
      </c>
      <c r="K869" s="74"/>
      <c r="L869" s="74"/>
    </row>
    <row r="870" spans="1:12" ht="41.4">
      <c r="A870" s="73">
        <v>869</v>
      </c>
      <c r="B870" s="74" t="s">
        <v>11307</v>
      </c>
      <c r="C870" s="74" t="s">
        <v>11308</v>
      </c>
      <c r="D870" s="74" t="s">
        <v>41</v>
      </c>
      <c r="E870" s="74" t="s">
        <v>9344</v>
      </c>
      <c r="F870" s="74" t="s">
        <v>9345</v>
      </c>
      <c r="G870" s="74" t="s">
        <v>9757</v>
      </c>
      <c r="H870" s="74" t="s">
        <v>200</v>
      </c>
      <c r="I870" s="74" t="s">
        <v>47</v>
      </c>
      <c r="J870" s="74" t="s">
        <v>9351</v>
      </c>
      <c r="K870" s="74" t="s">
        <v>11309</v>
      </c>
      <c r="L870" s="74" t="s">
        <v>1916</v>
      </c>
    </row>
    <row r="871" spans="1:12" ht="55.2">
      <c r="A871" s="73">
        <v>870</v>
      </c>
      <c r="B871" s="74" t="s">
        <v>11310</v>
      </c>
      <c r="C871" s="74" t="s">
        <v>4639</v>
      </c>
      <c r="D871" s="74" t="s">
        <v>143</v>
      </c>
      <c r="E871" s="74" t="s">
        <v>9344</v>
      </c>
      <c r="F871" s="74" t="s">
        <v>9345</v>
      </c>
      <c r="G871" s="74" t="s">
        <v>9916</v>
      </c>
      <c r="H871" s="74" t="s">
        <v>327</v>
      </c>
      <c r="I871" s="74" t="s">
        <v>47</v>
      </c>
      <c r="J871" s="74" t="s">
        <v>9351</v>
      </c>
      <c r="K871" s="74"/>
      <c r="L871" s="74"/>
    </row>
    <row r="872" spans="1:12" ht="41.4">
      <c r="A872" s="73">
        <v>871</v>
      </c>
      <c r="B872" s="74" t="s">
        <v>11311</v>
      </c>
      <c r="C872" s="74" t="s">
        <v>8652</v>
      </c>
      <c r="D872" s="74" t="s">
        <v>153</v>
      </c>
      <c r="E872" s="74" t="s">
        <v>9344</v>
      </c>
      <c r="F872" s="74" t="s">
        <v>9345</v>
      </c>
      <c r="G872" s="74" t="s">
        <v>9763</v>
      </c>
      <c r="H872" s="74" t="s">
        <v>155</v>
      </c>
      <c r="I872" s="74" t="s">
        <v>47</v>
      </c>
      <c r="J872" s="74" t="s">
        <v>9351</v>
      </c>
      <c r="K872" s="74" t="s">
        <v>11312</v>
      </c>
      <c r="L872" s="74" t="s">
        <v>331</v>
      </c>
    </row>
    <row r="873" spans="1:12" ht="55.2">
      <c r="A873" s="73">
        <v>872</v>
      </c>
      <c r="B873" s="74" t="s">
        <v>11313</v>
      </c>
      <c r="C873" s="74" t="s">
        <v>4010</v>
      </c>
      <c r="D873" s="74" t="s">
        <v>143</v>
      </c>
      <c r="E873" s="74" t="s">
        <v>9344</v>
      </c>
      <c r="F873" s="74" t="s">
        <v>9345</v>
      </c>
      <c r="G873" s="74" t="s">
        <v>9514</v>
      </c>
      <c r="H873" s="74" t="s">
        <v>327</v>
      </c>
      <c r="I873" s="74" t="s">
        <v>47</v>
      </c>
      <c r="J873" s="74" t="s">
        <v>9351</v>
      </c>
      <c r="K873" s="74" t="s">
        <v>11314</v>
      </c>
      <c r="L873" s="74" t="s">
        <v>370</v>
      </c>
    </row>
    <row r="874" spans="1:12" ht="55.2">
      <c r="A874" s="73">
        <v>873</v>
      </c>
      <c r="B874" s="74" t="s">
        <v>11315</v>
      </c>
      <c r="C874" s="74" t="s">
        <v>7705</v>
      </c>
      <c r="D874" s="74" t="s">
        <v>41</v>
      </c>
      <c r="E874" s="74" t="s">
        <v>9344</v>
      </c>
      <c r="F874" s="74" t="s">
        <v>9345</v>
      </c>
      <c r="G874" s="74" t="s">
        <v>9572</v>
      </c>
      <c r="H874" s="74" t="s">
        <v>479</v>
      </c>
      <c r="I874" s="74" t="s">
        <v>47</v>
      </c>
      <c r="J874" s="74" t="s">
        <v>9351</v>
      </c>
      <c r="K874" s="74" t="s">
        <v>11316</v>
      </c>
      <c r="L874" s="74" t="s">
        <v>331</v>
      </c>
    </row>
    <row r="875" spans="1:12" ht="55.2">
      <c r="A875" s="73">
        <v>874</v>
      </c>
      <c r="B875" s="74" t="s">
        <v>11317</v>
      </c>
      <c r="C875" s="74" t="s">
        <v>11318</v>
      </c>
      <c r="D875" s="74" t="s">
        <v>295</v>
      </c>
      <c r="E875" s="74" t="s">
        <v>9344</v>
      </c>
      <c r="F875" s="74" t="s">
        <v>9345</v>
      </c>
      <c r="G875" s="74" t="s">
        <v>9579</v>
      </c>
      <c r="H875" s="74" t="s">
        <v>407</v>
      </c>
      <c r="I875" s="74" t="s">
        <v>47</v>
      </c>
      <c r="J875" s="74" t="s">
        <v>9347</v>
      </c>
      <c r="K875" s="74"/>
      <c r="L875" s="74"/>
    </row>
    <row r="876" spans="1:12" ht="69">
      <c r="A876" s="73">
        <v>875</v>
      </c>
      <c r="B876" s="74" t="s">
        <v>11319</v>
      </c>
      <c r="C876" s="74" t="s">
        <v>11320</v>
      </c>
      <c r="D876" s="74" t="s">
        <v>41</v>
      </c>
      <c r="E876" s="74" t="s">
        <v>9344</v>
      </c>
      <c r="F876" s="74" t="s">
        <v>9345</v>
      </c>
      <c r="G876" s="74" t="s">
        <v>9824</v>
      </c>
      <c r="H876" s="74" t="s">
        <v>46</v>
      </c>
      <c r="I876" s="74" t="s">
        <v>47</v>
      </c>
      <c r="J876" s="74" t="s">
        <v>9351</v>
      </c>
      <c r="K876" s="74" t="s">
        <v>11321</v>
      </c>
      <c r="L876" s="74" t="s">
        <v>318</v>
      </c>
    </row>
    <row r="877" spans="1:12" ht="41.4">
      <c r="A877" s="73">
        <v>876</v>
      </c>
      <c r="B877" s="74" t="s">
        <v>11322</v>
      </c>
      <c r="C877" s="74" t="s">
        <v>3995</v>
      </c>
      <c r="D877" s="74" t="s">
        <v>41</v>
      </c>
      <c r="E877" s="74" t="s">
        <v>9344</v>
      </c>
      <c r="F877" s="74" t="s">
        <v>9345</v>
      </c>
      <c r="G877" s="74" t="s">
        <v>9776</v>
      </c>
      <c r="H877" s="74" t="s">
        <v>200</v>
      </c>
      <c r="I877" s="74" t="s">
        <v>47</v>
      </c>
      <c r="J877" s="74" t="s">
        <v>9347</v>
      </c>
      <c r="K877" s="74"/>
      <c r="L877" s="74"/>
    </row>
    <row r="878" spans="1:12" ht="55.2">
      <c r="A878" s="73">
        <v>877</v>
      </c>
      <c r="B878" s="74" t="s">
        <v>11323</v>
      </c>
      <c r="C878" s="74" t="s">
        <v>11324</v>
      </c>
      <c r="D878" s="74" t="s">
        <v>143</v>
      </c>
      <c r="E878" s="74" t="s">
        <v>9344</v>
      </c>
      <c r="F878" s="74" t="s">
        <v>9345</v>
      </c>
      <c r="G878" s="74" t="s">
        <v>9534</v>
      </c>
      <c r="H878" s="74" t="s">
        <v>145</v>
      </c>
      <c r="I878" s="74" t="s">
        <v>47</v>
      </c>
      <c r="J878" s="74" t="s">
        <v>9351</v>
      </c>
      <c r="K878" s="74" t="s">
        <v>11325</v>
      </c>
      <c r="L878" s="74" t="s">
        <v>251</v>
      </c>
    </row>
    <row r="879" spans="1:12" ht="41.4">
      <c r="A879" s="73">
        <v>878</v>
      </c>
      <c r="B879" s="74" t="s">
        <v>11326</v>
      </c>
      <c r="C879" s="74" t="s">
        <v>11327</v>
      </c>
      <c r="D879" s="74" t="s">
        <v>153</v>
      </c>
      <c r="E879" s="74" t="s">
        <v>9344</v>
      </c>
      <c r="F879" s="74" t="s">
        <v>9345</v>
      </c>
      <c r="G879" s="74" t="s">
        <v>9763</v>
      </c>
      <c r="H879" s="74" t="s">
        <v>155</v>
      </c>
      <c r="I879" s="74" t="s">
        <v>47</v>
      </c>
      <c r="J879" s="74" t="s">
        <v>9347</v>
      </c>
      <c r="K879" s="74"/>
      <c r="L879" s="74"/>
    </row>
    <row r="880" spans="1:12" ht="55.2">
      <c r="A880" s="73">
        <v>879</v>
      </c>
      <c r="B880" s="74" t="s">
        <v>11328</v>
      </c>
      <c r="C880" s="74" t="s">
        <v>11329</v>
      </c>
      <c r="D880" s="74" t="s">
        <v>41</v>
      </c>
      <c r="E880" s="74" t="s">
        <v>9344</v>
      </c>
      <c r="F880" s="74" t="s">
        <v>9345</v>
      </c>
      <c r="G880" s="74" t="s">
        <v>9572</v>
      </c>
      <c r="H880" s="74" t="s">
        <v>479</v>
      </c>
      <c r="I880" s="74" t="s">
        <v>47</v>
      </c>
      <c r="J880" s="74" t="s">
        <v>9351</v>
      </c>
      <c r="K880" s="74"/>
      <c r="L880" s="74"/>
    </row>
    <row r="881" spans="1:12" ht="55.2">
      <c r="A881" s="73">
        <v>880</v>
      </c>
      <c r="B881" s="74" t="s">
        <v>11330</v>
      </c>
      <c r="C881" s="74" t="s">
        <v>11331</v>
      </c>
      <c r="D881" s="74" t="s">
        <v>41</v>
      </c>
      <c r="E881" s="74" t="s">
        <v>9344</v>
      </c>
      <c r="F881" s="74" t="s">
        <v>9345</v>
      </c>
      <c r="G881" s="74" t="s">
        <v>9761</v>
      </c>
      <c r="H881" s="74" t="s">
        <v>479</v>
      </c>
      <c r="I881" s="74" t="s">
        <v>47</v>
      </c>
      <c r="J881" s="74" t="s">
        <v>9347</v>
      </c>
      <c r="K881" s="74" t="s">
        <v>11332</v>
      </c>
      <c r="L881" s="74" t="s">
        <v>701</v>
      </c>
    </row>
    <row r="882" spans="1:12" ht="55.2">
      <c r="A882" s="73">
        <v>881</v>
      </c>
      <c r="B882" s="74" t="s">
        <v>11333</v>
      </c>
      <c r="C882" s="74" t="s">
        <v>11334</v>
      </c>
      <c r="D882" s="74" t="s">
        <v>295</v>
      </c>
      <c r="E882" s="74" t="s">
        <v>9344</v>
      </c>
      <c r="F882" s="74" t="s">
        <v>9345</v>
      </c>
      <c r="G882" s="74" t="s">
        <v>9489</v>
      </c>
      <c r="H882" s="74" t="s">
        <v>407</v>
      </c>
      <c r="I882" s="74" t="s">
        <v>47</v>
      </c>
      <c r="J882" s="74" t="s">
        <v>9347</v>
      </c>
      <c r="K882" s="74"/>
      <c r="L882" s="74"/>
    </row>
    <row r="883" spans="1:12" ht="69">
      <c r="A883" s="73">
        <v>882</v>
      </c>
      <c r="B883" s="74" t="s">
        <v>11335</v>
      </c>
      <c r="C883" s="74" t="s">
        <v>8830</v>
      </c>
      <c r="D883" s="74" t="s">
        <v>295</v>
      </c>
      <c r="E883" s="74" t="s">
        <v>9344</v>
      </c>
      <c r="F883" s="74" t="s">
        <v>9345</v>
      </c>
      <c r="G883" s="74" t="s">
        <v>9537</v>
      </c>
      <c r="H883" s="74" t="s">
        <v>9538</v>
      </c>
      <c r="I883" s="74" t="s">
        <v>47</v>
      </c>
      <c r="J883" s="74" t="s">
        <v>9347</v>
      </c>
      <c r="K883" s="74"/>
      <c r="L883" s="74"/>
    </row>
    <row r="884" spans="1:12" ht="41.4">
      <c r="A884" s="73">
        <v>883</v>
      </c>
      <c r="B884" s="74" t="s">
        <v>11336</v>
      </c>
      <c r="C884" s="74" t="s">
        <v>11337</v>
      </c>
      <c r="D884" s="74" t="s">
        <v>153</v>
      </c>
      <c r="E884" s="74" t="s">
        <v>9344</v>
      </c>
      <c r="F884" s="74" t="s">
        <v>9345</v>
      </c>
      <c r="G884" s="74" t="s">
        <v>9753</v>
      </c>
      <c r="H884" s="74" t="s">
        <v>155</v>
      </c>
      <c r="I884" s="74" t="s">
        <v>47</v>
      </c>
      <c r="J884" s="74" t="s">
        <v>9347</v>
      </c>
      <c r="K884" s="74" t="s">
        <v>11338</v>
      </c>
      <c r="L884" s="74" t="s">
        <v>3561</v>
      </c>
    </row>
    <row r="885" spans="1:12" ht="41.4">
      <c r="A885" s="73">
        <v>884</v>
      </c>
      <c r="B885" s="74" t="s">
        <v>11339</v>
      </c>
      <c r="C885" s="74" t="s">
        <v>11340</v>
      </c>
      <c r="D885" s="74" t="s">
        <v>143</v>
      </c>
      <c r="E885" s="74" t="s">
        <v>9395</v>
      </c>
      <c r="F885" s="74" t="s">
        <v>80</v>
      </c>
      <c r="G885" s="74" t="s">
        <v>11341</v>
      </c>
      <c r="H885" s="74" t="s">
        <v>400</v>
      </c>
      <c r="I885" s="74" t="s">
        <v>47</v>
      </c>
      <c r="J885" s="74" t="s">
        <v>9351</v>
      </c>
      <c r="K885" s="74"/>
      <c r="L885" s="74"/>
    </row>
    <row r="886" spans="1:12" ht="41.4">
      <c r="A886" s="73">
        <v>885</v>
      </c>
      <c r="B886" s="74" t="s">
        <v>11342</v>
      </c>
      <c r="C886" s="74" t="s">
        <v>3162</v>
      </c>
      <c r="D886" s="74" t="s">
        <v>295</v>
      </c>
      <c r="E886" s="74" t="s">
        <v>9344</v>
      </c>
      <c r="F886" s="74" t="s">
        <v>9345</v>
      </c>
      <c r="G886" s="74" t="s">
        <v>9579</v>
      </c>
      <c r="H886" s="74" t="s">
        <v>407</v>
      </c>
      <c r="I886" s="74" t="s">
        <v>47</v>
      </c>
      <c r="J886" s="74" t="s">
        <v>9347</v>
      </c>
      <c r="K886" s="74" t="s">
        <v>11343</v>
      </c>
      <c r="L886" s="74" t="s">
        <v>318</v>
      </c>
    </row>
    <row r="887" spans="1:12" ht="41.4">
      <c r="A887" s="73">
        <v>886</v>
      </c>
      <c r="B887" s="74" t="s">
        <v>11344</v>
      </c>
      <c r="C887" s="74" t="s">
        <v>11345</v>
      </c>
      <c r="D887" s="74" t="s">
        <v>41</v>
      </c>
      <c r="E887" s="74" t="s">
        <v>9344</v>
      </c>
      <c r="F887" s="74" t="s">
        <v>9345</v>
      </c>
      <c r="G887" s="74" t="s">
        <v>9648</v>
      </c>
      <c r="H887" s="74" t="s">
        <v>200</v>
      </c>
      <c r="I887" s="74" t="s">
        <v>47</v>
      </c>
      <c r="J887" s="74" t="s">
        <v>9811</v>
      </c>
      <c r="K887" s="74" t="s">
        <v>11346</v>
      </c>
      <c r="L887" s="74" t="s">
        <v>331</v>
      </c>
    </row>
    <row r="888" spans="1:12" ht="41.4">
      <c r="A888" s="73">
        <v>887</v>
      </c>
      <c r="B888" s="74" t="s">
        <v>11347</v>
      </c>
      <c r="C888" s="74" t="s">
        <v>11348</v>
      </c>
      <c r="D888" s="74" t="s">
        <v>41</v>
      </c>
      <c r="E888" s="74" t="s">
        <v>9344</v>
      </c>
      <c r="F888" s="74" t="s">
        <v>9345</v>
      </c>
      <c r="G888" s="74" t="s">
        <v>9796</v>
      </c>
      <c r="H888" s="74" t="s">
        <v>200</v>
      </c>
      <c r="I888" s="74" t="s">
        <v>47</v>
      </c>
      <c r="J888" s="74" t="s">
        <v>9347</v>
      </c>
      <c r="K888" s="74"/>
      <c r="L888" s="74"/>
    </row>
    <row r="889" spans="1:12" ht="41.4">
      <c r="A889" s="73">
        <v>888</v>
      </c>
      <c r="B889" s="74" t="s">
        <v>11349</v>
      </c>
      <c r="C889" s="74" t="s">
        <v>8174</v>
      </c>
      <c r="D889" s="74" t="s">
        <v>143</v>
      </c>
      <c r="E889" s="74" t="s">
        <v>9344</v>
      </c>
      <c r="F889" s="74" t="s">
        <v>9345</v>
      </c>
      <c r="G889" s="74" t="s">
        <v>10267</v>
      </c>
      <c r="H889" s="74" t="s">
        <v>400</v>
      </c>
      <c r="I889" s="74" t="s">
        <v>47</v>
      </c>
      <c r="J889" s="74" t="s">
        <v>9351</v>
      </c>
      <c r="K889" s="74" t="s">
        <v>11350</v>
      </c>
      <c r="L889" s="74" t="s">
        <v>251</v>
      </c>
    </row>
    <row r="890" spans="1:12" ht="41.4">
      <c r="A890" s="73">
        <v>889</v>
      </c>
      <c r="B890" s="74" t="s">
        <v>11351</v>
      </c>
      <c r="C890" s="74" t="s">
        <v>11352</v>
      </c>
      <c r="D890" s="74" t="s">
        <v>295</v>
      </c>
      <c r="E890" s="74" t="s">
        <v>9344</v>
      </c>
      <c r="F890" s="74" t="s">
        <v>9345</v>
      </c>
      <c r="G890" s="74" t="s">
        <v>9489</v>
      </c>
      <c r="H890" s="74" t="s">
        <v>407</v>
      </c>
      <c r="I890" s="74" t="s">
        <v>47</v>
      </c>
      <c r="J890" s="74" t="s">
        <v>9347</v>
      </c>
      <c r="K890" s="74"/>
      <c r="L890" s="74"/>
    </row>
    <row r="891" spans="1:12" ht="41.4">
      <c r="A891" s="73">
        <v>890</v>
      </c>
      <c r="B891" s="74" t="s">
        <v>11353</v>
      </c>
      <c r="C891" s="74" t="s">
        <v>6304</v>
      </c>
      <c r="D891" s="74" t="s">
        <v>143</v>
      </c>
      <c r="E891" s="74" t="s">
        <v>9344</v>
      </c>
      <c r="F891" s="74" t="s">
        <v>9345</v>
      </c>
      <c r="G891" s="74" t="s">
        <v>9388</v>
      </c>
      <c r="H891" s="74" t="s">
        <v>597</v>
      </c>
      <c r="I891" s="74" t="s">
        <v>47</v>
      </c>
      <c r="J891" s="74" t="s">
        <v>9351</v>
      </c>
      <c r="K891" s="74" t="s">
        <v>11354</v>
      </c>
      <c r="L891" s="74" t="s">
        <v>251</v>
      </c>
    </row>
    <row r="892" spans="1:12" ht="41.4">
      <c r="A892" s="73">
        <v>891</v>
      </c>
      <c r="B892" s="74" t="s">
        <v>11355</v>
      </c>
      <c r="C892" s="74" t="s">
        <v>11356</v>
      </c>
      <c r="D892" s="74" t="s">
        <v>153</v>
      </c>
      <c r="E892" s="74" t="s">
        <v>9344</v>
      </c>
      <c r="F892" s="74" t="s">
        <v>9345</v>
      </c>
      <c r="G892" s="74" t="s">
        <v>9993</v>
      </c>
      <c r="H892" s="74" t="s">
        <v>155</v>
      </c>
      <c r="I892" s="74" t="s">
        <v>47</v>
      </c>
      <c r="J892" s="74" t="s">
        <v>9347</v>
      </c>
      <c r="K892" s="74"/>
      <c r="L892" s="74"/>
    </row>
    <row r="893" spans="1:12" ht="41.4">
      <c r="A893" s="73">
        <v>892</v>
      </c>
      <c r="B893" s="74" t="s">
        <v>11357</v>
      </c>
      <c r="C893" s="74" t="s">
        <v>11358</v>
      </c>
      <c r="D893" s="74" t="s">
        <v>41</v>
      </c>
      <c r="E893" s="74" t="s">
        <v>9344</v>
      </c>
      <c r="F893" s="74" t="s">
        <v>9345</v>
      </c>
      <c r="G893" s="74" t="s">
        <v>9776</v>
      </c>
      <c r="H893" s="74" t="s">
        <v>200</v>
      </c>
      <c r="I893" s="74" t="s">
        <v>47</v>
      </c>
      <c r="J893" s="74" t="s">
        <v>9347</v>
      </c>
      <c r="K893" s="74"/>
      <c r="L893" s="74"/>
    </row>
    <row r="894" spans="1:12" ht="41.4">
      <c r="A894" s="73">
        <v>893</v>
      </c>
      <c r="B894" s="74" t="s">
        <v>11359</v>
      </c>
      <c r="C894" s="74" t="s">
        <v>11360</v>
      </c>
      <c r="D894" s="74" t="s">
        <v>295</v>
      </c>
      <c r="E894" s="74" t="s">
        <v>9344</v>
      </c>
      <c r="F894" s="74" t="s">
        <v>9345</v>
      </c>
      <c r="G894" s="74" t="s">
        <v>9579</v>
      </c>
      <c r="H894" s="74" t="s">
        <v>407</v>
      </c>
      <c r="I894" s="74" t="s">
        <v>47</v>
      </c>
      <c r="J894" s="74" t="s">
        <v>9347</v>
      </c>
      <c r="K894" s="74" t="s">
        <v>11361</v>
      </c>
      <c r="L894" s="74" t="s">
        <v>318</v>
      </c>
    </row>
    <row r="895" spans="1:12" ht="69">
      <c r="A895" s="73">
        <v>894</v>
      </c>
      <c r="B895" s="74" t="s">
        <v>11362</v>
      </c>
      <c r="C895" s="74" t="s">
        <v>11363</v>
      </c>
      <c r="D895" s="74" t="s">
        <v>41</v>
      </c>
      <c r="E895" s="74" t="s">
        <v>9344</v>
      </c>
      <c r="F895" s="74" t="s">
        <v>9345</v>
      </c>
      <c r="G895" s="74" t="s">
        <v>9824</v>
      </c>
      <c r="H895" s="74" t="s">
        <v>46</v>
      </c>
      <c r="I895" s="74" t="s">
        <v>47</v>
      </c>
      <c r="J895" s="74" t="s">
        <v>9351</v>
      </c>
      <c r="K895" s="74" t="s">
        <v>11364</v>
      </c>
      <c r="L895" s="74" t="s">
        <v>331</v>
      </c>
    </row>
    <row r="896" spans="1:12" ht="41.4">
      <c r="A896" s="73">
        <v>895</v>
      </c>
      <c r="B896" s="74" t="s">
        <v>11365</v>
      </c>
      <c r="C896" s="74" t="s">
        <v>11366</v>
      </c>
      <c r="D896" s="74" t="s">
        <v>295</v>
      </c>
      <c r="E896" s="74" t="s">
        <v>9344</v>
      </c>
      <c r="F896" s="74" t="s">
        <v>9345</v>
      </c>
      <c r="G896" s="74" t="s">
        <v>9400</v>
      </c>
      <c r="H896" s="74" t="s">
        <v>407</v>
      </c>
      <c r="I896" s="74" t="s">
        <v>47</v>
      </c>
      <c r="J896" s="74" t="s">
        <v>9347</v>
      </c>
      <c r="K896" s="74"/>
      <c r="L896" s="74"/>
    </row>
    <row r="897" spans="1:12" ht="55.2">
      <c r="A897" s="73">
        <v>896</v>
      </c>
      <c r="B897" s="74" t="s">
        <v>11367</v>
      </c>
      <c r="C897" s="74" t="s">
        <v>4874</v>
      </c>
      <c r="D897" s="74" t="s">
        <v>143</v>
      </c>
      <c r="E897" s="74" t="s">
        <v>9344</v>
      </c>
      <c r="F897" s="74" t="s">
        <v>9345</v>
      </c>
      <c r="G897" s="74" t="s">
        <v>9534</v>
      </c>
      <c r="H897" s="74" t="s">
        <v>145</v>
      </c>
      <c r="I897" s="74" t="s">
        <v>47</v>
      </c>
      <c r="J897" s="74" t="s">
        <v>9351</v>
      </c>
      <c r="K897" s="74" t="s">
        <v>11368</v>
      </c>
      <c r="L897" s="74" t="s">
        <v>251</v>
      </c>
    </row>
    <row r="898" spans="1:12" ht="41.4">
      <c r="A898" s="73">
        <v>897</v>
      </c>
      <c r="B898" s="74" t="s">
        <v>11369</v>
      </c>
      <c r="C898" s="74" t="s">
        <v>11370</v>
      </c>
      <c r="D898" s="74" t="s">
        <v>153</v>
      </c>
      <c r="E898" s="74" t="s">
        <v>9344</v>
      </c>
      <c r="F898" s="74" t="s">
        <v>9345</v>
      </c>
      <c r="G898" s="74" t="s">
        <v>9437</v>
      </c>
      <c r="H898" s="74" t="s">
        <v>155</v>
      </c>
      <c r="I898" s="74" t="s">
        <v>47</v>
      </c>
      <c r="J898" s="74" t="s">
        <v>9347</v>
      </c>
      <c r="K898" s="74" t="s">
        <v>11371</v>
      </c>
      <c r="L898" s="74" t="s">
        <v>701</v>
      </c>
    </row>
    <row r="899" spans="1:12" ht="41.4">
      <c r="A899" s="73">
        <v>898</v>
      </c>
      <c r="B899" s="74" t="s">
        <v>11372</v>
      </c>
      <c r="C899" s="74" t="s">
        <v>11373</v>
      </c>
      <c r="D899" s="74" t="s">
        <v>295</v>
      </c>
      <c r="E899" s="74" t="s">
        <v>9344</v>
      </c>
      <c r="F899" s="74" t="s">
        <v>9345</v>
      </c>
      <c r="G899" s="74" t="s">
        <v>9400</v>
      </c>
      <c r="H899" s="74" t="s">
        <v>407</v>
      </c>
      <c r="I899" s="74" t="s">
        <v>47</v>
      </c>
      <c r="J899" s="74" t="s">
        <v>9351</v>
      </c>
      <c r="K899" s="74"/>
      <c r="L899" s="74"/>
    </row>
    <row r="900" spans="1:12" ht="41.4">
      <c r="A900" s="73">
        <v>899</v>
      </c>
      <c r="B900" s="74" t="s">
        <v>11374</v>
      </c>
      <c r="C900" s="74" t="s">
        <v>11375</v>
      </c>
      <c r="D900" s="74" t="s">
        <v>41</v>
      </c>
      <c r="E900" s="74" t="s">
        <v>9344</v>
      </c>
      <c r="F900" s="74" t="s">
        <v>9345</v>
      </c>
      <c r="G900" s="74" t="s">
        <v>9410</v>
      </c>
      <c r="H900" s="74" t="s">
        <v>130</v>
      </c>
      <c r="I900" s="74" t="s">
        <v>47</v>
      </c>
      <c r="J900" s="74" t="s">
        <v>9347</v>
      </c>
      <c r="K900" s="74" t="s">
        <v>11376</v>
      </c>
      <c r="L900" s="74" t="s">
        <v>318</v>
      </c>
    </row>
    <row r="901" spans="1:12" ht="55.2">
      <c r="A901" s="73">
        <v>900</v>
      </c>
      <c r="B901" s="74" t="s">
        <v>11377</v>
      </c>
      <c r="C901" s="74" t="s">
        <v>1212</v>
      </c>
      <c r="D901" s="74" t="s">
        <v>143</v>
      </c>
      <c r="E901" s="74" t="s">
        <v>9344</v>
      </c>
      <c r="F901" s="74" t="s">
        <v>9345</v>
      </c>
      <c r="G901" s="74" t="s">
        <v>9534</v>
      </c>
      <c r="H901" s="74" t="s">
        <v>145</v>
      </c>
      <c r="I901" s="74" t="s">
        <v>47</v>
      </c>
      <c r="J901" s="74" t="s">
        <v>9351</v>
      </c>
      <c r="K901" s="74" t="s">
        <v>11378</v>
      </c>
      <c r="L901" s="74" t="s">
        <v>251</v>
      </c>
    </row>
    <row r="902" spans="1:12" ht="41.4">
      <c r="A902" s="73">
        <v>901</v>
      </c>
      <c r="B902" s="74" t="s">
        <v>11379</v>
      </c>
      <c r="C902" s="74" t="s">
        <v>11380</v>
      </c>
      <c r="D902" s="74" t="s">
        <v>295</v>
      </c>
      <c r="E902" s="74" t="s">
        <v>9344</v>
      </c>
      <c r="F902" s="74" t="s">
        <v>9345</v>
      </c>
      <c r="G902" s="74" t="s">
        <v>9355</v>
      </c>
      <c r="H902" s="74" t="s">
        <v>297</v>
      </c>
      <c r="I902" s="74" t="s">
        <v>47</v>
      </c>
      <c r="J902" s="74" t="s">
        <v>9347</v>
      </c>
      <c r="K902" s="74"/>
      <c r="L902" s="74"/>
    </row>
    <row r="903" spans="1:12" ht="41.4">
      <c r="A903" s="73">
        <v>902</v>
      </c>
      <c r="B903" s="74" t="s">
        <v>11381</v>
      </c>
      <c r="C903" s="74" t="s">
        <v>11382</v>
      </c>
      <c r="D903" s="74" t="s">
        <v>295</v>
      </c>
      <c r="E903" s="74" t="s">
        <v>9344</v>
      </c>
      <c r="F903" s="74" t="s">
        <v>9345</v>
      </c>
      <c r="G903" s="74" t="s">
        <v>9432</v>
      </c>
      <c r="H903" s="74" t="s">
        <v>297</v>
      </c>
      <c r="I903" s="74" t="s">
        <v>47</v>
      </c>
      <c r="J903" s="74" t="s">
        <v>9347</v>
      </c>
      <c r="K903" s="74"/>
      <c r="L903" s="74"/>
    </row>
    <row r="904" spans="1:12" ht="55.2">
      <c r="A904" s="73">
        <v>903</v>
      </c>
      <c r="B904" s="74" t="s">
        <v>11383</v>
      </c>
      <c r="C904" s="74" t="s">
        <v>11384</v>
      </c>
      <c r="D904" s="74" t="s">
        <v>143</v>
      </c>
      <c r="E904" s="74" t="s">
        <v>9344</v>
      </c>
      <c r="F904" s="74" t="s">
        <v>9345</v>
      </c>
      <c r="G904" s="74" t="s">
        <v>9514</v>
      </c>
      <c r="H904" s="74" t="s">
        <v>327</v>
      </c>
      <c r="I904" s="74" t="s">
        <v>47</v>
      </c>
      <c r="J904" s="74" t="s">
        <v>9351</v>
      </c>
      <c r="K904" s="74" t="s">
        <v>11385</v>
      </c>
      <c r="L904" s="74" t="s">
        <v>370</v>
      </c>
    </row>
    <row r="905" spans="1:12" ht="69">
      <c r="A905" s="73">
        <v>904</v>
      </c>
      <c r="B905" s="74" t="s">
        <v>11386</v>
      </c>
      <c r="C905" s="74" t="s">
        <v>11387</v>
      </c>
      <c r="D905" s="74" t="s">
        <v>295</v>
      </c>
      <c r="E905" s="74" t="s">
        <v>9344</v>
      </c>
      <c r="F905" s="74" t="s">
        <v>9345</v>
      </c>
      <c r="G905" s="74" t="s">
        <v>9537</v>
      </c>
      <c r="H905" s="74" t="s">
        <v>9538</v>
      </c>
      <c r="I905" s="74" t="s">
        <v>47</v>
      </c>
      <c r="J905" s="74" t="s">
        <v>9347</v>
      </c>
      <c r="K905" s="74"/>
      <c r="L905" s="74"/>
    </row>
    <row r="906" spans="1:12" ht="41.4">
      <c r="A906" s="73">
        <v>905</v>
      </c>
      <c r="B906" s="74" t="s">
        <v>11388</v>
      </c>
      <c r="C906" s="74" t="s">
        <v>7478</v>
      </c>
      <c r="D906" s="74" t="s">
        <v>143</v>
      </c>
      <c r="E906" s="74" t="s">
        <v>9344</v>
      </c>
      <c r="F906" s="74" t="s">
        <v>9345</v>
      </c>
      <c r="G906" s="74" t="s">
        <v>10267</v>
      </c>
      <c r="H906" s="74" t="s">
        <v>400</v>
      </c>
      <c r="I906" s="74" t="s">
        <v>47</v>
      </c>
      <c r="J906" s="74" t="s">
        <v>9351</v>
      </c>
      <c r="K906" s="74" t="s">
        <v>11389</v>
      </c>
      <c r="L906" s="74" t="s">
        <v>251</v>
      </c>
    </row>
    <row r="907" spans="1:12" ht="69">
      <c r="A907" s="73">
        <v>906</v>
      </c>
      <c r="B907" s="74" t="s">
        <v>11390</v>
      </c>
      <c r="C907" s="74" t="s">
        <v>11391</v>
      </c>
      <c r="D907" s="74" t="s">
        <v>41</v>
      </c>
      <c r="E907" s="74" t="s">
        <v>9344</v>
      </c>
      <c r="F907" s="74" t="s">
        <v>9345</v>
      </c>
      <c r="G907" s="74" t="s">
        <v>9385</v>
      </c>
      <c r="H907" s="74" t="s">
        <v>46</v>
      </c>
      <c r="I907" s="74" t="s">
        <v>47</v>
      </c>
      <c r="J907" s="74" t="s">
        <v>9351</v>
      </c>
      <c r="K907" s="74" t="s">
        <v>11392</v>
      </c>
      <c r="L907" s="74" t="s">
        <v>331</v>
      </c>
    </row>
    <row r="908" spans="1:12" ht="55.2">
      <c r="A908" s="73">
        <v>907</v>
      </c>
      <c r="B908" s="74" t="s">
        <v>11393</v>
      </c>
      <c r="C908" s="74" t="s">
        <v>11394</v>
      </c>
      <c r="D908" s="74" t="s">
        <v>68</v>
      </c>
      <c r="E908" s="74" t="s">
        <v>9344</v>
      </c>
      <c r="F908" s="74" t="s">
        <v>9345</v>
      </c>
      <c r="G908" s="74" t="s">
        <v>9378</v>
      </c>
      <c r="H908" s="74" t="s">
        <v>70</v>
      </c>
      <c r="I908" s="74" t="s">
        <v>47</v>
      </c>
      <c r="J908" s="74" t="s">
        <v>9347</v>
      </c>
      <c r="K908" s="74"/>
      <c r="L908" s="74"/>
    </row>
    <row r="909" spans="1:12" ht="69">
      <c r="A909" s="73">
        <v>908</v>
      </c>
      <c r="B909" s="74" t="s">
        <v>11395</v>
      </c>
      <c r="C909" s="74" t="s">
        <v>7490</v>
      </c>
      <c r="D909" s="74" t="s">
        <v>41</v>
      </c>
      <c r="E909" s="74" t="s">
        <v>9344</v>
      </c>
      <c r="F909" s="74" t="s">
        <v>9345</v>
      </c>
      <c r="G909" s="74" t="s">
        <v>9385</v>
      </c>
      <c r="H909" s="74" t="s">
        <v>46</v>
      </c>
      <c r="I909" s="74" t="s">
        <v>47</v>
      </c>
      <c r="J909" s="74" t="s">
        <v>9351</v>
      </c>
      <c r="K909" s="74" t="s">
        <v>11396</v>
      </c>
      <c r="L909" s="74" t="s">
        <v>331</v>
      </c>
    </row>
    <row r="910" spans="1:12" ht="55.2">
      <c r="A910" s="73">
        <v>909</v>
      </c>
      <c r="B910" s="74" t="s">
        <v>11397</v>
      </c>
      <c r="C910" s="74" t="s">
        <v>8200</v>
      </c>
      <c r="D910" s="74" t="s">
        <v>143</v>
      </c>
      <c r="E910" s="74" t="s">
        <v>9344</v>
      </c>
      <c r="F910" s="74" t="s">
        <v>9345</v>
      </c>
      <c r="G910" s="74" t="s">
        <v>9534</v>
      </c>
      <c r="H910" s="74" t="s">
        <v>145</v>
      </c>
      <c r="I910" s="74" t="s">
        <v>47</v>
      </c>
      <c r="J910" s="74" t="s">
        <v>9351</v>
      </c>
      <c r="K910" s="74" t="s">
        <v>11398</v>
      </c>
      <c r="L910" s="74" t="s">
        <v>251</v>
      </c>
    </row>
    <row r="911" spans="1:12" ht="55.2">
      <c r="A911" s="73">
        <v>910</v>
      </c>
      <c r="B911" s="74" t="s">
        <v>11399</v>
      </c>
      <c r="C911" s="74" t="s">
        <v>4013</v>
      </c>
      <c r="D911" s="74" t="s">
        <v>143</v>
      </c>
      <c r="E911" s="74" t="s">
        <v>9344</v>
      </c>
      <c r="F911" s="74" t="s">
        <v>9345</v>
      </c>
      <c r="G911" s="74" t="s">
        <v>9910</v>
      </c>
      <c r="H911" s="74" t="s">
        <v>145</v>
      </c>
      <c r="I911" s="74" t="s">
        <v>47</v>
      </c>
      <c r="J911" s="74" t="s">
        <v>9351</v>
      </c>
      <c r="K911" s="74" t="s">
        <v>11400</v>
      </c>
      <c r="L911" s="74" t="s">
        <v>251</v>
      </c>
    </row>
    <row r="912" spans="1:12" ht="55.2">
      <c r="A912" s="73">
        <v>911</v>
      </c>
      <c r="B912" s="74" t="s">
        <v>11401</v>
      </c>
      <c r="C912" s="74" t="s">
        <v>11402</v>
      </c>
      <c r="D912" s="74" t="s">
        <v>143</v>
      </c>
      <c r="E912" s="74" t="s">
        <v>9344</v>
      </c>
      <c r="F912" s="74" t="s">
        <v>9345</v>
      </c>
      <c r="G912" s="74" t="s">
        <v>9910</v>
      </c>
      <c r="H912" s="74" t="s">
        <v>145</v>
      </c>
      <c r="I912" s="74" t="s">
        <v>47</v>
      </c>
      <c r="J912" s="74" t="s">
        <v>9351</v>
      </c>
      <c r="K912" s="74" t="s">
        <v>11403</v>
      </c>
      <c r="L912" s="74" t="s">
        <v>251</v>
      </c>
    </row>
    <row r="913" spans="1:12" ht="55.2">
      <c r="A913" s="73">
        <v>912</v>
      </c>
      <c r="B913" s="74" t="s">
        <v>11404</v>
      </c>
      <c r="C913" s="74" t="s">
        <v>7229</v>
      </c>
      <c r="D913" s="74" t="s">
        <v>143</v>
      </c>
      <c r="E913" s="74" t="s">
        <v>9344</v>
      </c>
      <c r="F913" s="74" t="s">
        <v>9345</v>
      </c>
      <c r="G913" s="74" t="s">
        <v>9375</v>
      </c>
      <c r="H913" s="74" t="s">
        <v>327</v>
      </c>
      <c r="I913" s="74" t="s">
        <v>47</v>
      </c>
      <c r="J913" s="74" t="s">
        <v>9351</v>
      </c>
      <c r="K913" s="74" t="s">
        <v>11405</v>
      </c>
      <c r="L913" s="74" t="s">
        <v>370</v>
      </c>
    </row>
    <row r="914" spans="1:12" ht="69">
      <c r="A914" s="73">
        <v>913</v>
      </c>
      <c r="B914" s="74" t="s">
        <v>11406</v>
      </c>
      <c r="C914" s="74" t="s">
        <v>1012</v>
      </c>
      <c r="D914" s="74" t="s">
        <v>89</v>
      </c>
      <c r="E914" s="74" t="s">
        <v>9344</v>
      </c>
      <c r="F914" s="74" t="s">
        <v>9345</v>
      </c>
      <c r="G914" s="74" t="s">
        <v>9528</v>
      </c>
      <c r="H914" s="74" t="s">
        <v>91</v>
      </c>
      <c r="I914" s="74" t="s">
        <v>47</v>
      </c>
      <c r="J914" s="74" t="s">
        <v>9351</v>
      </c>
      <c r="K914" s="74" t="s">
        <v>11407</v>
      </c>
      <c r="L914" s="74" t="s">
        <v>711</v>
      </c>
    </row>
    <row r="915" spans="1:12" ht="41.4">
      <c r="A915" s="73">
        <v>914</v>
      </c>
      <c r="B915" s="74" t="s">
        <v>11408</v>
      </c>
      <c r="C915" s="74" t="s">
        <v>3378</v>
      </c>
      <c r="D915" s="74" t="s">
        <v>89</v>
      </c>
      <c r="E915" s="74" t="s">
        <v>9344</v>
      </c>
      <c r="F915" s="74" t="s">
        <v>9345</v>
      </c>
      <c r="G915" s="74" t="s">
        <v>9358</v>
      </c>
      <c r="H915" s="74" t="s">
        <v>102</v>
      </c>
      <c r="I915" s="74" t="s">
        <v>47</v>
      </c>
      <c r="J915" s="74" t="s">
        <v>9351</v>
      </c>
      <c r="K915" s="74" t="s">
        <v>11409</v>
      </c>
      <c r="L915" s="74" t="s">
        <v>711</v>
      </c>
    </row>
    <row r="916" spans="1:12" ht="55.2">
      <c r="A916" s="73">
        <v>915</v>
      </c>
      <c r="B916" s="74" t="s">
        <v>11410</v>
      </c>
      <c r="C916" s="74" t="s">
        <v>11411</v>
      </c>
      <c r="D916" s="74" t="s">
        <v>41</v>
      </c>
      <c r="E916" s="74" t="s">
        <v>9344</v>
      </c>
      <c r="F916" s="74" t="s">
        <v>9345</v>
      </c>
      <c r="G916" s="74" t="s">
        <v>9572</v>
      </c>
      <c r="H916" s="74" t="s">
        <v>479</v>
      </c>
      <c r="I916" s="74" t="s">
        <v>47</v>
      </c>
      <c r="J916" s="74" t="s">
        <v>9351</v>
      </c>
      <c r="K916" s="74"/>
      <c r="L916" s="74"/>
    </row>
    <row r="917" spans="1:12" ht="69">
      <c r="A917" s="73">
        <v>916</v>
      </c>
      <c r="B917" s="74" t="s">
        <v>11412</v>
      </c>
      <c r="C917" s="74" t="s">
        <v>4626</v>
      </c>
      <c r="D917" s="74" t="s">
        <v>89</v>
      </c>
      <c r="E917" s="74" t="s">
        <v>9344</v>
      </c>
      <c r="F917" s="74" t="s">
        <v>9345</v>
      </c>
      <c r="G917" s="74" t="s">
        <v>9682</v>
      </c>
      <c r="H917" s="74" t="s">
        <v>91</v>
      </c>
      <c r="I917" s="74" t="s">
        <v>47</v>
      </c>
      <c r="J917" s="74" t="s">
        <v>9351</v>
      </c>
      <c r="K917" s="74"/>
      <c r="L917" s="74"/>
    </row>
    <row r="918" spans="1:12" ht="41.4">
      <c r="A918" s="73">
        <v>917</v>
      </c>
      <c r="B918" s="74" t="s">
        <v>11413</v>
      </c>
      <c r="C918" s="74" t="s">
        <v>11414</v>
      </c>
      <c r="D918" s="74" t="s">
        <v>295</v>
      </c>
      <c r="E918" s="74" t="s">
        <v>9344</v>
      </c>
      <c r="F918" s="74" t="s">
        <v>9345</v>
      </c>
      <c r="G918" s="74" t="s">
        <v>9346</v>
      </c>
      <c r="H918" s="74" t="s">
        <v>297</v>
      </c>
      <c r="I918" s="74" t="s">
        <v>47</v>
      </c>
      <c r="J918" s="74" t="s">
        <v>9347</v>
      </c>
      <c r="K918" s="74"/>
      <c r="L918" s="74"/>
    </row>
    <row r="919" spans="1:12" ht="41.4">
      <c r="A919" s="73">
        <v>918</v>
      </c>
      <c r="B919" s="74" t="s">
        <v>11415</v>
      </c>
      <c r="C919" s="74" t="s">
        <v>11416</v>
      </c>
      <c r="D919" s="74" t="s">
        <v>143</v>
      </c>
      <c r="E919" s="74" t="s">
        <v>9344</v>
      </c>
      <c r="F919" s="74" t="s">
        <v>9345</v>
      </c>
      <c r="G919" s="74" t="s">
        <v>9388</v>
      </c>
      <c r="H919" s="74" t="s">
        <v>597</v>
      </c>
      <c r="I919" s="74" t="s">
        <v>47</v>
      </c>
      <c r="J919" s="74" t="s">
        <v>9351</v>
      </c>
      <c r="K919" s="74"/>
      <c r="L919" s="74"/>
    </row>
    <row r="920" spans="1:12" ht="69">
      <c r="A920" s="73">
        <v>919</v>
      </c>
      <c r="B920" s="74" t="s">
        <v>11417</v>
      </c>
      <c r="C920" s="74" t="s">
        <v>11418</v>
      </c>
      <c r="D920" s="74" t="s">
        <v>143</v>
      </c>
      <c r="E920" s="74" t="s">
        <v>9344</v>
      </c>
      <c r="F920" s="74" t="s">
        <v>9345</v>
      </c>
      <c r="G920" s="74" t="s">
        <v>9715</v>
      </c>
      <c r="H920" s="74" t="s">
        <v>220</v>
      </c>
      <c r="I920" s="74" t="s">
        <v>47</v>
      </c>
      <c r="J920" s="74" t="s">
        <v>9351</v>
      </c>
      <c r="K920" s="74" t="s">
        <v>11419</v>
      </c>
      <c r="L920" s="74" t="s">
        <v>251</v>
      </c>
    </row>
    <row r="921" spans="1:12" ht="41.4">
      <c r="A921" s="73">
        <v>920</v>
      </c>
      <c r="B921" s="74" t="s">
        <v>11420</v>
      </c>
      <c r="C921" s="74" t="s">
        <v>4259</v>
      </c>
      <c r="D921" s="74" t="s">
        <v>295</v>
      </c>
      <c r="E921" s="74" t="s">
        <v>9344</v>
      </c>
      <c r="F921" s="74" t="s">
        <v>9345</v>
      </c>
      <c r="G921" s="74" t="s">
        <v>11421</v>
      </c>
      <c r="H921" s="74" t="s">
        <v>407</v>
      </c>
      <c r="I921" s="74" t="s">
        <v>47</v>
      </c>
      <c r="J921" s="74" t="s">
        <v>9351</v>
      </c>
      <c r="K921" s="74" t="s">
        <v>11422</v>
      </c>
      <c r="L921" s="74" t="s">
        <v>318</v>
      </c>
    </row>
    <row r="922" spans="1:12" ht="69">
      <c r="A922" s="73">
        <v>921</v>
      </c>
      <c r="B922" s="74" t="s">
        <v>11423</v>
      </c>
      <c r="C922" s="74" t="s">
        <v>11424</v>
      </c>
      <c r="D922" s="74" t="s">
        <v>41</v>
      </c>
      <c r="E922" s="74" t="s">
        <v>9344</v>
      </c>
      <c r="F922" s="74" t="s">
        <v>9345</v>
      </c>
      <c r="G922" s="74" t="s">
        <v>9413</v>
      </c>
      <c r="H922" s="74" t="s">
        <v>46</v>
      </c>
      <c r="I922" s="74" t="s">
        <v>47</v>
      </c>
      <c r="J922" s="74" t="s">
        <v>9347</v>
      </c>
      <c r="K922" s="74" t="s">
        <v>11425</v>
      </c>
      <c r="L922" s="74" t="s">
        <v>331</v>
      </c>
    </row>
    <row r="923" spans="1:12" ht="41.4">
      <c r="A923" s="73">
        <v>922</v>
      </c>
      <c r="B923" s="74" t="s">
        <v>11426</v>
      </c>
      <c r="C923" s="74" t="s">
        <v>2076</v>
      </c>
      <c r="D923" s="74" t="s">
        <v>41</v>
      </c>
      <c r="E923" s="74" t="s">
        <v>9344</v>
      </c>
      <c r="F923" s="74" t="s">
        <v>9345</v>
      </c>
      <c r="G923" s="74" t="s">
        <v>9350</v>
      </c>
      <c r="H923" s="74" t="s">
        <v>662</v>
      </c>
      <c r="I923" s="74" t="s">
        <v>47</v>
      </c>
      <c r="J923" s="74" t="s">
        <v>9347</v>
      </c>
      <c r="K923" s="74"/>
      <c r="L923" s="74"/>
    </row>
    <row r="924" spans="1:12" ht="41.4">
      <c r="A924" s="73">
        <v>923</v>
      </c>
      <c r="B924" s="74" t="s">
        <v>11427</v>
      </c>
      <c r="C924" s="74" t="s">
        <v>11428</v>
      </c>
      <c r="D924" s="74" t="s">
        <v>41</v>
      </c>
      <c r="E924" s="74" t="s">
        <v>9344</v>
      </c>
      <c r="F924" s="74" t="s">
        <v>9345</v>
      </c>
      <c r="G924" s="74" t="s">
        <v>9776</v>
      </c>
      <c r="H924" s="74" t="s">
        <v>200</v>
      </c>
      <c r="I924" s="74" t="s">
        <v>47</v>
      </c>
      <c r="J924" s="74" t="s">
        <v>9347</v>
      </c>
      <c r="K924" s="74"/>
      <c r="L924" s="74"/>
    </row>
    <row r="925" spans="1:12" ht="55.2">
      <c r="A925" s="73">
        <v>924</v>
      </c>
      <c r="B925" s="74" t="s">
        <v>11429</v>
      </c>
      <c r="C925" s="74" t="s">
        <v>11430</v>
      </c>
      <c r="D925" s="74" t="s">
        <v>295</v>
      </c>
      <c r="E925" s="74" t="s">
        <v>9344</v>
      </c>
      <c r="F925" s="74" t="s">
        <v>9345</v>
      </c>
      <c r="G925" s="74" t="s">
        <v>9346</v>
      </c>
      <c r="H925" s="74" t="s">
        <v>297</v>
      </c>
      <c r="I925" s="74" t="s">
        <v>47</v>
      </c>
      <c r="J925" s="74" t="s">
        <v>9347</v>
      </c>
      <c r="K925" s="74"/>
      <c r="L925" s="74"/>
    </row>
    <row r="926" spans="1:12" ht="55.2">
      <c r="A926" s="73">
        <v>925</v>
      </c>
      <c r="B926" s="74" t="s">
        <v>11431</v>
      </c>
      <c r="C926" s="74" t="s">
        <v>11432</v>
      </c>
      <c r="D926" s="74" t="s">
        <v>41</v>
      </c>
      <c r="E926" s="74" t="s">
        <v>9344</v>
      </c>
      <c r="F926" s="74" t="s">
        <v>9345</v>
      </c>
      <c r="G926" s="74" t="s">
        <v>9572</v>
      </c>
      <c r="H926" s="74" t="s">
        <v>479</v>
      </c>
      <c r="I926" s="74" t="s">
        <v>47</v>
      </c>
      <c r="J926" s="74" t="s">
        <v>9351</v>
      </c>
      <c r="K926" s="74"/>
      <c r="L926" s="74"/>
    </row>
    <row r="927" spans="1:12" ht="69">
      <c r="A927" s="73">
        <v>926</v>
      </c>
      <c r="B927" s="74" t="s">
        <v>11433</v>
      </c>
      <c r="C927" s="74" t="s">
        <v>8643</v>
      </c>
      <c r="D927" s="74" t="s">
        <v>143</v>
      </c>
      <c r="E927" s="74" t="s">
        <v>9344</v>
      </c>
      <c r="F927" s="74" t="s">
        <v>9345</v>
      </c>
      <c r="G927" s="74" t="s">
        <v>9510</v>
      </c>
      <c r="H927" s="74" t="s">
        <v>220</v>
      </c>
      <c r="I927" s="74" t="s">
        <v>47</v>
      </c>
      <c r="J927" s="74" t="s">
        <v>9351</v>
      </c>
      <c r="K927" s="74"/>
      <c r="L927" s="74"/>
    </row>
    <row r="928" spans="1:12" ht="55.2">
      <c r="A928" s="73">
        <v>927</v>
      </c>
      <c r="B928" s="74" t="s">
        <v>11434</v>
      </c>
      <c r="C928" s="74" t="s">
        <v>11435</v>
      </c>
      <c r="D928" s="74" t="s">
        <v>295</v>
      </c>
      <c r="E928" s="74" t="s">
        <v>9344</v>
      </c>
      <c r="F928" s="74" t="s">
        <v>9345</v>
      </c>
      <c r="G928" s="74" t="s">
        <v>9432</v>
      </c>
      <c r="H928" s="74" t="s">
        <v>297</v>
      </c>
      <c r="I928" s="74" t="s">
        <v>47</v>
      </c>
      <c r="J928" s="74" t="s">
        <v>9347</v>
      </c>
      <c r="K928" s="74" t="s">
        <v>11436</v>
      </c>
      <c r="L928" s="74" t="s">
        <v>318</v>
      </c>
    </row>
    <row r="929" spans="1:12" ht="55.2">
      <c r="A929" s="73">
        <v>928</v>
      </c>
      <c r="B929" s="74" t="s">
        <v>11437</v>
      </c>
      <c r="C929" s="74" t="s">
        <v>11438</v>
      </c>
      <c r="D929" s="74" t="s">
        <v>41</v>
      </c>
      <c r="E929" s="74" t="s">
        <v>9344</v>
      </c>
      <c r="F929" s="74" t="s">
        <v>9345</v>
      </c>
      <c r="G929" s="74" t="s">
        <v>9761</v>
      </c>
      <c r="H929" s="74" t="s">
        <v>479</v>
      </c>
      <c r="I929" s="74" t="s">
        <v>47</v>
      </c>
      <c r="J929" s="74" t="s">
        <v>9347</v>
      </c>
      <c r="K929" s="74"/>
      <c r="L929" s="74"/>
    </row>
    <row r="930" spans="1:12" ht="55.2">
      <c r="A930" s="73">
        <v>929</v>
      </c>
      <c r="B930" s="74" t="s">
        <v>11439</v>
      </c>
      <c r="C930" s="74" t="s">
        <v>11440</v>
      </c>
      <c r="D930" s="74" t="s">
        <v>41</v>
      </c>
      <c r="E930" s="74" t="s">
        <v>9344</v>
      </c>
      <c r="F930" s="74" t="s">
        <v>9345</v>
      </c>
      <c r="G930" s="74" t="s">
        <v>9757</v>
      </c>
      <c r="H930" s="74" t="s">
        <v>200</v>
      </c>
      <c r="I930" s="74" t="s">
        <v>47</v>
      </c>
      <c r="J930" s="74" t="s">
        <v>9347</v>
      </c>
      <c r="K930" s="74"/>
      <c r="L930" s="74"/>
    </row>
    <row r="931" spans="1:12" ht="41.4">
      <c r="A931" s="73">
        <v>930</v>
      </c>
      <c r="B931" s="74" t="s">
        <v>11441</v>
      </c>
      <c r="C931" s="74" t="s">
        <v>11442</v>
      </c>
      <c r="D931" s="74" t="s">
        <v>41</v>
      </c>
      <c r="E931" s="74" t="s">
        <v>9344</v>
      </c>
      <c r="F931" s="74" t="s">
        <v>9345</v>
      </c>
      <c r="G931" s="74" t="s">
        <v>9405</v>
      </c>
      <c r="H931" s="74" t="s">
        <v>662</v>
      </c>
      <c r="I931" s="74" t="s">
        <v>47</v>
      </c>
      <c r="J931" s="74" t="s">
        <v>9347</v>
      </c>
      <c r="K931" s="74"/>
      <c r="L931" s="74"/>
    </row>
    <row r="932" spans="1:12" ht="41.4">
      <c r="A932" s="73">
        <v>931</v>
      </c>
      <c r="B932" s="74" t="s">
        <v>11443</v>
      </c>
      <c r="C932" s="74" t="s">
        <v>11444</v>
      </c>
      <c r="D932" s="74" t="s">
        <v>295</v>
      </c>
      <c r="E932" s="74" t="s">
        <v>9344</v>
      </c>
      <c r="F932" s="74" t="s">
        <v>9345</v>
      </c>
      <c r="G932" s="74" t="s">
        <v>9579</v>
      </c>
      <c r="H932" s="74" t="s">
        <v>407</v>
      </c>
      <c r="I932" s="74" t="s">
        <v>47</v>
      </c>
      <c r="J932" s="74" t="s">
        <v>9347</v>
      </c>
      <c r="K932" s="74" t="s">
        <v>11445</v>
      </c>
      <c r="L932" s="74" t="s">
        <v>318</v>
      </c>
    </row>
    <row r="933" spans="1:12" ht="55.2">
      <c r="A933" s="73">
        <v>932</v>
      </c>
      <c r="B933" s="74" t="s">
        <v>11446</v>
      </c>
      <c r="C933" s="74" t="s">
        <v>11447</v>
      </c>
      <c r="D933" s="74" t="s">
        <v>41</v>
      </c>
      <c r="E933" s="74" t="s">
        <v>9344</v>
      </c>
      <c r="F933" s="74" t="s">
        <v>9345</v>
      </c>
      <c r="G933" s="74" t="s">
        <v>9372</v>
      </c>
      <c r="H933" s="74" t="s">
        <v>479</v>
      </c>
      <c r="I933" s="74" t="s">
        <v>47</v>
      </c>
      <c r="J933" s="74" t="s">
        <v>9347</v>
      </c>
      <c r="K933" s="74"/>
      <c r="L933" s="74"/>
    </row>
    <row r="934" spans="1:12" ht="41.4">
      <c r="A934" s="73">
        <v>933</v>
      </c>
      <c r="B934" s="74" t="s">
        <v>11448</v>
      </c>
      <c r="C934" s="74" t="s">
        <v>4313</v>
      </c>
      <c r="D934" s="74" t="s">
        <v>41</v>
      </c>
      <c r="E934" s="74" t="s">
        <v>9344</v>
      </c>
      <c r="F934" s="74" t="s">
        <v>9345</v>
      </c>
      <c r="G934" s="74" t="s">
        <v>9757</v>
      </c>
      <c r="H934" s="74" t="s">
        <v>200</v>
      </c>
      <c r="I934" s="74" t="s">
        <v>47</v>
      </c>
      <c r="J934" s="74" t="s">
        <v>9347</v>
      </c>
      <c r="K934" s="74"/>
      <c r="L934" s="74"/>
    </row>
    <row r="935" spans="1:12" ht="55.2">
      <c r="A935" s="73">
        <v>934</v>
      </c>
      <c r="B935" s="74" t="s">
        <v>11449</v>
      </c>
      <c r="C935" s="74" t="s">
        <v>2434</v>
      </c>
      <c r="D935" s="74" t="s">
        <v>143</v>
      </c>
      <c r="E935" s="74" t="s">
        <v>9344</v>
      </c>
      <c r="F935" s="74" t="s">
        <v>9345</v>
      </c>
      <c r="G935" s="74" t="s">
        <v>9534</v>
      </c>
      <c r="H935" s="74" t="s">
        <v>145</v>
      </c>
      <c r="I935" s="74" t="s">
        <v>47</v>
      </c>
      <c r="J935" s="74" t="s">
        <v>9351</v>
      </c>
      <c r="K935" s="74" t="s">
        <v>11450</v>
      </c>
      <c r="L935" s="74" t="s">
        <v>701</v>
      </c>
    </row>
    <row r="936" spans="1:12" ht="69">
      <c r="A936" s="73">
        <v>935</v>
      </c>
      <c r="B936" s="74" t="s">
        <v>11451</v>
      </c>
      <c r="C936" s="74" t="s">
        <v>6323</v>
      </c>
      <c r="D936" s="74" t="s">
        <v>41</v>
      </c>
      <c r="E936" s="74" t="s">
        <v>9344</v>
      </c>
      <c r="F936" s="74" t="s">
        <v>9345</v>
      </c>
      <c r="G936" s="74" t="s">
        <v>9793</v>
      </c>
      <c r="H936" s="74" t="s">
        <v>46</v>
      </c>
      <c r="I936" s="74" t="s">
        <v>47</v>
      </c>
      <c r="J936" s="74" t="s">
        <v>9347</v>
      </c>
      <c r="K936" s="74"/>
      <c r="L936" s="74"/>
    </row>
    <row r="937" spans="1:12" ht="41.4">
      <c r="A937" s="73">
        <v>936</v>
      </c>
      <c r="B937" s="74" t="s">
        <v>11452</v>
      </c>
      <c r="C937" s="74" t="s">
        <v>11453</v>
      </c>
      <c r="D937" s="74" t="s">
        <v>143</v>
      </c>
      <c r="E937" s="74" t="s">
        <v>9344</v>
      </c>
      <c r="F937" s="74" t="s">
        <v>9345</v>
      </c>
      <c r="G937" s="74" t="s">
        <v>9388</v>
      </c>
      <c r="H937" s="74" t="s">
        <v>597</v>
      </c>
      <c r="I937" s="74" t="s">
        <v>47</v>
      </c>
      <c r="J937" s="74" t="s">
        <v>9351</v>
      </c>
      <c r="K937" s="74" t="s">
        <v>11454</v>
      </c>
      <c r="L937" s="74" t="s">
        <v>370</v>
      </c>
    </row>
    <row r="938" spans="1:12" ht="55.2">
      <c r="A938" s="73">
        <v>937</v>
      </c>
      <c r="B938" s="74" t="s">
        <v>11455</v>
      </c>
      <c r="C938" s="74" t="s">
        <v>5350</v>
      </c>
      <c r="D938" s="74" t="s">
        <v>143</v>
      </c>
      <c r="E938" s="74" t="s">
        <v>9344</v>
      </c>
      <c r="F938" s="74" t="s">
        <v>9345</v>
      </c>
      <c r="G938" s="74" t="s">
        <v>9910</v>
      </c>
      <c r="H938" s="74" t="s">
        <v>145</v>
      </c>
      <c r="I938" s="74" t="s">
        <v>47</v>
      </c>
      <c r="J938" s="74" t="s">
        <v>9351</v>
      </c>
      <c r="K938" s="74" t="s">
        <v>11456</v>
      </c>
      <c r="L938" s="74" t="s">
        <v>251</v>
      </c>
    </row>
    <row r="939" spans="1:12" ht="55.2">
      <c r="A939" s="73">
        <v>938</v>
      </c>
      <c r="B939" s="74" t="s">
        <v>11457</v>
      </c>
      <c r="C939" s="74" t="s">
        <v>11458</v>
      </c>
      <c r="D939" s="74" t="s">
        <v>295</v>
      </c>
      <c r="E939" s="74" t="s">
        <v>9344</v>
      </c>
      <c r="F939" s="74" t="s">
        <v>9345</v>
      </c>
      <c r="G939" s="74" t="s">
        <v>9677</v>
      </c>
      <c r="H939" s="74" t="s">
        <v>407</v>
      </c>
      <c r="I939" s="74" t="s">
        <v>47</v>
      </c>
      <c r="J939" s="74" t="s">
        <v>9347</v>
      </c>
      <c r="K939" s="74"/>
      <c r="L939" s="74"/>
    </row>
    <row r="940" spans="1:12" ht="55.2">
      <c r="A940" s="73">
        <v>939</v>
      </c>
      <c r="B940" s="74" t="s">
        <v>11459</v>
      </c>
      <c r="C940" s="74" t="s">
        <v>5400</v>
      </c>
      <c r="D940" s="74" t="s">
        <v>143</v>
      </c>
      <c r="E940" s="74" t="s">
        <v>9344</v>
      </c>
      <c r="F940" s="74" t="s">
        <v>9345</v>
      </c>
      <c r="G940" s="74" t="s">
        <v>10267</v>
      </c>
      <c r="H940" s="74" t="s">
        <v>400</v>
      </c>
      <c r="I940" s="74" t="s">
        <v>47</v>
      </c>
      <c r="J940" s="74" t="s">
        <v>9351</v>
      </c>
      <c r="K940" s="74"/>
      <c r="L940" s="74"/>
    </row>
    <row r="941" spans="1:12" ht="69">
      <c r="A941" s="73">
        <v>940</v>
      </c>
      <c r="B941" s="74" t="s">
        <v>11460</v>
      </c>
      <c r="C941" s="74" t="s">
        <v>11461</v>
      </c>
      <c r="D941" s="74" t="s">
        <v>41</v>
      </c>
      <c r="E941" s="74" t="s">
        <v>9344</v>
      </c>
      <c r="F941" s="74" t="s">
        <v>9345</v>
      </c>
      <c r="G941" s="74" t="s">
        <v>9413</v>
      </c>
      <c r="H941" s="74" t="s">
        <v>46</v>
      </c>
      <c r="I941" s="74" t="s">
        <v>47</v>
      </c>
      <c r="J941" s="74" t="s">
        <v>9347</v>
      </c>
      <c r="K941" s="74" t="s">
        <v>11462</v>
      </c>
      <c r="L941" s="74" t="s">
        <v>331</v>
      </c>
    </row>
    <row r="942" spans="1:12" ht="55.2">
      <c r="A942" s="73">
        <v>941</v>
      </c>
      <c r="B942" s="74" t="s">
        <v>11463</v>
      </c>
      <c r="C942" s="74" t="s">
        <v>1530</v>
      </c>
      <c r="D942" s="74" t="s">
        <v>143</v>
      </c>
      <c r="E942" s="74" t="s">
        <v>9344</v>
      </c>
      <c r="F942" s="74" t="s">
        <v>9345</v>
      </c>
      <c r="G942" s="74" t="s">
        <v>9534</v>
      </c>
      <c r="H942" s="74" t="s">
        <v>145</v>
      </c>
      <c r="I942" s="74" t="s">
        <v>47</v>
      </c>
      <c r="J942" s="74" t="s">
        <v>9351</v>
      </c>
      <c r="K942" s="74" t="s">
        <v>11464</v>
      </c>
      <c r="L942" s="74" t="s">
        <v>251</v>
      </c>
    </row>
    <row r="943" spans="1:12" ht="41.4">
      <c r="A943" s="73">
        <v>942</v>
      </c>
      <c r="B943" s="74" t="s">
        <v>11465</v>
      </c>
      <c r="C943" s="74" t="s">
        <v>11466</v>
      </c>
      <c r="D943" s="74" t="s">
        <v>295</v>
      </c>
      <c r="E943" s="74" t="s">
        <v>9344</v>
      </c>
      <c r="F943" s="74" t="s">
        <v>9345</v>
      </c>
      <c r="G943" s="74" t="s">
        <v>9400</v>
      </c>
      <c r="H943" s="74" t="s">
        <v>407</v>
      </c>
      <c r="I943" s="74" t="s">
        <v>47</v>
      </c>
      <c r="J943" s="74" t="s">
        <v>9351</v>
      </c>
      <c r="K943" s="74" t="s">
        <v>11467</v>
      </c>
      <c r="L943" s="74" t="s">
        <v>318</v>
      </c>
    </row>
    <row r="944" spans="1:12" ht="55.2">
      <c r="A944" s="73">
        <v>943</v>
      </c>
      <c r="B944" s="74" t="s">
        <v>11468</v>
      </c>
      <c r="C944" s="74" t="s">
        <v>11469</v>
      </c>
      <c r="D944" s="74" t="s">
        <v>143</v>
      </c>
      <c r="E944" s="74" t="s">
        <v>9344</v>
      </c>
      <c r="F944" s="74" t="s">
        <v>9345</v>
      </c>
      <c r="G944" s="74" t="s">
        <v>9910</v>
      </c>
      <c r="H944" s="74" t="s">
        <v>145</v>
      </c>
      <c r="I944" s="74" t="s">
        <v>47</v>
      </c>
      <c r="J944" s="74" t="s">
        <v>9351</v>
      </c>
      <c r="K944" s="74" t="s">
        <v>11470</v>
      </c>
      <c r="L944" s="74" t="s">
        <v>251</v>
      </c>
    </row>
    <row r="945" spans="1:12" ht="41.4">
      <c r="A945" s="73">
        <v>944</v>
      </c>
      <c r="B945" s="74" t="s">
        <v>11471</v>
      </c>
      <c r="C945" s="74" t="s">
        <v>2687</v>
      </c>
      <c r="D945" s="74" t="s">
        <v>41</v>
      </c>
      <c r="E945" s="74" t="s">
        <v>9344</v>
      </c>
      <c r="F945" s="74" t="s">
        <v>9345</v>
      </c>
      <c r="G945" s="74" t="s">
        <v>9364</v>
      </c>
      <c r="H945" s="74" t="s">
        <v>662</v>
      </c>
      <c r="I945" s="74" t="s">
        <v>47</v>
      </c>
      <c r="J945" s="74" t="s">
        <v>9351</v>
      </c>
      <c r="K945" s="74" t="s">
        <v>11472</v>
      </c>
      <c r="L945" s="74" t="s">
        <v>331</v>
      </c>
    </row>
    <row r="946" spans="1:12" ht="41.4">
      <c r="A946" s="73">
        <v>945</v>
      </c>
      <c r="B946" s="74" t="s">
        <v>11473</v>
      </c>
      <c r="C946" s="74" t="s">
        <v>7176</v>
      </c>
      <c r="D946" s="74" t="s">
        <v>153</v>
      </c>
      <c r="E946" s="74" t="s">
        <v>9344</v>
      </c>
      <c r="F946" s="74" t="s">
        <v>9345</v>
      </c>
      <c r="G946" s="74" t="s">
        <v>9753</v>
      </c>
      <c r="H946" s="74" t="s">
        <v>155</v>
      </c>
      <c r="I946" s="74" t="s">
        <v>47</v>
      </c>
      <c r="J946" s="74" t="s">
        <v>9347</v>
      </c>
      <c r="K946" s="74" t="s">
        <v>11474</v>
      </c>
      <c r="L946" s="74" t="s">
        <v>331</v>
      </c>
    </row>
    <row r="947" spans="1:12" ht="41.4">
      <c r="A947" s="73">
        <v>946</v>
      </c>
      <c r="B947" s="74" t="s">
        <v>11475</v>
      </c>
      <c r="C947" s="74" t="s">
        <v>11476</v>
      </c>
      <c r="D947" s="74" t="s">
        <v>295</v>
      </c>
      <c r="E947" s="74" t="s">
        <v>9344</v>
      </c>
      <c r="F947" s="74" t="s">
        <v>9345</v>
      </c>
      <c r="G947" s="74" t="s">
        <v>9708</v>
      </c>
      <c r="H947" s="74" t="s">
        <v>407</v>
      </c>
      <c r="I947" s="74" t="s">
        <v>47</v>
      </c>
      <c r="J947" s="74" t="s">
        <v>9351</v>
      </c>
      <c r="K947" s="74" t="s">
        <v>11477</v>
      </c>
      <c r="L947" s="74" t="s">
        <v>318</v>
      </c>
    </row>
    <row r="948" spans="1:12" ht="69">
      <c r="A948" s="73">
        <v>947</v>
      </c>
      <c r="B948" s="74" t="s">
        <v>11478</v>
      </c>
      <c r="C948" s="74" t="s">
        <v>4128</v>
      </c>
      <c r="D948" s="74" t="s">
        <v>41</v>
      </c>
      <c r="E948" s="74" t="s">
        <v>9344</v>
      </c>
      <c r="F948" s="74" t="s">
        <v>9345</v>
      </c>
      <c r="G948" s="74" t="s">
        <v>9824</v>
      </c>
      <c r="H948" s="74" t="s">
        <v>46</v>
      </c>
      <c r="I948" s="74" t="s">
        <v>47</v>
      </c>
      <c r="J948" s="74" t="s">
        <v>9351</v>
      </c>
      <c r="K948" s="74" t="s">
        <v>11479</v>
      </c>
      <c r="L948" s="74" t="s">
        <v>318</v>
      </c>
    </row>
    <row r="949" spans="1:12" ht="55.2">
      <c r="A949" s="73">
        <v>948</v>
      </c>
      <c r="B949" s="74" t="s">
        <v>11480</v>
      </c>
      <c r="C949" s="74" t="s">
        <v>11481</v>
      </c>
      <c r="D949" s="74" t="s">
        <v>41</v>
      </c>
      <c r="E949" s="74" t="s">
        <v>9344</v>
      </c>
      <c r="F949" s="74" t="s">
        <v>9345</v>
      </c>
      <c r="G949" s="74" t="s">
        <v>9372</v>
      </c>
      <c r="H949" s="74" t="s">
        <v>479</v>
      </c>
      <c r="I949" s="74" t="s">
        <v>47</v>
      </c>
      <c r="J949" s="74" t="s">
        <v>9347</v>
      </c>
      <c r="K949" s="74" t="s">
        <v>11482</v>
      </c>
      <c r="L949" s="74" t="s">
        <v>331</v>
      </c>
    </row>
    <row r="950" spans="1:12" ht="55.2">
      <c r="A950" s="73">
        <v>949</v>
      </c>
      <c r="B950" s="74" t="s">
        <v>11483</v>
      </c>
      <c r="C950" s="74" t="s">
        <v>11484</v>
      </c>
      <c r="D950" s="74" t="s">
        <v>143</v>
      </c>
      <c r="E950" s="74" t="s">
        <v>9344</v>
      </c>
      <c r="F950" s="74" t="s">
        <v>9345</v>
      </c>
      <c r="G950" s="74" t="s">
        <v>9910</v>
      </c>
      <c r="H950" s="74" t="s">
        <v>145</v>
      </c>
      <c r="I950" s="74" t="s">
        <v>47</v>
      </c>
      <c r="J950" s="74" t="s">
        <v>9351</v>
      </c>
      <c r="K950" s="74" t="s">
        <v>11485</v>
      </c>
      <c r="L950" s="74" t="s">
        <v>251</v>
      </c>
    </row>
    <row r="951" spans="1:12" ht="41.4">
      <c r="A951" s="73">
        <v>950</v>
      </c>
      <c r="B951" s="74" t="s">
        <v>11486</v>
      </c>
      <c r="C951" s="74" t="s">
        <v>6965</v>
      </c>
      <c r="D951" s="74" t="s">
        <v>153</v>
      </c>
      <c r="E951" s="74" t="s">
        <v>9344</v>
      </c>
      <c r="F951" s="74" t="s">
        <v>9345</v>
      </c>
      <c r="G951" s="74" t="s">
        <v>10033</v>
      </c>
      <c r="H951" s="74" t="s">
        <v>155</v>
      </c>
      <c r="I951" s="74" t="s">
        <v>47</v>
      </c>
      <c r="J951" s="74" t="s">
        <v>9351</v>
      </c>
      <c r="K951" s="74" t="s">
        <v>11487</v>
      </c>
      <c r="L951" s="74" t="s">
        <v>331</v>
      </c>
    </row>
    <row r="952" spans="1:12" ht="41.4">
      <c r="A952" s="73">
        <v>951</v>
      </c>
      <c r="B952" s="74" t="s">
        <v>11488</v>
      </c>
      <c r="C952" s="74" t="s">
        <v>11489</v>
      </c>
      <c r="D952" s="74" t="s">
        <v>295</v>
      </c>
      <c r="E952" s="74" t="s">
        <v>9344</v>
      </c>
      <c r="F952" s="74" t="s">
        <v>9345</v>
      </c>
      <c r="G952" s="74" t="s">
        <v>9489</v>
      </c>
      <c r="H952" s="74" t="s">
        <v>407</v>
      </c>
      <c r="I952" s="74" t="s">
        <v>47</v>
      </c>
      <c r="J952" s="74" t="s">
        <v>9347</v>
      </c>
      <c r="K952" s="74"/>
      <c r="L952" s="74"/>
    </row>
    <row r="953" spans="1:12" ht="41.4">
      <c r="A953" s="73">
        <v>952</v>
      </c>
      <c r="B953" s="74" t="s">
        <v>11490</v>
      </c>
      <c r="C953" s="74" t="s">
        <v>11491</v>
      </c>
      <c r="D953" s="74" t="s">
        <v>153</v>
      </c>
      <c r="E953" s="74" t="s">
        <v>9344</v>
      </c>
      <c r="F953" s="74" t="s">
        <v>9345</v>
      </c>
      <c r="G953" s="74" t="s">
        <v>9485</v>
      </c>
      <c r="H953" s="74" t="s">
        <v>155</v>
      </c>
      <c r="I953" s="74" t="s">
        <v>47</v>
      </c>
      <c r="J953" s="74" t="s">
        <v>9347</v>
      </c>
      <c r="K953" s="74" t="s">
        <v>11492</v>
      </c>
      <c r="L953" s="74" t="s">
        <v>891</v>
      </c>
    </row>
    <row r="954" spans="1:12" ht="69">
      <c r="A954" s="73">
        <v>953</v>
      </c>
      <c r="B954" s="74" t="s">
        <v>11493</v>
      </c>
      <c r="C954" s="74" t="s">
        <v>11494</v>
      </c>
      <c r="D954" s="74" t="s">
        <v>89</v>
      </c>
      <c r="E954" s="74" t="s">
        <v>9344</v>
      </c>
      <c r="F954" s="74" t="s">
        <v>9345</v>
      </c>
      <c r="G954" s="74" t="s">
        <v>9528</v>
      </c>
      <c r="H954" s="74" t="s">
        <v>91</v>
      </c>
      <c r="I954" s="74" t="s">
        <v>47</v>
      </c>
      <c r="J954" s="74" t="s">
        <v>9351</v>
      </c>
      <c r="K954" s="74" t="s">
        <v>11495</v>
      </c>
      <c r="L954" s="74" t="s">
        <v>251</v>
      </c>
    </row>
    <row r="955" spans="1:12" ht="69">
      <c r="A955" s="73">
        <v>954</v>
      </c>
      <c r="B955" s="74" t="s">
        <v>11496</v>
      </c>
      <c r="C955" s="74" t="s">
        <v>4863</v>
      </c>
      <c r="D955" s="74" t="s">
        <v>41</v>
      </c>
      <c r="E955" s="74" t="s">
        <v>9344</v>
      </c>
      <c r="F955" s="74" t="s">
        <v>9345</v>
      </c>
      <c r="G955" s="74" t="s">
        <v>9824</v>
      </c>
      <c r="H955" s="74" t="s">
        <v>46</v>
      </c>
      <c r="I955" s="74" t="s">
        <v>47</v>
      </c>
      <c r="J955" s="74" t="s">
        <v>9351</v>
      </c>
      <c r="K955" s="74"/>
      <c r="L955" s="74"/>
    </row>
    <row r="956" spans="1:12" ht="41.4">
      <c r="A956" s="73">
        <v>955</v>
      </c>
      <c r="B956" s="74" t="s">
        <v>11497</v>
      </c>
      <c r="C956" s="74" t="s">
        <v>5277</v>
      </c>
      <c r="D956" s="74" t="s">
        <v>41</v>
      </c>
      <c r="E956" s="74" t="s">
        <v>9344</v>
      </c>
      <c r="F956" s="74" t="s">
        <v>9345</v>
      </c>
      <c r="G956" s="74" t="s">
        <v>9665</v>
      </c>
      <c r="H956" s="74" t="s">
        <v>662</v>
      </c>
      <c r="I956" s="74" t="s">
        <v>47</v>
      </c>
      <c r="J956" s="74" t="s">
        <v>9351</v>
      </c>
      <c r="K956" s="74" t="s">
        <v>11498</v>
      </c>
      <c r="L956" s="74" t="s">
        <v>1916</v>
      </c>
    </row>
    <row r="957" spans="1:12" ht="55.2">
      <c r="A957" s="73">
        <v>956</v>
      </c>
      <c r="B957" s="74" t="s">
        <v>11499</v>
      </c>
      <c r="C957" s="74" t="s">
        <v>11500</v>
      </c>
      <c r="D957" s="74" t="s">
        <v>41</v>
      </c>
      <c r="E957" s="74" t="s">
        <v>9344</v>
      </c>
      <c r="F957" s="74" t="s">
        <v>9345</v>
      </c>
      <c r="G957" s="74" t="s">
        <v>9372</v>
      </c>
      <c r="H957" s="74" t="s">
        <v>479</v>
      </c>
      <c r="I957" s="74" t="s">
        <v>47</v>
      </c>
      <c r="J957" s="74" t="s">
        <v>9347</v>
      </c>
      <c r="K957" s="74"/>
      <c r="L957" s="74"/>
    </row>
    <row r="958" spans="1:12" ht="55.2">
      <c r="A958" s="73">
        <v>957</v>
      </c>
      <c r="B958" s="74" t="s">
        <v>11501</v>
      </c>
      <c r="C958" s="74" t="s">
        <v>11502</v>
      </c>
      <c r="D958" s="74" t="s">
        <v>295</v>
      </c>
      <c r="E958" s="74" t="s">
        <v>9344</v>
      </c>
      <c r="F958" s="74" t="s">
        <v>9345</v>
      </c>
      <c r="G958" s="74" t="s">
        <v>9346</v>
      </c>
      <c r="H958" s="74" t="s">
        <v>297</v>
      </c>
      <c r="I958" s="74" t="s">
        <v>47</v>
      </c>
      <c r="J958" s="74" t="s">
        <v>9347</v>
      </c>
      <c r="K958" s="74"/>
      <c r="L958" s="74"/>
    </row>
    <row r="959" spans="1:12" ht="69">
      <c r="A959" s="73">
        <v>958</v>
      </c>
      <c r="B959" s="74" t="s">
        <v>11503</v>
      </c>
      <c r="C959" s="74" t="s">
        <v>11504</v>
      </c>
      <c r="D959" s="74" t="s">
        <v>41</v>
      </c>
      <c r="E959" s="74" t="s">
        <v>9344</v>
      </c>
      <c r="F959" s="74" t="s">
        <v>9345</v>
      </c>
      <c r="G959" s="74" t="s">
        <v>9385</v>
      </c>
      <c r="H959" s="74" t="s">
        <v>46</v>
      </c>
      <c r="I959" s="74" t="s">
        <v>47</v>
      </c>
      <c r="J959" s="74" t="s">
        <v>9351</v>
      </c>
      <c r="K959" s="74" t="s">
        <v>11505</v>
      </c>
      <c r="L959" s="74" t="s">
        <v>331</v>
      </c>
    </row>
    <row r="960" spans="1:12" ht="41.4">
      <c r="A960" s="73">
        <v>959</v>
      </c>
      <c r="B960" s="74" t="s">
        <v>11506</v>
      </c>
      <c r="C960" s="74" t="s">
        <v>11507</v>
      </c>
      <c r="D960" s="74" t="s">
        <v>143</v>
      </c>
      <c r="E960" s="74" t="s">
        <v>9344</v>
      </c>
      <c r="F960" s="74" t="s">
        <v>9345</v>
      </c>
      <c r="G960" s="74" t="s">
        <v>10267</v>
      </c>
      <c r="H960" s="74" t="s">
        <v>400</v>
      </c>
      <c r="I960" s="74" t="s">
        <v>47</v>
      </c>
      <c r="J960" s="74" t="s">
        <v>9351</v>
      </c>
      <c r="K960" s="74" t="s">
        <v>11508</v>
      </c>
      <c r="L960" s="74" t="s">
        <v>251</v>
      </c>
    </row>
    <row r="961" spans="1:12" ht="69">
      <c r="A961" s="73">
        <v>960</v>
      </c>
      <c r="B961" s="74" t="s">
        <v>11509</v>
      </c>
      <c r="C961" s="74" t="s">
        <v>11510</v>
      </c>
      <c r="D961" s="74" t="s">
        <v>143</v>
      </c>
      <c r="E961" s="74" t="s">
        <v>9344</v>
      </c>
      <c r="F961" s="74" t="s">
        <v>9345</v>
      </c>
      <c r="G961" s="74" t="s">
        <v>9715</v>
      </c>
      <c r="H961" s="74" t="s">
        <v>220</v>
      </c>
      <c r="I961" s="74" t="s">
        <v>47</v>
      </c>
      <c r="J961" s="74" t="s">
        <v>9351</v>
      </c>
      <c r="K961" s="74"/>
      <c r="L961" s="74"/>
    </row>
    <row r="962" spans="1:12" ht="55.2">
      <c r="A962" s="73">
        <v>961</v>
      </c>
      <c r="B962" s="74" t="s">
        <v>11511</v>
      </c>
      <c r="C962" s="74" t="s">
        <v>11512</v>
      </c>
      <c r="D962" s="74" t="s">
        <v>143</v>
      </c>
      <c r="E962" s="74" t="s">
        <v>9344</v>
      </c>
      <c r="F962" s="74" t="s">
        <v>9345</v>
      </c>
      <c r="G962" s="74" t="s">
        <v>9514</v>
      </c>
      <c r="H962" s="74" t="s">
        <v>327</v>
      </c>
      <c r="I962" s="74" t="s">
        <v>47</v>
      </c>
      <c r="J962" s="74" t="s">
        <v>9351</v>
      </c>
      <c r="K962" s="74" t="s">
        <v>11513</v>
      </c>
      <c r="L962" s="74" t="s">
        <v>370</v>
      </c>
    </row>
    <row r="963" spans="1:12" ht="55.2">
      <c r="A963" s="73">
        <v>962</v>
      </c>
      <c r="B963" s="74" t="s">
        <v>11514</v>
      </c>
      <c r="C963" s="74" t="s">
        <v>11515</v>
      </c>
      <c r="D963" s="74" t="s">
        <v>41</v>
      </c>
      <c r="E963" s="74" t="s">
        <v>9344</v>
      </c>
      <c r="F963" s="74" t="s">
        <v>9345</v>
      </c>
      <c r="G963" s="74" t="s">
        <v>9410</v>
      </c>
      <c r="H963" s="74" t="s">
        <v>130</v>
      </c>
      <c r="I963" s="74" t="s">
        <v>47</v>
      </c>
      <c r="J963" s="74" t="s">
        <v>9347</v>
      </c>
      <c r="K963" s="74"/>
      <c r="L963" s="74"/>
    </row>
    <row r="964" spans="1:12" ht="41.4">
      <c r="A964" s="73">
        <v>963</v>
      </c>
      <c r="B964" s="74" t="s">
        <v>11516</v>
      </c>
      <c r="C964" s="74" t="s">
        <v>11517</v>
      </c>
      <c r="D964" s="74" t="s">
        <v>153</v>
      </c>
      <c r="E964" s="74" t="s">
        <v>9344</v>
      </c>
      <c r="F964" s="74" t="s">
        <v>9345</v>
      </c>
      <c r="G964" s="74" t="s">
        <v>10124</v>
      </c>
      <c r="H964" s="74" t="s">
        <v>155</v>
      </c>
      <c r="I964" s="74" t="s">
        <v>47</v>
      </c>
      <c r="J964" s="74" t="s">
        <v>9347</v>
      </c>
      <c r="K964" s="74"/>
      <c r="L964" s="74"/>
    </row>
    <row r="965" spans="1:12" ht="41.4">
      <c r="A965" s="73">
        <v>964</v>
      </c>
      <c r="B965" s="74" t="s">
        <v>11518</v>
      </c>
      <c r="C965" s="74" t="s">
        <v>11519</v>
      </c>
      <c r="D965" s="74" t="s">
        <v>295</v>
      </c>
      <c r="E965" s="74" t="s">
        <v>9344</v>
      </c>
      <c r="F965" s="74" t="s">
        <v>9345</v>
      </c>
      <c r="G965" s="74" t="s">
        <v>9584</v>
      </c>
      <c r="H965" s="74" t="s">
        <v>297</v>
      </c>
      <c r="I965" s="74" t="s">
        <v>47</v>
      </c>
      <c r="J965" s="74" t="s">
        <v>9347</v>
      </c>
      <c r="K965" s="74"/>
      <c r="L965" s="74"/>
    </row>
    <row r="966" spans="1:12" ht="41.4">
      <c r="A966" s="73">
        <v>965</v>
      </c>
      <c r="B966" s="74" t="s">
        <v>11520</v>
      </c>
      <c r="C966" s="74" t="s">
        <v>11521</v>
      </c>
      <c r="D966" s="74" t="s">
        <v>41</v>
      </c>
      <c r="E966" s="74" t="s">
        <v>9344</v>
      </c>
      <c r="F966" s="74" t="s">
        <v>9345</v>
      </c>
      <c r="G966" s="74" t="s">
        <v>9392</v>
      </c>
      <c r="H966" s="74" t="s">
        <v>200</v>
      </c>
      <c r="I966" s="74" t="s">
        <v>47</v>
      </c>
      <c r="J966" s="74" t="s">
        <v>9347</v>
      </c>
      <c r="K966" s="74" t="s">
        <v>11522</v>
      </c>
      <c r="L966" s="74" t="s">
        <v>1266</v>
      </c>
    </row>
    <row r="967" spans="1:12" ht="41.4">
      <c r="A967" s="73">
        <v>966</v>
      </c>
      <c r="B967" s="74" t="s">
        <v>11523</v>
      </c>
      <c r="C967" s="74" t="s">
        <v>11524</v>
      </c>
      <c r="D967" s="74" t="s">
        <v>41</v>
      </c>
      <c r="E967" s="74" t="s">
        <v>9344</v>
      </c>
      <c r="F967" s="74" t="s">
        <v>9345</v>
      </c>
      <c r="G967" s="74" t="s">
        <v>9405</v>
      </c>
      <c r="H967" s="74" t="s">
        <v>662</v>
      </c>
      <c r="I967" s="74" t="s">
        <v>47</v>
      </c>
      <c r="J967" s="74" t="s">
        <v>9347</v>
      </c>
      <c r="K967" s="74" t="s">
        <v>11525</v>
      </c>
      <c r="L967" s="74" t="s">
        <v>3561</v>
      </c>
    </row>
    <row r="968" spans="1:12" ht="55.2">
      <c r="A968" s="73">
        <v>967</v>
      </c>
      <c r="B968" s="74" t="s">
        <v>11526</v>
      </c>
      <c r="C968" s="74" t="s">
        <v>11527</v>
      </c>
      <c r="D968" s="74" t="s">
        <v>41</v>
      </c>
      <c r="E968" s="74" t="s">
        <v>9344</v>
      </c>
      <c r="F968" s="74" t="s">
        <v>9345</v>
      </c>
      <c r="G968" s="74" t="s">
        <v>9757</v>
      </c>
      <c r="H968" s="74" t="s">
        <v>200</v>
      </c>
      <c r="I968" s="74" t="s">
        <v>47</v>
      </c>
      <c r="J968" s="74" t="s">
        <v>9347</v>
      </c>
      <c r="K968" s="74"/>
      <c r="L968" s="74"/>
    </row>
    <row r="969" spans="1:12" ht="41.4">
      <c r="A969" s="73">
        <v>968</v>
      </c>
      <c r="B969" s="74" t="s">
        <v>11528</v>
      </c>
      <c r="C969" s="74" t="s">
        <v>11529</v>
      </c>
      <c r="D969" s="74" t="s">
        <v>41</v>
      </c>
      <c r="E969" s="74" t="s">
        <v>9344</v>
      </c>
      <c r="F969" s="74" t="s">
        <v>9345</v>
      </c>
      <c r="G969" s="74" t="s">
        <v>9796</v>
      </c>
      <c r="H969" s="74" t="s">
        <v>200</v>
      </c>
      <c r="I969" s="74" t="s">
        <v>47</v>
      </c>
      <c r="J969" s="74" t="s">
        <v>9347</v>
      </c>
      <c r="K969" s="74" t="s">
        <v>11530</v>
      </c>
      <c r="L969" s="74" t="s">
        <v>1266</v>
      </c>
    </row>
    <row r="970" spans="1:12" ht="69">
      <c r="A970" s="73">
        <v>969</v>
      </c>
      <c r="B970" s="74" t="s">
        <v>11531</v>
      </c>
      <c r="C970" s="74" t="s">
        <v>11532</v>
      </c>
      <c r="D970" s="74" t="s">
        <v>89</v>
      </c>
      <c r="E970" s="74" t="s">
        <v>9344</v>
      </c>
      <c r="F970" s="74" t="s">
        <v>9345</v>
      </c>
      <c r="G970" s="74" t="s">
        <v>9528</v>
      </c>
      <c r="H970" s="74" t="s">
        <v>91</v>
      </c>
      <c r="I970" s="74" t="s">
        <v>110</v>
      </c>
      <c r="J970" s="74" t="s">
        <v>9347</v>
      </c>
      <c r="K970" s="74" t="s">
        <v>11533</v>
      </c>
      <c r="L970" s="74" t="s">
        <v>251</v>
      </c>
    </row>
    <row r="971" spans="1:12" ht="69">
      <c r="A971" s="73">
        <v>970</v>
      </c>
      <c r="B971" s="74" t="s">
        <v>11534</v>
      </c>
      <c r="C971" s="74" t="s">
        <v>11535</v>
      </c>
      <c r="D971" s="74" t="s">
        <v>89</v>
      </c>
      <c r="E971" s="74" t="s">
        <v>9344</v>
      </c>
      <c r="F971" s="74" t="s">
        <v>9345</v>
      </c>
      <c r="G971" s="74" t="s">
        <v>9682</v>
      </c>
      <c r="H971" s="74" t="s">
        <v>91</v>
      </c>
      <c r="I971" s="74" t="s">
        <v>110</v>
      </c>
      <c r="J971" s="74" t="s">
        <v>9347</v>
      </c>
      <c r="K971" s="74" t="s">
        <v>11536</v>
      </c>
      <c r="L971" s="74" t="s">
        <v>251</v>
      </c>
    </row>
    <row r="972" spans="1:12" ht="55.2">
      <c r="A972" s="73">
        <v>971</v>
      </c>
      <c r="B972" s="74" t="s">
        <v>11537</v>
      </c>
      <c r="C972" s="74" t="s">
        <v>9245</v>
      </c>
      <c r="D972" s="74" t="s">
        <v>89</v>
      </c>
      <c r="E972" s="74" t="s">
        <v>9344</v>
      </c>
      <c r="F972" s="74" t="s">
        <v>9345</v>
      </c>
      <c r="G972" s="74" t="s">
        <v>9358</v>
      </c>
      <c r="H972" s="74" t="s">
        <v>102</v>
      </c>
      <c r="I972" s="74" t="s">
        <v>110</v>
      </c>
      <c r="J972" s="74" t="s">
        <v>9347</v>
      </c>
      <c r="K972" s="74" t="s">
        <v>11538</v>
      </c>
      <c r="L972" s="74" t="s">
        <v>251</v>
      </c>
    </row>
    <row r="973" spans="1:12" ht="41.4">
      <c r="A973" s="73">
        <v>972</v>
      </c>
      <c r="B973" s="74" t="s">
        <v>11539</v>
      </c>
      <c r="C973" s="74" t="s">
        <v>11540</v>
      </c>
      <c r="D973" s="74" t="s">
        <v>89</v>
      </c>
      <c r="E973" s="74" t="s">
        <v>9344</v>
      </c>
      <c r="F973" s="74" t="s">
        <v>9345</v>
      </c>
      <c r="G973" s="74" t="s">
        <v>9358</v>
      </c>
      <c r="H973" s="74" t="s">
        <v>102</v>
      </c>
      <c r="I973" s="74" t="s">
        <v>110</v>
      </c>
      <c r="J973" s="74" t="s">
        <v>9347</v>
      </c>
      <c r="K973" s="74" t="s">
        <v>11541</v>
      </c>
      <c r="L973" s="74" t="s">
        <v>251</v>
      </c>
    </row>
    <row r="974" spans="1:12" ht="55.2">
      <c r="A974" s="73">
        <v>973</v>
      </c>
      <c r="B974" s="74" t="s">
        <v>11542</v>
      </c>
      <c r="C974" s="74" t="s">
        <v>11543</v>
      </c>
      <c r="D974" s="74" t="s">
        <v>41</v>
      </c>
      <c r="E974" s="74" t="s">
        <v>9344</v>
      </c>
      <c r="F974" s="74" t="s">
        <v>9345</v>
      </c>
      <c r="G974" s="74" t="s">
        <v>9776</v>
      </c>
      <c r="H974" s="74" t="s">
        <v>200</v>
      </c>
      <c r="I974" s="74" t="s">
        <v>47</v>
      </c>
      <c r="J974" s="74" t="s">
        <v>9347</v>
      </c>
      <c r="K974" s="74" t="s">
        <v>11544</v>
      </c>
      <c r="L974" s="74" t="s">
        <v>3561</v>
      </c>
    </row>
    <row r="975" spans="1:12" ht="69">
      <c r="A975" s="73">
        <v>974</v>
      </c>
      <c r="B975" s="74" t="s">
        <v>11545</v>
      </c>
      <c r="C975" s="74" t="s">
        <v>11546</v>
      </c>
      <c r="D975" s="74" t="s">
        <v>89</v>
      </c>
      <c r="E975" s="74" t="s">
        <v>9344</v>
      </c>
      <c r="F975" s="74" t="s">
        <v>9345</v>
      </c>
      <c r="G975" s="74" t="s">
        <v>9528</v>
      </c>
      <c r="H975" s="74" t="s">
        <v>91</v>
      </c>
      <c r="I975" s="74" t="s">
        <v>110</v>
      </c>
      <c r="J975" s="74" t="s">
        <v>9347</v>
      </c>
      <c r="K975" s="74" t="s">
        <v>11547</v>
      </c>
      <c r="L975" s="74" t="s">
        <v>251</v>
      </c>
    </row>
    <row r="976" spans="1:12" ht="55.2">
      <c r="A976" s="73">
        <v>975</v>
      </c>
      <c r="B976" s="74" t="s">
        <v>11548</v>
      </c>
      <c r="C976" s="74" t="s">
        <v>11549</v>
      </c>
      <c r="D976" s="74" t="s">
        <v>89</v>
      </c>
      <c r="E976" s="74" t="s">
        <v>9344</v>
      </c>
      <c r="F976" s="74" t="s">
        <v>9345</v>
      </c>
      <c r="G976" s="74" t="s">
        <v>9358</v>
      </c>
      <c r="H976" s="74" t="s">
        <v>102</v>
      </c>
      <c r="I976" s="74" t="s">
        <v>110</v>
      </c>
      <c r="J976" s="74" t="s">
        <v>9347</v>
      </c>
      <c r="K976" s="74" t="s">
        <v>11550</v>
      </c>
      <c r="L976" s="74" t="s">
        <v>251</v>
      </c>
    </row>
    <row r="977" spans="1:12" ht="69">
      <c r="A977" s="73">
        <v>976</v>
      </c>
      <c r="B977" s="74" t="s">
        <v>11551</v>
      </c>
      <c r="C977" s="74" t="s">
        <v>3614</v>
      </c>
      <c r="D977" s="74" t="s">
        <v>89</v>
      </c>
      <c r="E977" s="74" t="s">
        <v>9344</v>
      </c>
      <c r="F977" s="74" t="s">
        <v>9345</v>
      </c>
      <c r="G977" s="74" t="s">
        <v>9528</v>
      </c>
      <c r="H977" s="74" t="s">
        <v>91</v>
      </c>
      <c r="I977" s="74" t="s">
        <v>110</v>
      </c>
      <c r="J977" s="74" t="s">
        <v>9347</v>
      </c>
      <c r="K977" s="74" t="s">
        <v>11552</v>
      </c>
      <c r="L977" s="74" t="s">
        <v>251</v>
      </c>
    </row>
    <row r="978" spans="1:12" ht="82.8">
      <c r="A978" s="73">
        <v>977</v>
      </c>
      <c r="B978" s="74" t="s">
        <v>11553</v>
      </c>
      <c r="C978" s="74" t="s">
        <v>11554</v>
      </c>
      <c r="D978" s="74" t="s">
        <v>89</v>
      </c>
      <c r="E978" s="74" t="s">
        <v>9344</v>
      </c>
      <c r="F978" s="74" t="s">
        <v>9345</v>
      </c>
      <c r="G978" s="74" t="s">
        <v>9358</v>
      </c>
      <c r="H978" s="74" t="s">
        <v>102</v>
      </c>
      <c r="I978" s="74" t="s">
        <v>110</v>
      </c>
      <c r="J978" s="74" t="s">
        <v>9347</v>
      </c>
      <c r="K978" s="74" t="s">
        <v>11555</v>
      </c>
      <c r="L978" s="74" t="s">
        <v>251</v>
      </c>
    </row>
    <row r="979" spans="1:12" ht="55.2">
      <c r="A979" s="73">
        <v>978</v>
      </c>
      <c r="B979" s="74" t="s">
        <v>11556</v>
      </c>
      <c r="C979" s="74" t="s">
        <v>9142</v>
      </c>
      <c r="D979" s="74" t="s">
        <v>143</v>
      </c>
      <c r="E979" s="74" t="s">
        <v>9344</v>
      </c>
      <c r="F979" s="74" t="s">
        <v>9345</v>
      </c>
      <c r="G979" s="74" t="s">
        <v>9361</v>
      </c>
      <c r="H979" s="74" t="s">
        <v>327</v>
      </c>
      <c r="I979" s="74" t="s">
        <v>110</v>
      </c>
      <c r="J979" s="74" t="s">
        <v>9347</v>
      </c>
      <c r="K979" s="74" t="s">
        <v>11557</v>
      </c>
      <c r="L979" s="74" t="s">
        <v>370</v>
      </c>
    </row>
    <row r="980" spans="1:12" ht="41.4">
      <c r="A980" s="73">
        <v>979</v>
      </c>
      <c r="B980" s="74" t="s">
        <v>11558</v>
      </c>
      <c r="C980" s="74" t="s">
        <v>11559</v>
      </c>
      <c r="D980" s="74" t="s">
        <v>153</v>
      </c>
      <c r="E980" s="74" t="s">
        <v>9344</v>
      </c>
      <c r="F980" s="74" t="s">
        <v>9345</v>
      </c>
      <c r="G980" s="74" t="s">
        <v>9836</v>
      </c>
      <c r="H980" s="74" t="s">
        <v>155</v>
      </c>
      <c r="I980" s="74" t="s">
        <v>47</v>
      </c>
      <c r="J980" s="74" t="s">
        <v>9347</v>
      </c>
      <c r="K980" s="74" t="s">
        <v>11560</v>
      </c>
      <c r="L980" s="74" t="s">
        <v>3561</v>
      </c>
    </row>
    <row r="981" spans="1:12" ht="41.4">
      <c r="A981" s="73">
        <v>980</v>
      </c>
      <c r="B981" s="74" t="s">
        <v>11561</v>
      </c>
      <c r="C981" s="74" t="s">
        <v>11562</v>
      </c>
      <c r="D981" s="74" t="s">
        <v>295</v>
      </c>
      <c r="E981" s="74" t="s">
        <v>9344</v>
      </c>
      <c r="F981" s="74" t="s">
        <v>9345</v>
      </c>
      <c r="G981" s="74" t="s">
        <v>9346</v>
      </c>
      <c r="H981" s="74" t="s">
        <v>297</v>
      </c>
      <c r="I981" s="74" t="s">
        <v>47</v>
      </c>
      <c r="J981" s="74" t="s">
        <v>9347</v>
      </c>
      <c r="K981" s="74" t="s">
        <v>11563</v>
      </c>
      <c r="L981" s="74" t="s">
        <v>318</v>
      </c>
    </row>
    <row r="982" spans="1:12" ht="55.2">
      <c r="A982" s="73">
        <v>981</v>
      </c>
      <c r="B982" s="74" t="s">
        <v>11564</v>
      </c>
      <c r="C982" s="74" t="s">
        <v>11565</v>
      </c>
      <c r="D982" s="74" t="s">
        <v>41</v>
      </c>
      <c r="E982" s="74" t="s">
        <v>9344</v>
      </c>
      <c r="F982" s="74" t="s">
        <v>9345</v>
      </c>
      <c r="G982" s="74" t="s">
        <v>9392</v>
      </c>
      <c r="H982" s="74" t="s">
        <v>200</v>
      </c>
      <c r="I982" s="74" t="s">
        <v>47</v>
      </c>
      <c r="J982" s="74" t="s">
        <v>9347</v>
      </c>
      <c r="K982" s="74" t="s">
        <v>11566</v>
      </c>
      <c r="L982" s="74" t="s">
        <v>891</v>
      </c>
    </row>
    <row r="983" spans="1:12" ht="41.4">
      <c r="A983" s="73">
        <v>982</v>
      </c>
      <c r="B983" s="74" t="s">
        <v>11567</v>
      </c>
      <c r="C983" s="74" t="s">
        <v>11568</v>
      </c>
      <c r="D983" s="74" t="s">
        <v>153</v>
      </c>
      <c r="E983" s="74" t="s">
        <v>9344</v>
      </c>
      <c r="F983" s="74" t="s">
        <v>9345</v>
      </c>
      <c r="G983" s="74" t="s">
        <v>9753</v>
      </c>
      <c r="H983" s="74" t="s">
        <v>155</v>
      </c>
      <c r="I983" s="74" t="s">
        <v>47</v>
      </c>
      <c r="J983" s="74" t="s">
        <v>9347</v>
      </c>
      <c r="K983" s="74" t="s">
        <v>11569</v>
      </c>
      <c r="L983" s="74" t="s">
        <v>1266</v>
      </c>
    </row>
    <row r="984" spans="1:12" ht="55.2">
      <c r="A984" s="73">
        <v>983</v>
      </c>
      <c r="B984" s="74" t="s">
        <v>11570</v>
      </c>
      <c r="C984" s="74" t="s">
        <v>11571</v>
      </c>
      <c r="D984" s="74" t="s">
        <v>41</v>
      </c>
      <c r="E984" s="74" t="s">
        <v>9344</v>
      </c>
      <c r="F984" s="74" t="s">
        <v>9345</v>
      </c>
      <c r="G984" s="74" t="s">
        <v>9761</v>
      </c>
      <c r="H984" s="74" t="s">
        <v>479</v>
      </c>
      <c r="I984" s="74" t="s">
        <v>47</v>
      </c>
      <c r="J984" s="74" t="s">
        <v>9351</v>
      </c>
      <c r="K984" s="74" t="s">
        <v>11572</v>
      </c>
      <c r="L984" s="74" t="s">
        <v>1266</v>
      </c>
    </row>
    <row r="985" spans="1:12" ht="69">
      <c r="A985" s="73">
        <v>984</v>
      </c>
      <c r="B985" s="74" t="s">
        <v>11573</v>
      </c>
      <c r="C985" s="74" t="s">
        <v>7854</v>
      </c>
      <c r="D985" s="74" t="s">
        <v>41</v>
      </c>
      <c r="E985" s="74" t="s">
        <v>9344</v>
      </c>
      <c r="F985" s="74" t="s">
        <v>9345</v>
      </c>
      <c r="G985" s="74" t="s">
        <v>9385</v>
      </c>
      <c r="H985" s="74" t="s">
        <v>46</v>
      </c>
      <c r="I985" s="74" t="s">
        <v>47</v>
      </c>
      <c r="J985" s="74" t="s">
        <v>9351</v>
      </c>
      <c r="K985" s="74"/>
      <c r="L985" s="74"/>
    </row>
    <row r="986" spans="1:12" ht="55.2">
      <c r="A986" s="73">
        <v>985</v>
      </c>
      <c r="B986" s="74" t="s">
        <v>11574</v>
      </c>
      <c r="C986" s="74" t="s">
        <v>11575</v>
      </c>
      <c r="D986" s="74" t="s">
        <v>41</v>
      </c>
      <c r="E986" s="74" t="s">
        <v>9344</v>
      </c>
      <c r="F986" s="74" t="s">
        <v>9345</v>
      </c>
      <c r="G986" s="74" t="s">
        <v>9500</v>
      </c>
      <c r="H986" s="74" t="s">
        <v>200</v>
      </c>
      <c r="I986" s="74" t="s">
        <v>47</v>
      </c>
      <c r="J986" s="74" t="s">
        <v>9347</v>
      </c>
      <c r="K986" s="74" t="s">
        <v>11576</v>
      </c>
      <c r="L986" s="74" t="s">
        <v>3207</v>
      </c>
    </row>
    <row r="987" spans="1:12" ht="41.4">
      <c r="A987" s="73">
        <v>986</v>
      </c>
      <c r="B987" s="74" t="s">
        <v>11577</v>
      </c>
      <c r="C987" s="74" t="s">
        <v>6143</v>
      </c>
      <c r="D987" s="74" t="s">
        <v>41</v>
      </c>
      <c r="E987" s="74" t="s">
        <v>9344</v>
      </c>
      <c r="F987" s="74" t="s">
        <v>9345</v>
      </c>
      <c r="G987" s="74" t="s">
        <v>9591</v>
      </c>
      <c r="H987" s="74" t="s">
        <v>130</v>
      </c>
      <c r="I987" s="74" t="s">
        <v>47</v>
      </c>
      <c r="J987" s="74" t="s">
        <v>9347</v>
      </c>
      <c r="K987" s="74"/>
      <c r="L987" s="74"/>
    </row>
    <row r="988" spans="1:12" ht="55.2">
      <c r="A988" s="73">
        <v>987</v>
      </c>
      <c r="B988" s="74" t="s">
        <v>11578</v>
      </c>
      <c r="C988" s="74" t="s">
        <v>11579</v>
      </c>
      <c r="D988" s="74" t="s">
        <v>295</v>
      </c>
      <c r="E988" s="74" t="s">
        <v>9344</v>
      </c>
      <c r="F988" s="74" t="s">
        <v>9345</v>
      </c>
      <c r="G988" s="74" t="s">
        <v>9478</v>
      </c>
      <c r="H988" s="74" t="s">
        <v>407</v>
      </c>
      <c r="I988" s="74" t="s">
        <v>47</v>
      </c>
      <c r="J988" s="74" t="s">
        <v>9347</v>
      </c>
      <c r="K988" s="74"/>
      <c r="L988" s="74"/>
    </row>
    <row r="989" spans="1:12" ht="41.4">
      <c r="A989" s="73">
        <v>988</v>
      </c>
      <c r="B989" s="74" t="s">
        <v>11580</v>
      </c>
      <c r="C989" s="74" t="s">
        <v>11581</v>
      </c>
      <c r="D989" s="74" t="s">
        <v>41</v>
      </c>
      <c r="E989" s="74" t="s">
        <v>9344</v>
      </c>
      <c r="F989" s="74" t="s">
        <v>9345</v>
      </c>
      <c r="G989" s="74" t="s">
        <v>9776</v>
      </c>
      <c r="H989" s="74" t="s">
        <v>200</v>
      </c>
      <c r="I989" s="74" t="s">
        <v>47</v>
      </c>
      <c r="J989" s="74" t="s">
        <v>9347</v>
      </c>
      <c r="K989" s="74" t="s">
        <v>11582</v>
      </c>
      <c r="L989" s="74" t="s">
        <v>1266</v>
      </c>
    </row>
    <row r="990" spans="1:12" ht="55.2">
      <c r="A990" s="73">
        <v>989</v>
      </c>
      <c r="B990" s="74" t="s">
        <v>11583</v>
      </c>
      <c r="C990" s="74" t="s">
        <v>5885</v>
      </c>
      <c r="D990" s="74" t="s">
        <v>41</v>
      </c>
      <c r="E990" s="74" t="s">
        <v>9344</v>
      </c>
      <c r="F990" s="74" t="s">
        <v>9345</v>
      </c>
      <c r="G990" s="74" t="s">
        <v>9776</v>
      </c>
      <c r="H990" s="74" t="s">
        <v>200</v>
      </c>
      <c r="I990" s="74" t="s">
        <v>47</v>
      </c>
      <c r="J990" s="74" t="s">
        <v>9347</v>
      </c>
      <c r="K990" s="74"/>
      <c r="L990" s="74"/>
    </row>
    <row r="991" spans="1:12" ht="41.4">
      <c r="A991" s="73">
        <v>990</v>
      </c>
      <c r="B991" s="74" t="s">
        <v>11584</v>
      </c>
      <c r="C991" s="74" t="s">
        <v>11585</v>
      </c>
      <c r="D991" s="74" t="s">
        <v>295</v>
      </c>
      <c r="E991" s="74" t="s">
        <v>9344</v>
      </c>
      <c r="F991" s="74" t="s">
        <v>9345</v>
      </c>
      <c r="G991" s="74" t="s">
        <v>9864</v>
      </c>
      <c r="H991" s="74" t="s">
        <v>9865</v>
      </c>
      <c r="I991" s="74" t="s">
        <v>47</v>
      </c>
      <c r="J991" s="74" t="s">
        <v>9347</v>
      </c>
      <c r="K991" s="74"/>
      <c r="L991" s="74"/>
    </row>
    <row r="992" spans="1:12" ht="41.4">
      <c r="A992" s="73">
        <v>991</v>
      </c>
      <c r="B992" s="74" t="s">
        <v>11586</v>
      </c>
      <c r="C992" s="74" t="s">
        <v>11587</v>
      </c>
      <c r="D992" s="74" t="s">
        <v>41</v>
      </c>
      <c r="E992" s="74" t="s">
        <v>9344</v>
      </c>
      <c r="F992" s="74" t="s">
        <v>9345</v>
      </c>
      <c r="G992" s="74" t="s">
        <v>9451</v>
      </c>
      <c r="H992" s="74" t="s">
        <v>130</v>
      </c>
      <c r="I992" s="74" t="s">
        <v>47</v>
      </c>
      <c r="J992" s="74" t="s">
        <v>9347</v>
      </c>
      <c r="K992" s="74"/>
      <c r="L992" s="74"/>
    </row>
    <row r="993" spans="1:12" ht="41.4">
      <c r="A993" s="73">
        <v>992</v>
      </c>
      <c r="B993" s="74" t="s">
        <v>11588</v>
      </c>
      <c r="C993" s="74" t="s">
        <v>11589</v>
      </c>
      <c r="D993" s="74" t="s">
        <v>153</v>
      </c>
      <c r="E993" s="74" t="s">
        <v>9344</v>
      </c>
      <c r="F993" s="74" t="s">
        <v>9345</v>
      </c>
      <c r="G993" s="74" t="s">
        <v>9763</v>
      </c>
      <c r="H993" s="74" t="s">
        <v>155</v>
      </c>
      <c r="I993" s="74" t="s">
        <v>47</v>
      </c>
      <c r="J993" s="74" t="s">
        <v>9347</v>
      </c>
      <c r="K993" s="74"/>
      <c r="L993" s="74"/>
    </row>
    <row r="994" spans="1:12" ht="41.4">
      <c r="A994" s="73">
        <v>993</v>
      </c>
      <c r="B994" s="74" t="s">
        <v>11590</v>
      </c>
      <c r="C994" s="74" t="s">
        <v>1903</v>
      </c>
      <c r="D994" s="74" t="s">
        <v>295</v>
      </c>
      <c r="E994" s="74" t="s">
        <v>9344</v>
      </c>
      <c r="F994" s="74" t="s">
        <v>9345</v>
      </c>
      <c r="G994" s="74" t="s">
        <v>9489</v>
      </c>
      <c r="H994" s="74" t="s">
        <v>407</v>
      </c>
      <c r="I994" s="74" t="s">
        <v>47</v>
      </c>
      <c r="J994" s="74" t="s">
        <v>9347</v>
      </c>
      <c r="K994" s="74" t="s">
        <v>11591</v>
      </c>
      <c r="L994" s="74" t="s">
        <v>318</v>
      </c>
    </row>
    <row r="995" spans="1:12" ht="41.4">
      <c r="A995" s="73">
        <v>994</v>
      </c>
      <c r="B995" s="74" t="s">
        <v>11592</v>
      </c>
      <c r="C995" s="74" t="s">
        <v>11593</v>
      </c>
      <c r="D995" s="74" t="s">
        <v>41</v>
      </c>
      <c r="E995" s="74" t="s">
        <v>9344</v>
      </c>
      <c r="F995" s="74" t="s">
        <v>9345</v>
      </c>
      <c r="G995" s="74" t="s">
        <v>9410</v>
      </c>
      <c r="H995" s="74" t="s">
        <v>130</v>
      </c>
      <c r="I995" s="74" t="s">
        <v>47</v>
      </c>
      <c r="J995" s="74" t="s">
        <v>9347</v>
      </c>
      <c r="K995" s="74" t="s">
        <v>11594</v>
      </c>
      <c r="L995" s="74" t="s">
        <v>318</v>
      </c>
    </row>
    <row r="996" spans="1:12" ht="41.4">
      <c r="A996" s="73">
        <v>995</v>
      </c>
      <c r="B996" s="74" t="s">
        <v>11595</v>
      </c>
      <c r="C996" s="74" t="s">
        <v>11596</v>
      </c>
      <c r="D996" s="74" t="s">
        <v>41</v>
      </c>
      <c r="E996" s="74" t="s">
        <v>9344</v>
      </c>
      <c r="F996" s="74" t="s">
        <v>9345</v>
      </c>
      <c r="G996" s="74" t="s">
        <v>9350</v>
      </c>
      <c r="H996" s="74" t="s">
        <v>662</v>
      </c>
      <c r="I996" s="74" t="s">
        <v>47</v>
      </c>
      <c r="J996" s="74" t="s">
        <v>9347</v>
      </c>
      <c r="K996" s="74" t="s">
        <v>11597</v>
      </c>
      <c r="L996" s="74" t="s">
        <v>331</v>
      </c>
    </row>
    <row r="997" spans="1:12" ht="55.2">
      <c r="A997" s="73">
        <v>996</v>
      </c>
      <c r="B997" s="74" t="s">
        <v>11598</v>
      </c>
      <c r="C997" s="74" t="s">
        <v>11599</v>
      </c>
      <c r="D997" s="74" t="s">
        <v>41</v>
      </c>
      <c r="E997" s="74" t="s">
        <v>9344</v>
      </c>
      <c r="F997" s="74" t="s">
        <v>9345</v>
      </c>
      <c r="G997" s="74" t="s">
        <v>9761</v>
      </c>
      <c r="H997" s="74" t="s">
        <v>479</v>
      </c>
      <c r="I997" s="74" t="s">
        <v>47</v>
      </c>
      <c r="J997" s="74" t="s">
        <v>9347</v>
      </c>
      <c r="K997" s="74" t="s">
        <v>11600</v>
      </c>
      <c r="L997" s="74" t="s">
        <v>891</v>
      </c>
    </row>
    <row r="998" spans="1:12" ht="41.4">
      <c r="A998" s="73">
        <v>997</v>
      </c>
      <c r="B998" s="74" t="s">
        <v>11601</v>
      </c>
      <c r="C998" s="74" t="s">
        <v>11602</v>
      </c>
      <c r="D998" s="74" t="s">
        <v>153</v>
      </c>
      <c r="E998" s="74" t="s">
        <v>9344</v>
      </c>
      <c r="F998" s="74" t="s">
        <v>9345</v>
      </c>
      <c r="G998" s="74" t="s">
        <v>9526</v>
      </c>
      <c r="H998" s="74" t="s">
        <v>155</v>
      </c>
      <c r="I998" s="74" t="s">
        <v>47</v>
      </c>
      <c r="J998" s="74" t="s">
        <v>9347</v>
      </c>
      <c r="K998" s="74"/>
      <c r="L998" s="74"/>
    </row>
    <row r="999" spans="1:12" ht="69">
      <c r="A999" s="73">
        <v>998</v>
      </c>
      <c r="B999" s="74" t="s">
        <v>11603</v>
      </c>
      <c r="C999" s="74" t="s">
        <v>11604</v>
      </c>
      <c r="D999" s="74" t="s">
        <v>41</v>
      </c>
      <c r="E999" s="74" t="s">
        <v>9344</v>
      </c>
      <c r="F999" s="74" t="s">
        <v>9345</v>
      </c>
      <c r="G999" s="74" t="s">
        <v>9793</v>
      </c>
      <c r="H999" s="74" t="s">
        <v>46</v>
      </c>
      <c r="I999" s="74" t="s">
        <v>47</v>
      </c>
      <c r="J999" s="74" t="s">
        <v>9347</v>
      </c>
      <c r="K999" s="74"/>
      <c r="L999" s="74"/>
    </row>
    <row r="1000" spans="1:12" ht="41.4">
      <c r="A1000" s="73">
        <v>999</v>
      </c>
      <c r="B1000" s="74" t="s">
        <v>11605</v>
      </c>
      <c r="C1000" s="74" t="s">
        <v>11606</v>
      </c>
      <c r="D1000" s="74" t="s">
        <v>41</v>
      </c>
      <c r="E1000" s="74" t="s">
        <v>9344</v>
      </c>
      <c r="F1000" s="74" t="s">
        <v>9345</v>
      </c>
      <c r="G1000" s="74" t="s">
        <v>9591</v>
      </c>
      <c r="H1000" s="74" t="s">
        <v>130</v>
      </c>
      <c r="I1000" s="74" t="s">
        <v>47</v>
      </c>
      <c r="J1000" s="74" t="s">
        <v>9347</v>
      </c>
      <c r="K1000" s="74" t="s">
        <v>11607</v>
      </c>
      <c r="L1000" s="74" t="s">
        <v>318</v>
      </c>
    </row>
    <row r="1001" spans="1:12" ht="41.4">
      <c r="A1001" s="73">
        <v>1000</v>
      </c>
      <c r="B1001" s="74" t="s">
        <v>11608</v>
      </c>
      <c r="C1001" s="74" t="s">
        <v>11609</v>
      </c>
      <c r="D1001" s="74" t="s">
        <v>295</v>
      </c>
      <c r="E1001" s="74" t="s">
        <v>9344</v>
      </c>
      <c r="F1001" s="74" t="s">
        <v>9345</v>
      </c>
      <c r="G1001" s="74" t="s">
        <v>9708</v>
      </c>
      <c r="H1001" s="74" t="s">
        <v>407</v>
      </c>
      <c r="I1001" s="74" t="s">
        <v>47</v>
      </c>
      <c r="J1001" s="74" t="s">
        <v>9347</v>
      </c>
      <c r="K1001" s="74" t="s">
        <v>11610</v>
      </c>
      <c r="L1001" s="74" t="s">
        <v>318</v>
      </c>
    </row>
    <row r="1002" spans="1:12" ht="55.2">
      <c r="A1002" s="73">
        <v>1001</v>
      </c>
      <c r="B1002" s="74" t="s">
        <v>11611</v>
      </c>
      <c r="C1002" s="74" t="s">
        <v>11612</v>
      </c>
      <c r="D1002" s="74" t="s">
        <v>41</v>
      </c>
      <c r="E1002" s="74" t="s">
        <v>9344</v>
      </c>
      <c r="F1002" s="74" t="s">
        <v>9345</v>
      </c>
      <c r="G1002" s="74" t="s">
        <v>9757</v>
      </c>
      <c r="H1002" s="74" t="s">
        <v>200</v>
      </c>
      <c r="I1002" s="74" t="s">
        <v>47</v>
      </c>
      <c r="J1002" s="74" t="s">
        <v>9347</v>
      </c>
      <c r="K1002" s="74"/>
      <c r="L1002" s="74"/>
    </row>
    <row r="1003" spans="1:12" ht="55.2">
      <c r="A1003" s="73">
        <v>1002</v>
      </c>
      <c r="B1003" s="74" t="s">
        <v>11613</v>
      </c>
      <c r="C1003" s="74" t="s">
        <v>11614</v>
      </c>
      <c r="D1003" s="74" t="s">
        <v>41</v>
      </c>
      <c r="E1003" s="74" t="s">
        <v>9344</v>
      </c>
      <c r="F1003" s="74" t="s">
        <v>9345</v>
      </c>
      <c r="G1003" s="74" t="s">
        <v>9757</v>
      </c>
      <c r="H1003" s="74" t="s">
        <v>200</v>
      </c>
      <c r="I1003" s="74" t="s">
        <v>47</v>
      </c>
      <c r="J1003" s="74" t="s">
        <v>9347</v>
      </c>
      <c r="K1003" s="74"/>
      <c r="L1003" s="74"/>
    </row>
    <row r="1004" spans="1:12" ht="41.4">
      <c r="A1004" s="73">
        <v>1003</v>
      </c>
      <c r="B1004" s="74" t="s">
        <v>11615</v>
      </c>
      <c r="C1004" s="74" t="s">
        <v>11616</v>
      </c>
      <c r="D1004" s="74" t="s">
        <v>41</v>
      </c>
      <c r="E1004" s="74" t="s">
        <v>9344</v>
      </c>
      <c r="F1004" s="74" t="s">
        <v>9345</v>
      </c>
      <c r="G1004" s="74" t="s">
        <v>9776</v>
      </c>
      <c r="H1004" s="74" t="s">
        <v>200</v>
      </c>
      <c r="I1004" s="74" t="s">
        <v>47</v>
      </c>
      <c r="J1004" s="74" t="s">
        <v>9347</v>
      </c>
      <c r="K1004" s="74"/>
      <c r="L1004" s="74"/>
    </row>
    <row r="1005" spans="1:12" ht="41.4">
      <c r="A1005" s="73">
        <v>1004</v>
      </c>
      <c r="B1005" s="74" t="s">
        <v>11617</v>
      </c>
      <c r="C1005" s="74" t="s">
        <v>2285</v>
      </c>
      <c r="D1005" s="74" t="s">
        <v>41</v>
      </c>
      <c r="E1005" s="74" t="s">
        <v>9344</v>
      </c>
      <c r="F1005" s="74" t="s">
        <v>9345</v>
      </c>
      <c r="G1005" s="74" t="s">
        <v>9410</v>
      </c>
      <c r="H1005" s="74" t="s">
        <v>130</v>
      </c>
      <c r="I1005" s="74" t="s">
        <v>47</v>
      </c>
      <c r="J1005" s="74" t="s">
        <v>9347</v>
      </c>
      <c r="K1005" s="74"/>
      <c r="L1005" s="74"/>
    </row>
    <row r="1006" spans="1:12" ht="41.4">
      <c r="A1006" s="73">
        <v>1005</v>
      </c>
      <c r="B1006" s="74" t="s">
        <v>11618</v>
      </c>
      <c r="C1006" s="74" t="s">
        <v>11619</v>
      </c>
      <c r="D1006" s="74" t="s">
        <v>153</v>
      </c>
      <c r="E1006" s="74" t="s">
        <v>9344</v>
      </c>
      <c r="F1006" s="74" t="s">
        <v>9345</v>
      </c>
      <c r="G1006" s="74" t="s">
        <v>9836</v>
      </c>
      <c r="H1006" s="74" t="s">
        <v>155</v>
      </c>
      <c r="I1006" s="74" t="s">
        <v>47</v>
      </c>
      <c r="J1006" s="74" t="s">
        <v>9347</v>
      </c>
      <c r="K1006" s="74" t="s">
        <v>11620</v>
      </c>
      <c r="L1006" s="74" t="s">
        <v>3561</v>
      </c>
    </row>
    <row r="1007" spans="1:12" ht="69">
      <c r="A1007" s="73">
        <v>1006</v>
      </c>
      <c r="B1007" s="74" t="s">
        <v>11621</v>
      </c>
      <c r="C1007" s="74" t="s">
        <v>3106</v>
      </c>
      <c r="D1007" s="74" t="s">
        <v>89</v>
      </c>
      <c r="E1007" s="74" t="s">
        <v>9344</v>
      </c>
      <c r="F1007" s="74" t="s">
        <v>9345</v>
      </c>
      <c r="G1007" s="74" t="s">
        <v>9528</v>
      </c>
      <c r="H1007" s="74" t="s">
        <v>91</v>
      </c>
      <c r="I1007" s="74" t="s">
        <v>47</v>
      </c>
      <c r="J1007" s="74" t="s">
        <v>9347</v>
      </c>
      <c r="K1007" s="74"/>
      <c r="L1007" s="74"/>
    </row>
    <row r="1008" spans="1:12" ht="41.4">
      <c r="A1008" s="73">
        <v>1007</v>
      </c>
      <c r="B1008" s="74" t="s">
        <v>11622</v>
      </c>
      <c r="C1008" s="74" t="s">
        <v>1431</v>
      </c>
      <c r="D1008" s="74" t="s">
        <v>41</v>
      </c>
      <c r="E1008" s="74" t="s">
        <v>9344</v>
      </c>
      <c r="F1008" s="74" t="s">
        <v>9345</v>
      </c>
      <c r="G1008" s="74" t="s">
        <v>9405</v>
      </c>
      <c r="H1008" s="74" t="s">
        <v>662</v>
      </c>
      <c r="I1008" s="74" t="s">
        <v>47</v>
      </c>
      <c r="J1008" s="74" t="s">
        <v>9351</v>
      </c>
      <c r="K1008" s="74"/>
      <c r="L1008" s="74"/>
    </row>
    <row r="1009" spans="1:12" ht="41.4">
      <c r="A1009" s="73">
        <v>1008</v>
      </c>
      <c r="B1009" s="74" t="s">
        <v>11623</v>
      </c>
      <c r="C1009" s="74" t="s">
        <v>11624</v>
      </c>
      <c r="D1009" s="74" t="s">
        <v>41</v>
      </c>
      <c r="E1009" s="74" t="s">
        <v>9344</v>
      </c>
      <c r="F1009" s="74" t="s">
        <v>9345</v>
      </c>
      <c r="G1009" s="74" t="s">
        <v>9648</v>
      </c>
      <c r="H1009" s="74" t="s">
        <v>200</v>
      </c>
      <c r="I1009" s="74" t="s">
        <v>47</v>
      </c>
      <c r="J1009" s="74" t="s">
        <v>9347</v>
      </c>
      <c r="K1009" s="74"/>
      <c r="L1009" s="74"/>
    </row>
    <row r="1010" spans="1:12" ht="69">
      <c r="A1010" s="73">
        <v>1009</v>
      </c>
      <c r="B1010" s="74" t="s">
        <v>11625</v>
      </c>
      <c r="C1010" s="74" t="s">
        <v>11626</v>
      </c>
      <c r="D1010" s="74" t="s">
        <v>41</v>
      </c>
      <c r="E1010" s="74" t="s">
        <v>9344</v>
      </c>
      <c r="F1010" s="74" t="s">
        <v>9345</v>
      </c>
      <c r="G1010" s="74" t="s">
        <v>9793</v>
      </c>
      <c r="H1010" s="74" t="s">
        <v>46</v>
      </c>
      <c r="I1010" s="74" t="s">
        <v>47</v>
      </c>
      <c r="J1010" s="74" t="s">
        <v>9347</v>
      </c>
      <c r="K1010" s="74"/>
      <c r="L1010" s="74"/>
    </row>
    <row r="1011" spans="1:12" ht="41.4">
      <c r="A1011" s="73">
        <v>1010</v>
      </c>
      <c r="B1011" s="74" t="s">
        <v>11627</v>
      </c>
      <c r="C1011" s="74" t="s">
        <v>11628</v>
      </c>
      <c r="D1011" s="74" t="s">
        <v>41</v>
      </c>
      <c r="E1011" s="74" t="s">
        <v>9344</v>
      </c>
      <c r="F1011" s="74" t="s">
        <v>9345</v>
      </c>
      <c r="G1011" s="74" t="s">
        <v>9776</v>
      </c>
      <c r="H1011" s="74" t="s">
        <v>200</v>
      </c>
      <c r="I1011" s="74" t="s">
        <v>47</v>
      </c>
      <c r="J1011" s="74" t="s">
        <v>9347</v>
      </c>
      <c r="K1011" s="74" t="s">
        <v>11629</v>
      </c>
      <c r="L1011" s="74" t="s">
        <v>891</v>
      </c>
    </row>
    <row r="1012" spans="1:12" ht="55.2">
      <c r="A1012" s="73">
        <v>1011</v>
      </c>
      <c r="B1012" s="74" t="s">
        <v>11630</v>
      </c>
      <c r="C1012" s="74" t="s">
        <v>11631</v>
      </c>
      <c r="D1012" s="74" t="s">
        <v>295</v>
      </c>
      <c r="E1012" s="74" t="s">
        <v>9344</v>
      </c>
      <c r="F1012" s="74" t="s">
        <v>9345</v>
      </c>
      <c r="G1012" s="74" t="s">
        <v>9677</v>
      </c>
      <c r="H1012" s="74" t="s">
        <v>407</v>
      </c>
      <c r="I1012" s="74" t="s">
        <v>47</v>
      </c>
      <c r="J1012" s="74" t="s">
        <v>9347</v>
      </c>
      <c r="K1012" s="74"/>
      <c r="L1012" s="74"/>
    </row>
    <row r="1013" spans="1:12" ht="55.2">
      <c r="A1013" s="73">
        <v>1012</v>
      </c>
      <c r="B1013" s="74" t="s">
        <v>11632</v>
      </c>
      <c r="C1013" s="74" t="s">
        <v>7820</v>
      </c>
      <c r="D1013" s="74" t="s">
        <v>153</v>
      </c>
      <c r="E1013" s="74" t="s">
        <v>9344</v>
      </c>
      <c r="F1013" s="74" t="s">
        <v>9345</v>
      </c>
      <c r="G1013" s="74" t="s">
        <v>9526</v>
      </c>
      <c r="H1013" s="74" t="s">
        <v>155</v>
      </c>
      <c r="I1013" s="74" t="s">
        <v>47</v>
      </c>
      <c r="J1013" s="74" t="s">
        <v>9347</v>
      </c>
      <c r="K1013" s="74" t="s">
        <v>11633</v>
      </c>
      <c r="L1013" s="74" t="s">
        <v>3561</v>
      </c>
    </row>
    <row r="1014" spans="1:12" ht="69">
      <c r="A1014" s="73">
        <v>1013</v>
      </c>
      <c r="B1014" s="74" t="s">
        <v>11634</v>
      </c>
      <c r="C1014" s="74" t="s">
        <v>11635</v>
      </c>
      <c r="D1014" s="74" t="s">
        <v>41</v>
      </c>
      <c r="E1014" s="74" t="s">
        <v>9344</v>
      </c>
      <c r="F1014" s="74" t="s">
        <v>9345</v>
      </c>
      <c r="G1014" s="74" t="s">
        <v>9793</v>
      </c>
      <c r="H1014" s="74" t="s">
        <v>46</v>
      </c>
      <c r="I1014" s="74" t="s">
        <v>47</v>
      </c>
      <c r="J1014" s="74" t="s">
        <v>9347</v>
      </c>
      <c r="K1014" s="74"/>
      <c r="L1014" s="74"/>
    </row>
    <row r="1015" spans="1:12" ht="41.4">
      <c r="A1015" s="73">
        <v>1014</v>
      </c>
      <c r="B1015" s="74" t="s">
        <v>11636</v>
      </c>
      <c r="C1015" s="74" t="s">
        <v>11637</v>
      </c>
      <c r="D1015" s="74" t="s">
        <v>41</v>
      </c>
      <c r="E1015" s="74" t="s">
        <v>9344</v>
      </c>
      <c r="F1015" s="74" t="s">
        <v>9345</v>
      </c>
      <c r="G1015" s="74" t="s">
        <v>9392</v>
      </c>
      <c r="H1015" s="74" t="s">
        <v>200</v>
      </c>
      <c r="I1015" s="74" t="s">
        <v>47</v>
      </c>
      <c r="J1015" s="74" t="s">
        <v>9347</v>
      </c>
      <c r="K1015" s="74"/>
      <c r="L1015" s="74"/>
    </row>
    <row r="1016" spans="1:12" ht="41.4">
      <c r="A1016" s="73">
        <v>1015</v>
      </c>
      <c r="B1016" s="74" t="s">
        <v>11638</v>
      </c>
      <c r="C1016" s="74" t="s">
        <v>11639</v>
      </c>
      <c r="D1016" s="74" t="s">
        <v>295</v>
      </c>
      <c r="E1016" s="74" t="s">
        <v>9344</v>
      </c>
      <c r="F1016" s="74" t="s">
        <v>9345</v>
      </c>
      <c r="G1016" s="74" t="s">
        <v>9355</v>
      </c>
      <c r="H1016" s="74" t="s">
        <v>297</v>
      </c>
      <c r="I1016" s="74" t="s">
        <v>47</v>
      </c>
      <c r="J1016" s="74" t="s">
        <v>9347</v>
      </c>
      <c r="K1016" s="74"/>
      <c r="L1016" s="74"/>
    </row>
    <row r="1017" spans="1:12" ht="69">
      <c r="A1017" s="73">
        <v>1016</v>
      </c>
      <c r="B1017" s="74" t="s">
        <v>11640</v>
      </c>
      <c r="C1017" s="74" t="s">
        <v>11641</v>
      </c>
      <c r="D1017" s="74" t="s">
        <v>295</v>
      </c>
      <c r="E1017" s="74" t="s">
        <v>9344</v>
      </c>
      <c r="F1017" s="74" t="s">
        <v>9345</v>
      </c>
      <c r="G1017" s="74" t="s">
        <v>9537</v>
      </c>
      <c r="H1017" s="74" t="s">
        <v>9538</v>
      </c>
      <c r="I1017" s="74" t="s">
        <v>47</v>
      </c>
      <c r="J1017" s="74" t="s">
        <v>9347</v>
      </c>
      <c r="K1017" s="74"/>
      <c r="L1017" s="74"/>
    </row>
    <row r="1018" spans="1:12" ht="41.4">
      <c r="A1018" s="73">
        <v>1017</v>
      </c>
      <c r="B1018" s="74" t="s">
        <v>11642</v>
      </c>
      <c r="C1018" s="74" t="s">
        <v>11643</v>
      </c>
      <c r="D1018" s="74" t="s">
        <v>295</v>
      </c>
      <c r="E1018" s="74" t="s">
        <v>9344</v>
      </c>
      <c r="F1018" s="74" t="s">
        <v>9345</v>
      </c>
      <c r="G1018" s="74" t="s">
        <v>9432</v>
      </c>
      <c r="H1018" s="74" t="s">
        <v>297</v>
      </c>
      <c r="I1018" s="74" t="s">
        <v>47</v>
      </c>
      <c r="J1018" s="74" t="s">
        <v>9347</v>
      </c>
      <c r="K1018" s="74" t="s">
        <v>11644</v>
      </c>
      <c r="L1018" s="74" t="s">
        <v>3561</v>
      </c>
    </row>
    <row r="1019" spans="1:12" ht="55.2">
      <c r="A1019" s="73">
        <v>1018</v>
      </c>
      <c r="B1019" s="74" t="s">
        <v>11645</v>
      </c>
      <c r="C1019" s="74" t="s">
        <v>11646</v>
      </c>
      <c r="D1019" s="74" t="s">
        <v>89</v>
      </c>
      <c r="E1019" s="74" t="s">
        <v>9344</v>
      </c>
      <c r="F1019" s="74" t="s">
        <v>9345</v>
      </c>
      <c r="G1019" s="74" t="s">
        <v>9723</v>
      </c>
      <c r="H1019" s="74" t="s">
        <v>4024</v>
      </c>
      <c r="I1019" s="74" t="s">
        <v>47</v>
      </c>
      <c r="J1019" s="74" t="s">
        <v>9347</v>
      </c>
      <c r="K1019" s="74" t="s">
        <v>11647</v>
      </c>
      <c r="L1019" s="74" t="s">
        <v>711</v>
      </c>
    </row>
    <row r="1020" spans="1:12" ht="41.4">
      <c r="A1020" s="73">
        <v>1019</v>
      </c>
      <c r="B1020" s="74" t="s">
        <v>11648</v>
      </c>
      <c r="C1020" s="74" t="s">
        <v>11649</v>
      </c>
      <c r="D1020" s="74" t="s">
        <v>295</v>
      </c>
      <c r="E1020" s="74" t="s">
        <v>9344</v>
      </c>
      <c r="F1020" s="74" t="s">
        <v>9345</v>
      </c>
      <c r="G1020" s="74" t="s">
        <v>9584</v>
      </c>
      <c r="H1020" s="74" t="s">
        <v>297</v>
      </c>
      <c r="I1020" s="74" t="s">
        <v>47</v>
      </c>
      <c r="J1020" s="74" t="s">
        <v>9347</v>
      </c>
      <c r="K1020" s="74" t="s">
        <v>11650</v>
      </c>
      <c r="L1020" s="74" t="s">
        <v>370</v>
      </c>
    </row>
    <row r="1021" spans="1:12" ht="41.4">
      <c r="A1021" s="73">
        <v>1020</v>
      </c>
      <c r="B1021" s="74" t="s">
        <v>11651</v>
      </c>
      <c r="C1021" s="74" t="s">
        <v>7996</v>
      </c>
      <c r="D1021" s="74" t="s">
        <v>41</v>
      </c>
      <c r="E1021" s="74" t="s">
        <v>9344</v>
      </c>
      <c r="F1021" s="74" t="s">
        <v>9345</v>
      </c>
      <c r="G1021" s="74" t="s">
        <v>9392</v>
      </c>
      <c r="H1021" s="74" t="s">
        <v>200</v>
      </c>
      <c r="I1021" s="74" t="s">
        <v>47</v>
      </c>
      <c r="J1021" s="74" t="s">
        <v>9351</v>
      </c>
      <c r="K1021" s="74" t="s">
        <v>11652</v>
      </c>
      <c r="L1021" s="74" t="s">
        <v>370</v>
      </c>
    </row>
    <row r="1022" spans="1:12" ht="41.4">
      <c r="A1022" s="73">
        <v>1021</v>
      </c>
      <c r="B1022" s="74" t="s">
        <v>11653</v>
      </c>
      <c r="C1022" s="74" t="s">
        <v>6024</v>
      </c>
      <c r="D1022" s="74" t="s">
        <v>41</v>
      </c>
      <c r="E1022" s="74" t="s">
        <v>9344</v>
      </c>
      <c r="F1022" s="74" t="s">
        <v>9345</v>
      </c>
      <c r="G1022" s="74" t="s">
        <v>9776</v>
      </c>
      <c r="H1022" s="74" t="s">
        <v>200</v>
      </c>
      <c r="I1022" s="74" t="s">
        <v>47</v>
      </c>
      <c r="J1022" s="74" t="s">
        <v>9347</v>
      </c>
      <c r="K1022" s="74"/>
      <c r="L1022" s="74"/>
    </row>
    <row r="1023" spans="1:12" ht="41.4">
      <c r="A1023" s="73">
        <v>1022</v>
      </c>
      <c r="B1023" s="74" t="s">
        <v>11654</v>
      </c>
      <c r="C1023" s="74" t="s">
        <v>11655</v>
      </c>
      <c r="D1023" s="74" t="s">
        <v>41</v>
      </c>
      <c r="E1023" s="74" t="s">
        <v>9344</v>
      </c>
      <c r="F1023" s="74" t="s">
        <v>9345</v>
      </c>
      <c r="G1023" s="74" t="s">
        <v>9392</v>
      </c>
      <c r="H1023" s="74" t="s">
        <v>200</v>
      </c>
      <c r="I1023" s="74" t="s">
        <v>47</v>
      </c>
      <c r="J1023" s="74" t="s">
        <v>9347</v>
      </c>
      <c r="K1023" s="74"/>
      <c r="L1023" s="74"/>
    </row>
    <row r="1024" spans="1:12" ht="55.2">
      <c r="A1024" s="73">
        <v>1023</v>
      </c>
      <c r="B1024" s="74" t="s">
        <v>11656</v>
      </c>
      <c r="C1024" s="74" t="s">
        <v>6770</v>
      </c>
      <c r="D1024" s="74" t="s">
        <v>68</v>
      </c>
      <c r="E1024" s="74" t="s">
        <v>9344</v>
      </c>
      <c r="F1024" s="74" t="s">
        <v>9345</v>
      </c>
      <c r="G1024" s="74" t="s">
        <v>9378</v>
      </c>
      <c r="H1024" s="74" t="s">
        <v>70</v>
      </c>
      <c r="I1024" s="74" t="s">
        <v>110</v>
      </c>
      <c r="J1024" s="74" t="s">
        <v>9351</v>
      </c>
      <c r="K1024" s="74" t="s">
        <v>11657</v>
      </c>
      <c r="L1024" s="74" t="s">
        <v>3207</v>
      </c>
    </row>
    <row r="1025" spans="1:12" ht="55.2">
      <c r="A1025" s="73">
        <v>1024</v>
      </c>
      <c r="B1025" s="74" t="s">
        <v>11658</v>
      </c>
      <c r="C1025" s="74" t="s">
        <v>11659</v>
      </c>
      <c r="D1025" s="74" t="s">
        <v>295</v>
      </c>
      <c r="E1025" s="74" t="s">
        <v>9344</v>
      </c>
      <c r="F1025" s="74" t="s">
        <v>9345</v>
      </c>
      <c r="G1025" s="74" t="s">
        <v>9579</v>
      </c>
      <c r="H1025" s="74" t="s">
        <v>407</v>
      </c>
      <c r="I1025" s="74" t="s">
        <v>11660</v>
      </c>
      <c r="J1025" s="74" t="s">
        <v>9351</v>
      </c>
      <c r="K1025" s="74" t="s">
        <v>11661</v>
      </c>
      <c r="L1025" s="74" t="s">
        <v>318</v>
      </c>
    </row>
    <row r="1026" spans="1:12" ht="55.2">
      <c r="A1026" s="73">
        <v>1025</v>
      </c>
      <c r="B1026" s="74" t="s">
        <v>11662</v>
      </c>
      <c r="C1026" s="74" t="s">
        <v>11663</v>
      </c>
      <c r="D1026" s="74" t="s">
        <v>153</v>
      </c>
      <c r="E1026" s="74" t="s">
        <v>9344</v>
      </c>
      <c r="F1026" s="74" t="s">
        <v>9345</v>
      </c>
      <c r="G1026" s="74" t="s">
        <v>9468</v>
      </c>
      <c r="H1026" s="74" t="s">
        <v>155</v>
      </c>
      <c r="I1026" s="74" t="s">
        <v>47</v>
      </c>
      <c r="J1026" s="74" t="s">
        <v>9347</v>
      </c>
      <c r="K1026" s="74"/>
      <c r="L1026" s="74"/>
    </row>
    <row r="1027" spans="1:12" ht="41.4">
      <c r="A1027" s="73">
        <v>1026</v>
      </c>
      <c r="B1027" s="74" t="s">
        <v>11664</v>
      </c>
      <c r="C1027" s="74" t="s">
        <v>11665</v>
      </c>
      <c r="D1027" s="74" t="s">
        <v>41</v>
      </c>
      <c r="E1027" s="74" t="s">
        <v>9344</v>
      </c>
      <c r="F1027" s="74" t="s">
        <v>9345</v>
      </c>
      <c r="G1027" s="74" t="s">
        <v>9350</v>
      </c>
      <c r="H1027" s="74" t="s">
        <v>662</v>
      </c>
      <c r="I1027" s="74" t="s">
        <v>47</v>
      </c>
      <c r="J1027" s="74" t="s">
        <v>9347</v>
      </c>
      <c r="K1027" s="74"/>
      <c r="L1027" s="74"/>
    </row>
    <row r="1028" spans="1:12" ht="41.4">
      <c r="A1028" s="73">
        <v>1027</v>
      </c>
      <c r="B1028" s="74" t="s">
        <v>11666</v>
      </c>
      <c r="C1028" s="74" t="s">
        <v>11667</v>
      </c>
      <c r="D1028" s="74" t="s">
        <v>41</v>
      </c>
      <c r="E1028" s="74" t="s">
        <v>9344</v>
      </c>
      <c r="F1028" s="74" t="s">
        <v>9345</v>
      </c>
      <c r="G1028" s="74" t="s">
        <v>9500</v>
      </c>
      <c r="H1028" s="74" t="s">
        <v>200</v>
      </c>
      <c r="I1028" s="74" t="s">
        <v>47</v>
      </c>
      <c r="J1028" s="74" t="s">
        <v>9347</v>
      </c>
      <c r="K1028" s="74"/>
      <c r="L1028" s="74"/>
    </row>
    <row r="1029" spans="1:12" ht="69">
      <c r="A1029" s="73">
        <v>1028</v>
      </c>
      <c r="B1029" s="74" t="s">
        <v>11668</v>
      </c>
      <c r="C1029" s="74" t="s">
        <v>11669</v>
      </c>
      <c r="D1029" s="74" t="s">
        <v>143</v>
      </c>
      <c r="E1029" s="74" t="s">
        <v>9344</v>
      </c>
      <c r="F1029" s="74" t="s">
        <v>9345</v>
      </c>
      <c r="G1029" s="74" t="s">
        <v>9510</v>
      </c>
      <c r="H1029" s="74" t="s">
        <v>220</v>
      </c>
      <c r="I1029" s="74" t="s">
        <v>416</v>
      </c>
      <c r="J1029" s="74" t="s">
        <v>9351</v>
      </c>
      <c r="K1029" s="74" t="s">
        <v>11670</v>
      </c>
      <c r="L1029" s="74" t="s">
        <v>251</v>
      </c>
    </row>
    <row r="1030" spans="1:12" ht="55.2">
      <c r="A1030" s="73">
        <v>1029</v>
      </c>
      <c r="B1030" s="74" t="s">
        <v>11671</v>
      </c>
      <c r="C1030" s="74" t="s">
        <v>11672</v>
      </c>
      <c r="D1030" s="74" t="s">
        <v>41</v>
      </c>
      <c r="E1030" s="74" t="s">
        <v>9344</v>
      </c>
      <c r="F1030" s="74" t="s">
        <v>9345</v>
      </c>
      <c r="G1030" s="74" t="s">
        <v>9410</v>
      </c>
      <c r="H1030" s="74" t="s">
        <v>130</v>
      </c>
      <c r="I1030" s="74" t="s">
        <v>92</v>
      </c>
      <c r="J1030" s="74" t="s">
        <v>9351</v>
      </c>
      <c r="K1030" s="74" t="s">
        <v>11673</v>
      </c>
      <c r="L1030" s="74" t="s">
        <v>318</v>
      </c>
    </row>
    <row r="1031" spans="1:12" ht="55.2">
      <c r="A1031" s="73">
        <v>1030</v>
      </c>
      <c r="B1031" s="74" t="s">
        <v>11674</v>
      </c>
      <c r="C1031" s="74" t="s">
        <v>9235</v>
      </c>
      <c r="D1031" s="74" t="s">
        <v>41</v>
      </c>
      <c r="E1031" s="74" t="s">
        <v>9344</v>
      </c>
      <c r="F1031" s="74" t="s">
        <v>9345</v>
      </c>
      <c r="G1031" s="74" t="s">
        <v>9372</v>
      </c>
      <c r="H1031" s="74" t="s">
        <v>479</v>
      </c>
      <c r="I1031" s="74" t="s">
        <v>9236</v>
      </c>
      <c r="J1031" s="74" t="s">
        <v>9351</v>
      </c>
      <c r="K1031" s="74" t="s">
        <v>11675</v>
      </c>
      <c r="L1031" s="74" t="s">
        <v>331</v>
      </c>
    </row>
    <row r="1032" spans="1:12" ht="41.4">
      <c r="A1032" s="73">
        <v>1031</v>
      </c>
      <c r="B1032" s="74" t="s">
        <v>11676</v>
      </c>
      <c r="C1032" s="74" t="s">
        <v>8549</v>
      </c>
      <c r="D1032" s="74" t="s">
        <v>89</v>
      </c>
      <c r="E1032" s="74" t="s">
        <v>9344</v>
      </c>
      <c r="F1032" s="74" t="s">
        <v>9345</v>
      </c>
      <c r="G1032" s="74" t="s">
        <v>9723</v>
      </c>
      <c r="H1032" s="74" t="s">
        <v>4024</v>
      </c>
      <c r="I1032" s="74" t="s">
        <v>47</v>
      </c>
      <c r="J1032" s="74" t="s">
        <v>9351</v>
      </c>
      <c r="K1032" s="74" t="s">
        <v>11677</v>
      </c>
      <c r="L1032" s="74" t="s">
        <v>370</v>
      </c>
    </row>
    <row r="1033" spans="1:12" ht="55.2">
      <c r="A1033" s="73">
        <v>1032</v>
      </c>
      <c r="B1033" s="74" t="s">
        <v>11678</v>
      </c>
      <c r="C1033" s="74" t="s">
        <v>3399</v>
      </c>
      <c r="D1033" s="74" t="s">
        <v>143</v>
      </c>
      <c r="E1033" s="74" t="s">
        <v>9344</v>
      </c>
      <c r="F1033" s="74" t="s">
        <v>9345</v>
      </c>
      <c r="G1033" s="74" t="s">
        <v>9361</v>
      </c>
      <c r="H1033" s="74" t="s">
        <v>327</v>
      </c>
      <c r="I1033" s="74" t="s">
        <v>47</v>
      </c>
      <c r="J1033" s="74" t="s">
        <v>9351</v>
      </c>
      <c r="K1033" s="74" t="s">
        <v>11679</v>
      </c>
      <c r="L1033" s="74" t="s">
        <v>370</v>
      </c>
    </row>
    <row r="1034" spans="1:12" ht="41.4">
      <c r="A1034" s="73">
        <v>1033</v>
      </c>
      <c r="B1034" s="74" t="s">
        <v>11680</v>
      </c>
      <c r="C1034" s="74" t="s">
        <v>11681</v>
      </c>
      <c r="D1034" s="74" t="s">
        <v>41</v>
      </c>
      <c r="E1034" s="74" t="s">
        <v>9344</v>
      </c>
      <c r="F1034" s="74" t="s">
        <v>9345</v>
      </c>
      <c r="G1034" s="74" t="s">
        <v>9410</v>
      </c>
      <c r="H1034" s="74" t="s">
        <v>130</v>
      </c>
      <c r="I1034" s="74" t="s">
        <v>47</v>
      </c>
      <c r="J1034" s="74" t="s">
        <v>9351</v>
      </c>
      <c r="K1034" s="74" t="s">
        <v>11682</v>
      </c>
      <c r="L1034" s="74" t="s">
        <v>370</v>
      </c>
    </row>
    <row r="1035" spans="1:12" ht="41.4">
      <c r="A1035" s="73">
        <v>1034</v>
      </c>
      <c r="B1035" s="74" t="s">
        <v>11683</v>
      </c>
      <c r="C1035" s="74" t="s">
        <v>364</v>
      </c>
      <c r="D1035" s="74" t="s">
        <v>89</v>
      </c>
      <c r="E1035" s="74" t="s">
        <v>9344</v>
      </c>
      <c r="F1035" s="74" t="s">
        <v>9345</v>
      </c>
      <c r="G1035" s="74" t="s">
        <v>9723</v>
      </c>
      <c r="H1035" s="74" t="s">
        <v>4024</v>
      </c>
      <c r="I1035" s="74" t="s">
        <v>47</v>
      </c>
      <c r="J1035" s="74" t="s">
        <v>9351</v>
      </c>
      <c r="K1035" s="74" t="s">
        <v>11684</v>
      </c>
      <c r="L1035" s="74" t="s">
        <v>370</v>
      </c>
    </row>
    <row r="1036" spans="1:12" ht="69">
      <c r="A1036" s="73">
        <v>1035</v>
      </c>
      <c r="B1036" s="74" t="s">
        <v>11685</v>
      </c>
      <c r="C1036" s="74" t="s">
        <v>11686</v>
      </c>
      <c r="D1036" s="74" t="s">
        <v>143</v>
      </c>
      <c r="E1036" s="74" t="s">
        <v>9344</v>
      </c>
      <c r="F1036" s="74" t="s">
        <v>9345</v>
      </c>
      <c r="G1036" s="74" t="s">
        <v>9715</v>
      </c>
      <c r="H1036" s="74" t="s">
        <v>220</v>
      </c>
      <c r="I1036" s="74" t="s">
        <v>11687</v>
      </c>
      <c r="J1036" s="74" t="s">
        <v>9351</v>
      </c>
      <c r="K1036" s="74" t="s">
        <v>11688</v>
      </c>
      <c r="L1036" s="74" t="s">
        <v>370</v>
      </c>
    </row>
    <row r="1037" spans="1:12" ht="69">
      <c r="A1037" s="73">
        <v>1036</v>
      </c>
      <c r="B1037" s="74" t="s">
        <v>11689</v>
      </c>
      <c r="C1037" s="74" t="s">
        <v>11690</v>
      </c>
      <c r="D1037" s="74" t="s">
        <v>41</v>
      </c>
      <c r="E1037" s="74" t="s">
        <v>9344</v>
      </c>
      <c r="F1037" s="74" t="s">
        <v>9345</v>
      </c>
      <c r="G1037" s="74" t="s">
        <v>9824</v>
      </c>
      <c r="H1037" s="74" t="s">
        <v>46</v>
      </c>
      <c r="I1037" s="74" t="s">
        <v>110</v>
      </c>
      <c r="J1037" s="74" t="s">
        <v>9351</v>
      </c>
      <c r="K1037" s="74" t="s">
        <v>11691</v>
      </c>
      <c r="L1037" s="74" t="s">
        <v>331</v>
      </c>
    </row>
    <row r="1038" spans="1:12" ht="55.2">
      <c r="A1038" s="73">
        <v>1037</v>
      </c>
      <c r="B1038" s="74" t="s">
        <v>11692</v>
      </c>
      <c r="C1038" s="74" t="s">
        <v>441</v>
      </c>
      <c r="D1038" s="74" t="s">
        <v>41</v>
      </c>
      <c r="E1038" s="74" t="s">
        <v>9344</v>
      </c>
      <c r="F1038" s="74" t="s">
        <v>9345</v>
      </c>
      <c r="G1038" s="74" t="s">
        <v>9761</v>
      </c>
      <c r="H1038" s="74" t="s">
        <v>479</v>
      </c>
      <c r="I1038" s="74" t="s">
        <v>442</v>
      </c>
      <c r="J1038" s="74" t="s">
        <v>9351</v>
      </c>
      <c r="K1038" s="74" t="s">
        <v>11693</v>
      </c>
      <c r="L1038" s="74" t="s">
        <v>331</v>
      </c>
    </row>
    <row r="1039" spans="1:12" ht="41.4">
      <c r="A1039" s="73">
        <v>1038</v>
      </c>
      <c r="B1039" s="74" t="s">
        <v>11694</v>
      </c>
      <c r="C1039" s="74" t="s">
        <v>11695</v>
      </c>
      <c r="D1039" s="74" t="s">
        <v>41</v>
      </c>
      <c r="E1039" s="74" t="s">
        <v>9344</v>
      </c>
      <c r="F1039" s="74" t="s">
        <v>9345</v>
      </c>
      <c r="G1039" s="74" t="s">
        <v>9796</v>
      </c>
      <c r="H1039" s="74" t="s">
        <v>200</v>
      </c>
      <c r="I1039" s="74" t="s">
        <v>11696</v>
      </c>
      <c r="J1039" s="74" t="s">
        <v>9351</v>
      </c>
      <c r="K1039" s="74" t="s">
        <v>11697</v>
      </c>
      <c r="L1039" s="74" t="s">
        <v>331</v>
      </c>
    </row>
    <row r="1040" spans="1:12" ht="55.2">
      <c r="A1040" s="73">
        <v>1039</v>
      </c>
      <c r="B1040" s="74" t="s">
        <v>11698</v>
      </c>
      <c r="C1040" s="74" t="s">
        <v>11699</v>
      </c>
      <c r="D1040" s="74" t="s">
        <v>143</v>
      </c>
      <c r="E1040" s="74" t="s">
        <v>9344</v>
      </c>
      <c r="F1040" s="74" t="s">
        <v>9345</v>
      </c>
      <c r="G1040" s="74" t="s">
        <v>9534</v>
      </c>
      <c r="H1040" s="74" t="s">
        <v>145</v>
      </c>
      <c r="I1040" s="74" t="s">
        <v>47</v>
      </c>
      <c r="J1040" s="74" t="s">
        <v>9351</v>
      </c>
      <c r="K1040" s="74"/>
      <c r="L1040" s="74"/>
    </row>
    <row r="1041" spans="1:12" ht="41.4">
      <c r="A1041" s="73">
        <v>1040</v>
      </c>
      <c r="B1041" s="74" t="s">
        <v>11700</v>
      </c>
      <c r="C1041" s="74" t="s">
        <v>11701</v>
      </c>
      <c r="D1041" s="74" t="s">
        <v>41</v>
      </c>
      <c r="E1041" s="74" t="s">
        <v>9344</v>
      </c>
      <c r="F1041" s="74" t="s">
        <v>9345</v>
      </c>
      <c r="G1041" s="74" t="s">
        <v>9757</v>
      </c>
      <c r="H1041" s="74" t="s">
        <v>200</v>
      </c>
      <c r="I1041" s="74" t="s">
        <v>47</v>
      </c>
      <c r="J1041" s="74" t="s">
        <v>9347</v>
      </c>
      <c r="K1041" s="74" t="s">
        <v>11702</v>
      </c>
      <c r="L1041" s="74" t="s">
        <v>331</v>
      </c>
    </row>
    <row r="1042" spans="1:12" ht="41.4">
      <c r="A1042" s="73">
        <v>1041</v>
      </c>
      <c r="B1042" s="74" t="s">
        <v>11703</v>
      </c>
      <c r="C1042" s="74" t="s">
        <v>11704</v>
      </c>
      <c r="D1042" s="74" t="s">
        <v>153</v>
      </c>
      <c r="E1042" s="74" t="s">
        <v>9344</v>
      </c>
      <c r="F1042" s="74" t="s">
        <v>9345</v>
      </c>
      <c r="G1042" s="74" t="s">
        <v>9526</v>
      </c>
      <c r="H1042" s="74" t="s">
        <v>155</v>
      </c>
      <c r="I1042" s="74" t="s">
        <v>47</v>
      </c>
      <c r="J1042" s="74" t="s">
        <v>9347</v>
      </c>
      <c r="K1042" s="74"/>
      <c r="L1042" s="74"/>
    </row>
    <row r="1043" spans="1:12" ht="41.4">
      <c r="A1043" s="73">
        <v>1042</v>
      </c>
      <c r="B1043" s="74" t="s">
        <v>11705</v>
      </c>
      <c r="C1043" s="74" t="s">
        <v>6203</v>
      </c>
      <c r="D1043" s="74" t="s">
        <v>295</v>
      </c>
      <c r="E1043" s="74" t="s">
        <v>9344</v>
      </c>
      <c r="F1043" s="74" t="s">
        <v>9345</v>
      </c>
      <c r="G1043" s="74" t="s">
        <v>9579</v>
      </c>
      <c r="H1043" s="74" t="s">
        <v>407</v>
      </c>
      <c r="I1043" s="74" t="s">
        <v>47</v>
      </c>
      <c r="J1043" s="74" t="s">
        <v>9347</v>
      </c>
      <c r="K1043" s="74" t="s">
        <v>11706</v>
      </c>
      <c r="L1043" s="74" t="s">
        <v>318</v>
      </c>
    </row>
    <row r="1044" spans="1:12" ht="55.2">
      <c r="A1044" s="73">
        <v>1043</v>
      </c>
      <c r="B1044" s="74" t="s">
        <v>11707</v>
      </c>
      <c r="C1044" s="74" t="s">
        <v>11708</v>
      </c>
      <c r="D1044" s="74" t="s">
        <v>295</v>
      </c>
      <c r="E1044" s="74" t="s">
        <v>9344</v>
      </c>
      <c r="F1044" s="74" t="s">
        <v>9345</v>
      </c>
      <c r="G1044" s="74" t="s">
        <v>9478</v>
      </c>
      <c r="H1044" s="74" t="s">
        <v>407</v>
      </c>
      <c r="I1044" s="74" t="s">
        <v>92</v>
      </c>
      <c r="J1044" s="74" t="s">
        <v>9347</v>
      </c>
      <c r="K1044" s="74" t="s">
        <v>11709</v>
      </c>
      <c r="L1044" s="74" t="s">
        <v>318</v>
      </c>
    </row>
    <row r="1045" spans="1:12" ht="55.2">
      <c r="A1045" s="73">
        <v>1044</v>
      </c>
      <c r="B1045" s="74" t="s">
        <v>11710</v>
      </c>
      <c r="C1045" s="74" t="s">
        <v>11711</v>
      </c>
      <c r="D1045" s="74" t="s">
        <v>41</v>
      </c>
      <c r="E1045" s="74" t="s">
        <v>9344</v>
      </c>
      <c r="F1045" s="74" t="s">
        <v>9345</v>
      </c>
      <c r="G1045" s="74" t="s">
        <v>9648</v>
      </c>
      <c r="H1045" s="74" t="s">
        <v>200</v>
      </c>
      <c r="I1045" s="74" t="s">
        <v>47</v>
      </c>
      <c r="J1045" s="74" t="s">
        <v>9347</v>
      </c>
      <c r="K1045" s="74"/>
      <c r="L1045" s="74"/>
    </row>
    <row r="1046" spans="1:12" ht="55.2">
      <c r="A1046" s="73">
        <v>1045</v>
      </c>
      <c r="B1046" s="74" t="s">
        <v>11712</v>
      </c>
      <c r="C1046" s="74" t="s">
        <v>4281</v>
      </c>
      <c r="D1046" s="74" t="s">
        <v>143</v>
      </c>
      <c r="E1046" s="74" t="s">
        <v>9344</v>
      </c>
      <c r="F1046" s="74" t="s">
        <v>9345</v>
      </c>
      <c r="G1046" s="74" t="s">
        <v>9534</v>
      </c>
      <c r="H1046" s="74" t="s">
        <v>145</v>
      </c>
      <c r="I1046" s="74" t="s">
        <v>47</v>
      </c>
      <c r="J1046" s="74" t="s">
        <v>9347</v>
      </c>
      <c r="K1046" s="74"/>
      <c r="L1046" s="74"/>
    </row>
    <row r="1047" spans="1:12" ht="55.2">
      <c r="A1047" s="73">
        <v>1046</v>
      </c>
      <c r="B1047" s="74" t="s">
        <v>11713</v>
      </c>
      <c r="C1047" s="74" t="s">
        <v>8712</v>
      </c>
      <c r="D1047" s="74" t="s">
        <v>143</v>
      </c>
      <c r="E1047" s="74" t="s">
        <v>9344</v>
      </c>
      <c r="F1047" s="74" t="s">
        <v>9345</v>
      </c>
      <c r="G1047" s="74" t="s">
        <v>9534</v>
      </c>
      <c r="H1047" s="74" t="s">
        <v>145</v>
      </c>
      <c r="I1047" s="74" t="s">
        <v>47</v>
      </c>
      <c r="J1047" s="74" t="s">
        <v>9351</v>
      </c>
      <c r="K1047" s="74"/>
      <c r="L1047" s="74"/>
    </row>
    <row r="1048" spans="1:12" ht="55.2">
      <c r="A1048" s="73">
        <v>1047</v>
      </c>
      <c r="B1048" s="74" t="s">
        <v>11714</v>
      </c>
      <c r="C1048" s="74" t="s">
        <v>5458</v>
      </c>
      <c r="D1048" s="74" t="s">
        <v>68</v>
      </c>
      <c r="E1048" s="74" t="s">
        <v>9344</v>
      </c>
      <c r="F1048" s="74" t="s">
        <v>9345</v>
      </c>
      <c r="G1048" s="74" t="s">
        <v>9378</v>
      </c>
      <c r="H1048" s="74" t="s">
        <v>70</v>
      </c>
      <c r="I1048" s="74" t="s">
        <v>47</v>
      </c>
      <c r="J1048" s="74" t="s">
        <v>9347</v>
      </c>
      <c r="K1048" s="74"/>
      <c r="L1048" s="74"/>
    </row>
    <row r="1049" spans="1:12" ht="41.4">
      <c r="A1049" s="73">
        <v>1048</v>
      </c>
      <c r="B1049" s="74" t="s">
        <v>11715</v>
      </c>
      <c r="C1049" s="74" t="s">
        <v>11716</v>
      </c>
      <c r="D1049" s="74" t="s">
        <v>41</v>
      </c>
      <c r="E1049" s="74" t="s">
        <v>9344</v>
      </c>
      <c r="F1049" s="74" t="s">
        <v>9345</v>
      </c>
      <c r="G1049" s="74" t="s">
        <v>9392</v>
      </c>
      <c r="H1049" s="74" t="s">
        <v>200</v>
      </c>
      <c r="I1049" s="74" t="s">
        <v>47</v>
      </c>
      <c r="J1049" s="74" t="s">
        <v>9347</v>
      </c>
      <c r="K1049" s="74"/>
      <c r="L1049" s="74"/>
    </row>
    <row r="1050" spans="1:12" ht="55.2">
      <c r="A1050" s="73">
        <v>1049</v>
      </c>
      <c r="B1050" s="74" t="s">
        <v>11717</v>
      </c>
      <c r="C1050" s="74" t="s">
        <v>11718</v>
      </c>
      <c r="D1050" s="74" t="s">
        <v>143</v>
      </c>
      <c r="E1050" s="74" t="s">
        <v>9344</v>
      </c>
      <c r="F1050" s="74" t="s">
        <v>9345</v>
      </c>
      <c r="G1050" s="74" t="s">
        <v>10267</v>
      </c>
      <c r="H1050" s="74" t="s">
        <v>400</v>
      </c>
      <c r="I1050" s="74" t="s">
        <v>47</v>
      </c>
      <c r="J1050" s="74" t="s">
        <v>9351</v>
      </c>
      <c r="K1050" s="74"/>
      <c r="L1050" s="74"/>
    </row>
    <row r="1051" spans="1:12" ht="41.4">
      <c r="A1051" s="73">
        <v>1050</v>
      </c>
      <c r="B1051" s="74" t="s">
        <v>11719</v>
      </c>
      <c r="C1051" s="74" t="s">
        <v>7898</v>
      </c>
      <c r="D1051" s="74" t="s">
        <v>143</v>
      </c>
      <c r="E1051" s="74" t="s">
        <v>9344</v>
      </c>
      <c r="F1051" s="74" t="s">
        <v>9345</v>
      </c>
      <c r="G1051" s="74" t="s">
        <v>9388</v>
      </c>
      <c r="H1051" s="74" t="s">
        <v>597</v>
      </c>
      <c r="I1051" s="74" t="s">
        <v>47</v>
      </c>
      <c r="J1051" s="74" t="s">
        <v>9351</v>
      </c>
      <c r="K1051" s="74" t="s">
        <v>11720</v>
      </c>
      <c r="L1051" s="74" t="s">
        <v>370</v>
      </c>
    </row>
    <row r="1052" spans="1:12" ht="55.2">
      <c r="A1052" s="73">
        <v>1051</v>
      </c>
      <c r="B1052" s="74" t="s">
        <v>11721</v>
      </c>
      <c r="C1052" s="74" t="s">
        <v>4408</v>
      </c>
      <c r="D1052" s="74" t="s">
        <v>143</v>
      </c>
      <c r="E1052" s="74" t="s">
        <v>9344</v>
      </c>
      <c r="F1052" s="74" t="s">
        <v>9345</v>
      </c>
      <c r="G1052" s="74" t="s">
        <v>9388</v>
      </c>
      <c r="H1052" s="74" t="s">
        <v>597</v>
      </c>
      <c r="I1052" s="74" t="s">
        <v>47</v>
      </c>
      <c r="J1052" s="74" t="s">
        <v>9351</v>
      </c>
      <c r="K1052" s="74" t="s">
        <v>11722</v>
      </c>
      <c r="L1052" s="74" t="s">
        <v>251</v>
      </c>
    </row>
    <row r="1053" spans="1:12" ht="55.2">
      <c r="A1053" s="73">
        <v>1052</v>
      </c>
      <c r="B1053" s="74" t="s">
        <v>11723</v>
      </c>
      <c r="C1053" s="74" t="s">
        <v>11724</v>
      </c>
      <c r="D1053" s="74" t="s">
        <v>143</v>
      </c>
      <c r="E1053" s="74" t="s">
        <v>9344</v>
      </c>
      <c r="F1053" s="74" t="s">
        <v>9345</v>
      </c>
      <c r="G1053" s="74" t="s">
        <v>9514</v>
      </c>
      <c r="H1053" s="74" t="s">
        <v>327</v>
      </c>
      <c r="I1053" s="74" t="s">
        <v>47</v>
      </c>
      <c r="J1053" s="74" t="s">
        <v>9347</v>
      </c>
      <c r="K1053" s="74"/>
      <c r="L1053" s="74"/>
    </row>
    <row r="1054" spans="1:12" ht="55.2">
      <c r="A1054" s="73">
        <v>1053</v>
      </c>
      <c r="B1054" s="74" t="s">
        <v>11725</v>
      </c>
      <c r="C1054" s="74" t="s">
        <v>5627</v>
      </c>
      <c r="D1054" s="74" t="s">
        <v>143</v>
      </c>
      <c r="E1054" s="74" t="s">
        <v>9344</v>
      </c>
      <c r="F1054" s="74" t="s">
        <v>9345</v>
      </c>
      <c r="G1054" s="74" t="s">
        <v>9910</v>
      </c>
      <c r="H1054" s="74" t="s">
        <v>145</v>
      </c>
      <c r="I1054" s="74" t="s">
        <v>47</v>
      </c>
      <c r="J1054" s="74" t="s">
        <v>9351</v>
      </c>
      <c r="K1054" s="74"/>
      <c r="L1054" s="74"/>
    </row>
    <row r="1055" spans="1:12" ht="55.2">
      <c r="A1055" s="73">
        <v>1054</v>
      </c>
      <c r="B1055" s="74" t="s">
        <v>11726</v>
      </c>
      <c r="C1055" s="74" t="s">
        <v>11727</v>
      </c>
      <c r="D1055" s="74" t="s">
        <v>143</v>
      </c>
      <c r="E1055" s="74" t="s">
        <v>9344</v>
      </c>
      <c r="F1055" s="74" t="s">
        <v>9345</v>
      </c>
      <c r="G1055" s="74" t="s">
        <v>10267</v>
      </c>
      <c r="H1055" s="74" t="s">
        <v>400</v>
      </c>
      <c r="I1055" s="74" t="s">
        <v>47</v>
      </c>
      <c r="J1055" s="74" t="s">
        <v>9351</v>
      </c>
      <c r="K1055" s="74"/>
      <c r="L1055" s="74"/>
    </row>
    <row r="1056" spans="1:12" ht="41.4">
      <c r="A1056" s="73">
        <v>1055</v>
      </c>
      <c r="B1056" s="74" t="s">
        <v>11728</v>
      </c>
      <c r="C1056" s="74" t="s">
        <v>11729</v>
      </c>
      <c r="D1056" s="74" t="s">
        <v>89</v>
      </c>
      <c r="E1056" s="74" t="s">
        <v>9395</v>
      </c>
      <c r="F1056" s="74" t="s">
        <v>80</v>
      </c>
      <c r="G1056" s="74" t="s">
        <v>10054</v>
      </c>
      <c r="H1056" s="74" t="s">
        <v>102</v>
      </c>
      <c r="I1056" s="74" t="s">
        <v>47</v>
      </c>
      <c r="J1056" s="74" t="s">
        <v>9351</v>
      </c>
      <c r="K1056" s="74"/>
      <c r="L1056" s="74"/>
    </row>
    <row r="1057" spans="1:12" ht="69">
      <c r="A1057" s="73">
        <v>1056</v>
      </c>
      <c r="B1057" s="74" t="s">
        <v>11730</v>
      </c>
      <c r="C1057" s="74" t="s">
        <v>11731</v>
      </c>
      <c r="D1057" s="74" t="s">
        <v>41</v>
      </c>
      <c r="E1057" s="74" t="s">
        <v>9395</v>
      </c>
      <c r="F1057" s="74" t="s">
        <v>80</v>
      </c>
      <c r="G1057" s="74" t="s">
        <v>9982</v>
      </c>
      <c r="H1057" s="74" t="s">
        <v>46</v>
      </c>
      <c r="I1057" s="74" t="s">
        <v>47</v>
      </c>
      <c r="J1057" s="74" t="s">
        <v>9351</v>
      </c>
      <c r="K1057" s="74" t="s">
        <v>11732</v>
      </c>
      <c r="L1057" s="74" t="s">
        <v>318</v>
      </c>
    </row>
    <row r="1058" spans="1:12" ht="69">
      <c r="A1058" s="73">
        <v>1057</v>
      </c>
      <c r="B1058" s="74" t="s">
        <v>11733</v>
      </c>
      <c r="C1058" s="74" t="s">
        <v>11734</v>
      </c>
      <c r="D1058" s="74" t="s">
        <v>89</v>
      </c>
      <c r="E1058" s="74" t="s">
        <v>9395</v>
      </c>
      <c r="F1058" s="74" t="s">
        <v>80</v>
      </c>
      <c r="G1058" s="74" t="s">
        <v>11735</v>
      </c>
      <c r="H1058" s="74" t="s">
        <v>91</v>
      </c>
      <c r="I1058" s="74" t="s">
        <v>47</v>
      </c>
      <c r="J1058" s="74" t="s">
        <v>9351</v>
      </c>
      <c r="K1058" s="74" t="s">
        <v>11736</v>
      </c>
      <c r="L1058" s="74" t="s">
        <v>711</v>
      </c>
    </row>
    <row r="1059" spans="1:12" ht="55.2">
      <c r="A1059" s="73">
        <v>1058</v>
      </c>
      <c r="B1059" s="74" t="s">
        <v>11737</v>
      </c>
      <c r="C1059" s="74" t="s">
        <v>11738</v>
      </c>
      <c r="D1059" s="74" t="s">
        <v>143</v>
      </c>
      <c r="E1059" s="74" t="s">
        <v>9395</v>
      </c>
      <c r="F1059" s="74" t="s">
        <v>80</v>
      </c>
      <c r="G1059" s="74" t="s">
        <v>11739</v>
      </c>
      <c r="H1059" s="74" t="s">
        <v>327</v>
      </c>
      <c r="I1059" s="74" t="s">
        <v>47</v>
      </c>
      <c r="J1059" s="74" t="s">
        <v>9351</v>
      </c>
      <c r="K1059" s="74" t="s">
        <v>11740</v>
      </c>
      <c r="L1059" s="74" t="s">
        <v>370</v>
      </c>
    </row>
    <row r="1060" spans="1:12" ht="55.2">
      <c r="A1060" s="73">
        <v>1059</v>
      </c>
      <c r="B1060" s="74" t="s">
        <v>11741</v>
      </c>
      <c r="C1060" s="74" t="s">
        <v>11742</v>
      </c>
      <c r="D1060" s="74" t="s">
        <v>143</v>
      </c>
      <c r="E1060" s="74" t="s">
        <v>9395</v>
      </c>
      <c r="F1060" s="74" t="s">
        <v>80</v>
      </c>
      <c r="G1060" s="74" t="s">
        <v>10395</v>
      </c>
      <c r="H1060" s="74" t="s">
        <v>327</v>
      </c>
      <c r="I1060" s="74" t="s">
        <v>47</v>
      </c>
      <c r="J1060" s="74" t="s">
        <v>9351</v>
      </c>
      <c r="K1060" s="74" t="s">
        <v>11743</v>
      </c>
      <c r="L1060" s="74" t="s">
        <v>370</v>
      </c>
    </row>
    <row r="1061" spans="1:12" ht="69">
      <c r="A1061" s="73">
        <v>1060</v>
      </c>
      <c r="B1061" s="74" t="s">
        <v>11744</v>
      </c>
      <c r="C1061" s="74" t="s">
        <v>11745</v>
      </c>
      <c r="D1061" s="74" t="s">
        <v>68</v>
      </c>
      <c r="E1061" s="74" t="s">
        <v>9395</v>
      </c>
      <c r="F1061" s="74" t="s">
        <v>80</v>
      </c>
      <c r="G1061" s="74" t="s">
        <v>11746</v>
      </c>
      <c r="H1061" s="74" t="s">
        <v>91</v>
      </c>
      <c r="I1061" s="74" t="s">
        <v>47</v>
      </c>
      <c r="J1061" s="74" t="s">
        <v>9351</v>
      </c>
      <c r="K1061" s="74"/>
      <c r="L1061" s="74"/>
    </row>
    <row r="1062" spans="1:12" ht="55.2">
      <c r="A1062" s="73">
        <v>1061</v>
      </c>
      <c r="B1062" s="74" t="s">
        <v>11747</v>
      </c>
      <c r="C1062" s="74" t="s">
        <v>11748</v>
      </c>
      <c r="D1062" s="74" t="s">
        <v>41</v>
      </c>
      <c r="E1062" s="74" t="s">
        <v>9395</v>
      </c>
      <c r="F1062" s="74" t="s">
        <v>80</v>
      </c>
      <c r="G1062" s="74" t="s">
        <v>11749</v>
      </c>
      <c r="H1062" s="74" t="s">
        <v>130</v>
      </c>
      <c r="I1062" s="74" t="s">
        <v>47</v>
      </c>
      <c r="J1062" s="74" t="s">
        <v>9347</v>
      </c>
      <c r="K1062" s="74"/>
      <c r="L1062" s="74"/>
    </row>
    <row r="1063" spans="1:12" ht="69">
      <c r="A1063" s="73">
        <v>1062</v>
      </c>
      <c r="B1063" s="74" t="s">
        <v>11750</v>
      </c>
      <c r="C1063" s="74" t="s">
        <v>11751</v>
      </c>
      <c r="D1063" s="74" t="s">
        <v>89</v>
      </c>
      <c r="E1063" s="74" t="s">
        <v>9395</v>
      </c>
      <c r="F1063" s="74" t="s">
        <v>80</v>
      </c>
      <c r="G1063" s="74" t="s">
        <v>9396</v>
      </c>
      <c r="H1063" s="74" t="s">
        <v>91</v>
      </c>
      <c r="I1063" s="74" t="s">
        <v>47</v>
      </c>
      <c r="J1063" s="74" t="s">
        <v>9351</v>
      </c>
      <c r="K1063" s="74" t="s">
        <v>11752</v>
      </c>
      <c r="L1063" s="74" t="s">
        <v>711</v>
      </c>
    </row>
    <row r="1064" spans="1:12" ht="69">
      <c r="A1064" s="73">
        <v>1063</v>
      </c>
      <c r="B1064" s="74" t="s">
        <v>11753</v>
      </c>
      <c r="C1064" s="74" t="s">
        <v>11754</v>
      </c>
      <c r="D1064" s="74" t="s">
        <v>89</v>
      </c>
      <c r="E1064" s="74" t="s">
        <v>9395</v>
      </c>
      <c r="F1064" s="74" t="s">
        <v>80</v>
      </c>
      <c r="G1064" s="74" t="s">
        <v>11755</v>
      </c>
      <c r="H1064" s="74" t="s">
        <v>91</v>
      </c>
      <c r="I1064" s="74" t="s">
        <v>47</v>
      </c>
      <c r="J1064" s="74" t="s">
        <v>9351</v>
      </c>
      <c r="K1064" s="74" t="s">
        <v>11756</v>
      </c>
      <c r="L1064" s="74" t="s">
        <v>370</v>
      </c>
    </row>
    <row r="1065" spans="1:12" ht="55.2">
      <c r="A1065" s="73">
        <v>1064</v>
      </c>
      <c r="B1065" s="74" t="s">
        <v>11757</v>
      </c>
      <c r="C1065" s="74" t="s">
        <v>11758</v>
      </c>
      <c r="D1065" s="74" t="s">
        <v>41</v>
      </c>
      <c r="E1065" s="74" t="s">
        <v>9395</v>
      </c>
      <c r="F1065" s="74" t="s">
        <v>80</v>
      </c>
      <c r="G1065" s="74" t="s">
        <v>11759</v>
      </c>
      <c r="H1065" s="74" t="s">
        <v>200</v>
      </c>
      <c r="I1065" s="74" t="s">
        <v>47</v>
      </c>
      <c r="J1065" s="74" t="s">
        <v>9351</v>
      </c>
      <c r="K1065" s="74" t="s">
        <v>11760</v>
      </c>
      <c r="L1065" s="74" t="s">
        <v>318</v>
      </c>
    </row>
    <row r="1066" spans="1:12" ht="69">
      <c r="A1066" s="73">
        <v>1065</v>
      </c>
      <c r="B1066" s="74" t="s">
        <v>11761</v>
      </c>
      <c r="C1066" s="74" t="s">
        <v>11762</v>
      </c>
      <c r="D1066" s="74" t="s">
        <v>41</v>
      </c>
      <c r="E1066" s="74" t="s">
        <v>9395</v>
      </c>
      <c r="F1066" s="74" t="s">
        <v>80</v>
      </c>
      <c r="G1066" s="74" t="s">
        <v>9982</v>
      </c>
      <c r="H1066" s="74" t="s">
        <v>46</v>
      </c>
      <c r="I1066" s="74" t="s">
        <v>47</v>
      </c>
      <c r="J1066" s="74" t="s">
        <v>9351</v>
      </c>
      <c r="K1066" s="74" t="s">
        <v>11763</v>
      </c>
      <c r="L1066" s="74" t="s">
        <v>318</v>
      </c>
    </row>
    <row r="1067" spans="1:12" ht="41.4">
      <c r="A1067" s="73">
        <v>1066</v>
      </c>
      <c r="B1067" s="74" t="s">
        <v>11764</v>
      </c>
      <c r="C1067" s="74" t="s">
        <v>11765</v>
      </c>
      <c r="D1067" s="74" t="s">
        <v>153</v>
      </c>
      <c r="E1067" s="74" t="s">
        <v>9395</v>
      </c>
      <c r="F1067" s="74" t="s">
        <v>80</v>
      </c>
      <c r="G1067" s="74" t="s">
        <v>11766</v>
      </c>
      <c r="H1067" s="74" t="s">
        <v>11767</v>
      </c>
      <c r="I1067" s="74" t="s">
        <v>47</v>
      </c>
      <c r="J1067" s="74" t="s">
        <v>9351</v>
      </c>
      <c r="K1067" s="74"/>
      <c r="L1067" s="74"/>
    </row>
    <row r="1068" spans="1:12" ht="69">
      <c r="A1068" s="73">
        <v>1067</v>
      </c>
      <c r="B1068" s="74" t="s">
        <v>11768</v>
      </c>
      <c r="C1068" s="74" t="s">
        <v>8114</v>
      </c>
      <c r="D1068" s="74" t="s">
        <v>41</v>
      </c>
      <c r="E1068" s="74" t="s">
        <v>9395</v>
      </c>
      <c r="F1068" s="74" t="s">
        <v>80</v>
      </c>
      <c r="G1068" s="74" t="s">
        <v>9982</v>
      </c>
      <c r="H1068" s="74" t="s">
        <v>46</v>
      </c>
      <c r="I1068" s="74" t="s">
        <v>47</v>
      </c>
      <c r="J1068" s="74" t="s">
        <v>9351</v>
      </c>
      <c r="K1068" s="74" t="s">
        <v>11769</v>
      </c>
      <c r="L1068" s="74" t="s">
        <v>711</v>
      </c>
    </row>
    <row r="1069" spans="1:12" ht="69">
      <c r="A1069" s="73">
        <v>1068</v>
      </c>
      <c r="B1069" s="74" t="s">
        <v>11770</v>
      </c>
      <c r="C1069" s="74" t="s">
        <v>8017</v>
      </c>
      <c r="D1069" s="74" t="s">
        <v>41</v>
      </c>
      <c r="E1069" s="74" t="s">
        <v>9395</v>
      </c>
      <c r="F1069" s="74" t="s">
        <v>80</v>
      </c>
      <c r="G1069" s="74" t="s">
        <v>9982</v>
      </c>
      <c r="H1069" s="74" t="s">
        <v>46</v>
      </c>
      <c r="I1069" s="74" t="s">
        <v>47</v>
      </c>
      <c r="J1069" s="74" t="s">
        <v>9351</v>
      </c>
      <c r="K1069" s="74" t="s">
        <v>11771</v>
      </c>
      <c r="L1069" s="74" t="s">
        <v>318</v>
      </c>
    </row>
    <row r="1070" spans="1:12" ht="41.4">
      <c r="A1070" s="73">
        <v>1069</v>
      </c>
      <c r="B1070" s="74" t="s">
        <v>11772</v>
      </c>
      <c r="C1070" s="74" t="s">
        <v>11773</v>
      </c>
      <c r="D1070" s="74" t="s">
        <v>89</v>
      </c>
      <c r="E1070" s="74" t="s">
        <v>9395</v>
      </c>
      <c r="F1070" s="74" t="s">
        <v>80</v>
      </c>
      <c r="G1070" s="74" t="s">
        <v>10054</v>
      </c>
      <c r="H1070" s="74" t="s">
        <v>102</v>
      </c>
      <c r="I1070" s="74" t="s">
        <v>47</v>
      </c>
      <c r="J1070" s="74" t="s">
        <v>9351</v>
      </c>
      <c r="K1070" s="74"/>
      <c r="L1070" s="74"/>
    </row>
    <row r="1071" spans="1:12" ht="69">
      <c r="A1071" s="73">
        <v>1070</v>
      </c>
      <c r="B1071" s="74" t="s">
        <v>11774</v>
      </c>
      <c r="C1071" s="74" t="s">
        <v>11775</v>
      </c>
      <c r="D1071" s="74" t="s">
        <v>68</v>
      </c>
      <c r="E1071" s="74" t="s">
        <v>9395</v>
      </c>
      <c r="F1071" s="74" t="s">
        <v>80</v>
      </c>
      <c r="G1071" s="74" t="s">
        <v>11776</v>
      </c>
      <c r="H1071" s="74" t="s">
        <v>91</v>
      </c>
      <c r="I1071" s="74" t="s">
        <v>110</v>
      </c>
      <c r="J1071" s="74" t="s">
        <v>9351</v>
      </c>
      <c r="K1071" s="74" t="s">
        <v>11777</v>
      </c>
      <c r="L1071" s="74" t="s">
        <v>711</v>
      </c>
    </row>
    <row r="1072" spans="1:12" ht="41.4">
      <c r="A1072" s="73">
        <v>1071</v>
      </c>
      <c r="B1072" s="74" t="s">
        <v>11778</v>
      </c>
      <c r="C1072" s="74" t="s">
        <v>11779</v>
      </c>
      <c r="D1072" s="74" t="s">
        <v>41</v>
      </c>
      <c r="E1072" s="74" t="s">
        <v>9395</v>
      </c>
      <c r="F1072" s="74" t="s">
        <v>80</v>
      </c>
      <c r="G1072" s="74" t="s">
        <v>11749</v>
      </c>
      <c r="H1072" s="74" t="s">
        <v>130</v>
      </c>
      <c r="I1072" s="74" t="s">
        <v>47</v>
      </c>
      <c r="J1072" s="74" t="s">
        <v>9347</v>
      </c>
      <c r="K1072" s="74"/>
      <c r="L1072" s="74"/>
    </row>
    <row r="1073" spans="1:12" ht="55.2">
      <c r="A1073" s="73">
        <v>1072</v>
      </c>
      <c r="B1073" s="74" t="s">
        <v>11780</v>
      </c>
      <c r="C1073" s="74" t="s">
        <v>8684</v>
      </c>
      <c r="D1073" s="74" t="s">
        <v>143</v>
      </c>
      <c r="E1073" s="74" t="s">
        <v>9395</v>
      </c>
      <c r="F1073" s="74" t="s">
        <v>80</v>
      </c>
      <c r="G1073" s="74" t="s">
        <v>10395</v>
      </c>
      <c r="H1073" s="74" t="s">
        <v>327</v>
      </c>
      <c r="I1073" s="74" t="s">
        <v>8574</v>
      </c>
      <c r="J1073" s="74" t="s">
        <v>9347</v>
      </c>
      <c r="K1073" s="74" t="s">
        <v>11781</v>
      </c>
      <c r="L1073" s="74" t="s">
        <v>711</v>
      </c>
    </row>
    <row r="1074" spans="1:12" ht="41.4">
      <c r="A1074" s="73">
        <v>1073</v>
      </c>
      <c r="B1074" s="74" t="s">
        <v>11782</v>
      </c>
      <c r="C1074" s="74" t="s">
        <v>11783</v>
      </c>
      <c r="D1074" s="74" t="s">
        <v>41</v>
      </c>
      <c r="E1074" s="74" t="s">
        <v>9395</v>
      </c>
      <c r="F1074" s="74" t="s">
        <v>80</v>
      </c>
      <c r="G1074" s="74" t="s">
        <v>11749</v>
      </c>
      <c r="H1074" s="74" t="s">
        <v>130</v>
      </c>
      <c r="I1074" s="74" t="s">
        <v>47</v>
      </c>
      <c r="J1074" s="74" t="s">
        <v>9347</v>
      </c>
      <c r="K1074" s="74"/>
      <c r="L1074" s="74"/>
    </row>
    <row r="1075" spans="1:12" ht="41.4">
      <c r="A1075" s="73">
        <v>1074</v>
      </c>
      <c r="B1075" s="74" t="s">
        <v>11784</v>
      </c>
      <c r="C1075" s="74" t="s">
        <v>11785</v>
      </c>
      <c r="D1075" s="74" t="s">
        <v>41</v>
      </c>
      <c r="E1075" s="74" t="s">
        <v>9395</v>
      </c>
      <c r="F1075" s="74" t="s">
        <v>80</v>
      </c>
      <c r="G1075" s="74" t="s">
        <v>11749</v>
      </c>
      <c r="H1075" s="74" t="s">
        <v>130</v>
      </c>
      <c r="I1075" s="74" t="s">
        <v>47</v>
      </c>
      <c r="J1075" s="74" t="s">
        <v>9347</v>
      </c>
      <c r="K1075" s="74"/>
      <c r="L1075" s="74"/>
    </row>
    <row r="1076" spans="1:12" ht="69">
      <c r="A1076" s="73">
        <v>1075</v>
      </c>
      <c r="B1076" s="74" t="s">
        <v>11786</v>
      </c>
      <c r="C1076" s="74" t="s">
        <v>11787</v>
      </c>
      <c r="D1076" s="74" t="s">
        <v>41</v>
      </c>
      <c r="E1076" s="74" t="s">
        <v>9395</v>
      </c>
      <c r="F1076" s="74" t="s">
        <v>80</v>
      </c>
      <c r="G1076" s="74" t="s">
        <v>11788</v>
      </c>
      <c r="H1076" s="74" t="s">
        <v>46</v>
      </c>
      <c r="I1076" s="74" t="s">
        <v>47</v>
      </c>
      <c r="J1076" s="74" t="s">
        <v>9347</v>
      </c>
      <c r="K1076" s="74"/>
      <c r="L1076" s="74"/>
    </row>
    <row r="1077" spans="1:12" ht="55.2">
      <c r="A1077" s="73">
        <v>1076</v>
      </c>
      <c r="B1077" s="74" t="s">
        <v>11789</v>
      </c>
      <c r="C1077" s="74" t="s">
        <v>11790</v>
      </c>
      <c r="D1077" s="74" t="s">
        <v>41</v>
      </c>
      <c r="E1077" s="74" t="s">
        <v>9395</v>
      </c>
      <c r="F1077" s="74" t="s">
        <v>80</v>
      </c>
      <c r="G1077" s="74" t="s">
        <v>11791</v>
      </c>
      <c r="H1077" s="74" t="s">
        <v>479</v>
      </c>
      <c r="I1077" s="74" t="s">
        <v>47</v>
      </c>
      <c r="J1077" s="74" t="s">
        <v>9351</v>
      </c>
      <c r="K1077" s="74" t="s">
        <v>11792</v>
      </c>
      <c r="L1077" s="74" t="s">
        <v>897</v>
      </c>
    </row>
    <row r="1078" spans="1:12" ht="69">
      <c r="A1078" s="73">
        <v>1077</v>
      </c>
      <c r="B1078" s="74" t="s">
        <v>11793</v>
      </c>
      <c r="C1078" s="74" t="s">
        <v>11794</v>
      </c>
      <c r="D1078" s="74" t="s">
        <v>41</v>
      </c>
      <c r="E1078" s="74" t="s">
        <v>9395</v>
      </c>
      <c r="F1078" s="74" t="s">
        <v>80</v>
      </c>
      <c r="G1078" s="74" t="s">
        <v>11795</v>
      </c>
      <c r="H1078" s="74" t="s">
        <v>46</v>
      </c>
      <c r="I1078" s="74" t="s">
        <v>92</v>
      </c>
      <c r="J1078" s="74" t="s">
        <v>9351</v>
      </c>
      <c r="K1078" s="74" t="s">
        <v>11796</v>
      </c>
      <c r="L1078" s="74" t="s">
        <v>331</v>
      </c>
    </row>
    <row r="1079" spans="1:12" ht="69">
      <c r="A1079" s="73">
        <v>1078</v>
      </c>
      <c r="B1079" s="74" t="s">
        <v>11797</v>
      </c>
      <c r="C1079" s="74" t="s">
        <v>11798</v>
      </c>
      <c r="D1079" s="74" t="s">
        <v>41</v>
      </c>
      <c r="E1079" s="74" t="s">
        <v>9395</v>
      </c>
      <c r="F1079" s="74" t="s">
        <v>80</v>
      </c>
      <c r="G1079" s="74" t="s">
        <v>11799</v>
      </c>
      <c r="H1079" s="74" t="s">
        <v>46</v>
      </c>
      <c r="I1079" s="74" t="s">
        <v>47</v>
      </c>
      <c r="J1079" s="74" t="s">
        <v>9347</v>
      </c>
      <c r="K1079" s="74"/>
      <c r="L1079" s="74"/>
    </row>
    <row r="1080" spans="1:12" ht="41.4">
      <c r="A1080" s="73">
        <v>1079</v>
      </c>
      <c r="B1080" s="74" t="s">
        <v>11800</v>
      </c>
      <c r="C1080" s="74" t="s">
        <v>11801</v>
      </c>
      <c r="D1080" s="74" t="s">
        <v>68</v>
      </c>
      <c r="E1080" s="74" t="s">
        <v>9395</v>
      </c>
      <c r="F1080" s="74" t="s">
        <v>80</v>
      </c>
      <c r="G1080" s="74" t="s">
        <v>11802</v>
      </c>
      <c r="H1080" s="74" t="s">
        <v>102</v>
      </c>
      <c r="I1080" s="74" t="s">
        <v>47</v>
      </c>
      <c r="J1080" s="74" t="s">
        <v>9351</v>
      </c>
      <c r="K1080" s="74"/>
      <c r="L1080" s="74"/>
    </row>
    <row r="1081" spans="1:12" ht="69">
      <c r="A1081" s="73">
        <v>1080</v>
      </c>
      <c r="B1081" s="74" t="s">
        <v>11803</v>
      </c>
      <c r="C1081" s="74" t="s">
        <v>11804</v>
      </c>
      <c r="D1081" s="74" t="s">
        <v>41</v>
      </c>
      <c r="E1081" s="74" t="s">
        <v>9395</v>
      </c>
      <c r="F1081" s="74" t="s">
        <v>80</v>
      </c>
      <c r="G1081" s="74" t="s">
        <v>9982</v>
      </c>
      <c r="H1081" s="74" t="s">
        <v>46</v>
      </c>
      <c r="I1081" s="74" t="s">
        <v>47</v>
      </c>
      <c r="J1081" s="74" t="s">
        <v>9351</v>
      </c>
      <c r="K1081" s="74" t="s">
        <v>11805</v>
      </c>
      <c r="L1081" s="74" t="s">
        <v>331</v>
      </c>
    </row>
    <row r="1082" spans="1:12" ht="55.2">
      <c r="A1082" s="73">
        <v>1081</v>
      </c>
      <c r="B1082" s="74" t="s">
        <v>11806</v>
      </c>
      <c r="C1082" s="74" t="s">
        <v>11807</v>
      </c>
      <c r="D1082" s="74" t="s">
        <v>143</v>
      </c>
      <c r="E1082" s="74" t="s">
        <v>9395</v>
      </c>
      <c r="F1082" s="74" t="s">
        <v>80</v>
      </c>
      <c r="G1082" s="74" t="s">
        <v>11808</v>
      </c>
      <c r="H1082" s="74" t="s">
        <v>327</v>
      </c>
      <c r="I1082" s="74" t="s">
        <v>47</v>
      </c>
      <c r="J1082" s="74" t="s">
        <v>9351</v>
      </c>
      <c r="K1082" s="74" t="s">
        <v>11809</v>
      </c>
      <c r="L1082" s="74" t="s">
        <v>370</v>
      </c>
    </row>
    <row r="1083" spans="1:12" ht="69">
      <c r="A1083" s="73">
        <v>1082</v>
      </c>
      <c r="B1083" s="74" t="s">
        <v>11810</v>
      </c>
      <c r="C1083" s="74" t="s">
        <v>11811</v>
      </c>
      <c r="D1083" s="74" t="s">
        <v>41</v>
      </c>
      <c r="E1083" s="74" t="s">
        <v>9395</v>
      </c>
      <c r="F1083" s="74" t="s">
        <v>80</v>
      </c>
      <c r="G1083" s="74" t="s">
        <v>11812</v>
      </c>
      <c r="H1083" s="74" t="s">
        <v>46</v>
      </c>
      <c r="I1083" s="74" t="s">
        <v>47</v>
      </c>
      <c r="J1083" s="74" t="s">
        <v>9347</v>
      </c>
      <c r="K1083" s="74"/>
      <c r="L1083" s="74"/>
    </row>
    <row r="1084" spans="1:12" ht="55.2">
      <c r="A1084" s="73">
        <v>1083</v>
      </c>
      <c r="B1084" s="74" t="s">
        <v>11813</v>
      </c>
      <c r="C1084" s="74" t="s">
        <v>11814</v>
      </c>
      <c r="D1084" s="74" t="s">
        <v>153</v>
      </c>
      <c r="E1084" s="74" t="s">
        <v>9395</v>
      </c>
      <c r="F1084" s="74" t="s">
        <v>80</v>
      </c>
      <c r="G1084" s="74" t="s">
        <v>11766</v>
      </c>
      <c r="H1084" s="74" t="s">
        <v>11767</v>
      </c>
      <c r="I1084" s="74" t="s">
        <v>47</v>
      </c>
      <c r="J1084" s="74" t="s">
        <v>9351</v>
      </c>
      <c r="K1084" s="74" t="s">
        <v>11815</v>
      </c>
      <c r="L1084" s="74" t="s">
        <v>318</v>
      </c>
    </row>
    <row r="1085" spans="1:12" ht="55.2">
      <c r="A1085" s="73">
        <v>1084</v>
      </c>
      <c r="B1085" s="74" t="s">
        <v>11816</v>
      </c>
      <c r="C1085" s="74" t="s">
        <v>11817</v>
      </c>
      <c r="D1085" s="74" t="s">
        <v>68</v>
      </c>
      <c r="E1085" s="74" t="s">
        <v>9395</v>
      </c>
      <c r="F1085" s="74" t="s">
        <v>80</v>
      </c>
      <c r="G1085" s="74" t="s">
        <v>11818</v>
      </c>
      <c r="H1085" s="74" t="s">
        <v>118</v>
      </c>
      <c r="I1085" s="74" t="s">
        <v>47</v>
      </c>
      <c r="J1085" s="74" t="s">
        <v>9351</v>
      </c>
      <c r="K1085" s="74" t="s">
        <v>11819</v>
      </c>
      <c r="L1085" s="74" t="s">
        <v>711</v>
      </c>
    </row>
    <row r="1086" spans="1:12" ht="69">
      <c r="A1086" s="73">
        <v>1085</v>
      </c>
      <c r="B1086" s="74" t="s">
        <v>11820</v>
      </c>
      <c r="C1086" s="74" t="s">
        <v>11821</v>
      </c>
      <c r="D1086" s="74" t="s">
        <v>143</v>
      </c>
      <c r="E1086" s="74" t="s">
        <v>9395</v>
      </c>
      <c r="F1086" s="74" t="s">
        <v>80</v>
      </c>
      <c r="G1086" s="74" t="s">
        <v>11822</v>
      </c>
      <c r="H1086" s="74" t="s">
        <v>145</v>
      </c>
      <c r="I1086" s="74" t="s">
        <v>47</v>
      </c>
      <c r="J1086" s="74" t="s">
        <v>9351</v>
      </c>
      <c r="K1086" s="74" t="s">
        <v>11823</v>
      </c>
      <c r="L1086" s="74" t="s">
        <v>370</v>
      </c>
    </row>
    <row r="1087" spans="1:12" ht="69">
      <c r="A1087" s="73">
        <v>1086</v>
      </c>
      <c r="B1087" s="74" t="s">
        <v>11824</v>
      </c>
      <c r="C1087" s="74" t="s">
        <v>11825</v>
      </c>
      <c r="D1087" s="74" t="s">
        <v>68</v>
      </c>
      <c r="E1087" s="74" t="s">
        <v>9395</v>
      </c>
      <c r="F1087" s="74" t="s">
        <v>80</v>
      </c>
      <c r="G1087" s="74" t="s">
        <v>11826</v>
      </c>
      <c r="H1087" s="74" t="s">
        <v>91</v>
      </c>
      <c r="I1087" s="74" t="s">
        <v>110</v>
      </c>
      <c r="J1087" s="74" t="s">
        <v>9351</v>
      </c>
      <c r="K1087" s="74" t="s">
        <v>11827</v>
      </c>
      <c r="L1087" s="74" t="s">
        <v>3207</v>
      </c>
    </row>
    <row r="1088" spans="1:12" ht="41.4">
      <c r="A1088" s="73">
        <v>1087</v>
      </c>
      <c r="B1088" s="74" t="s">
        <v>11828</v>
      </c>
      <c r="C1088" s="74" t="s">
        <v>11829</v>
      </c>
      <c r="D1088" s="74" t="s">
        <v>143</v>
      </c>
      <c r="E1088" s="74" t="s">
        <v>9395</v>
      </c>
      <c r="F1088" s="74" t="s">
        <v>80</v>
      </c>
      <c r="G1088" s="74" t="s">
        <v>11341</v>
      </c>
      <c r="H1088" s="74" t="s">
        <v>400</v>
      </c>
      <c r="I1088" s="74" t="s">
        <v>47</v>
      </c>
      <c r="J1088" s="74" t="s">
        <v>9351</v>
      </c>
      <c r="K1088" s="74"/>
      <c r="L1088" s="74"/>
    </row>
    <row r="1089" spans="1:12" ht="69">
      <c r="A1089" s="73">
        <v>1088</v>
      </c>
      <c r="B1089" s="74" t="s">
        <v>11830</v>
      </c>
      <c r="C1089" s="74" t="s">
        <v>11831</v>
      </c>
      <c r="D1089" s="74" t="s">
        <v>68</v>
      </c>
      <c r="E1089" s="74" t="s">
        <v>9395</v>
      </c>
      <c r="F1089" s="74" t="s">
        <v>80</v>
      </c>
      <c r="G1089" s="74" t="s">
        <v>11826</v>
      </c>
      <c r="H1089" s="74" t="s">
        <v>91</v>
      </c>
      <c r="I1089" s="74" t="s">
        <v>47</v>
      </c>
      <c r="J1089" s="74" t="s">
        <v>9351</v>
      </c>
      <c r="K1089" s="74" t="s">
        <v>11832</v>
      </c>
      <c r="L1089" s="74" t="s">
        <v>1266</v>
      </c>
    </row>
    <row r="1090" spans="1:12" ht="69">
      <c r="A1090" s="73">
        <v>1089</v>
      </c>
      <c r="B1090" s="74" t="s">
        <v>11833</v>
      </c>
      <c r="C1090" s="74" t="s">
        <v>11834</v>
      </c>
      <c r="D1090" s="74" t="s">
        <v>41</v>
      </c>
      <c r="E1090" s="74" t="s">
        <v>9395</v>
      </c>
      <c r="F1090" s="74" t="s">
        <v>80</v>
      </c>
      <c r="G1090" s="74" t="s">
        <v>11812</v>
      </c>
      <c r="H1090" s="74" t="s">
        <v>46</v>
      </c>
      <c r="I1090" s="74" t="s">
        <v>47</v>
      </c>
      <c r="J1090" s="74" t="s">
        <v>9347</v>
      </c>
      <c r="K1090" s="74"/>
      <c r="L1090" s="74"/>
    </row>
    <row r="1091" spans="1:12" ht="69">
      <c r="A1091" s="73">
        <v>1090</v>
      </c>
      <c r="B1091" s="74" t="s">
        <v>11835</v>
      </c>
      <c r="C1091" s="74" t="s">
        <v>11836</v>
      </c>
      <c r="D1091" s="74" t="s">
        <v>41</v>
      </c>
      <c r="E1091" s="74" t="s">
        <v>9395</v>
      </c>
      <c r="F1091" s="74" t="s">
        <v>80</v>
      </c>
      <c r="G1091" s="74" t="s">
        <v>11812</v>
      </c>
      <c r="H1091" s="74" t="s">
        <v>46</v>
      </c>
      <c r="I1091" s="74" t="s">
        <v>47</v>
      </c>
      <c r="J1091" s="74" t="s">
        <v>9347</v>
      </c>
      <c r="K1091" s="74"/>
      <c r="L1091" s="74"/>
    </row>
    <row r="1092" spans="1:12" ht="69">
      <c r="A1092" s="73">
        <v>1091</v>
      </c>
      <c r="B1092" s="74" t="s">
        <v>11837</v>
      </c>
      <c r="C1092" s="74" t="s">
        <v>11838</v>
      </c>
      <c r="D1092" s="74" t="s">
        <v>41</v>
      </c>
      <c r="E1092" s="74" t="s">
        <v>9395</v>
      </c>
      <c r="F1092" s="74" t="s">
        <v>80</v>
      </c>
      <c r="G1092" s="74" t="s">
        <v>11788</v>
      </c>
      <c r="H1092" s="74" t="s">
        <v>46</v>
      </c>
      <c r="I1092" s="74" t="s">
        <v>47</v>
      </c>
      <c r="J1092" s="74" t="s">
        <v>9347</v>
      </c>
      <c r="K1092" s="74"/>
      <c r="L1092" s="74"/>
    </row>
    <row r="1093" spans="1:12" ht="69">
      <c r="A1093" s="73">
        <v>1092</v>
      </c>
      <c r="B1093" s="74" t="s">
        <v>11839</v>
      </c>
      <c r="C1093" s="74" t="s">
        <v>11840</v>
      </c>
      <c r="D1093" s="74" t="s">
        <v>41</v>
      </c>
      <c r="E1093" s="74" t="s">
        <v>9395</v>
      </c>
      <c r="F1093" s="74" t="s">
        <v>80</v>
      </c>
      <c r="G1093" s="74" t="s">
        <v>11812</v>
      </c>
      <c r="H1093" s="74" t="s">
        <v>46</v>
      </c>
      <c r="I1093" s="74" t="s">
        <v>47</v>
      </c>
      <c r="J1093" s="74" t="s">
        <v>9347</v>
      </c>
      <c r="K1093" s="74"/>
      <c r="L1093" s="74"/>
    </row>
    <row r="1094" spans="1:12" ht="69">
      <c r="A1094" s="73">
        <v>1093</v>
      </c>
      <c r="B1094" s="74" t="s">
        <v>11841</v>
      </c>
      <c r="C1094" s="74" t="s">
        <v>11842</v>
      </c>
      <c r="D1094" s="74" t="s">
        <v>41</v>
      </c>
      <c r="E1094" s="74" t="s">
        <v>9395</v>
      </c>
      <c r="F1094" s="74" t="s">
        <v>80</v>
      </c>
      <c r="G1094" s="74" t="s">
        <v>11788</v>
      </c>
      <c r="H1094" s="74" t="s">
        <v>46</v>
      </c>
      <c r="I1094" s="74" t="s">
        <v>1158</v>
      </c>
      <c r="J1094" s="74" t="s">
        <v>9347</v>
      </c>
      <c r="K1094" s="74"/>
      <c r="L1094" s="74"/>
    </row>
    <row r="1095" spans="1:12" ht="69">
      <c r="A1095" s="73">
        <v>1094</v>
      </c>
      <c r="B1095" s="74" t="s">
        <v>11843</v>
      </c>
      <c r="C1095" s="74" t="s">
        <v>11844</v>
      </c>
      <c r="D1095" s="74" t="s">
        <v>41</v>
      </c>
      <c r="E1095" s="74" t="s">
        <v>9395</v>
      </c>
      <c r="F1095" s="74" t="s">
        <v>80</v>
      </c>
      <c r="G1095" s="74" t="s">
        <v>11812</v>
      </c>
      <c r="H1095" s="74" t="s">
        <v>46</v>
      </c>
      <c r="I1095" s="74" t="s">
        <v>47</v>
      </c>
      <c r="J1095" s="74" t="s">
        <v>9347</v>
      </c>
      <c r="K1095" s="74"/>
      <c r="L1095" s="74"/>
    </row>
    <row r="1096" spans="1:12" ht="69">
      <c r="A1096" s="73">
        <v>1095</v>
      </c>
      <c r="B1096" s="74" t="s">
        <v>11845</v>
      </c>
      <c r="C1096" s="74" t="s">
        <v>11846</v>
      </c>
      <c r="D1096" s="74" t="s">
        <v>41</v>
      </c>
      <c r="E1096" s="74" t="s">
        <v>9395</v>
      </c>
      <c r="F1096" s="74" t="s">
        <v>80</v>
      </c>
      <c r="G1096" s="74" t="s">
        <v>11788</v>
      </c>
      <c r="H1096" s="74" t="s">
        <v>46</v>
      </c>
      <c r="I1096" s="74" t="s">
        <v>47</v>
      </c>
      <c r="J1096" s="74" t="s">
        <v>9347</v>
      </c>
      <c r="K1096" s="74"/>
      <c r="L1096" s="74"/>
    </row>
    <row r="1097" spans="1:12" ht="69">
      <c r="A1097" s="73">
        <v>1096</v>
      </c>
      <c r="B1097" s="74" t="s">
        <v>11847</v>
      </c>
      <c r="C1097" s="74" t="s">
        <v>11848</v>
      </c>
      <c r="D1097" s="74" t="s">
        <v>41</v>
      </c>
      <c r="E1097" s="74" t="s">
        <v>9395</v>
      </c>
      <c r="F1097" s="74" t="s">
        <v>80</v>
      </c>
      <c r="G1097" s="74" t="s">
        <v>11799</v>
      </c>
      <c r="H1097" s="74" t="s">
        <v>46</v>
      </c>
      <c r="I1097" s="74" t="s">
        <v>47</v>
      </c>
      <c r="J1097" s="74" t="s">
        <v>9347</v>
      </c>
      <c r="K1097" s="74"/>
      <c r="L1097" s="74"/>
    </row>
    <row r="1098" spans="1:12" ht="41.4">
      <c r="A1098" s="73">
        <v>1097</v>
      </c>
      <c r="B1098" s="74" t="s">
        <v>11849</v>
      </c>
      <c r="C1098" s="74" t="s">
        <v>11850</v>
      </c>
      <c r="D1098" s="74" t="s">
        <v>153</v>
      </c>
      <c r="E1098" s="74" t="s">
        <v>9395</v>
      </c>
      <c r="F1098" s="74" t="s">
        <v>80</v>
      </c>
      <c r="G1098" s="74" t="s">
        <v>11851</v>
      </c>
      <c r="H1098" s="74" t="s">
        <v>11767</v>
      </c>
      <c r="I1098" s="74" t="s">
        <v>271</v>
      </c>
      <c r="J1098" s="74" t="s">
        <v>9347</v>
      </c>
      <c r="K1098" s="74"/>
      <c r="L1098" s="74"/>
    </row>
    <row r="1099" spans="1:12" ht="41.4">
      <c r="A1099" s="73">
        <v>1098</v>
      </c>
      <c r="B1099" s="74" t="s">
        <v>11852</v>
      </c>
      <c r="C1099" s="74" t="s">
        <v>11853</v>
      </c>
      <c r="D1099" s="74" t="s">
        <v>153</v>
      </c>
      <c r="E1099" s="74" t="s">
        <v>9395</v>
      </c>
      <c r="F1099" s="74" t="s">
        <v>80</v>
      </c>
      <c r="G1099" s="74" t="s">
        <v>11766</v>
      </c>
      <c r="H1099" s="74" t="s">
        <v>11767</v>
      </c>
      <c r="I1099" s="74" t="s">
        <v>7044</v>
      </c>
      <c r="J1099" s="74" t="s">
        <v>9347</v>
      </c>
      <c r="K1099" s="74" t="s">
        <v>11854</v>
      </c>
      <c r="L1099" s="74" t="s">
        <v>701</v>
      </c>
    </row>
    <row r="1100" spans="1:12" ht="55.2">
      <c r="A1100" s="73">
        <v>1099</v>
      </c>
      <c r="B1100" s="74" t="s">
        <v>11855</v>
      </c>
      <c r="C1100" s="74" t="s">
        <v>6333</v>
      </c>
      <c r="D1100" s="74" t="s">
        <v>295</v>
      </c>
      <c r="E1100" s="74" t="s">
        <v>9344</v>
      </c>
      <c r="F1100" s="74" t="s">
        <v>9345</v>
      </c>
      <c r="G1100" s="74" t="s">
        <v>9579</v>
      </c>
      <c r="H1100" s="74" t="s">
        <v>407</v>
      </c>
      <c r="I1100" s="74" t="s">
        <v>47</v>
      </c>
      <c r="J1100" s="74" t="s">
        <v>9347</v>
      </c>
      <c r="K1100" s="74" t="s">
        <v>11856</v>
      </c>
      <c r="L1100" s="74" t="s">
        <v>318</v>
      </c>
    </row>
    <row r="1101" spans="1:12" ht="55.2">
      <c r="A1101" s="73">
        <v>1100</v>
      </c>
      <c r="B1101" s="74" t="s">
        <v>11857</v>
      </c>
      <c r="C1101" s="74" t="s">
        <v>11858</v>
      </c>
      <c r="D1101" s="74" t="s">
        <v>143</v>
      </c>
      <c r="E1101" s="74" t="s">
        <v>9395</v>
      </c>
      <c r="F1101" s="74" t="s">
        <v>80</v>
      </c>
      <c r="G1101" s="74" t="s">
        <v>11859</v>
      </c>
      <c r="H1101" s="74" t="s">
        <v>327</v>
      </c>
      <c r="I1101" s="74" t="s">
        <v>11860</v>
      </c>
      <c r="J1101" s="74" t="s">
        <v>9351</v>
      </c>
      <c r="K1101" s="74" t="s">
        <v>11861</v>
      </c>
      <c r="L1101" s="74" t="s">
        <v>251</v>
      </c>
    </row>
    <row r="1102" spans="1:12" ht="41.4">
      <c r="A1102" s="73">
        <v>1101</v>
      </c>
      <c r="B1102" s="74" t="s">
        <v>11862</v>
      </c>
      <c r="C1102" s="74" t="s">
        <v>5429</v>
      </c>
      <c r="D1102" s="74" t="s">
        <v>153</v>
      </c>
      <c r="E1102" s="74" t="s">
        <v>9344</v>
      </c>
      <c r="F1102" s="74" t="s">
        <v>9345</v>
      </c>
      <c r="G1102" s="74" t="s">
        <v>9437</v>
      </c>
      <c r="H1102" s="74" t="s">
        <v>155</v>
      </c>
      <c r="I1102" s="74" t="s">
        <v>47</v>
      </c>
      <c r="J1102" s="74" t="s">
        <v>9347</v>
      </c>
      <c r="K1102" s="74"/>
      <c r="L1102" s="74"/>
    </row>
    <row r="1103" spans="1:12" ht="55.2">
      <c r="A1103" s="73">
        <v>1102</v>
      </c>
      <c r="B1103" s="74" t="s">
        <v>11863</v>
      </c>
      <c r="C1103" s="74" t="s">
        <v>7664</v>
      </c>
      <c r="D1103" s="74" t="s">
        <v>143</v>
      </c>
      <c r="E1103" s="74" t="s">
        <v>9344</v>
      </c>
      <c r="F1103" s="74" t="s">
        <v>9345</v>
      </c>
      <c r="G1103" s="74" t="s">
        <v>9534</v>
      </c>
      <c r="H1103" s="74" t="s">
        <v>145</v>
      </c>
      <c r="I1103" s="74" t="s">
        <v>47</v>
      </c>
      <c r="J1103" s="74" t="s">
        <v>9351</v>
      </c>
      <c r="K1103" s="74" t="s">
        <v>11864</v>
      </c>
      <c r="L1103" s="74" t="s">
        <v>251</v>
      </c>
    </row>
    <row r="1104" spans="1:12" ht="41.4">
      <c r="A1104" s="73">
        <v>1103</v>
      </c>
      <c r="B1104" s="74" t="s">
        <v>11865</v>
      </c>
      <c r="C1104" s="74" t="s">
        <v>11866</v>
      </c>
      <c r="D1104" s="74" t="s">
        <v>153</v>
      </c>
      <c r="E1104" s="74" t="s">
        <v>9344</v>
      </c>
      <c r="F1104" s="74" t="s">
        <v>9345</v>
      </c>
      <c r="G1104" s="74" t="s">
        <v>9437</v>
      </c>
      <c r="H1104" s="74" t="s">
        <v>155</v>
      </c>
      <c r="I1104" s="74" t="s">
        <v>47</v>
      </c>
      <c r="J1104" s="74" t="s">
        <v>9347</v>
      </c>
      <c r="K1104" s="74" t="s">
        <v>11867</v>
      </c>
      <c r="L1104" s="74" t="s">
        <v>331</v>
      </c>
    </row>
    <row r="1105" spans="1:12" ht="41.4">
      <c r="A1105" s="73">
        <v>1104</v>
      </c>
      <c r="B1105" s="74" t="s">
        <v>11868</v>
      </c>
      <c r="C1105" s="74" t="s">
        <v>11869</v>
      </c>
      <c r="D1105" s="74" t="s">
        <v>295</v>
      </c>
      <c r="E1105" s="74" t="s">
        <v>9344</v>
      </c>
      <c r="F1105" s="74" t="s">
        <v>9345</v>
      </c>
      <c r="G1105" s="74" t="s">
        <v>9708</v>
      </c>
      <c r="H1105" s="74" t="s">
        <v>407</v>
      </c>
      <c r="I1105" s="74" t="s">
        <v>47</v>
      </c>
      <c r="J1105" s="74" t="s">
        <v>9347</v>
      </c>
      <c r="K1105" s="74" t="s">
        <v>11870</v>
      </c>
      <c r="L1105" s="74" t="s">
        <v>318</v>
      </c>
    </row>
    <row r="1106" spans="1:12" ht="41.4">
      <c r="A1106" s="73">
        <v>1105</v>
      </c>
      <c r="B1106" s="74" t="s">
        <v>11871</v>
      </c>
      <c r="C1106" s="74" t="s">
        <v>5242</v>
      </c>
      <c r="D1106" s="74" t="s">
        <v>143</v>
      </c>
      <c r="E1106" s="74" t="s">
        <v>9344</v>
      </c>
      <c r="F1106" s="74" t="s">
        <v>9345</v>
      </c>
      <c r="G1106" s="74" t="s">
        <v>10267</v>
      </c>
      <c r="H1106" s="74" t="s">
        <v>400</v>
      </c>
      <c r="I1106" s="74" t="s">
        <v>47</v>
      </c>
      <c r="J1106" s="74" t="s">
        <v>9351</v>
      </c>
      <c r="K1106" s="74"/>
      <c r="L1106" s="74"/>
    </row>
    <row r="1107" spans="1:12" ht="55.2">
      <c r="A1107" s="73">
        <v>1106</v>
      </c>
      <c r="B1107" s="74" t="s">
        <v>11872</v>
      </c>
      <c r="C1107" s="74" t="s">
        <v>11873</v>
      </c>
      <c r="D1107" s="74" t="s">
        <v>143</v>
      </c>
      <c r="E1107" s="74" t="s">
        <v>9344</v>
      </c>
      <c r="F1107" s="74" t="s">
        <v>9345</v>
      </c>
      <c r="G1107" s="74" t="s">
        <v>10267</v>
      </c>
      <c r="H1107" s="74" t="s">
        <v>400</v>
      </c>
      <c r="I1107" s="74" t="s">
        <v>47</v>
      </c>
      <c r="J1107" s="74" t="s">
        <v>9351</v>
      </c>
      <c r="K1107" s="74"/>
      <c r="L1107" s="74"/>
    </row>
    <row r="1108" spans="1:12" ht="41.4">
      <c r="A1108" s="73">
        <v>1107</v>
      </c>
      <c r="B1108" s="74" t="s">
        <v>11874</v>
      </c>
      <c r="C1108" s="74" t="s">
        <v>1616</v>
      </c>
      <c r="D1108" s="74" t="s">
        <v>143</v>
      </c>
      <c r="E1108" s="74" t="s">
        <v>9344</v>
      </c>
      <c r="F1108" s="74" t="s">
        <v>9345</v>
      </c>
      <c r="G1108" s="74" t="s">
        <v>10267</v>
      </c>
      <c r="H1108" s="74" t="s">
        <v>400</v>
      </c>
      <c r="I1108" s="74" t="s">
        <v>47</v>
      </c>
      <c r="J1108" s="74" t="s">
        <v>9351</v>
      </c>
      <c r="K1108" s="74"/>
      <c r="L1108" s="74"/>
    </row>
    <row r="1109" spans="1:12" ht="55.2">
      <c r="A1109" s="73">
        <v>1108</v>
      </c>
      <c r="B1109" s="74" t="s">
        <v>11875</v>
      </c>
      <c r="C1109" s="74" t="s">
        <v>6616</v>
      </c>
      <c r="D1109" s="74" t="s">
        <v>68</v>
      </c>
      <c r="E1109" s="74" t="s">
        <v>9344</v>
      </c>
      <c r="F1109" s="74" t="s">
        <v>9345</v>
      </c>
      <c r="G1109" s="74" t="s">
        <v>9378</v>
      </c>
      <c r="H1109" s="74" t="s">
        <v>70</v>
      </c>
      <c r="I1109" s="74" t="s">
        <v>47</v>
      </c>
      <c r="J1109" s="74" t="s">
        <v>9347</v>
      </c>
      <c r="K1109" s="74"/>
      <c r="L1109" s="74"/>
    </row>
    <row r="1110" spans="1:12" ht="41.4">
      <c r="A1110" s="73">
        <v>1109</v>
      </c>
      <c r="B1110" s="74" t="s">
        <v>11876</v>
      </c>
      <c r="C1110" s="74" t="s">
        <v>11877</v>
      </c>
      <c r="D1110" s="74" t="s">
        <v>153</v>
      </c>
      <c r="E1110" s="74" t="s">
        <v>9344</v>
      </c>
      <c r="F1110" s="74" t="s">
        <v>9345</v>
      </c>
      <c r="G1110" s="74" t="s">
        <v>9686</v>
      </c>
      <c r="H1110" s="74" t="s">
        <v>155</v>
      </c>
      <c r="I1110" s="74" t="s">
        <v>47</v>
      </c>
      <c r="J1110" s="74" t="s">
        <v>9347</v>
      </c>
      <c r="K1110" s="74"/>
      <c r="L1110" s="74"/>
    </row>
    <row r="1111" spans="1:12" ht="55.2">
      <c r="A1111" s="73">
        <v>1110</v>
      </c>
      <c r="B1111" s="74" t="s">
        <v>11878</v>
      </c>
      <c r="C1111" s="74" t="s">
        <v>11879</v>
      </c>
      <c r="D1111" s="74" t="s">
        <v>295</v>
      </c>
      <c r="E1111" s="74" t="s">
        <v>9344</v>
      </c>
      <c r="F1111" s="74" t="s">
        <v>9345</v>
      </c>
      <c r="G1111" s="74" t="s">
        <v>9355</v>
      </c>
      <c r="H1111" s="74" t="s">
        <v>297</v>
      </c>
      <c r="I1111" s="74" t="s">
        <v>47</v>
      </c>
      <c r="J1111" s="74" t="s">
        <v>9347</v>
      </c>
      <c r="K1111" s="74" t="s">
        <v>11880</v>
      </c>
      <c r="L1111" s="74" t="s">
        <v>711</v>
      </c>
    </row>
    <row r="1112" spans="1:12" ht="55.2">
      <c r="A1112" s="73">
        <v>1111</v>
      </c>
      <c r="B1112" s="74" t="s">
        <v>11881</v>
      </c>
      <c r="C1112" s="74" t="s">
        <v>11882</v>
      </c>
      <c r="D1112" s="74" t="s">
        <v>143</v>
      </c>
      <c r="E1112" s="74" t="s">
        <v>9344</v>
      </c>
      <c r="F1112" s="74" t="s">
        <v>9345</v>
      </c>
      <c r="G1112" s="74" t="s">
        <v>9916</v>
      </c>
      <c r="H1112" s="74" t="s">
        <v>327</v>
      </c>
      <c r="I1112" s="74" t="s">
        <v>47</v>
      </c>
      <c r="J1112" s="74" t="s">
        <v>9347</v>
      </c>
      <c r="K1112" s="74"/>
      <c r="L1112" s="74"/>
    </row>
    <row r="1113" spans="1:12" ht="55.2">
      <c r="A1113" s="73">
        <v>1112</v>
      </c>
      <c r="B1113" s="74" t="s">
        <v>11883</v>
      </c>
      <c r="C1113" s="74" t="s">
        <v>11884</v>
      </c>
      <c r="D1113" s="74" t="s">
        <v>143</v>
      </c>
      <c r="E1113" s="74" t="s">
        <v>9344</v>
      </c>
      <c r="F1113" s="74" t="s">
        <v>9345</v>
      </c>
      <c r="G1113" s="74" t="s">
        <v>9375</v>
      </c>
      <c r="H1113" s="74" t="s">
        <v>327</v>
      </c>
      <c r="I1113" s="74" t="s">
        <v>47</v>
      </c>
      <c r="J1113" s="74" t="s">
        <v>9351</v>
      </c>
      <c r="K1113" s="74" t="s">
        <v>11885</v>
      </c>
      <c r="L1113" s="74" t="s">
        <v>370</v>
      </c>
    </row>
    <row r="1114" spans="1:12" ht="55.2">
      <c r="A1114" s="73">
        <v>1113</v>
      </c>
      <c r="B1114" s="74" t="s">
        <v>11886</v>
      </c>
      <c r="C1114" s="74" t="s">
        <v>1141</v>
      </c>
      <c r="D1114" s="74" t="s">
        <v>143</v>
      </c>
      <c r="E1114" s="74" t="s">
        <v>9344</v>
      </c>
      <c r="F1114" s="74" t="s">
        <v>9345</v>
      </c>
      <c r="G1114" s="74" t="s">
        <v>9375</v>
      </c>
      <c r="H1114" s="74" t="s">
        <v>327</v>
      </c>
      <c r="I1114" s="74" t="s">
        <v>47</v>
      </c>
      <c r="J1114" s="74" t="s">
        <v>9351</v>
      </c>
      <c r="K1114" s="74" t="s">
        <v>11887</v>
      </c>
      <c r="L1114" s="74" t="s">
        <v>370</v>
      </c>
    </row>
    <row r="1115" spans="1:12" ht="41.4">
      <c r="A1115" s="73">
        <v>1114</v>
      </c>
      <c r="B1115" s="74" t="s">
        <v>11888</v>
      </c>
      <c r="C1115" s="74" t="s">
        <v>560</v>
      </c>
      <c r="D1115" s="74" t="s">
        <v>41</v>
      </c>
      <c r="E1115" s="74" t="s">
        <v>9344</v>
      </c>
      <c r="F1115" s="74" t="s">
        <v>9345</v>
      </c>
      <c r="G1115" s="74" t="s">
        <v>9757</v>
      </c>
      <c r="H1115" s="74" t="s">
        <v>200</v>
      </c>
      <c r="I1115" s="74" t="s">
        <v>561</v>
      </c>
      <c r="J1115" s="74" t="s">
        <v>9351</v>
      </c>
      <c r="K1115" s="74" t="s">
        <v>11889</v>
      </c>
      <c r="L1115" s="74" t="s">
        <v>331</v>
      </c>
    </row>
    <row r="1116" spans="1:12" ht="41.4">
      <c r="A1116" s="73">
        <v>1115</v>
      </c>
      <c r="B1116" s="74" t="s">
        <v>11890</v>
      </c>
      <c r="C1116" s="74" t="s">
        <v>11891</v>
      </c>
      <c r="D1116" s="74" t="s">
        <v>41</v>
      </c>
      <c r="E1116" s="74" t="s">
        <v>9344</v>
      </c>
      <c r="F1116" s="74" t="s">
        <v>9345</v>
      </c>
      <c r="G1116" s="74" t="s">
        <v>9364</v>
      </c>
      <c r="H1116" s="74" t="s">
        <v>662</v>
      </c>
      <c r="I1116" s="74" t="s">
        <v>47</v>
      </c>
      <c r="J1116" s="74" t="s">
        <v>9347</v>
      </c>
      <c r="K1116" s="74"/>
      <c r="L1116" s="74"/>
    </row>
    <row r="1117" spans="1:12" ht="69">
      <c r="A1117" s="73">
        <v>1116</v>
      </c>
      <c r="B1117" s="74" t="s">
        <v>11892</v>
      </c>
      <c r="C1117" s="74" t="s">
        <v>813</v>
      </c>
      <c r="D1117" s="74" t="s">
        <v>41</v>
      </c>
      <c r="E1117" s="74" t="s">
        <v>9344</v>
      </c>
      <c r="F1117" s="74" t="s">
        <v>9345</v>
      </c>
      <c r="G1117" s="74" t="s">
        <v>9413</v>
      </c>
      <c r="H1117" s="74" t="s">
        <v>46</v>
      </c>
      <c r="I1117" s="74" t="s">
        <v>416</v>
      </c>
      <c r="J1117" s="74" t="s">
        <v>9347</v>
      </c>
      <c r="K1117" s="74" t="s">
        <v>11893</v>
      </c>
      <c r="L1117" s="74" t="s">
        <v>331</v>
      </c>
    </row>
    <row r="1118" spans="1:12" ht="69">
      <c r="A1118" s="73">
        <v>1117</v>
      </c>
      <c r="B1118" s="74" t="s">
        <v>11894</v>
      </c>
      <c r="C1118" s="74" t="s">
        <v>3268</v>
      </c>
      <c r="D1118" s="74" t="s">
        <v>89</v>
      </c>
      <c r="E1118" s="74" t="s">
        <v>9344</v>
      </c>
      <c r="F1118" s="74" t="s">
        <v>9345</v>
      </c>
      <c r="G1118" s="74" t="s">
        <v>9528</v>
      </c>
      <c r="H1118" s="74" t="s">
        <v>91</v>
      </c>
      <c r="I1118" s="74" t="s">
        <v>47</v>
      </c>
      <c r="J1118" s="74" t="s">
        <v>9351</v>
      </c>
      <c r="K1118" s="74" t="s">
        <v>11895</v>
      </c>
      <c r="L1118" s="74" t="s">
        <v>711</v>
      </c>
    </row>
    <row r="1119" spans="1:12" ht="69">
      <c r="A1119" s="73">
        <v>1118</v>
      </c>
      <c r="B1119" s="74" t="s">
        <v>11896</v>
      </c>
      <c r="C1119" s="74" t="s">
        <v>4538</v>
      </c>
      <c r="D1119" s="74" t="s">
        <v>41</v>
      </c>
      <c r="E1119" s="74" t="s">
        <v>9344</v>
      </c>
      <c r="F1119" s="74" t="s">
        <v>9345</v>
      </c>
      <c r="G1119" s="74" t="s">
        <v>9824</v>
      </c>
      <c r="H1119" s="74" t="s">
        <v>46</v>
      </c>
      <c r="I1119" s="74" t="s">
        <v>47</v>
      </c>
      <c r="J1119" s="74" t="s">
        <v>9347</v>
      </c>
      <c r="K1119" s="74"/>
      <c r="L1119" s="74"/>
    </row>
    <row r="1120" spans="1:12" ht="69">
      <c r="A1120" s="73">
        <v>1119</v>
      </c>
      <c r="B1120" s="74" t="s">
        <v>11897</v>
      </c>
      <c r="C1120" s="74" t="s">
        <v>11898</v>
      </c>
      <c r="D1120" s="74" t="s">
        <v>41</v>
      </c>
      <c r="E1120" s="74" t="s">
        <v>9395</v>
      </c>
      <c r="F1120" s="74" t="s">
        <v>80</v>
      </c>
      <c r="G1120" s="74" t="s">
        <v>11812</v>
      </c>
      <c r="H1120" s="74" t="s">
        <v>46</v>
      </c>
      <c r="I1120" s="74" t="s">
        <v>47</v>
      </c>
      <c r="J1120" s="74" t="s">
        <v>9347</v>
      </c>
      <c r="K1120" s="74"/>
      <c r="L1120" s="74"/>
    </row>
    <row r="1121" spans="1:12" ht="41.4">
      <c r="A1121" s="73">
        <v>1120</v>
      </c>
      <c r="B1121" s="74" t="s">
        <v>11899</v>
      </c>
      <c r="C1121" s="74" t="s">
        <v>11900</v>
      </c>
      <c r="D1121" s="74" t="s">
        <v>41</v>
      </c>
      <c r="E1121" s="74" t="s">
        <v>9395</v>
      </c>
      <c r="F1121" s="74" t="s">
        <v>80</v>
      </c>
      <c r="G1121" s="74" t="s">
        <v>11901</v>
      </c>
      <c r="H1121" s="74" t="s">
        <v>200</v>
      </c>
      <c r="I1121" s="74" t="s">
        <v>47</v>
      </c>
      <c r="J1121" s="74" t="s">
        <v>9351</v>
      </c>
      <c r="K1121" s="74"/>
      <c r="L1121" s="74"/>
    </row>
    <row r="1122" spans="1:12" ht="55.2">
      <c r="A1122" s="73">
        <v>1121</v>
      </c>
      <c r="B1122" s="74" t="s">
        <v>11902</v>
      </c>
      <c r="C1122" s="74" t="s">
        <v>11903</v>
      </c>
      <c r="D1122" s="74" t="s">
        <v>89</v>
      </c>
      <c r="E1122" s="74" t="s">
        <v>9395</v>
      </c>
      <c r="F1122" s="74" t="s">
        <v>80</v>
      </c>
      <c r="G1122" s="74" t="s">
        <v>10054</v>
      </c>
      <c r="H1122" s="74" t="s">
        <v>102</v>
      </c>
      <c r="I1122" s="74" t="s">
        <v>47</v>
      </c>
      <c r="J1122" s="74" t="s">
        <v>9351</v>
      </c>
      <c r="K1122" s="74"/>
      <c r="L1122" s="74"/>
    </row>
    <row r="1123" spans="1:12" ht="69">
      <c r="A1123" s="73">
        <v>1122</v>
      </c>
      <c r="B1123" s="74" t="s">
        <v>11904</v>
      </c>
      <c r="C1123" s="74" t="s">
        <v>11905</v>
      </c>
      <c r="D1123" s="74" t="s">
        <v>41</v>
      </c>
      <c r="E1123" s="74" t="s">
        <v>9395</v>
      </c>
      <c r="F1123" s="74" t="s">
        <v>80</v>
      </c>
      <c r="G1123" s="74" t="s">
        <v>11799</v>
      </c>
      <c r="H1123" s="74" t="s">
        <v>46</v>
      </c>
      <c r="I1123" s="74" t="s">
        <v>47</v>
      </c>
      <c r="J1123" s="74" t="s">
        <v>9347</v>
      </c>
      <c r="K1123" s="74"/>
      <c r="L1123" s="74"/>
    </row>
    <row r="1124" spans="1:12" ht="55.2">
      <c r="A1124" s="73">
        <v>1123</v>
      </c>
      <c r="B1124" s="74" t="s">
        <v>11906</v>
      </c>
      <c r="C1124" s="74" t="s">
        <v>11907</v>
      </c>
      <c r="D1124" s="74" t="s">
        <v>143</v>
      </c>
      <c r="E1124" s="74" t="s">
        <v>9395</v>
      </c>
      <c r="F1124" s="74" t="s">
        <v>80</v>
      </c>
      <c r="G1124" s="74" t="s">
        <v>11739</v>
      </c>
      <c r="H1124" s="74" t="s">
        <v>327</v>
      </c>
      <c r="I1124" s="74" t="s">
        <v>47</v>
      </c>
      <c r="J1124" s="74" t="s">
        <v>9351</v>
      </c>
      <c r="K1124" s="74"/>
      <c r="L1124" s="74"/>
    </row>
    <row r="1125" spans="1:12" ht="41.4">
      <c r="A1125" s="73">
        <v>1124</v>
      </c>
      <c r="B1125" s="74" t="s">
        <v>11908</v>
      </c>
      <c r="C1125" s="74" t="s">
        <v>11909</v>
      </c>
      <c r="D1125" s="74" t="s">
        <v>153</v>
      </c>
      <c r="E1125" s="74" t="s">
        <v>9395</v>
      </c>
      <c r="F1125" s="74" t="s">
        <v>80</v>
      </c>
      <c r="G1125" s="74" t="s">
        <v>11766</v>
      </c>
      <c r="H1125" s="74" t="s">
        <v>11767</v>
      </c>
      <c r="I1125" s="74" t="s">
        <v>47</v>
      </c>
      <c r="J1125" s="74" t="s">
        <v>9351</v>
      </c>
      <c r="K1125" s="74"/>
      <c r="L1125" s="74"/>
    </row>
    <row r="1126" spans="1:12" ht="55.2">
      <c r="A1126" s="73">
        <v>1125</v>
      </c>
      <c r="B1126" s="74" t="s">
        <v>11910</v>
      </c>
      <c r="C1126" s="74" t="s">
        <v>11911</v>
      </c>
      <c r="D1126" s="74" t="s">
        <v>153</v>
      </c>
      <c r="E1126" s="74" t="s">
        <v>9395</v>
      </c>
      <c r="F1126" s="74" t="s">
        <v>80</v>
      </c>
      <c r="G1126" s="74" t="s">
        <v>11766</v>
      </c>
      <c r="H1126" s="74" t="s">
        <v>11767</v>
      </c>
      <c r="I1126" s="74" t="s">
        <v>47</v>
      </c>
      <c r="J1126" s="74" t="s">
        <v>9351</v>
      </c>
      <c r="K1126" s="74" t="s">
        <v>11912</v>
      </c>
      <c r="L1126" s="74" t="s">
        <v>701</v>
      </c>
    </row>
    <row r="1127" spans="1:12" ht="41.4">
      <c r="A1127" s="73">
        <v>1126</v>
      </c>
      <c r="B1127" s="74" t="s">
        <v>11913</v>
      </c>
      <c r="C1127" s="74" t="s">
        <v>11914</v>
      </c>
      <c r="D1127" s="74" t="s">
        <v>68</v>
      </c>
      <c r="E1127" s="74" t="s">
        <v>9395</v>
      </c>
      <c r="F1127" s="74" t="s">
        <v>80</v>
      </c>
      <c r="G1127" s="74" t="s">
        <v>11915</v>
      </c>
      <c r="H1127" s="74" t="s">
        <v>297</v>
      </c>
      <c r="I1127" s="74" t="s">
        <v>47</v>
      </c>
      <c r="J1127" s="74" t="s">
        <v>9347</v>
      </c>
      <c r="K1127" s="74"/>
      <c r="L1127" s="74"/>
    </row>
    <row r="1128" spans="1:12" ht="55.2">
      <c r="A1128" s="73">
        <v>1127</v>
      </c>
      <c r="B1128" s="74" t="s">
        <v>11916</v>
      </c>
      <c r="C1128" s="74" t="s">
        <v>11917</v>
      </c>
      <c r="D1128" s="74" t="s">
        <v>89</v>
      </c>
      <c r="E1128" s="74" t="s">
        <v>9395</v>
      </c>
      <c r="F1128" s="74" t="s">
        <v>80</v>
      </c>
      <c r="G1128" s="74" t="s">
        <v>10054</v>
      </c>
      <c r="H1128" s="74" t="s">
        <v>102</v>
      </c>
      <c r="I1128" s="74" t="s">
        <v>47</v>
      </c>
      <c r="J1128" s="74" t="s">
        <v>9351</v>
      </c>
      <c r="K1128" s="74" t="s">
        <v>11918</v>
      </c>
      <c r="L1128" s="74" t="s">
        <v>11919</v>
      </c>
    </row>
    <row r="1129" spans="1:12" ht="69">
      <c r="A1129" s="73">
        <v>1128</v>
      </c>
      <c r="B1129" s="74" t="s">
        <v>11920</v>
      </c>
      <c r="C1129" s="74" t="s">
        <v>11921</v>
      </c>
      <c r="D1129" s="74" t="s">
        <v>41</v>
      </c>
      <c r="E1129" s="74" t="s">
        <v>9395</v>
      </c>
      <c r="F1129" s="74" t="s">
        <v>80</v>
      </c>
      <c r="G1129" s="74" t="s">
        <v>11788</v>
      </c>
      <c r="H1129" s="74" t="s">
        <v>46</v>
      </c>
      <c r="I1129" s="74" t="s">
        <v>47</v>
      </c>
      <c r="J1129" s="74" t="s">
        <v>9347</v>
      </c>
      <c r="K1129" s="74"/>
      <c r="L1129" s="74"/>
    </row>
    <row r="1130" spans="1:12" ht="41.4">
      <c r="A1130" s="73">
        <v>1129</v>
      </c>
      <c r="B1130" s="74" t="s">
        <v>11922</v>
      </c>
      <c r="C1130" s="74" t="s">
        <v>1066</v>
      </c>
      <c r="D1130" s="74" t="s">
        <v>153</v>
      </c>
      <c r="E1130" s="74" t="s">
        <v>9395</v>
      </c>
      <c r="F1130" s="74" t="s">
        <v>80</v>
      </c>
      <c r="G1130" s="74" t="s">
        <v>11766</v>
      </c>
      <c r="H1130" s="74" t="s">
        <v>11767</v>
      </c>
      <c r="I1130" s="74" t="s">
        <v>1069</v>
      </c>
      <c r="J1130" s="74" t="s">
        <v>9347</v>
      </c>
      <c r="K1130" s="74" t="s">
        <v>11923</v>
      </c>
      <c r="L1130" s="74" t="s">
        <v>897</v>
      </c>
    </row>
    <row r="1131" spans="1:12" ht="69">
      <c r="A1131" s="73">
        <v>1130</v>
      </c>
      <c r="B1131" s="74" t="s">
        <v>11924</v>
      </c>
      <c r="C1131" s="74" t="s">
        <v>11925</v>
      </c>
      <c r="D1131" s="74" t="s">
        <v>41</v>
      </c>
      <c r="E1131" s="74" t="s">
        <v>9395</v>
      </c>
      <c r="F1131" s="74" t="s">
        <v>80</v>
      </c>
      <c r="G1131" s="74" t="s">
        <v>11799</v>
      </c>
      <c r="H1131" s="74" t="s">
        <v>46</v>
      </c>
      <c r="I1131" s="74" t="s">
        <v>47</v>
      </c>
      <c r="J1131" s="74" t="s">
        <v>9347</v>
      </c>
      <c r="K1131" s="74"/>
      <c r="L1131" s="74"/>
    </row>
    <row r="1132" spans="1:12" ht="55.2">
      <c r="A1132" s="73">
        <v>1131</v>
      </c>
      <c r="B1132" s="74" t="s">
        <v>11926</v>
      </c>
      <c r="C1132" s="74" t="s">
        <v>11927</v>
      </c>
      <c r="D1132" s="74" t="s">
        <v>89</v>
      </c>
      <c r="E1132" s="74" t="s">
        <v>9395</v>
      </c>
      <c r="F1132" s="74" t="s">
        <v>80</v>
      </c>
      <c r="G1132" s="74" t="s">
        <v>11928</v>
      </c>
      <c r="H1132" s="74" t="s">
        <v>102</v>
      </c>
      <c r="I1132" s="74" t="s">
        <v>47</v>
      </c>
      <c r="J1132" s="74" t="s">
        <v>9351</v>
      </c>
      <c r="K1132" s="74" t="s">
        <v>11929</v>
      </c>
      <c r="L1132" s="74" t="s">
        <v>711</v>
      </c>
    </row>
    <row r="1133" spans="1:12" ht="41.4">
      <c r="A1133" s="73">
        <v>1132</v>
      </c>
      <c r="B1133" s="74" t="s">
        <v>11930</v>
      </c>
      <c r="C1133" s="74" t="s">
        <v>11931</v>
      </c>
      <c r="D1133" s="74" t="s">
        <v>89</v>
      </c>
      <c r="E1133" s="74" t="s">
        <v>9395</v>
      </c>
      <c r="F1133" s="74" t="s">
        <v>80</v>
      </c>
      <c r="G1133" s="74" t="s">
        <v>11932</v>
      </c>
      <c r="H1133" s="74" t="s">
        <v>102</v>
      </c>
      <c r="I1133" s="74" t="s">
        <v>47</v>
      </c>
      <c r="J1133" s="74" t="s">
        <v>9351</v>
      </c>
      <c r="K1133" s="74" t="s">
        <v>11933</v>
      </c>
      <c r="L1133" s="74" t="s">
        <v>711</v>
      </c>
    </row>
    <row r="1134" spans="1:12" ht="41.4">
      <c r="A1134" s="73">
        <v>1133</v>
      </c>
      <c r="B1134" s="74" t="s">
        <v>11934</v>
      </c>
      <c r="C1134" s="74" t="s">
        <v>11935</v>
      </c>
      <c r="D1134" s="74" t="s">
        <v>89</v>
      </c>
      <c r="E1134" s="74" t="s">
        <v>9395</v>
      </c>
      <c r="F1134" s="74" t="s">
        <v>80</v>
      </c>
      <c r="G1134" s="74" t="s">
        <v>10054</v>
      </c>
      <c r="H1134" s="74" t="s">
        <v>102</v>
      </c>
      <c r="I1134" s="74" t="s">
        <v>47</v>
      </c>
      <c r="J1134" s="74" t="s">
        <v>9351</v>
      </c>
      <c r="K1134" s="74" t="s">
        <v>11936</v>
      </c>
      <c r="L1134" s="74" t="s">
        <v>11919</v>
      </c>
    </row>
    <row r="1135" spans="1:12" ht="55.2">
      <c r="A1135" s="73">
        <v>1134</v>
      </c>
      <c r="B1135" s="74" t="s">
        <v>11937</v>
      </c>
      <c r="C1135" s="74" t="s">
        <v>11938</v>
      </c>
      <c r="D1135" s="74" t="s">
        <v>41</v>
      </c>
      <c r="E1135" s="74" t="s">
        <v>9395</v>
      </c>
      <c r="F1135" s="74" t="s">
        <v>80</v>
      </c>
      <c r="G1135" s="74" t="s">
        <v>11939</v>
      </c>
      <c r="H1135" s="74" t="s">
        <v>479</v>
      </c>
      <c r="I1135" s="74" t="s">
        <v>47</v>
      </c>
      <c r="J1135" s="74" t="s">
        <v>9351</v>
      </c>
      <c r="K1135" s="74"/>
      <c r="L1135" s="74"/>
    </row>
    <row r="1136" spans="1:12" ht="41.4">
      <c r="A1136" s="73">
        <v>1135</v>
      </c>
      <c r="B1136" s="74" t="s">
        <v>11940</v>
      </c>
      <c r="C1136" s="74" t="s">
        <v>11941</v>
      </c>
      <c r="D1136" s="74" t="s">
        <v>41</v>
      </c>
      <c r="E1136" s="74" t="s">
        <v>9395</v>
      </c>
      <c r="F1136" s="74" t="s">
        <v>80</v>
      </c>
      <c r="G1136" s="74" t="s">
        <v>11942</v>
      </c>
      <c r="H1136" s="74" t="s">
        <v>200</v>
      </c>
      <c r="I1136" s="74" t="s">
        <v>47</v>
      </c>
      <c r="J1136" s="74" t="s">
        <v>9351</v>
      </c>
      <c r="K1136" s="74" t="s">
        <v>11943</v>
      </c>
      <c r="L1136" s="74" t="s">
        <v>331</v>
      </c>
    </row>
    <row r="1137" spans="1:12" ht="55.2">
      <c r="A1137" s="73">
        <v>1136</v>
      </c>
      <c r="B1137" s="74" t="s">
        <v>11944</v>
      </c>
      <c r="C1137" s="74" t="s">
        <v>11945</v>
      </c>
      <c r="D1137" s="74" t="s">
        <v>68</v>
      </c>
      <c r="E1137" s="74" t="s">
        <v>9395</v>
      </c>
      <c r="F1137" s="74" t="s">
        <v>80</v>
      </c>
      <c r="G1137" s="74" t="s">
        <v>11802</v>
      </c>
      <c r="H1137" s="74" t="s">
        <v>102</v>
      </c>
      <c r="I1137" s="74" t="s">
        <v>47</v>
      </c>
      <c r="J1137" s="74" t="s">
        <v>9351</v>
      </c>
      <c r="K1137" s="74"/>
      <c r="L1137" s="74"/>
    </row>
    <row r="1138" spans="1:12" ht="55.2">
      <c r="A1138" s="73">
        <v>1137</v>
      </c>
      <c r="B1138" s="74" t="s">
        <v>11946</v>
      </c>
      <c r="C1138" s="74" t="s">
        <v>11947</v>
      </c>
      <c r="D1138" s="74" t="s">
        <v>143</v>
      </c>
      <c r="E1138" s="74" t="s">
        <v>9395</v>
      </c>
      <c r="F1138" s="74" t="s">
        <v>80</v>
      </c>
      <c r="G1138" s="74" t="s">
        <v>11822</v>
      </c>
      <c r="H1138" s="74" t="s">
        <v>145</v>
      </c>
      <c r="I1138" s="74" t="s">
        <v>47</v>
      </c>
      <c r="J1138" s="74" t="s">
        <v>9351</v>
      </c>
      <c r="K1138" s="74"/>
      <c r="L1138" s="74"/>
    </row>
    <row r="1139" spans="1:12" ht="41.4">
      <c r="A1139" s="73">
        <v>1138</v>
      </c>
      <c r="B1139" s="74" t="s">
        <v>11948</v>
      </c>
      <c r="C1139" s="74" t="s">
        <v>11949</v>
      </c>
      <c r="D1139" s="74" t="s">
        <v>295</v>
      </c>
      <c r="E1139" s="74" t="s">
        <v>9395</v>
      </c>
      <c r="F1139" s="74" t="s">
        <v>80</v>
      </c>
      <c r="G1139" s="74" t="s">
        <v>11950</v>
      </c>
      <c r="H1139" s="74" t="s">
        <v>297</v>
      </c>
      <c r="I1139" s="74" t="s">
        <v>47</v>
      </c>
      <c r="J1139" s="74" t="s">
        <v>9351</v>
      </c>
      <c r="K1139" s="74"/>
      <c r="L1139" s="74"/>
    </row>
    <row r="1140" spans="1:12" ht="55.2">
      <c r="A1140" s="73">
        <v>1139</v>
      </c>
      <c r="B1140" s="74" t="s">
        <v>11951</v>
      </c>
      <c r="C1140" s="74" t="s">
        <v>8492</v>
      </c>
      <c r="D1140" s="74" t="s">
        <v>143</v>
      </c>
      <c r="E1140" s="74" t="s">
        <v>9395</v>
      </c>
      <c r="F1140" s="74" t="s">
        <v>80</v>
      </c>
      <c r="G1140" s="74" t="s">
        <v>11952</v>
      </c>
      <c r="H1140" s="74" t="s">
        <v>400</v>
      </c>
      <c r="I1140" s="74" t="s">
        <v>47</v>
      </c>
      <c r="J1140" s="74" t="s">
        <v>9351</v>
      </c>
      <c r="K1140" s="74" t="s">
        <v>11953</v>
      </c>
      <c r="L1140" s="74" t="s">
        <v>1916</v>
      </c>
    </row>
    <row r="1141" spans="1:12" ht="69">
      <c r="A1141" s="73">
        <v>1140</v>
      </c>
      <c r="B1141" s="74" t="s">
        <v>11954</v>
      </c>
      <c r="C1141" s="74" t="s">
        <v>11955</v>
      </c>
      <c r="D1141" s="74" t="s">
        <v>41</v>
      </c>
      <c r="E1141" s="74" t="s">
        <v>9395</v>
      </c>
      <c r="F1141" s="74" t="s">
        <v>80</v>
      </c>
      <c r="G1141" s="74" t="s">
        <v>11788</v>
      </c>
      <c r="H1141" s="74" t="s">
        <v>46</v>
      </c>
      <c r="I1141" s="74" t="s">
        <v>47</v>
      </c>
      <c r="J1141" s="74" t="s">
        <v>9347</v>
      </c>
      <c r="K1141" s="74"/>
      <c r="L1141" s="74"/>
    </row>
    <row r="1142" spans="1:12" ht="41.4">
      <c r="A1142" s="73">
        <v>1141</v>
      </c>
      <c r="B1142" s="74" t="s">
        <v>11956</v>
      </c>
      <c r="C1142" s="74" t="s">
        <v>11957</v>
      </c>
      <c r="D1142" s="74" t="s">
        <v>295</v>
      </c>
      <c r="E1142" s="74" t="s">
        <v>9395</v>
      </c>
      <c r="F1142" s="74" t="s">
        <v>80</v>
      </c>
      <c r="G1142" s="74" t="s">
        <v>11958</v>
      </c>
      <c r="H1142" s="74" t="s">
        <v>407</v>
      </c>
      <c r="I1142" s="74" t="s">
        <v>47</v>
      </c>
      <c r="J1142" s="74" t="s">
        <v>9347</v>
      </c>
      <c r="K1142" s="74" t="s">
        <v>11959</v>
      </c>
      <c r="L1142" s="74" t="s">
        <v>318</v>
      </c>
    </row>
    <row r="1143" spans="1:12" ht="55.2">
      <c r="A1143" s="73">
        <v>1142</v>
      </c>
      <c r="B1143" s="74" t="s">
        <v>11960</v>
      </c>
      <c r="C1143" s="74" t="s">
        <v>11961</v>
      </c>
      <c r="D1143" s="74" t="s">
        <v>143</v>
      </c>
      <c r="E1143" s="74" t="s">
        <v>9395</v>
      </c>
      <c r="F1143" s="74" t="s">
        <v>80</v>
      </c>
      <c r="G1143" s="74" t="s">
        <v>11962</v>
      </c>
      <c r="H1143" s="74" t="s">
        <v>327</v>
      </c>
      <c r="I1143" s="74" t="s">
        <v>47</v>
      </c>
      <c r="J1143" s="74" t="s">
        <v>9351</v>
      </c>
      <c r="K1143" s="74"/>
      <c r="L1143" s="74"/>
    </row>
    <row r="1144" spans="1:12" ht="69">
      <c r="A1144" s="73">
        <v>1143</v>
      </c>
      <c r="B1144" s="74" t="s">
        <v>11963</v>
      </c>
      <c r="C1144" s="74" t="s">
        <v>11964</v>
      </c>
      <c r="D1144" s="74" t="s">
        <v>143</v>
      </c>
      <c r="E1144" s="74" t="s">
        <v>9395</v>
      </c>
      <c r="F1144" s="74" t="s">
        <v>80</v>
      </c>
      <c r="G1144" s="74" t="s">
        <v>11965</v>
      </c>
      <c r="H1144" s="74" t="s">
        <v>220</v>
      </c>
      <c r="I1144" s="74" t="s">
        <v>47</v>
      </c>
      <c r="J1144" s="74" t="s">
        <v>9351</v>
      </c>
      <c r="K1144" s="74" t="s">
        <v>11966</v>
      </c>
      <c r="L1144" s="74" t="s">
        <v>251</v>
      </c>
    </row>
    <row r="1145" spans="1:12" ht="69">
      <c r="A1145" s="73">
        <v>1144</v>
      </c>
      <c r="B1145" s="74" t="s">
        <v>11967</v>
      </c>
      <c r="C1145" s="74" t="s">
        <v>11968</v>
      </c>
      <c r="D1145" s="74" t="s">
        <v>41</v>
      </c>
      <c r="E1145" s="74" t="s">
        <v>9395</v>
      </c>
      <c r="F1145" s="74" t="s">
        <v>80</v>
      </c>
      <c r="G1145" s="74" t="s">
        <v>11788</v>
      </c>
      <c r="H1145" s="74" t="s">
        <v>46</v>
      </c>
      <c r="I1145" s="74" t="s">
        <v>47</v>
      </c>
      <c r="J1145" s="74" t="s">
        <v>9347</v>
      </c>
      <c r="K1145" s="74"/>
      <c r="L1145" s="74"/>
    </row>
    <row r="1146" spans="1:12" ht="69">
      <c r="A1146" s="73">
        <v>1145</v>
      </c>
      <c r="B1146" s="74" t="s">
        <v>11969</v>
      </c>
      <c r="C1146" s="74" t="s">
        <v>11970</v>
      </c>
      <c r="D1146" s="74" t="s">
        <v>89</v>
      </c>
      <c r="E1146" s="74" t="s">
        <v>9395</v>
      </c>
      <c r="F1146" s="74" t="s">
        <v>80</v>
      </c>
      <c r="G1146" s="74" t="s">
        <v>9396</v>
      </c>
      <c r="H1146" s="74" t="s">
        <v>91</v>
      </c>
      <c r="I1146" s="74" t="s">
        <v>47</v>
      </c>
      <c r="J1146" s="74" t="s">
        <v>9351</v>
      </c>
      <c r="K1146" s="74" t="s">
        <v>11971</v>
      </c>
      <c r="L1146" s="74" t="s">
        <v>711</v>
      </c>
    </row>
    <row r="1147" spans="1:12" ht="55.2">
      <c r="A1147" s="73">
        <v>1146</v>
      </c>
      <c r="B1147" s="74" t="s">
        <v>11972</v>
      </c>
      <c r="C1147" s="74" t="s">
        <v>11973</v>
      </c>
      <c r="D1147" s="74" t="s">
        <v>143</v>
      </c>
      <c r="E1147" s="74" t="s">
        <v>9395</v>
      </c>
      <c r="F1147" s="74" t="s">
        <v>80</v>
      </c>
      <c r="G1147" s="74" t="s">
        <v>11341</v>
      </c>
      <c r="H1147" s="74" t="s">
        <v>400</v>
      </c>
      <c r="I1147" s="74" t="s">
        <v>110</v>
      </c>
      <c r="J1147" s="74" t="s">
        <v>9351</v>
      </c>
      <c r="K1147" s="74" t="s">
        <v>11974</v>
      </c>
      <c r="L1147" s="74" t="s">
        <v>251</v>
      </c>
    </row>
    <row r="1148" spans="1:12" ht="55.2">
      <c r="A1148" s="73">
        <v>1147</v>
      </c>
      <c r="B1148" s="74" t="s">
        <v>11975</v>
      </c>
      <c r="C1148" s="74" t="s">
        <v>6085</v>
      </c>
      <c r="D1148" s="74" t="s">
        <v>89</v>
      </c>
      <c r="E1148" s="74" t="s">
        <v>9395</v>
      </c>
      <c r="F1148" s="74" t="s">
        <v>80</v>
      </c>
      <c r="G1148" s="74" t="s">
        <v>11976</v>
      </c>
      <c r="H1148" s="74" t="s">
        <v>109</v>
      </c>
      <c r="I1148" s="74" t="s">
        <v>47</v>
      </c>
      <c r="J1148" s="74" t="s">
        <v>9351</v>
      </c>
      <c r="K1148" s="74"/>
      <c r="L1148" s="74"/>
    </row>
    <row r="1149" spans="1:12" ht="55.2">
      <c r="A1149" s="73">
        <v>1148</v>
      </c>
      <c r="B1149" s="74" t="s">
        <v>11977</v>
      </c>
      <c r="C1149" s="74" t="s">
        <v>8762</v>
      </c>
      <c r="D1149" s="74" t="s">
        <v>143</v>
      </c>
      <c r="E1149" s="74" t="s">
        <v>9395</v>
      </c>
      <c r="F1149" s="74" t="s">
        <v>80</v>
      </c>
      <c r="G1149" s="74" t="s">
        <v>11978</v>
      </c>
      <c r="H1149" s="74" t="s">
        <v>145</v>
      </c>
      <c r="I1149" s="74" t="s">
        <v>47</v>
      </c>
      <c r="J1149" s="74" t="s">
        <v>9351</v>
      </c>
      <c r="K1149" s="74" t="s">
        <v>11979</v>
      </c>
      <c r="L1149" s="74" t="s">
        <v>370</v>
      </c>
    </row>
    <row r="1150" spans="1:12" ht="69">
      <c r="A1150" s="73">
        <v>1149</v>
      </c>
      <c r="B1150" s="74" t="s">
        <v>11980</v>
      </c>
      <c r="C1150" s="74" t="s">
        <v>5013</v>
      </c>
      <c r="D1150" s="74" t="s">
        <v>143</v>
      </c>
      <c r="E1150" s="74" t="s">
        <v>9395</v>
      </c>
      <c r="F1150" s="74" t="s">
        <v>80</v>
      </c>
      <c r="G1150" s="74" t="s">
        <v>11965</v>
      </c>
      <c r="H1150" s="74" t="s">
        <v>220</v>
      </c>
      <c r="I1150" s="74" t="s">
        <v>47</v>
      </c>
      <c r="J1150" s="74" t="s">
        <v>9351</v>
      </c>
      <c r="K1150" s="74" t="s">
        <v>11981</v>
      </c>
      <c r="L1150" s="74" t="s">
        <v>251</v>
      </c>
    </row>
    <row r="1151" spans="1:12" ht="41.4">
      <c r="A1151" s="73">
        <v>1150</v>
      </c>
      <c r="B1151" s="74" t="s">
        <v>11982</v>
      </c>
      <c r="C1151" s="74" t="s">
        <v>11983</v>
      </c>
      <c r="D1151" s="74" t="s">
        <v>89</v>
      </c>
      <c r="E1151" s="74" t="s">
        <v>9395</v>
      </c>
      <c r="F1151" s="74" t="s">
        <v>80</v>
      </c>
      <c r="G1151" s="74" t="s">
        <v>11928</v>
      </c>
      <c r="H1151" s="74" t="s">
        <v>102</v>
      </c>
      <c r="I1151" s="74" t="s">
        <v>47</v>
      </c>
      <c r="J1151" s="74" t="s">
        <v>9351</v>
      </c>
      <c r="K1151" s="74" t="s">
        <v>11984</v>
      </c>
      <c r="L1151" s="74" t="s">
        <v>711</v>
      </c>
    </row>
    <row r="1152" spans="1:12" ht="55.2">
      <c r="A1152" s="73">
        <v>1151</v>
      </c>
      <c r="B1152" s="74" t="s">
        <v>11985</v>
      </c>
      <c r="C1152" s="74" t="s">
        <v>1361</v>
      </c>
      <c r="D1152" s="74" t="s">
        <v>143</v>
      </c>
      <c r="E1152" s="74" t="s">
        <v>9395</v>
      </c>
      <c r="F1152" s="74" t="s">
        <v>80</v>
      </c>
      <c r="G1152" s="74" t="s">
        <v>10395</v>
      </c>
      <c r="H1152" s="74" t="s">
        <v>327</v>
      </c>
      <c r="I1152" s="74" t="s">
        <v>416</v>
      </c>
      <c r="J1152" s="74" t="s">
        <v>9351</v>
      </c>
      <c r="K1152" s="74" t="s">
        <v>11986</v>
      </c>
      <c r="L1152" s="74" t="s">
        <v>370</v>
      </c>
    </row>
    <row r="1153" spans="1:12" ht="41.4">
      <c r="A1153" s="73">
        <v>1152</v>
      </c>
      <c r="B1153" s="74" t="s">
        <v>11987</v>
      </c>
      <c r="C1153" s="74" t="s">
        <v>11988</v>
      </c>
      <c r="D1153" s="74" t="s">
        <v>153</v>
      </c>
      <c r="E1153" s="74" t="s">
        <v>9395</v>
      </c>
      <c r="F1153" s="74" t="s">
        <v>80</v>
      </c>
      <c r="G1153" s="74" t="s">
        <v>11766</v>
      </c>
      <c r="H1153" s="74" t="s">
        <v>11767</v>
      </c>
      <c r="I1153" s="74" t="s">
        <v>47</v>
      </c>
      <c r="J1153" s="74" t="s">
        <v>9351</v>
      </c>
      <c r="K1153" s="74"/>
      <c r="L1153" s="74"/>
    </row>
    <row r="1154" spans="1:12" ht="69">
      <c r="A1154" s="73">
        <v>1153</v>
      </c>
      <c r="B1154" s="74" t="s">
        <v>11989</v>
      </c>
      <c r="C1154" s="74" t="s">
        <v>11990</v>
      </c>
      <c r="D1154" s="74" t="s">
        <v>41</v>
      </c>
      <c r="E1154" s="74" t="s">
        <v>9395</v>
      </c>
      <c r="F1154" s="74" t="s">
        <v>80</v>
      </c>
      <c r="G1154" s="74" t="s">
        <v>11799</v>
      </c>
      <c r="H1154" s="74" t="s">
        <v>46</v>
      </c>
      <c r="I1154" s="74" t="s">
        <v>47</v>
      </c>
      <c r="J1154" s="74" t="s">
        <v>9347</v>
      </c>
      <c r="K1154" s="74"/>
      <c r="L1154" s="74"/>
    </row>
    <row r="1155" spans="1:12" ht="69">
      <c r="A1155" s="73">
        <v>1154</v>
      </c>
      <c r="B1155" s="74" t="s">
        <v>11991</v>
      </c>
      <c r="C1155" s="74" t="s">
        <v>11992</v>
      </c>
      <c r="D1155" s="74" t="s">
        <v>89</v>
      </c>
      <c r="E1155" s="74" t="s">
        <v>9395</v>
      </c>
      <c r="F1155" s="74" t="s">
        <v>80</v>
      </c>
      <c r="G1155" s="74" t="s">
        <v>9396</v>
      </c>
      <c r="H1155" s="74" t="s">
        <v>91</v>
      </c>
      <c r="I1155" s="74" t="s">
        <v>47</v>
      </c>
      <c r="J1155" s="74" t="s">
        <v>9351</v>
      </c>
      <c r="K1155" s="74"/>
      <c r="L1155" s="74"/>
    </row>
    <row r="1156" spans="1:12" ht="55.2">
      <c r="A1156" s="73">
        <v>1155</v>
      </c>
      <c r="B1156" s="74" t="s">
        <v>11993</v>
      </c>
      <c r="C1156" s="74" t="s">
        <v>11994</v>
      </c>
      <c r="D1156" s="74" t="s">
        <v>143</v>
      </c>
      <c r="E1156" s="74" t="s">
        <v>9395</v>
      </c>
      <c r="F1156" s="74" t="s">
        <v>80</v>
      </c>
      <c r="G1156" s="74" t="s">
        <v>11978</v>
      </c>
      <c r="H1156" s="74" t="s">
        <v>145</v>
      </c>
      <c r="I1156" s="74" t="s">
        <v>47</v>
      </c>
      <c r="J1156" s="74" t="s">
        <v>9351</v>
      </c>
      <c r="K1156" s="74"/>
      <c r="L1156" s="74"/>
    </row>
    <row r="1157" spans="1:12" ht="55.2">
      <c r="A1157" s="73">
        <v>1156</v>
      </c>
      <c r="B1157" s="74" t="s">
        <v>11995</v>
      </c>
      <c r="C1157" s="74" t="s">
        <v>11996</v>
      </c>
      <c r="D1157" s="74" t="s">
        <v>143</v>
      </c>
      <c r="E1157" s="74" t="s">
        <v>9395</v>
      </c>
      <c r="F1157" s="74" t="s">
        <v>80</v>
      </c>
      <c r="G1157" s="74" t="s">
        <v>11997</v>
      </c>
      <c r="H1157" s="74" t="s">
        <v>327</v>
      </c>
      <c r="I1157" s="74" t="s">
        <v>47</v>
      </c>
      <c r="J1157" s="74" t="s">
        <v>9351</v>
      </c>
      <c r="K1157" s="74" t="s">
        <v>11998</v>
      </c>
      <c r="L1157" s="74" t="s">
        <v>370</v>
      </c>
    </row>
    <row r="1158" spans="1:12" ht="55.2">
      <c r="A1158" s="73">
        <v>1157</v>
      </c>
      <c r="B1158" s="74" t="s">
        <v>11999</v>
      </c>
      <c r="C1158" s="74" t="s">
        <v>12000</v>
      </c>
      <c r="D1158" s="74" t="s">
        <v>41</v>
      </c>
      <c r="E1158" s="74" t="s">
        <v>9395</v>
      </c>
      <c r="F1158" s="74" t="s">
        <v>80</v>
      </c>
      <c r="G1158" s="74" t="s">
        <v>11939</v>
      </c>
      <c r="H1158" s="74" t="s">
        <v>479</v>
      </c>
      <c r="I1158" s="74" t="s">
        <v>47</v>
      </c>
      <c r="J1158" s="74" t="s">
        <v>9351</v>
      </c>
      <c r="K1158" s="74" t="s">
        <v>12001</v>
      </c>
      <c r="L1158" s="74" t="s">
        <v>897</v>
      </c>
    </row>
    <row r="1159" spans="1:12" ht="55.2">
      <c r="A1159" s="73">
        <v>1158</v>
      </c>
      <c r="B1159" s="74" t="s">
        <v>12002</v>
      </c>
      <c r="C1159" s="74" t="s">
        <v>12003</v>
      </c>
      <c r="D1159" s="74" t="s">
        <v>143</v>
      </c>
      <c r="E1159" s="74" t="s">
        <v>9395</v>
      </c>
      <c r="F1159" s="74" t="s">
        <v>80</v>
      </c>
      <c r="G1159" s="74" t="s">
        <v>11978</v>
      </c>
      <c r="H1159" s="74" t="s">
        <v>145</v>
      </c>
      <c r="I1159" s="74" t="s">
        <v>47</v>
      </c>
      <c r="J1159" s="74" t="s">
        <v>9351</v>
      </c>
      <c r="K1159" s="74" t="s">
        <v>12004</v>
      </c>
      <c r="L1159" s="74" t="s">
        <v>370</v>
      </c>
    </row>
    <row r="1160" spans="1:12" ht="55.2">
      <c r="A1160" s="73">
        <v>1159</v>
      </c>
      <c r="B1160" s="74" t="s">
        <v>12005</v>
      </c>
      <c r="C1160" s="74" t="s">
        <v>12006</v>
      </c>
      <c r="D1160" s="74" t="s">
        <v>143</v>
      </c>
      <c r="E1160" s="74" t="s">
        <v>9395</v>
      </c>
      <c r="F1160" s="74" t="s">
        <v>80</v>
      </c>
      <c r="G1160" s="74" t="s">
        <v>11962</v>
      </c>
      <c r="H1160" s="74" t="s">
        <v>327</v>
      </c>
      <c r="I1160" s="74" t="s">
        <v>47</v>
      </c>
      <c r="J1160" s="74" t="s">
        <v>9351</v>
      </c>
      <c r="K1160" s="74" t="s">
        <v>12007</v>
      </c>
      <c r="L1160" s="74" t="s">
        <v>370</v>
      </c>
    </row>
    <row r="1161" spans="1:12" ht="69">
      <c r="A1161" s="73">
        <v>1160</v>
      </c>
      <c r="B1161" s="74" t="s">
        <v>12008</v>
      </c>
      <c r="C1161" s="74" t="s">
        <v>12009</v>
      </c>
      <c r="D1161" s="74" t="s">
        <v>68</v>
      </c>
      <c r="E1161" s="74" t="s">
        <v>9395</v>
      </c>
      <c r="F1161" s="74" t="s">
        <v>80</v>
      </c>
      <c r="G1161" s="74" t="s">
        <v>11826</v>
      </c>
      <c r="H1161" s="74" t="s">
        <v>91</v>
      </c>
      <c r="I1161" s="74" t="s">
        <v>110</v>
      </c>
      <c r="J1161" s="74" t="s">
        <v>9351</v>
      </c>
      <c r="K1161" s="74" t="s">
        <v>12010</v>
      </c>
      <c r="L1161" s="74" t="s">
        <v>711</v>
      </c>
    </row>
    <row r="1162" spans="1:12" ht="69">
      <c r="A1162" s="73">
        <v>1161</v>
      </c>
      <c r="B1162" s="74" t="s">
        <v>12011</v>
      </c>
      <c r="C1162" s="74" t="s">
        <v>12012</v>
      </c>
      <c r="D1162" s="74" t="s">
        <v>68</v>
      </c>
      <c r="E1162" s="74" t="s">
        <v>9395</v>
      </c>
      <c r="F1162" s="74" t="s">
        <v>80</v>
      </c>
      <c r="G1162" s="74" t="s">
        <v>11826</v>
      </c>
      <c r="H1162" s="74" t="s">
        <v>91</v>
      </c>
      <c r="I1162" s="74" t="s">
        <v>110</v>
      </c>
      <c r="J1162" s="74" t="s">
        <v>9351</v>
      </c>
      <c r="K1162" s="74" t="s">
        <v>12013</v>
      </c>
      <c r="L1162" s="74" t="s">
        <v>3207</v>
      </c>
    </row>
    <row r="1163" spans="1:12" ht="55.2">
      <c r="A1163" s="73">
        <v>1162</v>
      </c>
      <c r="B1163" s="74" t="s">
        <v>12014</v>
      </c>
      <c r="C1163" s="74" t="s">
        <v>5591</v>
      </c>
      <c r="D1163" s="74" t="s">
        <v>143</v>
      </c>
      <c r="E1163" s="74" t="s">
        <v>9395</v>
      </c>
      <c r="F1163" s="74" t="s">
        <v>80</v>
      </c>
      <c r="G1163" s="74" t="s">
        <v>11962</v>
      </c>
      <c r="H1163" s="74" t="s">
        <v>327</v>
      </c>
      <c r="I1163" s="74" t="s">
        <v>47</v>
      </c>
      <c r="J1163" s="74" t="s">
        <v>9351</v>
      </c>
      <c r="K1163" s="74" t="s">
        <v>12015</v>
      </c>
      <c r="L1163" s="74" t="s">
        <v>370</v>
      </c>
    </row>
    <row r="1164" spans="1:12" ht="41.4">
      <c r="A1164" s="73">
        <v>1163</v>
      </c>
      <c r="B1164" s="74" t="s">
        <v>12016</v>
      </c>
      <c r="C1164" s="74" t="s">
        <v>12017</v>
      </c>
      <c r="D1164" s="74" t="s">
        <v>41</v>
      </c>
      <c r="E1164" s="74" t="s">
        <v>9395</v>
      </c>
      <c r="F1164" s="74" t="s">
        <v>80</v>
      </c>
      <c r="G1164" s="74" t="s">
        <v>11901</v>
      </c>
      <c r="H1164" s="74" t="s">
        <v>200</v>
      </c>
      <c r="I1164" s="74" t="s">
        <v>47</v>
      </c>
      <c r="J1164" s="74" t="s">
        <v>9351</v>
      </c>
      <c r="K1164" s="74" t="s">
        <v>12018</v>
      </c>
      <c r="L1164" s="74" t="s">
        <v>897</v>
      </c>
    </row>
    <row r="1165" spans="1:12" ht="69">
      <c r="A1165" s="73">
        <v>1164</v>
      </c>
      <c r="B1165" s="74" t="s">
        <v>12019</v>
      </c>
      <c r="C1165" s="74" t="s">
        <v>12020</v>
      </c>
      <c r="D1165" s="74" t="s">
        <v>41</v>
      </c>
      <c r="E1165" s="74" t="s">
        <v>9395</v>
      </c>
      <c r="F1165" s="74" t="s">
        <v>80</v>
      </c>
      <c r="G1165" s="74" t="s">
        <v>9982</v>
      </c>
      <c r="H1165" s="74" t="s">
        <v>46</v>
      </c>
      <c r="I1165" s="74" t="s">
        <v>110</v>
      </c>
      <c r="J1165" s="74" t="s">
        <v>9351</v>
      </c>
      <c r="K1165" s="74" t="s">
        <v>12021</v>
      </c>
      <c r="L1165" s="74" t="s">
        <v>711</v>
      </c>
    </row>
    <row r="1166" spans="1:12" ht="55.2">
      <c r="A1166" s="73">
        <v>1165</v>
      </c>
      <c r="B1166" s="74" t="s">
        <v>12022</v>
      </c>
      <c r="C1166" s="74" t="s">
        <v>5818</v>
      </c>
      <c r="D1166" s="74" t="s">
        <v>143</v>
      </c>
      <c r="E1166" s="74" t="s">
        <v>9395</v>
      </c>
      <c r="F1166" s="74" t="s">
        <v>80</v>
      </c>
      <c r="G1166" s="74" t="s">
        <v>10395</v>
      </c>
      <c r="H1166" s="74" t="s">
        <v>327</v>
      </c>
      <c r="I1166" s="74" t="s">
        <v>47</v>
      </c>
      <c r="J1166" s="74" t="s">
        <v>9351</v>
      </c>
      <c r="K1166" s="74" t="s">
        <v>12023</v>
      </c>
      <c r="L1166" s="74" t="s">
        <v>370</v>
      </c>
    </row>
    <row r="1167" spans="1:12" ht="55.2">
      <c r="A1167" s="73">
        <v>1166</v>
      </c>
      <c r="B1167" s="74" t="s">
        <v>12024</v>
      </c>
      <c r="C1167" s="74" t="s">
        <v>12025</v>
      </c>
      <c r="D1167" s="74" t="s">
        <v>143</v>
      </c>
      <c r="E1167" s="74" t="s">
        <v>9395</v>
      </c>
      <c r="F1167" s="74" t="s">
        <v>80</v>
      </c>
      <c r="G1167" s="74" t="s">
        <v>12026</v>
      </c>
      <c r="H1167" s="74" t="s">
        <v>327</v>
      </c>
      <c r="I1167" s="74" t="s">
        <v>47</v>
      </c>
      <c r="J1167" s="74" t="s">
        <v>9351</v>
      </c>
      <c r="K1167" s="74" t="s">
        <v>12027</v>
      </c>
      <c r="L1167" s="74" t="s">
        <v>370</v>
      </c>
    </row>
    <row r="1168" spans="1:12" ht="55.2">
      <c r="A1168" s="73">
        <v>1167</v>
      </c>
      <c r="B1168" s="74" t="s">
        <v>12028</v>
      </c>
      <c r="C1168" s="74" t="s">
        <v>12029</v>
      </c>
      <c r="D1168" s="74" t="s">
        <v>143</v>
      </c>
      <c r="E1168" s="74" t="s">
        <v>9395</v>
      </c>
      <c r="F1168" s="74" t="s">
        <v>80</v>
      </c>
      <c r="G1168" s="74" t="s">
        <v>10395</v>
      </c>
      <c r="H1168" s="74" t="s">
        <v>327</v>
      </c>
      <c r="I1168" s="74" t="s">
        <v>416</v>
      </c>
      <c r="J1168" s="74" t="s">
        <v>9351</v>
      </c>
      <c r="K1168" s="74" t="s">
        <v>12030</v>
      </c>
      <c r="L1168" s="74" t="s">
        <v>370</v>
      </c>
    </row>
    <row r="1169" spans="1:12" ht="55.2">
      <c r="A1169" s="73">
        <v>1168</v>
      </c>
      <c r="B1169" s="74" t="s">
        <v>12031</v>
      </c>
      <c r="C1169" s="74" t="s">
        <v>12032</v>
      </c>
      <c r="D1169" s="74" t="s">
        <v>89</v>
      </c>
      <c r="E1169" s="74" t="s">
        <v>9395</v>
      </c>
      <c r="F1169" s="74" t="s">
        <v>80</v>
      </c>
      <c r="G1169" s="74" t="s">
        <v>12033</v>
      </c>
      <c r="H1169" s="74" t="s">
        <v>102</v>
      </c>
      <c r="I1169" s="74" t="s">
        <v>416</v>
      </c>
      <c r="J1169" s="74" t="s">
        <v>9351</v>
      </c>
      <c r="K1169" s="74" t="s">
        <v>12034</v>
      </c>
      <c r="L1169" s="74" t="s">
        <v>251</v>
      </c>
    </row>
    <row r="1170" spans="1:12" ht="55.2">
      <c r="A1170" s="73">
        <v>1169</v>
      </c>
      <c r="B1170" s="74" t="s">
        <v>12035</v>
      </c>
      <c r="C1170" s="74" t="s">
        <v>1557</v>
      </c>
      <c r="D1170" s="74" t="s">
        <v>143</v>
      </c>
      <c r="E1170" s="74" t="s">
        <v>9395</v>
      </c>
      <c r="F1170" s="74" t="s">
        <v>80</v>
      </c>
      <c r="G1170" s="74" t="s">
        <v>11739</v>
      </c>
      <c r="H1170" s="74" t="s">
        <v>327</v>
      </c>
      <c r="I1170" s="74" t="s">
        <v>47</v>
      </c>
      <c r="J1170" s="74" t="s">
        <v>9351</v>
      </c>
      <c r="K1170" s="74"/>
      <c r="L1170" s="74"/>
    </row>
    <row r="1171" spans="1:12" ht="69">
      <c r="A1171" s="73">
        <v>1170</v>
      </c>
      <c r="B1171" s="74" t="s">
        <v>12036</v>
      </c>
      <c r="C1171" s="74" t="s">
        <v>12037</v>
      </c>
      <c r="D1171" s="74" t="s">
        <v>68</v>
      </c>
      <c r="E1171" s="74" t="s">
        <v>9395</v>
      </c>
      <c r="F1171" s="74" t="s">
        <v>80</v>
      </c>
      <c r="G1171" s="74" t="s">
        <v>11826</v>
      </c>
      <c r="H1171" s="74" t="s">
        <v>91</v>
      </c>
      <c r="I1171" s="74" t="s">
        <v>47</v>
      </c>
      <c r="J1171" s="74" t="s">
        <v>9351</v>
      </c>
      <c r="K1171" s="74"/>
      <c r="L1171" s="74"/>
    </row>
    <row r="1172" spans="1:12" ht="69">
      <c r="A1172" s="73">
        <v>1171</v>
      </c>
      <c r="B1172" s="74" t="s">
        <v>12038</v>
      </c>
      <c r="C1172" s="74" t="s">
        <v>12039</v>
      </c>
      <c r="D1172" s="74" t="s">
        <v>41</v>
      </c>
      <c r="E1172" s="74" t="s">
        <v>9395</v>
      </c>
      <c r="F1172" s="74" t="s">
        <v>80</v>
      </c>
      <c r="G1172" s="74" t="s">
        <v>11799</v>
      </c>
      <c r="H1172" s="74" t="s">
        <v>46</v>
      </c>
      <c r="I1172" s="74" t="s">
        <v>47</v>
      </c>
      <c r="J1172" s="74" t="s">
        <v>9347</v>
      </c>
      <c r="K1172" s="74"/>
      <c r="L1172" s="74"/>
    </row>
    <row r="1173" spans="1:12" ht="69">
      <c r="A1173" s="73">
        <v>1172</v>
      </c>
      <c r="B1173" s="74" t="s">
        <v>12040</v>
      </c>
      <c r="C1173" s="74" t="s">
        <v>12041</v>
      </c>
      <c r="D1173" s="74" t="s">
        <v>41</v>
      </c>
      <c r="E1173" s="74" t="s">
        <v>9395</v>
      </c>
      <c r="F1173" s="74" t="s">
        <v>80</v>
      </c>
      <c r="G1173" s="74" t="s">
        <v>11788</v>
      </c>
      <c r="H1173" s="74" t="s">
        <v>46</v>
      </c>
      <c r="I1173" s="74" t="s">
        <v>47</v>
      </c>
      <c r="J1173" s="74" t="s">
        <v>9347</v>
      </c>
      <c r="K1173" s="74"/>
      <c r="L1173" s="74"/>
    </row>
    <row r="1174" spans="1:12" ht="69">
      <c r="A1174" s="73">
        <v>1173</v>
      </c>
      <c r="B1174" s="74" t="s">
        <v>12042</v>
      </c>
      <c r="C1174" s="74" t="s">
        <v>12043</v>
      </c>
      <c r="D1174" s="74" t="s">
        <v>89</v>
      </c>
      <c r="E1174" s="74" t="s">
        <v>9395</v>
      </c>
      <c r="F1174" s="74" t="s">
        <v>80</v>
      </c>
      <c r="G1174" s="74" t="s">
        <v>9396</v>
      </c>
      <c r="H1174" s="74" t="s">
        <v>91</v>
      </c>
      <c r="I1174" s="74" t="s">
        <v>110</v>
      </c>
      <c r="J1174" s="74" t="s">
        <v>9351</v>
      </c>
      <c r="K1174" s="74" t="s">
        <v>12044</v>
      </c>
      <c r="L1174" s="74" t="s">
        <v>251</v>
      </c>
    </row>
    <row r="1175" spans="1:12" ht="41.4">
      <c r="A1175" s="73">
        <v>1174</v>
      </c>
      <c r="B1175" s="74" t="s">
        <v>12045</v>
      </c>
      <c r="C1175" s="74" t="s">
        <v>6844</v>
      </c>
      <c r="D1175" s="74" t="s">
        <v>143</v>
      </c>
      <c r="E1175" s="74" t="s">
        <v>9395</v>
      </c>
      <c r="F1175" s="74" t="s">
        <v>80</v>
      </c>
      <c r="G1175" s="74" t="s">
        <v>11952</v>
      </c>
      <c r="H1175" s="74" t="s">
        <v>400</v>
      </c>
      <c r="I1175" s="74" t="s">
        <v>47</v>
      </c>
      <c r="J1175" s="74" t="s">
        <v>9351</v>
      </c>
      <c r="K1175" s="74"/>
      <c r="L1175" s="74"/>
    </row>
    <row r="1176" spans="1:12" ht="55.2">
      <c r="A1176" s="73">
        <v>1175</v>
      </c>
      <c r="B1176" s="74" t="s">
        <v>12046</v>
      </c>
      <c r="C1176" s="74" t="s">
        <v>12047</v>
      </c>
      <c r="D1176" s="74" t="s">
        <v>143</v>
      </c>
      <c r="E1176" s="74" t="s">
        <v>9395</v>
      </c>
      <c r="F1176" s="74" t="s">
        <v>80</v>
      </c>
      <c r="G1176" s="74" t="s">
        <v>12026</v>
      </c>
      <c r="H1176" s="74" t="s">
        <v>327</v>
      </c>
      <c r="I1176" s="74" t="s">
        <v>47</v>
      </c>
      <c r="J1176" s="74" t="s">
        <v>9351</v>
      </c>
      <c r="K1176" s="74" t="s">
        <v>12048</v>
      </c>
      <c r="L1176" s="74" t="s">
        <v>370</v>
      </c>
    </row>
    <row r="1177" spans="1:12" ht="55.2">
      <c r="A1177" s="73">
        <v>1176</v>
      </c>
      <c r="B1177" s="74" t="s">
        <v>12049</v>
      </c>
      <c r="C1177" s="74" t="s">
        <v>12050</v>
      </c>
      <c r="D1177" s="74" t="s">
        <v>89</v>
      </c>
      <c r="E1177" s="74" t="s">
        <v>9395</v>
      </c>
      <c r="F1177" s="74" t="s">
        <v>80</v>
      </c>
      <c r="G1177" s="74" t="s">
        <v>9503</v>
      </c>
      <c r="H1177" s="74" t="s">
        <v>102</v>
      </c>
      <c r="I1177" s="74" t="s">
        <v>47</v>
      </c>
      <c r="J1177" s="74" t="s">
        <v>9351</v>
      </c>
      <c r="K1177" s="74" t="s">
        <v>12051</v>
      </c>
      <c r="L1177" s="74" t="s">
        <v>318</v>
      </c>
    </row>
    <row r="1178" spans="1:12" ht="41.4">
      <c r="A1178" s="73">
        <v>1177</v>
      </c>
      <c r="B1178" s="74" t="s">
        <v>12052</v>
      </c>
      <c r="C1178" s="74" t="s">
        <v>12053</v>
      </c>
      <c r="D1178" s="74" t="s">
        <v>89</v>
      </c>
      <c r="E1178" s="74" t="s">
        <v>9395</v>
      </c>
      <c r="F1178" s="74" t="s">
        <v>80</v>
      </c>
      <c r="G1178" s="74" t="s">
        <v>12054</v>
      </c>
      <c r="H1178" s="74" t="s">
        <v>102</v>
      </c>
      <c r="I1178" s="74" t="s">
        <v>47</v>
      </c>
      <c r="J1178" s="74" t="s">
        <v>9351</v>
      </c>
      <c r="K1178" s="74" t="s">
        <v>12055</v>
      </c>
      <c r="L1178" s="74" t="s">
        <v>711</v>
      </c>
    </row>
    <row r="1179" spans="1:12" ht="55.2">
      <c r="A1179" s="73">
        <v>1178</v>
      </c>
      <c r="B1179" s="74" t="s">
        <v>12056</v>
      </c>
      <c r="C1179" s="74" t="s">
        <v>2533</v>
      </c>
      <c r="D1179" s="74" t="s">
        <v>143</v>
      </c>
      <c r="E1179" s="74" t="s">
        <v>9395</v>
      </c>
      <c r="F1179" s="74" t="s">
        <v>80</v>
      </c>
      <c r="G1179" s="74" t="s">
        <v>11808</v>
      </c>
      <c r="H1179" s="74" t="s">
        <v>327</v>
      </c>
      <c r="I1179" s="74" t="s">
        <v>47</v>
      </c>
      <c r="J1179" s="74" t="s">
        <v>9351</v>
      </c>
      <c r="K1179" s="74" t="s">
        <v>12057</v>
      </c>
      <c r="L1179" s="74" t="s">
        <v>370</v>
      </c>
    </row>
    <row r="1180" spans="1:12" ht="41.4">
      <c r="A1180" s="73">
        <v>1179</v>
      </c>
      <c r="B1180" s="74" t="s">
        <v>12058</v>
      </c>
      <c r="C1180" s="74" t="s">
        <v>12059</v>
      </c>
      <c r="D1180" s="74" t="s">
        <v>89</v>
      </c>
      <c r="E1180" s="74" t="s">
        <v>9395</v>
      </c>
      <c r="F1180" s="74" t="s">
        <v>80</v>
      </c>
      <c r="G1180" s="74" t="s">
        <v>10054</v>
      </c>
      <c r="H1180" s="74" t="s">
        <v>102</v>
      </c>
      <c r="I1180" s="74" t="s">
        <v>47</v>
      </c>
      <c r="J1180" s="74" t="s">
        <v>9351</v>
      </c>
      <c r="K1180" s="74" t="s">
        <v>12060</v>
      </c>
      <c r="L1180" s="74" t="s">
        <v>711</v>
      </c>
    </row>
    <row r="1181" spans="1:12" ht="55.2">
      <c r="A1181" s="73">
        <v>1180</v>
      </c>
      <c r="B1181" s="74" t="s">
        <v>12061</v>
      </c>
      <c r="C1181" s="74" t="s">
        <v>12062</v>
      </c>
      <c r="D1181" s="74" t="s">
        <v>143</v>
      </c>
      <c r="E1181" s="74" t="s">
        <v>9395</v>
      </c>
      <c r="F1181" s="74" t="s">
        <v>80</v>
      </c>
      <c r="G1181" s="74" t="s">
        <v>12063</v>
      </c>
      <c r="H1181" s="74" t="s">
        <v>327</v>
      </c>
      <c r="I1181" s="74" t="s">
        <v>47</v>
      </c>
      <c r="J1181" s="74" t="s">
        <v>9351</v>
      </c>
      <c r="K1181" s="74" t="s">
        <v>12064</v>
      </c>
      <c r="L1181" s="74" t="s">
        <v>370</v>
      </c>
    </row>
    <row r="1182" spans="1:12" ht="69">
      <c r="A1182" s="73">
        <v>1181</v>
      </c>
      <c r="B1182" s="74" t="s">
        <v>12065</v>
      </c>
      <c r="C1182" s="74" t="s">
        <v>12066</v>
      </c>
      <c r="D1182" s="74" t="s">
        <v>89</v>
      </c>
      <c r="E1182" s="74" t="s">
        <v>9395</v>
      </c>
      <c r="F1182" s="74" t="s">
        <v>80</v>
      </c>
      <c r="G1182" s="74" t="s">
        <v>11755</v>
      </c>
      <c r="H1182" s="74" t="s">
        <v>91</v>
      </c>
      <c r="I1182" s="74" t="s">
        <v>47</v>
      </c>
      <c r="J1182" s="74" t="s">
        <v>9351</v>
      </c>
      <c r="K1182" s="74"/>
      <c r="L1182" s="74"/>
    </row>
    <row r="1183" spans="1:12" ht="55.2">
      <c r="A1183" s="73">
        <v>1182</v>
      </c>
      <c r="B1183" s="74" t="s">
        <v>12067</v>
      </c>
      <c r="C1183" s="74" t="s">
        <v>8833</v>
      </c>
      <c r="D1183" s="74" t="s">
        <v>143</v>
      </c>
      <c r="E1183" s="74" t="s">
        <v>9395</v>
      </c>
      <c r="F1183" s="74" t="s">
        <v>80</v>
      </c>
      <c r="G1183" s="74" t="s">
        <v>11978</v>
      </c>
      <c r="H1183" s="74" t="s">
        <v>145</v>
      </c>
      <c r="I1183" s="74" t="s">
        <v>47</v>
      </c>
      <c r="J1183" s="74" t="s">
        <v>9351</v>
      </c>
      <c r="K1183" s="74"/>
      <c r="L1183" s="74"/>
    </row>
    <row r="1184" spans="1:12" ht="69">
      <c r="A1184" s="73">
        <v>1183</v>
      </c>
      <c r="B1184" s="74" t="s">
        <v>12068</v>
      </c>
      <c r="C1184" s="74" t="s">
        <v>12069</v>
      </c>
      <c r="D1184" s="74" t="s">
        <v>89</v>
      </c>
      <c r="E1184" s="74" t="s">
        <v>9395</v>
      </c>
      <c r="F1184" s="74" t="s">
        <v>80</v>
      </c>
      <c r="G1184" s="74" t="s">
        <v>11755</v>
      </c>
      <c r="H1184" s="74" t="s">
        <v>91</v>
      </c>
      <c r="I1184" s="74" t="s">
        <v>47</v>
      </c>
      <c r="J1184" s="74" t="s">
        <v>9351</v>
      </c>
      <c r="K1184" s="74"/>
      <c r="L1184" s="74"/>
    </row>
    <row r="1185" spans="1:12" ht="55.2">
      <c r="A1185" s="73">
        <v>1184</v>
      </c>
      <c r="B1185" s="74" t="s">
        <v>12070</v>
      </c>
      <c r="C1185" s="74" t="s">
        <v>8489</v>
      </c>
      <c r="D1185" s="74" t="s">
        <v>143</v>
      </c>
      <c r="E1185" s="74" t="s">
        <v>9395</v>
      </c>
      <c r="F1185" s="74" t="s">
        <v>80</v>
      </c>
      <c r="G1185" s="74" t="s">
        <v>11962</v>
      </c>
      <c r="H1185" s="74" t="s">
        <v>327</v>
      </c>
      <c r="I1185" s="74" t="s">
        <v>47</v>
      </c>
      <c r="J1185" s="74" t="s">
        <v>9351</v>
      </c>
      <c r="K1185" s="74" t="s">
        <v>12071</v>
      </c>
      <c r="L1185" s="74" t="s">
        <v>251</v>
      </c>
    </row>
    <row r="1186" spans="1:12" ht="69">
      <c r="A1186" s="73">
        <v>1185</v>
      </c>
      <c r="B1186" s="74" t="s">
        <v>12072</v>
      </c>
      <c r="C1186" s="74" t="s">
        <v>12073</v>
      </c>
      <c r="D1186" s="74" t="s">
        <v>41</v>
      </c>
      <c r="E1186" s="74" t="s">
        <v>9395</v>
      </c>
      <c r="F1186" s="74" t="s">
        <v>80</v>
      </c>
      <c r="G1186" s="74" t="s">
        <v>11799</v>
      </c>
      <c r="H1186" s="74" t="s">
        <v>46</v>
      </c>
      <c r="I1186" s="74" t="s">
        <v>47</v>
      </c>
      <c r="J1186" s="74" t="s">
        <v>9347</v>
      </c>
      <c r="K1186" s="74"/>
      <c r="L1186" s="74"/>
    </row>
    <row r="1187" spans="1:12" ht="69">
      <c r="A1187" s="73">
        <v>1186</v>
      </c>
      <c r="B1187" s="74" t="s">
        <v>12074</v>
      </c>
      <c r="C1187" s="74" t="s">
        <v>12075</v>
      </c>
      <c r="D1187" s="74" t="s">
        <v>89</v>
      </c>
      <c r="E1187" s="74" t="s">
        <v>9395</v>
      </c>
      <c r="F1187" s="74" t="s">
        <v>80</v>
      </c>
      <c r="G1187" s="74" t="s">
        <v>9998</v>
      </c>
      <c r="H1187" s="74" t="s">
        <v>91</v>
      </c>
      <c r="I1187" s="74" t="s">
        <v>92</v>
      </c>
      <c r="J1187" s="74" t="s">
        <v>9351</v>
      </c>
      <c r="K1187" s="74" t="s">
        <v>12076</v>
      </c>
      <c r="L1187" s="74" t="s">
        <v>711</v>
      </c>
    </row>
    <row r="1188" spans="1:12" ht="69">
      <c r="A1188" s="73">
        <v>1187</v>
      </c>
      <c r="B1188" s="74" t="s">
        <v>12077</v>
      </c>
      <c r="C1188" s="74" t="s">
        <v>12078</v>
      </c>
      <c r="D1188" s="74" t="s">
        <v>89</v>
      </c>
      <c r="E1188" s="74" t="s">
        <v>9395</v>
      </c>
      <c r="F1188" s="74" t="s">
        <v>80</v>
      </c>
      <c r="G1188" s="74" t="s">
        <v>9998</v>
      </c>
      <c r="H1188" s="74" t="s">
        <v>91</v>
      </c>
      <c r="I1188" s="74" t="s">
        <v>92</v>
      </c>
      <c r="J1188" s="74" t="s">
        <v>9351</v>
      </c>
      <c r="K1188" s="74" t="s">
        <v>12079</v>
      </c>
      <c r="L1188" s="74" t="s">
        <v>711</v>
      </c>
    </row>
    <row r="1189" spans="1:12" ht="69">
      <c r="A1189" s="73">
        <v>1188</v>
      </c>
      <c r="B1189" s="74" t="s">
        <v>12080</v>
      </c>
      <c r="C1189" s="74" t="s">
        <v>12081</v>
      </c>
      <c r="D1189" s="74" t="s">
        <v>89</v>
      </c>
      <c r="E1189" s="74" t="s">
        <v>9395</v>
      </c>
      <c r="F1189" s="74" t="s">
        <v>80</v>
      </c>
      <c r="G1189" s="74" t="s">
        <v>9396</v>
      </c>
      <c r="H1189" s="74" t="s">
        <v>91</v>
      </c>
      <c r="I1189" s="74" t="s">
        <v>47</v>
      </c>
      <c r="J1189" s="74" t="s">
        <v>9351</v>
      </c>
      <c r="K1189" s="74" t="s">
        <v>12082</v>
      </c>
      <c r="L1189" s="74" t="s">
        <v>711</v>
      </c>
    </row>
    <row r="1190" spans="1:12" ht="69">
      <c r="A1190" s="73">
        <v>1189</v>
      </c>
      <c r="B1190" s="74" t="s">
        <v>12083</v>
      </c>
      <c r="C1190" s="74" t="s">
        <v>12084</v>
      </c>
      <c r="D1190" s="74" t="s">
        <v>89</v>
      </c>
      <c r="E1190" s="74" t="s">
        <v>9395</v>
      </c>
      <c r="F1190" s="74" t="s">
        <v>80</v>
      </c>
      <c r="G1190" s="74" t="s">
        <v>9998</v>
      </c>
      <c r="H1190" s="74" t="s">
        <v>91</v>
      </c>
      <c r="I1190" s="74" t="s">
        <v>92</v>
      </c>
      <c r="J1190" s="74" t="s">
        <v>9351</v>
      </c>
      <c r="K1190" s="74" t="s">
        <v>12085</v>
      </c>
      <c r="L1190" s="74" t="s">
        <v>711</v>
      </c>
    </row>
    <row r="1191" spans="1:12" ht="41.4">
      <c r="A1191" s="73">
        <v>1190</v>
      </c>
      <c r="B1191" s="74" t="s">
        <v>12086</v>
      </c>
      <c r="C1191" s="74" t="s">
        <v>8868</v>
      </c>
      <c r="D1191" s="74" t="s">
        <v>143</v>
      </c>
      <c r="E1191" s="74" t="s">
        <v>9395</v>
      </c>
      <c r="F1191" s="74" t="s">
        <v>80</v>
      </c>
      <c r="G1191" s="74" t="s">
        <v>11341</v>
      </c>
      <c r="H1191" s="74" t="s">
        <v>400</v>
      </c>
      <c r="I1191" s="74" t="s">
        <v>47</v>
      </c>
      <c r="J1191" s="74" t="s">
        <v>9351</v>
      </c>
      <c r="K1191" s="74" t="s">
        <v>12087</v>
      </c>
      <c r="L1191" s="74" t="s">
        <v>251</v>
      </c>
    </row>
    <row r="1192" spans="1:12" ht="55.2">
      <c r="A1192" s="73">
        <v>1191</v>
      </c>
      <c r="B1192" s="74" t="s">
        <v>12088</v>
      </c>
      <c r="C1192" s="74" t="s">
        <v>7114</v>
      </c>
      <c r="D1192" s="74" t="s">
        <v>143</v>
      </c>
      <c r="E1192" s="74" t="s">
        <v>9395</v>
      </c>
      <c r="F1192" s="74" t="s">
        <v>80</v>
      </c>
      <c r="G1192" s="74" t="s">
        <v>12026</v>
      </c>
      <c r="H1192" s="74" t="s">
        <v>327</v>
      </c>
      <c r="I1192" s="74" t="s">
        <v>47</v>
      </c>
      <c r="J1192" s="74" t="s">
        <v>9351</v>
      </c>
      <c r="K1192" s="74" t="s">
        <v>12089</v>
      </c>
      <c r="L1192" s="74" t="s">
        <v>251</v>
      </c>
    </row>
    <row r="1193" spans="1:12" ht="69">
      <c r="A1193" s="73">
        <v>1192</v>
      </c>
      <c r="B1193" s="74" t="s">
        <v>12090</v>
      </c>
      <c r="C1193" s="74" t="s">
        <v>12091</v>
      </c>
      <c r="D1193" s="74" t="s">
        <v>41</v>
      </c>
      <c r="E1193" s="74" t="s">
        <v>9395</v>
      </c>
      <c r="F1193" s="74" t="s">
        <v>80</v>
      </c>
      <c r="G1193" s="74" t="s">
        <v>12092</v>
      </c>
      <c r="H1193" s="74" t="s">
        <v>46</v>
      </c>
      <c r="I1193" s="74" t="s">
        <v>47</v>
      </c>
      <c r="J1193" s="74" t="s">
        <v>9351</v>
      </c>
      <c r="K1193" s="74" t="s">
        <v>12093</v>
      </c>
      <c r="L1193" s="74" t="s">
        <v>331</v>
      </c>
    </row>
    <row r="1194" spans="1:12" ht="55.2">
      <c r="A1194" s="73">
        <v>1193</v>
      </c>
      <c r="B1194" s="74" t="s">
        <v>12094</v>
      </c>
      <c r="C1194" s="74" t="s">
        <v>12095</v>
      </c>
      <c r="D1194" s="74" t="s">
        <v>143</v>
      </c>
      <c r="E1194" s="74" t="s">
        <v>9395</v>
      </c>
      <c r="F1194" s="74" t="s">
        <v>80</v>
      </c>
      <c r="G1194" s="74" t="s">
        <v>12096</v>
      </c>
      <c r="H1194" s="74" t="s">
        <v>327</v>
      </c>
      <c r="I1194" s="74" t="s">
        <v>47</v>
      </c>
      <c r="J1194" s="74" t="s">
        <v>9351</v>
      </c>
      <c r="K1194" s="74" t="s">
        <v>12097</v>
      </c>
      <c r="L1194" s="74" t="s">
        <v>251</v>
      </c>
    </row>
    <row r="1195" spans="1:12" ht="41.4">
      <c r="A1195" s="73">
        <v>1194</v>
      </c>
      <c r="B1195" s="74" t="s">
        <v>12098</v>
      </c>
      <c r="C1195" s="74" t="s">
        <v>12099</v>
      </c>
      <c r="D1195" s="74" t="s">
        <v>153</v>
      </c>
      <c r="E1195" s="74" t="s">
        <v>9395</v>
      </c>
      <c r="F1195" s="74" t="s">
        <v>80</v>
      </c>
      <c r="G1195" s="74" t="s">
        <v>11766</v>
      </c>
      <c r="H1195" s="74" t="s">
        <v>11767</v>
      </c>
      <c r="I1195" s="74" t="s">
        <v>47</v>
      </c>
      <c r="J1195" s="74" t="s">
        <v>9351</v>
      </c>
      <c r="K1195" s="74"/>
      <c r="L1195" s="74"/>
    </row>
    <row r="1196" spans="1:12" ht="55.2">
      <c r="A1196" s="73">
        <v>1195</v>
      </c>
      <c r="B1196" s="74" t="s">
        <v>12100</v>
      </c>
      <c r="C1196" s="74" t="s">
        <v>12101</v>
      </c>
      <c r="D1196" s="74" t="s">
        <v>89</v>
      </c>
      <c r="E1196" s="74" t="s">
        <v>9395</v>
      </c>
      <c r="F1196" s="74" t="s">
        <v>80</v>
      </c>
      <c r="G1196" s="74" t="s">
        <v>9503</v>
      </c>
      <c r="H1196" s="74" t="s">
        <v>102</v>
      </c>
      <c r="I1196" s="74" t="s">
        <v>47</v>
      </c>
      <c r="J1196" s="74" t="s">
        <v>9351</v>
      </c>
      <c r="K1196" s="74" t="s">
        <v>12102</v>
      </c>
      <c r="L1196" s="74" t="s">
        <v>251</v>
      </c>
    </row>
    <row r="1197" spans="1:12" ht="69">
      <c r="A1197" s="73">
        <v>1196</v>
      </c>
      <c r="B1197" s="74" t="s">
        <v>12103</v>
      </c>
      <c r="C1197" s="74" t="s">
        <v>12104</v>
      </c>
      <c r="D1197" s="74" t="s">
        <v>89</v>
      </c>
      <c r="E1197" s="74" t="s">
        <v>9395</v>
      </c>
      <c r="F1197" s="74" t="s">
        <v>80</v>
      </c>
      <c r="G1197" s="74" t="s">
        <v>9396</v>
      </c>
      <c r="H1197" s="74" t="s">
        <v>91</v>
      </c>
      <c r="I1197" s="74" t="s">
        <v>47</v>
      </c>
      <c r="J1197" s="74" t="s">
        <v>9351</v>
      </c>
      <c r="K1197" s="74" t="s">
        <v>12105</v>
      </c>
      <c r="L1197" s="74" t="s">
        <v>711</v>
      </c>
    </row>
    <row r="1198" spans="1:12" ht="41.4">
      <c r="A1198" s="73">
        <v>1197</v>
      </c>
      <c r="B1198" s="74" t="s">
        <v>12106</v>
      </c>
      <c r="C1198" s="74" t="s">
        <v>12107</v>
      </c>
      <c r="D1198" s="74" t="s">
        <v>89</v>
      </c>
      <c r="E1198" s="74" t="s">
        <v>9395</v>
      </c>
      <c r="F1198" s="74" t="s">
        <v>80</v>
      </c>
      <c r="G1198" s="74" t="s">
        <v>11928</v>
      </c>
      <c r="H1198" s="74" t="s">
        <v>102</v>
      </c>
      <c r="I1198" s="74" t="s">
        <v>47</v>
      </c>
      <c r="J1198" s="74" t="s">
        <v>9351</v>
      </c>
      <c r="K1198" s="74" t="s">
        <v>12108</v>
      </c>
      <c r="L1198" s="74" t="s">
        <v>711</v>
      </c>
    </row>
    <row r="1199" spans="1:12" ht="55.2">
      <c r="A1199" s="73">
        <v>1198</v>
      </c>
      <c r="B1199" s="74" t="s">
        <v>12109</v>
      </c>
      <c r="C1199" s="74" t="s">
        <v>12110</v>
      </c>
      <c r="D1199" s="74" t="s">
        <v>68</v>
      </c>
      <c r="E1199" s="74" t="s">
        <v>9395</v>
      </c>
      <c r="F1199" s="74" t="s">
        <v>80</v>
      </c>
      <c r="G1199" s="74" t="s">
        <v>10589</v>
      </c>
      <c r="H1199" s="74" t="s">
        <v>70</v>
      </c>
      <c r="I1199" s="74" t="s">
        <v>47</v>
      </c>
      <c r="J1199" s="74" t="s">
        <v>9351</v>
      </c>
      <c r="K1199" s="74" t="s">
        <v>12111</v>
      </c>
      <c r="L1199" s="74" t="s">
        <v>3207</v>
      </c>
    </row>
    <row r="1200" spans="1:12" ht="55.2">
      <c r="A1200" s="73">
        <v>1199</v>
      </c>
      <c r="B1200" s="74" t="s">
        <v>12112</v>
      </c>
      <c r="C1200" s="74" t="s">
        <v>7111</v>
      </c>
      <c r="D1200" s="74" t="s">
        <v>68</v>
      </c>
      <c r="E1200" s="74" t="s">
        <v>9395</v>
      </c>
      <c r="F1200" s="74" t="s">
        <v>80</v>
      </c>
      <c r="G1200" s="74" t="s">
        <v>11818</v>
      </c>
      <c r="H1200" s="74" t="s">
        <v>118</v>
      </c>
      <c r="I1200" s="74" t="s">
        <v>47</v>
      </c>
      <c r="J1200" s="74" t="s">
        <v>9351</v>
      </c>
      <c r="K1200" s="74" t="s">
        <v>12113</v>
      </c>
      <c r="L1200" s="74" t="s">
        <v>701</v>
      </c>
    </row>
    <row r="1201" spans="1:12" ht="41.4">
      <c r="A1201" s="73">
        <v>1200</v>
      </c>
      <c r="B1201" s="74" t="s">
        <v>12114</v>
      </c>
      <c r="C1201" s="74" t="s">
        <v>7349</v>
      </c>
      <c r="D1201" s="74" t="s">
        <v>143</v>
      </c>
      <c r="E1201" s="74" t="s">
        <v>9395</v>
      </c>
      <c r="F1201" s="74" t="s">
        <v>80</v>
      </c>
      <c r="G1201" s="74" t="s">
        <v>11341</v>
      </c>
      <c r="H1201" s="74" t="s">
        <v>400</v>
      </c>
      <c r="I1201" s="74" t="s">
        <v>47</v>
      </c>
      <c r="J1201" s="74" t="s">
        <v>9351</v>
      </c>
      <c r="K1201" s="74" t="s">
        <v>12115</v>
      </c>
      <c r="L1201" s="74" t="s">
        <v>251</v>
      </c>
    </row>
    <row r="1202" spans="1:12" ht="55.2">
      <c r="A1202" s="73">
        <v>1201</v>
      </c>
      <c r="B1202" s="74" t="s">
        <v>12116</v>
      </c>
      <c r="C1202" s="74" t="s">
        <v>6021</v>
      </c>
      <c r="D1202" s="74" t="s">
        <v>89</v>
      </c>
      <c r="E1202" s="74" t="s">
        <v>9395</v>
      </c>
      <c r="F1202" s="74" t="s">
        <v>80</v>
      </c>
      <c r="G1202" s="74" t="s">
        <v>9503</v>
      </c>
      <c r="H1202" s="74" t="s">
        <v>102</v>
      </c>
      <c r="I1202" s="74" t="s">
        <v>47</v>
      </c>
      <c r="J1202" s="74" t="s">
        <v>9351</v>
      </c>
      <c r="K1202" s="74" t="s">
        <v>12117</v>
      </c>
      <c r="L1202" s="74" t="s">
        <v>251</v>
      </c>
    </row>
    <row r="1203" spans="1:12" ht="55.2">
      <c r="A1203" s="73">
        <v>1202</v>
      </c>
      <c r="B1203" s="74" t="s">
        <v>12118</v>
      </c>
      <c r="C1203" s="74" t="s">
        <v>5523</v>
      </c>
      <c r="D1203" s="74" t="s">
        <v>143</v>
      </c>
      <c r="E1203" s="74" t="s">
        <v>9395</v>
      </c>
      <c r="F1203" s="74" t="s">
        <v>80</v>
      </c>
      <c r="G1203" s="74" t="s">
        <v>11962</v>
      </c>
      <c r="H1203" s="74" t="s">
        <v>327</v>
      </c>
      <c r="I1203" s="74" t="s">
        <v>47</v>
      </c>
      <c r="J1203" s="74" t="s">
        <v>9351</v>
      </c>
      <c r="K1203" s="74"/>
      <c r="L1203" s="74"/>
    </row>
    <row r="1204" spans="1:12" ht="41.4">
      <c r="A1204" s="73">
        <v>1203</v>
      </c>
      <c r="B1204" s="74" t="s">
        <v>12119</v>
      </c>
      <c r="C1204" s="74" t="s">
        <v>12120</v>
      </c>
      <c r="D1204" s="74" t="s">
        <v>89</v>
      </c>
      <c r="E1204" s="74" t="s">
        <v>9395</v>
      </c>
      <c r="F1204" s="74" t="s">
        <v>80</v>
      </c>
      <c r="G1204" s="74" t="s">
        <v>9503</v>
      </c>
      <c r="H1204" s="74" t="s">
        <v>102</v>
      </c>
      <c r="I1204" s="74" t="s">
        <v>47</v>
      </c>
      <c r="J1204" s="74" t="s">
        <v>9351</v>
      </c>
      <c r="K1204" s="74" t="s">
        <v>12121</v>
      </c>
      <c r="L1204" s="74" t="s">
        <v>251</v>
      </c>
    </row>
    <row r="1205" spans="1:12" ht="27.6">
      <c r="A1205" s="73">
        <v>1204</v>
      </c>
      <c r="B1205" s="74" t="s">
        <v>12122</v>
      </c>
      <c r="C1205" s="74" t="s">
        <v>12123</v>
      </c>
      <c r="D1205" s="74" t="s">
        <v>89</v>
      </c>
      <c r="E1205" s="74" t="s">
        <v>9395</v>
      </c>
      <c r="F1205" s="74" t="s">
        <v>80</v>
      </c>
      <c r="G1205" s="74" t="s">
        <v>9503</v>
      </c>
      <c r="H1205" s="74" t="s">
        <v>102</v>
      </c>
      <c r="I1205" s="74" t="s">
        <v>416</v>
      </c>
      <c r="J1205" s="74" t="s">
        <v>9351</v>
      </c>
      <c r="K1205" s="74" t="s">
        <v>12124</v>
      </c>
      <c r="L1205" s="74" t="s">
        <v>251</v>
      </c>
    </row>
    <row r="1206" spans="1:12" ht="55.2">
      <c r="A1206" s="73">
        <v>1205</v>
      </c>
      <c r="B1206" s="74" t="s">
        <v>12125</v>
      </c>
      <c r="C1206" s="74" t="s">
        <v>7742</v>
      </c>
      <c r="D1206" s="74" t="s">
        <v>143</v>
      </c>
      <c r="E1206" s="74" t="s">
        <v>9395</v>
      </c>
      <c r="F1206" s="74" t="s">
        <v>80</v>
      </c>
      <c r="G1206" s="74" t="s">
        <v>10395</v>
      </c>
      <c r="H1206" s="74" t="s">
        <v>327</v>
      </c>
      <c r="I1206" s="74" t="s">
        <v>47</v>
      </c>
      <c r="J1206" s="74" t="s">
        <v>9351</v>
      </c>
      <c r="K1206" s="74" t="s">
        <v>12126</v>
      </c>
      <c r="L1206" s="74" t="s">
        <v>370</v>
      </c>
    </row>
    <row r="1207" spans="1:12" ht="41.4">
      <c r="A1207" s="73">
        <v>1206</v>
      </c>
      <c r="B1207" s="74" t="s">
        <v>12127</v>
      </c>
      <c r="C1207" s="74" t="s">
        <v>12128</v>
      </c>
      <c r="D1207" s="74" t="s">
        <v>295</v>
      </c>
      <c r="E1207" s="74" t="s">
        <v>9395</v>
      </c>
      <c r="F1207" s="74" t="s">
        <v>80</v>
      </c>
      <c r="G1207" s="74" t="s">
        <v>12129</v>
      </c>
      <c r="H1207" s="74" t="s">
        <v>297</v>
      </c>
      <c r="I1207" s="74" t="s">
        <v>47</v>
      </c>
      <c r="J1207" s="74" t="s">
        <v>9351</v>
      </c>
      <c r="K1207" s="74" t="s">
        <v>12130</v>
      </c>
      <c r="L1207" s="74" t="s">
        <v>318</v>
      </c>
    </row>
    <row r="1208" spans="1:12" ht="41.4">
      <c r="A1208" s="73">
        <v>1207</v>
      </c>
      <c r="B1208" s="74" t="s">
        <v>12131</v>
      </c>
      <c r="C1208" s="74" t="s">
        <v>12132</v>
      </c>
      <c r="D1208" s="74" t="s">
        <v>295</v>
      </c>
      <c r="E1208" s="74" t="s">
        <v>9395</v>
      </c>
      <c r="F1208" s="74" t="s">
        <v>80</v>
      </c>
      <c r="G1208" s="74" t="s">
        <v>11950</v>
      </c>
      <c r="H1208" s="74" t="s">
        <v>297</v>
      </c>
      <c r="I1208" s="74" t="s">
        <v>47</v>
      </c>
      <c r="J1208" s="74" t="s">
        <v>9351</v>
      </c>
      <c r="K1208" s="74" t="s">
        <v>12133</v>
      </c>
      <c r="L1208" s="74" t="s">
        <v>897</v>
      </c>
    </row>
    <row r="1209" spans="1:12" ht="69">
      <c r="A1209" s="73">
        <v>1208</v>
      </c>
      <c r="B1209" s="74" t="s">
        <v>12134</v>
      </c>
      <c r="C1209" s="74" t="s">
        <v>12135</v>
      </c>
      <c r="D1209" s="74" t="s">
        <v>41</v>
      </c>
      <c r="E1209" s="74" t="s">
        <v>9395</v>
      </c>
      <c r="F1209" s="74" t="s">
        <v>80</v>
      </c>
      <c r="G1209" s="74" t="s">
        <v>9982</v>
      </c>
      <c r="H1209" s="74" t="s">
        <v>46</v>
      </c>
      <c r="I1209" s="74" t="s">
        <v>47</v>
      </c>
      <c r="J1209" s="74" t="s">
        <v>9351</v>
      </c>
      <c r="K1209" s="74" t="s">
        <v>12136</v>
      </c>
      <c r="L1209" s="74" t="s">
        <v>370</v>
      </c>
    </row>
    <row r="1210" spans="1:12" ht="55.2">
      <c r="A1210" s="73">
        <v>1209</v>
      </c>
      <c r="B1210" s="74" t="s">
        <v>12137</v>
      </c>
      <c r="C1210" s="74" t="s">
        <v>12138</v>
      </c>
      <c r="D1210" s="74" t="s">
        <v>295</v>
      </c>
      <c r="E1210" s="74" t="s">
        <v>9395</v>
      </c>
      <c r="F1210" s="74" t="s">
        <v>80</v>
      </c>
      <c r="G1210" s="74" t="s">
        <v>11950</v>
      </c>
      <c r="H1210" s="74" t="s">
        <v>297</v>
      </c>
      <c r="I1210" s="74" t="s">
        <v>47</v>
      </c>
      <c r="J1210" s="74" t="s">
        <v>9351</v>
      </c>
      <c r="K1210" s="74" t="s">
        <v>12139</v>
      </c>
      <c r="L1210" s="74" t="s">
        <v>1916</v>
      </c>
    </row>
    <row r="1211" spans="1:12" ht="41.4">
      <c r="A1211" s="73">
        <v>1210</v>
      </c>
      <c r="B1211" s="74" t="s">
        <v>12140</v>
      </c>
      <c r="C1211" s="74" t="s">
        <v>12141</v>
      </c>
      <c r="D1211" s="74" t="s">
        <v>295</v>
      </c>
      <c r="E1211" s="74" t="s">
        <v>9395</v>
      </c>
      <c r="F1211" s="74" t="s">
        <v>80</v>
      </c>
      <c r="G1211" s="74" t="s">
        <v>11950</v>
      </c>
      <c r="H1211" s="74" t="s">
        <v>297</v>
      </c>
      <c r="I1211" s="74" t="s">
        <v>47</v>
      </c>
      <c r="J1211" s="74" t="s">
        <v>9351</v>
      </c>
      <c r="K1211" s="74" t="s">
        <v>12142</v>
      </c>
      <c r="L1211" s="74" t="s">
        <v>897</v>
      </c>
    </row>
    <row r="1212" spans="1:12" ht="55.2">
      <c r="A1212" s="73">
        <v>1211</v>
      </c>
      <c r="B1212" s="74" t="s">
        <v>12143</v>
      </c>
      <c r="C1212" s="74" t="s">
        <v>12144</v>
      </c>
      <c r="D1212" s="74" t="s">
        <v>143</v>
      </c>
      <c r="E1212" s="74" t="s">
        <v>9395</v>
      </c>
      <c r="F1212" s="74" t="s">
        <v>80</v>
      </c>
      <c r="G1212" s="74" t="s">
        <v>12026</v>
      </c>
      <c r="H1212" s="74" t="s">
        <v>327</v>
      </c>
      <c r="I1212" s="74" t="s">
        <v>47</v>
      </c>
      <c r="J1212" s="74" t="s">
        <v>9351</v>
      </c>
      <c r="K1212" s="74" t="s">
        <v>12145</v>
      </c>
      <c r="L1212" s="74" t="s">
        <v>370</v>
      </c>
    </row>
    <row r="1213" spans="1:12" ht="41.4">
      <c r="A1213" s="73">
        <v>1212</v>
      </c>
      <c r="B1213" s="74" t="s">
        <v>12146</v>
      </c>
      <c r="C1213" s="74" t="s">
        <v>2276</v>
      </c>
      <c r="D1213" s="74" t="s">
        <v>89</v>
      </c>
      <c r="E1213" s="74" t="s">
        <v>9395</v>
      </c>
      <c r="F1213" s="74" t="s">
        <v>80</v>
      </c>
      <c r="G1213" s="74" t="s">
        <v>11928</v>
      </c>
      <c r="H1213" s="74" t="s">
        <v>102</v>
      </c>
      <c r="I1213" s="74" t="s">
        <v>47</v>
      </c>
      <c r="J1213" s="74" t="s">
        <v>9351</v>
      </c>
      <c r="K1213" s="74"/>
      <c r="L1213" s="74"/>
    </row>
    <row r="1214" spans="1:12" ht="41.4">
      <c r="A1214" s="73">
        <v>1213</v>
      </c>
      <c r="B1214" s="74" t="s">
        <v>12147</v>
      </c>
      <c r="C1214" s="74" t="s">
        <v>12148</v>
      </c>
      <c r="D1214" s="74" t="s">
        <v>89</v>
      </c>
      <c r="E1214" s="74" t="s">
        <v>9395</v>
      </c>
      <c r="F1214" s="74" t="s">
        <v>80</v>
      </c>
      <c r="G1214" s="74" t="s">
        <v>10054</v>
      </c>
      <c r="H1214" s="74" t="s">
        <v>102</v>
      </c>
      <c r="I1214" s="74" t="s">
        <v>47</v>
      </c>
      <c r="J1214" s="74" t="s">
        <v>9351</v>
      </c>
      <c r="K1214" s="74" t="s">
        <v>12149</v>
      </c>
      <c r="L1214" s="74" t="s">
        <v>711</v>
      </c>
    </row>
    <row r="1215" spans="1:12" ht="41.4">
      <c r="A1215" s="73">
        <v>1214</v>
      </c>
      <c r="B1215" s="74" t="s">
        <v>12150</v>
      </c>
      <c r="C1215" s="74" t="s">
        <v>12151</v>
      </c>
      <c r="D1215" s="74" t="s">
        <v>41</v>
      </c>
      <c r="E1215" s="74" t="s">
        <v>9395</v>
      </c>
      <c r="F1215" s="74" t="s">
        <v>80</v>
      </c>
      <c r="G1215" s="74" t="s">
        <v>11901</v>
      </c>
      <c r="H1215" s="74" t="s">
        <v>200</v>
      </c>
      <c r="I1215" s="74" t="s">
        <v>47</v>
      </c>
      <c r="J1215" s="74" t="s">
        <v>9351</v>
      </c>
      <c r="K1215" s="74" t="s">
        <v>12152</v>
      </c>
      <c r="L1215" s="74" t="s">
        <v>1916</v>
      </c>
    </row>
    <row r="1216" spans="1:12" ht="41.4">
      <c r="A1216" s="73">
        <v>1215</v>
      </c>
      <c r="B1216" s="74" t="s">
        <v>12153</v>
      </c>
      <c r="C1216" s="74" t="s">
        <v>7126</v>
      </c>
      <c r="D1216" s="74" t="s">
        <v>143</v>
      </c>
      <c r="E1216" s="74" t="s">
        <v>9395</v>
      </c>
      <c r="F1216" s="74" t="s">
        <v>80</v>
      </c>
      <c r="G1216" s="74" t="s">
        <v>11952</v>
      </c>
      <c r="H1216" s="74" t="s">
        <v>400</v>
      </c>
      <c r="I1216" s="74" t="s">
        <v>47</v>
      </c>
      <c r="J1216" s="74" t="s">
        <v>9351</v>
      </c>
      <c r="K1216" s="74"/>
      <c r="L1216" s="74"/>
    </row>
    <row r="1217" spans="1:12" ht="55.2">
      <c r="A1217" s="73">
        <v>1216</v>
      </c>
      <c r="B1217" s="74" t="s">
        <v>12154</v>
      </c>
      <c r="C1217" s="74" t="s">
        <v>1619</v>
      </c>
      <c r="D1217" s="74" t="s">
        <v>143</v>
      </c>
      <c r="E1217" s="74" t="s">
        <v>9395</v>
      </c>
      <c r="F1217" s="74" t="s">
        <v>80</v>
      </c>
      <c r="G1217" s="74" t="s">
        <v>10395</v>
      </c>
      <c r="H1217" s="74" t="s">
        <v>327</v>
      </c>
      <c r="I1217" s="74" t="s">
        <v>47</v>
      </c>
      <c r="J1217" s="74" t="s">
        <v>9351</v>
      </c>
      <c r="K1217" s="74" t="s">
        <v>12155</v>
      </c>
      <c r="L1217" s="74" t="s">
        <v>370</v>
      </c>
    </row>
    <row r="1218" spans="1:12" ht="41.4">
      <c r="A1218" s="73">
        <v>1217</v>
      </c>
      <c r="B1218" s="74" t="s">
        <v>12156</v>
      </c>
      <c r="C1218" s="74" t="s">
        <v>12157</v>
      </c>
      <c r="D1218" s="74" t="s">
        <v>295</v>
      </c>
      <c r="E1218" s="74" t="s">
        <v>9395</v>
      </c>
      <c r="F1218" s="74" t="s">
        <v>80</v>
      </c>
      <c r="G1218" s="74" t="s">
        <v>11950</v>
      </c>
      <c r="H1218" s="74" t="s">
        <v>297</v>
      </c>
      <c r="I1218" s="74" t="s">
        <v>47</v>
      </c>
      <c r="J1218" s="74" t="s">
        <v>9351</v>
      </c>
      <c r="K1218" s="74" t="s">
        <v>12158</v>
      </c>
      <c r="L1218" s="74" t="s">
        <v>1916</v>
      </c>
    </row>
    <row r="1219" spans="1:12" ht="41.4">
      <c r="A1219" s="73">
        <v>1218</v>
      </c>
      <c r="B1219" s="74" t="s">
        <v>12159</v>
      </c>
      <c r="C1219" s="74" t="s">
        <v>12160</v>
      </c>
      <c r="D1219" s="74" t="s">
        <v>295</v>
      </c>
      <c r="E1219" s="74" t="s">
        <v>9395</v>
      </c>
      <c r="F1219" s="74" t="s">
        <v>80</v>
      </c>
      <c r="G1219" s="74" t="s">
        <v>11950</v>
      </c>
      <c r="H1219" s="74" t="s">
        <v>297</v>
      </c>
      <c r="I1219" s="74" t="s">
        <v>47</v>
      </c>
      <c r="J1219" s="74" t="s">
        <v>9351</v>
      </c>
      <c r="K1219" s="74" t="s">
        <v>12161</v>
      </c>
      <c r="L1219" s="74" t="s">
        <v>318</v>
      </c>
    </row>
    <row r="1220" spans="1:12" ht="69">
      <c r="A1220" s="73">
        <v>1219</v>
      </c>
      <c r="B1220" s="74" t="s">
        <v>12162</v>
      </c>
      <c r="C1220" s="74" t="s">
        <v>8332</v>
      </c>
      <c r="D1220" s="74" t="s">
        <v>143</v>
      </c>
      <c r="E1220" s="74" t="s">
        <v>9395</v>
      </c>
      <c r="F1220" s="74" t="s">
        <v>80</v>
      </c>
      <c r="G1220" s="74" t="s">
        <v>11965</v>
      </c>
      <c r="H1220" s="74" t="s">
        <v>220</v>
      </c>
      <c r="I1220" s="74" t="s">
        <v>47</v>
      </c>
      <c r="J1220" s="74" t="s">
        <v>9351</v>
      </c>
      <c r="K1220" s="74"/>
      <c r="L1220" s="74"/>
    </row>
    <row r="1221" spans="1:12" ht="41.4">
      <c r="A1221" s="73">
        <v>1220</v>
      </c>
      <c r="B1221" s="74" t="s">
        <v>12163</v>
      </c>
      <c r="C1221" s="74" t="s">
        <v>8383</v>
      </c>
      <c r="D1221" s="74" t="s">
        <v>89</v>
      </c>
      <c r="E1221" s="74" t="s">
        <v>9395</v>
      </c>
      <c r="F1221" s="74" t="s">
        <v>80</v>
      </c>
      <c r="G1221" s="74" t="s">
        <v>11928</v>
      </c>
      <c r="H1221" s="74" t="s">
        <v>102</v>
      </c>
      <c r="I1221" s="74" t="s">
        <v>47</v>
      </c>
      <c r="J1221" s="74" t="s">
        <v>9351</v>
      </c>
      <c r="K1221" s="74" t="s">
        <v>12164</v>
      </c>
      <c r="L1221" s="74" t="s">
        <v>711</v>
      </c>
    </row>
    <row r="1222" spans="1:12" ht="69">
      <c r="A1222" s="73">
        <v>1221</v>
      </c>
      <c r="B1222" s="74" t="s">
        <v>12165</v>
      </c>
      <c r="C1222" s="74" t="s">
        <v>12166</v>
      </c>
      <c r="D1222" s="74" t="s">
        <v>41</v>
      </c>
      <c r="E1222" s="74" t="s">
        <v>9395</v>
      </c>
      <c r="F1222" s="74" t="s">
        <v>80</v>
      </c>
      <c r="G1222" s="74" t="s">
        <v>12167</v>
      </c>
      <c r="H1222" s="74" t="s">
        <v>46</v>
      </c>
      <c r="I1222" s="74" t="s">
        <v>47</v>
      </c>
      <c r="J1222" s="74" t="s">
        <v>9351</v>
      </c>
      <c r="K1222" s="74" t="s">
        <v>12168</v>
      </c>
      <c r="L1222" s="74" t="s">
        <v>331</v>
      </c>
    </row>
    <row r="1223" spans="1:12" ht="41.4">
      <c r="A1223" s="73">
        <v>1222</v>
      </c>
      <c r="B1223" s="74" t="s">
        <v>12169</v>
      </c>
      <c r="C1223" s="74" t="s">
        <v>12170</v>
      </c>
      <c r="D1223" s="74" t="s">
        <v>89</v>
      </c>
      <c r="E1223" s="74" t="s">
        <v>9395</v>
      </c>
      <c r="F1223" s="74" t="s">
        <v>80</v>
      </c>
      <c r="G1223" s="74" t="s">
        <v>10054</v>
      </c>
      <c r="H1223" s="74" t="s">
        <v>102</v>
      </c>
      <c r="I1223" s="74" t="s">
        <v>47</v>
      </c>
      <c r="J1223" s="74" t="s">
        <v>9351</v>
      </c>
      <c r="K1223" s="74"/>
      <c r="L1223" s="74"/>
    </row>
    <row r="1224" spans="1:12" ht="69">
      <c r="A1224" s="73">
        <v>1223</v>
      </c>
      <c r="B1224" s="74" t="s">
        <v>12171</v>
      </c>
      <c r="C1224" s="74" t="s">
        <v>12172</v>
      </c>
      <c r="D1224" s="74" t="s">
        <v>89</v>
      </c>
      <c r="E1224" s="74" t="s">
        <v>9395</v>
      </c>
      <c r="F1224" s="74" t="s">
        <v>80</v>
      </c>
      <c r="G1224" s="74" t="s">
        <v>9396</v>
      </c>
      <c r="H1224" s="74" t="s">
        <v>91</v>
      </c>
      <c r="I1224" s="74" t="s">
        <v>47</v>
      </c>
      <c r="J1224" s="74" t="s">
        <v>9351</v>
      </c>
      <c r="K1224" s="74" t="s">
        <v>12173</v>
      </c>
      <c r="L1224" s="74" t="s">
        <v>711</v>
      </c>
    </row>
    <row r="1225" spans="1:12" ht="55.2">
      <c r="A1225" s="73">
        <v>1224</v>
      </c>
      <c r="B1225" s="74" t="s">
        <v>12174</v>
      </c>
      <c r="C1225" s="74" t="s">
        <v>12175</v>
      </c>
      <c r="D1225" s="74" t="s">
        <v>143</v>
      </c>
      <c r="E1225" s="74" t="s">
        <v>9395</v>
      </c>
      <c r="F1225" s="74" t="s">
        <v>80</v>
      </c>
      <c r="G1225" s="74" t="s">
        <v>12026</v>
      </c>
      <c r="H1225" s="74" t="s">
        <v>327</v>
      </c>
      <c r="I1225" s="74" t="s">
        <v>47</v>
      </c>
      <c r="J1225" s="74" t="s">
        <v>9351</v>
      </c>
      <c r="K1225" s="74" t="s">
        <v>12176</v>
      </c>
      <c r="L1225" s="74" t="s">
        <v>370</v>
      </c>
    </row>
    <row r="1226" spans="1:12" ht="55.2">
      <c r="A1226" s="73">
        <v>1225</v>
      </c>
      <c r="B1226" s="74" t="s">
        <v>12177</v>
      </c>
      <c r="C1226" s="74" t="s">
        <v>5873</v>
      </c>
      <c r="D1226" s="74" t="s">
        <v>143</v>
      </c>
      <c r="E1226" s="74" t="s">
        <v>9395</v>
      </c>
      <c r="F1226" s="74" t="s">
        <v>80</v>
      </c>
      <c r="G1226" s="74" t="s">
        <v>11962</v>
      </c>
      <c r="H1226" s="74" t="s">
        <v>327</v>
      </c>
      <c r="I1226" s="74" t="s">
        <v>47</v>
      </c>
      <c r="J1226" s="74" t="s">
        <v>9351</v>
      </c>
      <c r="K1226" s="74" t="s">
        <v>12178</v>
      </c>
      <c r="L1226" s="74" t="s">
        <v>251</v>
      </c>
    </row>
    <row r="1227" spans="1:12" ht="55.2">
      <c r="A1227" s="73">
        <v>1226</v>
      </c>
      <c r="B1227" s="74" t="s">
        <v>12179</v>
      </c>
      <c r="C1227" s="74" t="s">
        <v>12180</v>
      </c>
      <c r="D1227" s="74" t="s">
        <v>143</v>
      </c>
      <c r="E1227" s="74" t="s">
        <v>9395</v>
      </c>
      <c r="F1227" s="74" t="s">
        <v>80</v>
      </c>
      <c r="G1227" s="74" t="s">
        <v>11739</v>
      </c>
      <c r="H1227" s="74" t="s">
        <v>327</v>
      </c>
      <c r="I1227" s="74" t="s">
        <v>47</v>
      </c>
      <c r="J1227" s="74" t="s">
        <v>9351</v>
      </c>
      <c r="K1227" s="74"/>
      <c r="L1227" s="74"/>
    </row>
    <row r="1228" spans="1:12" ht="55.2">
      <c r="A1228" s="73">
        <v>1227</v>
      </c>
      <c r="B1228" s="74" t="s">
        <v>12181</v>
      </c>
      <c r="C1228" s="74" t="s">
        <v>1819</v>
      </c>
      <c r="D1228" s="74" t="s">
        <v>89</v>
      </c>
      <c r="E1228" s="74" t="s">
        <v>9395</v>
      </c>
      <c r="F1228" s="74" t="s">
        <v>80</v>
      </c>
      <c r="G1228" s="74" t="s">
        <v>11976</v>
      </c>
      <c r="H1228" s="74" t="s">
        <v>109</v>
      </c>
      <c r="I1228" s="74" t="s">
        <v>47</v>
      </c>
      <c r="J1228" s="74" t="s">
        <v>9351</v>
      </c>
      <c r="K1228" s="74" t="s">
        <v>12182</v>
      </c>
      <c r="L1228" s="74" t="s">
        <v>711</v>
      </c>
    </row>
    <row r="1229" spans="1:12" ht="55.2">
      <c r="A1229" s="73">
        <v>1228</v>
      </c>
      <c r="B1229" s="74" t="s">
        <v>12183</v>
      </c>
      <c r="C1229" s="74" t="s">
        <v>12184</v>
      </c>
      <c r="D1229" s="74" t="s">
        <v>295</v>
      </c>
      <c r="E1229" s="74" t="s">
        <v>9395</v>
      </c>
      <c r="F1229" s="74" t="s">
        <v>80</v>
      </c>
      <c r="G1229" s="74" t="s">
        <v>11950</v>
      </c>
      <c r="H1229" s="74" t="s">
        <v>297</v>
      </c>
      <c r="I1229" s="74" t="s">
        <v>47</v>
      </c>
      <c r="J1229" s="74" t="s">
        <v>9351</v>
      </c>
      <c r="K1229" s="74" t="s">
        <v>12185</v>
      </c>
      <c r="L1229" s="74" t="s">
        <v>1916</v>
      </c>
    </row>
    <row r="1230" spans="1:12" ht="69">
      <c r="A1230" s="73">
        <v>1229</v>
      </c>
      <c r="B1230" s="74" t="s">
        <v>12186</v>
      </c>
      <c r="C1230" s="74" t="s">
        <v>12187</v>
      </c>
      <c r="D1230" s="74" t="s">
        <v>41</v>
      </c>
      <c r="E1230" s="74" t="s">
        <v>9395</v>
      </c>
      <c r="F1230" s="74" t="s">
        <v>80</v>
      </c>
      <c r="G1230" s="74" t="s">
        <v>9982</v>
      </c>
      <c r="H1230" s="74" t="s">
        <v>46</v>
      </c>
      <c r="I1230" s="74" t="s">
        <v>47</v>
      </c>
      <c r="J1230" s="74" t="s">
        <v>9351</v>
      </c>
      <c r="K1230" s="74"/>
      <c r="L1230" s="74"/>
    </row>
    <row r="1231" spans="1:12" ht="55.2">
      <c r="A1231" s="73">
        <v>1230</v>
      </c>
      <c r="B1231" s="74" t="s">
        <v>12188</v>
      </c>
      <c r="C1231" s="74" t="s">
        <v>12189</v>
      </c>
      <c r="D1231" s="74" t="s">
        <v>41</v>
      </c>
      <c r="E1231" s="74" t="s">
        <v>9395</v>
      </c>
      <c r="F1231" s="74" t="s">
        <v>80</v>
      </c>
      <c r="G1231" s="74" t="s">
        <v>12190</v>
      </c>
      <c r="H1231" s="74" t="s">
        <v>479</v>
      </c>
      <c r="I1231" s="74" t="s">
        <v>47</v>
      </c>
      <c r="J1231" s="74" t="s">
        <v>9351</v>
      </c>
      <c r="K1231" s="74" t="s">
        <v>12191</v>
      </c>
      <c r="L1231" s="74" t="s">
        <v>331</v>
      </c>
    </row>
    <row r="1232" spans="1:12" ht="55.2">
      <c r="A1232" s="73">
        <v>1231</v>
      </c>
      <c r="B1232" s="74" t="s">
        <v>12192</v>
      </c>
      <c r="C1232" s="74" t="s">
        <v>12193</v>
      </c>
      <c r="D1232" s="74" t="s">
        <v>143</v>
      </c>
      <c r="E1232" s="74" t="s">
        <v>9395</v>
      </c>
      <c r="F1232" s="74" t="s">
        <v>80</v>
      </c>
      <c r="G1232" s="74" t="s">
        <v>12096</v>
      </c>
      <c r="H1232" s="74" t="s">
        <v>327</v>
      </c>
      <c r="I1232" s="74" t="s">
        <v>47</v>
      </c>
      <c r="J1232" s="74" t="s">
        <v>9351</v>
      </c>
      <c r="K1232" s="74" t="s">
        <v>12194</v>
      </c>
      <c r="L1232" s="74" t="s">
        <v>370</v>
      </c>
    </row>
    <row r="1233" spans="1:12" ht="69">
      <c r="A1233" s="73">
        <v>1232</v>
      </c>
      <c r="B1233" s="74" t="s">
        <v>12195</v>
      </c>
      <c r="C1233" s="74" t="s">
        <v>12196</v>
      </c>
      <c r="D1233" s="74" t="s">
        <v>89</v>
      </c>
      <c r="E1233" s="74" t="s">
        <v>9395</v>
      </c>
      <c r="F1233" s="74" t="s">
        <v>80</v>
      </c>
      <c r="G1233" s="74" t="s">
        <v>9396</v>
      </c>
      <c r="H1233" s="74" t="s">
        <v>91</v>
      </c>
      <c r="I1233" s="74" t="s">
        <v>416</v>
      </c>
      <c r="J1233" s="74" t="s">
        <v>9351</v>
      </c>
      <c r="K1233" s="74" t="s">
        <v>12197</v>
      </c>
      <c r="L1233" s="74" t="s">
        <v>711</v>
      </c>
    </row>
    <row r="1234" spans="1:12" ht="41.4">
      <c r="A1234" s="73">
        <v>1233</v>
      </c>
      <c r="B1234" s="74" t="s">
        <v>12198</v>
      </c>
      <c r="C1234" s="74" t="s">
        <v>12199</v>
      </c>
      <c r="D1234" s="74" t="s">
        <v>295</v>
      </c>
      <c r="E1234" s="74" t="s">
        <v>9395</v>
      </c>
      <c r="F1234" s="74" t="s">
        <v>80</v>
      </c>
      <c r="G1234" s="74" t="s">
        <v>11958</v>
      </c>
      <c r="H1234" s="74" t="s">
        <v>407</v>
      </c>
      <c r="I1234" s="74" t="s">
        <v>47</v>
      </c>
      <c r="J1234" s="74" t="s">
        <v>9351</v>
      </c>
      <c r="K1234" s="74"/>
      <c r="L1234" s="74"/>
    </row>
    <row r="1235" spans="1:12" ht="55.2">
      <c r="A1235" s="73">
        <v>1234</v>
      </c>
      <c r="B1235" s="74" t="s">
        <v>12200</v>
      </c>
      <c r="C1235" s="74" t="s">
        <v>12201</v>
      </c>
      <c r="D1235" s="74" t="s">
        <v>143</v>
      </c>
      <c r="E1235" s="74" t="s">
        <v>9395</v>
      </c>
      <c r="F1235" s="74" t="s">
        <v>80</v>
      </c>
      <c r="G1235" s="74" t="s">
        <v>11739</v>
      </c>
      <c r="H1235" s="74" t="s">
        <v>327</v>
      </c>
      <c r="I1235" s="74" t="s">
        <v>47</v>
      </c>
      <c r="J1235" s="74" t="s">
        <v>9351</v>
      </c>
      <c r="K1235" s="74" t="s">
        <v>12202</v>
      </c>
      <c r="L1235" s="74" t="s">
        <v>370</v>
      </c>
    </row>
    <row r="1236" spans="1:12" ht="55.2">
      <c r="A1236" s="73">
        <v>1235</v>
      </c>
      <c r="B1236" s="74" t="s">
        <v>12203</v>
      </c>
      <c r="C1236" s="74" t="s">
        <v>12204</v>
      </c>
      <c r="D1236" s="74" t="s">
        <v>143</v>
      </c>
      <c r="E1236" s="74" t="s">
        <v>9395</v>
      </c>
      <c r="F1236" s="74" t="s">
        <v>80</v>
      </c>
      <c r="G1236" s="74" t="s">
        <v>12205</v>
      </c>
      <c r="H1236" s="74" t="s">
        <v>327</v>
      </c>
      <c r="I1236" s="74" t="s">
        <v>192</v>
      </c>
      <c r="J1236" s="74" t="s">
        <v>9347</v>
      </c>
      <c r="K1236" s="74" t="s">
        <v>12206</v>
      </c>
      <c r="L1236" s="74" t="s">
        <v>331</v>
      </c>
    </row>
    <row r="1237" spans="1:12" ht="55.2">
      <c r="A1237" s="73">
        <v>1236</v>
      </c>
      <c r="B1237" s="74" t="s">
        <v>12207</v>
      </c>
      <c r="C1237" s="74" t="s">
        <v>12208</v>
      </c>
      <c r="D1237" s="74" t="s">
        <v>89</v>
      </c>
      <c r="E1237" s="74" t="s">
        <v>9395</v>
      </c>
      <c r="F1237" s="74" t="s">
        <v>80</v>
      </c>
      <c r="G1237" s="74" t="s">
        <v>11976</v>
      </c>
      <c r="H1237" s="74" t="s">
        <v>109</v>
      </c>
      <c r="I1237" s="74" t="s">
        <v>47</v>
      </c>
      <c r="J1237" s="74" t="s">
        <v>9351</v>
      </c>
      <c r="K1237" s="74" t="s">
        <v>12209</v>
      </c>
      <c r="L1237" s="74" t="s">
        <v>711</v>
      </c>
    </row>
    <row r="1238" spans="1:12" ht="69">
      <c r="A1238" s="73">
        <v>1237</v>
      </c>
      <c r="B1238" s="74" t="s">
        <v>12210</v>
      </c>
      <c r="C1238" s="74" t="s">
        <v>12211</v>
      </c>
      <c r="D1238" s="74" t="s">
        <v>41</v>
      </c>
      <c r="E1238" s="74" t="s">
        <v>9395</v>
      </c>
      <c r="F1238" s="74" t="s">
        <v>80</v>
      </c>
      <c r="G1238" s="74" t="s">
        <v>11799</v>
      </c>
      <c r="H1238" s="74" t="s">
        <v>46</v>
      </c>
      <c r="I1238" s="74" t="s">
        <v>47</v>
      </c>
      <c r="J1238" s="74" t="s">
        <v>9347</v>
      </c>
      <c r="K1238" s="74"/>
      <c r="L1238" s="74"/>
    </row>
    <row r="1239" spans="1:12" ht="55.2">
      <c r="A1239" s="73">
        <v>1238</v>
      </c>
      <c r="B1239" s="74" t="s">
        <v>12212</v>
      </c>
      <c r="C1239" s="74" t="s">
        <v>12213</v>
      </c>
      <c r="D1239" s="74" t="s">
        <v>143</v>
      </c>
      <c r="E1239" s="74" t="s">
        <v>9395</v>
      </c>
      <c r="F1239" s="74" t="s">
        <v>80</v>
      </c>
      <c r="G1239" s="74" t="s">
        <v>11997</v>
      </c>
      <c r="H1239" s="74" t="s">
        <v>327</v>
      </c>
      <c r="I1239" s="74" t="s">
        <v>47</v>
      </c>
      <c r="J1239" s="74" t="s">
        <v>9351</v>
      </c>
      <c r="K1239" s="74" t="s">
        <v>12214</v>
      </c>
      <c r="L1239" s="74" t="s">
        <v>251</v>
      </c>
    </row>
    <row r="1240" spans="1:12" ht="55.2">
      <c r="A1240" s="73">
        <v>1239</v>
      </c>
      <c r="B1240" s="74" t="s">
        <v>12215</v>
      </c>
      <c r="C1240" s="74" t="s">
        <v>12216</v>
      </c>
      <c r="D1240" s="74" t="s">
        <v>68</v>
      </c>
      <c r="E1240" s="74" t="s">
        <v>9395</v>
      </c>
      <c r="F1240" s="74" t="s">
        <v>80</v>
      </c>
      <c r="G1240" s="74" t="s">
        <v>10589</v>
      </c>
      <c r="H1240" s="74" t="s">
        <v>70</v>
      </c>
      <c r="I1240" s="74" t="s">
        <v>47</v>
      </c>
      <c r="J1240" s="74" t="s">
        <v>9351</v>
      </c>
      <c r="K1240" s="74" t="s">
        <v>12217</v>
      </c>
      <c r="L1240" s="74" t="s">
        <v>3207</v>
      </c>
    </row>
    <row r="1241" spans="1:12" ht="69">
      <c r="A1241" s="73">
        <v>1240</v>
      </c>
      <c r="B1241" s="74" t="s">
        <v>12218</v>
      </c>
      <c r="C1241" s="74" t="s">
        <v>8955</v>
      </c>
      <c r="D1241" s="74" t="s">
        <v>89</v>
      </c>
      <c r="E1241" s="74" t="s">
        <v>9395</v>
      </c>
      <c r="F1241" s="74" t="s">
        <v>80</v>
      </c>
      <c r="G1241" s="74" t="s">
        <v>9396</v>
      </c>
      <c r="H1241" s="74" t="s">
        <v>91</v>
      </c>
      <c r="I1241" s="74" t="s">
        <v>47</v>
      </c>
      <c r="J1241" s="74" t="s">
        <v>9351</v>
      </c>
      <c r="K1241" s="74" t="s">
        <v>12219</v>
      </c>
      <c r="L1241" s="74" t="s">
        <v>711</v>
      </c>
    </row>
    <row r="1242" spans="1:12" ht="55.2">
      <c r="A1242" s="73">
        <v>1241</v>
      </c>
      <c r="B1242" s="74" t="s">
        <v>12220</v>
      </c>
      <c r="C1242" s="74" t="s">
        <v>12221</v>
      </c>
      <c r="D1242" s="74" t="s">
        <v>143</v>
      </c>
      <c r="E1242" s="74" t="s">
        <v>9395</v>
      </c>
      <c r="F1242" s="74" t="s">
        <v>80</v>
      </c>
      <c r="G1242" s="74" t="s">
        <v>12096</v>
      </c>
      <c r="H1242" s="74" t="s">
        <v>327</v>
      </c>
      <c r="I1242" s="74" t="s">
        <v>47</v>
      </c>
      <c r="J1242" s="74" t="s">
        <v>9351</v>
      </c>
      <c r="K1242" s="74"/>
      <c r="L1242" s="74"/>
    </row>
    <row r="1243" spans="1:12" ht="55.2">
      <c r="A1243" s="73">
        <v>1242</v>
      </c>
      <c r="B1243" s="74" t="s">
        <v>12222</v>
      </c>
      <c r="C1243" s="74" t="s">
        <v>12223</v>
      </c>
      <c r="D1243" s="74" t="s">
        <v>68</v>
      </c>
      <c r="E1243" s="74" t="s">
        <v>9395</v>
      </c>
      <c r="F1243" s="74" t="s">
        <v>80</v>
      </c>
      <c r="G1243" s="74" t="s">
        <v>10589</v>
      </c>
      <c r="H1243" s="74" t="s">
        <v>70</v>
      </c>
      <c r="I1243" s="74" t="s">
        <v>47</v>
      </c>
      <c r="J1243" s="74" t="s">
        <v>9351</v>
      </c>
      <c r="K1243" s="74" t="s">
        <v>12224</v>
      </c>
      <c r="L1243" s="74" t="s">
        <v>1266</v>
      </c>
    </row>
    <row r="1244" spans="1:12" ht="55.2">
      <c r="A1244" s="73">
        <v>1243</v>
      </c>
      <c r="B1244" s="74" t="s">
        <v>12225</v>
      </c>
      <c r="C1244" s="74" t="s">
        <v>12226</v>
      </c>
      <c r="D1244" s="74" t="s">
        <v>143</v>
      </c>
      <c r="E1244" s="74" t="s">
        <v>9395</v>
      </c>
      <c r="F1244" s="74" t="s">
        <v>80</v>
      </c>
      <c r="G1244" s="74" t="s">
        <v>10395</v>
      </c>
      <c r="H1244" s="74" t="s">
        <v>327</v>
      </c>
      <c r="I1244" s="74" t="s">
        <v>47</v>
      </c>
      <c r="J1244" s="74" t="s">
        <v>9351</v>
      </c>
      <c r="K1244" s="74" t="s">
        <v>12227</v>
      </c>
      <c r="L1244" s="74" t="s">
        <v>370</v>
      </c>
    </row>
    <row r="1245" spans="1:12" ht="55.2">
      <c r="A1245" s="73">
        <v>1244</v>
      </c>
      <c r="B1245" s="74" t="s">
        <v>12228</v>
      </c>
      <c r="C1245" s="74" t="s">
        <v>12229</v>
      </c>
      <c r="D1245" s="74" t="s">
        <v>143</v>
      </c>
      <c r="E1245" s="74" t="s">
        <v>9395</v>
      </c>
      <c r="F1245" s="74" t="s">
        <v>80</v>
      </c>
      <c r="G1245" s="74" t="s">
        <v>11739</v>
      </c>
      <c r="H1245" s="74" t="s">
        <v>327</v>
      </c>
      <c r="I1245" s="74" t="s">
        <v>47</v>
      </c>
      <c r="J1245" s="74" t="s">
        <v>9351</v>
      </c>
      <c r="K1245" s="74" t="s">
        <v>12230</v>
      </c>
      <c r="L1245" s="74" t="s">
        <v>370</v>
      </c>
    </row>
    <row r="1246" spans="1:12" ht="69">
      <c r="A1246" s="73">
        <v>1245</v>
      </c>
      <c r="B1246" s="74" t="s">
        <v>12231</v>
      </c>
      <c r="C1246" s="74" t="s">
        <v>12232</v>
      </c>
      <c r="D1246" s="74" t="s">
        <v>89</v>
      </c>
      <c r="E1246" s="74" t="s">
        <v>9395</v>
      </c>
      <c r="F1246" s="74" t="s">
        <v>80</v>
      </c>
      <c r="G1246" s="74" t="s">
        <v>9396</v>
      </c>
      <c r="H1246" s="74" t="s">
        <v>91</v>
      </c>
      <c r="I1246" s="74" t="s">
        <v>47</v>
      </c>
      <c r="J1246" s="74" t="s">
        <v>9351</v>
      </c>
      <c r="K1246" s="74"/>
      <c r="L1246" s="74"/>
    </row>
    <row r="1247" spans="1:12" ht="69">
      <c r="A1247" s="73">
        <v>1246</v>
      </c>
      <c r="B1247" s="74" t="s">
        <v>12233</v>
      </c>
      <c r="C1247" s="74" t="s">
        <v>12234</v>
      </c>
      <c r="D1247" s="74" t="s">
        <v>68</v>
      </c>
      <c r="E1247" s="74" t="s">
        <v>9395</v>
      </c>
      <c r="F1247" s="74" t="s">
        <v>80</v>
      </c>
      <c r="G1247" s="74" t="s">
        <v>11746</v>
      </c>
      <c r="H1247" s="74" t="s">
        <v>91</v>
      </c>
      <c r="I1247" s="74" t="s">
        <v>110</v>
      </c>
      <c r="J1247" s="74" t="s">
        <v>9351</v>
      </c>
      <c r="K1247" s="74" t="s">
        <v>12235</v>
      </c>
      <c r="L1247" s="74" t="s">
        <v>1266</v>
      </c>
    </row>
    <row r="1248" spans="1:12" ht="69">
      <c r="A1248" s="73">
        <v>1247</v>
      </c>
      <c r="B1248" s="74" t="s">
        <v>12236</v>
      </c>
      <c r="C1248" s="74" t="s">
        <v>4377</v>
      </c>
      <c r="D1248" s="74" t="s">
        <v>89</v>
      </c>
      <c r="E1248" s="74" t="s">
        <v>9395</v>
      </c>
      <c r="F1248" s="74" t="s">
        <v>80</v>
      </c>
      <c r="G1248" s="74" t="s">
        <v>9998</v>
      </c>
      <c r="H1248" s="74" t="s">
        <v>91</v>
      </c>
      <c r="I1248" s="74" t="s">
        <v>47</v>
      </c>
      <c r="J1248" s="74" t="s">
        <v>9351</v>
      </c>
      <c r="K1248" s="74" t="s">
        <v>12237</v>
      </c>
      <c r="L1248" s="74" t="s">
        <v>251</v>
      </c>
    </row>
    <row r="1249" spans="1:12" ht="41.4">
      <c r="A1249" s="73">
        <v>1248</v>
      </c>
      <c r="B1249" s="74" t="s">
        <v>12238</v>
      </c>
      <c r="C1249" s="74" t="s">
        <v>12239</v>
      </c>
      <c r="D1249" s="74" t="s">
        <v>89</v>
      </c>
      <c r="E1249" s="74" t="s">
        <v>9395</v>
      </c>
      <c r="F1249" s="74" t="s">
        <v>80</v>
      </c>
      <c r="G1249" s="74" t="s">
        <v>11928</v>
      </c>
      <c r="H1249" s="74" t="s">
        <v>102</v>
      </c>
      <c r="I1249" s="74" t="s">
        <v>47</v>
      </c>
      <c r="J1249" s="74" t="s">
        <v>9351</v>
      </c>
      <c r="K1249" s="74" t="s">
        <v>12240</v>
      </c>
      <c r="L1249" s="74" t="s">
        <v>711</v>
      </c>
    </row>
    <row r="1250" spans="1:12" ht="69">
      <c r="A1250" s="73">
        <v>1249</v>
      </c>
      <c r="B1250" s="74" t="s">
        <v>12241</v>
      </c>
      <c r="C1250" s="74" t="s">
        <v>12242</v>
      </c>
      <c r="D1250" s="74" t="s">
        <v>89</v>
      </c>
      <c r="E1250" s="74" t="s">
        <v>9395</v>
      </c>
      <c r="F1250" s="74" t="s">
        <v>80</v>
      </c>
      <c r="G1250" s="74" t="s">
        <v>11735</v>
      </c>
      <c r="H1250" s="74" t="s">
        <v>91</v>
      </c>
      <c r="I1250" s="74" t="s">
        <v>47</v>
      </c>
      <c r="J1250" s="74" t="s">
        <v>9351</v>
      </c>
      <c r="K1250" s="74"/>
      <c r="L1250" s="74"/>
    </row>
    <row r="1251" spans="1:12" ht="69">
      <c r="A1251" s="73">
        <v>1250</v>
      </c>
      <c r="B1251" s="74" t="s">
        <v>12243</v>
      </c>
      <c r="C1251" s="74" t="s">
        <v>12244</v>
      </c>
      <c r="D1251" s="74" t="s">
        <v>41</v>
      </c>
      <c r="E1251" s="74" t="s">
        <v>9395</v>
      </c>
      <c r="F1251" s="74" t="s">
        <v>80</v>
      </c>
      <c r="G1251" s="74" t="s">
        <v>12092</v>
      </c>
      <c r="H1251" s="74" t="s">
        <v>46</v>
      </c>
      <c r="I1251" s="74" t="s">
        <v>47</v>
      </c>
      <c r="J1251" s="74" t="s">
        <v>9351</v>
      </c>
      <c r="K1251" s="74"/>
      <c r="L1251" s="74"/>
    </row>
    <row r="1252" spans="1:12" ht="69">
      <c r="A1252" s="73">
        <v>1251</v>
      </c>
      <c r="B1252" s="74" t="s">
        <v>12245</v>
      </c>
      <c r="C1252" s="74" t="s">
        <v>12246</v>
      </c>
      <c r="D1252" s="74" t="s">
        <v>89</v>
      </c>
      <c r="E1252" s="74" t="s">
        <v>9395</v>
      </c>
      <c r="F1252" s="74" t="s">
        <v>80</v>
      </c>
      <c r="G1252" s="74" t="s">
        <v>11735</v>
      </c>
      <c r="H1252" s="74" t="s">
        <v>91</v>
      </c>
      <c r="I1252" s="74" t="s">
        <v>47</v>
      </c>
      <c r="J1252" s="74" t="s">
        <v>9351</v>
      </c>
      <c r="K1252" s="74"/>
      <c r="L1252" s="74"/>
    </row>
    <row r="1253" spans="1:12" ht="55.2">
      <c r="A1253" s="73">
        <v>1252</v>
      </c>
      <c r="B1253" s="74" t="s">
        <v>12247</v>
      </c>
      <c r="C1253" s="74" t="s">
        <v>12248</v>
      </c>
      <c r="D1253" s="74" t="s">
        <v>89</v>
      </c>
      <c r="E1253" s="74" t="s">
        <v>9395</v>
      </c>
      <c r="F1253" s="74" t="s">
        <v>80</v>
      </c>
      <c r="G1253" s="74" t="s">
        <v>11932</v>
      </c>
      <c r="H1253" s="74" t="s">
        <v>102</v>
      </c>
      <c r="I1253" s="74" t="s">
        <v>110</v>
      </c>
      <c r="J1253" s="74" t="s">
        <v>9351</v>
      </c>
      <c r="K1253" s="74" t="s">
        <v>12249</v>
      </c>
      <c r="L1253" s="74" t="s">
        <v>251</v>
      </c>
    </row>
    <row r="1254" spans="1:12" ht="41.4">
      <c r="A1254" s="73">
        <v>1253</v>
      </c>
      <c r="B1254" s="74" t="s">
        <v>12250</v>
      </c>
      <c r="C1254" s="74" t="s">
        <v>2297</v>
      </c>
      <c r="D1254" s="74" t="s">
        <v>41</v>
      </c>
      <c r="E1254" s="74" t="s">
        <v>9395</v>
      </c>
      <c r="F1254" s="74" t="s">
        <v>80</v>
      </c>
      <c r="G1254" s="74" t="s">
        <v>11942</v>
      </c>
      <c r="H1254" s="74" t="s">
        <v>200</v>
      </c>
      <c r="I1254" s="74" t="s">
        <v>47</v>
      </c>
      <c r="J1254" s="74" t="s">
        <v>9351</v>
      </c>
      <c r="K1254" s="74"/>
      <c r="L1254" s="74"/>
    </row>
    <row r="1255" spans="1:12" ht="41.4">
      <c r="A1255" s="73">
        <v>1254</v>
      </c>
      <c r="B1255" s="74" t="s">
        <v>12251</v>
      </c>
      <c r="C1255" s="74" t="s">
        <v>12252</v>
      </c>
      <c r="D1255" s="74" t="s">
        <v>295</v>
      </c>
      <c r="E1255" s="74" t="s">
        <v>9395</v>
      </c>
      <c r="F1255" s="74" t="s">
        <v>80</v>
      </c>
      <c r="G1255" s="74" t="s">
        <v>11950</v>
      </c>
      <c r="H1255" s="74" t="s">
        <v>297</v>
      </c>
      <c r="I1255" s="74" t="s">
        <v>47</v>
      </c>
      <c r="J1255" s="74" t="s">
        <v>9351</v>
      </c>
      <c r="K1255" s="74" t="s">
        <v>12253</v>
      </c>
      <c r="L1255" s="74" t="s">
        <v>1916</v>
      </c>
    </row>
    <row r="1256" spans="1:12" ht="69">
      <c r="A1256" s="73">
        <v>1255</v>
      </c>
      <c r="B1256" s="74" t="s">
        <v>12254</v>
      </c>
      <c r="C1256" s="74" t="s">
        <v>12255</v>
      </c>
      <c r="D1256" s="74" t="s">
        <v>89</v>
      </c>
      <c r="E1256" s="74" t="s">
        <v>9395</v>
      </c>
      <c r="F1256" s="74" t="s">
        <v>80</v>
      </c>
      <c r="G1256" s="74" t="s">
        <v>9396</v>
      </c>
      <c r="H1256" s="74" t="s">
        <v>91</v>
      </c>
      <c r="I1256" s="74" t="s">
        <v>47</v>
      </c>
      <c r="J1256" s="74" t="s">
        <v>9351</v>
      </c>
      <c r="K1256" s="74" t="s">
        <v>12256</v>
      </c>
      <c r="L1256" s="74" t="s">
        <v>711</v>
      </c>
    </row>
    <row r="1257" spans="1:12" ht="41.4">
      <c r="A1257" s="73">
        <v>1256</v>
      </c>
      <c r="B1257" s="74" t="s">
        <v>12257</v>
      </c>
      <c r="C1257" s="74" t="s">
        <v>1487</v>
      </c>
      <c r="D1257" s="74" t="s">
        <v>89</v>
      </c>
      <c r="E1257" s="74" t="s">
        <v>9395</v>
      </c>
      <c r="F1257" s="74" t="s">
        <v>80</v>
      </c>
      <c r="G1257" s="74" t="s">
        <v>10054</v>
      </c>
      <c r="H1257" s="74" t="s">
        <v>102</v>
      </c>
      <c r="I1257" s="74" t="s">
        <v>47</v>
      </c>
      <c r="J1257" s="74" t="s">
        <v>9351</v>
      </c>
      <c r="K1257" s="74" t="s">
        <v>12258</v>
      </c>
      <c r="L1257" s="74" t="s">
        <v>711</v>
      </c>
    </row>
    <row r="1258" spans="1:12" ht="55.2">
      <c r="A1258" s="73">
        <v>1257</v>
      </c>
      <c r="B1258" s="74" t="s">
        <v>12259</v>
      </c>
      <c r="C1258" s="74" t="s">
        <v>12260</v>
      </c>
      <c r="D1258" s="74" t="s">
        <v>143</v>
      </c>
      <c r="E1258" s="74" t="s">
        <v>9395</v>
      </c>
      <c r="F1258" s="74" t="s">
        <v>80</v>
      </c>
      <c r="G1258" s="74" t="s">
        <v>12063</v>
      </c>
      <c r="H1258" s="74" t="s">
        <v>327</v>
      </c>
      <c r="I1258" s="74" t="s">
        <v>47</v>
      </c>
      <c r="J1258" s="74" t="s">
        <v>9351</v>
      </c>
      <c r="K1258" s="74" t="s">
        <v>12261</v>
      </c>
      <c r="L1258" s="74" t="s">
        <v>370</v>
      </c>
    </row>
    <row r="1259" spans="1:12" ht="69">
      <c r="A1259" s="73">
        <v>1258</v>
      </c>
      <c r="B1259" s="74" t="s">
        <v>12262</v>
      </c>
      <c r="C1259" s="74" t="s">
        <v>12263</v>
      </c>
      <c r="D1259" s="74" t="s">
        <v>89</v>
      </c>
      <c r="E1259" s="74" t="s">
        <v>9395</v>
      </c>
      <c r="F1259" s="74" t="s">
        <v>80</v>
      </c>
      <c r="G1259" s="74" t="s">
        <v>9396</v>
      </c>
      <c r="H1259" s="74" t="s">
        <v>91</v>
      </c>
      <c r="I1259" s="74" t="s">
        <v>47</v>
      </c>
      <c r="J1259" s="74" t="s">
        <v>9351</v>
      </c>
      <c r="K1259" s="74" t="s">
        <v>12264</v>
      </c>
      <c r="L1259" s="74" t="s">
        <v>711</v>
      </c>
    </row>
    <row r="1260" spans="1:12" ht="55.2">
      <c r="A1260" s="73">
        <v>1259</v>
      </c>
      <c r="B1260" s="74" t="s">
        <v>12265</v>
      </c>
      <c r="C1260" s="74" t="s">
        <v>12266</v>
      </c>
      <c r="D1260" s="74" t="s">
        <v>89</v>
      </c>
      <c r="E1260" s="74" t="s">
        <v>9395</v>
      </c>
      <c r="F1260" s="74" t="s">
        <v>80</v>
      </c>
      <c r="G1260" s="74" t="s">
        <v>11976</v>
      </c>
      <c r="H1260" s="74" t="s">
        <v>109</v>
      </c>
      <c r="I1260" s="74" t="s">
        <v>47</v>
      </c>
      <c r="J1260" s="74" t="s">
        <v>9351</v>
      </c>
      <c r="K1260" s="74" t="s">
        <v>12267</v>
      </c>
      <c r="L1260" s="74" t="s">
        <v>711</v>
      </c>
    </row>
    <row r="1261" spans="1:12" ht="55.2">
      <c r="A1261" s="73">
        <v>1260</v>
      </c>
      <c r="B1261" s="74" t="s">
        <v>12268</v>
      </c>
      <c r="C1261" s="74" t="s">
        <v>12269</v>
      </c>
      <c r="D1261" s="74" t="s">
        <v>68</v>
      </c>
      <c r="E1261" s="74" t="s">
        <v>9395</v>
      </c>
      <c r="F1261" s="74" t="s">
        <v>80</v>
      </c>
      <c r="G1261" s="74" t="s">
        <v>10589</v>
      </c>
      <c r="H1261" s="74" t="s">
        <v>70</v>
      </c>
      <c r="I1261" s="74" t="s">
        <v>47</v>
      </c>
      <c r="J1261" s="74" t="s">
        <v>9351</v>
      </c>
      <c r="K1261" s="74"/>
      <c r="L1261" s="74"/>
    </row>
    <row r="1262" spans="1:12" ht="41.4">
      <c r="A1262" s="73">
        <v>1261</v>
      </c>
      <c r="B1262" s="74" t="s">
        <v>12270</v>
      </c>
      <c r="C1262" s="74" t="s">
        <v>5041</v>
      </c>
      <c r="D1262" s="74" t="s">
        <v>89</v>
      </c>
      <c r="E1262" s="74" t="s">
        <v>9395</v>
      </c>
      <c r="F1262" s="74" t="s">
        <v>80</v>
      </c>
      <c r="G1262" s="74" t="s">
        <v>12271</v>
      </c>
      <c r="H1262" s="74" t="s">
        <v>102</v>
      </c>
      <c r="I1262" s="74" t="s">
        <v>47</v>
      </c>
      <c r="J1262" s="74" t="s">
        <v>9351</v>
      </c>
      <c r="K1262" s="74" t="s">
        <v>12272</v>
      </c>
      <c r="L1262" s="74" t="s">
        <v>711</v>
      </c>
    </row>
    <row r="1263" spans="1:12" ht="41.4">
      <c r="A1263" s="73">
        <v>1262</v>
      </c>
      <c r="B1263" s="74" t="s">
        <v>12273</v>
      </c>
      <c r="C1263" s="74" t="s">
        <v>12274</v>
      </c>
      <c r="D1263" s="74" t="s">
        <v>41</v>
      </c>
      <c r="E1263" s="74" t="s">
        <v>9395</v>
      </c>
      <c r="F1263" s="74" t="s">
        <v>80</v>
      </c>
      <c r="G1263" s="74" t="s">
        <v>11759</v>
      </c>
      <c r="H1263" s="74" t="s">
        <v>200</v>
      </c>
      <c r="I1263" s="74" t="s">
        <v>47</v>
      </c>
      <c r="J1263" s="74" t="s">
        <v>9351</v>
      </c>
      <c r="K1263" s="74" t="s">
        <v>12275</v>
      </c>
      <c r="L1263" s="74" t="s">
        <v>331</v>
      </c>
    </row>
    <row r="1264" spans="1:12" ht="41.4">
      <c r="A1264" s="73">
        <v>1263</v>
      </c>
      <c r="B1264" s="74" t="s">
        <v>12276</v>
      </c>
      <c r="C1264" s="74" t="s">
        <v>12277</v>
      </c>
      <c r="D1264" s="74" t="s">
        <v>295</v>
      </c>
      <c r="E1264" s="74" t="s">
        <v>9395</v>
      </c>
      <c r="F1264" s="74" t="s">
        <v>80</v>
      </c>
      <c r="G1264" s="74" t="s">
        <v>12129</v>
      </c>
      <c r="H1264" s="74" t="s">
        <v>297</v>
      </c>
      <c r="I1264" s="74" t="s">
        <v>47</v>
      </c>
      <c r="J1264" s="74" t="s">
        <v>9351</v>
      </c>
      <c r="K1264" s="74"/>
      <c r="L1264" s="74"/>
    </row>
    <row r="1265" spans="1:12" ht="55.2">
      <c r="A1265" s="73">
        <v>1264</v>
      </c>
      <c r="B1265" s="74" t="s">
        <v>12278</v>
      </c>
      <c r="C1265" s="74" t="s">
        <v>12279</v>
      </c>
      <c r="D1265" s="74" t="s">
        <v>41</v>
      </c>
      <c r="E1265" s="74" t="s">
        <v>9395</v>
      </c>
      <c r="F1265" s="74" t="s">
        <v>80</v>
      </c>
      <c r="G1265" s="74" t="s">
        <v>11791</v>
      </c>
      <c r="H1265" s="74" t="s">
        <v>479</v>
      </c>
      <c r="I1265" s="74" t="s">
        <v>47</v>
      </c>
      <c r="J1265" s="74" t="s">
        <v>9351</v>
      </c>
      <c r="K1265" s="74" t="s">
        <v>12280</v>
      </c>
      <c r="L1265" s="74" t="s">
        <v>331</v>
      </c>
    </row>
    <row r="1266" spans="1:12" ht="55.2">
      <c r="A1266" s="73">
        <v>1265</v>
      </c>
      <c r="B1266" s="74" t="s">
        <v>12281</v>
      </c>
      <c r="C1266" s="74" t="s">
        <v>4053</v>
      </c>
      <c r="D1266" s="74" t="s">
        <v>143</v>
      </c>
      <c r="E1266" s="74" t="s">
        <v>9395</v>
      </c>
      <c r="F1266" s="74" t="s">
        <v>80</v>
      </c>
      <c r="G1266" s="74" t="s">
        <v>12026</v>
      </c>
      <c r="H1266" s="74" t="s">
        <v>327</v>
      </c>
      <c r="I1266" s="74" t="s">
        <v>47</v>
      </c>
      <c r="J1266" s="74" t="s">
        <v>9351</v>
      </c>
      <c r="K1266" s="74"/>
      <c r="L1266" s="74"/>
    </row>
    <row r="1267" spans="1:12" ht="55.2">
      <c r="A1267" s="73">
        <v>1266</v>
      </c>
      <c r="B1267" s="74" t="s">
        <v>12282</v>
      </c>
      <c r="C1267" s="74" t="s">
        <v>12283</v>
      </c>
      <c r="D1267" s="74" t="s">
        <v>68</v>
      </c>
      <c r="E1267" s="74" t="s">
        <v>9395</v>
      </c>
      <c r="F1267" s="74" t="s">
        <v>80</v>
      </c>
      <c r="G1267" s="74" t="s">
        <v>12284</v>
      </c>
      <c r="H1267" s="74" t="s">
        <v>70</v>
      </c>
      <c r="I1267" s="74" t="s">
        <v>47</v>
      </c>
      <c r="J1267" s="74" t="s">
        <v>9351</v>
      </c>
      <c r="K1267" s="74" t="s">
        <v>12285</v>
      </c>
      <c r="L1267" s="74" t="s">
        <v>3207</v>
      </c>
    </row>
    <row r="1268" spans="1:12" ht="55.2">
      <c r="A1268" s="73">
        <v>1267</v>
      </c>
      <c r="B1268" s="74" t="s">
        <v>12286</v>
      </c>
      <c r="C1268" s="74" t="s">
        <v>12287</v>
      </c>
      <c r="D1268" s="74" t="s">
        <v>143</v>
      </c>
      <c r="E1268" s="74" t="s">
        <v>9395</v>
      </c>
      <c r="F1268" s="74" t="s">
        <v>80</v>
      </c>
      <c r="G1268" s="74" t="s">
        <v>11822</v>
      </c>
      <c r="H1268" s="74" t="s">
        <v>145</v>
      </c>
      <c r="I1268" s="74" t="s">
        <v>47</v>
      </c>
      <c r="J1268" s="74" t="s">
        <v>9351</v>
      </c>
      <c r="K1268" s="74"/>
      <c r="L1268" s="74"/>
    </row>
    <row r="1269" spans="1:12" ht="55.2">
      <c r="A1269" s="73">
        <v>1268</v>
      </c>
      <c r="B1269" s="74" t="s">
        <v>12288</v>
      </c>
      <c r="C1269" s="74" t="s">
        <v>3037</v>
      </c>
      <c r="D1269" s="74" t="s">
        <v>143</v>
      </c>
      <c r="E1269" s="74" t="s">
        <v>9395</v>
      </c>
      <c r="F1269" s="74" t="s">
        <v>80</v>
      </c>
      <c r="G1269" s="74" t="s">
        <v>11739</v>
      </c>
      <c r="H1269" s="74" t="s">
        <v>327</v>
      </c>
      <c r="I1269" s="74" t="s">
        <v>47</v>
      </c>
      <c r="J1269" s="74" t="s">
        <v>9351</v>
      </c>
      <c r="K1269" s="74" t="s">
        <v>12289</v>
      </c>
      <c r="L1269" s="74" t="s">
        <v>370</v>
      </c>
    </row>
    <row r="1270" spans="1:12" ht="41.4">
      <c r="A1270" s="73">
        <v>1269</v>
      </c>
      <c r="B1270" s="74" t="s">
        <v>12290</v>
      </c>
      <c r="C1270" s="74" t="s">
        <v>12291</v>
      </c>
      <c r="D1270" s="74" t="s">
        <v>295</v>
      </c>
      <c r="E1270" s="74" t="s">
        <v>9395</v>
      </c>
      <c r="F1270" s="74" t="s">
        <v>80</v>
      </c>
      <c r="G1270" s="74" t="s">
        <v>12129</v>
      </c>
      <c r="H1270" s="74" t="s">
        <v>297</v>
      </c>
      <c r="I1270" s="74" t="s">
        <v>47</v>
      </c>
      <c r="J1270" s="74" t="s">
        <v>9347</v>
      </c>
      <c r="K1270" s="74"/>
      <c r="L1270" s="74"/>
    </row>
    <row r="1271" spans="1:12" ht="55.2">
      <c r="A1271" s="73">
        <v>1270</v>
      </c>
      <c r="B1271" s="74" t="s">
        <v>12292</v>
      </c>
      <c r="C1271" s="74" t="s">
        <v>12293</v>
      </c>
      <c r="D1271" s="74" t="s">
        <v>143</v>
      </c>
      <c r="E1271" s="74" t="s">
        <v>9395</v>
      </c>
      <c r="F1271" s="74" t="s">
        <v>80</v>
      </c>
      <c r="G1271" s="74" t="s">
        <v>11822</v>
      </c>
      <c r="H1271" s="74" t="s">
        <v>145</v>
      </c>
      <c r="I1271" s="74" t="s">
        <v>47</v>
      </c>
      <c r="J1271" s="74" t="s">
        <v>9351</v>
      </c>
      <c r="K1271" s="74"/>
      <c r="L1271" s="74"/>
    </row>
    <row r="1272" spans="1:12" ht="41.4">
      <c r="A1272" s="73">
        <v>1271</v>
      </c>
      <c r="B1272" s="74" t="s">
        <v>12294</v>
      </c>
      <c r="C1272" s="74" t="s">
        <v>12295</v>
      </c>
      <c r="D1272" s="74" t="s">
        <v>295</v>
      </c>
      <c r="E1272" s="74" t="s">
        <v>9395</v>
      </c>
      <c r="F1272" s="74" t="s">
        <v>80</v>
      </c>
      <c r="G1272" s="74" t="s">
        <v>11950</v>
      </c>
      <c r="H1272" s="74" t="s">
        <v>297</v>
      </c>
      <c r="I1272" s="74" t="s">
        <v>47</v>
      </c>
      <c r="J1272" s="74" t="s">
        <v>9351</v>
      </c>
      <c r="K1272" s="74" t="s">
        <v>12296</v>
      </c>
      <c r="L1272" s="74" t="s">
        <v>1916</v>
      </c>
    </row>
    <row r="1273" spans="1:12" ht="41.4">
      <c r="A1273" s="73">
        <v>1272</v>
      </c>
      <c r="B1273" s="74" t="s">
        <v>12297</v>
      </c>
      <c r="C1273" s="74" t="s">
        <v>12298</v>
      </c>
      <c r="D1273" s="74" t="s">
        <v>41</v>
      </c>
      <c r="E1273" s="74" t="s">
        <v>9395</v>
      </c>
      <c r="F1273" s="74" t="s">
        <v>80</v>
      </c>
      <c r="G1273" s="74" t="s">
        <v>11942</v>
      </c>
      <c r="H1273" s="74" t="s">
        <v>200</v>
      </c>
      <c r="I1273" s="74" t="s">
        <v>47</v>
      </c>
      <c r="J1273" s="74" t="s">
        <v>9351</v>
      </c>
      <c r="K1273" s="74" t="s">
        <v>12299</v>
      </c>
      <c r="L1273" s="74" t="s">
        <v>331</v>
      </c>
    </row>
    <row r="1274" spans="1:12" ht="55.2">
      <c r="A1274" s="73">
        <v>1273</v>
      </c>
      <c r="B1274" s="74" t="s">
        <v>12300</v>
      </c>
      <c r="C1274" s="74" t="s">
        <v>12301</v>
      </c>
      <c r="D1274" s="74" t="s">
        <v>89</v>
      </c>
      <c r="E1274" s="74" t="s">
        <v>9395</v>
      </c>
      <c r="F1274" s="74" t="s">
        <v>80</v>
      </c>
      <c r="G1274" s="74" t="s">
        <v>11976</v>
      </c>
      <c r="H1274" s="74" t="s">
        <v>109</v>
      </c>
      <c r="I1274" s="74" t="s">
        <v>47</v>
      </c>
      <c r="J1274" s="74" t="s">
        <v>9351</v>
      </c>
      <c r="K1274" s="74" t="s">
        <v>12302</v>
      </c>
      <c r="L1274" s="74" t="s">
        <v>711</v>
      </c>
    </row>
    <row r="1275" spans="1:12" ht="41.4">
      <c r="A1275" s="73">
        <v>1274</v>
      </c>
      <c r="B1275" s="74" t="s">
        <v>12303</v>
      </c>
      <c r="C1275" s="74" t="s">
        <v>12304</v>
      </c>
      <c r="D1275" s="74" t="s">
        <v>89</v>
      </c>
      <c r="E1275" s="74" t="s">
        <v>9395</v>
      </c>
      <c r="F1275" s="74" t="s">
        <v>80</v>
      </c>
      <c r="G1275" s="74" t="s">
        <v>11928</v>
      </c>
      <c r="H1275" s="74" t="s">
        <v>102</v>
      </c>
      <c r="I1275" s="74" t="s">
        <v>47</v>
      </c>
      <c r="J1275" s="74" t="s">
        <v>9351</v>
      </c>
      <c r="K1275" s="74"/>
      <c r="L1275" s="74"/>
    </row>
    <row r="1276" spans="1:12" ht="55.2">
      <c r="A1276" s="73">
        <v>1275</v>
      </c>
      <c r="B1276" s="74" t="s">
        <v>12305</v>
      </c>
      <c r="C1276" s="74" t="s">
        <v>12306</v>
      </c>
      <c r="D1276" s="74" t="s">
        <v>143</v>
      </c>
      <c r="E1276" s="74" t="s">
        <v>9395</v>
      </c>
      <c r="F1276" s="74" t="s">
        <v>80</v>
      </c>
      <c r="G1276" s="74" t="s">
        <v>12307</v>
      </c>
      <c r="H1276" s="74" t="s">
        <v>145</v>
      </c>
      <c r="I1276" s="74" t="s">
        <v>416</v>
      </c>
      <c r="J1276" s="74" t="s">
        <v>9351</v>
      </c>
      <c r="K1276" s="74" t="s">
        <v>12308</v>
      </c>
      <c r="L1276" s="74" t="s">
        <v>370</v>
      </c>
    </row>
    <row r="1277" spans="1:12" ht="55.2">
      <c r="A1277" s="73">
        <v>1276</v>
      </c>
      <c r="B1277" s="74" t="s">
        <v>12309</v>
      </c>
      <c r="C1277" s="74" t="s">
        <v>12310</v>
      </c>
      <c r="D1277" s="74" t="s">
        <v>143</v>
      </c>
      <c r="E1277" s="74" t="s">
        <v>9395</v>
      </c>
      <c r="F1277" s="74" t="s">
        <v>80</v>
      </c>
      <c r="G1277" s="74" t="s">
        <v>11739</v>
      </c>
      <c r="H1277" s="74" t="s">
        <v>327</v>
      </c>
      <c r="I1277" s="74" t="s">
        <v>47</v>
      </c>
      <c r="J1277" s="74" t="s">
        <v>9351</v>
      </c>
      <c r="K1277" s="74" t="s">
        <v>12311</v>
      </c>
      <c r="L1277" s="74" t="s">
        <v>370</v>
      </c>
    </row>
    <row r="1278" spans="1:12" ht="27.6">
      <c r="A1278" s="73">
        <v>1277</v>
      </c>
      <c r="B1278" s="74" t="s">
        <v>12312</v>
      </c>
      <c r="C1278" s="74" t="s">
        <v>1100</v>
      </c>
      <c r="D1278" s="74" t="s">
        <v>89</v>
      </c>
      <c r="E1278" s="74" t="s">
        <v>9395</v>
      </c>
      <c r="F1278" s="74" t="s">
        <v>80</v>
      </c>
      <c r="G1278" s="74" t="s">
        <v>12271</v>
      </c>
      <c r="H1278" s="74" t="s">
        <v>102</v>
      </c>
      <c r="I1278" s="74" t="s">
        <v>47</v>
      </c>
      <c r="J1278" s="74" t="s">
        <v>9351</v>
      </c>
      <c r="K1278" s="74" t="s">
        <v>12313</v>
      </c>
      <c r="L1278" s="74" t="s">
        <v>711</v>
      </c>
    </row>
    <row r="1279" spans="1:12" ht="41.4">
      <c r="A1279" s="73">
        <v>1278</v>
      </c>
      <c r="B1279" s="74" t="s">
        <v>12314</v>
      </c>
      <c r="C1279" s="74" t="s">
        <v>12315</v>
      </c>
      <c r="D1279" s="74" t="s">
        <v>41</v>
      </c>
      <c r="E1279" s="74" t="s">
        <v>9395</v>
      </c>
      <c r="F1279" s="74" t="s">
        <v>80</v>
      </c>
      <c r="G1279" s="74" t="s">
        <v>11759</v>
      </c>
      <c r="H1279" s="74" t="s">
        <v>200</v>
      </c>
      <c r="I1279" s="74" t="s">
        <v>47</v>
      </c>
      <c r="J1279" s="74" t="s">
        <v>9351</v>
      </c>
      <c r="K1279" s="74"/>
      <c r="L1279" s="74"/>
    </row>
    <row r="1280" spans="1:12" ht="55.2">
      <c r="A1280" s="73">
        <v>1279</v>
      </c>
      <c r="B1280" s="74" t="s">
        <v>12316</v>
      </c>
      <c r="C1280" s="74" t="s">
        <v>8293</v>
      </c>
      <c r="D1280" s="74" t="s">
        <v>89</v>
      </c>
      <c r="E1280" s="74" t="s">
        <v>9395</v>
      </c>
      <c r="F1280" s="74" t="s">
        <v>80</v>
      </c>
      <c r="G1280" s="74" t="s">
        <v>11976</v>
      </c>
      <c r="H1280" s="74" t="s">
        <v>109</v>
      </c>
      <c r="I1280" s="74" t="s">
        <v>47</v>
      </c>
      <c r="J1280" s="74" t="s">
        <v>9351</v>
      </c>
      <c r="K1280" s="74" t="s">
        <v>12317</v>
      </c>
      <c r="L1280" s="74" t="s">
        <v>711</v>
      </c>
    </row>
    <row r="1281" spans="1:12" ht="55.2">
      <c r="A1281" s="73">
        <v>1280</v>
      </c>
      <c r="B1281" s="74" t="s">
        <v>12318</v>
      </c>
      <c r="C1281" s="74" t="s">
        <v>12319</v>
      </c>
      <c r="D1281" s="74" t="s">
        <v>89</v>
      </c>
      <c r="E1281" s="74" t="s">
        <v>9395</v>
      </c>
      <c r="F1281" s="74" t="s">
        <v>80</v>
      </c>
      <c r="G1281" s="74" t="s">
        <v>11976</v>
      </c>
      <c r="H1281" s="74" t="s">
        <v>109</v>
      </c>
      <c r="I1281" s="74" t="s">
        <v>47</v>
      </c>
      <c r="J1281" s="74" t="s">
        <v>9351</v>
      </c>
      <c r="K1281" s="74" t="s">
        <v>12320</v>
      </c>
      <c r="L1281" s="74" t="s">
        <v>711</v>
      </c>
    </row>
    <row r="1282" spans="1:12" ht="41.4">
      <c r="A1282" s="73">
        <v>1281</v>
      </c>
      <c r="B1282" s="74" t="s">
        <v>12321</v>
      </c>
      <c r="C1282" s="74" t="s">
        <v>12322</v>
      </c>
      <c r="D1282" s="74" t="s">
        <v>153</v>
      </c>
      <c r="E1282" s="74" t="s">
        <v>9395</v>
      </c>
      <c r="F1282" s="74" t="s">
        <v>80</v>
      </c>
      <c r="G1282" s="74" t="s">
        <v>11766</v>
      </c>
      <c r="H1282" s="74" t="s">
        <v>11767</v>
      </c>
      <c r="I1282" s="74" t="s">
        <v>47</v>
      </c>
      <c r="J1282" s="74" t="s">
        <v>9347</v>
      </c>
      <c r="K1282" s="74"/>
      <c r="L1282" s="74"/>
    </row>
    <row r="1283" spans="1:12" ht="41.4">
      <c r="A1283" s="73">
        <v>1282</v>
      </c>
      <c r="B1283" s="74" t="s">
        <v>12323</v>
      </c>
      <c r="C1283" s="74" t="s">
        <v>12324</v>
      </c>
      <c r="D1283" s="74" t="s">
        <v>153</v>
      </c>
      <c r="E1283" s="74" t="s">
        <v>9395</v>
      </c>
      <c r="F1283" s="74" t="s">
        <v>80</v>
      </c>
      <c r="G1283" s="74" t="s">
        <v>11766</v>
      </c>
      <c r="H1283" s="74" t="s">
        <v>11767</v>
      </c>
      <c r="I1283" s="74" t="s">
        <v>47</v>
      </c>
      <c r="J1283" s="74" t="s">
        <v>9347</v>
      </c>
      <c r="K1283" s="74" t="s">
        <v>12325</v>
      </c>
      <c r="L1283" s="74" t="s">
        <v>318</v>
      </c>
    </row>
    <row r="1284" spans="1:12" ht="69">
      <c r="A1284" s="73">
        <v>1283</v>
      </c>
      <c r="B1284" s="74" t="s">
        <v>12326</v>
      </c>
      <c r="C1284" s="74" t="s">
        <v>12327</v>
      </c>
      <c r="D1284" s="74" t="s">
        <v>89</v>
      </c>
      <c r="E1284" s="74" t="s">
        <v>9395</v>
      </c>
      <c r="F1284" s="74" t="s">
        <v>80</v>
      </c>
      <c r="G1284" s="74" t="s">
        <v>9396</v>
      </c>
      <c r="H1284" s="74" t="s">
        <v>91</v>
      </c>
      <c r="I1284" s="74" t="s">
        <v>47</v>
      </c>
      <c r="J1284" s="74" t="s">
        <v>9351</v>
      </c>
      <c r="K1284" s="74" t="s">
        <v>12328</v>
      </c>
      <c r="L1284" s="74" t="s">
        <v>711</v>
      </c>
    </row>
    <row r="1285" spans="1:12" ht="55.2">
      <c r="A1285" s="73">
        <v>1284</v>
      </c>
      <c r="B1285" s="74" t="s">
        <v>12329</v>
      </c>
      <c r="C1285" s="74" t="s">
        <v>12330</v>
      </c>
      <c r="D1285" s="74" t="s">
        <v>143</v>
      </c>
      <c r="E1285" s="74" t="s">
        <v>9395</v>
      </c>
      <c r="F1285" s="74" t="s">
        <v>80</v>
      </c>
      <c r="G1285" s="74" t="s">
        <v>10395</v>
      </c>
      <c r="H1285" s="74" t="s">
        <v>327</v>
      </c>
      <c r="I1285" s="74" t="s">
        <v>47</v>
      </c>
      <c r="J1285" s="74" t="s">
        <v>9351</v>
      </c>
      <c r="K1285" s="74" t="s">
        <v>12331</v>
      </c>
      <c r="L1285" s="74" t="s">
        <v>370</v>
      </c>
    </row>
    <row r="1286" spans="1:12" ht="41.4">
      <c r="A1286" s="73">
        <v>1285</v>
      </c>
      <c r="B1286" s="74" t="s">
        <v>12332</v>
      </c>
      <c r="C1286" s="74" t="s">
        <v>10170</v>
      </c>
      <c r="D1286" s="74" t="s">
        <v>41</v>
      </c>
      <c r="E1286" s="74" t="s">
        <v>9395</v>
      </c>
      <c r="F1286" s="74" t="s">
        <v>80</v>
      </c>
      <c r="G1286" s="74" t="s">
        <v>11901</v>
      </c>
      <c r="H1286" s="74" t="s">
        <v>200</v>
      </c>
      <c r="I1286" s="74" t="s">
        <v>47</v>
      </c>
      <c r="J1286" s="74" t="s">
        <v>9351</v>
      </c>
      <c r="K1286" s="74" t="s">
        <v>12333</v>
      </c>
      <c r="L1286" s="74" t="s">
        <v>1916</v>
      </c>
    </row>
    <row r="1287" spans="1:12" ht="41.4">
      <c r="A1287" s="73">
        <v>1286</v>
      </c>
      <c r="B1287" s="74" t="s">
        <v>12334</v>
      </c>
      <c r="C1287" s="74" t="s">
        <v>12335</v>
      </c>
      <c r="D1287" s="74" t="s">
        <v>41</v>
      </c>
      <c r="E1287" s="74" t="s">
        <v>9395</v>
      </c>
      <c r="F1287" s="74" t="s">
        <v>80</v>
      </c>
      <c r="G1287" s="74" t="s">
        <v>11901</v>
      </c>
      <c r="H1287" s="74" t="s">
        <v>200</v>
      </c>
      <c r="I1287" s="74" t="s">
        <v>47</v>
      </c>
      <c r="J1287" s="74" t="s">
        <v>9351</v>
      </c>
      <c r="K1287" s="74"/>
      <c r="L1287" s="74"/>
    </row>
    <row r="1288" spans="1:12" ht="55.2">
      <c r="A1288" s="73">
        <v>1287</v>
      </c>
      <c r="B1288" s="74" t="s">
        <v>12336</v>
      </c>
      <c r="C1288" s="74" t="s">
        <v>12337</v>
      </c>
      <c r="D1288" s="74" t="s">
        <v>143</v>
      </c>
      <c r="E1288" s="74" t="s">
        <v>9395</v>
      </c>
      <c r="F1288" s="74" t="s">
        <v>80</v>
      </c>
      <c r="G1288" s="74" t="s">
        <v>11808</v>
      </c>
      <c r="H1288" s="74" t="s">
        <v>327</v>
      </c>
      <c r="I1288" s="74" t="s">
        <v>47</v>
      </c>
      <c r="J1288" s="74" t="s">
        <v>9351</v>
      </c>
      <c r="K1288" s="74" t="s">
        <v>12338</v>
      </c>
      <c r="L1288" s="74" t="s">
        <v>370</v>
      </c>
    </row>
    <row r="1289" spans="1:12" ht="69">
      <c r="A1289" s="73">
        <v>1288</v>
      </c>
      <c r="B1289" s="74" t="s">
        <v>12339</v>
      </c>
      <c r="C1289" s="74" t="s">
        <v>12340</v>
      </c>
      <c r="D1289" s="74" t="s">
        <v>41</v>
      </c>
      <c r="E1289" s="74" t="s">
        <v>9395</v>
      </c>
      <c r="F1289" s="74" t="s">
        <v>80</v>
      </c>
      <c r="G1289" s="74" t="s">
        <v>11788</v>
      </c>
      <c r="H1289" s="74" t="s">
        <v>46</v>
      </c>
      <c r="I1289" s="74" t="s">
        <v>47</v>
      </c>
      <c r="J1289" s="74" t="s">
        <v>9347</v>
      </c>
      <c r="K1289" s="74"/>
      <c r="L1289" s="74"/>
    </row>
    <row r="1290" spans="1:12" ht="69">
      <c r="A1290" s="73">
        <v>1289</v>
      </c>
      <c r="B1290" s="74" t="s">
        <v>12341</v>
      </c>
      <c r="C1290" s="74" t="s">
        <v>12342</v>
      </c>
      <c r="D1290" s="74" t="s">
        <v>89</v>
      </c>
      <c r="E1290" s="74" t="s">
        <v>9395</v>
      </c>
      <c r="F1290" s="74" t="s">
        <v>80</v>
      </c>
      <c r="G1290" s="74" t="s">
        <v>9998</v>
      </c>
      <c r="H1290" s="74" t="s">
        <v>91</v>
      </c>
      <c r="I1290" s="74" t="s">
        <v>47</v>
      </c>
      <c r="J1290" s="74" t="s">
        <v>9351</v>
      </c>
      <c r="K1290" s="74" t="s">
        <v>12343</v>
      </c>
      <c r="L1290" s="74" t="s">
        <v>11919</v>
      </c>
    </row>
    <row r="1291" spans="1:12" ht="55.2">
      <c r="A1291" s="73">
        <v>1290</v>
      </c>
      <c r="B1291" s="74" t="s">
        <v>12344</v>
      </c>
      <c r="C1291" s="74" t="s">
        <v>12345</v>
      </c>
      <c r="D1291" s="74" t="s">
        <v>68</v>
      </c>
      <c r="E1291" s="74" t="s">
        <v>9395</v>
      </c>
      <c r="F1291" s="74" t="s">
        <v>80</v>
      </c>
      <c r="G1291" s="74" t="s">
        <v>10589</v>
      </c>
      <c r="H1291" s="74" t="s">
        <v>70</v>
      </c>
      <c r="I1291" s="74" t="s">
        <v>47</v>
      </c>
      <c r="J1291" s="74" t="s">
        <v>9351</v>
      </c>
      <c r="K1291" s="74" t="s">
        <v>12346</v>
      </c>
      <c r="L1291" s="74" t="s">
        <v>370</v>
      </c>
    </row>
    <row r="1292" spans="1:12" ht="69">
      <c r="A1292" s="73">
        <v>1291</v>
      </c>
      <c r="B1292" s="74" t="s">
        <v>12347</v>
      </c>
      <c r="C1292" s="74" t="s">
        <v>12348</v>
      </c>
      <c r="D1292" s="74" t="s">
        <v>89</v>
      </c>
      <c r="E1292" s="74" t="s">
        <v>9395</v>
      </c>
      <c r="F1292" s="74" t="s">
        <v>80</v>
      </c>
      <c r="G1292" s="74" t="s">
        <v>9396</v>
      </c>
      <c r="H1292" s="74" t="s">
        <v>91</v>
      </c>
      <c r="I1292" s="74" t="s">
        <v>416</v>
      </c>
      <c r="J1292" s="74" t="s">
        <v>9351</v>
      </c>
      <c r="K1292" s="74" t="s">
        <v>12349</v>
      </c>
      <c r="L1292" s="74" t="s">
        <v>711</v>
      </c>
    </row>
    <row r="1293" spans="1:12" ht="41.4">
      <c r="A1293" s="73">
        <v>1292</v>
      </c>
      <c r="B1293" s="74" t="s">
        <v>12350</v>
      </c>
      <c r="C1293" s="74" t="s">
        <v>12351</v>
      </c>
      <c r="D1293" s="74" t="s">
        <v>41</v>
      </c>
      <c r="E1293" s="74" t="s">
        <v>9395</v>
      </c>
      <c r="F1293" s="74" t="s">
        <v>80</v>
      </c>
      <c r="G1293" s="74" t="s">
        <v>11759</v>
      </c>
      <c r="H1293" s="74" t="s">
        <v>200</v>
      </c>
      <c r="I1293" s="74" t="s">
        <v>47</v>
      </c>
      <c r="J1293" s="74" t="s">
        <v>9351</v>
      </c>
      <c r="K1293" s="74" t="s">
        <v>12352</v>
      </c>
      <c r="L1293" s="74" t="s">
        <v>331</v>
      </c>
    </row>
    <row r="1294" spans="1:12" ht="41.4">
      <c r="A1294" s="73">
        <v>1293</v>
      </c>
      <c r="B1294" s="74" t="s">
        <v>12353</v>
      </c>
      <c r="C1294" s="74" t="s">
        <v>12354</v>
      </c>
      <c r="D1294" s="74" t="s">
        <v>41</v>
      </c>
      <c r="E1294" s="74" t="s">
        <v>9395</v>
      </c>
      <c r="F1294" s="74" t="s">
        <v>80</v>
      </c>
      <c r="G1294" s="74" t="s">
        <v>11901</v>
      </c>
      <c r="H1294" s="74" t="s">
        <v>200</v>
      </c>
      <c r="I1294" s="74" t="s">
        <v>47</v>
      </c>
      <c r="J1294" s="74" t="s">
        <v>9351</v>
      </c>
      <c r="K1294" s="74" t="s">
        <v>12355</v>
      </c>
      <c r="L1294" s="74" t="s">
        <v>331</v>
      </c>
    </row>
    <row r="1295" spans="1:12" ht="55.2">
      <c r="A1295" s="73">
        <v>1294</v>
      </c>
      <c r="B1295" s="74" t="s">
        <v>12356</v>
      </c>
      <c r="C1295" s="74" t="s">
        <v>12357</v>
      </c>
      <c r="D1295" s="74" t="s">
        <v>41</v>
      </c>
      <c r="E1295" s="74" t="s">
        <v>9395</v>
      </c>
      <c r="F1295" s="74" t="s">
        <v>80</v>
      </c>
      <c r="G1295" s="74" t="s">
        <v>11939</v>
      </c>
      <c r="H1295" s="74" t="s">
        <v>479</v>
      </c>
      <c r="I1295" s="74" t="s">
        <v>47</v>
      </c>
      <c r="J1295" s="74" t="s">
        <v>9351</v>
      </c>
      <c r="K1295" s="74"/>
      <c r="L1295" s="74"/>
    </row>
    <row r="1296" spans="1:12" ht="55.2">
      <c r="A1296" s="73">
        <v>1295</v>
      </c>
      <c r="B1296" s="74" t="s">
        <v>12358</v>
      </c>
      <c r="C1296" s="74" t="s">
        <v>5273</v>
      </c>
      <c r="D1296" s="74" t="s">
        <v>143</v>
      </c>
      <c r="E1296" s="74" t="s">
        <v>9395</v>
      </c>
      <c r="F1296" s="74" t="s">
        <v>80</v>
      </c>
      <c r="G1296" s="74" t="s">
        <v>11978</v>
      </c>
      <c r="H1296" s="74" t="s">
        <v>145</v>
      </c>
      <c r="I1296" s="74" t="s">
        <v>47</v>
      </c>
      <c r="J1296" s="74" t="s">
        <v>9351</v>
      </c>
      <c r="K1296" s="74" t="s">
        <v>12359</v>
      </c>
      <c r="L1296" s="74" t="s">
        <v>370</v>
      </c>
    </row>
    <row r="1297" spans="1:12" ht="55.2">
      <c r="A1297" s="73">
        <v>1296</v>
      </c>
      <c r="B1297" s="74" t="s">
        <v>12360</v>
      </c>
      <c r="C1297" s="74" t="s">
        <v>12361</v>
      </c>
      <c r="D1297" s="74" t="s">
        <v>41</v>
      </c>
      <c r="E1297" s="74" t="s">
        <v>9395</v>
      </c>
      <c r="F1297" s="74" t="s">
        <v>80</v>
      </c>
      <c r="G1297" s="74" t="s">
        <v>11759</v>
      </c>
      <c r="H1297" s="74" t="s">
        <v>200</v>
      </c>
      <c r="I1297" s="74" t="s">
        <v>47</v>
      </c>
      <c r="J1297" s="74" t="s">
        <v>9351</v>
      </c>
      <c r="K1297" s="74"/>
      <c r="L1297" s="74"/>
    </row>
    <row r="1298" spans="1:12" ht="55.2">
      <c r="A1298" s="73">
        <v>1297</v>
      </c>
      <c r="B1298" s="74" t="s">
        <v>12362</v>
      </c>
      <c r="C1298" s="74" t="s">
        <v>12363</v>
      </c>
      <c r="D1298" s="74" t="s">
        <v>68</v>
      </c>
      <c r="E1298" s="74" t="s">
        <v>9395</v>
      </c>
      <c r="F1298" s="74" t="s">
        <v>80</v>
      </c>
      <c r="G1298" s="74" t="s">
        <v>10589</v>
      </c>
      <c r="H1298" s="74" t="s">
        <v>70</v>
      </c>
      <c r="I1298" s="74" t="s">
        <v>47</v>
      </c>
      <c r="J1298" s="74" t="s">
        <v>9351</v>
      </c>
      <c r="K1298" s="74" t="s">
        <v>12364</v>
      </c>
      <c r="L1298" s="74" t="s">
        <v>3207</v>
      </c>
    </row>
    <row r="1299" spans="1:12" ht="55.2">
      <c r="A1299" s="73">
        <v>1298</v>
      </c>
      <c r="B1299" s="74" t="s">
        <v>12365</v>
      </c>
      <c r="C1299" s="74" t="s">
        <v>12366</v>
      </c>
      <c r="D1299" s="74" t="s">
        <v>89</v>
      </c>
      <c r="E1299" s="74" t="s">
        <v>9395</v>
      </c>
      <c r="F1299" s="74" t="s">
        <v>80</v>
      </c>
      <c r="G1299" s="74" t="s">
        <v>12367</v>
      </c>
      <c r="H1299" s="74" t="s">
        <v>118</v>
      </c>
      <c r="I1299" s="74" t="s">
        <v>47</v>
      </c>
      <c r="J1299" s="74" t="s">
        <v>9351</v>
      </c>
      <c r="K1299" s="74"/>
      <c r="L1299" s="74"/>
    </row>
    <row r="1300" spans="1:12" ht="69">
      <c r="A1300" s="73">
        <v>1299</v>
      </c>
      <c r="B1300" s="74" t="s">
        <v>12368</v>
      </c>
      <c r="C1300" s="74" t="s">
        <v>12369</v>
      </c>
      <c r="D1300" s="74" t="s">
        <v>89</v>
      </c>
      <c r="E1300" s="74" t="s">
        <v>9395</v>
      </c>
      <c r="F1300" s="74" t="s">
        <v>80</v>
      </c>
      <c r="G1300" s="74" t="s">
        <v>9998</v>
      </c>
      <c r="H1300" s="74" t="s">
        <v>91</v>
      </c>
      <c r="I1300" s="74" t="s">
        <v>47</v>
      </c>
      <c r="J1300" s="74" t="s">
        <v>9351</v>
      </c>
      <c r="K1300" s="74" t="s">
        <v>12370</v>
      </c>
      <c r="L1300" s="74" t="s">
        <v>11919</v>
      </c>
    </row>
    <row r="1301" spans="1:12" ht="55.2">
      <c r="A1301" s="73">
        <v>1300</v>
      </c>
      <c r="B1301" s="74" t="s">
        <v>12371</v>
      </c>
      <c r="C1301" s="74" t="s">
        <v>7655</v>
      </c>
      <c r="D1301" s="74" t="s">
        <v>143</v>
      </c>
      <c r="E1301" s="74" t="s">
        <v>9395</v>
      </c>
      <c r="F1301" s="74" t="s">
        <v>80</v>
      </c>
      <c r="G1301" s="74" t="s">
        <v>10395</v>
      </c>
      <c r="H1301" s="74" t="s">
        <v>327</v>
      </c>
      <c r="I1301" s="74" t="s">
        <v>47</v>
      </c>
      <c r="J1301" s="74" t="s">
        <v>9351</v>
      </c>
      <c r="K1301" s="74"/>
      <c r="L1301" s="74"/>
    </row>
    <row r="1302" spans="1:12" ht="55.2">
      <c r="A1302" s="73">
        <v>1301</v>
      </c>
      <c r="B1302" s="74" t="s">
        <v>12372</v>
      </c>
      <c r="C1302" s="74" t="s">
        <v>12373</v>
      </c>
      <c r="D1302" s="74" t="s">
        <v>143</v>
      </c>
      <c r="E1302" s="74" t="s">
        <v>9395</v>
      </c>
      <c r="F1302" s="74" t="s">
        <v>80</v>
      </c>
      <c r="G1302" s="74" t="s">
        <v>12026</v>
      </c>
      <c r="H1302" s="74" t="s">
        <v>327</v>
      </c>
      <c r="I1302" s="74" t="s">
        <v>47</v>
      </c>
      <c r="J1302" s="74" t="s">
        <v>9351</v>
      </c>
      <c r="K1302" s="74" t="s">
        <v>12374</v>
      </c>
      <c r="L1302" s="74" t="s">
        <v>370</v>
      </c>
    </row>
    <row r="1303" spans="1:12" ht="55.2">
      <c r="A1303" s="73">
        <v>1302</v>
      </c>
      <c r="B1303" s="74" t="s">
        <v>12375</v>
      </c>
      <c r="C1303" s="74" t="s">
        <v>12376</v>
      </c>
      <c r="D1303" s="74" t="s">
        <v>68</v>
      </c>
      <c r="E1303" s="74" t="s">
        <v>9395</v>
      </c>
      <c r="F1303" s="74" t="s">
        <v>80</v>
      </c>
      <c r="G1303" s="74" t="s">
        <v>12284</v>
      </c>
      <c r="H1303" s="74" t="s">
        <v>70</v>
      </c>
      <c r="I1303" s="74" t="s">
        <v>47</v>
      </c>
      <c r="J1303" s="74" t="s">
        <v>9351</v>
      </c>
      <c r="K1303" s="74" t="s">
        <v>12377</v>
      </c>
      <c r="L1303" s="74" t="s">
        <v>3207</v>
      </c>
    </row>
    <row r="1304" spans="1:12" ht="55.2">
      <c r="A1304" s="73">
        <v>1303</v>
      </c>
      <c r="B1304" s="74" t="s">
        <v>12378</v>
      </c>
      <c r="C1304" s="74" t="s">
        <v>12379</v>
      </c>
      <c r="D1304" s="74" t="s">
        <v>143</v>
      </c>
      <c r="E1304" s="74" t="s">
        <v>9395</v>
      </c>
      <c r="F1304" s="74" t="s">
        <v>80</v>
      </c>
      <c r="G1304" s="74" t="s">
        <v>10395</v>
      </c>
      <c r="H1304" s="74" t="s">
        <v>327</v>
      </c>
      <c r="I1304" s="74" t="s">
        <v>47</v>
      </c>
      <c r="J1304" s="74" t="s">
        <v>9351</v>
      </c>
      <c r="K1304" s="74" t="s">
        <v>12380</v>
      </c>
      <c r="L1304" s="74" t="s">
        <v>370</v>
      </c>
    </row>
    <row r="1305" spans="1:12" ht="55.2">
      <c r="A1305" s="73">
        <v>1304</v>
      </c>
      <c r="B1305" s="74" t="s">
        <v>12381</v>
      </c>
      <c r="C1305" s="74" t="s">
        <v>6460</v>
      </c>
      <c r="D1305" s="74" t="s">
        <v>143</v>
      </c>
      <c r="E1305" s="74" t="s">
        <v>9395</v>
      </c>
      <c r="F1305" s="74" t="s">
        <v>80</v>
      </c>
      <c r="G1305" s="74" t="s">
        <v>10395</v>
      </c>
      <c r="H1305" s="74" t="s">
        <v>327</v>
      </c>
      <c r="I1305" s="74" t="s">
        <v>47</v>
      </c>
      <c r="J1305" s="74" t="s">
        <v>9351</v>
      </c>
      <c r="K1305" s="74" t="s">
        <v>12382</v>
      </c>
      <c r="L1305" s="74" t="s">
        <v>370</v>
      </c>
    </row>
    <row r="1306" spans="1:12" ht="69">
      <c r="A1306" s="73">
        <v>1305</v>
      </c>
      <c r="B1306" s="74" t="s">
        <v>12383</v>
      </c>
      <c r="C1306" s="74" t="s">
        <v>12384</v>
      </c>
      <c r="D1306" s="74" t="s">
        <v>143</v>
      </c>
      <c r="E1306" s="74" t="s">
        <v>9395</v>
      </c>
      <c r="F1306" s="74" t="s">
        <v>80</v>
      </c>
      <c r="G1306" s="74" t="s">
        <v>11965</v>
      </c>
      <c r="H1306" s="74" t="s">
        <v>220</v>
      </c>
      <c r="I1306" s="74" t="s">
        <v>47</v>
      </c>
      <c r="J1306" s="74" t="s">
        <v>9351</v>
      </c>
      <c r="K1306" s="74" t="s">
        <v>12385</v>
      </c>
      <c r="L1306" s="74" t="s">
        <v>370</v>
      </c>
    </row>
    <row r="1307" spans="1:12" ht="55.2">
      <c r="A1307" s="73">
        <v>1306</v>
      </c>
      <c r="B1307" s="74" t="s">
        <v>12386</v>
      </c>
      <c r="C1307" s="74" t="s">
        <v>12387</v>
      </c>
      <c r="D1307" s="74" t="s">
        <v>68</v>
      </c>
      <c r="E1307" s="74" t="s">
        <v>9395</v>
      </c>
      <c r="F1307" s="74" t="s">
        <v>80</v>
      </c>
      <c r="G1307" s="74" t="s">
        <v>11818</v>
      </c>
      <c r="H1307" s="74" t="s">
        <v>118</v>
      </c>
      <c r="I1307" s="74" t="s">
        <v>416</v>
      </c>
      <c r="J1307" s="74" t="s">
        <v>9351</v>
      </c>
      <c r="K1307" s="74" t="s">
        <v>12388</v>
      </c>
      <c r="L1307" s="74" t="s">
        <v>1266</v>
      </c>
    </row>
    <row r="1308" spans="1:12" ht="55.2">
      <c r="A1308" s="73">
        <v>1307</v>
      </c>
      <c r="B1308" s="74" t="s">
        <v>12389</v>
      </c>
      <c r="C1308" s="74" t="s">
        <v>1290</v>
      </c>
      <c r="D1308" s="74" t="s">
        <v>143</v>
      </c>
      <c r="E1308" s="74" t="s">
        <v>9395</v>
      </c>
      <c r="F1308" s="74" t="s">
        <v>80</v>
      </c>
      <c r="G1308" s="74" t="s">
        <v>12096</v>
      </c>
      <c r="H1308" s="74" t="s">
        <v>327</v>
      </c>
      <c r="I1308" s="74" t="s">
        <v>47</v>
      </c>
      <c r="J1308" s="74" t="s">
        <v>9351</v>
      </c>
      <c r="K1308" s="74" t="s">
        <v>12390</v>
      </c>
      <c r="L1308" s="74" t="s">
        <v>370</v>
      </c>
    </row>
    <row r="1309" spans="1:12" ht="69">
      <c r="A1309" s="73">
        <v>1308</v>
      </c>
      <c r="B1309" s="74" t="s">
        <v>12391</v>
      </c>
      <c r="C1309" s="74" t="s">
        <v>12392</v>
      </c>
      <c r="D1309" s="74" t="s">
        <v>89</v>
      </c>
      <c r="E1309" s="74" t="s">
        <v>9395</v>
      </c>
      <c r="F1309" s="74" t="s">
        <v>80</v>
      </c>
      <c r="G1309" s="74" t="s">
        <v>11755</v>
      </c>
      <c r="H1309" s="74" t="s">
        <v>91</v>
      </c>
      <c r="I1309" s="74" t="s">
        <v>47</v>
      </c>
      <c r="J1309" s="74" t="s">
        <v>9351</v>
      </c>
      <c r="K1309" s="74"/>
      <c r="L1309" s="74"/>
    </row>
    <row r="1310" spans="1:12" ht="55.2">
      <c r="A1310" s="73">
        <v>1309</v>
      </c>
      <c r="B1310" s="74" t="s">
        <v>12393</v>
      </c>
      <c r="C1310" s="74" t="s">
        <v>4521</v>
      </c>
      <c r="D1310" s="74" t="s">
        <v>143</v>
      </c>
      <c r="E1310" s="74" t="s">
        <v>9395</v>
      </c>
      <c r="F1310" s="74" t="s">
        <v>80</v>
      </c>
      <c r="G1310" s="74" t="s">
        <v>12394</v>
      </c>
      <c r="H1310" s="74" t="s">
        <v>327</v>
      </c>
      <c r="I1310" s="74" t="s">
        <v>47</v>
      </c>
      <c r="J1310" s="74" t="s">
        <v>9351</v>
      </c>
      <c r="K1310" s="74" t="s">
        <v>12395</v>
      </c>
      <c r="L1310" s="74" t="s">
        <v>370</v>
      </c>
    </row>
    <row r="1311" spans="1:12" ht="55.2">
      <c r="A1311" s="73">
        <v>1310</v>
      </c>
      <c r="B1311" s="74" t="s">
        <v>12396</v>
      </c>
      <c r="C1311" s="74" t="s">
        <v>12397</v>
      </c>
      <c r="D1311" s="74" t="s">
        <v>143</v>
      </c>
      <c r="E1311" s="74" t="s">
        <v>9395</v>
      </c>
      <c r="F1311" s="74" t="s">
        <v>80</v>
      </c>
      <c r="G1311" s="74" t="s">
        <v>10395</v>
      </c>
      <c r="H1311" s="74" t="s">
        <v>327</v>
      </c>
      <c r="I1311" s="74" t="s">
        <v>47</v>
      </c>
      <c r="J1311" s="74" t="s">
        <v>9351</v>
      </c>
      <c r="K1311" s="74" t="s">
        <v>12398</v>
      </c>
      <c r="L1311" s="74" t="s">
        <v>370</v>
      </c>
    </row>
    <row r="1312" spans="1:12" ht="69">
      <c r="A1312" s="73">
        <v>1311</v>
      </c>
      <c r="B1312" s="74" t="s">
        <v>12399</v>
      </c>
      <c r="C1312" s="74" t="s">
        <v>12400</v>
      </c>
      <c r="D1312" s="74" t="s">
        <v>41</v>
      </c>
      <c r="E1312" s="74" t="s">
        <v>9395</v>
      </c>
      <c r="F1312" s="74" t="s">
        <v>80</v>
      </c>
      <c r="G1312" s="74" t="s">
        <v>11799</v>
      </c>
      <c r="H1312" s="74" t="s">
        <v>46</v>
      </c>
      <c r="I1312" s="74" t="s">
        <v>47</v>
      </c>
      <c r="J1312" s="74" t="s">
        <v>9347</v>
      </c>
      <c r="K1312" s="74"/>
      <c r="L1312" s="74"/>
    </row>
    <row r="1313" spans="1:12" ht="55.2">
      <c r="A1313" s="73">
        <v>1312</v>
      </c>
      <c r="B1313" s="74" t="s">
        <v>12401</v>
      </c>
      <c r="C1313" s="74" t="s">
        <v>8931</v>
      </c>
      <c r="D1313" s="74" t="s">
        <v>68</v>
      </c>
      <c r="E1313" s="74" t="s">
        <v>9395</v>
      </c>
      <c r="F1313" s="74" t="s">
        <v>80</v>
      </c>
      <c r="G1313" s="74" t="s">
        <v>11818</v>
      </c>
      <c r="H1313" s="74" t="s">
        <v>118</v>
      </c>
      <c r="I1313" s="74" t="s">
        <v>47</v>
      </c>
      <c r="J1313" s="74" t="s">
        <v>9351</v>
      </c>
      <c r="K1313" s="74" t="s">
        <v>12402</v>
      </c>
      <c r="L1313" s="74" t="s">
        <v>701</v>
      </c>
    </row>
    <row r="1314" spans="1:12" ht="55.2">
      <c r="A1314" s="73">
        <v>1313</v>
      </c>
      <c r="B1314" s="74" t="s">
        <v>12403</v>
      </c>
      <c r="C1314" s="74" t="s">
        <v>8039</v>
      </c>
      <c r="D1314" s="74" t="s">
        <v>143</v>
      </c>
      <c r="E1314" s="74" t="s">
        <v>9395</v>
      </c>
      <c r="F1314" s="74" t="s">
        <v>80</v>
      </c>
      <c r="G1314" s="74" t="s">
        <v>11978</v>
      </c>
      <c r="H1314" s="74" t="s">
        <v>145</v>
      </c>
      <c r="I1314" s="74" t="s">
        <v>47</v>
      </c>
      <c r="J1314" s="74" t="s">
        <v>9351</v>
      </c>
      <c r="K1314" s="74"/>
      <c r="L1314" s="74"/>
    </row>
    <row r="1315" spans="1:12" ht="41.4">
      <c r="A1315" s="73">
        <v>1314</v>
      </c>
      <c r="B1315" s="74" t="s">
        <v>12404</v>
      </c>
      <c r="C1315" s="74" t="s">
        <v>12405</v>
      </c>
      <c r="D1315" s="74" t="s">
        <v>153</v>
      </c>
      <c r="E1315" s="74" t="s">
        <v>9395</v>
      </c>
      <c r="F1315" s="74" t="s">
        <v>80</v>
      </c>
      <c r="G1315" s="74" t="s">
        <v>11766</v>
      </c>
      <c r="H1315" s="74" t="s">
        <v>11767</v>
      </c>
      <c r="I1315" s="74" t="s">
        <v>47</v>
      </c>
      <c r="J1315" s="74" t="s">
        <v>9351</v>
      </c>
      <c r="K1315" s="74" t="s">
        <v>12406</v>
      </c>
      <c r="L1315" s="74" t="s">
        <v>701</v>
      </c>
    </row>
    <row r="1316" spans="1:12" ht="41.4">
      <c r="A1316" s="73">
        <v>1315</v>
      </c>
      <c r="B1316" s="74" t="s">
        <v>12407</v>
      </c>
      <c r="C1316" s="74" t="s">
        <v>12408</v>
      </c>
      <c r="D1316" s="74" t="s">
        <v>41</v>
      </c>
      <c r="E1316" s="74" t="s">
        <v>9395</v>
      </c>
      <c r="F1316" s="74" t="s">
        <v>80</v>
      </c>
      <c r="G1316" s="74" t="s">
        <v>11901</v>
      </c>
      <c r="H1316" s="74" t="s">
        <v>200</v>
      </c>
      <c r="I1316" s="74" t="s">
        <v>47</v>
      </c>
      <c r="J1316" s="74" t="s">
        <v>9351</v>
      </c>
      <c r="K1316" s="74" t="s">
        <v>12409</v>
      </c>
      <c r="L1316" s="74" t="s">
        <v>331</v>
      </c>
    </row>
    <row r="1317" spans="1:12" ht="55.2">
      <c r="A1317" s="73">
        <v>1316</v>
      </c>
      <c r="B1317" s="74" t="s">
        <v>12410</v>
      </c>
      <c r="C1317" s="74" t="s">
        <v>7843</v>
      </c>
      <c r="D1317" s="74" t="s">
        <v>68</v>
      </c>
      <c r="E1317" s="74" t="s">
        <v>9395</v>
      </c>
      <c r="F1317" s="74" t="s">
        <v>80</v>
      </c>
      <c r="G1317" s="74" t="s">
        <v>10589</v>
      </c>
      <c r="H1317" s="74" t="s">
        <v>70</v>
      </c>
      <c r="I1317" s="74" t="s">
        <v>47</v>
      </c>
      <c r="J1317" s="74" t="s">
        <v>9351</v>
      </c>
      <c r="K1317" s="74" t="s">
        <v>12411</v>
      </c>
      <c r="L1317" s="74" t="s">
        <v>897</v>
      </c>
    </row>
    <row r="1318" spans="1:12" ht="55.2">
      <c r="A1318" s="73">
        <v>1317</v>
      </c>
      <c r="B1318" s="74" t="s">
        <v>12412</v>
      </c>
      <c r="C1318" s="74" t="s">
        <v>12413</v>
      </c>
      <c r="D1318" s="74" t="s">
        <v>143</v>
      </c>
      <c r="E1318" s="74" t="s">
        <v>9395</v>
      </c>
      <c r="F1318" s="74" t="s">
        <v>80</v>
      </c>
      <c r="G1318" s="74" t="s">
        <v>11962</v>
      </c>
      <c r="H1318" s="74" t="s">
        <v>327</v>
      </c>
      <c r="I1318" s="74" t="s">
        <v>47</v>
      </c>
      <c r="J1318" s="74" t="s">
        <v>9351</v>
      </c>
      <c r="K1318" s="74" t="s">
        <v>12414</v>
      </c>
      <c r="L1318" s="74" t="s">
        <v>370</v>
      </c>
    </row>
    <row r="1319" spans="1:12" ht="41.4">
      <c r="A1319" s="73">
        <v>1318</v>
      </c>
      <c r="B1319" s="74" t="s">
        <v>12415</v>
      </c>
      <c r="C1319" s="74" t="s">
        <v>12416</v>
      </c>
      <c r="D1319" s="74" t="s">
        <v>41</v>
      </c>
      <c r="E1319" s="74" t="s">
        <v>9395</v>
      </c>
      <c r="F1319" s="74" t="s">
        <v>80</v>
      </c>
      <c r="G1319" s="74" t="s">
        <v>11759</v>
      </c>
      <c r="H1319" s="74" t="s">
        <v>200</v>
      </c>
      <c r="I1319" s="74" t="s">
        <v>47</v>
      </c>
      <c r="J1319" s="74" t="s">
        <v>9351</v>
      </c>
      <c r="K1319" s="74" t="s">
        <v>12417</v>
      </c>
      <c r="L1319" s="74" t="s">
        <v>331</v>
      </c>
    </row>
    <row r="1320" spans="1:12" ht="41.4">
      <c r="A1320" s="73">
        <v>1319</v>
      </c>
      <c r="B1320" s="74" t="s">
        <v>12418</v>
      </c>
      <c r="C1320" s="74" t="s">
        <v>12419</v>
      </c>
      <c r="D1320" s="74" t="s">
        <v>41</v>
      </c>
      <c r="E1320" s="74" t="s">
        <v>9395</v>
      </c>
      <c r="F1320" s="74" t="s">
        <v>80</v>
      </c>
      <c r="G1320" s="74" t="s">
        <v>11942</v>
      </c>
      <c r="H1320" s="74" t="s">
        <v>200</v>
      </c>
      <c r="I1320" s="74" t="s">
        <v>47</v>
      </c>
      <c r="J1320" s="74" t="s">
        <v>9351</v>
      </c>
      <c r="K1320" s="74"/>
      <c r="L1320" s="74"/>
    </row>
    <row r="1321" spans="1:12" ht="55.2">
      <c r="A1321" s="73">
        <v>1320</v>
      </c>
      <c r="B1321" s="74" t="s">
        <v>12420</v>
      </c>
      <c r="C1321" s="74" t="s">
        <v>12421</v>
      </c>
      <c r="D1321" s="74" t="s">
        <v>41</v>
      </c>
      <c r="E1321" s="74" t="s">
        <v>9395</v>
      </c>
      <c r="F1321" s="74" t="s">
        <v>80</v>
      </c>
      <c r="G1321" s="74" t="s">
        <v>11939</v>
      </c>
      <c r="H1321" s="74" t="s">
        <v>479</v>
      </c>
      <c r="I1321" s="74" t="s">
        <v>47</v>
      </c>
      <c r="J1321" s="74" t="s">
        <v>9351</v>
      </c>
      <c r="K1321" s="74"/>
      <c r="L1321" s="74"/>
    </row>
    <row r="1322" spans="1:12" ht="55.2">
      <c r="A1322" s="73">
        <v>1321</v>
      </c>
      <c r="B1322" s="74" t="s">
        <v>12422</v>
      </c>
      <c r="C1322" s="74" t="s">
        <v>12423</v>
      </c>
      <c r="D1322" s="74" t="s">
        <v>89</v>
      </c>
      <c r="E1322" s="74" t="s">
        <v>9395</v>
      </c>
      <c r="F1322" s="74" t="s">
        <v>80</v>
      </c>
      <c r="G1322" s="74" t="s">
        <v>12367</v>
      </c>
      <c r="H1322" s="74" t="s">
        <v>118</v>
      </c>
      <c r="I1322" s="74" t="s">
        <v>47</v>
      </c>
      <c r="J1322" s="74" t="s">
        <v>9351</v>
      </c>
      <c r="K1322" s="74"/>
      <c r="L1322" s="74"/>
    </row>
    <row r="1323" spans="1:12" ht="41.4">
      <c r="A1323" s="73">
        <v>1322</v>
      </c>
      <c r="B1323" s="74" t="s">
        <v>12424</v>
      </c>
      <c r="C1323" s="74" t="s">
        <v>12425</v>
      </c>
      <c r="D1323" s="74" t="s">
        <v>89</v>
      </c>
      <c r="E1323" s="74" t="s">
        <v>9395</v>
      </c>
      <c r="F1323" s="74" t="s">
        <v>80</v>
      </c>
      <c r="G1323" s="74" t="s">
        <v>9503</v>
      </c>
      <c r="H1323" s="74" t="s">
        <v>102</v>
      </c>
      <c r="I1323" s="74" t="s">
        <v>47</v>
      </c>
      <c r="J1323" s="74" t="s">
        <v>9351</v>
      </c>
      <c r="K1323" s="74" t="s">
        <v>12426</v>
      </c>
      <c r="L1323" s="74" t="s">
        <v>1916</v>
      </c>
    </row>
    <row r="1324" spans="1:12" ht="55.2">
      <c r="A1324" s="73">
        <v>1323</v>
      </c>
      <c r="B1324" s="74" t="s">
        <v>12427</v>
      </c>
      <c r="C1324" s="74" t="s">
        <v>2870</v>
      </c>
      <c r="D1324" s="74" t="s">
        <v>143</v>
      </c>
      <c r="E1324" s="74" t="s">
        <v>9395</v>
      </c>
      <c r="F1324" s="74" t="s">
        <v>80</v>
      </c>
      <c r="G1324" s="74" t="s">
        <v>11739</v>
      </c>
      <c r="H1324" s="74" t="s">
        <v>327</v>
      </c>
      <c r="I1324" s="74" t="s">
        <v>47</v>
      </c>
      <c r="J1324" s="74" t="s">
        <v>9351</v>
      </c>
      <c r="K1324" s="74" t="s">
        <v>12428</v>
      </c>
      <c r="L1324" s="74" t="s">
        <v>370</v>
      </c>
    </row>
    <row r="1325" spans="1:12" ht="41.4">
      <c r="A1325" s="73">
        <v>1324</v>
      </c>
      <c r="B1325" s="74" t="s">
        <v>12429</v>
      </c>
      <c r="C1325" s="74" t="s">
        <v>12430</v>
      </c>
      <c r="D1325" s="74" t="s">
        <v>153</v>
      </c>
      <c r="E1325" s="74" t="s">
        <v>9395</v>
      </c>
      <c r="F1325" s="74" t="s">
        <v>80</v>
      </c>
      <c r="G1325" s="74" t="s">
        <v>11766</v>
      </c>
      <c r="H1325" s="74" t="s">
        <v>11767</v>
      </c>
      <c r="I1325" s="74" t="s">
        <v>47</v>
      </c>
      <c r="J1325" s="74" t="s">
        <v>9347</v>
      </c>
      <c r="K1325" s="74"/>
      <c r="L1325" s="74"/>
    </row>
    <row r="1326" spans="1:12" ht="55.2">
      <c r="A1326" s="73">
        <v>1325</v>
      </c>
      <c r="B1326" s="74" t="s">
        <v>12431</v>
      </c>
      <c r="C1326" s="74" t="s">
        <v>12432</v>
      </c>
      <c r="D1326" s="74" t="s">
        <v>143</v>
      </c>
      <c r="E1326" s="74" t="s">
        <v>9395</v>
      </c>
      <c r="F1326" s="74" t="s">
        <v>80</v>
      </c>
      <c r="G1326" s="74" t="s">
        <v>12096</v>
      </c>
      <c r="H1326" s="74" t="s">
        <v>327</v>
      </c>
      <c r="I1326" s="74" t="s">
        <v>47</v>
      </c>
      <c r="J1326" s="74" t="s">
        <v>9351</v>
      </c>
      <c r="K1326" s="74"/>
      <c r="L1326" s="74"/>
    </row>
    <row r="1327" spans="1:12" ht="55.2">
      <c r="A1327" s="73">
        <v>1326</v>
      </c>
      <c r="B1327" s="74" t="s">
        <v>12433</v>
      </c>
      <c r="C1327" s="74" t="s">
        <v>12434</v>
      </c>
      <c r="D1327" s="74" t="s">
        <v>143</v>
      </c>
      <c r="E1327" s="74" t="s">
        <v>9395</v>
      </c>
      <c r="F1327" s="74" t="s">
        <v>80</v>
      </c>
      <c r="G1327" s="74" t="s">
        <v>12026</v>
      </c>
      <c r="H1327" s="74" t="s">
        <v>327</v>
      </c>
      <c r="I1327" s="74" t="s">
        <v>47</v>
      </c>
      <c r="J1327" s="74" t="s">
        <v>9351</v>
      </c>
      <c r="K1327" s="74" t="s">
        <v>12435</v>
      </c>
      <c r="L1327" s="74" t="s">
        <v>370</v>
      </c>
    </row>
    <row r="1328" spans="1:12" ht="55.2">
      <c r="A1328" s="73">
        <v>1327</v>
      </c>
      <c r="B1328" s="74" t="s">
        <v>12436</v>
      </c>
      <c r="C1328" s="74" t="s">
        <v>12437</v>
      </c>
      <c r="D1328" s="74" t="s">
        <v>143</v>
      </c>
      <c r="E1328" s="74" t="s">
        <v>9395</v>
      </c>
      <c r="F1328" s="74" t="s">
        <v>80</v>
      </c>
      <c r="G1328" s="74" t="s">
        <v>11962</v>
      </c>
      <c r="H1328" s="74" t="s">
        <v>327</v>
      </c>
      <c r="I1328" s="74" t="s">
        <v>47</v>
      </c>
      <c r="J1328" s="74" t="s">
        <v>9351</v>
      </c>
      <c r="K1328" s="74" t="s">
        <v>12438</v>
      </c>
      <c r="L1328" s="74" t="s">
        <v>370</v>
      </c>
    </row>
    <row r="1329" spans="1:12" ht="41.4">
      <c r="A1329" s="73">
        <v>1328</v>
      </c>
      <c r="B1329" s="74" t="s">
        <v>12439</v>
      </c>
      <c r="C1329" s="74" t="s">
        <v>12440</v>
      </c>
      <c r="D1329" s="74" t="s">
        <v>41</v>
      </c>
      <c r="E1329" s="74" t="s">
        <v>9395</v>
      </c>
      <c r="F1329" s="74" t="s">
        <v>80</v>
      </c>
      <c r="G1329" s="74" t="s">
        <v>11942</v>
      </c>
      <c r="H1329" s="74" t="s">
        <v>200</v>
      </c>
      <c r="I1329" s="74" t="s">
        <v>47</v>
      </c>
      <c r="J1329" s="74" t="s">
        <v>9351</v>
      </c>
      <c r="K1329" s="74" t="s">
        <v>12441</v>
      </c>
      <c r="L1329" s="74" t="s">
        <v>331</v>
      </c>
    </row>
    <row r="1330" spans="1:12" ht="55.2">
      <c r="A1330" s="73">
        <v>1329</v>
      </c>
      <c r="B1330" s="74" t="s">
        <v>12442</v>
      </c>
      <c r="C1330" s="74" t="s">
        <v>12443</v>
      </c>
      <c r="D1330" s="74" t="s">
        <v>68</v>
      </c>
      <c r="E1330" s="74" t="s">
        <v>9395</v>
      </c>
      <c r="F1330" s="74" t="s">
        <v>80</v>
      </c>
      <c r="G1330" s="74" t="s">
        <v>12284</v>
      </c>
      <c r="H1330" s="74" t="s">
        <v>70</v>
      </c>
      <c r="I1330" s="74" t="s">
        <v>47</v>
      </c>
      <c r="J1330" s="74" t="s">
        <v>9351</v>
      </c>
      <c r="K1330" s="74" t="s">
        <v>12444</v>
      </c>
      <c r="L1330" s="74" t="s">
        <v>3207</v>
      </c>
    </row>
    <row r="1331" spans="1:12" ht="55.2">
      <c r="A1331" s="73">
        <v>1330</v>
      </c>
      <c r="B1331" s="74" t="s">
        <v>12445</v>
      </c>
      <c r="C1331" s="74" t="s">
        <v>12446</v>
      </c>
      <c r="D1331" s="74" t="s">
        <v>68</v>
      </c>
      <c r="E1331" s="74" t="s">
        <v>9395</v>
      </c>
      <c r="F1331" s="74" t="s">
        <v>80</v>
      </c>
      <c r="G1331" s="74" t="s">
        <v>12284</v>
      </c>
      <c r="H1331" s="74" t="s">
        <v>70</v>
      </c>
      <c r="I1331" s="74" t="s">
        <v>416</v>
      </c>
      <c r="J1331" s="74" t="s">
        <v>9351</v>
      </c>
      <c r="K1331" s="74" t="s">
        <v>12447</v>
      </c>
      <c r="L1331" s="74" t="s">
        <v>3207</v>
      </c>
    </row>
    <row r="1332" spans="1:12" ht="55.2">
      <c r="A1332" s="73">
        <v>1331</v>
      </c>
      <c r="B1332" s="74" t="s">
        <v>12448</v>
      </c>
      <c r="C1332" s="74" t="s">
        <v>12449</v>
      </c>
      <c r="D1332" s="74" t="s">
        <v>68</v>
      </c>
      <c r="E1332" s="74" t="s">
        <v>9395</v>
      </c>
      <c r="F1332" s="74" t="s">
        <v>80</v>
      </c>
      <c r="G1332" s="74" t="s">
        <v>10589</v>
      </c>
      <c r="H1332" s="74" t="s">
        <v>70</v>
      </c>
      <c r="I1332" s="74" t="s">
        <v>416</v>
      </c>
      <c r="J1332" s="74" t="s">
        <v>9351</v>
      </c>
      <c r="K1332" s="74" t="s">
        <v>12450</v>
      </c>
      <c r="L1332" s="74" t="s">
        <v>3207</v>
      </c>
    </row>
    <row r="1333" spans="1:12" ht="41.4">
      <c r="A1333" s="73">
        <v>1332</v>
      </c>
      <c r="B1333" s="74" t="s">
        <v>12451</v>
      </c>
      <c r="C1333" s="74" t="s">
        <v>12452</v>
      </c>
      <c r="D1333" s="74" t="s">
        <v>41</v>
      </c>
      <c r="E1333" s="74" t="s">
        <v>9395</v>
      </c>
      <c r="F1333" s="74" t="s">
        <v>80</v>
      </c>
      <c r="G1333" s="74" t="s">
        <v>11749</v>
      </c>
      <c r="H1333" s="74" t="s">
        <v>130</v>
      </c>
      <c r="I1333" s="74" t="s">
        <v>47</v>
      </c>
      <c r="J1333" s="74" t="s">
        <v>9347</v>
      </c>
      <c r="K1333" s="74" t="s">
        <v>12453</v>
      </c>
      <c r="L1333" s="74" t="s">
        <v>318</v>
      </c>
    </row>
    <row r="1334" spans="1:12" ht="55.2">
      <c r="A1334" s="73">
        <v>1333</v>
      </c>
      <c r="B1334" s="74" t="s">
        <v>12454</v>
      </c>
      <c r="C1334" s="74" t="s">
        <v>3449</v>
      </c>
      <c r="D1334" s="74" t="s">
        <v>295</v>
      </c>
      <c r="E1334" s="74" t="s">
        <v>9395</v>
      </c>
      <c r="F1334" s="74" t="s">
        <v>80</v>
      </c>
      <c r="G1334" s="74" t="s">
        <v>11950</v>
      </c>
      <c r="H1334" s="74" t="s">
        <v>297</v>
      </c>
      <c r="I1334" s="74" t="s">
        <v>47</v>
      </c>
      <c r="J1334" s="74" t="s">
        <v>9347</v>
      </c>
      <c r="K1334" s="74" t="s">
        <v>12455</v>
      </c>
      <c r="L1334" s="74" t="s">
        <v>1916</v>
      </c>
    </row>
    <row r="1335" spans="1:12" ht="55.2">
      <c r="A1335" s="73">
        <v>1334</v>
      </c>
      <c r="B1335" s="74" t="s">
        <v>12456</v>
      </c>
      <c r="C1335" s="74" t="s">
        <v>12457</v>
      </c>
      <c r="D1335" s="74" t="s">
        <v>143</v>
      </c>
      <c r="E1335" s="74" t="s">
        <v>9395</v>
      </c>
      <c r="F1335" s="74" t="s">
        <v>80</v>
      </c>
      <c r="G1335" s="74" t="s">
        <v>12096</v>
      </c>
      <c r="H1335" s="74" t="s">
        <v>327</v>
      </c>
      <c r="I1335" s="74" t="s">
        <v>47</v>
      </c>
      <c r="J1335" s="74" t="s">
        <v>9351</v>
      </c>
      <c r="K1335" s="74" t="s">
        <v>12458</v>
      </c>
      <c r="L1335" s="74" t="s">
        <v>370</v>
      </c>
    </row>
    <row r="1336" spans="1:12" ht="55.2">
      <c r="A1336" s="73">
        <v>1335</v>
      </c>
      <c r="B1336" s="74" t="s">
        <v>12459</v>
      </c>
      <c r="C1336" s="74" t="s">
        <v>5416</v>
      </c>
      <c r="D1336" s="74" t="s">
        <v>68</v>
      </c>
      <c r="E1336" s="74" t="s">
        <v>9395</v>
      </c>
      <c r="F1336" s="74" t="s">
        <v>80</v>
      </c>
      <c r="G1336" s="74" t="s">
        <v>12284</v>
      </c>
      <c r="H1336" s="74" t="s">
        <v>70</v>
      </c>
      <c r="I1336" s="74" t="s">
        <v>47</v>
      </c>
      <c r="J1336" s="74" t="s">
        <v>9351</v>
      </c>
      <c r="K1336" s="74" t="s">
        <v>12460</v>
      </c>
      <c r="L1336" s="74" t="s">
        <v>3207</v>
      </c>
    </row>
    <row r="1337" spans="1:12" ht="55.2">
      <c r="A1337" s="73">
        <v>1336</v>
      </c>
      <c r="B1337" s="74" t="s">
        <v>12461</v>
      </c>
      <c r="C1337" s="74" t="s">
        <v>12462</v>
      </c>
      <c r="D1337" s="74" t="s">
        <v>41</v>
      </c>
      <c r="E1337" s="74" t="s">
        <v>9395</v>
      </c>
      <c r="F1337" s="74" t="s">
        <v>80</v>
      </c>
      <c r="G1337" s="74" t="s">
        <v>11759</v>
      </c>
      <c r="H1337" s="74" t="s">
        <v>200</v>
      </c>
      <c r="I1337" s="74" t="s">
        <v>47</v>
      </c>
      <c r="J1337" s="74" t="s">
        <v>9351</v>
      </c>
      <c r="K1337" s="74"/>
      <c r="L1337" s="74"/>
    </row>
    <row r="1338" spans="1:12" ht="55.2">
      <c r="A1338" s="73">
        <v>1337</v>
      </c>
      <c r="B1338" s="74" t="s">
        <v>12463</v>
      </c>
      <c r="C1338" s="74" t="s">
        <v>12464</v>
      </c>
      <c r="D1338" s="74" t="s">
        <v>68</v>
      </c>
      <c r="E1338" s="74" t="s">
        <v>9395</v>
      </c>
      <c r="F1338" s="74" t="s">
        <v>80</v>
      </c>
      <c r="G1338" s="74" t="s">
        <v>11818</v>
      </c>
      <c r="H1338" s="74" t="s">
        <v>118</v>
      </c>
      <c r="I1338" s="74" t="s">
        <v>47</v>
      </c>
      <c r="J1338" s="74" t="s">
        <v>9351</v>
      </c>
      <c r="K1338" s="74" t="s">
        <v>12465</v>
      </c>
      <c r="L1338" s="74" t="s">
        <v>3207</v>
      </c>
    </row>
    <row r="1339" spans="1:12" ht="55.2">
      <c r="A1339" s="73">
        <v>1338</v>
      </c>
      <c r="B1339" s="74" t="s">
        <v>12466</v>
      </c>
      <c r="C1339" s="74" t="s">
        <v>12467</v>
      </c>
      <c r="D1339" s="74" t="s">
        <v>143</v>
      </c>
      <c r="E1339" s="74" t="s">
        <v>9395</v>
      </c>
      <c r="F1339" s="74" t="s">
        <v>80</v>
      </c>
      <c r="G1339" s="74" t="s">
        <v>11962</v>
      </c>
      <c r="H1339" s="74" t="s">
        <v>327</v>
      </c>
      <c r="I1339" s="74" t="s">
        <v>47</v>
      </c>
      <c r="J1339" s="74" t="s">
        <v>9351</v>
      </c>
      <c r="K1339" s="74" t="s">
        <v>12468</v>
      </c>
      <c r="L1339" s="74" t="s">
        <v>370</v>
      </c>
    </row>
    <row r="1340" spans="1:12" ht="69">
      <c r="A1340" s="73">
        <v>1339</v>
      </c>
      <c r="B1340" s="74" t="s">
        <v>12469</v>
      </c>
      <c r="C1340" s="74" t="s">
        <v>12470</v>
      </c>
      <c r="D1340" s="74" t="s">
        <v>143</v>
      </c>
      <c r="E1340" s="74" t="s">
        <v>9395</v>
      </c>
      <c r="F1340" s="74" t="s">
        <v>80</v>
      </c>
      <c r="G1340" s="74" t="s">
        <v>11965</v>
      </c>
      <c r="H1340" s="74" t="s">
        <v>220</v>
      </c>
      <c r="I1340" s="74" t="s">
        <v>47</v>
      </c>
      <c r="J1340" s="74" t="s">
        <v>9351</v>
      </c>
      <c r="K1340" s="74" t="s">
        <v>12471</v>
      </c>
      <c r="L1340" s="74" t="s">
        <v>370</v>
      </c>
    </row>
    <row r="1341" spans="1:12" ht="69">
      <c r="A1341" s="73">
        <v>1340</v>
      </c>
      <c r="B1341" s="74" t="s">
        <v>12472</v>
      </c>
      <c r="C1341" s="74" t="s">
        <v>12473</v>
      </c>
      <c r="D1341" s="74" t="s">
        <v>41</v>
      </c>
      <c r="E1341" s="74" t="s">
        <v>9395</v>
      </c>
      <c r="F1341" s="74" t="s">
        <v>80</v>
      </c>
      <c r="G1341" s="74" t="s">
        <v>11799</v>
      </c>
      <c r="H1341" s="74" t="s">
        <v>46</v>
      </c>
      <c r="I1341" s="74" t="s">
        <v>47</v>
      </c>
      <c r="J1341" s="74" t="s">
        <v>9347</v>
      </c>
      <c r="K1341" s="74"/>
      <c r="L1341" s="74"/>
    </row>
    <row r="1342" spans="1:12" ht="55.2">
      <c r="A1342" s="73">
        <v>1341</v>
      </c>
      <c r="B1342" s="74" t="s">
        <v>12474</v>
      </c>
      <c r="C1342" s="74" t="s">
        <v>12475</v>
      </c>
      <c r="D1342" s="74" t="s">
        <v>89</v>
      </c>
      <c r="E1342" s="74" t="s">
        <v>9395</v>
      </c>
      <c r="F1342" s="74" t="s">
        <v>80</v>
      </c>
      <c r="G1342" s="74" t="s">
        <v>9503</v>
      </c>
      <c r="H1342" s="74" t="s">
        <v>102</v>
      </c>
      <c r="I1342" s="74" t="s">
        <v>110</v>
      </c>
      <c r="J1342" s="74" t="s">
        <v>9351</v>
      </c>
      <c r="K1342" s="74" t="s">
        <v>12476</v>
      </c>
      <c r="L1342" s="74" t="s">
        <v>370</v>
      </c>
    </row>
    <row r="1343" spans="1:12" ht="41.4">
      <c r="A1343" s="73">
        <v>1342</v>
      </c>
      <c r="B1343" s="74" t="s">
        <v>12477</v>
      </c>
      <c r="C1343" s="74" t="s">
        <v>12478</v>
      </c>
      <c r="D1343" s="74" t="s">
        <v>89</v>
      </c>
      <c r="E1343" s="74" t="s">
        <v>9395</v>
      </c>
      <c r="F1343" s="74" t="s">
        <v>80</v>
      </c>
      <c r="G1343" s="74" t="s">
        <v>11928</v>
      </c>
      <c r="H1343" s="74" t="s">
        <v>102</v>
      </c>
      <c r="I1343" s="74" t="s">
        <v>110</v>
      </c>
      <c r="J1343" s="74" t="s">
        <v>9351</v>
      </c>
      <c r="K1343" s="74" t="s">
        <v>12479</v>
      </c>
      <c r="L1343" s="74" t="s">
        <v>711</v>
      </c>
    </row>
    <row r="1344" spans="1:12" ht="69">
      <c r="A1344" s="73">
        <v>1343</v>
      </c>
      <c r="B1344" s="74" t="s">
        <v>12480</v>
      </c>
      <c r="C1344" s="74" t="s">
        <v>12481</v>
      </c>
      <c r="D1344" s="74" t="s">
        <v>41</v>
      </c>
      <c r="E1344" s="74" t="s">
        <v>9395</v>
      </c>
      <c r="F1344" s="74" t="s">
        <v>80</v>
      </c>
      <c r="G1344" s="74" t="s">
        <v>12167</v>
      </c>
      <c r="H1344" s="74" t="s">
        <v>46</v>
      </c>
      <c r="I1344" s="74" t="s">
        <v>47</v>
      </c>
      <c r="J1344" s="74" t="s">
        <v>9351</v>
      </c>
      <c r="K1344" s="74" t="s">
        <v>12482</v>
      </c>
      <c r="L1344" s="74" t="s">
        <v>331</v>
      </c>
    </row>
    <row r="1345" spans="1:12" ht="41.4">
      <c r="A1345" s="73">
        <v>1344</v>
      </c>
      <c r="B1345" s="74" t="s">
        <v>12483</v>
      </c>
      <c r="C1345" s="74" t="s">
        <v>12484</v>
      </c>
      <c r="D1345" s="74" t="s">
        <v>41</v>
      </c>
      <c r="E1345" s="74" t="s">
        <v>9395</v>
      </c>
      <c r="F1345" s="74" t="s">
        <v>80</v>
      </c>
      <c r="G1345" s="74" t="s">
        <v>11901</v>
      </c>
      <c r="H1345" s="74" t="s">
        <v>200</v>
      </c>
      <c r="I1345" s="74" t="s">
        <v>47</v>
      </c>
      <c r="J1345" s="74" t="s">
        <v>9351</v>
      </c>
      <c r="K1345" s="74" t="s">
        <v>12485</v>
      </c>
      <c r="L1345" s="74" t="s">
        <v>1916</v>
      </c>
    </row>
    <row r="1346" spans="1:12" ht="55.2">
      <c r="A1346" s="73">
        <v>1345</v>
      </c>
      <c r="B1346" s="74" t="s">
        <v>12486</v>
      </c>
      <c r="C1346" s="74" t="s">
        <v>12487</v>
      </c>
      <c r="D1346" s="74" t="s">
        <v>143</v>
      </c>
      <c r="E1346" s="74" t="s">
        <v>9395</v>
      </c>
      <c r="F1346" s="74" t="s">
        <v>80</v>
      </c>
      <c r="G1346" s="74" t="s">
        <v>11997</v>
      </c>
      <c r="H1346" s="74" t="s">
        <v>327</v>
      </c>
      <c r="I1346" s="74" t="s">
        <v>47</v>
      </c>
      <c r="J1346" s="74" t="s">
        <v>9351</v>
      </c>
      <c r="K1346" s="74" t="s">
        <v>12488</v>
      </c>
      <c r="L1346" s="74" t="s">
        <v>251</v>
      </c>
    </row>
    <row r="1347" spans="1:12" ht="69">
      <c r="A1347" s="73">
        <v>1346</v>
      </c>
      <c r="B1347" s="74" t="s">
        <v>12489</v>
      </c>
      <c r="C1347" s="74" t="s">
        <v>12490</v>
      </c>
      <c r="D1347" s="74" t="s">
        <v>68</v>
      </c>
      <c r="E1347" s="74" t="s">
        <v>9395</v>
      </c>
      <c r="F1347" s="74" t="s">
        <v>80</v>
      </c>
      <c r="G1347" s="74" t="s">
        <v>11826</v>
      </c>
      <c r="H1347" s="74" t="s">
        <v>91</v>
      </c>
      <c r="I1347" s="74" t="s">
        <v>47</v>
      </c>
      <c r="J1347" s="74" t="s">
        <v>9351</v>
      </c>
      <c r="K1347" s="74"/>
      <c r="L1347" s="74"/>
    </row>
    <row r="1348" spans="1:12" ht="41.4">
      <c r="A1348" s="73">
        <v>1347</v>
      </c>
      <c r="B1348" s="74" t="s">
        <v>12491</v>
      </c>
      <c r="C1348" s="74" t="s">
        <v>12492</v>
      </c>
      <c r="D1348" s="74" t="s">
        <v>41</v>
      </c>
      <c r="E1348" s="74" t="s">
        <v>9395</v>
      </c>
      <c r="F1348" s="74" t="s">
        <v>80</v>
      </c>
      <c r="G1348" s="74" t="s">
        <v>11759</v>
      </c>
      <c r="H1348" s="74" t="s">
        <v>200</v>
      </c>
      <c r="I1348" s="74" t="s">
        <v>47</v>
      </c>
      <c r="J1348" s="74" t="s">
        <v>9351</v>
      </c>
      <c r="K1348" s="74" t="s">
        <v>12493</v>
      </c>
      <c r="L1348" s="74" t="s">
        <v>331</v>
      </c>
    </row>
    <row r="1349" spans="1:12" ht="55.2">
      <c r="A1349" s="73">
        <v>1348</v>
      </c>
      <c r="B1349" s="74" t="s">
        <v>12494</v>
      </c>
      <c r="C1349" s="74" t="s">
        <v>12495</v>
      </c>
      <c r="D1349" s="74" t="s">
        <v>143</v>
      </c>
      <c r="E1349" s="74" t="s">
        <v>9395</v>
      </c>
      <c r="F1349" s="74" t="s">
        <v>80</v>
      </c>
      <c r="G1349" s="74" t="s">
        <v>10395</v>
      </c>
      <c r="H1349" s="74" t="s">
        <v>327</v>
      </c>
      <c r="I1349" s="74" t="s">
        <v>47</v>
      </c>
      <c r="J1349" s="74" t="s">
        <v>9351</v>
      </c>
      <c r="K1349" s="74" t="s">
        <v>12496</v>
      </c>
      <c r="L1349" s="74" t="s">
        <v>370</v>
      </c>
    </row>
    <row r="1350" spans="1:12" ht="55.2">
      <c r="A1350" s="73">
        <v>1349</v>
      </c>
      <c r="B1350" s="74" t="s">
        <v>12497</v>
      </c>
      <c r="C1350" s="74" t="s">
        <v>12498</v>
      </c>
      <c r="D1350" s="74" t="s">
        <v>143</v>
      </c>
      <c r="E1350" s="74" t="s">
        <v>9395</v>
      </c>
      <c r="F1350" s="74" t="s">
        <v>80</v>
      </c>
      <c r="G1350" s="74" t="s">
        <v>11997</v>
      </c>
      <c r="H1350" s="74" t="s">
        <v>327</v>
      </c>
      <c r="I1350" s="74" t="s">
        <v>47</v>
      </c>
      <c r="J1350" s="74" t="s">
        <v>9351</v>
      </c>
      <c r="K1350" s="74" t="s">
        <v>12499</v>
      </c>
      <c r="L1350" s="74" t="s">
        <v>370</v>
      </c>
    </row>
    <row r="1351" spans="1:12" ht="41.4">
      <c r="A1351" s="73">
        <v>1350</v>
      </c>
      <c r="B1351" s="74" t="s">
        <v>12500</v>
      </c>
      <c r="C1351" s="74" t="s">
        <v>12501</v>
      </c>
      <c r="D1351" s="74" t="s">
        <v>89</v>
      </c>
      <c r="E1351" s="74" t="s">
        <v>9395</v>
      </c>
      <c r="F1351" s="74" t="s">
        <v>80</v>
      </c>
      <c r="G1351" s="74" t="s">
        <v>11932</v>
      </c>
      <c r="H1351" s="74" t="s">
        <v>102</v>
      </c>
      <c r="I1351" s="74" t="s">
        <v>47</v>
      </c>
      <c r="J1351" s="74" t="s">
        <v>9351</v>
      </c>
      <c r="K1351" s="74"/>
      <c r="L1351" s="74"/>
    </row>
    <row r="1352" spans="1:12" ht="55.2">
      <c r="A1352" s="73">
        <v>1351</v>
      </c>
      <c r="B1352" s="74" t="s">
        <v>12502</v>
      </c>
      <c r="C1352" s="74" t="s">
        <v>12503</v>
      </c>
      <c r="D1352" s="74" t="s">
        <v>153</v>
      </c>
      <c r="E1352" s="74" t="s">
        <v>9395</v>
      </c>
      <c r="F1352" s="74" t="s">
        <v>80</v>
      </c>
      <c r="G1352" s="74" t="s">
        <v>11766</v>
      </c>
      <c r="H1352" s="74" t="s">
        <v>11767</v>
      </c>
      <c r="I1352" s="74" t="s">
        <v>47</v>
      </c>
      <c r="J1352" s="74" t="s">
        <v>9347</v>
      </c>
      <c r="K1352" s="74" t="s">
        <v>12504</v>
      </c>
      <c r="L1352" s="74" t="s">
        <v>701</v>
      </c>
    </row>
    <row r="1353" spans="1:12" ht="55.2">
      <c r="A1353" s="73">
        <v>1352</v>
      </c>
      <c r="B1353" s="74" t="s">
        <v>12505</v>
      </c>
      <c r="C1353" s="74" t="s">
        <v>12506</v>
      </c>
      <c r="D1353" s="74" t="s">
        <v>143</v>
      </c>
      <c r="E1353" s="74" t="s">
        <v>9395</v>
      </c>
      <c r="F1353" s="74" t="s">
        <v>80</v>
      </c>
      <c r="G1353" s="74" t="s">
        <v>10395</v>
      </c>
      <c r="H1353" s="74" t="s">
        <v>327</v>
      </c>
      <c r="I1353" s="74" t="s">
        <v>47</v>
      </c>
      <c r="J1353" s="74" t="s">
        <v>9351</v>
      </c>
      <c r="K1353" s="74" t="s">
        <v>12507</v>
      </c>
      <c r="L1353" s="74" t="s">
        <v>370</v>
      </c>
    </row>
    <row r="1354" spans="1:12" ht="55.2">
      <c r="A1354" s="73">
        <v>1353</v>
      </c>
      <c r="B1354" s="74" t="s">
        <v>12508</v>
      </c>
      <c r="C1354" s="74" t="s">
        <v>12509</v>
      </c>
      <c r="D1354" s="74" t="s">
        <v>143</v>
      </c>
      <c r="E1354" s="74" t="s">
        <v>9395</v>
      </c>
      <c r="F1354" s="74" t="s">
        <v>80</v>
      </c>
      <c r="G1354" s="74" t="s">
        <v>10395</v>
      </c>
      <c r="H1354" s="74" t="s">
        <v>327</v>
      </c>
      <c r="I1354" s="74" t="s">
        <v>47</v>
      </c>
      <c r="J1354" s="74" t="s">
        <v>9351</v>
      </c>
      <c r="K1354" s="74"/>
      <c r="L1354" s="74"/>
    </row>
    <row r="1355" spans="1:12" ht="55.2">
      <c r="A1355" s="73">
        <v>1354</v>
      </c>
      <c r="B1355" s="74" t="s">
        <v>12510</v>
      </c>
      <c r="C1355" s="74" t="s">
        <v>12511</v>
      </c>
      <c r="D1355" s="74" t="s">
        <v>295</v>
      </c>
      <c r="E1355" s="74" t="s">
        <v>9395</v>
      </c>
      <c r="F1355" s="74" t="s">
        <v>80</v>
      </c>
      <c r="G1355" s="74" t="s">
        <v>11958</v>
      </c>
      <c r="H1355" s="74" t="s">
        <v>407</v>
      </c>
      <c r="I1355" s="74" t="s">
        <v>47</v>
      </c>
      <c r="J1355" s="74" t="s">
        <v>9347</v>
      </c>
      <c r="K1355" s="74"/>
      <c r="L1355" s="74"/>
    </row>
    <row r="1356" spans="1:12" ht="55.2">
      <c r="A1356" s="73">
        <v>1355</v>
      </c>
      <c r="B1356" s="74" t="s">
        <v>12512</v>
      </c>
      <c r="C1356" s="74" t="s">
        <v>2741</v>
      </c>
      <c r="D1356" s="74" t="s">
        <v>143</v>
      </c>
      <c r="E1356" s="74" t="s">
        <v>9395</v>
      </c>
      <c r="F1356" s="74" t="s">
        <v>80</v>
      </c>
      <c r="G1356" s="74" t="s">
        <v>10395</v>
      </c>
      <c r="H1356" s="74" t="s">
        <v>327</v>
      </c>
      <c r="I1356" s="74" t="s">
        <v>47</v>
      </c>
      <c r="J1356" s="74" t="s">
        <v>9351</v>
      </c>
      <c r="K1356" s="74" t="s">
        <v>12513</v>
      </c>
      <c r="L1356" s="74" t="s">
        <v>370</v>
      </c>
    </row>
    <row r="1357" spans="1:12" ht="41.4">
      <c r="A1357" s="73">
        <v>1356</v>
      </c>
      <c r="B1357" s="74" t="s">
        <v>12514</v>
      </c>
      <c r="C1357" s="74" t="s">
        <v>12515</v>
      </c>
      <c r="D1357" s="74" t="s">
        <v>68</v>
      </c>
      <c r="E1357" s="74" t="s">
        <v>9395</v>
      </c>
      <c r="F1357" s="74" t="s">
        <v>80</v>
      </c>
      <c r="G1357" s="74" t="s">
        <v>11915</v>
      </c>
      <c r="H1357" s="74" t="s">
        <v>297</v>
      </c>
      <c r="I1357" s="74" t="s">
        <v>47</v>
      </c>
      <c r="J1357" s="74" t="s">
        <v>9347</v>
      </c>
      <c r="K1357" s="74"/>
      <c r="L1357" s="74"/>
    </row>
    <row r="1358" spans="1:12" ht="55.2">
      <c r="A1358" s="73">
        <v>1357</v>
      </c>
      <c r="B1358" s="74" t="s">
        <v>12516</v>
      </c>
      <c r="C1358" s="74" t="s">
        <v>12517</v>
      </c>
      <c r="D1358" s="74" t="s">
        <v>143</v>
      </c>
      <c r="E1358" s="74" t="s">
        <v>9395</v>
      </c>
      <c r="F1358" s="74" t="s">
        <v>80</v>
      </c>
      <c r="G1358" s="74" t="s">
        <v>11978</v>
      </c>
      <c r="H1358" s="74" t="s">
        <v>145</v>
      </c>
      <c r="I1358" s="74" t="s">
        <v>47</v>
      </c>
      <c r="J1358" s="74" t="s">
        <v>9351</v>
      </c>
      <c r="K1358" s="74" t="s">
        <v>12518</v>
      </c>
      <c r="L1358" s="74" t="s">
        <v>370</v>
      </c>
    </row>
    <row r="1359" spans="1:12" ht="55.2">
      <c r="A1359" s="73">
        <v>1358</v>
      </c>
      <c r="B1359" s="74" t="s">
        <v>12519</v>
      </c>
      <c r="C1359" s="74" t="s">
        <v>12520</v>
      </c>
      <c r="D1359" s="74" t="s">
        <v>89</v>
      </c>
      <c r="E1359" s="74" t="s">
        <v>9395</v>
      </c>
      <c r="F1359" s="74" t="s">
        <v>80</v>
      </c>
      <c r="G1359" s="74" t="s">
        <v>11932</v>
      </c>
      <c r="H1359" s="74" t="s">
        <v>102</v>
      </c>
      <c r="I1359" s="74" t="s">
        <v>110</v>
      </c>
      <c r="J1359" s="74" t="s">
        <v>9351</v>
      </c>
      <c r="K1359" s="74" t="s">
        <v>12521</v>
      </c>
      <c r="L1359" s="74" t="s">
        <v>370</v>
      </c>
    </row>
    <row r="1360" spans="1:12" ht="69">
      <c r="A1360" s="73">
        <v>1359</v>
      </c>
      <c r="B1360" s="74" t="s">
        <v>12522</v>
      </c>
      <c r="C1360" s="74" t="s">
        <v>12523</v>
      </c>
      <c r="D1360" s="74" t="s">
        <v>41</v>
      </c>
      <c r="E1360" s="74" t="s">
        <v>9395</v>
      </c>
      <c r="F1360" s="74" t="s">
        <v>80</v>
      </c>
      <c r="G1360" s="74" t="s">
        <v>11812</v>
      </c>
      <c r="H1360" s="74" t="s">
        <v>46</v>
      </c>
      <c r="I1360" s="74" t="s">
        <v>47</v>
      </c>
      <c r="J1360" s="74" t="s">
        <v>9347</v>
      </c>
      <c r="K1360" s="74"/>
      <c r="L1360" s="74"/>
    </row>
    <row r="1361" spans="1:12" ht="55.2">
      <c r="A1361" s="73">
        <v>1360</v>
      </c>
      <c r="B1361" s="74" t="s">
        <v>12524</v>
      </c>
      <c r="C1361" s="74" t="s">
        <v>2291</v>
      </c>
      <c r="D1361" s="74" t="s">
        <v>143</v>
      </c>
      <c r="E1361" s="74" t="s">
        <v>9395</v>
      </c>
      <c r="F1361" s="74" t="s">
        <v>80</v>
      </c>
      <c r="G1361" s="74" t="s">
        <v>12063</v>
      </c>
      <c r="H1361" s="74" t="s">
        <v>327</v>
      </c>
      <c r="I1361" s="74" t="s">
        <v>47</v>
      </c>
      <c r="J1361" s="74" t="s">
        <v>9351</v>
      </c>
      <c r="K1361" s="74" t="s">
        <v>12525</v>
      </c>
      <c r="L1361" s="74" t="s">
        <v>370</v>
      </c>
    </row>
    <row r="1362" spans="1:12" ht="69">
      <c r="A1362" s="73">
        <v>1361</v>
      </c>
      <c r="B1362" s="74" t="s">
        <v>12526</v>
      </c>
      <c r="C1362" s="74" t="s">
        <v>12527</v>
      </c>
      <c r="D1362" s="74" t="s">
        <v>89</v>
      </c>
      <c r="E1362" s="74" t="s">
        <v>9395</v>
      </c>
      <c r="F1362" s="74" t="s">
        <v>80</v>
      </c>
      <c r="G1362" s="74" t="s">
        <v>12054</v>
      </c>
      <c r="H1362" s="74" t="s">
        <v>102</v>
      </c>
      <c r="I1362" s="74" t="s">
        <v>47</v>
      </c>
      <c r="J1362" s="74" t="s">
        <v>9351</v>
      </c>
      <c r="K1362" s="74" t="s">
        <v>12528</v>
      </c>
      <c r="L1362" s="74" t="s">
        <v>251</v>
      </c>
    </row>
    <row r="1363" spans="1:12" ht="55.2">
      <c r="A1363" s="73">
        <v>1362</v>
      </c>
      <c r="B1363" s="74" t="s">
        <v>12529</v>
      </c>
      <c r="C1363" s="74" t="s">
        <v>12530</v>
      </c>
      <c r="D1363" s="74" t="s">
        <v>143</v>
      </c>
      <c r="E1363" s="74" t="s">
        <v>9395</v>
      </c>
      <c r="F1363" s="74" t="s">
        <v>80</v>
      </c>
      <c r="G1363" s="74" t="s">
        <v>11822</v>
      </c>
      <c r="H1363" s="74" t="s">
        <v>145</v>
      </c>
      <c r="I1363" s="74" t="s">
        <v>47</v>
      </c>
      <c r="J1363" s="74" t="s">
        <v>9351</v>
      </c>
      <c r="K1363" s="74" t="s">
        <v>12531</v>
      </c>
      <c r="L1363" s="74" t="s">
        <v>251</v>
      </c>
    </row>
    <row r="1364" spans="1:12" ht="69">
      <c r="A1364" s="73">
        <v>1363</v>
      </c>
      <c r="B1364" s="74" t="s">
        <v>12532</v>
      </c>
      <c r="C1364" s="74" t="s">
        <v>12533</v>
      </c>
      <c r="D1364" s="74" t="s">
        <v>68</v>
      </c>
      <c r="E1364" s="74" t="s">
        <v>9395</v>
      </c>
      <c r="F1364" s="74" t="s">
        <v>80</v>
      </c>
      <c r="G1364" s="74" t="s">
        <v>11746</v>
      </c>
      <c r="H1364" s="74" t="s">
        <v>91</v>
      </c>
      <c r="I1364" s="74" t="s">
        <v>110</v>
      </c>
      <c r="J1364" s="74" t="s">
        <v>9351</v>
      </c>
      <c r="K1364" s="74" t="s">
        <v>12534</v>
      </c>
      <c r="L1364" s="74" t="s">
        <v>711</v>
      </c>
    </row>
    <row r="1365" spans="1:12" ht="69">
      <c r="A1365" s="73">
        <v>1364</v>
      </c>
      <c r="B1365" s="74" t="s">
        <v>12535</v>
      </c>
      <c r="C1365" s="74" t="s">
        <v>12536</v>
      </c>
      <c r="D1365" s="74" t="s">
        <v>41</v>
      </c>
      <c r="E1365" s="74" t="s">
        <v>9395</v>
      </c>
      <c r="F1365" s="74" t="s">
        <v>80</v>
      </c>
      <c r="G1365" s="74" t="s">
        <v>11799</v>
      </c>
      <c r="H1365" s="74" t="s">
        <v>46</v>
      </c>
      <c r="I1365" s="74" t="s">
        <v>47</v>
      </c>
      <c r="J1365" s="74" t="s">
        <v>9347</v>
      </c>
      <c r="K1365" s="74"/>
      <c r="L1365" s="74"/>
    </row>
    <row r="1366" spans="1:12" ht="55.2">
      <c r="A1366" s="73">
        <v>1365</v>
      </c>
      <c r="B1366" s="74" t="s">
        <v>12537</v>
      </c>
      <c r="C1366" s="74" t="s">
        <v>12538</v>
      </c>
      <c r="D1366" s="74" t="s">
        <v>41</v>
      </c>
      <c r="E1366" s="74" t="s">
        <v>9395</v>
      </c>
      <c r="F1366" s="74" t="s">
        <v>80</v>
      </c>
      <c r="G1366" s="74" t="s">
        <v>11791</v>
      </c>
      <c r="H1366" s="74" t="s">
        <v>479</v>
      </c>
      <c r="I1366" s="74" t="s">
        <v>47</v>
      </c>
      <c r="J1366" s="74" t="s">
        <v>9351</v>
      </c>
      <c r="K1366" s="74" t="s">
        <v>12539</v>
      </c>
      <c r="L1366" s="74" t="s">
        <v>1916</v>
      </c>
    </row>
    <row r="1367" spans="1:12" ht="69">
      <c r="A1367" s="73">
        <v>1366</v>
      </c>
      <c r="B1367" s="74" t="s">
        <v>12540</v>
      </c>
      <c r="C1367" s="74" t="s">
        <v>12541</v>
      </c>
      <c r="D1367" s="74" t="s">
        <v>41</v>
      </c>
      <c r="E1367" s="74" t="s">
        <v>9395</v>
      </c>
      <c r="F1367" s="74" t="s">
        <v>80</v>
      </c>
      <c r="G1367" s="74" t="s">
        <v>11799</v>
      </c>
      <c r="H1367" s="74" t="s">
        <v>46</v>
      </c>
      <c r="I1367" s="74" t="s">
        <v>47</v>
      </c>
      <c r="J1367" s="74" t="s">
        <v>9347</v>
      </c>
      <c r="K1367" s="74"/>
      <c r="L1367" s="74"/>
    </row>
    <row r="1368" spans="1:12" ht="41.4">
      <c r="A1368" s="73">
        <v>1367</v>
      </c>
      <c r="B1368" s="74" t="s">
        <v>12542</v>
      </c>
      <c r="C1368" s="74" t="s">
        <v>12543</v>
      </c>
      <c r="D1368" s="74" t="s">
        <v>295</v>
      </c>
      <c r="E1368" s="74" t="s">
        <v>9395</v>
      </c>
      <c r="F1368" s="74" t="s">
        <v>80</v>
      </c>
      <c r="G1368" s="74" t="s">
        <v>11950</v>
      </c>
      <c r="H1368" s="74" t="s">
        <v>297</v>
      </c>
      <c r="I1368" s="74" t="s">
        <v>47</v>
      </c>
      <c r="J1368" s="74" t="s">
        <v>9351</v>
      </c>
      <c r="K1368" s="74" t="s">
        <v>12544</v>
      </c>
      <c r="L1368" s="74" t="s">
        <v>1916</v>
      </c>
    </row>
    <row r="1369" spans="1:12" ht="55.2">
      <c r="A1369" s="73">
        <v>1368</v>
      </c>
      <c r="B1369" s="74" t="s">
        <v>12545</v>
      </c>
      <c r="C1369" s="74" t="s">
        <v>12546</v>
      </c>
      <c r="D1369" s="74" t="s">
        <v>143</v>
      </c>
      <c r="E1369" s="74" t="s">
        <v>9395</v>
      </c>
      <c r="F1369" s="74" t="s">
        <v>80</v>
      </c>
      <c r="G1369" s="74" t="s">
        <v>12394</v>
      </c>
      <c r="H1369" s="74" t="s">
        <v>327</v>
      </c>
      <c r="I1369" s="74" t="s">
        <v>47</v>
      </c>
      <c r="J1369" s="74" t="s">
        <v>9351</v>
      </c>
      <c r="K1369" s="74" t="s">
        <v>12547</v>
      </c>
      <c r="L1369" s="74" t="s">
        <v>251</v>
      </c>
    </row>
    <row r="1370" spans="1:12" ht="55.2">
      <c r="A1370" s="73">
        <v>1369</v>
      </c>
      <c r="B1370" s="74" t="s">
        <v>12548</v>
      </c>
      <c r="C1370" s="74" t="s">
        <v>12549</v>
      </c>
      <c r="D1370" s="74" t="s">
        <v>41</v>
      </c>
      <c r="E1370" s="74" t="s">
        <v>9395</v>
      </c>
      <c r="F1370" s="74" t="s">
        <v>80</v>
      </c>
      <c r="G1370" s="74" t="s">
        <v>11939</v>
      </c>
      <c r="H1370" s="74" t="s">
        <v>479</v>
      </c>
      <c r="I1370" s="74" t="s">
        <v>47</v>
      </c>
      <c r="J1370" s="74" t="s">
        <v>9351</v>
      </c>
      <c r="K1370" s="74" t="s">
        <v>12550</v>
      </c>
      <c r="L1370" s="74" t="s">
        <v>897</v>
      </c>
    </row>
    <row r="1371" spans="1:12" ht="55.2">
      <c r="A1371" s="73">
        <v>1370</v>
      </c>
      <c r="B1371" s="74" t="s">
        <v>12551</v>
      </c>
      <c r="C1371" s="74" t="s">
        <v>5302</v>
      </c>
      <c r="D1371" s="74" t="s">
        <v>143</v>
      </c>
      <c r="E1371" s="74" t="s">
        <v>9395</v>
      </c>
      <c r="F1371" s="74" t="s">
        <v>80</v>
      </c>
      <c r="G1371" s="74" t="s">
        <v>11739</v>
      </c>
      <c r="H1371" s="74" t="s">
        <v>327</v>
      </c>
      <c r="I1371" s="74" t="s">
        <v>47</v>
      </c>
      <c r="J1371" s="74" t="s">
        <v>9351</v>
      </c>
      <c r="K1371" s="74" t="s">
        <v>12552</v>
      </c>
      <c r="L1371" s="74" t="s">
        <v>370</v>
      </c>
    </row>
    <row r="1372" spans="1:12" ht="41.4">
      <c r="A1372" s="73">
        <v>1371</v>
      </c>
      <c r="B1372" s="74" t="s">
        <v>12553</v>
      </c>
      <c r="C1372" s="74" t="s">
        <v>12554</v>
      </c>
      <c r="D1372" s="74" t="s">
        <v>89</v>
      </c>
      <c r="E1372" s="74" t="s">
        <v>9395</v>
      </c>
      <c r="F1372" s="74" t="s">
        <v>80</v>
      </c>
      <c r="G1372" s="74" t="s">
        <v>11932</v>
      </c>
      <c r="H1372" s="74" t="s">
        <v>102</v>
      </c>
      <c r="I1372" s="74" t="s">
        <v>47</v>
      </c>
      <c r="J1372" s="74" t="s">
        <v>9351</v>
      </c>
      <c r="K1372" s="74" t="s">
        <v>12555</v>
      </c>
      <c r="L1372" s="74" t="s">
        <v>711</v>
      </c>
    </row>
    <row r="1373" spans="1:12" ht="55.2">
      <c r="A1373" s="73">
        <v>1372</v>
      </c>
      <c r="B1373" s="74" t="s">
        <v>12556</v>
      </c>
      <c r="C1373" s="74" t="s">
        <v>12557</v>
      </c>
      <c r="D1373" s="74" t="s">
        <v>41</v>
      </c>
      <c r="E1373" s="74" t="s">
        <v>9395</v>
      </c>
      <c r="F1373" s="74" t="s">
        <v>80</v>
      </c>
      <c r="G1373" s="74" t="s">
        <v>12190</v>
      </c>
      <c r="H1373" s="74" t="s">
        <v>479</v>
      </c>
      <c r="I1373" s="74" t="s">
        <v>47</v>
      </c>
      <c r="J1373" s="74" t="s">
        <v>9351</v>
      </c>
      <c r="K1373" s="74" t="s">
        <v>12558</v>
      </c>
      <c r="L1373" s="74" t="s">
        <v>1916</v>
      </c>
    </row>
    <row r="1374" spans="1:12" ht="55.2">
      <c r="A1374" s="73">
        <v>1373</v>
      </c>
      <c r="B1374" s="74" t="s">
        <v>12559</v>
      </c>
      <c r="C1374" s="74" t="s">
        <v>12560</v>
      </c>
      <c r="D1374" s="74" t="s">
        <v>89</v>
      </c>
      <c r="E1374" s="74" t="s">
        <v>9395</v>
      </c>
      <c r="F1374" s="74" t="s">
        <v>80</v>
      </c>
      <c r="G1374" s="74" t="s">
        <v>11932</v>
      </c>
      <c r="H1374" s="74" t="s">
        <v>102</v>
      </c>
      <c r="I1374" s="74" t="s">
        <v>47</v>
      </c>
      <c r="J1374" s="74" t="s">
        <v>9351</v>
      </c>
      <c r="K1374" s="74" t="s">
        <v>12561</v>
      </c>
      <c r="L1374" s="74" t="s">
        <v>711</v>
      </c>
    </row>
    <row r="1375" spans="1:12" ht="41.4">
      <c r="A1375" s="73">
        <v>1374</v>
      </c>
      <c r="B1375" s="74" t="s">
        <v>12562</v>
      </c>
      <c r="C1375" s="74" t="s">
        <v>5245</v>
      </c>
      <c r="D1375" s="74" t="s">
        <v>89</v>
      </c>
      <c r="E1375" s="74" t="s">
        <v>9395</v>
      </c>
      <c r="F1375" s="74" t="s">
        <v>80</v>
      </c>
      <c r="G1375" s="74" t="s">
        <v>9445</v>
      </c>
      <c r="H1375" s="74" t="s">
        <v>102</v>
      </c>
      <c r="I1375" s="74" t="s">
        <v>47</v>
      </c>
      <c r="J1375" s="74" t="s">
        <v>9351</v>
      </c>
      <c r="K1375" s="74" t="s">
        <v>12563</v>
      </c>
      <c r="L1375" s="74" t="s">
        <v>897</v>
      </c>
    </row>
    <row r="1376" spans="1:12" ht="69">
      <c r="A1376" s="73">
        <v>1375</v>
      </c>
      <c r="B1376" s="74" t="s">
        <v>12564</v>
      </c>
      <c r="C1376" s="74" t="s">
        <v>12565</v>
      </c>
      <c r="D1376" s="74" t="s">
        <v>41</v>
      </c>
      <c r="E1376" s="74" t="s">
        <v>9395</v>
      </c>
      <c r="F1376" s="74" t="s">
        <v>80</v>
      </c>
      <c r="G1376" s="74" t="s">
        <v>12092</v>
      </c>
      <c r="H1376" s="74" t="s">
        <v>46</v>
      </c>
      <c r="I1376" s="74" t="s">
        <v>47</v>
      </c>
      <c r="J1376" s="74" t="s">
        <v>9351</v>
      </c>
      <c r="K1376" s="74"/>
      <c r="L1376" s="74"/>
    </row>
    <row r="1377" spans="1:12" ht="69">
      <c r="A1377" s="73">
        <v>1376</v>
      </c>
      <c r="B1377" s="74" t="s">
        <v>12566</v>
      </c>
      <c r="C1377" s="74" t="s">
        <v>12567</v>
      </c>
      <c r="D1377" s="74" t="s">
        <v>89</v>
      </c>
      <c r="E1377" s="74" t="s">
        <v>9395</v>
      </c>
      <c r="F1377" s="74" t="s">
        <v>80</v>
      </c>
      <c r="G1377" s="74" t="s">
        <v>9998</v>
      </c>
      <c r="H1377" s="74" t="s">
        <v>91</v>
      </c>
      <c r="I1377" s="74" t="s">
        <v>47</v>
      </c>
      <c r="J1377" s="74" t="s">
        <v>9351</v>
      </c>
      <c r="K1377" s="74" t="s">
        <v>12568</v>
      </c>
      <c r="L1377" s="74" t="s">
        <v>711</v>
      </c>
    </row>
    <row r="1378" spans="1:12" ht="69">
      <c r="A1378" s="73">
        <v>1377</v>
      </c>
      <c r="B1378" s="74" t="s">
        <v>12569</v>
      </c>
      <c r="C1378" s="74" t="s">
        <v>12570</v>
      </c>
      <c r="D1378" s="74" t="s">
        <v>41</v>
      </c>
      <c r="E1378" s="74" t="s">
        <v>9395</v>
      </c>
      <c r="F1378" s="74" t="s">
        <v>80</v>
      </c>
      <c r="G1378" s="74" t="s">
        <v>11812</v>
      </c>
      <c r="H1378" s="74" t="s">
        <v>46</v>
      </c>
      <c r="I1378" s="74" t="s">
        <v>47</v>
      </c>
      <c r="J1378" s="74" t="s">
        <v>9347</v>
      </c>
      <c r="K1378" s="74"/>
      <c r="L1378" s="74"/>
    </row>
    <row r="1379" spans="1:12" ht="55.2">
      <c r="A1379" s="73">
        <v>1378</v>
      </c>
      <c r="B1379" s="74" t="s">
        <v>12571</v>
      </c>
      <c r="C1379" s="74" t="s">
        <v>3738</v>
      </c>
      <c r="D1379" s="74" t="s">
        <v>41</v>
      </c>
      <c r="E1379" s="74" t="s">
        <v>9395</v>
      </c>
      <c r="F1379" s="74" t="s">
        <v>80</v>
      </c>
      <c r="G1379" s="74" t="s">
        <v>12190</v>
      </c>
      <c r="H1379" s="74" t="s">
        <v>479</v>
      </c>
      <c r="I1379" s="74" t="s">
        <v>110</v>
      </c>
      <c r="J1379" s="74" t="s">
        <v>9351</v>
      </c>
      <c r="K1379" s="74" t="s">
        <v>12572</v>
      </c>
      <c r="L1379" s="74" t="s">
        <v>711</v>
      </c>
    </row>
    <row r="1380" spans="1:12" ht="55.2">
      <c r="A1380" s="73">
        <v>1379</v>
      </c>
      <c r="B1380" s="74" t="s">
        <v>12573</v>
      </c>
      <c r="C1380" s="74" t="s">
        <v>12574</v>
      </c>
      <c r="D1380" s="74" t="s">
        <v>89</v>
      </c>
      <c r="E1380" s="74" t="s">
        <v>9395</v>
      </c>
      <c r="F1380" s="74" t="s">
        <v>80</v>
      </c>
      <c r="G1380" s="74" t="s">
        <v>10054</v>
      </c>
      <c r="H1380" s="74" t="s">
        <v>102</v>
      </c>
      <c r="I1380" s="74" t="s">
        <v>47</v>
      </c>
      <c r="J1380" s="74" t="s">
        <v>9351</v>
      </c>
      <c r="K1380" s="74" t="s">
        <v>12575</v>
      </c>
      <c r="L1380" s="74" t="s">
        <v>711</v>
      </c>
    </row>
    <row r="1381" spans="1:12" ht="55.2">
      <c r="A1381" s="73">
        <v>1380</v>
      </c>
      <c r="B1381" s="74" t="s">
        <v>12576</v>
      </c>
      <c r="C1381" s="74" t="s">
        <v>12577</v>
      </c>
      <c r="D1381" s="74" t="s">
        <v>89</v>
      </c>
      <c r="E1381" s="74" t="s">
        <v>9395</v>
      </c>
      <c r="F1381" s="74" t="s">
        <v>80</v>
      </c>
      <c r="G1381" s="74" t="s">
        <v>9503</v>
      </c>
      <c r="H1381" s="74" t="s">
        <v>102</v>
      </c>
      <c r="I1381" s="74" t="s">
        <v>47</v>
      </c>
      <c r="J1381" s="74" t="s">
        <v>9351</v>
      </c>
      <c r="K1381" s="74" t="s">
        <v>12578</v>
      </c>
      <c r="L1381" s="74" t="s">
        <v>897</v>
      </c>
    </row>
    <row r="1382" spans="1:12" ht="41.4">
      <c r="A1382" s="73">
        <v>1381</v>
      </c>
      <c r="B1382" s="74" t="s">
        <v>12579</v>
      </c>
      <c r="C1382" s="74" t="s">
        <v>12580</v>
      </c>
      <c r="D1382" s="74" t="s">
        <v>295</v>
      </c>
      <c r="E1382" s="74" t="s">
        <v>9395</v>
      </c>
      <c r="F1382" s="74" t="s">
        <v>80</v>
      </c>
      <c r="G1382" s="74" t="s">
        <v>11950</v>
      </c>
      <c r="H1382" s="74" t="s">
        <v>297</v>
      </c>
      <c r="I1382" s="74" t="s">
        <v>47</v>
      </c>
      <c r="J1382" s="74" t="s">
        <v>9351</v>
      </c>
      <c r="K1382" s="74"/>
      <c r="L1382" s="74"/>
    </row>
    <row r="1383" spans="1:12" ht="55.2">
      <c r="A1383" s="73">
        <v>1382</v>
      </c>
      <c r="B1383" s="74" t="s">
        <v>12581</v>
      </c>
      <c r="C1383" s="74" t="s">
        <v>12582</v>
      </c>
      <c r="D1383" s="74" t="s">
        <v>89</v>
      </c>
      <c r="E1383" s="74" t="s">
        <v>9395</v>
      </c>
      <c r="F1383" s="74" t="s">
        <v>80</v>
      </c>
      <c r="G1383" s="74" t="s">
        <v>10054</v>
      </c>
      <c r="H1383" s="74" t="s">
        <v>102</v>
      </c>
      <c r="I1383" s="74" t="s">
        <v>47</v>
      </c>
      <c r="J1383" s="74" t="s">
        <v>9351</v>
      </c>
      <c r="K1383" s="74"/>
      <c r="L1383" s="74"/>
    </row>
    <row r="1384" spans="1:12" ht="41.4">
      <c r="A1384" s="73">
        <v>1383</v>
      </c>
      <c r="B1384" s="74" t="s">
        <v>12583</v>
      </c>
      <c r="C1384" s="74" t="s">
        <v>12584</v>
      </c>
      <c r="D1384" s="74" t="s">
        <v>295</v>
      </c>
      <c r="E1384" s="74" t="s">
        <v>9395</v>
      </c>
      <c r="F1384" s="74" t="s">
        <v>80</v>
      </c>
      <c r="G1384" s="74" t="s">
        <v>11950</v>
      </c>
      <c r="H1384" s="74" t="s">
        <v>297</v>
      </c>
      <c r="I1384" s="74" t="s">
        <v>47</v>
      </c>
      <c r="J1384" s="74" t="s">
        <v>9351</v>
      </c>
      <c r="K1384" s="74" t="s">
        <v>12585</v>
      </c>
      <c r="L1384" s="74" t="s">
        <v>318</v>
      </c>
    </row>
    <row r="1385" spans="1:12" ht="69">
      <c r="A1385" s="73">
        <v>1384</v>
      </c>
      <c r="B1385" s="74" t="s">
        <v>12586</v>
      </c>
      <c r="C1385" s="74" t="s">
        <v>12587</v>
      </c>
      <c r="D1385" s="74" t="s">
        <v>89</v>
      </c>
      <c r="E1385" s="74" t="s">
        <v>9395</v>
      </c>
      <c r="F1385" s="74" t="s">
        <v>80</v>
      </c>
      <c r="G1385" s="74" t="s">
        <v>9998</v>
      </c>
      <c r="H1385" s="74" t="s">
        <v>91</v>
      </c>
      <c r="I1385" s="74" t="s">
        <v>110</v>
      </c>
      <c r="J1385" s="74" t="s">
        <v>9351</v>
      </c>
      <c r="K1385" s="74" t="s">
        <v>12588</v>
      </c>
      <c r="L1385" s="74" t="s">
        <v>251</v>
      </c>
    </row>
    <row r="1386" spans="1:12" ht="55.2">
      <c r="A1386" s="73">
        <v>1385</v>
      </c>
      <c r="B1386" s="74" t="s">
        <v>12589</v>
      </c>
      <c r="C1386" s="74" t="s">
        <v>12590</v>
      </c>
      <c r="D1386" s="74" t="s">
        <v>89</v>
      </c>
      <c r="E1386" s="74" t="s">
        <v>9395</v>
      </c>
      <c r="F1386" s="74" t="s">
        <v>80</v>
      </c>
      <c r="G1386" s="74" t="s">
        <v>11976</v>
      </c>
      <c r="H1386" s="74" t="s">
        <v>109</v>
      </c>
      <c r="I1386" s="74" t="s">
        <v>47</v>
      </c>
      <c r="J1386" s="74" t="s">
        <v>9351</v>
      </c>
      <c r="K1386" s="74"/>
      <c r="L1386" s="74"/>
    </row>
    <row r="1387" spans="1:12" ht="55.2">
      <c r="A1387" s="73">
        <v>1386</v>
      </c>
      <c r="B1387" s="74" t="s">
        <v>12591</v>
      </c>
      <c r="C1387" s="74" t="s">
        <v>3417</v>
      </c>
      <c r="D1387" s="74" t="s">
        <v>143</v>
      </c>
      <c r="E1387" s="74" t="s">
        <v>9395</v>
      </c>
      <c r="F1387" s="74" t="s">
        <v>80</v>
      </c>
      <c r="G1387" s="74" t="s">
        <v>11978</v>
      </c>
      <c r="H1387" s="74" t="s">
        <v>145</v>
      </c>
      <c r="I1387" s="74" t="s">
        <v>47</v>
      </c>
      <c r="J1387" s="74" t="s">
        <v>9351</v>
      </c>
      <c r="K1387" s="74" t="s">
        <v>12592</v>
      </c>
      <c r="L1387" s="74" t="s">
        <v>370</v>
      </c>
    </row>
    <row r="1388" spans="1:12" ht="55.2">
      <c r="A1388" s="73">
        <v>1387</v>
      </c>
      <c r="B1388" s="74" t="s">
        <v>12593</v>
      </c>
      <c r="C1388" s="74" t="s">
        <v>12594</v>
      </c>
      <c r="D1388" s="74" t="s">
        <v>143</v>
      </c>
      <c r="E1388" s="74" t="s">
        <v>9395</v>
      </c>
      <c r="F1388" s="74" t="s">
        <v>80</v>
      </c>
      <c r="G1388" s="74" t="s">
        <v>12026</v>
      </c>
      <c r="H1388" s="74" t="s">
        <v>327</v>
      </c>
      <c r="I1388" s="74" t="s">
        <v>47</v>
      </c>
      <c r="J1388" s="74" t="s">
        <v>9351</v>
      </c>
      <c r="K1388" s="74"/>
      <c r="L1388" s="74"/>
    </row>
    <row r="1389" spans="1:12" ht="55.2">
      <c r="A1389" s="73">
        <v>1388</v>
      </c>
      <c r="B1389" s="74" t="s">
        <v>12595</v>
      </c>
      <c r="C1389" s="74" t="s">
        <v>12596</v>
      </c>
      <c r="D1389" s="74" t="s">
        <v>41</v>
      </c>
      <c r="E1389" s="74" t="s">
        <v>9395</v>
      </c>
      <c r="F1389" s="74" t="s">
        <v>80</v>
      </c>
      <c r="G1389" s="74" t="s">
        <v>12190</v>
      </c>
      <c r="H1389" s="74" t="s">
        <v>479</v>
      </c>
      <c r="I1389" s="74" t="s">
        <v>47</v>
      </c>
      <c r="J1389" s="74" t="s">
        <v>9351</v>
      </c>
      <c r="K1389" s="74"/>
      <c r="L1389" s="74"/>
    </row>
    <row r="1390" spans="1:12" ht="55.2">
      <c r="A1390" s="73">
        <v>1389</v>
      </c>
      <c r="B1390" s="74" t="s">
        <v>12597</v>
      </c>
      <c r="C1390" s="74" t="s">
        <v>3255</v>
      </c>
      <c r="D1390" s="74" t="s">
        <v>41</v>
      </c>
      <c r="E1390" s="74" t="s">
        <v>9395</v>
      </c>
      <c r="F1390" s="74" t="s">
        <v>80</v>
      </c>
      <c r="G1390" s="74" t="s">
        <v>11759</v>
      </c>
      <c r="H1390" s="74" t="s">
        <v>200</v>
      </c>
      <c r="I1390" s="74" t="s">
        <v>47</v>
      </c>
      <c r="J1390" s="74" t="s">
        <v>9351</v>
      </c>
      <c r="K1390" s="74" t="s">
        <v>12598</v>
      </c>
      <c r="L1390" s="74" t="s">
        <v>318</v>
      </c>
    </row>
    <row r="1391" spans="1:12" ht="55.2">
      <c r="A1391" s="73">
        <v>1390</v>
      </c>
      <c r="B1391" s="74" t="s">
        <v>12599</v>
      </c>
      <c r="C1391" s="74" t="s">
        <v>12600</v>
      </c>
      <c r="D1391" s="74" t="s">
        <v>143</v>
      </c>
      <c r="E1391" s="74" t="s">
        <v>9395</v>
      </c>
      <c r="F1391" s="74" t="s">
        <v>80</v>
      </c>
      <c r="G1391" s="74" t="s">
        <v>11997</v>
      </c>
      <c r="H1391" s="74" t="s">
        <v>327</v>
      </c>
      <c r="I1391" s="74" t="s">
        <v>47</v>
      </c>
      <c r="J1391" s="74" t="s">
        <v>9351</v>
      </c>
      <c r="K1391" s="74" t="s">
        <v>12601</v>
      </c>
      <c r="L1391" s="74" t="s">
        <v>251</v>
      </c>
    </row>
    <row r="1392" spans="1:12" ht="69">
      <c r="A1392" s="73">
        <v>1391</v>
      </c>
      <c r="B1392" s="74" t="s">
        <v>12602</v>
      </c>
      <c r="C1392" s="74" t="s">
        <v>12603</v>
      </c>
      <c r="D1392" s="74" t="s">
        <v>41</v>
      </c>
      <c r="E1392" s="74" t="s">
        <v>9395</v>
      </c>
      <c r="F1392" s="74" t="s">
        <v>80</v>
      </c>
      <c r="G1392" s="74" t="s">
        <v>9982</v>
      </c>
      <c r="H1392" s="74" t="s">
        <v>46</v>
      </c>
      <c r="I1392" s="74" t="s">
        <v>47</v>
      </c>
      <c r="J1392" s="74" t="s">
        <v>9351</v>
      </c>
      <c r="K1392" s="74"/>
      <c r="L1392" s="74"/>
    </row>
    <row r="1393" spans="1:12" ht="41.4">
      <c r="A1393" s="73">
        <v>1392</v>
      </c>
      <c r="B1393" s="74" t="s">
        <v>12604</v>
      </c>
      <c r="C1393" s="74" t="s">
        <v>12605</v>
      </c>
      <c r="D1393" s="74" t="s">
        <v>89</v>
      </c>
      <c r="E1393" s="74" t="s">
        <v>9395</v>
      </c>
      <c r="F1393" s="74" t="s">
        <v>80</v>
      </c>
      <c r="G1393" s="74" t="s">
        <v>12054</v>
      </c>
      <c r="H1393" s="74" t="s">
        <v>102</v>
      </c>
      <c r="I1393" s="74" t="s">
        <v>47</v>
      </c>
      <c r="J1393" s="74" t="s">
        <v>9351</v>
      </c>
      <c r="K1393" s="74" t="s">
        <v>12606</v>
      </c>
      <c r="L1393" s="74" t="s">
        <v>251</v>
      </c>
    </row>
    <row r="1394" spans="1:12" ht="55.2">
      <c r="A1394" s="73">
        <v>1393</v>
      </c>
      <c r="B1394" s="74" t="s">
        <v>12607</v>
      </c>
      <c r="C1394" s="74" t="s">
        <v>12608</v>
      </c>
      <c r="D1394" s="74" t="s">
        <v>143</v>
      </c>
      <c r="E1394" s="74" t="s">
        <v>9395</v>
      </c>
      <c r="F1394" s="74" t="s">
        <v>80</v>
      </c>
      <c r="G1394" s="74" t="s">
        <v>12307</v>
      </c>
      <c r="H1394" s="74" t="s">
        <v>145</v>
      </c>
      <c r="I1394" s="74" t="s">
        <v>47</v>
      </c>
      <c r="J1394" s="74" t="s">
        <v>9351</v>
      </c>
      <c r="K1394" s="74"/>
      <c r="L1394" s="74"/>
    </row>
    <row r="1395" spans="1:12" ht="41.4">
      <c r="A1395" s="73">
        <v>1394</v>
      </c>
      <c r="B1395" s="74" t="s">
        <v>12609</v>
      </c>
      <c r="C1395" s="74" t="s">
        <v>1767</v>
      </c>
      <c r="D1395" s="74" t="s">
        <v>89</v>
      </c>
      <c r="E1395" s="74" t="s">
        <v>9395</v>
      </c>
      <c r="F1395" s="74" t="s">
        <v>80</v>
      </c>
      <c r="G1395" s="74" t="s">
        <v>12054</v>
      </c>
      <c r="H1395" s="74" t="s">
        <v>102</v>
      </c>
      <c r="I1395" s="74" t="s">
        <v>47</v>
      </c>
      <c r="J1395" s="74" t="s">
        <v>9351</v>
      </c>
      <c r="K1395" s="74" t="s">
        <v>12610</v>
      </c>
      <c r="L1395" s="74" t="s">
        <v>251</v>
      </c>
    </row>
    <row r="1396" spans="1:12" ht="69">
      <c r="A1396" s="73">
        <v>1395</v>
      </c>
      <c r="B1396" s="74" t="s">
        <v>12611</v>
      </c>
      <c r="C1396" s="74" t="s">
        <v>12612</v>
      </c>
      <c r="D1396" s="74" t="s">
        <v>89</v>
      </c>
      <c r="E1396" s="74" t="s">
        <v>9395</v>
      </c>
      <c r="F1396" s="74" t="s">
        <v>80</v>
      </c>
      <c r="G1396" s="74" t="s">
        <v>9396</v>
      </c>
      <c r="H1396" s="74" t="s">
        <v>91</v>
      </c>
      <c r="I1396" s="74" t="s">
        <v>110</v>
      </c>
      <c r="J1396" s="74" t="s">
        <v>9351</v>
      </c>
      <c r="K1396" s="74" t="s">
        <v>12613</v>
      </c>
      <c r="L1396" s="74" t="s">
        <v>711</v>
      </c>
    </row>
    <row r="1397" spans="1:12" ht="55.2">
      <c r="A1397" s="73">
        <v>1396</v>
      </c>
      <c r="B1397" s="74" t="s">
        <v>12614</v>
      </c>
      <c r="C1397" s="74" t="s">
        <v>7974</v>
      </c>
      <c r="D1397" s="74" t="s">
        <v>143</v>
      </c>
      <c r="E1397" s="74" t="s">
        <v>9395</v>
      </c>
      <c r="F1397" s="74" t="s">
        <v>80</v>
      </c>
      <c r="G1397" s="74" t="s">
        <v>12394</v>
      </c>
      <c r="H1397" s="74" t="s">
        <v>327</v>
      </c>
      <c r="I1397" s="74" t="s">
        <v>47</v>
      </c>
      <c r="J1397" s="74" t="s">
        <v>9351</v>
      </c>
      <c r="K1397" s="74" t="s">
        <v>12615</v>
      </c>
      <c r="L1397" s="74" t="s">
        <v>370</v>
      </c>
    </row>
    <row r="1398" spans="1:12" ht="41.4">
      <c r="A1398" s="73">
        <v>1397</v>
      </c>
      <c r="B1398" s="74" t="s">
        <v>12616</v>
      </c>
      <c r="C1398" s="74" t="s">
        <v>1405</v>
      </c>
      <c r="D1398" s="74" t="s">
        <v>89</v>
      </c>
      <c r="E1398" s="74" t="s">
        <v>9395</v>
      </c>
      <c r="F1398" s="74" t="s">
        <v>80</v>
      </c>
      <c r="G1398" s="74" t="s">
        <v>10054</v>
      </c>
      <c r="H1398" s="74" t="s">
        <v>102</v>
      </c>
      <c r="I1398" s="74" t="s">
        <v>47</v>
      </c>
      <c r="J1398" s="74" t="s">
        <v>9351</v>
      </c>
      <c r="K1398" s="74"/>
      <c r="L1398" s="74"/>
    </row>
    <row r="1399" spans="1:12" ht="41.4">
      <c r="A1399" s="73">
        <v>1398</v>
      </c>
      <c r="B1399" s="74" t="s">
        <v>12617</v>
      </c>
      <c r="C1399" s="74" t="s">
        <v>12618</v>
      </c>
      <c r="D1399" s="74" t="s">
        <v>89</v>
      </c>
      <c r="E1399" s="74" t="s">
        <v>9395</v>
      </c>
      <c r="F1399" s="74" t="s">
        <v>80</v>
      </c>
      <c r="G1399" s="74" t="s">
        <v>11932</v>
      </c>
      <c r="H1399" s="74" t="s">
        <v>102</v>
      </c>
      <c r="I1399" s="74" t="s">
        <v>47</v>
      </c>
      <c r="J1399" s="74" t="s">
        <v>9351</v>
      </c>
      <c r="K1399" s="74"/>
      <c r="L1399" s="74"/>
    </row>
    <row r="1400" spans="1:12" ht="41.4">
      <c r="A1400" s="73">
        <v>1399</v>
      </c>
      <c r="B1400" s="74" t="s">
        <v>12619</v>
      </c>
      <c r="C1400" s="74" t="s">
        <v>12620</v>
      </c>
      <c r="D1400" s="74" t="s">
        <v>68</v>
      </c>
      <c r="E1400" s="74" t="s">
        <v>9395</v>
      </c>
      <c r="F1400" s="74" t="s">
        <v>80</v>
      </c>
      <c r="G1400" s="74" t="s">
        <v>11915</v>
      </c>
      <c r="H1400" s="74" t="s">
        <v>297</v>
      </c>
      <c r="I1400" s="74" t="s">
        <v>47</v>
      </c>
      <c r="J1400" s="74" t="s">
        <v>9347</v>
      </c>
      <c r="K1400" s="74"/>
      <c r="L1400" s="74"/>
    </row>
    <row r="1401" spans="1:12" ht="55.2">
      <c r="A1401" s="73">
        <v>1400</v>
      </c>
      <c r="B1401" s="74" t="s">
        <v>12621</v>
      </c>
      <c r="C1401" s="74" t="s">
        <v>12622</v>
      </c>
      <c r="D1401" s="74" t="s">
        <v>143</v>
      </c>
      <c r="E1401" s="74" t="s">
        <v>9395</v>
      </c>
      <c r="F1401" s="74" t="s">
        <v>80</v>
      </c>
      <c r="G1401" s="74" t="s">
        <v>10395</v>
      </c>
      <c r="H1401" s="74" t="s">
        <v>327</v>
      </c>
      <c r="I1401" s="74" t="s">
        <v>47</v>
      </c>
      <c r="J1401" s="74" t="s">
        <v>9351</v>
      </c>
      <c r="K1401" s="74" t="s">
        <v>12623</v>
      </c>
      <c r="L1401" s="74" t="s">
        <v>370</v>
      </c>
    </row>
    <row r="1402" spans="1:12" ht="69">
      <c r="A1402" s="73">
        <v>1401</v>
      </c>
      <c r="B1402" s="74" t="s">
        <v>12624</v>
      </c>
      <c r="C1402" s="74" t="s">
        <v>12625</v>
      </c>
      <c r="D1402" s="74" t="s">
        <v>41</v>
      </c>
      <c r="E1402" s="74" t="s">
        <v>9395</v>
      </c>
      <c r="F1402" s="74" t="s">
        <v>80</v>
      </c>
      <c r="G1402" s="74" t="s">
        <v>12167</v>
      </c>
      <c r="H1402" s="74" t="s">
        <v>46</v>
      </c>
      <c r="I1402" s="74" t="s">
        <v>47</v>
      </c>
      <c r="J1402" s="74" t="s">
        <v>9351</v>
      </c>
      <c r="K1402" s="74"/>
      <c r="L1402" s="74"/>
    </row>
    <row r="1403" spans="1:12" ht="55.2">
      <c r="A1403" s="73">
        <v>1402</v>
      </c>
      <c r="B1403" s="74" t="s">
        <v>12626</v>
      </c>
      <c r="C1403" s="74" t="s">
        <v>12627</v>
      </c>
      <c r="D1403" s="74" t="s">
        <v>89</v>
      </c>
      <c r="E1403" s="74" t="s">
        <v>9395</v>
      </c>
      <c r="F1403" s="74" t="s">
        <v>80</v>
      </c>
      <c r="G1403" s="74" t="s">
        <v>12367</v>
      </c>
      <c r="H1403" s="74" t="s">
        <v>118</v>
      </c>
      <c r="I1403" s="74" t="s">
        <v>110</v>
      </c>
      <c r="J1403" s="74" t="s">
        <v>9351</v>
      </c>
      <c r="K1403" s="74"/>
      <c r="L1403" s="74"/>
    </row>
    <row r="1404" spans="1:12" ht="41.4">
      <c r="A1404" s="73">
        <v>1403</v>
      </c>
      <c r="B1404" s="74" t="s">
        <v>12628</v>
      </c>
      <c r="C1404" s="74" t="s">
        <v>12629</v>
      </c>
      <c r="D1404" s="74" t="s">
        <v>295</v>
      </c>
      <c r="E1404" s="74" t="s">
        <v>9395</v>
      </c>
      <c r="F1404" s="74" t="s">
        <v>80</v>
      </c>
      <c r="G1404" s="74" t="s">
        <v>11958</v>
      </c>
      <c r="H1404" s="74" t="s">
        <v>407</v>
      </c>
      <c r="I1404" s="74" t="s">
        <v>47</v>
      </c>
      <c r="J1404" s="74" t="s">
        <v>9351</v>
      </c>
      <c r="K1404" s="74" t="s">
        <v>12630</v>
      </c>
      <c r="L1404" s="74" t="s">
        <v>318</v>
      </c>
    </row>
    <row r="1405" spans="1:12" ht="69">
      <c r="A1405" s="73">
        <v>1404</v>
      </c>
      <c r="B1405" s="74" t="s">
        <v>12631</v>
      </c>
      <c r="C1405" s="74" t="s">
        <v>12632</v>
      </c>
      <c r="D1405" s="74" t="s">
        <v>89</v>
      </c>
      <c r="E1405" s="74" t="s">
        <v>9395</v>
      </c>
      <c r="F1405" s="74" t="s">
        <v>80</v>
      </c>
      <c r="G1405" s="74" t="s">
        <v>9396</v>
      </c>
      <c r="H1405" s="74" t="s">
        <v>91</v>
      </c>
      <c r="I1405" s="74" t="s">
        <v>47</v>
      </c>
      <c r="J1405" s="74" t="s">
        <v>9351</v>
      </c>
      <c r="K1405" s="74"/>
      <c r="L1405" s="74"/>
    </row>
    <row r="1406" spans="1:12" ht="69">
      <c r="A1406" s="73">
        <v>1405</v>
      </c>
      <c r="B1406" s="74" t="s">
        <v>12633</v>
      </c>
      <c r="C1406" s="74" t="s">
        <v>12634</v>
      </c>
      <c r="D1406" s="74" t="s">
        <v>41</v>
      </c>
      <c r="E1406" s="74" t="s">
        <v>9395</v>
      </c>
      <c r="F1406" s="74" t="s">
        <v>80</v>
      </c>
      <c r="G1406" s="74" t="s">
        <v>11799</v>
      </c>
      <c r="H1406" s="74" t="s">
        <v>46</v>
      </c>
      <c r="I1406" s="74" t="s">
        <v>47</v>
      </c>
      <c r="J1406" s="74" t="s">
        <v>9347</v>
      </c>
      <c r="K1406" s="74"/>
      <c r="L1406" s="74"/>
    </row>
    <row r="1407" spans="1:12" ht="55.2">
      <c r="A1407" s="73">
        <v>1406</v>
      </c>
      <c r="B1407" s="74" t="s">
        <v>12635</v>
      </c>
      <c r="C1407" s="74" t="s">
        <v>12636</v>
      </c>
      <c r="D1407" s="74" t="s">
        <v>89</v>
      </c>
      <c r="E1407" s="74" t="s">
        <v>9395</v>
      </c>
      <c r="F1407" s="74" t="s">
        <v>80</v>
      </c>
      <c r="G1407" s="74" t="s">
        <v>12367</v>
      </c>
      <c r="H1407" s="74" t="s">
        <v>118</v>
      </c>
      <c r="I1407" s="74" t="s">
        <v>47</v>
      </c>
      <c r="J1407" s="74" t="s">
        <v>9351</v>
      </c>
      <c r="K1407" s="74"/>
      <c r="L1407" s="74"/>
    </row>
    <row r="1408" spans="1:12" ht="69">
      <c r="A1408" s="73">
        <v>1407</v>
      </c>
      <c r="B1408" s="74" t="s">
        <v>12637</v>
      </c>
      <c r="C1408" s="74" t="s">
        <v>12638</v>
      </c>
      <c r="D1408" s="74" t="s">
        <v>89</v>
      </c>
      <c r="E1408" s="74" t="s">
        <v>9395</v>
      </c>
      <c r="F1408" s="74" t="s">
        <v>80</v>
      </c>
      <c r="G1408" s="74" t="s">
        <v>9396</v>
      </c>
      <c r="H1408" s="74" t="s">
        <v>91</v>
      </c>
      <c r="I1408" s="74" t="s">
        <v>47</v>
      </c>
      <c r="J1408" s="74" t="s">
        <v>9351</v>
      </c>
      <c r="K1408" s="74" t="s">
        <v>12639</v>
      </c>
      <c r="L1408" s="74" t="s">
        <v>711</v>
      </c>
    </row>
    <row r="1409" spans="1:12" ht="55.2">
      <c r="A1409" s="73">
        <v>1408</v>
      </c>
      <c r="B1409" s="74" t="s">
        <v>12640</v>
      </c>
      <c r="C1409" s="74" t="s">
        <v>12641</v>
      </c>
      <c r="D1409" s="74" t="s">
        <v>295</v>
      </c>
      <c r="E1409" s="74" t="s">
        <v>9395</v>
      </c>
      <c r="F1409" s="74" t="s">
        <v>80</v>
      </c>
      <c r="G1409" s="74" t="s">
        <v>11958</v>
      </c>
      <c r="H1409" s="74" t="s">
        <v>407</v>
      </c>
      <c r="I1409" s="74" t="s">
        <v>47</v>
      </c>
      <c r="J1409" s="74" t="s">
        <v>9347</v>
      </c>
      <c r="K1409" s="74"/>
      <c r="L1409" s="74"/>
    </row>
    <row r="1410" spans="1:12" ht="69">
      <c r="A1410" s="73">
        <v>1409</v>
      </c>
      <c r="B1410" s="74" t="s">
        <v>12642</v>
      </c>
      <c r="C1410" s="74" t="s">
        <v>12643</v>
      </c>
      <c r="D1410" s="74" t="s">
        <v>41</v>
      </c>
      <c r="E1410" s="74" t="s">
        <v>9395</v>
      </c>
      <c r="F1410" s="74" t="s">
        <v>80</v>
      </c>
      <c r="G1410" s="74" t="s">
        <v>11812</v>
      </c>
      <c r="H1410" s="74" t="s">
        <v>46</v>
      </c>
      <c r="I1410" s="74" t="s">
        <v>47</v>
      </c>
      <c r="J1410" s="74" t="s">
        <v>9347</v>
      </c>
      <c r="K1410" s="74"/>
      <c r="L1410" s="74"/>
    </row>
    <row r="1411" spans="1:12" ht="55.2">
      <c r="A1411" s="73">
        <v>1410</v>
      </c>
      <c r="B1411" s="74" t="s">
        <v>12644</v>
      </c>
      <c r="C1411" s="74" t="s">
        <v>12645</v>
      </c>
      <c r="D1411" s="74" t="s">
        <v>41</v>
      </c>
      <c r="E1411" s="74" t="s">
        <v>9395</v>
      </c>
      <c r="F1411" s="74" t="s">
        <v>80</v>
      </c>
      <c r="G1411" s="74" t="s">
        <v>12190</v>
      </c>
      <c r="H1411" s="74" t="s">
        <v>479</v>
      </c>
      <c r="I1411" s="74" t="s">
        <v>47</v>
      </c>
      <c r="J1411" s="74" t="s">
        <v>9351</v>
      </c>
      <c r="K1411" s="74" t="s">
        <v>12646</v>
      </c>
      <c r="L1411" s="74" t="s">
        <v>1916</v>
      </c>
    </row>
    <row r="1412" spans="1:12" ht="41.4">
      <c r="A1412" s="73">
        <v>1411</v>
      </c>
      <c r="B1412" s="74" t="s">
        <v>12647</v>
      </c>
      <c r="C1412" s="74" t="s">
        <v>12648</v>
      </c>
      <c r="D1412" s="74" t="s">
        <v>153</v>
      </c>
      <c r="E1412" s="74" t="s">
        <v>9395</v>
      </c>
      <c r="F1412" s="74" t="s">
        <v>80</v>
      </c>
      <c r="G1412" s="74" t="s">
        <v>11766</v>
      </c>
      <c r="H1412" s="74" t="s">
        <v>11767</v>
      </c>
      <c r="I1412" s="74" t="s">
        <v>47</v>
      </c>
      <c r="J1412" s="74" t="s">
        <v>9351</v>
      </c>
      <c r="K1412" s="74"/>
      <c r="L1412" s="74"/>
    </row>
    <row r="1413" spans="1:12" ht="69">
      <c r="A1413" s="73">
        <v>1412</v>
      </c>
      <c r="B1413" s="74" t="s">
        <v>12649</v>
      </c>
      <c r="C1413" s="74" t="s">
        <v>12650</v>
      </c>
      <c r="D1413" s="74" t="s">
        <v>41</v>
      </c>
      <c r="E1413" s="74" t="s">
        <v>9395</v>
      </c>
      <c r="F1413" s="74" t="s">
        <v>80</v>
      </c>
      <c r="G1413" s="74" t="s">
        <v>9982</v>
      </c>
      <c r="H1413" s="74" t="s">
        <v>46</v>
      </c>
      <c r="I1413" s="74" t="s">
        <v>47</v>
      </c>
      <c r="J1413" s="74" t="s">
        <v>9351</v>
      </c>
      <c r="K1413" s="74" t="s">
        <v>12651</v>
      </c>
      <c r="L1413" s="74" t="s">
        <v>331</v>
      </c>
    </row>
    <row r="1414" spans="1:12" ht="41.4">
      <c r="A1414" s="73">
        <v>1413</v>
      </c>
      <c r="B1414" s="74" t="s">
        <v>12652</v>
      </c>
      <c r="C1414" s="74" t="s">
        <v>12653</v>
      </c>
      <c r="D1414" s="74" t="s">
        <v>89</v>
      </c>
      <c r="E1414" s="74" t="s">
        <v>9395</v>
      </c>
      <c r="F1414" s="74" t="s">
        <v>80</v>
      </c>
      <c r="G1414" s="74" t="s">
        <v>9445</v>
      </c>
      <c r="H1414" s="74" t="s">
        <v>102</v>
      </c>
      <c r="I1414" s="74" t="s">
        <v>47</v>
      </c>
      <c r="J1414" s="74" t="s">
        <v>9351</v>
      </c>
      <c r="K1414" s="74" t="s">
        <v>12654</v>
      </c>
      <c r="L1414" s="74" t="s">
        <v>251</v>
      </c>
    </row>
    <row r="1415" spans="1:12" ht="55.2">
      <c r="A1415" s="73">
        <v>1414</v>
      </c>
      <c r="B1415" s="74" t="s">
        <v>12655</v>
      </c>
      <c r="C1415" s="74" t="s">
        <v>12656</v>
      </c>
      <c r="D1415" s="74" t="s">
        <v>143</v>
      </c>
      <c r="E1415" s="74" t="s">
        <v>9395</v>
      </c>
      <c r="F1415" s="74" t="s">
        <v>80</v>
      </c>
      <c r="G1415" s="74" t="s">
        <v>11978</v>
      </c>
      <c r="H1415" s="74" t="s">
        <v>145</v>
      </c>
      <c r="I1415" s="74" t="s">
        <v>47</v>
      </c>
      <c r="J1415" s="74" t="s">
        <v>9351</v>
      </c>
      <c r="K1415" s="74" t="s">
        <v>12657</v>
      </c>
      <c r="L1415" s="74" t="s">
        <v>370</v>
      </c>
    </row>
    <row r="1416" spans="1:12" ht="55.2">
      <c r="A1416" s="73">
        <v>1415</v>
      </c>
      <c r="B1416" s="74" t="s">
        <v>12658</v>
      </c>
      <c r="C1416" s="74" t="s">
        <v>12659</v>
      </c>
      <c r="D1416" s="74" t="s">
        <v>89</v>
      </c>
      <c r="E1416" s="74" t="s">
        <v>9395</v>
      </c>
      <c r="F1416" s="74" t="s">
        <v>80</v>
      </c>
      <c r="G1416" s="74" t="s">
        <v>11932</v>
      </c>
      <c r="H1416" s="74" t="s">
        <v>102</v>
      </c>
      <c r="I1416" s="74" t="s">
        <v>47</v>
      </c>
      <c r="J1416" s="74" t="s">
        <v>9351</v>
      </c>
      <c r="K1416" s="74" t="s">
        <v>12660</v>
      </c>
      <c r="L1416" s="74" t="s">
        <v>711</v>
      </c>
    </row>
    <row r="1417" spans="1:12" ht="41.4">
      <c r="A1417" s="73">
        <v>1416</v>
      </c>
      <c r="B1417" s="74" t="s">
        <v>12661</v>
      </c>
      <c r="C1417" s="74" t="s">
        <v>7051</v>
      </c>
      <c r="D1417" s="74" t="s">
        <v>89</v>
      </c>
      <c r="E1417" s="74" t="s">
        <v>9395</v>
      </c>
      <c r="F1417" s="74" t="s">
        <v>80</v>
      </c>
      <c r="G1417" s="74" t="s">
        <v>9503</v>
      </c>
      <c r="H1417" s="74" t="s">
        <v>102</v>
      </c>
      <c r="I1417" s="74" t="s">
        <v>47</v>
      </c>
      <c r="J1417" s="74" t="s">
        <v>9351</v>
      </c>
      <c r="K1417" s="74"/>
      <c r="L1417" s="74"/>
    </row>
    <row r="1418" spans="1:12" ht="69">
      <c r="A1418" s="73">
        <v>1417</v>
      </c>
      <c r="B1418" s="74" t="s">
        <v>12662</v>
      </c>
      <c r="C1418" s="74" t="s">
        <v>12663</v>
      </c>
      <c r="D1418" s="74" t="s">
        <v>89</v>
      </c>
      <c r="E1418" s="74" t="s">
        <v>9395</v>
      </c>
      <c r="F1418" s="74" t="s">
        <v>80</v>
      </c>
      <c r="G1418" s="74" t="s">
        <v>9998</v>
      </c>
      <c r="H1418" s="74" t="s">
        <v>91</v>
      </c>
      <c r="I1418" s="74" t="s">
        <v>47</v>
      </c>
      <c r="J1418" s="74" t="s">
        <v>9351</v>
      </c>
      <c r="K1418" s="74"/>
      <c r="L1418" s="74"/>
    </row>
    <row r="1419" spans="1:12" ht="55.2">
      <c r="A1419" s="73">
        <v>1418</v>
      </c>
      <c r="B1419" s="74" t="s">
        <v>12664</v>
      </c>
      <c r="C1419" s="74" t="s">
        <v>12665</v>
      </c>
      <c r="D1419" s="74" t="s">
        <v>41</v>
      </c>
      <c r="E1419" s="74" t="s">
        <v>9395</v>
      </c>
      <c r="F1419" s="74" t="s">
        <v>80</v>
      </c>
      <c r="G1419" s="74" t="s">
        <v>11939</v>
      </c>
      <c r="H1419" s="74" t="s">
        <v>479</v>
      </c>
      <c r="I1419" s="74" t="s">
        <v>47</v>
      </c>
      <c r="J1419" s="74" t="s">
        <v>9351</v>
      </c>
      <c r="K1419" s="74" t="s">
        <v>12666</v>
      </c>
      <c r="L1419" s="74" t="s">
        <v>897</v>
      </c>
    </row>
    <row r="1420" spans="1:12" ht="55.2">
      <c r="A1420" s="73">
        <v>1419</v>
      </c>
      <c r="B1420" s="74" t="s">
        <v>12667</v>
      </c>
      <c r="C1420" s="74" t="s">
        <v>12668</v>
      </c>
      <c r="D1420" s="74" t="s">
        <v>143</v>
      </c>
      <c r="E1420" s="74" t="s">
        <v>9395</v>
      </c>
      <c r="F1420" s="74" t="s">
        <v>80</v>
      </c>
      <c r="G1420" s="74" t="s">
        <v>11739</v>
      </c>
      <c r="H1420" s="74" t="s">
        <v>327</v>
      </c>
      <c r="I1420" s="74" t="s">
        <v>47</v>
      </c>
      <c r="J1420" s="74" t="s">
        <v>9351</v>
      </c>
      <c r="K1420" s="74" t="s">
        <v>12669</v>
      </c>
      <c r="L1420" s="74" t="s">
        <v>370</v>
      </c>
    </row>
    <row r="1421" spans="1:12" ht="55.2">
      <c r="A1421" s="73">
        <v>1420</v>
      </c>
      <c r="B1421" s="74" t="s">
        <v>12670</v>
      </c>
      <c r="C1421" s="74" t="s">
        <v>7303</v>
      </c>
      <c r="D1421" s="74" t="s">
        <v>143</v>
      </c>
      <c r="E1421" s="74" t="s">
        <v>9395</v>
      </c>
      <c r="F1421" s="74" t="s">
        <v>80</v>
      </c>
      <c r="G1421" s="74" t="s">
        <v>11962</v>
      </c>
      <c r="H1421" s="74" t="s">
        <v>327</v>
      </c>
      <c r="I1421" s="74" t="s">
        <v>47</v>
      </c>
      <c r="J1421" s="74" t="s">
        <v>9351</v>
      </c>
      <c r="K1421" s="74" t="s">
        <v>12671</v>
      </c>
      <c r="L1421" s="74" t="s">
        <v>370</v>
      </c>
    </row>
    <row r="1422" spans="1:12" ht="69">
      <c r="A1422" s="73">
        <v>1421</v>
      </c>
      <c r="B1422" s="74" t="s">
        <v>12672</v>
      </c>
      <c r="C1422" s="74" t="s">
        <v>12673</v>
      </c>
      <c r="D1422" s="74" t="s">
        <v>41</v>
      </c>
      <c r="E1422" s="74" t="s">
        <v>9395</v>
      </c>
      <c r="F1422" s="74" t="s">
        <v>80</v>
      </c>
      <c r="G1422" s="74" t="s">
        <v>11812</v>
      </c>
      <c r="H1422" s="74" t="s">
        <v>46</v>
      </c>
      <c r="I1422" s="74" t="s">
        <v>47</v>
      </c>
      <c r="J1422" s="74" t="s">
        <v>9347</v>
      </c>
      <c r="K1422" s="74"/>
      <c r="L1422" s="74"/>
    </row>
    <row r="1423" spans="1:12" ht="55.2">
      <c r="A1423" s="73">
        <v>1422</v>
      </c>
      <c r="B1423" s="74" t="s">
        <v>12674</v>
      </c>
      <c r="C1423" s="74" t="s">
        <v>8326</v>
      </c>
      <c r="D1423" s="74" t="s">
        <v>143</v>
      </c>
      <c r="E1423" s="74" t="s">
        <v>9395</v>
      </c>
      <c r="F1423" s="74" t="s">
        <v>80</v>
      </c>
      <c r="G1423" s="74" t="s">
        <v>12026</v>
      </c>
      <c r="H1423" s="74" t="s">
        <v>327</v>
      </c>
      <c r="I1423" s="74" t="s">
        <v>47</v>
      </c>
      <c r="J1423" s="74" t="s">
        <v>9351</v>
      </c>
      <c r="K1423" s="74"/>
      <c r="L1423" s="74"/>
    </row>
    <row r="1424" spans="1:12" ht="55.2">
      <c r="A1424" s="73">
        <v>1423</v>
      </c>
      <c r="B1424" s="74" t="s">
        <v>12675</v>
      </c>
      <c r="C1424" s="74" t="s">
        <v>12676</v>
      </c>
      <c r="D1424" s="74" t="s">
        <v>68</v>
      </c>
      <c r="E1424" s="74" t="s">
        <v>9395</v>
      </c>
      <c r="F1424" s="74" t="s">
        <v>80</v>
      </c>
      <c r="G1424" s="74" t="s">
        <v>11818</v>
      </c>
      <c r="H1424" s="74" t="s">
        <v>118</v>
      </c>
      <c r="I1424" s="74" t="s">
        <v>47</v>
      </c>
      <c r="J1424" s="74" t="s">
        <v>9351</v>
      </c>
      <c r="K1424" s="74"/>
      <c r="L1424" s="74"/>
    </row>
    <row r="1425" spans="1:12" ht="55.2">
      <c r="A1425" s="73">
        <v>1424</v>
      </c>
      <c r="B1425" s="74" t="s">
        <v>12677</v>
      </c>
      <c r="C1425" s="74" t="s">
        <v>7158</v>
      </c>
      <c r="D1425" s="74" t="s">
        <v>143</v>
      </c>
      <c r="E1425" s="74" t="s">
        <v>9395</v>
      </c>
      <c r="F1425" s="74" t="s">
        <v>80</v>
      </c>
      <c r="G1425" s="74" t="s">
        <v>12307</v>
      </c>
      <c r="H1425" s="74" t="s">
        <v>145</v>
      </c>
      <c r="I1425" s="74" t="s">
        <v>47</v>
      </c>
      <c r="J1425" s="74" t="s">
        <v>9351</v>
      </c>
      <c r="K1425" s="74" t="s">
        <v>12678</v>
      </c>
      <c r="L1425" s="74" t="s">
        <v>370</v>
      </c>
    </row>
    <row r="1426" spans="1:12" ht="41.4">
      <c r="A1426" s="73">
        <v>1425</v>
      </c>
      <c r="B1426" s="74" t="s">
        <v>12679</v>
      </c>
      <c r="C1426" s="74" t="s">
        <v>12680</v>
      </c>
      <c r="D1426" s="74" t="s">
        <v>41</v>
      </c>
      <c r="E1426" s="74" t="s">
        <v>9395</v>
      </c>
      <c r="F1426" s="74" t="s">
        <v>80</v>
      </c>
      <c r="G1426" s="74" t="s">
        <v>11759</v>
      </c>
      <c r="H1426" s="74" t="s">
        <v>200</v>
      </c>
      <c r="I1426" s="74" t="s">
        <v>47</v>
      </c>
      <c r="J1426" s="74" t="s">
        <v>9351</v>
      </c>
      <c r="K1426" s="74"/>
      <c r="L1426" s="74"/>
    </row>
    <row r="1427" spans="1:12" ht="55.2">
      <c r="A1427" s="73">
        <v>1426</v>
      </c>
      <c r="B1427" s="74" t="s">
        <v>12681</v>
      </c>
      <c r="C1427" s="74" t="s">
        <v>12682</v>
      </c>
      <c r="D1427" s="74" t="s">
        <v>143</v>
      </c>
      <c r="E1427" s="74" t="s">
        <v>9395</v>
      </c>
      <c r="F1427" s="74" t="s">
        <v>80</v>
      </c>
      <c r="G1427" s="74" t="s">
        <v>11997</v>
      </c>
      <c r="H1427" s="74" t="s">
        <v>327</v>
      </c>
      <c r="I1427" s="74" t="s">
        <v>47</v>
      </c>
      <c r="J1427" s="74" t="s">
        <v>9351</v>
      </c>
      <c r="K1427" s="74"/>
      <c r="L1427" s="74"/>
    </row>
    <row r="1428" spans="1:12" ht="55.2">
      <c r="A1428" s="73">
        <v>1427</v>
      </c>
      <c r="B1428" s="74" t="s">
        <v>12683</v>
      </c>
      <c r="C1428" s="74" t="s">
        <v>12684</v>
      </c>
      <c r="D1428" s="74" t="s">
        <v>143</v>
      </c>
      <c r="E1428" s="74" t="s">
        <v>9395</v>
      </c>
      <c r="F1428" s="74" t="s">
        <v>80</v>
      </c>
      <c r="G1428" s="74" t="s">
        <v>11978</v>
      </c>
      <c r="H1428" s="74" t="s">
        <v>145</v>
      </c>
      <c r="I1428" s="74" t="s">
        <v>47</v>
      </c>
      <c r="J1428" s="74" t="s">
        <v>9351</v>
      </c>
      <c r="K1428" s="74" t="s">
        <v>12685</v>
      </c>
      <c r="L1428" s="74" t="s">
        <v>370</v>
      </c>
    </row>
    <row r="1429" spans="1:12" ht="55.2">
      <c r="A1429" s="73">
        <v>1428</v>
      </c>
      <c r="B1429" s="74" t="s">
        <v>12686</v>
      </c>
      <c r="C1429" s="74" t="s">
        <v>12687</v>
      </c>
      <c r="D1429" s="74" t="s">
        <v>143</v>
      </c>
      <c r="E1429" s="74" t="s">
        <v>9395</v>
      </c>
      <c r="F1429" s="74" t="s">
        <v>80</v>
      </c>
      <c r="G1429" s="74" t="s">
        <v>12394</v>
      </c>
      <c r="H1429" s="74" t="s">
        <v>327</v>
      </c>
      <c r="I1429" s="74" t="s">
        <v>47</v>
      </c>
      <c r="J1429" s="74" t="s">
        <v>9351</v>
      </c>
      <c r="K1429" s="74"/>
      <c r="L1429" s="74"/>
    </row>
    <row r="1430" spans="1:12" ht="55.2">
      <c r="A1430" s="73">
        <v>1429</v>
      </c>
      <c r="B1430" s="74" t="s">
        <v>12688</v>
      </c>
      <c r="C1430" s="74" t="s">
        <v>12689</v>
      </c>
      <c r="D1430" s="74" t="s">
        <v>143</v>
      </c>
      <c r="E1430" s="74" t="s">
        <v>9395</v>
      </c>
      <c r="F1430" s="74" t="s">
        <v>80</v>
      </c>
      <c r="G1430" s="74" t="s">
        <v>11962</v>
      </c>
      <c r="H1430" s="74" t="s">
        <v>327</v>
      </c>
      <c r="I1430" s="74" t="s">
        <v>47</v>
      </c>
      <c r="J1430" s="74" t="s">
        <v>9351</v>
      </c>
      <c r="K1430" s="74" t="s">
        <v>12690</v>
      </c>
      <c r="L1430" s="74" t="s">
        <v>370</v>
      </c>
    </row>
    <row r="1431" spans="1:12" ht="41.4">
      <c r="A1431" s="73">
        <v>1430</v>
      </c>
      <c r="B1431" s="74" t="s">
        <v>12691</v>
      </c>
      <c r="C1431" s="74" t="s">
        <v>12692</v>
      </c>
      <c r="D1431" s="74" t="s">
        <v>89</v>
      </c>
      <c r="E1431" s="74" t="s">
        <v>9395</v>
      </c>
      <c r="F1431" s="74" t="s">
        <v>80</v>
      </c>
      <c r="G1431" s="74" t="s">
        <v>9503</v>
      </c>
      <c r="H1431" s="74" t="s">
        <v>102</v>
      </c>
      <c r="I1431" s="74" t="s">
        <v>47</v>
      </c>
      <c r="J1431" s="74" t="s">
        <v>9351</v>
      </c>
      <c r="K1431" s="74" t="s">
        <v>12693</v>
      </c>
      <c r="L1431" s="74" t="s">
        <v>318</v>
      </c>
    </row>
    <row r="1432" spans="1:12" ht="69">
      <c r="A1432" s="73">
        <v>1431</v>
      </c>
      <c r="B1432" s="74" t="s">
        <v>12694</v>
      </c>
      <c r="C1432" s="74" t="s">
        <v>12695</v>
      </c>
      <c r="D1432" s="74" t="s">
        <v>143</v>
      </c>
      <c r="E1432" s="74" t="s">
        <v>9395</v>
      </c>
      <c r="F1432" s="74" t="s">
        <v>80</v>
      </c>
      <c r="G1432" s="74" t="s">
        <v>11965</v>
      </c>
      <c r="H1432" s="74" t="s">
        <v>220</v>
      </c>
      <c r="I1432" s="74" t="s">
        <v>47</v>
      </c>
      <c r="J1432" s="74" t="s">
        <v>9351</v>
      </c>
      <c r="K1432" s="74" t="s">
        <v>12696</v>
      </c>
      <c r="L1432" s="74" t="s">
        <v>251</v>
      </c>
    </row>
    <row r="1433" spans="1:12" ht="55.2">
      <c r="A1433" s="73">
        <v>1432</v>
      </c>
      <c r="B1433" s="74" t="s">
        <v>12697</v>
      </c>
      <c r="C1433" s="74" t="s">
        <v>3334</v>
      </c>
      <c r="D1433" s="74" t="s">
        <v>143</v>
      </c>
      <c r="E1433" s="74" t="s">
        <v>9395</v>
      </c>
      <c r="F1433" s="74" t="s">
        <v>80</v>
      </c>
      <c r="G1433" s="74" t="s">
        <v>11978</v>
      </c>
      <c r="H1433" s="74" t="s">
        <v>145</v>
      </c>
      <c r="I1433" s="74" t="s">
        <v>47</v>
      </c>
      <c r="J1433" s="74" t="s">
        <v>9351</v>
      </c>
      <c r="K1433" s="74" t="s">
        <v>12698</v>
      </c>
      <c r="L1433" s="74" t="s">
        <v>370</v>
      </c>
    </row>
    <row r="1434" spans="1:12" ht="41.4">
      <c r="A1434" s="73">
        <v>1433</v>
      </c>
      <c r="B1434" s="74" t="s">
        <v>12699</v>
      </c>
      <c r="C1434" s="74" t="s">
        <v>12700</v>
      </c>
      <c r="D1434" s="74" t="s">
        <v>68</v>
      </c>
      <c r="E1434" s="74" t="s">
        <v>9395</v>
      </c>
      <c r="F1434" s="74" t="s">
        <v>80</v>
      </c>
      <c r="G1434" s="74" t="s">
        <v>11915</v>
      </c>
      <c r="H1434" s="74" t="s">
        <v>297</v>
      </c>
      <c r="I1434" s="74" t="s">
        <v>47</v>
      </c>
      <c r="J1434" s="74" t="s">
        <v>9347</v>
      </c>
      <c r="K1434" s="74"/>
      <c r="L1434" s="74"/>
    </row>
    <row r="1435" spans="1:12" ht="41.4">
      <c r="A1435" s="73">
        <v>1434</v>
      </c>
      <c r="B1435" s="74" t="s">
        <v>12701</v>
      </c>
      <c r="C1435" s="74" t="s">
        <v>12702</v>
      </c>
      <c r="D1435" s="74" t="s">
        <v>68</v>
      </c>
      <c r="E1435" s="74" t="s">
        <v>9395</v>
      </c>
      <c r="F1435" s="74" t="s">
        <v>80</v>
      </c>
      <c r="G1435" s="74" t="s">
        <v>11915</v>
      </c>
      <c r="H1435" s="74" t="s">
        <v>297</v>
      </c>
      <c r="I1435" s="74" t="s">
        <v>47</v>
      </c>
      <c r="J1435" s="74" t="s">
        <v>9347</v>
      </c>
      <c r="K1435" s="74"/>
      <c r="L1435" s="74"/>
    </row>
    <row r="1436" spans="1:12" ht="41.4">
      <c r="A1436" s="73">
        <v>1435</v>
      </c>
      <c r="B1436" s="74" t="s">
        <v>12703</v>
      </c>
      <c r="C1436" s="74" t="s">
        <v>12704</v>
      </c>
      <c r="D1436" s="74" t="s">
        <v>41</v>
      </c>
      <c r="E1436" s="74" t="s">
        <v>9395</v>
      </c>
      <c r="F1436" s="74" t="s">
        <v>80</v>
      </c>
      <c r="G1436" s="74" t="s">
        <v>11759</v>
      </c>
      <c r="H1436" s="74" t="s">
        <v>200</v>
      </c>
      <c r="I1436" s="74" t="s">
        <v>47</v>
      </c>
      <c r="J1436" s="74" t="s">
        <v>9351</v>
      </c>
      <c r="K1436" s="74" t="s">
        <v>12705</v>
      </c>
      <c r="L1436" s="74" t="s">
        <v>331</v>
      </c>
    </row>
    <row r="1437" spans="1:12" ht="41.4">
      <c r="A1437" s="73">
        <v>1436</v>
      </c>
      <c r="B1437" s="74" t="s">
        <v>12706</v>
      </c>
      <c r="C1437" s="74" t="s">
        <v>12707</v>
      </c>
      <c r="D1437" s="74" t="s">
        <v>89</v>
      </c>
      <c r="E1437" s="74" t="s">
        <v>9395</v>
      </c>
      <c r="F1437" s="74" t="s">
        <v>80</v>
      </c>
      <c r="G1437" s="74" t="s">
        <v>9445</v>
      </c>
      <c r="H1437" s="74" t="s">
        <v>102</v>
      </c>
      <c r="I1437" s="74" t="s">
        <v>47</v>
      </c>
      <c r="J1437" s="74" t="s">
        <v>9351</v>
      </c>
      <c r="K1437" s="74"/>
      <c r="L1437" s="74"/>
    </row>
    <row r="1438" spans="1:12" ht="41.4">
      <c r="A1438" s="73">
        <v>1437</v>
      </c>
      <c r="B1438" s="74" t="s">
        <v>12708</v>
      </c>
      <c r="C1438" s="74" t="s">
        <v>12709</v>
      </c>
      <c r="D1438" s="74" t="s">
        <v>153</v>
      </c>
      <c r="E1438" s="74" t="s">
        <v>9395</v>
      </c>
      <c r="F1438" s="74" t="s">
        <v>80</v>
      </c>
      <c r="G1438" s="74" t="s">
        <v>11851</v>
      </c>
      <c r="H1438" s="74" t="s">
        <v>11767</v>
      </c>
      <c r="I1438" s="74" t="s">
        <v>47</v>
      </c>
      <c r="J1438" s="74" t="s">
        <v>9351</v>
      </c>
      <c r="K1438" s="74" t="s">
        <v>12710</v>
      </c>
      <c r="L1438" s="74" t="s">
        <v>701</v>
      </c>
    </row>
    <row r="1439" spans="1:12" ht="55.2">
      <c r="A1439" s="73">
        <v>1438</v>
      </c>
      <c r="B1439" s="74" t="s">
        <v>12711</v>
      </c>
      <c r="C1439" s="74" t="s">
        <v>12712</v>
      </c>
      <c r="D1439" s="74" t="s">
        <v>143</v>
      </c>
      <c r="E1439" s="74" t="s">
        <v>9395</v>
      </c>
      <c r="F1439" s="74" t="s">
        <v>80</v>
      </c>
      <c r="G1439" s="74" t="s">
        <v>11739</v>
      </c>
      <c r="H1439" s="74" t="s">
        <v>327</v>
      </c>
      <c r="I1439" s="74" t="s">
        <v>47</v>
      </c>
      <c r="J1439" s="74" t="s">
        <v>9351</v>
      </c>
      <c r="K1439" s="74" t="s">
        <v>12713</v>
      </c>
      <c r="L1439" s="74" t="s">
        <v>370</v>
      </c>
    </row>
    <row r="1440" spans="1:12" ht="41.4">
      <c r="A1440" s="73">
        <v>1439</v>
      </c>
      <c r="B1440" s="74" t="s">
        <v>12714</v>
      </c>
      <c r="C1440" s="74" t="s">
        <v>12715</v>
      </c>
      <c r="D1440" s="74" t="s">
        <v>89</v>
      </c>
      <c r="E1440" s="74" t="s">
        <v>9395</v>
      </c>
      <c r="F1440" s="74" t="s">
        <v>80</v>
      </c>
      <c r="G1440" s="74" t="s">
        <v>10054</v>
      </c>
      <c r="H1440" s="74" t="s">
        <v>102</v>
      </c>
      <c r="I1440" s="74" t="s">
        <v>47</v>
      </c>
      <c r="J1440" s="74" t="s">
        <v>9351</v>
      </c>
      <c r="K1440" s="74" t="s">
        <v>12716</v>
      </c>
      <c r="L1440" s="74" t="s">
        <v>711</v>
      </c>
    </row>
    <row r="1441" spans="1:12" ht="41.4">
      <c r="A1441" s="73">
        <v>1440</v>
      </c>
      <c r="B1441" s="74" t="s">
        <v>12717</v>
      </c>
      <c r="C1441" s="74" t="s">
        <v>8036</v>
      </c>
      <c r="D1441" s="74" t="s">
        <v>89</v>
      </c>
      <c r="E1441" s="74" t="s">
        <v>9395</v>
      </c>
      <c r="F1441" s="74" t="s">
        <v>80</v>
      </c>
      <c r="G1441" s="74" t="s">
        <v>11932</v>
      </c>
      <c r="H1441" s="74" t="s">
        <v>102</v>
      </c>
      <c r="I1441" s="74" t="s">
        <v>47</v>
      </c>
      <c r="J1441" s="74" t="s">
        <v>9351</v>
      </c>
      <c r="K1441" s="74" t="s">
        <v>12718</v>
      </c>
      <c r="L1441" s="74" t="s">
        <v>711</v>
      </c>
    </row>
    <row r="1442" spans="1:12" ht="41.4">
      <c r="A1442" s="73">
        <v>1441</v>
      </c>
      <c r="B1442" s="74" t="s">
        <v>12719</v>
      </c>
      <c r="C1442" s="74" t="s">
        <v>12720</v>
      </c>
      <c r="D1442" s="74" t="s">
        <v>89</v>
      </c>
      <c r="E1442" s="74" t="s">
        <v>9395</v>
      </c>
      <c r="F1442" s="74" t="s">
        <v>80</v>
      </c>
      <c r="G1442" s="74" t="s">
        <v>12054</v>
      </c>
      <c r="H1442" s="74" t="s">
        <v>102</v>
      </c>
      <c r="I1442" s="74" t="s">
        <v>47</v>
      </c>
      <c r="J1442" s="74" t="s">
        <v>9351</v>
      </c>
      <c r="K1442" s="74" t="s">
        <v>12721</v>
      </c>
      <c r="L1442" s="74" t="s">
        <v>251</v>
      </c>
    </row>
    <row r="1443" spans="1:12" ht="55.2">
      <c r="A1443" s="73">
        <v>1442</v>
      </c>
      <c r="B1443" s="74" t="s">
        <v>12722</v>
      </c>
      <c r="C1443" s="74" t="s">
        <v>2940</v>
      </c>
      <c r="D1443" s="74" t="s">
        <v>143</v>
      </c>
      <c r="E1443" s="74" t="s">
        <v>9395</v>
      </c>
      <c r="F1443" s="74" t="s">
        <v>80</v>
      </c>
      <c r="G1443" s="74" t="s">
        <v>11739</v>
      </c>
      <c r="H1443" s="74" t="s">
        <v>327</v>
      </c>
      <c r="I1443" s="74" t="s">
        <v>47</v>
      </c>
      <c r="J1443" s="74" t="s">
        <v>9351</v>
      </c>
      <c r="K1443" s="74" t="s">
        <v>12723</v>
      </c>
      <c r="L1443" s="74" t="s">
        <v>370</v>
      </c>
    </row>
    <row r="1444" spans="1:12" ht="41.4">
      <c r="A1444" s="73">
        <v>1443</v>
      </c>
      <c r="B1444" s="74" t="s">
        <v>12724</v>
      </c>
      <c r="C1444" s="74" t="s">
        <v>12725</v>
      </c>
      <c r="D1444" s="74" t="s">
        <v>89</v>
      </c>
      <c r="E1444" s="74" t="s">
        <v>9395</v>
      </c>
      <c r="F1444" s="74" t="s">
        <v>80</v>
      </c>
      <c r="G1444" s="74" t="s">
        <v>11928</v>
      </c>
      <c r="H1444" s="74" t="s">
        <v>102</v>
      </c>
      <c r="I1444" s="74" t="s">
        <v>110</v>
      </c>
      <c r="J1444" s="74" t="s">
        <v>9351</v>
      </c>
      <c r="K1444" s="74" t="s">
        <v>12726</v>
      </c>
      <c r="L1444" s="74" t="s">
        <v>251</v>
      </c>
    </row>
    <row r="1445" spans="1:12" ht="55.2">
      <c r="A1445" s="73">
        <v>1444</v>
      </c>
      <c r="B1445" s="74" t="s">
        <v>12727</v>
      </c>
      <c r="C1445" s="74" t="s">
        <v>12728</v>
      </c>
      <c r="D1445" s="74" t="s">
        <v>68</v>
      </c>
      <c r="E1445" s="74" t="s">
        <v>9395</v>
      </c>
      <c r="F1445" s="74" t="s">
        <v>80</v>
      </c>
      <c r="G1445" s="74" t="s">
        <v>11915</v>
      </c>
      <c r="H1445" s="74" t="s">
        <v>297</v>
      </c>
      <c r="I1445" s="74" t="s">
        <v>47</v>
      </c>
      <c r="J1445" s="74" t="s">
        <v>9347</v>
      </c>
      <c r="K1445" s="74"/>
      <c r="L1445" s="74"/>
    </row>
    <row r="1446" spans="1:12" ht="55.2">
      <c r="A1446" s="73">
        <v>1445</v>
      </c>
      <c r="B1446" s="74" t="s">
        <v>12729</v>
      </c>
      <c r="C1446" s="74" t="s">
        <v>12730</v>
      </c>
      <c r="D1446" s="74" t="s">
        <v>295</v>
      </c>
      <c r="E1446" s="74" t="s">
        <v>9395</v>
      </c>
      <c r="F1446" s="74" t="s">
        <v>80</v>
      </c>
      <c r="G1446" s="74" t="s">
        <v>12129</v>
      </c>
      <c r="H1446" s="74" t="s">
        <v>297</v>
      </c>
      <c r="I1446" s="74" t="s">
        <v>47</v>
      </c>
      <c r="J1446" s="74" t="s">
        <v>9347</v>
      </c>
      <c r="K1446" s="74"/>
      <c r="L1446" s="74"/>
    </row>
    <row r="1447" spans="1:12" ht="55.2">
      <c r="A1447" s="73">
        <v>1446</v>
      </c>
      <c r="B1447" s="74" t="s">
        <v>12731</v>
      </c>
      <c r="C1447" s="74" t="s">
        <v>12732</v>
      </c>
      <c r="D1447" s="74" t="s">
        <v>41</v>
      </c>
      <c r="E1447" s="74" t="s">
        <v>9395</v>
      </c>
      <c r="F1447" s="74" t="s">
        <v>80</v>
      </c>
      <c r="G1447" s="74" t="s">
        <v>11791</v>
      </c>
      <c r="H1447" s="74" t="s">
        <v>479</v>
      </c>
      <c r="I1447" s="74" t="s">
        <v>47</v>
      </c>
      <c r="J1447" s="74" t="s">
        <v>9351</v>
      </c>
      <c r="K1447" s="74" t="s">
        <v>12733</v>
      </c>
      <c r="L1447" s="74" t="s">
        <v>1916</v>
      </c>
    </row>
    <row r="1448" spans="1:12" ht="41.4">
      <c r="A1448" s="73">
        <v>1447</v>
      </c>
      <c r="B1448" s="74" t="s">
        <v>12734</v>
      </c>
      <c r="C1448" s="74" t="s">
        <v>12735</v>
      </c>
      <c r="D1448" s="74" t="s">
        <v>41</v>
      </c>
      <c r="E1448" s="74" t="s">
        <v>9395</v>
      </c>
      <c r="F1448" s="74" t="s">
        <v>80</v>
      </c>
      <c r="G1448" s="74" t="s">
        <v>11901</v>
      </c>
      <c r="H1448" s="74" t="s">
        <v>200</v>
      </c>
      <c r="I1448" s="74" t="s">
        <v>47</v>
      </c>
      <c r="J1448" s="74" t="s">
        <v>9351</v>
      </c>
      <c r="K1448" s="74" t="s">
        <v>12736</v>
      </c>
      <c r="L1448" s="74" t="s">
        <v>1916</v>
      </c>
    </row>
    <row r="1449" spans="1:12" ht="55.2">
      <c r="A1449" s="73">
        <v>1448</v>
      </c>
      <c r="B1449" s="74" t="s">
        <v>12737</v>
      </c>
      <c r="C1449" s="74" t="s">
        <v>12738</v>
      </c>
      <c r="D1449" s="74" t="s">
        <v>143</v>
      </c>
      <c r="E1449" s="74" t="s">
        <v>9395</v>
      </c>
      <c r="F1449" s="74" t="s">
        <v>80</v>
      </c>
      <c r="G1449" s="74" t="s">
        <v>12063</v>
      </c>
      <c r="H1449" s="74" t="s">
        <v>327</v>
      </c>
      <c r="I1449" s="74" t="s">
        <v>47</v>
      </c>
      <c r="J1449" s="74" t="s">
        <v>9351</v>
      </c>
      <c r="K1449" s="74"/>
      <c r="L1449" s="74"/>
    </row>
    <row r="1450" spans="1:12" ht="69">
      <c r="A1450" s="73">
        <v>1449</v>
      </c>
      <c r="B1450" s="74" t="s">
        <v>12739</v>
      </c>
      <c r="C1450" s="74" t="s">
        <v>12740</v>
      </c>
      <c r="D1450" s="74" t="s">
        <v>89</v>
      </c>
      <c r="E1450" s="74" t="s">
        <v>9395</v>
      </c>
      <c r="F1450" s="74" t="s">
        <v>80</v>
      </c>
      <c r="G1450" s="74" t="s">
        <v>9396</v>
      </c>
      <c r="H1450" s="74" t="s">
        <v>91</v>
      </c>
      <c r="I1450" s="74" t="s">
        <v>416</v>
      </c>
      <c r="J1450" s="74" t="s">
        <v>9351</v>
      </c>
      <c r="K1450" s="74" t="s">
        <v>12741</v>
      </c>
      <c r="L1450" s="74" t="s">
        <v>711</v>
      </c>
    </row>
    <row r="1451" spans="1:12" ht="55.2">
      <c r="A1451" s="73">
        <v>1450</v>
      </c>
      <c r="B1451" s="74" t="s">
        <v>12742</v>
      </c>
      <c r="C1451" s="74" t="s">
        <v>12743</v>
      </c>
      <c r="D1451" s="74" t="s">
        <v>143</v>
      </c>
      <c r="E1451" s="74" t="s">
        <v>9395</v>
      </c>
      <c r="F1451" s="74" t="s">
        <v>80</v>
      </c>
      <c r="G1451" s="74" t="s">
        <v>12063</v>
      </c>
      <c r="H1451" s="74" t="s">
        <v>327</v>
      </c>
      <c r="I1451" s="74" t="s">
        <v>47</v>
      </c>
      <c r="J1451" s="74" t="s">
        <v>9351</v>
      </c>
      <c r="K1451" s="74" t="s">
        <v>12744</v>
      </c>
      <c r="L1451" s="74" t="s">
        <v>711</v>
      </c>
    </row>
    <row r="1452" spans="1:12" ht="69">
      <c r="A1452" s="73">
        <v>1451</v>
      </c>
      <c r="B1452" s="74" t="s">
        <v>12745</v>
      </c>
      <c r="C1452" s="74" t="s">
        <v>12746</v>
      </c>
      <c r="D1452" s="74" t="s">
        <v>68</v>
      </c>
      <c r="E1452" s="74" t="s">
        <v>9395</v>
      </c>
      <c r="F1452" s="74" t="s">
        <v>80</v>
      </c>
      <c r="G1452" s="74" t="s">
        <v>11826</v>
      </c>
      <c r="H1452" s="74" t="s">
        <v>91</v>
      </c>
      <c r="I1452" s="74" t="s">
        <v>442</v>
      </c>
      <c r="J1452" s="74" t="s">
        <v>9351</v>
      </c>
      <c r="K1452" s="74" t="s">
        <v>12747</v>
      </c>
      <c r="L1452" s="74" t="s">
        <v>3207</v>
      </c>
    </row>
    <row r="1453" spans="1:12" ht="41.4">
      <c r="A1453" s="73">
        <v>1452</v>
      </c>
      <c r="B1453" s="74" t="s">
        <v>12748</v>
      </c>
      <c r="C1453" s="74" t="s">
        <v>12749</v>
      </c>
      <c r="D1453" s="74" t="s">
        <v>153</v>
      </c>
      <c r="E1453" s="74" t="s">
        <v>9395</v>
      </c>
      <c r="F1453" s="74" t="s">
        <v>80</v>
      </c>
      <c r="G1453" s="74" t="s">
        <v>11851</v>
      </c>
      <c r="H1453" s="74" t="s">
        <v>11767</v>
      </c>
      <c r="I1453" s="74" t="s">
        <v>47</v>
      </c>
      <c r="J1453" s="74" t="s">
        <v>9347</v>
      </c>
      <c r="K1453" s="74"/>
      <c r="L1453" s="74"/>
    </row>
    <row r="1454" spans="1:12" ht="55.2">
      <c r="A1454" s="73">
        <v>1453</v>
      </c>
      <c r="B1454" s="74" t="s">
        <v>12750</v>
      </c>
      <c r="C1454" s="74" t="s">
        <v>12751</v>
      </c>
      <c r="D1454" s="74" t="s">
        <v>41</v>
      </c>
      <c r="E1454" s="74" t="s">
        <v>9395</v>
      </c>
      <c r="F1454" s="74" t="s">
        <v>80</v>
      </c>
      <c r="G1454" s="74" t="s">
        <v>11791</v>
      </c>
      <c r="H1454" s="74" t="s">
        <v>479</v>
      </c>
      <c r="I1454" s="74" t="s">
        <v>47</v>
      </c>
      <c r="J1454" s="74" t="s">
        <v>9351</v>
      </c>
      <c r="K1454" s="74" t="s">
        <v>12752</v>
      </c>
      <c r="L1454" s="74" t="s">
        <v>897</v>
      </c>
    </row>
    <row r="1455" spans="1:12" ht="55.2">
      <c r="A1455" s="73">
        <v>1454</v>
      </c>
      <c r="B1455" s="74" t="s">
        <v>12753</v>
      </c>
      <c r="C1455" s="74" t="s">
        <v>12754</v>
      </c>
      <c r="D1455" s="74" t="s">
        <v>89</v>
      </c>
      <c r="E1455" s="74" t="s">
        <v>9395</v>
      </c>
      <c r="F1455" s="74" t="s">
        <v>80</v>
      </c>
      <c r="G1455" s="74" t="s">
        <v>12271</v>
      </c>
      <c r="H1455" s="74" t="s">
        <v>102</v>
      </c>
      <c r="I1455" s="74" t="s">
        <v>110</v>
      </c>
      <c r="J1455" s="74" t="s">
        <v>9351</v>
      </c>
      <c r="K1455" s="74" t="s">
        <v>12755</v>
      </c>
      <c r="L1455" s="74" t="s">
        <v>251</v>
      </c>
    </row>
    <row r="1456" spans="1:12" ht="41.4">
      <c r="A1456" s="73">
        <v>1455</v>
      </c>
      <c r="B1456" s="74" t="s">
        <v>12756</v>
      </c>
      <c r="C1456" s="74" t="s">
        <v>12757</v>
      </c>
      <c r="D1456" s="74" t="s">
        <v>153</v>
      </c>
      <c r="E1456" s="74" t="s">
        <v>9395</v>
      </c>
      <c r="F1456" s="74" t="s">
        <v>80</v>
      </c>
      <c r="G1456" s="74" t="s">
        <v>11766</v>
      </c>
      <c r="H1456" s="74" t="s">
        <v>11767</v>
      </c>
      <c r="I1456" s="74" t="s">
        <v>47</v>
      </c>
      <c r="J1456" s="74" t="s">
        <v>9351</v>
      </c>
      <c r="K1456" s="74"/>
      <c r="L1456" s="74"/>
    </row>
    <row r="1457" spans="1:12" ht="55.2">
      <c r="A1457" s="73">
        <v>1456</v>
      </c>
      <c r="B1457" s="74" t="s">
        <v>12758</v>
      </c>
      <c r="C1457" s="74" t="s">
        <v>12759</v>
      </c>
      <c r="D1457" s="74" t="s">
        <v>41</v>
      </c>
      <c r="E1457" s="74" t="s">
        <v>9395</v>
      </c>
      <c r="F1457" s="74" t="s">
        <v>80</v>
      </c>
      <c r="G1457" s="74" t="s">
        <v>12190</v>
      </c>
      <c r="H1457" s="74" t="s">
        <v>479</v>
      </c>
      <c r="I1457" s="74" t="s">
        <v>47</v>
      </c>
      <c r="J1457" s="74" t="s">
        <v>9351</v>
      </c>
      <c r="K1457" s="74"/>
      <c r="L1457" s="74"/>
    </row>
    <row r="1458" spans="1:12" ht="55.2">
      <c r="A1458" s="73">
        <v>1457</v>
      </c>
      <c r="B1458" s="74" t="s">
        <v>12760</v>
      </c>
      <c r="C1458" s="74" t="s">
        <v>12761</v>
      </c>
      <c r="D1458" s="74" t="s">
        <v>89</v>
      </c>
      <c r="E1458" s="74" t="s">
        <v>9395</v>
      </c>
      <c r="F1458" s="74" t="s">
        <v>80</v>
      </c>
      <c r="G1458" s="74" t="s">
        <v>12367</v>
      </c>
      <c r="H1458" s="74" t="s">
        <v>118</v>
      </c>
      <c r="I1458" s="74" t="s">
        <v>47</v>
      </c>
      <c r="J1458" s="74" t="s">
        <v>9351</v>
      </c>
      <c r="K1458" s="74"/>
      <c r="L1458" s="74"/>
    </row>
    <row r="1459" spans="1:12" ht="55.2">
      <c r="A1459" s="73">
        <v>1458</v>
      </c>
      <c r="B1459" s="74" t="s">
        <v>12762</v>
      </c>
      <c r="C1459" s="74" t="s">
        <v>12763</v>
      </c>
      <c r="D1459" s="74" t="s">
        <v>143</v>
      </c>
      <c r="E1459" s="74" t="s">
        <v>9395</v>
      </c>
      <c r="F1459" s="74" t="s">
        <v>80</v>
      </c>
      <c r="G1459" s="74" t="s">
        <v>12096</v>
      </c>
      <c r="H1459" s="74" t="s">
        <v>327</v>
      </c>
      <c r="I1459" s="74" t="s">
        <v>47</v>
      </c>
      <c r="J1459" s="74" t="s">
        <v>9351</v>
      </c>
      <c r="K1459" s="74"/>
      <c r="L1459" s="74"/>
    </row>
    <row r="1460" spans="1:12" ht="41.4">
      <c r="A1460" s="73">
        <v>1459</v>
      </c>
      <c r="B1460" s="74" t="s">
        <v>12764</v>
      </c>
      <c r="C1460" s="74" t="s">
        <v>12765</v>
      </c>
      <c r="D1460" s="74" t="s">
        <v>68</v>
      </c>
      <c r="E1460" s="74" t="s">
        <v>9395</v>
      </c>
      <c r="F1460" s="74" t="s">
        <v>80</v>
      </c>
      <c r="G1460" s="74" t="s">
        <v>11915</v>
      </c>
      <c r="H1460" s="74" t="s">
        <v>297</v>
      </c>
      <c r="I1460" s="74" t="s">
        <v>47</v>
      </c>
      <c r="J1460" s="74" t="s">
        <v>9347</v>
      </c>
      <c r="K1460" s="74"/>
      <c r="L1460" s="74"/>
    </row>
    <row r="1461" spans="1:12" ht="69">
      <c r="A1461" s="73">
        <v>1460</v>
      </c>
      <c r="B1461" s="74" t="s">
        <v>12766</v>
      </c>
      <c r="C1461" s="74" t="s">
        <v>12767</v>
      </c>
      <c r="D1461" s="74" t="s">
        <v>41</v>
      </c>
      <c r="E1461" s="74" t="s">
        <v>9395</v>
      </c>
      <c r="F1461" s="74" t="s">
        <v>80</v>
      </c>
      <c r="G1461" s="74" t="s">
        <v>11812</v>
      </c>
      <c r="H1461" s="74" t="s">
        <v>46</v>
      </c>
      <c r="I1461" s="74" t="s">
        <v>47</v>
      </c>
      <c r="J1461" s="74" t="s">
        <v>9347</v>
      </c>
      <c r="K1461" s="74"/>
      <c r="L1461" s="74"/>
    </row>
    <row r="1462" spans="1:12" ht="41.4">
      <c r="A1462" s="73">
        <v>1461</v>
      </c>
      <c r="B1462" s="74" t="s">
        <v>12768</v>
      </c>
      <c r="C1462" s="74" t="s">
        <v>12769</v>
      </c>
      <c r="D1462" s="74" t="s">
        <v>89</v>
      </c>
      <c r="E1462" s="74" t="s">
        <v>9395</v>
      </c>
      <c r="F1462" s="74" t="s">
        <v>80</v>
      </c>
      <c r="G1462" s="74" t="s">
        <v>10054</v>
      </c>
      <c r="H1462" s="74" t="s">
        <v>102</v>
      </c>
      <c r="I1462" s="74" t="s">
        <v>47</v>
      </c>
      <c r="J1462" s="74" t="s">
        <v>9351</v>
      </c>
      <c r="K1462" s="74"/>
      <c r="L1462" s="74"/>
    </row>
    <row r="1463" spans="1:12" ht="55.2">
      <c r="A1463" s="73">
        <v>1462</v>
      </c>
      <c r="B1463" s="74" t="s">
        <v>12770</v>
      </c>
      <c r="C1463" s="74" t="s">
        <v>8304</v>
      </c>
      <c r="D1463" s="74" t="s">
        <v>143</v>
      </c>
      <c r="E1463" s="74" t="s">
        <v>9395</v>
      </c>
      <c r="F1463" s="74" t="s">
        <v>80</v>
      </c>
      <c r="G1463" s="74" t="s">
        <v>12026</v>
      </c>
      <c r="H1463" s="74" t="s">
        <v>327</v>
      </c>
      <c r="I1463" s="74" t="s">
        <v>110</v>
      </c>
      <c r="J1463" s="74" t="s">
        <v>9351</v>
      </c>
      <c r="K1463" s="74" t="s">
        <v>12771</v>
      </c>
      <c r="L1463" s="74" t="s">
        <v>370</v>
      </c>
    </row>
    <row r="1464" spans="1:12" ht="55.2">
      <c r="A1464" s="73">
        <v>1463</v>
      </c>
      <c r="B1464" s="74" t="s">
        <v>12772</v>
      </c>
      <c r="C1464" s="74" t="s">
        <v>12773</v>
      </c>
      <c r="D1464" s="74" t="s">
        <v>295</v>
      </c>
      <c r="E1464" s="74" t="s">
        <v>9395</v>
      </c>
      <c r="F1464" s="74" t="s">
        <v>80</v>
      </c>
      <c r="G1464" s="74" t="s">
        <v>11950</v>
      </c>
      <c r="H1464" s="74" t="s">
        <v>297</v>
      </c>
      <c r="I1464" s="74" t="s">
        <v>47</v>
      </c>
      <c r="J1464" s="74" t="s">
        <v>9351</v>
      </c>
      <c r="K1464" s="74" t="s">
        <v>12774</v>
      </c>
      <c r="L1464" s="74" t="s">
        <v>318</v>
      </c>
    </row>
    <row r="1465" spans="1:12" ht="41.4">
      <c r="A1465" s="73">
        <v>1464</v>
      </c>
      <c r="B1465" s="74" t="s">
        <v>12775</v>
      </c>
      <c r="C1465" s="74" t="s">
        <v>5094</v>
      </c>
      <c r="D1465" s="74" t="s">
        <v>68</v>
      </c>
      <c r="E1465" s="74" t="s">
        <v>9395</v>
      </c>
      <c r="F1465" s="74" t="s">
        <v>80</v>
      </c>
      <c r="G1465" s="74" t="s">
        <v>11802</v>
      </c>
      <c r="H1465" s="74" t="s">
        <v>102</v>
      </c>
      <c r="I1465" s="74" t="s">
        <v>47</v>
      </c>
      <c r="J1465" s="74" t="s">
        <v>9351</v>
      </c>
      <c r="K1465" s="74"/>
      <c r="L1465" s="74"/>
    </row>
    <row r="1466" spans="1:12" ht="69">
      <c r="A1466" s="73">
        <v>1465</v>
      </c>
      <c r="B1466" s="74" t="s">
        <v>12776</v>
      </c>
      <c r="C1466" s="74" t="s">
        <v>12777</v>
      </c>
      <c r="D1466" s="74" t="s">
        <v>89</v>
      </c>
      <c r="E1466" s="74" t="s">
        <v>9395</v>
      </c>
      <c r="F1466" s="74" t="s">
        <v>80</v>
      </c>
      <c r="G1466" s="74" t="s">
        <v>9445</v>
      </c>
      <c r="H1466" s="74" t="s">
        <v>102</v>
      </c>
      <c r="I1466" s="74" t="s">
        <v>92</v>
      </c>
      <c r="J1466" s="74" t="s">
        <v>9351</v>
      </c>
      <c r="K1466" s="74" t="s">
        <v>12778</v>
      </c>
      <c r="L1466" s="74" t="s">
        <v>711</v>
      </c>
    </row>
    <row r="1467" spans="1:12" ht="55.2">
      <c r="A1467" s="73">
        <v>1466</v>
      </c>
      <c r="B1467" s="74" t="s">
        <v>12779</v>
      </c>
      <c r="C1467" s="74" t="s">
        <v>12780</v>
      </c>
      <c r="D1467" s="74" t="s">
        <v>41</v>
      </c>
      <c r="E1467" s="74" t="s">
        <v>9395</v>
      </c>
      <c r="F1467" s="74" t="s">
        <v>80</v>
      </c>
      <c r="G1467" s="74" t="s">
        <v>11939</v>
      </c>
      <c r="H1467" s="74" t="s">
        <v>479</v>
      </c>
      <c r="I1467" s="74" t="s">
        <v>47</v>
      </c>
      <c r="J1467" s="74" t="s">
        <v>9351</v>
      </c>
      <c r="K1467" s="74"/>
      <c r="L1467" s="74"/>
    </row>
    <row r="1468" spans="1:12" ht="69">
      <c r="A1468" s="73">
        <v>1467</v>
      </c>
      <c r="B1468" s="74" t="s">
        <v>12781</v>
      </c>
      <c r="C1468" s="74" t="s">
        <v>12782</v>
      </c>
      <c r="D1468" s="74" t="s">
        <v>41</v>
      </c>
      <c r="E1468" s="74" t="s">
        <v>9395</v>
      </c>
      <c r="F1468" s="74" t="s">
        <v>80</v>
      </c>
      <c r="G1468" s="74" t="s">
        <v>11788</v>
      </c>
      <c r="H1468" s="74" t="s">
        <v>46</v>
      </c>
      <c r="I1468" s="74" t="s">
        <v>47</v>
      </c>
      <c r="J1468" s="74" t="s">
        <v>9347</v>
      </c>
      <c r="K1468" s="74"/>
      <c r="L1468" s="74"/>
    </row>
    <row r="1469" spans="1:12" ht="55.2">
      <c r="A1469" s="73">
        <v>1468</v>
      </c>
      <c r="B1469" s="74" t="s">
        <v>12783</v>
      </c>
      <c r="C1469" s="74" t="s">
        <v>12784</v>
      </c>
      <c r="D1469" s="74" t="s">
        <v>89</v>
      </c>
      <c r="E1469" s="74" t="s">
        <v>9395</v>
      </c>
      <c r="F1469" s="74" t="s">
        <v>80</v>
      </c>
      <c r="G1469" s="74" t="s">
        <v>12271</v>
      </c>
      <c r="H1469" s="74" t="s">
        <v>102</v>
      </c>
      <c r="I1469" s="74" t="s">
        <v>110</v>
      </c>
      <c r="J1469" s="74" t="s">
        <v>9351</v>
      </c>
      <c r="K1469" s="74" t="s">
        <v>12785</v>
      </c>
      <c r="L1469" s="74" t="s">
        <v>251</v>
      </c>
    </row>
    <row r="1470" spans="1:12" ht="55.2">
      <c r="A1470" s="73">
        <v>1469</v>
      </c>
      <c r="B1470" s="74" t="s">
        <v>12786</v>
      </c>
      <c r="C1470" s="74" t="s">
        <v>12787</v>
      </c>
      <c r="D1470" s="74" t="s">
        <v>143</v>
      </c>
      <c r="E1470" s="74" t="s">
        <v>9395</v>
      </c>
      <c r="F1470" s="74" t="s">
        <v>80</v>
      </c>
      <c r="G1470" s="74" t="s">
        <v>12307</v>
      </c>
      <c r="H1470" s="74" t="s">
        <v>145</v>
      </c>
      <c r="I1470" s="74" t="s">
        <v>47</v>
      </c>
      <c r="J1470" s="74" t="s">
        <v>9351</v>
      </c>
      <c r="K1470" s="74"/>
      <c r="L1470" s="74"/>
    </row>
    <row r="1471" spans="1:12" ht="69">
      <c r="A1471" s="73">
        <v>1470</v>
      </c>
      <c r="B1471" s="74" t="s">
        <v>12788</v>
      </c>
      <c r="C1471" s="74" t="s">
        <v>12789</v>
      </c>
      <c r="D1471" s="74" t="s">
        <v>68</v>
      </c>
      <c r="E1471" s="74" t="s">
        <v>9395</v>
      </c>
      <c r="F1471" s="74" t="s">
        <v>80</v>
      </c>
      <c r="G1471" s="74" t="s">
        <v>11826</v>
      </c>
      <c r="H1471" s="74" t="s">
        <v>91</v>
      </c>
      <c r="I1471" s="74" t="s">
        <v>416</v>
      </c>
      <c r="J1471" s="74" t="s">
        <v>9351</v>
      </c>
      <c r="K1471" s="74" t="s">
        <v>12790</v>
      </c>
      <c r="L1471" s="74" t="s">
        <v>3207</v>
      </c>
    </row>
    <row r="1472" spans="1:12" ht="55.2">
      <c r="A1472" s="73">
        <v>1471</v>
      </c>
      <c r="B1472" s="74" t="s">
        <v>12791</v>
      </c>
      <c r="C1472" s="74" t="s">
        <v>12792</v>
      </c>
      <c r="D1472" s="74" t="s">
        <v>41</v>
      </c>
      <c r="E1472" s="74" t="s">
        <v>9395</v>
      </c>
      <c r="F1472" s="74" t="s">
        <v>80</v>
      </c>
      <c r="G1472" s="74" t="s">
        <v>12190</v>
      </c>
      <c r="H1472" s="74" t="s">
        <v>479</v>
      </c>
      <c r="I1472" s="74" t="s">
        <v>47</v>
      </c>
      <c r="J1472" s="74" t="s">
        <v>9351</v>
      </c>
      <c r="K1472" s="74" t="s">
        <v>12793</v>
      </c>
      <c r="L1472" s="74" t="s">
        <v>897</v>
      </c>
    </row>
    <row r="1473" spans="1:12" ht="55.2">
      <c r="A1473" s="73">
        <v>1472</v>
      </c>
      <c r="B1473" s="74" t="s">
        <v>12794</v>
      </c>
      <c r="C1473" s="74" t="s">
        <v>8168</v>
      </c>
      <c r="D1473" s="74" t="s">
        <v>89</v>
      </c>
      <c r="E1473" s="74" t="s">
        <v>9395</v>
      </c>
      <c r="F1473" s="74" t="s">
        <v>80</v>
      </c>
      <c r="G1473" s="74" t="s">
        <v>12367</v>
      </c>
      <c r="H1473" s="74" t="s">
        <v>118</v>
      </c>
      <c r="I1473" s="74" t="s">
        <v>47</v>
      </c>
      <c r="J1473" s="74" t="s">
        <v>9351</v>
      </c>
      <c r="K1473" s="74"/>
      <c r="L1473" s="74"/>
    </row>
    <row r="1474" spans="1:12" ht="55.2">
      <c r="A1474" s="73">
        <v>1473</v>
      </c>
      <c r="B1474" s="74" t="s">
        <v>12795</v>
      </c>
      <c r="C1474" s="74" t="s">
        <v>12796</v>
      </c>
      <c r="D1474" s="74" t="s">
        <v>143</v>
      </c>
      <c r="E1474" s="74" t="s">
        <v>9395</v>
      </c>
      <c r="F1474" s="74" t="s">
        <v>80</v>
      </c>
      <c r="G1474" s="74" t="s">
        <v>12063</v>
      </c>
      <c r="H1474" s="74" t="s">
        <v>327</v>
      </c>
      <c r="I1474" s="74" t="s">
        <v>47</v>
      </c>
      <c r="J1474" s="74" t="s">
        <v>9351</v>
      </c>
      <c r="K1474" s="74"/>
      <c r="L1474" s="74"/>
    </row>
    <row r="1475" spans="1:12" ht="55.2">
      <c r="A1475" s="73">
        <v>1474</v>
      </c>
      <c r="B1475" s="74" t="s">
        <v>12797</v>
      </c>
      <c r="C1475" s="74" t="s">
        <v>12798</v>
      </c>
      <c r="D1475" s="74" t="s">
        <v>143</v>
      </c>
      <c r="E1475" s="74" t="s">
        <v>9395</v>
      </c>
      <c r="F1475" s="74" t="s">
        <v>80</v>
      </c>
      <c r="G1475" s="74" t="s">
        <v>11978</v>
      </c>
      <c r="H1475" s="74" t="s">
        <v>145</v>
      </c>
      <c r="I1475" s="74" t="s">
        <v>47</v>
      </c>
      <c r="J1475" s="74" t="s">
        <v>9351</v>
      </c>
      <c r="K1475" s="74"/>
      <c r="L1475" s="74"/>
    </row>
    <row r="1476" spans="1:12" ht="55.2">
      <c r="A1476" s="73">
        <v>1475</v>
      </c>
      <c r="B1476" s="74" t="s">
        <v>12799</v>
      </c>
      <c r="C1476" s="74" t="s">
        <v>12800</v>
      </c>
      <c r="D1476" s="74" t="s">
        <v>41</v>
      </c>
      <c r="E1476" s="74" t="s">
        <v>9395</v>
      </c>
      <c r="F1476" s="74" t="s">
        <v>80</v>
      </c>
      <c r="G1476" s="74" t="s">
        <v>11791</v>
      </c>
      <c r="H1476" s="74" t="s">
        <v>479</v>
      </c>
      <c r="I1476" s="74" t="s">
        <v>47</v>
      </c>
      <c r="J1476" s="74" t="s">
        <v>9351</v>
      </c>
      <c r="K1476" s="74" t="s">
        <v>12801</v>
      </c>
      <c r="L1476" s="74" t="s">
        <v>897</v>
      </c>
    </row>
    <row r="1477" spans="1:12" ht="55.2">
      <c r="A1477" s="73">
        <v>1476</v>
      </c>
      <c r="B1477" s="74" t="s">
        <v>12802</v>
      </c>
      <c r="C1477" s="74" t="s">
        <v>12803</v>
      </c>
      <c r="D1477" s="74" t="s">
        <v>41</v>
      </c>
      <c r="E1477" s="74" t="s">
        <v>9395</v>
      </c>
      <c r="F1477" s="74" t="s">
        <v>80</v>
      </c>
      <c r="G1477" s="74" t="s">
        <v>12190</v>
      </c>
      <c r="H1477" s="74" t="s">
        <v>479</v>
      </c>
      <c r="I1477" s="74" t="s">
        <v>47</v>
      </c>
      <c r="J1477" s="74" t="s">
        <v>9351</v>
      </c>
      <c r="K1477" s="74"/>
      <c r="L1477" s="74"/>
    </row>
    <row r="1478" spans="1:12" ht="55.2">
      <c r="A1478" s="73">
        <v>1477</v>
      </c>
      <c r="B1478" s="74" t="s">
        <v>12804</v>
      </c>
      <c r="C1478" s="74" t="s">
        <v>12805</v>
      </c>
      <c r="D1478" s="74" t="s">
        <v>41</v>
      </c>
      <c r="E1478" s="74" t="s">
        <v>9395</v>
      </c>
      <c r="F1478" s="74" t="s">
        <v>80</v>
      </c>
      <c r="G1478" s="74" t="s">
        <v>11939</v>
      </c>
      <c r="H1478" s="74" t="s">
        <v>479</v>
      </c>
      <c r="I1478" s="74" t="s">
        <v>47</v>
      </c>
      <c r="J1478" s="74" t="s">
        <v>9351</v>
      </c>
      <c r="K1478" s="74" t="s">
        <v>12806</v>
      </c>
      <c r="L1478" s="74" t="s">
        <v>897</v>
      </c>
    </row>
    <row r="1479" spans="1:12" ht="55.2">
      <c r="A1479" s="73">
        <v>1478</v>
      </c>
      <c r="B1479" s="74" t="s">
        <v>12807</v>
      </c>
      <c r="C1479" s="74" t="s">
        <v>12808</v>
      </c>
      <c r="D1479" s="74" t="s">
        <v>41</v>
      </c>
      <c r="E1479" s="74" t="s">
        <v>9395</v>
      </c>
      <c r="F1479" s="74" t="s">
        <v>80</v>
      </c>
      <c r="G1479" s="74" t="s">
        <v>12190</v>
      </c>
      <c r="H1479" s="74" t="s">
        <v>479</v>
      </c>
      <c r="I1479" s="74" t="s">
        <v>47</v>
      </c>
      <c r="J1479" s="74" t="s">
        <v>9351</v>
      </c>
      <c r="K1479" s="74" t="s">
        <v>12809</v>
      </c>
      <c r="L1479" s="74" t="s">
        <v>897</v>
      </c>
    </row>
    <row r="1480" spans="1:12" ht="55.2">
      <c r="A1480" s="73">
        <v>1479</v>
      </c>
      <c r="B1480" s="74" t="s">
        <v>12810</v>
      </c>
      <c r="C1480" s="74" t="s">
        <v>12811</v>
      </c>
      <c r="D1480" s="74" t="s">
        <v>41</v>
      </c>
      <c r="E1480" s="74" t="s">
        <v>9395</v>
      </c>
      <c r="F1480" s="74" t="s">
        <v>80</v>
      </c>
      <c r="G1480" s="74" t="s">
        <v>11791</v>
      </c>
      <c r="H1480" s="74" t="s">
        <v>479</v>
      </c>
      <c r="I1480" s="74" t="s">
        <v>47</v>
      </c>
      <c r="J1480" s="74" t="s">
        <v>9351</v>
      </c>
      <c r="K1480" s="74" t="s">
        <v>12812</v>
      </c>
      <c r="L1480" s="74" t="s">
        <v>1916</v>
      </c>
    </row>
    <row r="1481" spans="1:12" ht="55.2">
      <c r="A1481" s="73">
        <v>1480</v>
      </c>
      <c r="B1481" s="74" t="s">
        <v>12813</v>
      </c>
      <c r="C1481" s="74" t="s">
        <v>12814</v>
      </c>
      <c r="D1481" s="74" t="s">
        <v>41</v>
      </c>
      <c r="E1481" s="74" t="s">
        <v>9395</v>
      </c>
      <c r="F1481" s="74" t="s">
        <v>80</v>
      </c>
      <c r="G1481" s="74" t="s">
        <v>11939</v>
      </c>
      <c r="H1481" s="74" t="s">
        <v>479</v>
      </c>
      <c r="I1481" s="74" t="s">
        <v>47</v>
      </c>
      <c r="J1481" s="74" t="s">
        <v>9351</v>
      </c>
      <c r="K1481" s="74" t="s">
        <v>12815</v>
      </c>
      <c r="L1481" s="74" t="s">
        <v>1916</v>
      </c>
    </row>
    <row r="1482" spans="1:12" ht="27.6">
      <c r="A1482" s="73">
        <v>1481</v>
      </c>
      <c r="B1482" s="74" t="s">
        <v>12816</v>
      </c>
      <c r="C1482" s="74" t="s">
        <v>12817</v>
      </c>
      <c r="D1482" s="74" t="s">
        <v>89</v>
      </c>
      <c r="E1482" s="74" t="s">
        <v>9395</v>
      </c>
      <c r="F1482" s="74" t="s">
        <v>80</v>
      </c>
      <c r="G1482" s="74" t="s">
        <v>9503</v>
      </c>
      <c r="H1482" s="74" t="s">
        <v>102</v>
      </c>
      <c r="I1482" s="74" t="s">
        <v>416</v>
      </c>
      <c r="J1482" s="74" t="s">
        <v>9351</v>
      </c>
      <c r="K1482" s="74" t="s">
        <v>12818</v>
      </c>
      <c r="L1482" s="74" t="s">
        <v>251</v>
      </c>
    </row>
    <row r="1483" spans="1:12" ht="41.4">
      <c r="A1483" s="73">
        <v>1482</v>
      </c>
      <c r="B1483" s="74" t="s">
        <v>12819</v>
      </c>
      <c r="C1483" s="74" t="s">
        <v>2158</v>
      </c>
      <c r="D1483" s="74" t="s">
        <v>41</v>
      </c>
      <c r="E1483" s="74" t="s">
        <v>9395</v>
      </c>
      <c r="F1483" s="74" t="s">
        <v>80</v>
      </c>
      <c r="G1483" s="74" t="s">
        <v>11759</v>
      </c>
      <c r="H1483" s="74" t="s">
        <v>200</v>
      </c>
      <c r="I1483" s="74" t="s">
        <v>47</v>
      </c>
      <c r="J1483" s="74" t="s">
        <v>9351</v>
      </c>
      <c r="K1483" s="74"/>
      <c r="L1483" s="74"/>
    </row>
    <row r="1484" spans="1:12" ht="69">
      <c r="A1484" s="73">
        <v>1483</v>
      </c>
      <c r="B1484" s="74" t="s">
        <v>12820</v>
      </c>
      <c r="C1484" s="74" t="s">
        <v>12821</v>
      </c>
      <c r="D1484" s="74" t="s">
        <v>41</v>
      </c>
      <c r="E1484" s="74" t="s">
        <v>9395</v>
      </c>
      <c r="F1484" s="74" t="s">
        <v>80</v>
      </c>
      <c r="G1484" s="74" t="s">
        <v>11795</v>
      </c>
      <c r="H1484" s="74" t="s">
        <v>46</v>
      </c>
      <c r="I1484" s="74" t="s">
        <v>47</v>
      </c>
      <c r="J1484" s="74" t="s">
        <v>9351</v>
      </c>
      <c r="K1484" s="74" t="s">
        <v>12822</v>
      </c>
      <c r="L1484" s="74" t="s">
        <v>331</v>
      </c>
    </row>
    <row r="1485" spans="1:12" ht="69">
      <c r="A1485" s="73">
        <v>1484</v>
      </c>
      <c r="B1485" s="74" t="s">
        <v>12823</v>
      </c>
      <c r="C1485" s="74" t="s">
        <v>12824</v>
      </c>
      <c r="D1485" s="74" t="s">
        <v>41</v>
      </c>
      <c r="E1485" s="74" t="s">
        <v>9395</v>
      </c>
      <c r="F1485" s="74" t="s">
        <v>80</v>
      </c>
      <c r="G1485" s="74" t="s">
        <v>9982</v>
      </c>
      <c r="H1485" s="74" t="s">
        <v>46</v>
      </c>
      <c r="I1485" s="74" t="s">
        <v>47</v>
      </c>
      <c r="J1485" s="74" t="s">
        <v>9347</v>
      </c>
      <c r="K1485" s="74"/>
      <c r="L1485" s="74"/>
    </row>
    <row r="1486" spans="1:12" ht="55.2">
      <c r="A1486" s="73">
        <v>1485</v>
      </c>
      <c r="B1486" s="74" t="s">
        <v>12825</v>
      </c>
      <c r="C1486" s="74" t="s">
        <v>5585</v>
      </c>
      <c r="D1486" s="74" t="s">
        <v>143</v>
      </c>
      <c r="E1486" s="74" t="s">
        <v>9395</v>
      </c>
      <c r="F1486" s="74" t="s">
        <v>80</v>
      </c>
      <c r="G1486" s="74" t="s">
        <v>10395</v>
      </c>
      <c r="H1486" s="74" t="s">
        <v>327</v>
      </c>
      <c r="I1486" s="74" t="s">
        <v>47</v>
      </c>
      <c r="J1486" s="74" t="s">
        <v>9351</v>
      </c>
      <c r="K1486" s="74" t="s">
        <v>12826</v>
      </c>
      <c r="L1486" s="74" t="s">
        <v>370</v>
      </c>
    </row>
    <row r="1487" spans="1:12" ht="41.4">
      <c r="A1487" s="73">
        <v>1486</v>
      </c>
      <c r="B1487" s="74" t="s">
        <v>12827</v>
      </c>
      <c r="C1487" s="74" t="s">
        <v>12828</v>
      </c>
      <c r="D1487" s="74" t="s">
        <v>89</v>
      </c>
      <c r="E1487" s="74" t="s">
        <v>9395</v>
      </c>
      <c r="F1487" s="74" t="s">
        <v>80</v>
      </c>
      <c r="G1487" s="74" t="s">
        <v>12054</v>
      </c>
      <c r="H1487" s="74" t="s">
        <v>102</v>
      </c>
      <c r="I1487" s="74" t="s">
        <v>47</v>
      </c>
      <c r="J1487" s="74" t="s">
        <v>9351</v>
      </c>
      <c r="K1487" s="74"/>
      <c r="L1487" s="74"/>
    </row>
    <row r="1488" spans="1:12" ht="27.6">
      <c r="A1488" s="73">
        <v>1487</v>
      </c>
      <c r="B1488" s="74" t="s">
        <v>12829</v>
      </c>
      <c r="C1488" s="74" t="s">
        <v>12830</v>
      </c>
      <c r="D1488" s="74" t="s">
        <v>68</v>
      </c>
      <c r="E1488" s="74" t="s">
        <v>9395</v>
      </c>
      <c r="F1488" s="74" t="s">
        <v>80</v>
      </c>
      <c r="G1488" s="74" t="s">
        <v>11802</v>
      </c>
      <c r="H1488" s="74" t="s">
        <v>102</v>
      </c>
      <c r="I1488" s="74" t="s">
        <v>416</v>
      </c>
      <c r="J1488" s="74" t="s">
        <v>9351</v>
      </c>
      <c r="K1488" s="74"/>
      <c r="L1488" s="74"/>
    </row>
    <row r="1489" spans="1:12" ht="41.4">
      <c r="A1489" s="73">
        <v>1488</v>
      </c>
      <c r="B1489" s="74" t="s">
        <v>12831</v>
      </c>
      <c r="C1489" s="74" t="s">
        <v>12832</v>
      </c>
      <c r="D1489" s="74" t="s">
        <v>89</v>
      </c>
      <c r="E1489" s="74" t="s">
        <v>9395</v>
      </c>
      <c r="F1489" s="74" t="s">
        <v>80</v>
      </c>
      <c r="G1489" s="74" t="s">
        <v>11932</v>
      </c>
      <c r="H1489" s="74" t="s">
        <v>102</v>
      </c>
      <c r="I1489" s="74" t="s">
        <v>110</v>
      </c>
      <c r="J1489" s="74" t="s">
        <v>9351</v>
      </c>
      <c r="K1489" s="74" t="s">
        <v>12833</v>
      </c>
      <c r="L1489" s="74" t="s">
        <v>251</v>
      </c>
    </row>
    <row r="1490" spans="1:12" ht="41.4">
      <c r="A1490" s="73">
        <v>1489</v>
      </c>
      <c r="B1490" s="74" t="s">
        <v>12834</v>
      </c>
      <c r="C1490" s="74" t="s">
        <v>12835</v>
      </c>
      <c r="D1490" s="74" t="s">
        <v>89</v>
      </c>
      <c r="E1490" s="74" t="s">
        <v>9395</v>
      </c>
      <c r="F1490" s="74" t="s">
        <v>80</v>
      </c>
      <c r="G1490" s="74" t="s">
        <v>9503</v>
      </c>
      <c r="H1490" s="74" t="s">
        <v>102</v>
      </c>
      <c r="I1490" s="74" t="s">
        <v>47</v>
      </c>
      <c r="J1490" s="74" t="s">
        <v>9351</v>
      </c>
      <c r="K1490" s="74" t="s">
        <v>12836</v>
      </c>
      <c r="L1490" s="74" t="s">
        <v>370</v>
      </c>
    </row>
    <row r="1491" spans="1:12" ht="55.2">
      <c r="A1491" s="73">
        <v>1490</v>
      </c>
      <c r="B1491" s="74" t="s">
        <v>12837</v>
      </c>
      <c r="C1491" s="74" t="s">
        <v>12838</v>
      </c>
      <c r="D1491" s="74" t="s">
        <v>143</v>
      </c>
      <c r="E1491" s="74" t="s">
        <v>9395</v>
      </c>
      <c r="F1491" s="74" t="s">
        <v>80</v>
      </c>
      <c r="G1491" s="74" t="s">
        <v>12063</v>
      </c>
      <c r="H1491" s="74" t="s">
        <v>327</v>
      </c>
      <c r="I1491" s="74" t="s">
        <v>47</v>
      </c>
      <c r="J1491" s="74" t="s">
        <v>9351</v>
      </c>
      <c r="K1491" s="74" t="s">
        <v>12839</v>
      </c>
      <c r="L1491" s="74" t="s">
        <v>370</v>
      </c>
    </row>
    <row r="1492" spans="1:12" ht="55.2">
      <c r="A1492" s="73">
        <v>1491</v>
      </c>
      <c r="B1492" s="74" t="s">
        <v>12840</v>
      </c>
      <c r="C1492" s="74" t="s">
        <v>12841</v>
      </c>
      <c r="D1492" s="74" t="s">
        <v>295</v>
      </c>
      <c r="E1492" s="74" t="s">
        <v>9395</v>
      </c>
      <c r="F1492" s="74" t="s">
        <v>80</v>
      </c>
      <c r="G1492" s="74" t="s">
        <v>11958</v>
      </c>
      <c r="H1492" s="74" t="s">
        <v>407</v>
      </c>
      <c r="I1492" s="74" t="s">
        <v>47</v>
      </c>
      <c r="J1492" s="74" t="s">
        <v>9347</v>
      </c>
      <c r="K1492" s="74"/>
      <c r="L1492" s="74"/>
    </row>
    <row r="1493" spans="1:12" ht="55.2">
      <c r="A1493" s="73">
        <v>1492</v>
      </c>
      <c r="B1493" s="74" t="s">
        <v>12842</v>
      </c>
      <c r="C1493" s="74" t="s">
        <v>12843</v>
      </c>
      <c r="D1493" s="74" t="s">
        <v>89</v>
      </c>
      <c r="E1493" s="74" t="s">
        <v>9395</v>
      </c>
      <c r="F1493" s="74" t="s">
        <v>80</v>
      </c>
      <c r="G1493" s="74" t="s">
        <v>12367</v>
      </c>
      <c r="H1493" s="74" t="s">
        <v>118</v>
      </c>
      <c r="I1493" s="74" t="s">
        <v>416</v>
      </c>
      <c r="J1493" s="74" t="s">
        <v>9351</v>
      </c>
      <c r="K1493" s="74" t="s">
        <v>12844</v>
      </c>
      <c r="L1493" s="74" t="s">
        <v>370</v>
      </c>
    </row>
    <row r="1494" spans="1:12" ht="69">
      <c r="A1494" s="73">
        <v>1493</v>
      </c>
      <c r="B1494" s="74" t="s">
        <v>12845</v>
      </c>
      <c r="C1494" s="74" t="s">
        <v>12846</v>
      </c>
      <c r="D1494" s="74" t="s">
        <v>68</v>
      </c>
      <c r="E1494" s="74" t="s">
        <v>9395</v>
      </c>
      <c r="F1494" s="74" t="s">
        <v>80</v>
      </c>
      <c r="G1494" s="74" t="s">
        <v>11746</v>
      </c>
      <c r="H1494" s="74" t="s">
        <v>91</v>
      </c>
      <c r="I1494" s="74" t="s">
        <v>47</v>
      </c>
      <c r="J1494" s="74" t="s">
        <v>9351</v>
      </c>
      <c r="K1494" s="74" t="s">
        <v>12847</v>
      </c>
      <c r="L1494" s="74" t="s">
        <v>3207</v>
      </c>
    </row>
    <row r="1495" spans="1:12" ht="55.2">
      <c r="A1495" s="73">
        <v>1494</v>
      </c>
      <c r="B1495" s="74" t="s">
        <v>12848</v>
      </c>
      <c r="C1495" s="74" t="s">
        <v>12849</v>
      </c>
      <c r="D1495" s="74" t="s">
        <v>41</v>
      </c>
      <c r="E1495" s="74" t="s">
        <v>9395</v>
      </c>
      <c r="F1495" s="74" t="s">
        <v>80</v>
      </c>
      <c r="G1495" s="74" t="s">
        <v>11791</v>
      </c>
      <c r="H1495" s="74" t="s">
        <v>479</v>
      </c>
      <c r="I1495" s="74" t="s">
        <v>47</v>
      </c>
      <c r="J1495" s="74" t="s">
        <v>9351</v>
      </c>
      <c r="K1495" s="74" t="s">
        <v>12850</v>
      </c>
      <c r="L1495" s="74" t="s">
        <v>331</v>
      </c>
    </row>
    <row r="1496" spans="1:12" ht="69">
      <c r="A1496" s="73">
        <v>1495</v>
      </c>
      <c r="B1496" s="74" t="s">
        <v>12851</v>
      </c>
      <c r="C1496" s="74" t="s">
        <v>12852</v>
      </c>
      <c r="D1496" s="74" t="s">
        <v>41</v>
      </c>
      <c r="E1496" s="74" t="s">
        <v>9395</v>
      </c>
      <c r="F1496" s="74" t="s">
        <v>80</v>
      </c>
      <c r="G1496" s="74" t="s">
        <v>12167</v>
      </c>
      <c r="H1496" s="74" t="s">
        <v>46</v>
      </c>
      <c r="I1496" s="74" t="s">
        <v>47</v>
      </c>
      <c r="J1496" s="74" t="s">
        <v>9351</v>
      </c>
      <c r="K1496" s="74" t="s">
        <v>12853</v>
      </c>
      <c r="L1496" s="74" t="s">
        <v>370</v>
      </c>
    </row>
    <row r="1497" spans="1:12" ht="55.2">
      <c r="A1497" s="73">
        <v>1496</v>
      </c>
      <c r="B1497" s="74" t="s">
        <v>12854</v>
      </c>
      <c r="C1497" s="74" t="s">
        <v>12855</v>
      </c>
      <c r="D1497" s="74" t="s">
        <v>41</v>
      </c>
      <c r="E1497" s="74" t="s">
        <v>9395</v>
      </c>
      <c r="F1497" s="74" t="s">
        <v>80</v>
      </c>
      <c r="G1497" s="74" t="s">
        <v>11939</v>
      </c>
      <c r="H1497" s="74" t="s">
        <v>479</v>
      </c>
      <c r="I1497" s="74" t="s">
        <v>47</v>
      </c>
      <c r="J1497" s="74" t="s">
        <v>9351</v>
      </c>
      <c r="K1497" s="74" t="s">
        <v>12856</v>
      </c>
      <c r="L1497" s="74" t="s">
        <v>1916</v>
      </c>
    </row>
    <row r="1498" spans="1:12" ht="27.6">
      <c r="A1498" s="73">
        <v>1497</v>
      </c>
      <c r="B1498" s="74" t="s">
        <v>12857</v>
      </c>
      <c r="C1498" s="74" t="s">
        <v>12858</v>
      </c>
      <c r="D1498" s="74" t="s">
        <v>143</v>
      </c>
      <c r="E1498" s="74" t="s">
        <v>9395</v>
      </c>
      <c r="F1498" s="74" t="s">
        <v>80</v>
      </c>
      <c r="G1498" s="74" t="s">
        <v>11341</v>
      </c>
      <c r="H1498" s="74" t="s">
        <v>400</v>
      </c>
      <c r="I1498" s="74" t="s">
        <v>416</v>
      </c>
      <c r="J1498" s="74" t="s">
        <v>9351</v>
      </c>
      <c r="K1498" s="74" t="s">
        <v>12859</v>
      </c>
      <c r="L1498" s="74" t="s">
        <v>251</v>
      </c>
    </row>
    <row r="1499" spans="1:12" ht="69">
      <c r="A1499" s="73">
        <v>1498</v>
      </c>
      <c r="B1499" s="74" t="s">
        <v>12860</v>
      </c>
      <c r="C1499" s="74" t="s">
        <v>12861</v>
      </c>
      <c r="D1499" s="74" t="s">
        <v>89</v>
      </c>
      <c r="E1499" s="74" t="s">
        <v>9395</v>
      </c>
      <c r="F1499" s="74" t="s">
        <v>80</v>
      </c>
      <c r="G1499" s="74" t="s">
        <v>9396</v>
      </c>
      <c r="H1499" s="74" t="s">
        <v>91</v>
      </c>
      <c r="I1499" s="74" t="s">
        <v>47</v>
      </c>
      <c r="J1499" s="74" t="s">
        <v>9351</v>
      </c>
      <c r="K1499" s="74"/>
      <c r="L1499" s="74"/>
    </row>
    <row r="1500" spans="1:12" ht="27.6">
      <c r="A1500" s="73">
        <v>1499</v>
      </c>
      <c r="B1500" s="74" t="s">
        <v>12862</v>
      </c>
      <c r="C1500" s="74" t="s">
        <v>12863</v>
      </c>
      <c r="D1500" s="74" t="s">
        <v>143</v>
      </c>
      <c r="E1500" s="74" t="s">
        <v>9395</v>
      </c>
      <c r="F1500" s="74" t="s">
        <v>80</v>
      </c>
      <c r="G1500" s="74" t="s">
        <v>11952</v>
      </c>
      <c r="H1500" s="74" t="s">
        <v>400</v>
      </c>
      <c r="I1500" s="74" t="s">
        <v>416</v>
      </c>
      <c r="J1500" s="74" t="s">
        <v>9351</v>
      </c>
      <c r="K1500" s="74" t="s">
        <v>12864</v>
      </c>
      <c r="L1500" s="74" t="s">
        <v>251</v>
      </c>
    </row>
    <row r="1501" spans="1:12" ht="55.2">
      <c r="A1501" s="73">
        <v>1500</v>
      </c>
      <c r="B1501" s="74" t="s">
        <v>12865</v>
      </c>
      <c r="C1501" s="74" t="s">
        <v>12866</v>
      </c>
      <c r="D1501" s="74" t="s">
        <v>143</v>
      </c>
      <c r="E1501" s="74" t="s">
        <v>9395</v>
      </c>
      <c r="F1501" s="74" t="s">
        <v>80</v>
      </c>
      <c r="G1501" s="74" t="s">
        <v>11739</v>
      </c>
      <c r="H1501" s="74" t="s">
        <v>327</v>
      </c>
      <c r="I1501" s="74" t="s">
        <v>47</v>
      </c>
      <c r="J1501" s="74" t="s">
        <v>9351</v>
      </c>
      <c r="K1501" s="74"/>
      <c r="L1501" s="74"/>
    </row>
    <row r="1502" spans="1:12" ht="55.2">
      <c r="A1502" s="73">
        <v>1501</v>
      </c>
      <c r="B1502" s="74" t="s">
        <v>12867</v>
      </c>
      <c r="C1502" s="74" t="s">
        <v>12868</v>
      </c>
      <c r="D1502" s="74" t="s">
        <v>68</v>
      </c>
      <c r="E1502" s="74" t="s">
        <v>9395</v>
      </c>
      <c r="F1502" s="74" t="s">
        <v>80</v>
      </c>
      <c r="G1502" s="74" t="s">
        <v>11802</v>
      </c>
      <c r="H1502" s="74" t="s">
        <v>102</v>
      </c>
      <c r="I1502" s="74" t="s">
        <v>416</v>
      </c>
      <c r="J1502" s="74" t="s">
        <v>9351</v>
      </c>
      <c r="K1502" s="74"/>
      <c r="L1502" s="74"/>
    </row>
    <row r="1503" spans="1:12" ht="55.2">
      <c r="A1503" s="73">
        <v>1502</v>
      </c>
      <c r="B1503" s="74" t="s">
        <v>12869</v>
      </c>
      <c r="C1503" s="74" t="s">
        <v>12870</v>
      </c>
      <c r="D1503" s="74" t="s">
        <v>143</v>
      </c>
      <c r="E1503" s="74" t="s">
        <v>9395</v>
      </c>
      <c r="F1503" s="74" t="s">
        <v>80</v>
      </c>
      <c r="G1503" s="74" t="s">
        <v>11739</v>
      </c>
      <c r="H1503" s="74" t="s">
        <v>327</v>
      </c>
      <c r="I1503" s="74" t="s">
        <v>47</v>
      </c>
      <c r="J1503" s="74" t="s">
        <v>9351</v>
      </c>
      <c r="K1503" s="74" t="s">
        <v>12871</v>
      </c>
      <c r="L1503" s="74" t="s">
        <v>370</v>
      </c>
    </row>
    <row r="1504" spans="1:12" ht="55.2">
      <c r="A1504" s="73">
        <v>1503</v>
      </c>
      <c r="B1504" s="74" t="s">
        <v>12872</v>
      </c>
      <c r="C1504" s="74" t="s">
        <v>12873</v>
      </c>
      <c r="D1504" s="74" t="s">
        <v>143</v>
      </c>
      <c r="E1504" s="74" t="s">
        <v>9395</v>
      </c>
      <c r="F1504" s="74" t="s">
        <v>80</v>
      </c>
      <c r="G1504" s="74" t="s">
        <v>11978</v>
      </c>
      <c r="H1504" s="74" t="s">
        <v>145</v>
      </c>
      <c r="I1504" s="74" t="s">
        <v>47</v>
      </c>
      <c r="J1504" s="74" t="s">
        <v>9351</v>
      </c>
      <c r="K1504" s="74"/>
      <c r="L1504" s="74"/>
    </row>
    <row r="1505" spans="1:12" ht="41.4">
      <c r="A1505" s="73">
        <v>1504</v>
      </c>
      <c r="B1505" s="74" t="s">
        <v>12874</v>
      </c>
      <c r="C1505" s="74" t="s">
        <v>8171</v>
      </c>
      <c r="D1505" s="74" t="s">
        <v>89</v>
      </c>
      <c r="E1505" s="74" t="s">
        <v>9395</v>
      </c>
      <c r="F1505" s="74" t="s">
        <v>80</v>
      </c>
      <c r="G1505" s="74" t="s">
        <v>12054</v>
      </c>
      <c r="H1505" s="74" t="s">
        <v>102</v>
      </c>
      <c r="I1505" s="74" t="s">
        <v>47</v>
      </c>
      <c r="J1505" s="74" t="s">
        <v>9351</v>
      </c>
      <c r="K1505" s="74"/>
      <c r="L1505" s="74"/>
    </row>
    <row r="1506" spans="1:12" ht="69">
      <c r="A1506" s="73">
        <v>1505</v>
      </c>
      <c r="B1506" s="74" t="s">
        <v>12875</v>
      </c>
      <c r="C1506" s="74" t="s">
        <v>12876</v>
      </c>
      <c r="D1506" s="74" t="s">
        <v>68</v>
      </c>
      <c r="E1506" s="74" t="s">
        <v>9395</v>
      </c>
      <c r="F1506" s="74" t="s">
        <v>80</v>
      </c>
      <c r="G1506" s="74" t="s">
        <v>11826</v>
      </c>
      <c r="H1506" s="74" t="s">
        <v>91</v>
      </c>
      <c r="I1506" s="74" t="s">
        <v>92</v>
      </c>
      <c r="J1506" s="74" t="s">
        <v>9351</v>
      </c>
      <c r="K1506" s="74" t="s">
        <v>12877</v>
      </c>
      <c r="L1506" s="74" t="s">
        <v>3207</v>
      </c>
    </row>
    <row r="1507" spans="1:12" ht="69">
      <c r="A1507" s="73">
        <v>1506</v>
      </c>
      <c r="B1507" s="74" t="s">
        <v>12878</v>
      </c>
      <c r="C1507" s="74" t="s">
        <v>12879</v>
      </c>
      <c r="D1507" s="74" t="s">
        <v>68</v>
      </c>
      <c r="E1507" s="74" t="s">
        <v>9395</v>
      </c>
      <c r="F1507" s="74" t="s">
        <v>80</v>
      </c>
      <c r="G1507" s="74" t="s">
        <v>11746</v>
      </c>
      <c r="H1507" s="74" t="s">
        <v>91</v>
      </c>
      <c r="I1507" s="74" t="s">
        <v>47</v>
      </c>
      <c r="J1507" s="74" t="s">
        <v>9351</v>
      </c>
      <c r="K1507" s="74"/>
      <c r="L1507" s="74"/>
    </row>
    <row r="1508" spans="1:12" ht="69">
      <c r="A1508" s="73">
        <v>1507</v>
      </c>
      <c r="B1508" s="74" t="s">
        <v>12880</v>
      </c>
      <c r="C1508" s="74" t="s">
        <v>12881</v>
      </c>
      <c r="D1508" s="74" t="s">
        <v>41</v>
      </c>
      <c r="E1508" s="74" t="s">
        <v>9395</v>
      </c>
      <c r="F1508" s="74" t="s">
        <v>80</v>
      </c>
      <c r="G1508" s="74" t="s">
        <v>11812</v>
      </c>
      <c r="H1508" s="74" t="s">
        <v>46</v>
      </c>
      <c r="I1508" s="74" t="s">
        <v>47</v>
      </c>
      <c r="J1508" s="74" t="s">
        <v>9347</v>
      </c>
      <c r="K1508" s="74"/>
      <c r="L1508" s="74"/>
    </row>
    <row r="1509" spans="1:12" ht="69">
      <c r="A1509" s="73">
        <v>1508</v>
      </c>
      <c r="B1509" s="74" t="s">
        <v>12882</v>
      </c>
      <c r="C1509" s="74" t="s">
        <v>12883</v>
      </c>
      <c r="D1509" s="74" t="s">
        <v>68</v>
      </c>
      <c r="E1509" s="74" t="s">
        <v>9395</v>
      </c>
      <c r="F1509" s="74" t="s">
        <v>80</v>
      </c>
      <c r="G1509" s="74" t="s">
        <v>11826</v>
      </c>
      <c r="H1509" s="74" t="s">
        <v>91</v>
      </c>
      <c r="I1509" s="74" t="s">
        <v>92</v>
      </c>
      <c r="J1509" s="74" t="s">
        <v>9351</v>
      </c>
      <c r="K1509" s="74" t="s">
        <v>12884</v>
      </c>
      <c r="L1509" s="74" t="s">
        <v>3207</v>
      </c>
    </row>
    <row r="1510" spans="1:12" ht="27.6">
      <c r="A1510" s="73">
        <v>1509</v>
      </c>
      <c r="B1510" s="74" t="s">
        <v>12885</v>
      </c>
      <c r="C1510" s="74" t="s">
        <v>12886</v>
      </c>
      <c r="D1510" s="74" t="s">
        <v>68</v>
      </c>
      <c r="E1510" s="74" t="s">
        <v>9395</v>
      </c>
      <c r="F1510" s="74" t="s">
        <v>80</v>
      </c>
      <c r="G1510" s="74" t="s">
        <v>11802</v>
      </c>
      <c r="H1510" s="74" t="s">
        <v>102</v>
      </c>
      <c r="I1510" s="74" t="s">
        <v>416</v>
      </c>
      <c r="J1510" s="74" t="s">
        <v>9351</v>
      </c>
      <c r="K1510" s="74"/>
      <c r="L1510" s="74"/>
    </row>
    <row r="1511" spans="1:12" ht="55.2">
      <c r="A1511" s="73">
        <v>1510</v>
      </c>
      <c r="B1511" s="74" t="s">
        <v>12887</v>
      </c>
      <c r="C1511" s="74" t="s">
        <v>12888</v>
      </c>
      <c r="D1511" s="74" t="s">
        <v>143</v>
      </c>
      <c r="E1511" s="74" t="s">
        <v>9395</v>
      </c>
      <c r="F1511" s="74" t="s">
        <v>80</v>
      </c>
      <c r="G1511" s="74" t="s">
        <v>11739</v>
      </c>
      <c r="H1511" s="74" t="s">
        <v>327</v>
      </c>
      <c r="I1511" s="74" t="s">
        <v>47</v>
      </c>
      <c r="J1511" s="74" t="s">
        <v>9351</v>
      </c>
      <c r="K1511" s="74" t="s">
        <v>12889</v>
      </c>
      <c r="L1511" s="74" t="s">
        <v>370</v>
      </c>
    </row>
    <row r="1512" spans="1:12" ht="55.2">
      <c r="A1512" s="73">
        <v>1511</v>
      </c>
      <c r="B1512" s="74" t="s">
        <v>12890</v>
      </c>
      <c r="C1512" s="74" t="s">
        <v>12891</v>
      </c>
      <c r="D1512" s="74" t="s">
        <v>68</v>
      </c>
      <c r="E1512" s="74" t="s">
        <v>9395</v>
      </c>
      <c r="F1512" s="74" t="s">
        <v>80</v>
      </c>
      <c r="G1512" s="74" t="s">
        <v>10589</v>
      </c>
      <c r="H1512" s="74" t="s">
        <v>70</v>
      </c>
      <c r="I1512" s="74" t="s">
        <v>110</v>
      </c>
      <c r="J1512" s="74" t="s">
        <v>9351</v>
      </c>
      <c r="K1512" s="74" t="s">
        <v>12892</v>
      </c>
      <c r="L1512" s="74" t="s">
        <v>3561</v>
      </c>
    </row>
    <row r="1513" spans="1:12" ht="41.4">
      <c r="A1513" s="73">
        <v>1512</v>
      </c>
      <c r="B1513" s="74" t="s">
        <v>12893</v>
      </c>
      <c r="C1513" s="74" t="s">
        <v>12894</v>
      </c>
      <c r="D1513" s="74" t="s">
        <v>68</v>
      </c>
      <c r="E1513" s="74" t="s">
        <v>9395</v>
      </c>
      <c r="F1513" s="74" t="s">
        <v>80</v>
      </c>
      <c r="G1513" s="74" t="s">
        <v>11802</v>
      </c>
      <c r="H1513" s="74" t="s">
        <v>102</v>
      </c>
      <c r="I1513" s="74" t="s">
        <v>416</v>
      </c>
      <c r="J1513" s="74" t="s">
        <v>9351</v>
      </c>
      <c r="K1513" s="74" t="s">
        <v>12895</v>
      </c>
      <c r="L1513" s="74" t="s">
        <v>701</v>
      </c>
    </row>
    <row r="1514" spans="1:12" ht="69">
      <c r="A1514" s="73">
        <v>1513</v>
      </c>
      <c r="B1514" s="74" t="s">
        <v>12896</v>
      </c>
      <c r="C1514" s="74" t="s">
        <v>12897</v>
      </c>
      <c r="D1514" s="74" t="s">
        <v>68</v>
      </c>
      <c r="E1514" s="74" t="s">
        <v>9395</v>
      </c>
      <c r="F1514" s="74" t="s">
        <v>80</v>
      </c>
      <c r="G1514" s="74" t="s">
        <v>11826</v>
      </c>
      <c r="H1514" s="74" t="s">
        <v>91</v>
      </c>
      <c r="I1514" s="74" t="s">
        <v>47</v>
      </c>
      <c r="J1514" s="74" t="s">
        <v>9351</v>
      </c>
      <c r="K1514" s="74"/>
      <c r="L1514" s="74"/>
    </row>
    <row r="1515" spans="1:12" ht="41.4">
      <c r="A1515" s="73">
        <v>1514</v>
      </c>
      <c r="B1515" s="74" t="s">
        <v>12898</v>
      </c>
      <c r="C1515" s="74" t="s">
        <v>12899</v>
      </c>
      <c r="D1515" s="74" t="s">
        <v>89</v>
      </c>
      <c r="E1515" s="74" t="s">
        <v>9395</v>
      </c>
      <c r="F1515" s="74" t="s">
        <v>80</v>
      </c>
      <c r="G1515" s="74" t="s">
        <v>10054</v>
      </c>
      <c r="H1515" s="74" t="s">
        <v>102</v>
      </c>
      <c r="I1515" s="74" t="s">
        <v>47</v>
      </c>
      <c r="J1515" s="74" t="s">
        <v>9351</v>
      </c>
      <c r="K1515" s="74"/>
      <c r="L1515" s="74"/>
    </row>
    <row r="1516" spans="1:12" ht="69">
      <c r="A1516" s="73">
        <v>1515</v>
      </c>
      <c r="B1516" s="74" t="s">
        <v>12900</v>
      </c>
      <c r="C1516" s="74" t="s">
        <v>12901</v>
      </c>
      <c r="D1516" s="74" t="s">
        <v>89</v>
      </c>
      <c r="E1516" s="74" t="s">
        <v>9395</v>
      </c>
      <c r="F1516" s="74" t="s">
        <v>80</v>
      </c>
      <c r="G1516" s="74" t="s">
        <v>9396</v>
      </c>
      <c r="H1516" s="74" t="s">
        <v>91</v>
      </c>
      <c r="I1516" s="74" t="s">
        <v>47</v>
      </c>
      <c r="J1516" s="74" t="s">
        <v>9351</v>
      </c>
      <c r="K1516" s="74"/>
      <c r="L1516" s="74"/>
    </row>
    <row r="1517" spans="1:12" ht="69">
      <c r="A1517" s="73">
        <v>1516</v>
      </c>
      <c r="B1517" s="74" t="s">
        <v>12902</v>
      </c>
      <c r="C1517" s="74" t="s">
        <v>12903</v>
      </c>
      <c r="D1517" s="74" t="s">
        <v>89</v>
      </c>
      <c r="E1517" s="74" t="s">
        <v>9395</v>
      </c>
      <c r="F1517" s="74" t="s">
        <v>80</v>
      </c>
      <c r="G1517" s="74" t="s">
        <v>9396</v>
      </c>
      <c r="H1517" s="74" t="s">
        <v>91</v>
      </c>
      <c r="I1517" s="74" t="s">
        <v>110</v>
      </c>
      <c r="J1517" s="74" t="s">
        <v>9351</v>
      </c>
      <c r="K1517" s="74" t="s">
        <v>12904</v>
      </c>
      <c r="L1517" s="74" t="s">
        <v>711</v>
      </c>
    </row>
    <row r="1518" spans="1:12" ht="55.2">
      <c r="A1518" s="73">
        <v>1517</v>
      </c>
      <c r="B1518" s="74" t="s">
        <v>12905</v>
      </c>
      <c r="C1518" s="74" t="s">
        <v>12906</v>
      </c>
      <c r="D1518" s="74" t="s">
        <v>143</v>
      </c>
      <c r="E1518" s="74" t="s">
        <v>9395</v>
      </c>
      <c r="F1518" s="74" t="s">
        <v>80</v>
      </c>
      <c r="G1518" s="74" t="s">
        <v>12307</v>
      </c>
      <c r="H1518" s="74" t="s">
        <v>145</v>
      </c>
      <c r="I1518" s="74" t="s">
        <v>47</v>
      </c>
      <c r="J1518" s="74" t="s">
        <v>9351</v>
      </c>
      <c r="K1518" s="74" t="s">
        <v>12907</v>
      </c>
      <c r="L1518" s="74" t="s">
        <v>251</v>
      </c>
    </row>
    <row r="1519" spans="1:12" ht="69">
      <c r="A1519" s="73">
        <v>1518</v>
      </c>
      <c r="B1519" s="74" t="s">
        <v>12908</v>
      </c>
      <c r="C1519" s="74" t="s">
        <v>12909</v>
      </c>
      <c r="D1519" s="74" t="s">
        <v>68</v>
      </c>
      <c r="E1519" s="74" t="s">
        <v>9395</v>
      </c>
      <c r="F1519" s="74" t="s">
        <v>80</v>
      </c>
      <c r="G1519" s="74" t="s">
        <v>11746</v>
      </c>
      <c r="H1519" s="74" t="s">
        <v>91</v>
      </c>
      <c r="I1519" s="74" t="s">
        <v>416</v>
      </c>
      <c r="J1519" s="74" t="s">
        <v>9351</v>
      </c>
      <c r="K1519" s="74" t="s">
        <v>12910</v>
      </c>
      <c r="L1519" s="74" t="s">
        <v>1266</v>
      </c>
    </row>
    <row r="1520" spans="1:12" ht="55.2">
      <c r="A1520" s="73">
        <v>1519</v>
      </c>
      <c r="B1520" s="74" t="s">
        <v>12911</v>
      </c>
      <c r="C1520" s="74" t="s">
        <v>12912</v>
      </c>
      <c r="D1520" s="74" t="s">
        <v>143</v>
      </c>
      <c r="E1520" s="74" t="s">
        <v>9395</v>
      </c>
      <c r="F1520" s="74" t="s">
        <v>80</v>
      </c>
      <c r="G1520" s="74" t="s">
        <v>12063</v>
      </c>
      <c r="H1520" s="74" t="s">
        <v>327</v>
      </c>
      <c r="I1520" s="74" t="s">
        <v>47</v>
      </c>
      <c r="J1520" s="74" t="s">
        <v>9351</v>
      </c>
      <c r="K1520" s="74" t="s">
        <v>12913</v>
      </c>
      <c r="L1520" s="74" t="s">
        <v>370</v>
      </c>
    </row>
    <row r="1521" spans="1:12" ht="41.4">
      <c r="A1521" s="73">
        <v>1520</v>
      </c>
      <c r="B1521" s="74" t="s">
        <v>12914</v>
      </c>
      <c r="C1521" s="74" t="s">
        <v>12915</v>
      </c>
      <c r="D1521" s="74" t="s">
        <v>295</v>
      </c>
      <c r="E1521" s="74" t="s">
        <v>9395</v>
      </c>
      <c r="F1521" s="74" t="s">
        <v>80</v>
      </c>
      <c r="G1521" s="74" t="s">
        <v>12129</v>
      </c>
      <c r="H1521" s="74" t="s">
        <v>297</v>
      </c>
      <c r="I1521" s="74" t="s">
        <v>47</v>
      </c>
      <c r="J1521" s="74" t="s">
        <v>9351</v>
      </c>
      <c r="K1521" s="74" t="s">
        <v>12916</v>
      </c>
      <c r="L1521" s="74" t="s">
        <v>318</v>
      </c>
    </row>
    <row r="1522" spans="1:12" ht="69">
      <c r="A1522" s="73">
        <v>1521</v>
      </c>
      <c r="B1522" s="74" t="s">
        <v>12917</v>
      </c>
      <c r="C1522" s="74" t="s">
        <v>12918</v>
      </c>
      <c r="D1522" s="74" t="s">
        <v>41</v>
      </c>
      <c r="E1522" s="74" t="s">
        <v>9395</v>
      </c>
      <c r="F1522" s="74" t="s">
        <v>80</v>
      </c>
      <c r="G1522" s="74" t="s">
        <v>11788</v>
      </c>
      <c r="H1522" s="74" t="s">
        <v>46</v>
      </c>
      <c r="I1522" s="74" t="s">
        <v>47</v>
      </c>
      <c r="J1522" s="74" t="s">
        <v>9347</v>
      </c>
      <c r="K1522" s="74"/>
      <c r="L1522" s="74"/>
    </row>
    <row r="1523" spans="1:12" ht="41.4">
      <c r="A1523" s="73">
        <v>1522</v>
      </c>
      <c r="B1523" s="74" t="s">
        <v>12919</v>
      </c>
      <c r="C1523" s="74" t="s">
        <v>12920</v>
      </c>
      <c r="D1523" s="74" t="s">
        <v>41</v>
      </c>
      <c r="E1523" s="74" t="s">
        <v>9395</v>
      </c>
      <c r="F1523" s="74" t="s">
        <v>80</v>
      </c>
      <c r="G1523" s="74" t="s">
        <v>11749</v>
      </c>
      <c r="H1523" s="74" t="s">
        <v>130</v>
      </c>
      <c r="I1523" s="74" t="s">
        <v>47</v>
      </c>
      <c r="J1523" s="74" t="s">
        <v>9347</v>
      </c>
      <c r="K1523" s="74"/>
      <c r="L1523" s="74"/>
    </row>
    <row r="1524" spans="1:12" ht="69">
      <c r="A1524" s="73">
        <v>1523</v>
      </c>
      <c r="B1524" s="74" t="s">
        <v>12921</v>
      </c>
      <c r="C1524" s="74" t="s">
        <v>12922</v>
      </c>
      <c r="D1524" s="74" t="s">
        <v>68</v>
      </c>
      <c r="E1524" s="74" t="s">
        <v>9395</v>
      </c>
      <c r="F1524" s="74" t="s">
        <v>80</v>
      </c>
      <c r="G1524" s="74" t="s">
        <v>11826</v>
      </c>
      <c r="H1524" s="74" t="s">
        <v>91</v>
      </c>
      <c r="I1524" s="74" t="s">
        <v>110</v>
      </c>
      <c r="J1524" s="74" t="s">
        <v>9351</v>
      </c>
      <c r="K1524" s="74" t="s">
        <v>12923</v>
      </c>
      <c r="L1524" s="74" t="s">
        <v>711</v>
      </c>
    </row>
    <row r="1525" spans="1:12" ht="55.2">
      <c r="A1525" s="73">
        <v>1524</v>
      </c>
      <c r="B1525" s="74" t="s">
        <v>12924</v>
      </c>
      <c r="C1525" s="74" t="s">
        <v>12925</v>
      </c>
      <c r="D1525" s="74" t="s">
        <v>41</v>
      </c>
      <c r="E1525" s="74" t="s">
        <v>9395</v>
      </c>
      <c r="F1525" s="74" t="s">
        <v>80</v>
      </c>
      <c r="G1525" s="74" t="s">
        <v>11939</v>
      </c>
      <c r="H1525" s="74" t="s">
        <v>479</v>
      </c>
      <c r="I1525" s="74" t="s">
        <v>47</v>
      </c>
      <c r="J1525" s="74" t="s">
        <v>9351</v>
      </c>
      <c r="K1525" s="74" t="s">
        <v>12926</v>
      </c>
      <c r="L1525" s="74" t="s">
        <v>1916</v>
      </c>
    </row>
    <row r="1526" spans="1:12" ht="41.4">
      <c r="A1526" s="73">
        <v>1525</v>
      </c>
      <c r="B1526" s="74" t="s">
        <v>12927</v>
      </c>
      <c r="C1526" s="74" t="s">
        <v>4352</v>
      </c>
      <c r="D1526" s="74" t="s">
        <v>89</v>
      </c>
      <c r="E1526" s="74" t="s">
        <v>9395</v>
      </c>
      <c r="F1526" s="74" t="s">
        <v>80</v>
      </c>
      <c r="G1526" s="74" t="s">
        <v>12054</v>
      </c>
      <c r="H1526" s="74" t="s">
        <v>102</v>
      </c>
      <c r="I1526" s="74" t="s">
        <v>47</v>
      </c>
      <c r="J1526" s="74" t="s">
        <v>9351</v>
      </c>
      <c r="K1526" s="74" t="s">
        <v>12928</v>
      </c>
      <c r="L1526" s="74" t="s">
        <v>251</v>
      </c>
    </row>
    <row r="1527" spans="1:12" ht="41.4">
      <c r="A1527" s="73">
        <v>1526</v>
      </c>
      <c r="B1527" s="74" t="s">
        <v>12929</v>
      </c>
      <c r="C1527" s="74" t="s">
        <v>12930</v>
      </c>
      <c r="D1527" s="74" t="s">
        <v>153</v>
      </c>
      <c r="E1527" s="74" t="s">
        <v>9395</v>
      </c>
      <c r="F1527" s="74" t="s">
        <v>80</v>
      </c>
      <c r="G1527" s="74" t="s">
        <v>11766</v>
      </c>
      <c r="H1527" s="74" t="s">
        <v>11767</v>
      </c>
      <c r="I1527" s="74" t="s">
        <v>47</v>
      </c>
      <c r="J1527" s="74" t="s">
        <v>9347</v>
      </c>
      <c r="K1527" s="74" t="s">
        <v>12931</v>
      </c>
      <c r="L1527" s="74" t="s">
        <v>318</v>
      </c>
    </row>
    <row r="1528" spans="1:12" ht="55.2">
      <c r="A1528" s="73">
        <v>1527</v>
      </c>
      <c r="B1528" s="74" t="s">
        <v>12932</v>
      </c>
      <c r="C1528" s="74" t="s">
        <v>7138</v>
      </c>
      <c r="D1528" s="74" t="s">
        <v>89</v>
      </c>
      <c r="E1528" s="74" t="s">
        <v>9395</v>
      </c>
      <c r="F1528" s="74" t="s">
        <v>80</v>
      </c>
      <c r="G1528" s="74" t="s">
        <v>12933</v>
      </c>
      <c r="H1528" s="74" t="s">
        <v>102</v>
      </c>
      <c r="I1528" s="74" t="s">
        <v>47</v>
      </c>
      <c r="J1528" s="74" t="s">
        <v>9347</v>
      </c>
      <c r="K1528" s="74"/>
      <c r="L1528" s="74"/>
    </row>
    <row r="1529" spans="1:12" ht="55.2">
      <c r="A1529" s="73">
        <v>1528</v>
      </c>
      <c r="B1529" s="74" t="s">
        <v>12934</v>
      </c>
      <c r="C1529" s="74" t="s">
        <v>7135</v>
      </c>
      <c r="D1529" s="74" t="s">
        <v>89</v>
      </c>
      <c r="E1529" s="74" t="s">
        <v>9395</v>
      </c>
      <c r="F1529" s="74" t="s">
        <v>80</v>
      </c>
      <c r="G1529" s="74" t="s">
        <v>12933</v>
      </c>
      <c r="H1529" s="74" t="s">
        <v>102</v>
      </c>
      <c r="I1529" s="74" t="s">
        <v>47</v>
      </c>
      <c r="J1529" s="74" t="s">
        <v>9347</v>
      </c>
      <c r="K1529" s="74"/>
      <c r="L1529" s="74"/>
    </row>
    <row r="1530" spans="1:12" ht="55.2">
      <c r="A1530" s="73">
        <v>1529</v>
      </c>
      <c r="B1530" s="74" t="s">
        <v>12935</v>
      </c>
      <c r="C1530" s="74" t="s">
        <v>12936</v>
      </c>
      <c r="D1530" s="74" t="s">
        <v>68</v>
      </c>
      <c r="E1530" s="74" t="s">
        <v>9395</v>
      </c>
      <c r="F1530" s="74" t="s">
        <v>80</v>
      </c>
      <c r="G1530" s="74" t="s">
        <v>11818</v>
      </c>
      <c r="H1530" s="74" t="s">
        <v>118</v>
      </c>
      <c r="I1530" s="74" t="s">
        <v>92</v>
      </c>
      <c r="J1530" s="74" t="s">
        <v>9351</v>
      </c>
      <c r="K1530" s="74" t="s">
        <v>12937</v>
      </c>
      <c r="L1530" s="74" t="s">
        <v>1266</v>
      </c>
    </row>
    <row r="1531" spans="1:12" ht="69">
      <c r="A1531" s="73">
        <v>1530</v>
      </c>
      <c r="B1531" s="74" t="s">
        <v>12938</v>
      </c>
      <c r="C1531" s="74" t="s">
        <v>12939</v>
      </c>
      <c r="D1531" s="74" t="s">
        <v>41</v>
      </c>
      <c r="E1531" s="74" t="s">
        <v>9395</v>
      </c>
      <c r="F1531" s="74" t="s">
        <v>80</v>
      </c>
      <c r="G1531" s="74" t="s">
        <v>9982</v>
      </c>
      <c r="H1531" s="74" t="s">
        <v>46</v>
      </c>
      <c r="I1531" s="74" t="s">
        <v>47</v>
      </c>
      <c r="J1531" s="74" t="s">
        <v>9351</v>
      </c>
      <c r="K1531" s="74" t="s">
        <v>12940</v>
      </c>
      <c r="L1531" s="74" t="s">
        <v>331</v>
      </c>
    </row>
    <row r="1532" spans="1:12" ht="55.2">
      <c r="A1532" s="73">
        <v>1531</v>
      </c>
      <c r="B1532" s="74" t="s">
        <v>12941</v>
      </c>
      <c r="C1532" s="74" t="s">
        <v>12942</v>
      </c>
      <c r="D1532" s="74" t="s">
        <v>68</v>
      </c>
      <c r="E1532" s="74" t="s">
        <v>9395</v>
      </c>
      <c r="F1532" s="74" t="s">
        <v>80</v>
      </c>
      <c r="G1532" s="74" t="s">
        <v>11818</v>
      </c>
      <c r="H1532" s="74" t="s">
        <v>118</v>
      </c>
      <c r="I1532" s="74" t="s">
        <v>47</v>
      </c>
      <c r="J1532" s="74" t="s">
        <v>9351</v>
      </c>
      <c r="K1532" s="74"/>
      <c r="L1532" s="74"/>
    </row>
    <row r="1533" spans="1:12" ht="55.2">
      <c r="A1533" s="73">
        <v>1532</v>
      </c>
      <c r="B1533" s="74" t="s">
        <v>12943</v>
      </c>
      <c r="C1533" s="74" t="s">
        <v>12944</v>
      </c>
      <c r="D1533" s="74" t="s">
        <v>89</v>
      </c>
      <c r="E1533" s="74" t="s">
        <v>9395</v>
      </c>
      <c r="F1533" s="74" t="s">
        <v>80</v>
      </c>
      <c r="G1533" s="74" t="s">
        <v>11932</v>
      </c>
      <c r="H1533" s="74" t="s">
        <v>102</v>
      </c>
      <c r="I1533" s="74" t="s">
        <v>110</v>
      </c>
      <c r="J1533" s="74" t="s">
        <v>9351</v>
      </c>
      <c r="K1533" s="74" t="s">
        <v>12945</v>
      </c>
      <c r="L1533" s="74" t="s">
        <v>711</v>
      </c>
    </row>
    <row r="1534" spans="1:12" ht="55.2">
      <c r="A1534" s="73">
        <v>1533</v>
      </c>
      <c r="B1534" s="74" t="s">
        <v>12946</v>
      </c>
      <c r="C1534" s="74" t="s">
        <v>12947</v>
      </c>
      <c r="D1534" s="74" t="s">
        <v>41</v>
      </c>
      <c r="E1534" s="74" t="s">
        <v>9395</v>
      </c>
      <c r="F1534" s="74" t="s">
        <v>80</v>
      </c>
      <c r="G1534" s="74" t="s">
        <v>11939</v>
      </c>
      <c r="H1534" s="74" t="s">
        <v>479</v>
      </c>
      <c r="I1534" s="74" t="s">
        <v>47</v>
      </c>
      <c r="J1534" s="74" t="s">
        <v>9351</v>
      </c>
      <c r="K1534" s="74"/>
      <c r="L1534" s="74"/>
    </row>
    <row r="1535" spans="1:12" ht="55.2">
      <c r="A1535" s="73">
        <v>1534</v>
      </c>
      <c r="B1535" s="74" t="s">
        <v>12948</v>
      </c>
      <c r="C1535" s="74" t="s">
        <v>12949</v>
      </c>
      <c r="D1535" s="74" t="s">
        <v>68</v>
      </c>
      <c r="E1535" s="74" t="s">
        <v>9395</v>
      </c>
      <c r="F1535" s="74" t="s">
        <v>80</v>
      </c>
      <c r="G1535" s="74" t="s">
        <v>11818</v>
      </c>
      <c r="H1535" s="74" t="s">
        <v>118</v>
      </c>
      <c r="I1535" s="74" t="s">
        <v>47</v>
      </c>
      <c r="J1535" s="74" t="s">
        <v>9351</v>
      </c>
      <c r="K1535" s="74" t="s">
        <v>12950</v>
      </c>
      <c r="L1535" s="74" t="s">
        <v>3207</v>
      </c>
    </row>
    <row r="1536" spans="1:12" ht="69">
      <c r="A1536" s="73">
        <v>1535</v>
      </c>
      <c r="B1536" s="74" t="s">
        <v>12951</v>
      </c>
      <c r="C1536" s="74" t="s">
        <v>12952</v>
      </c>
      <c r="D1536" s="74" t="s">
        <v>41</v>
      </c>
      <c r="E1536" s="74" t="s">
        <v>9395</v>
      </c>
      <c r="F1536" s="74" t="s">
        <v>80</v>
      </c>
      <c r="G1536" s="74" t="s">
        <v>12167</v>
      </c>
      <c r="H1536" s="74" t="s">
        <v>46</v>
      </c>
      <c r="I1536" s="74" t="s">
        <v>47</v>
      </c>
      <c r="J1536" s="74" t="s">
        <v>9351</v>
      </c>
      <c r="K1536" s="74" t="s">
        <v>12953</v>
      </c>
      <c r="L1536" s="74" t="s">
        <v>331</v>
      </c>
    </row>
    <row r="1537" spans="1:12" ht="69">
      <c r="A1537" s="73">
        <v>1536</v>
      </c>
      <c r="B1537" s="74" t="s">
        <v>12954</v>
      </c>
      <c r="C1537" s="74" t="s">
        <v>12955</v>
      </c>
      <c r="D1537" s="74" t="s">
        <v>89</v>
      </c>
      <c r="E1537" s="74" t="s">
        <v>9395</v>
      </c>
      <c r="F1537" s="74" t="s">
        <v>80</v>
      </c>
      <c r="G1537" s="74" t="s">
        <v>9998</v>
      </c>
      <c r="H1537" s="74" t="s">
        <v>91</v>
      </c>
      <c r="I1537" s="74" t="s">
        <v>110</v>
      </c>
      <c r="J1537" s="74" t="s">
        <v>9351</v>
      </c>
      <c r="K1537" s="74" t="s">
        <v>12956</v>
      </c>
      <c r="L1537" s="74" t="s">
        <v>711</v>
      </c>
    </row>
    <row r="1538" spans="1:12" ht="69">
      <c r="A1538" s="73">
        <v>1537</v>
      </c>
      <c r="B1538" s="74" t="s">
        <v>12957</v>
      </c>
      <c r="C1538" s="74" t="s">
        <v>12958</v>
      </c>
      <c r="D1538" s="74" t="s">
        <v>68</v>
      </c>
      <c r="E1538" s="74" t="s">
        <v>9395</v>
      </c>
      <c r="F1538" s="74" t="s">
        <v>80</v>
      </c>
      <c r="G1538" s="74" t="s">
        <v>11746</v>
      </c>
      <c r="H1538" s="74" t="s">
        <v>91</v>
      </c>
      <c r="I1538" s="74" t="s">
        <v>92</v>
      </c>
      <c r="J1538" s="74" t="s">
        <v>9351</v>
      </c>
      <c r="K1538" s="74" t="s">
        <v>12959</v>
      </c>
      <c r="L1538" s="74" t="s">
        <v>3207</v>
      </c>
    </row>
    <row r="1539" spans="1:12" ht="55.2">
      <c r="A1539" s="73">
        <v>1538</v>
      </c>
      <c r="B1539" s="74" t="s">
        <v>12960</v>
      </c>
      <c r="C1539" s="74" t="s">
        <v>12961</v>
      </c>
      <c r="D1539" s="74" t="s">
        <v>143</v>
      </c>
      <c r="E1539" s="74" t="s">
        <v>9395</v>
      </c>
      <c r="F1539" s="74" t="s">
        <v>80</v>
      </c>
      <c r="G1539" s="74" t="s">
        <v>12307</v>
      </c>
      <c r="H1539" s="74" t="s">
        <v>145</v>
      </c>
      <c r="I1539" s="74" t="s">
        <v>47</v>
      </c>
      <c r="J1539" s="74" t="s">
        <v>9351</v>
      </c>
      <c r="K1539" s="74" t="s">
        <v>12962</v>
      </c>
      <c r="L1539" s="74" t="s">
        <v>251</v>
      </c>
    </row>
    <row r="1540" spans="1:12" ht="55.2">
      <c r="A1540" s="73">
        <v>1539</v>
      </c>
      <c r="B1540" s="74" t="s">
        <v>12963</v>
      </c>
      <c r="C1540" s="74" t="s">
        <v>12964</v>
      </c>
      <c r="D1540" s="74" t="s">
        <v>143</v>
      </c>
      <c r="E1540" s="74" t="s">
        <v>9395</v>
      </c>
      <c r="F1540" s="74" t="s">
        <v>80</v>
      </c>
      <c r="G1540" s="74" t="s">
        <v>11997</v>
      </c>
      <c r="H1540" s="74" t="s">
        <v>327</v>
      </c>
      <c r="I1540" s="74" t="s">
        <v>47</v>
      </c>
      <c r="J1540" s="74" t="s">
        <v>9347</v>
      </c>
      <c r="K1540" s="74"/>
      <c r="L1540" s="74"/>
    </row>
    <row r="1541" spans="1:12" ht="55.2">
      <c r="A1541" s="73">
        <v>1540</v>
      </c>
      <c r="B1541" s="74" t="s">
        <v>12965</v>
      </c>
      <c r="C1541" s="74" t="s">
        <v>12966</v>
      </c>
      <c r="D1541" s="74" t="s">
        <v>143</v>
      </c>
      <c r="E1541" s="74" t="s">
        <v>9395</v>
      </c>
      <c r="F1541" s="74" t="s">
        <v>80</v>
      </c>
      <c r="G1541" s="74" t="s">
        <v>12394</v>
      </c>
      <c r="H1541" s="74" t="s">
        <v>327</v>
      </c>
      <c r="I1541" s="74" t="s">
        <v>47</v>
      </c>
      <c r="J1541" s="74" t="s">
        <v>9351</v>
      </c>
      <c r="K1541" s="74"/>
      <c r="L1541" s="74"/>
    </row>
    <row r="1542" spans="1:12" ht="69">
      <c r="A1542" s="73">
        <v>1541</v>
      </c>
      <c r="B1542" s="74" t="s">
        <v>12967</v>
      </c>
      <c r="C1542" s="74" t="s">
        <v>6841</v>
      </c>
      <c r="D1542" s="74" t="s">
        <v>68</v>
      </c>
      <c r="E1542" s="74" t="s">
        <v>9395</v>
      </c>
      <c r="F1542" s="74" t="s">
        <v>80</v>
      </c>
      <c r="G1542" s="74" t="s">
        <v>11746</v>
      </c>
      <c r="H1542" s="74" t="s">
        <v>91</v>
      </c>
      <c r="I1542" s="74" t="s">
        <v>47</v>
      </c>
      <c r="J1542" s="74" t="s">
        <v>9351</v>
      </c>
      <c r="K1542" s="74" t="s">
        <v>12968</v>
      </c>
      <c r="L1542" s="74" t="s">
        <v>3207</v>
      </c>
    </row>
    <row r="1543" spans="1:12" ht="27.6">
      <c r="A1543" s="73">
        <v>1542</v>
      </c>
      <c r="B1543" s="74" t="s">
        <v>12969</v>
      </c>
      <c r="C1543" s="74" t="s">
        <v>12970</v>
      </c>
      <c r="D1543" s="74" t="s">
        <v>89</v>
      </c>
      <c r="E1543" s="74" t="s">
        <v>9395</v>
      </c>
      <c r="F1543" s="74" t="s">
        <v>80</v>
      </c>
      <c r="G1543" s="74" t="s">
        <v>10054</v>
      </c>
      <c r="H1543" s="74" t="s">
        <v>102</v>
      </c>
      <c r="I1543" s="74" t="s">
        <v>110</v>
      </c>
      <c r="J1543" s="74" t="s">
        <v>9351</v>
      </c>
      <c r="K1543" s="74" t="s">
        <v>12971</v>
      </c>
      <c r="L1543" s="74" t="s">
        <v>251</v>
      </c>
    </row>
    <row r="1544" spans="1:12" ht="55.2">
      <c r="A1544" s="73">
        <v>1543</v>
      </c>
      <c r="B1544" s="74" t="s">
        <v>12972</v>
      </c>
      <c r="C1544" s="74" t="s">
        <v>12973</v>
      </c>
      <c r="D1544" s="74" t="s">
        <v>68</v>
      </c>
      <c r="E1544" s="74" t="s">
        <v>9395</v>
      </c>
      <c r="F1544" s="74" t="s">
        <v>80</v>
      </c>
      <c r="G1544" s="74" t="s">
        <v>11818</v>
      </c>
      <c r="H1544" s="74" t="s">
        <v>118</v>
      </c>
      <c r="I1544" s="74" t="s">
        <v>416</v>
      </c>
      <c r="J1544" s="74" t="s">
        <v>9351</v>
      </c>
      <c r="K1544" s="74" t="s">
        <v>12974</v>
      </c>
      <c r="L1544" s="74" t="s">
        <v>1266</v>
      </c>
    </row>
    <row r="1545" spans="1:12" ht="55.2">
      <c r="A1545" s="73">
        <v>1544</v>
      </c>
      <c r="B1545" s="74" t="s">
        <v>12975</v>
      </c>
      <c r="C1545" s="74" t="s">
        <v>12976</v>
      </c>
      <c r="D1545" s="74" t="s">
        <v>89</v>
      </c>
      <c r="E1545" s="74" t="s">
        <v>9395</v>
      </c>
      <c r="F1545" s="74" t="s">
        <v>80</v>
      </c>
      <c r="G1545" s="74" t="s">
        <v>12367</v>
      </c>
      <c r="H1545" s="74" t="s">
        <v>118</v>
      </c>
      <c r="I1545" s="74" t="s">
        <v>47</v>
      </c>
      <c r="J1545" s="74" t="s">
        <v>9351</v>
      </c>
      <c r="K1545" s="74" t="s">
        <v>12977</v>
      </c>
      <c r="L1545" s="74" t="s">
        <v>251</v>
      </c>
    </row>
    <row r="1546" spans="1:12" ht="41.4">
      <c r="A1546" s="73">
        <v>1545</v>
      </c>
      <c r="B1546" s="74" t="s">
        <v>12978</v>
      </c>
      <c r="C1546" s="74" t="s">
        <v>12979</v>
      </c>
      <c r="D1546" s="74" t="s">
        <v>89</v>
      </c>
      <c r="E1546" s="74" t="s">
        <v>9395</v>
      </c>
      <c r="F1546" s="74" t="s">
        <v>80</v>
      </c>
      <c r="G1546" s="74" t="s">
        <v>12271</v>
      </c>
      <c r="H1546" s="74" t="s">
        <v>102</v>
      </c>
      <c r="I1546" s="74" t="s">
        <v>110</v>
      </c>
      <c r="J1546" s="74" t="s">
        <v>9351</v>
      </c>
      <c r="K1546" s="74" t="s">
        <v>12980</v>
      </c>
      <c r="L1546" s="74" t="s">
        <v>251</v>
      </c>
    </row>
    <row r="1547" spans="1:12" ht="55.2">
      <c r="A1547" s="73">
        <v>1546</v>
      </c>
      <c r="B1547" s="74" t="s">
        <v>12981</v>
      </c>
      <c r="C1547" s="74" t="s">
        <v>12982</v>
      </c>
      <c r="D1547" s="74" t="s">
        <v>89</v>
      </c>
      <c r="E1547" s="74" t="s">
        <v>9395</v>
      </c>
      <c r="F1547" s="74" t="s">
        <v>80</v>
      </c>
      <c r="G1547" s="74" t="s">
        <v>12367</v>
      </c>
      <c r="H1547" s="74" t="s">
        <v>118</v>
      </c>
      <c r="I1547" s="74" t="s">
        <v>47</v>
      </c>
      <c r="J1547" s="74" t="s">
        <v>9351</v>
      </c>
      <c r="K1547" s="74"/>
      <c r="L1547" s="74"/>
    </row>
    <row r="1548" spans="1:12" ht="55.2">
      <c r="A1548" s="73">
        <v>1547</v>
      </c>
      <c r="B1548" s="74" t="s">
        <v>12983</v>
      </c>
      <c r="C1548" s="74" t="s">
        <v>3575</v>
      </c>
      <c r="D1548" s="74" t="s">
        <v>89</v>
      </c>
      <c r="E1548" s="74" t="s">
        <v>9395</v>
      </c>
      <c r="F1548" s="74" t="s">
        <v>80</v>
      </c>
      <c r="G1548" s="74" t="s">
        <v>9445</v>
      </c>
      <c r="H1548" s="74" t="s">
        <v>102</v>
      </c>
      <c r="I1548" s="74" t="s">
        <v>47</v>
      </c>
      <c r="J1548" s="74" t="s">
        <v>9351</v>
      </c>
      <c r="K1548" s="74" t="s">
        <v>12984</v>
      </c>
      <c r="L1548" s="74" t="s">
        <v>251</v>
      </c>
    </row>
    <row r="1549" spans="1:12" ht="55.2">
      <c r="A1549" s="73">
        <v>1548</v>
      </c>
      <c r="B1549" s="74" t="s">
        <v>12985</v>
      </c>
      <c r="C1549" s="74" t="s">
        <v>12986</v>
      </c>
      <c r="D1549" s="74" t="s">
        <v>153</v>
      </c>
      <c r="E1549" s="74" t="s">
        <v>9395</v>
      </c>
      <c r="F1549" s="74" t="s">
        <v>80</v>
      </c>
      <c r="G1549" s="74" t="s">
        <v>11766</v>
      </c>
      <c r="H1549" s="74" t="s">
        <v>11767</v>
      </c>
      <c r="I1549" s="74" t="s">
        <v>47</v>
      </c>
      <c r="J1549" s="74" t="s">
        <v>9351</v>
      </c>
      <c r="K1549" s="74" t="s">
        <v>12987</v>
      </c>
      <c r="L1549" s="74" t="s">
        <v>701</v>
      </c>
    </row>
    <row r="1550" spans="1:12" ht="69">
      <c r="A1550" s="73">
        <v>1549</v>
      </c>
      <c r="B1550" s="74" t="s">
        <v>12988</v>
      </c>
      <c r="C1550" s="74" t="s">
        <v>7685</v>
      </c>
      <c r="D1550" s="74" t="s">
        <v>143</v>
      </c>
      <c r="E1550" s="74" t="s">
        <v>9395</v>
      </c>
      <c r="F1550" s="74" t="s">
        <v>80</v>
      </c>
      <c r="G1550" s="74" t="s">
        <v>11965</v>
      </c>
      <c r="H1550" s="74" t="s">
        <v>220</v>
      </c>
      <c r="I1550" s="74" t="s">
        <v>47</v>
      </c>
      <c r="J1550" s="74" t="s">
        <v>9351</v>
      </c>
      <c r="K1550" s="74"/>
      <c r="L1550" s="74"/>
    </row>
    <row r="1551" spans="1:12" ht="69">
      <c r="A1551" s="73">
        <v>1550</v>
      </c>
      <c r="B1551" s="74" t="s">
        <v>12989</v>
      </c>
      <c r="C1551" s="74" t="s">
        <v>12990</v>
      </c>
      <c r="D1551" s="74" t="s">
        <v>41</v>
      </c>
      <c r="E1551" s="74" t="s">
        <v>9395</v>
      </c>
      <c r="F1551" s="74" t="s">
        <v>80</v>
      </c>
      <c r="G1551" s="74" t="s">
        <v>12167</v>
      </c>
      <c r="H1551" s="74" t="s">
        <v>46</v>
      </c>
      <c r="I1551" s="74" t="s">
        <v>47</v>
      </c>
      <c r="J1551" s="74" t="s">
        <v>9351</v>
      </c>
      <c r="K1551" s="74"/>
      <c r="L1551" s="74"/>
    </row>
    <row r="1552" spans="1:12" ht="41.4">
      <c r="A1552" s="73">
        <v>1551</v>
      </c>
      <c r="B1552" s="74" t="s">
        <v>12991</v>
      </c>
      <c r="C1552" s="74" t="s">
        <v>12992</v>
      </c>
      <c r="D1552" s="74" t="s">
        <v>153</v>
      </c>
      <c r="E1552" s="74" t="s">
        <v>9395</v>
      </c>
      <c r="F1552" s="74" t="s">
        <v>80</v>
      </c>
      <c r="G1552" s="74" t="s">
        <v>11851</v>
      </c>
      <c r="H1552" s="74" t="s">
        <v>11767</v>
      </c>
      <c r="I1552" s="74" t="s">
        <v>47</v>
      </c>
      <c r="J1552" s="74" t="s">
        <v>9351</v>
      </c>
      <c r="K1552" s="74"/>
      <c r="L1552" s="74"/>
    </row>
    <row r="1553" spans="1:12" ht="41.4">
      <c r="A1553" s="73">
        <v>1552</v>
      </c>
      <c r="B1553" s="74" t="s">
        <v>12993</v>
      </c>
      <c r="C1553" s="74" t="s">
        <v>12994</v>
      </c>
      <c r="D1553" s="74" t="s">
        <v>89</v>
      </c>
      <c r="E1553" s="74" t="s">
        <v>9395</v>
      </c>
      <c r="F1553" s="74" t="s">
        <v>80</v>
      </c>
      <c r="G1553" s="74" t="s">
        <v>12054</v>
      </c>
      <c r="H1553" s="74" t="s">
        <v>102</v>
      </c>
      <c r="I1553" s="74" t="s">
        <v>47</v>
      </c>
      <c r="J1553" s="74" t="s">
        <v>9351</v>
      </c>
      <c r="K1553" s="74" t="s">
        <v>12995</v>
      </c>
      <c r="L1553" s="74" t="s">
        <v>251</v>
      </c>
    </row>
    <row r="1554" spans="1:12" ht="69">
      <c r="A1554" s="73">
        <v>1553</v>
      </c>
      <c r="B1554" s="74" t="s">
        <v>12996</v>
      </c>
      <c r="C1554" s="74" t="s">
        <v>12997</v>
      </c>
      <c r="D1554" s="74" t="s">
        <v>89</v>
      </c>
      <c r="E1554" s="74" t="s">
        <v>9395</v>
      </c>
      <c r="F1554" s="74" t="s">
        <v>80</v>
      </c>
      <c r="G1554" s="74" t="s">
        <v>9998</v>
      </c>
      <c r="H1554" s="74" t="s">
        <v>91</v>
      </c>
      <c r="I1554" s="74" t="s">
        <v>47</v>
      </c>
      <c r="J1554" s="74" t="s">
        <v>9351</v>
      </c>
      <c r="K1554" s="74"/>
      <c r="L1554" s="74"/>
    </row>
    <row r="1555" spans="1:12" ht="41.4">
      <c r="A1555" s="73">
        <v>1554</v>
      </c>
      <c r="B1555" s="74" t="s">
        <v>12998</v>
      </c>
      <c r="C1555" s="74" t="s">
        <v>12999</v>
      </c>
      <c r="D1555" s="74" t="s">
        <v>89</v>
      </c>
      <c r="E1555" s="74" t="s">
        <v>9395</v>
      </c>
      <c r="F1555" s="74" t="s">
        <v>80</v>
      </c>
      <c r="G1555" s="74" t="s">
        <v>10054</v>
      </c>
      <c r="H1555" s="74" t="s">
        <v>102</v>
      </c>
      <c r="I1555" s="74" t="s">
        <v>47</v>
      </c>
      <c r="J1555" s="74" t="s">
        <v>9351</v>
      </c>
      <c r="K1555" s="74" t="s">
        <v>13000</v>
      </c>
      <c r="L1555" s="74" t="s">
        <v>711</v>
      </c>
    </row>
    <row r="1556" spans="1:12" ht="69">
      <c r="A1556" s="73">
        <v>1555</v>
      </c>
      <c r="B1556" s="74" t="s">
        <v>13001</v>
      </c>
      <c r="C1556" s="74" t="s">
        <v>13002</v>
      </c>
      <c r="D1556" s="74" t="s">
        <v>41</v>
      </c>
      <c r="E1556" s="74" t="s">
        <v>9395</v>
      </c>
      <c r="F1556" s="74" t="s">
        <v>80</v>
      </c>
      <c r="G1556" s="74" t="s">
        <v>12167</v>
      </c>
      <c r="H1556" s="74" t="s">
        <v>46</v>
      </c>
      <c r="I1556" s="74" t="s">
        <v>47</v>
      </c>
      <c r="J1556" s="74" t="s">
        <v>9351</v>
      </c>
      <c r="K1556" s="74"/>
      <c r="L1556" s="74"/>
    </row>
    <row r="1557" spans="1:12" ht="55.2">
      <c r="A1557" s="73">
        <v>1556</v>
      </c>
      <c r="B1557" s="74" t="s">
        <v>13003</v>
      </c>
      <c r="C1557" s="74" t="s">
        <v>13004</v>
      </c>
      <c r="D1557" s="74" t="s">
        <v>143</v>
      </c>
      <c r="E1557" s="74" t="s">
        <v>9395</v>
      </c>
      <c r="F1557" s="74" t="s">
        <v>80</v>
      </c>
      <c r="G1557" s="74" t="s">
        <v>12394</v>
      </c>
      <c r="H1557" s="74" t="s">
        <v>327</v>
      </c>
      <c r="I1557" s="74" t="s">
        <v>47</v>
      </c>
      <c r="J1557" s="74" t="s">
        <v>9351</v>
      </c>
      <c r="K1557" s="74" t="s">
        <v>13005</v>
      </c>
      <c r="L1557" s="74" t="s">
        <v>251</v>
      </c>
    </row>
    <row r="1558" spans="1:12" ht="69">
      <c r="A1558" s="73">
        <v>1557</v>
      </c>
      <c r="B1558" s="74" t="s">
        <v>13006</v>
      </c>
      <c r="C1558" s="74" t="s">
        <v>13007</v>
      </c>
      <c r="D1558" s="74" t="s">
        <v>89</v>
      </c>
      <c r="E1558" s="74" t="s">
        <v>9395</v>
      </c>
      <c r="F1558" s="74" t="s">
        <v>80</v>
      </c>
      <c r="G1558" s="74" t="s">
        <v>9998</v>
      </c>
      <c r="H1558" s="74" t="s">
        <v>91</v>
      </c>
      <c r="I1558" s="74" t="s">
        <v>47</v>
      </c>
      <c r="J1558" s="74" t="s">
        <v>9351</v>
      </c>
      <c r="K1558" s="74"/>
      <c r="L1558" s="74"/>
    </row>
    <row r="1559" spans="1:12" ht="55.2">
      <c r="A1559" s="73">
        <v>1558</v>
      </c>
      <c r="B1559" s="74" t="s">
        <v>13008</v>
      </c>
      <c r="C1559" s="74" t="s">
        <v>7627</v>
      </c>
      <c r="D1559" s="74" t="s">
        <v>143</v>
      </c>
      <c r="E1559" s="74" t="s">
        <v>9395</v>
      </c>
      <c r="F1559" s="74" t="s">
        <v>80</v>
      </c>
      <c r="G1559" s="74" t="s">
        <v>12096</v>
      </c>
      <c r="H1559" s="74" t="s">
        <v>327</v>
      </c>
      <c r="I1559" s="74" t="s">
        <v>47</v>
      </c>
      <c r="J1559" s="74" t="s">
        <v>9351</v>
      </c>
      <c r="K1559" s="74" t="s">
        <v>13009</v>
      </c>
      <c r="L1559" s="74" t="s">
        <v>370</v>
      </c>
    </row>
    <row r="1560" spans="1:12" ht="41.4">
      <c r="A1560" s="73">
        <v>1559</v>
      </c>
      <c r="B1560" s="74" t="s">
        <v>13010</v>
      </c>
      <c r="C1560" s="74" t="s">
        <v>13011</v>
      </c>
      <c r="D1560" s="74" t="s">
        <v>89</v>
      </c>
      <c r="E1560" s="74" t="s">
        <v>9395</v>
      </c>
      <c r="F1560" s="74" t="s">
        <v>80</v>
      </c>
      <c r="G1560" s="74" t="s">
        <v>11932</v>
      </c>
      <c r="H1560" s="74" t="s">
        <v>102</v>
      </c>
      <c r="I1560" s="74" t="s">
        <v>110</v>
      </c>
      <c r="J1560" s="74" t="s">
        <v>9351</v>
      </c>
      <c r="K1560" s="74" t="s">
        <v>13012</v>
      </c>
      <c r="L1560" s="74" t="s">
        <v>251</v>
      </c>
    </row>
    <row r="1561" spans="1:12" ht="69">
      <c r="A1561" s="73">
        <v>1560</v>
      </c>
      <c r="B1561" s="74" t="s">
        <v>13013</v>
      </c>
      <c r="C1561" s="74" t="s">
        <v>13014</v>
      </c>
      <c r="D1561" s="74" t="s">
        <v>89</v>
      </c>
      <c r="E1561" s="74" t="s">
        <v>9395</v>
      </c>
      <c r="F1561" s="74" t="s">
        <v>80</v>
      </c>
      <c r="G1561" s="74" t="s">
        <v>11735</v>
      </c>
      <c r="H1561" s="74" t="s">
        <v>91</v>
      </c>
      <c r="I1561" s="74" t="s">
        <v>47</v>
      </c>
      <c r="J1561" s="74" t="s">
        <v>9351</v>
      </c>
      <c r="K1561" s="74" t="s">
        <v>13015</v>
      </c>
      <c r="L1561" s="74" t="s">
        <v>897</v>
      </c>
    </row>
    <row r="1562" spans="1:12" ht="69">
      <c r="A1562" s="73">
        <v>1561</v>
      </c>
      <c r="B1562" s="74" t="s">
        <v>13016</v>
      </c>
      <c r="C1562" s="74" t="s">
        <v>7645</v>
      </c>
      <c r="D1562" s="74" t="s">
        <v>41</v>
      </c>
      <c r="E1562" s="74" t="s">
        <v>9395</v>
      </c>
      <c r="F1562" s="74" t="s">
        <v>80</v>
      </c>
      <c r="G1562" s="74" t="s">
        <v>13017</v>
      </c>
      <c r="H1562" s="74" t="s">
        <v>46</v>
      </c>
      <c r="I1562" s="74" t="s">
        <v>47</v>
      </c>
      <c r="J1562" s="74" t="s">
        <v>9351</v>
      </c>
      <c r="K1562" s="74" t="s">
        <v>13018</v>
      </c>
      <c r="L1562" s="74" t="s">
        <v>897</v>
      </c>
    </row>
    <row r="1563" spans="1:12" ht="69">
      <c r="A1563" s="73">
        <v>1562</v>
      </c>
      <c r="B1563" s="74" t="s">
        <v>13019</v>
      </c>
      <c r="C1563" s="74" t="s">
        <v>13020</v>
      </c>
      <c r="D1563" s="74" t="s">
        <v>41</v>
      </c>
      <c r="E1563" s="74" t="s">
        <v>9395</v>
      </c>
      <c r="F1563" s="74" t="s">
        <v>80</v>
      </c>
      <c r="G1563" s="74" t="s">
        <v>9982</v>
      </c>
      <c r="H1563" s="74" t="s">
        <v>46</v>
      </c>
      <c r="I1563" s="74" t="s">
        <v>47</v>
      </c>
      <c r="J1563" s="74" t="s">
        <v>9351</v>
      </c>
      <c r="K1563" s="74" t="s">
        <v>13021</v>
      </c>
      <c r="L1563" s="74" t="s">
        <v>331</v>
      </c>
    </row>
    <row r="1564" spans="1:12" ht="55.2">
      <c r="A1564" s="73">
        <v>1563</v>
      </c>
      <c r="B1564" s="74" t="s">
        <v>13022</v>
      </c>
      <c r="C1564" s="74" t="s">
        <v>13023</v>
      </c>
      <c r="D1564" s="74" t="s">
        <v>295</v>
      </c>
      <c r="E1564" s="74" t="s">
        <v>9395</v>
      </c>
      <c r="F1564" s="74" t="s">
        <v>80</v>
      </c>
      <c r="G1564" s="74" t="s">
        <v>12129</v>
      </c>
      <c r="H1564" s="74" t="s">
        <v>297</v>
      </c>
      <c r="I1564" s="74" t="s">
        <v>47</v>
      </c>
      <c r="J1564" s="74" t="s">
        <v>9351</v>
      </c>
      <c r="K1564" s="74"/>
      <c r="L1564" s="74"/>
    </row>
    <row r="1565" spans="1:12" ht="69">
      <c r="A1565" s="73">
        <v>1564</v>
      </c>
      <c r="B1565" s="74" t="s">
        <v>13024</v>
      </c>
      <c r="C1565" s="74" t="s">
        <v>13025</v>
      </c>
      <c r="D1565" s="74" t="s">
        <v>41</v>
      </c>
      <c r="E1565" s="74" t="s">
        <v>9395</v>
      </c>
      <c r="F1565" s="74" t="s">
        <v>80</v>
      </c>
      <c r="G1565" s="74" t="s">
        <v>12092</v>
      </c>
      <c r="H1565" s="74" t="s">
        <v>46</v>
      </c>
      <c r="I1565" s="74" t="s">
        <v>47</v>
      </c>
      <c r="J1565" s="74" t="s">
        <v>9351</v>
      </c>
      <c r="K1565" s="74"/>
      <c r="L1565" s="74"/>
    </row>
    <row r="1566" spans="1:12" ht="55.2">
      <c r="A1566" s="73">
        <v>1565</v>
      </c>
      <c r="B1566" s="74" t="s">
        <v>13026</v>
      </c>
      <c r="C1566" s="74" t="s">
        <v>13027</v>
      </c>
      <c r="D1566" s="74" t="s">
        <v>89</v>
      </c>
      <c r="E1566" s="74" t="s">
        <v>9395</v>
      </c>
      <c r="F1566" s="74" t="s">
        <v>80</v>
      </c>
      <c r="G1566" s="74" t="s">
        <v>10054</v>
      </c>
      <c r="H1566" s="74" t="s">
        <v>102</v>
      </c>
      <c r="I1566" s="74" t="s">
        <v>47</v>
      </c>
      <c r="J1566" s="74" t="s">
        <v>9351</v>
      </c>
      <c r="K1566" s="74"/>
      <c r="L1566" s="74"/>
    </row>
    <row r="1567" spans="1:12" ht="69">
      <c r="A1567" s="73">
        <v>1566</v>
      </c>
      <c r="B1567" s="74" t="s">
        <v>13028</v>
      </c>
      <c r="C1567" s="74" t="s">
        <v>13029</v>
      </c>
      <c r="D1567" s="74" t="s">
        <v>41</v>
      </c>
      <c r="E1567" s="74" t="s">
        <v>9395</v>
      </c>
      <c r="F1567" s="74" t="s">
        <v>80</v>
      </c>
      <c r="G1567" s="74" t="s">
        <v>11795</v>
      </c>
      <c r="H1567" s="74" t="s">
        <v>46</v>
      </c>
      <c r="I1567" s="74" t="s">
        <v>47</v>
      </c>
      <c r="J1567" s="74" t="s">
        <v>9351</v>
      </c>
      <c r="K1567" s="74" t="s">
        <v>13030</v>
      </c>
      <c r="L1567" s="74" t="s">
        <v>331</v>
      </c>
    </row>
    <row r="1568" spans="1:12" ht="41.4">
      <c r="A1568" s="73">
        <v>1567</v>
      </c>
      <c r="B1568" s="74" t="s">
        <v>13031</v>
      </c>
      <c r="C1568" s="74" t="s">
        <v>13032</v>
      </c>
      <c r="D1568" s="74" t="s">
        <v>89</v>
      </c>
      <c r="E1568" s="74" t="s">
        <v>9395</v>
      </c>
      <c r="F1568" s="74" t="s">
        <v>80</v>
      </c>
      <c r="G1568" s="74" t="s">
        <v>11928</v>
      </c>
      <c r="H1568" s="74" t="s">
        <v>102</v>
      </c>
      <c r="I1568" s="74" t="s">
        <v>92</v>
      </c>
      <c r="J1568" s="74" t="s">
        <v>9351</v>
      </c>
      <c r="K1568" s="74" t="s">
        <v>13033</v>
      </c>
      <c r="L1568" s="74" t="s">
        <v>711</v>
      </c>
    </row>
    <row r="1569" spans="1:12" ht="55.2">
      <c r="A1569" s="73">
        <v>1568</v>
      </c>
      <c r="B1569" s="74" t="s">
        <v>13034</v>
      </c>
      <c r="C1569" s="74" t="s">
        <v>13035</v>
      </c>
      <c r="D1569" s="74" t="s">
        <v>143</v>
      </c>
      <c r="E1569" s="74" t="s">
        <v>9395</v>
      </c>
      <c r="F1569" s="74" t="s">
        <v>80</v>
      </c>
      <c r="G1569" s="74" t="s">
        <v>11997</v>
      </c>
      <c r="H1569" s="74" t="s">
        <v>327</v>
      </c>
      <c r="I1569" s="74" t="s">
        <v>47</v>
      </c>
      <c r="J1569" s="74" t="s">
        <v>9811</v>
      </c>
      <c r="K1569" s="74" t="s">
        <v>13036</v>
      </c>
      <c r="L1569" s="74" t="s">
        <v>370</v>
      </c>
    </row>
    <row r="1570" spans="1:12" ht="55.2">
      <c r="A1570" s="73">
        <v>1569</v>
      </c>
      <c r="B1570" s="74" t="s">
        <v>13037</v>
      </c>
      <c r="C1570" s="74" t="s">
        <v>13038</v>
      </c>
      <c r="D1570" s="74" t="s">
        <v>295</v>
      </c>
      <c r="E1570" s="74" t="s">
        <v>9395</v>
      </c>
      <c r="F1570" s="74" t="s">
        <v>80</v>
      </c>
      <c r="G1570" s="74" t="s">
        <v>11950</v>
      </c>
      <c r="H1570" s="74" t="s">
        <v>297</v>
      </c>
      <c r="I1570" s="74" t="s">
        <v>47</v>
      </c>
      <c r="J1570" s="74" t="s">
        <v>9351</v>
      </c>
      <c r="K1570" s="74" t="s">
        <v>13039</v>
      </c>
      <c r="L1570" s="74" t="s">
        <v>897</v>
      </c>
    </row>
    <row r="1571" spans="1:12" ht="69">
      <c r="A1571" s="73">
        <v>1570</v>
      </c>
      <c r="B1571" s="74" t="s">
        <v>13040</v>
      </c>
      <c r="C1571" s="74" t="s">
        <v>13041</v>
      </c>
      <c r="D1571" s="74" t="s">
        <v>41</v>
      </c>
      <c r="E1571" s="74" t="s">
        <v>9395</v>
      </c>
      <c r="F1571" s="74" t="s">
        <v>80</v>
      </c>
      <c r="G1571" s="74" t="s">
        <v>11795</v>
      </c>
      <c r="H1571" s="74" t="s">
        <v>46</v>
      </c>
      <c r="I1571" s="74" t="s">
        <v>47</v>
      </c>
      <c r="J1571" s="74" t="s">
        <v>9351</v>
      </c>
      <c r="K1571" s="74" t="s">
        <v>13042</v>
      </c>
      <c r="L1571" s="74" t="s">
        <v>331</v>
      </c>
    </row>
    <row r="1572" spans="1:12" ht="55.2">
      <c r="A1572" s="73">
        <v>1571</v>
      </c>
      <c r="B1572" s="74" t="s">
        <v>13043</v>
      </c>
      <c r="C1572" s="74" t="s">
        <v>13044</v>
      </c>
      <c r="D1572" s="74" t="s">
        <v>89</v>
      </c>
      <c r="E1572" s="74" t="s">
        <v>9395</v>
      </c>
      <c r="F1572" s="74" t="s">
        <v>80</v>
      </c>
      <c r="G1572" s="74" t="s">
        <v>9503</v>
      </c>
      <c r="H1572" s="74" t="s">
        <v>102</v>
      </c>
      <c r="I1572" s="74" t="s">
        <v>110</v>
      </c>
      <c r="J1572" s="74" t="s">
        <v>9351</v>
      </c>
      <c r="K1572" s="74" t="s">
        <v>13045</v>
      </c>
      <c r="L1572" s="74" t="s">
        <v>251</v>
      </c>
    </row>
    <row r="1573" spans="1:12" ht="41.4">
      <c r="A1573" s="73">
        <v>1572</v>
      </c>
      <c r="B1573" s="74" t="s">
        <v>13046</v>
      </c>
      <c r="C1573" s="74" t="s">
        <v>13047</v>
      </c>
      <c r="D1573" s="74" t="s">
        <v>68</v>
      </c>
      <c r="E1573" s="74" t="s">
        <v>9395</v>
      </c>
      <c r="F1573" s="74" t="s">
        <v>80</v>
      </c>
      <c r="G1573" s="74" t="s">
        <v>11915</v>
      </c>
      <c r="H1573" s="74" t="s">
        <v>297</v>
      </c>
      <c r="I1573" s="74" t="s">
        <v>47</v>
      </c>
      <c r="J1573" s="74" t="s">
        <v>9347</v>
      </c>
      <c r="K1573" s="74"/>
      <c r="L1573" s="74"/>
    </row>
    <row r="1574" spans="1:12" ht="41.4">
      <c r="A1574" s="73">
        <v>1573</v>
      </c>
      <c r="B1574" s="74" t="s">
        <v>13048</v>
      </c>
      <c r="C1574" s="74" t="s">
        <v>13049</v>
      </c>
      <c r="D1574" s="74" t="s">
        <v>295</v>
      </c>
      <c r="E1574" s="74" t="s">
        <v>9395</v>
      </c>
      <c r="F1574" s="74" t="s">
        <v>80</v>
      </c>
      <c r="G1574" s="74" t="s">
        <v>11950</v>
      </c>
      <c r="H1574" s="74" t="s">
        <v>297</v>
      </c>
      <c r="I1574" s="74" t="s">
        <v>47</v>
      </c>
      <c r="J1574" s="74" t="s">
        <v>9351</v>
      </c>
      <c r="K1574" s="74" t="s">
        <v>13050</v>
      </c>
      <c r="L1574" s="74" t="s">
        <v>318</v>
      </c>
    </row>
    <row r="1575" spans="1:12" ht="41.4">
      <c r="A1575" s="73">
        <v>1574</v>
      </c>
      <c r="B1575" s="74" t="s">
        <v>13051</v>
      </c>
      <c r="C1575" s="74" t="s">
        <v>13052</v>
      </c>
      <c r="D1575" s="74" t="s">
        <v>153</v>
      </c>
      <c r="E1575" s="74" t="s">
        <v>9395</v>
      </c>
      <c r="F1575" s="74" t="s">
        <v>80</v>
      </c>
      <c r="G1575" s="74" t="s">
        <v>11766</v>
      </c>
      <c r="H1575" s="74" t="s">
        <v>11767</v>
      </c>
      <c r="I1575" s="74" t="s">
        <v>47</v>
      </c>
      <c r="J1575" s="74" t="s">
        <v>9351</v>
      </c>
      <c r="K1575" s="74" t="s">
        <v>13053</v>
      </c>
      <c r="L1575" s="74" t="s">
        <v>701</v>
      </c>
    </row>
    <row r="1576" spans="1:12" ht="41.4">
      <c r="A1576" s="73">
        <v>1575</v>
      </c>
      <c r="B1576" s="74" t="s">
        <v>13054</v>
      </c>
      <c r="C1576" s="74" t="s">
        <v>13055</v>
      </c>
      <c r="D1576" s="74" t="s">
        <v>89</v>
      </c>
      <c r="E1576" s="74" t="s">
        <v>9395</v>
      </c>
      <c r="F1576" s="74" t="s">
        <v>80</v>
      </c>
      <c r="G1576" s="74" t="s">
        <v>9445</v>
      </c>
      <c r="H1576" s="74" t="s">
        <v>102</v>
      </c>
      <c r="I1576" s="74" t="s">
        <v>47</v>
      </c>
      <c r="J1576" s="74" t="s">
        <v>9351</v>
      </c>
      <c r="K1576" s="74"/>
      <c r="L1576" s="74"/>
    </row>
    <row r="1577" spans="1:12" ht="69">
      <c r="A1577" s="73">
        <v>1576</v>
      </c>
      <c r="B1577" s="74" t="s">
        <v>13056</v>
      </c>
      <c r="C1577" s="74" t="s">
        <v>13057</v>
      </c>
      <c r="D1577" s="74" t="s">
        <v>68</v>
      </c>
      <c r="E1577" s="74" t="s">
        <v>9395</v>
      </c>
      <c r="F1577" s="74" t="s">
        <v>80</v>
      </c>
      <c r="G1577" s="74" t="s">
        <v>11826</v>
      </c>
      <c r="H1577" s="74" t="s">
        <v>91</v>
      </c>
      <c r="I1577" s="74" t="s">
        <v>110</v>
      </c>
      <c r="J1577" s="74" t="s">
        <v>9351</v>
      </c>
      <c r="K1577" s="74" t="s">
        <v>13058</v>
      </c>
      <c r="L1577" s="74" t="s">
        <v>1266</v>
      </c>
    </row>
    <row r="1578" spans="1:12" ht="69">
      <c r="A1578" s="73">
        <v>1577</v>
      </c>
      <c r="B1578" s="74" t="s">
        <v>13059</v>
      </c>
      <c r="C1578" s="74" t="s">
        <v>13060</v>
      </c>
      <c r="D1578" s="74" t="s">
        <v>41</v>
      </c>
      <c r="E1578" s="74" t="s">
        <v>9395</v>
      </c>
      <c r="F1578" s="74" t="s">
        <v>80</v>
      </c>
      <c r="G1578" s="74" t="s">
        <v>9982</v>
      </c>
      <c r="H1578" s="74" t="s">
        <v>46</v>
      </c>
      <c r="I1578" s="74" t="s">
        <v>47</v>
      </c>
      <c r="J1578" s="74" t="s">
        <v>9351</v>
      </c>
      <c r="K1578" s="74"/>
      <c r="L1578" s="74"/>
    </row>
    <row r="1579" spans="1:12" ht="55.2">
      <c r="A1579" s="73">
        <v>1578</v>
      </c>
      <c r="B1579" s="74" t="s">
        <v>13061</v>
      </c>
      <c r="C1579" s="74" t="s">
        <v>13062</v>
      </c>
      <c r="D1579" s="74" t="s">
        <v>89</v>
      </c>
      <c r="E1579" s="74" t="s">
        <v>9395</v>
      </c>
      <c r="F1579" s="74" t="s">
        <v>80</v>
      </c>
      <c r="G1579" s="74" t="s">
        <v>12367</v>
      </c>
      <c r="H1579" s="74" t="s">
        <v>118</v>
      </c>
      <c r="I1579" s="74" t="s">
        <v>47</v>
      </c>
      <c r="J1579" s="74" t="s">
        <v>9351</v>
      </c>
      <c r="K1579" s="74"/>
      <c r="L1579" s="74"/>
    </row>
    <row r="1580" spans="1:12" ht="55.2">
      <c r="A1580" s="73">
        <v>1579</v>
      </c>
      <c r="B1580" s="74" t="s">
        <v>13063</v>
      </c>
      <c r="C1580" s="74" t="s">
        <v>13064</v>
      </c>
      <c r="D1580" s="74" t="s">
        <v>89</v>
      </c>
      <c r="E1580" s="74" t="s">
        <v>9395</v>
      </c>
      <c r="F1580" s="74" t="s">
        <v>80</v>
      </c>
      <c r="G1580" s="74" t="s">
        <v>10054</v>
      </c>
      <c r="H1580" s="74" t="s">
        <v>102</v>
      </c>
      <c r="I1580" s="74" t="s">
        <v>92</v>
      </c>
      <c r="J1580" s="74" t="s">
        <v>9351</v>
      </c>
      <c r="K1580" s="74" t="s">
        <v>13065</v>
      </c>
      <c r="L1580" s="74" t="s">
        <v>711</v>
      </c>
    </row>
    <row r="1581" spans="1:12" ht="55.2">
      <c r="A1581" s="73">
        <v>1580</v>
      </c>
      <c r="B1581" s="74" t="s">
        <v>13066</v>
      </c>
      <c r="C1581" s="74" t="s">
        <v>3279</v>
      </c>
      <c r="D1581" s="74" t="s">
        <v>68</v>
      </c>
      <c r="E1581" s="74" t="s">
        <v>9395</v>
      </c>
      <c r="F1581" s="74" t="s">
        <v>80</v>
      </c>
      <c r="G1581" s="74" t="s">
        <v>10589</v>
      </c>
      <c r="H1581" s="74" t="s">
        <v>70</v>
      </c>
      <c r="I1581" s="74" t="s">
        <v>47</v>
      </c>
      <c r="J1581" s="74" t="s">
        <v>9351</v>
      </c>
      <c r="K1581" s="74" t="s">
        <v>13067</v>
      </c>
      <c r="L1581" s="74" t="s">
        <v>1266</v>
      </c>
    </row>
    <row r="1582" spans="1:12" ht="69">
      <c r="A1582" s="73">
        <v>1581</v>
      </c>
      <c r="B1582" s="74" t="s">
        <v>13068</v>
      </c>
      <c r="C1582" s="74" t="s">
        <v>13069</v>
      </c>
      <c r="D1582" s="74" t="s">
        <v>89</v>
      </c>
      <c r="E1582" s="74" t="s">
        <v>9395</v>
      </c>
      <c r="F1582" s="74" t="s">
        <v>80</v>
      </c>
      <c r="G1582" s="74" t="s">
        <v>11735</v>
      </c>
      <c r="H1582" s="74" t="s">
        <v>91</v>
      </c>
      <c r="I1582" s="74" t="s">
        <v>110</v>
      </c>
      <c r="J1582" s="74" t="s">
        <v>9351</v>
      </c>
      <c r="K1582" s="74" t="s">
        <v>13070</v>
      </c>
      <c r="L1582" s="74" t="s">
        <v>251</v>
      </c>
    </row>
    <row r="1583" spans="1:12" ht="69">
      <c r="A1583" s="73">
        <v>1582</v>
      </c>
      <c r="B1583" s="74" t="s">
        <v>13071</v>
      </c>
      <c r="C1583" s="74" t="s">
        <v>13072</v>
      </c>
      <c r="D1583" s="74" t="s">
        <v>89</v>
      </c>
      <c r="E1583" s="74" t="s">
        <v>9395</v>
      </c>
      <c r="F1583" s="74" t="s">
        <v>80</v>
      </c>
      <c r="G1583" s="74" t="s">
        <v>11735</v>
      </c>
      <c r="H1583" s="74" t="s">
        <v>91</v>
      </c>
      <c r="I1583" s="74" t="s">
        <v>110</v>
      </c>
      <c r="J1583" s="74" t="s">
        <v>9351</v>
      </c>
      <c r="K1583" s="74" t="s">
        <v>13073</v>
      </c>
      <c r="L1583" s="74" t="s">
        <v>251</v>
      </c>
    </row>
    <row r="1584" spans="1:12" ht="41.4">
      <c r="A1584" s="73">
        <v>1583</v>
      </c>
      <c r="B1584" s="74" t="s">
        <v>13074</v>
      </c>
      <c r="C1584" s="74" t="s">
        <v>13075</v>
      </c>
      <c r="D1584" s="74" t="s">
        <v>89</v>
      </c>
      <c r="E1584" s="74" t="s">
        <v>9395</v>
      </c>
      <c r="F1584" s="74" t="s">
        <v>80</v>
      </c>
      <c r="G1584" s="74" t="s">
        <v>9503</v>
      </c>
      <c r="H1584" s="74" t="s">
        <v>102</v>
      </c>
      <c r="I1584" s="74" t="s">
        <v>110</v>
      </c>
      <c r="J1584" s="74" t="s">
        <v>9351</v>
      </c>
      <c r="K1584" s="74" t="s">
        <v>12476</v>
      </c>
      <c r="L1584" s="74" t="s">
        <v>251</v>
      </c>
    </row>
    <row r="1585" spans="1:12" ht="69">
      <c r="A1585" s="73">
        <v>1584</v>
      </c>
      <c r="B1585" s="74" t="s">
        <v>13076</v>
      </c>
      <c r="C1585" s="74" t="s">
        <v>13077</v>
      </c>
      <c r="D1585" s="74" t="s">
        <v>89</v>
      </c>
      <c r="E1585" s="74" t="s">
        <v>9395</v>
      </c>
      <c r="F1585" s="74" t="s">
        <v>80</v>
      </c>
      <c r="G1585" s="74" t="s">
        <v>11755</v>
      </c>
      <c r="H1585" s="74" t="s">
        <v>91</v>
      </c>
      <c r="I1585" s="74" t="s">
        <v>496</v>
      </c>
      <c r="J1585" s="74" t="s">
        <v>9351</v>
      </c>
      <c r="K1585" s="74" t="s">
        <v>13078</v>
      </c>
      <c r="L1585" s="74" t="s">
        <v>711</v>
      </c>
    </row>
    <row r="1586" spans="1:12" ht="55.2">
      <c r="A1586" s="73">
        <v>1585</v>
      </c>
      <c r="B1586" s="74" t="s">
        <v>13079</v>
      </c>
      <c r="C1586" s="74" t="s">
        <v>13080</v>
      </c>
      <c r="D1586" s="74" t="s">
        <v>89</v>
      </c>
      <c r="E1586" s="74" t="s">
        <v>9395</v>
      </c>
      <c r="F1586" s="74" t="s">
        <v>80</v>
      </c>
      <c r="G1586" s="74" t="s">
        <v>12367</v>
      </c>
      <c r="H1586" s="74" t="s">
        <v>118</v>
      </c>
      <c r="I1586" s="74" t="s">
        <v>92</v>
      </c>
      <c r="J1586" s="74" t="s">
        <v>9351</v>
      </c>
      <c r="K1586" s="74" t="s">
        <v>13081</v>
      </c>
      <c r="L1586" s="74" t="s">
        <v>251</v>
      </c>
    </row>
    <row r="1587" spans="1:12" ht="69">
      <c r="A1587" s="73">
        <v>1586</v>
      </c>
      <c r="B1587" s="74" t="s">
        <v>13082</v>
      </c>
      <c r="C1587" s="74" t="s">
        <v>13083</v>
      </c>
      <c r="D1587" s="74" t="s">
        <v>153</v>
      </c>
      <c r="E1587" s="74" t="s">
        <v>9395</v>
      </c>
      <c r="F1587" s="74" t="s">
        <v>80</v>
      </c>
      <c r="G1587" s="74" t="s">
        <v>11766</v>
      </c>
      <c r="H1587" s="74" t="s">
        <v>11767</v>
      </c>
      <c r="I1587" s="74" t="s">
        <v>473</v>
      </c>
      <c r="J1587" s="74" t="s">
        <v>9347</v>
      </c>
      <c r="K1587" s="74" t="s">
        <v>13084</v>
      </c>
      <c r="L1587" s="74" t="s">
        <v>701</v>
      </c>
    </row>
    <row r="1588" spans="1:12" ht="55.2">
      <c r="A1588" s="73">
        <v>1587</v>
      </c>
      <c r="B1588" s="74" t="s">
        <v>13085</v>
      </c>
      <c r="C1588" s="74" t="s">
        <v>13086</v>
      </c>
      <c r="D1588" s="74" t="s">
        <v>143</v>
      </c>
      <c r="E1588" s="74" t="s">
        <v>9395</v>
      </c>
      <c r="F1588" s="74" t="s">
        <v>80</v>
      </c>
      <c r="G1588" s="74" t="s">
        <v>12205</v>
      </c>
      <c r="H1588" s="74" t="s">
        <v>327</v>
      </c>
      <c r="I1588" s="74" t="s">
        <v>8574</v>
      </c>
      <c r="J1588" s="74" t="s">
        <v>9347</v>
      </c>
      <c r="K1588" s="74" t="s">
        <v>13087</v>
      </c>
      <c r="L1588" s="74" t="s">
        <v>251</v>
      </c>
    </row>
    <row r="1589" spans="1:12" ht="69">
      <c r="A1589" s="73">
        <v>1588</v>
      </c>
      <c r="B1589" s="74" t="s">
        <v>13088</v>
      </c>
      <c r="C1589" s="74" t="s">
        <v>13089</v>
      </c>
      <c r="D1589" s="74" t="s">
        <v>41</v>
      </c>
      <c r="E1589" s="74" t="s">
        <v>9395</v>
      </c>
      <c r="F1589" s="74" t="s">
        <v>80</v>
      </c>
      <c r="G1589" s="74" t="s">
        <v>11788</v>
      </c>
      <c r="H1589" s="74" t="s">
        <v>46</v>
      </c>
      <c r="I1589" s="74" t="s">
        <v>47</v>
      </c>
      <c r="J1589" s="74" t="s">
        <v>9347</v>
      </c>
      <c r="K1589" s="74"/>
      <c r="L1589" s="74"/>
    </row>
    <row r="1590" spans="1:12" ht="69">
      <c r="A1590" s="73">
        <v>1589</v>
      </c>
      <c r="B1590" s="74" t="s">
        <v>13090</v>
      </c>
      <c r="C1590" s="74" t="s">
        <v>13091</v>
      </c>
      <c r="D1590" s="74" t="s">
        <v>41</v>
      </c>
      <c r="E1590" s="74" t="s">
        <v>9395</v>
      </c>
      <c r="F1590" s="74" t="s">
        <v>80</v>
      </c>
      <c r="G1590" s="74" t="s">
        <v>11799</v>
      </c>
      <c r="H1590" s="74" t="s">
        <v>46</v>
      </c>
      <c r="I1590" s="74" t="s">
        <v>47</v>
      </c>
      <c r="J1590" s="74" t="s">
        <v>9347</v>
      </c>
      <c r="K1590" s="74"/>
      <c r="L1590" s="74"/>
    </row>
    <row r="1591" spans="1:12" ht="69">
      <c r="A1591" s="73">
        <v>1590</v>
      </c>
      <c r="B1591" s="74" t="s">
        <v>13092</v>
      </c>
      <c r="C1591" s="74" t="s">
        <v>13093</v>
      </c>
      <c r="D1591" s="74" t="s">
        <v>41</v>
      </c>
      <c r="E1591" s="74" t="s">
        <v>9395</v>
      </c>
      <c r="F1591" s="74" t="s">
        <v>80</v>
      </c>
      <c r="G1591" s="74" t="s">
        <v>11788</v>
      </c>
      <c r="H1591" s="74" t="s">
        <v>46</v>
      </c>
      <c r="I1591" s="74" t="s">
        <v>13094</v>
      </c>
      <c r="J1591" s="74" t="s">
        <v>9347</v>
      </c>
      <c r="K1591" s="74"/>
      <c r="L1591" s="74"/>
    </row>
    <row r="1592" spans="1:12" ht="41.4">
      <c r="A1592" s="73">
        <v>1591</v>
      </c>
      <c r="B1592" s="74" t="s">
        <v>13095</v>
      </c>
      <c r="C1592" s="74" t="s">
        <v>13096</v>
      </c>
      <c r="D1592" s="74" t="s">
        <v>41</v>
      </c>
      <c r="E1592" s="74" t="s">
        <v>9395</v>
      </c>
      <c r="F1592" s="74" t="s">
        <v>80</v>
      </c>
      <c r="G1592" s="74" t="s">
        <v>11901</v>
      </c>
      <c r="H1592" s="74" t="s">
        <v>200</v>
      </c>
      <c r="I1592" s="74" t="s">
        <v>47</v>
      </c>
      <c r="J1592" s="74" t="s">
        <v>9351</v>
      </c>
      <c r="K1592" s="74"/>
      <c r="L1592" s="74"/>
    </row>
    <row r="1593" spans="1:12" ht="69">
      <c r="A1593" s="73">
        <v>1592</v>
      </c>
      <c r="B1593" s="74" t="s">
        <v>13097</v>
      </c>
      <c r="C1593" s="74" t="s">
        <v>13098</v>
      </c>
      <c r="D1593" s="74" t="s">
        <v>41</v>
      </c>
      <c r="E1593" s="74" t="s">
        <v>9395</v>
      </c>
      <c r="F1593" s="74" t="s">
        <v>80</v>
      </c>
      <c r="G1593" s="74" t="s">
        <v>11788</v>
      </c>
      <c r="H1593" s="74" t="s">
        <v>46</v>
      </c>
      <c r="I1593" s="74" t="s">
        <v>47</v>
      </c>
      <c r="J1593" s="74" t="s">
        <v>9347</v>
      </c>
      <c r="K1593" s="74"/>
      <c r="L1593" s="74"/>
    </row>
    <row r="1594" spans="1:12" ht="41.4">
      <c r="A1594" s="73">
        <v>1593</v>
      </c>
      <c r="B1594" s="74" t="s">
        <v>13099</v>
      </c>
      <c r="C1594" s="74" t="s">
        <v>13100</v>
      </c>
      <c r="D1594" s="74" t="s">
        <v>68</v>
      </c>
      <c r="E1594" s="74" t="s">
        <v>9395</v>
      </c>
      <c r="F1594" s="74" t="s">
        <v>80</v>
      </c>
      <c r="G1594" s="74" t="s">
        <v>11915</v>
      </c>
      <c r="H1594" s="74" t="s">
        <v>297</v>
      </c>
      <c r="I1594" s="74" t="s">
        <v>47</v>
      </c>
      <c r="J1594" s="74" t="s">
        <v>9347</v>
      </c>
      <c r="K1594" s="74"/>
      <c r="L1594" s="74"/>
    </row>
    <row r="1595" spans="1:12" ht="69">
      <c r="A1595" s="73">
        <v>1594</v>
      </c>
      <c r="B1595" s="74" t="s">
        <v>13101</v>
      </c>
      <c r="C1595" s="74" t="s">
        <v>13102</v>
      </c>
      <c r="D1595" s="74" t="s">
        <v>41</v>
      </c>
      <c r="E1595" s="74" t="s">
        <v>9395</v>
      </c>
      <c r="F1595" s="74" t="s">
        <v>80</v>
      </c>
      <c r="G1595" s="74" t="s">
        <v>9982</v>
      </c>
      <c r="H1595" s="74" t="s">
        <v>46</v>
      </c>
      <c r="I1595" s="74" t="s">
        <v>234</v>
      </c>
      <c r="J1595" s="74" t="s">
        <v>9351</v>
      </c>
      <c r="K1595" s="74" t="s">
        <v>13103</v>
      </c>
      <c r="L1595" s="74" t="s">
        <v>251</v>
      </c>
    </row>
    <row r="1596" spans="1:12" ht="69">
      <c r="A1596" s="73">
        <v>1595</v>
      </c>
      <c r="B1596" s="74" t="s">
        <v>13104</v>
      </c>
      <c r="C1596" s="74" t="s">
        <v>13105</v>
      </c>
      <c r="D1596" s="74" t="s">
        <v>41</v>
      </c>
      <c r="E1596" s="74" t="s">
        <v>9395</v>
      </c>
      <c r="F1596" s="74" t="s">
        <v>80</v>
      </c>
      <c r="G1596" s="74" t="s">
        <v>9982</v>
      </c>
      <c r="H1596" s="74" t="s">
        <v>46</v>
      </c>
      <c r="I1596" s="74" t="s">
        <v>234</v>
      </c>
      <c r="J1596" s="74" t="s">
        <v>9351</v>
      </c>
      <c r="K1596" s="74" t="s">
        <v>13106</v>
      </c>
      <c r="L1596" s="74" t="s">
        <v>251</v>
      </c>
    </row>
    <row r="1597" spans="1:12" ht="55.2">
      <c r="A1597" s="73">
        <v>1596</v>
      </c>
      <c r="B1597" s="74" t="s">
        <v>13107</v>
      </c>
      <c r="C1597" s="74" t="s">
        <v>8873</v>
      </c>
      <c r="D1597" s="74" t="s">
        <v>143</v>
      </c>
      <c r="E1597" s="74" t="s">
        <v>9395</v>
      </c>
      <c r="F1597" s="74" t="s">
        <v>80</v>
      </c>
      <c r="G1597" s="74" t="s">
        <v>13108</v>
      </c>
      <c r="H1597" s="74" t="s">
        <v>327</v>
      </c>
      <c r="I1597" s="74" t="s">
        <v>271</v>
      </c>
      <c r="J1597" s="74" t="s">
        <v>9351</v>
      </c>
      <c r="K1597" s="74" t="s">
        <v>13109</v>
      </c>
      <c r="L1597" s="74" t="s">
        <v>711</v>
      </c>
    </row>
    <row r="1598" spans="1:12" ht="69">
      <c r="A1598" s="73">
        <v>1597</v>
      </c>
      <c r="B1598" s="74" t="s">
        <v>13110</v>
      </c>
      <c r="C1598" s="74" t="s">
        <v>13111</v>
      </c>
      <c r="D1598" s="74" t="s">
        <v>89</v>
      </c>
      <c r="E1598" s="74" t="s">
        <v>9395</v>
      </c>
      <c r="F1598" s="74" t="s">
        <v>80</v>
      </c>
      <c r="G1598" s="74" t="s">
        <v>9998</v>
      </c>
      <c r="H1598" s="74" t="s">
        <v>91</v>
      </c>
      <c r="I1598" s="74" t="s">
        <v>234</v>
      </c>
      <c r="J1598" s="74" t="s">
        <v>9351</v>
      </c>
      <c r="K1598" s="74" t="s">
        <v>13112</v>
      </c>
      <c r="L1598" s="74" t="s">
        <v>251</v>
      </c>
    </row>
    <row r="1599" spans="1:12" ht="55.2">
      <c r="A1599" s="73">
        <v>1598</v>
      </c>
      <c r="B1599" s="74" t="s">
        <v>13113</v>
      </c>
      <c r="C1599" s="74" t="s">
        <v>8368</v>
      </c>
      <c r="D1599" s="74" t="s">
        <v>143</v>
      </c>
      <c r="E1599" s="74" t="s">
        <v>9395</v>
      </c>
      <c r="F1599" s="74" t="s">
        <v>80</v>
      </c>
      <c r="G1599" s="74" t="s">
        <v>13108</v>
      </c>
      <c r="H1599" s="74" t="s">
        <v>327</v>
      </c>
      <c r="I1599" s="74" t="s">
        <v>271</v>
      </c>
      <c r="J1599" s="74" t="s">
        <v>9351</v>
      </c>
      <c r="K1599" s="74" t="s">
        <v>13114</v>
      </c>
      <c r="L1599" s="74" t="s">
        <v>370</v>
      </c>
    </row>
    <row r="1600" spans="1:12" ht="69">
      <c r="A1600" s="73">
        <v>1599</v>
      </c>
      <c r="B1600" s="74" t="s">
        <v>13115</v>
      </c>
      <c r="C1600" s="74" t="s">
        <v>13116</v>
      </c>
      <c r="D1600" s="74" t="s">
        <v>41</v>
      </c>
      <c r="E1600" s="74" t="s">
        <v>9395</v>
      </c>
      <c r="F1600" s="74" t="s">
        <v>80</v>
      </c>
      <c r="G1600" s="74" t="s">
        <v>11812</v>
      </c>
      <c r="H1600" s="74" t="s">
        <v>46</v>
      </c>
      <c r="I1600" s="74" t="s">
        <v>47</v>
      </c>
      <c r="J1600" s="74" t="s">
        <v>9347</v>
      </c>
      <c r="K1600" s="74"/>
      <c r="L1600" s="74"/>
    </row>
    <row r="1601" spans="1:12" ht="69">
      <c r="A1601" s="73">
        <v>1600</v>
      </c>
      <c r="B1601" s="74" t="s">
        <v>13117</v>
      </c>
      <c r="C1601" s="74" t="s">
        <v>13118</v>
      </c>
      <c r="D1601" s="74" t="s">
        <v>41</v>
      </c>
      <c r="E1601" s="74" t="s">
        <v>9395</v>
      </c>
      <c r="F1601" s="74" t="s">
        <v>80</v>
      </c>
      <c r="G1601" s="74" t="s">
        <v>12092</v>
      </c>
      <c r="H1601" s="74" t="s">
        <v>46</v>
      </c>
      <c r="I1601" s="74" t="s">
        <v>271</v>
      </c>
      <c r="J1601" s="74" t="s">
        <v>9351</v>
      </c>
      <c r="K1601" s="74" t="s">
        <v>13119</v>
      </c>
      <c r="L1601" s="74" t="s">
        <v>331</v>
      </c>
    </row>
    <row r="1602" spans="1:12" ht="69">
      <c r="A1602" s="73">
        <v>1601</v>
      </c>
      <c r="B1602" s="74" t="s">
        <v>13120</v>
      </c>
      <c r="C1602" s="74" t="s">
        <v>5651</v>
      </c>
      <c r="D1602" s="74" t="s">
        <v>68</v>
      </c>
      <c r="E1602" s="74" t="s">
        <v>9395</v>
      </c>
      <c r="F1602" s="74" t="s">
        <v>80</v>
      </c>
      <c r="G1602" s="74" t="s">
        <v>11746</v>
      </c>
      <c r="H1602" s="74" t="s">
        <v>91</v>
      </c>
      <c r="I1602" s="74" t="s">
        <v>3203</v>
      </c>
      <c r="J1602" s="74" t="s">
        <v>9351</v>
      </c>
      <c r="K1602" s="74" t="s">
        <v>13121</v>
      </c>
      <c r="L1602" s="74" t="s">
        <v>701</v>
      </c>
    </row>
    <row r="1603" spans="1:12" ht="69">
      <c r="A1603" s="73">
        <v>1602</v>
      </c>
      <c r="B1603" s="74" t="s">
        <v>13122</v>
      </c>
      <c r="C1603" s="74" t="s">
        <v>13123</v>
      </c>
      <c r="D1603" s="74" t="s">
        <v>41</v>
      </c>
      <c r="E1603" s="74" t="s">
        <v>9395</v>
      </c>
      <c r="F1603" s="74" t="s">
        <v>80</v>
      </c>
      <c r="G1603" s="74" t="s">
        <v>13124</v>
      </c>
      <c r="H1603" s="74" t="s">
        <v>46</v>
      </c>
      <c r="I1603" s="74" t="s">
        <v>3203</v>
      </c>
      <c r="J1603" s="74" t="s">
        <v>9351</v>
      </c>
      <c r="K1603" s="74" t="s">
        <v>13125</v>
      </c>
      <c r="L1603" s="74" t="s">
        <v>701</v>
      </c>
    </row>
    <row r="1604" spans="1:12" ht="69">
      <c r="A1604" s="73">
        <v>1603</v>
      </c>
      <c r="B1604" s="74" t="s">
        <v>13126</v>
      </c>
      <c r="C1604" s="74" t="s">
        <v>13127</v>
      </c>
      <c r="D1604" s="74" t="s">
        <v>68</v>
      </c>
      <c r="E1604" s="74" t="s">
        <v>9395</v>
      </c>
      <c r="F1604" s="74" t="s">
        <v>80</v>
      </c>
      <c r="G1604" s="74" t="s">
        <v>11746</v>
      </c>
      <c r="H1604" s="74" t="s">
        <v>91</v>
      </c>
      <c r="I1604" s="74" t="s">
        <v>3203</v>
      </c>
      <c r="J1604" s="74" t="s">
        <v>9351</v>
      </c>
      <c r="K1604" s="74" t="s">
        <v>13128</v>
      </c>
      <c r="L1604" s="74" t="s">
        <v>701</v>
      </c>
    </row>
    <row r="1605" spans="1:12" ht="69">
      <c r="A1605" s="73">
        <v>1604</v>
      </c>
      <c r="B1605" s="74" t="s">
        <v>13129</v>
      </c>
      <c r="C1605" s="74" t="s">
        <v>6989</v>
      </c>
      <c r="D1605" s="74" t="s">
        <v>68</v>
      </c>
      <c r="E1605" s="74" t="s">
        <v>9395</v>
      </c>
      <c r="F1605" s="74" t="s">
        <v>80</v>
      </c>
      <c r="G1605" s="74" t="s">
        <v>11746</v>
      </c>
      <c r="H1605" s="74" t="s">
        <v>91</v>
      </c>
      <c r="I1605" s="74" t="s">
        <v>3203</v>
      </c>
      <c r="J1605" s="74" t="s">
        <v>9351</v>
      </c>
      <c r="K1605" s="74" t="s">
        <v>13130</v>
      </c>
      <c r="L1605" s="74" t="s">
        <v>3207</v>
      </c>
    </row>
    <row r="1606" spans="1:12" ht="69">
      <c r="A1606" s="73">
        <v>1605</v>
      </c>
      <c r="B1606" s="74" t="s">
        <v>13131</v>
      </c>
      <c r="C1606" s="74" t="s">
        <v>2674</v>
      </c>
      <c r="D1606" s="74" t="s">
        <v>41</v>
      </c>
      <c r="E1606" s="74" t="s">
        <v>9395</v>
      </c>
      <c r="F1606" s="74" t="s">
        <v>80</v>
      </c>
      <c r="G1606" s="74" t="s">
        <v>13124</v>
      </c>
      <c r="H1606" s="74" t="s">
        <v>46</v>
      </c>
      <c r="I1606" s="74" t="s">
        <v>271</v>
      </c>
      <c r="J1606" s="74" t="s">
        <v>9351</v>
      </c>
      <c r="K1606" s="74" t="s">
        <v>13132</v>
      </c>
      <c r="L1606" s="74" t="s">
        <v>331</v>
      </c>
    </row>
    <row r="1607" spans="1:12" ht="41.4">
      <c r="A1607" s="73">
        <v>1606</v>
      </c>
      <c r="B1607" s="74" t="s">
        <v>13133</v>
      </c>
      <c r="C1607" s="74" t="s">
        <v>13134</v>
      </c>
      <c r="D1607" s="74" t="s">
        <v>153</v>
      </c>
      <c r="E1607" s="74" t="s">
        <v>9395</v>
      </c>
      <c r="F1607" s="74" t="s">
        <v>80</v>
      </c>
      <c r="G1607" s="74" t="s">
        <v>11766</v>
      </c>
      <c r="H1607" s="74" t="s">
        <v>11767</v>
      </c>
      <c r="I1607" s="74" t="s">
        <v>4243</v>
      </c>
      <c r="J1607" s="74" t="s">
        <v>9347</v>
      </c>
      <c r="K1607" s="74" t="s">
        <v>13135</v>
      </c>
      <c r="L1607" s="74" t="s">
        <v>897</v>
      </c>
    </row>
    <row r="1608" spans="1:12" ht="27.6">
      <c r="A1608" s="73">
        <v>1607</v>
      </c>
      <c r="B1608" s="74" t="s">
        <v>13136</v>
      </c>
      <c r="C1608" s="74" t="s">
        <v>13137</v>
      </c>
      <c r="D1608" s="74" t="s">
        <v>143</v>
      </c>
      <c r="E1608" s="74" t="s">
        <v>9395</v>
      </c>
      <c r="F1608" s="74" t="s">
        <v>80</v>
      </c>
      <c r="G1608" s="74" t="s">
        <v>11341</v>
      </c>
      <c r="H1608" s="74" t="s">
        <v>400</v>
      </c>
      <c r="I1608" s="74" t="s">
        <v>2036</v>
      </c>
      <c r="J1608" s="74" t="s">
        <v>9351</v>
      </c>
      <c r="K1608" s="74" t="s">
        <v>13138</v>
      </c>
      <c r="L1608" s="74" t="s">
        <v>370</v>
      </c>
    </row>
    <row r="1609" spans="1:12" ht="69">
      <c r="A1609" s="73">
        <v>1608</v>
      </c>
      <c r="B1609" s="74" t="s">
        <v>13139</v>
      </c>
      <c r="C1609" s="74" t="s">
        <v>13140</v>
      </c>
      <c r="D1609" s="74" t="s">
        <v>41</v>
      </c>
      <c r="E1609" s="74" t="s">
        <v>9395</v>
      </c>
      <c r="F1609" s="74" t="s">
        <v>80</v>
      </c>
      <c r="G1609" s="74" t="s">
        <v>11812</v>
      </c>
      <c r="H1609" s="74" t="s">
        <v>46</v>
      </c>
      <c r="I1609" s="74" t="s">
        <v>47</v>
      </c>
      <c r="J1609" s="74" t="s">
        <v>9347</v>
      </c>
      <c r="K1609" s="74"/>
      <c r="L1609" s="74"/>
    </row>
    <row r="1610" spans="1:12" ht="69">
      <c r="A1610" s="73">
        <v>1609</v>
      </c>
      <c r="B1610" s="74" t="s">
        <v>13141</v>
      </c>
      <c r="C1610" s="74" t="s">
        <v>13142</v>
      </c>
      <c r="D1610" s="74" t="s">
        <v>143</v>
      </c>
      <c r="E1610" s="74" t="s">
        <v>9395</v>
      </c>
      <c r="F1610" s="74" t="s">
        <v>80</v>
      </c>
      <c r="G1610" s="74" t="s">
        <v>13143</v>
      </c>
      <c r="H1610" s="74" t="s">
        <v>220</v>
      </c>
      <c r="I1610" s="74" t="s">
        <v>13144</v>
      </c>
      <c r="J1610" s="74" t="s">
        <v>9351</v>
      </c>
      <c r="K1610" s="74" t="s">
        <v>13145</v>
      </c>
      <c r="L1610" s="74" t="s">
        <v>370</v>
      </c>
    </row>
    <row r="1611" spans="1:12" ht="41.4">
      <c r="A1611" s="73">
        <v>1610</v>
      </c>
      <c r="B1611" s="74" t="s">
        <v>13146</v>
      </c>
      <c r="C1611" s="74" t="s">
        <v>13147</v>
      </c>
      <c r="D1611" s="74" t="s">
        <v>68</v>
      </c>
      <c r="E1611" s="74" t="s">
        <v>9395</v>
      </c>
      <c r="F1611" s="74" t="s">
        <v>80</v>
      </c>
      <c r="G1611" s="74" t="s">
        <v>11915</v>
      </c>
      <c r="H1611" s="74" t="s">
        <v>297</v>
      </c>
      <c r="I1611" s="74" t="s">
        <v>47</v>
      </c>
      <c r="J1611" s="74" t="s">
        <v>9347</v>
      </c>
      <c r="K1611" s="74"/>
      <c r="L1611" s="74"/>
    </row>
    <row r="1612" spans="1:12" ht="41.4">
      <c r="A1612" s="73">
        <v>1611</v>
      </c>
      <c r="B1612" s="74" t="s">
        <v>13148</v>
      </c>
      <c r="C1612" s="74" t="s">
        <v>13149</v>
      </c>
      <c r="D1612" s="74" t="s">
        <v>89</v>
      </c>
      <c r="E1612" s="74" t="s">
        <v>9395</v>
      </c>
      <c r="F1612" s="74" t="s">
        <v>80</v>
      </c>
      <c r="G1612" s="74" t="s">
        <v>11932</v>
      </c>
      <c r="H1612" s="74" t="s">
        <v>102</v>
      </c>
      <c r="I1612" s="74" t="s">
        <v>271</v>
      </c>
      <c r="J1612" s="74" t="s">
        <v>9351</v>
      </c>
      <c r="K1612" s="74" t="s">
        <v>13150</v>
      </c>
      <c r="L1612" s="74" t="s">
        <v>711</v>
      </c>
    </row>
    <row r="1613" spans="1:12" ht="41.4">
      <c r="A1613" s="73">
        <v>1612</v>
      </c>
      <c r="B1613" s="74" t="s">
        <v>13151</v>
      </c>
      <c r="C1613" s="74" t="s">
        <v>13152</v>
      </c>
      <c r="D1613" s="74" t="s">
        <v>89</v>
      </c>
      <c r="E1613" s="74" t="s">
        <v>9395</v>
      </c>
      <c r="F1613" s="74" t="s">
        <v>80</v>
      </c>
      <c r="G1613" s="74" t="s">
        <v>12054</v>
      </c>
      <c r="H1613" s="74" t="s">
        <v>102</v>
      </c>
      <c r="I1613" s="74" t="s">
        <v>13153</v>
      </c>
      <c r="J1613" s="74" t="s">
        <v>9347</v>
      </c>
      <c r="K1613" s="74" t="s">
        <v>13154</v>
      </c>
      <c r="L1613" s="74" t="s">
        <v>711</v>
      </c>
    </row>
    <row r="1614" spans="1:12" ht="41.4">
      <c r="A1614" s="73">
        <v>1613</v>
      </c>
      <c r="B1614" s="74" t="s">
        <v>13155</v>
      </c>
      <c r="C1614" s="74" t="s">
        <v>13156</v>
      </c>
      <c r="D1614" s="74" t="s">
        <v>68</v>
      </c>
      <c r="E1614" s="74" t="s">
        <v>9395</v>
      </c>
      <c r="F1614" s="74" t="s">
        <v>80</v>
      </c>
      <c r="G1614" s="74" t="s">
        <v>11802</v>
      </c>
      <c r="H1614" s="74" t="s">
        <v>102</v>
      </c>
      <c r="I1614" s="74" t="s">
        <v>13153</v>
      </c>
      <c r="J1614" s="74" t="s">
        <v>9347</v>
      </c>
      <c r="K1614" s="74" t="s">
        <v>13157</v>
      </c>
      <c r="L1614" s="74" t="s">
        <v>891</v>
      </c>
    </row>
    <row r="1615" spans="1:12" ht="41.4">
      <c r="A1615" s="73">
        <v>1614</v>
      </c>
      <c r="B1615" s="74" t="s">
        <v>13158</v>
      </c>
      <c r="C1615" s="74" t="s">
        <v>13159</v>
      </c>
      <c r="D1615" s="74" t="s">
        <v>89</v>
      </c>
      <c r="E1615" s="74" t="s">
        <v>9395</v>
      </c>
      <c r="F1615" s="74" t="s">
        <v>80</v>
      </c>
      <c r="G1615" s="74" t="s">
        <v>12054</v>
      </c>
      <c r="H1615" s="74" t="s">
        <v>102</v>
      </c>
      <c r="I1615" s="74" t="s">
        <v>13153</v>
      </c>
      <c r="J1615" s="74" t="s">
        <v>9347</v>
      </c>
      <c r="K1615" s="74" t="s">
        <v>13160</v>
      </c>
      <c r="L1615" s="74" t="s">
        <v>711</v>
      </c>
    </row>
    <row r="1616" spans="1:12" ht="41.4">
      <c r="A1616" s="73">
        <v>1615</v>
      </c>
      <c r="B1616" s="74" t="s">
        <v>13161</v>
      </c>
      <c r="C1616" s="74" t="s">
        <v>13162</v>
      </c>
      <c r="D1616" s="74" t="s">
        <v>68</v>
      </c>
      <c r="E1616" s="74" t="s">
        <v>9395</v>
      </c>
      <c r="F1616" s="74" t="s">
        <v>80</v>
      </c>
      <c r="G1616" s="74" t="s">
        <v>11802</v>
      </c>
      <c r="H1616" s="74" t="s">
        <v>102</v>
      </c>
      <c r="I1616" s="74" t="s">
        <v>13153</v>
      </c>
      <c r="J1616" s="74" t="s">
        <v>9347</v>
      </c>
      <c r="K1616" s="74" t="s">
        <v>13163</v>
      </c>
      <c r="L1616" s="74" t="s">
        <v>891</v>
      </c>
    </row>
    <row r="1617" spans="1:12" ht="55.2">
      <c r="A1617" s="73">
        <v>1616</v>
      </c>
      <c r="B1617" s="74" t="s">
        <v>13164</v>
      </c>
      <c r="C1617" s="74" t="s">
        <v>13165</v>
      </c>
      <c r="D1617" s="74" t="s">
        <v>143</v>
      </c>
      <c r="E1617" s="74" t="s">
        <v>9395</v>
      </c>
      <c r="F1617" s="74" t="s">
        <v>80</v>
      </c>
      <c r="G1617" s="74" t="s">
        <v>13108</v>
      </c>
      <c r="H1617" s="74" t="s">
        <v>327</v>
      </c>
      <c r="I1617" s="74" t="s">
        <v>13166</v>
      </c>
      <c r="J1617" s="74" t="s">
        <v>9347</v>
      </c>
      <c r="K1617" s="74" t="s">
        <v>13167</v>
      </c>
      <c r="L1617" s="74" t="s">
        <v>251</v>
      </c>
    </row>
    <row r="1618" spans="1:12" ht="69">
      <c r="A1618" s="73">
        <v>1617</v>
      </c>
      <c r="B1618" s="74" t="s">
        <v>13168</v>
      </c>
      <c r="C1618" s="74" t="s">
        <v>13169</v>
      </c>
      <c r="D1618" s="74" t="s">
        <v>41</v>
      </c>
      <c r="E1618" s="74" t="s">
        <v>9395</v>
      </c>
      <c r="F1618" s="74" t="s">
        <v>80</v>
      </c>
      <c r="G1618" s="74" t="s">
        <v>13170</v>
      </c>
      <c r="H1618" s="74" t="s">
        <v>46</v>
      </c>
      <c r="I1618" s="74" t="s">
        <v>9306</v>
      </c>
      <c r="J1618" s="74" t="s">
        <v>9347</v>
      </c>
      <c r="K1618" s="74" t="s">
        <v>13171</v>
      </c>
      <c r="L1618" s="74" t="s">
        <v>318</v>
      </c>
    </row>
    <row r="1619" spans="1:12" ht="69">
      <c r="A1619" s="73">
        <v>1618</v>
      </c>
      <c r="B1619" s="74" t="s">
        <v>13172</v>
      </c>
      <c r="C1619" s="74" t="s">
        <v>13173</v>
      </c>
      <c r="D1619" s="74" t="s">
        <v>41</v>
      </c>
      <c r="E1619" s="74" t="s">
        <v>9395</v>
      </c>
      <c r="F1619" s="74" t="s">
        <v>80</v>
      </c>
      <c r="G1619" s="74" t="s">
        <v>9982</v>
      </c>
      <c r="H1619" s="74" t="s">
        <v>46</v>
      </c>
      <c r="I1619" s="74" t="s">
        <v>13153</v>
      </c>
      <c r="J1619" s="74" t="s">
        <v>9347</v>
      </c>
      <c r="K1619" s="74" t="s">
        <v>13174</v>
      </c>
      <c r="L1619" s="74" t="s">
        <v>331</v>
      </c>
    </row>
    <row r="1620" spans="1:12" ht="55.2">
      <c r="A1620" s="73">
        <v>1619</v>
      </c>
      <c r="B1620" s="74" t="s">
        <v>13175</v>
      </c>
      <c r="C1620" s="74" t="s">
        <v>13176</v>
      </c>
      <c r="D1620" s="74" t="s">
        <v>143</v>
      </c>
      <c r="E1620" s="74" t="s">
        <v>9395</v>
      </c>
      <c r="F1620" s="74" t="s">
        <v>80</v>
      </c>
      <c r="G1620" s="74" t="s">
        <v>13108</v>
      </c>
      <c r="H1620" s="74" t="s">
        <v>327</v>
      </c>
      <c r="I1620" s="74" t="s">
        <v>9310</v>
      </c>
      <c r="J1620" s="74" t="s">
        <v>9347</v>
      </c>
      <c r="K1620" s="74" t="s">
        <v>13177</v>
      </c>
      <c r="L1620" s="74" t="s">
        <v>711</v>
      </c>
    </row>
    <row r="1621" spans="1:12" ht="69">
      <c r="A1621" s="73">
        <v>1620</v>
      </c>
      <c r="B1621" s="74" t="s">
        <v>13178</v>
      </c>
      <c r="C1621" s="74" t="s">
        <v>13179</v>
      </c>
      <c r="D1621" s="74" t="s">
        <v>41</v>
      </c>
      <c r="E1621" s="74" t="s">
        <v>9395</v>
      </c>
      <c r="F1621" s="74" t="s">
        <v>80</v>
      </c>
      <c r="G1621" s="74" t="s">
        <v>13124</v>
      </c>
      <c r="H1621" s="74" t="s">
        <v>46</v>
      </c>
      <c r="I1621" s="74" t="s">
        <v>13180</v>
      </c>
      <c r="J1621" s="74" t="s">
        <v>9347</v>
      </c>
      <c r="K1621" s="74" t="s">
        <v>13181</v>
      </c>
      <c r="L1621" s="74" t="s">
        <v>331</v>
      </c>
    </row>
    <row r="1622" spans="1:12" ht="69">
      <c r="A1622" s="73">
        <v>1621</v>
      </c>
      <c r="B1622" s="74" t="s">
        <v>13182</v>
      </c>
      <c r="C1622" s="74" t="s">
        <v>13183</v>
      </c>
      <c r="D1622" s="74" t="s">
        <v>41</v>
      </c>
      <c r="E1622" s="74" t="s">
        <v>9395</v>
      </c>
      <c r="F1622" s="74" t="s">
        <v>80</v>
      </c>
      <c r="G1622" s="74" t="s">
        <v>11799</v>
      </c>
      <c r="H1622" s="74" t="s">
        <v>46</v>
      </c>
      <c r="I1622" s="74" t="s">
        <v>47</v>
      </c>
      <c r="J1622" s="74" t="s">
        <v>9347</v>
      </c>
      <c r="K1622" s="74"/>
      <c r="L1622" s="74"/>
    </row>
    <row r="1623" spans="1:12" ht="69">
      <c r="A1623" s="73">
        <v>1622</v>
      </c>
      <c r="B1623" s="74" t="s">
        <v>13184</v>
      </c>
      <c r="C1623" s="74" t="s">
        <v>13185</v>
      </c>
      <c r="D1623" s="74" t="s">
        <v>89</v>
      </c>
      <c r="E1623" s="74" t="s">
        <v>9395</v>
      </c>
      <c r="F1623" s="74" t="s">
        <v>80</v>
      </c>
      <c r="G1623" s="74" t="s">
        <v>11735</v>
      </c>
      <c r="H1623" s="74" t="s">
        <v>91</v>
      </c>
      <c r="I1623" s="74" t="s">
        <v>9310</v>
      </c>
      <c r="J1623" s="74" t="s">
        <v>9347</v>
      </c>
      <c r="K1623" s="74" t="s">
        <v>13186</v>
      </c>
      <c r="L1623" s="74" t="s">
        <v>711</v>
      </c>
    </row>
    <row r="1624" spans="1:12" ht="69">
      <c r="A1624" s="73">
        <v>1623</v>
      </c>
      <c r="B1624" s="74" t="s">
        <v>13187</v>
      </c>
      <c r="C1624" s="74" t="s">
        <v>13188</v>
      </c>
      <c r="D1624" s="74" t="s">
        <v>41</v>
      </c>
      <c r="E1624" s="74" t="s">
        <v>9395</v>
      </c>
      <c r="F1624" s="74" t="s">
        <v>80</v>
      </c>
      <c r="G1624" s="74" t="s">
        <v>13124</v>
      </c>
      <c r="H1624" s="74" t="s">
        <v>46</v>
      </c>
      <c r="I1624" s="74" t="s">
        <v>47</v>
      </c>
      <c r="J1624" s="74" t="s">
        <v>9347</v>
      </c>
      <c r="K1624" s="74" t="s">
        <v>13189</v>
      </c>
      <c r="L1624" s="74" t="s">
        <v>318</v>
      </c>
    </row>
    <row r="1625" spans="1:12" ht="69">
      <c r="A1625" s="73">
        <v>1624</v>
      </c>
      <c r="B1625" s="74" t="s">
        <v>13190</v>
      </c>
      <c r="C1625" s="74" t="s">
        <v>325</v>
      </c>
      <c r="D1625" s="74" t="s">
        <v>41</v>
      </c>
      <c r="E1625" s="74" t="s">
        <v>9395</v>
      </c>
      <c r="F1625" s="74" t="s">
        <v>80</v>
      </c>
      <c r="G1625" s="74" t="s">
        <v>13170</v>
      </c>
      <c r="H1625" s="74" t="s">
        <v>46</v>
      </c>
      <c r="I1625" s="74" t="s">
        <v>250</v>
      </c>
      <c r="J1625" s="74" t="s">
        <v>9351</v>
      </c>
      <c r="K1625" s="74" t="s">
        <v>13191</v>
      </c>
      <c r="L1625" s="74" t="s">
        <v>331</v>
      </c>
    </row>
    <row r="1626" spans="1:12" ht="55.2">
      <c r="A1626" s="73">
        <v>1625</v>
      </c>
      <c r="B1626" s="74" t="s">
        <v>13192</v>
      </c>
      <c r="C1626" s="74" t="s">
        <v>6818</v>
      </c>
      <c r="D1626" s="74" t="s">
        <v>68</v>
      </c>
      <c r="E1626" s="74" t="s">
        <v>9395</v>
      </c>
      <c r="F1626" s="74" t="s">
        <v>80</v>
      </c>
      <c r="G1626" s="74" t="s">
        <v>12284</v>
      </c>
      <c r="H1626" s="74" t="s">
        <v>70</v>
      </c>
      <c r="I1626" s="74" t="s">
        <v>3956</v>
      </c>
      <c r="J1626" s="74" t="s">
        <v>9351</v>
      </c>
      <c r="K1626" s="74" t="s">
        <v>13193</v>
      </c>
      <c r="L1626" s="74" t="s">
        <v>3207</v>
      </c>
    </row>
    <row r="1627" spans="1:12" ht="69">
      <c r="A1627" s="73">
        <v>1626</v>
      </c>
      <c r="B1627" s="74" t="s">
        <v>13194</v>
      </c>
      <c r="C1627" s="74" t="s">
        <v>5684</v>
      </c>
      <c r="D1627" s="74" t="s">
        <v>41</v>
      </c>
      <c r="E1627" s="74" t="s">
        <v>9395</v>
      </c>
      <c r="F1627" s="74" t="s">
        <v>80</v>
      </c>
      <c r="G1627" s="74" t="s">
        <v>13170</v>
      </c>
      <c r="H1627" s="74" t="s">
        <v>46</v>
      </c>
      <c r="I1627" s="74" t="s">
        <v>393</v>
      </c>
      <c r="J1627" s="74" t="s">
        <v>9351</v>
      </c>
      <c r="K1627" s="74" t="s">
        <v>13195</v>
      </c>
      <c r="L1627" s="74" t="s">
        <v>331</v>
      </c>
    </row>
    <row r="1628" spans="1:12" ht="55.2">
      <c r="A1628" s="73">
        <v>1627</v>
      </c>
      <c r="B1628" s="74" t="s">
        <v>13196</v>
      </c>
      <c r="C1628" s="74" t="s">
        <v>13197</v>
      </c>
      <c r="D1628" s="74" t="s">
        <v>68</v>
      </c>
      <c r="E1628" s="74" t="s">
        <v>9395</v>
      </c>
      <c r="F1628" s="74" t="s">
        <v>80</v>
      </c>
      <c r="G1628" s="74" t="s">
        <v>12284</v>
      </c>
      <c r="H1628" s="74" t="s">
        <v>70</v>
      </c>
      <c r="I1628" s="74" t="s">
        <v>3956</v>
      </c>
      <c r="J1628" s="74" t="s">
        <v>9351</v>
      </c>
      <c r="K1628" s="74" t="s">
        <v>13198</v>
      </c>
      <c r="L1628" s="74" t="s">
        <v>891</v>
      </c>
    </row>
    <row r="1629" spans="1:12" ht="55.2">
      <c r="A1629" s="73">
        <v>1628</v>
      </c>
      <c r="B1629" s="74" t="s">
        <v>13199</v>
      </c>
      <c r="C1629" s="74" t="s">
        <v>3413</v>
      </c>
      <c r="D1629" s="74" t="s">
        <v>68</v>
      </c>
      <c r="E1629" s="74" t="s">
        <v>9344</v>
      </c>
      <c r="F1629" s="74" t="s">
        <v>9345</v>
      </c>
      <c r="G1629" s="74" t="s">
        <v>9378</v>
      </c>
      <c r="H1629" s="74" t="s">
        <v>70</v>
      </c>
      <c r="I1629" s="74" t="s">
        <v>47</v>
      </c>
      <c r="J1629" s="74" t="s">
        <v>9347</v>
      </c>
      <c r="K1629" s="74" t="s">
        <v>13200</v>
      </c>
      <c r="L1629" s="74" t="s">
        <v>3207</v>
      </c>
    </row>
    <row r="1630" spans="1:12" ht="55.2">
      <c r="A1630" s="73">
        <v>1629</v>
      </c>
      <c r="B1630" s="74" t="s">
        <v>13201</v>
      </c>
      <c r="C1630" s="74" t="s">
        <v>13202</v>
      </c>
      <c r="D1630" s="74" t="s">
        <v>68</v>
      </c>
      <c r="E1630" s="74" t="s">
        <v>9395</v>
      </c>
      <c r="F1630" s="74" t="s">
        <v>80</v>
      </c>
      <c r="G1630" s="74" t="s">
        <v>10589</v>
      </c>
      <c r="H1630" s="74" t="s">
        <v>70</v>
      </c>
      <c r="I1630" s="74" t="s">
        <v>13203</v>
      </c>
      <c r="J1630" s="74" t="s">
        <v>9351</v>
      </c>
      <c r="K1630" s="74" t="s">
        <v>13204</v>
      </c>
      <c r="L1630" s="74" t="s">
        <v>891</v>
      </c>
    </row>
    <row r="1631" spans="1:12" ht="27.6">
      <c r="A1631" s="73">
        <v>1630</v>
      </c>
      <c r="B1631" s="74" t="s">
        <v>13205</v>
      </c>
      <c r="C1631" s="74" t="s">
        <v>13206</v>
      </c>
      <c r="D1631" s="74" t="s">
        <v>153</v>
      </c>
      <c r="E1631" s="74" t="s">
        <v>9395</v>
      </c>
      <c r="F1631" s="74" t="s">
        <v>80</v>
      </c>
      <c r="G1631" s="74" t="s">
        <v>11766</v>
      </c>
      <c r="H1631" s="74" t="s">
        <v>11767</v>
      </c>
      <c r="I1631" s="74" t="s">
        <v>2036</v>
      </c>
      <c r="J1631" s="74" t="s">
        <v>9351</v>
      </c>
      <c r="K1631" s="74" t="s">
        <v>13207</v>
      </c>
      <c r="L1631" s="74" t="s">
        <v>701</v>
      </c>
    </row>
    <row r="1632" spans="1:12" ht="55.2">
      <c r="A1632" s="73">
        <v>1631</v>
      </c>
      <c r="B1632" s="74" t="s">
        <v>13208</v>
      </c>
      <c r="C1632" s="74" t="s">
        <v>13209</v>
      </c>
      <c r="D1632" s="74" t="s">
        <v>143</v>
      </c>
      <c r="E1632" s="74" t="s">
        <v>9395</v>
      </c>
      <c r="F1632" s="74" t="s">
        <v>80</v>
      </c>
      <c r="G1632" s="74" t="s">
        <v>12205</v>
      </c>
      <c r="H1632" s="74" t="s">
        <v>327</v>
      </c>
      <c r="I1632" s="74" t="s">
        <v>758</v>
      </c>
      <c r="J1632" s="74" t="s">
        <v>9351</v>
      </c>
      <c r="K1632" s="74" t="s">
        <v>13210</v>
      </c>
      <c r="L1632" s="74" t="s">
        <v>331</v>
      </c>
    </row>
    <row r="1633" spans="1:12" ht="69">
      <c r="A1633" s="73">
        <v>1632</v>
      </c>
      <c r="B1633" s="74" t="s">
        <v>13211</v>
      </c>
      <c r="C1633" s="74" t="s">
        <v>6834</v>
      </c>
      <c r="D1633" s="74" t="s">
        <v>295</v>
      </c>
      <c r="E1633" s="74" t="s">
        <v>9344</v>
      </c>
      <c r="F1633" s="74" t="s">
        <v>9345</v>
      </c>
      <c r="G1633" s="74" t="s">
        <v>9537</v>
      </c>
      <c r="H1633" s="74" t="s">
        <v>9538</v>
      </c>
      <c r="I1633" s="74" t="s">
        <v>47</v>
      </c>
      <c r="J1633" s="74" t="s">
        <v>9347</v>
      </c>
      <c r="K1633" s="74" t="s">
        <v>13212</v>
      </c>
      <c r="L1633" s="74" t="s">
        <v>318</v>
      </c>
    </row>
    <row r="1634" spans="1:12" ht="27.6">
      <c r="A1634" s="73">
        <v>1633</v>
      </c>
      <c r="B1634" s="74" t="s">
        <v>13213</v>
      </c>
      <c r="C1634" s="74" t="s">
        <v>13214</v>
      </c>
      <c r="D1634" s="74" t="s">
        <v>153</v>
      </c>
      <c r="E1634" s="74" t="s">
        <v>9395</v>
      </c>
      <c r="F1634" s="74" t="s">
        <v>80</v>
      </c>
      <c r="G1634" s="74" t="s">
        <v>11766</v>
      </c>
      <c r="H1634" s="74" t="s">
        <v>11767</v>
      </c>
      <c r="I1634" s="74" t="s">
        <v>2036</v>
      </c>
      <c r="J1634" s="74" t="s">
        <v>9351</v>
      </c>
      <c r="K1634" s="74" t="s">
        <v>13215</v>
      </c>
      <c r="L1634" s="74" t="s">
        <v>701</v>
      </c>
    </row>
    <row r="1635" spans="1:12" ht="69">
      <c r="A1635" s="73">
        <v>1634</v>
      </c>
      <c r="B1635" s="74" t="s">
        <v>13216</v>
      </c>
      <c r="C1635" s="74" t="s">
        <v>13217</v>
      </c>
      <c r="D1635" s="74" t="s">
        <v>41</v>
      </c>
      <c r="E1635" s="74" t="s">
        <v>9395</v>
      </c>
      <c r="F1635" s="74" t="s">
        <v>80</v>
      </c>
      <c r="G1635" s="74" t="s">
        <v>13124</v>
      </c>
      <c r="H1635" s="74" t="s">
        <v>46</v>
      </c>
      <c r="I1635" s="74" t="s">
        <v>2826</v>
      </c>
      <c r="J1635" s="74" t="s">
        <v>9351</v>
      </c>
      <c r="K1635" s="74" t="s">
        <v>13218</v>
      </c>
      <c r="L1635" s="74" t="s">
        <v>331</v>
      </c>
    </row>
    <row r="1636" spans="1:12" ht="69">
      <c r="A1636" s="73">
        <v>1635</v>
      </c>
      <c r="B1636" s="74" t="s">
        <v>13219</v>
      </c>
      <c r="C1636" s="74" t="s">
        <v>892</v>
      </c>
      <c r="D1636" s="74" t="s">
        <v>153</v>
      </c>
      <c r="E1636" s="74" t="s">
        <v>9395</v>
      </c>
      <c r="F1636" s="74" t="s">
        <v>80</v>
      </c>
      <c r="G1636" s="74" t="s">
        <v>11766</v>
      </c>
      <c r="H1636" s="74" t="s">
        <v>11767</v>
      </c>
      <c r="I1636" s="74" t="s">
        <v>192</v>
      </c>
      <c r="J1636" s="74" t="s">
        <v>9351</v>
      </c>
      <c r="K1636" s="74" t="s">
        <v>13220</v>
      </c>
      <c r="L1636" s="74" t="s">
        <v>897</v>
      </c>
    </row>
    <row r="1637" spans="1:12" ht="69">
      <c r="A1637" s="73">
        <v>1636</v>
      </c>
      <c r="B1637" s="74" t="s">
        <v>13221</v>
      </c>
      <c r="C1637" s="74" t="s">
        <v>13222</v>
      </c>
      <c r="D1637" s="74" t="s">
        <v>295</v>
      </c>
      <c r="E1637" s="74" t="s">
        <v>9344</v>
      </c>
      <c r="F1637" s="74" t="s">
        <v>9345</v>
      </c>
      <c r="G1637" s="74" t="s">
        <v>9537</v>
      </c>
      <c r="H1637" s="74" t="s">
        <v>9538</v>
      </c>
      <c r="I1637" s="74" t="s">
        <v>47</v>
      </c>
      <c r="J1637" s="74" t="s">
        <v>9347</v>
      </c>
      <c r="K1637" s="74"/>
      <c r="L1637" s="74"/>
    </row>
    <row r="1638" spans="1:12" ht="69">
      <c r="A1638" s="73">
        <v>1637</v>
      </c>
      <c r="B1638" s="74" t="s">
        <v>13223</v>
      </c>
      <c r="C1638" s="74" t="s">
        <v>13224</v>
      </c>
      <c r="D1638" s="74" t="s">
        <v>89</v>
      </c>
      <c r="E1638" s="74" t="s">
        <v>9395</v>
      </c>
      <c r="F1638" s="74" t="s">
        <v>80</v>
      </c>
      <c r="G1638" s="74" t="s">
        <v>11735</v>
      </c>
      <c r="H1638" s="74" t="s">
        <v>91</v>
      </c>
      <c r="I1638" s="74" t="s">
        <v>47</v>
      </c>
      <c r="J1638" s="74" t="s">
        <v>9351</v>
      </c>
      <c r="K1638" s="74" t="s">
        <v>13225</v>
      </c>
      <c r="L1638" s="74" t="s">
        <v>251</v>
      </c>
    </row>
    <row r="1639" spans="1:12" ht="55.2">
      <c r="A1639" s="73">
        <v>1638</v>
      </c>
      <c r="B1639" s="74" t="s">
        <v>13226</v>
      </c>
      <c r="C1639" s="74" t="s">
        <v>13227</v>
      </c>
      <c r="D1639" s="74" t="s">
        <v>89</v>
      </c>
      <c r="E1639" s="74" t="s">
        <v>9395</v>
      </c>
      <c r="F1639" s="74" t="s">
        <v>80</v>
      </c>
      <c r="G1639" s="74" t="s">
        <v>12367</v>
      </c>
      <c r="H1639" s="74" t="s">
        <v>118</v>
      </c>
      <c r="I1639" s="74" t="s">
        <v>4970</v>
      </c>
      <c r="J1639" s="74" t="s">
        <v>9351</v>
      </c>
      <c r="K1639" s="74" t="s">
        <v>13228</v>
      </c>
      <c r="L1639" s="74" t="s">
        <v>251</v>
      </c>
    </row>
    <row r="1640" spans="1:12" ht="55.2">
      <c r="A1640" s="73">
        <v>1639</v>
      </c>
      <c r="B1640" s="74" t="s">
        <v>13229</v>
      </c>
      <c r="C1640" s="74" t="s">
        <v>13230</v>
      </c>
      <c r="D1640" s="74" t="s">
        <v>153</v>
      </c>
      <c r="E1640" s="74" t="s">
        <v>9395</v>
      </c>
      <c r="F1640" s="74" t="s">
        <v>80</v>
      </c>
      <c r="G1640" s="74" t="s">
        <v>11851</v>
      </c>
      <c r="H1640" s="74" t="s">
        <v>11767</v>
      </c>
      <c r="I1640" s="74" t="s">
        <v>47</v>
      </c>
      <c r="J1640" s="74" t="s">
        <v>9351</v>
      </c>
      <c r="K1640" s="74" t="s">
        <v>13231</v>
      </c>
      <c r="L1640" s="74" t="s">
        <v>711</v>
      </c>
    </row>
    <row r="1641" spans="1:12" ht="55.2">
      <c r="A1641" s="73">
        <v>1640</v>
      </c>
      <c r="B1641" s="74" t="s">
        <v>13232</v>
      </c>
      <c r="C1641" s="74" t="s">
        <v>13233</v>
      </c>
      <c r="D1641" s="74" t="s">
        <v>143</v>
      </c>
      <c r="E1641" s="74" t="s">
        <v>9395</v>
      </c>
      <c r="F1641" s="74" t="s">
        <v>80</v>
      </c>
      <c r="G1641" s="74" t="s">
        <v>13108</v>
      </c>
      <c r="H1641" s="74" t="s">
        <v>327</v>
      </c>
      <c r="I1641" s="74" t="s">
        <v>250</v>
      </c>
      <c r="J1641" s="74" t="s">
        <v>9351</v>
      </c>
      <c r="K1641" s="74" t="s">
        <v>13234</v>
      </c>
      <c r="L1641" s="74" t="s">
        <v>251</v>
      </c>
    </row>
    <row r="1642" spans="1:12" ht="41.4">
      <c r="A1642" s="73">
        <v>1641</v>
      </c>
      <c r="B1642" s="74" t="s">
        <v>13235</v>
      </c>
      <c r="C1642" s="74" t="s">
        <v>13236</v>
      </c>
      <c r="D1642" s="74" t="s">
        <v>295</v>
      </c>
      <c r="E1642" s="74" t="s">
        <v>9344</v>
      </c>
      <c r="F1642" s="74" t="s">
        <v>9345</v>
      </c>
      <c r="G1642" s="74" t="s">
        <v>9677</v>
      </c>
      <c r="H1642" s="74" t="s">
        <v>407</v>
      </c>
      <c r="I1642" s="74" t="s">
        <v>47</v>
      </c>
      <c r="J1642" s="74" t="s">
        <v>9347</v>
      </c>
      <c r="K1642" s="74"/>
      <c r="L1642" s="74"/>
    </row>
    <row r="1643" spans="1:12" ht="55.2">
      <c r="A1643" s="73">
        <v>1642</v>
      </c>
      <c r="B1643" s="74" t="s">
        <v>13237</v>
      </c>
      <c r="C1643" s="74" t="s">
        <v>5542</v>
      </c>
      <c r="D1643" s="74" t="s">
        <v>143</v>
      </c>
      <c r="E1643" s="74" t="s">
        <v>9344</v>
      </c>
      <c r="F1643" s="74" t="s">
        <v>9345</v>
      </c>
      <c r="G1643" s="74" t="s">
        <v>9375</v>
      </c>
      <c r="H1643" s="74" t="s">
        <v>327</v>
      </c>
      <c r="I1643" s="74" t="s">
        <v>47</v>
      </c>
      <c r="J1643" s="74" t="s">
        <v>9351</v>
      </c>
      <c r="K1643" s="74"/>
      <c r="L1643" s="74"/>
    </row>
    <row r="1644" spans="1:12" ht="55.2">
      <c r="A1644" s="73">
        <v>1643</v>
      </c>
      <c r="B1644" s="74" t="s">
        <v>13238</v>
      </c>
      <c r="C1644" s="74" t="s">
        <v>2794</v>
      </c>
      <c r="D1644" s="74" t="s">
        <v>68</v>
      </c>
      <c r="E1644" s="74" t="s">
        <v>9395</v>
      </c>
      <c r="F1644" s="74" t="s">
        <v>80</v>
      </c>
      <c r="G1644" s="74" t="s">
        <v>10589</v>
      </c>
      <c r="H1644" s="74" t="s">
        <v>70</v>
      </c>
      <c r="I1644" s="74" t="s">
        <v>2795</v>
      </c>
      <c r="J1644" s="74" t="s">
        <v>9351</v>
      </c>
      <c r="K1644" s="74" t="s">
        <v>13239</v>
      </c>
      <c r="L1644" s="74" t="s">
        <v>891</v>
      </c>
    </row>
    <row r="1645" spans="1:12" ht="69">
      <c r="A1645" s="73">
        <v>1644</v>
      </c>
      <c r="B1645" s="74" t="s">
        <v>13240</v>
      </c>
      <c r="C1645" s="74" t="s">
        <v>13241</v>
      </c>
      <c r="D1645" s="74" t="s">
        <v>143</v>
      </c>
      <c r="E1645" s="74" t="s">
        <v>9395</v>
      </c>
      <c r="F1645" s="74" t="s">
        <v>80</v>
      </c>
      <c r="G1645" s="74" t="s">
        <v>13143</v>
      </c>
      <c r="H1645" s="74" t="s">
        <v>220</v>
      </c>
      <c r="I1645" s="74" t="s">
        <v>250</v>
      </c>
      <c r="J1645" s="74" t="s">
        <v>9351</v>
      </c>
      <c r="K1645" s="74" t="s">
        <v>13242</v>
      </c>
      <c r="L1645" s="74" t="s">
        <v>251</v>
      </c>
    </row>
    <row r="1646" spans="1:12" ht="41.4">
      <c r="A1646" s="73">
        <v>1645</v>
      </c>
      <c r="B1646" s="74" t="s">
        <v>13243</v>
      </c>
      <c r="C1646" s="74" t="s">
        <v>13244</v>
      </c>
      <c r="D1646" s="74" t="s">
        <v>295</v>
      </c>
      <c r="E1646" s="74" t="s">
        <v>9344</v>
      </c>
      <c r="F1646" s="74" t="s">
        <v>9345</v>
      </c>
      <c r="G1646" s="74" t="s">
        <v>9584</v>
      </c>
      <c r="H1646" s="74" t="s">
        <v>297</v>
      </c>
      <c r="I1646" s="74" t="s">
        <v>47</v>
      </c>
      <c r="J1646" s="74" t="s">
        <v>9347</v>
      </c>
      <c r="K1646" s="74"/>
      <c r="L1646" s="74"/>
    </row>
    <row r="1647" spans="1:12" ht="41.4">
      <c r="A1647" s="73">
        <v>1646</v>
      </c>
      <c r="B1647" s="74" t="s">
        <v>13245</v>
      </c>
      <c r="C1647" s="74" t="s">
        <v>13246</v>
      </c>
      <c r="D1647" s="74" t="s">
        <v>295</v>
      </c>
      <c r="E1647" s="74" t="s">
        <v>9344</v>
      </c>
      <c r="F1647" s="74" t="s">
        <v>9345</v>
      </c>
      <c r="G1647" s="74" t="s">
        <v>9584</v>
      </c>
      <c r="H1647" s="74" t="s">
        <v>297</v>
      </c>
      <c r="I1647" s="74" t="s">
        <v>47</v>
      </c>
      <c r="J1647" s="74" t="s">
        <v>9347</v>
      </c>
      <c r="K1647" s="74"/>
      <c r="L1647" s="74"/>
    </row>
    <row r="1648" spans="1:12" ht="55.2">
      <c r="A1648" s="73">
        <v>1647</v>
      </c>
      <c r="B1648" s="74" t="s">
        <v>13247</v>
      </c>
      <c r="C1648" s="74" t="s">
        <v>4998</v>
      </c>
      <c r="D1648" s="74" t="s">
        <v>143</v>
      </c>
      <c r="E1648" s="74" t="s">
        <v>9395</v>
      </c>
      <c r="F1648" s="74" t="s">
        <v>80</v>
      </c>
      <c r="G1648" s="74" t="s">
        <v>12205</v>
      </c>
      <c r="H1648" s="74" t="s">
        <v>327</v>
      </c>
      <c r="I1648" s="74" t="s">
        <v>250</v>
      </c>
      <c r="J1648" s="74" t="s">
        <v>9351</v>
      </c>
      <c r="K1648" s="74" t="s">
        <v>13248</v>
      </c>
      <c r="L1648" s="74" t="s">
        <v>251</v>
      </c>
    </row>
    <row r="1649" spans="1:12" ht="55.2">
      <c r="A1649" s="73">
        <v>1648</v>
      </c>
      <c r="B1649" s="74" t="s">
        <v>13249</v>
      </c>
      <c r="C1649" s="74" t="s">
        <v>246</v>
      </c>
      <c r="D1649" s="74" t="s">
        <v>143</v>
      </c>
      <c r="E1649" s="74" t="s">
        <v>9395</v>
      </c>
      <c r="F1649" s="74" t="s">
        <v>80</v>
      </c>
      <c r="G1649" s="74" t="s">
        <v>12205</v>
      </c>
      <c r="H1649" s="74" t="s">
        <v>327</v>
      </c>
      <c r="I1649" s="74" t="s">
        <v>250</v>
      </c>
      <c r="J1649" s="74" t="s">
        <v>9351</v>
      </c>
      <c r="K1649" s="74" t="s">
        <v>13250</v>
      </c>
      <c r="L1649" s="74" t="s">
        <v>251</v>
      </c>
    </row>
    <row r="1650" spans="1:12" ht="41.4">
      <c r="A1650" s="73">
        <v>1649</v>
      </c>
      <c r="B1650" s="74" t="s">
        <v>13251</v>
      </c>
      <c r="C1650" s="74" t="s">
        <v>13252</v>
      </c>
      <c r="D1650" s="74" t="s">
        <v>41</v>
      </c>
      <c r="E1650" s="74" t="s">
        <v>9344</v>
      </c>
      <c r="F1650" s="74" t="s">
        <v>9345</v>
      </c>
      <c r="G1650" s="74" t="s">
        <v>9410</v>
      </c>
      <c r="H1650" s="74" t="s">
        <v>130</v>
      </c>
      <c r="I1650" s="74" t="s">
        <v>47</v>
      </c>
      <c r="J1650" s="74" t="s">
        <v>9347</v>
      </c>
      <c r="K1650" s="74" t="s">
        <v>13253</v>
      </c>
      <c r="L1650" s="74" t="s">
        <v>331</v>
      </c>
    </row>
    <row r="1651" spans="1:12" ht="69">
      <c r="A1651" s="73">
        <v>1650</v>
      </c>
      <c r="B1651" s="74" t="s">
        <v>13254</v>
      </c>
      <c r="C1651" s="74" t="s">
        <v>13255</v>
      </c>
      <c r="D1651" s="74" t="s">
        <v>41</v>
      </c>
      <c r="E1651" s="74" t="s">
        <v>9395</v>
      </c>
      <c r="F1651" s="74" t="s">
        <v>80</v>
      </c>
      <c r="G1651" s="74" t="s">
        <v>13124</v>
      </c>
      <c r="H1651" s="74" t="s">
        <v>46</v>
      </c>
      <c r="I1651" s="74" t="s">
        <v>758</v>
      </c>
      <c r="J1651" s="74" t="s">
        <v>9351</v>
      </c>
      <c r="K1651" s="74" t="s">
        <v>13256</v>
      </c>
      <c r="L1651" s="74" t="s">
        <v>331</v>
      </c>
    </row>
    <row r="1652" spans="1:12" ht="41.4">
      <c r="A1652" s="73">
        <v>1651</v>
      </c>
      <c r="B1652" s="74" t="s">
        <v>13257</v>
      </c>
      <c r="C1652" s="74" t="s">
        <v>13258</v>
      </c>
      <c r="D1652" s="74" t="s">
        <v>295</v>
      </c>
      <c r="E1652" s="74" t="s">
        <v>9395</v>
      </c>
      <c r="F1652" s="74" t="s">
        <v>80</v>
      </c>
      <c r="G1652" s="74" t="s">
        <v>11950</v>
      </c>
      <c r="H1652" s="74" t="s">
        <v>297</v>
      </c>
      <c r="I1652" s="74" t="s">
        <v>92</v>
      </c>
      <c r="J1652" s="74" t="s">
        <v>9351</v>
      </c>
      <c r="K1652" s="74" t="s">
        <v>13259</v>
      </c>
      <c r="L1652" s="74" t="s">
        <v>318</v>
      </c>
    </row>
    <row r="1653" spans="1:12" ht="41.4">
      <c r="A1653" s="73">
        <v>1652</v>
      </c>
      <c r="B1653" s="74" t="s">
        <v>13260</v>
      </c>
      <c r="C1653" s="74" t="s">
        <v>13261</v>
      </c>
      <c r="D1653" s="74" t="s">
        <v>295</v>
      </c>
      <c r="E1653" s="74" t="s">
        <v>9344</v>
      </c>
      <c r="F1653" s="74" t="s">
        <v>9345</v>
      </c>
      <c r="G1653" s="74" t="s">
        <v>9355</v>
      </c>
      <c r="H1653" s="74" t="s">
        <v>297</v>
      </c>
      <c r="I1653" s="74" t="s">
        <v>47</v>
      </c>
      <c r="J1653" s="74" t="s">
        <v>9347</v>
      </c>
      <c r="K1653" s="74"/>
      <c r="L1653" s="74"/>
    </row>
    <row r="1654" spans="1:12" ht="55.2">
      <c r="A1654" s="73">
        <v>1653</v>
      </c>
      <c r="B1654" s="74" t="s">
        <v>13262</v>
      </c>
      <c r="C1654" s="74" t="s">
        <v>13263</v>
      </c>
      <c r="D1654" s="74" t="s">
        <v>41</v>
      </c>
      <c r="E1654" s="74" t="s">
        <v>9344</v>
      </c>
      <c r="F1654" s="74" t="s">
        <v>9345</v>
      </c>
      <c r="G1654" s="74" t="s">
        <v>9665</v>
      </c>
      <c r="H1654" s="74" t="s">
        <v>662</v>
      </c>
      <c r="I1654" s="74" t="s">
        <v>47</v>
      </c>
      <c r="J1654" s="74" t="s">
        <v>9351</v>
      </c>
      <c r="K1654" s="74"/>
      <c r="L1654" s="74"/>
    </row>
    <row r="1655" spans="1:12" ht="55.2">
      <c r="A1655" s="73">
        <v>1654</v>
      </c>
      <c r="B1655" s="74" t="s">
        <v>13264</v>
      </c>
      <c r="C1655" s="74" t="s">
        <v>13265</v>
      </c>
      <c r="D1655" s="74" t="s">
        <v>295</v>
      </c>
      <c r="E1655" s="74" t="s">
        <v>9344</v>
      </c>
      <c r="F1655" s="74" t="s">
        <v>9345</v>
      </c>
      <c r="G1655" s="74" t="s">
        <v>9346</v>
      </c>
      <c r="H1655" s="74" t="s">
        <v>297</v>
      </c>
      <c r="I1655" s="74" t="s">
        <v>47</v>
      </c>
      <c r="J1655" s="74" t="s">
        <v>9347</v>
      </c>
      <c r="K1655" s="74"/>
      <c r="L1655" s="74"/>
    </row>
    <row r="1656" spans="1:12" ht="41.4">
      <c r="A1656" s="73">
        <v>1655</v>
      </c>
      <c r="B1656" s="74" t="s">
        <v>13266</v>
      </c>
      <c r="C1656" s="74" t="s">
        <v>13267</v>
      </c>
      <c r="D1656" s="74" t="s">
        <v>295</v>
      </c>
      <c r="E1656" s="74" t="s">
        <v>9395</v>
      </c>
      <c r="F1656" s="74" t="s">
        <v>80</v>
      </c>
      <c r="G1656" s="74" t="s">
        <v>11958</v>
      </c>
      <c r="H1656" s="74" t="s">
        <v>407</v>
      </c>
      <c r="I1656" s="74" t="s">
        <v>3203</v>
      </c>
      <c r="J1656" s="74" t="s">
        <v>9351</v>
      </c>
      <c r="K1656" s="74" t="s">
        <v>13268</v>
      </c>
      <c r="L1656" s="74" t="s">
        <v>318</v>
      </c>
    </row>
    <row r="1657" spans="1:12" ht="55.2">
      <c r="A1657" s="73">
        <v>1656</v>
      </c>
      <c r="B1657" s="74" t="s">
        <v>13269</v>
      </c>
      <c r="C1657" s="74" t="s">
        <v>13270</v>
      </c>
      <c r="D1657" s="74" t="s">
        <v>68</v>
      </c>
      <c r="E1657" s="74" t="s">
        <v>9395</v>
      </c>
      <c r="F1657" s="74" t="s">
        <v>80</v>
      </c>
      <c r="G1657" s="74" t="s">
        <v>10589</v>
      </c>
      <c r="H1657" s="74" t="s">
        <v>70</v>
      </c>
      <c r="I1657" s="74" t="s">
        <v>758</v>
      </c>
      <c r="J1657" s="74" t="s">
        <v>9351</v>
      </c>
      <c r="K1657" s="74"/>
      <c r="L1657" s="74"/>
    </row>
    <row r="1658" spans="1:12" ht="69">
      <c r="A1658" s="73">
        <v>1657</v>
      </c>
      <c r="B1658" s="74" t="s">
        <v>13271</v>
      </c>
      <c r="C1658" s="74" t="s">
        <v>13272</v>
      </c>
      <c r="D1658" s="74" t="s">
        <v>89</v>
      </c>
      <c r="E1658" s="74" t="s">
        <v>9395</v>
      </c>
      <c r="F1658" s="74" t="s">
        <v>80</v>
      </c>
      <c r="G1658" s="74" t="s">
        <v>9396</v>
      </c>
      <c r="H1658" s="74" t="s">
        <v>91</v>
      </c>
      <c r="I1658" s="74" t="s">
        <v>3203</v>
      </c>
      <c r="J1658" s="74" t="s">
        <v>9351</v>
      </c>
      <c r="K1658" s="74" t="s">
        <v>13273</v>
      </c>
      <c r="L1658" s="74" t="s">
        <v>3207</v>
      </c>
    </row>
    <row r="1659" spans="1:12" ht="69">
      <c r="A1659" s="73">
        <v>1658</v>
      </c>
      <c r="B1659" s="74" t="s">
        <v>13274</v>
      </c>
      <c r="C1659" s="74" t="s">
        <v>13275</v>
      </c>
      <c r="D1659" s="74" t="s">
        <v>143</v>
      </c>
      <c r="E1659" s="74" t="s">
        <v>9395</v>
      </c>
      <c r="F1659" s="74" t="s">
        <v>80</v>
      </c>
      <c r="G1659" s="74" t="s">
        <v>13143</v>
      </c>
      <c r="H1659" s="74" t="s">
        <v>220</v>
      </c>
      <c r="I1659" s="74" t="s">
        <v>9310</v>
      </c>
      <c r="J1659" s="74" t="s">
        <v>9347</v>
      </c>
      <c r="K1659" s="74" t="s">
        <v>13276</v>
      </c>
      <c r="L1659" s="74" t="s">
        <v>711</v>
      </c>
    </row>
    <row r="1660" spans="1:12" ht="41.4">
      <c r="A1660" s="73">
        <v>1659</v>
      </c>
      <c r="B1660" s="74" t="s">
        <v>13277</v>
      </c>
      <c r="C1660" s="74" t="s">
        <v>13278</v>
      </c>
      <c r="D1660" s="74" t="s">
        <v>153</v>
      </c>
      <c r="E1660" s="74" t="s">
        <v>9344</v>
      </c>
      <c r="F1660" s="74" t="s">
        <v>9345</v>
      </c>
      <c r="G1660" s="74" t="s">
        <v>9763</v>
      </c>
      <c r="H1660" s="74" t="s">
        <v>155</v>
      </c>
      <c r="I1660" s="74" t="s">
        <v>13279</v>
      </c>
      <c r="J1660" s="74" t="s">
        <v>9347</v>
      </c>
      <c r="K1660" s="74" t="s">
        <v>13280</v>
      </c>
      <c r="L1660" s="74" t="s">
        <v>3207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9"/>
  <sheetViews>
    <sheetView workbookViewId="0"/>
  </sheetViews>
  <sheetFormatPr defaultColWidth="12.5546875" defaultRowHeight="15.75" customHeight="1"/>
  <cols>
    <col min="2" max="2" width="29.109375" customWidth="1"/>
  </cols>
  <sheetData>
    <row r="1" spans="1:2">
      <c r="A1" s="75" t="s">
        <v>13281</v>
      </c>
      <c r="B1" s="75" t="s">
        <v>13282</v>
      </c>
    </row>
    <row r="2" spans="1:2">
      <c r="A2" s="75" t="s">
        <v>98</v>
      </c>
      <c r="B2" s="75" t="s">
        <v>99</v>
      </c>
    </row>
    <row r="3" spans="1:2">
      <c r="A3" s="75" t="s">
        <v>319</v>
      </c>
      <c r="B3" s="75" t="s">
        <v>320</v>
      </c>
    </row>
    <row r="4" spans="1:2">
      <c r="A4" s="75" t="s">
        <v>150</v>
      </c>
      <c r="B4" s="75" t="s">
        <v>151</v>
      </c>
    </row>
    <row r="5" spans="1:2">
      <c r="A5" s="75" t="s">
        <v>171</v>
      </c>
      <c r="B5" s="75" t="s">
        <v>172</v>
      </c>
    </row>
    <row r="6" spans="1:2">
      <c r="A6" s="75" t="s">
        <v>389</v>
      </c>
      <c r="B6" s="75" t="s">
        <v>390</v>
      </c>
    </row>
    <row r="7" spans="1:2">
      <c r="A7" s="75" t="s">
        <v>196</v>
      </c>
      <c r="B7" s="75" t="s">
        <v>197</v>
      </c>
    </row>
    <row r="8" spans="1:2">
      <c r="A8" s="75" t="s">
        <v>64</v>
      </c>
      <c r="B8" s="75" t="s">
        <v>65</v>
      </c>
    </row>
    <row r="9" spans="1:2">
      <c r="A9" s="75" t="s">
        <v>76</v>
      </c>
      <c r="B9" s="75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5076"/>
  <sheetViews>
    <sheetView workbookViewId="0"/>
  </sheetViews>
  <sheetFormatPr defaultColWidth="12.5546875" defaultRowHeight="15.75" customHeight="1"/>
  <cols>
    <col min="1" max="1" width="22.5546875" customWidth="1"/>
    <col min="2" max="2" width="31.88671875" customWidth="1"/>
    <col min="3" max="3" width="17.109375" customWidth="1"/>
  </cols>
  <sheetData>
    <row r="1" spans="1:3">
      <c r="A1" s="76" t="str">
        <f ca="1">IFERROR(__xludf.DUMMYFUNCTION("importrange(""https://docs.google.com/spreadsheets/d/1Jj8xLQGpX0veWD4CFtG6hPHpE9ZzybzQxj-7hg4HQF4/edit#gid=0"", ""Обновление статуса!A2:C"")"),"Номер ЛД")</f>
        <v>Номер ЛД</v>
      </c>
      <c r="B1" s="77" t="str">
        <f ca="1">IFERROR(__xludf.DUMMYFUNCTION("""COMPUTED_VALUE"""),"ФИО")</f>
        <v>ФИО</v>
      </c>
      <c r="C1" s="78" t="str">
        <f ca="1">IFERROR(__xludf.DUMMYFUNCTION("""COMPUTED_VALUE"""),"Состояние")</f>
        <v>Состояние</v>
      </c>
    </row>
    <row r="2" spans="1:3">
      <c r="A2" s="76">
        <f ca="1">IFERROR(__xludf.DUMMYFUNCTION("""COMPUTED_VALUE"""),2300087)</f>
        <v>2300087</v>
      </c>
      <c r="B2" s="76" t="str">
        <f ca="1">IFERROR(__xludf.DUMMYFUNCTION("""COMPUTED_VALUE"""),"Тагаев Егор Андреевич")</f>
        <v>Тагаев Егор Андреевич</v>
      </c>
      <c r="C2" s="75" t="str">
        <f ca="1">IFERROR(__xludf.DUMMYFUNCTION("""COMPUTED_VALUE"""),"Аспирант")</f>
        <v>Аспирант</v>
      </c>
    </row>
    <row r="3" spans="1:3">
      <c r="A3" s="76">
        <f ca="1">IFERROR(__xludf.DUMMYFUNCTION("""COMPUTED_VALUE"""),2300090)</f>
        <v>2300090</v>
      </c>
      <c r="B3" s="76" t="str">
        <f ca="1">IFERROR(__xludf.DUMMYFUNCTION("""COMPUTED_VALUE"""),"Величко Иван Михайлович")</f>
        <v>Величко Иван Михайлович</v>
      </c>
      <c r="C3" s="75" t="str">
        <f ca="1">IFERROR(__xludf.DUMMYFUNCTION("""COMPUTED_VALUE"""),"Аспирант")</f>
        <v>Аспирант</v>
      </c>
    </row>
    <row r="4" spans="1:3">
      <c r="A4" s="76">
        <f ca="1">IFERROR(__xludf.DUMMYFUNCTION("""COMPUTED_VALUE"""),2300096)</f>
        <v>2300096</v>
      </c>
      <c r="B4" s="76" t="str">
        <f ca="1">IFERROR(__xludf.DUMMYFUNCTION("""COMPUTED_VALUE"""),"Камаев Артем Анатольевич")</f>
        <v>Камаев Артем Анатольевич</v>
      </c>
      <c r="C4" s="75" t="str">
        <f ca="1">IFERROR(__xludf.DUMMYFUNCTION("""COMPUTED_VALUE"""),"Аспирант")</f>
        <v>Аспирант</v>
      </c>
    </row>
    <row r="5" spans="1:3">
      <c r="A5" s="76">
        <f ca="1">IFERROR(__xludf.DUMMYFUNCTION("""COMPUTED_VALUE"""),2300100)</f>
        <v>2300100</v>
      </c>
      <c r="B5" s="76" t="str">
        <f ca="1">IFERROR(__xludf.DUMMYFUNCTION("""COMPUTED_VALUE"""),"Роенко Максим Артемович")</f>
        <v>Роенко Максим Артемович</v>
      </c>
      <c r="C5" s="75" t="str">
        <f ca="1">IFERROR(__xludf.DUMMYFUNCTION("""COMPUTED_VALUE"""),"Аспирант")</f>
        <v>Аспирант</v>
      </c>
    </row>
    <row r="6" spans="1:3">
      <c r="A6" s="76">
        <f ca="1">IFERROR(__xludf.DUMMYFUNCTION("""COMPUTED_VALUE"""),2300101)</f>
        <v>2300101</v>
      </c>
      <c r="B6" s="76" t="str">
        <f ca="1">IFERROR(__xludf.DUMMYFUNCTION("""COMPUTED_VALUE"""),"Безруков Вадим Игоревич")</f>
        <v>Безруков Вадим Игоревич</v>
      </c>
      <c r="C6" s="75" t="str">
        <f ca="1">IFERROR(__xludf.DUMMYFUNCTION("""COMPUTED_VALUE"""),"Аспирант")</f>
        <v>Аспирант</v>
      </c>
    </row>
    <row r="7" spans="1:3">
      <c r="A7" s="76">
        <f ca="1">IFERROR(__xludf.DUMMYFUNCTION("""COMPUTED_VALUE"""),2300102)</f>
        <v>2300102</v>
      </c>
      <c r="B7" s="76" t="str">
        <f ca="1">IFERROR(__xludf.DUMMYFUNCTION("""COMPUTED_VALUE"""),"Клементьев Евгений Андреевич")</f>
        <v>Клементьев Евгений Андреевич</v>
      </c>
      <c r="C7" s="75" t="str">
        <f ca="1">IFERROR(__xludf.DUMMYFUNCTION("""COMPUTED_VALUE"""),"Аспирант")</f>
        <v>Аспирант</v>
      </c>
    </row>
    <row r="8" spans="1:3">
      <c r="A8" s="76">
        <f ca="1">IFERROR(__xludf.DUMMYFUNCTION("""COMPUTED_VALUE"""),2300103)</f>
        <v>2300103</v>
      </c>
      <c r="B8" s="76" t="str">
        <f ca="1">IFERROR(__xludf.DUMMYFUNCTION("""COMPUTED_VALUE"""),"Жирнов Максим Максимович")</f>
        <v>Жирнов Максим Максимович</v>
      </c>
      <c r="C8" s="75" t="str">
        <f ca="1">IFERROR(__xludf.DUMMYFUNCTION("""COMPUTED_VALUE"""),"Аспирант")</f>
        <v>Аспирант</v>
      </c>
    </row>
    <row r="9" spans="1:3">
      <c r="A9" s="76">
        <f ca="1">IFERROR(__xludf.DUMMYFUNCTION("""COMPUTED_VALUE"""),2300105)</f>
        <v>2300105</v>
      </c>
      <c r="B9" s="76" t="str">
        <f ca="1">IFERROR(__xludf.DUMMYFUNCTION("""COMPUTED_VALUE"""),"Горбунов Александр Игоревич")</f>
        <v>Горбунов Александр Игоревич</v>
      </c>
      <c r="C9" s="75" t="str">
        <f ca="1">IFERROR(__xludf.DUMMYFUNCTION("""COMPUTED_VALUE"""),"Аспирант")</f>
        <v>Аспирант</v>
      </c>
    </row>
    <row r="10" spans="1:3">
      <c r="A10" s="76">
        <f ca="1">IFERROR(__xludf.DUMMYFUNCTION("""COMPUTED_VALUE"""),2300108)</f>
        <v>2300108</v>
      </c>
      <c r="B10" s="76" t="str">
        <f ca="1">IFERROR(__xludf.DUMMYFUNCTION("""COMPUTED_VALUE"""),"Маскаев Константин Валерьевич")</f>
        <v>Маскаев Константин Валерьевич</v>
      </c>
      <c r="C10" s="75" t="str">
        <f ca="1">IFERROR(__xludf.DUMMYFUNCTION("""COMPUTED_VALUE"""),"Аспирант")</f>
        <v>Аспирант</v>
      </c>
    </row>
    <row r="11" spans="1:3">
      <c r="A11" s="76">
        <f ca="1">IFERROR(__xludf.DUMMYFUNCTION("""COMPUTED_VALUE"""),2300109)</f>
        <v>2300109</v>
      </c>
      <c r="B11" s="76" t="str">
        <f ca="1">IFERROR(__xludf.DUMMYFUNCTION("""COMPUTED_VALUE"""),"Алимов Владислав Алексеевич")</f>
        <v>Алимов Владислав Алексеевич</v>
      </c>
      <c r="C11" s="75" t="str">
        <f ca="1">IFERROR(__xludf.DUMMYFUNCTION("""COMPUTED_VALUE"""),"Аспирант")</f>
        <v>Аспирант</v>
      </c>
    </row>
    <row r="12" spans="1:3">
      <c r="A12" s="76">
        <f ca="1">IFERROR(__xludf.DUMMYFUNCTION("""COMPUTED_VALUE"""),2300110)</f>
        <v>2300110</v>
      </c>
      <c r="B12" s="76" t="str">
        <f ca="1">IFERROR(__xludf.DUMMYFUNCTION("""COMPUTED_VALUE"""),"Бычков Антон Сергеевич")</f>
        <v>Бычков Антон Сергеевич</v>
      </c>
      <c r="C12" s="75" t="str">
        <f ca="1">IFERROR(__xludf.DUMMYFUNCTION("""COMPUTED_VALUE"""),"Аспирант")</f>
        <v>Аспирант</v>
      </c>
    </row>
    <row r="13" spans="1:3">
      <c r="A13" s="76">
        <f ca="1">IFERROR(__xludf.DUMMYFUNCTION("""COMPUTED_VALUE"""),2300136)</f>
        <v>2300136</v>
      </c>
      <c r="B13" s="76" t="str">
        <f ca="1">IFERROR(__xludf.DUMMYFUNCTION("""COMPUTED_VALUE"""),"Осипенко Виктор Дмитриевич")</f>
        <v>Осипенко Виктор Дмитриевич</v>
      </c>
      <c r="C13" s="75" t="str">
        <f ca="1">IFERROR(__xludf.DUMMYFUNCTION("""COMPUTED_VALUE"""),"Аспирант")</f>
        <v>Аспирант</v>
      </c>
    </row>
    <row r="14" spans="1:3">
      <c r="A14" s="76">
        <f ca="1">IFERROR(__xludf.DUMMYFUNCTION("""COMPUTED_VALUE"""),2300141)</f>
        <v>2300141</v>
      </c>
      <c r="B14" s="76" t="str">
        <f ca="1">IFERROR(__xludf.DUMMYFUNCTION("""COMPUTED_VALUE"""),"Яшин Егор Олегович")</f>
        <v>Яшин Егор Олегович</v>
      </c>
      <c r="C14" s="75" t="str">
        <f ca="1">IFERROR(__xludf.DUMMYFUNCTION("""COMPUTED_VALUE"""),"Аспирант")</f>
        <v>Аспирант</v>
      </c>
    </row>
    <row r="15" spans="1:3">
      <c r="A15" s="76">
        <f ca="1">IFERROR(__xludf.DUMMYFUNCTION("""COMPUTED_VALUE"""),2300148)</f>
        <v>2300148</v>
      </c>
      <c r="B15" s="76" t="str">
        <f ca="1">IFERROR(__xludf.DUMMYFUNCTION("""COMPUTED_VALUE"""),"Рубанов Матвей Алексеевич")</f>
        <v>Рубанов Матвей Алексеевич</v>
      </c>
      <c r="C15" s="75" t="str">
        <f ca="1">IFERROR(__xludf.DUMMYFUNCTION("""COMPUTED_VALUE"""),"Аспирант")</f>
        <v>Аспирант</v>
      </c>
    </row>
    <row r="16" spans="1:3">
      <c r="A16" s="76">
        <f ca="1">IFERROR(__xludf.DUMMYFUNCTION("""COMPUTED_VALUE"""),2300152)</f>
        <v>2300152</v>
      </c>
      <c r="B16" s="76" t="str">
        <f ca="1">IFERROR(__xludf.DUMMYFUNCTION("""COMPUTED_VALUE"""),"Мошков Дмитрий Сергеевич")</f>
        <v>Мошков Дмитрий Сергеевич</v>
      </c>
      <c r="C16" s="75" t="str">
        <f ca="1">IFERROR(__xludf.DUMMYFUNCTION("""COMPUTED_VALUE"""),"Аспирант")</f>
        <v>Аспирант</v>
      </c>
    </row>
    <row r="17" spans="1:3">
      <c r="A17" s="76">
        <f ca="1">IFERROR(__xludf.DUMMYFUNCTION("""COMPUTED_VALUE"""),2300160)</f>
        <v>2300160</v>
      </c>
      <c r="B17" s="76" t="str">
        <f ca="1">IFERROR(__xludf.DUMMYFUNCTION("""COMPUTED_VALUE"""),"Ушаков Егор Игоревич")</f>
        <v>Ушаков Егор Игоревич</v>
      </c>
      <c r="C17" s="75" t="str">
        <f ca="1">IFERROR(__xludf.DUMMYFUNCTION("""COMPUTED_VALUE"""),"Аспирант")</f>
        <v>Аспирант</v>
      </c>
    </row>
    <row r="18" spans="1:3">
      <c r="A18" s="76">
        <f ca="1">IFERROR(__xludf.DUMMYFUNCTION("""COMPUTED_VALUE"""),2300162)</f>
        <v>2300162</v>
      </c>
      <c r="B18" s="76" t="str">
        <f ca="1">IFERROR(__xludf.DUMMYFUNCTION("""COMPUTED_VALUE"""),"Анисимов Юрий Артемович")</f>
        <v>Анисимов Юрий Артемович</v>
      </c>
      <c r="C18" s="75" t="str">
        <f ca="1">IFERROR(__xludf.DUMMYFUNCTION("""COMPUTED_VALUE"""),"Аспирант")</f>
        <v>Аспирант</v>
      </c>
    </row>
    <row r="19" spans="1:3">
      <c r="A19" s="76">
        <f ca="1">IFERROR(__xludf.DUMMYFUNCTION("""COMPUTED_VALUE"""),2300164)</f>
        <v>2300164</v>
      </c>
      <c r="B19" s="76" t="str">
        <f ca="1">IFERROR(__xludf.DUMMYFUNCTION("""COMPUTED_VALUE"""),"Мержоев Ростислав")</f>
        <v>Мержоев Ростислав</v>
      </c>
      <c r="C19" s="75" t="str">
        <f ca="1">IFERROR(__xludf.DUMMYFUNCTION("""COMPUTED_VALUE"""),"Аспирант")</f>
        <v>Аспирант</v>
      </c>
    </row>
    <row r="20" spans="1:3">
      <c r="A20" s="76">
        <f ca="1">IFERROR(__xludf.DUMMYFUNCTION("""COMPUTED_VALUE"""),2300165)</f>
        <v>2300165</v>
      </c>
      <c r="B20" s="76" t="str">
        <f ca="1">IFERROR(__xludf.DUMMYFUNCTION("""COMPUTED_VALUE"""),"Степанов Георгий Дмитриевич")</f>
        <v>Степанов Георгий Дмитриевич</v>
      </c>
      <c r="C20" s="75" t="str">
        <f ca="1">IFERROR(__xludf.DUMMYFUNCTION("""COMPUTED_VALUE"""),"Аспирант")</f>
        <v>Аспирант</v>
      </c>
    </row>
    <row r="21" spans="1:3">
      <c r="A21" s="76">
        <f ca="1">IFERROR(__xludf.DUMMYFUNCTION("""COMPUTED_VALUE"""),2300166)</f>
        <v>2300166</v>
      </c>
      <c r="B21" s="76" t="str">
        <f ca="1">IFERROR(__xludf.DUMMYFUNCTION("""COMPUTED_VALUE"""),"Митькин Роман Виталиевич")</f>
        <v>Митькин Роман Виталиевич</v>
      </c>
      <c r="C21" s="75" t="str">
        <f ca="1">IFERROR(__xludf.DUMMYFUNCTION("""COMPUTED_VALUE"""),"Аспирант")</f>
        <v>Аспирант</v>
      </c>
    </row>
    <row r="22" spans="1:3">
      <c r="A22" s="76">
        <f ca="1">IFERROR(__xludf.DUMMYFUNCTION("""COMPUTED_VALUE"""),2300167)</f>
        <v>2300167</v>
      </c>
      <c r="B22" s="76" t="str">
        <f ca="1">IFERROR(__xludf.DUMMYFUNCTION("""COMPUTED_VALUE"""),"Баранов Александр Алексеевич")</f>
        <v>Баранов Александр Алексеевич</v>
      </c>
      <c r="C22" s="75" t="str">
        <f ca="1">IFERROR(__xludf.DUMMYFUNCTION("""COMPUTED_VALUE"""),"Аспирант")</f>
        <v>Аспирант</v>
      </c>
    </row>
    <row r="23" spans="1:3">
      <c r="A23" s="76">
        <f ca="1">IFERROR(__xludf.DUMMYFUNCTION("""COMPUTED_VALUE"""),2300168)</f>
        <v>2300168</v>
      </c>
      <c r="B23" s="76" t="str">
        <f ca="1">IFERROR(__xludf.DUMMYFUNCTION("""COMPUTED_VALUE"""),"Глатко Светлана Андреевна")</f>
        <v>Глатко Светлана Андреевна</v>
      </c>
      <c r="C23" s="75" t="str">
        <f ca="1">IFERROR(__xludf.DUMMYFUNCTION("""COMPUTED_VALUE"""),"Аспирант")</f>
        <v>Аспирант</v>
      </c>
    </row>
    <row r="24" spans="1:3">
      <c r="A24" s="76">
        <f ca="1">IFERROR(__xludf.DUMMYFUNCTION("""COMPUTED_VALUE"""),2300170)</f>
        <v>2300170</v>
      </c>
      <c r="B24" s="76" t="str">
        <f ca="1">IFERROR(__xludf.DUMMYFUNCTION("""COMPUTED_VALUE"""),"Бойкова Любовь Владимировна")</f>
        <v>Бойкова Любовь Владимировна</v>
      </c>
      <c r="C24" s="75" t="str">
        <f ca="1">IFERROR(__xludf.DUMMYFUNCTION("""COMPUTED_VALUE"""),"Аспирант")</f>
        <v>Аспирант</v>
      </c>
    </row>
    <row r="25" spans="1:3">
      <c r="A25" s="76">
        <f ca="1">IFERROR(__xludf.DUMMYFUNCTION("""COMPUTED_VALUE"""),2300173)</f>
        <v>2300173</v>
      </c>
      <c r="B25" s="76" t="str">
        <f ca="1">IFERROR(__xludf.DUMMYFUNCTION("""COMPUTED_VALUE"""),"Кириченко Андрей Алексеевич")</f>
        <v>Кириченко Андрей Алексеевич</v>
      </c>
      <c r="C25" s="75" t="str">
        <f ca="1">IFERROR(__xludf.DUMMYFUNCTION("""COMPUTED_VALUE"""),"Аспирант")</f>
        <v>Аспирант</v>
      </c>
    </row>
    <row r="26" spans="1:3">
      <c r="A26" s="76">
        <f ca="1">IFERROR(__xludf.DUMMYFUNCTION("""COMPUTED_VALUE"""),2300177)</f>
        <v>2300177</v>
      </c>
      <c r="B26" s="76" t="str">
        <f ca="1">IFERROR(__xludf.DUMMYFUNCTION("""COMPUTED_VALUE"""),"Дьяк Дмитрий Сергеевич")</f>
        <v>Дьяк Дмитрий Сергеевич</v>
      </c>
      <c r="C26" s="75" t="str">
        <f ca="1">IFERROR(__xludf.DUMMYFUNCTION("""COMPUTED_VALUE"""),"Аспирант")</f>
        <v>Аспирант</v>
      </c>
    </row>
    <row r="27" spans="1:3">
      <c r="A27" s="76">
        <f ca="1">IFERROR(__xludf.DUMMYFUNCTION("""COMPUTED_VALUE"""),2300181)</f>
        <v>2300181</v>
      </c>
      <c r="B27" s="76" t="str">
        <f ca="1">IFERROR(__xludf.DUMMYFUNCTION("""COMPUTED_VALUE"""),"Беркутова Александра Юрьевна")</f>
        <v>Беркутова Александра Юрьевна</v>
      </c>
      <c r="C27" s="75" t="str">
        <f ca="1">IFERROR(__xludf.DUMMYFUNCTION("""COMPUTED_VALUE"""),"Аспирант")</f>
        <v>Аспирант</v>
      </c>
    </row>
    <row r="28" spans="1:3">
      <c r="A28" s="76">
        <f ca="1">IFERROR(__xludf.DUMMYFUNCTION("""COMPUTED_VALUE"""),2300182)</f>
        <v>2300182</v>
      </c>
      <c r="B28" s="76" t="str">
        <f ca="1">IFERROR(__xludf.DUMMYFUNCTION("""COMPUTED_VALUE"""),"Беркутов Антон Геннадиевич")</f>
        <v>Беркутов Антон Геннадиевич</v>
      </c>
      <c r="C28" s="75" t="str">
        <f ca="1">IFERROR(__xludf.DUMMYFUNCTION("""COMPUTED_VALUE"""),"Аспирант")</f>
        <v>Аспирант</v>
      </c>
    </row>
    <row r="29" spans="1:3">
      <c r="A29" s="76">
        <f ca="1">IFERROR(__xludf.DUMMYFUNCTION("""COMPUTED_VALUE"""),2300190)</f>
        <v>2300190</v>
      </c>
      <c r="B29" s="76" t="str">
        <f ca="1">IFERROR(__xludf.DUMMYFUNCTION("""COMPUTED_VALUE"""),"Кондратьев Ньургун Николаевич")</f>
        <v>Кондратьев Ньургун Николаевич</v>
      </c>
      <c r="C29" s="75" t="str">
        <f ca="1">IFERROR(__xludf.DUMMYFUNCTION("""COMPUTED_VALUE"""),"Аспирант")</f>
        <v>Аспирант</v>
      </c>
    </row>
    <row r="30" spans="1:3">
      <c r="A30" s="76">
        <f ca="1">IFERROR(__xludf.DUMMYFUNCTION("""COMPUTED_VALUE"""),2300242)</f>
        <v>2300242</v>
      </c>
      <c r="B30" s="76" t="str">
        <f ca="1">IFERROR(__xludf.DUMMYFUNCTION("""COMPUTED_VALUE"""),"Бузаев Михаил Федорович")</f>
        <v>Бузаев Михаил Федорович</v>
      </c>
      <c r="C30" s="75" t="str">
        <f ca="1">IFERROR(__xludf.DUMMYFUNCTION("""COMPUTED_VALUE"""),"Аспирант")</f>
        <v>Аспирант</v>
      </c>
    </row>
    <row r="31" spans="1:3">
      <c r="A31" s="76">
        <f ca="1">IFERROR(__xludf.DUMMYFUNCTION("""COMPUTED_VALUE"""),2300255)</f>
        <v>2300255</v>
      </c>
      <c r="B31" s="76" t="str">
        <f ca="1">IFERROR(__xludf.DUMMYFUNCTION("""COMPUTED_VALUE"""),"Захваткин Михаил Евгеньевич")</f>
        <v>Захваткин Михаил Евгеньевич</v>
      </c>
      <c r="C31" s="75" t="str">
        <f ca="1">IFERROR(__xludf.DUMMYFUNCTION("""COMPUTED_VALUE"""),"Аспирант")</f>
        <v>Аспирант</v>
      </c>
    </row>
    <row r="32" spans="1:3">
      <c r="A32" s="76">
        <f ca="1">IFERROR(__xludf.DUMMYFUNCTION("""COMPUTED_VALUE"""),2300258)</f>
        <v>2300258</v>
      </c>
      <c r="B32" s="76" t="str">
        <f ca="1">IFERROR(__xludf.DUMMYFUNCTION("""COMPUTED_VALUE"""),"Гвоздяный Семен Евгеньевич")</f>
        <v>Гвоздяный Семен Евгеньевич</v>
      </c>
      <c r="C32" s="75" t="str">
        <f ca="1">IFERROR(__xludf.DUMMYFUNCTION("""COMPUTED_VALUE"""),"Аспирант")</f>
        <v>Аспирант</v>
      </c>
    </row>
    <row r="33" spans="1:3">
      <c r="A33" s="76">
        <f ca="1">IFERROR(__xludf.DUMMYFUNCTION("""COMPUTED_VALUE"""),2300259)</f>
        <v>2300259</v>
      </c>
      <c r="B33" s="76" t="str">
        <f ca="1">IFERROR(__xludf.DUMMYFUNCTION("""COMPUTED_VALUE"""),"Кондратьев Дмитрий Сергеевич")</f>
        <v>Кондратьев Дмитрий Сергеевич</v>
      </c>
      <c r="C33" s="75" t="str">
        <f ca="1">IFERROR(__xludf.DUMMYFUNCTION("""COMPUTED_VALUE"""),"Аспирант")</f>
        <v>Аспирант</v>
      </c>
    </row>
    <row r="34" spans="1:3">
      <c r="A34" s="76">
        <f ca="1">IFERROR(__xludf.DUMMYFUNCTION("""COMPUTED_VALUE"""),2300271)</f>
        <v>2300271</v>
      </c>
      <c r="B34" s="76" t="str">
        <f ca="1">IFERROR(__xludf.DUMMYFUNCTION("""COMPUTED_VALUE"""),"Истомин Пётр Алексеевич")</f>
        <v>Истомин Пётр Алексеевич</v>
      </c>
      <c r="C34" s="75" t="str">
        <f ca="1">IFERROR(__xludf.DUMMYFUNCTION("""COMPUTED_VALUE"""),"Аспирант")</f>
        <v>Аспирант</v>
      </c>
    </row>
    <row r="35" spans="1:3">
      <c r="A35" s="76">
        <f ca="1">IFERROR(__xludf.DUMMYFUNCTION("""COMPUTED_VALUE"""),2300275)</f>
        <v>2300275</v>
      </c>
      <c r="B35" s="76" t="str">
        <f ca="1">IFERROR(__xludf.DUMMYFUNCTION("""COMPUTED_VALUE"""),"Омаров Андрей Амирасланович")</f>
        <v>Омаров Андрей Амирасланович</v>
      </c>
      <c r="C35" s="75" t="str">
        <f ca="1">IFERROR(__xludf.DUMMYFUNCTION("""COMPUTED_VALUE"""),"Аспирант")</f>
        <v>Аспирант</v>
      </c>
    </row>
    <row r="36" spans="1:3">
      <c r="A36" s="76">
        <f ca="1">IFERROR(__xludf.DUMMYFUNCTION("""COMPUTED_VALUE"""),2300276)</f>
        <v>2300276</v>
      </c>
      <c r="B36" s="76" t="str">
        <f ca="1">IFERROR(__xludf.DUMMYFUNCTION("""COMPUTED_VALUE"""),"Самитова Светлана Андреевна")</f>
        <v>Самитова Светлана Андреевна</v>
      </c>
      <c r="C36" s="75" t="str">
        <f ca="1">IFERROR(__xludf.DUMMYFUNCTION("""COMPUTED_VALUE"""),"Аспирант")</f>
        <v>Аспирант</v>
      </c>
    </row>
    <row r="37" spans="1:3">
      <c r="A37" s="76">
        <f ca="1">IFERROR(__xludf.DUMMYFUNCTION("""COMPUTED_VALUE"""),2300278)</f>
        <v>2300278</v>
      </c>
      <c r="B37" s="76" t="str">
        <f ca="1">IFERROR(__xludf.DUMMYFUNCTION("""COMPUTED_VALUE"""),"Дериглазов Денис Валерьевич")</f>
        <v>Дериглазов Денис Валерьевич</v>
      </c>
      <c r="C37" s="75" t="str">
        <f ca="1">IFERROR(__xludf.DUMMYFUNCTION("""COMPUTED_VALUE"""),"Аспирант")</f>
        <v>Аспирант</v>
      </c>
    </row>
    <row r="38" spans="1:3">
      <c r="A38" s="76">
        <f ca="1">IFERROR(__xludf.DUMMYFUNCTION("""COMPUTED_VALUE"""),2300279)</f>
        <v>2300279</v>
      </c>
      <c r="B38" s="76" t="str">
        <f ca="1">IFERROR(__xludf.DUMMYFUNCTION("""COMPUTED_VALUE"""),"Павлов Артем Владиславович")</f>
        <v>Павлов Артем Владиславович</v>
      </c>
      <c r="C38" s="75" t="str">
        <f ca="1">IFERROR(__xludf.DUMMYFUNCTION("""COMPUTED_VALUE"""),"Аспирант")</f>
        <v>Аспирант</v>
      </c>
    </row>
    <row r="39" spans="1:3">
      <c r="A39" s="76">
        <f ca="1">IFERROR(__xludf.DUMMYFUNCTION("""COMPUTED_VALUE"""),2300281)</f>
        <v>2300281</v>
      </c>
      <c r="B39" s="76" t="str">
        <f ca="1">IFERROR(__xludf.DUMMYFUNCTION("""COMPUTED_VALUE"""),"Широкоброд Илья Олегович")</f>
        <v>Широкоброд Илья Олегович</v>
      </c>
      <c r="C39" s="75" t="str">
        <f ca="1">IFERROR(__xludf.DUMMYFUNCTION("""COMPUTED_VALUE"""),"Аспирант")</f>
        <v>Аспирант</v>
      </c>
    </row>
    <row r="40" spans="1:3">
      <c r="A40" s="76">
        <f ca="1">IFERROR(__xludf.DUMMYFUNCTION("""COMPUTED_VALUE"""),2300282)</f>
        <v>2300282</v>
      </c>
      <c r="B40" s="76" t="str">
        <f ca="1">IFERROR(__xludf.DUMMYFUNCTION("""COMPUTED_VALUE"""),"Терехов Евгений Игоревич")</f>
        <v>Терехов Евгений Игоревич</v>
      </c>
      <c r="C40" s="75" t="str">
        <f ca="1">IFERROR(__xludf.DUMMYFUNCTION("""COMPUTED_VALUE"""),"Аспирант")</f>
        <v>Аспирант</v>
      </c>
    </row>
    <row r="41" spans="1:3">
      <c r="A41" s="76">
        <f ca="1">IFERROR(__xludf.DUMMYFUNCTION("""COMPUTED_VALUE"""),2300283)</f>
        <v>2300283</v>
      </c>
      <c r="B41" s="76" t="str">
        <f ca="1">IFERROR(__xludf.DUMMYFUNCTION("""COMPUTED_VALUE"""),"Комышан Александр Михайлович")</f>
        <v>Комышан Александр Михайлович</v>
      </c>
      <c r="C41" s="75" t="str">
        <f ca="1">IFERROR(__xludf.DUMMYFUNCTION("""COMPUTED_VALUE"""),"Аспирант")</f>
        <v>Аспирант</v>
      </c>
    </row>
    <row r="42" spans="1:3">
      <c r="A42" s="76">
        <f ca="1">IFERROR(__xludf.DUMMYFUNCTION("""COMPUTED_VALUE"""),2300288)</f>
        <v>2300288</v>
      </c>
      <c r="B42" s="76" t="str">
        <f ca="1">IFERROR(__xludf.DUMMYFUNCTION("""COMPUTED_VALUE"""),"Бердюгина Анастасия Андреевна")</f>
        <v>Бердюгина Анастасия Андреевна</v>
      </c>
      <c r="C42" s="75" t="str">
        <f ca="1">IFERROR(__xludf.DUMMYFUNCTION("""COMPUTED_VALUE"""),"Аспирант")</f>
        <v>Аспирант</v>
      </c>
    </row>
    <row r="43" spans="1:3">
      <c r="A43" s="76">
        <f ca="1">IFERROR(__xludf.DUMMYFUNCTION("""COMPUTED_VALUE"""),2300299)</f>
        <v>2300299</v>
      </c>
      <c r="B43" s="76" t="str">
        <f ca="1">IFERROR(__xludf.DUMMYFUNCTION("""COMPUTED_VALUE"""),"Халилов Ашраф Азамжонович")</f>
        <v>Халилов Ашраф Азамжонович</v>
      </c>
      <c r="C43" s="75" t="str">
        <f ca="1">IFERROR(__xludf.DUMMYFUNCTION("""COMPUTED_VALUE"""),"Студент")</f>
        <v>Студент</v>
      </c>
    </row>
    <row r="44" spans="1:3">
      <c r="A44" s="76">
        <f ca="1">IFERROR(__xludf.DUMMYFUNCTION("""COMPUTED_VALUE"""),2300301)</f>
        <v>2300301</v>
      </c>
      <c r="B44" s="76" t="str">
        <f ca="1">IFERROR(__xludf.DUMMYFUNCTION("""COMPUTED_VALUE"""),"Фам Ван Хуан")</f>
        <v>Фам Ван Хуан</v>
      </c>
      <c r="C44" s="75" t="str">
        <f ca="1">IFERROR(__xludf.DUMMYFUNCTION("""COMPUTED_VALUE"""),"Студент")</f>
        <v>Студент</v>
      </c>
    </row>
    <row r="45" spans="1:3">
      <c r="A45" s="76">
        <f ca="1">IFERROR(__xludf.DUMMYFUNCTION("""COMPUTED_VALUE"""),2300302)</f>
        <v>2300302</v>
      </c>
      <c r="B45" s="76" t="str">
        <f ca="1">IFERROR(__xludf.DUMMYFUNCTION("""COMPUTED_VALUE"""),"Трухильо Маркес Дайян")</f>
        <v>Трухильо Маркес Дайян</v>
      </c>
      <c r="C45" s="75" t="str">
        <f ca="1">IFERROR(__xludf.DUMMYFUNCTION("""COMPUTED_VALUE"""),"Студент")</f>
        <v>Студент</v>
      </c>
    </row>
    <row r="46" spans="1:3">
      <c r="A46" s="76">
        <f ca="1">IFERROR(__xludf.DUMMYFUNCTION("""COMPUTED_VALUE"""),2300303)</f>
        <v>2300303</v>
      </c>
      <c r="B46" s="76" t="str">
        <f ca="1">IFERROR(__xludf.DUMMYFUNCTION("""COMPUTED_VALUE"""),"Ву Тиен Тханг")</f>
        <v>Ву Тиен Тханг</v>
      </c>
      <c r="C46" s="75" t="str">
        <f ca="1">IFERROR(__xludf.DUMMYFUNCTION("""COMPUTED_VALUE"""),"Студент")</f>
        <v>Студент</v>
      </c>
    </row>
    <row r="47" spans="1:3">
      <c r="A47" s="76">
        <f ca="1">IFERROR(__xludf.DUMMYFUNCTION("""COMPUTED_VALUE"""),2300304)</f>
        <v>2300304</v>
      </c>
      <c r="B47" s="76" t="str">
        <f ca="1">IFERROR(__xludf.DUMMYFUNCTION("""COMPUTED_VALUE"""),"Акунья Перес Адриан")</f>
        <v>Акунья Перес Адриан</v>
      </c>
      <c r="C47" s="75" t="str">
        <f ca="1">IFERROR(__xludf.DUMMYFUNCTION("""COMPUTED_VALUE"""),"Аспирант")</f>
        <v>Аспирант</v>
      </c>
    </row>
    <row r="48" spans="1:3">
      <c r="A48" s="76">
        <f ca="1">IFERROR(__xludf.DUMMYFUNCTION("""COMPUTED_VALUE"""),2300305)</f>
        <v>2300305</v>
      </c>
      <c r="B48" s="76" t="str">
        <f ca="1">IFERROR(__xludf.DUMMYFUNCTION("""COMPUTED_VALUE"""),"Ламис Риверо Хосе Мануэль")</f>
        <v>Ламис Риверо Хосе Мануэль</v>
      </c>
      <c r="C48" s="75" t="str">
        <f ca="1">IFERROR(__xludf.DUMMYFUNCTION("""COMPUTED_VALUE"""),"Аспирант")</f>
        <v>Аспирант</v>
      </c>
    </row>
    <row r="49" spans="1:3">
      <c r="A49" s="76">
        <f ca="1">IFERROR(__xludf.DUMMYFUNCTION("""COMPUTED_VALUE"""),2300306)</f>
        <v>2300306</v>
      </c>
      <c r="B49" s="76" t="str">
        <f ca="1">IFERROR(__xludf.DUMMYFUNCTION("""COMPUTED_VALUE"""),"Нгуен Дык Ву")</f>
        <v>Нгуен Дык Ву</v>
      </c>
      <c r="C49" s="75" t="str">
        <f ca="1">IFERROR(__xludf.DUMMYFUNCTION("""COMPUTED_VALUE"""),"Студент")</f>
        <v>Студент</v>
      </c>
    </row>
    <row r="50" spans="1:3">
      <c r="A50" s="76">
        <f ca="1">IFERROR(__xludf.DUMMYFUNCTION("""COMPUTED_VALUE"""),2300307)</f>
        <v>2300307</v>
      </c>
      <c r="B50" s="76" t="str">
        <f ca="1">IFERROR(__xludf.DUMMYFUNCTION("""COMPUTED_VALUE"""),"Дао Минь Нгок")</f>
        <v>Дао Минь Нгок</v>
      </c>
      <c r="C50" s="75" t="str">
        <f ca="1">IFERROR(__xludf.DUMMYFUNCTION("""COMPUTED_VALUE"""),"Студент")</f>
        <v>Студент</v>
      </c>
    </row>
    <row r="51" spans="1:3">
      <c r="A51" s="76">
        <f ca="1">IFERROR(__xludf.DUMMYFUNCTION("""COMPUTED_VALUE"""),2300308)</f>
        <v>2300308</v>
      </c>
      <c r="B51" s="76" t="str">
        <f ca="1">IFERROR(__xludf.DUMMYFUNCTION("""COMPUTED_VALUE"""),"Агирре Руис Алексис")</f>
        <v>Агирре Руис Алексис</v>
      </c>
      <c r="C51" s="75" t="str">
        <f ca="1">IFERROR(__xludf.DUMMYFUNCTION("""COMPUTED_VALUE"""),"Студент")</f>
        <v>Студент</v>
      </c>
    </row>
    <row r="52" spans="1:3">
      <c r="A52" s="76">
        <f ca="1">IFERROR(__xludf.DUMMYFUNCTION("""COMPUTED_VALUE"""),2300311)</f>
        <v>2300311</v>
      </c>
      <c r="B52" s="76" t="str">
        <f ca="1">IFERROR(__xludf.DUMMYFUNCTION("""COMPUTED_VALUE"""),"Куанг Ван Тоан")</f>
        <v>Куанг Ван Тоан</v>
      </c>
      <c r="C52" s="75" t="str">
        <f ca="1">IFERROR(__xludf.DUMMYFUNCTION("""COMPUTED_VALUE"""),"Студент")</f>
        <v>Студент</v>
      </c>
    </row>
    <row r="53" spans="1:3">
      <c r="A53" s="76">
        <f ca="1">IFERROR(__xludf.DUMMYFUNCTION("""COMPUTED_VALUE"""),2300312)</f>
        <v>2300312</v>
      </c>
      <c r="B53" s="76" t="str">
        <f ca="1">IFERROR(__xludf.DUMMYFUNCTION("""COMPUTED_VALUE"""),"Нгуен Куи Хунг")</f>
        <v>Нгуен Куи Хунг</v>
      </c>
      <c r="C53" s="75" t="str">
        <f ca="1">IFERROR(__xludf.DUMMYFUNCTION("""COMPUTED_VALUE"""),"Студент")</f>
        <v>Студент</v>
      </c>
    </row>
    <row r="54" spans="1:3">
      <c r="A54" s="76">
        <f ca="1">IFERROR(__xludf.DUMMYFUNCTION("""COMPUTED_VALUE"""),2300314)</f>
        <v>2300314</v>
      </c>
      <c r="B54" s="76" t="str">
        <f ca="1">IFERROR(__xludf.DUMMYFUNCTION("""COMPUTED_VALUE"""),"Квишу Нил")</f>
        <v>Квишу Нил</v>
      </c>
      <c r="C54" s="75" t="str">
        <f ca="1">IFERROR(__xludf.DUMMYFUNCTION("""COMPUTED_VALUE"""),"Студент")</f>
        <v>Студент</v>
      </c>
    </row>
    <row r="55" spans="1:3">
      <c r="A55" s="76">
        <f ca="1">IFERROR(__xludf.DUMMYFUNCTION("""COMPUTED_VALUE"""),2300315)</f>
        <v>2300315</v>
      </c>
      <c r="B55" s="76" t="str">
        <f ca="1">IFERROR(__xludf.DUMMYFUNCTION("""COMPUTED_VALUE"""),"Койвоги Белей")</f>
        <v>Койвоги Белей</v>
      </c>
      <c r="C55" s="75" t="str">
        <f ca="1">IFERROR(__xludf.DUMMYFUNCTION("""COMPUTED_VALUE"""),"Студент")</f>
        <v>Студент</v>
      </c>
    </row>
    <row r="56" spans="1:3">
      <c r="A56" s="76">
        <f ca="1">IFERROR(__xludf.DUMMYFUNCTION("""COMPUTED_VALUE"""),2300316)</f>
        <v>2300316</v>
      </c>
      <c r="B56" s="76" t="str">
        <f ca="1">IFERROR(__xludf.DUMMYFUNCTION("""COMPUTED_VALUE"""),"Отепа Вероника да Граса")</f>
        <v>Отепа Вероника да Граса</v>
      </c>
      <c r="C56" s="75" t="str">
        <f ca="1">IFERROR(__xludf.DUMMYFUNCTION("""COMPUTED_VALUE"""),"Студент")</f>
        <v>Студент</v>
      </c>
    </row>
    <row r="57" spans="1:3">
      <c r="A57" s="76">
        <f ca="1">IFERROR(__xludf.DUMMYFUNCTION("""COMPUTED_VALUE"""),2300317)</f>
        <v>2300317</v>
      </c>
      <c r="B57" s="76" t="str">
        <f ca="1">IFERROR(__xludf.DUMMYFUNCTION("""COMPUTED_VALUE"""),"Шнайдер Мария Эдуардовна")</f>
        <v>Шнайдер Мария Эдуардовна</v>
      </c>
      <c r="C57" s="75" t="str">
        <f ca="1">IFERROR(__xludf.DUMMYFUNCTION("""COMPUTED_VALUE"""),"Студент")</f>
        <v>Студент</v>
      </c>
    </row>
    <row r="58" spans="1:3">
      <c r="A58" s="76">
        <f ca="1">IFERROR(__xludf.DUMMYFUNCTION("""COMPUTED_VALUE"""),2300318)</f>
        <v>2300318</v>
      </c>
      <c r="B58" s="76" t="str">
        <f ca="1">IFERROR(__xludf.DUMMYFUNCTION("""COMPUTED_VALUE"""),"Диалло Фатумата")</f>
        <v>Диалло Фатумата</v>
      </c>
      <c r="C58" s="75" t="str">
        <f ca="1">IFERROR(__xludf.DUMMYFUNCTION("""COMPUTED_VALUE"""),"Студент")</f>
        <v>Студент</v>
      </c>
    </row>
    <row r="59" spans="1:3">
      <c r="A59" s="76">
        <f ca="1">IFERROR(__xludf.DUMMYFUNCTION("""COMPUTED_VALUE"""),2300319)</f>
        <v>2300319</v>
      </c>
      <c r="B59" s="76" t="str">
        <f ca="1">IFERROR(__xludf.DUMMYFUNCTION("""COMPUTED_VALUE"""),"Хуинь Чан ан Бинь")</f>
        <v>Хуинь Чан ан Бинь</v>
      </c>
      <c r="C59" s="75" t="str">
        <f ca="1">IFERROR(__xludf.DUMMYFUNCTION("""COMPUTED_VALUE"""),"Студент")</f>
        <v>Студент</v>
      </c>
    </row>
    <row r="60" spans="1:3">
      <c r="A60" s="76">
        <f ca="1">IFERROR(__xludf.DUMMYFUNCTION("""COMPUTED_VALUE"""),2300331)</f>
        <v>2300331</v>
      </c>
      <c r="B60" s="76" t="str">
        <f ca="1">IFERROR(__xludf.DUMMYFUNCTION("""COMPUTED_VALUE"""),"Сарундай Дэвид Вильфред")</f>
        <v>Сарундай Дэвид Вильфред</v>
      </c>
      <c r="C60" s="75" t="str">
        <f ca="1">IFERROR(__xludf.DUMMYFUNCTION("""COMPUTED_VALUE"""),"Студент")</f>
        <v>Студент</v>
      </c>
    </row>
    <row r="61" spans="1:3">
      <c r="A61" s="76">
        <f ca="1">IFERROR(__xludf.DUMMYFUNCTION("""COMPUTED_VALUE"""),2300337)</f>
        <v>2300337</v>
      </c>
      <c r="B61" s="76" t="str">
        <f ca="1">IFERROR(__xludf.DUMMYFUNCTION("""COMPUTED_VALUE"""),"Месфин Йосиф Геза")</f>
        <v>Месфин Йосиф Геза</v>
      </c>
      <c r="C61" s="75" t="str">
        <f ca="1">IFERROR(__xludf.DUMMYFUNCTION("""COMPUTED_VALUE"""),"Студент")</f>
        <v>Студент</v>
      </c>
    </row>
    <row r="62" spans="1:3">
      <c r="A62" s="76">
        <f ca="1">IFERROR(__xludf.DUMMYFUNCTION("""COMPUTED_VALUE"""),2300338)</f>
        <v>2300338</v>
      </c>
      <c r="B62" s="76" t="str">
        <f ca="1">IFERROR(__xludf.DUMMYFUNCTION("""COMPUTED_VALUE"""),"Казми Сайед Матин Хайдер")</f>
        <v>Казми Сайед Матин Хайдер</v>
      </c>
      <c r="C62" s="75" t="str">
        <f ca="1">IFERROR(__xludf.DUMMYFUNCTION("""COMPUTED_VALUE"""),"Студент")</f>
        <v>Студент</v>
      </c>
    </row>
    <row r="63" spans="1:3">
      <c r="A63" s="76">
        <f ca="1">IFERROR(__xludf.DUMMYFUNCTION("""COMPUTED_VALUE"""),2300340)</f>
        <v>2300340</v>
      </c>
      <c r="B63" s="76" t="str">
        <f ca="1">IFERROR(__xludf.DUMMYFUNCTION("""COMPUTED_VALUE"""),"Алрифаи Яроб")</f>
        <v>Алрифаи Яроб</v>
      </c>
      <c r="C63" s="75" t="str">
        <f ca="1">IFERROR(__xludf.DUMMYFUNCTION("""COMPUTED_VALUE"""),"Студент")</f>
        <v>Студент</v>
      </c>
    </row>
    <row r="64" spans="1:3">
      <c r="A64" s="76">
        <f ca="1">IFERROR(__xludf.DUMMYFUNCTION("""COMPUTED_VALUE"""),2300342)</f>
        <v>2300342</v>
      </c>
      <c r="B64" s="76" t="str">
        <f ca="1">IFERROR(__xludf.DUMMYFUNCTION("""COMPUTED_VALUE"""),"Адра Рим")</f>
        <v>Адра Рим</v>
      </c>
      <c r="C64" s="75" t="str">
        <f ca="1">IFERROR(__xludf.DUMMYFUNCTION("""COMPUTED_VALUE"""),"Студент")</f>
        <v>Студент</v>
      </c>
    </row>
    <row r="65" spans="1:3">
      <c r="A65" s="76">
        <f ca="1">IFERROR(__xludf.DUMMYFUNCTION("""COMPUTED_VALUE"""),2300343)</f>
        <v>2300343</v>
      </c>
      <c r="B65" s="76" t="str">
        <f ca="1">IFERROR(__xludf.DUMMYFUNCTION("""COMPUTED_VALUE"""),"Шехани Амани")</f>
        <v>Шехани Амани</v>
      </c>
      <c r="C65" s="75" t="str">
        <f ca="1">IFERROR(__xludf.DUMMYFUNCTION("""COMPUTED_VALUE"""),"Студент")</f>
        <v>Студент</v>
      </c>
    </row>
    <row r="66" spans="1:3">
      <c r="A66" s="76">
        <f ca="1">IFERROR(__xludf.DUMMYFUNCTION("""COMPUTED_VALUE"""),2300345)</f>
        <v>2300345</v>
      </c>
      <c r="B66" s="76" t="str">
        <f ca="1">IFERROR(__xludf.DUMMYFUNCTION("""COMPUTED_VALUE"""),"Алхасан Али")</f>
        <v>Алхасан Али</v>
      </c>
      <c r="C66" s="75" t="str">
        <f ca="1">IFERROR(__xludf.DUMMYFUNCTION("""COMPUTED_VALUE"""),"Студент")</f>
        <v>Студент</v>
      </c>
    </row>
    <row r="67" spans="1:3">
      <c r="A67" s="76">
        <f ca="1">IFERROR(__xludf.DUMMYFUNCTION("""COMPUTED_VALUE"""),2300346)</f>
        <v>2300346</v>
      </c>
      <c r="B67" s="76" t="str">
        <f ca="1">IFERROR(__xludf.DUMMYFUNCTION("""COMPUTED_VALUE"""),"Ибрахим Мохамад")</f>
        <v>Ибрахим Мохамад</v>
      </c>
      <c r="C67" s="75" t="str">
        <f ca="1">IFERROR(__xludf.DUMMYFUNCTION("""COMPUTED_VALUE"""),"Студент")</f>
        <v>Студент</v>
      </c>
    </row>
    <row r="68" spans="1:3">
      <c r="A68" s="76">
        <f ca="1">IFERROR(__xludf.DUMMYFUNCTION("""COMPUTED_VALUE"""),2300347)</f>
        <v>2300347</v>
      </c>
      <c r="B68" s="76" t="str">
        <f ca="1">IFERROR(__xludf.DUMMYFUNCTION("""COMPUTED_VALUE"""),"Исса Карам")</f>
        <v>Исса Карам</v>
      </c>
      <c r="C68" s="75" t="str">
        <f ca="1">IFERROR(__xludf.DUMMYFUNCTION("""COMPUTED_VALUE"""),"Студент")</f>
        <v>Студент</v>
      </c>
    </row>
    <row r="69" spans="1:3">
      <c r="A69" s="76">
        <f ca="1">IFERROR(__xludf.DUMMYFUNCTION("""COMPUTED_VALUE"""),2300350)</f>
        <v>2300350</v>
      </c>
      <c r="B69" s="76" t="str">
        <f ca="1">IFERROR(__xludf.DUMMYFUNCTION("""COMPUTED_VALUE"""),"Коваленко Полина Владимировна")</f>
        <v>Коваленко Полина Владимировна</v>
      </c>
      <c r="C69" s="75" t="str">
        <f ca="1">IFERROR(__xludf.DUMMYFUNCTION("""COMPUTED_VALUE"""),"Студент")</f>
        <v>Студент</v>
      </c>
    </row>
    <row r="70" spans="1:3">
      <c r="A70" s="76">
        <f ca="1">IFERROR(__xludf.DUMMYFUNCTION("""COMPUTED_VALUE"""),2300353)</f>
        <v>2300353</v>
      </c>
      <c r="B70" s="76" t="str">
        <f ca="1">IFERROR(__xludf.DUMMYFUNCTION("""COMPUTED_VALUE"""),"Шарафудинова София Сергеевна")</f>
        <v>Шарафудинова София Сергеевна</v>
      </c>
      <c r="C70" s="75" t="str">
        <f ca="1">IFERROR(__xludf.DUMMYFUNCTION("""COMPUTED_VALUE"""),"Студент")</f>
        <v>Студент</v>
      </c>
    </row>
    <row r="71" spans="1:3">
      <c r="A71" s="76">
        <f ca="1">IFERROR(__xludf.DUMMYFUNCTION("""COMPUTED_VALUE"""),2300359)</f>
        <v>2300359</v>
      </c>
      <c r="B71" s="76" t="str">
        <f ca="1">IFERROR(__xludf.DUMMYFUNCTION("""COMPUTED_VALUE"""),"Адигамов Данила Аркадьевич")</f>
        <v>Адигамов Данила Аркадьевич</v>
      </c>
      <c r="C71" s="75" t="str">
        <f ca="1">IFERROR(__xludf.DUMMYFUNCTION("""COMPUTED_VALUE"""),"Аспирант")</f>
        <v>Аспирант</v>
      </c>
    </row>
    <row r="72" spans="1:3">
      <c r="A72" s="76">
        <f ca="1">IFERROR(__xludf.DUMMYFUNCTION("""COMPUTED_VALUE"""),2300365)</f>
        <v>2300365</v>
      </c>
      <c r="B72" s="76" t="str">
        <f ca="1">IFERROR(__xludf.DUMMYFUNCTION("""COMPUTED_VALUE"""),"Сараев Андрей Александрович")</f>
        <v>Сараев Андрей Александрович</v>
      </c>
      <c r="C72" s="75" t="str">
        <f ca="1">IFERROR(__xludf.DUMMYFUNCTION("""COMPUTED_VALUE"""),"Студент")</f>
        <v>Студент</v>
      </c>
    </row>
    <row r="73" spans="1:3">
      <c r="A73" s="76">
        <f ca="1">IFERROR(__xludf.DUMMYFUNCTION("""COMPUTED_VALUE"""),2300382)</f>
        <v>2300382</v>
      </c>
      <c r="B73" s="76" t="str">
        <f ca="1">IFERROR(__xludf.DUMMYFUNCTION("""COMPUTED_VALUE"""),"Хлебникова Дарья Сергеевна")</f>
        <v>Хлебникова Дарья Сергеевна</v>
      </c>
      <c r="C73" s="75" t="str">
        <f ca="1">IFERROR(__xludf.DUMMYFUNCTION("""COMPUTED_VALUE"""),"Студент")</f>
        <v>Студент</v>
      </c>
    </row>
    <row r="74" spans="1:3">
      <c r="A74" s="76">
        <f ca="1">IFERROR(__xludf.DUMMYFUNCTION("""COMPUTED_VALUE"""),2300396)</f>
        <v>2300396</v>
      </c>
      <c r="B74" s="76" t="str">
        <f ca="1">IFERROR(__xludf.DUMMYFUNCTION("""COMPUTED_VALUE"""),"Чкиря Артур Владимирович")</f>
        <v>Чкиря Артур Владимирович</v>
      </c>
      <c r="C74" s="75" t="str">
        <f ca="1">IFERROR(__xludf.DUMMYFUNCTION("""COMPUTED_VALUE"""),"Аспирант")</f>
        <v>Аспирант</v>
      </c>
    </row>
    <row r="75" spans="1:3">
      <c r="A75" s="76">
        <f ca="1">IFERROR(__xludf.DUMMYFUNCTION("""COMPUTED_VALUE"""),2300417)</f>
        <v>2300417</v>
      </c>
      <c r="B75" s="76" t="str">
        <f ca="1">IFERROR(__xludf.DUMMYFUNCTION("""COMPUTED_VALUE"""),"Ескандр Мохаммад")</f>
        <v>Ескандр Мохаммад</v>
      </c>
      <c r="C75" s="75" t="str">
        <f ca="1">IFERROR(__xludf.DUMMYFUNCTION("""COMPUTED_VALUE"""),"Студент")</f>
        <v>Студент</v>
      </c>
    </row>
    <row r="76" spans="1:3">
      <c r="A76" s="76">
        <f ca="1">IFERROR(__xludf.DUMMYFUNCTION("""COMPUTED_VALUE"""),2300420)</f>
        <v>2300420</v>
      </c>
      <c r="B76" s="76" t="str">
        <f ca="1">IFERROR(__xludf.DUMMYFUNCTION("""COMPUTED_VALUE"""),"Котляров Илья Олегович")</f>
        <v>Котляров Илья Олегович</v>
      </c>
      <c r="C76" s="75" t="str">
        <f ca="1">IFERROR(__xludf.DUMMYFUNCTION("""COMPUTED_VALUE"""),"Студент")</f>
        <v>Студент</v>
      </c>
    </row>
    <row r="77" spans="1:3">
      <c r="A77" s="76">
        <f ca="1">IFERROR(__xludf.DUMMYFUNCTION("""COMPUTED_VALUE"""),2300428)</f>
        <v>2300428</v>
      </c>
      <c r="B77" s="76" t="str">
        <f ca="1">IFERROR(__xludf.DUMMYFUNCTION("""COMPUTED_VALUE"""),"Куркина Евгения Вячеславовна")</f>
        <v>Куркина Евгения Вячеславовна</v>
      </c>
      <c r="C77" s="75" t="str">
        <f ca="1">IFERROR(__xludf.DUMMYFUNCTION("""COMPUTED_VALUE"""),"Студент")</f>
        <v>Студент</v>
      </c>
    </row>
    <row r="78" spans="1:3">
      <c r="A78" s="76">
        <f ca="1">IFERROR(__xludf.DUMMYFUNCTION("""COMPUTED_VALUE"""),2300435)</f>
        <v>2300435</v>
      </c>
      <c r="B78" s="76" t="str">
        <f ca="1">IFERROR(__xludf.DUMMYFUNCTION("""COMPUTED_VALUE"""),"Исламов Максим Николаевич")</f>
        <v>Исламов Максим Николаевич</v>
      </c>
      <c r="C78" s="75" t="str">
        <f ca="1">IFERROR(__xludf.DUMMYFUNCTION("""COMPUTED_VALUE"""),"Студент")</f>
        <v>Студент</v>
      </c>
    </row>
    <row r="79" spans="1:3">
      <c r="A79" s="76">
        <f ca="1">IFERROR(__xludf.DUMMYFUNCTION("""COMPUTED_VALUE"""),2300437)</f>
        <v>2300437</v>
      </c>
      <c r="B79" s="76" t="str">
        <f ca="1">IFERROR(__xludf.DUMMYFUNCTION("""COMPUTED_VALUE"""),"Ширшов Виктор Алексеевич")</f>
        <v>Ширшов Виктор Алексеевич</v>
      </c>
      <c r="C79" s="75" t="str">
        <f ca="1">IFERROR(__xludf.DUMMYFUNCTION("""COMPUTED_VALUE"""),"Студент")</f>
        <v>Студент</v>
      </c>
    </row>
    <row r="80" spans="1:3">
      <c r="A80" s="76">
        <f ca="1">IFERROR(__xludf.DUMMYFUNCTION("""COMPUTED_VALUE"""),2300443)</f>
        <v>2300443</v>
      </c>
      <c r="B80" s="76" t="str">
        <f ca="1">IFERROR(__xludf.DUMMYFUNCTION("""COMPUTED_VALUE"""),"Фомина Анна Александровна")</f>
        <v>Фомина Анна Александровна</v>
      </c>
      <c r="C80" s="75" t="str">
        <f ca="1">IFERROR(__xludf.DUMMYFUNCTION("""COMPUTED_VALUE"""),"Студент")</f>
        <v>Студент</v>
      </c>
    </row>
    <row r="81" spans="1:3">
      <c r="A81" s="76">
        <f ca="1">IFERROR(__xludf.DUMMYFUNCTION("""COMPUTED_VALUE"""),2300446)</f>
        <v>2300446</v>
      </c>
      <c r="B81" s="76" t="str">
        <f ca="1">IFERROR(__xludf.DUMMYFUNCTION("""COMPUTED_VALUE"""),"Ходжаев Комронбек Камилович")</f>
        <v>Ходжаев Комронбек Камилович</v>
      </c>
      <c r="C81" s="75" t="str">
        <f ca="1">IFERROR(__xludf.DUMMYFUNCTION("""COMPUTED_VALUE"""),"Студент")</f>
        <v>Студент</v>
      </c>
    </row>
    <row r="82" spans="1:3">
      <c r="A82" s="76">
        <f ca="1">IFERROR(__xludf.DUMMYFUNCTION("""COMPUTED_VALUE"""),2300462)</f>
        <v>2300462</v>
      </c>
      <c r="B82" s="76" t="str">
        <f ca="1">IFERROR(__xludf.DUMMYFUNCTION("""COMPUTED_VALUE"""),"Самохина Анна Алексеевна")</f>
        <v>Самохина Анна Алексеевна</v>
      </c>
      <c r="C82" s="75" t="str">
        <f ca="1">IFERROR(__xludf.DUMMYFUNCTION("""COMPUTED_VALUE"""),"Студент")</f>
        <v>Студент</v>
      </c>
    </row>
    <row r="83" spans="1:3">
      <c r="A83" s="76">
        <f ca="1">IFERROR(__xludf.DUMMYFUNCTION("""COMPUTED_VALUE"""),2300463)</f>
        <v>2300463</v>
      </c>
      <c r="B83" s="76" t="str">
        <f ca="1">IFERROR(__xludf.DUMMYFUNCTION("""COMPUTED_VALUE"""),"Фортунов Петр Дмитриевич")</f>
        <v>Фортунов Петр Дмитриевич</v>
      </c>
      <c r="C83" s="75" t="str">
        <f ca="1">IFERROR(__xludf.DUMMYFUNCTION("""COMPUTED_VALUE"""),"Студент")</f>
        <v>Студент</v>
      </c>
    </row>
    <row r="84" spans="1:3">
      <c r="A84" s="76">
        <f ca="1">IFERROR(__xludf.DUMMYFUNCTION("""COMPUTED_VALUE"""),2300465)</f>
        <v>2300465</v>
      </c>
      <c r="B84" s="76" t="str">
        <f ca="1">IFERROR(__xludf.DUMMYFUNCTION("""COMPUTED_VALUE"""),"Рябухина Анастасия Игоревна")</f>
        <v>Рябухина Анастасия Игоревна</v>
      </c>
      <c r="C84" s="75" t="str">
        <f ca="1">IFERROR(__xludf.DUMMYFUNCTION("""COMPUTED_VALUE"""),"Студент")</f>
        <v>Студент</v>
      </c>
    </row>
    <row r="85" spans="1:3">
      <c r="A85" s="76">
        <f ca="1">IFERROR(__xludf.DUMMYFUNCTION("""COMPUTED_VALUE"""),2300478)</f>
        <v>2300478</v>
      </c>
      <c r="B85" s="76" t="str">
        <f ca="1">IFERROR(__xludf.DUMMYFUNCTION("""COMPUTED_VALUE"""),"Киселева Василиса Николаевна")</f>
        <v>Киселева Василиса Николаевна</v>
      </c>
      <c r="C85" s="75" t="str">
        <f ca="1">IFERROR(__xludf.DUMMYFUNCTION("""COMPUTED_VALUE"""),"Студент")</f>
        <v>Студент</v>
      </c>
    </row>
    <row r="86" spans="1:3">
      <c r="A86" s="76">
        <f ca="1">IFERROR(__xludf.DUMMYFUNCTION("""COMPUTED_VALUE"""),2300484)</f>
        <v>2300484</v>
      </c>
      <c r="B86" s="76" t="str">
        <f ca="1">IFERROR(__xludf.DUMMYFUNCTION("""COMPUTED_VALUE"""),"Крылов Александр Александрович")</f>
        <v>Крылов Александр Александрович</v>
      </c>
      <c r="C86" s="75" t="str">
        <f ca="1">IFERROR(__xludf.DUMMYFUNCTION("""COMPUTED_VALUE"""),"Студент")</f>
        <v>Студент</v>
      </c>
    </row>
    <row r="87" spans="1:3">
      <c r="A87" s="76">
        <f ca="1">IFERROR(__xludf.DUMMYFUNCTION("""COMPUTED_VALUE"""),2300485)</f>
        <v>2300485</v>
      </c>
      <c r="B87" s="76" t="str">
        <f ca="1">IFERROR(__xludf.DUMMYFUNCTION("""COMPUTED_VALUE"""),"Алтунян Алиса Вартановна")</f>
        <v>Алтунян Алиса Вартановна</v>
      </c>
      <c r="C87" s="75" t="str">
        <f ca="1">IFERROR(__xludf.DUMMYFUNCTION("""COMPUTED_VALUE"""),"Студент")</f>
        <v>Студент</v>
      </c>
    </row>
    <row r="88" spans="1:3">
      <c r="A88" s="76">
        <f ca="1">IFERROR(__xludf.DUMMYFUNCTION("""COMPUTED_VALUE"""),2300489)</f>
        <v>2300489</v>
      </c>
      <c r="B88" s="76" t="str">
        <f ca="1">IFERROR(__xludf.DUMMYFUNCTION("""COMPUTED_VALUE"""),"Саркисов Степан Сергеевич")</f>
        <v>Саркисов Степан Сергеевич</v>
      </c>
      <c r="C88" s="75" t="str">
        <f ca="1">IFERROR(__xludf.DUMMYFUNCTION("""COMPUTED_VALUE"""),"Студент")</f>
        <v>Студент</v>
      </c>
    </row>
    <row r="89" spans="1:3">
      <c r="A89" s="76">
        <f ca="1">IFERROR(__xludf.DUMMYFUNCTION("""COMPUTED_VALUE"""),2300491)</f>
        <v>2300491</v>
      </c>
      <c r="B89" s="76" t="str">
        <f ca="1">IFERROR(__xludf.DUMMYFUNCTION("""COMPUTED_VALUE"""),"Саакян Мария Павловна")</f>
        <v>Саакян Мария Павловна</v>
      </c>
      <c r="C89" s="75" t="str">
        <f ca="1">IFERROR(__xludf.DUMMYFUNCTION("""COMPUTED_VALUE"""),"Студент")</f>
        <v>Студент</v>
      </c>
    </row>
    <row r="90" spans="1:3">
      <c r="A90" s="76">
        <f ca="1">IFERROR(__xludf.DUMMYFUNCTION("""COMPUTED_VALUE"""),2300511)</f>
        <v>2300511</v>
      </c>
      <c r="B90" s="76" t="str">
        <f ca="1">IFERROR(__xludf.DUMMYFUNCTION("""COMPUTED_VALUE"""),"Бабенко Екатерина Олеговна")</f>
        <v>Бабенко Екатерина Олеговна</v>
      </c>
      <c r="C90" s="75" t="str">
        <f ca="1">IFERROR(__xludf.DUMMYFUNCTION("""COMPUTED_VALUE"""),"Студент")</f>
        <v>Студент</v>
      </c>
    </row>
    <row r="91" spans="1:3">
      <c r="A91" s="76">
        <f ca="1">IFERROR(__xludf.DUMMYFUNCTION("""COMPUTED_VALUE"""),2300512)</f>
        <v>2300512</v>
      </c>
      <c r="B91" s="76" t="str">
        <f ca="1">IFERROR(__xludf.DUMMYFUNCTION("""COMPUTED_VALUE"""),"Егоров Владислав Валерьевич")</f>
        <v>Егоров Владислав Валерьевич</v>
      </c>
      <c r="C91" s="75" t="str">
        <f ca="1">IFERROR(__xludf.DUMMYFUNCTION("""COMPUTED_VALUE"""),"Студент")</f>
        <v>Студент</v>
      </c>
    </row>
    <row r="92" spans="1:3">
      <c r="A92" s="76">
        <f ca="1">IFERROR(__xludf.DUMMYFUNCTION("""COMPUTED_VALUE"""),2300532)</f>
        <v>2300532</v>
      </c>
      <c r="B92" s="76" t="str">
        <f ca="1">IFERROR(__xludf.DUMMYFUNCTION("""COMPUTED_VALUE"""),"Любчинская Анна Витальевна")</f>
        <v>Любчинская Анна Витальевна</v>
      </c>
      <c r="C92" s="75" t="str">
        <f ca="1">IFERROR(__xludf.DUMMYFUNCTION("""COMPUTED_VALUE"""),"Студент")</f>
        <v>Студент</v>
      </c>
    </row>
    <row r="93" spans="1:3">
      <c r="A93" s="76">
        <f ca="1">IFERROR(__xludf.DUMMYFUNCTION("""COMPUTED_VALUE"""),2300537)</f>
        <v>2300537</v>
      </c>
      <c r="B93" s="76" t="str">
        <f ca="1">IFERROR(__xludf.DUMMYFUNCTION("""COMPUTED_VALUE"""),"Скориченко Полина Павловна")</f>
        <v>Скориченко Полина Павловна</v>
      </c>
      <c r="C93" s="75" t="str">
        <f ca="1">IFERROR(__xludf.DUMMYFUNCTION("""COMPUTED_VALUE"""),"Студент")</f>
        <v>Студент</v>
      </c>
    </row>
    <row r="94" spans="1:3">
      <c r="A94" s="76">
        <f ca="1">IFERROR(__xludf.DUMMYFUNCTION("""COMPUTED_VALUE"""),2300540)</f>
        <v>2300540</v>
      </c>
      <c r="B94" s="76" t="str">
        <f ca="1">IFERROR(__xludf.DUMMYFUNCTION("""COMPUTED_VALUE"""),"Фомин Вячеслав Владимирович")</f>
        <v>Фомин Вячеслав Владимирович</v>
      </c>
      <c r="C94" s="75" t="str">
        <f ca="1">IFERROR(__xludf.DUMMYFUNCTION("""COMPUTED_VALUE"""),"Студент")</f>
        <v>Студент</v>
      </c>
    </row>
    <row r="95" spans="1:3">
      <c r="A95" s="76">
        <f ca="1">IFERROR(__xludf.DUMMYFUNCTION("""COMPUTED_VALUE"""),2300550)</f>
        <v>2300550</v>
      </c>
      <c r="B95" s="76" t="str">
        <f ca="1">IFERROR(__xludf.DUMMYFUNCTION("""COMPUTED_VALUE"""),"Дьяченко Иван Максимович")</f>
        <v>Дьяченко Иван Максимович</v>
      </c>
      <c r="C95" s="75" t="str">
        <f ca="1">IFERROR(__xludf.DUMMYFUNCTION("""COMPUTED_VALUE"""),"Студент")</f>
        <v>Студент</v>
      </c>
    </row>
    <row r="96" spans="1:3">
      <c r="A96" s="76">
        <f ca="1">IFERROR(__xludf.DUMMYFUNCTION("""COMPUTED_VALUE"""),2300553)</f>
        <v>2300553</v>
      </c>
      <c r="B96" s="76" t="str">
        <f ca="1">IFERROR(__xludf.DUMMYFUNCTION("""COMPUTED_VALUE"""),"Ердяков Григорий Александрович")</f>
        <v>Ердяков Григорий Александрович</v>
      </c>
      <c r="C96" s="75" t="str">
        <f ca="1">IFERROR(__xludf.DUMMYFUNCTION("""COMPUTED_VALUE"""),"Студент")</f>
        <v>Студент</v>
      </c>
    </row>
    <row r="97" spans="1:3">
      <c r="A97" s="76">
        <f ca="1">IFERROR(__xludf.DUMMYFUNCTION("""COMPUTED_VALUE"""),2300555)</f>
        <v>2300555</v>
      </c>
      <c r="B97" s="76" t="str">
        <f ca="1">IFERROR(__xludf.DUMMYFUNCTION("""COMPUTED_VALUE"""),"Рябов Даниил Павлович")</f>
        <v>Рябов Даниил Павлович</v>
      </c>
      <c r="C97" s="75" t="str">
        <f ca="1">IFERROR(__xludf.DUMMYFUNCTION("""COMPUTED_VALUE"""),"Студент")</f>
        <v>Студент</v>
      </c>
    </row>
    <row r="98" spans="1:3">
      <c r="A98" s="76">
        <f ca="1">IFERROR(__xludf.DUMMYFUNCTION("""COMPUTED_VALUE"""),2300558)</f>
        <v>2300558</v>
      </c>
      <c r="B98" s="76" t="str">
        <f ca="1">IFERROR(__xludf.DUMMYFUNCTION("""COMPUTED_VALUE"""),"Липкин Михаил Евгеньевич")</f>
        <v>Липкин Михаил Евгеньевич</v>
      </c>
      <c r="C98" s="75" t="str">
        <f ca="1">IFERROR(__xludf.DUMMYFUNCTION("""COMPUTED_VALUE"""),"Студент")</f>
        <v>Студент</v>
      </c>
    </row>
    <row r="99" spans="1:3">
      <c r="A99" s="76">
        <f ca="1">IFERROR(__xludf.DUMMYFUNCTION("""COMPUTED_VALUE"""),2300562)</f>
        <v>2300562</v>
      </c>
      <c r="B99" s="76" t="str">
        <f ca="1">IFERROR(__xludf.DUMMYFUNCTION("""COMPUTED_VALUE"""),"Корнеев Александр Юрьевич")</f>
        <v>Корнеев Александр Юрьевич</v>
      </c>
      <c r="C99" s="75" t="str">
        <f ca="1">IFERROR(__xludf.DUMMYFUNCTION("""COMPUTED_VALUE"""),"Студент")</f>
        <v>Студент</v>
      </c>
    </row>
    <row r="100" spans="1:3">
      <c r="A100" s="76">
        <f ca="1">IFERROR(__xludf.DUMMYFUNCTION("""COMPUTED_VALUE"""),2300563)</f>
        <v>2300563</v>
      </c>
      <c r="B100" s="76" t="str">
        <f ca="1">IFERROR(__xludf.DUMMYFUNCTION("""COMPUTED_VALUE"""),"Серякова Дарья Александровна")</f>
        <v>Серякова Дарья Александровна</v>
      </c>
      <c r="C100" s="75" t="str">
        <f ca="1">IFERROR(__xludf.DUMMYFUNCTION("""COMPUTED_VALUE"""),"Студент")</f>
        <v>Студент</v>
      </c>
    </row>
    <row r="101" spans="1:3">
      <c r="A101" s="76">
        <f ca="1">IFERROR(__xludf.DUMMYFUNCTION("""COMPUTED_VALUE"""),2300566)</f>
        <v>2300566</v>
      </c>
      <c r="B101" s="76" t="str">
        <f ca="1">IFERROR(__xludf.DUMMYFUNCTION("""COMPUTED_VALUE"""),"Тонкова Анна Вадимовна")</f>
        <v>Тонкова Анна Вадимовна</v>
      </c>
      <c r="C101" s="75" t="str">
        <f ca="1">IFERROR(__xludf.DUMMYFUNCTION("""COMPUTED_VALUE"""),"Студент")</f>
        <v>Студент</v>
      </c>
    </row>
    <row r="102" spans="1:3">
      <c r="A102" s="76">
        <f ca="1">IFERROR(__xludf.DUMMYFUNCTION("""COMPUTED_VALUE"""),2300567)</f>
        <v>2300567</v>
      </c>
      <c r="B102" s="76" t="str">
        <f ca="1">IFERROR(__xludf.DUMMYFUNCTION("""COMPUTED_VALUE"""),"Разгаров Иван Павлович")</f>
        <v>Разгаров Иван Павлович</v>
      </c>
      <c r="C102" s="75" t="str">
        <f ca="1">IFERROR(__xludf.DUMMYFUNCTION("""COMPUTED_VALUE"""),"Студент")</f>
        <v>Студент</v>
      </c>
    </row>
    <row r="103" spans="1:3">
      <c r="A103" s="76">
        <f ca="1">IFERROR(__xludf.DUMMYFUNCTION("""COMPUTED_VALUE"""),2300571)</f>
        <v>2300571</v>
      </c>
      <c r="B103" s="76" t="str">
        <f ca="1">IFERROR(__xludf.DUMMYFUNCTION("""COMPUTED_VALUE"""),"Долгих Александр Сергеевич")</f>
        <v>Долгих Александр Сергеевич</v>
      </c>
      <c r="C103" s="75" t="str">
        <f ca="1">IFERROR(__xludf.DUMMYFUNCTION("""COMPUTED_VALUE"""),"Студент")</f>
        <v>Студент</v>
      </c>
    </row>
    <row r="104" spans="1:3">
      <c r="A104" s="76">
        <f ca="1">IFERROR(__xludf.DUMMYFUNCTION("""COMPUTED_VALUE"""),2300574)</f>
        <v>2300574</v>
      </c>
      <c r="B104" s="76" t="str">
        <f ca="1">IFERROR(__xludf.DUMMYFUNCTION("""COMPUTED_VALUE"""),"Черных Артём Алексеевич")</f>
        <v>Черных Артём Алексеевич</v>
      </c>
      <c r="C104" s="75" t="str">
        <f ca="1">IFERROR(__xludf.DUMMYFUNCTION("""COMPUTED_VALUE"""),"Студент")</f>
        <v>Студент</v>
      </c>
    </row>
    <row r="105" spans="1:3">
      <c r="A105" s="76">
        <f ca="1">IFERROR(__xludf.DUMMYFUNCTION("""COMPUTED_VALUE"""),2300584)</f>
        <v>2300584</v>
      </c>
      <c r="B105" s="76" t="str">
        <f ca="1">IFERROR(__xludf.DUMMYFUNCTION("""COMPUTED_VALUE"""),"Иванова Анастасия Геннадьевна")</f>
        <v>Иванова Анастасия Геннадьевна</v>
      </c>
      <c r="C105" s="75" t="str">
        <f ca="1">IFERROR(__xludf.DUMMYFUNCTION("""COMPUTED_VALUE"""),"Студент")</f>
        <v>Студент</v>
      </c>
    </row>
    <row r="106" spans="1:3">
      <c r="A106" s="76">
        <f ca="1">IFERROR(__xludf.DUMMYFUNCTION("""COMPUTED_VALUE"""),2300590)</f>
        <v>2300590</v>
      </c>
      <c r="B106" s="76" t="str">
        <f ca="1">IFERROR(__xludf.DUMMYFUNCTION("""COMPUTED_VALUE"""),"Короленко Дарья Дмитриевна")</f>
        <v>Короленко Дарья Дмитриевна</v>
      </c>
      <c r="C106" s="75" t="str">
        <f ca="1">IFERROR(__xludf.DUMMYFUNCTION("""COMPUTED_VALUE"""),"Студент")</f>
        <v>Студент</v>
      </c>
    </row>
    <row r="107" spans="1:3">
      <c r="A107" s="76">
        <f ca="1">IFERROR(__xludf.DUMMYFUNCTION("""COMPUTED_VALUE"""),2300593)</f>
        <v>2300593</v>
      </c>
      <c r="B107" s="76" t="str">
        <f ca="1">IFERROR(__xludf.DUMMYFUNCTION("""COMPUTED_VALUE"""),"Запольских Николай Викторович")</f>
        <v>Запольских Николай Викторович</v>
      </c>
      <c r="C107" s="75" t="str">
        <f ca="1">IFERROR(__xludf.DUMMYFUNCTION("""COMPUTED_VALUE"""),"Студент")</f>
        <v>Студент</v>
      </c>
    </row>
    <row r="108" spans="1:3">
      <c r="A108" s="76">
        <f ca="1">IFERROR(__xludf.DUMMYFUNCTION("""COMPUTED_VALUE"""),2300648)</f>
        <v>2300648</v>
      </c>
      <c r="B108" s="76" t="str">
        <f ca="1">IFERROR(__xludf.DUMMYFUNCTION("""COMPUTED_VALUE"""),"Курышева Виктория Романовна")</f>
        <v>Курышева Виктория Романовна</v>
      </c>
      <c r="C108" s="75" t="str">
        <f ca="1">IFERROR(__xludf.DUMMYFUNCTION("""COMPUTED_VALUE"""),"Студент")</f>
        <v>Студент</v>
      </c>
    </row>
    <row r="109" spans="1:3">
      <c r="A109" s="76">
        <f ca="1">IFERROR(__xludf.DUMMYFUNCTION("""COMPUTED_VALUE"""),2300658)</f>
        <v>2300658</v>
      </c>
      <c r="B109" s="76" t="str">
        <f ca="1">IFERROR(__xludf.DUMMYFUNCTION("""COMPUTED_VALUE"""),"Донская Валерия Александровна")</f>
        <v>Донская Валерия Александровна</v>
      </c>
      <c r="C109" s="75" t="str">
        <f ca="1">IFERROR(__xludf.DUMMYFUNCTION("""COMPUTED_VALUE"""),"Студент")</f>
        <v>Студент</v>
      </c>
    </row>
    <row r="110" spans="1:3">
      <c r="A110" s="76">
        <f ca="1">IFERROR(__xludf.DUMMYFUNCTION("""COMPUTED_VALUE"""),2300661)</f>
        <v>2300661</v>
      </c>
      <c r="B110" s="76" t="str">
        <f ca="1">IFERROR(__xludf.DUMMYFUNCTION("""COMPUTED_VALUE"""),"Шадринцева Анастасия Игоревна")</f>
        <v>Шадринцева Анастасия Игоревна</v>
      </c>
      <c r="C110" s="75" t="str">
        <f ca="1">IFERROR(__xludf.DUMMYFUNCTION("""COMPUTED_VALUE"""),"Студент")</f>
        <v>Студент</v>
      </c>
    </row>
    <row r="111" spans="1:3">
      <c r="A111" s="76">
        <f ca="1">IFERROR(__xludf.DUMMYFUNCTION("""COMPUTED_VALUE"""),2300668)</f>
        <v>2300668</v>
      </c>
      <c r="B111" s="76" t="str">
        <f ca="1">IFERROR(__xludf.DUMMYFUNCTION("""COMPUTED_VALUE"""),"Акишева Анна Дмитриевна")</f>
        <v>Акишева Анна Дмитриевна</v>
      </c>
      <c r="C111" s="75" t="str">
        <f ca="1">IFERROR(__xludf.DUMMYFUNCTION("""COMPUTED_VALUE"""),"Студент")</f>
        <v>Студент</v>
      </c>
    </row>
    <row r="112" spans="1:3">
      <c r="A112" s="76">
        <f ca="1">IFERROR(__xludf.DUMMYFUNCTION("""COMPUTED_VALUE"""),2300680)</f>
        <v>2300680</v>
      </c>
      <c r="B112" s="76" t="str">
        <f ca="1">IFERROR(__xludf.DUMMYFUNCTION("""COMPUTED_VALUE"""),"Журавель Сергей Сергеевич")</f>
        <v>Журавель Сергей Сергеевич</v>
      </c>
      <c r="C112" s="75" t="str">
        <f ca="1">IFERROR(__xludf.DUMMYFUNCTION("""COMPUTED_VALUE"""),"Студент")</f>
        <v>Студент</v>
      </c>
    </row>
    <row r="113" spans="1:3">
      <c r="A113" s="76">
        <f ca="1">IFERROR(__xludf.DUMMYFUNCTION("""COMPUTED_VALUE"""),2300681)</f>
        <v>2300681</v>
      </c>
      <c r="B113" s="76" t="str">
        <f ca="1">IFERROR(__xludf.DUMMYFUNCTION("""COMPUTED_VALUE"""),"Расихин Александр Николаевич")</f>
        <v>Расихин Александр Николаевич</v>
      </c>
      <c r="C113" s="75" t="str">
        <f ca="1">IFERROR(__xludf.DUMMYFUNCTION("""COMPUTED_VALUE"""),"Студент")</f>
        <v>Студент</v>
      </c>
    </row>
    <row r="114" spans="1:3">
      <c r="A114" s="76">
        <f ca="1">IFERROR(__xludf.DUMMYFUNCTION("""COMPUTED_VALUE"""),2300685)</f>
        <v>2300685</v>
      </c>
      <c r="B114" s="76" t="str">
        <f ca="1">IFERROR(__xludf.DUMMYFUNCTION("""COMPUTED_VALUE"""),"Девятка Денис Кириллович")</f>
        <v>Девятка Денис Кириллович</v>
      </c>
      <c r="C114" s="75" t="str">
        <f ca="1">IFERROR(__xludf.DUMMYFUNCTION("""COMPUTED_VALUE"""),"Студент")</f>
        <v>Студент</v>
      </c>
    </row>
    <row r="115" spans="1:3">
      <c r="A115" s="76">
        <f ca="1">IFERROR(__xludf.DUMMYFUNCTION("""COMPUTED_VALUE"""),2300687)</f>
        <v>2300687</v>
      </c>
      <c r="B115" s="76" t="str">
        <f ca="1">IFERROR(__xludf.DUMMYFUNCTION("""COMPUTED_VALUE"""),"Московцев Дмитрий Андреевич")</f>
        <v>Московцев Дмитрий Андреевич</v>
      </c>
      <c r="C115" s="75" t="str">
        <f ca="1">IFERROR(__xludf.DUMMYFUNCTION("""COMPUTED_VALUE"""),"Студент")</f>
        <v>Студент</v>
      </c>
    </row>
    <row r="116" spans="1:3">
      <c r="A116" s="76">
        <f ca="1">IFERROR(__xludf.DUMMYFUNCTION("""COMPUTED_VALUE"""),2300692)</f>
        <v>2300692</v>
      </c>
      <c r="B116" s="76" t="str">
        <f ca="1">IFERROR(__xludf.DUMMYFUNCTION("""COMPUTED_VALUE"""),"Павлова Виктория Алексеевна")</f>
        <v>Павлова Виктория Алексеевна</v>
      </c>
      <c r="C116" s="75" t="str">
        <f ca="1">IFERROR(__xludf.DUMMYFUNCTION("""COMPUTED_VALUE"""),"Студент")</f>
        <v>Студент</v>
      </c>
    </row>
    <row r="117" spans="1:3">
      <c r="A117" s="76">
        <f ca="1">IFERROR(__xludf.DUMMYFUNCTION("""COMPUTED_VALUE"""),2300704)</f>
        <v>2300704</v>
      </c>
      <c r="B117" s="76" t="str">
        <f ca="1">IFERROR(__xludf.DUMMYFUNCTION("""COMPUTED_VALUE"""),"Пахомова Валерия Павловна")</f>
        <v>Пахомова Валерия Павловна</v>
      </c>
      <c r="C117" s="75" t="str">
        <f ca="1">IFERROR(__xludf.DUMMYFUNCTION("""COMPUTED_VALUE"""),"Студент")</f>
        <v>Студент</v>
      </c>
    </row>
    <row r="118" spans="1:3">
      <c r="A118" s="76">
        <f ca="1">IFERROR(__xludf.DUMMYFUNCTION("""COMPUTED_VALUE"""),2300711)</f>
        <v>2300711</v>
      </c>
      <c r="B118" s="76" t="str">
        <f ca="1">IFERROR(__xludf.DUMMYFUNCTION("""COMPUTED_VALUE"""),"Сивко Андрей Романович")</f>
        <v>Сивко Андрей Романович</v>
      </c>
      <c r="C118" s="75" t="str">
        <f ca="1">IFERROR(__xludf.DUMMYFUNCTION("""COMPUTED_VALUE"""),"Студент")</f>
        <v>Студент</v>
      </c>
    </row>
    <row r="119" spans="1:3">
      <c r="A119" s="76">
        <f ca="1">IFERROR(__xludf.DUMMYFUNCTION("""COMPUTED_VALUE"""),2300724)</f>
        <v>2300724</v>
      </c>
      <c r="B119" s="76" t="str">
        <f ca="1">IFERROR(__xludf.DUMMYFUNCTION("""COMPUTED_VALUE"""),"Савин Владислав Вячеславович")</f>
        <v>Савин Владислав Вячеславович</v>
      </c>
      <c r="C119" s="75" t="str">
        <f ca="1">IFERROR(__xludf.DUMMYFUNCTION("""COMPUTED_VALUE"""),"Студент")</f>
        <v>Студент</v>
      </c>
    </row>
    <row r="120" spans="1:3">
      <c r="A120" s="76">
        <f ca="1">IFERROR(__xludf.DUMMYFUNCTION("""COMPUTED_VALUE"""),2300726)</f>
        <v>2300726</v>
      </c>
      <c r="B120" s="76" t="str">
        <f ca="1">IFERROR(__xludf.DUMMYFUNCTION("""COMPUTED_VALUE"""),"Брешенкова Полина Андреевна")</f>
        <v>Брешенкова Полина Андреевна</v>
      </c>
      <c r="C120" s="75" t="str">
        <f ca="1">IFERROR(__xludf.DUMMYFUNCTION("""COMPUTED_VALUE"""),"Студент")</f>
        <v>Студент</v>
      </c>
    </row>
    <row r="121" spans="1:3">
      <c r="A121" s="76">
        <f ca="1">IFERROR(__xludf.DUMMYFUNCTION("""COMPUTED_VALUE"""),2300729)</f>
        <v>2300729</v>
      </c>
      <c r="B121" s="76" t="str">
        <f ca="1">IFERROR(__xludf.DUMMYFUNCTION("""COMPUTED_VALUE"""),"Корабоев Умурзок Абдугани Угли")</f>
        <v>Корабоев Умурзок Абдугани Угли</v>
      </c>
      <c r="C121" s="75" t="str">
        <f ca="1">IFERROR(__xludf.DUMMYFUNCTION("""COMPUTED_VALUE"""),"Студент")</f>
        <v>Студент</v>
      </c>
    </row>
    <row r="122" spans="1:3">
      <c r="A122" s="76">
        <f ca="1">IFERROR(__xludf.DUMMYFUNCTION("""COMPUTED_VALUE"""),2300745)</f>
        <v>2300745</v>
      </c>
      <c r="B122" s="76" t="str">
        <f ca="1">IFERROR(__xludf.DUMMYFUNCTION("""COMPUTED_VALUE"""),"Пешков Даниил Андреевич")</f>
        <v>Пешков Даниил Андреевич</v>
      </c>
      <c r="C122" s="75" t="str">
        <f ca="1">IFERROR(__xludf.DUMMYFUNCTION("""COMPUTED_VALUE"""),"Студент")</f>
        <v>Студент</v>
      </c>
    </row>
    <row r="123" spans="1:3">
      <c r="A123" s="76">
        <f ca="1">IFERROR(__xludf.DUMMYFUNCTION("""COMPUTED_VALUE"""),2300747)</f>
        <v>2300747</v>
      </c>
      <c r="B123" s="76" t="str">
        <f ca="1">IFERROR(__xludf.DUMMYFUNCTION("""COMPUTED_VALUE"""),"Шавкун Юлия Алексеевна")</f>
        <v>Шавкун Юлия Алексеевна</v>
      </c>
      <c r="C123" s="75" t="str">
        <f ca="1">IFERROR(__xludf.DUMMYFUNCTION("""COMPUTED_VALUE"""),"Студент")</f>
        <v>Студент</v>
      </c>
    </row>
    <row r="124" spans="1:3">
      <c r="A124" s="76">
        <f ca="1">IFERROR(__xludf.DUMMYFUNCTION("""COMPUTED_VALUE"""),2300754)</f>
        <v>2300754</v>
      </c>
      <c r="B124" s="76" t="str">
        <f ca="1">IFERROR(__xludf.DUMMYFUNCTION("""COMPUTED_VALUE"""),"Алдабаев Артур Александрович")</f>
        <v>Алдабаев Артур Александрович</v>
      </c>
      <c r="C124" s="75" t="str">
        <f ca="1">IFERROR(__xludf.DUMMYFUNCTION("""COMPUTED_VALUE"""),"Студент")</f>
        <v>Студент</v>
      </c>
    </row>
    <row r="125" spans="1:3">
      <c r="A125" s="76">
        <f ca="1">IFERROR(__xludf.DUMMYFUNCTION("""COMPUTED_VALUE"""),2300758)</f>
        <v>2300758</v>
      </c>
      <c r="B125" s="76" t="str">
        <f ca="1">IFERROR(__xludf.DUMMYFUNCTION("""COMPUTED_VALUE"""),"Федрушкова Юлия Вячеславовна")</f>
        <v>Федрушкова Юлия Вячеславовна</v>
      </c>
      <c r="C125" s="75" t="str">
        <f ca="1">IFERROR(__xludf.DUMMYFUNCTION("""COMPUTED_VALUE"""),"Студент")</f>
        <v>Студент</v>
      </c>
    </row>
    <row r="126" spans="1:3">
      <c r="A126" s="76">
        <f ca="1">IFERROR(__xludf.DUMMYFUNCTION("""COMPUTED_VALUE"""),2300761)</f>
        <v>2300761</v>
      </c>
      <c r="B126" s="76" t="str">
        <f ca="1">IFERROR(__xludf.DUMMYFUNCTION("""COMPUTED_VALUE"""),"Кудинова Мария Владимировна")</f>
        <v>Кудинова Мария Владимировна</v>
      </c>
      <c r="C126" s="75" t="str">
        <f ca="1">IFERROR(__xludf.DUMMYFUNCTION("""COMPUTED_VALUE"""),"Студент")</f>
        <v>Студент</v>
      </c>
    </row>
    <row r="127" spans="1:3">
      <c r="A127" s="76">
        <f ca="1">IFERROR(__xludf.DUMMYFUNCTION("""COMPUTED_VALUE"""),2300767)</f>
        <v>2300767</v>
      </c>
      <c r="B127" s="76" t="str">
        <f ca="1">IFERROR(__xludf.DUMMYFUNCTION("""COMPUTED_VALUE"""),"Халуторных Александр")</f>
        <v>Халуторных Александр</v>
      </c>
      <c r="C127" s="75" t="str">
        <f ca="1">IFERROR(__xludf.DUMMYFUNCTION("""COMPUTED_VALUE"""),"Студент")</f>
        <v>Студент</v>
      </c>
    </row>
    <row r="128" spans="1:3">
      <c r="A128" s="76">
        <f ca="1">IFERROR(__xludf.DUMMYFUNCTION("""COMPUTED_VALUE"""),2300768)</f>
        <v>2300768</v>
      </c>
      <c r="B128" s="76" t="str">
        <f ca="1">IFERROR(__xludf.DUMMYFUNCTION("""COMPUTED_VALUE"""),"Величко Валерия Витальевна")</f>
        <v>Величко Валерия Витальевна</v>
      </c>
      <c r="C128" s="75" t="str">
        <f ca="1">IFERROR(__xludf.DUMMYFUNCTION("""COMPUTED_VALUE"""),"Студент")</f>
        <v>Студент</v>
      </c>
    </row>
    <row r="129" spans="1:3">
      <c r="A129" s="76">
        <f ca="1">IFERROR(__xludf.DUMMYFUNCTION("""COMPUTED_VALUE"""),2300770)</f>
        <v>2300770</v>
      </c>
      <c r="B129" s="76" t="str">
        <f ca="1">IFERROR(__xludf.DUMMYFUNCTION("""COMPUTED_VALUE"""),"Ефимова Анна Владиславовна")</f>
        <v>Ефимова Анна Владиславовна</v>
      </c>
      <c r="C129" s="75" t="str">
        <f ca="1">IFERROR(__xludf.DUMMYFUNCTION("""COMPUTED_VALUE"""),"Студент")</f>
        <v>Студент</v>
      </c>
    </row>
    <row r="130" spans="1:3">
      <c r="A130" s="76">
        <f ca="1">IFERROR(__xludf.DUMMYFUNCTION("""COMPUTED_VALUE"""),2300778)</f>
        <v>2300778</v>
      </c>
      <c r="B130" s="76" t="str">
        <f ca="1">IFERROR(__xludf.DUMMYFUNCTION("""COMPUTED_VALUE"""),"Нижегородцева Алина")</f>
        <v>Нижегородцева Алина</v>
      </c>
      <c r="C130" s="75" t="str">
        <f ca="1">IFERROR(__xludf.DUMMYFUNCTION("""COMPUTED_VALUE"""),"Студент")</f>
        <v>Студент</v>
      </c>
    </row>
    <row r="131" spans="1:3">
      <c r="A131" s="76">
        <f ca="1">IFERROR(__xludf.DUMMYFUNCTION("""COMPUTED_VALUE"""),2300780)</f>
        <v>2300780</v>
      </c>
      <c r="B131" s="76" t="str">
        <f ca="1">IFERROR(__xludf.DUMMYFUNCTION("""COMPUTED_VALUE"""),"Янтурин Владислав Витальевич")</f>
        <v>Янтурин Владислав Витальевич</v>
      </c>
      <c r="C131" s="75" t="str">
        <f ca="1">IFERROR(__xludf.DUMMYFUNCTION("""COMPUTED_VALUE"""),"Студент")</f>
        <v>Студент</v>
      </c>
    </row>
    <row r="132" spans="1:3">
      <c r="A132" s="76">
        <f ca="1">IFERROR(__xludf.DUMMYFUNCTION("""COMPUTED_VALUE"""),2300782)</f>
        <v>2300782</v>
      </c>
      <c r="B132" s="76" t="str">
        <f ca="1">IFERROR(__xludf.DUMMYFUNCTION("""COMPUTED_VALUE"""),"Никитин Глеб Антонович")</f>
        <v>Никитин Глеб Антонович</v>
      </c>
      <c r="C132" s="75" t="str">
        <f ca="1">IFERROR(__xludf.DUMMYFUNCTION("""COMPUTED_VALUE"""),"Студент")</f>
        <v>Студент</v>
      </c>
    </row>
    <row r="133" spans="1:3">
      <c r="A133" s="76">
        <f ca="1">IFERROR(__xludf.DUMMYFUNCTION("""COMPUTED_VALUE"""),2300783)</f>
        <v>2300783</v>
      </c>
      <c r="B133" s="76" t="str">
        <f ca="1">IFERROR(__xludf.DUMMYFUNCTION("""COMPUTED_VALUE"""),"Касаткин Вадим Денисович")</f>
        <v>Касаткин Вадим Денисович</v>
      </c>
      <c r="C133" s="75" t="str">
        <f ca="1">IFERROR(__xludf.DUMMYFUNCTION("""COMPUTED_VALUE"""),"Студент")</f>
        <v>Студент</v>
      </c>
    </row>
    <row r="134" spans="1:3">
      <c r="A134" s="76">
        <f ca="1">IFERROR(__xludf.DUMMYFUNCTION("""COMPUTED_VALUE"""),2300784)</f>
        <v>2300784</v>
      </c>
      <c r="B134" s="76" t="str">
        <f ca="1">IFERROR(__xludf.DUMMYFUNCTION("""COMPUTED_VALUE"""),"Тымкив Настасья")</f>
        <v>Тымкив Настасья</v>
      </c>
      <c r="C134" s="75" t="str">
        <f ca="1">IFERROR(__xludf.DUMMYFUNCTION("""COMPUTED_VALUE"""),"Студент")</f>
        <v>Студент</v>
      </c>
    </row>
    <row r="135" spans="1:3">
      <c r="A135" s="76">
        <f ca="1">IFERROR(__xludf.DUMMYFUNCTION("""COMPUTED_VALUE"""),2300788)</f>
        <v>2300788</v>
      </c>
      <c r="B135" s="76" t="str">
        <f ca="1">IFERROR(__xludf.DUMMYFUNCTION("""COMPUTED_VALUE"""),"Денисюк Артём")</f>
        <v>Денисюк Артём</v>
      </c>
      <c r="C135" s="75" t="str">
        <f ca="1">IFERROR(__xludf.DUMMYFUNCTION("""COMPUTED_VALUE"""),"Студент")</f>
        <v>Студент</v>
      </c>
    </row>
    <row r="136" spans="1:3">
      <c r="A136" s="76">
        <f ca="1">IFERROR(__xludf.DUMMYFUNCTION("""COMPUTED_VALUE"""),2300790)</f>
        <v>2300790</v>
      </c>
      <c r="B136" s="76" t="str">
        <f ca="1">IFERROR(__xludf.DUMMYFUNCTION("""COMPUTED_VALUE"""),"Худоногова Алина")</f>
        <v>Худоногова Алина</v>
      </c>
      <c r="C136" s="75" t="str">
        <f ca="1">IFERROR(__xludf.DUMMYFUNCTION("""COMPUTED_VALUE"""),"Студент")</f>
        <v>Студент</v>
      </c>
    </row>
    <row r="137" spans="1:3">
      <c r="A137" s="76">
        <f ca="1">IFERROR(__xludf.DUMMYFUNCTION("""COMPUTED_VALUE"""),2300802)</f>
        <v>2300802</v>
      </c>
      <c r="B137" s="76" t="str">
        <f ca="1">IFERROR(__xludf.DUMMYFUNCTION("""COMPUTED_VALUE"""),"Шипунов Дмитрий Андреевич")</f>
        <v>Шипунов Дмитрий Андреевич</v>
      </c>
      <c r="C137" s="75" t="str">
        <f ca="1">IFERROR(__xludf.DUMMYFUNCTION("""COMPUTED_VALUE"""),"Студент")</f>
        <v>Студент</v>
      </c>
    </row>
    <row r="138" spans="1:3">
      <c r="A138" s="76">
        <f ca="1">IFERROR(__xludf.DUMMYFUNCTION("""COMPUTED_VALUE"""),2300803)</f>
        <v>2300803</v>
      </c>
      <c r="B138" s="76" t="str">
        <f ca="1">IFERROR(__xludf.DUMMYFUNCTION("""COMPUTED_VALUE"""),"Шмелева Полина Эдуардовна")</f>
        <v>Шмелева Полина Эдуардовна</v>
      </c>
      <c r="C138" s="75" t="str">
        <f ca="1">IFERROR(__xludf.DUMMYFUNCTION("""COMPUTED_VALUE"""),"Студент")</f>
        <v>Студент</v>
      </c>
    </row>
    <row r="139" spans="1:3">
      <c r="A139" s="76">
        <f ca="1">IFERROR(__xludf.DUMMYFUNCTION("""COMPUTED_VALUE"""),2300808)</f>
        <v>2300808</v>
      </c>
      <c r="B139" s="76" t="str">
        <f ca="1">IFERROR(__xludf.DUMMYFUNCTION("""COMPUTED_VALUE"""),"Барбашин Тимофей Александрович")</f>
        <v>Барбашин Тимофей Александрович</v>
      </c>
      <c r="C139" s="75" t="str">
        <f ca="1">IFERROR(__xludf.DUMMYFUNCTION("""COMPUTED_VALUE"""),"Студент")</f>
        <v>Студент</v>
      </c>
    </row>
    <row r="140" spans="1:3">
      <c r="A140" s="76">
        <f ca="1">IFERROR(__xludf.DUMMYFUNCTION("""COMPUTED_VALUE"""),2300825)</f>
        <v>2300825</v>
      </c>
      <c r="B140" s="76" t="str">
        <f ca="1">IFERROR(__xludf.DUMMYFUNCTION("""COMPUTED_VALUE"""),"Сухановская Анна Владиславовна")</f>
        <v>Сухановская Анна Владиславовна</v>
      </c>
      <c r="C140" s="75" t="str">
        <f ca="1">IFERROR(__xludf.DUMMYFUNCTION("""COMPUTED_VALUE"""),"Студент")</f>
        <v>Студент</v>
      </c>
    </row>
    <row r="141" spans="1:3">
      <c r="A141" s="76">
        <f ca="1">IFERROR(__xludf.DUMMYFUNCTION("""COMPUTED_VALUE"""),2300826)</f>
        <v>2300826</v>
      </c>
      <c r="B141" s="76" t="str">
        <f ca="1">IFERROR(__xludf.DUMMYFUNCTION("""COMPUTED_VALUE"""),"Сергеев Даниил Николаевич")</f>
        <v>Сергеев Даниил Николаевич</v>
      </c>
      <c r="C141" s="75" t="str">
        <f ca="1">IFERROR(__xludf.DUMMYFUNCTION("""COMPUTED_VALUE"""),"Студент")</f>
        <v>Студент</v>
      </c>
    </row>
    <row r="142" spans="1:3">
      <c r="A142" s="76">
        <f ca="1">IFERROR(__xludf.DUMMYFUNCTION("""COMPUTED_VALUE"""),2300828)</f>
        <v>2300828</v>
      </c>
      <c r="B142" s="76" t="str">
        <f ca="1">IFERROR(__xludf.DUMMYFUNCTION("""COMPUTED_VALUE"""),"Орлова Светлана Николаевна")</f>
        <v>Орлова Светлана Николаевна</v>
      </c>
      <c r="C142" s="75" t="str">
        <f ca="1">IFERROR(__xludf.DUMMYFUNCTION("""COMPUTED_VALUE"""),"Студент")</f>
        <v>Студент</v>
      </c>
    </row>
    <row r="143" spans="1:3">
      <c r="A143" s="76">
        <f ca="1">IFERROR(__xludf.DUMMYFUNCTION("""COMPUTED_VALUE"""),2300843)</f>
        <v>2300843</v>
      </c>
      <c r="B143" s="76" t="str">
        <f ca="1">IFERROR(__xludf.DUMMYFUNCTION("""COMPUTED_VALUE"""),"Булычев Игорь Павлович")</f>
        <v>Булычев Игорь Павлович</v>
      </c>
      <c r="C143" s="75" t="str">
        <f ca="1">IFERROR(__xludf.DUMMYFUNCTION("""COMPUTED_VALUE"""),"Студент")</f>
        <v>Студент</v>
      </c>
    </row>
    <row r="144" spans="1:3">
      <c r="A144" s="76">
        <f ca="1">IFERROR(__xludf.DUMMYFUNCTION("""COMPUTED_VALUE"""),2300851)</f>
        <v>2300851</v>
      </c>
      <c r="B144" s="76" t="str">
        <f ca="1">IFERROR(__xludf.DUMMYFUNCTION("""COMPUTED_VALUE"""),"Куренков Никита Дмитриевич")</f>
        <v>Куренков Никита Дмитриевич</v>
      </c>
      <c r="C144" s="75" t="str">
        <f ca="1">IFERROR(__xludf.DUMMYFUNCTION("""COMPUTED_VALUE"""),"Студент")</f>
        <v>Студент</v>
      </c>
    </row>
    <row r="145" spans="1:3">
      <c r="A145" s="76">
        <f ca="1">IFERROR(__xludf.DUMMYFUNCTION("""COMPUTED_VALUE"""),2300853)</f>
        <v>2300853</v>
      </c>
      <c r="B145" s="76" t="str">
        <f ca="1">IFERROR(__xludf.DUMMYFUNCTION("""COMPUTED_VALUE"""),"Рязанцева Анастасия Викторовна")</f>
        <v>Рязанцева Анастасия Викторовна</v>
      </c>
      <c r="C145" s="75" t="str">
        <f ca="1">IFERROR(__xludf.DUMMYFUNCTION("""COMPUTED_VALUE"""),"Студент")</f>
        <v>Студент</v>
      </c>
    </row>
    <row r="146" spans="1:3">
      <c r="A146" s="76">
        <f ca="1">IFERROR(__xludf.DUMMYFUNCTION("""COMPUTED_VALUE"""),2300855)</f>
        <v>2300855</v>
      </c>
      <c r="B146" s="76" t="str">
        <f ca="1">IFERROR(__xludf.DUMMYFUNCTION("""COMPUTED_VALUE"""),"Дятлов Марк Русланович")</f>
        <v>Дятлов Марк Русланович</v>
      </c>
      <c r="C146" s="75" t="str">
        <f ca="1">IFERROR(__xludf.DUMMYFUNCTION("""COMPUTED_VALUE"""),"Студент")</f>
        <v>Студент</v>
      </c>
    </row>
    <row r="147" spans="1:3">
      <c r="A147" s="76">
        <f ca="1">IFERROR(__xludf.DUMMYFUNCTION("""COMPUTED_VALUE"""),2300861)</f>
        <v>2300861</v>
      </c>
      <c r="B147" s="76" t="str">
        <f ca="1">IFERROR(__xludf.DUMMYFUNCTION("""COMPUTED_VALUE"""),"Молчанов Иван Алексеевич")</f>
        <v>Молчанов Иван Алексеевич</v>
      </c>
      <c r="C147" s="75" t="str">
        <f ca="1">IFERROR(__xludf.DUMMYFUNCTION("""COMPUTED_VALUE"""),"Студент")</f>
        <v>Студент</v>
      </c>
    </row>
    <row r="148" spans="1:3">
      <c r="A148" s="76">
        <f ca="1">IFERROR(__xludf.DUMMYFUNCTION("""COMPUTED_VALUE"""),2300864)</f>
        <v>2300864</v>
      </c>
      <c r="B148" s="76" t="str">
        <f ca="1">IFERROR(__xludf.DUMMYFUNCTION("""COMPUTED_VALUE"""),"Аллаярова Регина Вилуровна")</f>
        <v>Аллаярова Регина Вилуровна</v>
      </c>
      <c r="C148" s="75" t="str">
        <f ca="1">IFERROR(__xludf.DUMMYFUNCTION("""COMPUTED_VALUE"""),"Студент")</f>
        <v>Студент</v>
      </c>
    </row>
    <row r="149" spans="1:3">
      <c r="A149" s="76">
        <f ca="1">IFERROR(__xludf.DUMMYFUNCTION("""COMPUTED_VALUE"""),2300867)</f>
        <v>2300867</v>
      </c>
      <c r="B149" s="76" t="str">
        <f ca="1">IFERROR(__xludf.DUMMYFUNCTION("""COMPUTED_VALUE"""),"Еремин Кирилл Андреевич")</f>
        <v>Еремин Кирилл Андреевич</v>
      </c>
      <c r="C149" s="75" t="str">
        <f ca="1">IFERROR(__xludf.DUMMYFUNCTION("""COMPUTED_VALUE"""),"Студент")</f>
        <v>Студент</v>
      </c>
    </row>
    <row r="150" spans="1:3">
      <c r="A150" s="76">
        <f ca="1">IFERROR(__xludf.DUMMYFUNCTION("""COMPUTED_VALUE"""),2300884)</f>
        <v>2300884</v>
      </c>
      <c r="B150" s="76" t="str">
        <f ca="1">IFERROR(__xludf.DUMMYFUNCTION("""COMPUTED_VALUE"""),"Радчевская Маргарита Сергеевна")</f>
        <v>Радчевская Маргарита Сергеевна</v>
      </c>
      <c r="C150" s="75" t="str">
        <f ca="1">IFERROR(__xludf.DUMMYFUNCTION("""COMPUTED_VALUE"""),"Студент")</f>
        <v>Студент</v>
      </c>
    </row>
    <row r="151" spans="1:3">
      <c r="A151" s="76">
        <f ca="1">IFERROR(__xludf.DUMMYFUNCTION("""COMPUTED_VALUE"""),2300885)</f>
        <v>2300885</v>
      </c>
      <c r="B151" s="76" t="str">
        <f ca="1">IFERROR(__xludf.DUMMYFUNCTION("""COMPUTED_VALUE"""),"Пономарева Анастасия Константиновна")</f>
        <v>Пономарева Анастасия Константиновна</v>
      </c>
      <c r="C151" s="75" t="str">
        <f ca="1">IFERROR(__xludf.DUMMYFUNCTION("""COMPUTED_VALUE"""),"Студент")</f>
        <v>Студент</v>
      </c>
    </row>
    <row r="152" spans="1:3">
      <c r="A152" s="76">
        <f ca="1">IFERROR(__xludf.DUMMYFUNCTION("""COMPUTED_VALUE"""),2300896)</f>
        <v>2300896</v>
      </c>
      <c r="B152" s="76" t="str">
        <f ca="1">IFERROR(__xludf.DUMMYFUNCTION("""COMPUTED_VALUE"""),"Кужелев Илья Романович")</f>
        <v>Кужелев Илья Романович</v>
      </c>
      <c r="C152" s="75" t="str">
        <f ca="1">IFERROR(__xludf.DUMMYFUNCTION("""COMPUTED_VALUE"""),"Студент")</f>
        <v>Студент</v>
      </c>
    </row>
    <row r="153" spans="1:3">
      <c r="A153" s="76">
        <f ca="1">IFERROR(__xludf.DUMMYFUNCTION("""COMPUTED_VALUE"""),2300901)</f>
        <v>2300901</v>
      </c>
      <c r="B153" s="76" t="str">
        <f ca="1">IFERROR(__xludf.DUMMYFUNCTION("""COMPUTED_VALUE"""),"Клишня Вадим Станиславович")</f>
        <v>Клишня Вадим Станиславович</v>
      </c>
      <c r="C153" s="75" t="str">
        <f ca="1">IFERROR(__xludf.DUMMYFUNCTION("""COMPUTED_VALUE"""),"Студент")</f>
        <v>Студент</v>
      </c>
    </row>
    <row r="154" spans="1:3">
      <c r="A154" s="76">
        <f ca="1">IFERROR(__xludf.DUMMYFUNCTION("""COMPUTED_VALUE"""),2300908)</f>
        <v>2300908</v>
      </c>
      <c r="B154" s="76" t="str">
        <f ca="1">IFERROR(__xludf.DUMMYFUNCTION("""COMPUTED_VALUE"""),"Антипов Иван Николаевич")</f>
        <v>Антипов Иван Николаевич</v>
      </c>
      <c r="C154" s="75" t="str">
        <f ca="1">IFERROR(__xludf.DUMMYFUNCTION("""COMPUTED_VALUE"""),"Студент")</f>
        <v>Студент</v>
      </c>
    </row>
    <row r="155" spans="1:3">
      <c r="A155" s="76">
        <f ca="1">IFERROR(__xludf.DUMMYFUNCTION("""COMPUTED_VALUE"""),2300912)</f>
        <v>2300912</v>
      </c>
      <c r="B155" s="76" t="str">
        <f ca="1">IFERROR(__xludf.DUMMYFUNCTION("""COMPUTED_VALUE"""),"Изотьева Мария Александровна")</f>
        <v>Изотьева Мария Александровна</v>
      </c>
      <c r="C155" s="75" t="str">
        <f ca="1">IFERROR(__xludf.DUMMYFUNCTION("""COMPUTED_VALUE"""),"Студент")</f>
        <v>Студент</v>
      </c>
    </row>
    <row r="156" spans="1:3">
      <c r="A156" s="76">
        <f ca="1">IFERROR(__xludf.DUMMYFUNCTION("""COMPUTED_VALUE"""),2300915)</f>
        <v>2300915</v>
      </c>
      <c r="B156" s="76" t="str">
        <f ca="1">IFERROR(__xludf.DUMMYFUNCTION("""COMPUTED_VALUE"""),"Немаев Валентин Сергеевич")</f>
        <v>Немаев Валентин Сергеевич</v>
      </c>
      <c r="C156" s="75" t="str">
        <f ca="1">IFERROR(__xludf.DUMMYFUNCTION("""COMPUTED_VALUE"""),"Студент")</f>
        <v>Студент</v>
      </c>
    </row>
    <row r="157" spans="1:3">
      <c r="A157" s="76">
        <f ca="1">IFERROR(__xludf.DUMMYFUNCTION("""COMPUTED_VALUE"""),2300916)</f>
        <v>2300916</v>
      </c>
      <c r="B157" s="76" t="str">
        <f ca="1">IFERROR(__xludf.DUMMYFUNCTION("""COMPUTED_VALUE"""),"Дмитриева Ираида Николаевна")</f>
        <v>Дмитриева Ираида Николаевна</v>
      </c>
      <c r="C157" s="75" t="str">
        <f ca="1">IFERROR(__xludf.DUMMYFUNCTION("""COMPUTED_VALUE"""),"Студент")</f>
        <v>Студент</v>
      </c>
    </row>
    <row r="158" spans="1:3">
      <c r="A158" s="76">
        <f ca="1">IFERROR(__xludf.DUMMYFUNCTION("""COMPUTED_VALUE"""),2300920)</f>
        <v>2300920</v>
      </c>
      <c r="B158" s="76" t="str">
        <f ca="1">IFERROR(__xludf.DUMMYFUNCTION("""COMPUTED_VALUE"""),"Скоблова Мария Сергеевна")</f>
        <v>Скоблова Мария Сергеевна</v>
      </c>
      <c r="C158" s="75" t="str">
        <f ca="1">IFERROR(__xludf.DUMMYFUNCTION("""COMPUTED_VALUE"""),"Студент")</f>
        <v>Студент</v>
      </c>
    </row>
    <row r="159" spans="1:3">
      <c r="A159" s="76">
        <f ca="1">IFERROR(__xludf.DUMMYFUNCTION("""COMPUTED_VALUE"""),2300925)</f>
        <v>2300925</v>
      </c>
      <c r="B159" s="76" t="str">
        <f ca="1">IFERROR(__xludf.DUMMYFUNCTION("""COMPUTED_VALUE"""),"Куряев Александр Алишерович")</f>
        <v>Куряев Александр Алишерович</v>
      </c>
      <c r="C159" s="75" t="str">
        <f ca="1">IFERROR(__xludf.DUMMYFUNCTION("""COMPUTED_VALUE"""),"Студент")</f>
        <v>Студент</v>
      </c>
    </row>
    <row r="160" spans="1:3">
      <c r="A160" s="76">
        <f ca="1">IFERROR(__xludf.DUMMYFUNCTION("""COMPUTED_VALUE"""),2300946)</f>
        <v>2300946</v>
      </c>
      <c r="B160" s="76" t="str">
        <f ca="1">IFERROR(__xludf.DUMMYFUNCTION("""COMPUTED_VALUE"""),"Крыжановская Полина Владимировна")</f>
        <v>Крыжановская Полина Владимировна</v>
      </c>
      <c r="C160" s="75" t="str">
        <f ca="1">IFERROR(__xludf.DUMMYFUNCTION("""COMPUTED_VALUE"""),"Студент")</f>
        <v>Студент</v>
      </c>
    </row>
    <row r="161" spans="1:3">
      <c r="A161" s="76">
        <f ca="1">IFERROR(__xludf.DUMMYFUNCTION("""COMPUTED_VALUE"""),2300951)</f>
        <v>2300951</v>
      </c>
      <c r="B161" s="76" t="str">
        <f ca="1">IFERROR(__xludf.DUMMYFUNCTION("""COMPUTED_VALUE"""),"Шлеина Ксения Михайловна")</f>
        <v>Шлеина Ксения Михайловна</v>
      </c>
      <c r="C161" s="75" t="str">
        <f ca="1">IFERROR(__xludf.DUMMYFUNCTION("""COMPUTED_VALUE"""),"Студент")</f>
        <v>Студент</v>
      </c>
    </row>
    <row r="162" spans="1:3">
      <c r="A162" s="76">
        <f ca="1">IFERROR(__xludf.DUMMYFUNCTION("""COMPUTED_VALUE"""),2300967)</f>
        <v>2300967</v>
      </c>
      <c r="B162" s="76" t="str">
        <f ca="1">IFERROR(__xludf.DUMMYFUNCTION("""COMPUTED_VALUE"""),"Суфияров Артур Мадисович")</f>
        <v>Суфияров Артур Мадисович</v>
      </c>
      <c r="C162" s="75" t="str">
        <f ca="1">IFERROR(__xludf.DUMMYFUNCTION("""COMPUTED_VALUE"""),"Аспирант")</f>
        <v>Аспирант</v>
      </c>
    </row>
    <row r="163" spans="1:3">
      <c r="A163" s="76">
        <f ca="1">IFERROR(__xludf.DUMMYFUNCTION("""COMPUTED_VALUE"""),2301001)</f>
        <v>2301001</v>
      </c>
      <c r="B163" s="76" t="str">
        <f ca="1">IFERROR(__xludf.DUMMYFUNCTION("""COMPUTED_VALUE"""),"Куватов Рамиль Вадимович")</f>
        <v>Куватов Рамиль Вадимович</v>
      </c>
      <c r="C163" s="75" t="str">
        <f ca="1">IFERROR(__xludf.DUMMYFUNCTION("""COMPUTED_VALUE"""),"Студент")</f>
        <v>Студент</v>
      </c>
    </row>
    <row r="164" spans="1:3">
      <c r="A164" s="76">
        <f ca="1">IFERROR(__xludf.DUMMYFUNCTION("""COMPUTED_VALUE"""),2301005)</f>
        <v>2301005</v>
      </c>
      <c r="B164" s="76" t="str">
        <f ca="1">IFERROR(__xludf.DUMMYFUNCTION("""COMPUTED_VALUE"""),"Ребко Полина Дмитриевна")</f>
        <v>Ребко Полина Дмитриевна</v>
      </c>
      <c r="C164" s="75" t="str">
        <f ca="1">IFERROR(__xludf.DUMMYFUNCTION("""COMPUTED_VALUE"""),"Студент")</f>
        <v>Студент</v>
      </c>
    </row>
    <row r="165" spans="1:3">
      <c r="A165" s="76">
        <f ca="1">IFERROR(__xludf.DUMMYFUNCTION("""COMPUTED_VALUE"""),2301010)</f>
        <v>2301010</v>
      </c>
      <c r="B165" s="76" t="str">
        <f ca="1">IFERROR(__xludf.DUMMYFUNCTION("""COMPUTED_VALUE"""),"Григорьев Данил Дмитриевич")</f>
        <v>Григорьев Данил Дмитриевич</v>
      </c>
      <c r="C165" s="75" t="str">
        <f ca="1">IFERROR(__xludf.DUMMYFUNCTION("""COMPUTED_VALUE"""),"Аспирант")</f>
        <v>Аспирант</v>
      </c>
    </row>
    <row r="166" spans="1:3">
      <c r="A166" s="76">
        <f ca="1">IFERROR(__xludf.DUMMYFUNCTION("""COMPUTED_VALUE"""),2301014)</f>
        <v>2301014</v>
      </c>
      <c r="B166" s="76" t="str">
        <f ca="1">IFERROR(__xludf.DUMMYFUNCTION("""COMPUTED_VALUE"""),"Куллыева Мерджен")</f>
        <v>Куллыева Мерджен</v>
      </c>
      <c r="C166" s="75" t="str">
        <f ca="1">IFERROR(__xludf.DUMMYFUNCTION("""COMPUTED_VALUE"""),"Студент")</f>
        <v>Студент</v>
      </c>
    </row>
    <row r="167" spans="1:3">
      <c r="A167" s="76">
        <f ca="1">IFERROR(__xludf.DUMMYFUNCTION("""COMPUTED_VALUE"""),2301026)</f>
        <v>2301026</v>
      </c>
      <c r="B167" s="76" t="str">
        <f ca="1">IFERROR(__xludf.DUMMYFUNCTION("""COMPUTED_VALUE"""),"Гурушкин Дмитрий Сергеевич")</f>
        <v>Гурушкин Дмитрий Сергеевич</v>
      </c>
      <c r="C167" s="75" t="str">
        <f ca="1">IFERROR(__xludf.DUMMYFUNCTION("""COMPUTED_VALUE"""),"Студент")</f>
        <v>Студент</v>
      </c>
    </row>
    <row r="168" spans="1:3">
      <c r="A168" s="76">
        <f ca="1">IFERROR(__xludf.DUMMYFUNCTION("""COMPUTED_VALUE"""),2301033)</f>
        <v>2301033</v>
      </c>
      <c r="B168" s="76" t="str">
        <f ca="1">IFERROR(__xludf.DUMMYFUNCTION("""COMPUTED_VALUE"""),"Ярославцева Елизавета Олеговна")</f>
        <v>Ярославцева Елизавета Олеговна</v>
      </c>
      <c r="C168" s="75" t="str">
        <f ca="1">IFERROR(__xludf.DUMMYFUNCTION("""COMPUTED_VALUE"""),"Студент")</f>
        <v>Студент</v>
      </c>
    </row>
    <row r="169" spans="1:3">
      <c r="A169" s="76">
        <f ca="1">IFERROR(__xludf.DUMMYFUNCTION("""COMPUTED_VALUE"""),2301040)</f>
        <v>2301040</v>
      </c>
      <c r="B169" s="76" t="str">
        <f ca="1">IFERROR(__xludf.DUMMYFUNCTION("""COMPUTED_VALUE"""),"Ключникова Мария Вячеславовна")</f>
        <v>Ключникова Мария Вячеславовна</v>
      </c>
      <c r="C169" s="75" t="str">
        <f ca="1">IFERROR(__xludf.DUMMYFUNCTION("""COMPUTED_VALUE"""),"Студент")</f>
        <v>Студент</v>
      </c>
    </row>
    <row r="170" spans="1:3">
      <c r="A170" s="76">
        <f ca="1">IFERROR(__xludf.DUMMYFUNCTION("""COMPUTED_VALUE"""),2301058)</f>
        <v>2301058</v>
      </c>
      <c r="B170" s="76" t="str">
        <f ca="1">IFERROR(__xludf.DUMMYFUNCTION("""COMPUTED_VALUE"""),"Пушкарева Елизавета Алексеевна")</f>
        <v>Пушкарева Елизавета Алексеевна</v>
      </c>
      <c r="C170" s="75" t="str">
        <f ca="1">IFERROR(__xludf.DUMMYFUNCTION("""COMPUTED_VALUE"""),"Студент")</f>
        <v>Студент</v>
      </c>
    </row>
    <row r="171" spans="1:3">
      <c r="A171" s="76">
        <f ca="1">IFERROR(__xludf.DUMMYFUNCTION("""COMPUTED_VALUE"""),2301059)</f>
        <v>2301059</v>
      </c>
      <c r="B171" s="76" t="str">
        <f ca="1">IFERROR(__xludf.DUMMYFUNCTION("""COMPUTED_VALUE"""),"Костров Тимофей Дмитриевич")</f>
        <v>Костров Тимофей Дмитриевич</v>
      </c>
      <c r="C171" s="75" t="str">
        <f ca="1">IFERROR(__xludf.DUMMYFUNCTION("""COMPUTED_VALUE"""),"Студент")</f>
        <v>Студент</v>
      </c>
    </row>
    <row r="172" spans="1:3">
      <c r="A172" s="76">
        <f ca="1">IFERROR(__xludf.DUMMYFUNCTION("""COMPUTED_VALUE"""),2301060)</f>
        <v>2301060</v>
      </c>
      <c r="B172" s="76" t="str">
        <f ca="1">IFERROR(__xludf.DUMMYFUNCTION("""COMPUTED_VALUE"""),"Кондратьева Екатерина Михайловна")</f>
        <v>Кондратьева Екатерина Михайловна</v>
      </c>
      <c r="C172" s="75" t="str">
        <f ca="1">IFERROR(__xludf.DUMMYFUNCTION("""COMPUTED_VALUE"""),"Студент")</f>
        <v>Студент</v>
      </c>
    </row>
    <row r="173" spans="1:3">
      <c r="A173" s="76">
        <f ca="1">IFERROR(__xludf.DUMMYFUNCTION("""COMPUTED_VALUE"""),2301077)</f>
        <v>2301077</v>
      </c>
      <c r="B173" s="76" t="str">
        <f ca="1">IFERROR(__xludf.DUMMYFUNCTION("""COMPUTED_VALUE"""),"Кузнецов Илья Валерьевич")</f>
        <v>Кузнецов Илья Валерьевич</v>
      </c>
      <c r="C173" s="75" t="str">
        <f ca="1">IFERROR(__xludf.DUMMYFUNCTION("""COMPUTED_VALUE"""),"Студент")</f>
        <v>Студент</v>
      </c>
    </row>
    <row r="174" spans="1:3">
      <c r="A174" s="76">
        <f ca="1">IFERROR(__xludf.DUMMYFUNCTION("""COMPUTED_VALUE"""),2301086)</f>
        <v>2301086</v>
      </c>
      <c r="B174" s="76" t="str">
        <f ca="1">IFERROR(__xludf.DUMMYFUNCTION("""COMPUTED_VALUE"""),"Иовлев Егор Ильич")</f>
        <v>Иовлев Егор Ильич</v>
      </c>
      <c r="C174" s="75" t="str">
        <f ca="1">IFERROR(__xludf.DUMMYFUNCTION("""COMPUTED_VALUE"""),"Студент")</f>
        <v>Студент</v>
      </c>
    </row>
    <row r="175" spans="1:3">
      <c r="A175" s="76">
        <f ca="1">IFERROR(__xludf.DUMMYFUNCTION("""COMPUTED_VALUE"""),2301094)</f>
        <v>2301094</v>
      </c>
      <c r="B175" s="76" t="str">
        <f ca="1">IFERROR(__xludf.DUMMYFUNCTION("""COMPUTED_VALUE"""),"Крылов Никита Евгеньевич")</f>
        <v>Крылов Никита Евгеньевич</v>
      </c>
      <c r="C175" s="75" t="str">
        <f ca="1">IFERROR(__xludf.DUMMYFUNCTION("""COMPUTED_VALUE"""),"Студент")</f>
        <v>Студент</v>
      </c>
    </row>
    <row r="176" spans="1:3">
      <c r="A176" s="76">
        <f ca="1">IFERROR(__xludf.DUMMYFUNCTION("""COMPUTED_VALUE"""),2301098)</f>
        <v>2301098</v>
      </c>
      <c r="B176" s="76" t="str">
        <f ca="1">IFERROR(__xludf.DUMMYFUNCTION("""COMPUTED_VALUE"""),"Ложков Андрей Иванович")</f>
        <v>Ложков Андрей Иванович</v>
      </c>
      <c r="C176" s="75" t="str">
        <f ca="1">IFERROR(__xludf.DUMMYFUNCTION("""COMPUTED_VALUE"""),"Студент")</f>
        <v>Студент</v>
      </c>
    </row>
    <row r="177" spans="1:3">
      <c r="A177" s="76">
        <f ca="1">IFERROR(__xludf.DUMMYFUNCTION("""COMPUTED_VALUE"""),2301101)</f>
        <v>2301101</v>
      </c>
      <c r="B177" s="76" t="str">
        <f ca="1">IFERROR(__xludf.DUMMYFUNCTION("""COMPUTED_VALUE"""),"Пинегин Дмитрий Михайлович")</f>
        <v>Пинегин Дмитрий Михайлович</v>
      </c>
      <c r="C177" s="75" t="str">
        <f ca="1">IFERROR(__xludf.DUMMYFUNCTION("""COMPUTED_VALUE"""),"Студент")</f>
        <v>Студент</v>
      </c>
    </row>
    <row r="178" spans="1:3">
      <c r="A178" s="76">
        <f ca="1">IFERROR(__xludf.DUMMYFUNCTION("""COMPUTED_VALUE"""),2301117)</f>
        <v>2301117</v>
      </c>
      <c r="B178" s="76" t="str">
        <f ca="1">IFERROR(__xludf.DUMMYFUNCTION("""COMPUTED_VALUE"""),"Попова Полина Владиславовна")</f>
        <v>Попова Полина Владиславовна</v>
      </c>
      <c r="C178" s="75" t="str">
        <f ca="1">IFERROR(__xludf.DUMMYFUNCTION("""COMPUTED_VALUE"""),"Студент")</f>
        <v>Студент</v>
      </c>
    </row>
    <row r="179" spans="1:3">
      <c r="A179" s="76">
        <f ca="1">IFERROR(__xludf.DUMMYFUNCTION("""COMPUTED_VALUE"""),2301127)</f>
        <v>2301127</v>
      </c>
      <c r="B179" s="76" t="str">
        <f ca="1">IFERROR(__xludf.DUMMYFUNCTION("""COMPUTED_VALUE"""),"Шадловская Мария Игоревна")</f>
        <v>Шадловская Мария Игоревна</v>
      </c>
      <c r="C179" s="75" t="str">
        <f ca="1">IFERROR(__xludf.DUMMYFUNCTION("""COMPUTED_VALUE"""),"Студент")</f>
        <v>Студент</v>
      </c>
    </row>
    <row r="180" spans="1:3">
      <c r="A180" s="76">
        <f ca="1">IFERROR(__xludf.DUMMYFUNCTION("""COMPUTED_VALUE"""),2301136)</f>
        <v>2301136</v>
      </c>
      <c r="B180" s="76" t="str">
        <f ca="1">IFERROR(__xludf.DUMMYFUNCTION("""COMPUTED_VALUE"""),"Шушкин Никита Андреевич")</f>
        <v>Шушкин Никита Андреевич</v>
      </c>
      <c r="C180" s="75" t="str">
        <f ca="1">IFERROR(__xludf.DUMMYFUNCTION("""COMPUTED_VALUE"""),"Студент")</f>
        <v>Студент</v>
      </c>
    </row>
    <row r="181" spans="1:3">
      <c r="A181" s="76">
        <f ca="1">IFERROR(__xludf.DUMMYFUNCTION("""COMPUTED_VALUE"""),2301141)</f>
        <v>2301141</v>
      </c>
      <c r="B181" s="76" t="str">
        <f ca="1">IFERROR(__xludf.DUMMYFUNCTION("""COMPUTED_VALUE"""),"Аюпов Артур Линарович")</f>
        <v>Аюпов Артур Линарович</v>
      </c>
      <c r="C181" s="75" t="str">
        <f ca="1">IFERROR(__xludf.DUMMYFUNCTION("""COMPUTED_VALUE"""),"Студент")</f>
        <v>Студент</v>
      </c>
    </row>
    <row r="182" spans="1:3">
      <c r="A182" s="76">
        <f ca="1">IFERROR(__xludf.DUMMYFUNCTION("""COMPUTED_VALUE"""),2301144)</f>
        <v>2301144</v>
      </c>
      <c r="B182" s="76" t="str">
        <f ca="1">IFERROR(__xludf.DUMMYFUNCTION("""COMPUTED_VALUE"""),"Осипов Павел Андреевич")</f>
        <v>Осипов Павел Андреевич</v>
      </c>
      <c r="C182" s="75" t="str">
        <f ca="1">IFERROR(__xludf.DUMMYFUNCTION("""COMPUTED_VALUE"""),"Студент")</f>
        <v>Студент</v>
      </c>
    </row>
    <row r="183" spans="1:3">
      <c r="A183" s="76">
        <f ca="1">IFERROR(__xludf.DUMMYFUNCTION("""COMPUTED_VALUE"""),2301145)</f>
        <v>2301145</v>
      </c>
      <c r="B183" s="76" t="str">
        <f ca="1">IFERROR(__xludf.DUMMYFUNCTION("""COMPUTED_VALUE"""),"Синьков Илья Денисович")</f>
        <v>Синьков Илья Денисович</v>
      </c>
      <c r="C183" s="75" t="str">
        <f ca="1">IFERROR(__xludf.DUMMYFUNCTION("""COMPUTED_VALUE"""),"Студент")</f>
        <v>Студент</v>
      </c>
    </row>
    <row r="184" spans="1:3">
      <c r="A184" s="76">
        <f ca="1">IFERROR(__xludf.DUMMYFUNCTION("""COMPUTED_VALUE"""),2301158)</f>
        <v>2301158</v>
      </c>
      <c r="B184" s="76" t="str">
        <f ca="1">IFERROR(__xludf.DUMMYFUNCTION("""COMPUTED_VALUE"""),"Щербаков Дмитрий Игоревич")</f>
        <v>Щербаков Дмитрий Игоревич</v>
      </c>
      <c r="C184" s="75" t="str">
        <f ca="1">IFERROR(__xludf.DUMMYFUNCTION("""COMPUTED_VALUE"""),"Студент")</f>
        <v>Студент</v>
      </c>
    </row>
    <row r="185" spans="1:3">
      <c r="A185" s="76">
        <f ca="1">IFERROR(__xludf.DUMMYFUNCTION("""COMPUTED_VALUE"""),2301160)</f>
        <v>2301160</v>
      </c>
      <c r="B185" s="76" t="str">
        <f ca="1">IFERROR(__xludf.DUMMYFUNCTION("""COMPUTED_VALUE"""),"Лаптев Олег Евгеньевич")</f>
        <v>Лаптев Олег Евгеньевич</v>
      </c>
      <c r="C185" s="75" t="str">
        <f ca="1">IFERROR(__xludf.DUMMYFUNCTION("""COMPUTED_VALUE"""),"Студент")</f>
        <v>Студент</v>
      </c>
    </row>
    <row r="186" spans="1:3">
      <c r="A186" s="76">
        <f ca="1">IFERROR(__xludf.DUMMYFUNCTION("""COMPUTED_VALUE"""),2301183)</f>
        <v>2301183</v>
      </c>
      <c r="B186" s="76" t="str">
        <f ca="1">IFERROR(__xludf.DUMMYFUNCTION("""COMPUTED_VALUE"""),"Миронов Иван Алексеевич")</f>
        <v>Миронов Иван Алексеевич</v>
      </c>
      <c r="C186" s="75" t="str">
        <f ca="1">IFERROR(__xludf.DUMMYFUNCTION("""COMPUTED_VALUE"""),"Студент")</f>
        <v>Студент</v>
      </c>
    </row>
    <row r="187" spans="1:3">
      <c r="A187" s="76">
        <f ca="1">IFERROR(__xludf.DUMMYFUNCTION("""COMPUTED_VALUE"""),2301186)</f>
        <v>2301186</v>
      </c>
      <c r="B187" s="76" t="str">
        <f ca="1">IFERROR(__xludf.DUMMYFUNCTION("""COMPUTED_VALUE"""),"Степанова Александра Дмитриевна")</f>
        <v>Степанова Александра Дмитриевна</v>
      </c>
      <c r="C187" s="75" t="str">
        <f ca="1">IFERROR(__xludf.DUMMYFUNCTION("""COMPUTED_VALUE"""),"Студент")</f>
        <v>Студент</v>
      </c>
    </row>
    <row r="188" spans="1:3">
      <c r="A188" s="76">
        <f ca="1">IFERROR(__xludf.DUMMYFUNCTION("""COMPUTED_VALUE"""),2301187)</f>
        <v>2301187</v>
      </c>
      <c r="B188" s="76" t="str">
        <f ca="1">IFERROR(__xludf.DUMMYFUNCTION("""COMPUTED_VALUE"""),"Рябкова Валерия Сергеевна")</f>
        <v>Рябкова Валерия Сергеевна</v>
      </c>
      <c r="C188" s="75" t="str">
        <f ca="1">IFERROR(__xludf.DUMMYFUNCTION("""COMPUTED_VALUE"""),"Студент")</f>
        <v>Студент</v>
      </c>
    </row>
    <row r="189" spans="1:3">
      <c r="A189" s="76">
        <f ca="1">IFERROR(__xludf.DUMMYFUNCTION("""COMPUTED_VALUE"""),2301199)</f>
        <v>2301199</v>
      </c>
      <c r="B189" s="76" t="str">
        <f ca="1">IFERROR(__xludf.DUMMYFUNCTION("""COMPUTED_VALUE"""),"Димитрюк Константин Андреевич")</f>
        <v>Димитрюк Константин Андреевич</v>
      </c>
      <c r="C189" s="75" t="str">
        <f ca="1">IFERROR(__xludf.DUMMYFUNCTION("""COMPUTED_VALUE"""),"Студент")</f>
        <v>Студент</v>
      </c>
    </row>
    <row r="190" spans="1:3">
      <c r="A190" s="76">
        <f ca="1">IFERROR(__xludf.DUMMYFUNCTION("""COMPUTED_VALUE"""),2301201)</f>
        <v>2301201</v>
      </c>
      <c r="B190" s="76" t="str">
        <f ca="1">IFERROR(__xludf.DUMMYFUNCTION("""COMPUTED_VALUE"""),"Хабибуллин Данияр Айратович")</f>
        <v>Хабибуллин Данияр Айратович</v>
      </c>
      <c r="C190" s="75" t="str">
        <f ca="1">IFERROR(__xludf.DUMMYFUNCTION("""COMPUTED_VALUE"""),"Студент")</f>
        <v>Студент</v>
      </c>
    </row>
    <row r="191" spans="1:3">
      <c r="A191" s="76">
        <f ca="1">IFERROR(__xludf.DUMMYFUNCTION("""COMPUTED_VALUE"""),2301213)</f>
        <v>2301213</v>
      </c>
      <c r="B191" s="76" t="str">
        <f ca="1">IFERROR(__xludf.DUMMYFUNCTION("""COMPUTED_VALUE"""),"Шпильченко Роман Владимирович")</f>
        <v>Шпильченко Роман Владимирович</v>
      </c>
      <c r="C191" s="75" t="str">
        <f ca="1">IFERROR(__xludf.DUMMYFUNCTION("""COMPUTED_VALUE"""),"Студент")</f>
        <v>Студент</v>
      </c>
    </row>
    <row r="192" spans="1:3">
      <c r="A192" s="76">
        <f ca="1">IFERROR(__xludf.DUMMYFUNCTION("""COMPUTED_VALUE"""),2301221)</f>
        <v>2301221</v>
      </c>
      <c r="B192" s="76" t="str">
        <f ca="1">IFERROR(__xludf.DUMMYFUNCTION("""COMPUTED_VALUE"""),"Караханова Арина Витальевна")</f>
        <v>Караханова Арина Витальевна</v>
      </c>
      <c r="C192" s="75" t="str">
        <f ca="1">IFERROR(__xludf.DUMMYFUNCTION("""COMPUTED_VALUE"""),"Студент")</f>
        <v>Студент</v>
      </c>
    </row>
    <row r="193" spans="1:3">
      <c r="A193" s="76">
        <f ca="1">IFERROR(__xludf.DUMMYFUNCTION("""COMPUTED_VALUE"""),2301222)</f>
        <v>2301222</v>
      </c>
      <c r="B193" s="76" t="str">
        <f ca="1">IFERROR(__xludf.DUMMYFUNCTION("""COMPUTED_VALUE"""),"Хамидов Оятуллох Амруллоджонович")</f>
        <v>Хамидов Оятуллох Амруллоджонович</v>
      </c>
      <c r="C193" s="75" t="str">
        <f ca="1">IFERROR(__xludf.DUMMYFUNCTION("""COMPUTED_VALUE"""),"Студент")</f>
        <v>Студент</v>
      </c>
    </row>
    <row r="194" spans="1:3">
      <c r="A194" s="76">
        <f ca="1">IFERROR(__xludf.DUMMYFUNCTION("""COMPUTED_VALUE"""),2301225)</f>
        <v>2301225</v>
      </c>
      <c r="B194" s="76" t="str">
        <f ca="1">IFERROR(__xludf.DUMMYFUNCTION("""COMPUTED_VALUE"""),"Зеленцова Фаина Владимировна")</f>
        <v>Зеленцова Фаина Владимировна</v>
      </c>
      <c r="C194" s="75" t="str">
        <f ca="1">IFERROR(__xludf.DUMMYFUNCTION("""COMPUTED_VALUE"""),"Студент")</f>
        <v>Студент</v>
      </c>
    </row>
    <row r="195" spans="1:3">
      <c r="A195" s="76">
        <f ca="1">IFERROR(__xludf.DUMMYFUNCTION("""COMPUTED_VALUE"""),2301237)</f>
        <v>2301237</v>
      </c>
      <c r="B195" s="76" t="str">
        <f ca="1">IFERROR(__xludf.DUMMYFUNCTION("""COMPUTED_VALUE"""),"Пузыревская Екатерина Леонидовна")</f>
        <v>Пузыревская Екатерина Леонидовна</v>
      </c>
      <c r="C195" s="75" t="str">
        <f ca="1">IFERROR(__xludf.DUMMYFUNCTION("""COMPUTED_VALUE"""),"Студент")</f>
        <v>Студент</v>
      </c>
    </row>
    <row r="196" spans="1:3">
      <c r="A196" s="76">
        <f ca="1">IFERROR(__xludf.DUMMYFUNCTION("""COMPUTED_VALUE"""),2301238)</f>
        <v>2301238</v>
      </c>
      <c r="B196" s="76" t="str">
        <f ca="1">IFERROR(__xludf.DUMMYFUNCTION("""COMPUTED_VALUE"""),"Емельяненко Роман Максимович")</f>
        <v>Емельяненко Роман Максимович</v>
      </c>
      <c r="C196" s="75" t="str">
        <f ca="1">IFERROR(__xludf.DUMMYFUNCTION("""COMPUTED_VALUE"""),"Студент")</f>
        <v>Студент</v>
      </c>
    </row>
    <row r="197" spans="1:3">
      <c r="A197" s="76">
        <f ca="1">IFERROR(__xludf.DUMMYFUNCTION("""COMPUTED_VALUE"""),2301241)</f>
        <v>2301241</v>
      </c>
      <c r="B197" s="76" t="str">
        <f ca="1">IFERROR(__xludf.DUMMYFUNCTION("""COMPUTED_VALUE"""),"Кратко Дарья Андреевна")</f>
        <v>Кратко Дарья Андреевна</v>
      </c>
      <c r="C197" s="75" t="str">
        <f ca="1">IFERROR(__xludf.DUMMYFUNCTION("""COMPUTED_VALUE"""),"Студент")</f>
        <v>Студент</v>
      </c>
    </row>
    <row r="198" spans="1:3">
      <c r="A198" s="76">
        <f ca="1">IFERROR(__xludf.DUMMYFUNCTION("""COMPUTED_VALUE"""),2301250)</f>
        <v>2301250</v>
      </c>
      <c r="B198" s="76" t="str">
        <f ca="1">IFERROR(__xludf.DUMMYFUNCTION("""COMPUTED_VALUE"""),"Харыбин Николай Владимирович")</f>
        <v>Харыбин Николай Владимирович</v>
      </c>
      <c r="C198" s="75" t="str">
        <f ca="1">IFERROR(__xludf.DUMMYFUNCTION("""COMPUTED_VALUE"""),"Студент")</f>
        <v>Студент</v>
      </c>
    </row>
    <row r="199" spans="1:3">
      <c r="A199" s="76">
        <f ca="1">IFERROR(__xludf.DUMMYFUNCTION("""COMPUTED_VALUE"""),2301255)</f>
        <v>2301255</v>
      </c>
      <c r="B199" s="76" t="str">
        <f ca="1">IFERROR(__xludf.DUMMYFUNCTION("""COMPUTED_VALUE"""),"Марковский Кирилл Анатольевич")</f>
        <v>Марковский Кирилл Анатольевич</v>
      </c>
      <c r="C199" s="75" t="str">
        <f ca="1">IFERROR(__xludf.DUMMYFUNCTION("""COMPUTED_VALUE"""),"Студент")</f>
        <v>Студент</v>
      </c>
    </row>
    <row r="200" spans="1:3">
      <c r="A200" s="76">
        <f ca="1">IFERROR(__xludf.DUMMYFUNCTION("""COMPUTED_VALUE"""),2301256)</f>
        <v>2301256</v>
      </c>
      <c r="B200" s="76" t="str">
        <f ca="1">IFERROR(__xludf.DUMMYFUNCTION("""COMPUTED_VALUE"""),"Герусова Мария Александровна")</f>
        <v>Герусова Мария Александровна</v>
      </c>
      <c r="C200" s="75" t="str">
        <f ca="1">IFERROR(__xludf.DUMMYFUNCTION("""COMPUTED_VALUE"""),"Студент")</f>
        <v>Студент</v>
      </c>
    </row>
    <row r="201" spans="1:3">
      <c r="A201" s="76">
        <f ca="1">IFERROR(__xludf.DUMMYFUNCTION("""COMPUTED_VALUE"""),2301259)</f>
        <v>2301259</v>
      </c>
      <c r="B201" s="76" t="str">
        <f ca="1">IFERROR(__xludf.DUMMYFUNCTION("""COMPUTED_VALUE"""),"Корсаков Дмитрий Александрович")</f>
        <v>Корсаков Дмитрий Александрович</v>
      </c>
      <c r="C201" s="75" t="str">
        <f ca="1">IFERROR(__xludf.DUMMYFUNCTION("""COMPUTED_VALUE"""),"Студент")</f>
        <v>Студент</v>
      </c>
    </row>
    <row r="202" spans="1:3">
      <c r="A202" s="76">
        <f ca="1">IFERROR(__xludf.DUMMYFUNCTION("""COMPUTED_VALUE"""),2301263)</f>
        <v>2301263</v>
      </c>
      <c r="B202" s="76" t="str">
        <f ca="1">IFERROR(__xludf.DUMMYFUNCTION("""COMPUTED_VALUE"""),"Хрисанов Илья Игоревич")</f>
        <v>Хрисанов Илья Игоревич</v>
      </c>
      <c r="C202" s="75" t="str">
        <f ca="1">IFERROR(__xludf.DUMMYFUNCTION("""COMPUTED_VALUE"""),"Студент")</f>
        <v>Студент</v>
      </c>
    </row>
    <row r="203" spans="1:3">
      <c r="A203" s="76">
        <f ca="1">IFERROR(__xludf.DUMMYFUNCTION("""COMPUTED_VALUE"""),2301284)</f>
        <v>2301284</v>
      </c>
      <c r="B203" s="76" t="str">
        <f ca="1">IFERROR(__xludf.DUMMYFUNCTION("""COMPUTED_VALUE"""),"Баранов Герман Вадимович")</f>
        <v>Баранов Герман Вадимович</v>
      </c>
      <c r="C203" s="75" t="str">
        <f ca="1">IFERROR(__xludf.DUMMYFUNCTION("""COMPUTED_VALUE"""),"Студент")</f>
        <v>Студент</v>
      </c>
    </row>
    <row r="204" spans="1:3">
      <c r="A204" s="76">
        <f ca="1">IFERROR(__xludf.DUMMYFUNCTION("""COMPUTED_VALUE"""),2301294)</f>
        <v>2301294</v>
      </c>
      <c r="B204" s="76" t="str">
        <f ca="1">IFERROR(__xludf.DUMMYFUNCTION("""COMPUTED_VALUE"""),"Сорокина Варвара Викторовна")</f>
        <v>Сорокина Варвара Викторовна</v>
      </c>
      <c r="C204" s="75" t="str">
        <f ca="1">IFERROR(__xludf.DUMMYFUNCTION("""COMPUTED_VALUE"""),"Студент")</f>
        <v>Студент</v>
      </c>
    </row>
    <row r="205" spans="1:3">
      <c r="A205" s="76">
        <f ca="1">IFERROR(__xludf.DUMMYFUNCTION("""COMPUTED_VALUE"""),2301313)</f>
        <v>2301313</v>
      </c>
      <c r="B205" s="76" t="str">
        <f ca="1">IFERROR(__xludf.DUMMYFUNCTION("""COMPUTED_VALUE"""),"Попов Данил Николаевич")</f>
        <v>Попов Данил Николаевич</v>
      </c>
      <c r="C205" s="75" t="str">
        <f ca="1">IFERROR(__xludf.DUMMYFUNCTION("""COMPUTED_VALUE"""),"Студент")</f>
        <v>Студент</v>
      </c>
    </row>
    <row r="206" spans="1:3">
      <c r="A206" s="76">
        <f ca="1">IFERROR(__xludf.DUMMYFUNCTION("""COMPUTED_VALUE"""),2301316)</f>
        <v>2301316</v>
      </c>
      <c r="B206" s="76" t="str">
        <f ca="1">IFERROR(__xludf.DUMMYFUNCTION("""COMPUTED_VALUE"""),"Глухов Александр Александрович")</f>
        <v>Глухов Александр Александрович</v>
      </c>
      <c r="C206" s="75" t="str">
        <f ca="1">IFERROR(__xludf.DUMMYFUNCTION("""COMPUTED_VALUE"""),"Студент")</f>
        <v>Студент</v>
      </c>
    </row>
    <row r="207" spans="1:3">
      <c r="A207" s="76">
        <f ca="1">IFERROR(__xludf.DUMMYFUNCTION("""COMPUTED_VALUE"""),2301325)</f>
        <v>2301325</v>
      </c>
      <c r="B207" s="76" t="str">
        <f ca="1">IFERROR(__xludf.DUMMYFUNCTION("""COMPUTED_VALUE"""),"Осипов Юрий Сергеевич")</f>
        <v>Осипов Юрий Сергеевич</v>
      </c>
      <c r="C207" s="75" t="str">
        <f ca="1">IFERROR(__xludf.DUMMYFUNCTION("""COMPUTED_VALUE"""),"Студент")</f>
        <v>Студент</v>
      </c>
    </row>
    <row r="208" spans="1:3">
      <c r="A208" s="76">
        <f ca="1">IFERROR(__xludf.DUMMYFUNCTION("""COMPUTED_VALUE"""),2301327)</f>
        <v>2301327</v>
      </c>
      <c r="B208" s="76" t="str">
        <f ca="1">IFERROR(__xludf.DUMMYFUNCTION("""COMPUTED_VALUE"""),"Рыбаков Виктор Викторович")</f>
        <v>Рыбаков Виктор Викторович</v>
      </c>
      <c r="C208" s="75" t="str">
        <f ca="1">IFERROR(__xludf.DUMMYFUNCTION("""COMPUTED_VALUE"""),"Студент")</f>
        <v>Студент</v>
      </c>
    </row>
    <row r="209" spans="1:3">
      <c r="A209" s="76">
        <f ca="1">IFERROR(__xludf.DUMMYFUNCTION("""COMPUTED_VALUE"""),2301329)</f>
        <v>2301329</v>
      </c>
      <c r="B209" s="76" t="str">
        <f ca="1">IFERROR(__xludf.DUMMYFUNCTION("""COMPUTED_VALUE"""),"Сальманов Наиль Ахматзыевич")</f>
        <v>Сальманов Наиль Ахматзыевич</v>
      </c>
      <c r="C209" s="75" t="str">
        <f ca="1">IFERROR(__xludf.DUMMYFUNCTION("""COMPUTED_VALUE"""),"Студент")</f>
        <v>Студент</v>
      </c>
    </row>
    <row r="210" spans="1:3">
      <c r="A210" s="76">
        <f ca="1">IFERROR(__xludf.DUMMYFUNCTION("""COMPUTED_VALUE"""),2301335)</f>
        <v>2301335</v>
      </c>
      <c r="B210" s="76" t="str">
        <f ca="1">IFERROR(__xludf.DUMMYFUNCTION("""COMPUTED_VALUE"""),"Крыгин Дмитрий Юрьевич")</f>
        <v>Крыгин Дмитрий Юрьевич</v>
      </c>
      <c r="C210" s="75" t="str">
        <f ca="1">IFERROR(__xludf.DUMMYFUNCTION("""COMPUTED_VALUE"""),"Студент")</f>
        <v>Студент</v>
      </c>
    </row>
    <row r="211" spans="1:3">
      <c r="A211" s="76">
        <f ca="1">IFERROR(__xludf.DUMMYFUNCTION("""COMPUTED_VALUE"""),2301339)</f>
        <v>2301339</v>
      </c>
      <c r="B211" s="76" t="str">
        <f ca="1">IFERROR(__xludf.DUMMYFUNCTION("""COMPUTED_VALUE"""),"Кудряшов Дмитрий Иванович")</f>
        <v>Кудряшов Дмитрий Иванович</v>
      </c>
      <c r="C211" s="75" t="str">
        <f ca="1">IFERROR(__xludf.DUMMYFUNCTION("""COMPUTED_VALUE"""),"Студент")</f>
        <v>Студент</v>
      </c>
    </row>
    <row r="212" spans="1:3">
      <c r="A212" s="76">
        <f ca="1">IFERROR(__xludf.DUMMYFUNCTION("""COMPUTED_VALUE"""),2301354)</f>
        <v>2301354</v>
      </c>
      <c r="B212" s="76" t="str">
        <f ca="1">IFERROR(__xludf.DUMMYFUNCTION("""COMPUTED_VALUE"""),"Липатов Павел Владимирович")</f>
        <v>Липатов Павел Владимирович</v>
      </c>
      <c r="C212" s="75" t="str">
        <f ca="1">IFERROR(__xludf.DUMMYFUNCTION("""COMPUTED_VALUE"""),"Студент")</f>
        <v>Студент</v>
      </c>
    </row>
    <row r="213" spans="1:3">
      <c r="A213" s="76">
        <f ca="1">IFERROR(__xludf.DUMMYFUNCTION("""COMPUTED_VALUE"""),2301357)</f>
        <v>2301357</v>
      </c>
      <c r="B213" s="76" t="str">
        <f ca="1">IFERROR(__xludf.DUMMYFUNCTION("""COMPUTED_VALUE"""),"Соломатин Никита Максимович")</f>
        <v>Соломатин Никита Максимович</v>
      </c>
      <c r="C213" s="75" t="str">
        <f ca="1">IFERROR(__xludf.DUMMYFUNCTION("""COMPUTED_VALUE"""),"Студент")</f>
        <v>Студент</v>
      </c>
    </row>
    <row r="214" spans="1:3">
      <c r="A214" s="76">
        <f ca="1">IFERROR(__xludf.DUMMYFUNCTION("""COMPUTED_VALUE"""),2301358)</f>
        <v>2301358</v>
      </c>
      <c r="B214" s="76" t="str">
        <f ca="1">IFERROR(__xludf.DUMMYFUNCTION("""COMPUTED_VALUE"""),"Ахмадеева Алина Ринатовна")</f>
        <v>Ахмадеева Алина Ринатовна</v>
      </c>
      <c r="C214" s="75" t="str">
        <f ca="1">IFERROR(__xludf.DUMMYFUNCTION("""COMPUTED_VALUE"""),"Студент")</f>
        <v>Студент</v>
      </c>
    </row>
    <row r="215" spans="1:3">
      <c r="A215" s="76">
        <f ca="1">IFERROR(__xludf.DUMMYFUNCTION("""COMPUTED_VALUE"""),2301360)</f>
        <v>2301360</v>
      </c>
      <c r="B215" s="76" t="str">
        <f ca="1">IFERROR(__xludf.DUMMYFUNCTION("""COMPUTED_VALUE"""),"Айзатулина Алина Дамировна")</f>
        <v>Айзатулина Алина Дамировна</v>
      </c>
      <c r="C215" s="75" t="str">
        <f ca="1">IFERROR(__xludf.DUMMYFUNCTION("""COMPUTED_VALUE"""),"Студент")</f>
        <v>Студент</v>
      </c>
    </row>
    <row r="216" spans="1:3">
      <c r="A216" s="76">
        <f ca="1">IFERROR(__xludf.DUMMYFUNCTION("""COMPUTED_VALUE"""),2301371)</f>
        <v>2301371</v>
      </c>
      <c r="B216" s="76" t="str">
        <f ca="1">IFERROR(__xludf.DUMMYFUNCTION("""COMPUTED_VALUE"""),"Фунг Туан Ань")</f>
        <v>Фунг Туан Ань</v>
      </c>
      <c r="C216" s="75" t="str">
        <f ca="1">IFERROR(__xludf.DUMMYFUNCTION("""COMPUTED_VALUE"""),"Студент")</f>
        <v>Студент</v>
      </c>
    </row>
    <row r="217" spans="1:3">
      <c r="A217" s="76">
        <f ca="1">IFERROR(__xludf.DUMMYFUNCTION("""COMPUTED_VALUE"""),2301379)</f>
        <v>2301379</v>
      </c>
      <c r="B217" s="76" t="str">
        <f ca="1">IFERROR(__xludf.DUMMYFUNCTION("""COMPUTED_VALUE"""),"Нерозина Ирина Дмитриевна")</f>
        <v>Нерозина Ирина Дмитриевна</v>
      </c>
      <c r="C217" s="75" t="str">
        <f ca="1">IFERROR(__xludf.DUMMYFUNCTION("""COMPUTED_VALUE"""),"Студент")</f>
        <v>Студент</v>
      </c>
    </row>
    <row r="218" spans="1:3">
      <c r="A218" s="76">
        <f ca="1">IFERROR(__xludf.DUMMYFUNCTION("""COMPUTED_VALUE"""),2301385)</f>
        <v>2301385</v>
      </c>
      <c r="B218" s="76" t="str">
        <f ca="1">IFERROR(__xludf.DUMMYFUNCTION("""COMPUTED_VALUE"""),"Зайцев Сергей Александрович")</f>
        <v>Зайцев Сергей Александрович</v>
      </c>
      <c r="C218" s="75" t="str">
        <f ca="1">IFERROR(__xludf.DUMMYFUNCTION("""COMPUTED_VALUE"""),"Студент")</f>
        <v>Студент</v>
      </c>
    </row>
    <row r="219" spans="1:3">
      <c r="A219" s="76">
        <f ca="1">IFERROR(__xludf.DUMMYFUNCTION("""COMPUTED_VALUE"""),2301389)</f>
        <v>2301389</v>
      </c>
      <c r="B219" s="76" t="str">
        <f ca="1">IFERROR(__xludf.DUMMYFUNCTION("""COMPUTED_VALUE"""),"Уросов Дмитрий Игоревич")</f>
        <v>Уросов Дмитрий Игоревич</v>
      </c>
      <c r="C219" s="75" t="str">
        <f ca="1">IFERROR(__xludf.DUMMYFUNCTION("""COMPUTED_VALUE"""),"Студент")</f>
        <v>Студент</v>
      </c>
    </row>
    <row r="220" spans="1:3">
      <c r="A220" s="76">
        <f ca="1">IFERROR(__xludf.DUMMYFUNCTION("""COMPUTED_VALUE"""),2301394)</f>
        <v>2301394</v>
      </c>
      <c r="B220" s="76" t="str">
        <f ca="1">IFERROR(__xludf.DUMMYFUNCTION("""COMPUTED_VALUE"""),"Черткова Алиса Андреевна")</f>
        <v>Черткова Алиса Андреевна</v>
      </c>
      <c r="C220" s="75" t="str">
        <f ca="1">IFERROR(__xludf.DUMMYFUNCTION("""COMPUTED_VALUE"""),"Студент")</f>
        <v>Студент</v>
      </c>
    </row>
    <row r="221" spans="1:3">
      <c r="A221" s="76">
        <f ca="1">IFERROR(__xludf.DUMMYFUNCTION("""COMPUTED_VALUE"""),2301405)</f>
        <v>2301405</v>
      </c>
      <c r="B221" s="76" t="str">
        <f ca="1">IFERROR(__xludf.DUMMYFUNCTION("""COMPUTED_VALUE"""),"Арсеньев Иван Дмитриевич")</f>
        <v>Арсеньев Иван Дмитриевич</v>
      </c>
      <c r="C221" s="75" t="str">
        <f ca="1">IFERROR(__xludf.DUMMYFUNCTION("""COMPUTED_VALUE"""),"Аспирант")</f>
        <v>Аспирант</v>
      </c>
    </row>
    <row r="222" spans="1:3">
      <c r="A222" s="76">
        <f ca="1">IFERROR(__xludf.DUMMYFUNCTION("""COMPUTED_VALUE"""),2301413)</f>
        <v>2301413</v>
      </c>
      <c r="B222" s="76" t="str">
        <f ca="1">IFERROR(__xludf.DUMMYFUNCTION("""COMPUTED_VALUE"""),"Авдеева Лариса Константиновна")</f>
        <v>Авдеева Лариса Константиновна</v>
      </c>
      <c r="C222" s="75" t="str">
        <f ca="1">IFERROR(__xludf.DUMMYFUNCTION("""COMPUTED_VALUE"""),"Студент")</f>
        <v>Студент</v>
      </c>
    </row>
    <row r="223" spans="1:3">
      <c r="A223" s="76">
        <f ca="1">IFERROR(__xludf.DUMMYFUNCTION("""COMPUTED_VALUE"""),2301426)</f>
        <v>2301426</v>
      </c>
      <c r="B223" s="76" t="str">
        <f ca="1">IFERROR(__xludf.DUMMYFUNCTION("""COMPUTED_VALUE"""),"Шмидт Роман Яковлевич")</f>
        <v>Шмидт Роман Яковлевич</v>
      </c>
      <c r="C223" s="75" t="str">
        <f ca="1">IFERROR(__xludf.DUMMYFUNCTION("""COMPUTED_VALUE"""),"Студент")</f>
        <v>Студент</v>
      </c>
    </row>
    <row r="224" spans="1:3">
      <c r="A224" s="76">
        <f ca="1">IFERROR(__xludf.DUMMYFUNCTION("""COMPUTED_VALUE"""),2301429)</f>
        <v>2301429</v>
      </c>
      <c r="B224" s="76" t="str">
        <f ca="1">IFERROR(__xludf.DUMMYFUNCTION("""COMPUTED_VALUE"""),"Чижова Анна Михайловна")</f>
        <v>Чижова Анна Михайловна</v>
      </c>
      <c r="C224" s="75" t="str">
        <f ca="1">IFERROR(__xludf.DUMMYFUNCTION("""COMPUTED_VALUE"""),"Студент")</f>
        <v>Студент</v>
      </c>
    </row>
    <row r="225" spans="1:3">
      <c r="A225" s="76">
        <f ca="1">IFERROR(__xludf.DUMMYFUNCTION("""COMPUTED_VALUE"""),2301436)</f>
        <v>2301436</v>
      </c>
      <c r="B225" s="76" t="str">
        <f ca="1">IFERROR(__xludf.DUMMYFUNCTION("""COMPUTED_VALUE"""),"Михайлова Софья Алексеевна")</f>
        <v>Михайлова Софья Алексеевна</v>
      </c>
      <c r="C225" s="75" t="str">
        <f ca="1">IFERROR(__xludf.DUMMYFUNCTION("""COMPUTED_VALUE"""),"Студент")</f>
        <v>Студент</v>
      </c>
    </row>
    <row r="226" spans="1:3">
      <c r="A226" s="76">
        <f ca="1">IFERROR(__xludf.DUMMYFUNCTION("""COMPUTED_VALUE"""),2301438)</f>
        <v>2301438</v>
      </c>
      <c r="B226" s="76" t="str">
        <f ca="1">IFERROR(__xludf.DUMMYFUNCTION("""COMPUTED_VALUE"""),"Токарев Максим Олегович")</f>
        <v>Токарев Максим Олегович</v>
      </c>
      <c r="C226" s="75" t="str">
        <f ca="1">IFERROR(__xludf.DUMMYFUNCTION("""COMPUTED_VALUE"""),"Студент")</f>
        <v>Студент</v>
      </c>
    </row>
    <row r="227" spans="1:3">
      <c r="A227" s="76">
        <f ca="1">IFERROR(__xludf.DUMMYFUNCTION("""COMPUTED_VALUE"""),2301442)</f>
        <v>2301442</v>
      </c>
      <c r="B227" s="76" t="str">
        <f ca="1">IFERROR(__xludf.DUMMYFUNCTION("""COMPUTED_VALUE"""),"Анточ Евгений Павлович")</f>
        <v>Анточ Евгений Павлович</v>
      </c>
      <c r="C227" s="75" t="str">
        <f ca="1">IFERROR(__xludf.DUMMYFUNCTION("""COMPUTED_VALUE"""),"Студент")</f>
        <v>Студент</v>
      </c>
    </row>
    <row r="228" spans="1:3">
      <c r="A228" s="76">
        <f ca="1">IFERROR(__xludf.DUMMYFUNCTION("""COMPUTED_VALUE"""),2301451)</f>
        <v>2301451</v>
      </c>
      <c r="B228" s="76" t="str">
        <f ca="1">IFERROR(__xludf.DUMMYFUNCTION("""COMPUTED_VALUE"""),"Герман Анна Александровна")</f>
        <v>Герман Анна Александровна</v>
      </c>
      <c r="C228" s="75" t="str">
        <f ca="1">IFERROR(__xludf.DUMMYFUNCTION("""COMPUTED_VALUE"""),"Студент")</f>
        <v>Студент</v>
      </c>
    </row>
    <row r="229" spans="1:3">
      <c r="A229" s="76">
        <f ca="1">IFERROR(__xludf.DUMMYFUNCTION("""COMPUTED_VALUE"""),2301502)</f>
        <v>2301502</v>
      </c>
      <c r="B229" s="76" t="str">
        <f ca="1">IFERROR(__xludf.DUMMYFUNCTION("""COMPUTED_VALUE"""),"Сергеева Ксения Андреевна")</f>
        <v>Сергеева Ксения Андреевна</v>
      </c>
      <c r="C229" s="75" t="str">
        <f ca="1">IFERROR(__xludf.DUMMYFUNCTION("""COMPUTED_VALUE"""),"Студент")</f>
        <v>Студент</v>
      </c>
    </row>
    <row r="230" spans="1:3">
      <c r="A230" s="76">
        <f ca="1">IFERROR(__xludf.DUMMYFUNCTION("""COMPUTED_VALUE"""),2301506)</f>
        <v>2301506</v>
      </c>
      <c r="B230" s="76" t="str">
        <f ca="1">IFERROR(__xludf.DUMMYFUNCTION("""COMPUTED_VALUE"""),"Баранова Полина Александровна")</f>
        <v>Баранова Полина Александровна</v>
      </c>
      <c r="C230" s="75" t="str">
        <f ca="1">IFERROR(__xludf.DUMMYFUNCTION("""COMPUTED_VALUE"""),"Студент")</f>
        <v>Студент</v>
      </c>
    </row>
    <row r="231" spans="1:3">
      <c r="A231" s="76">
        <f ca="1">IFERROR(__xludf.DUMMYFUNCTION("""COMPUTED_VALUE"""),2301509)</f>
        <v>2301509</v>
      </c>
      <c r="B231" s="76" t="str">
        <f ca="1">IFERROR(__xludf.DUMMYFUNCTION("""COMPUTED_VALUE"""),"Панов Юрий Вячеславович")</f>
        <v>Панов Юрий Вячеславович</v>
      </c>
      <c r="C231" s="75" t="str">
        <f ca="1">IFERROR(__xludf.DUMMYFUNCTION("""COMPUTED_VALUE"""),"Студент")</f>
        <v>Студент</v>
      </c>
    </row>
    <row r="232" spans="1:3">
      <c r="A232" s="76">
        <f ca="1">IFERROR(__xludf.DUMMYFUNCTION("""COMPUTED_VALUE"""),2301511)</f>
        <v>2301511</v>
      </c>
      <c r="B232" s="76" t="str">
        <f ca="1">IFERROR(__xludf.DUMMYFUNCTION("""COMPUTED_VALUE"""),"Жилин Александр Михайлович")</f>
        <v>Жилин Александр Михайлович</v>
      </c>
      <c r="C232" s="75" t="str">
        <f ca="1">IFERROR(__xludf.DUMMYFUNCTION("""COMPUTED_VALUE"""),"Студент")</f>
        <v>Студент</v>
      </c>
    </row>
    <row r="233" spans="1:3">
      <c r="A233" s="76">
        <f ca="1">IFERROR(__xludf.DUMMYFUNCTION("""COMPUTED_VALUE"""),2301512)</f>
        <v>2301512</v>
      </c>
      <c r="B233" s="76" t="str">
        <f ca="1">IFERROR(__xludf.DUMMYFUNCTION("""COMPUTED_VALUE"""),"Титова Надежда Алексеевна")</f>
        <v>Титова Надежда Алексеевна</v>
      </c>
      <c r="C233" s="75" t="str">
        <f ca="1">IFERROR(__xludf.DUMMYFUNCTION("""COMPUTED_VALUE"""),"Студент")</f>
        <v>Студент</v>
      </c>
    </row>
    <row r="234" spans="1:3">
      <c r="A234" s="76">
        <f ca="1">IFERROR(__xludf.DUMMYFUNCTION("""COMPUTED_VALUE"""),2301516)</f>
        <v>2301516</v>
      </c>
      <c r="B234" s="76" t="str">
        <f ca="1">IFERROR(__xludf.DUMMYFUNCTION("""COMPUTED_VALUE"""),"Лобода Иван Александрович")</f>
        <v>Лобода Иван Александрович</v>
      </c>
      <c r="C234" s="75" t="str">
        <f ca="1">IFERROR(__xludf.DUMMYFUNCTION("""COMPUTED_VALUE"""),"Студент")</f>
        <v>Студент</v>
      </c>
    </row>
    <row r="235" spans="1:3">
      <c r="A235" s="76">
        <f ca="1">IFERROR(__xludf.DUMMYFUNCTION("""COMPUTED_VALUE"""),2301517)</f>
        <v>2301517</v>
      </c>
      <c r="B235" s="76" t="str">
        <f ca="1">IFERROR(__xludf.DUMMYFUNCTION("""COMPUTED_VALUE"""),"Никоноров Андрей Романович")</f>
        <v>Никоноров Андрей Романович</v>
      </c>
      <c r="C235" s="75" t="str">
        <f ca="1">IFERROR(__xludf.DUMMYFUNCTION("""COMPUTED_VALUE"""),"Студент")</f>
        <v>Студент</v>
      </c>
    </row>
    <row r="236" spans="1:3">
      <c r="A236" s="76">
        <f ca="1">IFERROR(__xludf.DUMMYFUNCTION("""COMPUTED_VALUE"""),2301521)</f>
        <v>2301521</v>
      </c>
      <c r="B236" s="76" t="str">
        <f ca="1">IFERROR(__xludf.DUMMYFUNCTION("""COMPUTED_VALUE"""),"Кичапов Илья")</f>
        <v>Кичапов Илья</v>
      </c>
      <c r="C236" s="75" t="str">
        <f ca="1">IFERROR(__xludf.DUMMYFUNCTION("""COMPUTED_VALUE"""),"Студент")</f>
        <v>Студент</v>
      </c>
    </row>
    <row r="237" spans="1:3">
      <c r="A237" s="76">
        <f ca="1">IFERROR(__xludf.DUMMYFUNCTION("""COMPUTED_VALUE"""),2301525)</f>
        <v>2301525</v>
      </c>
      <c r="B237" s="76" t="str">
        <f ca="1">IFERROR(__xludf.DUMMYFUNCTION("""COMPUTED_VALUE"""),"Шуйская Полина Александровна")</f>
        <v>Шуйская Полина Александровна</v>
      </c>
      <c r="C237" s="75" t="str">
        <f ca="1">IFERROR(__xludf.DUMMYFUNCTION("""COMPUTED_VALUE"""),"Студент")</f>
        <v>Студент</v>
      </c>
    </row>
    <row r="238" spans="1:3">
      <c r="A238" s="76">
        <f ca="1">IFERROR(__xludf.DUMMYFUNCTION("""COMPUTED_VALUE"""),2301530)</f>
        <v>2301530</v>
      </c>
      <c r="B238" s="76" t="str">
        <f ca="1">IFERROR(__xludf.DUMMYFUNCTION("""COMPUTED_VALUE"""),"Василюк Таисия Олеговна")</f>
        <v>Василюк Таисия Олеговна</v>
      </c>
      <c r="C238" s="75" t="str">
        <f ca="1">IFERROR(__xludf.DUMMYFUNCTION("""COMPUTED_VALUE"""),"Студент")</f>
        <v>Студент</v>
      </c>
    </row>
    <row r="239" spans="1:3">
      <c r="A239" s="76">
        <f ca="1">IFERROR(__xludf.DUMMYFUNCTION("""COMPUTED_VALUE"""),2301532)</f>
        <v>2301532</v>
      </c>
      <c r="B239" s="76" t="str">
        <f ca="1">IFERROR(__xludf.DUMMYFUNCTION("""COMPUTED_VALUE"""),"Гришкин Иван Сергеевич")</f>
        <v>Гришкин Иван Сергеевич</v>
      </c>
      <c r="C239" s="75" t="str">
        <f ca="1">IFERROR(__xludf.DUMMYFUNCTION("""COMPUTED_VALUE"""),"Студент")</f>
        <v>Студент</v>
      </c>
    </row>
    <row r="240" spans="1:3">
      <c r="A240" s="76">
        <f ca="1">IFERROR(__xludf.DUMMYFUNCTION("""COMPUTED_VALUE"""),2301533)</f>
        <v>2301533</v>
      </c>
      <c r="B240" s="76" t="str">
        <f ca="1">IFERROR(__xludf.DUMMYFUNCTION("""COMPUTED_VALUE"""),"Марченко Арина Васильевна")</f>
        <v>Марченко Арина Васильевна</v>
      </c>
      <c r="C240" s="75" t="str">
        <f ca="1">IFERROR(__xludf.DUMMYFUNCTION("""COMPUTED_VALUE"""),"Студент")</f>
        <v>Студент</v>
      </c>
    </row>
    <row r="241" spans="1:3">
      <c r="A241" s="76">
        <f ca="1">IFERROR(__xludf.DUMMYFUNCTION("""COMPUTED_VALUE"""),2301534)</f>
        <v>2301534</v>
      </c>
      <c r="B241" s="76" t="str">
        <f ca="1">IFERROR(__xludf.DUMMYFUNCTION("""COMPUTED_VALUE"""),"Смольский Матвей Дмитриевич")</f>
        <v>Смольский Матвей Дмитриевич</v>
      </c>
      <c r="C241" s="75" t="str">
        <f ca="1">IFERROR(__xludf.DUMMYFUNCTION("""COMPUTED_VALUE"""),"Студент")</f>
        <v>Студент</v>
      </c>
    </row>
    <row r="242" spans="1:3">
      <c r="A242" s="76">
        <f ca="1">IFERROR(__xludf.DUMMYFUNCTION("""COMPUTED_VALUE"""),2301539)</f>
        <v>2301539</v>
      </c>
      <c r="B242" s="76" t="str">
        <f ca="1">IFERROR(__xludf.DUMMYFUNCTION("""COMPUTED_VALUE"""),"Корота Алексей Владимирович")</f>
        <v>Корота Алексей Владимирович</v>
      </c>
      <c r="C242" s="75" t="str">
        <f ca="1">IFERROR(__xludf.DUMMYFUNCTION("""COMPUTED_VALUE"""),"Студент")</f>
        <v>Студент</v>
      </c>
    </row>
    <row r="243" spans="1:3">
      <c r="A243" s="76">
        <f ca="1">IFERROR(__xludf.DUMMYFUNCTION("""COMPUTED_VALUE"""),2301540)</f>
        <v>2301540</v>
      </c>
      <c r="B243" s="76" t="str">
        <f ca="1">IFERROR(__xludf.DUMMYFUNCTION("""COMPUTED_VALUE"""),"Кондобарова Дарья Юрьевна")</f>
        <v>Кондобарова Дарья Юрьевна</v>
      </c>
      <c r="C243" s="75" t="str">
        <f ca="1">IFERROR(__xludf.DUMMYFUNCTION("""COMPUTED_VALUE"""),"Студент")</f>
        <v>Студент</v>
      </c>
    </row>
    <row r="244" spans="1:3">
      <c r="A244" s="76">
        <f ca="1">IFERROR(__xludf.DUMMYFUNCTION("""COMPUTED_VALUE"""),2301544)</f>
        <v>2301544</v>
      </c>
      <c r="B244" s="76" t="str">
        <f ca="1">IFERROR(__xludf.DUMMYFUNCTION("""COMPUTED_VALUE"""),"Шумаков Фёдор Игоревич")</f>
        <v>Шумаков Фёдор Игоревич</v>
      </c>
      <c r="C244" s="75" t="str">
        <f ca="1">IFERROR(__xludf.DUMMYFUNCTION("""COMPUTED_VALUE"""),"Студент")</f>
        <v>Студент</v>
      </c>
    </row>
    <row r="245" spans="1:3">
      <c r="A245" s="76">
        <f ca="1">IFERROR(__xludf.DUMMYFUNCTION("""COMPUTED_VALUE"""),2301551)</f>
        <v>2301551</v>
      </c>
      <c r="B245" s="76" t="str">
        <f ca="1">IFERROR(__xludf.DUMMYFUNCTION("""COMPUTED_VALUE"""),"Ассанова Евгения Александровна")</f>
        <v>Ассанова Евгения Александровна</v>
      </c>
      <c r="C245" s="75" t="str">
        <f ca="1">IFERROR(__xludf.DUMMYFUNCTION("""COMPUTED_VALUE"""),"Студент")</f>
        <v>Студент</v>
      </c>
    </row>
    <row r="246" spans="1:3">
      <c r="A246" s="76">
        <f ca="1">IFERROR(__xludf.DUMMYFUNCTION("""COMPUTED_VALUE"""),2301574)</f>
        <v>2301574</v>
      </c>
      <c r="B246" s="76" t="str">
        <f ca="1">IFERROR(__xludf.DUMMYFUNCTION("""COMPUTED_VALUE"""),"Брузда Александр Александрович")</f>
        <v>Брузда Александр Александрович</v>
      </c>
      <c r="C246" s="75" t="str">
        <f ca="1">IFERROR(__xludf.DUMMYFUNCTION("""COMPUTED_VALUE"""),"Студент")</f>
        <v>Студент</v>
      </c>
    </row>
    <row r="247" spans="1:3">
      <c r="A247" s="76">
        <f ca="1">IFERROR(__xludf.DUMMYFUNCTION("""COMPUTED_VALUE"""),2301593)</f>
        <v>2301593</v>
      </c>
      <c r="B247" s="76" t="str">
        <f ca="1">IFERROR(__xludf.DUMMYFUNCTION("""COMPUTED_VALUE"""),"Смирнова Алиса Витальевна")</f>
        <v>Смирнова Алиса Витальевна</v>
      </c>
      <c r="C247" s="75" t="str">
        <f ca="1">IFERROR(__xludf.DUMMYFUNCTION("""COMPUTED_VALUE"""),"Студент")</f>
        <v>Студент</v>
      </c>
    </row>
    <row r="248" spans="1:3">
      <c r="A248" s="76">
        <f ca="1">IFERROR(__xludf.DUMMYFUNCTION("""COMPUTED_VALUE"""),2301613)</f>
        <v>2301613</v>
      </c>
      <c r="B248" s="76" t="str">
        <f ca="1">IFERROR(__xludf.DUMMYFUNCTION("""COMPUTED_VALUE"""),"Кондратьев Артем Дмитриевич")</f>
        <v>Кондратьев Артем Дмитриевич</v>
      </c>
      <c r="C248" s="75" t="str">
        <f ca="1">IFERROR(__xludf.DUMMYFUNCTION("""COMPUTED_VALUE"""),"Студент")</f>
        <v>Студент</v>
      </c>
    </row>
    <row r="249" spans="1:3">
      <c r="A249" s="76">
        <f ca="1">IFERROR(__xludf.DUMMYFUNCTION("""COMPUTED_VALUE"""),2301615)</f>
        <v>2301615</v>
      </c>
      <c r="B249" s="76" t="str">
        <f ca="1">IFERROR(__xludf.DUMMYFUNCTION("""COMPUTED_VALUE"""),"Гнеушева Полина Игоревна")</f>
        <v>Гнеушева Полина Игоревна</v>
      </c>
      <c r="C249" s="75" t="str">
        <f ca="1">IFERROR(__xludf.DUMMYFUNCTION("""COMPUTED_VALUE"""),"Студент")</f>
        <v>Студент</v>
      </c>
    </row>
    <row r="250" spans="1:3">
      <c r="A250" s="76">
        <f ca="1">IFERROR(__xludf.DUMMYFUNCTION("""COMPUTED_VALUE"""),2301617)</f>
        <v>2301617</v>
      </c>
      <c r="B250" s="76" t="str">
        <f ca="1">IFERROR(__xludf.DUMMYFUNCTION("""COMPUTED_VALUE"""),"Журавлёв Сергей Романович")</f>
        <v>Журавлёв Сергей Романович</v>
      </c>
      <c r="C250" s="75" t="str">
        <f ca="1">IFERROR(__xludf.DUMMYFUNCTION("""COMPUTED_VALUE"""),"Студент")</f>
        <v>Студент</v>
      </c>
    </row>
    <row r="251" spans="1:3">
      <c r="A251" s="76">
        <f ca="1">IFERROR(__xludf.DUMMYFUNCTION("""COMPUTED_VALUE"""),2301618)</f>
        <v>2301618</v>
      </c>
      <c r="B251" s="76" t="str">
        <f ca="1">IFERROR(__xludf.DUMMYFUNCTION("""COMPUTED_VALUE"""),"Галеницкая Валерия Александровна")</f>
        <v>Галеницкая Валерия Александровна</v>
      </c>
      <c r="C251" s="75" t="str">
        <f ca="1">IFERROR(__xludf.DUMMYFUNCTION("""COMPUTED_VALUE"""),"Студент")</f>
        <v>Студент</v>
      </c>
    </row>
    <row r="252" spans="1:3">
      <c r="A252" s="76">
        <f ca="1">IFERROR(__xludf.DUMMYFUNCTION("""COMPUTED_VALUE"""),2301622)</f>
        <v>2301622</v>
      </c>
      <c r="B252" s="76" t="str">
        <f ca="1">IFERROR(__xludf.DUMMYFUNCTION("""COMPUTED_VALUE"""),"Перевощиков Сергей Александрович")</f>
        <v>Перевощиков Сергей Александрович</v>
      </c>
      <c r="C252" s="75" t="str">
        <f ca="1">IFERROR(__xludf.DUMMYFUNCTION("""COMPUTED_VALUE"""),"Студент")</f>
        <v>Студент</v>
      </c>
    </row>
    <row r="253" spans="1:3">
      <c r="A253" s="76">
        <f ca="1">IFERROR(__xludf.DUMMYFUNCTION("""COMPUTED_VALUE"""),2301633)</f>
        <v>2301633</v>
      </c>
      <c r="B253" s="76" t="str">
        <f ca="1">IFERROR(__xludf.DUMMYFUNCTION("""COMPUTED_VALUE"""),"Каримов Айдар Тагирович")</f>
        <v>Каримов Айдар Тагирович</v>
      </c>
      <c r="C253" s="75" t="str">
        <f ca="1">IFERROR(__xludf.DUMMYFUNCTION("""COMPUTED_VALUE"""),"Студент")</f>
        <v>Студент</v>
      </c>
    </row>
    <row r="254" spans="1:3">
      <c r="A254" s="76">
        <f ca="1">IFERROR(__xludf.DUMMYFUNCTION("""COMPUTED_VALUE"""),2301636)</f>
        <v>2301636</v>
      </c>
      <c r="B254" s="76" t="str">
        <f ca="1">IFERROR(__xludf.DUMMYFUNCTION("""COMPUTED_VALUE"""),"Антонов Илья Андреевич")</f>
        <v>Антонов Илья Андреевич</v>
      </c>
      <c r="C254" s="75" t="str">
        <f ca="1">IFERROR(__xludf.DUMMYFUNCTION("""COMPUTED_VALUE"""),"Студент")</f>
        <v>Студент</v>
      </c>
    </row>
    <row r="255" spans="1:3">
      <c r="A255" s="76">
        <f ca="1">IFERROR(__xludf.DUMMYFUNCTION("""COMPUTED_VALUE"""),2301650)</f>
        <v>2301650</v>
      </c>
      <c r="B255" s="76" t="str">
        <f ca="1">IFERROR(__xludf.DUMMYFUNCTION("""COMPUTED_VALUE"""),"Угулава Даниил Давидович")</f>
        <v>Угулава Даниил Давидович</v>
      </c>
      <c r="C255" s="75" t="str">
        <f ca="1">IFERROR(__xludf.DUMMYFUNCTION("""COMPUTED_VALUE"""),"Студент")</f>
        <v>Студент</v>
      </c>
    </row>
    <row r="256" spans="1:3">
      <c r="A256" s="76">
        <f ca="1">IFERROR(__xludf.DUMMYFUNCTION("""COMPUTED_VALUE"""),2301658)</f>
        <v>2301658</v>
      </c>
      <c r="B256" s="76" t="str">
        <f ca="1">IFERROR(__xludf.DUMMYFUNCTION("""COMPUTED_VALUE"""),"Титов Павел Александрович")</f>
        <v>Титов Павел Александрович</v>
      </c>
      <c r="C256" s="75" t="str">
        <f ca="1">IFERROR(__xludf.DUMMYFUNCTION("""COMPUTED_VALUE"""),"Студент")</f>
        <v>Студент</v>
      </c>
    </row>
    <row r="257" spans="1:3">
      <c r="A257" s="76">
        <f ca="1">IFERROR(__xludf.DUMMYFUNCTION("""COMPUTED_VALUE"""),2301677)</f>
        <v>2301677</v>
      </c>
      <c r="B257" s="76" t="str">
        <f ca="1">IFERROR(__xludf.DUMMYFUNCTION("""COMPUTED_VALUE"""),"Новоселов Денис Евгеньевич")</f>
        <v>Новоселов Денис Евгеньевич</v>
      </c>
      <c r="C257" s="75" t="str">
        <f ca="1">IFERROR(__xludf.DUMMYFUNCTION("""COMPUTED_VALUE"""),"Студент")</f>
        <v>Студент</v>
      </c>
    </row>
    <row r="258" spans="1:3">
      <c r="A258" s="76">
        <f ca="1">IFERROR(__xludf.DUMMYFUNCTION("""COMPUTED_VALUE"""),2301696)</f>
        <v>2301696</v>
      </c>
      <c r="B258" s="76" t="str">
        <f ca="1">IFERROR(__xludf.DUMMYFUNCTION("""COMPUTED_VALUE"""),"Шамина Ксения Евгеньевна")</f>
        <v>Шамина Ксения Евгеньевна</v>
      </c>
      <c r="C258" s="75" t="str">
        <f ca="1">IFERROR(__xludf.DUMMYFUNCTION("""COMPUTED_VALUE"""),"Студент")</f>
        <v>Студент</v>
      </c>
    </row>
    <row r="259" spans="1:3">
      <c r="A259" s="76">
        <f ca="1">IFERROR(__xludf.DUMMYFUNCTION("""COMPUTED_VALUE"""),2301698)</f>
        <v>2301698</v>
      </c>
      <c r="B259" s="76" t="str">
        <f ca="1">IFERROR(__xludf.DUMMYFUNCTION("""COMPUTED_VALUE"""),"Спиричева Валерия Денисовна")</f>
        <v>Спиричева Валерия Денисовна</v>
      </c>
      <c r="C259" s="75" t="str">
        <f ca="1">IFERROR(__xludf.DUMMYFUNCTION("""COMPUTED_VALUE"""),"Студент")</f>
        <v>Студент</v>
      </c>
    </row>
    <row r="260" spans="1:3">
      <c r="A260" s="76">
        <f ca="1">IFERROR(__xludf.DUMMYFUNCTION("""COMPUTED_VALUE"""),2301706)</f>
        <v>2301706</v>
      </c>
      <c r="B260" s="76" t="str">
        <f ca="1">IFERROR(__xludf.DUMMYFUNCTION("""COMPUTED_VALUE"""),"Евдокимов Никита Алексеевич")</f>
        <v>Евдокимов Никита Алексеевич</v>
      </c>
      <c r="C260" s="75" t="str">
        <f ca="1">IFERROR(__xludf.DUMMYFUNCTION("""COMPUTED_VALUE"""),"Студент")</f>
        <v>Студент</v>
      </c>
    </row>
    <row r="261" spans="1:3">
      <c r="A261" s="76">
        <f ca="1">IFERROR(__xludf.DUMMYFUNCTION("""COMPUTED_VALUE"""),2301710)</f>
        <v>2301710</v>
      </c>
      <c r="B261" s="76" t="str">
        <f ca="1">IFERROR(__xludf.DUMMYFUNCTION("""COMPUTED_VALUE"""),"Спиридонов Иван Олегович")</f>
        <v>Спиридонов Иван Олегович</v>
      </c>
      <c r="C261" s="75" t="str">
        <f ca="1">IFERROR(__xludf.DUMMYFUNCTION("""COMPUTED_VALUE"""),"Студент")</f>
        <v>Студент</v>
      </c>
    </row>
    <row r="262" spans="1:3">
      <c r="A262" s="76">
        <f ca="1">IFERROR(__xludf.DUMMYFUNCTION("""COMPUTED_VALUE"""),2301743)</f>
        <v>2301743</v>
      </c>
      <c r="B262" s="76" t="str">
        <f ca="1">IFERROR(__xludf.DUMMYFUNCTION("""COMPUTED_VALUE"""),"Мишин Сергей Николаевич")</f>
        <v>Мишин Сергей Николаевич</v>
      </c>
      <c r="C262" s="75" t="str">
        <f ca="1">IFERROR(__xludf.DUMMYFUNCTION("""COMPUTED_VALUE"""),"Студент")</f>
        <v>Студент</v>
      </c>
    </row>
    <row r="263" spans="1:3">
      <c r="A263" s="76">
        <f ca="1">IFERROR(__xludf.DUMMYFUNCTION("""COMPUTED_VALUE"""),2301747)</f>
        <v>2301747</v>
      </c>
      <c r="B263" s="76" t="str">
        <f ca="1">IFERROR(__xludf.DUMMYFUNCTION("""COMPUTED_VALUE"""),"Барзыкина Мария Александровна")</f>
        <v>Барзыкина Мария Александровна</v>
      </c>
      <c r="C263" s="75" t="str">
        <f ca="1">IFERROR(__xludf.DUMMYFUNCTION("""COMPUTED_VALUE"""),"Студент")</f>
        <v>Студент</v>
      </c>
    </row>
    <row r="264" spans="1:3">
      <c r="A264" s="76">
        <f ca="1">IFERROR(__xludf.DUMMYFUNCTION("""COMPUTED_VALUE"""),2301751)</f>
        <v>2301751</v>
      </c>
      <c r="B264" s="76" t="str">
        <f ca="1">IFERROR(__xludf.DUMMYFUNCTION("""COMPUTED_VALUE"""),"Сабельникова Елизавета Алексеевна")</f>
        <v>Сабельникова Елизавета Алексеевна</v>
      </c>
      <c r="C264" s="75" t="str">
        <f ca="1">IFERROR(__xludf.DUMMYFUNCTION("""COMPUTED_VALUE"""),"Студент")</f>
        <v>Студент</v>
      </c>
    </row>
    <row r="265" spans="1:3">
      <c r="A265" s="76">
        <f ca="1">IFERROR(__xludf.DUMMYFUNCTION("""COMPUTED_VALUE"""),2301752)</f>
        <v>2301752</v>
      </c>
      <c r="B265" s="76" t="str">
        <f ca="1">IFERROR(__xludf.DUMMYFUNCTION("""COMPUTED_VALUE"""),"Аксенова Полина Максимовна")</f>
        <v>Аксенова Полина Максимовна</v>
      </c>
      <c r="C265" s="75" t="str">
        <f ca="1">IFERROR(__xludf.DUMMYFUNCTION("""COMPUTED_VALUE"""),"Студент")</f>
        <v>Студент</v>
      </c>
    </row>
    <row r="266" spans="1:3">
      <c r="A266" s="76">
        <f ca="1">IFERROR(__xludf.DUMMYFUNCTION("""COMPUTED_VALUE"""),2301766)</f>
        <v>2301766</v>
      </c>
      <c r="B266" s="76" t="str">
        <f ca="1">IFERROR(__xludf.DUMMYFUNCTION("""COMPUTED_VALUE"""),"Кравченко Павел Романович")</f>
        <v>Кравченко Павел Романович</v>
      </c>
      <c r="C266" s="75" t="str">
        <f ca="1">IFERROR(__xludf.DUMMYFUNCTION("""COMPUTED_VALUE"""),"Студент")</f>
        <v>Студент</v>
      </c>
    </row>
    <row r="267" spans="1:3">
      <c r="A267" s="76">
        <f ca="1">IFERROR(__xludf.DUMMYFUNCTION("""COMPUTED_VALUE"""),2301773)</f>
        <v>2301773</v>
      </c>
      <c r="B267" s="76" t="str">
        <f ca="1">IFERROR(__xludf.DUMMYFUNCTION("""COMPUTED_VALUE"""),"Айрапетян Армен Сергеевич")</f>
        <v>Айрапетян Армен Сергеевич</v>
      </c>
      <c r="C267" s="75" t="str">
        <f ca="1">IFERROR(__xludf.DUMMYFUNCTION("""COMPUTED_VALUE"""),"Студент")</f>
        <v>Студент</v>
      </c>
    </row>
    <row r="268" spans="1:3">
      <c r="A268" s="76">
        <f ca="1">IFERROR(__xludf.DUMMYFUNCTION("""COMPUTED_VALUE"""),2301774)</f>
        <v>2301774</v>
      </c>
      <c r="B268" s="76" t="str">
        <f ca="1">IFERROR(__xludf.DUMMYFUNCTION("""COMPUTED_VALUE"""),"Пикалов Степан Петрович")</f>
        <v>Пикалов Степан Петрович</v>
      </c>
      <c r="C268" s="75" t="str">
        <f ca="1">IFERROR(__xludf.DUMMYFUNCTION("""COMPUTED_VALUE"""),"Студент")</f>
        <v>Студент</v>
      </c>
    </row>
    <row r="269" spans="1:3">
      <c r="A269" s="76">
        <f ca="1">IFERROR(__xludf.DUMMYFUNCTION("""COMPUTED_VALUE"""),2301776)</f>
        <v>2301776</v>
      </c>
      <c r="B269" s="76" t="str">
        <f ca="1">IFERROR(__xludf.DUMMYFUNCTION("""COMPUTED_VALUE"""),"Хусаинов Марат Саярович")</f>
        <v>Хусаинов Марат Саярович</v>
      </c>
      <c r="C269" s="75" t="str">
        <f ca="1">IFERROR(__xludf.DUMMYFUNCTION("""COMPUTED_VALUE"""),"Студент")</f>
        <v>Студент</v>
      </c>
    </row>
    <row r="270" spans="1:3">
      <c r="A270" s="76">
        <f ca="1">IFERROR(__xludf.DUMMYFUNCTION("""COMPUTED_VALUE"""),2301779)</f>
        <v>2301779</v>
      </c>
      <c r="B270" s="76" t="str">
        <f ca="1">IFERROR(__xludf.DUMMYFUNCTION("""COMPUTED_VALUE"""),"Соколова Софья Денисовна")</f>
        <v>Соколова Софья Денисовна</v>
      </c>
      <c r="C270" s="75" t="str">
        <f ca="1">IFERROR(__xludf.DUMMYFUNCTION("""COMPUTED_VALUE"""),"Студент")</f>
        <v>Студент</v>
      </c>
    </row>
    <row r="271" spans="1:3">
      <c r="A271" s="76">
        <f ca="1">IFERROR(__xludf.DUMMYFUNCTION("""COMPUTED_VALUE"""),2301784)</f>
        <v>2301784</v>
      </c>
      <c r="B271" s="76" t="str">
        <f ca="1">IFERROR(__xludf.DUMMYFUNCTION("""COMPUTED_VALUE"""),"Воробьев Михаил Олегович")</f>
        <v>Воробьев Михаил Олегович</v>
      </c>
      <c r="C271" s="75" t="str">
        <f ca="1">IFERROR(__xludf.DUMMYFUNCTION("""COMPUTED_VALUE"""),"Студент")</f>
        <v>Студент</v>
      </c>
    </row>
    <row r="272" spans="1:3">
      <c r="A272" s="76">
        <f ca="1">IFERROR(__xludf.DUMMYFUNCTION("""COMPUTED_VALUE"""),2301792)</f>
        <v>2301792</v>
      </c>
      <c r="B272" s="76" t="str">
        <f ca="1">IFERROR(__xludf.DUMMYFUNCTION("""COMPUTED_VALUE"""),"Тимофеев Артём Сергеевич")</f>
        <v>Тимофеев Артём Сергеевич</v>
      </c>
      <c r="C272" s="75" t="str">
        <f ca="1">IFERROR(__xludf.DUMMYFUNCTION("""COMPUTED_VALUE"""),"Студент")</f>
        <v>Студент</v>
      </c>
    </row>
    <row r="273" spans="1:3">
      <c r="A273" s="76">
        <f ca="1">IFERROR(__xludf.DUMMYFUNCTION("""COMPUTED_VALUE"""),2301795)</f>
        <v>2301795</v>
      </c>
      <c r="B273" s="76" t="str">
        <f ca="1">IFERROR(__xludf.DUMMYFUNCTION("""COMPUTED_VALUE"""),"Косых Мария Сергеевна")</f>
        <v>Косых Мария Сергеевна</v>
      </c>
      <c r="C273" s="75" t="str">
        <f ca="1">IFERROR(__xludf.DUMMYFUNCTION("""COMPUTED_VALUE"""),"Студент")</f>
        <v>Студент</v>
      </c>
    </row>
    <row r="274" spans="1:3">
      <c r="A274" s="76">
        <f ca="1">IFERROR(__xludf.DUMMYFUNCTION("""COMPUTED_VALUE"""),2301816)</f>
        <v>2301816</v>
      </c>
      <c r="B274" s="76" t="str">
        <f ca="1">IFERROR(__xludf.DUMMYFUNCTION("""COMPUTED_VALUE"""),"Ледяйкин Михаил Евгеньевич")</f>
        <v>Ледяйкин Михаил Евгеньевич</v>
      </c>
      <c r="C274" s="75" t="str">
        <f ca="1">IFERROR(__xludf.DUMMYFUNCTION("""COMPUTED_VALUE"""),"Студент")</f>
        <v>Студент</v>
      </c>
    </row>
    <row r="275" spans="1:3">
      <c r="A275" s="76">
        <f ca="1">IFERROR(__xludf.DUMMYFUNCTION("""COMPUTED_VALUE"""),2301831)</f>
        <v>2301831</v>
      </c>
      <c r="B275" s="76" t="str">
        <f ca="1">IFERROR(__xludf.DUMMYFUNCTION("""COMPUTED_VALUE"""),"Сайфетдинова Дарья Олеговна")</f>
        <v>Сайфетдинова Дарья Олеговна</v>
      </c>
      <c r="C275" s="75" t="str">
        <f ca="1">IFERROR(__xludf.DUMMYFUNCTION("""COMPUTED_VALUE"""),"Студент")</f>
        <v>Студент</v>
      </c>
    </row>
    <row r="276" spans="1:3">
      <c r="A276" s="76">
        <f ca="1">IFERROR(__xludf.DUMMYFUNCTION("""COMPUTED_VALUE"""),2301839)</f>
        <v>2301839</v>
      </c>
      <c r="B276" s="76" t="str">
        <f ca="1">IFERROR(__xludf.DUMMYFUNCTION("""COMPUTED_VALUE"""),"Козлова Анна Даниловна")</f>
        <v>Козлова Анна Даниловна</v>
      </c>
      <c r="C276" s="75" t="str">
        <f ca="1">IFERROR(__xludf.DUMMYFUNCTION("""COMPUTED_VALUE"""),"Студент")</f>
        <v>Студент</v>
      </c>
    </row>
    <row r="277" spans="1:3">
      <c r="A277" s="76">
        <f ca="1">IFERROR(__xludf.DUMMYFUNCTION("""COMPUTED_VALUE"""),2301843)</f>
        <v>2301843</v>
      </c>
      <c r="B277" s="76" t="str">
        <f ca="1">IFERROR(__xludf.DUMMYFUNCTION("""COMPUTED_VALUE"""),"Щербаков Сергей Павлович")</f>
        <v>Щербаков Сергей Павлович</v>
      </c>
      <c r="C277" s="75" t="str">
        <f ca="1">IFERROR(__xludf.DUMMYFUNCTION("""COMPUTED_VALUE"""),"Студент")</f>
        <v>Студент</v>
      </c>
    </row>
    <row r="278" spans="1:3">
      <c r="A278" s="76">
        <f ca="1">IFERROR(__xludf.DUMMYFUNCTION("""COMPUTED_VALUE"""),2301857)</f>
        <v>2301857</v>
      </c>
      <c r="B278" s="76" t="str">
        <f ca="1">IFERROR(__xludf.DUMMYFUNCTION("""COMPUTED_VALUE"""),"Рубес Матвей Антонович")</f>
        <v>Рубес Матвей Антонович</v>
      </c>
      <c r="C278" s="75" t="str">
        <f ca="1">IFERROR(__xludf.DUMMYFUNCTION("""COMPUTED_VALUE"""),"Студент")</f>
        <v>Студент</v>
      </c>
    </row>
    <row r="279" spans="1:3">
      <c r="A279" s="76">
        <f ca="1">IFERROR(__xludf.DUMMYFUNCTION("""COMPUTED_VALUE"""),2301863)</f>
        <v>2301863</v>
      </c>
      <c r="B279" s="76" t="str">
        <f ca="1">IFERROR(__xludf.DUMMYFUNCTION("""COMPUTED_VALUE"""),"Хмилевский Алексей Дмитриевич")</f>
        <v>Хмилевский Алексей Дмитриевич</v>
      </c>
      <c r="C279" s="75" t="str">
        <f ca="1">IFERROR(__xludf.DUMMYFUNCTION("""COMPUTED_VALUE"""),"Студент")</f>
        <v>Студент</v>
      </c>
    </row>
    <row r="280" spans="1:3">
      <c r="A280" s="76">
        <f ca="1">IFERROR(__xludf.DUMMYFUNCTION("""COMPUTED_VALUE"""),2301865)</f>
        <v>2301865</v>
      </c>
      <c r="B280" s="76" t="str">
        <f ca="1">IFERROR(__xludf.DUMMYFUNCTION("""COMPUTED_VALUE"""),"Бодров Глеб Денисович")</f>
        <v>Бодров Глеб Денисович</v>
      </c>
      <c r="C280" s="75" t="str">
        <f ca="1">IFERROR(__xludf.DUMMYFUNCTION("""COMPUTED_VALUE"""),"Студент")</f>
        <v>Студент</v>
      </c>
    </row>
    <row r="281" spans="1:3">
      <c r="A281" s="76">
        <f ca="1">IFERROR(__xludf.DUMMYFUNCTION("""COMPUTED_VALUE"""),2301867)</f>
        <v>2301867</v>
      </c>
      <c r="B281" s="76" t="str">
        <f ca="1">IFERROR(__xludf.DUMMYFUNCTION("""COMPUTED_VALUE"""),"Стоценко Александр Сергеевич")</f>
        <v>Стоценко Александр Сергеевич</v>
      </c>
      <c r="C281" s="75" t="str">
        <f ca="1">IFERROR(__xludf.DUMMYFUNCTION("""COMPUTED_VALUE"""),"Студент")</f>
        <v>Студент</v>
      </c>
    </row>
    <row r="282" spans="1:3">
      <c r="A282" s="76">
        <f ca="1">IFERROR(__xludf.DUMMYFUNCTION("""COMPUTED_VALUE"""),2301874)</f>
        <v>2301874</v>
      </c>
      <c r="B282" s="76" t="str">
        <f ca="1">IFERROR(__xludf.DUMMYFUNCTION("""COMPUTED_VALUE"""),"Волосянка Кирилл Федорович")</f>
        <v>Волосянка Кирилл Федорович</v>
      </c>
      <c r="C282" s="75" t="str">
        <f ca="1">IFERROR(__xludf.DUMMYFUNCTION("""COMPUTED_VALUE"""),"Студент")</f>
        <v>Студент</v>
      </c>
    </row>
    <row r="283" spans="1:3">
      <c r="A283" s="76">
        <f ca="1">IFERROR(__xludf.DUMMYFUNCTION("""COMPUTED_VALUE"""),2301876)</f>
        <v>2301876</v>
      </c>
      <c r="B283" s="76" t="str">
        <f ca="1">IFERROR(__xludf.DUMMYFUNCTION("""COMPUTED_VALUE"""),"Крамер Евгения Павловна")</f>
        <v>Крамер Евгения Павловна</v>
      </c>
      <c r="C283" s="75" t="str">
        <f ca="1">IFERROR(__xludf.DUMMYFUNCTION("""COMPUTED_VALUE"""),"Студент")</f>
        <v>Студент</v>
      </c>
    </row>
    <row r="284" spans="1:3">
      <c r="A284" s="76">
        <f ca="1">IFERROR(__xludf.DUMMYFUNCTION("""COMPUTED_VALUE"""),2301877)</f>
        <v>2301877</v>
      </c>
      <c r="B284" s="76" t="str">
        <f ca="1">IFERROR(__xludf.DUMMYFUNCTION("""COMPUTED_VALUE"""),"Ошевский Святослав Дмитриевич")</f>
        <v>Ошевский Святослав Дмитриевич</v>
      </c>
      <c r="C284" s="75" t="str">
        <f ca="1">IFERROR(__xludf.DUMMYFUNCTION("""COMPUTED_VALUE"""),"Студент")</f>
        <v>Студент</v>
      </c>
    </row>
    <row r="285" spans="1:3">
      <c r="A285" s="76">
        <f ca="1">IFERROR(__xludf.DUMMYFUNCTION("""COMPUTED_VALUE"""),2301878)</f>
        <v>2301878</v>
      </c>
      <c r="B285" s="76" t="str">
        <f ca="1">IFERROR(__xludf.DUMMYFUNCTION("""COMPUTED_VALUE"""),"Бадеев Ростислав Денисович")</f>
        <v>Бадеев Ростислав Денисович</v>
      </c>
      <c r="C285" s="75" t="str">
        <f ca="1">IFERROR(__xludf.DUMMYFUNCTION("""COMPUTED_VALUE"""),"Студент")</f>
        <v>Студент</v>
      </c>
    </row>
    <row r="286" spans="1:3">
      <c r="A286" s="76">
        <f ca="1">IFERROR(__xludf.DUMMYFUNCTION("""COMPUTED_VALUE"""),2301885)</f>
        <v>2301885</v>
      </c>
      <c r="B286" s="76" t="str">
        <f ca="1">IFERROR(__xludf.DUMMYFUNCTION("""COMPUTED_VALUE"""),"Крамсакова Ульяна Андреевна")</f>
        <v>Крамсакова Ульяна Андреевна</v>
      </c>
      <c r="C286" s="75" t="str">
        <f ca="1">IFERROR(__xludf.DUMMYFUNCTION("""COMPUTED_VALUE"""),"Студент")</f>
        <v>Студент</v>
      </c>
    </row>
    <row r="287" spans="1:3">
      <c r="A287" s="76">
        <f ca="1">IFERROR(__xludf.DUMMYFUNCTION("""COMPUTED_VALUE"""),2301897)</f>
        <v>2301897</v>
      </c>
      <c r="B287" s="76" t="str">
        <f ca="1">IFERROR(__xludf.DUMMYFUNCTION("""COMPUTED_VALUE"""),"Волошина Александра Алексеевна")</f>
        <v>Волошина Александра Алексеевна</v>
      </c>
      <c r="C287" s="75" t="str">
        <f ca="1">IFERROR(__xludf.DUMMYFUNCTION("""COMPUTED_VALUE"""),"Студент")</f>
        <v>Студент</v>
      </c>
    </row>
    <row r="288" spans="1:3">
      <c r="A288" s="76">
        <f ca="1">IFERROR(__xludf.DUMMYFUNCTION("""COMPUTED_VALUE"""),2301898)</f>
        <v>2301898</v>
      </c>
      <c r="B288" s="76" t="str">
        <f ca="1">IFERROR(__xludf.DUMMYFUNCTION("""COMPUTED_VALUE"""),"Борисов Даниил Алексеевич")</f>
        <v>Борисов Даниил Алексеевич</v>
      </c>
      <c r="C288" s="75" t="str">
        <f ca="1">IFERROR(__xludf.DUMMYFUNCTION("""COMPUTED_VALUE"""),"Аспирант")</f>
        <v>Аспирант</v>
      </c>
    </row>
    <row r="289" spans="1:3">
      <c r="A289" s="76">
        <f ca="1">IFERROR(__xludf.DUMMYFUNCTION("""COMPUTED_VALUE"""),2301900)</f>
        <v>2301900</v>
      </c>
      <c r="B289" s="76" t="str">
        <f ca="1">IFERROR(__xludf.DUMMYFUNCTION("""COMPUTED_VALUE"""),"Леин Катерина")</f>
        <v>Леин Катерина</v>
      </c>
      <c r="C289" s="75" t="str">
        <f ca="1">IFERROR(__xludf.DUMMYFUNCTION("""COMPUTED_VALUE"""),"Студент")</f>
        <v>Студент</v>
      </c>
    </row>
    <row r="290" spans="1:3">
      <c r="A290" s="76">
        <f ca="1">IFERROR(__xludf.DUMMYFUNCTION("""COMPUTED_VALUE"""),2301902)</f>
        <v>2301902</v>
      </c>
      <c r="B290" s="76" t="str">
        <f ca="1">IFERROR(__xludf.DUMMYFUNCTION("""COMPUTED_VALUE"""),"Заиченко Илья Дмитриевич")</f>
        <v>Заиченко Илья Дмитриевич</v>
      </c>
      <c r="C290" s="75" t="str">
        <f ca="1">IFERROR(__xludf.DUMMYFUNCTION("""COMPUTED_VALUE"""),"Студент")</f>
        <v>Студент</v>
      </c>
    </row>
    <row r="291" spans="1:3">
      <c r="A291" s="76">
        <f ca="1">IFERROR(__xludf.DUMMYFUNCTION("""COMPUTED_VALUE"""),2301904)</f>
        <v>2301904</v>
      </c>
      <c r="B291" s="76" t="str">
        <f ca="1">IFERROR(__xludf.DUMMYFUNCTION("""COMPUTED_VALUE"""),"Феклистова Александра Аркадьевна")</f>
        <v>Феклистова Александра Аркадьевна</v>
      </c>
      <c r="C291" s="75" t="str">
        <f ca="1">IFERROR(__xludf.DUMMYFUNCTION("""COMPUTED_VALUE"""),"Студент")</f>
        <v>Студент</v>
      </c>
    </row>
    <row r="292" spans="1:3">
      <c r="A292" s="76">
        <f ca="1">IFERROR(__xludf.DUMMYFUNCTION("""COMPUTED_VALUE"""),2301906)</f>
        <v>2301906</v>
      </c>
      <c r="B292" s="76" t="str">
        <f ca="1">IFERROR(__xludf.DUMMYFUNCTION("""COMPUTED_VALUE"""),"Бабанов Андрей Максимович")</f>
        <v>Бабанов Андрей Максимович</v>
      </c>
      <c r="C292" s="75" t="str">
        <f ca="1">IFERROR(__xludf.DUMMYFUNCTION("""COMPUTED_VALUE"""),"Студент")</f>
        <v>Студент</v>
      </c>
    </row>
    <row r="293" spans="1:3">
      <c r="A293" s="76">
        <f ca="1">IFERROR(__xludf.DUMMYFUNCTION("""COMPUTED_VALUE"""),2301911)</f>
        <v>2301911</v>
      </c>
      <c r="B293" s="76" t="str">
        <f ca="1">IFERROR(__xludf.DUMMYFUNCTION("""COMPUTED_VALUE"""),"Баранова Мария Михайловна")</f>
        <v>Баранова Мария Михайловна</v>
      </c>
      <c r="C293" s="75" t="str">
        <f ca="1">IFERROR(__xludf.DUMMYFUNCTION("""COMPUTED_VALUE"""),"Студент")</f>
        <v>Студент</v>
      </c>
    </row>
    <row r="294" spans="1:3">
      <c r="A294" s="76">
        <f ca="1">IFERROR(__xludf.DUMMYFUNCTION("""COMPUTED_VALUE"""),2301913)</f>
        <v>2301913</v>
      </c>
      <c r="B294" s="76" t="str">
        <f ca="1">IFERROR(__xludf.DUMMYFUNCTION("""COMPUTED_VALUE"""),"Ковалев Данила Андреевич")</f>
        <v>Ковалев Данила Андреевич</v>
      </c>
      <c r="C294" s="75" t="str">
        <f ca="1">IFERROR(__xludf.DUMMYFUNCTION("""COMPUTED_VALUE"""),"Студент")</f>
        <v>Студент</v>
      </c>
    </row>
    <row r="295" spans="1:3">
      <c r="A295" s="76">
        <f ca="1">IFERROR(__xludf.DUMMYFUNCTION("""COMPUTED_VALUE"""),2301916)</f>
        <v>2301916</v>
      </c>
      <c r="B295" s="76" t="str">
        <f ca="1">IFERROR(__xludf.DUMMYFUNCTION("""COMPUTED_VALUE"""),"Суханов Андрей Сергеевич")</f>
        <v>Суханов Андрей Сергеевич</v>
      </c>
      <c r="C295" s="75" t="str">
        <f ca="1">IFERROR(__xludf.DUMMYFUNCTION("""COMPUTED_VALUE"""),"Студент")</f>
        <v>Студент</v>
      </c>
    </row>
    <row r="296" spans="1:3">
      <c r="A296" s="76">
        <f ca="1">IFERROR(__xludf.DUMMYFUNCTION("""COMPUTED_VALUE"""),2301927)</f>
        <v>2301927</v>
      </c>
      <c r="B296" s="76" t="str">
        <f ca="1">IFERROR(__xludf.DUMMYFUNCTION("""COMPUTED_VALUE"""),"Мерк Анастасия Алексеевна")</f>
        <v>Мерк Анастасия Алексеевна</v>
      </c>
      <c r="C296" s="75" t="str">
        <f ca="1">IFERROR(__xludf.DUMMYFUNCTION("""COMPUTED_VALUE"""),"Студент")</f>
        <v>Студент</v>
      </c>
    </row>
    <row r="297" spans="1:3">
      <c r="A297" s="76">
        <f ca="1">IFERROR(__xludf.DUMMYFUNCTION("""COMPUTED_VALUE"""),2301936)</f>
        <v>2301936</v>
      </c>
      <c r="B297" s="76" t="str">
        <f ca="1">IFERROR(__xludf.DUMMYFUNCTION("""COMPUTED_VALUE"""),"Клюева Александра Андреевна")</f>
        <v>Клюева Александра Андреевна</v>
      </c>
      <c r="C297" s="75" t="str">
        <f ca="1">IFERROR(__xludf.DUMMYFUNCTION("""COMPUTED_VALUE"""),"Студент")</f>
        <v>Студент</v>
      </c>
    </row>
    <row r="298" spans="1:3">
      <c r="A298" s="76">
        <f ca="1">IFERROR(__xludf.DUMMYFUNCTION("""COMPUTED_VALUE"""),2301945)</f>
        <v>2301945</v>
      </c>
      <c r="B298" s="76" t="str">
        <f ca="1">IFERROR(__xludf.DUMMYFUNCTION("""COMPUTED_VALUE"""),"Князев Иван Викторович")</f>
        <v>Князев Иван Викторович</v>
      </c>
      <c r="C298" s="75" t="str">
        <f ca="1">IFERROR(__xludf.DUMMYFUNCTION("""COMPUTED_VALUE"""),"Студент")</f>
        <v>Студент</v>
      </c>
    </row>
    <row r="299" spans="1:3">
      <c r="A299" s="76">
        <f ca="1">IFERROR(__xludf.DUMMYFUNCTION("""COMPUTED_VALUE"""),2301947)</f>
        <v>2301947</v>
      </c>
      <c r="B299" s="76" t="str">
        <f ca="1">IFERROR(__xludf.DUMMYFUNCTION("""COMPUTED_VALUE"""),"Ломаев Илья Сергеевич")</f>
        <v>Ломаев Илья Сергеевич</v>
      </c>
      <c r="C299" s="75" t="str">
        <f ca="1">IFERROR(__xludf.DUMMYFUNCTION("""COMPUTED_VALUE"""),"Студент")</f>
        <v>Студент</v>
      </c>
    </row>
    <row r="300" spans="1:3">
      <c r="A300" s="76">
        <f ca="1">IFERROR(__xludf.DUMMYFUNCTION("""COMPUTED_VALUE"""),2301955)</f>
        <v>2301955</v>
      </c>
      <c r="B300" s="76" t="str">
        <f ca="1">IFERROR(__xludf.DUMMYFUNCTION("""COMPUTED_VALUE"""),"Винарская Арина Борисовна")</f>
        <v>Винарская Арина Борисовна</v>
      </c>
      <c r="C300" s="75" t="str">
        <f ca="1">IFERROR(__xludf.DUMMYFUNCTION("""COMPUTED_VALUE"""),"Студент")</f>
        <v>Студент</v>
      </c>
    </row>
    <row r="301" spans="1:3">
      <c r="A301" s="76">
        <f ca="1">IFERROR(__xludf.DUMMYFUNCTION("""COMPUTED_VALUE"""),2301964)</f>
        <v>2301964</v>
      </c>
      <c r="B301" s="76" t="str">
        <f ca="1">IFERROR(__xludf.DUMMYFUNCTION("""COMPUTED_VALUE"""),"Ментешашвили Иракли")</f>
        <v>Ментешашвили Иракли</v>
      </c>
      <c r="C301" s="75" t="str">
        <f ca="1">IFERROR(__xludf.DUMMYFUNCTION("""COMPUTED_VALUE"""),"Студент")</f>
        <v>Студент</v>
      </c>
    </row>
    <row r="302" spans="1:3">
      <c r="A302" s="76">
        <f ca="1">IFERROR(__xludf.DUMMYFUNCTION("""COMPUTED_VALUE"""),2301965)</f>
        <v>2301965</v>
      </c>
      <c r="B302" s="76" t="str">
        <f ca="1">IFERROR(__xludf.DUMMYFUNCTION("""COMPUTED_VALUE"""),"Асташкина Полина Игоревна")</f>
        <v>Асташкина Полина Игоревна</v>
      </c>
      <c r="C302" s="75" t="str">
        <f ca="1">IFERROR(__xludf.DUMMYFUNCTION("""COMPUTED_VALUE"""),"Студент")</f>
        <v>Студент</v>
      </c>
    </row>
    <row r="303" spans="1:3">
      <c r="A303" s="76">
        <f ca="1">IFERROR(__xludf.DUMMYFUNCTION("""COMPUTED_VALUE"""),2301971)</f>
        <v>2301971</v>
      </c>
      <c r="B303" s="76" t="str">
        <f ca="1">IFERROR(__xludf.DUMMYFUNCTION("""COMPUTED_VALUE"""),"Комлев Данила Александрович")</f>
        <v>Комлев Данила Александрович</v>
      </c>
      <c r="C303" s="75" t="str">
        <f ca="1">IFERROR(__xludf.DUMMYFUNCTION("""COMPUTED_VALUE"""),"Студент")</f>
        <v>Студент</v>
      </c>
    </row>
    <row r="304" spans="1:3">
      <c r="A304" s="76">
        <f ca="1">IFERROR(__xludf.DUMMYFUNCTION("""COMPUTED_VALUE"""),2301974)</f>
        <v>2301974</v>
      </c>
      <c r="B304" s="76" t="str">
        <f ca="1">IFERROR(__xludf.DUMMYFUNCTION("""COMPUTED_VALUE"""),"Сулимов Максим Юрьевич")</f>
        <v>Сулимов Максим Юрьевич</v>
      </c>
      <c r="C304" s="75" t="str">
        <f ca="1">IFERROR(__xludf.DUMMYFUNCTION("""COMPUTED_VALUE"""),"Аспирант")</f>
        <v>Аспирант</v>
      </c>
    </row>
    <row r="305" spans="1:3">
      <c r="A305" s="76">
        <f ca="1">IFERROR(__xludf.DUMMYFUNCTION("""COMPUTED_VALUE"""),2301980)</f>
        <v>2301980</v>
      </c>
      <c r="B305" s="76" t="str">
        <f ca="1">IFERROR(__xludf.DUMMYFUNCTION("""COMPUTED_VALUE"""),"Васильева Маргарита Игоревна")</f>
        <v>Васильева Маргарита Игоревна</v>
      </c>
      <c r="C305" s="75" t="str">
        <f ca="1">IFERROR(__xludf.DUMMYFUNCTION("""COMPUTED_VALUE"""),"Студент")</f>
        <v>Студент</v>
      </c>
    </row>
    <row r="306" spans="1:3">
      <c r="A306" s="76">
        <f ca="1">IFERROR(__xludf.DUMMYFUNCTION("""COMPUTED_VALUE"""),2301991)</f>
        <v>2301991</v>
      </c>
      <c r="B306" s="76" t="str">
        <f ca="1">IFERROR(__xludf.DUMMYFUNCTION("""COMPUTED_VALUE"""),"Альков Роман Валерьевич")</f>
        <v>Альков Роман Валерьевич</v>
      </c>
      <c r="C306" s="75" t="str">
        <f ca="1">IFERROR(__xludf.DUMMYFUNCTION("""COMPUTED_VALUE"""),"Студент")</f>
        <v>Студент</v>
      </c>
    </row>
    <row r="307" spans="1:3">
      <c r="A307" s="76">
        <f ca="1">IFERROR(__xludf.DUMMYFUNCTION("""COMPUTED_VALUE"""),2302001)</f>
        <v>2302001</v>
      </c>
      <c r="B307" s="76" t="str">
        <f ca="1">IFERROR(__xludf.DUMMYFUNCTION("""COMPUTED_VALUE"""),"Ефимова Татьяна Ивановна")</f>
        <v>Ефимова Татьяна Ивановна</v>
      </c>
      <c r="C307" s="75" t="str">
        <f ca="1">IFERROR(__xludf.DUMMYFUNCTION("""COMPUTED_VALUE"""),"Студент")</f>
        <v>Студент</v>
      </c>
    </row>
    <row r="308" spans="1:3">
      <c r="A308" s="76">
        <f ca="1">IFERROR(__xludf.DUMMYFUNCTION("""COMPUTED_VALUE"""),2302004)</f>
        <v>2302004</v>
      </c>
      <c r="B308" s="76" t="str">
        <f ca="1">IFERROR(__xludf.DUMMYFUNCTION("""COMPUTED_VALUE"""),"Пешкина Елизавета Андреевна")</f>
        <v>Пешкина Елизавета Андреевна</v>
      </c>
      <c r="C308" s="75" t="str">
        <f ca="1">IFERROR(__xludf.DUMMYFUNCTION("""COMPUTED_VALUE"""),"Студент")</f>
        <v>Студент</v>
      </c>
    </row>
    <row r="309" spans="1:3">
      <c r="A309" s="76">
        <f ca="1">IFERROR(__xludf.DUMMYFUNCTION("""COMPUTED_VALUE"""),2302005)</f>
        <v>2302005</v>
      </c>
      <c r="B309" s="76" t="str">
        <f ca="1">IFERROR(__xludf.DUMMYFUNCTION("""COMPUTED_VALUE"""),"Ким Никита")</f>
        <v>Ким Никита</v>
      </c>
      <c r="C309" s="75" t="str">
        <f ca="1">IFERROR(__xludf.DUMMYFUNCTION("""COMPUTED_VALUE"""),"Студент")</f>
        <v>Студент</v>
      </c>
    </row>
    <row r="310" spans="1:3">
      <c r="A310" s="76">
        <f ca="1">IFERROR(__xludf.DUMMYFUNCTION("""COMPUTED_VALUE"""),2302017)</f>
        <v>2302017</v>
      </c>
      <c r="B310" s="76" t="str">
        <f ca="1">IFERROR(__xludf.DUMMYFUNCTION("""COMPUTED_VALUE"""),"Стуникова Полина Евгеньевна")</f>
        <v>Стуникова Полина Евгеньевна</v>
      </c>
      <c r="C310" s="75" t="str">
        <f ca="1">IFERROR(__xludf.DUMMYFUNCTION("""COMPUTED_VALUE"""),"Студент")</f>
        <v>Студент</v>
      </c>
    </row>
    <row r="311" spans="1:3">
      <c r="A311" s="76">
        <f ca="1">IFERROR(__xludf.DUMMYFUNCTION("""COMPUTED_VALUE"""),2302021)</f>
        <v>2302021</v>
      </c>
      <c r="B311" s="76" t="str">
        <f ca="1">IFERROR(__xludf.DUMMYFUNCTION("""COMPUTED_VALUE"""),"Баута Наталья Павловна")</f>
        <v>Баута Наталья Павловна</v>
      </c>
      <c r="C311" s="75" t="str">
        <f ca="1">IFERROR(__xludf.DUMMYFUNCTION("""COMPUTED_VALUE"""),"Студент")</f>
        <v>Студент</v>
      </c>
    </row>
    <row r="312" spans="1:3">
      <c r="A312" s="76">
        <f ca="1">IFERROR(__xludf.DUMMYFUNCTION("""COMPUTED_VALUE"""),2302022)</f>
        <v>2302022</v>
      </c>
      <c r="B312" s="76" t="str">
        <f ca="1">IFERROR(__xludf.DUMMYFUNCTION("""COMPUTED_VALUE"""),"Югай Ангелина Евгеньевна")</f>
        <v>Югай Ангелина Евгеньевна</v>
      </c>
      <c r="C312" s="75" t="str">
        <f ca="1">IFERROR(__xludf.DUMMYFUNCTION("""COMPUTED_VALUE"""),"Студент")</f>
        <v>Студент</v>
      </c>
    </row>
    <row r="313" spans="1:3">
      <c r="A313" s="76">
        <f ca="1">IFERROR(__xludf.DUMMYFUNCTION("""COMPUTED_VALUE"""),2302023)</f>
        <v>2302023</v>
      </c>
      <c r="B313" s="76" t="str">
        <f ca="1">IFERROR(__xludf.DUMMYFUNCTION("""COMPUTED_VALUE"""),"Татарников Иван Борисович")</f>
        <v>Татарников Иван Борисович</v>
      </c>
      <c r="C313" s="75" t="str">
        <f ca="1">IFERROR(__xludf.DUMMYFUNCTION("""COMPUTED_VALUE"""),"Студент")</f>
        <v>Студент</v>
      </c>
    </row>
    <row r="314" spans="1:3">
      <c r="A314" s="76">
        <f ca="1">IFERROR(__xludf.DUMMYFUNCTION("""COMPUTED_VALUE"""),2302024)</f>
        <v>2302024</v>
      </c>
      <c r="B314" s="76" t="str">
        <f ca="1">IFERROR(__xludf.DUMMYFUNCTION("""COMPUTED_VALUE"""),"Голощапов Дмитрий Вячеславович")</f>
        <v>Голощапов Дмитрий Вячеславович</v>
      </c>
      <c r="C314" s="75" t="str">
        <f ca="1">IFERROR(__xludf.DUMMYFUNCTION("""COMPUTED_VALUE"""),"Студент")</f>
        <v>Студент</v>
      </c>
    </row>
    <row r="315" spans="1:3">
      <c r="A315" s="76">
        <f ca="1">IFERROR(__xludf.DUMMYFUNCTION("""COMPUTED_VALUE"""),2302025)</f>
        <v>2302025</v>
      </c>
      <c r="B315" s="76" t="str">
        <f ca="1">IFERROR(__xludf.DUMMYFUNCTION("""COMPUTED_VALUE"""),"Слепенкова Мария Дмитриевна")</f>
        <v>Слепенкова Мария Дмитриевна</v>
      </c>
      <c r="C315" s="75" t="str">
        <f ca="1">IFERROR(__xludf.DUMMYFUNCTION("""COMPUTED_VALUE"""),"Студент")</f>
        <v>Студент</v>
      </c>
    </row>
    <row r="316" spans="1:3">
      <c r="A316" s="76">
        <f ca="1">IFERROR(__xludf.DUMMYFUNCTION("""COMPUTED_VALUE"""),2302030)</f>
        <v>2302030</v>
      </c>
      <c r="B316" s="76" t="str">
        <f ca="1">IFERROR(__xludf.DUMMYFUNCTION("""COMPUTED_VALUE"""),"Дуйшекеев Мендебек Умот Памирбекович")</f>
        <v>Дуйшекеев Мендебек Умот Памирбекович</v>
      </c>
      <c r="C316" s="75" t="str">
        <f ca="1">IFERROR(__xludf.DUMMYFUNCTION("""COMPUTED_VALUE"""),"Студент")</f>
        <v>Студент</v>
      </c>
    </row>
    <row r="317" spans="1:3">
      <c r="A317" s="76">
        <f ca="1">IFERROR(__xludf.DUMMYFUNCTION("""COMPUTED_VALUE"""),2302037)</f>
        <v>2302037</v>
      </c>
      <c r="B317" s="76" t="str">
        <f ca="1">IFERROR(__xludf.DUMMYFUNCTION("""COMPUTED_VALUE"""),"Мазур Ангелина Радиевна")</f>
        <v>Мазур Ангелина Радиевна</v>
      </c>
      <c r="C317" s="75" t="str">
        <f ca="1">IFERROR(__xludf.DUMMYFUNCTION("""COMPUTED_VALUE"""),"Студент")</f>
        <v>Студент</v>
      </c>
    </row>
    <row r="318" spans="1:3">
      <c r="A318" s="76">
        <f ca="1">IFERROR(__xludf.DUMMYFUNCTION("""COMPUTED_VALUE"""),2302043)</f>
        <v>2302043</v>
      </c>
      <c r="B318" s="76" t="str">
        <f ca="1">IFERROR(__xludf.DUMMYFUNCTION("""COMPUTED_VALUE"""),"Бабушкина Софья Алексеевна")</f>
        <v>Бабушкина Софья Алексеевна</v>
      </c>
      <c r="C318" s="75" t="str">
        <f ca="1">IFERROR(__xludf.DUMMYFUNCTION("""COMPUTED_VALUE"""),"Студент")</f>
        <v>Студент</v>
      </c>
    </row>
    <row r="319" spans="1:3">
      <c r="A319" s="76">
        <f ca="1">IFERROR(__xludf.DUMMYFUNCTION("""COMPUTED_VALUE"""),2302045)</f>
        <v>2302045</v>
      </c>
      <c r="B319" s="76" t="str">
        <f ca="1">IFERROR(__xludf.DUMMYFUNCTION("""COMPUTED_VALUE"""),"Гаврилов Юрий Алексеевич")</f>
        <v>Гаврилов Юрий Алексеевич</v>
      </c>
      <c r="C319" s="75" t="str">
        <f ca="1">IFERROR(__xludf.DUMMYFUNCTION("""COMPUTED_VALUE"""),"Студент")</f>
        <v>Студент</v>
      </c>
    </row>
    <row r="320" spans="1:3">
      <c r="A320" s="76">
        <f ca="1">IFERROR(__xludf.DUMMYFUNCTION("""COMPUTED_VALUE"""),2302050)</f>
        <v>2302050</v>
      </c>
      <c r="B320" s="76" t="str">
        <f ca="1">IFERROR(__xludf.DUMMYFUNCTION("""COMPUTED_VALUE"""),"Ларькин Матвей Александрович")</f>
        <v>Ларькин Матвей Александрович</v>
      </c>
      <c r="C320" s="75" t="str">
        <f ca="1">IFERROR(__xludf.DUMMYFUNCTION("""COMPUTED_VALUE"""),"Студент")</f>
        <v>Студент</v>
      </c>
    </row>
    <row r="321" spans="1:3">
      <c r="A321" s="76">
        <f ca="1">IFERROR(__xludf.DUMMYFUNCTION("""COMPUTED_VALUE"""),2302058)</f>
        <v>2302058</v>
      </c>
      <c r="B321" s="76" t="str">
        <f ca="1">IFERROR(__xludf.DUMMYFUNCTION("""COMPUTED_VALUE"""),"Моксохоева Валерия Викторовна")</f>
        <v>Моксохоева Валерия Викторовна</v>
      </c>
      <c r="C321" s="75" t="str">
        <f ca="1">IFERROR(__xludf.DUMMYFUNCTION("""COMPUTED_VALUE"""),"Студент")</f>
        <v>Студент</v>
      </c>
    </row>
    <row r="322" spans="1:3">
      <c r="A322" s="76">
        <f ca="1">IFERROR(__xludf.DUMMYFUNCTION("""COMPUTED_VALUE"""),2302063)</f>
        <v>2302063</v>
      </c>
      <c r="B322" s="76" t="str">
        <f ca="1">IFERROR(__xludf.DUMMYFUNCTION("""COMPUTED_VALUE"""),"Негрин Алексей Александрович")</f>
        <v>Негрин Алексей Александрович</v>
      </c>
      <c r="C322" s="75" t="str">
        <f ca="1">IFERROR(__xludf.DUMMYFUNCTION("""COMPUTED_VALUE"""),"Студент")</f>
        <v>Студент</v>
      </c>
    </row>
    <row r="323" spans="1:3">
      <c r="A323" s="76">
        <f ca="1">IFERROR(__xludf.DUMMYFUNCTION("""COMPUTED_VALUE"""),2302066)</f>
        <v>2302066</v>
      </c>
      <c r="B323" s="76" t="str">
        <f ca="1">IFERROR(__xludf.DUMMYFUNCTION("""COMPUTED_VALUE"""),"Чупина Алина Александровна")</f>
        <v>Чупина Алина Александровна</v>
      </c>
      <c r="C323" s="75" t="str">
        <f ca="1">IFERROR(__xludf.DUMMYFUNCTION("""COMPUTED_VALUE"""),"Студент")</f>
        <v>Студент</v>
      </c>
    </row>
    <row r="324" spans="1:3">
      <c r="A324" s="76">
        <f ca="1">IFERROR(__xludf.DUMMYFUNCTION("""COMPUTED_VALUE"""),2302070)</f>
        <v>2302070</v>
      </c>
      <c r="B324" s="76" t="str">
        <f ca="1">IFERROR(__xludf.DUMMYFUNCTION("""COMPUTED_VALUE"""),"Рыжичкин Кирилл Сергеевич")</f>
        <v>Рыжичкин Кирилл Сергеевич</v>
      </c>
      <c r="C324" s="75" t="str">
        <f ca="1">IFERROR(__xludf.DUMMYFUNCTION("""COMPUTED_VALUE"""),"Студент")</f>
        <v>Студент</v>
      </c>
    </row>
    <row r="325" spans="1:3">
      <c r="A325" s="76">
        <f ca="1">IFERROR(__xludf.DUMMYFUNCTION("""COMPUTED_VALUE"""),2302072)</f>
        <v>2302072</v>
      </c>
      <c r="B325" s="76" t="str">
        <f ca="1">IFERROR(__xludf.DUMMYFUNCTION("""COMPUTED_VALUE"""),"Шкурат Дарья Владимировна")</f>
        <v>Шкурат Дарья Владимировна</v>
      </c>
      <c r="C325" s="75" t="str">
        <f ca="1">IFERROR(__xludf.DUMMYFUNCTION("""COMPUTED_VALUE"""),"Студент")</f>
        <v>Студент</v>
      </c>
    </row>
    <row r="326" spans="1:3">
      <c r="A326" s="76">
        <f ca="1">IFERROR(__xludf.DUMMYFUNCTION("""COMPUTED_VALUE"""),2302073)</f>
        <v>2302073</v>
      </c>
      <c r="B326" s="76" t="str">
        <f ca="1">IFERROR(__xludf.DUMMYFUNCTION("""COMPUTED_VALUE"""),"Большаков Владимир Альбертович")</f>
        <v>Большаков Владимир Альбертович</v>
      </c>
      <c r="C326" s="75" t="str">
        <f ca="1">IFERROR(__xludf.DUMMYFUNCTION("""COMPUTED_VALUE"""),"Студент")</f>
        <v>Студент</v>
      </c>
    </row>
    <row r="327" spans="1:3">
      <c r="A327" s="76">
        <f ca="1">IFERROR(__xludf.DUMMYFUNCTION("""COMPUTED_VALUE"""),2302075)</f>
        <v>2302075</v>
      </c>
      <c r="B327" s="76" t="str">
        <f ca="1">IFERROR(__xludf.DUMMYFUNCTION("""COMPUTED_VALUE"""),"Фомичева Мария Валериевна")</f>
        <v>Фомичева Мария Валериевна</v>
      </c>
      <c r="C327" s="75" t="str">
        <f ca="1">IFERROR(__xludf.DUMMYFUNCTION("""COMPUTED_VALUE"""),"Студент")</f>
        <v>Студент</v>
      </c>
    </row>
    <row r="328" spans="1:3">
      <c r="A328" s="76">
        <f ca="1">IFERROR(__xludf.DUMMYFUNCTION("""COMPUTED_VALUE"""),2302076)</f>
        <v>2302076</v>
      </c>
      <c r="B328" s="76" t="str">
        <f ca="1">IFERROR(__xludf.DUMMYFUNCTION("""COMPUTED_VALUE"""),"Корнаушенкова Алина Юрьевна")</f>
        <v>Корнаушенкова Алина Юрьевна</v>
      </c>
      <c r="C328" s="75" t="str">
        <f ca="1">IFERROR(__xludf.DUMMYFUNCTION("""COMPUTED_VALUE"""),"Студент")</f>
        <v>Студент</v>
      </c>
    </row>
    <row r="329" spans="1:3">
      <c r="A329" s="76">
        <f ca="1">IFERROR(__xludf.DUMMYFUNCTION("""COMPUTED_VALUE"""),2302082)</f>
        <v>2302082</v>
      </c>
      <c r="B329" s="76" t="str">
        <f ca="1">IFERROR(__xludf.DUMMYFUNCTION("""COMPUTED_VALUE"""),"Ладуров Илья Евгеньевич")</f>
        <v>Ладуров Илья Евгеньевич</v>
      </c>
      <c r="C329" s="75" t="str">
        <f ca="1">IFERROR(__xludf.DUMMYFUNCTION("""COMPUTED_VALUE"""),"Студент")</f>
        <v>Студент</v>
      </c>
    </row>
    <row r="330" spans="1:3">
      <c r="A330" s="76">
        <f ca="1">IFERROR(__xludf.DUMMYFUNCTION("""COMPUTED_VALUE"""),2302085)</f>
        <v>2302085</v>
      </c>
      <c r="B330" s="76" t="str">
        <f ca="1">IFERROR(__xludf.DUMMYFUNCTION("""COMPUTED_VALUE"""),"Нечаев Константин Сергеевич")</f>
        <v>Нечаев Константин Сергеевич</v>
      </c>
      <c r="C330" s="75" t="str">
        <f ca="1">IFERROR(__xludf.DUMMYFUNCTION("""COMPUTED_VALUE"""),"Студент")</f>
        <v>Студент</v>
      </c>
    </row>
    <row r="331" spans="1:3">
      <c r="A331" s="76">
        <f ca="1">IFERROR(__xludf.DUMMYFUNCTION("""COMPUTED_VALUE"""),2302091)</f>
        <v>2302091</v>
      </c>
      <c r="B331" s="76" t="str">
        <f ca="1">IFERROR(__xludf.DUMMYFUNCTION("""COMPUTED_VALUE"""),"Фетисов Алексей Александрович")</f>
        <v>Фетисов Алексей Александрович</v>
      </c>
      <c r="C331" s="75" t="str">
        <f ca="1">IFERROR(__xludf.DUMMYFUNCTION("""COMPUTED_VALUE"""),"Студент")</f>
        <v>Студент</v>
      </c>
    </row>
    <row r="332" spans="1:3">
      <c r="A332" s="76">
        <f ca="1">IFERROR(__xludf.DUMMYFUNCTION("""COMPUTED_VALUE"""),2302092)</f>
        <v>2302092</v>
      </c>
      <c r="B332" s="76" t="str">
        <f ca="1">IFERROR(__xludf.DUMMYFUNCTION("""COMPUTED_VALUE"""),"Дворников Дмитрий Евгеньевич")</f>
        <v>Дворников Дмитрий Евгеньевич</v>
      </c>
      <c r="C332" s="75" t="str">
        <f ca="1">IFERROR(__xludf.DUMMYFUNCTION("""COMPUTED_VALUE"""),"Студент")</f>
        <v>Студент</v>
      </c>
    </row>
    <row r="333" spans="1:3">
      <c r="A333" s="76">
        <f ca="1">IFERROR(__xludf.DUMMYFUNCTION("""COMPUTED_VALUE"""),2302093)</f>
        <v>2302093</v>
      </c>
      <c r="B333" s="76" t="str">
        <f ca="1">IFERROR(__xludf.DUMMYFUNCTION("""COMPUTED_VALUE"""),"Глухов Максим Сергеевич")</f>
        <v>Глухов Максим Сергеевич</v>
      </c>
      <c r="C333" s="75" t="str">
        <f ca="1">IFERROR(__xludf.DUMMYFUNCTION("""COMPUTED_VALUE"""),"Студент")</f>
        <v>Студент</v>
      </c>
    </row>
    <row r="334" spans="1:3">
      <c r="A334" s="76">
        <f ca="1">IFERROR(__xludf.DUMMYFUNCTION("""COMPUTED_VALUE"""),2302100)</f>
        <v>2302100</v>
      </c>
      <c r="B334" s="76" t="str">
        <f ca="1">IFERROR(__xludf.DUMMYFUNCTION("""COMPUTED_VALUE"""),"Качалкин Дмитрий Алексеевич")</f>
        <v>Качалкин Дмитрий Алексеевич</v>
      </c>
      <c r="C334" s="75" t="str">
        <f ca="1">IFERROR(__xludf.DUMMYFUNCTION("""COMPUTED_VALUE"""),"Студент")</f>
        <v>Студент</v>
      </c>
    </row>
    <row r="335" spans="1:3">
      <c r="A335" s="76">
        <f ca="1">IFERROR(__xludf.DUMMYFUNCTION("""COMPUTED_VALUE"""),2302126)</f>
        <v>2302126</v>
      </c>
      <c r="B335" s="76" t="str">
        <f ca="1">IFERROR(__xludf.DUMMYFUNCTION("""COMPUTED_VALUE"""),"Чернов Евгений Евгеньевич")</f>
        <v>Чернов Евгений Евгеньевич</v>
      </c>
      <c r="C335" s="75" t="str">
        <f ca="1">IFERROR(__xludf.DUMMYFUNCTION("""COMPUTED_VALUE"""),"Студент")</f>
        <v>Студент</v>
      </c>
    </row>
    <row r="336" spans="1:3">
      <c r="A336" s="76">
        <f ca="1">IFERROR(__xludf.DUMMYFUNCTION("""COMPUTED_VALUE"""),2302131)</f>
        <v>2302131</v>
      </c>
      <c r="B336" s="76" t="str">
        <f ca="1">IFERROR(__xludf.DUMMYFUNCTION("""COMPUTED_VALUE"""),"Смирнова Анна Андреевна")</f>
        <v>Смирнова Анна Андреевна</v>
      </c>
      <c r="C336" s="75" t="str">
        <f ca="1">IFERROR(__xludf.DUMMYFUNCTION("""COMPUTED_VALUE"""),"Студент")</f>
        <v>Студент</v>
      </c>
    </row>
    <row r="337" spans="1:3">
      <c r="A337" s="76">
        <f ca="1">IFERROR(__xludf.DUMMYFUNCTION("""COMPUTED_VALUE"""),2302132)</f>
        <v>2302132</v>
      </c>
      <c r="B337" s="76" t="str">
        <f ca="1">IFERROR(__xludf.DUMMYFUNCTION("""COMPUTED_VALUE"""),"Шааб Ксения Андреевна")</f>
        <v>Шааб Ксения Андреевна</v>
      </c>
      <c r="C337" s="75" t="str">
        <f ca="1">IFERROR(__xludf.DUMMYFUNCTION("""COMPUTED_VALUE"""),"Студент")</f>
        <v>Студент</v>
      </c>
    </row>
    <row r="338" spans="1:3">
      <c r="A338" s="76">
        <f ca="1">IFERROR(__xludf.DUMMYFUNCTION("""COMPUTED_VALUE"""),2302141)</f>
        <v>2302141</v>
      </c>
      <c r="B338" s="76" t="str">
        <f ca="1">IFERROR(__xludf.DUMMYFUNCTION("""COMPUTED_VALUE"""),"Душенкин Дмитрий Вадимович")</f>
        <v>Душенкин Дмитрий Вадимович</v>
      </c>
      <c r="C338" s="75" t="str">
        <f ca="1">IFERROR(__xludf.DUMMYFUNCTION("""COMPUTED_VALUE"""),"Студент")</f>
        <v>Студент</v>
      </c>
    </row>
    <row r="339" spans="1:3">
      <c r="A339" s="76">
        <f ca="1">IFERROR(__xludf.DUMMYFUNCTION("""COMPUTED_VALUE"""),2302142)</f>
        <v>2302142</v>
      </c>
      <c r="B339" s="76" t="str">
        <f ca="1">IFERROR(__xludf.DUMMYFUNCTION("""COMPUTED_VALUE"""),"Борисова Анна Сергеевна")</f>
        <v>Борисова Анна Сергеевна</v>
      </c>
      <c r="C339" s="75" t="str">
        <f ca="1">IFERROR(__xludf.DUMMYFUNCTION("""COMPUTED_VALUE"""),"Студент")</f>
        <v>Студент</v>
      </c>
    </row>
    <row r="340" spans="1:3">
      <c r="A340" s="76">
        <f ca="1">IFERROR(__xludf.DUMMYFUNCTION("""COMPUTED_VALUE"""),2302143)</f>
        <v>2302143</v>
      </c>
      <c r="B340" s="76" t="str">
        <f ca="1">IFERROR(__xludf.DUMMYFUNCTION("""COMPUTED_VALUE"""),"Литвинова Ангелина Романовна")</f>
        <v>Литвинова Ангелина Романовна</v>
      </c>
      <c r="C340" s="75" t="str">
        <f ca="1">IFERROR(__xludf.DUMMYFUNCTION("""COMPUTED_VALUE"""),"Студент")</f>
        <v>Студент</v>
      </c>
    </row>
    <row r="341" spans="1:3">
      <c r="A341" s="76">
        <f ca="1">IFERROR(__xludf.DUMMYFUNCTION("""COMPUTED_VALUE"""),2302149)</f>
        <v>2302149</v>
      </c>
      <c r="B341" s="76" t="str">
        <f ca="1">IFERROR(__xludf.DUMMYFUNCTION("""COMPUTED_VALUE"""),"Владыкин Александр Олегович")</f>
        <v>Владыкин Александр Олегович</v>
      </c>
      <c r="C341" s="75" t="str">
        <f ca="1">IFERROR(__xludf.DUMMYFUNCTION("""COMPUTED_VALUE"""),"Студент")</f>
        <v>Студент</v>
      </c>
    </row>
    <row r="342" spans="1:3">
      <c r="A342" s="76">
        <f ca="1">IFERROR(__xludf.DUMMYFUNCTION("""COMPUTED_VALUE"""),2302150)</f>
        <v>2302150</v>
      </c>
      <c r="B342" s="76" t="str">
        <f ca="1">IFERROR(__xludf.DUMMYFUNCTION("""COMPUTED_VALUE"""),"Владыкина София Александровна")</f>
        <v>Владыкина София Александровна</v>
      </c>
      <c r="C342" s="75" t="str">
        <f ca="1">IFERROR(__xludf.DUMMYFUNCTION("""COMPUTED_VALUE"""),"Аспирант")</f>
        <v>Аспирант</v>
      </c>
    </row>
    <row r="343" spans="1:3">
      <c r="A343" s="76">
        <f ca="1">IFERROR(__xludf.DUMMYFUNCTION("""COMPUTED_VALUE"""),2302151)</f>
        <v>2302151</v>
      </c>
      <c r="B343" s="76" t="str">
        <f ca="1">IFERROR(__xludf.DUMMYFUNCTION("""COMPUTED_VALUE"""),"Погонова Анна Дмитриевна")</f>
        <v>Погонова Анна Дмитриевна</v>
      </c>
      <c r="C343" s="75" t="str">
        <f ca="1">IFERROR(__xludf.DUMMYFUNCTION("""COMPUTED_VALUE"""),"Студент")</f>
        <v>Студент</v>
      </c>
    </row>
    <row r="344" spans="1:3">
      <c r="A344" s="76">
        <f ca="1">IFERROR(__xludf.DUMMYFUNCTION("""COMPUTED_VALUE"""),2302153)</f>
        <v>2302153</v>
      </c>
      <c r="B344" s="76" t="str">
        <f ca="1">IFERROR(__xludf.DUMMYFUNCTION("""COMPUTED_VALUE"""),"Червякова Валерия Алексеевна")</f>
        <v>Червякова Валерия Алексеевна</v>
      </c>
      <c r="C344" s="75" t="str">
        <f ca="1">IFERROR(__xludf.DUMMYFUNCTION("""COMPUTED_VALUE"""),"Студент")</f>
        <v>Студент</v>
      </c>
    </row>
    <row r="345" spans="1:3">
      <c r="A345" s="76">
        <f ca="1">IFERROR(__xludf.DUMMYFUNCTION("""COMPUTED_VALUE"""),2302158)</f>
        <v>2302158</v>
      </c>
      <c r="B345" s="76" t="str">
        <f ca="1">IFERROR(__xludf.DUMMYFUNCTION("""COMPUTED_VALUE"""),"Круглова Виктория Александровна")</f>
        <v>Круглова Виктория Александровна</v>
      </c>
      <c r="C345" s="75" t="str">
        <f ca="1">IFERROR(__xludf.DUMMYFUNCTION("""COMPUTED_VALUE"""),"Студент")</f>
        <v>Студент</v>
      </c>
    </row>
    <row r="346" spans="1:3">
      <c r="A346" s="76">
        <f ca="1">IFERROR(__xludf.DUMMYFUNCTION("""COMPUTED_VALUE"""),2302161)</f>
        <v>2302161</v>
      </c>
      <c r="B346" s="76" t="str">
        <f ca="1">IFERROR(__xludf.DUMMYFUNCTION("""COMPUTED_VALUE"""),"Мирошкина Анна Павловна")</f>
        <v>Мирошкина Анна Павловна</v>
      </c>
      <c r="C346" s="75" t="str">
        <f ca="1">IFERROR(__xludf.DUMMYFUNCTION("""COMPUTED_VALUE"""),"Студент")</f>
        <v>Студент</v>
      </c>
    </row>
    <row r="347" spans="1:3">
      <c r="A347" s="76">
        <f ca="1">IFERROR(__xludf.DUMMYFUNCTION("""COMPUTED_VALUE"""),2302165)</f>
        <v>2302165</v>
      </c>
      <c r="B347" s="76" t="str">
        <f ca="1">IFERROR(__xludf.DUMMYFUNCTION("""COMPUTED_VALUE"""),"Балухта Степан Алексеевич")</f>
        <v>Балухта Степан Алексеевич</v>
      </c>
      <c r="C347" s="75" t="str">
        <f ca="1">IFERROR(__xludf.DUMMYFUNCTION("""COMPUTED_VALUE"""),"Студент")</f>
        <v>Студент</v>
      </c>
    </row>
    <row r="348" spans="1:3">
      <c r="A348" s="76">
        <f ca="1">IFERROR(__xludf.DUMMYFUNCTION("""COMPUTED_VALUE"""),2302166)</f>
        <v>2302166</v>
      </c>
      <c r="B348" s="76" t="str">
        <f ca="1">IFERROR(__xludf.DUMMYFUNCTION("""COMPUTED_VALUE"""),"Тарасов Максим Дмитриевич")</f>
        <v>Тарасов Максим Дмитриевич</v>
      </c>
      <c r="C348" s="75" t="str">
        <f ca="1">IFERROR(__xludf.DUMMYFUNCTION("""COMPUTED_VALUE"""),"Студент")</f>
        <v>Студент</v>
      </c>
    </row>
    <row r="349" spans="1:3">
      <c r="A349" s="76">
        <f ca="1">IFERROR(__xludf.DUMMYFUNCTION("""COMPUTED_VALUE"""),2302171)</f>
        <v>2302171</v>
      </c>
      <c r="B349" s="76" t="str">
        <f ca="1">IFERROR(__xludf.DUMMYFUNCTION("""COMPUTED_VALUE"""),"Габдрахманов Заман Илшатович")</f>
        <v>Габдрахманов Заман Илшатович</v>
      </c>
      <c r="C349" s="75" t="str">
        <f ca="1">IFERROR(__xludf.DUMMYFUNCTION("""COMPUTED_VALUE"""),"Студент")</f>
        <v>Студент</v>
      </c>
    </row>
    <row r="350" spans="1:3">
      <c r="A350" s="76">
        <f ca="1">IFERROR(__xludf.DUMMYFUNCTION("""COMPUTED_VALUE"""),2302172)</f>
        <v>2302172</v>
      </c>
      <c r="B350" s="76" t="str">
        <f ca="1">IFERROR(__xludf.DUMMYFUNCTION("""COMPUTED_VALUE"""),"Бекмуродов Хожиакбар Тулкинжонович")</f>
        <v>Бекмуродов Хожиакбар Тулкинжонович</v>
      </c>
      <c r="C350" s="75" t="str">
        <f ca="1">IFERROR(__xludf.DUMMYFUNCTION("""COMPUTED_VALUE"""),"Студент")</f>
        <v>Студент</v>
      </c>
    </row>
    <row r="351" spans="1:3">
      <c r="A351" s="76">
        <f ca="1">IFERROR(__xludf.DUMMYFUNCTION("""COMPUTED_VALUE"""),2302173)</f>
        <v>2302173</v>
      </c>
      <c r="B351" s="76" t="str">
        <f ca="1">IFERROR(__xludf.DUMMYFUNCTION("""COMPUTED_VALUE"""),"Порьяз Владислав Алексеевич")</f>
        <v>Порьяз Владислав Алексеевич</v>
      </c>
      <c r="C351" s="75" t="str">
        <f ca="1">IFERROR(__xludf.DUMMYFUNCTION("""COMPUTED_VALUE"""),"Студент")</f>
        <v>Студент</v>
      </c>
    </row>
    <row r="352" spans="1:3">
      <c r="A352" s="76">
        <f ca="1">IFERROR(__xludf.DUMMYFUNCTION("""COMPUTED_VALUE"""),2302174)</f>
        <v>2302174</v>
      </c>
      <c r="B352" s="76" t="str">
        <f ca="1">IFERROR(__xludf.DUMMYFUNCTION("""COMPUTED_VALUE"""),"Пензенко Валерия Васильевна")</f>
        <v>Пензенко Валерия Васильевна</v>
      </c>
      <c r="C352" s="75" t="str">
        <f ca="1">IFERROR(__xludf.DUMMYFUNCTION("""COMPUTED_VALUE"""),"Студент")</f>
        <v>Студент</v>
      </c>
    </row>
    <row r="353" spans="1:3">
      <c r="A353" s="76">
        <f ca="1">IFERROR(__xludf.DUMMYFUNCTION("""COMPUTED_VALUE"""),2302177)</f>
        <v>2302177</v>
      </c>
      <c r="B353" s="76" t="str">
        <f ca="1">IFERROR(__xludf.DUMMYFUNCTION("""COMPUTED_VALUE"""),"Кокина Ксения Андреевна")</f>
        <v>Кокина Ксения Андреевна</v>
      </c>
      <c r="C353" s="75" t="str">
        <f ca="1">IFERROR(__xludf.DUMMYFUNCTION("""COMPUTED_VALUE"""),"Студент")</f>
        <v>Студент</v>
      </c>
    </row>
    <row r="354" spans="1:3">
      <c r="A354" s="76">
        <f ca="1">IFERROR(__xludf.DUMMYFUNCTION("""COMPUTED_VALUE"""),2302178)</f>
        <v>2302178</v>
      </c>
      <c r="B354" s="76" t="str">
        <f ca="1">IFERROR(__xludf.DUMMYFUNCTION("""COMPUTED_VALUE"""),"Сапрошина Олеся Анатольевна")</f>
        <v>Сапрошина Олеся Анатольевна</v>
      </c>
      <c r="C354" s="75" t="str">
        <f ca="1">IFERROR(__xludf.DUMMYFUNCTION("""COMPUTED_VALUE"""),"Студент")</f>
        <v>Студент</v>
      </c>
    </row>
    <row r="355" spans="1:3">
      <c r="A355" s="76">
        <f ca="1">IFERROR(__xludf.DUMMYFUNCTION("""COMPUTED_VALUE"""),2302190)</f>
        <v>2302190</v>
      </c>
      <c r="B355" s="76" t="str">
        <f ca="1">IFERROR(__xludf.DUMMYFUNCTION("""COMPUTED_VALUE"""),"Цалилова Арина Романовна")</f>
        <v>Цалилова Арина Романовна</v>
      </c>
      <c r="C355" s="75" t="str">
        <f ca="1">IFERROR(__xludf.DUMMYFUNCTION("""COMPUTED_VALUE"""),"Студент")</f>
        <v>Студент</v>
      </c>
    </row>
    <row r="356" spans="1:3">
      <c r="A356" s="76">
        <f ca="1">IFERROR(__xludf.DUMMYFUNCTION("""COMPUTED_VALUE"""),2302191)</f>
        <v>2302191</v>
      </c>
      <c r="B356" s="76" t="str">
        <f ca="1">IFERROR(__xludf.DUMMYFUNCTION("""COMPUTED_VALUE"""),"Аксиньин Алексей Павлович")</f>
        <v>Аксиньин Алексей Павлович</v>
      </c>
      <c r="C356" s="75" t="str">
        <f ca="1">IFERROR(__xludf.DUMMYFUNCTION("""COMPUTED_VALUE"""),"Студент")</f>
        <v>Студент</v>
      </c>
    </row>
    <row r="357" spans="1:3">
      <c r="A357" s="76">
        <f ca="1">IFERROR(__xludf.DUMMYFUNCTION("""COMPUTED_VALUE"""),2302194)</f>
        <v>2302194</v>
      </c>
      <c r="B357" s="76" t="str">
        <f ca="1">IFERROR(__xludf.DUMMYFUNCTION("""COMPUTED_VALUE"""),"Яковлев Иван Петрович")</f>
        <v>Яковлев Иван Петрович</v>
      </c>
      <c r="C357" s="75" t="str">
        <f ca="1">IFERROR(__xludf.DUMMYFUNCTION("""COMPUTED_VALUE"""),"Студент")</f>
        <v>Студент</v>
      </c>
    </row>
    <row r="358" spans="1:3">
      <c r="A358" s="76">
        <f ca="1">IFERROR(__xludf.DUMMYFUNCTION("""COMPUTED_VALUE"""),2302195)</f>
        <v>2302195</v>
      </c>
      <c r="B358" s="76" t="str">
        <f ca="1">IFERROR(__xludf.DUMMYFUNCTION("""COMPUTED_VALUE"""),"Магомедов Арсен Хайбулаевич")</f>
        <v>Магомедов Арсен Хайбулаевич</v>
      </c>
      <c r="C358" s="75" t="str">
        <f ca="1">IFERROR(__xludf.DUMMYFUNCTION("""COMPUTED_VALUE"""),"Студент")</f>
        <v>Студент</v>
      </c>
    </row>
    <row r="359" spans="1:3">
      <c r="A359" s="76">
        <f ca="1">IFERROR(__xludf.DUMMYFUNCTION("""COMPUTED_VALUE"""),2302196)</f>
        <v>2302196</v>
      </c>
      <c r="B359" s="76" t="str">
        <f ca="1">IFERROR(__xludf.DUMMYFUNCTION("""COMPUTED_VALUE"""),"Круглов Кирилл Максимович")</f>
        <v>Круглов Кирилл Максимович</v>
      </c>
      <c r="C359" s="75" t="str">
        <f ca="1">IFERROR(__xludf.DUMMYFUNCTION("""COMPUTED_VALUE"""),"Студент")</f>
        <v>Студент</v>
      </c>
    </row>
    <row r="360" spans="1:3">
      <c r="A360" s="76">
        <f ca="1">IFERROR(__xludf.DUMMYFUNCTION("""COMPUTED_VALUE"""),2302198)</f>
        <v>2302198</v>
      </c>
      <c r="B360" s="76" t="str">
        <f ca="1">IFERROR(__xludf.DUMMYFUNCTION("""COMPUTED_VALUE"""),"Швырков Данил Александрович")</f>
        <v>Швырков Данил Александрович</v>
      </c>
      <c r="C360" s="75" t="str">
        <f ca="1">IFERROR(__xludf.DUMMYFUNCTION("""COMPUTED_VALUE"""),"Студент")</f>
        <v>Студент</v>
      </c>
    </row>
    <row r="361" spans="1:3">
      <c r="A361" s="76">
        <f ca="1">IFERROR(__xludf.DUMMYFUNCTION("""COMPUTED_VALUE"""),2302199)</f>
        <v>2302199</v>
      </c>
      <c r="B361" s="76" t="str">
        <f ca="1">IFERROR(__xludf.DUMMYFUNCTION("""COMPUTED_VALUE"""),"Виноградов Станислав Олегович")</f>
        <v>Виноградов Станислав Олегович</v>
      </c>
      <c r="C361" s="75" t="str">
        <f ca="1">IFERROR(__xludf.DUMMYFUNCTION("""COMPUTED_VALUE"""),"Студент")</f>
        <v>Студент</v>
      </c>
    </row>
    <row r="362" spans="1:3">
      <c r="A362" s="76">
        <f ca="1">IFERROR(__xludf.DUMMYFUNCTION("""COMPUTED_VALUE"""),2302211)</f>
        <v>2302211</v>
      </c>
      <c r="B362" s="76" t="str">
        <f ca="1">IFERROR(__xludf.DUMMYFUNCTION("""COMPUTED_VALUE"""),"Скуковский Ян Денисович")</f>
        <v>Скуковский Ян Денисович</v>
      </c>
      <c r="C362" s="75" t="str">
        <f ca="1">IFERROR(__xludf.DUMMYFUNCTION("""COMPUTED_VALUE"""),"Аспирант")</f>
        <v>Аспирант</v>
      </c>
    </row>
    <row r="363" spans="1:3">
      <c r="A363" s="76">
        <f ca="1">IFERROR(__xludf.DUMMYFUNCTION("""COMPUTED_VALUE"""),2302212)</f>
        <v>2302212</v>
      </c>
      <c r="B363" s="76" t="str">
        <f ca="1">IFERROR(__xludf.DUMMYFUNCTION("""COMPUTED_VALUE"""),"Лоткова Дарья Васильевна")</f>
        <v>Лоткова Дарья Васильевна</v>
      </c>
      <c r="C363" s="75" t="str">
        <f ca="1">IFERROR(__xludf.DUMMYFUNCTION("""COMPUTED_VALUE"""),"Студент")</f>
        <v>Студент</v>
      </c>
    </row>
    <row r="364" spans="1:3">
      <c r="A364" s="76">
        <f ca="1">IFERROR(__xludf.DUMMYFUNCTION("""COMPUTED_VALUE"""),2302213)</f>
        <v>2302213</v>
      </c>
      <c r="B364" s="76" t="str">
        <f ca="1">IFERROR(__xludf.DUMMYFUNCTION("""COMPUTED_VALUE"""),"Солотова Ангелина Константиновна")</f>
        <v>Солотова Ангелина Константиновна</v>
      </c>
      <c r="C364" s="75" t="str">
        <f ca="1">IFERROR(__xludf.DUMMYFUNCTION("""COMPUTED_VALUE"""),"Студент")</f>
        <v>Студент</v>
      </c>
    </row>
    <row r="365" spans="1:3">
      <c r="A365" s="76">
        <f ca="1">IFERROR(__xludf.DUMMYFUNCTION("""COMPUTED_VALUE"""),2302215)</f>
        <v>2302215</v>
      </c>
      <c r="B365" s="76" t="str">
        <f ca="1">IFERROR(__xludf.DUMMYFUNCTION("""COMPUTED_VALUE"""),"Буина Ксения Александровна")</f>
        <v>Буина Ксения Александровна</v>
      </c>
      <c r="C365" s="75" t="str">
        <f ca="1">IFERROR(__xludf.DUMMYFUNCTION("""COMPUTED_VALUE"""),"Студент")</f>
        <v>Студент</v>
      </c>
    </row>
    <row r="366" spans="1:3">
      <c r="A366" s="76">
        <f ca="1">IFERROR(__xludf.DUMMYFUNCTION("""COMPUTED_VALUE"""),2302219)</f>
        <v>2302219</v>
      </c>
      <c r="B366" s="76" t="str">
        <f ca="1">IFERROR(__xludf.DUMMYFUNCTION("""COMPUTED_VALUE"""),"Плешевич Милена Юрьевна")</f>
        <v>Плешевич Милена Юрьевна</v>
      </c>
      <c r="C366" s="75" t="str">
        <f ca="1">IFERROR(__xludf.DUMMYFUNCTION("""COMPUTED_VALUE"""),"Студент")</f>
        <v>Студент</v>
      </c>
    </row>
    <row r="367" spans="1:3">
      <c r="A367" s="76">
        <f ca="1">IFERROR(__xludf.DUMMYFUNCTION("""COMPUTED_VALUE"""),2302227)</f>
        <v>2302227</v>
      </c>
      <c r="B367" s="76" t="str">
        <f ca="1">IFERROR(__xludf.DUMMYFUNCTION("""COMPUTED_VALUE"""),"Аладави Раван")</f>
        <v>Аладави Раван</v>
      </c>
      <c r="C367" s="75" t="str">
        <f ca="1">IFERROR(__xludf.DUMMYFUNCTION("""COMPUTED_VALUE"""),"Студент")</f>
        <v>Студент</v>
      </c>
    </row>
    <row r="368" spans="1:3">
      <c r="A368" s="76">
        <f ca="1">IFERROR(__xludf.DUMMYFUNCTION("""COMPUTED_VALUE"""),2302230)</f>
        <v>2302230</v>
      </c>
      <c r="B368" s="76" t="str">
        <f ca="1">IFERROR(__xludf.DUMMYFUNCTION("""COMPUTED_VALUE"""),"Андросов Ростислав Викторович")</f>
        <v>Андросов Ростислав Викторович</v>
      </c>
      <c r="C368" s="75" t="str">
        <f ca="1">IFERROR(__xludf.DUMMYFUNCTION("""COMPUTED_VALUE"""),"Студент")</f>
        <v>Студент</v>
      </c>
    </row>
    <row r="369" spans="1:3">
      <c r="A369" s="76">
        <f ca="1">IFERROR(__xludf.DUMMYFUNCTION("""COMPUTED_VALUE"""),2302237)</f>
        <v>2302237</v>
      </c>
      <c r="B369" s="76" t="str">
        <f ca="1">IFERROR(__xludf.DUMMYFUNCTION("""COMPUTED_VALUE"""),"Лыскович Анастасия Андреевна")</f>
        <v>Лыскович Анастасия Андреевна</v>
      </c>
      <c r="C369" s="75" t="str">
        <f ca="1">IFERROR(__xludf.DUMMYFUNCTION("""COMPUTED_VALUE"""),"Аспирант")</f>
        <v>Аспирант</v>
      </c>
    </row>
    <row r="370" spans="1:3">
      <c r="A370" s="76">
        <f ca="1">IFERROR(__xludf.DUMMYFUNCTION("""COMPUTED_VALUE"""),2302238)</f>
        <v>2302238</v>
      </c>
      <c r="B370" s="76" t="str">
        <f ca="1">IFERROR(__xludf.DUMMYFUNCTION("""COMPUTED_VALUE"""),"Ганчо Александра Максимовна")</f>
        <v>Ганчо Александра Максимовна</v>
      </c>
      <c r="C370" s="75" t="str">
        <f ca="1">IFERROR(__xludf.DUMMYFUNCTION("""COMPUTED_VALUE"""),"Студент")</f>
        <v>Студент</v>
      </c>
    </row>
    <row r="371" spans="1:3">
      <c r="A371" s="76">
        <f ca="1">IFERROR(__xludf.DUMMYFUNCTION("""COMPUTED_VALUE"""),2302239)</f>
        <v>2302239</v>
      </c>
      <c r="B371" s="76" t="str">
        <f ca="1">IFERROR(__xludf.DUMMYFUNCTION("""COMPUTED_VALUE"""),"Алборов Алан Ахсарович")</f>
        <v>Алборов Алан Ахсарович</v>
      </c>
      <c r="C371" s="75" t="str">
        <f ca="1">IFERROR(__xludf.DUMMYFUNCTION("""COMPUTED_VALUE"""),"Студент")</f>
        <v>Студент</v>
      </c>
    </row>
    <row r="372" spans="1:3">
      <c r="A372" s="76">
        <f ca="1">IFERROR(__xludf.DUMMYFUNCTION("""COMPUTED_VALUE"""),2302243)</f>
        <v>2302243</v>
      </c>
      <c r="B372" s="76" t="str">
        <f ca="1">IFERROR(__xludf.DUMMYFUNCTION("""COMPUTED_VALUE"""),"Шагаева Мария Сергеевна")</f>
        <v>Шагаева Мария Сергеевна</v>
      </c>
      <c r="C372" s="75" t="str">
        <f ca="1">IFERROR(__xludf.DUMMYFUNCTION("""COMPUTED_VALUE"""),"Студент")</f>
        <v>Студент</v>
      </c>
    </row>
    <row r="373" spans="1:3">
      <c r="A373" s="76">
        <f ca="1">IFERROR(__xludf.DUMMYFUNCTION("""COMPUTED_VALUE"""),2302249)</f>
        <v>2302249</v>
      </c>
      <c r="B373" s="76" t="str">
        <f ca="1">IFERROR(__xludf.DUMMYFUNCTION("""COMPUTED_VALUE"""),"Кабанова Екатерина Викторовна")</f>
        <v>Кабанова Екатерина Викторовна</v>
      </c>
      <c r="C373" s="75" t="str">
        <f ca="1">IFERROR(__xludf.DUMMYFUNCTION("""COMPUTED_VALUE"""),"Студент")</f>
        <v>Студент</v>
      </c>
    </row>
    <row r="374" spans="1:3">
      <c r="A374" s="76">
        <f ca="1">IFERROR(__xludf.DUMMYFUNCTION("""COMPUTED_VALUE"""),2302250)</f>
        <v>2302250</v>
      </c>
      <c r="B374" s="76" t="str">
        <f ca="1">IFERROR(__xludf.DUMMYFUNCTION("""COMPUTED_VALUE"""),"Дарьютин Даниил Денисович")</f>
        <v>Дарьютин Даниил Денисович</v>
      </c>
      <c r="C374" s="75" t="str">
        <f ca="1">IFERROR(__xludf.DUMMYFUNCTION("""COMPUTED_VALUE"""),"Студент")</f>
        <v>Студент</v>
      </c>
    </row>
    <row r="375" spans="1:3">
      <c r="A375" s="76">
        <f ca="1">IFERROR(__xludf.DUMMYFUNCTION("""COMPUTED_VALUE"""),2302251)</f>
        <v>2302251</v>
      </c>
      <c r="B375" s="76" t="str">
        <f ca="1">IFERROR(__xludf.DUMMYFUNCTION("""COMPUTED_VALUE"""),"Баранов Иван Ильич")</f>
        <v>Баранов Иван Ильич</v>
      </c>
      <c r="C375" s="75" t="str">
        <f ca="1">IFERROR(__xludf.DUMMYFUNCTION("""COMPUTED_VALUE"""),"Аспирант")</f>
        <v>Аспирант</v>
      </c>
    </row>
    <row r="376" spans="1:3">
      <c r="A376" s="76">
        <f ca="1">IFERROR(__xludf.DUMMYFUNCTION("""COMPUTED_VALUE"""),2302254)</f>
        <v>2302254</v>
      </c>
      <c r="B376" s="76" t="str">
        <f ca="1">IFERROR(__xludf.DUMMYFUNCTION("""COMPUTED_VALUE"""),"Лебедева Полина Игоревна")</f>
        <v>Лебедева Полина Игоревна</v>
      </c>
      <c r="C376" s="75" t="str">
        <f ca="1">IFERROR(__xludf.DUMMYFUNCTION("""COMPUTED_VALUE"""),"Студент")</f>
        <v>Студент</v>
      </c>
    </row>
    <row r="377" spans="1:3">
      <c r="A377" s="76">
        <f ca="1">IFERROR(__xludf.DUMMYFUNCTION("""COMPUTED_VALUE"""),2302255)</f>
        <v>2302255</v>
      </c>
      <c r="B377" s="76" t="str">
        <f ca="1">IFERROR(__xludf.DUMMYFUNCTION("""COMPUTED_VALUE"""),"Козлов Александр Владиславович")</f>
        <v>Козлов Александр Владиславович</v>
      </c>
      <c r="C377" s="75" t="str">
        <f ca="1">IFERROR(__xludf.DUMMYFUNCTION("""COMPUTED_VALUE"""),"Студент")</f>
        <v>Студент</v>
      </c>
    </row>
    <row r="378" spans="1:3">
      <c r="A378" s="76">
        <f ca="1">IFERROR(__xludf.DUMMYFUNCTION("""COMPUTED_VALUE"""),2302261)</f>
        <v>2302261</v>
      </c>
      <c r="B378" s="76" t="str">
        <f ca="1">IFERROR(__xludf.DUMMYFUNCTION("""COMPUTED_VALUE"""),"Шахматов Арсений Денисович")</f>
        <v>Шахматов Арсений Денисович</v>
      </c>
      <c r="C378" s="75" t="str">
        <f ca="1">IFERROR(__xludf.DUMMYFUNCTION("""COMPUTED_VALUE"""),"Студент")</f>
        <v>Студент</v>
      </c>
    </row>
    <row r="379" spans="1:3">
      <c r="A379" s="76">
        <f ca="1">IFERROR(__xludf.DUMMYFUNCTION("""COMPUTED_VALUE"""),2302264)</f>
        <v>2302264</v>
      </c>
      <c r="B379" s="76" t="str">
        <f ca="1">IFERROR(__xludf.DUMMYFUNCTION("""COMPUTED_VALUE"""),"Шагаева Дарья Сергеевна")</f>
        <v>Шагаева Дарья Сергеевна</v>
      </c>
      <c r="C379" s="75" t="str">
        <f ca="1">IFERROR(__xludf.DUMMYFUNCTION("""COMPUTED_VALUE"""),"Студент")</f>
        <v>Студент</v>
      </c>
    </row>
    <row r="380" spans="1:3">
      <c r="A380" s="76">
        <f ca="1">IFERROR(__xludf.DUMMYFUNCTION("""COMPUTED_VALUE"""),2302265)</f>
        <v>2302265</v>
      </c>
      <c r="B380" s="76" t="str">
        <f ca="1">IFERROR(__xludf.DUMMYFUNCTION("""COMPUTED_VALUE"""),"Цыпкин Артём Денисович")</f>
        <v>Цыпкин Артём Денисович</v>
      </c>
      <c r="C380" s="75" t="str">
        <f ca="1">IFERROR(__xludf.DUMMYFUNCTION("""COMPUTED_VALUE"""),"Студент")</f>
        <v>Студент</v>
      </c>
    </row>
    <row r="381" spans="1:3">
      <c r="A381" s="76">
        <f ca="1">IFERROR(__xludf.DUMMYFUNCTION("""COMPUTED_VALUE"""),2302267)</f>
        <v>2302267</v>
      </c>
      <c r="B381" s="76" t="str">
        <f ca="1">IFERROR(__xludf.DUMMYFUNCTION("""COMPUTED_VALUE"""),"Смирнова Дарья Алексеевна")</f>
        <v>Смирнова Дарья Алексеевна</v>
      </c>
      <c r="C381" s="75" t="str">
        <f ca="1">IFERROR(__xludf.DUMMYFUNCTION("""COMPUTED_VALUE"""),"Студент")</f>
        <v>Студент</v>
      </c>
    </row>
    <row r="382" spans="1:3">
      <c r="A382" s="76">
        <f ca="1">IFERROR(__xludf.DUMMYFUNCTION("""COMPUTED_VALUE"""),2302268)</f>
        <v>2302268</v>
      </c>
      <c r="B382" s="76" t="str">
        <f ca="1">IFERROR(__xludf.DUMMYFUNCTION("""COMPUTED_VALUE"""),"Анохина Анна Дмитриевна")</f>
        <v>Анохина Анна Дмитриевна</v>
      </c>
      <c r="C382" s="75" t="str">
        <f ca="1">IFERROR(__xludf.DUMMYFUNCTION("""COMPUTED_VALUE"""),"Студент")</f>
        <v>Студент</v>
      </c>
    </row>
    <row r="383" spans="1:3">
      <c r="A383" s="76">
        <f ca="1">IFERROR(__xludf.DUMMYFUNCTION("""COMPUTED_VALUE"""),2302270)</f>
        <v>2302270</v>
      </c>
      <c r="B383" s="76" t="str">
        <f ca="1">IFERROR(__xludf.DUMMYFUNCTION("""COMPUTED_VALUE"""),"Бакшеев Антон Анатольевич")</f>
        <v>Бакшеев Антон Анатольевич</v>
      </c>
      <c r="C383" s="75" t="str">
        <f ca="1">IFERROR(__xludf.DUMMYFUNCTION("""COMPUTED_VALUE"""),"Студент")</f>
        <v>Студент</v>
      </c>
    </row>
    <row r="384" spans="1:3">
      <c r="A384" s="76">
        <f ca="1">IFERROR(__xludf.DUMMYFUNCTION("""COMPUTED_VALUE"""),2302271)</f>
        <v>2302271</v>
      </c>
      <c r="B384" s="76" t="str">
        <f ca="1">IFERROR(__xludf.DUMMYFUNCTION("""COMPUTED_VALUE"""),"Мокренко Дарья Юрьевна")</f>
        <v>Мокренко Дарья Юрьевна</v>
      </c>
      <c r="C384" s="75" t="str">
        <f ca="1">IFERROR(__xludf.DUMMYFUNCTION("""COMPUTED_VALUE"""),"Студент")</f>
        <v>Студент</v>
      </c>
    </row>
    <row r="385" spans="1:3">
      <c r="A385" s="76">
        <f ca="1">IFERROR(__xludf.DUMMYFUNCTION("""COMPUTED_VALUE"""),2302273)</f>
        <v>2302273</v>
      </c>
      <c r="B385" s="76" t="str">
        <f ca="1">IFERROR(__xludf.DUMMYFUNCTION("""COMPUTED_VALUE"""),"Голкин Игорь Денисович")</f>
        <v>Голкин Игорь Денисович</v>
      </c>
      <c r="C385" s="75" t="str">
        <f ca="1">IFERROR(__xludf.DUMMYFUNCTION("""COMPUTED_VALUE"""),"Студент")</f>
        <v>Студент</v>
      </c>
    </row>
    <row r="386" spans="1:3">
      <c r="A386" s="76">
        <f ca="1">IFERROR(__xludf.DUMMYFUNCTION("""COMPUTED_VALUE"""),2302284)</f>
        <v>2302284</v>
      </c>
      <c r="B386" s="76" t="str">
        <f ca="1">IFERROR(__xludf.DUMMYFUNCTION("""COMPUTED_VALUE"""),"Филиппов Артём Иванович")</f>
        <v>Филиппов Артём Иванович</v>
      </c>
      <c r="C386" s="75" t="str">
        <f ca="1">IFERROR(__xludf.DUMMYFUNCTION("""COMPUTED_VALUE"""),"Студент")</f>
        <v>Студент</v>
      </c>
    </row>
    <row r="387" spans="1:3">
      <c r="A387" s="76">
        <f ca="1">IFERROR(__xludf.DUMMYFUNCTION("""COMPUTED_VALUE"""),2302286)</f>
        <v>2302286</v>
      </c>
      <c r="B387" s="76" t="str">
        <f ca="1">IFERROR(__xludf.DUMMYFUNCTION("""COMPUTED_VALUE"""),"Тадыщенко Никита Викторович")</f>
        <v>Тадыщенко Никита Викторович</v>
      </c>
      <c r="C387" s="75" t="str">
        <f ca="1">IFERROR(__xludf.DUMMYFUNCTION("""COMPUTED_VALUE"""),"Студент")</f>
        <v>Студент</v>
      </c>
    </row>
    <row r="388" spans="1:3">
      <c r="A388" s="76">
        <f ca="1">IFERROR(__xludf.DUMMYFUNCTION("""COMPUTED_VALUE"""),2302290)</f>
        <v>2302290</v>
      </c>
      <c r="B388" s="76" t="str">
        <f ca="1">IFERROR(__xludf.DUMMYFUNCTION("""COMPUTED_VALUE"""),"Почтарь Вероника Олеговна")</f>
        <v>Почтарь Вероника Олеговна</v>
      </c>
      <c r="C388" s="75" t="str">
        <f ca="1">IFERROR(__xludf.DUMMYFUNCTION("""COMPUTED_VALUE"""),"Студент")</f>
        <v>Студент</v>
      </c>
    </row>
    <row r="389" spans="1:3">
      <c r="A389" s="76">
        <f ca="1">IFERROR(__xludf.DUMMYFUNCTION("""COMPUTED_VALUE"""),2302297)</f>
        <v>2302297</v>
      </c>
      <c r="B389" s="76" t="str">
        <f ca="1">IFERROR(__xludf.DUMMYFUNCTION("""COMPUTED_VALUE"""),"Антонова Анна Александровна")</f>
        <v>Антонова Анна Александровна</v>
      </c>
      <c r="C389" s="75" t="str">
        <f ca="1">IFERROR(__xludf.DUMMYFUNCTION("""COMPUTED_VALUE"""),"Студент")</f>
        <v>Студент</v>
      </c>
    </row>
    <row r="390" spans="1:3">
      <c r="A390" s="76">
        <f ca="1">IFERROR(__xludf.DUMMYFUNCTION("""COMPUTED_VALUE"""),2302302)</f>
        <v>2302302</v>
      </c>
      <c r="B390" s="76" t="str">
        <f ca="1">IFERROR(__xludf.DUMMYFUNCTION("""COMPUTED_VALUE"""),"Панютищева Екатерина Сергеевна")</f>
        <v>Панютищева Екатерина Сергеевна</v>
      </c>
      <c r="C390" s="75" t="str">
        <f ca="1">IFERROR(__xludf.DUMMYFUNCTION("""COMPUTED_VALUE"""),"Студент")</f>
        <v>Студент</v>
      </c>
    </row>
    <row r="391" spans="1:3">
      <c r="A391" s="76">
        <f ca="1">IFERROR(__xludf.DUMMYFUNCTION("""COMPUTED_VALUE"""),2302303)</f>
        <v>2302303</v>
      </c>
      <c r="B391" s="76" t="str">
        <f ca="1">IFERROR(__xludf.DUMMYFUNCTION("""COMPUTED_VALUE"""),"Рыбакова София Алексеевна")</f>
        <v>Рыбакова София Алексеевна</v>
      </c>
      <c r="C391" s="75" t="str">
        <f ca="1">IFERROR(__xludf.DUMMYFUNCTION("""COMPUTED_VALUE"""),"Студент")</f>
        <v>Студент</v>
      </c>
    </row>
    <row r="392" spans="1:3">
      <c r="A392" s="76">
        <f ca="1">IFERROR(__xludf.DUMMYFUNCTION("""COMPUTED_VALUE"""),2302306)</f>
        <v>2302306</v>
      </c>
      <c r="B392" s="76" t="str">
        <f ca="1">IFERROR(__xludf.DUMMYFUNCTION("""COMPUTED_VALUE"""),"Комиссаров Денис Игоревич")</f>
        <v>Комиссаров Денис Игоревич</v>
      </c>
      <c r="C392" s="75" t="str">
        <f ca="1">IFERROR(__xludf.DUMMYFUNCTION("""COMPUTED_VALUE"""),"Студент")</f>
        <v>Студент</v>
      </c>
    </row>
    <row r="393" spans="1:3">
      <c r="A393" s="76">
        <f ca="1">IFERROR(__xludf.DUMMYFUNCTION("""COMPUTED_VALUE"""),2302312)</f>
        <v>2302312</v>
      </c>
      <c r="B393" s="76" t="str">
        <f ca="1">IFERROR(__xludf.DUMMYFUNCTION("""COMPUTED_VALUE"""),"Ласковец Александр Алексеевич")</f>
        <v>Ласковец Александр Алексеевич</v>
      </c>
      <c r="C393" s="75" t="str">
        <f ca="1">IFERROR(__xludf.DUMMYFUNCTION("""COMPUTED_VALUE"""),"Студент")</f>
        <v>Студент</v>
      </c>
    </row>
    <row r="394" spans="1:3">
      <c r="A394" s="76">
        <f ca="1">IFERROR(__xludf.DUMMYFUNCTION("""COMPUTED_VALUE"""),2302313)</f>
        <v>2302313</v>
      </c>
      <c r="B394" s="76" t="str">
        <f ca="1">IFERROR(__xludf.DUMMYFUNCTION("""COMPUTED_VALUE"""),"Тимофеева Алёна Андреевна")</f>
        <v>Тимофеева Алёна Андреевна</v>
      </c>
      <c r="C394" s="75" t="str">
        <f ca="1">IFERROR(__xludf.DUMMYFUNCTION("""COMPUTED_VALUE"""),"Студент")</f>
        <v>Студент</v>
      </c>
    </row>
    <row r="395" spans="1:3">
      <c r="A395" s="76">
        <f ca="1">IFERROR(__xludf.DUMMYFUNCTION("""COMPUTED_VALUE"""),2302318)</f>
        <v>2302318</v>
      </c>
      <c r="B395" s="76" t="str">
        <f ca="1">IFERROR(__xludf.DUMMYFUNCTION("""COMPUTED_VALUE"""),"Аванесян Максим Владимирович")</f>
        <v>Аванесян Максим Владимирович</v>
      </c>
      <c r="C395" s="75" t="str">
        <f ca="1">IFERROR(__xludf.DUMMYFUNCTION("""COMPUTED_VALUE"""),"Студент")</f>
        <v>Студент</v>
      </c>
    </row>
    <row r="396" spans="1:3">
      <c r="A396" s="76">
        <f ca="1">IFERROR(__xludf.DUMMYFUNCTION("""COMPUTED_VALUE"""),2302319)</f>
        <v>2302319</v>
      </c>
      <c r="B396" s="76" t="str">
        <f ca="1">IFERROR(__xludf.DUMMYFUNCTION("""COMPUTED_VALUE"""),"Остапенко Данил Владимирович")</f>
        <v>Остапенко Данил Владимирович</v>
      </c>
      <c r="C396" s="75" t="str">
        <f ca="1">IFERROR(__xludf.DUMMYFUNCTION("""COMPUTED_VALUE"""),"Студент")</f>
        <v>Студент</v>
      </c>
    </row>
    <row r="397" spans="1:3">
      <c r="A397" s="76">
        <f ca="1">IFERROR(__xludf.DUMMYFUNCTION("""COMPUTED_VALUE"""),2302322)</f>
        <v>2302322</v>
      </c>
      <c r="B397" s="76" t="str">
        <f ca="1">IFERROR(__xludf.DUMMYFUNCTION("""COMPUTED_VALUE"""),"Калинкин Денис Сергеевич")</f>
        <v>Калинкин Денис Сергеевич</v>
      </c>
      <c r="C397" s="75" t="str">
        <f ca="1">IFERROR(__xludf.DUMMYFUNCTION("""COMPUTED_VALUE"""),"Студент")</f>
        <v>Студент</v>
      </c>
    </row>
    <row r="398" spans="1:3">
      <c r="A398" s="76">
        <f ca="1">IFERROR(__xludf.DUMMYFUNCTION("""COMPUTED_VALUE"""),2302324)</f>
        <v>2302324</v>
      </c>
      <c r="B398" s="76" t="str">
        <f ca="1">IFERROR(__xludf.DUMMYFUNCTION("""COMPUTED_VALUE"""),"Фельдман Мария Александровна")</f>
        <v>Фельдман Мария Александровна</v>
      </c>
      <c r="C398" s="75" t="str">
        <f ca="1">IFERROR(__xludf.DUMMYFUNCTION("""COMPUTED_VALUE"""),"Студент")</f>
        <v>Студент</v>
      </c>
    </row>
    <row r="399" spans="1:3">
      <c r="A399" s="76">
        <f ca="1">IFERROR(__xludf.DUMMYFUNCTION("""COMPUTED_VALUE"""),2302332)</f>
        <v>2302332</v>
      </c>
      <c r="B399" s="76" t="str">
        <f ca="1">IFERROR(__xludf.DUMMYFUNCTION("""COMPUTED_VALUE"""),"Смирнов Михаил Олегович")</f>
        <v>Смирнов Михаил Олегович</v>
      </c>
      <c r="C399" s="75" t="str">
        <f ca="1">IFERROR(__xludf.DUMMYFUNCTION("""COMPUTED_VALUE"""),"Студент")</f>
        <v>Студент</v>
      </c>
    </row>
    <row r="400" spans="1:3">
      <c r="A400" s="76">
        <f ca="1">IFERROR(__xludf.DUMMYFUNCTION("""COMPUTED_VALUE"""),2302334)</f>
        <v>2302334</v>
      </c>
      <c r="B400" s="76" t="str">
        <f ca="1">IFERROR(__xludf.DUMMYFUNCTION("""COMPUTED_VALUE"""),"Лебедева Софья Дмитриевна")</f>
        <v>Лебедева Софья Дмитриевна</v>
      </c>
      <c r="C400" s="75" t="str">
        <f ca="1">IFERROR(__xludf.DUMMYFUNCTION("""COMPUTED_VALUE"""),"Студент")</f>
        <v>Студент</v>
      </c>
    </row>
    <row r="401" spans="1:3">
      <c r="A401" s="76">
        <f ca="1">IFERROR(__xludf.DUMMYFUNCTION("""COMPUTED_VALUE"""),2302337)</f>
        <v>2302337</v>
      </c>
      <c r="B401" s="76" t="str">
        <f ca="1">IFERROR(__xludf.DUMMYFUNCTION("""COMPUTED_VALUE"""),"Маслов Артём Константинович")</f>
        <v>Маслов Артём Константинович</v>
      </c>
      <c r="C401" s="75" t="str">
        <f ca="1">IFERROR(__xludf.DUMMYFUNCTION("""COMPUTED_VALUE"""),"Студент")</f>
        <v>Студент</v>
      </c>
    </row>
    <row r="402" spans="1:3">
      <c r="A402" s="76">
        <f ca="1">IFERROR(__xludf.DUMMYFUNCTION("""COMPUTED_VALUE"""),2302340)</f>
        <v>2302340</v>
      </c>
      <c r="B402" s="76" t="str">
        <f ca="1">IFERROR(__xludf.DUMMYFUNCTION("""COMPUTED_VALUE"""),"Наумкин Даниил Юрьевич")</f>
        <v>Наумкин Даниил Юрьевич</v>
      </c>
      <c r="C402" s="75" t="str">
        <f ca="1">IFERROR(__xludf.DUMMYFUNCTION("""COMPUTED_VALUE"""),"Студент")</f>
        <v>Студент</v>
      </c>
    </row>
    <row r="403" spans="1:3">
      <c r="A403" s="76">
        <f ca="1">IFERROR(__xludf.DUMMYFUNCTION("""COMPUTED_VALUE"""),2302343)</f>
        <v>2302343</v>
      </c>
      <c r="B403" s="76" t="str">
        <f ca="1">IFERROR(__xludf.DUMMYFUNCTION("""COMPUTED_VALUE"""),"Смирнова Анна Сергеевна")</f>
        <v>Смирнова Анна Сергеевна</v>
      </c>
      <c r="C403" s="75" t="str">
        <f ca="1">IFERROR(__xludf.DUMMYFUNCTION("""COMPUTED_VALUE"""),"Студент")</f>
        <v>Студент</v>
      </c>
    </row>
    <row r="404" spans="1:3">
      <c r="A404" s="76">
        <f ca="1">IFERROR(__xludf.DUMMYFUNCTION("""COMPUTED_VALUE"""),2302351)</f>
        <v>2302351</v>
      </c>
      <c r="B404" s="76" t="str">
        <f ca="1">IFERROR(__xludf.DUMMYFUNCTION("""COMPUTED_VALUE"""),"Воронцов Илья Андреевич")</f>
        <v>Воронцов Илья Андреевич</v>
      </c>
      <c r="C404" s="75" t="str">
        <f ca="1">IFERROR(__xludf.DUMMYFUNCTION("""COMPUTED_VALUE"""),"Студент")</f>
        <v>Студент</v>
      </c>
    </row>
    <row r="405" spans="1:3">
      <c r="A405" s="76">
        <f ca="1">IFERROR(__xludf.DUMMYFUNCTION("""COMPUTED_VALUE"""),2302352)</f>
        <v>2302352</v>
      </c>
      <c r="B405" s="76" t="str">
        <f ca="1">IFERROR(__xludf.DUMMYFUNCTION("""COMPUTED_VALUE"""),"Миронова Диана Романовна")</f>
        <v>Миронова Диана Романовна</v>
      </c>
      <c r="C405" s="75" t="str">
        <f ca="1">IFERROR(__xludf.DUMMYFUNCTION("""COMPUTED_VALUE"""),"Студент")</f>
        <v>Студент</v>
      </c>
    </row>
    <row r="406" spans="1:3">
      <c r="A406" s="76">
        <f ca="1">IFERROR(__xludf.DUMMYFUNCTION("""COMPUTED_VALUE"""),2302353)</f>
        <v>2302353</v>
      </c>
      <c r="B406" s="76" t="str">
        <f ca="1">IFERROR(__xludf.DUMMYFUNCTION("""COMPUTED_VALUE"""),"Севумян Татьяна Баграмовна")</f>
        <v>Севумян Татьяна Баграмовна</v>
      </c>
      <c r="C406" s="75" t="str">
        <f ca="1">IFERROR(__xludf.DUMMYFUNCTION("""COMPUTED_VALUE"""),"Студент")</f>
        <v>Студент</v>
      </c>
    </row>
    <row r="407" spans="1:3">
      <c r="A407" s="76">
        <f ca="1">IFERROR(__xludf.DUMMYFUNCTION("""COMPUTED_VALUE"""),2302360)</f>
        <v>2302360</v>
      </c>
      <c r="B407" s="76" t="str">
        <f ca="1">IFERROR(__xludf.DUMMYFUNCTION("""COMPUTED_VALUE"""),"Лоскутов Владислав Дмитриевич")</f>
        <v>Лоскутов Владислав Дмитриевич</v>
      </c>
      <c r="C407" s="75" t="str">
        <f ca="1">IFERROR(__xludf.DUMMYFUNCTION("""COMPUTED_VALUE"""),"Студент")</f>
        <v>Студент</v>
      </c>
    </row>
    <row r="408" spans="1:3">
      <c r="A408" s="76">
        <f ca="1">IFERROR(__xludf.DUMMYFUNCTION("""COMPUTED_VALUE"""),2302364)</f>
        <v>2302364</v>
      </c>
      <c r="B408" s="76" t="str">
        <f ca="1">IFERROR(__xludf.DUMMYFUNCTION("""COMPUTED_VALUE"""),"Ремезова Анастасия Сергеевна")</f>
        <v>Ремезова Анастасия Сергеевна</v>
      </c>
      <c r="C408" s="75" t="str">
        <f ca="1">IFERROR(__xludf.DUMMYFUNCTION("""COMPUTED_VALUE"""),"Студент")</f>
        <v>Студент</v>
      </c>
    </row>
    <row r="409" spans="1:3">
      <c r="A409" s="76">
        <f ca="1">IFERROR(__xludf.DUMMYFUNCTION("""COMPUTED_VALUE"""),2302366)</f>
        <v>2302366</v>
      </c>
      <c r="B409" s="76" t="str">
        <f ca="1">IFERROR(__xludf.DUMMYFUNCTION("""COMPUTED_VALUE"""),"Водолазкин Дмитрий Дмитриевич")</f>
        <v>Водолазкин Дмитрий Дмитриевич</v>
      </c>
      <c r="C409" s="75" t="str">
        <f ca="1">IFERROR(__xludf.DUMMYFUNCTION("""COMPUTED_VALUE"""),"Студент")</f>
        <v>Студент</v>
      </c>
    </row>
    <row r="410" spans="1:3">
      <c r="A410" s="76">
        <f ca="1">IFERROR(__xludf.DUMMYFUNCTION("""COMPUTED_VALUE"""),2302367)</f>
        <v>2302367</v>
      </c>
      <c r="B410" s="76" t="str">
        <f ca="1">IFERROR(__xludf.DUMMYFUNCTION("""COMPUTED_VALUE"""),"Астапенко Илья Алексеевич")</f>
        <v>Астапенко Илья Алексеевич</v>
      </c>
      <c r="C410" s="75" t="str">
        <f ca="1">IFERROR(__xludf.DUMMYFUNCTION("""COMPUTED_VALUE"""),"Студент")</f>
        <v>Студент</v>
      </c>
    </row>
    <row r="411" spans="1:3">
      <c r="A411" s="76">
        <f ca="1">IFERROR(__xludf.DUMMYFUNCTION("""COMPUTED_VALUE"""),2302369)</f>
        <v>2302369</v>
      </c>
      <c r="B411" s="76" t="str">
        <f ca="1">IFERROR(__xludf.DUMMYFUNCTION("""COMPUTED_VALUE"""),"Грицай Максим Александрович")</f>
        <v>Грицай Максим Александрович</v>
      </c>
      <c r="C411" s="75" t="str">
        <f ca="1">IFERROR(__xludf.DUMMYFUNCTION("""COMPUTED_VALUE"""),"Студент")</f>
        <v>Студент</v>
      </c>
    </row>
    <row r="412" spans="1:3">
      <c r="A412" s="76">
        <f ca="1">IFERROR(__xludf.DUMMYFUNCTION("""COMPUTED_VALUE"""),2302370)</f>
        <v>2302370</v>
      </c>
      <c r="B412" s="76" t="str">
        <f ca="1">IFERROR(__xludf.DUMMYFUNCTION("""COMPUTED_VALUE"""),"Гасилов Илья Александрович")</f>
        <v>Гасилов Илья Александрович</v>
      </c>
      <c r="C412" s="75" t="str">
        <f ca="1">IFERROR(__xludf.DUMMYFUNCTION("""COMPUTED_VALUE"""),"Студент")</f>
        <v>Студент</v>
      </c>
    </row>
    <row r="413" spans="1:3">
      <c r="A413" s="76">
        <f ca="1">IFERROR(__xludf.DUMMYFUNCTION("""COMPUTED_VALUE"""),2302371)</f>
        <v>2302371</v>
      </c>
      <c r="B413" s="76" t="str">
        <f ca="1">IFERROR(__xludf.DUMMYFUNCTION("""COMPUTED_VALUE"""),"Сухарева Владислава Евгеньевна")</f>
        <v>Сухарева Владислава Евгеньевна</v>
      </c>
      <c r="C413" s="75" t="str">
        <f ca="1">IFERROR(__xludf.DUMMYFUNCTION("""COMPUTED_VALUE"""),"Студент")</f>
        <v>Студент</v>
      </c>
    </row>
    <row r="414" spans="1:3">
      <c r="A414" s="76">
        <f ca="1">IFERROR(__xludf.DUMMYFUNCTION("""COMPUTED_VALUE"""),2302375)</f>
        <v>2302375</v>
      </c>
      <c r="B414" s="76" t="str">
        <f ca="1">IFERROR(__xludf.DUMMYFUNCTION("""COMPUTED_VALUE"""),"Романенко Данил Евгеньевич")</f>
        <v>Романенко Данил Евгеньевич</v>
      </c>
      <c r="C414" s="75" t="str">
        <f ca="1">IFERROR(__xludf.DUMMYFUNCTION("""COMPUTED_VALUE"""),"Студент")</f>
        <v>Студент</v>
      </c>
    </row>
    <row r="415" spans="1:3">
      <c r="A415" s="76">
        <f ca="1">IFERROR(__xludf.DUMMYFUNCTION("""COMPUTED_VALUE"""),2302380)</f>
        <v>2302380</v>
      </c>
      <c r="B415" s="76" t="str">
        <f ca="1">IFERROR(__xludf.DUMMYFUNCTION("""COMPUTED_VALUE"""),"Гиззатуллин Руслан Илшатович")</f>
        <v>Гиззатуллин Руслан Илшатович</v>
      </c>
      <c r="C415" s="75" t="str">
        <f ca="1">IFERROR(__xludf.DUMMYFUNCTION("""COMPUTED_VALUE"""),"Студент")</f>
        <v>Студент</v>
      </c>
    </row>
    <row r="416" spans="1:3">
      <c r="A416" s="76">
        <f ca="1">IFERROR(__xludf.DUMMYFUNCTION("""COMPUTED_VALUE"""),2302381)</f>
        <v>2302381</v>
      </c>
      <c r="B416" s="76" t="str">
        <f ca="1">IFERROR(__xludf.DUMMYFUNCTION("""COMPUTED_VALUE"""),"Михайлов Александр Евгеньевич")</f>
        <v>Михайлов Александр Евгеньевич</v>
      </c>
      <c r="C416" s="75" t="str">
        <f ca="1">IFERROR(__xludf.DUMMYFUNCTION("""COMPUTED_VALUE"""),"Студент")</f>
        <v>Студент</v>
      </c>
    </row>
    <row r="417" spans="1:3">
      <c r="A417" s="76">
        <f ca="1">IFERROR(__xludf.DUMMYFUNCTION("""COMPUTED_VALUE"""),2302383)</f>
        <v>2302383</v>
      </c>
      <c r="B417" s="76" t="str">
        <f ca="1">IFERROR(__xludf.DUMMYFUNCTION("""COMPUTED_VALUE"""),"Варкова Дарья Владимировна")</f>
        <v>Варкова Дарья Владимировна</v>
      </c>
      <c r="C417" s="75" t="str">
        <f ca="1">IFERROR(__xludf.DUMMYFUNCTION("""COMPUTED_VALUE"""),"Студент")</f>
        <v>Студент</v>
      </c>
    </row>
    <row r="418" spans="1:3">
      <c r="A418" s="76">
        <f ca="1">IFERROR(__xludf.DUMMYFUNCTION("""COMPUTED_VALUE"""),2302384)</f>
        <v>2302384</v>
      </c>
      <c r="B418" s="76" t="str">
        <f ca="1">IFERROR(__xludf.DUMMYFUNCTION("""COMPUTED_VALUE"""),"Мерзлинкин Иван Евгеньевич")</f>
        <v>Мерзлинкин Иван Евгеньевич</v>
      </c>
      <c r="C418" s="75" t="str">
        <f ca="1">IFERROR(__xludf.DUMMYFUNCTION("""COMPUTED_VALUE"""),"Студент")</f>
        <v>Студент</v>
      </c>
    </row>
    <row r="419" spans="1:3">
      <c r="A419" s="76">
        <f ca="1">IFERROR(__xludf.DUMMYFUNCTION("""COMPUTED_VALUE"""),2302386)</f>
        <v>2302386</v>
      </c>
      <c r="B419" s="76" t="str">
        <f ca="1">IFERROR(__xludf.DUMMYFUNCTION("""COMPUTED_VALUE"""),"Блатов Андрей Вячеславович")</f>
        <v>Блатов Андрей Вячеславович</v>
      </c>
      <c r="C419" s="75" t="str">
        <f ca="1">IFERROR(__xludf.DUMMYFUNCTION("""COMPUTED_VALUE"""),"Студент")</f>
        <v>Студент</v>
      </c>
    </row>
    <row r="420" spans="1:3">
      <c r="A420" s="76">
        <f ca="1">IFERROR(__xludf.DUMMYFUNCTION("""COMPUTED_VALUE"""),2302391)</f>
        <v>2302391</v>
      </c>
      <c r="B420" s="76" t="str">
        <f ca="1">IFERROR(__xludf.DUMMYFUNCTION("""COMPUTED_VALUE"""),"Тишин Сергей Александрович")</f>
        <v>Тишин Сергей Александрович</v>
      </c>
      <c r="C420" s="75" t="str">
        <f ca="1">IFERROR(__xludf.DUMMYFUNCTION("""COMPUTED_VALUE"""),"Студент")</f>
        <v>Студент</v>
      </c>
    </row>
    <row r="421" spans="1:3">
      <c r="A421" s="76">
        <f ca="1">IFERROR(__xludf.DUMMYFUNCTION("""COMPUTED_VALUE"""),2302394)</f>
        <v>2302394</v>
      </c>
      <c r="B421" s="76" t="str">
        <f ca="1">IFERROR(__xludf.DUMMYFUNCTION("""COMPUTED_VALUE"""),"Чиченкова Карина Вячеславовна")</f>
        <v>Чиченкова Карина Вячеславовна</v>
      </c>
      <c r="C421" s="75" t="str">
        <f ca="1">IFERROR(__xludf.DUMMYFUNCTION("""COMPUTED_VALUE"""),"Студент")</f>
        <v>Студент</v>
      </c>
    </row>
    <row r="422" spans="1:3">
      <c r="A422" s="76">
        <f ca="1">IFERROR(__xludf.DUMMYFUNCTION("""COMPUTED_VALUE"""),2302397)</f>
        <v>2302397</v>
      </c>
      <c r="B422" s="76" t="str">
        <f ca="1">IFERROR(__xludf.DUMMYFUNCTION("""COMPUTED_VALUE"""),"Амелина Екатерина Викторовна")</f>
        <v>Амелина Екатерина Викторовна</v>
      </c>
      <c r="C422" s="75" t="str">
        <f ca="1">IFERROR(__xludf.DUMMYFUNCTION("""COMPUTED_VALUE"""),"Студент")</f>
        <v>Студент</v>
      </c>
    </row>
    <row r="423" spans="1:3">
      <c r="A423" s="76">
        <f ca="1">IFERROR(__xludf.DUMMYFUNCTION("""COMPUTED_VALUE"""),2302398)</f>
        <v>2302398</v>
      </c>
      <c r="B423" s="76" t="str">
        <f ca="1">IFERROR(__xludf.DUMMYFUNCTION("""COMPUTED_VALUE"""),"Колокольцев Ярослав Павлович")</f>
        <v>Колокольцев Ярослав Павлович</v>
      </c>
      <c r="C423" s="75" t="str">
        <f ca="1">IFERROR(__xludf.DUMMYFUNCTION("""COMPUTED_VALUE"""),"Студент")</f>
        <v>Студент</v>
      </c>
    </row>
    <row r="424" spans="1:3">
      <c r="A424" s="76">
        <f ca="1">IFERROR(__xludf.DUMMYFUNCTION("""COMPUTED_VALUE"""),2302400)</f>
        <v>2302400</v>
      </c>
      <c r="B424" s="76" t="str">
        <f ca="1">IFERROR(__xludf.DUMMYFUNCTION("""COMPUTED_VALUE"""),"Кузьмина Дарья Алексеевна")</f>
        <v>Кузьмина Дарья Алексеевна</v>
      </c>
      <c r="C424" s="75" t="str">
        <f ca="1">IFERROR(__xludf.DUMMYFUNCTION("""COMPUTED_VALUE"""),"Студент")</f>
        <v>Студент</v>
      </c>
    </row>
    <row r="425" spans="1:3">
      <c r="A425" s="76">
        <f ca="1">IFERROR(__xludf.DUMMYFUNCTION("""COMPUTED_VALUE"""),2302401)</f>
        <v>2302401</v>
      </c>
      <c r="B425" s="76" t="str">
        <f ca="1">IFERROR(__xludf.DUMMYFUNCTION("""COMPUTED_VALUE"""),"Соколова Ангелина Артуровна")</f>
        <v>Соколова Ангелина Артуровна</v>
      </c>
      <c r="C425" s="75" t="str">
        <f ca="1">IFERROR(__xludf.DUMMYFUNCTION("""COMPUTED_VALUE"""),"Студент")</f>
        <v>Студент</v>
      </c>
    </row>
    <row r="426" spans="1:3">
      <c r="A426" s="76">
        <f ca="1">IFERROR(__xludf.DUMMYFUNCTION("""COMPUTED_VALUE"""),2302402)</f>
        <v>2302402</v>
      </c>
      <c r="B426" s="76" t="str">
        <f ca="1">IFERROR(__xludf.DUMMYFUNCTION("""COMPUTED_VALUE"""),"Пирожников Никита Витальевич")</f>
        <v>Пирожников Никита Витальевич</v>
      </c>
      <c r="C426" s="75" t="str">
        <f ca="1">IFERROR(__xludf.DUMMYFUNCTION("""COMPUTED_VALUE"""),"Студент")</f>
        <v>Студент</v>
      </c>
    </row>
    <row r="427" spans="1:3">
      <c r="A427" s="76">
        <f ca="1">IFERROR(__xludf.DUMMYFUNCTION("""COMPUTED_VALUE"""),2302408)</f>
        <v>2302408</v>
      </c>
      <c r="B427" s="76" t="str">
        <f ca="1">IFERROR(__xludf.DUMMYFUNCTION("""COMPUTED_VALUE"""),"Зеленская Валерия Юрьевна")</f>
        <v>Зеленская Валерия Юрьевна</v>
      </c>
      <c r="C427" s="75" t="str">
        <f ca="1">IFERROR(__xludf.DUMMYFUNCTION("""COMPUTED_VALUE"""),"Студент")</f>
        <v>Студент</v>
      </c>
    </row>
    <row r="428" spans="1:3">
      <c r="A428" s="76">
        <f ca="1">IFERROR(__xludf.DUMMYFUNCTION("""COMPUTED_VALUE"""),2302410)</f>
        <v>2302410</v>
      </c>
      <c r="B428" s="76" t="str">
        <f ca="1">IFERROR(__xludf.DUMMYFUNCTION("""COMPUTED_VALUE"""),"Балашова Анна Васильевна")</f>
        <v>Балашова Анна Васильевна</v>
      </c>
      <c r="C428" s="75" t="str">
        <f ca="1">IFERROR(__xludf.DUMMYFUNCTION("""COMPUTED_VALUE"""),"Студент")</f>
        <v>Студент</v>
      </c>
    </row>
    <row r="429" spans="1:3">
      <c r="A429" s="76">
        <f ca="1">IFERROR(__xludf.DUMMYFUNCTION("""COMPUTED_VALUE"""),2302417)</f>
        <v>2302417</v>
      </c>
      <c r="B429" s="76" t="str">
        <f ca="1">IFERROR(__xludf.DUMMYFUNCTION("""COMPUTED_VALUE"""),"Машкина Полина Андреевна")</f>
        <v>Машкина Полина Андреевна</v>
      </c>
      <c r="C429" s="75" t="str">
        <f ca="1">IFERROR(__xludf.DUMMYFUNCTION("""COMPUTED_VALUE"""),"Студент")</f>
        <v>Студент</v>
      </c>
    </row>
    <row r="430" spans="1:3">
      <c r="A430" s="76">
        <f ca="1">IFERROR(__xludf.DUMMYFUNCTION("""COMPUTED_VALUE"""),2302421)</f>
        <v>2302421</v>
      </c>
      <c r="B430" s="76" t="str">
        <f ca="1">IFERROR(__xludf.DUMMYFUNCTION("""COMPUTED_VALUE"""),"Парфенов Константин Сергеевич")</f>
        <v>Парфенов Константин Сергеевич</v>
      </c>
      <c r="C430" s="75" t="str">
        <f ca="1">IFERROR(__xludf.DUMMYFUNCTION("""COMPUTED_VALUE"""),"Студент")</f>
        <v>Студент</v>
      </c>
    </row>
    <row r="431" spans="1:3">
      <c r="A431" s="76">
        <f ca="1">IFERROR(__xludf.DUMMYFUNCTION("""COMPUTED_VALUE"""),2302427)</f>
        <v>2302427</v>
      </c>
      <c r="B431" s="76" t="str">
        <f ca="1">IFERROR(__xludf.DUMMYFUNCTION("""COMPUTED_VALUE"""),"Юдицкая Юлия Сергеевна")</f>
        <v>Юдицкая Юлия Сергеевна</v>
      </c>
      <c r="C431" s="75" t="str">
        <f ca="1">IFERROR(__xludf.DUMMYFUNCTION("""COMPUTED_VALUE"""),"Студент")</f>
        <v>Студент</v>
      </c>
    </row>
    <row r="432" spans="1:3">
      <c r="A432" s="76">
        <f ca="1">IFERROR(__xludf.DUMMYFUNCTION("""COMPUTED_VALUE"""),2302431)</f>
        <v>2302431</v>
      </c>
      <c r="B432" s="76" t="str">
        <f ca="1">IFERROR(__xludf.DUMMYFUNCTION("""COMPUTED_VALUE"""),"Емелин Семён Андреевич")</f>
        <v>Емелин Семён Андреевич</v>
      </c>
      <c r="C432" s="75" t="str">
        <f ca="1">IFERROR(__xludf.DUMMYFUNCTION("""COMPUTED_VALUE"""),"Студент")</f>
        <v>Студент</v>
      </c>
    </row>
    <row r="433" spans="1:3">
      <c r="A433" s="76">
        <f ca="1">IFERROR(__xludf.DUMMYFUNCTION("""COMPUTED_VALUE"""),2302442)</f>
        <v>2302442</v>
      </c>
      <c r="B433" s="76" t="str">
        <f ca="1">IFERROR(__xludf.DUMMYFUNCTION("""COMPUTED_VALUE"""),"Шамова Ирина Константиновна")</f>
        <v>Шамова Ирина Константиновна</v>
      </c>
      <c r="C433" s="75" t="str">
        <f ca="1">IFERROR(__xludf.DUMMYFUNCTION("""COMPUTED_VALUE"""),"Студент")</f>
        <v>Студент</v>
      </c>
    </row>
    <row r="434" spans="1:3">
      <c r="A434" s="76">
        <f ca="1">IFERROR(__xludf.DUMMYFUNCTION("""COMPUTED_VALUE"""),2302449)</f>
        <v>2302449</v>
      </c>
      <c r="B434" s="76" t="str">
        <f ca="1">IFERROR(__xludf.DUMMYFUNCTION("""COMPUTED_VALUE"""),"Левакова Ксения Андреевна")</f>
        <v>Левакова Ксения Андреевна</v>
      </c>
      <c r="C434" s="75" t="str">
        <f ca="1">IFERROR(__xludf.DUMMYFUNCTION("""COMPUTED_VALUE"""),"Студент")</f>
        <v>Студент</v>
      </c>
    </row>
    <row r="435" spans="1:3">
      <c r="A435" s="76">
        <f ca="1">IFERROR(__xludf.DUMMYFUNCTION("""COMPUTED_VALUE"""),2302454)</f>
        <v>2302454</v>
      </c>
      <c r="B435" s="76" t="str">
        <f ca="1">IFERROR(__xludf.DUMMYFUNCTION("""COMPUTED_VALUE"""),"Семина Ольга Игоревна")</f>
        <v>Семина Ольга Игоревна</v>
      </c>
      <c r="C435" s="75" t="str">
        <f ca="1">IFERROR(__xludf.DUMMYFUNCTION("""COMPUTED_VALUE"""),"Студент")</f>
        <v>Студент</v>
      </c>
    </row>
    <row r="436" spans="1:3">
      <c r="A436" s="76">
        <f ca="1">IFERROR(__xludf.DUMMYFUNCTION("""COMPUTED_VALUE"""),2302459)</f>
        <v>2302459</v>
      </c>
      <c r="B436" s="76" t="str">
        <f ca="1">IFERROR(__xludf.DUMMYFUNCTION("""COMPUTED_VALUE"""),"Воробьев Иван Александрович")</f>
        <v>Воробьев Иван Александрович</v>
      </c>
      <c r="C436" s="75" t="str">
        <f ca="1">IFERROR(__xludf.DUMMYFUNCTION("""COMPUTED_VALUE"""),"Студент")</f>
        <v>Студент</v>
      </c>
    </row>
    <row r="437" spans="1:3">
      <c r="A437" s="76">
        <f ca="1">IFERROR(__xludf.DUMMYFUNCTION("""COMPUTED_VALUE"""),2302460)</f>
        <v>2302460</v>
      </c>
      <c r="B437" s="76" t="str">
        <f ca="1">IFERROR(__xludf.DUMMYFUNCTION("""COMPUTED_VALUE"""),"Бауманис Айя Владиславовна")</f>
        <v>Бауманис Айя Владиславовна</v>
      </c>
      <c r="C437" s="75" t="str">
        <f ca="1">IFERROR(__xludf.DUMMYFUNCTION("""COMPUTED_VALUE"""),"Студент")</f>
        <v>Студент</v>
      </c>
    </row>
    <row r="438" spans="1:3">
      <c r="A438" s="76">
        <f ca="1">IFERROR(__xludf.DUMMYFUNCTION("""COMPUTED_VALUE"""),2302461)</f>
        <v>2302461</v>
      </c>
      <c r="B438" s="76" t="str">
        <f ca="1">IFERROR(__xludf.DUMMYFUNCTION("""COMPUTED_VALUE"""),"Постникова Дарья Максимовна")</f>
        <v>Постникова Дарья Максимовна</v>
      </c>
      <c r="C438" s="75" t="str">
        <f ca="1">IFERROR(__xludf.DUMMYFUNCTION("""COMPUTED_VALUE"""),"Студент")</f>
        <v>Студент</v>
      </c>
    </row>
    <row r="439" spans="1:3">
      <c r="A439" s="76">
        <f ca="1">IFERROR(__xludf.DUMMYFUNCTION("""COMPUTED_VALUE"""),2302466)</f>
        <v>2302466</v>
      </c>
      <c r="B439" s="76" t="str">
        <f ca="1">IFERROR(__xludf.DUMMYFUNCTION("""COMPUTED_VALUE"""),"Бабаева Марика Владимировна")</f>
        <v>Бабаева Марика Владимировна</v>
      </c>
      <c r="C439" s="75" t="str">
        <f ca="1">IFERROR(__xludf.DUMMYFUNCTION("""COMPUTED_VALUE"""),"Студент")</f>
        <v>Студент</v>
      </c>
    </row>
    <row r="440" spans="1:3">
      <c r="A440" s="76">
        <f ca="1">IFERROR(__xludf.DUMMYFUNCTION("""COMPUTED_VALUE"""),2302471)</f>
        <v>2302471</v>
      </c>
      <c r="B440" s="76" t="str">
        <f ca="1">IFERROR(__xludf.DUMMYFUNCTION("""COMPUTED_VALUE"""),"Гервасова Анна Александровна")</f>
        <v>Гервасова Анна Александровна</v>
      </c>
      <c r="C440" s="75" t="str">
        <f ca="1">IFERROR(__xludf.DUMMYFUNCTION("""COMPUTED_VALUE"""),"Студент")</f>
        <v>Студент</v>
      </c>
    </row>
    <row r="441" spans="1:3">
      <c r="A441" s="76">
        <f ca="1">IFERROR(__xludf.DUMMYFUNCTION("""COMPUTED_VALUE"""),2302486)</f>
        <v>2302486</v>
      </c>
      <c r="B441" s="76" t="str">
        <f ca="1">IFERROR(__xludf.DUMMYFUNCTION("""COMPUTED_VALUE"""),"Хожасаитова Полина Маратовна")</f>
        <v>Хожасаитова Полина Маратовна</v>
      </c>
      <c r="C441" s="75" t="str">
        <f ca="1">IFERROR(__xludf.DUMMYFUNCTION("""COMPUTED_VALUE"""),"Студент")</f>
        <v>Студент</v>
      </c>
    </row>
    <row r="442" spans="1:3">
      <c r="A442" s="76">
        <f ca="1">IFERROR(__xludf.DUMMYFUNCTION("""COMPUTED_VALUE"""),2302496)</f>
        <v>2302496</v>
      </c>
      <c r="B442" s="76" t="str">
        <f ca="1">IFERROR(__xludf.DUMMYFUNCTION("""COMPUTED_VALUE"""),"Евсеев Даниил Алексеевич")</f>
        <v>Евсеев Даниил Алексеевич</v>
      </c>
      <c r="C442" s="75" t="str">
        <f ca="1">IFERROR(__xludf.DUMMYFUNCTION("""COMPUTED_VALUE"""),"Студент")</f>
        <v>Студент</v>
      </c>
    </row>
    <row r="443" spans="1:3">
      <c r="A443" s="76">
        <f ca="1">IFERROR(__xludf.DUMMYFUNCTION("""COMPUTED_VALUE"""),2302499)</f>
        <v>2302499</v>
      </c>
      <c r="B443" s="76" t="str">
        <f ca="1">IFERROR(__xludf.DUMMYFUNCTION("""COMPUTED_VALUE"""),"Чайкина Софья Сергеевна")</f>
        <v>Чайкина Софья Сергеевна</v>
      </c>
      <c r="C443" s="75" t="str">
        <f ca="1">IFERROR(__xludf.DUMMYFUNCTION("""COMPUTED_VALUE"""),"Студент")</f>
        <v>Студент</v>
      </c>
    </row>
    <row r="444" spans="1:3">
      <c r="A444" s="76">
        <f ca="1">IFERROR(__xludf.DUMMYFUNCTION("""COMPUTED_VALUE"""),2302500)</f>
        <v>2302500</v>
      </c>
      <c r="B444" s="76" t="str">
        <f ca="1">IFERROR(__xludf.DUMMYFUNCTION("""COMPUTED_VALUE"""),"Данилова Ольга Александровна")</f>
        <v>Данилова Ольга Александровна</v>
      </c>
      <c r="C444" s="75" t="str">
        <f ca="1">IFERROR(__xludf.DUMMYFUNCTION("""COMPUTED_VALUE"""),"Студент")</f>
        <v>Студент</v>
      </c>
    </row>
    <row r="445" spans="1:3">
      <c r="A445" s="76">
        <f ca="1">IFERROR(__xludf.DUMMYFUNCTION("""COMPUTED_VALUE"""),2302510)</f>
        <v>2302510</v>
      </c>
      <c r="B445" s="76" t="str">
        <f ca="1">IFERROR(__xludf.DUMMYFUNCTION("""COMPUTED_VALUE"""),"Кокряков Владислав Андреевич")</f>
        <v>Кокряков Владислав Андреевич</v>
      </c>
      <c r="C445" s="75" t="str">
        <f ca="1">IFERROR(__xludf.DUMMYFUNCTION("""COMPUTED_VALUE"""),"Студент")</f>
        <v>Студент</v>
      </c>
    </row>
    <row r="446" spans="1:3">
      <c r="A446" s="76">
        <f ca="1">IFERROR(__xludf.DUMMYFUNCTION("""COMPUTED_VALUE"""),2302517)</f>
        <v>2302517</v>
      </c>
      <c r="B446" s="76" t="str">
        <f ca="1">IFERROR(__xludf.DUMMYFUNCTION("""COMPUTED_VALUE"""),"Барыкин Никита Алексеевич")</f>
        <v>Барыкин Никита Алексеевич</v>
      </c>
      <c r="C446" s="75" t="str">
        <f ca="1">IFERROR(__xludf.DUMMYFUNCTION("""COMPUTED_VALUE"""),"Студент")</f>
        <v>Студент</v>
      </c>
    </row>
    <row r="447" spans="1:3">
      <c r="A447" s="76">
        <f ca="1">IFERROR(__xludf.DUMMYFUNCTION("""COMPUTED_VALUE"""),2302518)</f>
        <v>2302518</v>
      </c>
      <c r="B447" s="76" t="str">
        <f ca="1">IFERROR(__xludf.DUMMYFUNCTION("""COMPUTED_VALUE"""),"Куцемако Ольга Дмитриевна")</f>
        <v>Куцемако Ольга Дмитриевна</v>
      </c>
      <c r="C447" s="75" t="str">
        <f ca="1">IFERROR(__xludf.DUMMYFUNCTION("""COMPUTED_VALUE"""),"Студент")</f>
        <v>Студент</v>
      </c>
    </row>
    <row r="448" spans="1:3">
      <c r="A448" s="76">
        <f ca="1">IFERROR(__xludf.DUMMYFUNCTION("""COMPUTED_VALUE"""),2302520)</f>
        <v>2302520</v>
      </c>
      <c r="B448" s="76" t="str">
        <f ca="1">IFERROR(__xludf.DUMMYFUNCTION("""COMPUTED_VALUE"""),"Кабанова Кира Алексеевна")</f>
        <v>Кабанова Кира Алексеевна</v>
      </c>
      <c r="C448" s="75" t="str">
        <f ca="1">IFERROR(__xludf.DUMMYFUNCTION("""COMPUTED_VALUE"""),"Студент")</f>
        <v>Студент</v>
      </c>
    </row>
    <row r="449" spans="1:3">
      <c r="A449" s="76">
        <f ca="1">IFERROR(__xludf.DUMMYFUNCTION("""COMPUTED_VALUE"""),2302523)</f>
        <v>2302523</v>
      </c>
      <c r="B449" s="76" t="str">
        <f ca="1">IFERROR(__xludf.DUMMYFUNCTION("""COMPUTED_VALUE"""),"Андреева Александра Николаевна")</f>
        <v>Андреева Александра Николаевна</v>
      </c>
      <c r="C449" s="75" t="str">
        <f ca="1">IFERROR(__xludf.DUMMYFUNCTION("""COMPUTED_VALUE"""),"Студент")</f>
        <v>Студент</v>
      </c>
    </row>
    <row r="450" spans="1:3">
      <c r="A450" s="76">
        <f ca="1">IFERROR(__xludf.DUMMYFUNCTION("""COMPUTED_VALUE"""),2302524)</f>
        <v>2302524</v>
      </c>
      <c r="B450" s="76" t="str">
        <f ca="1">IFERROR(__xludf.DUMMYFUNCTION("""COMPUTED_VALUE"""),"Лобзанова Полина Анатольевна")</f>
        <v>Лобзанова Полина Анатольевна</v>
      </c>
      <c r="C450" s="75" t="str">
        <f ca="1">IFERROR(__xludf.DUMMYFUNCTION("""COMPUTED_VALUE"""),"Студент")</f>
        <v>Студент</v>
      </c>
    </row>
    <row r="451" spans="1:3">
      <c r="A451" s="76">
        <f ca="1">IFERROR(__xludf.DUMMYFUNCTION("""COMPUTED_VALUE"""),2302529)</f>
        <v>2302529</v>
      </c>
      <c r="B451" s="76" t="str">
        <f ca="1">IFERROR(__xludf.DUMMYFUNCTION("""COMPUTED_VALUE"""),"Сабитов Эмиль Жалильевич")</f>
        <v>Сабитов Эмиль Жалильевич</v>
      </c>
      <c r="C451" s="75" t="str">
        <f ca="1">IFERROR(__xludf.DUMMYFUNCTION("""COMPUTED_VALUE"""),"Студент")</f>
        <v>Студент</v>
      </c>
    </row>
    <row r="452" spans="1:3">
      <c r="A452" s="76">
        <f ca="1">IFERROR(__xludf.DUMMYFUNCTION("""COMPUTED_VALUE"""),2302531)</f>
        <v>2302531</v>
      </c>
      <c r="B452" s="76" t="str">
        <f ca="1">IFERROR(__xludf.DUMMYFUNCTION("""COMPUTED_VALUE"""),"Гвоздева Елизавета Васильевна")</f>
        <v>Гвоздева Елизавета Васильевна</v>
      </c>
      <c r="C452" s="75" t="str">
        <f ca="1">IFERROR(__xludf.DUMMYFUNCTION("""COMPUTED_VALUE"""),"Студент")</f>
        <v>Студент</v>
      </c>
    </row>
    <row r="453" spans="1:3">
      <c r="A453" s="76">
        <f ca="1">IFERROR(__xludf.DUMMYFUNCTION("""COMPUTED_VALUE"""),2302534)</f>
        <v>2302534</v>
      </c>
      <c r="B453" s="76" t="str">
        <f ca="1">IFERROR(__xludf.DUMMYFUNCTION("""COMPUTED_VALUE"""),"Гунин Егор Александрович")</f>
        <v>Гунин Егор Александрович</v>
      </c>
      <c r="C453" s="75" t="str">
        <f ca="1">IFERROR(__xludf.DUMMYFUNCTION("""COMPUTED_VALUE"""),"Студент")</f>
        <v>Студент</v>
      </c>
    </row>
    <row r="454" spans="1:3">
      <c r="A454" s="76">
        <f ca="1">IFERROR(__xludf.DUMMYFUNCTION("""COMPUTED_VALUE"""),2302535)</f>
        <v>2302535</v>
      </c>
      <c r="B454" s="76" t="str">
        <f ca="1">IFERROR(__xludf.DUMMYFUNCTION("""COMPUTED_VALUE"""),"Водовозова Дарья Денисовна")</f>
        <v>Водовозова Дарья Денисовна</v>
      </c>
      <c r="C454" s="75" t="str">
        <f ca="1">IFERROR(__xludf.DUMMYFUNCTION("""COMPUTED_VALUE"""),"Студент")</f>
        <v>Студент</v>
      </c>
    </row>
    <row r="455" spans="1:3">
      <c r="A455" s="76">
        <f ca="1">IFERROR(__xludf.DUMMYFUNCTION("""COMPUTED_VALUE"""),2302536)</f>
        <v>2302536</v>
      </c>
      <c r="B455" s="76" t="str">
        <f ca="1">IFERROR(__xludf.DUMMYFUNCTION("""COMPUTED_VALUE"""),"Сыдыгалиев Эльжан Тагайбекович")</f>
        <v>Сыдыгалиев Эльжан Тагайбекович</v>
      </c>
      <c r="C455" s="75" t="str">
        <f ca="1">IFERROR(__xludf.DUMMYFUNCTION("""COMPUTED_VALUE"""),"Студент")</f>
        <v>Студент</v>
      </c>
    </row>
    <row r="456" spans="1:3">
      <c r="A456" s="76">
        <f ca="1">IFERROR(__xludf.DUMMYFUNCTION("""COMPUTED_VALUE"""),2302541)</f>
        <v>2302541</v>
      </c>
      <c r="B456" s="76" t="str">
        <f ca="1">IFERROR(__xludf.DUMMYFUNCTION("""COMPUTED_VALUE"""),"Алексеев Георгий Федорович")</f>
        <v>Алексеев Георгий Федорович</v>
      </c>
      <c r="C456" s="75" t="str">
        <f ca="1">IFERROR(__xludf.DUMMYFUNCTION("""COMPUTED_VALUE"""),"Студент")</f>
        <v>Студент</v>
      </c>
    </row>
    <row r="457" spans="1:3">
      <c r="A457" s="76">
        <f ca="1">IFERROR(__xludf.DUMMYFUNCTION("""COMPUTED_VALUE"""),2302544)</f>
        <v>2302544</v>
      </c>
      <c r="B457" s="76" t="str">
        <f ca="1">IFERROR(__xludf.DUMMYFUNCTION("""COMPUTED_VALUE"""),"Герштейн Анастасия Сергеевна")</f>
        <v>Герштейн Анастасия Сергеевна</v>
      </c>
      <c r="C457" s="75" t="str">
        <f ca="1">IFERROR(__xludf.DUMMYFUNCTION("""COMPUTED_VALUE"""),"Студент")</f>
        <v>Студент</v>
      </c>
    </row>
    <row r="458" spans="1:3">
      <c r="A458" s="76">
        <f ca="1">IFERROR(__xludf.DUMMYFUNCTION("""COMPUTED_VALUE"""),2302546)</f>
        <v>2302546</v>
      </c>
      <c r="B458" s="76" t="str">
        <f ca="1">IFERROR(__xludf.DUMMYFUNCTION("""COMPUTED_VALUE"""),"Иванов Михаил Иванович")</f>
        <v>Иванов Михаил Иванович</v>
      </c>
      <c r="C458" s="75" t="str">
        <f ca="1">IFERROR(__xludf.DUMMYFUNCTION("""COMPUTED_VALUE"""),"Студент")</f>
        <v>Студент</v>
      </c>
    </row>
    <row r="459" spans="1:3">
      <c r="A459" s="76">
        <f ca="1">IFERROR(__xludf.DUMMYFUNCTION("""COMPUTED_VALUE"""),2302550)</f>
        <v>2302550</v>
      </c>
      <c r="B459" s="76" t="str">
        <f ca="1">IFERROR(__xludf.DUMMYFUNCTION("""COMPUTED_VALUE"""),"Иняев Геннадий Игоревич")</f>
        <v>Иняев Геннадий Игоревич</v>
      </c>
      <c r="C459" s="75" t="str">
        <f ca="1">IFERROR(__xludf.DUMMYFUNCTION("""COMPUTED_VALUE"""),"Студент")</f>
        <v>Студент</v>
      </c>
    </row>
    <row r="460" spans="1:3">
      <c r="A460" s="76">
        <f ca="1">IFERROR(__xludf.DUMMYFUNCTION("""COMPUTED_VALUE"""),2302551)</f>
        <v>2302551</v>
      </c>
      <c r="B460" s="76" t="str">
        <f ca="1">IFERROR(__xludf.DUMMYFUNCTION("""COMPUTED_VALUE"""),"Никулина Анастасия Андреевна")</f>
        <v>Никулина Анастасия Андреевна</v>
      </c>
      <c r="C460" s="75" t="str">
        <f ca="1">IFERROR(__xludf.DUMMYFUNCTION("""COMPUTED_VALUE"""),"Студент")</f>
        <v>Студент</v>
      </c>
    </row>
    <row r="461" spans="1:3">
      <c r="A461" s="76">
        <f ca="1">IFERROR(__xludf.DUMMYFUNCTION("""COMPUTED_VALUE"""),2302552)</f>
        <v>2302552</v>
      </c>
      <c r="B461" s="76" t="str">
        <f ca="1">IFERROR(__xludf.DUMMYFUNCTION("""COMPUTED_VALUE"""),"Кислякова Юлиана Андреевна")</f>
        <v>Кислякова Юлиана Андреевна</v>
      </c>
      <c r="C461" s="75" t="str">
        <f ca="1">IFERROR(__xludf.DUMMYFUNCTION("""COMPUTED_VALUE"""),"Студент")</f>
        <v>Студент</v>
      </c>
    </row>
    <row r="462" spans="1:3">
      <c r="A462" s="76">
        <f ca="1">IFERROR(__xludf.DUMMYFUNCTION("""COMPUTED_VALUE"""),2302553)</f>
        <v>2302553</v>
      </c>
      <c r="B462" s="76" t="str">
        <f ca="1">IFERROR(__xludf.DUMMYFUNCTION("""COMPUTED_VALUE"""),"Никитенко Никита Игоревич")</f>
        <v>Никитенко Никита Игоревич</v>
      </c>
      <c r="C462" s="75" t="str">
        <f ca="1">IFERROR(__xludf.DUMMYFUNCTION("""COMPUTED_VALUE"""),"Студент")</f>
        <v>Студент</v>
      </c>
    </row>
    <row r="463" spans="1:3">
      <c r="A463" s="76">
        <f ca="1">IFERROR(__xludf.DUMMYFUNCTION("""COMPUTED_VALUE"""),2302554)</f>
        <v>2302554</v>
      </c>
      <c r="B463" s="76" t="str">
        <f ca="1">IFERROR(__xludf.DUMMYFUNCTION("""COMPUTED_VALUE"""),"Истляев Максим Сергеевич")</f>
        <v>Истляев Максим Сергеевич</v>
      </c>
      <c r="C463" s="75" t="str">
        <f ca="1">IFERROR(__xludf.DUMMYFUNCTION("""COMPUTED_VALUE"""),"Студент")</f>
        <v>Студент</v>
      </c>
    </row>
    <row r="464" spans="1:3">
      <c r="A464" s="76">
        <f ca="1">IFERROR(__xludf.DUMMYFUNCTION("""COMPUTED_VALUE"""),2302558)</f>
        <v>2302558</v>
      </c>
      <c r="B464" s="76" t="str">
        <f ca="1">IFERROR(__xludf.DUMMYFUNCTION("""COMPUTED_VALUE"""),"Леоненко Татьяна Александровна")</f>
        <v>Леоненко Татьяна Александровна</v>
      </c>
      <c r="C464" s="75" t="str">
        <f ca="1">IFERROR(__xludf.DUMMYFUNCTION("""COMPUTED_VALUE"""),"Студент")</f>
        <v>Студент</v>
      </c>
    </row>
    <row r="465" spans="1:3">
      <c r="A465" s="76">
        <f ca="1">IFERROR(__xludf.DUMMYFUNCTION("""COMPUTED_VALUE"""),2302560)</f>
        <v>2302560</v>
      </c>
      <c r="B465" s="76" t="str">
        <f ca="1">IFERROR(__xludf.DUMMYFUNCTION("""COMPUTED_VALUE"""),"Шепель Диана")</f>
        <v>Шепель Диана</v>
      </c>
      <c r="C465" s="75" t="str">
        <f ca="1">IFERROR(__xludf.DUMMYFUNCTION("""COMPUTED_VALUE"""),"Студент")</f>
        <v>Студент</v>
      </c>
    </row>
    <row r="466" spans="1:3">
      <c r="A466" s="76">
        <f ca="1">IFERROR(__xludf.DUMMYFUNCTION("""COMPUTED_VALUE"""),2302565)</f>
        <v>2302565</v>
      </c>
      <c r="B466" s="76" t="str">
        <f ca="1">IFERROR(__xludf.DUMMYFUNCTION("""COMPUTED_VALUE"""),"Гарифуллин Артём Альбертович")</f>
        <v>Гарифуллин Артём Альбертович</v>
      </c>
      <c r="C466" s="75" t="str">
        <f ca="1">IFERROR(__xludf.DUMMYFUNCTION("""COMPUTED_VALUE"""),"Студент")</f>
        <v>Студент</v>
      </c>
    </row>
    <row r="467" spans="1:3">
      <c r="A467" s="76">
        <f ca="1">IFERROR(__xludf.DUMMYFUNCTION("""COMPUTED_VALUE"""),2302568)</f>
        <v>2302568</v>
      </c>
      <c r="B467" s="76" t="str">
        <f ca="1">IFERROR(__xludf.DUMMYFUNCTION("""COMPUTED_VALUE"""),"Городник Никита Вячеславович")</f>
        <v>Городник Никита Вячеславович</v>
      </c>
      <c r="C467" s="75" t="str">
        <f ca="1">IFERROR(__xludf.DUMMYFUNCTION("""COMPUTED_VALUE"""),"Студент")</f>
        <v>Студент</v>
      </c>
    </row>
    <row r="468" spans="1:3">
      <c r="A468" s="76">
        <f ca="1">IFERROR(__xludf.DUMMYFUNCTION("""COMPUTED_VALUE"""),2302573)</f>
        <v>2302573</v>
      </c>
      <c r="B468" s="76" t="str">
        <f ca="1">IFERROR(__xludf.DUMMYFUNCTION("""COMPUTED_VALUE"""),"Храмов Глеб Аркадьевич")</f>
        <v>Храмов Глеб Аркадьевич</v>
      </c>
      <c r="C468" s="75" t="str">
        <f ca="1">IFERROR(__xludf.DUMMYFUNCTION("""COMPUTED_VALUE"""),"Студент")</f>
        <v>Студент</v>
      </c>
    </row>
    <row r="469" spans="1:3">
      <c r="A469" s="76">
        <f ca="1">IFERROR(__xludf.DUMMYFUNCTION("""COMPUTED_VALUE"""),2302575)</f>
        <v>2302575</v>
      </c>
      <c r="B469" s="76" t="str">
        <f ca="1">IFERROR(__xludf.DUMMYFUNCTION("""COMPUTED_VALUE"""),"Никулин Дмитрий Александрович")</f>
        <v>Никулин Дмитрий Александрович</v>
      </c>
      <c r="C469" s="75" t="str">
        <f ca="1">IFERROR(__xludf.DUMMYFUNCTION("""COMPUTED_VALUE"""),"Студент")</f>
        <v>Студент</v>
      </c>
    </row>
    <row r="470" spans="1:3">
      <c r="A470" s="76">
        <f ca="1">IFERROR(__xludf.DUMMYFUNCTION("""COMPUTED_VALUE"""),2302576)</f>
        <v>2302576</v>
      </c>
      <c r="B470" s="76" t="str">
        <f ca="1">IFERROR(__xludf.DUMMYFUNCTION("""COMPUTED_VALUE"""),"Беляев Артём Игоревич")</f>
        <v>Беляев Артём Игоревич</v>
      </c>
      <c r="C470" s="75" t="str">
        <f ca="1">IFERROR(__xludf.DUMMYFUNCTION("""COMPUTED_VALUE"""),"Студент")</f>
        <v>Студент</v>
      </c>
    </row>
    <row r="471" spans="1:3">
      <c r="A471" s="76">
        <f ca="1">IFERROR(__xludf.DUMMYFUNCTION("""COMPUTED_VALUE"""),2302578)</f>
        <v>2302578</v>
      </c>
      <c r="B471" s="76" t="str">
        <f ca="1">IFERROR(__xludf.DUMMYFUNCTION("""COMPUTED_VALUE"""),"Федотов Михаил Сергеевич")</f>
        <v>Федотов Михаил Сергеевич</v>
      </c>
      <c r="C471" s="75" t="str">
        <f ca="1">IFERROR(__xludf.DUMMYFUNCTION("""COMPUTED_VALUE"""),"Студент")</f>
        <v>Студент</v>
      </c>
    </row>
    <row r="472" spans="1:3">
      <c r="A472" s="76">
        <f ca="1">IFERROR(__xludf.DUMMYFUNCTION("""COMPUTED_VALUE"""),2302588)</f>
        <v>2302588</v>
      </c>
      <c r="B472" s="76" t="str">
        <f ca="1">IFERROR(__xludf.DUMMYFUNCTION("""COMPUTED_VALUE"""),"Тылибцев Александр Денисович")</f>
        <v>Тылибцев Александр Денисович</v>
      </c>
      <c r="C472" s="75" t="str">
        <f ca="1">IFERROR(__xludf.DUMMYFUNCTION("""COMPUTED_VALUE"""),"Студент")</f>
        <v>Студент</v>
      </c>
    </row>
    <row r="473" spans="1:3">
      <c r="A473" s="76">
        <f ca="1">IFERROR(__xludf.DUMMYFUNCTION("""COMPUTED_VALUE"""),2302593)</f>
        <v>2302593</v>
      </c>
      <c r="B473" s="76" t="str">
        <f ca="1">IFERROR(__xludf.DUMMYFUNCTION("""COMPUTED_VALUE"""),"Соломатов Леонид Сергеевич")</f>
        <v>Соломатов Леонид Сергеевич</v>
      </c>
      <c r="C473" s="75" t="str">
        <f ca="1">IFERROR(__xludf.DUMMYFUNCTION("""COMPUTED_VALUE"""),"Студент")</f>
        <v>Студент</v>
      </c>
    </row>
    <row r="474" spans="1:3">
      <c r="A474" s="76">
        <f ca="1">IFERROR(__xludf.DUMMYFUNCTION("""COMPUTED_VALUE"""),2302594)</f>
        <v>2302594</v>
      </c>
      <c r="B474" s="76" t="str">
        <f ca="1">IFERROR(__xludf.DUMMYFUNCTION("""COMPUTED_VALUE"""),"Вострова Мария Дмитриевна")</f>
        <v>Вострова Мария Дмитриевна</v>
      </c>
      <c r="C474" s="75" t="str">
        <f ca="1">IFERROR(__xludf.DUMMYFUNCTION("""COMPUTED_VALUE"""),"Студент")</f>
        <v>Студент</v>
      </c>
    </row>
    <row r="475" spans="1:3">
      <c r="A475" s="76">
        <f ca="1">IFERROR(__xludf.DUMMYFUNCTION("""COMPUTED_VALUE"""),2302595)</f>
        <v>2302595</v>
      </c>
      <c r="B475" s="76" t="str">
        <f ca="1">IFERROR(__xludf.DUMMYFUNCTION("""COMPUTED_VALUE"""),"Николаева Полина Андреевна")</f>
        <v>Николаева Полина Андреевна</v>
      </c>
      <c r="C475" s="75" t="str">
        <f ca="1">IFERROR(__xludf.DUMMYFUNCTION("""COMPUTED_VALUE"""),"Студент")</f>
        <v>Студент</v>
      </c>
    </row>
    <row r="476" spans="1:3">
      <c r="A476" s="76">
        <f ca="1">IFERROR(__xludf.DUMMYFUNCTION("""COMPUTED_VALUE"""),2302606)</f>
        <v>2302606</v>
      </c>
      <c r="B476" s="76" t="str">
        <f ca="1">IFERROR(__xludf.DUMMYFUNCTION("""COMPUTED_VALUE"""),"Малкин Александр Юрьевич")</f>
        <v>Малкин Александр Юрьевич</v>
      </c>
      <c r="C476" s="75" t="str">
        <f ca="1">IFERROR(__xludf.DUMMYFUNCTION("""COMPUTED_VALUE"""),"Студент")</f>
        <v>Студент</v>
      </c>
    </row>
    <row r="477" spans="1:3">
      <c r="A477" s="76">
        <f ca="1">IFERROR(__xludf.DUMMYFUNCTION("""COMPUTED_VALUE"""),2302611)</f>
        <v>2302611</v>
      </c>
      <c r="B477" s="76" t="str">
        <f ca="1">IFERROR(__xludf.DUMMYFUNCTION("""COMPUTED_VALUE"""),"Покатилов Георгий Максимович")</f>
        <v>Покатилов Георгий Максимович</v>
      </c>
      <c r="C477" s="75" t="str">
        <f ca="1">IFERROR(__xludf.DUMMYFUNCTION("""COMPUTED_VALUE"""),"Студент")</f>
        <v>Студент</v>
      </c>
    </row>
    <row r="478" spans="1:3">
      <c r="A478" s="76">
        <f ca="1">IFERROR(__xludf.DUMMYFUNCTION("""COMPUTED_VALUE"""),2302618)</f>
        <v>2302618</v>
      </c>
      <c r="B478" s="76" t="str">
        <f ca="1">IFERROR(__xludf.DUMMYFUNCTION("""COMPUTED_VALUE"""),"Аймалетдинова Алина Мениповна")</f>
        <v>Аймалетдинова Алина Мениповна</v>
      </c>
      <c r="C478" s="75" t="str">
        <f ca="1">IFERROR(__xludf.DUMMYFUNCTION("""COMPUTED_VALUE"""),"Студент")</f>
        <v>Студент</v>
      </c>
    </row>
    <row r="479" spans="1:3">
      <c r="A479" s="76">
        <f ca="1">IFERROR(__xludf.DUMMYFUNCTION("""COMPUTED_VALUE"""),2302621)</f>
        <v>2302621</v>
      </c>
      <c r="B479" s="76" t="str">
        <f ca="1">IFERROR(__xludf.DUMMYFUNCTION("""COMPUTED_VALUE"""),"Вегерина Ксения Андреевна")</f>
        <v>Вегерина Ксения Андреевна</v>
      </c>
      <c r="C479" s="75" t="str">
        <f ca="1">IFERROR(__xludf.DUMMYFUNCTION("""COMPUTED_VALUE"""),"Студент")</f>
        <v>Студент</v>
      </c>
    </row>
    <row r="480" spans="1:3">
      <c r="A480" s="76">
        <f ca="1">IFERROR(__xludf.DUMMYFUNCTION("""COMPUTED_VALUE"""),2302622)</f>
        <v>2302622</v>
      </c>
      <c r="B480" s="76" t="str">
        <f ca="1">IFERROR(__xludf.DUMMYFUNCTION("""COMPUTED_VALUE"""),"Фатхутдинова Гузель Марсовна")</f>
        <v>Фатхутдинова Гузель Марсовна</v>
      </c>
      <c r="C480" s="75" t="str">
        <f ca="1">IFERROR(__xludf.DUMMYFUNCTION("""COMPUTED_VALUE"""),"Студент")</f>
        <v>Студент</v>
      </c>
    </row>
    <row r="481" spans="1:3">
      <c r="A481" s="76">
        <f ca="1">IFERROR(__xludf.DUMMYFUNCTION("""COMPUTED_VALUE"""),2302623)</f>
        <v>2302623</v>
      </c>
      <c r="B481" s="76" t="str">
        <f ca="1">IFERROR(__xludf.DUMMYFUNCTION("""COMPUTED_VALUE"""),"Яшкова Екатерина Алексеевна")</f>
        <v>Яшкова Екатерина Алексеевна</v>
      </c>
      <c r="C481" s="75" t="str">
        <f ca="1">IFERROR(__xludf.DUMMYFUNCTION("""COMPUTED_VALUE"""),"Студент")</f>
        <v>Студент</v>
      </c>
    </row>
    <row r="482" spans="1:3">
      <c r="A482" s="76">
        <f ca="1">IFERROR(__xludf.DUMMYFUNCTION("""COMPUTED_VALUE"""),2302625)</f>
        <v>2302625</v>
      </c>
      <c r="B482" s="76" t="str">
        <f ca="1">IFERROR(__xludf.DUMMYFUNCTION("""COMPUTED_VALUE"""),"Еремин Вадим Евгеньевич")</f>
        <v>Еремин Вадим Евгеньевич</v>
      </c>
      <c r="C482" s="75" t="str">
        <f ca="1">IFERROR(__xludf.DUMMYFUNCTION("""COMPUTED_VALUE"""),"Студент")</f>
        <v>Студент</v>
      </c>
    </row>
    <row r="483" spans="1:3">
      <c r="A483" s="76">
        <f ca="1">IFERROR(__xludf.DUMMYFUNCTION("""COMPUTED_VALUE"""),2302630)</f>
        <v>2302630</v>
      </c>
      <c r="B483" s="76" t="str">
        <f ca="1">IFERROR(__xludf.DUMMYFUNCTION("""COMPUTED_VALUE"""),"Петросян Карен Эдуардович")</f>
        <v>Петросян Карен Эдуардович</v>
      </c>
      <c r="C483" s="75" t="str">
        <f ca="1">IFERROR(__xludf.DUMMYFUNCTION("""COMPUTED_VALUE"""),"Студент")</f>
        <v>Студент</v>
      </c>
    </row>
    <row r="484" spans="1:3">
      <c r="A484" s="76">
        <f ca="1">IFERROR(__xludf.DUMMYFUNCTION("""COMPUTED_VALUE"""),2302631)</f>
        <v>2302631</v>
      </c>
      <c r="B484" s="76" t="str">
        <f ca="1">IFERROR(__xludf.DUMMYFUNCTION("""COMPUTED_VALUE"""),"Зимина Владислава Алексеевна")</f>
        <v>Зимина Владислава Алексеевна</v>
      </c>
      <c r="C484" s="75" t="str">
        <f ca="1">IFERROR(__xludf.DUMMYFUNCTION("""COMPUTED_VALUE"""),"Студент")</f>
        <v>Студент</v>
      </c>
    </row>
    <row r="485" spans="1:3">
      <c r="A485" s="76">
        <f ca="1">IFERROR(__xludf.DUMMYFUNCTION("""COMPUTED_VALUE"""),2302638)</f>
        <v>2302638</v>
      </c>
      <c r="B485" s="76" t="str">
        <f ca="1">IFERROR(__xludf.DUMMYFUNCTION("""COMPUTED_VALUE"""),"Бахышев Ахмед Везирханович")</f>
        <v>Бахышев Ахмед Везирханович</v>
      </c>
      <c r="C485" s="75" t="str">
        <f ca="1">IFERROR(__xludf.DUMMYFUNCTION("""COMPUTED_VALUE"""),"Студент")</f>
        <v>Студент</v>
      </c>
    </row>
    <row r="486" spans="1:3">
      <c r="A486" s="76">
        <f ca="1">IFERROR(__xludf.DUMMYFUNCTION("""COMPUTED_VALUE"""),2302643)</f>
        <v>2302643</v>
      </c>
      <c r="B486" s="76" t="str">
        <f ca="1">IFERROR(__xludf.DUMMYFUNCTION("""COMPUTED_VALUE"""),"Соловьев Вадим Дмитриевич")</f>
        <v>Соловьев Вадим Дмитриевич</v>
      </c>
      <c r="C486" s="75" t="str">
        <f ca="1">IFERROR(__xludf.DUMMYFUNCTION("""COMPUTED_VALUE"""),"Студент")</f>
        <v>Студент</v>
      </c>
    </row>
    <row r="487" spans="1:3">
      <c r="A487" s="76">
        <f ca="1">IFERROR(__xludf.DUMMYFUNCTION("""COMPUTED_VALUE"""),2302646)</f>
        <v>2302646</v>
      </c>
      <c r="B487" s="76" t="str">
        <f ca="1">IFERROR(__xludf.DUMMYFUNCTION("""COMPUTED_VALUE"""),"Мартьянова Анастасия Алексеевна")</f>
        <v>Мартьянова Анастасия Алексеевна</v>
      </c>
      <c r="C487" s="75" t="str">
        <f ca="1">IFERROR(__xludf.DUMMYFUNCTION("""COMPUTED_VALUE"""),"Студент")</f>
        <v>Студент</v>
      </c>
    </row>
    <row r="488" spans="1:3">
      <c r="A488" s="76">
        <f ca="1">IFERROR(__xludf.DUMMYFUNCTION("""COMPUTED_VALUE"""),2302651)</f>
        <v>2302651</v>
      </c>
      <c r="B488" s="76" t="str">
        <f ca="1">IFERROR(__xludf.DUMMYFUNCTION("""COMPUTED_VALUE"""),"Чепрова Екатерина Алексеевна")</f>
        <v>Чепрова Екатерина Алексеевна</v>
      </c>
      <c r="C488" s="75" t="str">
        <f ca="1">IFERROR(__xludf.DUMMYFUNCTION("""COMPUTED_VALUE"""),"Студент")</f>
        <v>Студент</v>
      </c>
    </row>
    <row r="489" spans="1:3">
      <c r="A489" s="76">
        <f ca="1">IFERROR(__xludf.DUMMYFUNCTION("""COMPUTED_VALUE"""),2302661)</f>
        <v>2302661</v>
      </c>
      <c r="B489" s="76" t="str">
        <f ca="1">IFERROR(__xludf.DUMMYFUNCTION("""COMPUTED_VALUE"""),"Тихонов Иван Алексеевич")</f>
        <v>Тихонов Иван Алексеевич</v>
      </c>
      <c r="C489" s="75" t="str">
        <f ca="1">IFERROR(__xludf.DUMMYFUNCTION("""COMPUTED_VALUE"""),"Студент")</f>
        <v>Студент</v>
      </c>
    </row>
    <row r="490" spans="1:3">
      <c r="A490" s="76">
        <f ca="1">IFERROR(__xludf.DUMMYFUNCTION("""COMPUTED_VALUE"""),2302664)</f>
        <v>2302664</v>
      </c>
      <c r="B490" s="76" t="str">
        <f ca="1">IFERROR(__xludf.DUMMYFUNCTION("""COMPUTED_VALUE"""),"Зуйков Арсений Николаевич")</f>
        <v>Зуйков Арсений Николаевич</v>
      </c>
      <c r="C490" s="75" t="str">
        <f ca="1">IFERROR(__xludf.DUMMYFUNCTION("""COMPUTED_VALUE"""),"Студент")</f>
        <v>Студент</v>
      </c>
    </row>
    <row r="491" spans="1:3">
      <c r="A491" s="76">
        <f ca="1">IFERROR(__xludf.DUMMYFUNCTION("""COMPUTED_VALUE"""),2302668)</f>
        <v>2302668</v>
      </c>
      <c r="B491" s="76" t="str">
        <f ca="1">IFERROR(__xludf.DUMMYFUNCTION("""COMPUTED_VALUE"""),"Акопян Эдмонд Каренович")</f>
        <v>Акопян Эдмонд Каренович</v>
      </c>
      <c r="C491" s="75" t="str">
        <f ca="1">IFERROR(__xludf.DUMMYFUNCTION("""COMPUTED_VALUE"""),"Студент")</f>
        <v>Студент</v>
      </c>
    </row>
    <row r="492" spans="1:3">
      <c r="A492" s="76">
        <f ca="1">IFERROR(__xludf.DUMMYFUNCTION("""COMPUTED_VALUE"""),2302676)</f>
        <v>2302676</v>
      </c>
      <c r="B492" s="76" t="str">
        <f ca="1">IFERROR(__xludf.DUMMYFUNCTION("""COMPUTED_VALUE"""),"Ткачева Елизавета Геннадьевна")</f>
        <v>Ткачева Елизавета Геннадьевна</v>
      </c>
      <c r="C492" s="75" t="str">
        <f ca="1">IFERROR(__xludf.DUMMYFUNCTION("""COMPUTED_VALUE"""),"Студент")</f>
        <v>Студент</v>
      </c>
    </row>
    <row r="493" spans="1:3">
      <c r="A493" s="76">
        <f ca="1">IFERROR(__xludf.DUMMYFUNCTION("""COMPUTED_VALUE"""),2302678)</f>
        <v>2302678</v>
      </c>
      <c r="B493" s="76" t="str">
        <f ca="1">IFERROR(__xludf.DUMMYFUNCTION("""COMPUTED_VALUE"""),"Черничук Владислав Игоревич")</f>
        <v>Черничук Владислав Игоревич</v>
      </c>
      <c r="C493" s="75" t="str">
        <f ca="1">IFERROR(__xludf.DUMMYFUNCTION("""COMPUTED_VALUE"""),"Студент")</f>
        <v>Студент</v>
      </c>
    </row>
    <row r="494" spans="1:3">
      <c r="A494" s="76">
        <f ca="1">IFERROR(__xludf.DUMMYFUNCTION("""COMPUTED_VALUE"""),2302683)</f>
        <v>2302683</v>
      </c>
      <c r="B494" s="76" t="str">
        <f ca="1">IFERROR(__xludf.DUMMYFUNCTION("""COMPUTED_VALUE"""),"Дундукова Полина Михайловна")</f>
        <v>Дундукова Полина Михайловна</v>
      </c>
      <c r="C494" s="75" t="str">
        <f ca="1">IFERROR(__xludf.DUMMYFUNCTION("""COMPUTED_VALUE"""),"Студент")</f>
        <v>Студент</v>
      </c>
    </row>
    <row r="495" spans="1:3">
      <c r="A495" s="76">
        <f ca="1">IFERROR(__xludf.DUMMYFUNCTION("""COMPUTED_VALUE"""),2302689)</f>
        <v>2302689</v>
      </c>
      <c r="B495" s="76" t="str">
        <f ca="1">IFERROR(__xludf.DUMMYFUNCTION("""COMPUTED_VALUE"""),"Андрианов Владимир Андреевич")</f>
        <v>Андрианов Владимир Андреевич</v>
      </c>
      <c r="C495" s="75" t="str">
        <f ca="1">IFERROR(__xludf.DUMMYFUNCTION("""COMPUTED_VALUE"""),"Студент")</f>
        <v>Студент</v>
      </c>
    </row>
    <row r="496" spans="1:3">
      <c r="A496" s="76">
        <f ca="1">IFERROR(__xludf.DUMMYFUNCTION("""COMPUTED_VALUE"""),2302691)</f>
        <v>2302691</v>
      </c>
      <c r="B496" s="76" t="str">
        <f ca="1">IFERROR(__xludf.DUMMYFUNCTION("""COMPUTED_VALUE"""),"Карнаушко Владимир Алексеевич")</f>
        <v>Карнаушко Владимир Алексеевич</v>
      </c>
      <c r="C496" s="75" t="str">
        <f ca="1">IFERROR(__xludf.DUMMYFUNCTION("""COMPUTED_VALUE"""),"Студент")</f>
        <v>Студент</v>
      </c>
    </row>
    <row r="497" spans="1:3">
      <c r="A497" s="76">
        <f ca="1">IFERROR(__xludf.DUMMYFUNCTION("""COMPUTED_VALUE"""),2302695)</f>
        <v>2302695</v>
      </c>
      <c r="B497" s="76" t="str">
        <f ca="1">IFERROR(__xludf.DUMMYFUNCTION("""COMPUTED_VALUE"""),"Быков Михаил Михайлович")</f>
        <v>Быков Михаил Михайлович</v>
      </c>
      <c r="C497" s="75" t="str">
        <f ca="1">IFERROR(__xludf.DUMMYFUNCTION("""COMPUTED_VALUE"""),"Студент")</f>
        <v>Студент</v>
      </c>
    </row>
    <row r="498" spans="1:3">
      <c r="A498" s="76">
        <f ca="1">IFERROR(__xludf.DUMMYFUNCTION("""COMPUTED_VALUE"""),2302697)</f>
        <v>2302697</v>
      </c>
      <c r="B498" s="76" t="str">
        <f ca="1">IFERROR(__xludf.DUMMYFUNCTION("""COMPUTED_VALUE"""),"Травянова Ксения Андреевна")</f>
        <v>Травянова Ксения Андреевна</v>
      </c>
      <c r="C498" s="75" t="str">
        <f ca="1">IFERROR(__xludf.DUMMYFUNCTION("""COMPUTED_VALUE"""),"Студент")</f>
        <v>Студент</v>
      </c>
    </row>
    <row r="499" spans="1:3">
      <c r="A499" s="76">
        <f ca="1">IFERROR(__xludf.DUMMYFUNCTION("""COMPUTED_VALUE"""),2302700)</f>
        <v>2302700</v>
      </c>
      <c r="B499" s="76" t="str">
        <f ca="1">IFERROR(__xludf.DUMMYFUNCTION("""COMPUTED_VALUE"""),"Личко Дмитрий Алексеевич")</f>
        <v>Личко Дмитрий Алексеевич</v>
      </c>
      <c r="C499" s="75" t="str">
        <f ca="1">IFERROR(__xludf.DUMMYFUNCTION("""COMPUTED_VALUE"""),"Студент")</f>
        <v>Студент</v>
      </c>
    </row>
    <row r="500" spans="1:3">
      <c r="A500" s="76">
        <f ca="1">IFERROR(__xludf.DUMMYFUNCTION("""COMPUTED_VALUE"""),2302706)</f>
        <v>2302706</v>
      </c>
      <c r="B500" s="76" t="str">
        <f ca="1">IFERROR(__xludf.DUMMYFUNCTION("""COMPUTED_VALUE"""),"Васильев Дмитрий Вадимович")</f>
        <v>Васильев Дмитрий Вадимович</v>
      </c>
      <c r="C500" s="75" t="str">
        <f ca="1">IFERROR(__xludf.DUMMYFUNCTION("""COMPUTED_VALUE"""),"Студент")</f>
        <v>Студент</v>
      </c>
    </row>
    <row r="501" spans="1:3">
      <c r="A501" s="76">
        <f ca="1">IFERROR(__xludf.DUMMYFUNCTION("""COMPUTED_VALUE"""),2302711)</f>
        <v>2302711</v>
      </c>
      <c r="B501" s="76" t="str">
        <f ca="1">IFERROR(__xludf.DUMMYFUNCTION("""COMPUTED_VALUE"""),"Темерева Анастасия Олеговна")</f>
        <v>Темерева Анастасия Олеговна</v>
      </c>
      <c r="C501" s="75" t="str">
        <f ca="1">IFERROR(__xludf.DUMMYFUNCTION("""COMPUTED_VALUE"""),"Студент")</f>
        <v>Студент</v>
      </c>
    </row>
    <row r="502" spans="1:3">
      <c r="A502" s="76">
        <f ca="1">IFERROR(__xludf.DUMMYFUNCTION("""COMPUTED_VALUE"""),2302713)</f>
        <v>2302713</v>
      </c>
      <c r="B502" s="76" t="str">
        <f ca="1">IFERROR(__xludf.DUMMYFUNCTION("""COMPUTED_VALUE"""),"Конева Стелла Александровна")</f>
        <v>Конева Стелла Александровна</v>
      </c>
      <c r="C502" s="75" t="str">
        <f ca="1">IFERROR(__xludf.DUMMYFUNCTION("""COMPUTED_VALUE"""),"Студент")</f>
        <v>Студент</v>
      </c>
    </row>
    <row r="503" spans="1:3">
      <c r="A503" s="76">
        <f ca="1">IFERROR(__xludf.DUMMYFUNCTION("""COMPUTED_VALUE"""),2302715)</f>
        <v>2302715</v>
      </c>
      <c r="B503" s="76" t="str">
        <f ca="1">IFERROR(__xludf.DUMMYFUNCTION("""COMPUTED_VALUE"""),"Пигарев Севастьян Юрьевич")</f>
        <v>Пигарев Севастьян Юрьевич</v>
      </c>
      <c r="C503" s="75" t="str">
        <f ca="1">IFERROR(__xludf.DUMMYFUNCTION("""COMPUTED_VALUE"""),"Студент")</f>
        <v>Студент</v>
      </c>
    </row>
    <row r="504" spans="1:3">
      <c r="A504" s="76">
        <f ca="1">IFERROR(__xludf.DUMMYFUNCTION("""COMPUTED_VALUE"""),2302721)</f>
        <v>2302721</v>
      </c>
      <c r="B504" s="76" t="str">
        <f ca="1">IFERROR(__xludf.DUMMYFUNCTION("""COMPUTED_VALUE"""),"Струков Борис Михайлович")</f>
        <v>Струков Борис Михайлович</v>
      </c>
      <c r="C504" s="75" t="str">
        <f ca="1">IFERROR(__xludf.DUMMYFUNCTION("""COMPUTED_VALUE"""),"Студент")</f>
        <v>Студент</v>
      </c>
    </row>
    <row r="505" spans="1:3">
      <c r="A505" s="76">
        <f ca="1">IFERROR(__xludf.DUMMYFUNCTION("""COMPUTED_VALUE"""),2302724)</f>
        <v>2302724</v>
      </c>
      <c r="B505" s="76" t="str">
        <f ca="1">IFERROR(__xludf.DUMMYFUNCTION("""COMPUTED_VALUE"""),"Точенников Никита Романович")</f>
        <v>Точенников Никита Романович</v>
      </c>
      <c r="C505" s="75" t="str">
        <f ca="1">IFERROR(__xludf.DUMMYFUNCTION("""COMPUTED_VALUE"""),"Студент")</f>
        <v>Студент</v>
      </c>
    </row>
    <row r="506" spans="1:3">
      <c r="A506" s="76">
        <f ca="1">IFERROR(__xludf.DUMMYFUNCTION("""COMPUTED_VALUE"""),2302725)</f>
        <v>2302725</v>
      </c>
      <c r="B506" s="76" t="str">
        <f ca="1">IFERROR(__xludf.DUMMYFUNCTION("""COMPUTED_VALUE"""),"Перминова Милена Константиновна")</f>
        <v>Перминова Милена Константиновна</v>
      </c>
      <c r="C506" s="75" t="str">
        <f ca="1">IFERROR(__xludf.DUMMYFUNCTION("""COMPUTED_VALUE"""),"Студент")</f>
        <v>Студент</v>
      </c>
    </row>
    <row r="507" spans="1:3">
      <c r="A507" s="76">
        <f ca="1">IFERROR(__xludf.DUMMYFUNCTION("""COMPUTED_VALUE"""),2302727)</f>
        <v>2302727</v>
      </c>
      <c r="B507" s="76" t="str">
        <f ca="1">IFERROR(__xludf.DUMMYFUNCTION("""COMPUTED_VALUE"""),"Титова Дарьяна Александровна")</f>
        <v>Титова Дарьяна Александровна</v>
      </c>
      <c r="C507" s="75" t="str">
        <f ca="1">IFERROR(__xludf.DUMMYFUNCTION("""COMPUTED_VALUE"""),"Студент")</f>
        <v>Студент</v>
      </c>
    </row>
    <row r="508" spans="1:3">
      <c r="A508" s="76">
        <f ca="1">IFERROR(__xludf.DUMMYFUNCTION("""COMPUTED_VALUE"""),2302728)</f>
        <v>2302728</v>
      </c>
      <c r="B508" s="76" t="str">
        <f ca="1">IFERROR(__xludf.DUMMYFUNCTION("""COMPUTED_VALUE"""),"Шадрина Анастасия Анатольевна")</f>
        <v>Шадрина Анастасия Анатольевна</v>
      </c>
      <c r="C508" s="75" t="str">
        <f ca="1">IFERROR(__xludf.DUMMYFUNCTION("""COMPUTED_VALUE"""),"Студент")</f>
        <v>Студент</v>
      </c>
    </row>
    <row r="509" spans="1:3">
      <c r="A509" s="76">
        <f ca="1">IFERROR(__xludf.DUMMYFUNCTION("""COMPUTED_VALUE"""),2302730)</f>
        <v>2302730</v>
      </c>
      <c r="B509" s="76" t="str">
        <f ca="1">IFERROR(__xludf.DUMMYFUNCTION("""COMPUTED_VALUE"""),"Мефедов Антоний Максимович")</f>
        <v>Мефедов Антоний Максимович</v>
      </c>
      <c r="C509" s="75" t="str">
        <f ca="1">IFERROR(__xludf.DUMMYFUNCTION("""COMPUTED_VALUE"""),"Студент")</f>
        <v>Студент</v>
      </c>
    </row>
    <row r="510" spans="1:3">
      <c r="A510" s="76">
        <f ca="1">IFERROR(__xludf.DUMMYFUNCTION("""COMPUTED_VALUE"""),2302737)</f>
        <v>2302737</v>
      </c>
      <c r="B510" s="76" t="str">
        <f ca="1">IFERROR(__xludf.DUMMYFUNCTION("""COMPUTED_VALUE"""),"Артюхов Владислав Игоревич")</f>
        <v>Артюхов Владислав Игоревич</v>
      </c>
      <c r="C510" s="75" t="str">
        <f ca="1">IFERROR(__xludf.DUMMYFUNCTION("""COMPUTED_VALUE"""),"Студент")</f>
        <v>Студент</v>
      </c>
    </row>
    <row r="511" spans="1:3">
      <c r="A511" s="76">
        <f ca="1">IFERROR(__xludf.DUMMYFUNCTION("""COMPUTED_VALUE"""),2302741)</f>
        <v>2302741</v>
      </c>
      <c r="B511" s="76" t="str">
        <f ca="1">IFERROR(__xludf.DUMMYFUNCTION("""COMPUTED_VALUE"""),"Захаренкова Екатерина Денисовна")</f>
        <v>Захаренкова Екатерина Денисовна</v>
      </c>
      <c r="C511" s="75" t="str">
        <f ca="1">IFERROR(__xludf.DUMMYFUNCTION("""COMPUTED_VALUE"""),"Студент")</f>
        <v>Студент</v>
      </c>
    </row>
    <row r="512" spans="1:3">
      <c r="A512" s="76">
        <f ca="1">IFERROR(__xludf.DUMMYFUNCTION("""COMPUTED_VALUE"""),2302747)</f>
        <v>2302747</v>
      </c>
      <c r="B512" s="76" t="str">
        <f ca="1">IFERROR(__xludf.DUMMYFUNCTION("""COMPUTED_VALUE"""),"Дулян Арсен Артурович")</f>
        <v>Дулян Арсен Артурович</v>
      </c>
      <c r="C512" s="75" t="str">
        <f ca="1">IFERROR(__xludf.DUMMYFUNCTION("""COMPUTED_VALUE"""),"Студент")</f>
        <v>Студент</v>
      </c>
    </row>
    <row r="513" spans="1:3">
      <c r="A513" s="76">
        <f ca="1">IFERROR(__xludf.DUMMYFUNCTION("""COMPUTED_VALUE"""),2302750)</f>
        <v>2302750</v>
      </c>
      <c r="B513" s="76" t="str">
        <f ca="1">IFERROR(__xludf.DUMMYFUNCTION("""COMPUTED_VALUE"""),"Круговых Руслан Дмитриевич")</f>
        <v>Круговых Руслан Дмитриевич</v>
      </c>
      <c r="C513" s="75" t="str">
        <f ca="1">IFERROR(__xludf.DUMMYFUNCTION("""COMPUTED_VALUE"""),"Студент")</f>
        <v>Студент</v>
      </c>
    </row>
    <row r="514" spans="1:3">
      <c r="A514" s="76">
        <f ca="1">IFERROR(__xludf.DUMMYFUNCTION("""COMPUTED_VALUE"""),2302751)</f>
        <v>2302751</v>
      </c>
      <c r="B514" s="76" t="str">
        <f ca="1">IFERROR(__xludf.DUMMYFUNCTION("""COMPUTED_VALUE"""),"Османов Наиль Рафаэлевич")</f>
        <v>Османов Наиль Рафаэлевич</v>
      </c>
      <c r="C514" s="75" t="str">
        <f ca="1">IFERROR(__xludf.DUMMYFUNCTION("""COMPUTED_VALUE"""),"Студент")</f>
        <v>Студент</v>
      </c>
    </row>
    <row r="515" spans="1:3">
      <c r="A515" s="76">
        <f ca="1">IFERROR(__xludf.DUMMYFUNCTION("""COMPUTED_VALUE"""),2302752)</f>
        <v>2302752</v>
      </c>
      <c r="B515" s="76" t="str">
        <f ca="1">IFERROR(__xludf.DUMMYFUNCTION("""COMPUTED_VALUE"""),"Куликова Арина Родионовна")</f>
        <v>Куликова Арина Родионовна</v>
      </c>
      <c r="C515" s="75" t="str">
        <f ca="1">IFERROR(__xludf.DUMMYFUNCTION("""COMPUTED_VALUE"""),"Студент")</f>
        <v>Студент</v>
      </c>
    </row>
    <row r="516" spans="1:3">
      <c r="A516" s="76">
        <f ca="1">IFERROR(__xludf.DUMMYFUNCTION("""COMPUTED_VALUE"""),2302766)</f>
        <v>2302766</v>
      </c>
      <c r="B516" s="76" t="str">
        <f ca="1">IFERROR(__xludf.DUMMYFUNCTION("""COMPUTED_VALUE"""),"Аверина Александра Николаевна")</f>
        <v>Аверина Александра Николаевна</v>
      </c>
      <c r="C516" s="75" t="str">
        <f ca="1">IFERROR(__xludf.DUMMYFUNCTION("""COMPUTED_VALUE"""),"Студент")</f>
        <v>Студент</v>
      </c>
    </row>
    <row r="517" spans="1:3">
      <c r="A517" s="76">
        <f ca="1">IFERROR(__xludf.DUMMYFUNCTION("""COMPUTED_VALUE"""),2302767)</f>
        <v>2302767</v>
      </c>
      <c r="B517" s="76" t="str">
        <f ca="1">IFERROR(__xludf.DUMMYFUNCTION("""COMPUTED_VALUE"""),"Пинега Марк Александрович")</f>
        <v>Пинега Марк Александрович</v>
      </c>
      <c r="C517" s="75" t="str">
        <f ca="1">IFERROR(__xludf.DUMMYFUNCTION("""COMPUTED_VALUE"""),"Студент")</f>
        <v>Студент</v>
      </c>
    </row>
    <row r="518" spans="1:3">
      <c r="A518" s="76">
        <f ca="1">IFERROR(__xludf.DUMMYFUNCTION("""COMPUTED_VALUE"""),2302769)</f>
        <v>2302769</v>
      </c>
      <c r="B518" s="76" t="str">
        <f ca="1">IFERROR(__xludf.DUMMYFUNCTION("""COMPUTED_VALUE"""),"Белоконь Артем Сергеевич")</f>
        <v>Белоконь Артем Сергеевич</v>
      </c>
      <c r="C518" s="75" t="str">
        <f ca="1">IFERROR(__xludf.DUMMYFUNCTION("""COMPUTED_VALUE"""),"Студент")</f>
        <v>Студент</v>
      </c>
    </row>
    <row r="519" spans="1:3">
      <c r="A519" s="76">
        <f ca="1">IFERROR(__xludf.DUMMYFUNCTION("""COMPUTED_VALUE"""),2302771)</f>
        <v>2302771</v>
      </c>
      <c r="B519" s="76" t="str">
        <f ca="1">IFERROR(__xludf.DUMMYFUNCTION("""COMPUTED_VALUE"""),"Крот Роман Станиславович")</f>
        <v>Крот Роман Станиславович</v>
      </c>
      <c r="C519" s="75" t="str">
        <f ca="1">IFERROR(__xludf.DUMMYFUNCTION("""COMPUTED_VALUE"""),"Студент")</f>
        <v>Студент</v>
      </c>
    </row>
    <row r="520" spans="1:3">
      <c r="A520" s="76">
        <f ca="1">IFERROR(__xludf.DUMMYFUNCTION("""COMPUTED_VALUE"""),2302773)</f>
        <v>2302773</v>
      </c>
      <c r="B520" s="76" t="str">
        <f ca="1">IFERROR(__xludf.DUMMYFUNCTION("""COMPUTED_VALUE"""),"Соловаров Илья Станиславович")</f>
        <v>Соловаров Илья Станиславович</v>
      </c>
      <c r="C520" s="75" t="str">
        <f ca="1">IFERROR(__xludf.DUMMYFUNCTION("""COMPUTED_VALUE"""),"Студент")</f>
        <v>Студент</v>
      </c>
    </row>
    <row r="521" spans="1:3">
      <c r="A521" s="76">
        <f ca="1">IFERROR(__xludf.DUMMYFUNCTION("""COMPUTED_VALUE"""),2302774)</f>
        <v>2302774</v>
      </c>
      <c r="B521" s="76" t="str">
        <f ca="1">IFERROR(__xludf.DUMMYFUNCTION("""COMPUTED_VALUE"""),"Величко Алиса Алексеевна")</f>
        <v>Величко Алиса Алексеевна</v>
      </c>
      <c r="C521" s="75" t="str">
        <f ca="1">IFERROR(__xludf.DUMMYFUNCTION("""COMPUTED_VALUE"""),"Студент")</f>
        <v>Студент</v>
      </c>
    </row>
    <row r="522" spans="1:3">
      <c r="A522" s="76">
        <f ca="1">IFERROR(__xludf.DUMMYFUNCTION("""COMPUTED_VALUE"""),2302779)</f>
        <v>2302779</v>
      </c>
      <c r="B522" s="76" t="str">
        <f ca="1">IFERROR(__xludf.DUMMYFUNCTION("""COMPUTED_VALUE"""),"Кутепова Стефания Николаевна")</f>
        <v>Кутепова Стефания Николаевна</v>
      </c>
      <c r="C522" s="75" t="str">
        <f ca="1">IFERROR(__xludf.DUMMYFUNCTION("""COMPUTED_VALUE"""),"Студент")</f>
        <v>Студент</v>
      </c>
    </row>
    <row r="523" spans="1:3">
      <c r="A523" s="76">
        <f ca="1">IFERROR(__xludf.DUMMYFUNCTION("""COMPUTED_VALUE"""),2302785)</f>
        <v>2302785</v>
      </c>
      <c r="B523" s="76" t="str">
        <f ca="1">IFERROR(__xludf.DUMMYFUNCTION("""COMPUTED_VALUE"""),"Федотова Анастасия Андреевна")</f>
        <v>Федотова Анастасия Андреевна</v>
      </c>
      <c r="C523" s="75" t="str">
        <f ca="1">IFERROR(__xludf.DUMMYFUNCTION("""COMPUTED_VALUE"""),"Студент")</f>
        <v>Студент</v>
      </c>
    </row>
    <row r="524" spans="1:3">
      <c r="A524" s="76">
        <f ca="1">IFERROR(__xludf.DUMMYFUNCTION("""COMPUTED_VALUE"""),2302839)</f>
        <v>2302839</v>
      </c>
      <c r="B524" s="76" t="str">
        <f ca="1">IFERROR(__xludf.DUMMYFUNCTION("""COMPUTED_VALUE"""),"Одинокова Анастасия Антоновна")</f>
        <v>Одинокова Анастасия Антоновна</v>
      </c>
      <c r="C524" s="75" t="str">
        <f ca="1">IFERROR(__xludf.DUMMYFUNCTION("""COMPUTED_VALUE"""),"Студент")</f>
        <v>Студент</v>
      </c>
    </row>
    <row r="525" spans="1:3">
      <c r="A525" s="76">
        <f ca="1">IFERROR(__xludf.DUMMYFUNCTION("""COMPUTED_VALUE"""),2302844)</f>
        <v>2302844</v>
      </c>
      <c r="B525" s="76" t="str">
        <f ca="1">IFERROR(__xludf.DUMMYFUNCTION("""COMPUTED_VALUE"""),"Потемкин Владимир Евгеньевич")</f>
        <v>Потемкин Владимир Евгеньевич</v>
      </c>
      <c r="C525" s="75" t="str">
        <f ca="1">IFERROR(__xludf.DUMMYFUNCTION("""COMPUTED_VALUE"""),"Студент")</f>
        <v>Студент</v>
      </c>
    </row>
    <row r="526" spans="1:3">
      <c r="A526" s="76">
        <f ca="1">IFERROR(__xludf.DUMMYFUNCTION("""COMPUTED_VALUE"""),2302861)</f>
        <v>2302861</v>
      </c>
      <c r="B526" s="76" t="str">
        <f ca="1">IFERROR(__xludf.DUMMYFUNCTION("""COMPUTED_VALUE"""),"Сидоров Андрей Владимирович")</f>
        <v>Сидоров Андрей Владимирович</v>
      </c>
      <c r="C526" s="75" t="str">
        <f ca="1">IFERROR(__xludf.DUMMYFUNCTION("""COMPUTED_VALUE"""),"Студент")</f>
        <v>Студент</v>
      </c>
    </row>
    <row r="527" spans="1:3">
      <c r="A527" s="76">
        <f ca="1">IFERROR(__xludf.DUMMYFUNCTION("""COMPUTED_VALUE"""),2302867)</f>
        <v>2302867</v>
      </c>
      <c r="B527" s="76" t="str">
        <f ca="1">IFERROR(__xludf.DUMMYFUNCTION("""COMPUTED_VALUE"""),"Пергаев Данила Евгеньевич")</f>
        <v>Пергаев Данила Евгеньевич</v>
      </c>
      <c r="C527" s="75" t="str">
        <f ca="1">IFERROR(__xludf.DUMMYFUNCTION("""COMPUTED_VALUE"""),"Студент")</f>
        <v>Студент</v>
      </c>
    </row>
    <row r="528" spans="1:3">
      <c r="A528" s="76">
        <f ca="1">IFERROR(__xludf.DUMMYFUNCTION("""COMPUTED_VALUE"""),2302880)</f>
        <v>2302880</v>
      </c>
      <c r="B528" s="76" t="str">
        <f ca="1">IFERROR(__xludf.DUMMYFUNCTION("""COMPUTED_VALUE"""),"Романов Андрей Андреевич")</f>
        <v>Романов Андрей Андреевич</v>
      </c>
      <c r="C528" s="75" t="str">
        <f ca="1">IFERROR(__xludf.DUMMYFUNCTION("""COMPUTED_VALUE"""),"Студент")</f>
        <v>Студент</v>
      </c>
    </row>
    <row r="529" spans="1:3">
      <c r="A529" s="76">
        <f ca="1">IFERROR(__xludf.DUMMYFUNCTION("""COMPUTED_VALUE"""),2302883)</f>
        <v>2302883</v>
      </c>
      <c r="B529" s="76" t="str">
        <f ca="1">IFERROR(__xludf.DUMMYFUNCTION("""COMPUTED_VALUE"""),"Эшмурадов Далер Александрович")</f>
        <v>Эшмурадов Далер Александрович</v>
      </c>
      <c r="C529" s="75" t="str">
        <f ca="1">IFERROR(__xludf.DUMMYFUNCTION("""COMPUTED_VALUE"""),"Студент")</f>
        <v>Студент</v>
      </c>
    </row>
    <row r="530" spans="1:3">
      <c r="A530" s="76">
        <f ca="1">IFERROR(__xludf.DUMMYFUNCTION("""COMPUTED_VALUE"""),2302889)</f>
        <v>2302889</v>
      </c>
      <c r="B530" s="76" t="str">
        <f ca="1">IFERROR(__xludf.DUMMYFUNCTION("""COMPUTED_VALUE"""),"Амосова Елена Антоновна")</f>
        <v>Амосова Елена Антоновна</v>
      </c>
      <c r="C530" s="75" t="str">
        <f ca="1">IFERROR(__xludf.DUMMYFUNCTION("""COMPUTED_VALUE"""),"Студент")</f>
        <v>Студент</v>
      </c>
    </row>
    <row r="531" spans="1:3">
      <c r="A531" s="76">
        <f ca="1">IFERROR(__xludf.DUMMYFUNCTION("""COMPUTED_VALUE"""),2302899)</f>
        <v>2302899</v>
      </c>
      <c r="B531" s="76" t="str">
        <f ca="1">IFERROR(__xludf.DUMMYFUNCTION("""COMPUTED_VALUE"""),"Синицын Егор Евгеньевич")</f>
        <v>Синицын Егор Евгеньевич</v>
      </c>
      <c r="C531" s="75" t="str">
        <f ca="1">IFERROR(__xludf.DUMMYFUNCTION("""COMPUTED_VALUE"""),"Студент")</f>
        <v>Студент</v>
      </c>
    </row>
    <row r="532" spans="1:3">
      <c r="A532" s="76">
        <f ca="1">IFERROR(__xludf.DUMMYFUNCTION("""COMPUTED_VALUE"""),2302900)</f>
        <v>2302900</v>
      </c>
      <c r="B532" s="76" t="str">
        <f ca="1">IFERROR(__xludf.DUMMYFUNCTION("""COMPUTED_VALUE"""),"Самохвалова Анастасия Олеговна")</f>
        <v>Самохвалова Анастасия Олеговна</v>
      </c>
      <c r="C532" s="75" t="str">
        <f ca="1">IFERROR(__xludf.DUMMYFUNCTION("""COMPUTED_VALUE"""),"Студент")</f>
        <v>Студент</v>
      </c>
    </row>
    <row r="533" spans="1:3">
      <c r="A533" s="76">
        <f ca="1">IFERROR(__xludf.DUMMYFUNCTION("""COMPUTED_VALUE"""),2302918)</f>
        <v>2302918</v>
      </c>
      <c r="B533" s="76" t="str">
        <f ca="1">IFERROR(__xludf.DUMMYFUNCTION("""COMPUTED_VALUE"""),"Добрица Иван Игоревич")</f>
        <v>Добрица Иван Игоревич</v>
      </c>
      <c r="C533" s="75" t="str">
        <f ca="1">IFERROR(__xludf.DUMMYFUNCTION("""COMPUTED_VALUE"""),"Студент")</f>
        <v>Студент</v>
      </c>
    </row>
    <row r="534" spans="1:3">
      <c r="A534" s="76">
        <f ca="1">IFERROR(__xludf.DUMMYFUNCTION("""COMPUTED_VALUE"""),2302922)</f>
        <v>2302922</v>
      </c>
      <c r="B534" s="76" t="str">
        <f ca="1">IFERROR(__xludf.DUMMYFUNCTION("""COMPUTED_VALUE"""),"Бабак Виктория Максимовна")</f>
        <v>Бабак Виктория Максимовна</v>
      </c>
      <c r="C534" s="75" t="str">
        <f ca="1">IFERROR(__xludf.DUMMYFUNCTION("""COMPUTED_VALUE"""),"Студент")</f>
        <v>Студент</v>
      </c>
    </row>
    <row r="535" spans="1:3">
      <c r="A535" s="76">
        <f ca="1">IFERROR(__xludf.DUMMYFUNCTION("""COMPUTED_VALUE"""),2302928)</f>
        <v>2302928</v>
      </c>
      <c r="B535" s="76" t="str">
        <f ca="1">IFERROR(__xludf.DUMMYFUNCTION("""COMPUTED_VALUE"""),"Пак Владислав Александрович")</f>
        <v>Пак Владислав Александрович</v>
      </c>
      <c r="C535" s="75" t="str">
        <f ca="1">IFERROR(__xludf.DUMMYFUNCTION("""COMPUTED_VALUE"""),"Студент")</f>
        <v>Студент</v>
      </c>
    </row>
    <row r="536" spans="1:3">
      <c r="A536" s="76">
        <f ca="1">IFERROR(__xludf.DUMMYFUNCTION("""COMPUTED_VALUE"""),2302930)</f>
        <v>2302930</v>
      </c>
      <c r="B536" s="76" t="str">
        <f ca="1">IFERROR(__xludf.DUMMYFUNCTION("""COMPUTED_VALUE"""),"Лобач Полина Дмитриевна")</f>
        <v>Лобач Полина Дмитриевна</v>
      </c>
      <c r="C536" s="75" t="str">
        <f ca="1">IFERROR(__xludf.DUMMYFUNCTION("""COMPUTED_VALUE"""),"Студент")</f>
        <v>Студент</v>
      </c>
    </row>
    <row r="537" spans="1:3">
      <c r="A537" s="76">
        <f ca="1">IFERROR(__xludf.DUMMYFUNCTION("""COMPUTED_VALUE"""),2302933)</f>
        <v>2302933</v>
      </c>
      <c r="B537" s="76" t="str">
        <f ca="1">IFERROR(__xludf.DUMMYFUNCTION("""COMPUTED_VALUE"""),"Борисенко Павел Дмитриевич")</f>
        <v>Борисенко Павел Дмитриевич</v>
      </c>
      <c r="C537" s="75" t="str">
        <f ca="1">IFERROR(__xludf.DUMMYFUNCTION("""COMPUTED_VALUE"""),"Студент")</f>
        <v>Студент</v>
      </c>
    </row>
    <row r="538" spans="1:3">
      <c r="A538" s="76">
        <f ca="1">IFERROR(__xludf.DUMMYFUNCTION("""COMPUTED_VALUE"""),2302938)</f>
        <v>2302938</v>
      </c>
      <c r="B538" s="76" t="str">
        <f ca="1">IFERROR(__xludf.DUMMYFUNCTION("""COMPUTED_VALUE"""),"Васильчук Юлия Андреевна")</f>
        <v>Васильчук Юлия Андреевна</v>
      </c>
      <c r="C538" s="75" t="str">
        <f ca="1">IFERROR(__xludf.DUMMYFUNCTION("""COMPUTED_VALUE"""),"Студент")</f>
        <v>Студент</v>
      </c>
    </row>
    <row r="539" spans="1:3">
      <c r="A539" s="76">
        <f ca="1">IFERROR(__xludf.DUMMYFUNCTION("""COMPUTED_VALUE"""),2302946)</f>
        <v>2302946</v>
      </c>
      <c r="B539" s="76" t="str">
        <f ca="1">IFERROR(__xludf.DUMMYFUNCTION("""COMPUTED_VALUE"""),"Винникова Дарья Павловна")</f>
        <v>Винникова Дарья Павловна</v>
      </c>
      <c r="C539" s="75" t="str">
        <f ca="1">IFERROR(__xludf.DUMMYFUNCTION("""COMPUTED_VALUE"""),"Студент")</f>
        <v>Студент</v>
      </c>
    </row>
    <row r="540" spans="1:3">
      <c r="A540" s="76">
        <f ca="1">IFERROR(__xludf.DUMMYFUNCTION("""COMPUTED_VALUE"""),2302947)</f>
        <v>2302947</v>
      </c>
      <c r="B540" s="76" t="str">
        <f ca="1">IFERROR(__xludf.DUMMYFUNCTION("""COMPUTED_VALUE"""),"Мошков Владислав Алексеевич")</f>
        <v>Мошков Владислав Алексеевич</v>
      </c>
      <c r="C540" s="75" t="str">
        <f ca="1">IFERROR(__xludf.DUMMYFUNCTION("""COMPUTED_VALUE"""),"Студент")</f>
        <v>Студент</v>
      </c>
    </row>
    <row r="541" spans="1:3">
      <c r="A541" s="76">
        <f ca="1">IFERROR(__xludf.DUMMYFUNCTION("""COMPUTED_VALUE"""),2302951)</f>
        <v>2302951</v>
      </c>
      <c r="B541" s="76" t="str">
        <f ca="1">IFERROR(__xludf.DUMMYFUNCTION("""COMPUTED_VALUE"""),"Машкова Екатерина Андреевна")</f>
        <v>Машкова Екатерина Андреевна</v>
      </c>
      <c r="C541" s="75" t="str">
        <f ca="1">IFERROR(__xludf.DUMMYFUNCTION("""COMPUTED_VALUE"""),"Студент")</f>
        <v>Студент</v>
      </c>
    </row>
    <row r="542" spans="1:3">
      <c r="A542" s="76">
        <f ca="1">IFERROR(__xludf.DUMMYFUNCTION("""COMPUTED_VALUE"""),2302953)</f>
        <v>2302953</v>
      </c>
      <c r="B542" s="76" t="str">
        <f ca="1">IFERROR(__xludf.DUMMYFUNCTION("""COMPUTED_VALUE"""),"Волобуев Никита Алексеевич")</f>
        <v>Волобуев Никита Алексеевич</v>
      </c>
      <c r="C542" s="75" t="str">
        <f ca="1">IFERROR(__xludf.DUMMYFUNCTION("""COMPUTED_VALUE"""),"Студент")</f>
        <v>Студент</v>
      </c>
    </row>
    <row r="543" spans="1:3">
      <c r="A543" s="76">
        <f ca="1">IFERROR(__xludf.DUMMYFUNCTION("""COMPUTED_VALUE"""),2302955)</f>
        <v>2302955</v>
      </c>
      <c r="B543" s="76" t="str">
        <f ca="1">IFERROR(__xludf.DUMMYFUNCTION("""COMPUTED_VALUE"""),"Чемакин Григорий Андреевич")</f>
        <v>Чемакин Григорий Андреевич</v>
      </c>
      <c r="C543" s="75" t="str">
        <f ca="1">IFERROR(__xludf.DUMMYFUNCTION("""COMPUTED_VALUE"""),"Студент")</f>
        <v>Студент</v>
      </c>
    </row>
    <row r="544" spans="1:3">
      <c r="A544" s="76">
        <f ca="1">IFERROR(__xludf.DUMMYFUNCTION("""COMPUTED_VALUE"""),2302959)</f>
        <v>2302959</v>
      </c>
      <c r="B544" s="76" t="str">
        <f ca="1">IFERROR(__xludf.DUMMYFUNCTION("""COMPUTED_VALUE"""),"Мулюков Арслан Ренатович")</f>
        <v>Мулюков Арслан Ренатович</v>
      </c>
      <c r="C544" s="75" t="str">
        <f ca="1">IFERROR(__xludf.DUMMYFUNCTION("""COMPUTED_VALUE"""),"Студент")</f>
        <v>Студент</v>
      </c>
    </row>
    <row r="545" spans="1:3">
      <c r="A545" s="76">
        <f ca="1">IFERROR(__xludf.DUMMYFUNCTION("""COMPUTED_VALUE"""),2302964)</f>
        <v>2302964</v>
      </c>
      <c r="B545" s="76" t="str">
        <f ca="1">IFERROR(__xludf.DUMMYFUNCTION("""COMPUTED_VALUE"""),"Шитова Мария Георгиевна")</f>
        <v>Шитова Мария Георгиевна</v>
      </c>
      <c r="C545" s="75" t="str">
        <f ca="1">IFERROR(__xludf.DUMMYFUNCTION("""COMPUTED_VALUE"""),"Студент")</f>
        <v>Студент</v>
      </c>
    </row>
    <row r="546" spans="1:3">
      <c r="A546" s="76">
        <f ca="1">IFERROR(__xludf.DUMMYFUNCTION("""COMPUTED_VALUE"""),2302976)</f>
        <v>2302976</v>
      </c>
      <c r="B546" s="76" t="str">
        <f ca="1">IFERROR(__xludf.DUMMYFUNCTION("""COMPUTED_VALUE"""),"Колтунова Алина Владимировна")</f>
        <v>Колтунова Алина Владимировна</v>
      </c>
      <c r="C546" s="75" t="str">
        <f ca="1">IFERROR(__xludf.DUMMYFUNCTION("""COMPUTED_VALUE"""),"Студент")</f>
        <v>Студент</v>
      </c>
    </row>
    <row r="547" spans="1:3">
      <c r="A547" s="76">
        <f ca="1">IFERROR(__xludf.DUMMYFUNCTION("""COMPUTED_VALUE"""),2302978)</f>
        <v>2302978</v>
      </c>
      <c r="B547" s="76" t="str">
        <f ca="1">IFERROR(__xludf.DUMMYFUNCTION("""COMPUTED_VALUE"""),"Дорохова Анастасия Олеговна")</f>
        <v>Дорохова Анастасия Олеговна</v>
      </c>
      <c r="C547" s="75" t="str">
        <f ca="1">IFERROR(__xludf.DUMMYFUNCTION("""COMPUTED_VALUE"""),"Студент")</f>
        <v>Студент</v>
      </c>
    </row>
    <row r="548" spans="1:3">
      <c r="A548" s="76">
        <f ca="1">IFERROR(__xludf.DUMMYFUNCTION("""COMPUTED_VALUE"""),2302983)</f>
        <v>2302983</v>
      </c>
      <c r="B548" s="76" t="str">
        <f ca="1">IFERROR(__xludf.DUMMYFUNCTION("""COMPUTED_VALUE"""),"Петров Михаил Алексеевич")</f>
        <v>Петров Михаил Алексеевич</v>
      </c>
      <c r="C548" s="75" t="str">
        <f ca="1">IFERROR(__xludf.DUMMYFUNCTION("""COMPUTED_VALUE"""),"Студент")</f>
        <v>Студент</v>
      </c>
    </row>
    <row r="549" spans="1:3">
      <c r="A549" s="76">
        <f ca="1">IFERROR(__xludf.DUMMYFUNCTION("""COMPUTED_VALUE"""),2302984)</f>
        <v>2302984</v>
      </c>
      <c r="B549" s="76" t="str">
        <f ca="1">IFERROR(__xludf.DUMMYFUNCTION("""COMPUTED_VALUE"""),"Задорожний Борис Андреевич")</f>
        <v>Задорожний Борис Андреевич</v>
      </c>
      <c r="C549" s="75" t="str">
        <f ca="1">IFERROR(__xludf.DUMMYFUNCTION("""COMPUTED_VALUE"""),"Студент")</f>
        <v>Студент</v>
      </c>
    </row>
    <row r="550" spans="1:3">
      <c r="A550" s="76">
        <f ca="1">IFERROR(__xludf.DUMMYFUNCTION("""COMPUTED_VALUE"""),2302985)</f>
        <v>2302985</v>
      </c>
      <c r="B550" s="76" t="str">
        <f ca="1">IFERROR(__xludf.DUMMYFUNCTION("""COMPUTED_VALUE"""),"Гамаюнова Ульяна Владимировна")</f>
        <v>Гамаюнова Ульяна Владимировна</v>
      </c>
      <c r="C550" s="75" t="str">
        <f ca="1">IFERROR(__xludf.DUMMYFUNCTION("""COMPUTED_VALUE"""),"Студент")</f>
        <v>Студент</v>
      </c>
    </row>
    <row r="551" spans="1:3">
      <c r="A551" s="76">
        <f ca="1">IFERROR(__xludf.DUMMYFUNCTION("""COMPUTED_VALUE"""),2302987)</f>
        <v>2302987</v>
      </c>
      <c r="B551" s="76" t="str">
        <f ca="1">IFERROR(__xludf.DUMMYFUNCTION("""COMPUTED_VALUE"""),"Руденко Иван Николаевич")</f>
        <v>Руденко Иван Николаевич</v>
      </c>
      <c r="C551" s="75" t="str">
        <f ca="1">IFERROR(__xludf.DUMMYFUNCTION("""COMPUTED_VALUE"""),"Аспирант")</f>
        <v>Аспирант</v>
      </c>
    </row>
    <row r="552" spans="1:3">
      <c r="A552" s="76">
        <f ca="1">IFERROR(__xludf.DUMMYFUNCTION("""COMPUTED_VALUE"""),2302994)</f>
        <v>2302994</v>
      </c>
      <c r="B552" s="76" t="str">
        <f ca="1">IFERROR(__xludf.DUMMYFUNCTION("""COMPUTED_VALUE"""),"Куликов Александр Леонидович")</f>
        <v>Куликов Александр Леонидович</v>
      </c>
      <c r="C552" s="75" t="str">
        <f ca="1">IFERROR(__xludf.DUMMYFUNCTION("""COMPUTED_VALUE"""),"Студент")</f>
        <v>Студент</v>
      </c>
    </row>
    <row r="553" spans="1:3">
      <c r="A553" s="76">
        <f ca="1">IFERROR(__xludf.DUMMYFUNCTION("""COMPUTED_VALUE"""),2303003)</f>
        <v>2303003</v>
      </c>
      <c r="B553" s="76" t="str">
        <f ca="1">IFERROR(__xludf.DUMMYFUNCTION("""COMPUTED_VALUE"""),"Хазан Алексей Петрович")</f>
        <v>Хазан Алексей Петрович</v>
      </c>
      <c r="C553" s="75" t="str">
        <f ca="1">IFERROR(__xludf.DUMMYFUNCTION("""COMPUTED_VALUE"""),"Студент")</f>
        <v>Студент</v>
      </c>
    </row>
    <row r="554" spans="1:3">
      <c r="A554" s="76">
        <f ca="1">IFERROR(__xludf.DUMMYFUNCTION("""COMPUTED_VALUE"""),2303056)</f>
        <v>2303056</v>
      </c>
      <c r="B554" s="76" t="str">
        <f ca="1">IFERROR(__xludf.DUMMYFUNCTION("""COMPUTED_VALUE"""),"Шикина Елена Александровна")</f>
        <v>Шикина Елена Александровна</v>
      </c>
      <c r="C554" s="75" t="str">
        <f ca="1">IFERROR(__xludf.DUMMYFUNCTION("""COMPUTED_VALUE"""),"Студент")</f>
        <v>Студент</v>
      </c>
    </row>
    <row r="555" spans="1:3">
      <c r="A555" s="76">
        <f ca="1">IFERROR(__xludf.DUMMYFUNCTION("""COMPUTED_VALUE"""),2303068)</f>
        <v>2303068</v>
      </c>
      <c r="B555" s="76" t="str">
        <f ca="1">IFERROR(__xludf.DUMMYFUNCTION("""COMPUTED_VALUE"""),"Коровин Михаил Дмитриевич")</f>
        <v>Коровин Михаил Дмитриевич</v>
      </c>
      <c r="C555" s="75" t="str">
        <f ca="1">IFERROR(__xludf.DUMMYFUNCTION("""COMPUTED_VALUE"""),"Студент")</f>
        <v>Студент</v>
      </c>
    </row>
    <row r="556" spans="1:3">
      <c r="A556" s="76">
        <f ca="1">IFERROR(__xludf.DUMMYFUNCTION("""COMPUTED_VALUE"""),2303070)</f>
        <v>2303070</v>
      </c>
      <c r="B556" s="76" t="str">
        <f ca="1">IFERROR(__xludf.DUMMYFUNCTION("""COMPUTED_VALUE"""),"Чукин Валерий Алексеевич")</f>
        <v>Чукин Валерий Алексеевич</v>
      </c>
      <c r="C556" s="75" t="str">
        <f ca="1">IFERROR(__xludf.DUMMYFUNCTION("""COMPUTED_VALUE"""),"Студент")</f>
        <v>Студент</v>
      </c>
    </row>
    <row r="557" spans="1:3">
      <c r="A557" s="76">
        <f ca="1">IFERROR(__xludf.DUMMYFUNCTION("""COMPUTED_VALUE"""),2303075)</f>
        <v>2303075</v>
      </c>
      <c r="B557" s="76" t="str">
        <f ca="1">IFERROR(__xludf.DUMMYFUNCTION("""COMPUTED_VALUE"""),"Долгоносов Константин")</f>
        <v>Долгоносов Константин</v>
      </c>
      <c r="C557" s="75" t="str">
        <f ca="1">IFERROR(__xludf.DUMMYFUNCTION("""COMPUTED_VALUE"""),"Студент")</f>
        <v>Студент</v>
      </c>
    </row>
    <row r="558" spans="1:3">
      <c r="A558" s="76">
        <f ca="1">IFERROR(__xludf.DUMMYFUNCTION("""COMPUTED_VALUE"""),2303083)</f>
        <v>2303083</v>
      </c>
      <c r="B558" s="76" t="str">
        <f ca="1">IFERROR(__xludf.DUMMYFUNCTION("""COMPUTED_VALUE"""),"Дасаева Софья Дмитриевна")</f>
        <v>Дасаева Софья Дмитриевна</v>
      </c>
      <c r="C558" s="75" t="str">
        <f ca="1">IFERROR(__xludf.DUMMYFUNCTION("""COMPUTED_VALUE"""),"Студент")</f>
        <v>Студент</v>
      </c>
    </row>
    <row r="559" spans="1:3">
      <c r="A559" s="76">
        <f ca="1">IFERROR(__xludf.DUMMYFUNCTION("""COMPUTED_VALUE"""),2303084)</f>
        <v>2303084</v>
      </c>
      <c r="B559" s="76" t="str">
        <f ca="1">IFERROR(__xludf.DUMMYFUNCTION("""COMPUTED_VALUE"""),"Зиновьев Даниил Витальевич")</f>
        <v>Зиновьев Даниил Витальевич</v>
      </c>
      <c r="C559" s="75" t="str">
        <f ca="1">IFERROR(__xludf.DUMMYFUNCTION("""COMPUTED_VALUE"""),"Студент")</f>
        <v>Студент</v>
      </c>
    </row>
    <row r="560" spans="1:3">
      <c r="A560" s="76">
        <f ca="1">IFERROR(__xludf.DUMMYFUNCTION("""COMPUTED_VALUE"""),2303094)</f>
        <v>2303094</v>
      </c>
      <c r="B560" s="76" t="str">
        <f ca="1">IFERROR(__xludf.DUMMYFUNCTION("""COMPUTED_VALUE"""),"Деревянко Виктория Александровна")</f>
        <v>Деревянко Виктория Александровна</v>
      </c>
      <c r="C560" s="75" t="str">
        <f ca="1">IFERROR(__xludf.DUMMYFUNCTION("""COMPUTED_VALUE"""),"Студент")</f>
        <v>Студент</v>
      </c>
    </row>
    <row r="561" spans="1:3">
      <c r="A561" s="76">
        <f ca="1">IFERROR(__xludf.DUMMYFUNCTION("""COMPUTED_VALUE"""),2303101)</f>
        <v>2303101</v>
      </c>
      <c r="B561" s="76" t="str">
        <f ca="1">IFERROR(__xludf.DUMMYFUNCTION("""COMPUTED_VALUE"""),"Пяткова Анастасия Андреевна")</f>
        <v>Пяткова Анастасия Андреевна</v>
      </c>
      <c r="C561" s="75" t="str">
        <f ca="1">IFERROR(__xludf.DUMMYFUNCTION("""COMPUTED_VALUE"""),"Студент")</f>
        <v>Студент</v>
      </c>
    </row>
    <row r="562" spans="1:3">
      <c r="A562" s="76">
        <f ca="1">IFERROR(__xludf.DUMMYFUNCTION("""COMPUTED_VALUE"""),2303115)</f>
        <v>2303115</v>
      </c>
      <c r="B562" s="76" t="str">
        <f ca="1">IFERROR(__xludf.DUMMYFUNCTION("""COMPUTED_VALUE"""),"Золотухин Игорь Сергеевич")</f>
        <v>Золотухин Игорь Сергеевич</v>
      </c>
      <c r="C562" s="75" t="str">
        <f ca="1">IFERROR(__xludf.DUMMYFUNCTION("""COMPUTED_VALUE"""),"Студент")</f>
        <v>Студент</v>
      </c>
    </row>
    <row r="563" spans="1:3">
      <c r="A563" s="76">
        <f ca="1">IFERROR(__xludf.DUMMYFUNCTION("""COMPUTED_VALUE"""),2303117)</f>
        <v>2303117</v>
      </c>
      <c r="B563" s="76" t="str">
        <f ca="1">IFERROR(__xludf.DUMMYFUNCTION("""COMPUTED_VALUE"""),"Костяев Александр Константинович")</f>
        <v>Костяев Александр Константинович</v>
      </c>
      <c r="C563" s="75" t="str">
        <f ca="1">IFERROR(__xludf.DUMMYFUNCTION("""COMPUTED_VALUE"""),"Студент")</f>
        <v>Студент</v>
      </c>
    </row>
    <row r="564" spans="1:3">
      <c r="A564" s="76">
        <f ca="1">IFERROR(__xludf.DUMMYFUNCTION("""COMPUTED_VALUE"""),2303118)</f>
        <v>2303118</v>
      </c>
      <c r="B564" s="76" t="str">
        <f ca="1">IFERROR(__xludf.DUMMYFUNCTION("""COMPUTED_VALUE"""),"Лоханова Валерия Максимовна")</f>
        <v>Лоханова Валерия Максимовна</v>
      </c>
      <c r="C564" s="75" t="str">
        <f ca="1">IFERROR(__xludf.DUMMYFUNCTION("""COMPUTED_VALUE"""),"Студент")</f>
        <v>Студент</v>
      </c>
    </row>
    <row r="565" spans="1:3">
      <c r="A565" s="76">
        <f ca="1">IFERROR(__xludf.DUMMYFUNCTION("""COMPUTED_VALUE"""),2303121)</f>
        <v>2303121</v>
      </c>
      <c r="B565" s="76" t="str">
        <f ca="1">IFERROR(__xludf.DUMMYFUNCTION("""COMPUTED_VALUE"""),"Ивачева Евгения Юрьевна")</f>
        <v>Ивачева Евгения Юрьевна</v>
      </c>
      <c r="C565" s="75" t="str">
        <f ca="1">IFERROR(__xludf.DUMMYFUNCTION("""COMPUTED_VALUE"""),"Студент")</f>
        <v>Студент</v>
      </c>
    </row>
    <row r="566" spans="1:3">
      <c r="A566" s="76">
        <f ca="1">IFERROR(__xludf.DUMMYFUNCTION("""COMPUTED_VALUE"""),2303124)</f>
        <v>2303124</v>
      </c>
      <c r="B566" s="76" t="str">
        <f ca="1">IFERROR(__xludf.DUMMYFUNCTION("""COMPUTED_VALUE"""),"Смирнов Павел Алексеевич")</f>
        <v>Смирнов Павел Алексеевич</v>
      </c>
      <c r="C566" s="75" t="str">
        <f ca="1">IFERROR(__xludf.DUMMYFUNCTION("""COMPUTED_VALUE"""),"Студент")</f>
        <v>Студент</v>
      </c>
    </row>
    <row r="567" spans="1:3">
      <c r="A567" s="76">
        <f ca="1">IFERROR(__xludf.DUMMYFUNCTION("""COMPUTED_VALUE"""),2303127)</f>
        <v>2303127</v>
      </c>
      <c r="B567" s="76" t="str">
        <f ca="1">IFERROR(__xludf.DUMMYFUNCTION("""COMPUTED_VALUE"""),"Платонов Владислав Романович")</f>
        <v>Платонов Владислав Романович</v>
      </c>
      <c r="C567" s="75" t="str">
        <f ca="1">IFERROR(__xludf.DUMMYFUNCTION("""COMPUTED_VALUE"""),"Студент")</f>
        <v>Студент</v>
      </c>
    </row>
    <row r="568" spans="1:3">
      <c r="A568" s="76">
        <f ca="1">IFERROR(__xludf.DUMMYFUNCTION("""COMPUTED_VALUE"""),2303131)</f>
        <v>2303131</v>
      </c>
      <c r="B568" s="76" t="str">
        <f ca="1">IFERROR(__xludf.DUMMYFUNCTION("""COMPUTED_VALUE"""),"Гусев Сергей Сергеевич")</f>
        <v>Гусев Сергей Сергеевич</v>
      </c>
      <c r="C568" s="75" t="str">
        <f ca="1">IFERROR(__xludf.DUMMYFUNCTION("""COMPUTED_VALUE"""),"Студент")</f>
        <v>Студент</v>
      </c>
    </row>
    <row r="569" spans="1:3">
      <c r="A569" s="76">
        <f ca="1">IFERROR(__xludf.DUMMYFUNCTION("""COMPUTED_VALUE"""),2303137)</f>
        <v>2303137</v>
      </c>
      <c r="B569" s="76" t="str">
        <f ca="1">IFERROR(__xludf.DUMMYFUNCTION("""COMPUTED_VALUE"""),"Крылов Кирилл Сергеевич")</f>
        <v>Крылов Кирилл Сергеевич</v>
      </c>
      <c r="C569" s="75" t="str">
        <f ca="1">IFERROR(__xludf.DUMMYFUNCTION("""COMPUTED_VALUE"""),"Студент")</f>
        <v>Студент</v>
      </c>
    </row>
    <row r="570" spans="1:3">
      <c r="A570" s="76">
        <f ca="1">IFERROR(__xludf.DUMMYFUNCTION("""COMPUTED_VALUE"""),2303143)</f>
        <v>2303143</v>
      </c>
      <c r="B570" s="76" t="str">
        <f ca="1">IFERROR(__xludf.DUMMYFUNCTION("""COMPUTED_VALUE"""),"Тимохин Леонид Сергеевич")</f>
        <v>Тимохин Леонид Сергеевич</v>
      </c>
      <c r="C570" s="75" t="str">
        <f ca="1">IFERROR(__xludf.DUMMYFUNCTION("""COMPUTED_VALUE"""),"Студент")</f>
        <v>Студент</v>
      </c>
    </row>
    <row r="571" spans="1:3">
      <c r="A571" s="76">
        <f ca="1">IFERROR(__xludf.DUMMYFUNCTION("""COMPUTED_VALUE"""),2303145)</f>
        <v>2303145</v>
      </c>
      <c r="B571" s="76" t="str">
        <f ca="1">IFERROR(__xludf.DUMMYFUNCTION("""COMPUTED_VALUE"""),"Горячев Сергей Вячеславович")</f>
        <v>Горячев Сергей Вячеславович</v>
      </c>
      <c r="C571" s="75" t="str">
        <f ca="1">IFERROR(__xludf.DUMMYFUNCTION("""COMPUTED_VALUE"""),"Студент")</f>
        <v>Студент</v>
      </c>
    </row>
    <row r="572" spans="1:3">
      <c r="A572" s="76">
        <f ca="1">IFERROR(__xludf.DUMMYFUNCTION("""COMPUTED_VALUE"""),2303148)</f>
        <v>2303148</v>
      </c>
      <c r="B572" s="76" t="str">
        <f ca="1">IFERROR(__xludf.DUMMYFUNCTION("""COMPUTED_VALUE"""),"Карявина Дарья Олеговна")</f>
        <v>Карявина Дарья Олеговна</v>
      </c>
      <c r="C572" s="75" t="str">
        <f ca="1">IFERROR(__xludf.DUMMYFUNCTION("""COMPUTED_VALUE"""),"Студент")</f>
        <v>Студент</v>
      </c>
    </row>
    <row r="573" spans="1:3">
      <c r="A573" s="76">
        <f ca="1">IFERROR(__xludf.DUMMYFUNCTION("""COMPUTED_VALUE"""),2303157)</f>
        <v>2303157</v>
      </c>
      <c r="B573" s="76" t="str">
        <f ca="1">IFERROR(__xludf.DUMMYFUNCTION("""COMPUTED_VALUE"""),"Федоров Дмитрий Михайлович")</f>
        <v>Федоров Дмитрий Михайлович</v>
      </c>
      <c r="C573" s="75" t="str">
        <f ca="1">IFERROR(__xludf.DUMMYFUNCTION("""COMPUTED_VALUE"""),"Студент")</f>
        <v>Студент</v>
      </c>
    </row>
    <row r="574" spans="1:3">
      <c r="A574" s="76">
        <f ca="1">IFERROR(__xludf.DUMMYFUNCTION("""COMPUTED_VALUE"""),2303161)</f>
        <v>2303161</v>
      </c>
      <c r="B574" s="76" t="str">
        <f ca="1">IFERROR(__xludf.DUMMYFUNCTION("""COMPUTED_VALUE"""),"Исаев Дмитрий Сергеевич")</f>
        <v>Исаев Дмитрий Сергеевич</v>
      </c>
      <c r="C574" s="75" t="str">
        <f ca="1">IFERROR(__xludf.DUMMYFUNCTION("""COMPUTED_VALUE"""),"Студент")</f>
        <v>Студент</v>
      </c>
    </row>
    <row r="575" spans="1:3">
      <c r="A575" s="76">
        <f ca="1">IFERROR(__xludf.DUMMYFUNCTION("""COMPUTED_VALUE"""),2303162)</f>
        <v>2303162</v>
      </c>
      <c r="B575" s="76" t="str">
        <f ca="1">IFERROR(__xludf.DUMMYFUNCTION("""COMPUTED_VALUE"""),"Ахметов Матвей Владимирович")</f>
        <v>Ахметов Матвей Владимирович</v>
      </c>
      <c r="C575" s="75" t="str">
        <f ca="1">IFERROR(__xludf.DUMMYFUNCTION("""COMPUTED_VALUE"""),"Студент")</f>
        <v>Студент</v>
      </c>
    </row>
    <row r="576" spans="1:3">
      <c r="A576" s="76">
        <f ca="1">IFERROR(__xludf.DUMMYFUNCTION("""COMPUTED_VALUE"""),2303163)</f>
        <v>2303163</v>
      </c>
      <c r="B576" s="76" t="str">
        <f ca="1">IFERROR(__xludf.DUMMYFUNCTION("""COMPUTED_VALUE"""),"Аитова Карина Ринатовна")</f>
        <v>Аитова Карина Ринатовна</v>
      </c>
      <c r="C576" s="75" t="str">
        <f ca="1">IFERROR(__xludf.DUMMYFUNCTION("""COMPUTED_VALUE"""),"Студент")</f>
        <v>Студент</v>
      </c>
    </row>
    <row r="577" spans="1:3">
      <c r="A577" s="76">
        <f ca="1">IFERROR(__xludf.DUMMYFUNCTION("""COMPUTED_VALUE"""),2303165)</f>
        <v>2303165</v>
      </c>
      <c r="B577" s="76" t="str">
        <f ca="1">IFERROR(__xludf.DUMMYFUNCTION("""COMPUTED_VALUE"""),"Хыльма Виринея Данииловна")</f>
        <v>Хыльма Виринея Данииловна</v>
      </c>
      <c r="C577" s="75" t="str">
        <f ca="1">IFERROR(__xludf.DUMMYFUNCTION("""COMPUTED_VALUE"""),"Студент")</f>
        <v>Студент</v>
      </c>
    </row>
    <row r="578" spans="1:3">
      <c r="A578" s="76">
        <f ca="1">IFERROR(__xludf.DUMMYFUNCTION("""COMPUTED_VALUE"""),2303172)</f>
        <v>2303172</v>
      </c>
      <c r="B578" s="76" t="str">
        <f ca="1">IFERROR(__xludf.DUMMYFUNCTION("""COMPUTED_VALUE"""),"Ковальчук Светаслав Вячеславович")</f>
        <v>Ковальчук Светаслав Вячеславович</v>
      </c>
      <c r="C578" s="75" t="str">
        <f ca="1">IFERROR(__xludf.DUMMYFUNCTION("""COMPUTED_VALUE"""),"Студент")</f>
        <v>Студент</v>
      </c>
    </row>
    <row r="579" spans="1:3">
      <c r="A579" s="76">
        <f ca="1">IFERROR(__xludf.DUMMYFUNCTION("""COMPUTED_VALUE"""),2303176)</f>
        <v>2303176</v>
      </c>
      <c r="B579" s="76" t="str">
        <f ca="1">IFERROR(__xludf.DUMMYFUNCTION("""COMPUTED_VALUE"""),"Начевнов Максим Викторович")</f>
        <v>Начевнов Максим Викторович</v>
      </c>
      <c r="C579" s="75" t="str">
        <f ca="1">IFERROR(__xludf.DUMMYFUNCTION("""COMPUTED_VALUE"""),"Студент")</f>
        <v>Студент</v>
      </c>
    </row>
    <row r="580" spans="1:3">
      <c r="A580" s="76">
        <f ca="1">IFERROR(__xludf.DUMMYFUNCTION("""COMPUTED_VALUE"""),2303178)</f>
        <v>2303178</v>
      </c>
      <c r="B580" s="76" t="str">
        <f ca="1">IFERROR(__xludf.DUMMYFUNCTION("""COMPUTED_VALUE"""),"Коровяковский Александр Сергеевич")</f>
        <v>Коровяковский Александр Сергеевич</v>
      </c>
      <c r="C580" s="75" t="str">
        <f ca="1">IFERROR(__xludf.DUMMYFUNCTION("""COMPUTED_VALUE"""),"Студент")</f>
        <v>Студент</v>
      </c>
    </row>
    <row r="581" spans="1:3">
      <c r="A581" s="76">
        <f ca="1">IFERROR(__xludf.DUMMYFUNCTION("""COMPUTED_VALUE"""),2303179)</f>
        <v>2303179</v>
      </c>
      <c r="B581" s="76" t="str">
        <f ca="1">IFERROR(__xludf.DUMMYFUNCTION("""COMPUTED_VALUE"""),"Миннигулов Амир Альбертович")</f>
        <v>Миннигулов Амир Альбертович</v>
      </c>
      <c r="C581" s="75" t="str">
        <f ca="1">IFERROR(__xludf.DUMMYFUNCTION("""COMPUTED_VALUE"""),"Студент")</f>
        <v>Студент</v>
      </c>
    </row>
    <row r="582" spans="1:3">
      <c r="A582" s="76">
        <f ca="1">IFERROR(__xludf.DUMMYFUNCTION("""COMPUTED_VALUE"""),2303180)</f>
        <v>2303180</v>
      </c>
      <c r="B582" s="76" t="str">
        <f ca="1">IFERROR(__xludf.DUMMYFUNCTION("""COMPUTED_VALUE"""),"Зимина Кристина Алексеевна")</f>
        <v>Зимина Кристина Алексеевна</v>
      </c>
      <c r="C582" s="75" t="str">
        <f ca="1">IFERROR(__xludf.DUMMYFUNCTION("""COMPUTED_VALUE"""),"Студент")</f>
        <v>Студент</v>
      </c>
    </row>
    <row r="583" spans="1:3">
      <c r="A583" s="76">
        <f ca="1">IFERROR(__xludf.DUMMYFUNCTION("""COMPUTED_VALUE"""),2303181)</f>
        <v>2303181</v>
      </c>
      <c r="B583" s="76" t="str">
        <f ca="1">IFERROR(__xludf.DUMMYFUNCTION("""COMPUTED_VALUE"""),"Писарева Алёна Николаевна")</f>
        <v>Писарева Алёна Николаевна</v>
      </c>
      <c r="C583" s="75" t="str">
        <f ca="1">IFERROR(__xludf.DUMMYFUNCTION("""COMPUTED_VALUE"""),"Студент")</f>
        <v>Студент</v>
      </c>
    </row>
    <row r="584" spans="1:3">
      <c r="A584" s="76">
        <f ca="1">IFERROR(__xludf.DUMMYFUNCTION("""COMPUTED_VALUE"""),2303188)</f>
        <v>2303188</v>
      </c>
      <c r="B584" s="76" t="str">
        <f ca="1">IFERROR(__xludf.DUMMYFUNCTION("""COMPUTED_VALUE"""),"Гнатюк Антон Николаевич")</f>
        <v>Гнатюк Антон Николаевич</v>
      </c>
      <c r="C584" s="75" t="str">
        <f ca="1">IFERROR(__xludf.DUMMYFUNCTION("""COMPUTED_VALUE"""),"Аспирант")</f>
        <v>Аспирант</v>
      </c>
    </row>
    <row r="585" spans="1:3">
      <c r="A585" s="76">
        <f ca="1">IFERROR(__xludf.DUMMYFUNCTION("""COMPUTED_VALUE"""),2303197)</f>
        <v>2303197</v>
      </c>
      <c r="B585" s="76" t="str">
        <f ca="1">IFERROR(__xludf.DUMMYFUNCTION("""COMPUTED_VALUE"""),"Мичков Евгений Владимирович")</f>
        <v>Мичков Евгений Владимирович</v>
      </c>
      <c r="C585" s="75" t="str">
        <f ca="1">IFERROR(__xludf.DUMMYFUNCTION("""COMPUTED_VALUE"""),"Студент")</f>
        <v>Студент</v>
      </c>
    </row>
    <row r="586" spans="1:3">
      <c r="A586" s="76">
        <f ca="1">IFERROR(__xludf.DUMMYFUNCTION("""COMPUTED_VALUE"""),2303215)</f>
        <v>2303215</v>
      </c>
      <c r="B586" s="76" t="str">
        <f ca="1">IFERROR(__xludf.DUMMYFUNCTION("""COMPUTED_VALUE"""),"Валеев Артём Романович")</f>
        <v>Валеев Артём Романович</v>
      </c>
      <c r="C586" s="75" t="str">
        <f ca="1">IFERROR(__xludf.DUMMYFUNCTION("""COMPUTED_VALUE"""),"Студент")</f>
        <v>Студент</v>
      </c>
    </row>
    <row r="587" spans="1:3">
      <c r="A587" s="76">
        <f ca="1">IFERROR(__xludf.DUMMYFUNCTION("""COMPUTED_VALUE"""),2303218)</f>
        <v>2303218</v>
      </c>
      <c r="B587" s="76" t="str">
        <f ca="1">IFERROR(__xludf.DUMMYFUNCTION("""COMPUTED_VALUE"""),"Карачевцева Дарья Владимировна")</f>
        <v>Карачевцева Дарья Владимировна</v>
      </c>
      <c r="C587" s="75" t="str">
        <f ca="1">IFERROR(__xludf.DUMMYFUNCTION("""COMPUTED_VALUE"""),"Студент")</f>
        <v>Студент</v>
      </c>
    </row>
    <row r="588" spans="1:3">
      <c r="A588" s="76">
        <f ca="1">IFERROR(__xludf.DUMMYFUNCTION("""COMPUTED_VALUE"""),2303219)</f>
        <v>2303219</v>
      </c>
      <c r="B588" s="76" t="str">
        <f ca="1">IFERROR(__xludf.DUMMYFUNCTION("""COMPUTED_VALUE"""),"Веденина Екатерина Евгеньевна")</f>
        <v>Веденина Екатерина Евгеньевна</v>
      </c>
      <c r="C588" s="75" t="str">
        <f ca="1">IFERROR(__xludf.DUMMYFUNCTION("""COMPUTED_VALUE"""),"Студент")</f>
        <v>Студент</v>
      </c>
    </row>
    <row r="589" spans="1:3">
      <c r="A589" s="76">
        <f ca="1">IFERROR(__xludf.DUMMYFUNCTION("""COMPUTED_VALUE"""),2303223)</f>
        <v>2303223</v>
      </c>
      <c r="B589" s="76" t="str">
        <f ca="1">IFERROR(__xludf.DUMMYFUNCTION("""COMPUTED_VALUE"""),"Депутатова Ксения Александровна")</f>
        <v>Депутатова Ксения Александровна</v>
      </c>
      <c r="C589" s="75" t="str">
        <f ca="1">IFERROR(__xludf.DUMMYFUNCTION("""COMPUTED_VALUE"""),"Студент")</f>
        <v>Студент</v>
      </c>
    </row>
    <row r="590" spans="1:3">
      <c r="A590" s="76">
        <f ca="1">IFERROR(__xludf.DUMMYFUNCTION("""COMPUTED_VALUE"""),2303224)</f>
        <v>2303224</v>
      </c>
      <c r="B590" s="76" t="str">
        <f ca="1">IFERROR(__xludf.DUMMYFUNCTION("""COMPUTED_VALUE"""),"Скибо Борис Михаилович")</f>
        <v>Скибо Борис Михаилович</v>
      </c>
      <c r="C590" s="75" t="str">
        <f ca="1">IFERROR(__xludf.DUMMYFUNCTION("""COMPUTED_VALUE"""),"Аспирант")</f>
        <v>Аспирант</v>
      </c>
    </row>
    <row r="591" spans="1:3">
      <c r="A591" s="76">
        <f ca="1">IFERROR(__xludf.DUMMYFUNCTION("""COMPUTED_VALUE"""),2303238)</f>
        <v>2303238</v>
      </c>
      <c r="B591" s="76" t="str">
        <f ca="1">IFERROR(__xludf.DUMMYFUNCTION("""COMPUTED_VALUE"""),"Борисова Софья Андреевна")</f>
        <v>Борисова Софья Андреевна</v>
      </c>
      <c r="C591" s="75" t="str">
        <f ca="1">IFERROR(__xludf.DUMMYFUNCTION("""COMPUTED_VALUE"""),"Студент")</f>
        <v>Студент</v>
      </c>
    </row>
    <row r="592" spans="1:3">
      <c r="A592" s="76">
        <f ca="1">IFERROR(__xludf.DUMMYFUNCTION("""COMPUTED_VALUE"""),2303246)</f>
        <v>2303246</v>
      </c>
      <c r="B592" s="76" t="str">
        <f ca="1">IFERROR(__xludf.DUMMYFUNCTION("""COMPUTED_VALUE"""),"Пастухов Никита Сергеевич")</f>
        <v>Пастухов Никита Сергеевич</v>
      </c>
      <c r="C592" s="75" t="str">
        <f ca="1">IFERROR(__xludf.DUMMYFUNCTION("""COMPUTED_VALUE"""),"Студент")</f>
        <v>Студент</v>
      </c>
    </row>
    <row r="593" spans="1:3">
      <c r="A593" s="76">
        <f ca="1">IFERROR(__xludf.DUMMYFUNCTION("""COMPUTED_VALUE"""),2303248)</f>
        <v>2303248</v>
      </c>
      <c r="B593" s="76" t="str">
        <f ca="1">IFERROR(__xludf.DUMMYFUNCTION("""COMPUTED_VALUE"""),"Искандяров Никита Андреевич")</f>
        <v>Искандяров Никита Андреевич</v>
      </c>
      <c r="C593" s="75" t="str">
        <f ca="1">IFERROR(__xludf.DUMMYFUNCTION("""COMPUTED_VALUE"""),"Студент")</f>
        <v>Студент</v>
      </c>
    </row>
    <row r="594" spans="1:3">
      <c r="A594" s="76">
        <f ca="1">IFERROR(__xludf.DUMMYFUNCTION("""COMPUTED_VALUE"""),2303251)</f>
        <v>2303251</v>
      </c>
      <c r="B594" s="76" t="str">
        <f ca="1">IFERROR(__xludf.DUMMYFUNCTION("""COMPUTED_VALUE"""),"Сергеев Олег Сергеевич")</f>
        <v>Сергеев Олег Сергеевич</v>
      </c>
      <c r="C594" s="75" t="str">
        <f ca="1">IFERROR(__xludf.DUMMYFUNCTION("""COMPUTED_VALUE"""),"Студент")</f>
        <v>Студент</v>
      </c>
    </row>
    <row r="595" spans="1:3">
      <c r="A595" s="76">
        <f ca="1">IFERROR(__xludf.DUMMYFUNCTION("""COMPUTED_VALUE"""),2303258)</f>
        <v>2303258</v>
      </c>
      <c r="B595" s="76" t="str">
        <f ca="1">IFERROR(__xludf.DUMMYFUNCTION("""COMPUTED_VALUE"""),"Виноградов Владимир Владимирович")</f>
        <v>Виноградов Владимир Владимирович</v>
      </c>
      <c r="C595" s="75" t="str">
        <f ca="1">IFERROR(__xludf.DUMMYFUNCTION("""COMPUTED_VALUE"""),"Студент")</f>
        <v>Студент</v>
      </c>
    </row>
    <row r="596" spans="1:3">
      <c r="A596" s="76">
        <f ca="1">IFERROR(__xludf.DUMMYFUNCTION("""COMPUTED_VALUE"""),2303268)</f>
        <v>2303268</v>
      </c>
      <c r="B596" s="76" t="str">
        <f ca="1">IFERROR(__xludf.DUMMYFUNCTION("""COMPUTED_VALUE"""),"Фортунатов Максим Борисович")</f>
        <v>Фортунатов Максим Борисович</v>
      </c>
      <c r="C596" s="75" t="str">
        <f ca="1">IFERROR(__xludf.DUMMYFUNCTION("""COMPUTED_VALUE"""),"Студент")</f>
        <v>Студент</v>
      </c>
    </row>
    <row r="597" spans="1:3">
      <c r="A597" s="76">
        <f ca="1">IFERROR(__xludf.DUMMYFUNCTION("""COMPUTED_VALUE"""),2303271)</f>
        <v>2303271</v>
      </c>
      <c r="B597" s="76" t="str">
        <f ca="1">IFERROR(__xludf.DUMMYFUNCTION("""COMPUTED_VALUE"""),"Мельников Савелий Андреевич")</f>
        <v>Мельников Савелий Андреевич</v>
      </c>
      <c r="C597" s="75" t="str">
        <f ca="1">IFERROR(__xludf.DUMMYFUNCTION("""COMPUTED_VALUE"""),"Студент")</f>
        <v>Студент</v>
      </c>
    </row>
    <row r="598" spans="1:3">
      <c r="A598" s="76">
        <f ca="1">IFERROR(__xludf.DUMMYFUNCTION("""COMPUTED_VALUE"""),2303275)</f>
        <v>2303275</v>
      </c>
      <c r="B598" s="76" t="str">
        <f ca="1">IFERROR(__xludf.DUMMYFUNCTION("""COMPUTED_VALUE"""),"Щукина Екатерина Юрьевна")</f>
        <v>Щукина Екатерина Юрьевна</v>
      </c>
      <c r="C598" s="75" t="str">
        <f ca="1">IFERROR(__xludf.DUMMYFUNCTION("""COMPUTED_VALUE"""),"Студент")</f>
        <v>Студент</v>
      </c>
    </row>
    <row r="599" spans="1:3">
      <c r="A599" s="76">
        <f ca="1">IFERROR(__xludf.DUMMYFUNCTION("""COMPUTED_VALUE"""),2303281)</f>
        <v>2303281</v>
      </c>
      <c r="B599" s="76" t="str">
        <f ca="1">IFERROR(__xludf.DUMMYFUNCTION("""COMPUTED_VALUE"""),"Рогожкин Давид Александрович")</f>
        <v>Рогожкин Давид Александрович</v>
      </c>
      <c r="C599" s="75" t="str">
        <f ca="1">IFERROR(__xludf.DUMMYFUNCTION("""COMPUTED_VALUE"""),"Студент")</f>
        <v>Студент</v>
      </c>
    </row>
    <row r="600" spans="1:3">
      <c r="A600" s="76">
        <f ca="1">IFERROR(__xludf.DUMMYFUNCTION("""COMPUTED_VALUE"""),2303290)</f>
        <v>2303290</v>
      </c>
      <c r="B600" s="76" t="str">
        <f ca="1">IFERROR(__xludf.DUMMYFUNCTION("""COMPUTED_VALUE"""),"Калабановская Лидия Ильинична")</f>
        <v>Калабановская Лидия Ильинична</v>
      </c>
      <c r="C600" s="75" t="str">
        <f ca="1">IFERROR(__xludf.DUMMYFUNCTION("""COMPUTED_VALUE"""),"Студент")</f>
        <v>Студент</v>
      </c>
    </row>
    <row r="601" spans="1:3">
      <c r="A601" s="76">
        <f ca="1">IFERROR(__xludf.DUMMYFUNCTION("""COMPUTED_VALUE"""),2303292)</f>
        <v>2303292</v>
      </c>
      <c r="B601" s="76" t="str">
        <f ca="1">IFERROR(__xludf.DUMMYFUNCTION("""COMPUTED_VALUE"""),"Громозда Илья Сергеевич")</f>
        <v>Громозда Илья Сергеевич</v>
      </c>
      <c r="C601" s="75" t="str">
        <f ca="1">IFERROR(__xludf.DUMMYFUNCTION("""COMPUTED_VALUE"""),"Студент")</f>
        <v>Студент</v>
      </c>
    </row>
    <row r="602" spans="1:3">
      <c r="A602" s="76">
        <f ca="1">IFERROR(__xludf.DUMMYFUNCTION("""COMPUTED_VALUE"""),2303296)</f>
        <v>2303296</v>
      </c>
      <c r="B602" s="76" t="str">
        <f ca="1">IFERROR(__xludf.DUMMYFUNCTION("""COMPUTED_VALUE"""),"Пармузин Сергей Павлович")</f>
        <v>Пармузин Сергей Павлович</v>
      </c>
      <c r="C602" s="75" t="str">
        <f ca="1">IFERROR(__xludf.DUMMYFUNCTION("""COMPUTED_VALUE"""),"Студент")</f>
        <v>Студент</v>
      </c>
    </row>
    <row r="603" spans="1:3">
      <c r="A603" s="76">
        <f ca="1">IFERROR(__xludf.DUMMYFUNCTION("""COMPUTED_VALUE"""),2303303)</f>
        <v>2303303</v>
      </c>
      <c r="B603" s="76" t="str">
        <f ca="1">IFERROR(__xludf.DUMMYFUNCTION("""COMPUTED_VALUE"""),"Губейдуллин Марат Рушанович")</f>
        <v>Губейдуллин Марат Рушанович</v>
      </c>
      <c r="C603" s="75" t="str">
        <f ca="1">IFERROR(__xludf.DUMMYFUNCTION("""COMPUTED_VALUE"""),"Студент")</f>
        <v>Студент</v>
      </c>
    </row>
    <row r="604" spans="1:3">
      <c r="A604" s="76">
        <f ca="1">IFERROR(__xludf.DUMMYFUNCTION("""COMPUTED_VALUE"""),2303306)</f>
        <v>2303306</v>
      </c>
      <c r="B604" s="76" t="str">
        <f ca="1">IFERROR(__xludf.DUMMYFUNCTION("""COMPUTED_VALUE"""),"Плотников Владислав Олегович")</f>
        <v>Плотников Владислав Олегович</v>
      </c>
      <c r="C604" s="75" t="str">
        <f ca="1">IFERROR(__xludf.DUMMYFUNCTION("""COMPUTED_VALUE"""),"Студент")</f>
        <v>Студент</v>
      </c>
    </row>
    <row r="605" spans="1:3">
      <c r="A605" s="76">
        <f ca="1">IFERROR(__xludf.DUMMYFUNCTION("""COMPUTED_VALUE"""),2303314)</f>
        <v>2303314</v>
      </c>
      <c r="B605" s="76" t="str">
        <f ca="1">IFERROR(__xludf.DUMMYFUNCTION("""COMPUTED_VALUE"""),"Харченко Анастасия Павловна")</f>
        <v>Харченко Анастасия Павловна</v>
      </c>
      <c r="C605" s="75" t="str">
        <f ca="1">IFERROR(__xludf.DUMMYFUNCTION("""COMPUTED_VALUE"""),"Студент")</f>
        <v>Студент</v>
      </c>
    </row>
    <row r="606" spans="1:3">
      <c r="A606" s="76">
        <f ca="1">IFERROR(__xludf.DUMMYFUNCTION("""COMPUTED_VALUE"""),2303320)</f>
        <v>2303320</v>
      </c>
      <c r="B606" s="76" t="str">
        <f ca="1">IFERROR(__xludf.DUMMYFUNCTION("""COMPUTED_VALUE"""),"Леонов Даниил Львович")</f>
        <v>Леонов Даниил Львович</v>
      </c>
      <c r="C606" s="75" t="str">
        <f ca="1">IFERROR(__xludf.DUMMYFUNCTION("""COMPUTED_VALUE"""),"Студент")</f>
        <v>Студент</v>
      </c>
    </row>
    <row r="607" spans="1:3">
      <c r="A607" s="76">
        <f ca="1">IFERROR(__xludf.DUMMYFUNCTION("""COMPUTED_VALUE"""),2303321)</f>
        <v>2303321</v>
      </c>
      <c r="B607" s="76" t="str">
        <f ca="1">IFERROR(__xludf.DUMMYFUNCTION("""COMPUTED_VALUE"""),"Злобин Даниил Андреевич")</f>
        <v>Злобин Даниил Андреевич</v>
      </c>
      <c r="C607" s="75" t="str">
        <f ca="1">IFERROR(__xludf.DUMMYFUNCTION("""COMPUTED_VALUE"""),"Студент")</f>
        <v>Студент</v>
      </c>
    </row>
    <row r="608" spans="1:3">
      <c r="A608" s="76">
        <f ca="1">IFERROR(__xludf.DUMMYFUNCTION("""COMPUTED_VALUE"""),2303322)</f>
        <v>2303322</v>
      </c>
      <c r="B608" s="76" t="str">
        <f ca="1">IFERROR(__xludf.DUMMYFUNCTION("""COMPUTED_VALUE"""),"Фаворов Валентин Олегович")</f>
        <v>Фаворов Валентин Олегович</v>
      </c>
      <c r="C608" s="75" t="str">
        <f ca="1">IFERROR(__xludf.DUMMYFUNCTION("""COMPUTED_VALUE"""),"Студент")</f>
        <v>Студент</v>
      </c>
    </row>
    <row r="609" spans="1:3">
      <c r="A609" s="76">
        <f ca="1">IFERROR(__xludf.DUMMYFUNCTION("""COMPUTED_VALUE"""),2303326)</f>
        <v>2303326</v>
      </c>
      <c r="B609" s="76" t="str">
        <f ca="1">IFERROR(__xludf.DUMMYFUNCTION("""COMPUTED_VALUE"""),"Давлятова Милана Альбертовна")</f>
        <v>Давлятова Милана Альбертовна</v>
      </c>
      <c r="C609" s="75" t="str">
        <f ca="1">IFERROR(__xludf.DUMMYFUNCTION("""COMPUTED_VALUE"""),"Студент")</f>
        <v>Студент</v>
      </c>
    </row>
    <row r="610" spans="1:3">
      <c r="A610" s="76">
        <f ca="1">IFERROR(__xludf.DUMMYFUNCTION("""COMPUTED_VALUE"""),2303346)</f>
        <v>2303346</v>
      </c>
      <c r="B610" s="76" t="str">
        <f ca="1">IFERROR(__xludf.DUMMYFUNCTION("""COMPUTED_VALUE"""),"Хафизов Ренат Расхасович")</f>
        <v>Хафизов Ренат Расхасович</v>
      </c>
      <c r="C610" s="75" t="str">
        <f ca="1">IFERROR(__xludf.DUMMYFUNCTION("""COMPUTED_VALUE"""),"Студент")</f>
        <v>Студент</v>
      </c>
    </row>
    <row r="611" spans="1:3">
      <c r="A611" s="76">
        <f ca="1">IFERROR(__xludf.DUMMYFUNCTION("""COMPUTED_VALUE"""),2303348)</f>
        <v>2303348</v>
      </c>
      <c r="B611" s="76" t="str">
        <f ca="1">IFERROR(__xludf.DUMMYFUNCTION("""COMPUTED_VALUE"""),"Вереникин Арсений Дмитриевич")</f>
        <v>Вереникин Арсений Дмитриевич</v>
      </c>
      <c r="C611" s="75" t="str">
        <f ca="1">IFERROR(__xludf.DUMMYFUNCTION("""COMPUTED_VALUE"""),"Студент")</f>
        <v>Студент</v>
      </c>
    </row>
    <row r="612" spans="1:3">
      <c r="A612" s="76">
        <f ca="1">IFERROR(__xludf.DUMMYFUNCTION("""COMPUTED_VALUE"""),2303351)</f>
        <v>2303351</v>
      </c>
      <c r="B612" s="76" t="str">
        <f ca="1">IFERROR(__xludf.DUMMYFUNCTION("""COMPUTED_VALUE"""),"Косяков Андрей Игоревич")</f>
        <v>Косяков Андрей Игоревич</v>
      </c>
      <c r="C612" s="75" t="str">
        <f ca="1">IFERROR(__xludf.DUMMYFUNCTION("""COMPUTED_VALUE"""),"Студент")</f>
        <v>Студент</v>
      </c>
    </row>
    <row r="613" spans="1:3">
      <c r="A613" s="76">
        <f ca="1">IFERROR(__xludf.DUMMYFUNCTION("""COMPUTED_VALUE"""),2303352)</f>
        <v>2303352</v>
      </c>
      <c r="B613" s="76" t="str">
        <f ca="1">IFERROR(__xludf.DUMMYFUNCTION("""COMPUTED_VALUE"""),"Пурчел Дарья Анатольевна")</f>
        <v>Пурчел Дарья Анатольевна</v>
      </c>
      <c r="C613" s="75" t="str">
        <f ca="1">IFERROR(__xludf.DUMMYFUNCTION("""COMPUTED_VALUE"""),"Студент")</f>
        <v>Студент</v>
      </c>
    </row>
    <row r="614" spans="1:3">
      <c r="A614" s="76">
        <f ca="1">IFERROR(__xludf.DUMMYFUNCTION("""COMPUTED_VALUE"""),2303353)</f>
        <v>2303353</v>
      </c>
      <c r="B614" s="76" t="str">
        <f ca="1">IFERROR(__xludf.DUMMYFUNCTION("""COMPUTED_VALUE"""),"Бодрова Юлия Сергеевна")</f>
        <v>Бодрова Юлия Сергеевна</v>
      </c>
      <c r="C614" s="75" t="str">
        <f ca="1">IFERROR(__xludf.DUMMYFUNCTION("""COMPUTED_VALUE"""),"Студент")</f>
        <v>Студент</v>
      </c>
    </row>
    <row r="615" spans="1:3">
      <c r="A615" s="76">
        <f ca="1">IFERROR(__xludf.DUMMYFUNCTION("""COMPUTED_VALUE"""),2303354)</f>
        <v>2303354</v>
      </c>
      <c r="B615" s="76" t="str">
        <f ca="1">IFERROR(__xludf.DUMMYFUNCTION("""COMPUTED_VALUE"""),"Ковальчук Наталья Вячеславовна")</f>
        <v>Ковальчук Наталья Вячеславовна</v>
      </c>
      <c r="C615" s="75" t="str">
        <f ca="1">IFERROR(__xludf.DUMMYFUNCTION("""COMPUTED_VALUE"""),"Студент")</f>
        <v>Студент</v>
      </c>
    </row>
    <row r="616" spans="1:3">
      <c r="A616" s="76">
        <f ca="1">IFERROR(__xludf.DUMMYFUNCTION("""COMPUTED_VALUE"""),2303355)</f>
        <v>2303355</v>
      </c>
      <c r="B616" s="76" t="str">
        <f ca="1">IFERROR(__xludf.DUMMYFUNCTION("""COMPUTED_VALUE"""),"Мазурик Артём Дмитриевич")</f>
        <v>Мазурик Артём Дмитриевич</v>
      </c>
      <c r="C616" s="75" t="str">
        <f ca="1">IFERROR(__xludf.DUMMYFUNCTION("""COMPUTED_VALUE"""),"Студент")</f>
        <v>Студент</v>
      </c>
    </row>
    <row r="617" spans="1:3">
      <c r="A617" s="76">
        <f ca="1">IFERROR(__xludf.DUMMYFUNCTION("""COMPUTED_VALUE"""),2303361)</f>
        <v>2303361</v>
      </c>
      <c r="B617" s="76" t="str">
        <f ca="1">IFERROR(__xludf.DUMMYFUNCTION("""COMPUTED_VALUE"""),"Барсукова Маргарита Алексеевна")</f>
        <v>Барсукова Маргарита Алексеевна</v>
      </c>
      <c r="C617" s="75" t="str">
        <f ca="1">IFERROR(__xludf.DUMMYFUNCTION("""COMPUTED_VALUE"""),"Студент")</f>
        <v>Студент</v>
      </c>
    </row>
    <row r="618" spans="1:3">
      <c r="A618" s="76">
        <f ca="1">IFERROR(__xludf.DUMMYFUNCTION("""COMPUTED_VALUE"""),2303364)</f>
        <v>2303364</v>
      </c>
      <c r="B618" s="76" t="str">
        <f ca="1">IFERROR(__xludf.DUMMYFUNCTION("""COMPUTED_VALUE"""),"Хомятов Александр Михайлович")</f>
        <v>Хомятов Александр Михайлович</v>
      </c>
      <c r="C618" s="75" t="str">
        <f ca="1">IFERROR(__xludf.DUMMYFUNCTION("""COMPUTED_VALUE"""),"Студент")</f>
        <v>Студент</v>
      </c>
    </row>
    <row r="619" spans="1:3">
      <c r="A619" s="76">
        <f ca="1">IFERROR(__xludf.DUMMYFUNCTION("""COMPUTED_VALUE"""),2303372)</f>
        <v>2303372</v>
      </c>
      <c r="B619" s="76" t="str">
        <f ca="1">IFERROR(__xludf.DUMMYFUNCTION("""COMPUTED_VALUE"""),"Игнатова Анна Валерьевна")</f>
        <v>Игнатова Анна Валерьевна</v>
      </c>
      <c r="C619" s="75" t="str">
        <f ca="1">IFERROR(__xludf.DUMMYFUNCTION("""COMPUTED_VALUE"""),"Студент")</f>
        <v>Студент</v>
      </c>
    </row>
    <row r="620" spans="1:3">
      <c r="A620" s="76">
        <f ca="1">IFERROR(__xludf.DUMMYFUNCTION("""COMPUTED_VALUE"""),2303381)</f>
        <v>2303381</v>
      </c>
      <c r="B620" s="76" t="str">
        <f ca="1">IFERROR(__xludf.DUMMYFUNCTION("""COMPUTED_VALUE"""),"Минаева Дарья Алексеевна")</f>
        <v>Минаева Дарья Алексеевна</v>
      </c>
      <c r="C620" s="75" t="str">
        <f ca="1">IFERROR(__xludf.DUMMYFUNCTION("""COMPUTED_VALUE"""),"Студент")</f>
        <v>Студент</v>
      </c>
    </row>
    <row r="621" spans="1:3">
      <c r="A621" s="76">
        <f ca="1">IFERROR(__xludf.DUMMYFUNCTION("""COMPUTED_VALUE"""),2303382)</f>
        <v>2303382</v>
      </c>
      <c r="B621" s="76" t="str">
        <f ca="1">IFERROR(__xludf.DUMMYFUNCTION("""COMPUTED_VALUE"""),"Горбачевский Кирилл Евгеньевич")</f>
        <v>Горбачевский Кирилл Евгеньевич</v>
      </c>
      <c r="C621" s="75" t="str">
        <f ca="1">IFERROR(__xludf.DUMMYFUNCTION("""COMPUTED_VALUE"""),"Студент")</f>
        <v>Студент</v>
      </c>
    </row>
    <row r="622" spans="1:3">
      <c r="A622" s="76">
        <f ca="1">IFERROR(__xludf.DUMMYFUNCTION("""COMPUTED_VALUE"""),2303387)</f>
        <v>2303387</v>
      </c>
      <c r="B622" s="76" t="str">
        <f ca="1">IFERROR(__xludf.DUMMYFUNCTION("""COMPUTED_VALUE"""),"Сидоровнин Артём Денисович")</f>
        <v>Сидоровнин Артём Денисович</v>
      </c>
      <c r="C622" s="75" t="str">
        <f ca="1">IFERROR(__xludf.DUMMYFUNCTION("""COMPUTED_VALUE"""),"Студент")</f>
        <v>Студент</v>
      </c>
    </row>
    <row r="623" spans="1:3">
      <c r="A623" s="76">
        <f ca="1">IFERROR(__xludf.DUMMYFUNCTION("""COMPUTED_VALUE"""),2303396)</f>
        <v>2303396</v>
      </c>
      <c r="B623" s="76" t="str">
        <f ca="1">IFERROR(__xludf.DUMMYFUNCTION("""COMPUTED_VALUE"""),"Грибалев Глеб Олегович")</f>
        <v>Грибалев Глеб Олегович</v>
      </c>
      <c r="C623" s="75" t="str">
        <f ca="1">IFERROR(__xludf.DUMMYFUNCTION("""COMPUTED_VALUE"""),"Студент")</f>
        <v>Студент</v>
      </c>
    </row>
    <row r="624" spans="1:3">
      <c r="A624" s="76">
        <f ca="1">IFERROR(__xludf.DUMMYFUNCTION("""COMPUTED_VALUE"""),2303403)</f>
        <v>2303403</v>
      </c>
      <c r="B624" s="76" t="str">
        <f ca="1">IFERROR(__xludf.DUMMYFUNCTION("""COMPUTED_VALUE"""),"Тюньков Артем Викторович")</f>
        <v>Тюньков Артем Викторович</v>
      </c>
      <c r="C624" s="75" t="str">
        <f ca="1">IFERROR(__xludf.DUMMYFUNCTION("""COMPUTED_VALUE"""),"Аспирант")</f>
        <v>Аспирант</v>
      </c>
    </row>
    <row r="625" spans="1:3">
      <c r="A625" s="76">
        <f ca="1">IFERROR(__xludf.DUMMYFUNCTION("""COMPUTED_VALUE"""),2303411)</f>
        <v>2303411</v>
      </c>
      <c r="B625" s="76" t="str">
        <f ca="1">IFERROR(__xludf.DUMMYFUNCTION("""COMPUTED_VALUE"""),"Шестаков Александр Ильич")</f>
        <v>Шестаков Александр Ильич</v>
      </c>
      <c r="C625" s="75" t="str">
        <f ca="1">IFERROR(__xludf.DUMMYFUNCTION("""COMPUTED_VALUE"""),"Студент")</f>
        <v>Студент</v>
      </c>
    </row>
    <row r="626" spans="1:3">
      <c r="A626" s="76">
        <f ca="1">IFERROR(__xludf.DUMMYFUNCTION("""COMPUTED_VALUE"""),2303425)</f>
        <v>2303425</v>
      </c>
      <c r="B626" s="76" t="str">
        <f ca="1">IFERROR(__xludf.DUMMYFUNCTION("""COMPUTED_VALUE"""),"Матвеева Татьяна Михайловна")</f>
        <v>Матвеева Татьяна Михайловна</v>
      </c>
      <c r="C626" s="75" t="str">
        <f ca="1">IFERROR(__xludf.DUMMYFUNCTION("""COMPUTED_VALUE"""),"Студент")</f>
        <v>Студент</v>
      </c>
    </row>
    <row r="627" spans="1:3">
      <c r="A627" s="76">
        <f ca="1">IFERROR(__xludf.DUMMYFUNCTION("""COMPUTED_VALUE"""),2303434)</f>
        <v>2303434</v>
      </c>
      <c r="B627" s="76" t="str">
        <f ca="1">IFERROR(__xludf.DUMMYFUNCTION("""COMPUTED_VALUE"""),"Алексеева Злата Сергеевна")</f>
        <v>Алексеева Злата Сергеевна</v>
      </c>
      <c r="C627" s="75" t="str">
        <f ca="1">IFERROR(__xludf.DUMMYFUNCTION("""COMPUTED_VALUE"""),"Студент")</f>
        <v>Студент</v>
      </c>
    </row>
    <row r="628" spans="1:3">
      <c r="A628" s="76">
        <f ca="1">IFERROR(__xludf.DUMMYFUNCTION("""COMPUTED_VALUE"""),2303435)</f>
        <v>2303435</v>
      </c>
      <c r="B628" s="76" t="str">
        <f ca="1">IFERROR(__xludf.DUMMYFUNCTION("""COMPUTED_VALUE"""),"Тужикова Анастасия Вадимовна")</f>
        <v>Тужикова Анастасия Вадимовна</v>
      </c>
      <c r="C628" s="75" t="str">
        <f ca="1">IFERROR(__xludf.DUMMYFUNCTION("""COMPUTED_VALUE"""),"Студент")</f>
        <v>Студент</v>
      </c>
    </row>
    <row r="629" spans="1:3">
      <c r="A629" s="76">
        <f ca="1">IFERROR(__xludf.DUMMYFUNCTION("""COMPUTED_VALUE"""),2303440)</f>
        <v>2303440</v>
      </c>
      <c r="B629" s="76" t="str">
        <f ca="1">IFERROR(__xludf.DUMMYFUNCTION("""COMPUTED_VALUE"""),"Давиденко Артём Аркадьевич")</f>
        <v>Давиденко Артём Аркадьевич</v>
      </c>
      <c r="C629" s="75" t="str">
        <f ca="1">IFERROR(__xludf.DUMMYFUNCTION("""COMPUTED_VALUE"""),"Студент")</f>
        <v>Студент</v>
      </c>
    </row>
    <row r="630" spans="1:3">
      <c r="A630" s="76">
        <f ca="1">IFERROR(__xludf.DUMMYFUNCTION("""COMPUTED_VALUE"""),2303446)</f>
        <v>2303446</v>
      </c>
      <c r="B630" s="76" t="str">
        <f ca="1">IFERROR(__xludf.DUMMYFUNCTION("""COMPUTED_VALUE"""),"Сизова Алина Сергеевна")</f>
        <v>Сизова Алина Сергеевна</v>
      </c>
      <c r="C630" s="75" t="str">
        <f ca="1">IFERROR(__xludf.DUMMYFUNCTION("""COMPUTED_VALUE"""),"Студент")</f>
        <v>Студент</v>
      </c>
    </row>
    <row r="631" spans="1:3">
      <c r="A631" s="76">
        <f ca="1">IFERROR(__xludf.DUMMYFUNCTION("""COMPUTED_VALUE"""),2303462)</f>
        <v>2303462</v>
      </c>
      <c r="B631" s="76" t="str">
        <f ca="1">IFERROR(__xludf.DUMMYFUNCTION("""COMPUTED_VALUE"""),"Антонов Валерий Георгиевич")</f>
        <v>Антонов Валерий Георгиевич</v>
      </c>
      <c r="C631" s="75" t="str">
        <f ca="1">IFERROR(__xludf.DUMMYFUNCTION("""COMPUTED_VALUE"""),"Студент")</f>
        <v>Студент</v>
      </c>
    </row>
    <row r="632" spans="1:3">
      <c r="A632" s="76">
        <f ca="1">IFERROR(__xludf.DUMMYFUNCTION("""COMPUTED_VALUE"""),2303466)</f>
        <v>2303466</v>
      </c>
      <c r="B632" s="76" t="str">
        <f ca="1">IFERROR(__xludf.DUMMYFUNCTION("""COMPUTED_VALUE"""),"Цветкова Алина Валерьевна")</f>
        <v>Цветкова Алина Валерьевна</v>
      </c>
      <c r="C632" s="75" t="str">
        <f ca="1">IFERROR(__xludf.DUMMYFUNCTION("""COMPUTED_VALUE"""),"Студент")</f>
        <v>Студент</v>
      </c>
    </row>
    <row r="633" spans="1:3">
      <c r="A633" s="76">
        <f ca="1">IFERROR(__xludf.DUMMYFUNCTION("""COMPUTED_VALUE"""),2303467)</f>
        <v>2303467</v>
      </c>
      <c r="B633" s="76" t="str">
        <f ca="1">IFERROR(__xludf.DUMMYFUNCTION("""COMPUTED_VALUE"""),"Абраменкова Карина Павловна")</f>
        <v>Абраменкова Карина Павловна</v>
      </c>
      <c r="C633" s="75" t="str">
        <f ca="1">IFERROR(__xludf.DUMMYFUNCTION("""COMPUTED_VALUE"""),"Студент")</f>
        <v>Студент</v>
      </c>
    </row>
    <row r="634" spans="1:3">
      <c r="A634" s="76">
        <f ca="1">IFERROR(__xludf.DUMMYFUNCTION("""COMPUTED_VALUE"""),2303470)</f>
        <v>2303470</v>
      </c>
      <c r="B634" s="76" t="str">
        <f ca="1">IFERROR(__xludf.DUMMYFUNCTION("""COMPUTED_VALUE"""),"Шуралева Екатерина Андреевна")</f>
        <v>Шуралева Екатерина Андреевна</v>
      </c>
      <c r="C634" s="75" t="str">
        <f ca="1">IFERROR(__xludf.DUMMYFUNCTION("""COMPUTED_VALUE"""),"Студент")</f>
        <v>Студент</v>
      </c>
    </row>
    <row r="635" spans="1:3">
      <c r="A635" s="76">
        <f ca="1">IFERROR(__xludf.DUMMYFUNCTION("""COMPUTED_VALUE"""),2303475)</f>
        <v>2303475</v>
      </c>
      <c r="B635" s="76" t="str">
        <f ca="1">IFERROR(__xludf.DUMMYFUNCTION("""COMPUTED_VALUE"""),"Шахин Рим")</f>
        <v>Шахин Рим</v>
      </c>
      <c r="C635" s="75" t="str">
        <f ca="1">IFERROR(__xludf.DUMMYFUNCTION("""COMPUTED_VALUE"""),"Аспирант")</f>
        <v>Аспирант</v>
      </c>
    </row>
    <row r="636" spans="1:3">
      <c r="A636" s="76">
        <f ca="1">IFERROR(__xludf.DUMMYFUNCTION("""COMPUTED_VALUE"""),2303476)</f>
        <v>2303476</v>
      </c>
      <c r="B636" s="76" t="str">
        <f ca="1">IFERROR(__xludf.DUMMYFUNCTION("""COMPUTED_VALUE"""),"Молокова Татьяна Михайловна")</f>
        <v>Молокова Татьяна Михайловна</v>
      </c>
      <c r="C636" s="75" t="str">
        <f ca="1">IFERROR(__xludf.DUMMYFUNCTION("""COMPUTED_VALUE"""),"Студент")</f>
        <v>Студент</v>
      </c>
    </row>
    <row r="637" spans="1:3">
      <c r="A637" s="76">
        <f ca="1">IFERROR(__xludf.DUMMYFUNCTION("""COMPUTED_VALUE"""),2303482)</f>
        <v>2303482</v>
      </c>
      <c r="B637" s="76" t="str">
        <f ca="1">IFERROR(__xludf.DUMMYFUNCTION("""COMPUTED_VALUE"""),"Бузулуцков Сергей Александрович")</f>
        <v>Бузулуцков Сергей Александрович</v>
      </c>
      <c r="C637" s="75" t="str">
        <f ca="1">IFERROR(__xludf.DUMMYFUNCTION("""COMPUTED_VALUE"""),"Студент")</f>
        <v>Студент</v>
      </c>
    </row>
    <row r="638" spans="1:3">
      <c r="A638" s="76">
        <f ca="1">IFERROR(__xludf.DUMMYFUNCTION("""COMPUTED_VALUE"""),2303488)</f>
        <v>2303488</v>
      </c>
      <c r="B638" s="76" t="str">
        <f ca="1">IFERROR(__xludf.DUMMYFUNCTION("""COMPUTED_VALUE"""),"Коршунов Никита Михайлович")</f>
        <v>Коршунов Никита Михайлович</v>
      </c>
      <c r="C638" s="75" t="str">
        <f ca="1">IFERROR(__xludf.DUMMYFUNCTION("""COMPUTED_VALUE"""),"Студент")</f>
        <v>Студент</v>
      </c>
    </row>
    <row r="639" spans="1:3">
      <c r="A639" s="76">
        <f ca="1">IFERROR(__xludf.DUMMYFUNCTION("""COMPUTED_VALUE"""),2303495)</f>
        <v>2303495</v>
      </c>
      <c r="B639" s="76" t="str">
        <f ca="1">IFERROR(__xludf.DUMMYFUNCTION("""COMPUTED_VALUE"""),"Хонер Павел Дмитриевич")</f>
        <v>Хонер Павел Дмитриевич</v>
      </c>
      <c r="C639" s="75" t="str">
        <f ca="1">IFERROR(__xludf.DUMMYFUNCTION("""COMPUTED_VALUE"""),"Студент")</f>
        <v>Студент</v>
      </c>
    </row>
    <row r="640" spans="1:3">
      <c r="A640" s="76">
        <f ca="1">IFERROR(__xludf.DUMMYFUNCTION("""COMPUTED_VALUE"""),2303496)</f>
        <v>2303496</v>
      </c>
      <c r="B640" s="76" t="str">
        <f ca="1">IFERROR(__xludf.DUMMYFUNCTION("""COMPUTED_VALUE"""),"Гаврилов Кирилл Константинович")</f>
        <v>Гаврилов Кирилл Константинович</v>
      </c>
      <c r="C640" s="75" t="str">
        <f ca="1">IFERROR(__xludf.DUMMYFUNCTION("""COMPUTED_VALUE"""),"Студент")</f>
        <v>Студент</v>
      </c>
    </row>
    <row r="641" spans="1:3">
      <c r="A641" s="76">
        <f ca="1">IFERROR(__xludf.DUMMYFUNCTION("""COMPUTED_VALUE"""),2303502)</f>
        <v>2303502</v>
      </c>
      <c r="B641" s="76" t="str">
        <f ca="1">IFERROR(__xludf.DUMMYFUNCTION("""COMPUTED_VALUE"""),"Олжекен Сымбат")</f>
        <v>Олжекен Сымбат</v>
      </c>
      <c r="C641" s="75" t="str">
        <f ca="1">IFERROR(__xludf.DUMMYFUNCTION("""COMPUTED_VALUE"""),"Студент")</f>
        <v>Студент</v>
      </c>
    </row>
    <row r="642" spans="1:3">
      <c r="A642" s="76">
        <f ca="1">IFERROR(__xludf.DUMMYFUNCTION("""COMPUTED_VALUE"""),2303509)</f>
        <v>2303509</v>
      </c>
      <c r="B642" s="76" t="str">
        <f ca="1">IFERROR(__xludf.DUMMYFUNCTION("""COMPUTED_VALUE"""),"Дворядкин Кирилл Андреевич")</f>
        <v>Дворядкин Кирилл Андреевич</v>
      </c>
      <c r="C642" s="75" t="str">
        <f ca="1">IFERROR(__xludf.DUMMYFUNCTION("""COMPUTED_VALUE"""),"Студент")</f>
        <v>Студент</v>
      </c>
    </row>
    <row r="643" spans="1:3">
      <c r="A643" s="76">
        <f ca="1">IFERROR(__xludf.DUMMYFUNCTION("""COMPUTED_VALUE"""),2303511)</f>
        <v>2303511</v>
      </c>
      <c r="B643" s="76" t="str">
        <f ca="1">IFERROR(__xludf.DUMMYFUNCTION("""COMPUTED_VALUE"""),"Черний Валерия")</f>
        <v>Черний Валерия</v>
      </c>
      <c r="C643" s="75" t="str">
        <f ca="1">IFERROR(__xludf.DUMMYFUNCTION("""COMPUTED_VALUE"""),"Студент")</f>
        <v>Студент</v>
      </c>
    </row>
    <row r="644" spans="1:3">
      <c r="A644" s="76">
        <f ca="1">IFERROR(__xludf.DUMMYFUNCTION("""COMPUTED_VALUE"""),2303513)</f>
        <v>2303513</v>
      </c>
      <c r="B644" s="76" t="str">
        <f ca="1">IFERROR(__xludf.DUMMYFUNCTION("""COMPUTED_VALUE"""),"Лебедкин Иван Владимирович")</f>
        <v>Лебедкин Иван Владимирович</v>
      </c>
      <c r="C644" s="75" t="str">
        <f ca="1">IFERROR(__xludf.DUMMYFUNCTION("""COMPUTED_VALUE"""),"Студент")</f>
        <v>Студент</v>
      </c>
    </row>
    <row r="645" spans="1:3">
      <c r="A645" s="76">
        <f ca="1">IFERROR(__xludf.DUMMYFUNCTION("""COMPUTED_VALUE"""),2303518)</f>
        <v>2303518</v>
      </c>
      <c r="B645" s="76" t="str">
        <f ca="1">IFERROR(__xludf.DUMMYFUNCTION("""COMPUTED_VALUE"""),"Сериков Максим Ильич")</f>
        <v>Сериков Максим Ильич</v>
      </c>
      <c r="C645" s="75" t="str">
        <f ca="1">IFERROR(__xludf.DUMMYFUNCTION("""COMPUTED_VALUE"""),"Студент")</f>
        <v>Студент</v>
      </c>
    </row>
    <row r="646" spans="1:3">
      <c r="A646" s="76">
        <f ca="1">IFERROR(__xludf.DUMMYFUNCTION("""COMPUTED_VALUE"""),2303522)</f>
        <v>2303522</v>
      </c>
      <c r="B646" s="76" t="str">
        <f ca="1">IFERROR(__xludf.DUMMYFUNCTION("""COMPUTED_VALUE"""),"Тихмянова Алиса Дмитриевна")</f>
        <v>Тихмянова Алиса Дмитриевна</v>
      </c>
      <c r="C646" s="75" t="str">
        <f ca="1">IFERROR(__xludf.DUMMYFUNCTION("""COMPUTED_VALUE"""),"Студент")</f>
        <v>Студент</v>
      </c>
    </row>
    <row r="647" spans="1:3">
      <c r="A647" s="76">
        <f ca="1">IFERROR(__xludf.DUMMYFUNCTION("""COMPUTED_VALUE"""),2303523)</f>
        <v>2303523</v>
      </c>
      <c r="B647" s="76" t="str">
        <f ca="1">IFERROR(__xludf.DUMMYFUNCTION("""COMPUTED_VALUE"""),"Прудников Кирилл Дмитриевич")</f>
        <v>Прудников Кирилл Дмитриевич</v>
      </c>
      <c r="C647" s="75" t="str">
        <f ca="1">IFERROR(__xludf.DUMMYFUNCTION("""COMPUTED_VALUE"""),"Студент")</f>
        <v>Студент</v>
      </c>
    </row>
    <row r="648" spans="1:3">
      <c r="A648" s="76">
        <f ca="1">IFERROR(__xludf.DUMMYFUNCTION("""COMPUTED_VALUE"""),2303525)</f>
        <v>2303525</v>
      </c>
      <c r="B648" s="76" t="str">
        <f ca="1">IFERROR(__xludf.DUMMYFUNCTION("""COMPUTED_VALUE"""),"Тронец Алексей Юрьевич")</f>
        <v>Тронец Алексей Юрьевич</v>
      </c>
      <c r="C648" s="75" t="str">
        <f ca="1">IFERROR(__xludf.DUMMYFUNCTION("""COMPUTED_VALUE"""),"Студент")</f>
        <v>Студент</v>
      </c>
    </row>
    <row r="649" spans="1:3">
      <c r="A649" s="76">
        <f ca="1">IFERROR(__xludf.DUMMYFUNCTION("""COMPUTED_VALUE"""),2303526)</f>
        <v>2303526</v>
      </c>
      <c r="B649" s="76" t="str">
        <f ca="1">IFERROR(__xludf.DUMMYFUNCTION("""COMPUTED_VALUE"""),"Просандеев Даниил Олегович")</f>
        <v>Просандеев Даниил Олегович</v>
      </c>
      <c r="C649" s="75" t="str">
        <f ca="1">IFERROR(__xludf.DUMMYFUNCTION("""COMPUTED_VALUE"""),"Студент")</f>
        <v>Студент</v>
      </c>
    </row>
    <row r="650" spans="1:3">
      <c r="A650" s="76">
        <f ca="1">IFERROR(__xludf.DUMMYFUNCTION("""COMPUTED_VALUE"""),2303528)</f>
        <v>2303528</v>
      </c>
      <c r="B650" s="76" t="str">
        <f ca="1">IFERROR(__xludf.DUMMYFUNCTION("""COMPUTED_VALUE"""),"Вологин Иван Александрович")</f>
        <v>Вологин Иван Александрович</v>
      </c>
      <c r="C650" s="75" t="str">
        <f ca="1">IFERROR(__xludf.DUMMYFUNCTION("""COMPUTED_VALUE"""),"Студент")</f>
        <v>Студент</v>
      </c>
    </row>
    <row r="651" spans="1:3">
      <c r="A651" s="76">
        <f ca="1">IFERROR(__xludf.DUMMYFUNCTION("""COMPUTED_VALUE"""),2303530)</f>
        <v>2303530</v>
      </c>
      <c r="B651" s="76" t="str">
        <f ca="1">IFERROR(__xludf.DUMMYFUNCTION("""COMPUTED_VALUE"""),"Земцов Денис Алексеевич")</f>
        <v>Земцов Денис Алексеевич</v>
      </c>
      <c r="C651" s="75" t="str">
        <f ca="1">IFERROR(__xludf.DUMMYFUNCTION("""COMPUTED_VALUE"""),"Студент")</f>
        <v>Студент</v>
      </c>
    </row>
    <row r="652" spans="1:3">
      <c r="A652" s="76">
        <f ca="1">IFERROR(__xludf.DUMMYFUNCTION("""COMPUTED_VALUE"""),2303534)</f>
        <v>2303534</v>
      </c>
      <c r="B652" s="76" t="str">
        <f ca="1">IFERROR(__xludf.DUMMYFUNCTION("""COMPUTED_VALUE"""),"Дмитриади Дмитрий Константинович")</f>
        <v>Дмитриади Дмитрий Константинович</v>
      </c>
      <c r="C652" s="75" t="str">
        <f ca="1">IFERROR(__xludf.DUMMYFUNCTION("""COMPUTED_VALUE"""),"Студент")</f>
        <v>Студент</v>
      </c>
    </row>
    <row r="653" spans="1:3">
      <c r="A653" s="76">
        <f ca="1">IFERROR(__xludf.DUMMYFUNCTION("""COMPUTED_VALUE"""),2303537)</f>
        <v>2303537</v>
      </c>
      <c r="B653" s="76" t="str">
        <f ca="1">IFERROR(__xludf.DUMMYFUNCTION("""COMPUTED_VALUE"""),"Гуляев Дмитрий Александрович")</f>
        <v>Гуляев Дмитрий Александрович</v>
      </c>
      <c r="C653" s="75" t="str">
        <f ca="1">IFERROR(__xludf.DUMMYFUNCTION("""COMPUTED_VALUE"""),"Студент")</f>
        <v>Студент</v>
      </c>
    </row>
    <row r="654" spans="1:3">
      <c r="A654" s="76">
        <f ca="1">IFERROR(__xludf.DUMMYFUNCTION("""COMPUTED_VALUE"""),2303547)</f>
        <v>2303547</v>
      </c>
      <c r="B654" s="76" t="str">
        <f ca="1">IFERROR(__xludf.DUMMYFUNCTION("""COMPUTED_VALUE"""),"Кох Артур Геннадьевич")</f>
        <v>Кох Артур Геннадьевич</v>
      </c>
      <c r="C654" s="75" t="str">
        <f ca="1">IFERROR(__xludf.DUMMYFUNCTION("""COMPUTED_VALUE"""),"Студент")</f>
        <v>Студент</v>
      </c>
    </row>
    <row r="655" spans="1:3">
      <c r="A655" s="76">
        <f ca="1">IFERROR(__xludf.DUMMYFUNCTION("""COMPUTED_VALUE"""),2303548)</f>
        <v>2303548</v>
      </c>
      <c r="B655" s="76" t="str">
        <f ca="1">IFERROR(__xludf.DUMMYFUNCTION("""COMPUTED_VALUE"""),"Танчев Денис Андреевич")</f>
        <v>Танчев Денис Андреевич</v>
      </c>
      <c r="C655" s="75" t="str">
        <f ca="1">IFERROR(__xludf.DUMMYFUNCTION("""COMPUTED_VALUE"""),"Студент")</f>
        <v>Студент</v>
      </c>
    </row>
    <row r="656" spans="1:3">
      <c r="A656" s="76">
        <f ca="1">IFERROR(__xludf.DUMMYFUNCTION("""COMPUTED_VALUE"""),2303557)</f>
        <v>2303557</v>
      </c>
      <c r="B656" s="76" t="str">
        <f ca="1">IFERROR(__xludf.DUMMYFUNCTION("""COMPUTED_VALUE"""),"Бадмаев Дашидоржо Сергеевич")</f>
        <v>Бадмаев Дашидоржо Сергеевич</v>
      </c>
      <c r="C656" s="75" t="str">
        <f ca="1">IFERROR(__xludf.DUMMYFUNCTION("""COMPUTED_VALUE"""),"Студент")</f>
        <v>Студент</v>
      </c>
    </row>
    <row r="657" spans="1:3">
      <c r="A657" s="76">
        <f ca="1">IFERROR(__xludf.DUMMYFUNCTION("""COMPUTED_VALUE"""),2303569)</f>
        <v>2303569</v>
      </c>
      <c r="B657" s="76" t="str">
        <f ca="1">IFERROR(__xludf.DUMMYFUNCTION("""COMPUTED_VALUE"""),"Анчуркин Дмитрий Александрович")</f>
        <v>Анчуркин Дмитрий Александрович</v>
      </c>
      <c r="C657" s="75" t="str">
        <f ca="1">IFERROR(__xludf.DUMMYFUNCTION("""COMPUTED_VALUE"""),"Студент")</f>
        <v>Студент</v>
      </c>
    </row>
    <row r="658" spans="1:3">
      <c r="A658" s="76">
        <f ca="1">IFERROR(__xludf.DUMMYFUNCTION("""COMPUTED_VALUE"""),2303570)</f>
        <v>2303570</v>
      </c>
      <c r="B658" s="76" t="str">
        <f ca="1">IFERROR(__xludf.DUMMYFUNCTION("""COMPUTED_VALUE"""),"Жданов Илья Сергеевич")</f>
        <v>Жданов Илья Сергеевич</v>
      </c>
      <c r="C658" s="75" t="str">
        <f ca="1">IFERROR(__xludf.DUMMYFUNCTION("""COMPUTED_VALUE"""),"Студент")</f>
        <v>Студент</v>
      </c>
    </row>
    <row r="659" spans="1:3">
      <c r="A659" s="76">
        <f ca="1">IFERROR(__xludf.DUMMYFUNCTION("""COMPUTED_VALUE"""),2303574)</f>
        <v>2303574</v>
      </c>
      <c r="B659" s="76" t="str">
        <f ca="1">IFERROR(__xludf.DUMMYFUNCTION("""COMPUTED_VALUE"""),"Ефремова Арина Денисовна")</f>
        <v>Ефремова Арина Денисовна</v>
      </c>
      <c r="C659" s="75" t="str">
        <f ca="1">IFERROR(__xludf.DUMMYFUNCTION("""COMPUTED_VALUE"""),"Студент")</f>
        <v>Студент</v>
      </c>
    </row>
    <row r="660" spans="1:3">
      <c r="A660" s="76">
        <f ca="1">IFERROR(__xludf.DUMMYFUNCTION("""COMPUTED_VALUE"""),2303576)</f>
        <v>2303576</v>
      </c>
      <c r="B660" s="76" t="str">
        <f ca="1">IFERROR(__xludf.DUMMYFUNCTION("""COMPUTED_VALUE"""),"Жигулёва Александра Андреевна")</f>
        <v>Жигулёва Александра Андреевна</v>
      </c>
      <c r="C660" s="75" t="str">
        <f ca="1">IFERROR(__xludf.DUMMYFUNCTION("""COMPUTED_VALUE"""),"Студент")</f>
        <v>Студент</v>
      </c>
    </row>
    <row r="661" spans="1:3">
      <c r="A661" s="76">
        <f ca="1">IFERROR(__xludf.DUMMYFUNCTION("""COMPUTED_VALUE"""),2303578)</f>
        <v>2303578</v>
      </c>
      <c r="B661" s="76" t="str">
        <f ca="1">IFERROR(__xludf.DUMMYFUNCTION("""COMPUTED_VALUE"""),"Губарев Владислав Викторович")</f>
        <v>Губарев Владислав Викторович</v>
      </c>
      <c r="C661" s="75" t="str">
        <f ca="1">IFERROR(__xludf.DUMMYFUNCTION("""COMPUTED_VALUE"""),"Студент")</f>
        <v>Студент</v>
      </c>
    </row>
    <row r="662" spans="1:3">
      <c r="A662" s="76">
        <f ca="1">IFERROR(__xludf.DUMMYFUNCTION("""COMPUTED_VALUE"""),2303579)</f>
        <v>2303579</v>
      </c>
      <c r="B662" s="76" t="str">
        <f ca="1">IFERROR(__xludf.DUMMYFUNCTION("""COMPUTED_VALUE"""),"Елишакова Сабина Кобовна")</f>
        <v>Елишакова Сабина Кобовна</v>
      </c>
      <c r="C662" s="75" t="str">
        <f ca="1">IFERROR(__xludf.DUMMYFUNCTION("""COMPUTED_VALUE"""),"Студент")</f>
        <v>Студент</v>
      </c>
    </row>
    <row r="663" spans="1:3">
      <c r="A663" s="76">
        <f ca="1">IFERROR(__xludf.DUMMYFUNCTION("""COMPUTED_VALUE"""),2303599)</f>
        <v>2303599</v>
      </c>
      <c r="B663" s="76" t="str">
        <f ca="1">IFERROR(__xludf.DUMMYFUNCTION("""COMPUTED_VALUE"""),"Дорофеев Андрей Михайлович")</f>
        <v>Дорофеев Андрей Михайлович</v>
      </c>
      <c r="C663" s="75" t="str">
        <f ca="1">IFERROR(__xludf.DUMMYFUNCTION("""COMPUTED_VALUE"""),"Студент")</f>
        <v>Студент</v>
      </c>
    </row>
    <row r="664" spans="1:3">
      <c r="A664" s="76">
        <f ca="1">IFERROR(__xludf.DUMMYFUNCTION("""COMPUTED_VALUE"""),2303604)</f>
        <v>2303604</v>
      </c>
      <c r="B664" s="76" t="str">
        <f ca="1">IFERROR(__xludf.DUMMYFUNCTION("""COMPUTED_VALUE"""),"Жигалин Данил Русланович")</f>
        <v>Жигалин Данил Русланович</v>
      </c>
      <c r="C664" s="75" t="str">
        <f ca="1">IFERROR(__xludf.DUMMYFUNCTION("""COMPUTED_VALUE"""),"Студент")</f>
        <v>Студент</v>
      </c>
    </row>
    <row r="665" spans="1:3">
      <c r="A665" s="76">
        <f ca="1">IFERROR(__xludf.DUMMYFUNCTION("""COMPUTED_VALUE"""),2303605)</f>
        <v>2303605</v>
      </c>
      <c r="B665" s="76" t="str">
        <f ca="1">IFERROR(__xludf.DUMMYFUNCTION("""COMPUTED_VALUE"""),"Прищепова Александра Игоревна")</f>
        <v>Прищепова Александра Игоревна</v>
      </c>
      <c r="C665" s="75" t="str">
        <f ca="1">IFERROR(__xludf.DUMMYFUNCTION("""COMPUTED_VALUE"""),"Студент")</f>
        <v>Студент</v>
      </c>
    </row>
    <row r="666" spans="1:3">
      <c r="A666" s="76">
        <f ca="1">IFERROR(__xludf.DUMMYFUNCTION("""COMPUTED_VALUE"""),2303607)</f>
        <v>2303607</v>
      </c>
      <c r="B666" s="76" t="str">
        <f ca="1">IFERROR(__xludf.DUMMYFUNCTION("""COMPUTED_VALUE"""),"Черкашина Марианна Валентиновна")</f>
        <v>Черкашина Марианна Валентиновна</v>
      </c>
      <c r="C666" s="75" t="str">
        <f ca="1">IFERROR(__xludf.DUMMYFUNCTION("""COMPUTED_VALUE"""),"Студент")</f>
        <v>Студент</v>
      </c>
    </row>
    <row r="667" spans="1:3">
      <c r="A667" s="76">
        <f ca="1">IFERROR(__xludf.DUMMYFUNCTION("""COMPUTED_VALUE"""),2303608)</f>
        <v>2303608</v>
      </c>
      <c r="B667" s="76" t="str">
        <f ca="1">IFERROR(__xludf.DUMMYFUNCTION("""COMPUTED_VALUE"""),"Кривенок Варвара Сергеевна")</f>
        <v>Кривенок Варвара Сергеевна</v>
      </c>
      <c r="C667" s="75" t="str">
        <f ca="1">IFERROR(__xludf.DUMMYFUNCTION("""COMPUTED_VALUE"""),"Студент")</f>
        <v>Студент</v>
      </c>
    </row>
    <row r="668" spans="1:3">
      <c r="A668" s="76">
        <f ca="1">IFERROR(__xludf.DUMMYFUNCTION("""COMPUTED_VALUE"""),2303620)</f>
        <v>2303620</v>
      </c>
      <c r="B668" s="76" t="str">
        <f ca="1">IFERROR(__xludf.DUMMYFUNCTION("""COMPUTED_VALUE"""),"Галямова Яна Дмитриевна")</f>
        <v>Галямова Яна Дмитриевна</v>
      </c>
      <c r="C668" s="75" t="str">
        <f ca="1">IFERROR(__xludf.DUMMYFUNCTION("""COMPUTED_VALUE"""),"Студент")</f>
        <v>Студент</v>
      </c>
    </row>
    <row r="669" spans="1:3">
      <c r="A669" s="76">
        <f ca="1">IFERROR(__xludf.DUMMYFUNCTION("""COMPUTED_VALUE"""),2303627)</f>
        <v>2303627</v>
      </c>
      <c r="B669" s="76" t="str">
        <f ca="1">IFERROR(__xludf.DUMMYFUNCTION("""COMPUTED_VALUE"""),"Терюха Дарья Романовна")</f>
        <v>Терюха Дарья Романовна</v>
      </c>
      <c r="C669" s="75" t="str">
        <f ca="1">IFERROR(__xludf.DUMMYFUNCTION("""COMPUTED_VALUE"""),"Студент")</f>
        <v>Студент</v>
      </c>
    </row>
    <row r="670" spans="1:3">
      <c r="A670" s="76">
        <f ca="1">IFERROR(__xludf.DUMMYFUNCTION("""COMPUTED_VALUE"""),2303635)</f>
        <v>2303635</v>
      </c>
      <c r="B670" s="76" t="str">
        <f ca="1">IFERROR(__xludf.DUMMYFUNCTION("""COMPUTED_VALUE"""),"Байчоров Руслан Александрович")</f>
        <v>Байчоров Руслан Александрович</v>
      </c>
      <c r="C670" s="75" t="str">
        <f ca="1">IFERROR(__xludf.DUMMYFUNCTION("""COMPUTED_VALUE"""),"Студент")</f>
        <v>Студент</v>
      </c>
    </row>
    <row r="671" spans="1:3">
      <c r="A671" s="76">
        <f ca="1">IFERROR(__xludf.DUMMYFUNCTION("""COMPUTED_VALUE"""),2303638)</f>
        <v>2303638</v>
      </c>
      <c r="B671" s="76" t="str">
        <f ca="1">IFERROR(__xludf.DUMMYFUNCTION("""COMPUTED_VALUE"""),"Аракелян Армен Ваганович")</f>
        <v>Аракелян Армен Ваганович</v>
      </c>
      <c r="C671" s="75" t="str">
        <f ca="1">IFERROR(__xludf.DUMMYFUNCTION("""COMPUTED_VALUE"""),"Студент")</f>
        <v>Студент</v>
      </c>
    </row>
    <row r="672" spans="1:3">
      <c r="A672" s="76">
        <f ca="1">IFERROR(__xludf.DUMMYFUNCTION("""COMPUTED_VALUE"""),2303655)</f>
        <v>2303655</v>
      </c>
      <c r="B672" s="76" t="str">
        <f ca="1">IFERROR(__xludf.DUMMYFUNCTION("""COMPUTED_VALUE"""),"Душко Ирина Александровна")</f>
        <v>Душко Ирина Александровна</v>
      </c>
      <c r="C672" s="75" t="str">
        <f ca="1">IFERROR(__xludf.DUMMYFUNCTION("""COMPUTED_VALUE"""),"Студент")</f>
        <v>Студент</v>
      </c>
    </row>
    <row r="673" spans="1:3">
      <c r="A673" s="76">
        <f ca="1">IFERROR(__xludf.DUMMYFUNCTION("""COMPUTED_VALUE"""),2303658)</f>
        <v>2303658</v>
      </c>
      <c r="B673" s="76" t="str">
        <f ca="1">IFERROR(__xludf.DUMMYFUNCTION("""COMPUTED_VALUE"""),"Турсунбаева Сабина Ерлановна")</f>
        <v>Турсунбаева Сабина Ерлановна</v>
      </c>
      <c r="C673" s="75" t="str">
        <f ca="1">IFERROR(__xludf.DUMMYFUNCTION("""COMPUTED_VALUE"""),"Студент")</f>
        <v>Студент</v>
      </c>
    </row>
    <row r="674" spans="1:3">
      <c r="A674" s="76">
        <f ca="1">IFERROR(__xludf.DUMMYFUNCTION("""COMPUTED_VALUE"""),2303662)</f>
        <v>2303662</v>
      </c>
      <c r="B674" s="76" t="str">
        <f ca="1">IFERROR(__xludf.DUMMYFUNCTION("""COMPUTED_VALUE"""),"Губанов Илья Олегович")</f>
        <v>Губанов Илья Олегович</v>
      </c>
      <c r="C674" s="75" t="str">
        <f ca="1">IFERROR(__xludf.DUMMYFUNCTION("""COMPUTED_VALUE"""),"Студент")</f>
        <v>Студент</v>
      </c>
    </row>
    <row r="675" spans="1:3">
      <c r="A675" s="76">
        <f ca="1">IFERROR(__xludf.DUMMYFUNCTION("""COMPUTED_VALUE"""),2303672)</f>
        <v>2303672</v>
      </c>
      <c r="B675" s="76" t="str">
        <f ca="1">IFERROR(__xludf.DUMMYFUNCTION("""COMPUTED_VALUE"""),"Малютин Александр Дмитриевич")</f>
        <v>Малютин Александр Дмитриевич</v>
      </c>
      <c r="C675" s="75" t="str">
        <f ca="1">IFERROR(__xludf.DUMMYFUNCTION("""COMPUTED_VALUE"""),"Студент")</f>
        <v>Студент</v>
      </c>
    </row>
    <row r="676" spans="1:3">
      <c r="A676" s="76">
        <f ca="1">IFERROR(__xludf.DUMMYFUNCTION("""COMPUTED_VALUE"""),2303673)</f>
        <v>2303673</v>
      </c>
      <c r="B676" s="76" t="str">
        <f ca="1">IFERROR(__xludf.DUMMYFUNCTION("""COMPUTED_VALUE"""),"Сорокин Денис Игоревич")</f>
        <v>Сорокин Денис Игоревич</v>
      </c>
      <c r="C676" s="75" t="str">
        <f ca="1">IFERROR(__xludf.DUMMYFUNCTION("""COMPUTED_VALUE"""),"Студент")</f>
        <v>Студент</v>
      </c>
    </row>
    <row r="677" spans="1:3">
      <c r="A677" s="76">
        <f ca="1">IFERROR(__xludf.DUMMYFUNCTION("""COMPUTED_VALUE"""),2303675)</f>
        <v>2303675</v>
      </c>
      <c r="B677" s="76" t="str">
        <f ca="1">IFERROR(__xludf.DUMMYFUNCTION("""COMPUTED_VALUE"""),"Резанов Олег Олегович")</f>
        <v>Резанов Олег Олегович</v>
      </c>
      <c r="C677" s="75" t="str">
        <f ca="1">IFERROR(__xludf.DUMMYFUNCTION("""COMPUTED_VALUE"""),"Студент")</f>
        <v>Студент</v>
      </c>
    </row>
    <row r="678" spans="1:3">
      <c r="A678" s="76">
        <f ca="1">IFERROR(__xludf.DUMMYFUNCTION("""COMPUTED_VALUE"""),2303725)</f>
        <v>2303725</v>
      </c>
      <c r="B678" s="76" t="str">
        <f ca="1">IFERROR(__xludf.DUMMYFUNCTION("""COMPUTED_VALUE"""),"Сердешнов Владислав Сергеевич")</f>
        <v>Сердешнов Владислав Сергеевич</v>
      </c>
      <c r="C678" s="75" t="str">
        <f ca="1">IFERROR(__xludf.DUMMYFUNCTION("""COMPUTED_VALUE"""),"Студент")</f>
        <v>Студент</v>
      </c>
    </row>
    <row r="679" spans="1:3">
      <c r="A679" s="76">
        <f ca="1">IFERROR(__xludf.DUMMYFUNCTION("""COMPUTED_VALUE"""),2303726)</f>
        <v>2303726</v>
      </c>
      <c r="B679" s="76" t="str">
        <f ca="1">IFERROR(__xludf.DUMMYFUNCTION("""COMPUTED_VALUE"""),"Коновалова Полина Алексеевна")</f>
        <v>Коновалова Полина Алексеевна</v>
      </c>
      <c r="C679" s="75" t="str">
        <f ca="1">IFERROR(__xludf.DUMMYFUNCTION("""COMPUTED_VALUE"""),"Студент")</f>
        <v>Студент</v>
      </c>
    </row>
    <row r="680" spans="1:3">
      <c r="A680" s="76">
        <f ca="1">IFERROR(__xludf.DUMMYFUNCTION("""COMPUTED_VALUE"""),2303731)</f>
        <v>2303731</v>
      </c>
      <c r="B680" s="76" t="str">
        <f ca="1">IFERROR(__xludf.DUMMYFUNCTION("""COMPUTED_VALUE"""),"Правкина Мария Андреевна")</f>
        <v>Правкина Мария Андреевна</v>
      </c>
      <c r="C680" s="75" t="str">
        <f ca="1">IFERROR(__xludf.DUMMYFUNCTION("""COMPUTED_VALUE"""),"Студент")</f>
        <v>Студент</v>
      </c>
    </row>
    <row r="681" spans="1:3">
      <c r="A681" s="76">
        <f ca="1">IFERROR(__xludf.DUMMYFUNCTION("""COMPUTED_VALUE"""),2303738)</f>
        <v>2303738</v>
      </c>
      <c r="B681" s="76" t="str">
        <f ca="1">IFERROR(__xludf.DUMMYFUNCTION("""COMPUTED_VALUE"""),"Соболь Полина Андреевна")</f>
        <v>Соболь Полина Андреевна</v>
      </c>
      <c r="C681" s="75" t="str">
        <f ca="1">IFERROR(__xludf.DUMMYFUNCTION("""COMPUTED_VALUE"""),"Студент")</f>
        <v>Студент</v>
      </c>
    </row>
    <row r="682" spans="1:3">
      <c r="A682" s="76">
        <f ca="1">IFERROR(__xludf.DUMMYFUNCTION("""COMPUTED_VALUE"""),2303742)</f>
        <v>2303742</v>
      </c>
      <c r="B682" s="76" t="str">
        <f ca="1">IFERROR(__xludf.DUMMYFUNCTION("""COMPUTED_VALUE"""),"Берендеев Андрей Валерьевич")</f>
        <v>Берендеев Андрей Валерьевич</v>
      </c>
      <c r="C682" s="75" t="str">
        <f ca="1">IFERROR(__xludf.DUMMYFUNCTION("""COMPUTED_VALUE"""),"Студент")</f>
        <v>Студент</v>
      </c>
    </row>
    <row r="683" spans="1:3">
      <c r="A683" s="76">
        <f ca="1">IFERROR(__xludf.DUMMYFUNCTION("""COMPUTED_VALUE"""),2303760)</f>
        <v>2303760</v>
      </c>
      <c r="B683" s="76" t="str">
        <f ca="1">IFERROR(__xludf.DUMMYFUNCTION("""COMPUTED_VALUE"""),"Бауэр Вольдемар Владимирович")</f>
        <v>Бауэр Вольдемар Владимирович</v>
      </c>
      <c r="C683" s="75" t="str">
        <f ca="1">IFERROR(__xludf.DUMMYFUNCTION("""COMPUTED_VALUE"""),"Студент")</f>
        <v>Студент</v>
      </c>
    </row>
    <row r="684" spans="1:3">
      <c r="A684" s="76">
        <f ca="1">IFERROR(__xludf.DUMMYFUNCTION("""COMPUTED_VALUE"""),2303763)</f>
        <v>2303763</v>
      </c>
      <c r="B684" s="76" t="str">
        <f ca="1">IFERROR(__xludf.DUMMYFUNCTION("""COMPUTED_VALUE"""),"Ляхова Варвара Константиновна")</f>
        <v>Ляхова Варвара Константиновна</v>
      </c>
      <c r="C684" s="75" t="str">
        <f ca="1">IFERROR(__xludf.DUMMYFUNCTION("""COMPUTED_VALUE"""),"Студент")</f>
        <v>Студент</v>
      </c>
    </row>
    <row r="685" spans="1:3">
      <c r="A685" s="76">
        <f ca="1">IFERROR(__xludf.DUMMYFUNCTION("""COMPUTED_VALUE"""),2303768)</f>
        <v>2303768</v>
      </c>
      <c r="B685" s="76" t="str">
        <f ca="1">IFERROR(__xludf.DUMMYFUNCTION("""COMPUTED_VALUE"""),"Лоозе Екатерина Евгеньевна")</f>
        <v>Лоозе Екатерина Евгеньевна</v>
      </c>
      <c r="C685" s="75" t="str">
        <f ca="1">IFERROR(__xludf.DUMMYFUNCTION("""COMPUTED_VALUE"""),"Студент")</f>
        <v>Студент</v>
      </c>
    </row>
    <row r="686" spans="1:3">
      <c r="A686" s="76">
        <f ca="1">IFERROR(__xludf.DUMMYFUNCTION("""COMPUTED_VALUE"""),2303770)</f>
        <v>2303770</v>
      </c>
      <c r="B686" s="76" t="str">
        <f ca="1">IFERROR(__xludf.DUMMYFUNCTION("""COMPUTED_VALUE"""),"Лисовская Анастасия Сергеевна")</f>
        <v>Лисовская Анастасия Сергеевна</v>
      </c>
      <c r="C686" s="75" t="str">
        <f ca="1">IFERROR(__xludf.DUMMYFUNCTION("""COMPUTED_VALUE"""),"Студент")</f>
        <v>Студент</v>
      </c>
    </row>
    <row r="687" spans="1:3">
      <c r="A687" s="76">
        <f ca="1">IFERROR(__xludf.DUMMYFUNCTION("""COMPUTED_VALUE"""),2303776)</f>
        <v>2303776</v>
      </c>
      <c r="B687" s="76" t="str">
        <f ca="1">IFERROR(__xludf.DUMMYFUNCTION("""COMPUTED_VALUE"""),"Метелев Захар Олегович")</f>
        <v>Метелев Захар Олегович</v>
      </c>
      <c r="C687" s="75" t="str">
        <f ca="1">IFERROR(__xludf.DUMMYFUNCTION("""COMPUTED_VALUE"""),"Студент")</f>
        <v>Студент</v>
      </c>
    </row>
    <row r="688" spans="1:3">
      <c r="A688" s="76">
        <f ca="1">IFERROR(__xludf.DUMMYFUNCTION("""COMPUTED_VALUE"""),2303780)</f>
        <v>2303780</v>
      </c>
      <c r="B688" s="76" t="str">
        <f ca="1">IFERROR(__xludf.DUMMYFUNCTION("""COMPUTED_VALUE"""),"Косарынская Анна Александровна")</f>
        <v>Косарынская Анна Александровна</v>
      </c>
      <c r="C688" s="75" t="str">
        <f ca="1">IFERROR(__xludf.DUMMYFUNCTION("""COMPUTED_VALUE"""),"Студент")</f>
        <v>Студент</v>
      </c>
    </row>
    <row r="689" spans="1:3">
      <c r="A689" s="76">
        <f ca="1">IFERROR(__xludf.DUMMYFUNCTION("""COMPUTED_VALUE"""),2303784)</f>
        <v>2303784</v>
      </c>
      <c r="B689" s="76" t="str">
        <f ca="1">IFERROR(__xludf.DUMMYFUNCTION("""COMPUTED_VALUE"""),"Луппов Евгений Александрович")</f>
        <v>Луппов Евгений Александрович</v>
      </c>
      <c r="C689" s="75" t="str">
        <f ca="1">IFERROR(__xludf.DUMMYFUNCTION("""COMPUTED_VALUE"""),"Студент")</f>
        <v>Студент</v>
      </c>
    </row>
    <row r="690" spans="1:3">
      <c r="A690" s="76">
        <f ca="1">IFERROR(__xludf.DUMMYFUNCTION("""COMPUTED_VALUE"""),2303794)</f>
        <v>2303794</v>
      </c>
      <c r="B690" s="76" t="str">
        <f ca="1">IFERROR(__xludf.DUMMYFUNCTION("""COMPUTED_VALUE"""),"Галыженков Евгений Вячеславович")</f>
        <v>Галыженков Евгений Вячеславович</v>
      </c>
      <c r="C690" s="75" t="str">
        <f ca="1">IFERROR(__xludf.DUMMYFUNCTION("""COMPUTED_VALUE"""),"Студент")</f>
        <v>Студент</v>
      </c>
    </row>
    <row r="691" spans="1:3">
      <c r="A691" s="76">
        <f ca="1">IFERROR(__xludf.DUMMYFUNCTION("""COMPUTED_VALUE"""),2303796)</f>
        <v>2303796</v>
      </c>
      <c r="B691" s="76" t="str">
        <f ca="1">IFERROR(__xludf.DUMMYFUNCTION("""COMPUTED_VALUE"""),"Ситников Даниил Валентинович")</f>
        <v>Ситников Даниил Валентинович</v>
      </c>
      <c r="C691" s="75" t="str">
        <f ca="1">IFERROR(__xludf.DUMMYFUNCTION("""COMPUTED_VALUE"""),"Студент")</f>
        <v>Студент</v>
      </c>
    </row>
    <row r="692" spans="1:3">
      <c r="A692" s="76">
        <f ca="1">IFERROR(__xludf.DUMMYFUNCTION("""COMPUTED_VALUE"""),2303797)</f>
        <v>2303797</v>
      </c>
      <c r="B692" s="76" t="str">
        <f ca="1">IFERROR(__xludf.DUMMYFUNCTION("""COMPUTED_VALUE"""),"Соколов Фёдор Михайлович")</f>
        <v>Соколов Фёдор Михайлович</v>
      </c>
      <c r="C692" s="75" t="str">
        <f ca="1">IFERROR(__xludf.DUMMYFUNCTION("""COMPUTED_VALUE"""),"Студент")</f>
        <v>Студент</v>
      </c>
    </row>
    <row r="693" spans="1:3">
      <c r="A693" s="76">
        <f ca="1">IFERROR(__xludf.DUMMYFUNCTION("""COMPUTED_VALUE"""),2303799)</f>
        <v>2303799</v>
      </c>
      <c r="B693" s="76" t="str">
        <f ca="1">IFERROR(__xludf.DUMMYFUNCTION("""COMPUTED_VALUE"""),"Кравченко Дарья Станиславовна")</f>
        <v>Кравченко Дарья Станиславовна</v>
      </c>
      <c r="C693" s="75" t="str">
        <f ca="1">IFERROR(__xludf.DUMMYFUNCTION("""COMPUTED_VALUE"""),"Студент")</f>
        <v>Студент</v>
      </c>
    </row>
    <row r="694" spans="1:3">
      <c r="A694" s="76">
        <f ca="1">IFERROR(__xludf.DUMMYFUNCTION("""COMPUTED_VALUE"""),2303800)</f>
        <v>2303800</v>
      </c>
      <c r="B694" s="76" t="str">
        <f ca="1">IFERROR(__xludf.DUMMYFUNCTION("""COMPUTED_VALUE"""),"Чуб Александра Станиславовна")</f>
        <v>Чуб Александра Станиславовна</v>
      </c>
      <c r="C694" s="75" t="str">
        <f ca="1">IFERROR(__xludf.DUMMYFUNCTION("""COMPUTED_VALUE"""),"Студент")</f>
        <v>Студент</v>
      </c>
    </row>
    <row r="695" spans="1:3">
      <c r="A695" s="76">
        <f ca="1">IFERROR(__xludf.DUMMYFUNCTION("""COMPUTED_VALUE"""),2303807)</f>
        <v>2303807</v>
      </c>
      <c r="B695" s="76" t="str">
        <f ca="1">IFERROR(__xludf.DUMMYFUNCTION("""COMPUTED_VALUE"""),"Корешков Николай Андреевич")</f>
        <v>Корешков Николай Андреевич</v>
      </c>
      <c r="C695" s="75" t="str">
        <f ca="1">IFERROR(__xludf.DUMMYFUNCTION("""COMPUTED_VALUE"""),"Студент")</f>
        <v>Студент</v>
      </c>
    </row>
    <row r="696" spans="1:3">
      <c r="A696" s="76">
        <f ca="1">IFERROR(__xludf.DUMMYFUNCTION("""COMPUTED_VALUE"""),2303811)</f>
        <v>2303811</v>
      </c>
      <c r="B696" s="76" t="str">
        <f ca="1">IFERROR(__xludf.DUMMYFUNCTION("""COMPUTED_VALUE"""),"Шарапов Артём Алексеевич")</f>
        <v>Шарапов Артём Алексеевич</v>
      </c>
      <c r="C696" s="75" t="str">
        <f ca="1">IFERROR(__xludf.DUMMYFUNCTION("""COMPUTED_VALUE"""),"Аспирант")</f>
        <v>Аспирант</v>
      </c>
    </row>
    <row r="697" spans="1:3">
      <c r="A697" s="76">
        <f ca="1">IFERROR(__xludf.DUMMYFUNCTION("""COMPUTED_VALUE"""),2303816)</f>
        <v>2303816</v>
      </c>
      <c r="B697" s="76" t="str">
        <f ca="1">IFERROR(__xludf.DUMMYFUNCTION("""COMPUTED_VALUE"""),"Соколов Филипп Олегович")</f>
        <v>Соколов Филипп Олегович</v>
      </c>
      <c r="C697" s="75" t="str">
        <f ca="1">IFERROR(__xludf.DUMMYFUNCTION("""COMPUTED_VALUE"""),"Студент")</f>
        <v>Студент</v>
      </c>
    </row>
    <row r="698" spans="1:3">
      <c r="A698" s="76">
        <f ca="1">IFERROR(__xludf.DUMMYFUNCTION("""COMPUTED_VALUE"""),2303817)</f>
        <v>2303817</v>
      </c>
      <c r="B698" s="76" t="str">
        <f ca="1">IFERROR(__xludf.DUMMYFUNCTION("""COMPUTED_VALUE"""),"Лисицын Андрей Геннадьевич")</f>
        <v>Лисицын Андрей Геннадьевич</v>
      </c>
      <c r="C698" s="75" t="str">
        <f ca="1">IFERROR(__xludf.DUMMYFUNCTION("""COMPUTED_VALUE"""),"Студент")</f>
        <v>Студент</v>
      </c>
    </row>
    <row r="699" spans="1:3">
      <c r="A699" s="76">
        <f ca="1">IFERROR(__xludf.DUMMYFUNCTION("""COMPUTED_VALUE"""),2303818)</f>
        <v>2303818</v>
      </c>
      <c r="B699" s="76" t="str">
        <f ca="1">IFERROR(__xludf.DUMMYFUNCTION("""COMPUTED_VALUE"""),"Горин Александр Олегович")</f>
        <v>Горин Александр Олегович</v>
      </c>
      <c r="C699" s="75" t="str">
        <f ca="1">IFERROR(__xludf.DUMMYFUNCTION("""COMPUTED_VALUE"""),"Студент")</f>
        <v>Студент</v>
      </c>
    </row>
    <row r="700" spans="1:3">
      <c r="A700" s="76">
        <f ca="1">IFERROR(__xludf.DUMMYFUNCTION("""COMPUTED_VALUE"""),2303819)</f>
        <v>2303819</v>
      </c>
      <c r="B700" s="76" t="str">
        <f ca="1">IFERROR(__xludf.DUMMYFUNCTION("""COMPUTED_VALUE"""),"Захаров Аркадий Александрович")</f>
        <v>Захаров Аркадий Александрович</v>
      </c>
      <c r="C700" s="75" t="str">
        <f ca="1">IFERROR(__xludf.DUMMYFUNCTION("""COMPUTED_VALUE"""),"Студент")</f>
        <v>Студент</v>
      </c>
    </row>
    <row r="701" spans="1:3">
      <c r="A701" s="76">
        <f ca="1">IFERROR(__xludf.DUMMYFUNCTION("""COMPUTED_VALUE"""),2303843)</f>
        <v>2303843</v>
      </c>
      <c r="B701" s="76" t="str">
        <f ca="1">IFERROR(__xludf.DUMMYFUNCTION("""COMPUTED_VALUE"""),"Гук Ярослав Андреевич")</f>
        <v>Гук Ярослав Андреевич</v>
      </c>
      <c r="C701" s="75" t="str">
        <f ca="1">IFERROR(__xludf.DUMMYFUNCTION("""COMPUTED_VALUE"""),"Студент")</f>
        <v>Студент</v>
      </c>
    </row>
    <row r="702" spans="1:3">
      <c r="A702" s="76">
        <f ca="1">IFERROR(__xludf.DUMMYFUNCTION("""COMPUTED_VALUE"""),2303850)</f>
        <v>2303850</v>
      </c>
      <c r="B702" s="76" t="str">
        <f ca="1">IFERROR(__xludf.DUMMYFUNCTION("""COMPUTED_VALUE"""),"Сычиков Владимир Андреевич")</f>
        <v>Сычиков Владимир Андреевич</v>
      </c>
      <c r="C702" s="75" t="str">
        <f ca="1">IFERROR(__xludf.DUMMYFUNCTION("""COMPUTED_VALUE"""),"Студент")</f>
        <v>Студент</v>
      </c>
    </row>
    <row r="703" spans="1:3">
      <c r="A703" s="76">
        <f ca="1">IFERROR(__xludf.DUMMYFUNCTION("""COMPUTED_VALUE"""),2303856)</f>
        <v>2303856</v>
      </c>
      <c r="B703" s="76" t="str">
        <f ca="1">IFERROR(__xludf.DUMMYFUNCTION("""COMPUTED_VALUE"""),"Лоозе Валерий Владимирович")</f>
        <v>Лоозе Валерий Владимирович</v>
      </c>
      <c r="C703" s="75" t="str">
        <f ca="1">IFERROR(__xludf.DUMMYFUNCTION("""COMPUTED_VALUE"""),"Студент")</f>
        <v>Студент</v>
      </c>
    </row>
    <row r="704" spans="1:3">
      <c r="A704" s="76">
        <f ca="1">IFERROR(__xludf.DUMMYFUNCTION("""COMPUTED_VALUE"""),2303858)</f>
        <v>2303858</v>
      </c>
      <c r="B704" s="76" t="str">
        <f ca="1">IFERROR(__xludf.DUMMYFUNCTION("""COMPUTED_VALUE"""),"Поляков Алексей Игоревич")</f>
        <v>Поляков Алексей Игоревич</v>
      </c>
      <c r="C704" s="75" t="str">
        <f ca="1">IFERROR(__xludf.DUMMYFUNCTION("""COMPUTED_VALUE"""),"Студент")</f>
        <v>Студент</v>
      </c>
    </row>
    <row r="705" spans="1:3">
      <c r="A705" s="76">
        <f ca="1">IFERROR(__xludf.DUMMYFUNCTION("""COMPUTED_VALUE"""),2303860)</f>
        <v>2303860</v>
      </c>
      <c r="B705" s="76" t="str">
        <f ca="1">IFERROR(__xludf.DUMMYFUNCTION("""COMPUTED_VALUE"""),"Секачева Кристина Леонидовна")</f>
        <v>Секачева Кристина Леонидовна</v>
      </c>
      <c r="C705" s="75" t="str">
        <f ca="1">IFERROR(__xludf.DUMMYFUNCTION("""COMPUTED_VALUE"""),"Студент")</f>
        <v>Студент</v>
      </c>
    </row>
    <row r="706" spans="1:3">
      <c r="A706" s="76">
        <f ca="1">IFERROR(__xludf.DUMMYFUNCTION("""COMPUTED_VALUE"""),2303862)</f>
        <v>2303862</v>
      </c>
      <c r="B706" s="76" t="str">
        <f ca="1">IFERROR(__xludf.DUMMYFUNCTION("""COMPUTED_VALUE"""),"Уткин Даниил Сергеевич")</f>
        <v>Уткин Даниил Сергеевич</v>
      </c>
      <c r="C706" s="75" t="str">
        <f ca="1">IFERROR(__xludf.DUMMYFUNCTION("""COMPUTED_VALUE"""),"Студент")</f>
        <v>Студент</v>
      </c>
    </row>
    <row r="707" spans="1:3">
      <c r="A707" s="76">
        <f ca="1">IFERROR(__xludf.DUMMYFUNCTION("""COMPUTED_VALUE"""),2303864)</f>
        <v>2303864</v>
      </c>
      <c r="B707" s="76" t="str">
        <f ca="1">IFERROR(__xludf.DUMMYFUNCTION("""COMPUTED_VALUE"""),"Денисова Виктория Максимовна")</f>
        <v>Денисова Виктория Максимовна</v>
      </c>
      <c r="C707" s="75" t="str">
        <f ca="1">IFERROR(__xludf.DUMMYFUNCTION("""COMPUTED_VALUE"""),"Студент")</f>
        <v>Студент</v>
      </c>
    </row>
    <row r="708" spans="1:3">
      <c r="A708" s="76">
        <f ca="1">IFERROR(__xludf.DUMMYFUNCTION("""COMPUTED_VALUE"""),2303871)</f>
        <v>2303871</v>
      </c>
      <c r="B708" s="76" t="str">
        <f ca="1">IFERROR(__xludf.DUMMYFUNCTION("""COMPUTED_VALUE"""),"Михайлов Андрей Вячеславович")</f>
        <v>Михайлов Андрей Вячеславович</v>
      </c>
      <c r="C708" s="75" t="str">
        <f ca="1">IFERROR(__xludf.DUMMYFUNCTION("""COMPUTED_VALUE"""),"Студент")</f>
        <v>Студент</v>
      </c>
    </row>
    <row r="709" spans="1:3">
      <c r="A709" s="76">
        <f ca="1">IFERROR(__xludf.DUMMYFUNCTION("""COMPUTED_VALUE"""),2303876)</f>
        <v>2303876</v>
      </c>
      <c r="B709" s="76" t="str">
        <f ca="1">IFERROR(__xludf.DUMMYFUNCTION("""COMPUTED_VALUE"""),"Ароян Марианна Кареновна")</f>
        <v>Ароян Марианна Кареновна</v>
      </c>
      <c r="C709" s="75" t="str">
        <f ca="1">IFERROR(__xludf.DUMMYFUNCTION("""COMPUTED_VALUE"""),"Студент")</f>
        <v>Студент</v>
      </c>
    </row>
    <row r="710" spans="1:3">
      <c r="A710" s="76">
        <f ca="1">IFERROR(__xludf.DUMMYFUNCTION("""COMPUTED_VALUE"""),2303886)</f>
        <v>2303886</v>
      </c>
      <c r="B710" s="76" t="str">
        <f ca="1">IFERROR(__xludf.DUMMYFUNCTION("""COMPUTED_VALUE"""),"Селищев Максим Юрьевич")</f>
        <v>Селищев Максим Юрьевич</v>
      </c>
      <c r="C710" s="75" t="str">
        <f ca="1">IFERROR(__xludf.DUMMYFUNCTION("""COMPUTED_VALUE"""),"Студент")</f>
        <v>Студент</v>
      </c>
    </row>
    <row r="711" spans="1:3">
      <c r="A711" s="76">
        <f ca="1">IFERROR(__xludf.DUMMYFUNCTION("""COMPUTED_VALUE"""),2303893)</f>
        <v>2303893</v>
      </c>
      <c r="B711" s="76" t="str">
        <f ca="1">IFERROR(__xludf.DUMMYFUNCTION("""COMPUTED_VALUE"""),"Евсеев Михаил Юрьевич")</f>
        <v>Евсеев Михаил Юрьевич</v>
      </c>
      <c r="C711" s="75" t="str">
        <f ca="1">IFERROR(__xludf.DUMMYFUNCTION("""COMPUTED_VALUE"""),"Студент")</f>
        <v>Студент</v>
      </c>
    </row>
    <row r="712" spans="1:3">
      <c r="A712" s="76">
        <f ca="1">IFERROR(__xludf.DUMMYFUNCTION("""COMPUTED_VALUE"""),2303906)</f>
        <v>2303906</v>
      </c>
      <c r="B712" s="76" t="str">
        <f ca="1">IFERROR(__xludf.DUMMYFUNCTION("""COMPUTED_VALUE"""),"Горбачева Кира Константиновна")</f>
        <v>Горбачева Кира Константиновна</v>
      </c>
      <c r="C712" s="75" t="str">
        <f ca="1">IFERROR(__xludf.DUMMYFUNCTION("""COMPUTED_VALUE"""),"Студент")</f>
        <v>Студент</v>
      </c>
    </row>
    <row r="713" spans="1:3">
      <c r="A713" s="76">
        <f ca="1">IFERROR(__xludf.DUMMYFUNCTION("""COMPUTED_VALUE"""),2303911)</f>
        <v>2303911</v>
      </c>
      <c r="B713" s="76" t="str">
        <f ca="1">IFERROR(__xludf.DUMMYFUNCTION("""COMPUTED_VALUE"""),"Иванова Ольга Кирилловна")</f>
        <v>Иванова Ольга Кирилловна</v>
      </c>
      <c r="C713" s="75" t="str">
        <f ca="1">IFERROR(__xludf.DUMMYFUNCTION("""COMPUTED_VALUE"""),"Студент")</f>
        <v>Студент</v>
      </c>
    </row>
    <row r="714" spans="1:3">
      <c r="A714" s="76">
        <f ca="1">IFERROR(__xludf.DUMMYFUNCTION("""COMPUTED_VALUE"""),2303917)</f>
        <v>2303917</v>
      </c>
      <c r="B714" s="76" t="str">
        <f ca="1">IFERROR(__xludf.DUMMYFUNCTION("""COMPUTED_VALUE"""),"Крепостная Ольга Константиновна")</f>
        <v>Крепостная Ольга Константиновна</v>
      </c>
      <c r="C714" s="75" t="str">
        <f ca="1">IFERROR(__xludf.DUMMYFUNCTION("""COMPUTED_VALUE"""),"Студент")</f>
        <v>Студент</v>
      </c>
    </row>
    <row r="715" spans="1:3">
      <c r="A715" s="76">
        <f ca="1">IFERROR(__xludf.DUMMYFUNCTION("""COMPUTED_VALUE"""),2303929)</f>
        <v>2303929</v>
      </c>
      <c r="B715" s="76" t="str">
        <f ca="1">IFERROR(__xludf.DUMMYFUNCTION("""COMPUTED_VALUE"""),"Зобнина Олеся Вадимовна")</f>
        <v>Зобнина Олеся Вадимовна</v>
      </c>
      <c r="C715" s="75" t="str">
        <f ca="1">IFERROR(__xludf.DUMMYFUNCTION("""COMPUTED_VALUE"""),"Студент")</f>
        <v>Студент</v>
      </c>
    </row>
    <row r="716" spans="1:3">
      <c r="A716" s="76">
        <f ca="1">IFERROR(__xludf.DUMMYFUNCTION("""COMPUTED_VALUE"""),2303931)</f>
        <v>2303931</v>
      </c>
      <c r="B716" s="76" t="str">
        <f ca="1">IFERROR(__xludf.DUMMYFUNCTION("""COMPUTED_VALUE"""),"Райхман Анна Алексеевна")</f>
        <v>Райхман Анна Алексеевна</v>
      </c>
      <c r="C716" s="75" t="str">
        <f ca="1">IFERROR(__xludf.DUMMYFUNCTION("""COMPUTED_VALUE"""),"Студент")</f>
        <v>Студент</v>
      </c>
    </row>
    <row r="717" spans="1:3">
      <c r="A717" s="76">
        <f ca="1">IFERROR(__xludf.DUMMYFUNCTION("""COMPUTED_VALUE"""),2303949)</f>
        <v>2303949</v>
      </c>
      <c r="B717" s="76" t="str">
        <f ca="1">IFERROR(__xludf.DUMMYFUNCTION("""COMPUTED_VALUE"""),"Гармажапов Амгалан Раднажапович")</f>
        <v>Гармажапов Амгалан Раднажапович</v>
      </c>
      <c r="C717" s="75" t="str">
        <f ca="1">IFERROR(__xludf.DUMMYFUNCTION("""COMPUTED_VALUE"""),"Студент")</f>
        <v>Студент</v>
      </c>
    </row>
    <row r="718" spans="1:3">
      <c r="A718" s="76">
        <f ca="1">IFERROR(__xludf.DUMMYFUNCTION("""COMPUTED_VALUE"""),2303958)</f>
        <v>2303958</v>
      </c>
      <c r="B718" s="76" t="str">
        <f ca="1">IFERROR(__xludf.DUMMYFUNCTION("""COMPUTED_VALUE"""),"Федотенко Александр Дмитриевич")</f>
        <v>Федотенко Александр Дмитриевич</v>
      </c>
      <c r="C718" s="75" t="str">
        <f ca="1">IFERROR(__xludf.DUMMYFUNCTION("""COMPUTED_VALUE"""),"Студент")</f>
        <v>Студент</v>
      </c>
    </row>
    <row r="719" spans="1:3">
      <c r="A719" s="76">
        <f ca="1">IFERROR(__xludf.DUMMYFUNCTION("""COMPUTED_VALUE"""),2303959)</f>
        <v>2303959</v>
      </c>
      <c r="B719" s="76" t="str">
        <f ca="1">IFERROR(__xludf.DUMMYFUNCTION("""COMPUTED_VALUE"""),"Мелешко Олег Игоревич")</f>
        <v>Мелешко Олег Игоревич</v>
      </c>
      <c r="C719" s="75" t="str">
        <f ca="1">IFERROR(__xludf.DUMMYFUNCTION("""COMPUTED_VALUE"""),"Студент")</f>
        <v>Студент</v>
      </c>
    </row>
    <row r="720" spans="1:3">
      <c r="A720" s="76">
        <f ca="1">IFERROR(__xludf.DUMMYFUNCTION("""COMPUTED_VALUE"""),2303965)</f>
        <v>2303965</v>
      </c>
      <c r="B720" s="76" t="str">
        <f ca="1">IFERROR(__xludf.DUMMYFUNCTION("""COMPUTED_VALUE"""),"Чуяс София Андреевна")</f>
        <v>Чуяс София Андреевна</v>
      </c>
      <c r="C720" s="75" t="str">
        <f ca="1">IFERROR(__xludf.DUMMYFUNCTION("""COMPUTED_VALUE"""),"Студент")</f>
        <v>Студент</v>
      </c>
    </row>
    <row r="721" spans="1:3">
      <c r="A721" s="76">
        <f ca="1">IFERROR(__xludf.DUMMYFUNCTION("""COMPUTED_VALUE"""),2303972)</f>
        <v>2303972</v>
      </c>
      <c r="B721" s="76" t="str">
        <f ca="1">IFERROR(__xludf.DUMMYFUNCTION("""COMPUTED_VALUE"""),"Баранов Павел Александрович")</f>
        <v>Баранов Павел Александрович</v>
      </c>
      <c r="C721" s="75" t="str">
        <f ca="1">IFERROR(__xludf.DUMMYFUNCTION("""COMPUTED_VALUE"""),"Студент")</f>
        <v>Студент</v>
      </c>
    </row>
    <row r="722" spans="1:3">
      <c r="A722" s="76">
        <f ca="1">IFERROR(__xludf.DUMMYFUNCTION("""COMPUTED_VALUE"""),2303986)</f>
        <v>2303986</v>
      </c>
      <c r="B722" s="76" t="str">
        <f ca="1">IFERROR(__xludf.DUMMYFUNCTION("""COMPUTED_VALUE"""),"Некраш Артём Сергеевич")</f>
        <v>Некраш Артём Сергеевич</v>
      </c>
      <c r="C722" s="75" t="str">
        <f ca="1">IFERROR(__xludf.DUMMYFUNCTION("""COMPUTED_VALUE"""),"Студент")</f>
        <v>Студент</v>
      </c>
    </row>
    <row r="723" spans="1:3">
      <c r="A723" s="76">
        <f ca="1">IFERROR(__xludf.DUMMYFUNCTION("""COMPUTED_VALUE"""),2303990)</f>
        <v>2303990</v>
      </c>
      <c r="B723" s="76" t="str">
        <f ca="1">IFERROR(__xludf.DUMMYFUNCTION("""COMPUTED_VALUE"""),"Невоструев Владимир Олегович")</f>
        <v>Невоструев Владимир Олегович</v>
      </c>
      <c r="C723" s="75" t="str">
        <f ca="1">IFERROR(__xludf.DUMMYFUNCTION("""COMPUTED_VALUE"""),"Студент")</f>
        <v>Студент</v>
      </c>
    </row>
    <row r="724" spans="1:3">
      <c r="A724" s="76">
        <f ca="1">IFERROR(__xludf.DUMMYFUNCTION("""COMPUTED_VALUE"""),2304016)</f>
        <v>2304016</v>
      </c>
      <c r="B724" s="76" t="str">
        <f ca="1">IFERROR(__xludf.DUMMYFUNCTION("""COMPUTED_VALUE"""),"Нефедова Евгения Викторовна")</f>
        <v>Нефедова Евгения Викторовна</v>
      </c>
      <c r="C724" s="75" t="str">
        <f ca="1">IFERROR(__xludf.DUMMYFUNCTION("""COMPUTED_VALUE"""),"Студент")</f>
        <v>Студент</v>
      </c>
    </row>
    <row r="725" spans="1:3">
      <c r="A725" s="76">
        <f ca="1">IFERROR(__xludf.DUMMYFUNCTION("""COMPUTED_VALUE"""),2304019)</f>
        <v>2304019</v>
      </c>
      <c r="B725" s="76" t="str">
        <f ca="1">IFERROR(__xludf.DUMMYFUNCTION("""COMPUTED_VALUE"""),"Егорова Кристина Игоревна")</f>
        <v>Егорова Кристина Игоревна</v>
      </c>
      <c r="C725" s="75" t="str">
        <f ca="1">IFERROR(__xludf.DUMMYFUNCTION("""COMPUTED_VALUE"""),"Студент")</f>
        <v>Студент</v>
      </c>
    </row>
    <row r="726" spans="1:3">
      <c r="A726" s="76">
        <f ca="1">IFERROR(__xludf.DUMMYFUNCTION("""COMPUTED_VALUE"""),2304024)</f>
        <v>2304024</v>
      </c>
      <c r="B726" s="76" t="str">
        <f ca="1">IFERROR(__xludf.DUMMYFUNCTION("""COMPUTED_VALUE"""),"Ерицян Давид Овикович")</f>
        <v>Ерицян Давид Овикович</v>
      </c>
      <c r="C726" s="75" t="str">
        <f ca="1">IFERROR(__xludf.DUMMYFUNCTION("""COMPUTED_VALUE"""),"Студент")</f>
        <v>Студент</v>
      </c>
    </row>
    <row r="727" spans="1:3">
      <c r="A727" s="76">
        <f ca="1">IFERROR(__xludf.DUMMYFUNCTION("""COMPUTED_VALUE"""),2304031)</f>
        <v>2304031</v>
      </c>
      <c r="B727" s="76" t="str">
        <f ca="1">IFERROR(__xludf.DUMMYFUNCTION("""COMPUTED_VALUE"""),"Шумков Дмитрий Сергеевич")</f>
        <v>Шумков Дмитрий Сергеевич</v>
      </c>
      <c r="C727" s="75" t="str">
        <f ca="1">IFERROR(__xludf.DUMMYFUNCTION("""COMPUTED_VALUE"""),"Аспирант")</f>
        <v>Аспирант</v>
      </c>
    </row>
    <row r="728" spans="1:3">
      <c r="A728" s="76">
        <f ca="1">IFERROR(__xludf.DUMMYFUNCTION("""COMPUTED_VALUE"""),2304035)</f>
        <v>2304035</v>
      </c>
      <c r="B728" s="76" t="str">
        <f ca="1">IFERROR(__xludf.DUMMYFUNCTION("""COMPUTED_VALUE"""),"Порохня Дмитрий Александрович")</f>
        <v>Порохня Дмитрий Александрович</v>
      </c>
      <c r="C728" s="75" t="str">
        <f ca="1">IFERROR(__xludf.DUMMYFUNCTION("""COMPUTED_VALUE"""),"Студент")</f>
        <v>Студент</v>
      </c>
    </row>
    <row r="729" spans="1:3">
      <c r="A729" s="76">
        <f ca="1">IFERROR(__xludf.DUMMYFUNCTION("""COMPUTED_VALUE"""),2304036)</f>
        <v>2304036</v>
      </c>
      <c r="B729" s="76" t="str">
        <f ca="1">IFERROR(__xludf.DUMMYFUNCTION("""COMPUTED_VALUE"""),"Каржавина Виктория Владимировна")</f>
        <v>Каржавина Виктория Владимировна</v>
      </c>
      <c r="C729" s="75" t="str">
        <f ca="1">IFERROR(__xludf.DUMMYFUNCTION("""COMPUTED_VALUE"""),"Студент")</f>
        <v>Студент</v>
      </c>
    </row>
    <row r="730" spans="1:3">
      <c r="A730" s="76">
        <f ca="1">IFERROR(__xludf.DUMMYFUNCTION("""COMPUTED_VALUE"""),2304046)</f>
        <v>2304046</v>
      </c>
      <c r="B730" s="76" t="str">
        <f ca="1">IFERROR(__xludf.DUMMYFUNCTION("""COMPUTED_VALUE"""),"Саргин Ярослав Сергеевич")</f>
        <v>Саргин Ярослав Сергеевич</v>
      </c>
      <c r="C730" s="75" t="str">
        <f ca="1">IFERROR(__xludf.DUMMYFUNCTION("""COMPUTED_VALUE"""),"Студент")</f>
        <v>Студент</v>
      </c>
    </row>
    <row r="731" spans="1:3">
      <c r="A731" s="76">
        <f ca="1">IFERROR(__xludf.DUMMYFUNCTION("""COMPUTED_VALUE"""),2304050)</f>
        <v>2304050</v>
      </c>
      <c r="B731" s="76" t="str">
        <f ca="1">IFERROR(__xludf.DUMMYFUNCTION("""COMPUTED_VALUE"""),"Юнникова Екатерина Александровна")</f>
        <v>Юнникова Екатерина Александровна</v>
      </c>
      <c r="C731" s="75" t="str">
        <f ca="1">IFERROR(__xludf.DUMMYFUNCTION("""COMPUTED_VALUE"""),"Студент")</f>
        <v>Студент</v>
      </c>
    </row>
    <row r="732" spans="1:3">
      <c r="A732" s="76">
        <f ca="1">IFERROR(__xludf.DUMMYFUNCTION("""COMPUTED_VALUE"""),2304060)</f>
        <v>2304060</v>
      </c>
      <c r="B732" s="76" t="str">
        <f ca="1">IFERROR(__xludf.DUMMYFUNCTION("""COMPUTED_VALUE"""),"Кеменов Данила Александрович")</f>
        <v>Кеменов Данила Александрович</v>
      </c>
      <c r="C732" s="75" t="str">
        <f ca="1">IFERROR(__xludf.DUMMYFUNCTION("""COMPUTED_VALUE"""),"Студент")</f>
        <v>Студент</v>
      </c>
    </row>
    <row r="733" spans="1:3">
      <c r="A733" s="76">
        <f ca="1">IFERROR(__xludf.DUMMYFUNCTION("""COMPUTED_VALUE"""),2304061)</f>
        <v>2304061</v>
      </c>
      <c r="B733" s="76" t="str">
        <f ca="1">IFERROR(__xludf.DUMMYFUNCTION("""COMPUTED_VALUE"""),"Маслова Екатерина Витальевна")</f>
        <v>Маслова Екатерина Витальевна</v>
      </c>
      <c r="C733" s="75" t="str">
        <f ca="1">IFERROR(__xludf.DUMMYFUNCTION("""COMPUTED_VALUE"""),"Студент")</f>
        <v>Студент</v>
      </c>
    </row>
    <row r="734" spans="1:3">
      <c r="A734" s="76">
        <f ca="1">IFERROR(__xludf.DUMMYFUNCTION("""COMPUTED_VALUE"""),2304065)</f>
        <v>2304065</v>
      </c>
      <c r="B734" s="76" t="str">
        <f ca="1">IFERROR(__xludf.DUMMYFUNCTION("""COMPUTED_VALUE"""),"Новоженина Александра Ивановна")</f>
        <v>Новоженина Александра Ивановна</v>
      </c>
      <c r="C734" s="75" t="str">
        <f ca="1">IFERROR(__xludf.DUMMYFUNCTION("""COMPUTED_VALUE"""),"Студент")</f>
        <v>Студент</v>
      </c>
    </row>
    <row r="735" spans="1:3">
      <c r="A735" s="76">
        <f ca="1">IFERROR(__xludf.DUMMYFUNCTION("""COMPUTED_VALUE"""),2304069)</f>
        <v>2304069</v>
      </c>
      <c r="B735" s="76" t="str">
        <f ca="1">IFERROR(__xludf.DUMMYFUNCTION("""COMPUTED_VALUE"""),"Евсеев Глеб Андреевич")</f>
        <v>Евсеев Глеб Андреевич</v>
      </c>
      <c r="C735" s="75" t="str">
        <f ca="1">IFERROR(__xludf.DUMMYFUNCTION("""COMPUTED_VALUE"""),"Студент")</f>
        <v>Студент</v>
      </c>
    </row>
    <row r="736" spans="1:3">
      <c r="A736" s="76">
        <f ca="1">IFERROR(__xludf.DUMMYFUNCTION("""COMPUTED_VALUE"""),2304070)</f>
        <v>2304070</v>
      </c>
      <c r="B736" s="76" t="str">
        <f ca="1">IFERROR(__xludf.DUMMYFUNCTION("""COMPUTED_VALUE"""),"Алехин Андрей Александрович")</f>
        <v>Алехин Андрей Александрович</v>
      </c>
      <c r="C736" s="75" t="str">
        <f ca="1">IFERROR(__xludf.DUMMYFUNCTION("""COMPUTED_VALUE"""),"Студент")</f>
        <v>Студент</v>
      </c>
    </row>
    <row r="737" spans="1:3">
      <c r="A737" s="76">
        <f ca="1">IFERROR(__xludf.DUMMYFUNCTION("""COMPUTED_VALUE"""),2304079)</f>
        <v>2304079</v>
      </c>
      <c r="B737" s="76" t="str">
        <f ca="1">IFERROR(__xludf.DUMMYFUNCTION("""COMPUTED_VALUE"""),"Чепурной Никита Александрович")</f>
        <v>Чепурной Никита Александрович</v>
      </c>
      <c r="C737" s="75" t="str">
        <f ca="1">IFERROR(__xludf.DUMMYFUNCTION("""COMPUTED_VALUE"""),"Студент")</f>
        <v>Студент</v>
      </c>
    </row>
    <row r="738" spans="1:3">
      <c r="A738" s="76">
        <f ca="1">IFERROR(__xludf.DUMMYFUNCTION("""COMPUTED_VALUE"""),2304080)</f>
        <v>2304080</v>
      </c>
      <c r="B738" s="76" t="str">
        <f ca="1">IFERROR(__xludf.DUMMYFUNCTION("""COMPUTED_VALUE"""),"Бабенко Анастасия Сергеевна")</f>
        <v>Бабенко Анастасия Сергеевна</v>
      </c>
      <c r="C738" s="75" t="str">
        <f ca="1">IFERROR(__xludf.DUMMYFUNCTION("""COMPUTED_VALUE"""),"Студент")</f>
        <v>Студент</v>
      </c>
    </row>
    <row r="739" spans="1:3">
      <c r="A739" s="76">
        <f ca="1">IFERROR(__xludf.DUMMYFUNCTION("""COMPUTED_VALUE"""),2304083)</f>
        <v>2304083</v>
      </c>
      <c r="B739" s="76" t="str">
        <f ca="1">IFERROR(__xludf.DUMMYFUNCTION("""COMPUTED_VALUE"""),"Кондратеня Екатерина Андреевна")</f>
        <v>Кондратеня Екатерина Андреевна</v>
      </c>
      <c r="C739" s="75" t="str">
        <f ca="1">IFERROR(__xludf.DUMMYFUNCTION("""COMPUTED_VALUE"""),"Студент")</f>
        <v>Студент</v>
      </c>
    </row>
    <row r="740" spans="1:3">
      <c r="A740" s="76">
        <f ca="1">IFERROR(__xludf.DUMMYFUNCTION("""COMPUTED_VALUE"""),2304091)</f>
        <v>2304091</v>
      </c>
      <c r="B740" s="76" t="str">
        <f ca="1">IFERROR(__xludf.DUMMYFUNCTION("""COMPUTED_VALUE"""),"Антипова Алёна Ильинична")</f>
        <v>Антипова Алёна Ильинична</v>
      </c>
      <c r="C740" s="75" t="str">
        <f ca="1">IFERROR(__xludf.DUMMYFUNCTION("""COMPUTED_VALUE"""),"Студент")</f>
        <v>Студент</v>
      </c>
    </row>
    <row r="741" spans="1:3">
      <c r="A741" s="76">
        <f ca="1">IFERROR(__xludf.DUMMYFUNCTION("""COMPUTED_VALUE"""),2304095)</f>
        <v>2304095</v>
      </c>
      <c r="B741" s="76" t="str">
        <f ca="1">IFERROR(__xludf.DUMMYFUNCTION("""COMPUTED_VALUE"""),"Долгополова София Александровна")</f>
        <v>Долгополова София Александровна</v>
      </c>
      <c r="C741" s="75" t="str">
        <f ca="1">IFERROR(__xludf.DUMMYFUNCTION("""COMPUTED_VALUE"""),"Студент")</f>
        <v>Студент</v>
      </c>
    </row>
    <row r="742" spans="1:3">
      <c r="A742" s="76">
        <f ca="1">IFERROR(__xludf.DUMMYFUNCTION("""COMPUTED_VALUE"""),2304099)</f>
        <v>2304099</v>
      </c>
      <c r="B742" s="76" t="str">
        <f ca="1">IFERROR(__xludf.DUMMYFUNCTION("""COMPUTED_VALUE"""),"Солдайкин Николай Владимирович")</f>
        <v>Солдайкин Николай Владимирович</v>
      </c>
      <c r="C742" s="75" t="str">
        <f ca="1">IFERROR(__xludf.DUMMYFUNCTION("""COMPUTED_VALUE"""),"Студент")</f>
        <v>Студент</v>
      </c>
    </row>
    <row r="743" spans="1:3">
      <c r="A743" s="76">
        <f ca="1">IFERROR(__xludf.DUMMYFUNCTION("""COMPUTED_VALUE"""),2304102)</f>
        <v>2304102</v>
      </c>
      <c r="B743" s="76" t="str">
        <f ca="1">IFERROR(__xludf.DUMMYFUNCTION("""COMPUTED_VALUE"""),"Садыков Руслан Рамилевич")</f>
        <v>Садыков Руслан Рамилевич</v>
      </c>
      <c r="C743" s="75" t="str">
        <f ca="1">IFERROR(__xludf.DUMMYFUNCTION("""COMPUTED_VALUE"""),"Студент")</f>
        <v>Студент</v>
      </c>
    </row>
    <row r="744" spans="1:3">
      <c r="A744" s="76">
        <f ca="1">IFERROR(__xludf.DUMMYFUNCTION("""COMPUTED_VALUE"""),2304118)</f>
        <v>2304118</v>
      </c>
      <c r="B744" s="76" t="str">
        <f ca="1">IFERROR(__xludf.DUMMYFUNCTION("""COMPUTED_VALUE"""),"Бердникова Арина Евгеньевна")</f>
        <v>Бердникова Арина Евгеньевна</v>
      </c>
      <c r="C744" s="75" t="str">
        <f ca="1">IFERROR(__xludf.DUMMYFUNCTION("""COMPUTED_VALUE"""),"Студент")</f>
        <v>Студент</v>
      </c>
    </row>
    <row r="745" spans="1:3">
      <c r="A745" s="76">
        <f ca="1">IFERROR(__xludf.DUMMYFUNCTION("""COMPUTED_VALUE"""),2304121)</f>
        <v>2304121</v>
      </c>
      <c r="B745" s="76" t="str">
        <f ca="1">IFERROR(__xludf.DUMMYFUNCTION("""COMPUTED_VALUE"""),"Буянов Данил Романович")</f>
        <v>Буянов Данил Романович</v>
      </c>
      <c r="C745" s="75" t="str">
        <f ca="1">IFERROR(__xludf.DUMMYFUNCTION("""COMPUTED_VALUE"""),"Студент")</f>
        <v>Студент</v>
      </c>
    </row>
    <row r="746" spans="1:3">
      <c r="A746" s="76">
        <f ca="1">IFERROR(__xludf.DUMMYFUNCTION("""COMPUTED_VALUE"""),2304122)</f>
        <v>2304122</v>
      </c>
      <c r="B746" s="76" t="str">
        <f ca="1">IFERROR(__xludf.DUMMYFUNCTION("""COMPUTED_VALUE"""),"Зильберштейн Софья Максимовна")</f>
        <v>Зильберштейн Софья Максимовна</v>
      </c>
      <c r="C746" s="75" t="str">
        <f ca="1">IFERROR(__xludf.DUMMYFUNCTION("""COMPUTED_VALUE"""),"Студент")</f>
        <v>Студент</v>
      </c>
    </row>
    <row r="747" spans="1:3">
      <c r="A747" s="76">
        <f ca="1">IFERROR(__xludf.DUMMYFUNCTION("""COMPUTED_VALUE"""),2304125)</f>
        <v>2304125</v>
      </c>
      <c r="B747" s="76" t="str">
        <f ca="1">IFERROR(__xludf.DUMMYFUNCTION("""COMPUTED_VALUE"""),"Дроздова Полина Сергеевна")</f>
        <v>Дроздова Полина Сергеевна</v>
      </c>
      <c r="C747" s="75" t="str">
        <f ca="1">IFERROR(__xludf.DUMMYFUNCTION("""COMPUTED_VALUE"""),"Студент")</f>
        <v>Студент</v>
      </c>
    </row>
    <row r="748" spans="1:3">
      <c r="A748" s="76">
        <f ca="1">IFERROR(__xludf.DUMMYFUNCTION("""COMPUTED_VALUE"""),2304128)</f>
        <v>2304128</v>
      </c>
      <c r="B748" s="76" t="str">
        <f ca="1">IFERROR(__xludf.DUMMYFUNCTION("""COMPUTED_VALUE"""),"Никитина Варвара Артемовна")</f>
        <v>Никитина Варвара Артемовна</v>
      </c>
      <c r="C748" s="75" t="str">
        <f ca="1">IFERROR(__xludf.DUMMYFUNCTION("""COMPUTED_VALUE"""),"Студент")</f>
        <v>Студент</v>
      </c>
    </row>
    <row r="749" spans="1:3">
      <c r="A749" s="76">
        <f ca="1">IFERROR(__xludf.DUMMYFUNCTION("""COMPUTED_VALUE"""),2304129)</f>
        <v>2304129</v>
      </c>
      <c r="B749" s="76" t="str">
        <f ca="1">IFERROR(__xludf.DUMMYFUNCTION("""COMPUTED_VALUE"""),"Пирумян Тимур Романович")</f>
        <v>Пирумян Тимур Романович</v>
      </c>
      <c r="C749" s="75" t="str">
        <f ca="1">IFERROR(__xludf.DUMMYFUNCTION("""COMPUTED_VALUE"""),"Студент")</f>
        <v>Студент</v>
      </c>
    </row>
    <row r="750" spans="1:3">
      <c r="A750" s="76">
        <f ca="1">IFERROR(__xludf.DUMMYFUNCTION("""COMPUTED_VALUE"""),2304151)</f>
        <v>2304151</v>
      </c>
      <c r="B750" s="76" t="str">
        <f ca="1">IFERROR(__xludf.DUMMYFUNCTION("""COMPUTED_VALUE"""),"Рачковская Елизавета Дмитриевна")</f>
        <v>Рачковская Елизавета Дмитриевна</v>
      </c>
      <c r="C750" s="75" t="str">
        <f ca="1">IFERROR(__xludf.DUMMYFUNCTION("""COMPUTED_VALUE"""),"Студент")</f>
        <v>Студент</v>
      </c>
    </row>
    <row r="751" spans="1:3">
      <c r="A751" s="76">
        <f ca="1">IFERROR(__xludf.DUMMYFUNCTION("""COMPUTED_VALUE"""),2304153)</f>
        <v>2304153</v>
      </c>
      <c r="B751" s="76" t="str">
        <f ca="1">IFERROR(__xludf.DUMMYFUNCTION("""COMPUTED_VALUE"""),"Шапко Захар Константинович")</f>
        <v>Шапко Захар Константинович</v>
      </c>
      <c r="C751" s="75" t="str">
        <f ca="1">IFERROR(__xludf.DUMMYFUNCTION("""COMPUTED_VALUE"""),"Студент")</f>
        <v>Студент</v>
      </c>
    </row>
    <row r="752" spans="1:3">
      <c r="A752" s="76">
        <f ca="1">IFERROR(__xludf.DUMMYFUNCTION("""COMPUTED_VALUE"""),2304156)</f>
        <v>2304156</v>
      </c>
      <c r="B752" s="76" t="str">
        <f ca="1">IFERROR(__xludf.DUMMYFUNCTION("""COMPUTED_VALUE"""),"Леванова Ксения Сергеевна")</f>
        <v>Леванова Ксения Сергеевна</v>
      </c>
      <c r="C752" s="75" t="str">
        <f ca="1">IFERROR(__xludf.DUMMYFUNCTION("""COMPUTED_VALUE"""),"Студент")</f>
        <v>Студент</v>
      </c>
    </row>
    <row r="753" spans="1:3">
      <c r="A753" s="76">
        <f ca="1">IFERROR(__xludf.DUMMYFUNCTION("""COMPUTED_VALUE"""),2304159)</f>
        <v>2304159</v>
      </c>
      <c r="B753" s="76" t="str">
        <f ca="1">IFERROR(__xludf.DUMMYFUNCTION("""COMPUTED_VALUE"""),"Ломакина Ксения Андреевна")</f>
        <v>Ломакина Ксения Андреевна</v>
      </c>
      <c r="C753" s="75" t="str">
        <f ca="1">IFERROR(__xludf.DUMMYFUNCTION("""COMPUTED_VALUE"""),"Студент")</f>
        <v>Студент</v>
      </c>
    </row>
    <row r="754" spans="1:3">
      <c r="A754" s="76">
        <f ca="1">IFERROR(__xludf.DUMMYFUNCTION("""COMPUTED_VALUE"""),2304160)</f>
        <v>2304160</v>
      </c>
      <c r="B754" s="76" t="str">
        <f ca="1">IFERROR(__xludf.DUMMYFUNCTION("""COMPUTED_VALUE"""),"Серебренникова Анастасия Владимировна")</f>
        <v>Серебренникова Анастасия Владимировна</v>
      </c>
      <c r="C754" s="75" t="str">
        <f ca="1">IFERROR(__xludf.DUMMYFUNCTION("""COMPUTED_VALUE"""),"Студент")</f>
        <v>Студент</v>
      </c>
    </row>
    <row r="755" spans="1:3">
      <c r="A755" s="76">
        <f ca="1">IFERROR(__xludf.DUMMYFUNCTION("""COMPUTED_VALUE"""),2304163)</f>
        <v>2304163</v>
      </c>
      <c r="B755" s="76" t="str">
        <f ca="1">IFERROR(__xludf.DUMMYFUNCTION("""COMPUTED_VALUE"""),"Лебедев Артур Максимович")</f>
        <v>Лебедев Артур Максимович</v>
      </c>
      <c r="C755" s="75" t="str">
        <f ca="1">IFERROR(__xludf.DUMMYFUNCTION("""COMPUTED_VALUE"""),"Студент")</f>
        <v>Студент</v>
      </c>
    </row>
    <row r="756" spans="1:3">
      <c r="A756" s="76">
        <f ca="1">IFERROR(__xludf.DUMMYFUNCTION("""COMPUTED_VALUE"""),2304164)</f>
        <v>2304164</v>
      </c>
      <c r="B756" s="76" t="str">
        <f ca="1">IFERROR(__xludf.DUMMYFUNCTION("""COMPUTED_VALUE"""),"Шашкина Анастасия Леонидовна")</f>
        <v>Шашкина Анастасия Леонидовна</v>
      </c>
      <c r="C756" s="75" t="str">
        <f ca="1">IFERROR(__xludf.DUMMYFUNCTION("""COMPUTED_VALUE"""),"Студент")</f>
        <v>Студент</v>
      </c>
    </row>
    <row r="757" spans="1:3">
      <c r="A757" s="76">
        <f ca="1">IFERROR(__xludf.DUMMYFUNCTION("""COMPUTED_VALUE"""),2304166)</f>
        <v>2304166</v>
      </c>
      <c r="B757" s="76" t="str">
        <f ca="1">IFERROR(__xludf.DUMMYFUNCTION("""COMPUTED_VALUE"""),"Кайков Дмитрий Алексеевич")</f>
        <v>Кайков Дмитрий Алексеевич</v>
      </c>
      <c r="C757" s="75" t="str">
        <f ca="1">IFERROR(__xludf.DUMMYFUNCTION("""COMPUTED_VALUE"""),"Студент")</f>
        <v>Студент</v>
      </c>
    </row>
    <row r="758" spans="1:3">
      <c r="A758" s="76">
        <f ca="1">IFERROR(__xludf.DUMMYFUNCTION("""COMPUTED_VALUE"""),2304168)</f>
        <v>2304168</v>
      </c>
      <c r="B758" s="76" t="str">
        <f ca="1">IFERROR(__xludf.DUMMYFUNCTION("""COMPUTED_VALUE"""),"Расулов Дилмурод Кодирали угли")</f>
        <v>Расулов Дилмурод Кодирали угли</v>
      </c>
      <c r="C758" s="75" t="str">
        <f ca="1">IFERROR(__xludf.DUMMYFUNCTION("""COMPUTED_VALUE"""),"Студент")</f>
        <v>Студент</v>
      </c>
    </row>
    <row r="759" spans="1:3">
      <c r="A759" s="76">
        <f ca="1">IFERROR(__xludf.DUMMYFUNCTION("""COMPUTED_VALUE"""),2304170)</f>
        <v>2304170</v>
      </c>
      <c r="B759" s="76" t="str">
        <f ca="1">IFERROR(__xludf.DUMMYFUNCTION("""COMPUTED_VALUE"""),"Пронькина Виктория Сергеевна")</f>
        <v>Пронькина Виктория Сергеевна</v>
      </c>
      <c r="C759" s="75" t="str">
        <f ca="1">IFERROR(__xludf.DUMMYFUNCTION("""COMPUTED_VALUE"""),"Студент")</f>
        <v>Студент</v>
      </c>
    </row>
    <row r="760" spans="1:3">
      <c r="A760" s="76">
        <f ca="1">IFERROR(__xludf.DUMMYFUNCTION("""COMPUTED_VALUE"""),2304172)</f>
        <v>2304172</v>
      </c>
      <c r="B760" s="76" t="str">
        <f ca="1">IFERROR(__xludf.DUMMYFUNCTION("""COMPUTED_VALUE"""),"Макаров Артём Вячеславович")</f>
        <v>Макаров Артём Вячеславович</v>
      </c>
      <c r="C760" s="75" t="str">
        <f ca="1">IFERROR(__xludf.DUMMYFUNCTION("""COMPUTED_VALUE"""),"Студент")</f>
        <v>Студент</v>
      </c>
    </row>
    <row r="761" spans="1:3">
      <c r="A761" s="76">
        <f ca="1">IFERROR(__xludf.DUMMYFUNCTION("""COMPUTED_VALUE"""),2304175)</f>
        <v>2304175</v>
      </c>
      <c r="B761" s="76" t="str">
        <f ca="1">IFERROR(__xludf.DUMMYFUNCTION("""COMPUTED_VALUE"""),"Дурынин Павел Валерьевич")</f>
        <v>Дурынин Павел Валерьевич</v>
      </c>
      <c r="C761" s="75" t="str">
        <f ca="1">IFERROR(__xludf.DUMMYFUNCTION("""COMPUTED_VALUE"""),"Студент")</f>
        <v>Студент</v>
      </c>
    </row>
    <row r="762" spans="1:3">
      <c r="A762" s="76">
        <f ca="1">IFERROR(__xludf.DUMMYFUNCTION("""COMPUTED_VALUE"""),2304191)</f>
        <v>2304191</v>
      </c>
      <c r="B762" s="76" t="str">
        <f ca="1">IFERROR(__xludf.DUMMYFUNCTION("""COMPUTED_VALUE"""),"Белогуб Илья Дмитриевич")</f>
        <v>Белогуб Илья Дмитриевич</v>
      </c>
      <c r="C762" s="75" t="str">
        <f ca="1">IFERROR(__xludf.DUMMYFUNCTION("""COMPUTED_VALUE"""),"Студент")</f>
        <v>Студент</v>
      </c>
    </row>
    <row r="763" spans="1:3">
      <c r="A763" s="76">
        <f ca="1">IFERROR(__xludf.DUMMYFUNCTION("""COMPUTED_VALUE"""),2304194)</f>
        <v>2304194</v>
      </c>
      <c r="B763" s="76" t="str">
        <f ca="1">IFERROR(__xludf.DUMMYFUNCTION("""COMPUTED_VALUE"""),"Малкина Елена Евгеньевна")</f>
        <v>Малкина Елена Евгеньевна</v>
      </c>
      <c r="C763" s="75" t="str">
        <f ca="1">IFERROR(__xludf.DUMMYFUNCTION("""COMPUTED_VALUE"""),"Студент")</f>
        <v>Студент</v>
      </c>
    </row>
    <row r="764" spans="1:3">
      <c r="A764" s="76">
        <f ca="1">IFERROR(__xludf.DUMMYFUNCTION("""COMPUTED_VALUE"""),2304206)</f>
        <v>2304206</v>
      </c>
      <c r="B764" s="76" t="str">
        <f ca="1">IFERROR(__xludf.DUMMYFUNCTION("""COMPUTED_VALUE"""),"Саидов Мухиддин Анваралиевич")</f>
        <v>Саидов Мухиддин Анваралиевич</v>
      </c>
      <c r="C764" s="75" t="str">
        <f ca="1">IFERROR(__xludf.DUMMYFUNCTION("""COMPUTED_VALUE"""),"Студент")</f>
        <v>Студент</v>
      </c>
    </row>
    <row r="765" spans="1:3">
      <c r="A765" s="76">
        <f ca="1">IFERROR(__xludf.DUMMYFUNCTION("""COMPUTED_VALUE"""),2304208)</f>
        <v>2304208</v>
      </c>
      <c r="B765" s="76" t="str">
        <f ca="1">IFERROR(__xludf.DUMMYFUNCTION("""COMPUTED_VALUE"""),"Ратновская Анна Евгеньевна")</f>
        <v>Ратновская Анна Евгеньевна</v>
      </c>
      <c r="C765" s="75" t="str">
        <f ca="1">IFERROR(__xludf.DUMMYFUNCTION("""COMPUTED_VALUE"""),"Студент")</f>
        <v>Студент</v>
      </c>
    </row>
    <row r="766" spans="1:3">
      <c r="A766" s="76">
        <f ca="1">IFERROR(__xludf.DUMMYFUNCTION("""COMPUTED_VALUE"""),2304211)</f>
        <v>2304211</v>
      </c>
      <c r="B766" s="76" t="str">
        <f ca="1">IFERROR(__xludf.DUMMYFUNCTION("""COMPUTED_VALUE"""),"Адонин Артем Сергеевич")</f>
        <v>Адонин Артем Сергеевич</v>
      </c>
      <c r="C766" s="75" t="str">
        <f ca="1">IFERROR(__xludf.DUMMYFUNCTION("""COMPUTED_VALUE"""),"Студент")</f>
        <v>Студент</v>
      </c>
    </row>
    <row r="767" spans="1:3">
      <c r="A767" s="76">
        <f ca="1">IFERROR(__xludf.DUMMYFUNCTION("""COMPUTED_VALUE"""),2304217)</f>
        <v>2304217</v>
      </c>
      <c r="B767" s="76" t="str">
        <f ca="1">IFERROR(__xludf.DUMMYFUNCTION("""COMPUTED_VALUE"""),"Файзуллоев Талбонжон Саиджалолович")</f>
        <v>Файзуллоев Талбонжон Саиджалолович</v>
      </c>
      <c r="C767" s="75" t="str">
        <f ca="1">IFERROR(__xludf.DUMMYFUNCTION("""COMPUTED_VALUE"""),"Студент")</f>
        <v>Студент</v>
      </c>
    </row>
    <row r="768" spans="1:3">
      <c r="A768" s="76">
        <f ca="1">IFERROR(__xludf.DUMMYFUNCTION("""COMPUTED_VALUE"""),2304221)</f>
        <v>2304221</v>
      </c>
      <c r="B768" s="76" t="str">
        <f ca="1">IFERROR(__xludf.DUMMYFUNCTION("""COMPUTED_VALUE"""),"Рахмонова Мафтуна Амруллоевна")</f>
        <v>Рахмонова Мафтуна Амруллоевна</v>
      </c>
      <c r="C768" s="75" t="str">
        <f ca="1">IFERROR(__xludf.DUMMYFUNCTION("""COMPUTED_VALUE"""),"Студент")</f>
        <v>Студент</v>
      </c>
    </row>
    <row r="769" spans="1:3">
      <c r="A769" s="76">
        <f ca="1">IFERROR(__xludf.DUMMYFUNCTION("""COMPUTED_VALUE"""),2304223)</f>
        <v>2304223</v>
      </c>
      <c r="B769" s="76" t="str">
        <f ca="1">IFERROR(__xludf.DUMMYFUNCTION("""COMPUTED_VALUE"""),"Бадмацыренов Алдар Саянович")</f>
        <v>Бадмацыренов Алдар Саянович</v>
      </c>
      <c r="C769" s="75" t="str">
        <f ca="1">IFERROR(__xludf.DUMMYFUNCTION("""COMPUTED_VALUE"""),"Студент")</f>
        <v>Студент</v>
      </c>
    </row>
    <row r="770" spans="1:3">
      <c r="A770" s="76">
        <f ca="1">IFERROR(__xludf.DUMMYFUNCTION("""COMPUTED_VALUE"""),2304225)</f>
        <v>2304225</v>
      </c>
      <c r="B770" s="76" t="str">
        <f ca="1">IFERROR(__xludf.DUMMYFUNCTION("""COMPUTED_VALUE"""),"Микова Вероника Юрьевна")</f>
        <v>Микова Вероника Юрьевна</v>
      </c>
      <c r="C770" s="75" t="str">
        <f ca="1">IFERROR(__xludf.DUMMYFUNCTION("""COMPUTED_VALUE"""),"Студент")</f>
        <v>Студент</v>
      </c>
    </row>
    <row r="771" spans="1:3">
      <c r="A771" s="76">
        <f ca="1">IFERROR(__xludf.DUMMYFUNCTION("""COMPUTED_VALUE"""),2304251)</f>
        <v>2304251</v>
      </c>
      <c r="B771" s="76" t="str">
        <f ca="1">IFERROR(__xludf.DUMMYFUNCTION("""COMPUTED_VALUE"""),"Чистов Егор Павлович")</f>
        <v>Чистов Егор Павлович</v>
      </c>
      <c r="C771" s="75" t="str">
        <f ca="1">IFERROR(__xludf.DUMMYFUNCTION("""COMPUTED_VALUE"""),"Студент")</f>
        <v>Студент</v>
      </c>
    </row>
    <row r="772" spans="1:3">
      <c r="A772" s="76">
        <f ca="1">IFERROR(__xludf.DUMMYFUNCTION("""COMPUTED_VALUE"""),2304253)</f>
        <v>2304253</v>
      </c>
      <c r="B772" s="76" t="str">
        <f ca="1">IFERROR(__xludf.DUMMYFUNCTION("""COMPUTED_VALUE"""),"Асадулина Альяна Анатольевна")</f>
        <v>Асадулина Альяна Анатольевна</v>
      </c>
      <c r="C772" s="75" t="str">
        <f ca="1">IFERROR(__xludf.DUMMYFUNCTION("""COMPUTED_VALUE"""),"Студент")</f>
        <v>Студент</v>
      </c>
    </row>
    <row r="773" spans="1:3">
      <c r="A773" s="76">
        <f ca="1">IFERROR(__xludf.DUMMYFUNCTION("""COMPUTED_VALUE"""),2304258)</f>
        <v>2304258</v>
      </c>
      <c r="B773" s="76" t="str">
        <f ca="1">IFERROR(__xludf.DUMMYFUNCTION("""COMPUTED_VALUE"""),"Павлов Юрий Алексеевич")</f>
        <v>Павлов Юрий Алексеевич</v>
      </c>
      <c r="C773" s="75" t="str">
        <f ca="1">IFERROR(__xludf.DUMMYFUNCTION("""COMPUTED_VALUE"""),"Студент")</f>
        <v>Студент</v>
      </c>
    </row>
    <row r="774" spans="1:3">
      <c r="A774" s="76">
        <f ca="1">IFERROR(__xludf.DUMMYFUNCTION("""COMPUTED_VALUE"""),2304259)</f>
        <v>2304259</v>
      </c>
      <c r="B774" s="76" t="str">
        <f ca="1">IFERROR(__xludf.DUMMYFUNCTION("""COMPUTED_VALUE"""),"Плишко Денис Владимирович")</f>
        <v>Плишко Денис Владимирович</v>
      </c>
      <c r="C774" s="75" t="str">
        <f ca="1">IFERROR(__xludf.DUMMYFUNCTION("""COMPUTED_VALUE"""),"Студент")</f>
        <v>Студент</v>
      </c>
    </row>
    <row r="775" spans="1:3">
      <c r="A775" s="76">
        <f ca="1">IFERROR(__xludf.DUMMYFUNCTION("""COMPUTED_VALUE"""),2304265)</f>
        <v>2304265</v>
      </c>
      <c r="B775" s="76" t="str">
        <f ca="1">IFERROR(__xludf.DUMMYFUNCTION("""COMPUTED_VALUE"""),"Стребкова Юлия Евгеньевна")</f>
        <v>Стребкова Юлия Евгеньевна</v>
      </c>
      <c r="C775" s="75" t="str">
        <f ca="1">IFERROR(__xludf.DUMMYFUNCTION("""COMPUTED_VALUE"""),"Студент")</f>
        <v>Студент</v>
      </c>
    </row>
    <row r="776" spans="1:3">
      <c r="A776" s="76">
        <f ca="1">IFERROR(__xludf.DUMMYFUNCTION("""COMPUTED_VALUE"""),2304282)</f>
        <v>2304282</v>
      </c>
      <c r="B776" s="76" t="str">
        <f ca="1">IFERROR(__xludf.DUMMYFUNCTION("""COMPUTED_VALUE"""),"Зданович Николай Сергеевич")</f>
        <v>Зданович Николай Сергеевич</v>
      </c>
      <c r="C776" s="75" t="str">
        <f ca="1">IFERROR(__xludf.DUMMYFUNCTION("""COMPUTED_VALUE"""),"Студент")</f>
        <v>Студент</v>
      </c>
    </row>
    <row r="777" spans="1:3">
      <c r="A777" s="76">
        <f ca="1">IFERROR(__xludf.DUMMYFUNCTION("""COMPUTED_VALUE"""),2304283)</f>
        <v>2304283</v>
      </c>
      <c r="B777" s="76" t="str">
        <f ca="1">IFERROR(__xludf.DUMMYFUNCTION("""COMPUTED_VALUE"""),"Короткова Василина Ильинична")</f>
        <v>Короткова Василина Ильинична</v>
      </c>
      <c r="C777" s="75" t="str">
        <f ca="1">IFERROR(__xludf.DUMMYFUNCTION("""COMPUTED_VALUE"""),"Студент")</f>
        <v>Студент</v>
      </c>
    </row>
    <row r="778" spans="1:3">
      <c r="A778" s="76">
        <f ca="1">IFERROR(__xludf.DUMMYFUNCTION("""COMPUTED_VALUE"""),2304292)</f>
        <v>2304292</v>
      </c>
      <c r="B778" s="76" t="str">
        <f ca="1">IFERROR(__xludf.DUMMYFUNCTION("""COMPUTED_VALUE"""),"Селезнева Анастасия Олеговна")</f>
        <v>Селезнева Анастасия Олеговна</v>
      </c>
      <c r="C778" s="75" t="str">
        <f ca="1">IFERROR(__xludf.DUMMYFUNCTION("""COMPUTED_VALUE"""),"Студент")</f>
        <v>Студент</v>
      </c>
    </row>
    <row r="779" spans="1:3">
      <c r="A779" s="76">
        <f ca="1">IFERROR(__xludf.DUMMYFUNCTION("""COMPUTED_VALUE"""),2304299)</f>
        <v>2304299</v>
      </c>
      <c r="B779" s="76" t="str">
        <f ca="1">IFERROR(__xludf.DUMMYFUNCTION("""COMPUTED_VALUE"""),"Потапов Кирилл Геннадьевич")</f>
        <v>Потапов Кирилл Геннадьевич</v>
      </c>
      <c r="C779" s="75" t="str">
        <f ca="1">IFERROR(__xludf.DUMMYFUNCTION("""COMPUTED_VALUE"""),"Студент")</f>
        <v>Студент</v>
      </c>
    </row>
    <row r="780" spans="1:3">
      <c r="A780" s="76">
        <f ca="1">IFERROR(__xludf.DUMMYFUNCTION("""COMPUTED_VALUE"""),2304307)</f>
        <v>2304307</v>
      </c>
      <c r="B780" s="76" t="str">
        <f ca="1">IFERROR(__xludf.DUMMYFUNCTION("""COMPUTED_VALUE"""),"Коряк Владимир Александрович")</f>
        <v>Коряк Владимир Александрович</v>
      </c>
      <c r="C780" s="75" t="str">
        <f ca="1">IFERROR(__xludf.DUMMYFUNCTION("""COMPUTED_VALUE"""),"Студент")</f>
        <v>Студент</v>
      </c>
    </row>
    <row r="781" spans="1:3">
      <c r="A781" s="76">
        <f ca="1">IFERROR(__xludf.DUMMYFUNCTION("""COMPUTED_VALUE"""),2304309)</f>
        <v>2304309</v>
      </c>
      <c r="B781" s="76" t="str">
        <f ca="1">IFERROR(__xludf.DUMMYFUNCTION("""COMPUTED_VALUE"""),"Васькова Мария Алексеевна")</f>
        <v>Васькова Мария Алексеевна</v>
      </c>
      <c r="C781" s="75" t="str">
        <f ca="1">IFERROR(__xludf.DUMMYFUNCTION("""COMPUTED_VALUE"""),"Студент")</f>
        <v>Студент</v>
      </c>
    </row>
    <row r="782" spans="1:3">
      <c r="A782" s="76">
        <f ca="1">IFERROR(__xludf.DUMMYFUNCTION("""COMPUTED_VALUE"""),2304310)</f>
        <v>2304310</v>
      </c>
      <c r="B782" s="76" t="str">
        <f ca="1">IFERROR(__xludf.DUMMYFUNCTION("""COMPUTED_VALUE"""),"Хмелев Артем Сергеевич")</f>
        <v>Хмелев Артем Сергеевич</v>
      </c>
      <c r="C782" s="75" t="str">
        <f ca="1">IFERROR(__xludf.DUMMYFUNCTION("""COMPUTED_VALUE"""),"Студент")</f>
        <v>Студент</v>
      </c>
    </row>
    <row r="783" spans="1:3">
      <c r="A783" s="76">
        <f ca="1">IFERROR(__xludf.DUMMYFUNCTION("""COMPUTED_VALUE"""),2304318)</f>
        <v>2304318</v>
      </c>
      <c r="B783" s="76" t="str">
        <f ca="1">IFERROR(__xludf.DUMMYFUNCTION("""COMPUTED_VALUE"""),"Печенкин Евгений Александрович")</f>
        <v>Печенкин Евгений Александрович</v>
      </c>
      <c r="C783" s="75" t="str">
        <f ca="1">IFERROR(__xludf.DUMMYFUNCTION("""COMPUTED_VALUE"""),"Студент")</f>
        <v>Студент</v>
      </c>
    </row>
    <row r="784" spans="1:3">
      <c r="A784" s="76">
        <f ca="1">IFERROR(__xludf.DUMMYFUNCTION("""COMPUTED_VALUE"""),2304319)</f>
        <v>2304319</v>
      </c>
      <c r="B784" s="76" t="str">
        <f ca="1">IFERROR(__xludf.DUMMYFUNCTION("""COMPUTED_VALUE"""),"Сергеев Александр Владиславович")</f>
        <v>Сергеев Александр Владиславович</v>
      </c>
      <c r="C784" s="75" t="str">
        <f ca="1">IFERROR(__xludf.DUMMYFUNCTION("""COMPUTED_VALUE"""),"Студент")</f>
        <v>Студент</v>
      </c>
    </row>
    <row r="785" spans="1:3">
      <c r="A785" s="76">
        <f ca="1">IFERROR(__xludf.DUMMYFUNCTION("""COMPUTED_VALUE"""),2304327)</f>
        <v>2304327</v>
      </c>
      <c r="B785" s="76" t="str">
        <f ca="1">IFERROR(__xludf.DUMMYFUNCTION("""COMPUTED_VALUE"""),"Халимова Рамила Гюльагаевна")</f>
        <v>Халимова Рамила Гюльагаевна</v>
      </c>
      <c r="C785" s="75" t="str">
        <f ca="1">IFERROR(__xludf.DUMMYFUNCTION("""COMPUTED_VALUE"""),"Студент")</f>
        <v>Студент</v>
      </c>
    </row>
    <row r="786" spans="1:3">
      <c r="A786" s="76">
        <f ca="1">IFERROR(__xludf.DUMMYFUNCTION("""COMPUTED_VALUE"""),2304340)</f>
        <v>2304340</v>
      </c>
      <c r="B786" s="76" t="str">
        <f ca="1">IFERROR(__xludf.DUMMYFUNCTION("""COMPUTED_VALUE"""),"Яковенко Владислав Вячеславович")</f>
        <v>Яковенко Владислав Вячеславович</v>
      </c>
      <c r="C786" s="75" t="str">
        <f ca="1">IFERROR(__xludf.DUMMYFUNCTION("""COMPUTED_VALUE"""),"Студент")</f>
        <v>Студент</v>
      </c>
    </row>
    <row r="787" spans="1:3">
      <c r="A787" s="76">
        <f ca="1">IFERROR(__xludf.DUMMYFUNCTION("""COMPUTED_VALUE"""),2304349)</f>
        <v>2304349</v>
      </c>
      <c r="B787" s="76" t="str">
        <f ca="1">IFERROR(__xludf.DUMMYFUNCTION("""COMPUTED_VALUE"""),"Васильева Мария Максимовна")</f>
        <v>Васильева Мария Максимовна</v>
      </c>
      <c r="C787" s="75" t="str">
        <f ca="1">IFERROR(__xludf.DUMMYFUNCTION("""COMPUTED_VALUE"""),"Студент")</f>
        <v>Студент</v>
      </c>
    </row>
    <row r="788" spans="1:3">
      <c r="A788" s="76">
        <f ca="1">IFERROR(__xludf.DUMMYFUNCTION("""COMPUTED_VALUE"""),2304351)</f>
        <v>2304351</v>
      </c>
      <c r="B788" s="76" t="str">
        <f ca="1">IFERROR(__xludf.DUMMYFUNCTION("""COMPUTED_VALUE"""),"Дарханов Тимур Дмитриевич")</f>
        <v>Дарханов Тимур Дмитриевич</v>
      </c>
      <c r="C788" s="75" t="str">
        <f ca="1">IFERROR(__xludf.DUMMYFUNCTION("""COMPUTED_VALUE"""),"Студент")</f>
        <v>Студент</v>
      </c>
    </row>
    <row r="789" spans="1:3">
      <c r="A789" s="76">
        <f ca="1">IFERROR(__xludf.DUMMYFUNCTION("""COMPUTED_VALUE"""),2304355)</f>
        <v>2304355</v>
      </c>
      <c r="B789" s="76" t="str">
        <f ca="1">IFERROR(__xludf.DUMMYFUNCTION("""COMPUTED_VALUE"""),"Гейченко Ярослав Олегович")</f>
        <v>Гейченко Ярослав Олегович</v>
      </c>
      <c r="C789" s="75" t="str">
        <f ca="1">IFERROR(__xludf.DUMMYFUNCTION("""COMPUTED_VALUE"""),"Студент")</f>
        <v>Студент</v>
      </c>
    </row>
    <row r="790" spans="1:3">
      <c r="A790" s="76">
        <f ca="1">IFERROR(__xludf.DUMMYFUNCTION("""COMPUTED_VALUE"""),2304357)</f>
        <v>2304357</v>
      </c>
      <c r="B790" s="76" t="str">
        <f ca="1">IFERROR(__xludf.DUMMYFUNCTION("""COMPUTED_VALUE"""),"Горобинский Михаил Владиславович")</f>
        <v>Горобинский Михаил Владиславович</v>
      </c>
      <c r="C790" s="75" t="str">
        <f ca="1">IFERROR(__xludf.DUMMYFUNCTION("""COMPUTED_VALUE"""),"Студент")</f>
        <v>Студент</v>
      </c>
    </row>
    <row r="791" spans="1:3">
      <c r="A791" s="76">
        <f ca="1">IFERROR(__xludf.DUMMYFUNCTION("""COMPUTED_VALUE"""),2304358)</f>
        <v>2304358</v>
      </c>
      <c r="B791" s="76" t="str">
        <f ca="1">IFERROR(__xludf.DUMMYFUNCTION("""COMPUTED_VALUE"""),"Ермаков Артемий Романович")</f>
        <v>Ермаков Артемий Романович</v>
      </c>
      <c r="C791" s="75" t="str">
        <f ca="1">IFERROR(__xludf.DUMMYFUNCTION("""COMPUTED_VALUE"""),"Студент")</f>
        <v>Студент</v>
      </c>
    </row>
    <row r="792" spans="1:3">
      <c r="A792" s="76">
        <f ca="1">IFERROR(__xludf.DUMMYFUNCTION("""COMPUTED_VALUE"""),2304369)</f>
        <v>2304369</v>
      </c>
      <c r="B792" s="76" t="str">
        <f ca="1">IFERROR(__xludf.DUMMYFUNCTION("""COMPUTED_VALUE"""),"Сиротина Кристина Владимировна")</f>
        <v>Сиротина Кристина Владимировна</v>
      </c>
      <c r="C792" s="75" t="str">
        <f ca="1">IFERROR(__xludf.DUMMYFUNCTION("""COMPUTED_VALUE"""),"Студент")</f>
        <v>Студент</v>
      </c>
    </row>
    <row r="793" spans="1:3">
      <c r="A793" s="76">
        <f ca="1">IFERROR(__xludf.DUMMYFUNCTION("""COMPUTED_VALUE"""),2304371)</f>
        <v>2304371</v>
      </c>
      <c r="B793" s="76" t="str">
        <f ca="1">IFERROR(__xludf.DUMMYFUNCTION("""COMPUTED_VALUE"""),"Надкин Матвей Игоревич")</f>
        <v>Надкин Матвей Игоревич</v>
      </c>
      <c r="C793" s="75" t="str">
        <f ca="1">IFERROR(__xludf.DUMMYFUNCTION("""COMPUTED_VALUE"""),"Студент")</f>
        <v>Студент</v>
      </c>
    </row>
    <row r="794" spans="1:3">
      <c r="A794" s="76">
        <f ca="1">IFERROR(__xludf.DUMMYFUNCTION("""COMPUTED_VALUE"""),2304375)</f>
        <v>2304375</v>
      </c>
      <c r="B794" s="76" t="str">
        <f ca="1">IFERROR(__xludf.DUMMYFUNCTION("""COMPUTED_VALUE"""),"Улановская Анастасия Максимовна")</f>
        <v>Улановская Анастасия Максимовна</v>
      </c>
      <c r="C794" s="75" t="str">
        <f ca="1">IFERROR(__xludf.DUMMYFUNCTION("""COMPUTED_VALUE"""),"Студент")</f>
        <v>Студент</v>
      </c>
    </row>
    <row r="795" spans="1:3">
      <c r="A795" s="76">
        <f ca="1">IFERROR(__xludf.DUMMYFUNCTION("""COMPUTED_VALUE"""),2304377)</f>
        <v>2304377</v>
      </c>
      <c r="B795" s="76" t="str">
        <f ca="1">IFERROR(__xludf.DUMMYFUNCTION("""COMPUTED_VALUE"""),"Рейнтова Мария Александровна")</f>
        <v>Рейнтова Мария Александровна</v>
      </c>
      <c r="C795" s="75" t="str">
        <f ca="1">IFERROR(__xludf.DUMMYFUNCTION("""COMPUTED_VALUE"""),"Студент")</f>
        <v>Студент</v>
      </c>
    </row>
    <row r="796" spans="1:3">
      <c r="A796" s="76">
        <f ca="1">IFERROR(__xludf.DUMMYFUNCTION("""COMPUTED_VALUE"""),2304378)</f>
        <v>2304378</v>
      </c>
      <c r="B796" s="76" t="str">
        <f ca="1">IFERROR(__xludf.DUMMYFUNCTION("""COMPUTED_VALUE"""),"Халифаев Шарафманд Рахмонович")</f>
        <v>Халифаев Шарафманд Рахмонович</v>
      </c>
      <c r="C796" s="75" t="str">
        <f ca="1">IFERROR(__xludf.DUMMYFUNCTION("""COMPUTED_VALUE"""),"Студент")</f>
        <v>Студент</v>
      </c>
    </row>
    <row r="797" spans="1:3">
      <c r="A797" s="76">
        <f ca="1">IFERROR(__xludf.DUMMYFUNCTION("""COMPUTED_VALUE"""),2304380)</f>
        <v>2304380</v>
      </c>
      <c r="B797" s="76" t="str">
        <f ca="1">IFERROR(__xludf.DUMMYFUNCTION("""COMPUTED_VALUE"""),"Дажы-Сегбе Дорже Сылдысович")</f>
        <v>Дажы-Сегбе Дорже Сылдысович</v>
      </c>
      <c r="C797" s="75" t="str">
        <f ca="1">IFERROR(__xludf.DUMMYFUNCTION("""COMPUTED_VALUE"""),"Студент")</f>
        <v>Студент</v>
      </c>
    </row>
    <row r="798" spans="1:3">
      <c r="A798" s="76">
        <f ca="1">IFERROR(__xludf.DUMMYFUNCTION("""COMPUTED_VALUE"""),2304400)</f>
        <v>2304400</v>
      </c>
      <c r="B798" s="76" t="str">
        <f ca="1">IFERROR(__xludf.DUMMYFUNCTION("""COMPUTED_VALUE"""),"Султонзода Абунаср Вахоб")</f>
        <v>Султонзода Абунаср Вахоб</v>
      </c>
      <c r="C798" s="75" t="str">
        <f ca="1">IFERROR(__xludf.DUMMYFUNCTION("""COMPUTED_VALUE"""),"Студент")</f>
        <v>Студент</v>
      </c>
    </row>
    <row r="799" spans="1:3">
      <c r="A799" s="76">
        <f ca="1">IFERROR(__xludf.DUMMYFUNCTION("""COMPUTED_VALUE"""),2304413)</f>
        <v>2304413</v>
      </c>
      <c r="B799" s="76" t="str">
        <f ca="1">IFERROR(__xludf.DUMMYFUNCTION("""COMPUTED_VALUE"""),"Клишина Анастасия Александровна")</f>
        <v>Клишина Анастасия Александровна</v>
      </c>
      <c r="C799" s="75" t="str">
        <f ca="1">IFERROR(__xludf.DUMMYFUNCTION("""COMPUTED_VALUE"""),"Студент")</f>
        <v>Студент</v>
      </c>
    </row>
    <row r="800" spans="1:3">
      <c r="A800" s="76">
        <f ca="1">IFERROR(__xludf.DUMMYFUNCTION("""COMPUTED_VALUE"""),2304414)</f>
        <v>2304414</v>
      </c>
      <c r="B800" s="76" t="str">
        <f ca="1">IFERROR(__xludf.DUMMYFUNCTION("""COMPUTED_VALUE"""),"Вольшонок Федор Игоревич")</f>
        <v>Вольшонок Федор Игоревич</v>
      </c>
      <c r="C800" s="75" t="str">
        <f ca="1">IFERROR(__xludf.DUMMYFUNCTION("""COMPUTED_VALUE"""),"Студент")</f>
        <v>Студент</v>
      </c>
    </row>
    <row r="801" spans="1:3">
      <c r="A801" s="76">
        <f ca="1">IFERROR(__xludf.DUMMYFUNCTION("""COMPUTED_VALUE"""),2304415)</f>
        <v>2304415</v>
      </c>
      <c r="B801" s="76" t="str">
        <f ca="1">IFERROR(__xludf.DUMMYFUNCTION("""COMPUTED_VALUE"""),"Смирнов Данил Александрович")</f>
        <v>Смирнов Данил Александрович</v>
      </c>
      <c r="C801" s="75" t="str">
        <f ca="1">IFERROR(__xludf.DUMMYFUNCTION("""COMPUTED_VALUE"""),"Студент")</f>
        <v>Студент</v>
      </c>
    </row>
    <row r="802" spans="1:3">
      <c r="A802" s="76">
        <f ca="1">IFERROR(__xludf.DUMMYFUNCTION("""COMPUTED_VALUE"""),2304428)</f>
        <v>2304428</v>
      </c>
      <c r="B802" s="76" t="str">
        <f ca="1">IFERROR(__xludf.DUMMYFUNCTION("""COMPUTED_VALUE"""),"Миронов Егор Андреевич")</f>
        <v>Миронов Егор Андреевич</v>
      </c>
      <c r="C802" s="75" t="str">
        <f ca="1">IFERROR(__xludf.DUMMYFUNCTION("""COMPUTED_VALUE"""),"Студент")</f>
        <v>Студент</v>
      </c>
    </row>
    <row r="803" spans="1:3">
      <c r="A803" s="76">
        <f ca="1">IFERROR(__xludf.DUMMYFUNCTION("""COMPUTED_VALUE"""),2304430)</f>
        <v>2304430</v>
      </c>
      <c r="B803" s="76" t="str">
        <f ca="1">IFERROR(__xludf.DUMMYFUNCTION("""COMPUTED_VALUE"""),"Ярушкевич Руслан Владимирович")</f>
        <v>Ярушкевич Руслан Владимирович</v>
      </c>
      <c r="C803" s="75" t="str">
        <f ca="1">IFERROR(__xludf.DUMMYFUNCTION("""COMPUTED_VALUE"""),"Студент")</f>
        <v>Студент</v>
      </c>
    </row>
    <row r="804" spans="1:3">
      <c r="A804" s="76">
        <f ca="1">IFERROR(__xludf.DUMMYFUNCTION("""COMPUTED_VALUE"""),2304432)</f>
        <v>2304432</v>
      </c>
      <c r="B804" s="76" t="str">
        <f ca="1">IFERROR(__xludf.DUMMYFUNCTION("""COMPUTED_VALUE"""),"Стрельников Андрей Романович")</f>
        <v>Стрельников Андрей Романович</v>
      </c>
      <c r="C804" s="75" t="str">
        <f ca="1">IFERROR(__xludf.DUMMYFUNCTION("""COMPUTED_VALUE"""),"Студент")</f>
        <v>Студент</v>
      </c>
    </row>
    <row r="805" spans="1:3">
      <c r="A805" s="76">
        <f ca="1">IFERROR(__xludf.DUMMYFUNCTION("""COMPUTED_VALUE"""),2304445)</f>
        <v>2304445</v>
      </c>
      <c r="B805" s="76" t="str">
        <f ca="1">IFERROR(__xludf.DUMMYFUNCTION("""COMPUTED_VALUE"""),"Беляев Владимир Антонович")</f>
        <v>Беляев Владимир Антонович</v>
      </c>
      <c r="C805" s="75" t="str">
        <f ca="1">IFERROR(__xludf.DUMMYFUNCTION("""COMPUTED_VALUE"""),"Студент")</f>
        <v>Студент</v>
      </c>
    </row>
    <row r="806" spans="1:3">
      <c r="A806" s="76">
        <f ca="1">IFERROR(__xludf.DUMMYFUNCTION("""COMPUTED_VALUE"""),2304446)</f>
        <v>2304446</v>
      </c>
      <c r="B806" s="76" t="str">
        <f ca="1">IFERROR(__xludf.DUMMYFUNCTION("""COMPUTED_VALUE"""),"Мельникова Мария Федоровна")</f>
        <v>Мельникова Мария Федоровна</v>
      </c>
      <c r="C806" s="75" t="str">
        <f ca="1">IFERROR(__xludf.DUMMYFUNCTION("""COMPUTED_VALUE"""),"Студент")</f>
        <v>Студент</v>
      </c>
    </row>
    <row r="807" spans="1:3">
      <c r="A807" s="76">
        <f ca="1">IFERROR(__xludf.DUMMYFUNCTION("""COMPUTED_VALUE"""),2304450)</f>
        <v>2304450</v>
      </c>
      <c r="B807" s="76" t="str">
        <f ca="1">IFERROR(__xludf.DUMMYFUNCTION("""COMPUTED_VALUE"""),"Тудаков Максим Вячеславович")</f>
        <v>Тудаков Максим Вячеславович</v>
      </c>
      <c r="C807" s="75" t="str">
        <f ca="1">IFERROR(__xludf.DUMMYFUNCTION("""COMPUTED_VALUE"""),"Студент")</f>
        <v>Студент</v>
      </c>
    </row>
    <row r="808" spans="1:3">
      <c r="A808" s="76">
        <f ca="1">IFERROR(__xludf.DUMMYFUNCTION("""COMPUTED_VALUE"""),2304451)</f>
        <v>2304451</v>
      </c>
      <c r="B808" s="76" t="str">
        <f ca="1">IFERROR(__xludf.DUMMYFUNCTION("""COMPUTED_VALUE"""),"Тенце Мария Алексеевна")</f>
        <v>Тенце Мария Алексеевна</v>
      </c>
      <c r="C808" s="75" t="str">
        <f ca="1">IFERROR(__xludf.DUMMYFUNCTION("""COMPUTED_VALUE"""),"Студент")</f>
        <v>Студент</v>
      </c>
    </row>
    <row r="809" spans="1:3">
      <c r="A809" s="76">
        <f ca="1">IFERROR(__xludf.DUMMYFUNCTION("""COMPUTED_VALUE"""),2304454)</f>
        <v>2304454</v>
      </c>
      <c r="B809" s="76" t="str">
        <f ca="1">IFERROR(__xludf.DUMMYFUNCTION("""COMPUTED_VALUE"""),"Баранов Антон Геннадьевич")</f>
        <v>Баранов Антон Геннадьевич</v>
      </c>
      <c r="C809" s="75" t="str">
        <f ca="1">IFERROR(__xludf.DUMMYFUNCTION("""COMPUTED_VALUE"""),"Студент")</f>
        <v>Студент</v>
      </c>
    </row>
    <row r="810" spans="1:3">
      <c r="A810" s="76">
        <f ca="1">IFERROR(__xludf.DUMMYFUNCTION("""COMPUTED_VALUE"""),2304456)</f>
        <v>2304456</v>
      </c>
      <c r="B810" s="76" t="str">
        <f ca="1">IFERROR(__xludf.DUMMYFUNCTION("""COMPUTED_VALUE"""),"Луценко Александра Викторовна")</f>
        <v>Луценко Александра Викторовна</v>
      </c>
      <c r="C810" s="75" t="str">
        <f ca="1">IFERROR(__xludf.DUMMYFUNCTION("""COMPUTED_VALUE"""),"Студент")</f>
        <v>Студент</v>
      </c>
    </row>
    <row r="811" spans="1:3">
      <c r="A811" s="76">
        <f ca="1">IFERROR(__xludf.DUMMYFUNCTION("""COMPUTED_VALUE"""),2304460)</f>
        <v>2304460</v>
      </c>
      <c r="B811" s="76" t="str">
        <f ca="1">IFERROR(__xludf.DUMMYFUNCTION("""COMPUTED_VALUE"""),"Емельянова Анфиса Владимировна")</f>
        <v>Емельянова Анфиса Владимировна</v>
      </c>
      <c r="C811" s="75" t="str">
        <f ca="1">IFERROR(__xludf.DUMMYFUNCTION("""COMPUTED_VALUE"""),"Студент")</f>
        <v>Студент</v>
      </c>
    </row>
    <row r="812" spans="1:3">
      <c r="A812" s="76">
        <f ca="1">IFERROR(__xludf.DUMMYFUNCTION("""COMPUTED_VALUE"""),2304465)</f>
        <v>2304465</v>
      </c>
      <c r="B812" s="76" t="str">
        <f ca="1">IFERROR(__xludf.DUMMYFUNCTION("""COMPUTED_VALUE"""),"Чернов Александр Михайлович")</f>
        <v>Чернов Александр Михайлович</v>
      </c>
      <c r="C812" s="75" t="str">
        <f ca="1">IFERROR(__xludf.DUMMYFUNCTION("""COMPUTED_VALUE"""),"Студент")</f>
        <v>Студент</v>
      </c>
    </row>
    <row r="813" spans="1:3">
      <c r="A813" s="76">
        <f ca="1">IFERROR(__xludf.DUMMYFUNCTION("""COMPUTED_VALUE"""),2304473)</f>
        <v>2304473</v>
      </c>
      <c r="B813" s="76" t="str">
        <f ca="1">IFERROR(__xludf.DUMMYFUNCTION("""COMPUTED_VALUE"""),"Ломовцева Светлана Андреевна")</f>
        <v>Ломовцева Светлана Андреевна</v>
      </c>
      <c r="C813" s="75" t="str">
        <f ca="1">IFERROR(__xludf.DUMMYFUNCTION("""COMPUTED_VALUE"""),"Студент")</f>
        <v>Студент</v>
      </c>
    </row>
    <row r="814" spans="1:3">
      <c r="A814" s="76">
        <f ca="1">IFERROR(__xludf.DUMMYFUNCTION("""COMPUTED_VALUE"""),2304481)</f>
        <v>2304481</v>
      </c>
      <c r="B814" s="76" t="str">
        <f ca="1">IFERROR(__xludf.DUMMYFUNCTION("""COMPUTED_VALUE"""),"Щукин Егор Алексеевич")</f>
        <v>Щукин Егор Алексеевич</v>
      </c>
      <c r="C814" s="75" t="str">
        <f ca="1">IFERROR(__xludf.DUMMYFUNCTION("""COMPUTED_VALUE"""),"Студент")</f>
        <v>Студент</v>
      </c>
    </row>
    <row r="815" spans="1:3">
      <c r="A815" s="76">
        <f ca="1">IFERROR(__xludf.DUMMYFUNCTION("""COMPUTED_VALUE"""),2304483)</f>
        <v>2304483</v>
      </c>
      <c r="B815" s="76" t="str">
        <f ca="1">IFERROR(__xludf.DUMMYFUNCTION("""COMPUTED_VALUE"""),"Зулувов Анвар Маратович")</f>
        <v>Зулувов Анвар Маратович</v>
      </c>
      <c r="C815" s="75" t="str">
        <f ca="1">IFERROR(__xludf.DUMMYFUNCTION("""COMPUTED_VALUE"""),"Студент")</f>
        <v>Студент</v>
      </c>
    </row>
    <row r="816" spans="1:3">
      <c r="A816" s="76">
        <f ca="1">IFERROR(__xludf.DUMMYFUNCTION("""COMPUTED_VALUE"""),2304485)</f>
        <v>2304485</v>
      </c>
      <c r="B816" s="76" t="str">
        <f ca="1">IFERROR(__xludf.DUMMYFUNCTION("""COMPUTED_VALUE"""),"Храмов Андрей Викторович")</f>
        <v>Храмов Андрей Викторович</v>
      </c>
      <c r="C816" s="75" t="str">
        <f ca="1">IFERROR(__xludf.DUMMYFUNCTION("""COMPUTED_VALUE"""),"Студент")</f>
        <v>Студент</v>
      </c>
    </row>
    <row r="817" spans="1:3">
      <c r="A817" s="76">
        <f ca="1">IFERROR(__xludf.DUMMYFUNCTION("""COMPUTED_VALUE"""),2304488)</f>
        <v>2304488</v>
      </c>
      <c r="B817" s="76" t="str">
        <f ca="1">IFERROR(__xludf.DUMMYFUNCTION("""COMPUTED_VALUE"""),"Худякова Виктория Дмитриевна")</f>
        <v>Худякова Виктория Дмитриевна</v>
      </c>
      <c r="C817" s="75" t="str">
        <f ca="1">IFERROR(__xludf.DUMMYFUNCTION("""COMPUTED_VALUE"""),"Студент")</f>
        <v>Студент</v>
      </c>
    </row>
    <row r="818" spans="1:3">
      <c r="A818" s="76">
        <f ca="1">IFERROR(__xludf.DUMMYFUNCTION("""COMPUTED_VALUE"""),2304489)</f>
        <v>2304489</v>
      </c>
      <c r="B818" s="76" t="str">
        <f ca="1">IFERROR(__xludf.DUMMYFUNCTION("""COMPUTED_VALUE"""),"Панин Степан Валерьевич")</f>
        <v>Панин Степан Валерьевич</v>
      </c>
      <c r="C818" s="75" t="str">
        <f ca="1">IFERROR(__xludf.DUMMYFUNCTION("""COMPUTED_VALUE"""),"Студент")</f>
        <v>Студент</v>
      </c>
    </row>
    <row r="819" spans="1:3">
      <c r="A819" s="76">
        <f ca="1">IFERROR(__xludf.DUMMYFUNCTION("""COMPUTED_VALUE"""),2304497)</f>
        <v>2304497</v>
      </c>
      <c r="B819" s="76" t="str">
        <f ca="1">IFERROR(__xludf.DUMMYFUNCTION("""COMPUTED_VALUE"""),"Сурнина Наталья Владимировна")</f>
        <v>Сурнина Наталья Владимировна</v>
      </c>
      <c r="C819" s="75" t="str">
        <f ca="1">IFERROR(__xludf.DUMMYFUNCTION("""COMPUTED_VALUE"""),"Студент")</f>
        <v>Студент</v>
      </c>
    </row>
    <row r="820" spans="1:3">
      <c r="A820" s="76">
        <f ca="1">IFERROR(__xludf.DUMMYFUNCTION("""COMPUTED_VALUE"""),2304511)</f>
        <v>2304511</v>
      </c>
      <c r="B820" s="76" t="str">
        <f ca="1">IFERROR(__xludf.DUMMYFUNCTION("""COMPUTED_VALUE"""),"Махаури Амина Эдуардовна")</f>
        <v>Махаури Амина Эдуардовна</v>
      </c>
      <c r="C820" s="75" t="str">
        <f ca="1">IFERROR(__xludf.DUMMYFUNCTION("""COMPUTED_VALUE"""),"Студент")</f>
        <v>Студент</v>
      </c>
    </row>
    <row r="821" spans="1:3">
      <c r="A821" s="76">
        <f ca="1">IFERROR(__xludf.DUMMYFUNCTION("""COMPUTED_VALUE"""),2304518)</f>
        <v>2304518</v>
      </c>
      <c r="B821" s="76" t="str">
        <f ca="1">IFERROR(__xludf.DUMMYFUNCTION("""COMPUTED_VALUE"""),"Басанский Денис Васильевич")</f>
        <v>Басанский Денис Васильевич</v>
      </c>
      <c r="C821" s="75" t="str">
        <f ca="1">IFERROR(__xludf.DUMMYFUNCTION("""COMPUTED_VALUE"""),"Студент")</f>
        <v>Студент</v>
      </c>
    </row>
    <row r="822" spans="1:3">
      <c r="A822" s="76">
        <f ca="1">IFERROR(__xludf.DUMMYFUNCTION("""COMPUTED_VALUE"""),2304525)</f>
        <v>2304525</v>
      </c>
      <c r="B822" s="76" t="str">
        <f ca="1">IFERROR(__xludf.DUMMYFUNCTION("""COMPUTED_VALUE"""),"Качалина Полина Михайловна")</f>
        <v>Качалина Полина Михайловна</v>
      </c>
      <c r="C822" s="75" t="str">
        <f ca="1">IFERROR(__xludf.DUMMYFUNCTION("""COMPUTED_VALUE"""),"Студент")</f>
        <v>Студент</v>
      </c>
    </row>
    <row r="823" spans="1:3">
      <c r="A823" s="76">
        <f ca="1">IFERROR(__xludf.DUMMYFUNCTION("""COMPUTED_VALUE"""),2304531)</f>
        <v>2304531</v>
      </c>
      <c r="B823" s="76" t="str">
        <f ca="1">IFERROR(__xludf.DUMMYFUNCTION("""COMPUTED_VALUE"""),"Гомонов Алексей Сергеевич")</f>
        <v>Гомонов Алексей Сергеевич</v>
      </c>
      <c r="C823" s="75" t="str">
        <f ca="1">IFERROR(__xludf.DUMMYFUNCTION("""COMPUTED_VALUE"""),"Студент")</f>
        <v>Студент</v>
      </c>
    </row>
    <row r="824" spans="1:3">
      <c r="A824" s="76">
        <f ca="1">IFERROR(__xludf.DUMMYFUNCTION("""COMPUTED_VALUE"""),2304535)</f>
        <v>2304535</v>
      </c>
      <c r="B824" s="76" t="str">
        <f ca="1">IFERROR(__xludf.DUMMYFUNCTION("""COMPUTED_VALUE"""),"Игнатова София Евгеньевна")</f>
        <v>Игнатова София Евгеньевна</v>
      </c>
      <c r="C824" s="75" t="str">
        <f ca="1">IFERROR(__xludf.DUMMYFUNCTION("""COMPUTED_VALUE"""),"Студент")</f>
        <v>Студент</v>
      </c>
    </row>
    <row r="825" spans="1:3">
      <c r="A825" s="76">
        <f ca="1">IFERROR(__xludf.DUMMYFUNCTION("""COMPUTED_VALUE"""),2304542)</f>
        <v>2304542</v>
      </c>
      <c r="B825" s="76" t="str">
        <f ca="1">IFERROR(__xludf.DUMMYFUNCTION("""COMPUTED_VALUE"""),"Наумов Родион Яковлевич")</f>
        <v>Наумов Родион Яковлевич</v>
      </c>
      <c r="C825" s="75" t="str">
        <f ca="1">IFERROR(__xludf.DUMMYFUNCTION("""COMPUTED_VALUE"""),"Студент")</f>
        <v>Студент</v>
      </c>
    </row>
    <row r="826" spans="1:3">
      <c r="A826" s="76">
        <f ca="1">IFERROR(__xludf.DUMMYFUNCTION("""COMPUTED_VALUE"""),2304543)</f>
        <v>2304543</v>
      </c>
      <c r="B826" s="76" t="str">
        <f ca="1">IFERROR(__xludf.DUMMYFUNCTION("""COMPUTED_VALUE"""),"Цыпляев Кирилл Сергеевич")</f>
        <v>Цыпляев Кирилл Сергеевич</v>
      </c>
      <c r="C826" s="75" t="str">
        <f ca="1">IFERROR(__xludf.DUMMYFUNCTION("""COMPUTED_VALUE"""),"Студент")</f>
        <v>Студент</v>
      </c>
    </row>
    <row r="827" spans="1:3">
      <c r="A827" s="76">
        <f ca="1">IFERROR(__xludf.DUMMYFUNCTION("""COMPUTED_VALUE"""),2304549)</f>
        <v>2304549</v>
      </c>
      <c r="B827" s="76" t="str">
        <f ca="1">IFERROR(__xludf.DUMMYFUNCTION("""COMPUTED_VALUE"""),"Пушкарева Екатерина Дмитриевна")</f>
        <v>Пушкарева Екатерина Дмитриевна</v>
      </c>
      <c r="C827" s="75" t="str">
        <f ca="1">IFERROR(__xludf.DUMMYFUNCTION("""COMPUTED_VALUE"""),"Студент")</f>
        <v>Студент</v>
      </c>
    </row>
    <row r="828" spans="1:3">
      <c r="A828" s="76">
        <f ca="1">IFERROR(__xludf.DUMMYFUNCTION("""COMPUTED_VALUE"""),2304550)</f>
        <v>2304550</v>
      </c>
      <c r="B828" s="76" t="str">
        <f ca="1">IFERROR(__xludf.DUMMYFUNCTION("""COMPUTED_VALUE"""),"Андреев Артем Андреевич")</f>
        <v>Андреев Артем Андреевич</v>
      </c>
      <c r="C828" s="75" t="str">
        <f ca="1">IFERROR(__xludf.DUMMYFUNCTION("""COMPUTED_VALUE"""),"Студент")</f>
        <v>Студент</v>
      </c>
    </row>
    <row r="829" spans="1:3">
      <c r="A829" s="76">
        <f ca="1">IFERROR(__xludf.DUMMYFUNCTION("""COMPUTED_VALUE"""),2304554)</f>
        <v>2304554</v>
      </c>
      <c r="B829" s="76" t="str">
        <f ca="1">IFERROR(__xludf.DUMMYFUNCTION("""COMPUTED_VALUE"""),"Баймурадов Камиль Шавкатович")</f>
        <v>Баймурадов Камиль Шавкатович</v>
      </c>
      <c r="C829" s="75" t="str">
        <f ca="1">IFERROR(__xludf.DUMMYFUNCTION("""COMPUTED_VALUE"""),"Студент")</f>
        <v>Студент</v>
      </c>
    </row>
    <row r="830" spans="1:3">
      <c r="A830" s="76">
        <f ca="1">IFERROR(__xludf.DUMMYFUNCTION("""COMPUTED_VALUE"""),2304559)</f>
        <v>2304559</v>
      </c>
      <c r="B830" s="76" t="str">
        <f ca="1">IFERROR(__xludf.DUMMYFUNCTION("""COMPUTED_VALUE"""),"Рафикова Екатерина Сергеевна")</f>
        <v>Рафикова Екатерина Сергеевна</v>
      </c>
      <c r="C830" s="75" t="str">
        <f ca="1">IFERROR(__xludf.DUMMYFUNCTION("""COMPUTED_VALUE"""),"Студент")</f>
        <v>Студент</v>
      </c>
    </row>
    <row r="831" spans="1:3">
      <c r="A831" s="76">
        <f ca="1">IFERROR(__xludf.DUMMYFUNCTION("""COMPUTED_VALUE"""),2304561)</f>
        <v>2304561</v>
      </c>
      <c r="B831" s="76" t="str">
        <f ca="1">IFERROR(__xludf.DUMMYFUNCTION("""COMPUTED_VALUE"""),"Шавкова Ксения Анатольевна")</f>
        <v>Шавкова Ксения Анатольевна</v>
      </c>
      <c r="C831" s="75" t="str">
        <f ca="1">IFERROR(__xludf.DUMMYFUNCTION("""COMPUTED_VALUE"""),"Студент")</f>
        <v>Студент</v>
      </c>
    </row>
    <row r="832" spans="1:3">
      <c r="A832" s="76">
        <f ca="1">IFERROR(__xludf.DUMMYFUNCTION("""COMPUTED_VALUE"""),2304562)</f>
        <v>2304562</v>
      </c>
      <c r="B832" s="76" t="str">
        <f ca="1">IFERROR(__xludf.DUMMYFUNCTION("""COMPUTED_VALUE"""),"Янаев Ильдар Тимурович")</f>
        <v>Янаев Ильдар Тимурович</v>
      </c>
      <c r="C832" s="75" t="str">
        <f ca="1">IFERROR(__xludf.DUMMYFUNCTION("""COMPUTED_VALUE"""),"Студент")</f>
        <v>Студент</v>
      </c>
    </row>
    <row r="833" spans="1:3">
      <c r="A833" s="76">
        <f ca="1">IFERROR(__xludf.DUMMYFUNCTION("""COMPUTED_VALUE"""),2304563)</f>
        <v>2304563</v>
      </c>
      <c r="B833" s="76" t="str">
        <f ca="1">IFERROR(__xludf.DUMMYFUNCTION("""COMPUTED_VALUE"""),"Капелина Анна Ивановна")</f>
        <v>Капелина Анна Ивановна</v>
      </c>
      <c r="C833" s="75" t="str">
        <f ca="1">IFERROR(__xludf.DUMMYFUNCTION("""COMPUTED_VALUE"""),"Студент")</f>
        <v>Студент</v>
      </c>
    </row>
    <row r="834" spans="1:3">
      <c r="A834" s="76">
        <f ca="1">IFERROR(__xludf.DUMMYFUNCTION("""COMPUTED_VALUE"""),2304570)</f>
        <v>2304570</v>
      </c>
      <c r="B834" s="76" t="str">
        <f ca="1">IFERROR(__xludf.DUMMYFUNCTION("""COMPUTED_VALUE"""),"Шутова Яна Олеговна")</f>
        <v>Шутова Яна Олеговна</v>
      </c>
      <c r="C834" s="75" t="str">
        <f ca="1">IFERROR(__xludf.DUMMYFUNCTION("""COMPUTED_VALUE"""),"Студент")</f>
        <v>Студент</v>
      </c>
    </row>
    <row r="835" spans="1:3">
      <c r="A835" s="76">
        <f ca="1">IFERROR(__xludf.DUMMYFUNCTION("""COMPUTED_VALUE"""),2304576)</f>
        <v>2304576</v>
      </c>
      <c r="B835" s="76" t="str">
        <f ca="1">IFERROR(__xludf.DUMMYFUNCTION("""COMPUTED_VALUE"""),"Сеношенко Екатерина Юрьевна")</f>
        <v>Сеношенко Екатерина Юрьевна</v>
      </c>
      <c r="C835" s="75" t="str">
        <f ca="1">IFERROR(__xludf.DUMMYFUNCTION("""COMPUTED_VALUE"""),"Студент")</f>
        <v>Студент</v>
      </c>
    </row>
    <row r="836" spans="1:3">
      <c r="A836" s="76">
        <f ca="1">IFERROR(__xludf.DUMMYFUNCTION("""COMPUTED_VALUE"""),2304579)</f>
        <v>2304579</v>
      </c>
      <c r="B836" s="76" t="str">
        <f ca="1">IFERROR(__xludf.DUMMYFUNCTION("""COMPUTED_VALUE"""),"Перова Кристина Сергеевна")</f>
        <v>Перова Кристина Сергеевна</v>
      </c>
      <c r="C836" s="75" t="str">
        <f ca="1">IFERROR(__xludf.DUMMYFUNCTION("""COMPUTED_VALUE"""),"Студент")</f>
        <v>Студент</v>
      </c>
    </row>
    <row r="837" spans="1:3">
      <c r="A837" s="76">
        <f ca="1">IFERROR(__xludf.DUMMYFUNCTION("""COMPUTED_VALUE"""),2304590)</f>
        <v>2304590</v>
      </c>
      <c r="B837" s="76" t="str">
        <f ca="1">IFERROR(__xludf.DUMMYFUNCTION("""COMPUTED_VALUE"""),"Жигульская Екатерина Андреевна")</f>
        <v>Жигульская Екатерина Андреевна</v>
      </c>
      <c r="C837" s="75" t="str">
        <f ca="1">IFERROR(__xludf.DUMMYFUNCTION("""COMPUTED_VALUE"""),"Студент")</f>
        <v>Студент</v>
      </c>
    </row>
    <row r="838" spans="1:3">
      <c r="A838" s="76">
        <f ca="1">IFERROR(__xludf.DUMMYFUNCTION("""COMPUTED_VALUE"""),2304592)</f>
        <v>2304592</v>
      </c>
      <c r="B838" s="76" t="str">
        <f ca="1">IFERROR(__xludf.DUMMYFUNCTION("""COMPUTED_VALUE"""),"Галченкова Елизавета Михайловна")</f>
        <v>Галченкова Елизавета Михайловна</v>
      </c>
      <c r="C838" s="75" t="str">
        <f ca="1">IFERROR(__xludf.DUMMYFUNCTION("""COMPUTED_VALUE"""),"Студент")</f>
        <v>Студент</v>
      </c>
    </row>
    <row r="839" spans="1:3">
      <c r="A839" s="76">
        <f ca="1">IFERROR(__xludf.DUMMYFUNCTION("""COMPUTED_VALUE"""),2304594)</f>
        <v>2304594</v>
      </c>
      <c r="B839" s="76" t="str">
        <f ca="1">IFERROR(__xludf.DUMMYFUNCTION("""COMPUTED_VALUE"""),"Сергеева Полина Сергеевна")</f>
        <v>Сергеева Полина Сергеевна</v>
      </c>
      <c r="C839" s="75" t="str">
        <f ca="1">IFERROR(__xludf.DUMMYFUNCTION("""COMPUTED_VALUE"""),"Студент")</f>
        <v>Студент</v>
      </c>
    </row>
    <row r="840" spans="1:3">
      <c r="A840" s="76">
        <f ca="1">IFERROR(__xludf.DUMMYFUNCTION("""COMPUTED_VALUE"""),2304602)</f>
        <v>2304602</v>
      </c>
      <c r="B840" s="76" t="str">
        <f ca="1">IFERROR(__xludf.DUMMYFUNCTION("""COMPUTED_VALUE"""),"Исмагилова Диляра Руслановна")</f>
        <v>Исмагилова Диляра Руслановна</v>
      </c>
      <c r="C840" s="75" t="str">
        <f ca="1">IFERROR(__xludf.DUMMYFUNCTION("""COMPUTED_VALUE"""),"Студент")</f>
        <v>Студент</v>
      </c>
    </row>
    <row r="841" spans="1:3">
      <c r="A841" s="76">
        <f ca="1">IFERROR(__xludf.DUMMYFUNCTION("""COMPUTED_VALUE"""),2304608)</f>
        <v>2304608</v>
      </c>
      <c r="B841" s="76" t="str">
        <f ca="1">IFERROR(__xludf.DUMMYFUNCTION("""COMPUTED_VALUE"""),"Галимуллин Руслан Маратович")</f>
        <v>Галимуллин Руслан Маратович</v>
      </c>
      <c r="C841" s="75" t="str">
        <f ca="1">IFERROR(__xludf.DUMMYFUNCTION("""COMPUTED_VALUE"""),"Студент")</f>
        <v>Студент</v>
      </c>
    </row>
    <row r="842" spans="1:3">
      <c r="A842" s="76">
        <f ca="1">IFERROR(__xludf.DUMMYFUNCTION("""COMPUTED_VALUE"""),2304612)</f>
        <v>2304612</v>
      </c>
      <c r="B842" s="76" t="str">
        <f ca="1">IFERROR(__xludf.DUMMYFUNCTION("""COMPUTED_VALUE"""),"Леонтьев Арсений Андреевич")</f>
        <v>Леонтьев Арсений Андреевич</v>
      </c>
      <c r="C842" s="75" t="str">
        <f ca="1">IFERROR(__xludf.DUMMYFUNCTION("""COMPUTED_VALUE"""),"Студент")</f>
        <v>Студент</v>
      </c>
    </row>
    <row r="843" spans="1:3">
      <c r="A843" s="76">
        <f ca="1">IFERROR(__xludf.DUMMYFUNCTION("""COMPUTED_VALUE"""),2304614)</f>
        <v>2304614</v>
      </c>
      <c r="B843" s="76" t="str">
        <f ca="1">IFERROR(__xludf.DUMMYFUNCTION("""COMPUTED_VALUE"""),"Плужников Артём Александрович")</f>
        <v>Плужников Артём Александрович</v>
      </c>
      <c r="C843" s="75" t="str">
        <f ca="1">IFERROR(__xludf.DUMMYFUNCTION("""COMPUTED_VALUE"""),"Студент")</f>
        <v>Студент</v>
      </c>
    </row>
    <row r="844" spans="1:3">
      <c r="A844" s="76">
        <f ca="1">IFERROR(__xludf.DUMMYFUNCTION("""COMPUTED_VALUE"""),2304618)</f>
        <v>2304618</v>
      </c>
      <c r="B844" s="76" t="str">
        <f ca="1">IFERROR(__xludf.DUMMYFUNCTION("""COMPUTED_VALUE"""),"Селина Елизавета Александровна")</f>
        <v>Селина Елизавета Александровна</v>
      </c>
      <c r="C844" s="75" t="str">
        <f ca="1">IFERROR(__xludf.DUMMYFUNCTION("""COMPUTED_VALUE"""),"Студент")</f>
        <v>Студент</v>
      </c>
    </row>
    <row r="845" spans="1:3">
      <c r="A845" s="76">
        <f ca="1">IFERROR(__xludf.DUMMYFUNCTION("""COMPUTED_VALUE"""),2304621)</f>
        <v>2304621</v>
      </c>
      <c r="B845" s="76" t="str">
        <f ca="1">IFERROR(__xludf.DUMMYFUNCTION("""COMPUTED_VALUE"""),"Десятниченко Семен Александрович")</f>
        <v>Десятниченко Семен Александрович</v>
      </c>
      <c r="C845" s="75" t="str">
        <f ca="1">IFERROR(__xludf.DUMMYFUNCTION("""COMPUTED_VALUE"""),"Студент")</f>
        <v>Студент</v>
      </c>
    </row>
    <row r="846" spans="1:3">
      <c r="A846" s="76">
        <f ca="1">IFERROR(__xludf.DUMMYFUNCTION("""COMPUTED_VALUE"""),2304622)</f>
        <v>2304622</v>
      </c>
      <c r="B846" s="76" t="str">
        <f ca="1">IFERROR(__xludf.DUMMYFUNCTION("""COMPUTED_VALUE"""),"Ерёмин Иван Николаевич")</f>
        <v>Ерёмин Иван Николаевич</v>
      </c>
      <c r="C846" s="75" t="str">
        <f ca="1">IFERROR(__xludf.DUMMYFUNCTION("""COMPUTED_VALUE"""),"Студент")</f>
        <v>Студент</v>
      </c>
    </row>
    <row r="847" spans="1:3">
      <c r="A847" s="76">
        <f ca="1">IFERROR(__xludf.DUMMYFUNCTION("""COMPUTED_VALUE"""),2304625)</f>
        <v>2304625</v>
      </c>
      <c r="B847" s="76" t="str">
        <f ca="1">IFERROR(__xludf.DUMMYFUNCTION("""COMPUTED_VALUE"""),"Дубовецкий Игорь Юрьевич")</f>
        <v>Дубовецкий Игорь Юрьевич</v>
      </c>
      <c r="C847" s="75" t="str">
        <f ca="1">IFERROR(__xludf.DUMMYFUNCTION("""COMPUTED_VALUE"""),"Студент")</f>
        <v>Студент</v>
      </c>
    </row>
    <row r="848" spans="1:3">
      <c r="A848" s="76">
        <f ca="1">IFERROR(__xludf.DUMMYFUNCTION("""COMPUTED_VALUE"""),2304630)</f>
        <v>2304630</v>
      </c>
      <c r="B848" s="76" t="str">
        <f ca="1">IFERROR(__xludf.DUMMYFUNCTION("""COMPUTED_VALUE"""),"Швец Владимир Александрович")</f>
        <v>Швец Владимир Александрович</v>
      </c>
      <c r="C848" s="75" t="str">
        <f ca="1">IFERROR(__xludf.DUMMYFUNCTION("""COMPUTED_VALUE"""),"Студент")</f>
        <v>Студент</v>
      </c>
    </row>
    <row r="849" spans="1:3">
      <c r="A849" s="76">
        <f ca="1">IFERROR(__xludf.DUMMYFUNCTION("""COMPUTED_VALUE"""),2304635)</f>
        <v>2304635</v>
      </c>
      <c r="B849" s="76" t="str">
        <f ca="1">IFERROR(__xludf.DUMMYFUNCTION("""COMPUTED_VALUE"""),"Коновалова Татьяна Алексеевна")</f>
        <v>Коновалова Татьяна Алексеевна</v>
      </c>
      <c r="C849" s="75" t="str">
        <f ca="1">IFERROR(__xludf.DUMMYFUNCTION("""COMPUTED_VALUE"""),"Студент")</f>
        <v>Студент</v>
      </c>
    </row>
    <row r="850" spans="1:3">
      <c r="A850" s="76">
        <f ca="1">IFERROR(__xludf.DUMMYFUNCTION("""COMPUTED_VALUE"""),2304636)</f>
        <v>2304636</v>
      </c>
      <c r="B850" s="76" t="str">
        <f ca="1">IFERROR(__xludf.DUMMYFUNCTION("""COMPUTED_VALUE"""),"Артёмова Анастасия Николаевна")</f>
        <v>Артёмова Анастасия Николаевна</v>
      </c>
      <c r="C850" s="75" t="str">
        <f ca="1">IFERROR(__xludf.DUMMYFUNCTION("""COMPUTED_VALUE"""),"Студент")</f>
        <v>Студент</v>
      </c>
    </row>
    <row r="851" spans="1:3">
      <c r="A851" s="76">
        <f ca="1">IFERROR(__xludf.DUMMYFUNCTION("""COMPUTED_VALUE"""),2304639)</f>
        <v>2304639</v>
      </c>
      <c r="B851" s="76" t="str">
        <f ca="1">IFERROR(__xludf.DUMMYFUNCTION("""COMPUTED_VALUE"""),"Старков Сергей Алексеевич")</f>
        <v>Старков Сергей Алексеевич</v>
      </c>
      <c r="C851" s="75" t="str">
        <f ca="1">IFERROR(__xludf.DUMMYFUNCTION("""COMPUTED_VALUE"""),"Студент")</f>
        <v>Студент</v>
      </c>
    </row>
    <row r="852" spans="1:3">
      <c r="A852" s="76">
        <f ca="1">IFERROR(__xludf.DUMMYFUNCTION("""COMPUTED_VALUE"""),2304640)</f>
        <v>2304640</v>
      </c>
      <c r="B852" s="76" t="str">
        <f ca="1">IFERROR(__xludf.DUMMYFUNCTION("""COMPUTED_VALUE"""),"Арзамаскина Юлиана Анатольевна")</f>
        <v>Арзамаскина Юлиана Анатольевна</v>
      </c>
      <c r="C852" s="75" t="str">
        <f ca="1">IFERROR(__xludf.DUMMYFUNCTION("""COMPUTED_VALUE"""),"Студент")</f>
        <v>Студент</v>
      </c>
    </row>
    <row r="853" spans="1:3">
      <c r="A853" s="76">
        <f ca="1">IFERROR(__xludf.DUMMYFUNCTION("""COMPUTED_VALUE"""),2304641)</f>
        <v>2304641</v>
      </c>
      <c r="B853" s="76" t="str">
        <f ca="1">IFERROR(__xludf.DUMMYFUNCTION("""COMPUTED_VALUE"""),"Семенова Мария Юрьевна")</f>
        <v>Семенова Мария Юрьевна</v>
      </c>
      <c r="C853" s="75" t="str">
        <f ca="1">IFERROR(__xludf.DUMMYFUNCTION("""COMPUTED_VALUE"""),"Студент")</f>
        <v>Студент</v>
      </c>
    </row>
    <row r="854" spans="1:3">
      <c r="A854" s="76">
        <f ca="1">IFERROR(__xludf.DUMMYFUNCTION("""COMPUTED_VALUE"""),2304655)</f>
        <v>2304655</v>
      </c>
      <c r="B854" s="76" t="str">
        <f ca="1">IFERROR(__xludf.DUMMYFUNCTION("""COMPUTED_VALUE"""),"Офицерова Елена Евгеньевна")</f>
        <v>Офицерова Елена Евгеньевна</v>
      </c>
      <c r="C854" s="75" t="str">
        <f ca="1">IFERROR(__xludf.DUMMYFUNCTION("""COMPUTED_VALUE"""),"Студент")</f>
        <v>Студент</v>
      </c>
    </row>
    <row r="855" spans="1:3">
      <c r="A855" s="76">
        <f ca="1">IFERROR(__xludf.DUMMYFUNCTION("""COMPUTED_VALUE"""),2304666)</f>
        <v>2304666</v>
      </c>
      <c r="B855" s="76" t="str">
        <f ca="1">IFERROR(__xludf.DUMMYFUNCTION("""COMPUTED_VALUE"""),"Смирнова Юлия Максимовна")</f>
        <v>Смирнова Юлия Максимовна</v>
      </c>
      <c r="C855" s="75" t="str">
        <f ca="1">IFERROR(__xludf.DUMMYFUNCTION("""COMPUTED_VALUE"""),"Студент")</f>
        <v>Студент</v>
      </c>
    </row>
    <row r="856" spans="1:3">
      <c r="A856" s="76">
        <f ca="1">IFERROR(__xludf.DUMMYFUNCTION("""COMPUTED_VALUE"""),2304677)</f>
        <v>2304677</v>
      </c>
      <c r="B856" s="76" t="str">
        <f ca="1">IFERROR(__xludf.DUMMYFUNCTION("""COMPUTED_VALUE"""),"Косяков Роман Александрович")</f>
        <v>Косяков Роман Александрович</v>
      </c>
      <c r="C856" s="75" t="str">
        <f ca="1">IFERROR(__xludf.DUMMYFUNCTION("""COMPUTED_VALUE"""),"Студент")</f>
        <v>Студент</v>
      </c>
    </row>
    <row r="857" spans="1:3">
      <c r="A857" s="76">
        <f ca="1">IFERROR(__xludf.DUMMYFUNCTION("""COMPUTED_VALUE"""),2304684)</f>
        <v>2304684</v>
      </c>
      <c r="B857" s="76" t="str">
        <f ca="1">IFERROR(__xludf.DUMMYFUNCTION("""COMPUTED_VALUE"""),"Багданова Рената Айдаровна")</f>
        <v>Багданова Рената Айдаровна</v>
      </c>
      <c r="C857" s="75" t="str">
        <f ca="1">IFERROR(__xludf.DUMMYFUNCTION("""COMPUTED_VALUE"""),"Студент")</f>
        <v>Студент</v>
      </c>
    </row>
    <row r="858" spans="1:3">
      <c r="A858" s="76">
        <f ca="1">IFERROR(__xludf.DUMMYFUNCTION("""COMPUTED_VALUE"""),2304691)</f>
        <v>2304691</v>
      </c>
      <c r="B858" s="76" t="str">
        <f ca="1">IFERROR(__xludf.DUMMYFUNCTION("""COMPUTED_VALUE"""),"Язева Анастасия Сергеевна")</f>
        <v>Язева Анастасия Сергеевна</v>
      </c>
      <c r="C858" s="75" t="str">
        <f ca="1">IFERROR(__xludf.DUMMYFUNCTION("""COMPUTED_VALUE"""),"Студент")</f>
        <v>Студент</v>
      </c>
    </row>
    <row r="859" spans="1:3">
      <c r="A859" s="76">
        <f ca="1">IFERROR(__xludf.DUMMYFUNCTION("""COMPUTED_VALUE"""),2304693)</f>
        <v>2304693</v>
      </c>
      <c r="B859" s="76" t="str">
        <f ca="1">IFERROR(__xludf.DUMMYFUNCTION("""COMPUTED_VALUE"""),"Гришкин Никита Сергеевич")</f>
        <v>Гришкин Никита Сергеевич</v>
      </c>
      <c r="C859" s="75" t="str">
        <f ca="1">IFERROR(__xludf.DUMMYFUNCTION("""COMPUTED_VALUE"""),"Студент")</f>
        <v>Студент</v>
      </c>
    </row>
    <row r="860" spans="1:3">
      <c r="A860" s="76">
        <f ca="1">IFERROR(__xludf.DUMMYFUNCTION("""COMPUTED_VALUE"""),2304694)</f>
        <v>2304694</v>
      </c>
      <c r="B860" s="76" t="str">
        <f ca="1">IFERROR(__xludf.DUMMYFUNCTION("""COMPUTED_VALUE"""),"Позняков Всеволод Дмитриевич")</f>
        <v>Позняков Всеволод Дмитриевич</v>
      </c>
      <c r="C860" s="75" t="str">
        <f ca="1">IFERROR(__xludf.DUMMYFUNCTION("""COMPUTED_VALUE"""),"Студент")</f>
        <v>Студент</v>
      </c>
    </row>
    <row r="861" spans="1:3">
      <c r="A861" s="76">
        <f ca="1">IFERROR(__xludf.DUMMYFUNCTION("""COMPUTED_VALUE"""),2304704)</f>
        <v>2304704</v>
      </c>
      <c r="B861" s="76" t="str">
        <f ca="1">IFERROR(__xludf.DUMMYFUNCTION("""COMPUTED_VALUE"""),"Ястребова Александра Павловна")</f>
        <v>Ястребова Александра Павловна</v>
      </c>
      <c r="C861" s="75" t="str">
        <f ca="1">IFERROR(__xludf.DUMMYFUNCTION("""COMPUTED_VALUE"""),"Студент")</f>
        <v>Студент</v>
      </c>
    </row>
    <row r="862" spans="1:3">
      <c r="A862" s="76">
        <f ca="1">IFERROR(__xludf.DUMMYFUNCTION("""COMPUTED_VALUE"""),2304707)</f>
        <v>2304707</v>
      </c>
      <c r="B862" s="76" t="str">
        <f ca="1">IFERROR(__xludf.DUMMYFUNCTION("""COMPUTED_VALUE"""),"Трушков Глеб Викторович")</f>
        <v>Трушков Глеб Викторович</v>
      </c>
      <c r="C862" s="75" t="str">
        <f ca="1">IFERROR(__xludf.DUMMYFUNCTION("""COMPUTED_VALUE"""),"Студент")</f>
        <v>Студент</v>
      </c>
    </row>
    <row r="863" spans="1:3">
      <c r="A863" s="76">
        <f ca="1">IFERROR(__xludf.DUMMYFUNCTION("""COMPUTED_VALUE"""),2304766)</f>
        <v>2304766</v>
      </c>
      <c r="B863" s="76" t="str">
        <f ca="1">IFERROR(__xludf.DUMMYFUNCTION("""COMPUTED_VALUE"""),"Морозов Алексей Юрьевич")</f>
        <v>Морозов Алексей Юрьевич</v>
      </c>
      <c r="C863" s="75" t="str">
        <f ca="1">IFERROR(__xludf.DUMMYFUNCTION("""COMPUTED_VALUE"""),"Студент")</f>
        <v>Студент</v>
      </c>
    </row>
    <row r="864" spans="1:3">
      <c r="A864" s="76">
        <f ca="1">IFERROR(__xludf.DUMMYFUNCTION("""COMPUTED_VALUE"""),2304767)</f>
        <v>2304767</v>
      </c>
      <c r="B864" s="76" t="str">
        <f ca="1">IFERROR(__xludf.DUMMYFUNCTION("""COMPUTED_VALUE"""),"Шаяхметов Никита Радионович")</f>
        <v>Шаяхметов Никита Радионович</v>
      </c>
      <c r="C864" s="75" t="str">
        <f ca="1">IFERROR(__xludf.DUMMYFUNCTION("""COMPUTED_VALUE"""),"Студент")</f>
        <v>Студент</v>
      </c>
    </row>
    <row r="865" spans="1:3">
      <c r="A865" s="76">
        <f ca="1">IFERROR(__xludf.DUMMYFUNCTION("""COMPUTED_VALUE"""),2304774)</f>
        <v>2304774</v>
      </c>
      <c r="B865" s="76" t="str">
        <f ca="1">IFERROR(__xludf.DUMMYFUNCTION("""COMPUTED_VALUE"""),"Шевлягина Анна Сергеевна")</f>
        <v>Шевлягина Анна Сергеевна</v>
      </c>
      <c r="C865" s="75" t="str">
        <f ca="1">IFERROR(__xludf.DUMMYFUNCTION("""COMPUTED_VALUE"""),"Студент")</f>
        <v>Студент</v>
      </c>
    </row>
    <row r="866" spans="1:3">
      <c r="A866" s="76">
        <f ca="1">IFERROR(__xludf.DUMMYFUNCTION("""COMPUTED_VALUE"""),2304781)</f>
        <v>2304781</v>
      </c>
      <c r="B866" s="76" t="str">
        <f ca="1">IFERROR(__xludf.DUMMYFUNCTION("""COMPUTED_VALUE"""),"Яворский Игорь Олегович")</f>
        <v>Яворский Игорь Олегович</v>
      </c>
      <c r="C866" s="75" t="str">
        <f ca="1">IFERROR(__xludf.DUMMYFUNCTION("""COMPUTED_VALUE"""),"Студент")</f>
        <v>Студент</v>
      </c>
    </row>
    <row r="867" spans="1:3">
      <c r="A867" s="76">
        <f ca="1">IFERROR(__xludf.DUMMYFUNCTION("""COMPUTED_VALUE"""),2304790)</f>
        <v>2304790</v>
      </c>
      <c r="B867" s="76" t="str">
        <f ca="1">IFERROR(__xludf.DUMMYFUNCTION("""COMPUTED_VALUE"""),"Губеева София Юрьевна")</f>
        <v>Губеева София Юрьевна</v>
      </c>
      <c r="C867" s="75" t="str">
        <f ca="1">IFERROR(__xludf.DUMMYFUNCTION("""COMPUTED_VALUE"""),"Студент")</f>
        <v>Студент</v>
      </c>
    </row>
    <row r="868" spans="1:3">
      <c r="A868" s="76">
        <f ca="1">IFERROR(__xludf.DUMMYFUNCTION("""COMPUTED_VALUE"""),2304794)</f>
        <v>2304794</v>
      </c>
      <c r="B868" s="76" t="str">
        <f ca="1">IFERROR(__xludf.DUMMYFUNCTION("""COMPUTED_VALUE"""),"Плотвин Алексей Дмитриевич")</f>
        <v>Плотвин Алексей Дмитриевич</v>
      </c>
      <c r="C868" s="75" t="str">
        <f ca="1">IFERROR(__xludf.DUMMYFUNCTION("""COMPUTED_VALUE"""),"Студент")</f>
        <v>Студент</v>
      </c>
    </row>
    <row r="869" spans="1:3">
      <c r="A869" s="76">
        <f ca="1">IFERROR(__xludf.DUMMYFUNCTION("""COMPUTED_VALUE"""),2304796)</f>
        <v>2304796</v>
      </c>
      <c r="B869" s="76" t="str">
        <f ca="1">IFERROR(__xludf.DUMMYFUNCTION("""COMPUTED_VALUE"""),"Полыгалова Виктория Вадимовна")</f>
        <v>Полыгалова Виктория Вадимовна</v>
      </c>
      <c r="C869" s="75" t="str">
        <f ca="1">IFERROR(__xludf.DUMMYFUNCTION("""COMPUTED_VALUE"""),"Студент")</f>
        <v>Студент</v>
      </c>
    </row>
    <row r="870" spans="1:3">
      <c r="A870" s="76">
        <f ca="1">IFERROR(__xludf.DUMMYFUNCTION("""COMPUTED_VALUE"""),2304820)</f>
        <v>2304820</v>
      </c>
      <c r="B870" s="76" t="str">
        <f ca="1">IFERROR(__xludf.DUMMYFUNCTION("""COMPUTED_VALUE"""),"Горбачева Полина Александровна")</f>
        <v>Горбачева Полина Александровна</v>
      </c>
      <c r="C870" s="75" t="str">
        <f ca="1">IFERROR(__xludf.DUMMYFUNCTION("""COMPUTED_VALUE"""),"Студент")</f>
        <v>Студент</v>
      </c>
    </row>
    <row r="871" spans="1:3">
      <c r="A871" s="76">
        <f ca="1">IFERROR(__xludf.DUMMYFUNCTION("""COMPUTED_VALUE"""),2304822)</f>
        <v>2304822</v>
      </c>
      <c r="B871" s="76" t="str">
        <f ca="1">IFERROR(__xludf.DUMMYFUNCTION("""COMPUTED_VALUE"""),"Дударь Дарья Владимировна")</f>
        <v>Дударь Дарья Владимировна</v>
      </c>
      <c r="C871" s="75" t="str">
        <f ca="1">IFERROR(__xludf.DUMMYFUNCTION("""COMPUTED_VALUE"""),"Студент")</f>
        <v>Студент</v>
      </c>
    </row>
    <row r="872" spans="1:3">
      <c r="A872" s="76">
        <f ca="1">IFERROR(__xludf.DUMMYFUNCTION("""COMPUTED_VALUE"""),2304824)</f>
        <v>2304824</v>
      </c>
      <c r="B872" s="76" t="str">
        <f ca="1">IFERROR(__xludf.DUMMYFUNCTION("""COMPUTED_VALUE"""),"Гулякина Анна Вадимовна")</f>
        <v>Гулякина Анна Вадимовна</v>
      </c>
      <c r="C872" s="75" t="str">
        <f ca="1">IFERROR(__xludf.DUMMYFUNCTION("""COMPUTED_VALUE"""),"Студент")</f>
        <v>Студент</v>
      </c>
    </row>
    <row r="873" spans="1:3">
      <c r="A873" s="76">
        <f ca="1">IFERROR(__xludf.DUMMYFUNCTION("""COMPUTED_VALUE"""),2304826)</f>
        <v>2304826</v>
      </c>
      <c r="B873" s="76" t="str">
        <f ca="1">IFERROR(__xludf.DUMMYFUNCTION("""COMPUTED_VALUE"""),"Бегичев Егор Александрович")</f>
        <v>Бегичев Егор Александрович</v>
      </c>
      <c r="C873" s="75" t="str">
        <f ca="1">IFERROR(__xludf.DUMMYFUNCTION("""COMPUTED_VALUE"""),"Студент")</f>
        <v>Студент</v>
      </c>
    </row>
    <row r="874" spans="1:3">
      <c r="A874" s="76">
        <f ca="1">IFERROR(__xludf.DUMMYFUNCTION("""COMPUTED_VALUE"""),2304839)</f>
        <v>2304839</v>
      </c>
      <c r="B874" s="76" t="str">
        <f ca="1">IFERROR(__xludf.DUMMYFUNCTION("""COMPUTED_VALUE"""),"Воробьев Алексей Петрович")</f>
        <v>Воробьев Алексей Петрович</v>
      </c>
      <c r="C874" s="75" t="str">
        <f ca="1">IFERROR(__xludf.DUMMYFUNCTION("""COMPUTED_VALUE"""),"Студент")</f>
        <v>Студент</v>
      </c>
    </row>
    <row r="875" spans="1:3">
      <c r="A875" s="76">
        <f ca="1">IFERROR(__xludf.DUMMYFUNCTION("""COMPUTED_VALUE"""),2304843)</f>
        <v>2304843</v>
      </c>
      <c r="B875" s="76" t="str">
        <f ca="1">IFERROR(__xludf.DUMMYFUNCTION("""COMPUTED_VALUE"""),"Цуканов Сергей Юрьевич")</f>
        <v>Цуканов Сергей Юрьевич</v>
      </c>
      <c r="C875" s="75" t="str">
        <f ca="1">IFERROR(__xludf.DUMMYFUNCTION("""COMPUTED_VALUE"""),"Студент")</f>
        <v>Студент</v>
      </c>
    </row>
    <row r="876" spans="1:3">
      <c r="A876" s="76">
        <f ca="1">IFERROR(__xludf.DUMMYFUNCTION("""COMPUTED_VALUE"""),2304856)</f>
        <v>2304856</v>
      </c>
      <c r="B876" s="76" t="str">
        <f ca="1">IFERROR(__xludf.DUMMYFUNCTION("""COMPUTED_VALUE"""),"Малышев Илья Александрович")</f>
        <v>Малышев Илья Александрович</v>
      </c>
      <c r="C876" s="75" t="str">
        <f ca="1">IFERROR(__xludf.DUMMYFUNCTION("""COMPUTED_VALUE"""),"Студент")</f>
        <v>Студент</v>
      </c>
    </row>
    <row r="877" spans="1:3">
      <c r="A877" s="76">
        <f ca="1">IFERROR(__xludf.DUMMYFUNCTION("""COMPUTED_VALUE"""),2304857)</f>
        <v>2304857</v>
      </c>
      <c r="B877" s="76" t="str">
        <f ca="1">IFERROR(__xludf.DUMMYFUNCTION("""COMPUTED_VALUE"""),"Зинькова Анна Валентиновна")</f>
        <v>Зинькова Анна Валентиновна</v>
      </c>
      <c r="C877" s="75" t="str">
        <f ca="1">IFERROR(__xludf.DUMMYFUNCTION("""COMPUTED_VALUE"""),"Студент")</f>
        <v>Студент</v>
      </c>
    </row>
    <row r="878" spans="1:3">
      <c r="A878" s="76">
        <f ca="1">IFERROR(__xludf.DUMMYFUNCTION("""COMPUTED_VALUE"""),2304858)</f>
        <v>2304858</v>
      </c>
      <c r="B878" s="76" t="str">
        <f ca="1">IFERROR(__xludf.DUMMYFUNCTION("""COMPUTED_VALUE"""),"Сатиндиева Рамиля Жыргалбековна")</f>
        <v>Сатиндиева Рамиля Жыргалбековна</v>
      </c>
      <c r="C878" s="75" t="str">
        <f ca="1">IFERROR(__xludf.DUMMYFUNCTION("""COMPUTED_VALUE"""),"Студент")</f>
        <v>Студент</v>
      </c>
    </row>
    <row r="879" spans="1:3">
      <c r="A879" s="76">
        <f ca="1">IFERROR(__xludf.DUMMYFUNCTION("""COMPUTED_VALUE"""),2304860)</f>
        <v>2304860</v>
      </c>
      <c r="B879" s="76" t="str">
        <f ca="1">IFERROR(__xludf.DUMMYFUNCTION("""COMPUTED_VALUE"""),"Мещерякова Марина Константиновна")</f>
        <v>Мещерякова Марина Константиновна</v>
      </c>
      <c r="C879" s="75" t="str">
        <f ca="1">IFERROR(__xludf.DUMMYFUNCTION("""COMPUTED_VALUE"""),"Студент")</f>
        <v>Студент</v>
      </c>
    </row>
    <row r="880" spans="1:3">
      <c r="A880" s="76">
        <f ca="1">IFERROR(__xludf.DUMMYFUNCTION("""COMPUTED_VALUE"""),2304861)</f>
        <v>2304861</v>
      </c>
      <c r="B880" s="76" t="str">
        <f ca="1">IFERROR(__xludf.DUMMYFUNCTION("""COMPUTED_VALUE"""),"Лямина Каролина Витальевна")</f>
        <v>Лямина Каролина Витальевна</v>
      </c>
      <c r="C880" s="75" t="str">
        <f ca="1">IFERROR(__xludf.DUMMYFUNCTION("""COMPUTED_VALUE"""),"Студент")</f>
        <v>Студент</v>
      </c>
    </row>
    <row r="881" spans="1:3">
      <c r="A881" s="76">
        <f ca="1">IFERROR(__xludf.DUMMYFUNCTION("""COMPUTED_VALUE"""),2304876)</f>
        <v>2304876</v>
      </c>
      <c r="B881" s="76" t="str">
        <f ca="1">IFERROR(__xludf.DUMMYFUNCTION("""COMPUTED_VALUE"""),"Милютин Илья Алексеевич")</f>
        <v>Милютин Илья Алексеевич</v>
      </c>
      <c r="C881" s="75" t="str">
        <f ca="1">IFERROR(__xludf.DUMMYFUNCTION("""COMPUTED_VALUE"""),"Студент")</f>
        <v>Студент</v>
      </c>
    </row>
    <row r="882" spans="1:3">
      <c r="A882" s="76">
        <f ca="1">IFERROR(__xludf.DUMMYFUNCTION("""COMPUTED_VALUE"""),2304878)</f>
        <v>2304878</v>
      </c>
      <c r="B882" s="76" t="str">
        <f ca="1">IFERROR(__xludf.DUMMYFUNCTION("""COMPUTED_VALUE"""),"Сычева Екатерина Петровна")</f>
        <v>Сычева Екатерина Петровна</v>
      </c>
      <c r="C882" s="75" t="str">
        <f ca="1">IFERROR(__xludf.DUMMYFUNCTION("""COMPUTED_VALUE"""),"Студент")</f>
        <v>Студент</v>
      </c>
    </row>
    <row r="883" spans="1:3">
      <c r="A883" s="76">
        <f ca="1">IFERROR(__xludf.DUMMYFUNCTION("""COMPUTED_VALUE"""),2304881)</f>
        <v>2304881</v>
      </c>
      <c r="B883" s="76" t="str">
        <f ca="1">IFERROR(__xludf.DUMMYFUNCTION("""COMPUTED_VALUE"""),"Ибрамхалилов Роман Ламетович")</f>
        <v>Ибрамхалилов Роман Ламетович</v>
      </c>
      <c r="C883" s="75" t="str">
        <f ca="1">IFERROR(__xludf.DUMMYFUNCTION("""COMPUTED_VALUE"""),"Студент")</f>
        <v>Студент</v>
      </c>
    </row>
    <row r="884" spans="1:3">
      <c r="A884" s="76">
        <f ca="1">IFERROR(__xludf.DUMMYFUNCTION("""COMPUTED_VALUE"""),2304890)</f>
        <v>2304890</v>
      </c>
      <c r="B884" s="76" t="str">
        <f ca="1">IFERROR(__xludf.DUMMYFUNCTION("""COMPUTED_VALUE"""),"Кузнецов Дмитрий Александрович")</f>
        <v>Кузнецов Дмитрий Александрович</v>
      </c>
      <c r="C884" s="75" t="str">
        <f ca="1">IFERROR(__xludf.DUMMYFUNCTION("""COMPUTED_VALUE"""),"Студент")</f>
        <v>Студент</v>
      </c>
    </row>
    <row r="885" spans="1:3">
      <c r="A885" s="76">
        <f ca="1">IFERROR(__xludf.DUMMYFUNCTION("""COMPUTED_VALUE"""),2304891)</f>
        <v>2304891</v>
      </c>
      <c r="B885" s="76" t="str">
        <f ca="1">IFERROR(__xludf.DUMMYFUNCTION("""COMPUTED_VALUE"""),"Малахов Богдан Владимирович")</f>
        <v>Малахов Богдан Владимирович</v>
      </c>
      <c r="C885" s="75" t="str">
        <f ca="1">IFERROR(__xludf.DUMMYFUNCTION("""COMPUTED_VALUE"""),"Студент")</f>
        <v>Студент</v>
      </c>
    </row>
    <row r="886" spans="1:3">
      <c r="A886" s="76">
        <f ca="1">IFERROR(__xludf.DUMMYFUNCTION("""COMPUTED_VALUE"""),2304892)</f>
        <v>2304892</v>
      </c>
      <c r="B886" s="76" t="str">
        <f ca="1">IFERROR(__xludf.DUMMYFUNCTION("""COMPUTED_VALUE"""),"Маркова Мария Олеговна")</f>
        <v>Маркова Мария Олеговна</v>
      </c>
      <c r="C886" s="75" t="str">
        <f ca="1">IFERROR(__xludf.DUMMYFUNCTION("""COMPUTED_VALUE"""),"Студент")</f>
        <v>Студент</v>
      </c>
    </row>
    <row r="887" spans="1:3">
      <c r="A887" s="76">
        <f ca="1">IFERROR(__xludf.DUMMYFUNCTION("""COMPUTED_VALUE"""),2304896)</f>
        <v>2304896</v>
      </c>
      <c r="B887" s="76" t="str">
        <f ca="1">IFERROR(__xludf.DUMMYFUNCTION("""COMPUTED_VALUE"""),"Васильева Марина Вадимовна")</f>
        <v>Васильева Марина Вадимовна</v>
      </c>
      <c r="C887" s="75" t="str">
        <f ca="1">IFERROR(__xludf.DUMMYFUNCTION("""COMPUTED_VALUE"""),"Студент")</f>
        <v>Студент</v>
      </c>
    </row>
    <row r="888" spans="1:3">
      <c r="A888" s="76">
        <f ca="1">IFERROR(__xludf.DUMMYFUNCTION("""COMPUTED_VALUE"""),2304898)</f>
        <v>2304898</v>
      </c>
      <c r="B888" s="76" t="str">
        <f ca="1">IFERROR(__xludf.DUMMYFUNCTION("""COMPUTED_VALUE"""),"Душенев Даниил Денисович")</f>
        <v>Душенев Даниил Денисович</v>
      </c>
      <c r="C888" s="75" t="str">
        <f ca="1">IFERROR(__xludf.DUMMYFUNCTION("""COMPUTED_VALUE"""),"Студент")</f>
        <v>Студент</v>
      </c>
    </row>
    <row r="889" spans="1:3">
      <c r="A889" s="76">
        <f ca="1">IFERROR(__xludf.DUMMYFUNCTION("""COMPUTED_VALUE"""),2304903)</f>
        <v>2304903</v>
      </c>
      <c r="B889" s="76" t="str">
        <f ca="1">IFERROR(__xludf.DUMMYFUNCTION("""COMPUTED_VALUE"""),"Муршудова Виктория Умудовна")</f>
        <v>Муршудова Виктория Умудовна</v>
      </c>
      <c r="C889" s="75" t="str">
        <f ca="1">IFERROR(__xludf.DUMMYFUNCTION("""COMPUTED_VALUE"""),"Студент")</f>
        <v>Студент</v>
      </c>
    </row>
    <row r="890" spans="1:3">
      <c r="A890" s="76">
        <f ca="1">IFERROR(__xludf.DUMMYFUNCTION("""COMPUTED_VALUE"""),2304913)</f>
        <v>2304913</v>
      </c>
      <c r="B890" s="76" t="str">
        <f ca="1">IFERROR(__xludf.DUMMYFUNCTION("""COMPUTED_VALUE"""),"Алфёрова Мария Александровна")</f>
        <v>Алфёрова Мария Александровна</v>
      </c>
      <c r="C890" s="75" t="str">
        <f ca="1">IFERROR(__xludf.DUMMYFUNCTION("""COMPUTED_VALUE"""),"Студент")</f>
        <v>Студент</v>
      </c>
    </row>
    <row r="891" spans="1:3">
      <c r="A891" s="76">
        <f ca="1">IFERROR(__xludf.DUMMYFUNCTION("""COMPUTED_VALUE"""),2304914)</f>
        <v>2304914</v>
      </c>
      <c r="B891" s="76" t="str">
        <f ca="1">IFERROR(__xludf.DUMMYFUNCTION("""COMPUTED_VALUE"""),"Макаренков Иван Владимирович")</f>
        <v>Макаренков Иван Владимирович</v>
      </c>
      <c r="C891" s="75" t="str">
        <f ca="1">IFERROR(__xludf.DUMMYFUNCTION("""COMPUTED_VALUE"""),"Студент")</f>
        <v>Студент</v>
      </c>
    </row>
    <row r="892" spans="1:3">
      <c r="A892" s="76">
        <f ca="1">IFERROR(__xludf.DUMMYFUNCTION("""COMPUTED_VALUE"""),2304916)</f>
        <v>2304916</v>
      </c>
      <c r="B892" s="76" t="str">
        <f ca="1">IFERROR(__xludf.DUMMYFUNCTION("""COMPUTED_VALUE"""),"Карпухина Полина Аркадьевна")</f>
        <v>Карпухина Полина Аркадьевна</v>
      </c>
      <c r="C892" s="75" t="str">
        <f ca="1">IFERROR(__xludf.DUMMYFUNCTION("""COMPUTED_VALUE"""),"Студент")</f>
        <v>Студент</v>
      </c>
    </row>
    <row r="893" spans="1:3">
      <c r="A893" s="76">
        <f ca="1">IFERROR(__xludf.DUMMYFUNCTION("""COMPUTED_VALUE"""),2304921)</f>
        <v>2304921</v>
      </c>
      <c r="B893" s="76" t="str">
        <f ca="1">IFERROR(__xludf.DUMMYFUNCTION("""COMPUTED_VALUE"""),"Фукс Евгений Александрович")</f>
        <v>Фукс Евгений Александрович</v>
      </c>
      <c r="C893" s="75" t="str">
        <f ca="1">IFERROR(__xludf.DUMMYFUNCTION("""COMPUTED_VALUE"""),"Аспирант")</f>
        <v>Аспирант</v>
      </c>
    </row>
    <row r="894" spans="1:3">
      <c r="A894" s="76">
        <f ca="1">IFERROR(__xludf.DUMMYFUNCTION("""COMPUTED_VALUE"""),2304925)</f>
        <v>2304925</v>
      </c>
      <c r="B894" s="76" t="str">
        <f ca="1">IFERROR(__xludf.DUMMYFUNCTION("""COMPUTED_VALUE"""),"Барашев Артем Сергеевич")</f>
        <v>Барашев Артем Сергеевич</v>
      </c>
      <c r="C894" s="75" t="str">
        <f ca="1">IFERROR(__xludf.DUMMYFUNCTION("""COMPUTED_VALUE"""),"Студент")</f>
        <v>Студент</v>
      </c>
    </row>
    <row r="895" spans="1:3">
      <c r="A895" s="76">
        <f ca="1">IFERROR(__xludf.DUMMYFUNCTION("""COMPUTED_VALUE"""),2304928)</f>
        <v>2304928</v>
      </c>
      <c r="B895" s="76" t="str">
        <f ca="1">IFERROR(__xludf.DUMMYFUNCTION("""COMPUTED_VALUE"""),"Пилюгина Мария Николаевна")</f>
        <v>Пилюгина Мария Николаевна</v>
      </c>
      <c r="C895" s="75" t="str">
        <f ca="1">IFERROR(__xludf.DUMMYFUNCTION("""COMPUTED_VALUE"""),"Студент")</f>
        <v>Студент</v>
      </c>
    </row>
    <row r="896" spans="1:3">
      <c r="A896" s="76">
        <f ca="1">IFERROR(__xludf.DUMMYFUNCTION("""COMPUTED_VALUE"""),2304929)</f>
        <v>2304929</v>
      </c>
      <c r="B896" s="76" t="str">
        <f ca="1">IFERROR(__xludf.DUMMYFUNCTION("""COMPUTED_VALUE"""),"Кудашов Артур Александрович")</f>
        <v>Кудашов Артур Александрович</v>
      </c>
      <c r="C896" s="75" t="str">
        <f ca="1">IFERROR(__xludf.DUMMYFUNCTION("""COMPUTED_VALUE"""),"Студент")</f>
        <v>Студент</v>
      </c>
    </row>
    <row r="897" spans="1:3">
      <c r="A897" s="76">
        <f ca="1">IFERROR(__xludf.DUMMYFUNCTION("""COMPUTED_VALUE"""),2304933)</f>
        <v>2304933</v>
      </c>
      <c r="B897" s="76" t="str">
        <f ca="1">IFERROR(__xludf.DUMMYFUNCTION("""COMPUTED_VALUE"""),"Федоров Евгений Александрович")</f>
        <v>Федоров Евгений Александрович</v>
      </c>
      <c r="C897" s="75" t="str">
        <f ca="1">IFERROR(__xludf.DUMMYFUNCTION("""COMPUTED_VALUE"""),"Студент")</f>
        <v>Студент</v>
      </c>
    </row>
    <row r="898" spans="1:3">
      <c r="A898" s="76">
        <f ca="1">IFERROR(__xludf.DUMMYFUNCTION("""COMPUTED_VALUE"""),2304938)</f>
        <v>2304938</v>
      </c>
      <c r="B898" s="76" t="str">
        <f ca="1">IFERROR(__xludf.DUMMYFUNCTION("""COMPUTED_VALUE"""),"Митяев Павел Станиславович")</f>
        <v>Митяев Павел Станиславович</v>
      </c>
      <c r="C898" s="75" t="str">
        <f ca="1">IFERROR(__xludf.DUMMYFUNCTION("""COMPUTED_VALUE"""),"Студент")</f>
        <v>Студент</v>
      </c>
    </row>
    <row r="899" spans="1:3">
      <c r="A899" s="76">
        <f ca="1">IFERROR(__xludf.DUMMYFUNCTION("""COMPUTED_VALUE"""),2304940)</f>
        <v>2304940</v>
      </c>
      <c r="B899" s="76" t="str">
        <f ca="1">IFERROR(__xludf.DUMMYFUNCTION("""COMPUTED_VALUE"""),"Васина Анастасия Александровна")</f>
        <v>Васина Анастасия Александровна</v>
      </c>
      <c r="C899" s="75" t="str">
        <f ca="1">IFERROR(__xludf.DUMMYFUNCTION("""COMPUTED_VALUE"""),"Студент")</f>
        <v>Студент</v>
      </c>
    </row>
    <row r="900" spans="1:3">
      <c r="A900" s="76">
        <f ca="1">IFERROR(__xludf.DUMMYFUNCTION("""COMPUTED_VALUE"""),2304942)</f>
        <v>2304942</v>
      </c>
      <c r="B900" s="76" t="str">
        <f ca="1">IFERROR(__xludf.DUMMYFUNCTION("""COMPUTED_VALUE"""),"Глебов Никита Александрович")</f>
        <v>Глебов Никита Александрович</v>
      </c>
      <c r="C900" s="75" t="str">
        <f ca="1">IFERROR(__xludf.DUMMYFUNCTION("""COMPUTED_VALUE"""),"Студент")</f>
        <v>Студент</v>
      </c>
    </row>
    <row r="901" spans="1:3">
      <c r="A901" s="76">
        <f ca="1">IFERROR(__xludf.DUMMYFUNCTION("""COMPUTED_VALUE"""),2304945)</f>
        <v>2304945</v>
      </c>
      <c r="B901" s="76" t="str">
        <f ca="1">IFERROR(__xludf.DUMMYFUNCTION("""COMPUTED_VALUE"""),"Третьяков Николай Михайлович")</f>
        <v>Третьяков Николай Михайлович</v>
      </c>
      <c r="C901" s="75" t="str">
        <f ca="1">IFERROR(__xludf.DUMMYFUNCTION("""COMPUTED_VALUE"""),"Студент")</f>
        <v>Студент</v>
      </c>
    </row>
    <row r="902" spans="1:3">
      <c r="A902" s="76">
        <f ca="1">IFERROR(__xludf.DUMMYFUNCTION("""COMPUTED_VALUE"""),2304950)</f>
        <v>2304950</v>
      </c>
      <c r="B902" s="76" t="str">
        <f ca="1">IFERROR(__xludf.DUMMYFUNCTION("""COMPUTED_VALUE"""),"Костина Екатерина Александровна")</f>
        <v>Костина Екатерина Александровна</v>
      </c>
      <c r="C902" s="75" t="str">
        <f ca="1">IFERROR(__xludf.DUMMYFUNCTION("""COMPUTED_VALUE"""),"Студент")</f>
        <v>Студент</v>
      </c>
    </row>
    <row r="903" spans="1:3">
      <c r="A903" s="76">
        <f ca="1">IFERROR(__xludf.DUMMYFUNCTION("""COMPUTED_VALUE"""),2304951)</f>
        <v>2304951</v>
      </c>
      <c r="B903" s="76" t="str">
        <f ca="1">IFERROR(__xludf.DUMMYFUNCTION("""COMPUTED_VALUE"""),"Второв Фёдор Иванович")</f>
        <v>Второв Фёдор Иванович</v>
      </c>
      <c r="C903" s="75" t="str">
        <f ca="1">IFERROR(__xludf.DUMMYFUNCTION("""COMPUTED_VALUE"""),"Студент")</f>
        <v>Студент</v>
      </c>
    </row>
    <row r="904" spans="1:3">
      <c r="A904" s="76">
        <f ca="1">IFERROR(__xludf.DUMMYFUNCTION("""COMPUTED_VALUE"""),2304956)</f>
        <v>2304956</v>
      </c>
      <c r="B904" s="76" t="str">
        <f ca="1">IFERROR(__xludf.DUMMYFUNCTION("""COMPUTED_VALUE"""),"Полынцева Мария Игоревна")</f>
        <v>Полынцева Мария Игоревна</v>
      </c>
      <c r="C904" s="75" t="str">
        <f ca="1">IFERROR(__xludf.DUMMYFUNCTION("""COMPUTED_VALUE"""),"Студент")</f>
        <v>Студент</v>
      </c>
    </row>
    <row r="905" spans="1:3">
      <c r="A905" s="76">
        <f ca="1">IFERROR(__xludf.DUMMYFUNCTION("""COMPUTED_VALUE"""),2304959)</f>
        <v>2304959</v>
      </c>
      <c r="B905" s="76" t="str">
        <f ca="1">IFERROR(__xludf.DUMMYFUNCTION("""COMPUTED_VALUE"""),"Турсунов Шамшод Дилшодович")</f>
        <v>Турсунов Шамшод Дилшодович</v>
      </c>
      <c r="C905" s="75" t="str">
        <f ca="1">IFERROR(__xludf.DUMMYFUNCTION("""COMPUTED_VALUE"""),"Студент")</f>
        <v>Студент</v>
      </c>
    </row>
    <row r="906" spans="1:3">
      <c r="A906" s="76">
        <f ca="1">IFERROR(__xludf.DUMMYFUNCTION("""COMPUTED_VALUE"""),2304963)</f>
        <v>2304963</v>
      </c>
      <c r="B906" s="76" t="str">
        <f ca="1">IFERROR(__xludf.DUMMYFUNCTION("""COMPUTED_VALUE"""),"Курбатов Николай Евгеньевич")</f>
        <v>Курбатов Николай Евгеньевич</v>
      </c>
      <c r="C906" s="75" t="str">
        <f ca="1">IFERROR(__xludf.DUMMYFUNCTION("""COMPUTED_VALUE"""),"Студент")</f>
        <v>Студент</v>
      </c>
    </row>
    <row r="907" spans="1:3">
      <c r="A907" s="76">
        <f ca="1">IFERROR(__xludf.DUMMYFUNCTION("""COMPUTED_VALUE"""),2304965)</f>
        <v>2304965</v>
      </c>
      <c r="B907" s="76" t="str">
        <f ca="1">IFERROR(__xludf.DUMMYFUNCTION("""COMPUTED_VALUE"""),"Перевощиков Алексей Александрович")</f>
        <v>Перевощиков Алексей Александрович</v>
      </c>
      <c r="C907" s="75" t="str">
        <f ca="1">IFERROR(__xludf.DUMMYFUNCTION("""COMPUTED_VALUE"""),"Студент")</f>
        <v>Студент</v>
      </c>
    </row>
    <row r="908" spans="1:3">
      <c r="A908" s="76">
        <f ca="1">IFERROR(__xludf.DUMMYFUNCTION("""COMPUTED_VALUE"""),2304972)</f>
        <v>2304972</v>
      </c>
      <c r="B908" s="76" t="str">
        <f ca="1">IFERROR(__xludf.DUMMYFUNCTION("""COMPUTED_VALUE"""),"Борисов Максим Валерьевич")</f>
        <v>Борисов Максим Валерьевич</v>
      </c>
      <c r="C908" s="75" t="str">
        <f ca="1">IFERROR(__xludf.DUMMYFUNCTION("""COMPUTED_VALUE"""),"Аспирант")</f>
        <v>Аспирант</v>
      </c>
    </row>
    <row r="909" spans="1:3">
      <c r="A909" s="76">
        <f ca="1">IFERROR(__xludf.DUMMYFUNCTION("""COMPUTED_VALUE"""),2304976)</f>
        <v>2304976</v>
      </c>
      <c r="B909" s="76" t="str">
        <f ca="1">IFERROR(__xludf.DUMMYFUNCTION("""COMPUTED_VALUE"""),"Малинин Данила Григорьевич")</f>
        <v>Малинин Данила Григорьевич</v>
      </c>
      <c r="C909" s="75" t="str">
        <f ca="1">IFERROR(__xludf.DUMMYFUNCTION("""COMPUTED_VALUE"""),"Студент")</f>
        <v>Студент</v>
      </c>
    </row>
    <row r="910" spans="1:3">
      <c r="A910" s="76">
        <f ca="1">IFERROR(__xludf.DUMMYFUNCTION("""COMPUTED_VALUE"""),2304984)</f>
        <v>2304984</v>
      </c>
      <c r="B910" s="76" t="str">
        <f ca="1">IFERROR(__xludf.DUMMYFUNCTION("""COMPUTED_VALUE"""),"Картаева Анна Дмитриевна")</f>
        <v>Картаева Анна Дмитриевна</v>
      </c>
      <c r="C910" s="75" t="str">
        <f ca="1">IFERROR(__xludf.DUMMYFUNCTION("""COMPUTED_VALUE"""),"Студент")</f>
        <v>Студент</v>
      </c>
    </row>
    <row r="911" spans="1:3">
      <c r="A911" s="76">
        <f ca="1">IFERROR(__xludf.DUMMYFUNCTION("""COMPUTED_VALUE"""),2304985)</f>
        <v>2304985</v>
      </c>
      <c r="B911" s="76" t="str">
        <f ca="1">IFERROR(__xludf.DUMMYFUNCTION("""COMPUTED_VALUE"""),"Кобер Полина Владимировна")</f>
        <v>Кобер Полина Владимировна</v>
      </c>
      <c r="C911" s="75" t="str">
        <f ca="1">IFERROR(__xludf.DUMMYFUNCTION("""COMPUTED_VALUE"""),"Студент")</f>
        <v>Студент</v>
      </c>
    </row>
    <row r="912" spans="1:3">
      <c r="A912" s="76">
        <f ca="1">IFERROR(__xludf.DUMMYFUNCTION("""COMPUTED_VALUE"""),2304988)</f>
        <v>2304988</v>
      </c>
      <c r="B912" s="76" t="str">
        <f ca="1">IFERROR(__xludf.DUMMYFUNCTION("""COMPUTED_VALUE"""),"Язвицкая Полина Александровна")</f>
        <v>Язвицкая Полина Александровна</v>
      </c>
      <c r="C912" s="75" t="str">
        <f ca="1">IFERROR(__xludf.DUMMYFUNCTION("""COMPUTED_VALUE"""),"Студент")</f>
        <v>Студент</v>
      </c>
    </row>
    <row r="913" spans="1:3">
      <c r="A913" s="76">
        <f ca="1">IFERROR(__xludf.DUMMYFUNCTION("""COMPUTED_VALUE"""),2304989)</f>
        <v>2304989</v>
      </c>
      <c r="B913" s="76" t="str">
        <f ca="1">IFERROR(__xludf.DUMMYFUNCTION("""COMPUTED_VALUE"""),"Новиков Трофим Алексеевич")</f>
        <v>Новиков Трофим Алексеевич</v>
      </c>
      <c r="C913" s="75" t="str">
        <f ca="1">IFERROR(__xludf.DUMMYFUNCTION("""COMPUTED_VALUE"""),"Студент")</f>
        <v>Студент</v>
      </c>
    </row>
    <row r="914" spans="1:3">
      <c r="A914" s="76">
        <f ca="1">IFERROR(__xludf.DUMMYFUNCTION("""COMPUTED_VALUE"""),2304999)</f>
        <v>2304999</v>
      </c>
      <c r="B914" s="76" t="str">
        <f ca="1">IFERROR(__xludf.DUMMYFUNCTION("""COMPUTED_VALUE"""),"Чут Максим Витальевич")</f>
        <v>Чут Максим Витальевич</v>
      </c>
      <c r="C914" s="75" t="str">
        <f ca="1">IFERROR(__xludf.DUMMYFUNCTION("""COMPUTED_VALUE"""),"Студент")</f>
        <v>Студент</v>
      </c>
    </row>
    <row r="915" spans="1:3">
      <c r="A915" s="76">
        <f ca="1">IFERROR(__xludf.DUMMYFUNCTION("""COMPUTED_VALUE"""),2305002)</f>
        <v>2305002</v>
      </c>
      <c r="B915" s="76" t="str">
        <f ca="1">IFERROR(__xludf.DUMMYFUNCTION("""COMPUTED_VALUE"""),"Быков Матвей Максимович")</f>
        <v>Быков Матвей Максимович</v>
      </c>
      <c r="C915" s="75" t="str">
        <f ca="1">IFERROR(__xludf.DUMMYFUNCTION("""COMPUTED_VALUE"""),"Студент")</f>
        <v>Студент</v>
      </c>
    </row>
    <row r="916" spans="1:3">
      <c r="A916" s="76">
        <f ca="1">IFERROR(__xludf.DUMMYFUNCTION("""COMPUTED_VALUE"""),2305023)</f>
        <v>2305023</v>
      </c>
      <c r="B916" s="76" t="str">
        <f ca="1">IFERROR(__xludf.DUMMYFUNCTION("""COMPUTED_VALUE"""),"Политова Валерия Андреевна")</f>
        <v>Политова Валерия Андреевна</v>
      </c>
      <c r="C916" s="75" t="str">
        <f ca="1">IFERROR(__xludf.DUMMYFUNCTION("""COMPUTED_VALUE"""),"Студент")</f>
        <v>Студент</v>
      </c>
    </row>
    <row r="917" spans="1:3">
      <c r="A917" s="76">
        <f ca="1">IFERROR(__xludf.DUMMYFUNCTION("""COMPUTED_VALUE"""),2305024)</f>
        <v>2305024</v>
      </c>
      <c r="B917" s="76" t="str">
        <f ca="1">IFERROR(__xludf.DUMMYFUNCTION("""COMPUTED_VALUE"""),"Хасанова Аниса Сергеевна")</f>
        <v>Хасанова Аниса Сергеевна</v>
      </c>
      <c r="C917" s="75" t="str">
        <f ca="1">IFERROR(__xludf.DUMMYFUNCTION("""COMPUTED_VALUE"""),"Студент")</f>
        <v>Студент</v>
      </c>
    </row>
    <row r="918" spans="1:3">
      <c r="A918" s="76">
        <f ca="1">IFERROR(__xludf.DUMMYFUNCTION("""COMPUTED_VALUE"""),2305025)</f>
        <v>2305025</v>
      </c>
      <c r="B918" s="76" t="str">
        <f ca="1">IFERROR(__xludf.DUMMYFUNCTION("""COMPUTED_VALUE"""),"Калинкин Даниил Николаевич")</f>
        <v>Калинкин Даниил Николаевич</v>
      </c>
      <c r="C918" s="75" t="str">
        <f ca="1">IFERROR(__xludf.DUMMYFUNCTION("""COMPUTED_VALUE"""),"Студент")</f>
        <v>Студент</v>
      </c>
    </row>
    <row r="919" spans="1:3">
      <c r="A919" s="76">
        <f ca="1">IFERROR(__xludf.DUMMYFUNCTION("""COMPUTED_VALUE"""),2305027)</f>
        <v>2305027</v>
      </c>
      <c r="B919" s="76" t="str">
        <f ca="1">IFERROR(__xludf.DUMMYFUNCTION("""COMPUTED_VALUE"""),"Подойников Андрей Владимирович")</f>
        <v>Подойников Андрей Владимирович</v>
      </c>
      <c r="C919" s="75" t="str">
        <f ca="1">IFERROR(__xludf.DUMMYFUNCTION("""COMPUTED_VALUE"""),"Студент")</f>
        <v>Студент</v>
      </c>
    </row>
    <row r="920" spans="1:3">
      <c r="A920" s="76">
        <f ca="1">IFERROR(__xludf.DUMMYFUNCTION("""COMPUTED_VALUE"""),2305028)</f>
        <v>2305028</v>
      </c>
      <c r="B920" s="76" t="str">
        <f ca="1">IFERROR(__xludf.DUMMYFUNCTION("""COMPUTED_VALUE"""),"Савельев Максим Максимович")</f>
        <v>Савельев Максим Максимович</v>
      </c>
      <c r="C920" s="75" t="str">
        <f ca="1">IFERROR(__xludf.DUMMYFUNCTION("""COMPUTED_VALUE"""),"Студент")</f>
        <v>Студент</v>
      </c>
    </row>
    <row r="921" spans="1:3">
      <c r="A921" s="76">
        <f ca="1">IFERROR(__xludf.DUMMYFUNCTION("""COMPUTED_VALUE"""),2305033)</f>
        <v>2305033</v>
      </c>
      <c r="B921" s="76" t="str">
        <f ca="1">IFERROR(__xludf.DUMMYFUNCTION("""COMPUTED_VALUE"""),"Челохсаева Елена Эльбрусовна")</f>
        <v>Челохсаева Елена Эльбрусовна</v>
      </c>
      <c r="C921" s="75" t="str">
        <f ca="1">IFERROR(__xludf.DUMMYFUNCTION("""COMPUTED_VALUE"""),"Студент")</f>
        <v>Студент</v>
      </c>
    </row>
    <row r="922" spans="1:3">
      <c r="A922" s="76">
        <f ca="1">IFERROR(__xludf.DUMMYFUNCTION("""COMPUTED_VALUE"""),2305036)</f>
        <v>2305036</v>
      </c>
      <c r="B922" s="76" t="str">
        <f ca="1">IFERROR(__xludf.DUMMYFUNCTION("""COMPUTED_VALUE"""),"Телица Артем Александрович")</f>
        <v>Телица Артем Александрович</v>
      </c>
      <c r="C922" s="75" t="str">
        <f ca="1">IFERROR(__xludf.DUMMYFUNCTION("""COMPUTED_VALUE"""),"Аспирант")</f>
        <v>Аспирант</v>
      </c>
    </row>
    <row r="923" spans="1:3">
      <c r="A923" s="76">
        <f ca="1">IFERROR(__xludf.DUMMYFUNCTION("""COMPUTED_VALUE"""),2305037)</f>
        <v>2305037</v>
      </c>
      <c r="B923" s="76" t="str">
        <f ca="1">IFERROR(__xludf.DUMMYFUNCTION("""COMPUTED_VALUE"""),"Астафурова Елена Сергеевна")</f>
        <v>Астафурова Елена Сергеевна</v>
      </c>
      <c r="C923" s="75" t="str">
        <f ca="1">IFERROR(__xludf.DUMMYFUNCTION("""COMPUTED_VALUE"""),"Студент")</f>
        <v>Студент</v>
      </c>
    </row>
    <row r="924" spans="1:3">
      <c r="A924" s="76">
        <f ca="1">IFERROR(__xludf.DUMMYFUNCTION("""COMPUTED_VALUE"""),2305054)</f>
        <v>2305054</v>
      </c>
      <c r="B924" s="76" t="str">
        <f ca="1">IFERROR(__xludf.DUMMYFUNCTION("""COMPUTED_VALUE"""),"Шабуров Павел Олегович")</f>
        <v>Шабуров Павел Олегович</v>
      </c>
      <c r="C924" s="75" t="str">
        <f ca="1">IFERROR(__xludf.DUMMYFUNCTION("""COMPUTED_VALUE"""),"Студент")</f>
        <v>Студент</v>
      </c>
    </row>
    <row r="925" spans="1:3">
      <c r="A925" s="76">
        <f ca="1">IFERROR(__xludf.DUMMYFUNCTION("""COMPUTED_VALUE"""),2305060)</f>
        <v>2305060</v>
      </c>
      <c r="B925" s="76" t="str">
        <f ca="1">IFERROR(__xludf.DUMMYFUNCTION("""COMPUTED_VALUE"""),"Пинегин Ефим Антонович")</f>
        <v>Пинегин Ефим Антонович</v>
      </c>
      <c r="C925" s="75" t="str">
        <f ca="1">IFERROR(__xludf.DUMMYFUNCTION("""COMPUTED_VALUE"""),"Студент")</f>
        <v>Студент</v>
      </c>
    </row>
    <row r="926" spans="1:3">
      <c r="A926" s="76">
        <f ca="1">IFERROR(__xludf.DUMMYFUNCTION("""COMPUTED_VALUE"""),2305062)</f>
        <v>2305062</v>
      </c>
      <c r="B926" s="76" t="str">
        <f ca="1">IFERROR(__xludf.DUMMYFUNCTION("""COMPUTED_VALUE"""),"Панферов Николай Сергеевич")</f>
        <v>Панферов Николай Сергеевич</v>
      </c>
      <c r="C926" s="75" t="str">
        <f ca="1">IFERROR(__xludf.DUMMYFUNCTION("""COMPUTED_VALUE"""),"Студент")</f>
        <v>Студент</v>
      </c>
    </row>
    <row r="927" spans="1:3">
      <c r="A927" s="76">
        <f ca="1">IFERROR(__xludf.DUMMYFUNCTION("""COMPUTED_VALUE"""),2305080)</f>
        <v>2305080</v>
      </c>
      <c r="B927" s="76" t="str">
        <f ca="1">IFERROR(__xludf.DUMMYFUNCTION("""COMPUTED_VALUE"""),"Луценко Никита Александрович")</f>
        <v>Луценко Никита Александрович</v>
      </c>
      <c r="C927" s="75" t="str">
        <f ca="1">IFERROR(__xludf.DUMMYFUNCTION("""COMPUTED_VALUE"""),"Студент")</f>
        <v>Студент</v>
      </c>
    </row>
    <row r="928" spans="1:3">
      <c r="A928" s="76">
        <f ca="1">IFERROR(__xludf.DUMMYFUNCTION("""COMPUTED_VALUE"""),2305085)</f>
        <v>2305085</v>
      </c>
      <c r="B928" s="76" t="str">
        <f ca="1">IFERROR(__xludf.DUMMYFUNCTION("""COMPUTED_VALUE"""),"Великанов Вадим Михайлович")</f>
        <v>Великанов Вадим Михайлович</v>
      </c>
      <c r="C928" s="75" t="str">
        <f ca="1">IFERROR(__xludf.DUMMYFUNCTION("""COMPUTED_VALUE"""),"Студент")</f>
        <v>Студент</v>
      </c>
    </row>
    <row r="929" spans="1:3">
      <c r="A929" s="76">
        <f ca="1">IFERROR(__xludf.DUMMYFUNCTION("""COMPUTED_VALUE"""),2305088)</f>
        <v>2305088</v>
      </c>
      <c r="B929" s="76" t="str">
        <f ca="1">IFERROR(__xludf.DUMMYFUNCTION("""COMPUTED_VALUE"""),"Аксёнов Алексей Николаевич")</f>
        <v>Аксёнов Алексей Николаевич</v>
      </c>
      <c r="C929" s="75" t="str">
        <f ca="1">IFERROR(__xludf.DUMMYFUNCTION("""COMPUTED_VALUE"""),"Студент")</f>
        <v>Студент</v>
      </c>
    </row>
    <row r="930" spans="1:3">
      <c r="A930" s="76">
        <f ca="1">IFERROR(__xludf.DUMMYFUNCTION("""COMPUTED_VALUE"""),2305089)</f>
        <v>2305089</v>
      </c>
      <c r="B930" s="76" t="str">
        <f ca="1">IFERROR(__xludf.DUMMYFUNCTION("""COMPUTED_VALUE"""),"Воронова Александра Васильевна")</f>
        <v>Воронова Александра Васильевна</v>
      </c>
      <c r="C930" s="75" t="str">
        <f ca="1">IFERROR(__xludf.DUMMYFUNCTION("""COMPUTED_VALUE"""),"Студент")</f>
        <v>Студент</v>
      </c>
    </row>
    <row r="931" spans="1:3">
      <c r="A931" s="76">
        <f ca="1">IFERROR(__xludf.DUMMYFUNCTION("""COMPUTED_VALUE"""),2305093)</f>
        <v>2305093</v>
      </c>
      <c r="B931" s="76" t="str">
        <f ca="1">IFERROR(__xludf.DUMMYFUNCTION("""COMPUTED_VALUE"""),"Батуров Даниил Алексеевич")</f>
        <v>Батуров Даниил Алексеевич</v>
      </c>
      <c r="C931" s="75" t="str">
        <f ca="1">IFERROR(__xludf.DUMMYFUNCTION("""COMPUTED_VALUE"""),"Студент")</f>
        <v>Студент</v>
      </c>
    </row>
    <row r="932" spans="1:3">
      <c r="A932" s="76">
        <f ca="1">IFERROR(__xludf.DUMMYFUNCTION("""COMPUTED_VALUE"""),2305106)</f>
        <v>2305106</v>
      </c>
      <c r="B932" s="76" t="str">
        <f ca="1">IFERROR(__xludf.DUMMYFUNCTION("""COMPUTED_VALUE"""),"Эркинбоев Илёсбек Икромжон Угли")</f>
        <v>Эркинбоев Илёсбек Икромжон Угли</v>
      </c>
      <c r="C932" s="75" t="str">
        <f ca="1">IFERROR(__xludf.DUMMYFUNCTION("""COMPUTED_VALUE"""),"Студент")</f>
        <v>Студент</v>
      </c>
    </row>
    <row r="933" spans="1:3">
      <c r="A933" s="76">
        <f ca="1">IFERROR(__xludf.DUMMYFUNCTION("""COMPUTED_VALUE"""),2305136)</f>
        <v>2305136</v>
      </c>
      <c r="B933" s="76" t="str">
        <f ca="1">IFERROR(__xludf.DUMMYFUNCTION("""COMPUTED_VALUE"""),"Кузьмина Ольга Евгеньевна")</f>
        <v>Кузьмина Ольга Евгеньевна</v>
      </c>
      <c r="C933" s="75" t="str">
        <f ca="1">IFERROR(__xludf.DUMMYFUNCTION("""COMPUTED_VALUE"""),"Студент")</f>
        <v>Студент</v>
      </c>
    </row>
    <row r="934" spans="1:3">
      <c r="A934" s="76">
        <f ca="1">IFERROR(__xludf.DUMMYFUNCTION("""COMPUTED_VALUE"""),2305137)</f>
        <v>2305137</v>
      </c>
      <c r="B934" s="76" t="str">
        <f ca="1">IFERROR(__xludf.DUMMYFUNCTION("""COMPUTED_VALUE"""),"Цепелева Мария Максимовна")</f>
        <v>Цепелева Мария Максимовна</v>
      </c>
      <c r="C934" s="75" t="str">
        <f ca="1">IFERROR(__xludf.DUMMYFUNCTION("""COMPUTED_VALUE"""),"Студент")</f>
        <v>Студент</v>
      </c>
    </row>
    <row r="935" spans="1:3">
      <c r="A935" s="76">
        <f ca="1">IFERROR(__xludf.DUMMYFUNCTION("""COMPUTED_VALUE"""),2305144)</f>
        <v>2305144</v>
      </c>
      <c r="B935" s="76" t="str">
        <f ca="1">IFERROR(__xludf.DUMMYFUNCTION("""COMPUTED_VALUE"""),"Мавлюдова Полина Вячеславовна")</f>
        <v>Мавлюдова Полина Вячеславовна</v>
      </c>
      <c r="C935" s="75" t="str">
        <f ca="1">IFERROR(__xludf.DUMMYFUNCTION("""COMPUTED_VALUE"""),"Студент")</f>
        <v>Студент</v>
      </c>
    </row>
    <row r="936" spans="1:3">
      <c r="A936" s="76">
        <f ca="1">IFERROR(__xludf.DUMMYFUNCTION("""COMPUTED_VALUE"""),2305148)</f>
        <v>2305148</v>
      </c>
      <c r="B936" s="76" t="str">
        <f ca="1">IFERROR(__xludf.DUMMYFUNCTION("""COMPUTED_VALUE"""),"Иванова Ксения Сергеевна")</f>
        <v>Иванова Ксения Сергеевна</v>
      </c>
      <c r="C936" s="75" t="str">
        <f ca="1">IFERROR(__xludf.DUMMYFUNCTION("""COMPUTED_VALUE"""),"Студент")</f>
        <v>Студент</v>
      </c>
    </row>
    <row r="937" spans="1:3">
      <c r="A937" s="76">
        <f ca="1">IFERROR(__xludf.DUMMYFUNCTION("""COMPUTED_VALUE"""),2305155)</f>
        <v>2305155</v>
      </c>
      <c r="B937" s="76" t="str">
        <f ca="1">IFERROR(__xludf.DUMMYFUNCTION("""COMPUTED_VALUE"""),"Бабынина Елизавета Сергеевна")</f>
        <v>Бабынина Елизавета Сергеевна</v>
      </c>
      <c r="C937" s="75" t="str">
        <f ca="1">IFERROR(__xludf.DUMMYFUNCTION("""COMPUTED_VALUE"""),"Студент")</f>
        <v>Студент</v>
      </c>
    </row>
    <row r="938" spans="1:3">
      <c r="A938" s="76">
        <f ca="1">IFERROR(__xludf.DUMMYFUNCTION("""COMPUTED_VALUE"""),2305159)</f>
        <v>2305159</v>
      </c>
      <c r="B938" s="76" t="str">
        <f ca="1">IFERROR(__xludf.DUMMYFUNCTION("""COMPUTED_VALUE"""),"Инан Тимур Салим Серветович")</f>
        <v>Инан Тимур Салим Серветович</v>
      </c>
      <c r="C938" s="75" t="str">
        <f ca="1">IFERROR(__xludf.DUMMYFUNCTION("""COMPUTED_VALUE"""),"Студент")</f>
        <v>Студент</v>
      </c>
    </row>
    <row r="939" spans="1:3">
      <c r="A939" s="76">
        <f ca="1">IFERROR(__xludf.DUMMYFUNCTION("""COMPUTED_VALUE"""),2305174)</f>
        <v>2305174</v>
      </c>
      <c r="B939" s="76" t="str">
        <f ca="1">IFERROR(__xludf.DUMMYFUNCTION("""COMPUTED_VALUE"""),"Дружинина Ольга Игоревна")</f>
        <v>Дружинина Ольга Игоревна</v>
      </c>
      <c r="C939" s="75" t="str">
        <f ca="1">IFERROR(__xludf.DUMMYFUNCTION("""COMPUTED_VALUE"""),"Студент")</f>
        <v>Студент</v>
      </c>
    </row>
    <row r="940" spans="1:3">
      <c r="A940" s="76">
        <f ca="1">IFERROR(__xludf.DUMMYFUNCTION("""COMPUTED_VALUE"""),2305179)</f>
        <v>2305179</v>
      </c>
      <c r="B940" s="76" t="str">
        <f ca="1">IFERROR(__xludf.DUMMYFUNCTION("""COMPUTED_VALUE"""),"Филиппова Марина Олеговна")</f>
        <v>Филиппова Марина Олеговна</v>
      </c>
      <c r="C940" s="75" t="str">
        <f ca="1">IFERROR(__xludf.DUMMYFUNCTION("""COMPUTED_VALUE"""),"Студент")</f>
        <v>Студент</v>
      </c>
    </row>
    <row r="941" spans="1:3">
      <c r="A941" s="76">
        <f ca="1">IFERROR(__xludf.DUMMYFUNCTION("""COMPUTED_VALUE"""),2305180)</f>
        <v>2305180</v>
      </c>
      <c r="B941" s="76" t="str">
        <f ca="1">IFERROR(__xludf.DUMMYFUNCTION("""COMPUTED_VALUE"""),"Никитенко Егор Витальевич")</f>
        <v>Никитенко Егор Витальевич</v>
      </c>
      <c r="C941" s="75" t="str">
        <f ca="1">IFERROR(__xludf.DUMMYFUNCTION("""COMPUTED_VALUE"""),"Студент")</f>
        <v>Студент</v>
      </c>
    </row>
    <row r="942" spans="1:3">
      <c r="A942" s="76">
        <f ca="1">IFERROR(__xludf.DUMMYFUNCTION("""COMPUTED_VALUE"""),2305188)</f>
        <v>2305188</v>
      </c>
      <c r="B942" s="76" t="str">
        <f ca="1">IFERROR(__xludf.DUMMYFUNCTION("""COMPUTED_VALUE"""),"Луганская Евгения Константиновна")</f>
        <v>Луганская Евгения Константиновна</v>
      </c>
      <c r="C942" s="75" t="str">
        <f ca="1">IFERROR(__xludf.DUMMYFUNCTION("""COMPUTED_VALUE"""),"Студент")</f>
        <v>Студент</v>
      </c>
    </row>
    <row r="943" spans="1:3">
      <c r="A943" s="76">
        <f ca="1">IFERROR(__xludf.DUMMYFUNCTION("""COMPUTED_VALUE"""),2305191)</f>
        <v>2305191</v>
      </c>
      <c r="B943" s="76" t="str">
        <f ca="1">IFERROR(__xludf.DUMMYFUNCTION("""COMPUTED_VALUE"""),"Арзуманян Кристина Тиграновна")</f>
        <v>Арзуманян Кристина Тиграновна</v>
      </c>
      <c r="C943" s="75" t="str">
        <f ca="1">IFERROR(__xludf.DUMMYFUNCTION("""COMPUTED_VALUE"""),"Студент")</f>
        <v>Студент</v>
      </c>
    </row>
    <row r="944" spans="1:3">
      <c r="A944" s="76">
        <f ca="1">IFERROR(__xludf.DUMMYFUNCTION("""COMPUTED_VALUE"""),2305193)</f>
        <v>2305193</v>
      </c>
      <c r="B944" s="76" t="str">
        <f ca="1">IFERROR(__xludf.DUMMYFUNCTION("""COMPUTED_VALUE"""),"Рыхтова Софья Александровна")</f>
        <v>Рыхтова Софья Александровна</v>
      </c>
      <c r="C944" s="75" t="str">
        <f ca="1">IFERROR(__xludf.DUMMYFUNCTION("""COMPUTED_VALUE"""),"Студент")</f>
        <v>Студент</v>
      </c>
    </row>
    <row r="945" spans="1:3">
      <c r="A945" s="76">
        <f ca="1">IFERROR(__xludf.DUMMYFUNCTION("""COMPUTED_VALUE"""),2305212)</f>
        <v>2305212</v>
      </c>
      <c r="B945" s="76" t="str">
        <f ca="1">IFERROR(__xludf.DUMMYFUNCTION("""COMPUTED_VALUE"""),"Магси Балоч Диана Назировна")</f>
        <v>Магси Балоч Диана Назировна</v>
      </c>
      <c r="C945" s="75" t="str">
        <f ca="1">IFERROR(__xludf.DUMMYFUNCTION("""COMPUTED_VALUE"""),"Студент")</f>
        <v>Студент</v>
      </c>
    </row>
    <row r="946" spans="1:3">
      <c r="A946" s="76">
        <f ca="1">IFERROR(__xludf.DUMMYFUNCTION("""COMPUTED_VALUE"""),2305225)</f>
        <v>2305225</v>
      </c>
      <c r="B946" s="76" t="str">
        <f ca="1">IFERROR(__xludf.DUMMYFUNCTION("""COMPUTED_VALUE"""),"Демченко Елизавета Сергеевна")</f>
        <v>Демченко Елизавета Сергеевна</v>
      </c>
      <c r="C946" s="75" t="str">
        <f ca="1">IFERROR(__xludf.DUMMYFUNCTION("""COMPUTED_VALUE"""),"Студент")</f>
        <v>Студент</v>
      </c>
    </row>
    <row r="947" spans="1:3">
      <c r="A947" s="76">
        <f ca="1">IFERROR(__xludf.DUMMYFUNCTION("""COMPUTED_VALUE"""),2305235)</f>
        <v>2305235</v>
      </c>
      <c r="B947" s="76" t="str">
        <f ca="1">IFERROR(__xludf.DUMMYFUNCTION("""COMPUTED_VALUE"""),"Добрынин Иван Анатольевич")</f>
        <v>Добрынин Иван Анатольевич</v>
      </c>
      <c r="C947" s="75" t="str">
        <f ca="1">IFERROR(__xludf.DUMMYFUNCTION("""COMPUTED_VALUE"""),"Студент")</f>
        <v>Студент</v>
      </c>
    </row>
    <row r="948" spans="1:3">
      <c r="A948" s="76">
        <f ca="1">IFERROR(__xludf.DUMMYFUNCTION("""COMPUTED_VALUE"""),2305247)</f>
        <v>2305247</v>
      </c>
      <c r="B948" s="76" t="str">
        <f ca="1">IFERROR(__xludf.DUMMYFUNCTION("""COMPUTED_VALUE"""),"Кабанов Дмитрий Вячеславович")</f>
        <v>Кабанов Дмитрий Вячеславович</v>
      </c>
      <c r="C948" s="75" t="str">
        <f ca="1">IFERROR(__xludf.DUMMYFUNCTION("""COMPUTED_VALUE"""),"Студент")</f>
        <v>Студент</v>
      </c>
    </row>
    <row r="949" spans="1:3">
      <c r="A949" s="76">
        <f ca="1">IFERROR(__xludf.DUMMYFUNCTION("""COMPUTED_VALUE"""),2305249)</f>
        <v>2305249</v>
      </c>
      <c r="B949" s="76" t="str">
        <f ca="1">IFERROR(__xludf.DUMMYFUNCTION("""COMPUTED_VALUE"""),"Тихонов Антон Александрович")</f>
        <v>Тихонов Антон Александрович</v>
      </c>
      <c r="C949" s="75" t="str">
        <f ca="1">IFERROR(__xludf.DUMMYFUNCTION("""COMPUTED_VALUE"""),"Студент")</f>
        <v>Студент</v>
      </c>
    </row>
    <row r="950" spans="1:3">
      <c r="A950" s="76">
        <f ca="1">IFERROR(__xludf.DUMMYFUNCTION("""COMPUTED_VALUE"""),2305255)</f>
        <v>2305255</v>
      </c>
      <c r="B950" s="76" t="str">
        <f ca="1">IFERROR(__xludf.DUMMYFUNCTION("""COMPUTED_VALUE"""),"Железняк Михаил Алексеевич")</f>
        <v>Железняк Михаил Алексеевич</v>
      </c>
      <c r="C950" s="75" t="str">
        <f ca="1">IFERROR(__xludf.DUMMYFUNCTION("""COMPUTED_VALUE"""),"Студент")</f>
        <v>Студент</v>
      </c>
    </row>
    <row r="951" spans="1:3">
      <c r="A951" s="76">
        <f ca="1">IFERROR(__xludf.DUMMYFUNCTION("""COMPUTED_VALUE"""),2305261)</f>
        <v>2305261</v>
      </c>
      <c r="B951" s="76" t="str">
        <f ca="1">IFERROR(__xludf.DUMMYFUNCTION("""COMPUTED_VALUE"""),"Банников Глеб Романович")</f>
        <v>Банников Глеб Романович</v>
      </c>
      <c r="C951" s="75" t="str">
        <f ca="1">IFERROR(__xludf.DUMMYFUNCTION("""COMPUTED_VALUE"""),"Студент")</f>
        <v>Студент</v>
      </c>
    </row>
    <row r="952" spans="1:3">
      <c r="A952" s="76">
        <f ca="1">IFERROR(__xludf.DUMMYFUNCTION("""COMPUTED_VALUE"""),2305262)</f>
        <v>2305262</v>
      </c>
      <c r="B952" s="76" t="str">
        <f ca="1">IFERROR(__xludf.DUMMYFUNCTION("""COMPUTED_VALUE"""),"Соловьёв Максим Андреевич")</f>
        <v>Соловьёв Максим Андреевич</v>
      </c>
      <c r="C952" s="75" t="str">
        <f ca="1">IFERROR(__xludf.DUMMYFUNCTION("""COMPUTED_VALUE"""),"Студент")</f>
        <v>Студент</v>
      </c>
    </row>
    <row r="953" spans="1:3">
      <c r="A953" s="76">
        <f ca="1">IFERROR(__xludf.DUMMYFUNCTION("""COMPUTED_VALUE"""),2305263)</f>
        <v>2305263</v>
      </c>
      <c r="B953" s="76" t="str">
        <f ca="1">IFERROR(__xludf.DUMMYFUNCTION("""COMPUTED_VALUE"""),"Ситдиков Шамиль Рустемович")</f>
        <v>Ситдиков Шамиль Рустемович</v>
      </c>
      <c r="C953" s="75" t="str">
        <f ca="1">IFERROR(__xludf.DUMMYFUNCTION("""COMPUTED_VALUE"""),"Студент")</f>
        <v>Студент</v>
      </c>
    </row>
    <row r="954" spans="1:3">
      <c r="A954" s="76">
        <f ca="1">IFERROR(__xludf.DUMMYFUNCTION("""COMPUTED_VALUE"""),2305275)</f>
        <v>2305275</v>
      </c>
      <c r="B954" s="76" t="str">
        <f ca="1">IFERROR(__xludf.DUMMYFUNCTION("""COMPUTED_VALUE"""),"Горохов Александр Сергеевич")</f>
        <v>Горохов Александр Сергеевич</v>
      </c>
      <c r="C954" s="75" t="str">
        <f ca="1">IFERROR(__xludf.DUMMYFUNCTION("""COMPUTED_VALUE"""),"Студент")</f>
        <v>Студент</v>
      </c>
    </row>
    <row r="955" spans="1:3">
      <c r="A955" s="76">
        <f ca="1">IFERROR(__xludf.DUMMYFUNCTION("""COMPUTED_VALUE"""),2305281)</f>
        <v>2305281</v>
      </c>
      <c r="B955" s="76" t="str">
        <f ca="1">IFERROR(__xludf.DUMMYFUNCTION("""COMPUTED_VALUE"""),"Грауле Ангелина Ивановна")</f>
        <v>Грауле Ангелина Ивановна</v>
      </c>
      <c r="C955" s="75" t="str">
        <f ca="1">IFERROR(__xludf.DUMMYFUNCTION("""COMPUTED_VALUE"""),"Студент")</f>
        <v>Студент</v>
      </c>
    </row>
    <row r="956" spans="1:3">
      <c r="A956" s="76">
        <f ca="1">IFERROR(__xludf.DUMMYFUNCTION("""COMPUTED_VALUE"""),2305284)</f>
        <v>2305284</v>
      </c>
      <c r="B956" s="76" t="str">
        <f ca="1">IFERROR(__xludf.DUMMYFUNCTION("""COMPUTED_VALUE"""),"Калашникова Анастасия Сергеевна")</f>
        <v>Калашникова Анастасия Сергеевна</v>
      </c>
      <c r="C956" s="75" t="str">
        <f ca="1">IFERROR(__xludf.DUMMYFUNCTION("""COMPUTED_VALUE"""),"Студент")</f>
        <v>Студент</v>
      </c>
    </row>
    <row r="957" spans="1:3">
      <c r="A957" s="76">
        <f ca="1">IFERROR(__xludf.DUMMYFUNCTION("""COMPUTED_VALUE"""),2305296)</f>
        <v>2305296</v>
      </c>
      <c r="B957" s="76" t="str">
        <f ca="1">IFERROR(__xludf.DUMMYFUNCTION("""COMPUTED_VALUE"""),"Кочина Елизавета Евгеньевна")</f>
        <v>Кочина Елизавета Евгеньевна</v>
      </c>
      <c r="C957" s="75" t="str">
        <f ca="1">IFERROR(__xludf.DUMMYFUNCTION("""COMPUTED_VALUE"""),"Студент")</f>
        <v>Студент</v>
      </c>
    </row>
    <row r="958" spans="1:3">
      <c r="A958" s="76">
        <f ca="1">IFERROR(__xludf.DUMMYFUNCTION("""COMPUTED_VALUE"""),2305298)</f>
        <v>2305298</v>
      </c>
      <c r="B958" s="76" t="str">
        <f ca="1">IFERROR(__xludf.DUMMYFUNCTION("""COMPUTED_VALUE"""),"Фирсов Артём Сергеевич")</f>
        <v>Фирсов Артём Сергеевич</v>
      </c>
      <c r="C958" s="75" t="str">
        <f ca="1">IFERROR(__xludf.DUMMYFUNCTION("""COMPUTED_VALUE"""),"Студент")</f>
        <v>Студент</v>
      </c>
    </row>
    <row r="959" spans="1:3">
      <c r="A959" s="76">
        <f ca="1">IFERROR(__xludf.DUMMYFUNCTION("""COMPUTED_VALUE"""),2305322)</f>
        <v>2305322</v>
      </c>
      <c r="B959" s="76" t="str">
        <f ca="1">IFERROR(__xludf.DUMMYFUNCTION("""COMPUTED_VALUE"""),"Ахиярова Дарья Ильдаровна")</f>
        <v>Ахиярова Дарья Ильдаровна</v>
      </c>
      <c r="C959" s="75" t="str">
        <f ca="1">IFERROR(__xludf.DUMMYFUNCTION("""COMPUTED_VALUE"""),"Студент")</f>
        <v>Студент</v>
      </c>
    </row>
    <row r="960" spans="1:3">
      <c r="A960" s="76">
        <f ca="1">IFERROR(__xludf.DUMMYFUNCTION("""COMPUTED_VALUE"""),2305328)</f>
        <v>2305328</v>
      </c>
      <c r="B960" s="76" t="str">
        <f ca="1">IFERROR(__xludf.DUMMYFUNCTION("""COMPUTED_VALUE"""),"Кадирбеков Мадамин Абзалович")</f>
        <v>Кадирбеков Мадамин Абзалович</v>
      </c>
      <c r="C960" s="75" t="str">
        <f ca="1">IFERROR(__xludf.DUMMYFUNCTION("""COMPUTED_VALUE"""),"Студент")</f>
        <v>Студент</v>
      </c>
    </row>
    <row r="961" spans="1:3">
      <c r="A961" s="76">
        <f ca="1">IFERROR(__xludf.DUMMYFUNCTION("""COMPUTED_VALUE"""),2305331)</f>
        <v>2305331</v>
      </c>
      <c r="B961" s="76" t="str">
        <f ca="1">IFERROR(__xludf.DUMMYFUNCTION("""COMPUTED_VALUE"""),"Панкратова Дарья Олеговна")</f>
        <v>Панкратова Дарья Олеговна</v>
      </c>
      <c r="C961" s="75" t="str">
        <f ca="1">IFERROR(__xludf.DUMMYFUNCTION("""COMPUTED_VALUE"""),"Студент")</f>
        <v>Студент</v>
      </c>
    </row>
    <row r="962" spans="1:3">
      <c r="A962" s="76">
        <f ca="1">IFERROR(__xludf.DUMMYFUNCTION("""COMPUTED_VALUE"""),2305332)</f>
        <v>2305332</v>
      </c>
      <c r="B962" s="76" t="str">
        <f ca="1">IFERROR(__xludf.DUMMYFUNCTION("""COMPUTED_VALUE"""),"Сторчун Александра Романовна")</f>
        <v>Сторчун Александра Романовна</v>
      </c>
      <c r="C962" s="75" t="str">
        <f ca="1">IFERROR(__xludf.DUMMYFUNCTION("""COMPUTED_VALUE"""),"Студент")</f>
        <v>Студент</v>
      </c>
    </row>
    <row r="963" spans="1:3">
      <c r="A963" s="76">
        <f ca="1">IFERROR(__xludf.DUMMYFUNCTION("""COMPUTED_VALUE"""),2305343)</f>
        <v>2305343</v>
      </c>
      <c r="B963" s="76" t="str">
        <f ca="1">IFERROR(__xludf.DUMMYFUNCTION("""COMPUTED_VALUE"""),"Пихтерова Наталья Николаевна")</f>
        <v>Пихтерова Наталья Николаевна</v>
      </c>
      <c r="C963" s="75" t="str">
        <f ca="1">IFERROR(__xludf.DUMMYFUNCTION("""COMPUTED_VALUE"""),"Студент")</f>
        <v>Студент</v>
      </c>
    </row>
    <row r="964" spans="1:3">
      <c r="A964" s="76">
        <f ca="1">IFERROR(__xludf.DUMMYFUNCTION("""COMPUTED_VALUE"""),2305353)</f>
        <v>2305353</v>
      </c>
      <c r="B964" s="76" t="str">
        <f ca="1">IFERROR(__xludf.DUMMYFUNCTION("""COMPUTED_VALUE"""),"Зверева Дарья Константиновна")</f>
        <v>Зверева Дарья Константиновна</v>
      </c>
      <c r="C964" s="75" t="str">
        <f ca="1">IFERROR(__xludf.DUMMYFUNCTION("""COMPUTED_VALUE"""),"Студент")</f>
        <v>Студент</v>
      </c>
    </row>
    <row r="965" spans="1:3">
      <c r="A965" s="76">
        <f ca="1">IFERROR(__xludf.DUMMYFUNCTION("""COMPUTED_VALUE"""),2305356)</f>
        <v>2305356</v>
      </c>
      <c r="B965" s="76" t="str">
        <f ca="1">IFERROR(__xludf.DUMMYFUNCTION("""COMPUTED_VALUE"""),"Крайнюков Артём Александрович")</f>
        <v>Крайнюков Артём Александрович</v>
      </c>
      <c r="C965" s="75" t="str">
        <f ca="1">IFERROR(__xludf.DUMMYFUNCTION("""COMPUTED_VALUE"""),"Студент")</f>
        <v>Студент</v>
      </c>
    </row>
    <row r="966" spans="1:3">
      <c r="A966" s="76">
        <f ca="1">IFERROR(__xludf.DUMMYFUNCTION("""COMPUTED_VALUE"""),2305363)</f>
        <v>2305363</v>
      </c>
      <c r="B966" s="76" t="str">
        <f ca="1">IFERROR(__xludf.DUMMYFUNCTION("""COMPUTED_VALUE"""),"Новохацкая Елизавета Игоревна")</f>
        <v>Новохацкая Елизавета Игоревна</v>
      </c>
      <c r="C966" s="75" t="str">
        <f ca="1">IFERROR(__xludf.DUMMYFUNCTION("""COMPUTED_VALUE"""),"Студент")</f>
        <v>Студент</v>
      </c>
    </row>
    <row r="967" spans="1:3">
      <c r="A967" s="76">
        <f ca="1">IFERROR(__xludf.DUMMYFUNCTION("""COMPUTED_VALUE"""),2305366)</f>
        <v>2305366</v>
      </c>
      <c r="B967" s="76" t="str">
        <f ca="1">IFERROR(__xludf.DUMMYFUNCTION("""COMPUTED_VALUE"""),"Дзержинский Владимир Владимирович")</f>
        <v>Дзержинский Владимир Владимирович</v>
      </c>
      <c r="C967" s="75" t="str">
        <f ca="1">IFERROR(__xludf.DUMMYFUNCTION("""COMPUTED_VALUE"""),"Студент")</f>
        <v>Студент</v>
      </c>
    </row>
    <row r="968" spans="1:3">
      <c r="A968" s="76">
        <f ca="1">IFERROR(__xludf.DUMMYFUNCTION("""COMPUTED_VALUE"""),2305370)</f>
        <v>2305370</v>
      </c>
      <c r="B968" s="76" t="str">
        <f ca="1">IFERROR(__xludf.DUMMYFUNCTION("""COMPUTED_VALUE"""),"Орехов Иван Евгеньевич")</f>
        <v>Орехов Иван Евгеньевич</v>
      </c>
      <c r="C968" s="75" t="str">
        <f ca="1">IFERROR(__xludf.DUMMYFUNCTION("""COMPUTED_VALUE"""),"Студент")</f>
        <v>Студент</v>
      </c>
    </row>
    <row r="969" spans="1:3">
      <c r="A969" s="76">
        <f ca="1">IFERROR(__xludf.DUMMYFUNCTION("""COMPUTED_VALUE"""),2305391)</f>
        <v>2305391</v>
      </c>
      <c r="B969" s="76" t="str">
        <f ca="1">IFERROR(__xludf.DUMMYFUNCTION("""COMPUTED_VALUE"""),"Бут Иван Антонович")</f>
        <v>Бут Иван Антонович</v>
      </c>
      <c r="C969" s="75" t="str">
        <f ca="1">IFERROR(__xludf.DUMMYFUNCTION("""COMPUTED_VALUE"""),"Студент")</f>
        <v>Студент</v>
      </c>
    </row>
    <row r="970" spans="1:3">
      <c r="A970" s="76">
        <f ca="1">IFERROR(__xludf.DUMMYFUNCTION("""COMPUTED_VALUE"""),2305395)</f>
        <v>2305395</v>
      </c>
      <c r="B970" s="76" t="str">
        <f ca="1">IFERROR(__xludf.DUMMYFUNCTION("""COMPUTED_VALUE"""),"Пименов Матвей Алексеевич")</f>
        <v>Пименов Матвей Алексеевич</v>
      </c>
      <c r="C970" s="75" t="str">
        <f ca="1">IFERROR(__xludf.DUMMYFUNCTION("""COMPUTED_VALUE"""),"Студент")</f>
        <v>Студент</v>
      </c>
    </row>
    <row r="971" spans="1:3">
      <c r="A971" s="76">
        <f ca="1">IFERROR(__xludf.DUMMYFUNCTION("""COMPUTED_VALUE"""),2305396)</f>
        <v>2305396</v>
      </c>
      <c r="B971" s="76" t="str">
        <f ca="1">IFERROR(__xludf.DUMMYFUNCTION("""COMPUTED_VALUE"""),"Минаев Никита Михайлович")</f>
        <v>Минаев Никита Михайлович</v>
      </c>
      <c r="C971" s="75" t="str">
        <f ca="1">IFERROR(__xludf.DUMMYFUNCTION("""COMPUTED_VALUE"""),"Студент")</f>
        <v>Студент</v>
      </c>
    </row>
    <row r="972" spans="1:3">
      <c r="A972" s="76">
        <f ca="1">IFERROR(__xludf.DUMMYFUNCTION("""COMPUTED_VALUE"""),2305398)</f>
        <v>2305398</v>
      </c>
      <c r="B972" s="76" t="str">
        <f ca="1">IFERROR(__xludf.DUMMYFUNCTION("""COMPUTED_VALUE"""),"Исломбоев Ботир Бахтиёр угли")</f>
        <v>Исломбоев Ботир Бахтиёр угли</v>
      </c>
      <c r="C972" s="75" t="str">
        <f ca="1">IFERROR(__xludf.DUMMYFUNCTION("""COMPUTED_VALUE"""),"Студент")</f>
        <v>Студент</v>
      </c>
    </row>
    <row r="973" spans="1:3">
      <c r="A973" s="76">
        <f ca="1">IFERROR(__xludf.DUMMYFUNCTION("""COMPUTED_VALUE"""),2305401)</f>
        <v>2305401</v>
      </c>
      <c r="B973" s="76" t="str">
        <f ca="1">IFERROR(__xludf.DUMMYFUNCTION("""COMPUTED_VALUE"""),"Малкова Мария Владимировна")</f>
        <v>Малкова Мария Владимировна</v>
      </c>
      <c r="C973" s="75" t="str">
        <f ca="1">IFERROR(__xludf.DUMMYFUNCTION("""COMPUTED_VALUE"""),"Студент")</f>
        <v>Студент</v>
      </c>
    </row>
    <row r="974" spans="1:3">
      <c r="A974" s="76">
        <f ca="1">IFERROR(__xludf.DUMMYFUNCTION("""COMPUTED_VALUE"""),2305406)</f>
        <v>2305406</v>
      </c>
      <c r="B974" s="76" t="str">
        <f ca="1">IFERROR(__xludf.DUMMYFUNCTION("""COMPUTED_VALUE"""),"Анчикова Анастасия Витальевна")</f>
        <v>Анчикова Анастасия Витальевна</v>
      </c>
      <c r="C974" s="75" t="str">
        <f ca="1">IFERROR(__xludf.DUMMYFUNCTION("""COMPUTED_VALUE"""),"Студент")</f>
        <v>Студент</v>
      </c>
    </row>
    <row r="975" spans="1:3">
      <c r="A975" s="76">
        <f ca="1">IFERROR(__xludf.DUMMYFUNCTION("""COMPUTED_VALUE"""),2305411)</f>
        <v>2305411</v>
      </c>
      <c r="B975" s="76" t="str">
        <f ca="1">IFERROR(__xludf.DUMMYFUNCTION("""COMPUTED_VALUE"""),"Миловзорова Арина Николаевна")</f>
        <v>Миловзорова Арина Николаевна</v>
      </c>
      <c r="C975" s="75" t="str">
        <f ca="1">IFERROR(__xludf.DUMMYFUNCTION("""COMPUTED_VALUE"""),"Студент")</f>
        <v>Студент</v>
      </c>
    </row>
    <row r="976" spans="1:3">
      <c r="A976" s="76">
        <f ca="1">IFERROR(__xludf.DUMMYFUNCTION("""COMPUTED_VALUE"""),2305415)</f>
        <v>2305415</v>
      </c>
      <c r="B976" s="76" t="str">
        <f ca="1">IFERROR(__xludf.DUMMYFUNCTION("""COMPUTED_VALUE"""),"Оськина Татьяна Александровна")</f>
        <v>Оськина Татьяна Александровна</v>
      </c>
      <c r="C976" s="75" t="str">
        <f ca="1">IFERROR(__xludf.DUMMYFUNCTION("""COMPUTED_VALUE"""),"Студент")</f>
        <v>Студент</v>
      </c>
    </row>
    <row r="977" spans="1:3">
      <c r="A977" s="76">
        <f ca="1">IFERROR(__xludf.DUMMYFUNCTION("""COMPUTED_VALUE"""),2305417)</f>
        <v>2305417</v>
      </c>
      <c r="B977" s="76" t="str">
        <f ca="1">IFERROR(__xludf.DUMMYFUNCTION("""COMPUTED_VALUE"""),"Емельянцев Михаил Дмитриевич")</f>
        <v>Емельянцев Михаил Дмитриевич</v>
      </c>
      <c r="C977" s="75" t="str">
        <f ca="1">IFERROR(__xludf.DUMMYFUNCTION("""COMPUTED_VALUE"""),"Студент")</f>
        <v>Студент</v>
      </c>
    </row>
    <row r="978" spans="1:3">
      <c r="A978" s="76">
        <f ca="1">IFERROR(__xludf.DUMMYFUNCTION("""COMPUTED_VALUE"""),2305419)</f>
        <v>2305419</v>
      </c>
      <c r="B978" s="76" t="str">
        <f ca="1">IFERROR(__xludf.DUMMYFUNCTION("""COMPUTED_VALUE"""),"Сайкин Денис Александрович")</f>
        <v>Сайкин Денис Александрович</v>
      </c>
      <c r="C978" s="75" t="str">
        <f ca="1">IFERROR(__xludf.DUMMYFUNCTION("""COMPUTED_VALUE"""),"Студент")</f>
        <v>Студент</v>
      </c>
    </row>
    <row r="979" spans="1:3">
      <c r="A979" s="76">
        <f ca="1">IFERROR(__xludf.DUMMYFUNCTION("""COMPUTED_VALUE"""),2305426)</f>
        <v>2305426</v>
      </c>
      <c r="B979" s="76" t="str">
        <f ca="1">IFERROR(__xludf.DUMMYFUNCTION("""COMPUTED_VALUE"""),"Цыденова Дашима Солбоновна")</f>
        <v>Цыденова Дашима Солбоновна</v>
      </c>
      <c r="C979" s="75" t="str">
        <f ca="1">IFERROR(__xludf.DUMMYFUNCTION("""COMPUTED_VALUE"""),"Студент")</f>
        <v>Студент</v>
      </c>
    </row>
    <row r="980" spans="1:3">
      <c r="A980" s="76">
        <f ca="1">IFERROR(__xludf.DUMMYFUNCTION("""COMPUTED_VALUE"""),2305427)</f>
        <v>2305427</v>
      </c>
      <c r="B980" s="76" t="str">
        <f ca="1">IFERROR(__xludf.DUMMYFUNCTION("""COMPUTED_VALUE"""),"Морин Алексей Романович")</f>
        <v>Морин Алексей Романович</v>
      </c>
      <c r="C980" s="75" t="str">
        <f ca="1">IFERROR(__xludf.DUMMYFUNCTION("""COMPUTED_VALUE"""),"Студент")</f>
        <v>Студент</v>
      </c>
    </row>
    <row r="981" spans="1:3">
      <c r="A981" s="76">
        <f ca="1">IFERROR(__xludf.DUMMYFUNCTION("""COMPUTED_VALUE"""),2305429)</f>
        <v>2305429</v>
      </c>
      <c r="B981" s="76" t="str">
        <f ca="1">IFERROR(__xludf.DUMMYFUNCTION("""COMPUTED_VALUE"""),"Васичкина Валерия Андреевна")</f>
        <v>Васичкина Валерия Андреевна</v>
      </c>
      <c r="C981" s="75" t="str">
        <f ca="1">IFERROR(__xludf.DUMMYFUNCTION("""COMPUTED_VALUE"""),"Студент")</f>
        <v>Студент</v>
      </c>
    </row>
    <row r="982" spans="1:3">
      <c r="A982" s="76">
        <f ca="1">IFERROR(__xludf.DUMMYFUNCTION("""COMPUTED_VALUE"""),2305432)</f>
        <v>2305432</v>
      </c>
      <c r="B982" s="76" t="str">
        <f ca="1">IFERROR(__xludf.DUMMYFUNCTION("""COMPUTED_VALUE"""),"Чиченев Даниил Александрович")</f>
        <v>Чиченев Даниил Александрович</v>
      </c>
      <c r="C982" s="75" t="str">
        <f ca="1">IFERROR(__xludf.DUMMYFUNCTION("""COMPUTED_VALUE"""),"Студент")</f>
        <v>Студент</v>
      </c>
    </row>
    <row r="983" spans="1:3">
      <c r="A983" s="76">
        <f ca="1">IFERROR(__xludf.DUMMYFUNCTION("""COMPUTED_VALUE"""),2305445)</f>
        <v>2305445</v>
      </c>
      <c r="B983" s="76" t="str">
        <f ca="1">IFERROR(__xludf.DUMMYFUNCTION("""COMPUTED_VALUE"""),"Новикова Мария Сергеевна")</f>
        <v>Новикова Мария Сергеевна</v>
      </c>
      <c r="C983" s="75" t="str">
        <f ca="1">IFERROR(__xludf.DUMMYFUNCTION("""COMPUTED_VALUE"""),"Студент")</f>
        <v>Студент</v>
      </c>
    </row>
    <row r="984" spans="1:3">
      <c r="A984" s="76">
        <f ca="1">IFERROR(__xludf.DUMMYFUNCTION("""COMPUTED_VALUE"""),2305452)</f>
        <v>2305452</v>
      </c>
      <c r="B984" s="76" t="str">
        <f ca="1">IFERROR(__xludf.DUMMYFUNCTION("""COMPUTED_VALUE"""),"Ужегова Ирена Саладиновна")</f>
        <v>Ужегова Ирена Саладиновна</v>
      </c>
      <c r="C984" s="75" t="str">
        <f ca="1">IFERROR(__xludf.DUMMYFUNCTION("""COMPUTED_VALUE"""),"Студент")</f>
        <v>Студент</v>
      </c>
    </row>
    <row r="985" spans="1:3">
      <c r="A985" s="76">
        <f ca="1">IFERROR(__xludf.DUMMYFUNCTION("""COMPUTED_VALUE"""),2305456)</f>
        <v>2305456</v>
      </c>
      <c r="B985" s="76" t="str">
        <f ca="1">IFERROR(__xludf.DUMMYFUNCTION("""COMPUTED_VALUE"""),"Лолохоев Султан Русланович")</f>
        <v>Лолохоев Султан Русланович</v>
      </c>
      <c r="C985" s="75" t="str">
        <f ca="1">IFERROR(__xludf.DUMMYFUNCTION("""COMPUTED_VALUE"""),"Студент")</f>
        <v>Студент</v>
      </c>
    </row>
    <row r="986" spans="1:3">
      <c r="A986" s="76">
        <f ca="1">IFERROR(__xludf.DUMMYFUNCTION("""COMPUTED_VALUE"""),2305458)</f>
        <v>2305458</v>
      </c>
      <c r="B986" s="76" t="str">
        <f ca="1">IFERROR(__xludf.DUMMYFUNCTION("""COMPUTED_VALUE"""),"Шаров Павел Андреевич")</f>
        <v>Шаров Павел Андреевич</v>
      </c>
      <c r="C986" s="75" t="str">
        <f ca="1">IFERROR(__xludf.DUMMYFUNCTION("""COMPUTED_VALUE"""),"Студент")</f>
        <v>Студент</v>
      </c>
    </row>
    <row r="987" spans="1:3">
      <c r="A987" s="76">
        <f ca="1">IFERROR(__xludf.DUMMYFUNCTION("""COMPUTED_VALUE"""),2305464)</f>
        <v>2305464</v>
      </c>
      <c r="B987" s="76" t="str">
        <f ca="1">IFERROR(__xludf.DUMMYFUNCTION("""COMPUTED_VALUE"""),"Павлова Анастасия Дмитриевна")</f>
        <v>Павлова Анастасия Дмитриевна</v>
      </c>
      <c r="C987" s="75" t="str">
        <f ca="1">IFERROR(__xludf.DUMMYFUNCTION("""COMPUTED_VALUE"""),"Студент")</f>
        <v>Студент</v>
      </c>
    </row>
    <row r="988" spans="1:3">
      <c r="A988" s="76">
        <f ca="1">IFERROR(__xludf.DUMMYFUNCTION("""COMPUTED_VALUE"""),2305468)</f>
        <v>2305468</v>
      </c>
      <c r="B988" s="76" t="str">
        <f ca="1">IFERROR(__xludf.DUMMYFUNCTION("""COMPUTED_VALUE"""),"Кустова София Игоревна")</f>
        <v>Кустова София Игоревна</v>
      </c>
      <c r="C988" s="75" t="str">
        <f ca="1">IFERROR(__xludf.DUMMYFUNCTION("""COMPUTED_VALUE"""),"Студент")</f>
        <v>Студент</v>
      </c>
    </row>
    <row r="989" spans="1:3">
      <c r="A989" s="76">
        <f ca="1">IFERROR(__xludf.DUMMYFUNCTION("""COMPUTED_VALUE"""),2305490)</f>
        <v>2305490</v>
      </c>
      <c r="B989" s="76" t="str">
        <f ca="1">IFERROR(__xludf.DUMMYFUNCTION("""COMPUTED_VALUE"""),"Кирчу Ксения Петровна")</f>
        <v>Кирчу Ксения Петровна</v>
      </c>
      <c r="C989" s="75" t="str">
        <f ca="1">IFERROR(__xludf.DUMMYFUNCTION("""COMPUTED_VALUE"""),"Студент")</f>
        <v>Студент</v>
      </c>
    </row>
    <row r="990" spans="1:3">
      <c r="A990" s="76">
        <f ca="1">IFERROR(__xludf.DUMMYFUNCTION("""COMPUTED_VALUE"""),2305506)</f>
        <v>2305506</v>
      </c>
      <c r="B990" s="76" t="str">
        <f ca="1">IFERROR(__xludf.DUMMYFUNCTION("""COMPUTED_VALUE"""),"Чернышов Никита Вячеславович")</f>
        <v>Чернышов Никита Вячеславович</v>
      </c>
      <c r="C990" s="75" t="str">
        <f ca="1">IFERROR(__xludf.DUMMYFUNCTION("""COMPUTED_VALUE"""),"Студент")</f>
        <v>Студент</v>
      </c>
    </row>
    <row r="991" spans="1:3">
      <c r="A991" s="76">
        <f ca="1">IFERROR(__xludf.DUMMYFUNCTION("""COMPUTED_VALUE"""),2305511)</f>
        <v>2305511</v>
      </c>
      <c r="B991" s="76" t="str">
        <f ca="1">IFERROR(__xludf.DUMMYFUNCTION("""COMPUTED_VALUE"""),"Карапетян Роксана Евгеньевна")</f>
        <v>Карапетян Роксана Евгеньевна</v>
      </c>
      <c r="C991" s="75" t="str">
        <f ca="1">IFERROR(__xludf.DUMMYFUNCTION("""COMPUTED_VALUE"""),"Студент")</f>
        <v>Студент</v>
      </c>
    </row>
    <row r="992" spans="1:3">
      <c r="A992" s="76">
        <f ca="1">IFERROR(__xludf.DUMMYFUNCTION("""COMPUTED_VALUE"""),2305515)</f>
        <v>2305515</v>
      </c>
      <c r="B992" s="76" t="str">
        <f ca="1">IFERROR(__xludf.DUMMYFUNCTION("""COMPUTED_VALUE"""),"Ротенберг Михаил")</f>
        <v>Ротенберг Михаил</v>
      </c>
      <c r="C992" s="75" t="str">
        <f ca="1">IFERROR(__xludf.DUMMYFUNCTION("""COMPUTED_VALUE"""),"Студент")</f>
        <v>Студент</v>
      </c>
    </row>
    <row r="993" spans="1:3">
      <c r="A993" s="76">
        <f ca="1">IFERROR(__xludf.DUMMYFUNCTION("""COMPUTED_VALUE"""),2305536)</f>
        <v>2305536</v>
      </c>
      <c r="B993" s="76" t="str">
        <f ca="1">IFERROR(__xludf.DUMMYFUNCTION("""COMPUTED_VALUE"""),"Чугунова Ирина Севериновна")</f>
        <v>Чугунова Ирина Севериновна</v>
      </c>
      <c r="C993" s="75" t="str">
        <f ca="1">IFERROR(__xludf.DUMMYFUNCTION("""COMPUTED_VALUE"""),"Студент")</f>
        <v>Студент</v>
      </c>
    </row>
    <row r="994" spans="1:3">
      <c r="A994" s="76">
        <f ca="1">IFERROR(__xludf.DUMMYFUNCTION("""COMPUTED_VALUE"""),2305538)</f>
        <v>2305538</v>
      </c>
      <c r="B994" s="76" t="str">
        <f ca="1">IFERROR(__xludf.DUMMYFUNCTION("""COMPUTED_VALUE"""),"Исмагилов Искандер Рустемович")</f>
        <v>Исмагилов Искандер Рустемович</v>
      </c>
      <c r="C994" s="75" t="str">
        <f ca="1">IFERROR(__xludf.DUMMYFUNCTION("""COMPUTED_VALUE"""),"Студент")</f>
        <v>Студент</v>
      </c>
    </row>
    <row r="995" spans="1:3">
      <c r="A995" s="76">
        <f ca="1">IFERROR(__xludf.DUMMYFUNCTION("""COMPUTED_VALUE"""),2305540)</f>
        <v>2305540</v>
      </c>
      <c r="B995" s="76" t="str">
        <f ca="1">IFERROR(__xludf.DUMMYFUNCTION("""COMPUTED_VALUE"""),"Смоляков Семен Николаевич")</f>
        <v>Смоляков Семен Николаевич</v>
      </c>
      <c r="C995" s="75" t="str">
        <f ca="1">IFERROR(__xludf.DUMMYFUNCTION("""COMPUTED_VALUE"""),"Студент")</f>
        <v>Студент</v>
      </c>
    </row>
    <row r="996" spans="1:3">
      <c r="A996" s="76">
        <f ca="1">IFERROR(__xludf.DUMMYFUNCTION("""COMPUTED_VALUE"""),2305541)</f>
        <v>2305541</v>
      </c>
      <c r="B996" s="76" t="str">
        <f ca="1">IFERROR(__xludf.DUMMYFUNCTION("""COMPUTED_VALUE"""),"Развенкова Дарья Александровна")</f>
        <v>Развенкова Дарья Александровна</v>
      </c>
      <c r="C996" s="75" t="str">
        <f ca="1">IFERROR(__xludf.DUMMYFUNCTION("""COMPUTED_VALUE"""),"Студент")</f>
        <v>Студент</v>
      </c>
    </row>
    <row r="997" spans="1:3">
      <c r="A997" s="76">
        <f ca="1">IFERROR(__xludf.DUMMYFUNCTION("""COMPUTED_VALUE"""),2305558)</f>
        <v>2305558</v>
      </c>
      <c r="B997" s="76" t="str">
        <f ca="1">IFERROR(__xludf.DUMMYFUNCTION("""COMPUTED_VALUE"""),"Назаров Анатолий")</f>
        <v>Назаров Анатолий</v>
      </c>
      <c r="C997" s="75" t="str">
        <f ca="1">IFERROR(__xludf.DUMMYFUNCTION("""COMPUTED_VALUE"""),"Студент")</f>
        <v>Студент</v>
      </c>
    </row>
    <row r="998" spans="1:3">
      <c r="A998" s="76">
        <f ca="1">IFERROR(__xludf.DUMMYFUNCTION("""COMPUTED_VALUE"""),2305562)</f>
        <v>2305562</v>
      </c>
      <c r="B998" s="76" t="str">
        <f ca="1">IFERROR(__xludf.DUMMYFUNCTION("""COMPUTED_VALUE"""),"Камынин Алексей Леонидович")</f>
        <v>Камынин Алексей Леонидович</v>
      </c>
      <c r="C998" s="75" t="str">
        <f ca="1">IFERROR(__xludf.DUMMYFUNCTION("""COMPUTED_VALUE"""),"Студент")</f>
        <v>Студент</v>
      </c>
    </row>
    <row r="999" spans="1:3">
      <c r="A999" s="76">
        <f ca="1">IFERROR(__xludf.DUMMYFUNCTION("""COMPUTED_VALUE"""),2305565)</f>
        <v>2305565</v>
      </c>
      <c r="B999" s="76" t="str">
        <f ca="1">IFERROR(__xludf.DUMMYFUNCTION("""COMPUTED_VALUE"""),"Сидулин Данила Александрович")</f>
        <v>Сидулин Данила Александрович</v>
      </c>
      <c r="C999" s="75" t="str">
        <f ca="1">IFERROR(__xludf.DUMMYFUNCTION("""COMPUTED_VALUE"""),"Студент")</f>
        <v>Студент</v>
      </c>
    </row>
    <row r="1000" spans="1:3">
      <c r="A1000" s="76">
        <f ca="1">IFERROR(__xludf.DUMMYFUNCTION("""COMPUTED_VALUE"""),2305572)</f>
        <v>2305572</v>
      </c>
      <c r="B1000" s="76" t="str">
        <f ca="1">IFERROR(__xludf.DUMMYFUNCTION("""COMPUTED_VALUE"""),"Шевелева Алёна Владимировна")</f>
        <v>Шевелева Алёна Владимировна</v>
      </c>
      <c r="C1000" s="75" t="str">
        <f ca="1">IFERROR(__xludf.DUMMYFUNCTION("""COMPUTED_VALUE"""),"Студент")</f>
        <v>Студент</v>
      </c>
    </row>
    <row r="1001" spans="1:3">
      <c r="A1001" s="76">
        <f ca="1">IFERROR(__xludf.DUMMYFUNCTION("""COMPUTED_VALUE"""),2305574)</f>
        <v>2305574</v>
      </c>
      <c r="B1001" s="76" t="str">
        <f ca="1">IFERROR(__xludf.DUMMYFUNCTION("""COMPUTED_VALUE"""),"Михеев Владислав Алексеевич")</f>
        <v>Михеев Владислав Алексеевич</v>
      </c>
      <c r="C1001" s="75" t="str">
        <f ca="1">IFERROR(__xludf.DUMMYFUNCTION("""COMPUTED_VALUE"""),"Аспирант")</f>
        <v>Аспирант</v>
      </c>
    </row>
    <row r="1002" spans="1:3">
      <c r="A1002" s="76">
        <f ca="1">IFERROR(__xludf.DUMMYFUNCTION("""COMPUTED_VALUE"""),2305575)</f>
        <v>2305575</v>
      </c>
      <c r="B1002" s="76" t="str">
        <f ca="1">IFERROR(__xludf.DUMMYFUNCTION("""COMPUTED_VALUE"""),"Рыженков Герман Евгеньевич")</f>
        <v>Рыженков Герман Евгеньевич</v>
      </c>
      <c r="C1002" s="75" t="str">
        <f ca="1">IFERROR(__xludf.DUMMYFUNCTION("""COMPUTED_VALUE"""),"Студент")</f>
        <v>Студент</v>
      </c>
    </row>
    <row r="1003" spans="1:3">
      <c r="A1003" s="76">
        <f ca="1">IFERROR(__xludf.DUMMYFUNCTION("""COMPUTED_VALUE"""),2305576)</f>
        <v>2305576</v>
      </c>
      <c r="B1003" s="76" t="str">
        <f ca="1">IFERROR(__xludf.DUMMYFUNCTION("""COMPUTED_VALUE"""),"Скрябина Полина Дмитриевна")</f>
        <v>Скрябина Полина Дмитриевна</v>
      </c>
      <c r="C1003" s="75" t="str">
        <f ca="1">IFERROR(__xludf.DUMMYFUNCTION("""COMPUTED_VALUE"""),"Студент")</f>
        <v>Студент</v>
      </c>
    </row>
    <row r="1004" spans="1:3">
      <c r="A1004" s="76">
        <f ca="1">IFERROR(__xludf.DUMMYFUNCTION("""COMPUTED_VALUE"""),2305586)</f>
        <v>2305586</v>
      </c>
      <c r="B1004" s="76" t="str">
        <f ca="1">IFERROR(__xludf.DUMMYFUNCTION("""COMPUTED_VALUE"""),"Таранов Артём Игоревич")</f>
        <v>Таранов Артём Игоревич</v>
      </c>
      <c r="C1004" s="75" t="str">
        <f ca="1">IFERROR(__xludf.DUMMYFUNCTION("""COMPUTED_VALUE"""),"Студент")</f>
        <v>Студент</v>
      </c>
    </row>
    <row r="1005" spans="1:3">
      <c r="A1005" s="76">
        <f ca="1">IFERROR(__xludf.DUMMYFUNCTION("""COMPUTED_VALUE"""),2305587)</f>
        <v>2305587</v>
      </c>
      <c r="B1005" s="76" t="str">
        <f ca="1">IFERROR(__xludf.DUMMYFUNCTION("""COMPUTED_VALUE"""),"Хребтов Никита Станиславович")</f>
        <v>Хребтов Никита Станиславович</v>
      </c>
      <c r="C1005" s="75" t="str">
        <f ca="1">IFERROR(__xludf.DUMMYFUNCTION("""COMPUTED_VALUE"""),"Студент")</f>
        <v>Студент</v>
      </c>
    </row>
    <row r="1006" spans="1:3">
      <c r="A1006" s="76">
        <f ca="1">IFERROR(__xludf.DUMMYFUNCTION("""COMPUTED_VALUE"""),2305593)</f>
        <v>2305593</v>
      </c>
      <c r="B1006" s="76" t="str">
        <f ca="1">IFERROR(__xludf.DUMMYFUNCTION("""COMPUTED_VALUE"""),"Байкенов Булат Радикович")</f>
        <v>Байкенов Булат Радикович</v>
      </c>
      <c r="C1006" s="75" t="str">
        <f ca="1">IFERROR(__xludf.DUMMYFUNCTION("""COMPUTED_VALUE"""),"Студент")</f>
        <v>Студент</v>
      </c>
    </row>
    <row r="1007" spans="1:3">
      <c r="A1007" s="76">
        <f ca="1">IFERROR(__xludf.DUMMYFUNCTION("""COMPUTED_VALUE"""),2305597)</f>
        <v>2305597</v>
      </c>
      <c r="B1007" s="76" t="str">
        <f ca="1">IFERROR(__xludf.DUMMYFUNCTION("""COMPUTED_VALUE"""),"Стерхова Полина Александровна")</f>
        <v>Стерхова Полина Александровна</v>
      </c>
      <c r="C1007" s="75" t="str">
        <f ca="1">IFERROR(__xludf.DUMMYFUNCTION("""COMPUTED_VALUE"""),"Студент")</f>
        <v>Студент</v>
      </c>
    </row>
    <row r="1008" spans="1:3">
      <c r="A1008" s="76">
        <f ca="1">IFERROR(__xludf.DUMMYFUNCTION("""COMPUTED_VALUE"""),2305598)</f>
        <v>2305598</v>
      </c>
      <c r="B1008" s="76" t="str">
        <f ca="1">IFERROR(__xludf.DUMMYFUNCTION("""COMPUTED_VALUE"""),"Степанов Егор Алексеевич")</f>
        <v>Степанов Егор Алексеевич</v>
      </c>
      <c r="C1008" s="75" t="str">
        <f ca="1">IFERROR(__xludf.DUMMYFUNCTION("""COMPUTED_VALUE"""),"Студент")</f>
        <v>Студент</v>
      </c>
    </row>
    <row r="1009" spans="1:3">
      <c r="A1009" s="76">
        <f ca="1">IFERROR(__xludf.DUMMYFUNCTION("""COMPUTED_VALUE"""),2305614)</f>
        <v>2305614</v>
      </c>
      <c r="B1009" s="76" t="str">
        <f ca="1">IFERROR(__xludf.DUMMYFUNCTION("""COMPUTED_VALUE"""),"Джабраилов Павел Анатольевич")</f>
        <v>Джабраилов Павел Анатольевич</v>
      </c>
      <c r="C1009" s="75" t="str">
        <f ca="1">IFERROR(__xludf.DUMMYFUNCTION("""COMPUTED_VALUE"""),"Студент")</f>
        <v>Студент</v>
      </c>
    </row>
    <row r="1010" spans="1:3">
      <c r="A1010" s="76">
        <f ca="1">IFERROR(__xludf.DUMMYFUNCTION("""COMPUTED_VALUE"""),2305622)</f>
        <v>2305622</v>
      </c>
      <c r="B1010" s="76" t="str">
        <f ca="1">IFERROR(__xludf.DUMMYFUNCTION("""COMPUTED_VALUE"""),"Канунникова Елена Сергеевна")</f>
        <v>Канунникова Елена Сергеевна</v>
      </c>
      <c r="C1010" s="75" t="str">
        <f ca="1">IFERROR(__xludf.DUMMYFUNCTION("""COMPUTED_VALUE"""),"Студент")</f>
        <v>Студент</v>
      </c>
    </row>
    <row r="1011" spans="1:3">
      <c r="A1011" s="76">
        <f ca="1">IFERROR(__xludf.DUMMYFUNCTION("""COMPUTED_VALUE"""),2305694)</f>
        <v>2305694</v>
      </c>
      <c r="B1011" s="76" t="str">
        <f ca="1">IFERROR(__xludf.DUMMYFUNCTION("""COMPUTED_VALUE"""),"Третьяков Михаил Михайлович")</f>
        <v>Третьяков Михаил Михайлович</v>
      </c>
      <c r="C1011" s="75" t="str">
        <f ca="1">IFERROR(__xludf.DUMMYFUNCTION("""COMPUTED_VALUE"""),"Студент")</f>
        <v>Студент</v>
      </c>
    </row>
    <row r="1012" spans="1:3">
      <c r="A1012" s="76">
        <f ca="1">IFERROR(__xludf.DUMMYFUNCTION("""COMPUTED_VALUE"""),2305701)</f>
        <v>2305701</v>
      </c>
      <c r="B1012" s="76" t="str">
        <f ca="1">IFERROR(__xludf.DUMMYFUNCTION("""COMPUTED_VALUE"""),"Хлопцев Артём Евгеньевич")</f>
        <v>Хлопцев Артём Евгеньевич</v>
      </c>
      <c r="C1012" s="75" t="str">
        <f ca="1">IFERROR(__xludf.DUMMYFUNCTION("""COMPUTED_VALUE"""),"Студент")</f>
        <v>Студент</v>
      </c>
    </row>
    <row r="1013" spans="1:3">
      <c r="A1013" s="76">
        <f ca="1">IFERROR(__xludf.DUMMYFUNCTION("""COMPUTED_VALUE"""),2305706)</f>
        <v>2305706</v>
      </c>
      <c r="B1013" s="76" t="str">
        <f ca="1">IFERROR(__xludf.DUMMYFUNCTION("""COMPUTED_VALUE"""),"Холина Мария Евгеньевна")</f>
        <v>Холина Мария Евгеньевна</v>
      </c>
      <c r="C1013" s="75" t="str">
        <f ca="1">IFERROR(__xludf.DUMMYFUNCTION("""COMPUTED_VALUE"""),"Студент")</f>
        <v>Студент</v>
      </c>
    </row>
    <row r="1014" spans="1:3">
      <c r="A1014" s="76">
        <f ca="1">IFERROR(__xludf.DUMMYFUNCTION("""COMPUTED_VALUE"""),2305710)</f>
        <v>2305710</v>
      </c>
      <c r="B1014" s="76" t="str">
        <f ca="1">IFERROR(__xludf.DUMMYFUNCTION("""COMPUTED_VALUE"""),"Ефремов Артем Андреевич")</f>
        <v>Ефремов Артем Андреевич</v>
      </c>
      <c r="C1014" s="75" t="str">
        <f ca="1">IFERROR(__xludf.DUMMYFUNCTION("""COMPUTED_VALUE"""),"Студент")</f>
        <v>Студент</v>
      </c>
    </row>
    <row r="1015" spans="1:3">
      <c r="A1015" s="76">
        <f ca="1">IFERROR(__xludf.DUMMYFUNCTION("""COMPUTED_VALUE"""),2305715)</f>
        <v>2305715</v>
      </c>
      <c r="B1015" s="76" t="str">
        <f ca="1">IFERROR(__xludf.DUMMYFUNCTION("""COMPUTED_VALUE"""),"Кондыбаева Эльвира Евгеньевна")</f>
        <v>Кондыбаева Эльвира Евгеньевна</v>
      </c>
      <c r="C1015" s="75" t="str">
        <f ca="1">IFERROR(__xludf.DUMMYFUNCTION("""COMPUTED_VALUE"""),"Студент")</f>
        <v>Студент</v>
      </c>
    </row>
    <row r="1016" spans="1:3">
      <c r="A1016" s="76">
        <f ca="1">IFERROR(__xludf.DUMMYFUNCTION("""COMPUTED_VALUE"""),2305719)</f>
        <v>2305719</v>
      </c>
      <c r="B1016" s="76" t="str">
        <f ca="1">IFERROR(__xludf.DUMMYFUNCTION("""COMPUTED_VALUE"""),"Мачкалян Тигран Норайрович")</f>
        <v>Мачкалян Тигран Норайрович</v>
      </c>
      <c r="C1016" s="75" t="str">
        <f ca="1">IFERROR(__xludf.DUMMYFUNCTION("""COMPUTED_VALUE"""),"Студент")</f>
        <v>Студент</v>
      </c>
    </row>
    <row r="1017" spans="1:3">
      <c r="A1017" s="76">
        <f ca="1">IFERROR(__xludf.DUMMYFUNCTION("""COMPUTED_VALUE"""),2305725)</f>
        <v>2305725</v>
      </c>
      <c r="B1017" s="76" t="str">
        <f ca="1">IFERROR(__xludf.DUMMYFUNCTION("""COMPUTED_VALUE"""),"Митьков Григорий Алексеевич")</f>
        <v>Митьков Григорий Алексеевич</v>
      </c>
      <c r="C1017" s="75" t="str">
        <f ca="1">IFERROR(__xludf.DUMMYFUNCTION("""COMPUTED_VALUE"""),"Студент")</f>
        <v>Студент</v>
      </c>
    </row>
    <row r="1018" spans="1:3">
      <c r="A1018" s="76">
        <f ca="1">IFERROR(__xludf.DUMMYFUNCTION("""COMPUTED_VALUE"""),2305734)</f>
        <v>2305734</v>
      </c>
      <c r="B1018" s="76" t="str">
        <f ca="1">IFERROR(__xludf.DUMMYFUNCTION("""COMPUTED_VALUE"""),"Владычкин Вадим Андреевич")</f>
        <v>Владычкин Вадим Андреевич</v>
      </c>
      <c r="C1018" s="75" t="str">
        <f ca="1">IFERROR(__xludf.DUMMYFUNCTION("""COMPUTED_VALUE"""),"Студент")</f>
        <v>Студент</v>
      </c>
    </row>
    <row r="1019" spans="1:3">
      <c r="A1019" s="76">
        <f ca="1">IFERROR(__xludf.DUMMYFUNCTION("""COMPUTED_VALUE"""),2305737)</f>
        <v>2305737</v>
      </c>
      <c r="B1019" s="76" t="str">
        <f ca="1">IFERROR(__xludf.DUMMYFUNCTION("""COMPUTED_VALUE"""),"Овсянкина Ольга Романовна")</f>
        <v>Овсянкина Ольга Романовна</v>
      </c>
      <c r="C1019" s="75" t="str">
        <f ca="1">IFERROR(__xludf.DUMMYFUNCTION("""COMPUTED_VALUE"""),"Студент")</f>
        <v>Студент</v>
      </c>
    </row>
    <row r="1020" spans="1:3">
      <c r="A1020" s="76">
        <f ca="1">IFERROR(__xludf.DUMMYFUNCTION("""COMPUTED_VALUE"""),2305746)</f>
        <v>2305746</v>
      </c>
      <c r="B1020" s="76" t="str">
        <f ca="1">IFERROR(__xludf.DUMMYFUNCTION("""COMPUTED_VALUE"""),"Лашина Полина Анатольевна")</f>
        <v>Лашина Полина Анатольевна</v>
      </c>
      <c r="C1020" s="75" t="str">
        <f ca="1">IFERROR(__xludf.DUMMYFUNCTION("""COMPUTED_VALUE"""),"Студент")</f>
        <v>Студент</v>
      </c>
    </row>
    <row r="1021" spans="1:3">
      <c r="A1021" s="76">
        <f ca="1">IFERROR(__xludf.DUMMYFUNCTION("""COMPUTED_VALUE"""),2305748)</f>
        <v>2305748</v>
      </c>
      <c r="B1021" s="76" t="str">
        <f ca="1">IFERROR(__xludf.DUMMYFUNCTION("""COMPUTED_VALUE"""),"Борисова Серафима Сергеевна")</f>
        <v>Борисова Серафима Сергеевна</v>
      </c>
      <c r="C1021" s="75" t="str">
        <f ca="1">IFERROR(__xludf.DUMMYFUNCTION("""COMPUTED_VALUE"""),"Студент")</f>
        <v>Студент</v>
      </c>
    </row>
    <row r="1022" spans="1:3">
      <c r="A1022" s="76">
        <f ca="1">IFERROR(__xludf.DUMMYFUNCTION("""COMPUTED_VALUE"""),2305760)</f>
        <v>2305760</v>
      </c>
      <c r="B1022" s="76" t="str">
        <f ca="1">IFERROR(__xludf.DUMMYFUNCTION("""COMPUTED_VALUE"""),"Кунгуров Федор Иванович")</f>
        <v>Кунгуров Федор Иванович</v>
      </c>
      <c r="C1022" s="75" t="str">
        <f ca="1">IFERROR(__xludf.DUMMYFUNCTION("""COMPUTED_VALUE"""),"Студент")</f>
        <v>Студент</v>
      </c>
    </row>
    <row r="1023" spans="1:3">
      <c r="A1023" s="76">
        <f ca="1">IFERROR(__xludf.DUMMYFUNCTION("""COMPUTED_VALUE"""),2305770)</f>
        <v>2305770</v>
      </c>
      <c r="B1023" s="76" t="str">
        <f ca="1">IFERROR(__xludf.DUMMYFUNCTION("""COMPUTED_VALUE"""),"Гасанов Руслан Арифович")</f>
        <v>Гасанов Руслан Арифович</v>
      </c>
      <c r="C1023" s="75" t="str">
        <f ca="1">IFERROR(__xludf.DUMMYFUNCTION("""COMPUTED_VALUE"""),"Студент")</f>
        <v>Студент</v>
      </c>
    </row>
    <row r="1024" spans="1:3">
      <c r="A1024" s="76">
        <f ca="1">IFERROR(__xludf.DUMMYFUNCTION("""COMPUTED_VALUE"""),2305780)</f>
        <v>2305780</v>
      </c>
      <c r="B1024" s="76" t="str">
        <f ca="1">IFERROR(__xludf.DUMMYFUNCTION("""COMPUTED_VALUE"""),"Мерзликина Маргарита Павловна")</f>
        <v>Мерзликина Маргарита Павловна</v>
      </c>
      <c r="C1024" s="75" t="str">
        <f ca="1">IFERROR(__xludf.DUMMYFUNCTION("""COMPUTED_VALUE"""),"Студент")</f>
        <v>Студент</v>
      </c>
    </row>
    <row r="1025" spans="1:3">
      <c r="A1025" s="76">
        <f ca="1">IFERROR(__xludf.DUMMYFUNCTION("""COMPUTED_VALUE"""),2305781)</f>
        <v>2305781</v>
      </c>
      <c r="B1025" s="76" t="str">
        <f ca="1">IFERROR(__xludf.DUMMYFUNCTION("""COMPUTED_VALUE"""),"Светлаков Егор Владимирович")</f>
        <v>Светлаков Егор Владимирович</v>
      </c>
      <c r="C1025" s="75" t="str">
        <f ca="1">IFERROR(__xludf.DUMMYFUNCTION("""COMPUTED_VALUE"""),"Студент")</f>
        <v>Студент</v>
      </c>
    </row>
    <row r="1026" spans="1:3">
      <c r="A1026" s="76">
        <f ca="1">IFERROR(__xludf.DUMMYFUNCTION("""COMPUTED_VALUE"""),2305789)</f>
        <v>2305789</v>
      </c>
      <c r="B1026" s="76" t="str">
        <f ca="1">IFERROR(__xludf.DUMMYFUNCTION("""COMPUTED_VALUE"""),"Назарова Ангелина Олеговна")</f>
        <v>Назарова Ангелина Олеговна</v>
      </c>
      <c r="C1026" s="75" t="str">
        <f ca="1">IFERROR(__xludf.DUMMYFUNCTION("""COMPUTED_VALUE"""),"Студент")</f>
        <v>Студент</v>
      </c>
    </row>
    <row r="1027" spans="1:3">
      <c r="A1027" s="76">
        <f ca="1">IFERROR(__xludf.DUMMYFUNCTION("""COMPUTED_VALUE"""),2305794)</f>
        <v>2305794</v>
      </c>
      <c r="B1027" s="76" t="str">
        <f ca="1">IFERROR(__xludf.DUMMYFUNCTION("""COMPUTED_VALUE"""),"Панова Алина Андреевна")</f>
        <v>Панова Алина Андреевна</v>
      </c>
      <c r="C1027" s="75" t="str">
        <f ca="1">IFERROR(__xludf.DUMMYFUNCTION("""COMPUTED_VALUE"""),"Студент")</f>
        <v>Студент</v>
      </c>
    </row>
    <row r="1028" spans="1:3">
      <c r="A1028" s="76">
        <f ca="1">IFERROR(__xludf.DUMMYFUNCTION("""COMPUTED_VALUE"""),2305797)</f>
        <v>2305797</v>
      </c>
      <c r="B1028" s="76" t="str">
        <f ca="1">IFERROR(__xludf.DUMMYFUNCTION("""COMPUTED_VALUE"""),"Грень Данил Дмитриевич")</f>
        <v>Грень Данил Дмитриевич</v>
      </c>
      <c r="C1028" s="75" t="str">
        <f ca="1">IFERROR(__xludf.DUMMYFUNCTION("""COMPUTED_VALUE"""),"Студент")</f>
        <v>Студент</v>
      </c>
    </row>
    <row r="1029" spans="1:3">
      <c r="A1029" s="76">
        <f ca="1">IFERROR(__xludf.DUMMYFUNCTION("""COMPUTED_VALUE"""),2305802)</f>
        <v>2305802</v>
      </c>
      <c r="B1029" s="76" t="str">
        <f ca="1">IFERROR(__xludf.DUMMYFUNCTION("""COMPUTED_VALUE"""),"Сорокин Никита Васильевич")</f>
        <v>Сорокин Никита Васильевич</v>
      </c>
      <c r="C1029" s="75" t="str">
        <f ca="1">IFERROR(__xludf.DUMMYFUNCTION("""COMPUTED_VALUE"""),"Студент")</f>
        <v>Студент</v>
      </c>
    </row>
    <row r="1030" spans="1:3">
      <c r="A1030" s="76">
        <f ca="1">IFERROR(__xludf.DUMMYFUNCTION("""COMPUTED_VALUE"""),2305803)</f>
        <v>2305803</v>
      </c>
      <c r="B1030" s="76" t="str">
        <f ca="1">IFERROR(__xludf.DUMMYFUNCTION("""COMPUTED_VALUE"""),"Торопогрицкая Виктория Павловна")</f>
        <v>Торопогрицкая Виктория Павловна</v>
      </c>
      <c r="C1030" s="75" t="str">
        <f ca="1">IFERROR(__xludf.DUMMYFUNCTION("""COMPUTED_VALUE"""),"Студент")</f>
        <v>Студент</v>
      </c>
    </row>
    <row r="1031" spans="1:3">
      <c r="A1031" s="76">
        <f ca="1">IFERROR(__xludf.DUMMYFUNCTION("""COMPUTED_VALUE"""),2305805)</f>
        <v>2305805</v>
      </c>
      <c r="B1031" s="76" t="str">
        <f ca="1">IFERROR(__xludf.DUMMYFUNCTION("""COMPUTED_VALUE"""),"Соляник Варвара Сергеевна")</f>
        <v>Соляник Варвара Сергеевна</v>
      </c>
      <c r="C1031" s="75" t="str">
        <f ca="1">IFERROR(__xludf.DUMMYFUNCTION("""COMPUTED_VALUE"""),"Студент")</f>
        <v>Студент</v>
      </c>
    </row>
    <row r="1032" spans="1:3">
      <c r="A1032" s="76">
        <f ca="1">IFERROR(__xludf.DUMMYFUNCTION("""COMPUTED_VALUE"""),2305814)</f>
        <v>2305814</v>
      </c>
      <c r="B1032" s="76" t="str">
        <f ca="1">IFERROR(__xludf.DUMMYFUNCTION("""COMPUTED_VALUE"""),"Колесников Иван Михайлович")</f>
        <v>Колесников Иван Михайлович</v>
      </c>
      <c r="C1032" s="75" t="str">
        <f ca="1">IFERROR(__xludf.DUMMYFUNCTION("""COMPUTED_VALUE"""),"Студент")</f>
        <v>Студент</v>
      </c>
    </row>
    <row r="1033" spans="1:3">
      <c r="A1033" s="76">
        <f ca="1">IFERROR(__xludf.DUMMYFUNCTION("""COMPUTED_VALUE"""),2305816)</f>
        <v>2305816</v>
      </c>
      <c r="B1033" s="76" t="str">
        <f ca="1">IFERROR(__xludf.DUMMYFUNCTION("""COMPUTED_VALUE"""),"Шимко Вячеслав Александрович")</f>
        <v>Шимко Вячеслав Александрович</v>
      </c>
      <c r="C1033" s="75" t="str">
        <f ca="1">IFERROR(__xludf.DUMMYFUNCTION("""COMPUTED_VALUE"""),"Студент")</f>
        <v>Студент</v>
      </c>
    </row>
    <row r="1034" spans="1:3">
      <c r="A1034" s="76">
        <f ca="1">IFERROR(__xludf.DUMMYFUNCTION("""COMPUTED_VALUE"""),2305817)</f>
        <v>2305817</v>
      </c>
      <c r="B1034" s="76" t="str">
        <f ca="1">IFERROR(__xludf.DUMMYFUNCTION("""COMPUTED_VALUE"""),"Иванова Алина Сергеевна")</f>
        <v>Иванова Алина Сергеевна</v>
      </c>
      <c r="C1034" s="75" t="str">
        <f ca="1">IFERROR(__xludf.DUMMYFUNCTION("""COMPUTED_VALUE"""),"Студент")</f>
        <v>Студент</v>
      </c>
    </row>
    <row r="1035" spans="1:3">
      <c r="A1035" s="76">
        <f ca="1">IFERROR(__xludf.DUMMYFUNCTION("""COMPUTED_VALUE"""),2305825)</f>
        <v>2305825</v>
      </c>
      <c r="B1035" s="76" t="str">
        <f ca="1">IFERROR(__xludf.DUMMYFUNCTION("""COMPUTED_VALUE"""),"Андриясов Дмитрий Владимирович")</f>
        <v>Андриясов Дмитрий Владимирович</v>
      </c>
      <c r="C1035" s="75" t="str">
        <f ca="1">IFERROR(__xludf.DUMMYFUNCTION("""COMPUTED_VALUE"""),"Студент")</f>
        <v>Студент</v>
      </c>
    </row>
    <row r="1036" spans="1:3">
      <c r="A1036" s="76">
        <f ca="1">IFERROR(__xludf.DUMMYFUNCTION("""COMPUTED_VALUE"""),2305834)</f>
        <v>2305834</v>
      </c>
      <c r="B1036" s="76" t="str">
        <f ca="1">IFERROR(__xludf.DUMMYFUNCTION("""COMPUTED_VALUE"""),"Восканян Араик Ашотович")</f>
        <v>Восканян Араик Ашотович</v>
      </c>
      <c r="C1036" s="75" t="str">
        <f ca="1">IFERROR(__xludf.DUMMYFUNCTION("""COMPUTED_VALUE"""),"Студент")</f>
        <v>Студент</v>
      </c>
    </row>
    <row r="1037" spans="1:3">
      <c r="A1037" s="76">
        <f ca="1">IFERROR(__xludf.DUMMYFUNCTION("""COMPUTED_VALUE"""),2305837)</f>
        <v>2305837</v>
      </c>
      <c r="B1037" s="76" t="str">
        <f ca="1">IFERROR(__xludf.DUMMYFUNCTION("""COMPUTED_VALUE"""),"Гуськов Артур Дмитриевич")</f>
        <v>Гуськов Артур Дмитриевич</v>
      </c>
      <c r="C1037" s="75" t="str">
        <f ca="1">IFERROR(__xludf.DUMMYFUNCTION("""COMPUTED_VALUE"""),"Студент")</f>
        <v>Студент</v>
      </c>
    </row>
    <row r="1038" spans="1:3">
      <c r="A1038" s="76">
        <f ca="1">IFERROR(__xludf.DUMMYFUNCTION("""COMPUTED_VALUE"""),2305841)</f>
        <v>2305841</v>
      </c>
      <c r="B1038" s="76" t="str">
        <f ca="1">IFERROR(__xludf.DUMMYFUNCTION("""COMPUTED_VALUE"""),"Дьяконов Иван Алексеевич")</f>
        <v>Дьяконов Иван Алексеевич</v>
      </c>
      <c r="C1038" s="75" t="str">
        <f ca="1">IFERROR(__xludf.DUMMYFUNCTION("""COMPUTED_VALUE"""),"Студент")</f>
        <v>Студент</v>
      </c>
    </row>
    <row r="1039" spans="1:3">
      <c r="A1039" s="76">
        <f ca="1">IFERROR(__xludf.DUMMYFUNCTION("""COMPUTED_VALUE"""),2305844)</f>
        <v>2305844</v>
      </c>
      <c r="B1039" s="76" t="str">
        <f ca="1">IFERROR(__xludf.DUMMYFUNCTION("""COMPUTED_VALUE"""),"Фруктов Артём Антонович")</f>
        <v>Фруктов Артём Антонович</v>
      </c>
      <c r="C1039" s="75" t="str">
        <f ca="1">IFERROR(__xludf.DUMMYFUNCTION("""COMPUTED_VALUE"""),"Студент")</f>
        <v>Студент</v>
      </c>
    </row>
    <row r="1040" spans="1:3">
      <c r="A1040" s="76">
        <f ca="1">IFERROR(__xludf.DUMMYFUNCTION("""COMPUTED_VALUE"""),2305850)</f>
        <v>2305850</v>
      </c>
      <c r="B1040" s="76" t="str">
        <f ca="1">IFERROR(__xludf.DUMMYFUNCTION("""COMPUTED_VALUE"""),"Гаврилов Павел Михайлович")</f>
        <v>Гаврилов Павел Михайлович</v>
      </c>
      <c r="C1040" s="75" t="str">
        <f ca="1">IFERROR(__xludf.DUMMYFUNCTION("""COMPUTED_VALUE"""),"Студент")</f>
        <v>Студент</v>
      </c>
    </row>
    <row r="1041" spans="1:3">
      <c r="A1041" s="76">
        <f ca="1">IFERROR(__xludf.DUMMYFUNCTION("""COMPUTED_VALUE"""),2305862)</f>
        <v>2305862</v>
      </c>
      <c r="B1041" s="76" t="str">
        <f ca="1">IFERROR(__xludf.DUMMYFUNCTION("""COMPUTED_VALUE"""),"Сацик Анастасия Андреевна")</f>
        <v>Сацик Анастасия Андреевна</v>
      </c>
      <c r="C1041" s="75" t="str">
        <f ca="1">IFERROR(__xludf.DUMMYFUNCTION("""COMPUTED_VALUE"""),"Студент")</f>
        <v>Студент</v>
      </c>
    </row>
    <row r="1042" spans="1:3">
      <c r="A1042" s="76">
        <f ca="1">IFERROR(__xludf.DUMMYFUNCTION("""COMPUTED_VALUE"""),2305864)</f>
        <v>2305864</v>
      </c>
      <c r="B1042" s="76" t="str">
        <f ca="1">IFERROR(__xludf.DUMMYFUNCTION("""COMPUTED_VALUE"""),"Волкова Екатерина Андреевна")</f>
        <v>Волкова Екатерина Андреевна</v>
      </c>
      <c r="C1042" s="75" t="str">
        <f ca="1">IFERROR(__xludf.DUMMYFUNCTION("""COMPUTED_VALUE"""),"Студент")</f>
        <v>Студент</v>
      </c>
    </row>
    <row r="1043" spans="1:3">
      <c r="A1043" s="76">
        <f ca="1">IFERROR(__xludf.DUMMYFUNCTION("""COMPUTED_VALUE"""),2305867)</f>
        <v>2305867</v>
      </c>
      <c r="B1043" s="76" t="str">
        <f ca="1">IFERROR(__xludf.DUMMYFUNCTION("""COMPUTED_VALUE"""),"Зенушкина Ангелина Андреевна")</f>
        <v>Зенушкина Ангелина Андреевна</v>
      </c>
      <c r="C1043" s="75" t="str">
        <f ca="1">IFERROR(__xludf.DUMMYFUNCTION("""COMPUTED_VALUE"""),"Студент")</f>
        <v>Студент</v>
      </c>
    </row>
    <row r="1044" spans="1:3">
      <c r="A1044" s="76">
        <f ca="1">IFERROR(__xludf.DUMMYFUNCTION("""COMPUTED_VALUE"""),2305869)</f>
        <v>2305869</v>
      </c>
      <c r="B1044" s="76" t="str">
        <f ca="1">IFERROR(__xludf.DUMMYFUNCTION("""COMPUTED_VALUE"""),"Ижутова Виктория Махмудовна")</f>
        <v>Ижутова Виктория Махмудовна</v>
      </c>
      <c r="C1044" s="75" t="str">
        <f ca="1">IFERROR(__xludf.DUMMYFUNCTION("""COMPUTED_VALUE"""),"Студент")</f>
        <v>Студент</v>
      </c>
    </row>
    <row r="1045" spans="1:3">
      <c r="A1045" s="76">
        <f ca="1">IFERROR(__xludf.DUMMYFUNCTION("""COMPUTED_VALUE"""),2305877)</f>
        <v>2305877</v>
      </c>
      <c r="B1045" s="76" t="str">
        <f ca="1">IFERROR(__xludf.DUMMYFUNCTION("""COMPUTED_VALUE"""),"Лебедева Анастасия Сергеевна")</f>
        <v>Лебедева Анастасия Сергеевна</v>
      </c>
      <c r="C1045" s="75" t="str">
        <f ca="1">IFERROR(__xludf.DUMMYFUNCTION("""COMPUTED_VALUE"""),"Студент")</f>
        <v>Студент</v>
      </c>
    </row>
    <row r="1046" spans="1:3">
      <c r="A1046" s="76">
        <f ca="1">IFERROR(__xludf.DUMMYFUNCTION("""COMPUTED_VALUE"""),2305881)</f>
        <v>2305881</v>
      </c>
      <c r="B1046" s="76" t="str">
        <f ca="1">IFERROR(__xludf.DUMMYFUNCTION("""COMPUTED_VALUE"""),"Куличков Александр Сергеевич")</f>
        <v>Куличков Александр Сергеевич</v>
      </c>
      <c r="C1046" s="75" t="str">
        <f ca="1">IFERROR(__xludf.DUMMYFUNCTION("""COMPUTED_VALUE"""),"Студент")</f>
        <v>Студент</v>
      </c>
    </row>
    <row r="1047" spans="1:3">
      <c r="A1047" s="76">
        <f ca="1">IFERROR(__xludf.DUMMYFUNCTION("""COMPUTED_VALUE"""),2305891)</f>
        <v>2305891</v>
      </c>
      <c r="B1047" s="76" t="str">
        <f ca="1">IFERROR(__xludf.DUMMYFUNCTION("""COMPUTED_VALUE"""),"Дружинина Полина Сергеевна")</f>
        <v>Дружинина Полина Сергеевна</v>
      </c>
      <c r="C1047" s="75" t="str">
        <f ca="1">IFERROR(__xludf.DUMMYFUNCTION("""COMPUTED_VALUE"""),"Студент")</f>
        <v>Студент</v>
      </c>
    </row>
    <row r="1048" spans="1:3">
      <c r="A1048" s="76">
        <f ca="1">IFERROR(__xludf.DUMMYFUNCTION("""COMPUTED_VALUE"""),2305896)</f>
        <v>2305896</v>
      </c>
      <c r="B1048" s="76" t="str">
        <f ca="1">IFERROR(__xludf.DUMMYFUNCTION("""COMPUTED_VALUE"""),"Ардаширова Амина Рифовна")</f>
        <v>Ардаширова Амина Рифовна</v>
      </c>
      <c r="C1048" s="75" t="str">
        <f ca="1">IFERROR(__xludf.DUMMYFUNCTION("""COMPUTED_VALUE"""),"Студент")</f>
        <v>Студент</v>
      </c>
    </row>
    <row r="1049" spans="1:3">
      <c r="A1049" s="76">
        <f ca="1">IFERROR(__xludf.DUMMYFUNCTION("""COMPUTED_VALUE"""),2305900)</f>
        <v>2305900</v>
      </c>
      <c r="B1049" s="76" t="str">
        <f ca="1">IFERROR(__xludf.DUMMYFUNCTION("""COMPUTED_VALUE"""),"Пиховкин Иван Романович")</f>
        <v>Пиховкин Иван Романович</v>
      </c>
      <c r="C1049" s="75" t="str">
        <f ca="1">IFERROR(__xludf.DUMMYFUNCTION("""COMPUTED_VALUE"""),"Студент")</f>
        <v>Студент</v>
      </c>
    </row>
    <row r="1050" spans="1:3">
      <c r="A1050" s="76">
        <f ca="1">IFERROR(__xludf.DUMMYFUNCTION("""COMPUTED_VALUE"""),2305902)</f>
        <v>2305902</v>
      </c>
      <c r="B1050" s="76" t="str">
        <f ca="1">IFERROR(__xludf.DUMMYFUNCTION("""COMPUTED_VALUE"""),"Воробьев Никита Сергеевич")</f>
        <v>Воробьев Никита Сергеевич</v>
      </c>
      <c r="C1050" s="75" t="str">
        <f ca="1">IFERROR(__xludf.DUMMYFUNCTION("""COMPUTED_VALUE"""),"Студент")</f>
        <v>Студент</v>
      </c>
    </row>
    <row r="1051" spans="1:3">
      <c r="A1051" s="76">
        <f ca="1">IFERROR(__xludf.DUMMYFUNCTION("""COMPUTED_VALUE"""),2305914)</f>
        <v>2305914</v>
      </c>
      <c r="B1051" s="76" t="str">
        <f ca="1">IFERROR(__xludf.DUMMYFUNCTION("""COMPUTED_VALUE"""),"Дубинин Фёдор Александрович")</f>
        <v>Дубинин Фёдор Александрович</v>
      </c>
      <c r="C1051" s="75" t="str">
        <f ca="1">IFERROR(__xludf.DUMMYFUNCTION("""COMPUTED_VALUE"""),"Студент")</f>
        <v>Студент</v>
      </c>
    </row>
    <row r="1052" spans="1:3">
      <c r="A1052" s="76">
        <f ca="1">IFERROR(__xludf.DUMMYFUNCTION("""COMPUTED_VALUE"""),2305933)</f>
        <v>2305933</v>
      </c>
      <c r="B1052" s="76" t="str">
        <f ca="1">IFERROR(__xludf.DUMMYFUNCTION("""COMPUTED_VALUE"""),"Шайкина Мария Дмитриевна")</f>
        <v>Шайкина Мария Дмитриевна</v>
      </c>
      <c r="C1052" s="75" t="str">
        <f ca="1">IFERROR(__xludf.DUMMYFUNCTION("""COMPUTED_VALUE"""),"Студент")</f>
        <v>Студент</v>
      </c>
    </row>
    <row r="1053" spans="1:3">
      <c r="A1053" s="76">
        <f ca="1">IFERROR(__xludf.DUMMYFUNCTION("""COMPUTED_VALUE"""),2305939)</f>
        <v>2305939</v>
      </c>
      <c r="B1053" s="76" t="str">
        <f ca="1">IFERROR(__xludf.DUMMYFUNCTION("""COMPUTED_VALUE"""),"Чументьев Кирилл Валерьевич")</f>
        <v>Чументьев Кирилл Валерьевич</v>
      </c>
      <c r="C1053" s="75" t="str">
        <f ca="1">IFERROR(__xludf.DUMMYFUNCTION("""COMPUTED_VALUE"""),"Студент")</f>
        <v>Студент</v>
      </c>
    </row>
    <row r="1054" spans="1:3">
      <c r="A1054" s="76">
        <f ca="1">IFERROR(__xludf.DUMMYFUNCTION("""COMPUTED_VALUE"""),2305941)</f>
        <v>2305941</v>
      </c>
      <c r="B1054" s="76" t="str">
        <f ca="1">IFERROR(__xludf.DUMMYFUNCTION("""COMPUTED_VALUE"""),"Глушков Михаил Андреевич")</f>
        <v>Глушков Михаил Андреевич</v>
      </c>
      <c r="C1054" s="75" t="str">
        <f ca="1">IFERROR(__xludf.DUMMYFUNCTION("""COMPUTED_VALUE"""),"Студент")</f>
        <v>Студент</v>
      </c>
    </row>
    <row r="1055" spans="1:3">
      <c r="A1055" s="76">
        <f ca="1">IFERROR(__xludf.DUMMYFUNCTION("""COMPUTED_VALUE"""),2305946)</f>
        <v>2305946</v>
      </c>
      <c r="B1055" s="76" t="str">
        <f ca="1">IFERROR(__xludf.DUMMYFUNCTION("""COMPUTED_VALUE"""),"Кольцова Дарья Михайловна")</f>
        <v>Кольцова Дарья Михайловна</v>
      </c>
      <c r="C1055" s="75" t="str">
        <f ca="1">IFERROR(__xludf.DUMMYFUNCTION("""COMPUTED_VALUE"""),"Студент")</f>
        <v>Студент</v>
      </c>
    </row>
    <row r="1056" spans="1:3">
      <c r="A1056" s="76">
        <f ca="1">IFERROR(__xludf.DUMMYFUNCTION("""COMPUTED_VALUE"""),2305960)</f>
        <v>2305960</v>
      </c>
      <c r="B1056" s="76" t="str">
        <f ca="1">IFERROR(__xludf.DUMMYFUNCTION("""COMPUTED_VALUE"""),"Катанаева Диана Андреевна")</f>
        <v>Катанаева Диана Андреевна</v>
      </c>
      <c r="C1056" s="75" t="str">
        <f ca="1">IFERROR(__xludf.DUMMYFUNCTION("""COMPUTED_VALUE"""),"Студент")</f>
        <v>Студент</v>
      </c>
    </row>
    <row r="1057" spans="1:3">
      <c r="A1057" s="76">
        <f ca="1">IFERROR(__xludf.DUMMYFUNCTION("""COMPUTED_VALUE"""),2305961)</f>
        <v>2305961</v>
      </c>
      <c r="B1057" s="76" t="str">
        <f ca="1">IFERROR(__xludf.DUMMYFUNCTION("""COMPUTED_VALUE"""),"Фокаиди Виктор Николаевич")</f>
        <v>Фокаиди Виктор Николаевич</v>
      </c>
      <c r="C1057" s="75" t="str">
        <f ca="1">IFERROR(__xludf.DUMMYFUNCTION("""COMPUTED_VALUE"""),"Студент")</f>
        <v>Студент</v>
      </c>
    </row>
    <row r="1058" spans="1:3">
      <c r="A1058" s="76">
        <f ca="1">IFERROR(__xludf.DUMMYFUNCTION("""COMPUTED_VALUE"""),2305964)</f>
        <v>2305964</v>
      </c>
      <c r="B1058" s="76" t="str">
        <f ca="1">IFERROR(__xludf.DUMMYFUNCTION("""COMPUTED_VALUE"""),"Косарева Вероника Юрьевна")</f>
        <v>Косарева Вероника Юрьевна</v>
      </c>
      <c r="C1058" s="75" t="str">
        <f ca="1">IFERROR(__xludf.DUMMYFUNCTION("""COMPUTED_VALUE"""),"Студент")</f>
        <v>Студент</v>
      </c>
    </row>
    <row r="1059" spans="1:3">
      <c r="A1059" s="76">
        <f ca="1">IFERROR(__xludf.DUMMYFUNCTION("""COMPUTED_VALUE"""),2305966)</f>
        <v>2305966</v>
      </c>
      <c r="B1059" s="76" t="str">
        <f ca="1">IFERROR(__xludf.DUMMYFUNCTION("""COMPUTED_VALUE"""),"Алёхина Дарья Сергеевна")</f>
        <v>Алёхина Дарья Сергеевна</v>
      </c>
      <c r="C1059" s="75" t="str">
        <f ca="1">IFERROR(__xludf.DUMMYFUNCTION("""COMPUTED_VALUE"""),"Студент")</f>
        <v>Студент</v>
      </c>
    </row>
    <row r="1060" spans="1:3">
      <c r="A1060" s="76">
        <f ca="1">IFERROR(__xludf.DUMMYFUNCTION("""COMPUTED_VALUE"""),2305974)</f>
        <v>2305974</v>
      </c>
      <c r="B1060" s="76" t="str">
        <f ca="1">IFERROR(__xludf.DUMMYFUNCTION("""COMPUTED_VALUE"""),"Незнанова Екатерина Андреевна")</f>
        <v>Незнанова Екатерина Андреевна</v>
      </c>
      <c r="C1060" s="75" t="str">
        <f ca="1">IFERROR(__xludf.DUMMYFUNCTION("""COMPUTED_VALUE"""),"Студент")</f>
        <v>Студент</v>
      </c>
    </row>
    <row r="1061" spans="1:3">
      <c r="A1061" s="76">
        <f ca="1">IFERROR(__xludf.DUMMYFUNCTION("""COMPUTED_VALUE"""),2305979)</f>
        <v>2305979</v>
      </c>
      <c r="B1061" s="76" t="str">
        <f ca="1">IFERROR(__xludf.DUMMYFUNCTION("""COMPUTED_VALUE"""),"Гречин Егор Иванович")</f>
        <v>Гречин Егор Иванович</v>
      </c>
      <c r="C1061" s="75" t="str">
        <f ca="1">IFERROR(__xludf.DUMMYFUNCTION("""COMPUTED_VALUE"""),"Студент")</f>
        <v>Студент</v>
      </c>
    </row>
    <row r="1062" spans="1:3">
      <c r="A1062" s="76">
        <f ca="1">IFERROR(__xludf.DUMMYFUNCTION("""COMPUTED_VALUE"""),2305985)</f>
        <v>2305985</v>
      </c>
      <c r="B1062" s="76" t="str">
        <f ca="1">IFERROR(__xludf.DUMMYFUNCTION("""COMPUTED_VALUE"""),"Плохотнюк Анна Дмитриевна")</f>
        <v>Плохотнюк Анна Дмитриевна</v>
      </c>
      <c r="C1062" s="75" t="str">
        <f ca="1">IFERROR(__xludf.DUMMYFUNCTION("""COMPUTED_VALUE"""),"Студент")</f>
        <v>Студент</v>
      </c>
    </row>
    <row r="1063" spans="1:3">
      <c r="A1063" s="76">
        <f ca="1">IFERROR(__xludf.DUMMYFUNCTION("""COMPUTED_VALUE"""),2305989)</f>
        <v>2305989</v>
      </c>
      <c r="B1063" s="76" t="str">
        <f ca="1">IFERROR(__xludf.DUMMYFUNCTION("""COMPUTED_VALUE"""),"Брежнев Артём Олегович")</f>
        <v>Брежнев Артём Олегович</v>
      </c>
      <c r="C1063" s="75" t="str">
        <f ca="1">IFERROR(__xludf.DUMMYFUNCTION("""COMPUTED_VALUE"""),"Студент")</f>
        <v>Студент</v>
      </c>
    </row>
    <row r="1064" spans="1:3">
      <c r="A1064" s="76">
        <f ca="1">IFERROR(__xludf.DUMMYFUNCTION("""COMPUTED_VALUE"""),2305993)</f>
        <v>2305993</v>
      </c>
      <c r="B1064" s="76" t="str">
        <f ca="1">IFERROR(__xludf.DUMMYFUNCTION("""COMPUTED_VALUE"""),"Новиков Антон Александрович")</f>
        <v>Новиков Антон Александрович</v>
      </c>
      <c r="C1064" s="75" t="str">
        <f ca="1">IFERROR(__xludf.DUMMYFUNCTION("""COMPUTED_VALUE"""),"Студент")</f>
        <v>Студент</v>
      </c>
    </row>
    <row r="1065" spans="1:3">
      <c r="A1065" s="76">
        <f ca="1">IFERROR(__xludf.DUMMYFUNCTION("""COMPUTED_VALUE"""),2305996)</f>
        <v>2305996</v>
      </c>
      <c r="B1065" s="76" t="str">
        <f ca="1">IFERROR(__xludf.DUMMYFUNCTION("""COMPUTED_VALUE"""),"Тагирова Камила Вадимовна")</f>
        <v>Тагирова Камила Вадимовна</v>
      </c>
      <c r="C1065" s="75" t="str">
        <f ca="1">IFERROR(__xludf.DUMMYFUNCTION("""COMPUTED_VALUE"""),"Студент")</f>
        <v>Студент</v>
      </c>
    </row>
    <row r="1066" spans="1:3">
      <c r="A1066" s="76">
        <f ca="1">IFERROR(__xludf.DUMMYFUNCTION("""COMPUTED_VALUE"""),2305998)</f>
        <v>2305998</v>
      </c>
      <c r="B1066" s="76" t="str">
        <f ca="1">IFERROR(__xludf.DUMMYFUNCTION("""COMPUTED_VALUE"""),"Поправко Даниил Викторович")</f>
        <v>Поправко Даниил Викторович</v>
      </c>
      <c r="C1066" s="75" t="str">
        <f ca="1">IFERROR(__xludf.DUMMYFUNCTION("""COMPUTED_VALUE"""),"Студент")</f>
        <v>Студент</v>
      </c>
    </row>
    <row r="1067" spans="1:3">
      <c r="A1067" s="76">
        <f ca="1">IFERROR(__xludf.DUMMYFUNCTION("""COMPUTED_VALUE"""),2306029)</f>
        <v>2306029</v>
      </c>
      <c r="B1067" s="76" t="str">
        <f ca="1">IFERROR(__xludf.DUMMYFUNCTION("""COMPUTED_VALUE"""),"Панов Никита Владимирович")</f>
        <v>Панов Никита Владимирович</v>
      </c>
      <c r="C1067" s="75" t="str">
        <f ca="1">IFERROR(__xludf.DUMMYFUNCTION("""COMPUTED_VALUE"""),"Студент")</f>
        <v>Студент</v>
      </c>
    </row>
    <row r="1068" spans="1:3">
      <c r="A1068" s="76">
        <f ca="1">IFERROR(__xludf.DUMMYFUNCTION("""COMPUTED_VALUE"""),2306032)</f>
        <v>2306032</v>
      </c>
      <c r="B1068" s="76" t="str">
        <f ca="1">IFERROR(__xludf.DUMMYFUNCTION("""COMPUTED_VALUE"""),"Березин Александр Константинович")</f>
        <v>Березин Александр Константинович</v>
      </c>
      <c r="C1068" s="75" t="str">
        <f ca="1">IFERROR(__xludf.DUMMYFUNCTION("""COMPUTED_VALUE"""),"Студент")</f>
        <v>Студент</v>
      </c>
    </row>
    <row r="1069" spans="1:3">
      <c r="A1069" s="76">
        <f ca="1">IFERROR(__xludf.DUMMYFUNCTION("""COMPUTED_VALUE"""),2306033)</f>
        <v>2306033</v>
      </c>
      <c r="B1069" s="76" t="str">
        <f ca="1">IFERROR(__xludf.DUMMYFUNCTION("""COMPUTED_VALUE"""),"Дерзновенко Александр Александрович")</f>
        <v>Дерзновенко Александр Александрович</v>
      </c>
      <c r="C1069" s="75" t="str">
        <f ca="1">IFERROR(__xludf.DUMMYFUNCTION("""COMPUTED_VALUE"""),"Студент")</f>
        <v>Студент</v>
      </c>
    </row>
    <row r="1070" spans="1:3">
      <c r="A1070" s="76">
        <f ca="1">IFERROR(__xludf.DUMMYFUNCTION("""COMPUTED_VALUE"""),2306034)</f>
        <v>2306034</v>
      </c>
      <c r="B1070" s="76" t="str">
        <f ca="1">IFERROR(__xludf.DUMMYFUNCTION("""COMPUTED_VALUE"""),"Родина Алина Олеговна")</f>
        <v>Родина Алина Олеговна</v>
      </c>
      <c r="C1070" s="75" t="str">
        <f ca="1">IFERROR(__xludf.DUMMYFUNCTION("""COMPUTED_VALUE"""),"Студент")</f>
        <v>Студент</v>
      </c>
    </row>
    <row r="1071" spans="1:3">
      <c r="A1071" s="76">
        <f ca="1">IFERROR(__xludf.DUMMYFUNCTION("""COMPUTED_VALUE"""),2306036)</f>
        <v>2306036</v>
      </c>
      <c r="B1071" s="76" t="str">
        <f ca="1">IFERROR(__xludf.DUMMYFUNCTION("""COMPUTED_VALUE"""),"Трофимов Иван Романович")</f>
        <v>Трофимов Иван Романович</v>
      </c>
      <c r="C1071" s="75" t="str">
        <f ca="1">IFERROR(__xludf.DUMMYFUNCTION("""COMPUTED_VALUE"""),"Студент")</f>
        <v>Студент</v>
      </c>
    </row>
    <row r="1072" spans="1:3">
      <c r="A1072" s="76">
        <f ca="1">IFERROR(__xludf.DUMMYFUNCTION("""COMPUTED_VALUE"""),2306047)</f>
        <v>2306047</v>
      </c>
      <c r="B1072" s="76" t="str">
        <f ca="1">IFERROR(__xludf.DUMMYFUNCTION("""COMPUTED_VALUE"""),"Кузьмин Дмитрий Сергеевич")</f>
        <v>Кузьмин Дмитрий Сергеевич</v>
      </c>
      <c r="C1072" s="75" t="str">
        <f ca="1">IFERROR(__xludf.DUMMYFUNCTION("""COMPUTED_VALUE"""),"Студент")</f>
        <v>Студент</v>
      </c>
    </row>
    <row r="1073" spans="1:3">
      <c r="A1073" s="76">
        <f ca="1">IFERROR(__xludf.DUMMYFUNCTION("""COMPUTED_VALUE"""),2306061)</f>
        <v>2306061</v>
      </c>
      <c r="B1073" s="76" t="str">
        <f ca="1">IFERROR(__xludf.DUMMYFUNCTION("""COMPUTED_VALUE"""),"Шевченко Елизавета Сергеевна")</f>
        <v>Шевченко Елизавета Сергеевна</v>
      </c>
      <c r="C1073" s="75" t="str">
        <f ca="1">IFERROR(__xludf.DUMMYFUNCTION("""COMPUTED_VALUE"""),"Студент")</f>
        <v>Студент</v>
      </c>
    </row>
    <row r="1074" spans="1:3">
      <c r="A1074" s="76">
        <f ca="1">IFERROR(__xludf.DUMMYFUNCTION("""COMPUTED_VALUE"""),2306066)</f>
        <v>2306066</v>
      </c>
      <c r="B1074" s="76" t="str">
        <f ca="1">IFERROR(__xludf.DUMMYFUNCTION("""COMPUTED_VALUE"""),"Смоляков Леонид Николаевич")</f>
        <v>Смоляков Леонид Николаевич</v>
      </c>
      <c r="C1074" s="75" t="str">
        <f ca="1">IFERROR(__xludf.DUMMYFUNCTION("""COMPUTED_VALUE"""),"Студент")</f>
        <v>Студент</v>
      </c>
    </row>
    <row r="1075" spans="1:3">
      <c r="A1075" s="76">
        <f ca="1">IFERROR(__xludf.DUMMYFUNCTION("""COMPUTED_VALUE"""),2306075)</f>
        <v>2306075</v>
      </c>
      <c r="B1075" s="76" t="str">
        <f ca="1">IFERROR(__xludf.DUMMYFUNCTION("""COMPUTED_VALUE"""),"Александрова Ксения Дмитриевна")</f>
        <v>Александрова Ксения Дмитриевна</v>
      </c>
      <c r="C1075" s="75" t="str">
        <f ca="1">IFERROR(__xludf.DUMMYFUNCTION("""COMPUTED_VALUE"""),"Студент")</f>
        <v>Студент</v>
      </c>
    </row>
    <row r="1076" spans="1:3">
      <c r="A1076" s="76">
        <f ca="1">IFERROR(__xludf.DUMMYFUNCTION("""COMPUTED_VALUE"""),2306091)</f>
        <v>2306091</v>
      </c>
      <c r="B1076" s="76" t="str">
        <f ca="1">IFERROR(__xludf.DUMMYFUNCTION("""COMPUTED_VALUE"""),"Попугаева Елизавета Михайловна")</f>
        <v>Попугаева Елизавета Михайловна</v>
      </c>
      <c r="C1076" s="75" t="str">
        <f ca="1">IFERROR(__xludf.DUMMYFUNCTION("""COMPUTED_VALUE"""),"Студент")</f>
        <v>Студент</v>
      </c>
    </row>
    <row r="1077" spans="1:3">
      <c r="A1077" s="76">
        <f ca="1">IFERROR(__xludf.DUMMYFUNCTION("""COMPUTED_VALUE"""),2306093)</f>
        <v>2306093</v>
      </c>
      <c r="B1077" s="76" t="str">
        <f ca="1">IFERROR(__xludf.DUMMYFUNCTION("""COMPUTED_VALUE"""),"Болгова Маргарита Дмитриевна")</f>
        <v>Болгова Маргарита Дмитриевна</v>
      </c>
      <c r="C1077" s="75" t="str">
        <f ca="1">IFERROR(__xludf.DUMMYFUNCTION("""COMPUTED_VALUE"""),"Студент")</f>
        <v>Студент</v>
      </c>
    </row>
    <row r="1078" spans="1:3">
      <c r="A1078" s="76">
        <f ca="1">IFERROR(__xludf.DUMMYFUNCTION("""COMPUTED_VALUE"""),2306094)</f>
        <v>2306094</v>
      </c>
      <c r="B1078" s="76" t="str">
        <f ca="1">IFERROR(__xludf.DUMMYFUNCTION("""COMPUTED_VALUE"""),"Творогов Артем Ильич")</f>
        <v>Творогов Артем Ильич</v>
      </c>
      <c r="C1078" s="75" t="str">
        <f ca="1">IFERROR(__xludf.DUMMYFUNCTION("""COMPUTED_VALUE"""),"Студент")</f>
        <v>Студент</v>
      </c>
    </row>
    <row r="1079" spans="1:3">
      <c r="A1079" s="76">
        <f ca="1">IFERROR(__xludf.DUMMYFUNCTION("""COMPUTED_VALUE"""),2306102)</f>
        <v>2306102</v>
      </c>
      <c r="B1079" s="76" t="str">
        <f ca="1">IFERROR(__xludf.DUMMYFUNCTION("""COMPUTED_VALUE"""),"Василенко Александр Андреевич")</f>
        <v>Василенко Александр Андреевич</v>
      </c>
      <c r="C1079" s="75" t="str">
        <f ca="1">IFERROR(__xludf.DUMMYFUNCTION("""COMPUTED_VALUE"""),"Студент")</f>
        <v>Студент</v>
      </c>
    </row>
    <row r="1080" spans="1:3">
      <c r="A1080" s="76">
        <f ca="1">IFERROR(__xludf.DUMMYFUNCTION("""COMPUTED_VALUE"""),2306103)</f>
        <v>2306103</v>
      </c>
      <c r="B1080" s="76" t="str">
        <f ca="1">IFERROR(__xludf.DUMMYFUNCTION("""COMPUTED_VALUE"""),"Новоселова Мария Андреевна")</f>
        <v>Новоселова Мария Андреевна</v>
      </c>
      <c r="C1080" s="75" t="str">
        <f ca="1">IFERROR(__xludf.DUMMYFUNCTION("""COMPUTED_VALUE"""),"Студент")</f>
        <v>Студент</v>
      </c>
    </row>
    <row r="1081" spans="1:3">
      <c r="A1081" s="76">
        <f ca="1">IFERROR(__xludf.DUMMYFUNCTION("""COMPUTED_VALUE"""),2306108)</f>
        <v>2306108</v>
      </c>
      <c r="B1081" s="76" t="str">
        <f ca="1">IFERROR(__xludf.DUMMYFUNCTION("""COMPUTED_VALUE"""),"Маслюк Николай Станиславович")</f>
        <v>Маслюк Николай Станиславович</v>
      </c>
      <c r="C1081" s="75" t="str">
        <f ca="1">IFERROR(__xludf.DUMMYFUNCTION("""COMPUTED_VALUE"""),"Студент")</f>
        <v>Студент</v>
      </c>
    </row>
    <row r="1082" spans="1:3">
      <c r="A1082" s="76">
        <f ca="1">IFERROR(__xludf.DUMMYFUNCTION("""COMPUTED_VALUE"""),2306122)</f>
        <v>2306122</v>
      </c>
      <c r="B1082" s="76" t="str">
        <f ca="1">IFERROR(__xludf.DUMMYFUNCTION("""COMPUTED_VALUE"""),"Щерба Ксения Андреевна")</f>
        <v>Щерба Ксения Андреевна</v>
      </c>
      <c r="C1082" s="75" t="str">
        <f ca="1">IFERROR(__xludf.DUMMYFUNCTION("""COMPUTED_VALUE"""),"Студент")</f>
        <v>Студент</v>
      </c>
    </row>
    <row r="1083" spans="1:3">
      <c r="A1083" s="76">
        <f ca="1">IFERROR(__xludf.DUMMYFUNCTION("""COMPUTED_VALUE"""),2306124)</f>
        <v>2306124</v>
      </c>
      <c r="B1083" s="76" t="str">
        <f ca="1">IFERROR(__xludf.DUMMYFUNCTION("""COMPUTED_VALUE"""),"Важинский Никита Михайлович")</f>
        <v>Важинский Никита Михайлович</v>
      </c>
      <c r="C1083" s="75" t="str">
        <f ca="1">IFERROR(__xludf.DUMMYFUNCTION("""COMPUTED_VALUE"""),"Студент")</f>
        <v>Студент</v>
      </c>
    </row>
    <row r="1084" spans="1:3">
      <c r="A1084" s="76">
        <f ca="1">IFERROR(__xludf.DUMMYFUNCTION("""COMPUTED_VALUE"""),2306135)</f>
        <v>2306135</v>
      </c>
      <c r="B1084" s="76" t="str">
        <f ca="1">IFERROR(__xludf.DUMMYFUNCTION("""COMPUTED_VALUE"""),"Ткаченя Артур Леонидович")</f>
        <v>Ткаченя Артур Леонидович</v>
      </c>
      <c r="C1084" s="75" t="str">
        <f ca="1">IFERROR(__xludf.DUMMYFUNCTION("""COMPUTED_VALUE"""),"Студент")</f>
        <v>Студент</v>
      </c>
    </row>
    <row r="1085" spans="1:3">
      <c r="A1085" s="76">
        <f ca="1">IFERROR(__xludf.DUMMYFUNCTION("""COMPUTED_VALUE"""),2306136)</f>
        <v>2306136</v>
      </c>
      <c r="B1085" s="76" t="str">
        <f ca="1">IFERROR(__xludf.DUMMYFUNCTION("""COMPUTED_VALUE"""),"Пешков Матвей Евгеньевич")</f>
        <v>Пешков Матвей Евгеньевич</v>
      </c>
      <c r="C1085" s="75" t="str">
        <f ca="1">IFERROR(__xludf.DUMMYFUNCTION("""COMPUTED_VALUE"""),"Студент")</f>
        <v>Студент</v>
      </c>
    </row>
    <row r="1086" spans="1:3">
      <c r="A1086" s="76">
        <f ca="1">IFERROR(__xludf.DUMMYFUNCTION("""COMPUTED_VALUE"""),2306146)</f>
        <v>2306146</v>
      </c>
      <c r="B1086" s="76" t="str">
        <f ca="1">IFERROR(__xludf.DUMMYFUNCTION("""COMPUTED_VALUE"""),"Кувыклин Арсений Андреевич")</f>
        <v>Кувыклин Арсений Андреевич</v>
      </c>
      <c r="C1086" s="75" t="str">
        <f ca="1">IFERROR(__xludf.DUMMYFUNCTION("""COMPUTED_VALUE"""),"Студент")</f>
        <v>Студент</v>
      </c>
    </row>
    <row r="1087" spans="1:3">
      <c r="A1087" s="76">
        <f ca="1">IFERROR(__xludf.DUMMYFUNCTION("""COMPUTED_VALUE"""),2306155)</f>
        <v>2306155</v>
      </c>
      <c r="B1087" s="76" t="str">
        <f ca="1">IFERROR(__xludf.DUMMYFUNCTION("""COMPUTED_VALUE"""),"Федоров Егор Иванович")</f>
        <v>Федоров Егор Иванович</v>
      </c>
      <c r="C1087" s="75" t="str">
        <f ca="1">IFERROR(__xludf.DUMMYFUNCTION("""COMPUTED_VALUE"""),"Студент")</f>
        <v>Студент</v>
      </c>
    </row>
    <row r="1088" spans="1:3">
      <c r="A1088" s="76">
        <f ca="1">IFERROR(__xludf.DUMMYFUNCTION("""COMPUTED_VALUE"""),2306159)</f>
        <v>2306159</v>
      </c>
      <c r="B1088" s="76" t="str">
        <f ca="1">IFERROR(__xludf.DUMMYFUNCTION("""COMPUTED_VALUE"""),"Семенова Юлия Александровна")</f>
        <v>Семенова Юлия Александровна</v>
      </c>
      <c r="C1088" s="75" t="str">
        <f ca="1">IFERROR(__xludf.DUMMYFUNCTION("""COMPUTED_VALUE"""),"Студент")</f>
        <v>Студент</v>
      </c>
    </row>
    <row r="1089" spans="1:3">
      <c r="A1089" s="76">
        <f ca="1">IFERROR(__xludf.DUMMYFUNCTION("""COMPUTED_VALUE"""),2306162)</f>
        <v>2306162</v>
      </c>
      <c r="B1089" s="76" t="str">
        <f ca="1">IFERROR(__xludf.DUMMYFUNCTION("""COMPUTED_VALUE"""),"Борщ Илья Юрьевич")</f>
        <v>Борщ Илья Юрьевич</v>
      </c>
      <c r="C1089" s="75" t="str">
        <f ca="1">IFERROR(__xludf.DUMMYFUNCTION("""COMPUTED_VALUE"""),"Студент")</f>
        <v>Студент</v>
      </c>
    </row>
    <row r="1090" spans="1:3">
      <c r="A1090" s="76">
        <f ca="1">IFERROR(__xludf.DUMMYFUNCTION("""COMPUTED_VALUE"""),2306166)</f>
        <v>2306166</v>
      </c>
      <c r="B1090" s="76" t="str">
        <f ca="1">IFERROR(__xludf.DUMMYFUNCTION("""COMPUTED_VALUE"""),"Чуфырева Мирослава Павловна")</f>
        <v>Чуфырева Мирослава Павловна</v>
      </c>
      <c r="C1090" s="75" t="str">
        <f ca="1">IFERROR(__xludf.DUMMYFUNCTION("""COMPUTED_VALUE"""),"Студент")</f>
        <v>Студент</v>
      </c>
    </row>
    <row r="1091" spans="1:3">
      <c r="A1091" s="76">
        <f ca="1">IFERROR(__xludf.DUMMYFUNCTION("""COMPUTED_VALUE"""),2306172)</f>
        <v>2306172</v>
      </c>
      <c r="B1091" s="76" t="str">
        <f ca="1">IFERROR(__xludf.DUMMYFUNCTION("""COMPUTED_VALUE"""),"Пархоменко Валерия Алексеевна")</f>
        <v>Пархоменко Валерия Алексеевна</v>
      </c>
      <c r="C1091" s="75" t="str">
        <f ca="1">IFERROR(__xludf.DUMMYFUNCTION("""COMPUTED_VALUE"""),"Студент")</f>
        <v>Студент</v>
      </c>
    </row>
    <row r="1092" spans="1:3">
      <c r="A1092" s="76">
        <f ca="1">IFERROR(__xludf.DUMMYFUNCTION("""COMPUTED_VALUE"""),2306174)</f>
        <v>2306174</v>
      </c>
      <c r="B1092" s="76" t="str">
        <f ca="1">IFERROR(__xludf.DUMMYFUNCTION("""COMPUTED_VALUE"""),"Шарапов Тимур Алексеевич")</f>
        <v>Шарапов Тимур Алексеевич</v>
      </c>
      <c r="C1092" s="75" t="str">
        <f ca="1">IFERROR(__xludf.DUMMYFUNCTION("""COMPUTED_VALUE"""),"Студент")</f>
        <v>Студент</v>
      </c>
    </row>
    <row r="1093" spans="1:3">
      <c r="A1093" s="76">
        <f ca="1">IFERROR(__xludf.DUMMYFUNCTION("""COMPUTED_VALUE"""),2306180)</f>
        <v>2306180</v>
      </c>
      <c r="B1093" s="76" t="str">
        <f ca="1">IFERROR(__xludf.DUMMYFUNCTION("""COMPUTED_VALUE"""),"Охота Владислав Александрович")</f>
        <v>Охота Владислав Александрович</v>
      </c>
      <c r="C1093" s="75" t="str">
        <f ca="1">IFERROR(__xludf.DUMMYFUNCTION("""COMPUTED_VALUE"""),"Студент")</f>
        <v>Студент</v>
      </c>
    </row>
    <row r="1094" spans="1:3">
      <c r="A1094" s="76">
        <f ca="1">IFERROR(__xludf.DUMMYFUNCTION("""COMPUTED_VALUE"""),2306182)</f>
        <v>2306182</v>
      </c>
      <c r="B1094" s="76" t="str">
        <f ca="1">IFERROR(__xludf.DUMMYFUNCTION("""COMPUTED_VALUE"""),"Краснов Евгений Константинович")</f>
        <v>Краснов Евгений Константинович</v>
      </c>
      <c r="C1094" s="75" t="str">
        <f ca="1">IFERROR(__xludf.DUMMYFUNCTION("""COMPUTED_VALUE"""),"Студент")</f>
        <v>Студент</v>
      </c>
    </row>
    <row r="1095" spans="1:3">
      <c r="A1095" s="76">
        <f ca="1">IFERROR(__xludf.DUMMYFUNCTION("""COMPUTED_VALUE"""),2306185)</f>
        <v>2306185</v>
      </c>
      <c r="B1095" s="76" t="str">
        <f ca="1">IFERROR(__xludf.DUMMYFUNCTION("""COMPUTED_VALUE"""),"Саяпина Анастасия Геннадьевна")</f>
        <v>Саяпина Анастасия Геннадьевна</v>
      </c>
      <c r="C1095" s="75" t="str">
        <f ca="1">IFERROR(__xludf.DUMMYFUNCTION("""COMPUTED_VALUE"""),"Аспирант")</f>
        <v>Аспирант</v>
      </c>
    </row>
    <row r="1096" spans="1:3">
      <c r="A1096" s="76">
        <f ca="1">IFERROR(__xludf.DUMMYFUNCTION("""COMPUTED_VALUE"""),2306186)</f>
        <v>2306186</v>
      </c>
      <c r="B1096" s="76" t="str">
        <f ca="1">IFERROR(__xludf.DUMMYFUNCTION("""COMPUTED_VALUE"""),"Мещанова Валерия Дмитриевна")</f>
        <v>Мещанова Валерия Дмитриевна</v>
      </c>
      <c r="C1096" s="75" t="str">
        <f ca="1">IFERROR(__xludf.DUMMYFUNCTION("""COMPUTED_VALUE"""),"Студент")</f>
        <v>Студент</v>
      </c>
    </row>
    <row r="1097" spans="1:3">
      <c r="A1097" s="76">
        <f ca="1">IFERROR(__xludf.DUMMYFUNCTION("""COMPUTED_VALUE"""),2306190)</f>
        <v>2306190</v>
      </c>
      <c r="B1097" s="76" t="str">
        <f ca="1">IFERROR(__xludf.DUMMYFUNCTION("""COMPUTED_VALUE"""),"Музаффаров Рухшед Темурович")</f>
        <v>Музаффаров Рухшед Темурович</v>
      </c>
      <c r="C1097" s="75" t="str">
        <f ca="1">IFERROR(__xludf.DUMMYFUNCTION("""COMPUTED_VALUE"""),"Студент")</f>
        <v>Студент</v>
      </c>
    </row>
    <row r="1098" spans="1:3">
      <c r="A1098" s="76">
        <f ca="1">IFERROR(__xludf.DUMMYFUNCTION("""COMPUTED_VALUE"""),2306191)</f>
        <v>2306191</v>
      </c>
      <c r="B1098" s="76" t="str">
        <f ca="1">IFERROR(__xludf.DUMMYFUNCTION("""COMPUTED_VALUE"""),"Алейникова Варвара Витальевна")</f>
        <v>Алейникова Варвара Витальевна</v>
      </c>
      <c r="C1098" s="75" t="str">
        <f ca="1">IFERROR(__xludf.DUMMYFUNCTION("""COMPUTED_VALUE"""),"Студент")</f>
        <v>Студент</v>
      </c>
    </row>
    <row r="1099" spans="1:3">
      <c r="A1099" s="76">
        <f ca="1">IFERROR(__xludf.DUMMYFUNCTION("""COMPUTED_VALUE"""),2306196)</f>
        <v>2306196</v>
      </c>
      <c r="B1099" s="76" t="str">
        <f ca="1">IFERROR(__xludf.DUMMYFUNCTION("""COMPUTED_VALUE"""),"Беликова Варвара Дмитриевна")</f>
        <v>Беликова Варвара Дмитриевна</v>
      </c>
      <c r="C1099" s="75" t="str">
        <f ca="1">IFERROR(__xludf.DUMMYFUNCTION("""COMPUTED_VALUE"""),"Студент")</f>
        <v>Студент</v>
      </c>
    </row>
    <row r="1100" spans="1:3">
      <c r="A1100" s="76">
        <f ca="1">IFERROR(__xludf.DUMMYFUNCTION("""COMPUTED_VALUE"""),2306199)</f>
        <v>2306199</v>
      </c>
      <c r="B1100" s="76" t="str">
        <f ca="1">IFERROR(__xludf.DUMMYFUNCTION("""COMPUTED_VALUE"""),"Королев Андрей Владимирович")</f>
        <v>Королев Андрей Владимирович</v>
      </c>
      <c r="C1100" s="75" t="str">
        <f ca="1">IFERROR(__xludf.DUMMYFUNCTION("""COMPUTED_VALUE"""),"Студент")</f>
        <v>Студент</v>
      </c>
    </row>
    <row r="1101" spans="1:3">
      <c r="A1101" s="76">
        <f ca="1">IFERROR(__xludf.DUMMYFUNCTION("""COMPUTED_VALUE"""),2306205)</f>
        <v>2306205</v>
      </c>
      <c r="B1101" s="76" t="str">
        <f ca="1">IFERROR(__xludf.DUMMYFUNCTION("""COMPUTED_VALUE"""),"Токарев Антон Андреевич")</f>
        <v>Токарев Антон Андреевич</v>
      </c>
      <c r="C1101" s="75" t="str">
        <f ca="1">IFERROR(__xludf.DUMMYFUNCTION("""COMPUTED_VALUE"""),"Студент")</f>
        <v>Студент</v>
      </c>
    </row>
    <row r="1102" spans="1:3">
      <c r="A1102" s="76">
        <f ca="1">IFERROR(__xludf.DUMMYFUNCTION("""COMPUTED_VALUE"""),2306209)</f>
        <v>2306209</v>
      </c>
      <c r="B1102" s="76" t="str">
        <f ca="1">IFERROR(__xludf.DUMMYFUNCTION("""COMPUTED_VALUE"""),"Писанов Виктор Евгеньевич")</f>
        <v>Писанов Виктор Евгеньевич</v>
      </c>
      <c r="C1102" s="75" t="str">
        <f ca="1">IFERROR(__xludf.DUMMYFUNCTION("""COMPUTED_VALUE"""),"Студент")</f>
        <v>Студент</v>
      </c>
    </row>
    <row r="1103" spans="1:3">
      <c r="A1103" s="76">
        <f ca="1">IFERROR(__xludf.DUMMYFUNCTION("""COMPUTED_VALUE"""),2306217)</f>
        <v>2306217</v>
      </c>
      <c r="B1103" s="76" t="str">
        <f ca="1">IFERROR(__xludf.DUMMYFUNCTION("""COMPUTED_VALUE"""),"Лобкис Игорь Андреевич")</f>
        <v>Лобкис Игорь Андреевич</v>
      </c>
      <c r="C1103" s="75" t="str">
        <f ca="1">IFERROR(__xludf.DUMMYFUNCTION("""COMPUTED_VALUE"""),"Студент")</f>
        <v>Студент</v>
      </c>
    </row>
    <row r="1104" spans="1:3">
      <c r="A1104" s="76">
        <f ca="1">IFERROR(__xludf.DUMMYFUNCTION("""COMPUTED_VALUE"""),2306220)</f>
        <v>2306220</v>
      </c>
      <c r="B1104" s="76" t="str">
        <f ca="1">IFERROR(__xludf.DUMMYFUNCTION("""COMPUTED_VALUE"""),"Андреев Иван Николаевич")</f>
        <v>Андреев Иван Николаевич</v>
      </c>
      <c r="C1104" s="75" t="str">
        <f ca="1">IFERROR(__xludf.DUMMYFUNCTION("""COMPUTED_VALUE"""),"Студент")</f>
        <v>Студент</v>
      </c>
    </row>
    <row r="1105" spans="1:3">
      <c r="A1105" s="76">
        <f ca="1">IFERROR(__xludf.DUMMYFUNCTION("""COMPUTED_VALUE"""),2306221)</f>
        <v>2306221</v>
      </c>
      <c r="B1105" s="76" t="str">
        <f ca="1">IFERROR(__xludf.DUMMYFUNCTION("""COMPUTED_VALUE"""),"Надеев Александр Александрович")</f>
        <v>Надеев Александр Александрович</v>
      </c>
      <c r="C1105" s="75" t="str">
        <f ca="1">IFERROR(__xludf.DUMMYFUNCTION("""COMPUTED_VALUE"""),"Студент")</f>
        <v>Студент</v>
      </c>
    </row>
    <row r="1106" spans="1:3">
      <c r="A1106" s="76">
        <f ca="1">IFERROR(__xludf.DUMMYFUNCTION("""COMPUTED_VALUE"""),2306224)</f>
        <v>2306224</v>
      </c>
      <c r="B1106" s="76" t="str">
        <f ca="1">IFERROR(__xludf.DUMMYFUNCTION("""COMPUTED_VALUE"""),"Сердюцкий Дмитрий Владимирович")</f>
        <v>Сердюцкий Дмитрий Владимирович</v>
      </c>
      <c r="C1106" s="75" t="str">
        <f ca="1">IFERROR(__xludf.DUMMYFUNCTION("""COMPUTED_VALUE"""),"Студент")</f>
        <v>Студент</v>
      </c>
    </row>
    <row r="1107" spans="1:3">
      <c r="A1107" s="76">
        <f ca="1">IFERROR(__xludf.DUMMYFUNCTION("""COMPUTED_VALUE"""),2306227)</f>
        <v>2306227</v>
      </c>
      <c r="B1107" s="76" t="str">
        <f ca="1">IFERROR(__xludf.DUMMYFUNCTION("""COMPUTED_VALUE"""),"Степанов Георгий Сергеевич")</f>
        <v>Степанов Георгий Сергеевич</v>
      </c>
      <c r="C1107" s="75" t="str">
        <f ca="1">IFERROR(__xludf.DUMMYFUNCTION("""COMPUTED_VALUE"""),"Студент")</f>
        <v>Студент</v>
      </c>
    </row>
    <row r="1108" spans="1:3">
      <c r="A1108" s="76">
        <f ca="1">IFERROR(__xludf.DUMMYFUNCTION("""COMPUTED_VALUE"""),2306246)</f>
        <v>2306246</v>
      </c>
      <c r="B1108" s="76" t="str">
        <f ca="1">IFERROR(__xludf.DUMMYFUNCTION("""COMPUTED_VALUE"""),"Антипов Иван Ильич")</f>
        <v>Антипов Иван Ильич</v>
      </c>
      <c r="C1108" s="75" t="str">
        <f ca="1">IFERROR(__xludf.DUMMYFUNCTION("""COMPUTED_VALUE"""),"Студент")</f>
        <v>Студент</v>
      </c>
    </row>
    <row r="1109" spans="1:3">
      <c r="A1109" s="76">
        <f ca="1">IFERROR(__xludf.DUMMYFUNCTION("""COMPUTED_VALUE"""),2306253)</f>
        <v>2306253</v>
      </c>
      <c r="B1109" s="76" t="str">
        <f ca="1">IFERROR(__xludf.DUMMYFUNCTION("""COMPUTED_VALUE"""),"Жилина Евгения Игоревна")</f>
        <v>Жилина Евгения Игоревна</v>
      </c>
      <c r="C1109" s="75" t="str">
        <f ca="1">IFERROR(__xludf.DUMMYFUNCTION("""COMPUTED_VALUE"""),"Студент")</f>
        <v>Студент</v>
      </c>
    </row>
    <row r="1110" spans="1:3">
      <c r="A1110" s="76">
        <f ca="1">IFERROR(__xludf.DUMMYFUNCTION("""COMPUTED_VALUE"""),2306255)</f>
        <v>2306255</v>
      </c>
      <c r="B1110" s="76" t="str">
        <f ca="1">IFERROR(__xludf.DUMMYFUNCTION("""COMPUTED_VALUE"""),"Коваленко Михаил Сергеевич")</f>
        <v>Коваленко Михаил Сергеевич</v>
      </c>
      <c r="C1110" s="75" t="str">
        <f ca="1">IFERROR(__xludf.DUMMYFUNCTION("""COMPUTED_VALUE"""),"Студент")</f>
        <v>Студент</v>
      </c>
    </row>
    <row r="1111" spans="1:3">
      <c r="A1111" s="76">
        <f ca="1">IFERROR(__xludf.DUMMYFUNCTION("""COMPUTED_VALUE"""),2306259)</f>
        <v>2306259</v>
      </c>
      <c r="B1111" s="76" t="str">
        <f ca="1">IFERROR(__xludf.DUMMYFUNCTION("""COMPUTED_VALUE"""),"Знаменский Никита Аркадьевич")</f>
        <v>Знаменский Никита Аркадьевич</v>
      </c>
      <c r="C1111" s="75" t="str">
        <f ca="1">IFERROR(__xludf.DUMMYFUNCTION("""COMPUTED_VALUE"""),"Студент")</f>
        <v>Студент</v>
      </c>
    </row>
    <row r="1112" spans="1:3">
      <c r="A1112" s="76">
        <f ca="1">IFERROR(__xludf.DUMMYFUNCTION("""COMPUTED_VALUE"""),2306260)</f>
        <v>2306260</v>
      </c>
      <c r="B1112" s="76" t="str">
        <f ca="1">IFERROR(__xludf.DUMMYFUNCTION("""COMPUTED_VALUE"""),"Щепин Никита Дмитриевич")</f>
        <v>Щепин Никита Дмитриевич</v>
      </c>
      <c r="C1112" s="75" t="str">
        <f ca="1">IFERROR(__xludf.DUMMYFUNCTION("""COMPUTED_VALUE"""),"Студент")</f>
        <v>Студент</v>
      </c>
    </row>
    <row r="1113" spans="1:3">
      <c r="A1113" s="76">
        <f ca="1">IFERROR(__xludf.DUMMYFUNCTION("""COMPUTED_VALUE"""),2306270)</f>
        <v>2306270</v>
      </c>
      <c r="B1113" s="76" t="str">
        <f ca="1">IFERROR(__xludf.DUMMYFUNCTION("""COMPUTED_VALUE"""),"Капланская Людмила Юрьевна")</f>
        <v>Капланская Людмила Юрьевна</v>
      </c>
      <c r="C1113" s="75" t="str">
        <f ca="1">IFERROR(__xludf.DUMMYFUNCTION("""COMPUTED_VALUE"""),"Студент")</f>
        <v>Студент</v>
      </c>
    </row>
    <row r="1114" spans="1:3">
      <c r="A1114" s="76">
        <f ca="1">IFERROR(__xludf.DUMMYFUNCTION("""COMPUTED_VALUE"""),2306283)</f>
        <v>2306283</v>
      </c>
      <c r="B1114" s="76" t="str">
        <f ca="1">IFERROR(__xludf.DUMMYFUNCTION("""COMPUTED_VALUE"""),"Ренгач Александра Сергеевна")</f>
        <v>Ренгач Александра Сергеевна</v>
      </c>
      <c r="C1114" s="75" t="str">
        <f ca="1">IFERROR(__xludf.DUMMYFUNCTION("""COMPUTED_VALUE"""),"Студент")</f>
        <v>Студент</v>
      </c>
    </row>
    <row r="1115" spans="1:3">
      <c r="A1115" s="76">
        <f ca="1">IFERROR(__xludf.DUMMYFUNCTION("""COMPUTED_VALUE"""),2306304)</f>
        <v>2306304</v>
      </c>
      <c r="B1115" s="76" t="str">
        <f ca="1">IFERROR(__xludf.DUMMYFUNCTION("""COMPUTED_VALUE"""),"Сергеев Александр Сергеевич")</f>
        <v>Сергеев Александр Сергеевич</v>
      </c>
      <c r="C1115" s="75" t="str">
        <f ca="1">IFERROR(__xludf.DUMMYFUNCTION("""COMPUTED_VALUE"""),"Студент")</f>
        <v>Студент</v>
      </c>
    </row>
    <row r="1116" spans="1:3">
      <c r="A1116" s="76">
        <f ca="1">IFERROR(__xludf.DUMMYFUNCTION("""COMPUTED_VALUE"""),2306312)</f>
        <v>2306312</v>
      </c>
      <c r="B1116" s="76" t="str">
        <f ca="1">IFERROR(__xludf.DUMMYFUNCTION("""COMPUTED_VALUE"""),"Рогачева Екатерина Павловна")</f>
        <v>Рогачева Екатерина Павловна</v>
      </c>
      <c r="C1116" s="75" t="str">
        <f ca="1">IFERROR(__xludf.DUMMYFUNCTION("""COMPUTED_VALUE"""),"Студент")</f>
        <v>Студент</v>
      </c>
    </row>
    <row r="1117" spans="1:3">
      <c r="A1117" s="76">
        <f ca="1">IFERROR(__xludf.DUMMYFUNCTION("""COMPUTED_VALUE"""),2306319)</f>
        <v>2306319</v>
      </c>
      <c r="B1117" s="76" t="str">
        <f ca="1">IFERROR(__xludf.DUMMYFUNCTION("""COMPUTED_VALUE"""),"Шаталова Диана Дмитриевна")</f>
        <v>Шаталова Диана Дмитриевна</v>
      </c>
      <c r="C1117" s="75" t="str">
        <f ca="1">IFERROR(__xludf.DUMMYFUNCTION("""COMPUTED_VALUE"""),"Студент")</f>
        <v>Студент</v>
      </c>
    </row>
    <row r="1118" spans="1:3">
      <c r="A1118" s="76">
        <f ca="1">IFERROR(__xludf.DUMMYFUNCTION("""COMPUTED_VALUE"""),2306320)</f>
        <v>2306320</v>
      </c>
      <c r="B1118" s="76" t="str">
        <f ca="1">IFERROR(__xludf.DUMMYFUNCTION("""COMPUTED_VALUE"""),"Прохорова Юлия Сергеевна")</f>
        <v>Прохорова Юлия Сергеевна</v>
      </c>
      <c r="C1118" s="75" t="str">
        <f ca="1">IFERROR(__xludf.DUMMYFUNCTION("""COMPUTED_VALUE"""),"Студент")</f>
        <v>Студент</v>
      </c>
    </row>
    <row r="1119" spans="1:3">
      <c r="A1119" s="76">
        <f ca="1">IFERROR(__xludf.DUMMYFUNCTION("""COMPUTED_VALUE"""),2306330)</f>
        <v>2306330</v>
      </c>
      <c r="B1119" s="76" t="str">
        <f ca="1">IFERROR(__xludf.DUMMYFUNCTION("""COMPUTED_VALUE"""),"Гибадуллина Гузель Расимовна")</f>
        <v>Гибадуллина Гузель Расимовна</v>
      </c>
      <c r="C1119" s="75" t="str">
        <f ca="1">IFERROR(__xludf.DUMMYFUNCTION("""COMPUTED_VALUE"""),"Студент")</f>
        <v>Студент</v>
      </c>
    </row>
    <row r="1120" spans="1:3">
      <c r="A1120" s="76">
        <f ca="1">IFERROR(__xludf.DUMMYFUNCTION("""COMPUTED_VALUE"""),2306333)</f>
        <v>2306333</v>
      </c>
      <c r="B1120" s="76" t="str">
        <f ca="1">IFERROR(__xludf.DUMMYFUNCTION("""COMPUTED_VALUE"""),"Каиржан Айнур")</f>
        <v>Каиржан Айнур</v>
      </c>
      <c r="C1120" s="75" t="str">
        <f ca="1">IFERROR(__xludf.DUMMYFUNCTION("""COMPUTED_VALUE"""),"Студент")</f>
        <v>Студент</v>
      </c>
    </row>
    <row r="1121" spans="1:3">
      <c r="A1121" s="76">
        <f ca="1">IFERROR(__xludf.DUMMYFUNCTION("""COMPUTED_VALUE"""),2306342)</f>
        <v>2306342</v>
      </c>
      <c r="B1121" s="76" t="str">
        <f ca="1">IFERROR(__xludf.DUMMYFUNCTION("""COMPUTED_VALUE"""),"Устинов Арсений Михайлович")</f>
        <v>Устинов Арсений Михайлович</v>
      </c>
      <c r="C1121" s="75" t="str">
        <f ca="1">IFERROR(__xludf.DUMMYFUNCTION("""COMPUTED_VALUE"""),"Студент")</f>
        <v>Студент</v>
      </c>
    </row>
    <row r="1122" spans="1:3">
      <c r="A1122" s="76">
        <f ca="1">IFERROR(__xludf.DUMMYFUNCTION("""COMPUTED_VALUE"""),2306350)</f>
        <v>2306350</v>
      </c>
      <c r="B1122" s="76" t="str">
        <f ca="1">IFERROR(__xludf.DUMMYFUNCTION("""COMPUTED_VALUE"""),"Новикова Ульяна Ильинична")</f>
        <v>Новикова Ульяна Ильинична</v>
      </c>
      <c r="C1122" s="75" t="str">
        <f ca="1">IFERROR(__xludf.DUMMYFUNCTION("""COMPUTED_VALUE"""),"Студент")</f>
        <v>Студент</v>
      </c>
    </row>
    <row r="1123" spans="1:3">
      <c r="A1123" s="76">
        <f ca="1">IFERROR(__xludf.DUMMYFUNCTION("""COMPUTED_VALUE"""),2306351)</f>
        <v>2306351</v>
      </c>
      <c r="B1123" s="76" t="str">
        <f ca="1">IFERROR(__xludf.DUMMYFUNCTION("""COMPUTED_VALUE"""),"Епифанцев Ярослав Александрович")</f>
        <v>Епифанцев Ярослав Александрович</v>
      </c>
      <c r="C1123" s="75" t="str">
        <f ca="1">IFERROR(__xludf.DUMMYFUNCTION("""COMPUTED_VALUE"""),"Студент")</f>
        <v>Студент</v>
      </c>
    </row>
    <row r="1124" spans="1:3">
      <c r="A1124" s="76">
        <f ca="1">IFERROR(__xludf.DUMMYFUNCTION("""COMPUTED_VALUE"""),2306360)</f>
        <v>2306360</v>
      </c>
      <c r="B1124" s="76" t="str">
        <f ca="1">IFERROR(__xludf.DUMMYFUNCTION("""COMPUTED_VALUE"""),"Панкратов Дмитрий Сергеевич")</f>
        <v>Панкратов Дмитрий Сергеевич</v>
      </c>
      <c r="C1124" s="75" t="str">
        <f ca="1">IFERROR(__xludf.DUMMYFUNCTION("""COMPUTED_VALUE"""),"Студент")</f>
        <v>Студент</v>
      </c>
    </row>
    <row r="1125" spans="1:3">
      <c r="A1125" s="76">
        <f ca="1">IFERROR(__xludf.DUMMYFUNCTION("""COMPUTED_VALUE"""),2306361)</f>
        <v>2306361</v>
      </c>
      <c r="B1125" s="76" t="str">
        <f ca="1">IFERROR(__xludf.DUMMYFUNCTION("""COMPUTED_VALUE"""),"Албакова Алиса Амировна")</f>
        <v>Албакова Алиса Амировна</v>
      </c>
      <c r="C1125" s="75" t="str">
        <f ca="1">IFERROR(__xludf.DUMMYFUNCTION("""COMPUTED_VALUE"""),"Студент")</f>
        <v>Студент</v>
      </c>
    </row>
    <row r="1126" spans="1:3">
      <c r="A1126" s="76">
        <f ca="1">IFERROR(__xludf.DUMMYFUNCTION("""COMPUTED_VALUE"""),2306363)</f>
        <v>2306363</v>
      </c>
      <c r="B1126" s="76" t="str">
        <f ca="1">IFERROR(__xludf.DUMMYFUNCTION("""COMPUTED_VALUE"""),"Осыко Алёна Вадимовна")</f>
        <v>Осыко Алёна Вадимовна</v>
      </c>
      <c r="C1126" s="75" t="str">
        <f ca="1">IFERROR(__xludf.DUMMYFUNCTION("""COMPUTED_VALUE"""),"Студент")</f>
        <v>Студент</v>
      </c>
    </row>
    <row r="1127" spans="1:3">
      <c r="A1127" s="76">
        <f ca="1">IFERROR(__xludf.DUMMYFUNCTION("""COMPUTED_VALUE"""),2306364)</f>
        <v>2306364</v>
      </c>
      <c r="B1127" s="76" t="str">
        <f ca="1">IFERROR(__xludf.DUMMYFUNCTION("""COMPUTED_VALUE"""),"Серебренников Никита Евгеньевич")</f>
        <v>Серебренников Никита Евгеньевич</v>
      </c>
      <c r="C1127" s="75" t="str">
        <f ca="1">IFERROR(__xludf.DUMMYFUNCTION("""COMPUTED_VALUE"""),"Студент")</f>
        <v>Студент</v>
      </c>
    </row>
    <row r="1128" spans="1:3">
      <c r="A1128" s="76">
        <f ca="1">IFERROR(__xludf.DUMMYFUNCTION("""COMPUTED_VALUE"""),2306367)</f>
        <v>2306367</v>
      </c>
      <c r="B1128" s="76" t="str">
        <f ca="1">IFERROR(__xludf.DUMMYFUNCTION("""COMPUTED_VALUE"""),"Фёдоров Артем Сергеевич")</f>
        <v>Фёдоров Артем Сергеевич</v>
      </c>
      <c r="C1128" s="75" t="str">
        <f ca="1">IFERROR(__xludf.DUMMYFUNCTION("""COMPUTED_VALUE"""),"Студент")</f>
        <v>Студент</v>
      </c>
    </row>
    <row r="1129" spans="1:3">
      <c r="A1129" s="76">
        <f ca="1">IFERROR(__xludf.DUMMYFUNCTION("""COMPUTED_VALUE"""),2306371)</f>
        <v>2306371</v>
      </c>
      <c r="B1129" s="76" t="str">
        <f ca="1">IFERROR(__xludf.DUMMYFUNCTION("""COMPUTED_VALUE"""),"Мельничников Юрий Константинович")</f>
        <v>Мельничников Юрий Константинович</v>
      </c>
      <c r="C1129" s="75" t="str">
        <f ca="1">IFERROR(__xludf.DUMMYFUNCTION("""COMPUTED_VALUE"""),"Студент")</f>
        <v>Студент</v>
      </c>
    </row>
    <row r="1130" spans="1:3">
      <c r="A1130" s="76">
        <f ca="1">IFERROR(__xludf.DUMMYFUNCTION("""COMPUTED_VALUE"""),2306374)</f>
        <v>2306374</v>
      </c>
      <c r="B1130" s="76" t="str">
        <f ca="1">IFERROR(__xludf.DUMMYFUNCTION("""COMPUTED_VALUE"""),"Михайлов Максим Александрович")</f>
        <v>Михайлов Максим Александрович</v>
      </c>
      <c r="C1130" s="75" t="str">
        <f ca="1">IFERROR(__xludf.DUMMYFUNCTION("""COMPUTED_VALUE"""),"Аспирант")</f>
        <v>Аспирант</v>
      </c>
    </row>
    <row r="1131" spans="1:3">
      <c r="A1131" s="76">
        <f ca="1">IFERROR(__xludf.DUMMYFUNCTION("""COMPUTED_VALUE"""),2306385)</f>
        <v>2306385</v>
      </c>
      <c r="B1131" s="76" t="str">
        <f ca="1">IFERROR(__xludf.DUMMYFUNCTION("""COMPUTED_VALUE"""),"Постернак Диана Евгеньевна")</f>
        <v>Постернак Диана Евгеньевна</v>
      </c>
      <c r="C1131" s="75" t="str">
        <f ca="1">IFERROR(__xludf.DUMMYFUNCTION("""COMPUTED_VALUE"""),"Студент")</f>
        <v>Студент</v>
      </c>
    </row>
    <row r="1132" spans="1:3">
      <c r="A1132" s="76">
        <f ca="1">IFERROR(__xludf.DUMMYFUNCTION("""COMPUTED_VALUE"""),2306388)</f>
        <v>2306388</v>
      </c>
      <c r="B1132" s="76" t="str">
        <f ca="1">IFERROR(__xludf.DUMMYFUNCTION("""COMPUTED_VALUE"""),"Зойиров Шахзод Амон угли")</f>
        <v>Зойиров Шахзод Амон угли</v>
      </c>
      <c r="C1132" s="75" t="str">
        <f ca="1">IFERROR(__xludf.DUMMYFUNCTION("""COMPUTED_VALUE"""),"Студент")</f>
        <v>Студент</v>
      </c>
    </row>
    <row r="1133" spans="1:3">
      <c r="A1133" s="76">
        <f ca="1">IFERROR(__xludf.DUMMYFUNCTION("""COMPUTED_VALUE"""),2306389)</f>
        <v>2306389</v>
      </c>
      <c r="B1133" s="76" t="str">
        <f ca="1">IFERROR(__xludf.DUMMYFUNCTION("""COMPUTED_VALUE"""),"Андреев Илья Вадимович")</f>
        <v>Андреев Илья Вадимович</v>
      </c>
      <c r="C1133" s="75" t="str">
        <f ca="1">IFERROR(__xludf.DUMMYFUNCTION("""COMPUTED_VALUE"""),"Студент")</f>
        <v>Студент</v>
      </c>
    </row>
    <row r="1134" spans="1:3">
      <c r="A1134" s="76">
        <f ca="1">IFERROR(__xludf.DUMMYFUNCTION("""COMPUTED_VALUE"""),2306393)</f>
        <v>2306393</v>
      </c>
      <c r="B1134" s="76" t="str">
        <f ca="1">IFERROR(__xludf.DUMMYFUNCTION("""COMPUTED_VALUE"""),"Молоков Антон Дмитриевич")</f>
        <v>Молоков Антон Дмитриевич</v>
      </c>
      <c r="C1134" s="75" t="str">
        <f ca="1">IFERROR(__xludf.DUMMYFUNCTION("""COMPUTED_VALUE"""),"Студент")</f>
        <v>Студент</v>
      </c>
    </row>
    <row r="1135" spans="1:3">
      <c r="A1135" s="76">
        <f ca="1">IFERROR(__xludf.DUMMYFUNCTION("""COMPUTED_VALUE"""),2306395)</f>
        <v>2306395</v>
      </c>
      <c r="B1135" s="76" t="str">
        <f ca="1">IFERROR(__xludf.DUMMYFUNCTION("""COMPUTED_VALUE"""),"Тихонов Савелий Сергеевич")</f>
        <v>Тихонов Савелий Сергеевич</v>
      </c>
      <c r="C1135" s="75" t="str">
        <f ca="1">IFERROR(__xludf.DUMMYFUNCTION("""COMPUTED_VALUE"""),"Студент")</f>
        <v>Студент</v>
      </c>
    </row>
    <row r="1136" spans="1:3">
      <c r="A1136" s="76">
        <f ca="1">IFERROR(__xludf.DUMMYFUNCTION("""COMPUTED_VALUE"""),2306399)</f>
        <v>2306399</v>
      </c>
      <c r="B1136" s="76" t="str">
        <f ca="1">IFERROR(__xludf.DUMMYFUNCTION("""COMPUTED_VALUE"""),"Подставкина Анна Константиновна")</f>
        <v>Подставкина Анна Константиновна</v>
      </c>
      <c r="C1136" s="75" t="str">
        <f ca="1">IFERROR(__xludf.DUMMYFUNCTION("""COMPUTED_VALUE"""),"Студент")</f>
        <v>Студент</v>
      </c>
    </row>
    <row r="1137" spans="1:3">
      <c r="A1137" s="76">
        <f ca="1">IFERROR(__xludf.DUMMYFUNCTION("""COMPUTED_VALUE"""),2306405)</f>
        <v>2306405</v>
      </c>
      <c r="B1137" s="76" t="str">
        <f ca="1">IFERROR(__xludf.DUMMYFUNCTION("""COMPUTED_VALUE"""),"Тимощук София Александровна")</f>
        <v>Тимощук София Александровна</v>
      </c>
      <c r="C1137" s="75" t="str">
        <f ca="1">IFERROR(__xludf.DUMMYFUNCTION("""COMPUTED_VALUE"""),"Студент")</f>
        <v>Студент</v>
      </c>
    </row>
    <row r="1138" spans="1:3">
      <c r="A1138" s="76">
        <f ca="1">IFERROR(__xludf.DUMMYFUNCTION("""COMPUTED_VALUE"""),2306412)</f>
        <v>2306412</v>
      </c>
      <c r="B1138" s="76" t="str">
        <f ca="1">IFERROR(__xludf.DUMMYFUNCTION("""COMPUTED_VALUE"""),"Петрова Полина Алексеевна")</f>
        <v>Петрова Полина Алексеевна</v>
      </c>
      <c r="C1138" s="75" t="str">
        <f ca="1">IFERROR(__xludf.DUMMYFUNCTION("""COMPUTED_VALUE"""),"Студент")</f>
        <v>Студент</v>
      </c>
    </row>
    <row r="1139" spans="1:3">
      <c r="A1139" s="76">
        <f ca="1">IFERROR(__xludf.DUMMYFUNCTION("""COMPUTED_VALUE"""),2306413)</f>
        <v>2306413</v>
      </c>
      <c r="B1139" s="76" t="str">
        <f ca="1">IFERROR(__xludf.DUMMYFUNCTION("""COMPUTED_VALUE"""),"Горинов Ярослав Денисович")</f>
        <v>Горинов Ярослав Денисович</v>
      </c>
      <c r="C1139" s="75" t="str">
        <f ca="1">IFERROR(__xludf.DUMMYFUNCTION("""COMPUTED_VALUE"""),"Студент")</f>
        <v>Студент</v>
      </c>
    </row>
    <row r="1140" spans="1:3">
      <c r="A1140" s="76">
        <f ca="1">IFERROR(__xludf.DUMMYFUNCTION("""COMPUTED_VALUE"""),2306421)</f>
        <v>2306421</v>
      </c>
      <c r="B1140" s="76" t="str">
        <f ca="1">IFERROR(__xludf.DUMMYFUNCTION("""COMPUTED_VALUE"""),"Сапельник Полина Игоревна")</f>
        <v>Сапельник Полина Игоревна</v>
      </c>
      <c r="C1140" s="75" t="str">
        <f ca="1">IFERROR(__xludf.DUMMYFUNCTION("""COMPUTED_VALUE"""),"Студент")</f>
        <v>Студент</v>
      </c>
    </row>
    <row r="1141" spans="1:3">
      <c r="A1141" s="76">
        <f ca="1">IFERROR(__xludf.DUMMYFUNCTION("""COMPUTED_VALUE"""),2306422)</f>
        <v>2306422</v>
      </c>
      <c r="B1141" s="76" t="str">
        <f ca="1">IFERROR(__xludf.DUMMYFUNCTION("""COMPUTED_VALUE"""),"Волошин Роман Евгеньевич")</f>
        <v>Волошин Роман Евгеньевич</v>
      </c>
      <c r="C1141" s="75" t="str">
        <f ca="1">IFERROR(__xludf.DUMMYFUNCTION("""COMPUTED_VALUE"""),"Студент")</f>
        <v>Студент</v>
      </c>
    </row>
    <row r="1142" spans="1:3">
      <c r="A1142" s="76">
        <f ca="1">IFERROR(__xludf.DUMMYFUNCTION("""COMPUTED_VALUE"""),2306424)</f>
        <v>2306424</v>
      </c>
      <c r="B1142" s="76" t="str">
        <f ca="1">IFERROR(__xludf.DUMMYFUNCTION("""COMPUTED_VALUE"""),"Говорухина Ксения Дмитриевна")</f>
        <v>Говорухина Ксения Дмитриевна</v>
      </c>
      <c r="C1142" s="75" t="str">
        <f ca="1">IFERROR(__xludf.DUMMYFUNCTION("""COMPUTED_VALUE"""),"Студент")</f>
        <v>Студент</v>
      </c>
    </row>
    <row r="1143" spans="1:3">
      <c r="A1143" s="76">
        <f ca="1">IFERROR(__xludf.DUMMYFUNCTION("""COMPUTED_VALUE"""),2306427)</f>
        <v>2306427</v>
      </c>
      <c r="B1143" s="76" t="str">
        <f ca="1">IFERROR(__xludf.DUMMYFUNCTION("""COMPUTED_VALUE"""),"Артюшина Юлия Андреевна")</f>
        <v>Артюшина Юлия Андреевна</v>
      </c>
      <c r="C1143" s="75" t="str">
        <f ca="1">IFERROR(__xludf.DUMMYFUNCTION("""COMPUTED_VALUE"""),"Студент")</f>
        <v>Студент</v>
      </c>
    </row>
    <row r="1144" spans="1:3">
      <c r="A1144" s="76">
        <f ca="1">IFERROR(__xludf.DUMMYFUNCTION("""COMPUTED_VALUE"""),2306429)</f>
        <v>2306429</v>
      </c>
      <c r="B1144" s="76" t="str">
        <f ca="1">IFERROR(__xludf.DUMMYFUNCTION("""COMPUTED_VALUE"""),"Попов Степан Сергеевич")</f>
        <v>Попов Степан Сергеевич</v>
      </c>
      <c r="C1144" s="75" t="str">
        <f ca="1">IFERROR(__xludf.DUMMYFUNCTION("""COMPUTED_VALUE"""),"Студент")</f>
        <v>Студент</v>
      </c>
    </row>
    <row r="1145" spans="1:3">
      <c r="A1145" s="76">
        <f ca="1">IFERROR(__xludf.DUMMYFUNCTION("""COMPUTED_VALUE"""),2306435)</f>
        <v>2306435</v>
      </c>
      <c r="B1145" s="76" t="str">
        <f ca="1">IFERROR(__xludf.DUMMYFUNCTION("""COMPUTED_VALUE"""),"Дащинский Владислав Сергеевич")</f>
        <v>Дащинский Владислав Сергеевич</v>
      </c>
      <c r="C1145" s="75" t="str">
        <f ca="1">IFERROR(__xludf.DUMMYFUNCTION("""COMPUTED_VALUE"""),"Студент")</f>
        <v>Студент</v>
      </c>
    </row>
    <row r="1146" spans="1:3">
      <c r="A1146" s="76">
        <f ca="1">IFERROR(__xludf.DUMMYFUNCTION("""COMPUTED_VALUE"""),2306440)</f>
        <v>2306440</v>
      </c>
      <c r="B1146" s="76" t="str">
        <f ca="1">IFERROR(__xludf.DUMMYFUNCTION("""COMPUTED_VALUE"""),"Куркубет Варвара Михайловна")</f>
        <v>Куркубет Варвара Михайловна</v>
      </c>
      <c r="C1146" s="75" t="str">
        <f ca="1">IFERROR(__xludf.DUMMYFUNCTION("""COMPUTED_VALUE"""),"Студент")</f>
        <v>Студент</v>
      </c>
    </row>
    <row r="1147" spans="1:3">
      <c r="A1147" s="76">
        <f ca="1">IFERROR(__xludf.DUMMYFUNCTION("""COMPUTED_VALUE"""),2306444)</f>
        <v>2306444</v>
      </c>
      <c r="B1147" s="76" t="str">
        <f ca="1">IFERROR(__xludf.DUMMYFUNCTION("""COMPUTED_VALUE"""),"Шахин Юсеф Шадиевич")</f>
        <v>Шахин Юсеф Шадиевич</v>
      </c>
      <c r="C1147" s="75" t="str">
        <f ca="1">IFERROR(__xludf.DUMMYFUNCTION("""COMPUTED_VALUE"""),"Студент")</f>
        <v>Студент</v>
      </c>
    </row>
    <row r="1148" spans="1:3">
      <c r="A1148" s="76">
        <f ca="1">IFERROR(__xludf.DUMMYFUNCTION("""COMPUTED_VALUE"""),2306445)</f>
        <v>2306445</v>
      </c>
      <c r="B1148" s="76" t="str">
        <f ca="1">IFERROR(__xludf.DUMMYFUNCTION("""COMPUTED_VALUE"""),"Казакова Анастасия Алексеевна")</f>
        <v>Казакова Анастасия Алексеевна</v>
      </c>
      <c r="C1148" s="75" t="str">
        <f ca="1">IFERROR(__xludf.DUMMYFUNCTION("""COMPUTED_VALUE"""),"Студент")</f>
        <v>Студент</v>
      </c>
    </row>
    <row r="1149" spans="1:3">
      <c r="A1149" s="76">
        <f ca="1">IFERROR(__xludf.DUMMYFUNCTION("""COMPUTED_VALUE"""),2306456)</f>
        <v>2306456</v>
      </c>
      <c r="B1149" s="76" t="str">
        <f ca="1">IFERROR(__xludf.DUMMYFUNCTION("""COMPUTED_VALUE"""),"Коробер Софья Анатольевна")</f>
        <v>Коробер Софья Анатольевна</v>
      </c>
      <c r="C1149" s="75" t="str">
        <f ca="1">IFERROR(__xludf.DUMMYFUNCTION("""COMPUTED_VALUE"""),"Студент")</f>
        <v>Студент</v>
      </c>
    </row>
    <row r="1150" spans="1:3">
      <c r="A1150" s="76">
        <f ca="1">IFERROR(__xludf.DUMMYFUNCTION("""COMPUTED_VALUE"""),2306462)</f>
        <v>2306462</v>
      </c>
      <c r="B1150" s="76" t="str">
        <f ca="1">IFERROR(__xludf.DUMMYFUNCTION("""COMPUTED_VALUE"""),"Давидян Мария Арсеновна")</f>
        <v>Давидян Мария Арсеновна</v>
      </c>
      <c r="C1150" s="75" t="str">
        <f ca="1">IFERROR(__xludf.DUMMYFUNCTION("""COMPUTED_VALUE"""),"Студент")</f>
        <v>Студент</v>
      </c>
    </row>
    <row r="1151" spans="1:3">
      <c r="A1151" s="76">
        <f ca="1">IFERROR(__xludf.DUMMYFUNCTION("""COMPUTED_VALUE"""),2306477)</f>
        <v>2306477</v>
      </c>
      <c r="B1151" s="76" t="str">
        <f ca="1">IFERROR(__xludf.DUMMYFUNCTION("""COMPUTED_VALUE"""),"Лисицын Александр Александрович")</f>
        <v>Лисицын Александр Александрович</v>
      </c>
      <c r="C1151" s="75" t="str">
        <f ca="1">IFERROR(__xludf.DUMMYFUNCTION("""COMPUTED_VALUE"""),"Студент")</f>
        <v>Студент</v>
      </c>
    </row>
    <row r="1152" spans="1:3">
      <c r="A1152" s="76">
        <f ca="1">IFERROR(__xludf.DUMMYFUNCTION("""COMPUTED_VALUE"""),2306526)</f>
        <v>2306526</v>
      </c>
      <c r="B1152" s="76" t="str">
        <f ca="1">IFERROR(__xludf.DUMMYFUNCTION("""COMPUTED_VALUE"""),"Зуев Георгий Андреевич")</f>
        <v>Зуев Георгий Андреевич</v>
      </c>
      <c r="C1152" s="75" t="str">
        <f ca="1">IFERROR(__xludf.DUMMYFUNCTION("""COMPUTED_VALUE"""),"Студент")</f>
        <v>Студент</v>
      </c>
    </row>
    <row r="1153" spans="1:3">
      <c r="A1153" s="76">
        <f ca="1">IFERROR(__xludf.DUMMYFUNCTION("""COMPUTED_VALUE"""),2306537)</f>
        <v>2306537</v>
      </c>
      <c r="B1153" s="76" t="str">
        <f ca="1">IFERROR(__xludf.DUMMYFUNCTION("""COMPUTED_VALUE"""),"Смирнов Даниил Алексеевич")</f>
        <v>Смирнов Даниил Алексеевич</v>
      </c>
      <c r="C1153" s="75" t="str">
        <f ca="1">IFERROR(__xludf.DUMMYFUNCTION("""COMPUTED_VALUE"""),"Студент")</f>
        <v>Студент</v>
      </c>
    </row>
    <row r="1154" spans="1:3">
      <c r="A1154" s="76">
        <f ca="1">IFERROR(__xludf.DUMMYFUNCTION("""COMPUTED_VALUE"""),2306540)</f>
        <v>2306540</v>
      </c>
      <c r="B1154" s="76" t="str">
        <f ca="1">IFERROR(__xludf.DUMMYFUNCTION("""COMPUTED_VALUE"""),"Смородкина Людмила Юрьевна")</f>
        <v>Смородкина Людмила Юрьевна</v>
      </c>
      <c r="C1154" s="75" t="str">
        <f ca="1">IFERROR(__xludf.DUMMYFUNCTION("""COMPUTED_VALUE"""),"Студент")</f>
        <v>Студент</v>
      </c>
    </row>
    <row r="1155" spans="1:3">
      <c r="A1155" s="76">
        <f ca="1">IFERROR(__xludf.DUMMYFUNCTION("""COMPUTED_VALUE"""),2306543)</f>
        <v>2306543</v>
      </c>
      <c r="B1155" s="76" t="str">
        <f ca="1">IFERROR(__xludf.DUMMYFUNCTION("""COMPUTED_VALUE"""),"Крылов Александр Сергеевич")</f>
        <v>Крылов Александр Сергеевич</v>
      </c>
      <c r="C1155" s="75" t="str">
        <f ca="1">IFERROR(__xludf.DUMMYFUNCTION("""COMPUTED_VALUE"""),"Студент")</f>
        <v>Студент</v>
      </c>
    </row>
    <row r="1156" spans="1:3">
      <c r="A1156" s="76">
        <f ca="1">IFERROR(__xludf.DUMMYFUNCTION("""COMPUTED_VALUE"""),2306547)</f>
        <v>2306547</v>
      </c>
      <c r="B1156" s="76" t="str">
        <f ca="1">IFERROR(__xludf.DUMMYFUNCTION("""COMPUTED_VALUE"""),"Сорокин Максим Андреевич")</f>
        <v>Сорокин Максим Андреевич</v>
      </c>
      <c r="C1156" s="75" t="str">
        <f ca="1">IFERROR(__xludf.DUMMYFUNCTION("""COMPUTED_VALUE"""),"Студент")</f>
        <v>Студент</v>
      </c>
    </row>
    <row r="1157" spans="1:3">
      <c r="A1157" s="76">
        <f ca="1">IFERROR(__xludf.DUMMYFUNCTION("""COMPUTED_VALUE"""),2306552)</f>
        <v>2306552</v>
      </c>
      <c r="B1157" s="76" t="str">
        <f ca="1">IFERROR(__xludf.DUMMYFUNCTION("""COMPUTED_VALUE"""),"Максименков Иван Михайлович")</f>
        <v>Максименков Иван Михайлович</v>
      </c>
      <c r="C1157" s="75" t="str">
        <f ca="1">IFERROR(__xludf.DUMMYFUNCTION("""COMPUTED_VALUE"""),"Студент")</f>
        <v>Студент</v>
      </c>
    </row>
    <row r="1158" spans="1:3">
      <c r="A1158" s="76">
        <f ca="1">IFERROR(__xludf.DUMMYFUNCTION("""COMPUTED_VALUE"""),2306554)</f>
        <v>2306554</v>
      </c>
      <c r="B1158" s="76" t="str">
        <f ca="1">IFERROR(__xludf.DUMMYFUNCTION("""COMPUTED_VALUE"""),"Стариков Александр Юрьевич")</f>
        <v>Стариков Александр Юрьевич</v>
      </c>
      <c r="C1158" s="75" t="str">
        <f ca="1">IFERROR(__xludf.DUMMYFUNCTION("""COMPUTED_VALUE"""),"Студент")</f>
        <v>Студент</v>
      </c>
    </row>
    <row r="1159" spans="1:3">
      <c r="A1159" s="76">
        <f ca="1">IFERROR(__xludf.DUMMYFUNCTION("""COMPUTED_VALUE"""),2306561)</f>
        <v>2306561</v>
      </c>
      <c r="B1159" s="76" t="str">
        <f ca="1">IFERROR(__xludf.DUMMYFUNCTION("""COMPUTED_VALUE"""),"Ахтямова Дарья Юрьевна")</f>
        <v>Ахтямова Дарья Юрьевна</v>
      </c>
      <c r="C1159" s="75" t="str">
        <f ca="1">IFERROR(__xludf.DUMMYFUNCTION("""COMPUTED_VALUE"""),"Студент")</f>
        <v>Студент</v>
      </c>
    </row>
    <row r="1160" spans="1:3">
      <c r="A1160" s="76">
        <f ca="1">IFERROR(__xludf.DUMMYFUNCTION("""COMPUTED_VALUE"""),2306563)</f>
        <v>2306563</v>
      </c>
      <c r="B1160" s="76" t="str">
        <f ca="1">IFERROR(__xludf.DUMMYFUNCTION("""COMPUTED_VALUE"""),"Фефилова Екатерина Сергеевна")</f>
        <v>Фефилова Екатерина Сергеевна</v>
      </c>
      <c r="C1160" s="75" t="str">
        <f ca="1">IFERROR(__xludf.DUMMYFUNCTION("""COMPUTED_VALUE"""),"Студент")</f>
        <v>Студент</v>
      </c>
    </row>
    <row r="1161" spans="1:3">
      <c r="A1161" s="76">
        <f ca="1">IFERROR(__xludf.DUMMYFUNCTION("""COMPUTED_VALUE"""),2306572)</f>
        <v>2306572</v>
      </c>
      <c r="B1161" s="76" t="str">
        <f ca="1">IFERROR(__xludf.DUMMYFUNCTION("""COMPUTED_VALUE"""),"Вяткина Марина Максимовна")</f>
        <v>Вяткина Марина Максимовна</v>
      </c>
      <c r="C1161" s="75" t="str">
        <f ca="1">IFERROR(__xludf.DUMMYFUNCTION("""COMPUTED_VALUE"""),"Студент")</f>
        <v>Студент</v>
      </c>
    </row>
    <row r="1162" spans="1:3">
      <c r="A1162" s="76">
        <f ca="1">IFERROR(__xludf.DUMMYFUNCTION("""COMPUTED_VALUE"""),2306574)</f>
        <v>2306574</v>
      </c>
      <c r="B1162" s="76" t="str">
        <f ca="1">IFERROR(__xludf.DUMMYFUNCTION("""COMPUTED_VALUE"""),"Захарченко Екатерина Сергеевна")</f>
        <v>Захарченко Екатерина Сергеевна</v>
      </c>
      <c r="C1162" s="75" t="str">
        <f ca="1">IFERROR(__xludf.DUMMYFUNCTION("""COMPUTED_VALUE"""),"Студент")</f>
        <v>Студент</v>
      </c>
    </row>
    <row r="1163" spans="1:3">
      <c r="A1163" s="76">
        <f ca="1">IFERROR(__xludf.DUMMYFUNCTION("""COMPUTED_VALUE"""),2306579)</f>
        <v>2306579</v>
      </c>
      <c r="B1163" s="76" t="str">
        <f ca="1">IFERROR(__xludf.DUMMYFUNCTION("""COMPUTED_VALUE"""),"Глотов Павел Игоревич")</f>
        <v>Глотов Павел Игоревич</v>
      </c>
      <c r="C1163" s="75" t="str">
        <f ca="1">IFERROR(__xludf.DUMMYFUNCTION("""COMPUTED_VALUE"""),"Студент")</f>
        <v>Студент</v>
      </c>
    </row>
    <row r="1164" spans="1:3">
      <c r="A1164" s="76">
        <f ca="1">IFERROR(__xludf.DUMMYFUNCTION("""COMPUTED_VALUE"""),2306588)</f>
        <v>2306588</v>
      </c>
      <c r="B1164" s="76" t="str">
        <f ca="1">IFERROR(__xludf.DUMMYFUNCTION("""COMPUTED_VALUE"""),"Заикина Полина Юрьевна")</f>
        <v>Заикина Полина Юрьевна</v>
      </c>
      <c r="C1164" s="75" t="str">
        <f ca="1">IFERROR(__xludf.DUMMYFUNCTION("""COMPUTED_VALUE"""),"Студент")</f>
        <v>Студент</v>
      </c>
    </row>
    <row r="1165" spans="1:3">
      <c r="A1165" s="76">
        <f ca="1">IFERROR(__xludf.DUMMYFUNCTION("""COMPUTED_VALUE"""),2306598)</f>
        <v>2306598</v>
      </c>
      <c r="B1165" s="76" t="str">
        <f ca="1">IFERROR(__xludf.DUMMYFUNCTION("""COMPUTED_VALUE"""),"Барышев Артемий Владимирович")</f>
        <v>Барышев Артемий Владимирович</v>
      </c>
      <c r="C1165" s="75" t="str">
        <f ca="1">IFERROR(__xludf.DUMMYFUNCTION("""COMPUTED_VALUE"""),"Студент")</f>
        <v>Студент</v>
      </c>
    </row>
    <row r="1166" spans="1:3">
      <c r="A1166" s="76">
        <f ca="1">IFERROR(__xludf.DUMMYFUNCTION("""COMPUTED_VALUE"""),2306604)</f>
        <v>2306604</v>
      </c>
      <c r="B1166" s="76" t="str">
        <f ca="1">IFERROR(__xludf.DUMMYFUNCTION("""COMPUTED_VALUE"""),"Градобоев Александр Юрьевич")</f>
        <v>Градобоев Александр Юрьевич</v>
      </c>
      <c r="C1166" s="75" t="str">
        <f ca="1">IFERROR(__xludf.DUMMYFUNCTION("""COMPUTED_VALUE"""),"Аспирант")</f>
        <v>Аспирант</v>
      </c>
    </row>
    <row r="1167" spans="1:3">
      <c r="A1167" s="76">
        <f ca="1">IFERROR(__xludf.DUMMYFUNCTION("""COMPUTED_VALUE"""),2306608)</f>
        <v>2306608</v>
      </c>
      <c r="B1167" s="76" t="str">
        <f ca="1">IFERROR(__xludf.DUMMYFUNCTION("""COMPUTED_VALUE"""),"Атоян Лусине Робертовна")</f>
        <v>Атоян Лусине Робертовна</v>
      </c>
      <c r="C1167" s="75" t="str">
        <f ca="1">IFERROR(__xludf.DUMMYFUNCTION("""COMPUTED_VALUE"""),"Студент")</f>
        <v>Студент</v>
      </c>
    </row>
    <row r="1168" spans="1:3">
      <c r="A1168" s="76">
        <f ca="1">IFERROR(__xludf.DUMMYFUNCTION("""COMPUTED_VALUE"""),2306609)</f>
        <v>2306609</v>
      </c>
      <c r="B1168" s="76" t="str">
        <f ca="1">IFERROR(__xludf.DUMMYFUNCTION("""COMPUTED_VALUE"""),"Алябьев Дмитрий Сергеевич")</f>
        <v>Алябьев Дмитрий Сергеевич</v>
      </c>
      <c r="C1168" s="75" t="str">
        <f ca="1">IFERROR(__xludf.DUMMYFUNCTION("""COMPUTED_VALUE"""),"Студент")</f>
        <v>Студент</v>
      </c>
    </row>
    <row r="1169" spans="1:3">
      <c r="A1169" s="76">
        <f ca="1">IFERROR(__xludf.DUMMYFUNCTION("""COMPUTED_VALUE"""),2306614)</f>
        <v>2306614</v>
      </c>
      <c r="B1169" s="76" t="str">
        <f ca="1">IFERROR(__xludf.DUMMYFUNCTION("""COMPUTED_VALUE"""),"Воронин Владимир Александрович")</f>
        <v>Воронин Владимир Александрович</v>
      </c>
      <c r="C1169" s="75" t="str">
        <f ca="1">IFERROR(__xludf.DUMMYFUNCTION("""COMPUTED_VALUE"""),"Студент")</f>
        <v>Студент</v>
      </c>
    </row>
    <row r="1170" spans="1:3">
      <c r="A1170" s="76">
        <f ca="1">IFERROR(__xludf.DUMMYFUNCTION("""COMPUTED_VALUE"""),2306616)</f>
        <v>2306616</v>
      </c>
      <c r="B1170" s="76" t="str">
        <f ca="1">IFERROR(__xludf.DUMMYFUNCTION("""COMPUTED_VALUE"""),"Каменских Вадим Сергеевич")</f>
        <v>Каменских Вадим Сергеевич</v>
      </c>
      <c r="C1170" s="75" t="str">
        <f ca="1">IFERROR(__xludf.DUMMYFUNCTION("""COMPUTED_VALUE"""),"Студент")</f>
        <v>Студент</v>
      </c>
    </row>
    <row r="1171" spans="1:3">
      <c r="A1171" s="76">
        <f ca="1">IFERROR(__xludf.DUMMYFUNCTION("""COMPUTED_VALUE"""),2306618)</f>
        <v>2306618</v>
      </c>
      <c r="B1171" s="76" t="str">
        <f ca="1">IFERROR(__xludf.DUMMYFUNCTION("""COMPUTED_VALUE"""),"Андреасян Гагик Ашотович")</f>
        <v>Андреасян Гагик Ашотович</v>
      </c>
      <c r="C1171" s="75" t="str">
        <f ca="1">IFERROR(__xludf.DUMMYFUNCTION("""COMPUTED_VALUE"""),"Студент")</f>
        <v>Студент</v>
      </c>
    </row>
    <row r="1172" spans="1:3">
      <c r="A1172" s="76">
        <f ca="1">IFERROR(__xludf.DUMMYFUNCTION("""COMPUTED_VALUE"""),2306622)</f>
        <v>2306622</v>
      </c>
      <c r="B1172" s="76" t="str">
        <f ca="1">IFERROR(__xludf.DUMMYFUNCTION("""COMPUTED_VALUE"""),"Миронова Алина Денисовна")</f>
        <v>Миронова Алина Денисовна</v>
      </c>
      <c r="C1172" s="75" t="str">
        <f ca="1">IFERROR(__xludf.DUMMYFUNCTION("""COMPUTED_VALUE"""),"Студент")</f>
        <v>Студент</v>
      </c>
    </row>
    <row r="1173" spans="1:3">
      <c r="A1173" s="76">
        <f ca="1">IFERROR(__xludf.DUMMYFUNCTION("""COMPUTED_VALUE"""),2306625)</f>
        <v>2306625</v>
      </c>
      <c r="B1173" s="76" t="str">
        <f ca="1">IFERROR(__xludf.DUMMYFUNCTION("""COMPUTED_VALUE"""),"Буттаева Маликат Артуровна")</f>
        <v>Буттаева Маликат Артуровна</v>
      </c>
      <c r="C1173" s="75" t="str">
        <f ca="1">IFERROR(__xludf.DUMMYFUNCTION("""COMPUTED_VALUE"""),"Студент")</f>
        <v>Студент</v>
      </c>
    </row>
    <row r="1174" spans="1:3">
      <c r="A1174" s="76">
        <f ca="1">IFERROR(__xludf.DUMMYFUNCTION("""COMPUTED_VALUE"""),2306631)</f>
        <v>2306631</v>
      </c>
      <c r="B1174" s="76" t="str">
        <f ca="1">IFERROR(__xludf.DUMMYFUNCTION("""COMPUTED_VALUE"""),"Самаев Михаил Евгеньевич")</f>
        <v>Самаев Михаил Евгеньевич</v>
      </c>
      <c r="C1174" s="75" t="str">
        <f ca="1">IFERROR(__xludf.DUMMYFUNCTION("""COMPUTED_VALUE"""),"Студент")</f>
        <v>Студент</v>
      </c>
    </row>
    <row r="1175" spans="1:3">
      <c r="A1175" s="76">
        <f ca="1">IFERROR(__xludf.DUMMYFUNCTION("""COMPUTED_VALUE"""),2306633)</f>
        <v>2306633</v>
      </c>
      <c r="B1175" s="76" t="str">
        <f ca="1">IFERROR(__xludf.DUMMYFUNCTION("""COMPUTED_VALUE"""),"Словогородская Елизавета Вячеславовна")</f>
        <v>Словогородская Елизавета Вячеславовна</v>
      </c>
      <c r="C1175" s="75" t="str">
        <f ca="1">IFERROR(__xludf.DUMMYFUNCTION("""COMPUTED_VALUE"""),"Студент")</f>
        <v>Студент</v>
      </c>
    </row>
    <row r="1176" spans="1:3">
      <c r="A1176" s="76">
        <f ca="1">IFERROR(__xludf.DUMMYFUNCTION("""COMPUTED_VALUE"""),2306634)</f>
        <v>2306634</v>
      </c>
      <c r="B1176" s="76" t="str">
        <f ca="1">IFERROR(__xludf.DUMMYFUNCTION("""COMPUTED_VALUE"""),"Кондрашёв Пётр Алексеевич")</f>
        <v>Кондрашёв Пётр Алексеевич</v>
      </c>
      <c r="C1176" s="75" t="str">
        <f ca="1">IFERROR(__xludf.DUMMYFUNCTION("""COMPUTED_VALUE"""),"Студент")</f>
        <v>Студент</v>
      </c>
    </row>
    <row r="1177" spans="1:3">
      <c r="A1177" s="76">
        <f ca="1">IFERROR(__xludf.DUMMYFUNCTION("""COMPUTED_VALUE"""),2306654)</f>
        <v>2306654</v>
      </c>
      <c r="B1177" s="76" t="str">
        <f ca="1">IFERROR(__xludf.DUMMYFUNCTION("""COMPUTED_VALUE"""),"Холиков Амонуллохуджа Абдукадимович")</f>
        <v>Холиков Амонуллохуджа Абдукадимович</v>
      </c>
      <c r="C1177" s="75" t="str">
        <f ca="1">IFERROR(__xludf.DUMMYFUNCTION("""COMPUTED_VALUE"""),"Студент")</f>
        <v>Студент</v>
      </c>
    </row>
    <row r="1178" spans="1:3">
      <c r="A1178" s="76">
        <f ca="1">IFERROR(__xludf.DUMMYFUNCTION("""COMPUTED_VALUE"""),2306655)</f>
        <v>2306655</v>
      </c>
      <c r="B1178" s="76" t="str">
        <f ca="1">IFERROR(__xludf.DUMMYFUNCTION("""COMPUTED_VALUE"""),"Лебедев Юрий Викторович")</f>
        <v>Лебедев Юрий Викторович</v>
      </c>
      <c r="C1178" s="75" t="str">
        <f ca="1">IFERROR(__xludf.DUMMYFUNCTION("""COMPUTED_VALUE"""),"Студент")</f>
        <v>Студент</v>
      </c>
    </row>
    <row r="1179" spans="1:3">
      <c r="A1179" s="76">
        <f ca="1">IFERROR(__xludf.DUMMYFUNCTION("""COMPUTED_VALUE"""),2306661)</f>
        <v>2306661</v>
      </c>
      <c r="B1179" s="76" t="str">
        <f ca="1">IFERROR(__xludf.DUMMYFUNCTION("""COMPUTED_VALUE"""),"Гросс Иван Александрович")</f>
        <v>Гросс Иван Александрович</v>
      </c>
      <c r="C1179" s="75" t="str">
        <f ca="1">IFERROR(__xludf.DUMMYFUNCTION("""COMPUTED_VALUE"""),"Студент")</f>
        <v>Студент</v>
      </c>
    </row>
    <row r="1180" spans="1:3">
      <c r="A1180" s="76">
        <f ca="1">IFERROR(__xludf.DUMMYFUNCTION("""COMPUTED_VALUE"""),2306679)</f>
        <v>2306679</v>
      </c>
      <c r="B1180" s="76" t="str">
        <f ca="1">IFERROR(__xludf.DUMMYFUNCTION("""COMPUTED_VALUE"""),"Глазков Илья Максимович")</f>
        <v>Глазков Илья Максимович</v>
      </c>
      <c r="C1180" s="75" t="str">
        <f ca="1">IFERROR(__xludf.DUMMYFUNCTION("""COMPUTED_VALUE"""),"Студент")</f>
        <v>Студент</v>
      </c>
    </row>
    <row r="1181" spans="1:3">
      <c r="A1181" s="76">
        <f ca="1">IFERROR(__xludf.DUMMYFUNCTION("""COMPUTED_VALUE"""),2306680)</f>
        <v>2306680</v>
      </c>
      <c r="B1181" s="76" t="str">
        <f ca="1">IFERROR(__xludf.DUMMYFUNCTION("""COMPUTED_VALUE"""),"Левина Елизавета Максимовна")</f>
        <v>Левина Елизавета Максимовна</v>
      </c>
      <c r="C1181" s="75" t="str">
        <f ca="1">IFERROR(__xludf.DUMMYFUNCTION("""COMPUTED_VALUE"""),"Студент")</f>
        <v>Студент</v>
      </c>
    </row>
    <row r="1182" spans="1:3">
      <c r="A1182" s="76">
        <f ca="1">IFERROR(__xludf.DUMMYFUNCTION("""COMPUTED_VALUE"""),2306685)</f>
        <v>2306685</v>
      </c>
      <c r="B1182" s="76" t="str">
        <f ca="1">IFERROR(__xludf.DUMMYFUNCTION("""COMPUTED_VALUE"""),"Молчанов Дмитрий Сергеевич")</f>
        <v>Молчанов Дмитрий Сергеевич</v>
      </c>
      <c r="C1182" s="75" t="str">
        <f ca="1">IFERROR(__xludf.DUMMYFUNCTION("""COMPUTED_VALUE"""),"Студент")</f>
        <v>Студент</v>
      </c>
    </row>
    <row r="1183" spans="1:3">
      <c r="A1183" s="76">
        <f ca="1">IFERROR(__xludf.DUMMYFUNCTION("""COMPUTED_VALUE"""),2306686)</f>
        <v>2306686</v>
      </c>
      <c r="B1183" s="76" t="str">
        <f ca="1">IFERROR(__xludf.DUMMYFUNCTION("""COMPUTED_VALUE"""),"Устенко Ольга Анатольевна")</f>
        <v>Устенко Ольга Анатольевна</v>
      </c>
      <c r="C1183" s="75" t="str">
        <f ca="1">IFERROR(__xludf.DUMMYFUNCTION("""COMPUTED_VALUE"""),"Студент")</f>
        <v>Студент</v>
      </c>
    </row>
    <row r="1184" spans="1:3">
      <c r="A1184" s="76">
        <f ca="1">IFERROR(__xludf.DUMMYFUNCTION("""COMPUTED_VALUE"""),2306696)</f>
        <v>2306696</v>
      </c>
      <c r="B1184" s="76" t="str">
        <f ca="1">IFERROR(__xludf.DUMMYFUNCTION("""COMPUTED_VALUE"""),"Рябинина Вера Тимуровна")</f>
        <v>Рябинина Вера Тимуровна</v>
      </c>
      <c r="C1184" s="75" t="str">
        <f ca="1">IFERROR(__xludf.DUMMYFUNCTION("""COMPUTED_VALUE"""),"Студент")</f>
        <v>Студент</v>
      </c>
    </row>
    <row r="1185" spans="1:3">
      <c r="A1185" s="76">
        <f ca="1">IFERROR(__xludf.DUMMYFUNCTION("""COMPUTED_VALUE"""),2306721)</f>
        <v>2306721</v>
      </c>
      <c r="B1185" s="76" t="str">
        <f ca="1">IFERROR(__xludf.DUMMYFUNCTION("""COMPUTED_VALUE"""),"Клименко Данил Денисович")</f>
        <v>Клименко Данил Денисович</v>
      </c>
      <c r="C1185" s="75" t="str">
        <f ca="1">IFERROR(__xludf.DUMMYFUNCTION("""COMPUTED_VALUE"""),"Студент")</f>
        <v>Студент</v>
      </c>
    </row>
    <row r="1186" spans="1:3">
      <c r="A1186" s="76">
        <f ca="1">IFERROR(__xludf.DUMMYFUNCTION("""COMPUTED_VALUE"""),2306722)</f>
        <v>2306722</v>
      </c>
      <c r="B1186" s="76" t="str">
        <f ca="1">IFERROR(__xludf.DUMMYFUNCTION("""COMPUTED_VALUE"""),"Рябченко Матвей Евгеньевич")</f>
        <v>Рябченко Матвей Евгеньевич</v>
      </c>
      <c r="C1186" s="75" t="str">
        <f ca="1">IFERROR(__xludf.DUMMYFUNCTION("""COMPUTED_VALUE"""),"Студент")</f>
        <v>Студент</v>
      </c>
    </row>
    <row r="1187" spans="1:3">
      <c r="A1187" s="76">
        <f ca="1">IFERROR(__xludf.DUMMYFUNCTION("""COMPUTED_VALUE"""),2306723)</f>
        <v>2306723</v>
      </c>
      <c r="B1187" s="76" t="str">
        <f ca="1">IFERROR(__xludf.DUMMYFUNCTION("""COMPUTED_VALUE"""),"Шигина Полина Андреевна")</f>
        <v>Шигина Полина Андреевна</v>
      </c>
      <c r="C1187" s="75" t="str">
        <f ca="1">IFERROR(__xludf.DUMMYFUNCTION("""COMPUTED_VALUE"""),"Студент")</f>
        <v>Студент</v>
      </c>
    </row>
    <row r="1188" spans="1:3">
      <c r="A1188" s="76">
        <f ca="1">IFERROR(__xludf.DUMMYFUNCTION("""COMPUTED_VALUE"""),2306760)</f>
        <v>2306760</v>
      </c>
      <c r="B1188" s="76" t="str">
        <f ca="1">IFERROR(__xludf.DUMMYFUNCTION("""COMPUTED_VALUE"""),"Голубева Лада Андреевна")</f>
        <v>Голубева Лада Андреевна</v>
      </c>
      <c r="C1188" s="75" t="str">
        <f ca="1">IFERROR(__xludf.DUMMYFUNCTION("""COMPUTED_VALUE"""),"Студент")</f>
        <v>Студент</v>
      </c>
    </row>
    <row r="1189" spans="1:3">
      <c r="A1189" s="76">
        <f ca="1">IFERROR(__xludf.DUMMYFUNCTION("""COMPUTED_VALUE"""),2306763)</f>
        <v>2306763</v>
      </c>
      <c r="B1189" s="76" t="str">
        <f ca="1">IFERROR(__xludf.DUMMYFUNCTION("""COMPUTED_VALUE"""),"Кожемякин Николай Сергеевич")</f>
        <v>Кожемякин Николай Сергеевич</v>
      </c>
      <c r="C1189" s="75" t="str">
        <f ca="1">IFERROR(__xludf.DUMMYFUNCTION("""COMPUTED_VALUE"""),"Студент")</f>
        <v>Студент</v>
      </c>
    </row>
    <row r="1190" spans="1:3">
      <c r="A1190" s="76">
        <f ca="1">IFERROR(__xludf.DUMMYFUNCTION("""COMPUTED_VALUE"""),2306767)</f>
        <v>2306767</v>
      </c>
      <c r="B1190" s="76" t="str">
        <f ca="1">IFERROR(__xludf.DUMMYFUNCTION("""COMPUTED_VALUE"""),"Звягинцева Анна Сергеевна")</f>
        <v>Звягинцева Анна Сергеевна</v>
      </c>
      <c r="C1190" s="75" t="str">
        <f ca="1">IFERROR(__xludf.DUMMYFUNCTION("""COMPUTED_VALUE"""),"Студент")</f>
        <v>Студент</v>
      </c>
    </row>
    <row r="1191" spans="1:3">
      <c r="A1191" s="76">
        <f ca="1">IFERROR(__xludf.DUMMYFUNCTION("""COMPUTED_VALUE"""),2306771)</f>
        <v>2306771</v>
      </c>
      <c r="B1191" s="76" t="str">
        <f ca="1">IFERROR(__xludf.DUMMYFUNCTION("""COMPUTED_VALUE"""),"Святогорова Ксения Евгеньевна")</f>
        <v>Святогорова Ксения Евгеньевна</v>
      </c>
      <c r="C1191" s="75" t="str">
        <f ca="1">IFERROR(__xludf.DUMMYFUNCTION("""COMPUTED_VALUE"""),"Студент")</f>
        <v>Студент</v>
      </c>
    </row>
    <row r="1192" spans="1:3">
      <c r="A1192" s="76">
        <f ca="1">IFERROR(__xludf.DUMMYFUNCTION("""COMPUTED_VALUE"""),2306778)</f>
        <v>2306778</v>
      </c>
      <c r="B1192" s="76" t="str">
        <f ca="1">IFERROR(__xludf.DUMMYFUNCTION("""COMPUTED_VALUE"""),"Фадеев Александр Викторович")</f>
        <v>Фадеев Александр Викторович</v>
      </c>
      <c r="C1192" s="75" t="str">
        <f ca="1">IFERROR(__xludf.DUMMYFUNCTION("""COMPUTED_VALUE"""),"Студент")</f>
        <v>Студент</v>
      </c>
    </row>
    <row r="1193" spans="1:3">
      <c r="A1193" s="76">
        <f ca="1">IFERROR(__xludf.DUMMYFUNCTION("""COMPUTED_VALUE"""),2306779)</f>
        <v>2306779</v>
      </c>
      <c r="B1193" s="76" t="str">
        <f ca="1">IFERROR(__xludf.DUMMYFUNCTION("""COMPUTED_VALUE"""),"Паренков Никита Сергеевич")</f>
        <v>Паренков Никита Сергеевич</v>
      </c>
      <c r="C1193" s="75" t="str">
        <f ca="1">IFERROR(__xludf.DUMMYFUNCTION("""COMPUTED_VALUE"""),"Студент")</f>
        <v>Студент</v>
      </c>
    </row>
    <row r="1194" spans="1:3">
      <c r="A1194" s="76">
        <f ca="1">IFERROR(__xludf.DUMMYFUNCTION("""COMPUTED_VALUE"""),2306782)</f>
        <v>2306782</v>
      </c>
      <c r="B1194" s="76" t="str">
        <f ca="1">IFERROR(__xludf.DUMMYFUNCTION("""COMPUTED_VALUE"""),"Алимардонзода Абдулло")</f>
        <v>Алимардонзода Абдулло</v>
      </c>
      <c r="C1194" s="75" t="str">
        <f ca="1">IFERROR(__xludf.DUMMYFUNCTION("""COMPUTED_VALUE"""),"Студент")</f>
        <v>Студент</v>
      </c>
    </row>
    <row r="1195" spans="1:3">
      <c r="A1195" s="76">
        <f ca="1">IFERROR(__xludf.DUMMYFUNCTION("""COMPUTED_VALUE"""),2306812)</f>
        <v>2306812</v>
      </c>
      <c r="B1195" s="76" t="str">
        <f ca="1">IFERROR(__xludf.DUMMYFUNCTION("""COMPUTED_VALUE"""),"Троицкая Юлия Олеговна")</f>
        <v>Троицкая Юлия Олеговна</v>
      </c>
      <c r="C1195" s="75" t="str">
        <f ca="1">IFERROR(__xludf.DUMMYFUNCTION("""COMPUTED_VALUE"""),"Студент")</f>
        <v>Студент</v>
      </c>
    </row>
    <row r="1196" spans="1:3">
      <c r="A1196" s="76">
        <f ca="1">IFERROR(__xludf.DUMMYFUNCTION("""COMPUTED_VALUE"""),2306814)</f>
        <v>2306814</v>
      </c>
      <c r="B1196" s="76" t="str">
        <f ca="1">IFERROR(__xludf.DUMMYFUNCTION("""COMPUTED_VALUE"""),"Лактионова Софья Алексеевна")</f>
        <v>Лактионова Софья Алексеевна</v>
      </c>
      <c r="C1196" s="75" t="str">
        <f ca="1">IFERROR(__xludf.DUMMYFUNCTION("""COMPUTED_VALUE"""),"Студент")</f>
        <v>Студент</v>
      </c>
    </row>
    <row r="1197" spans="1:3">
      <c r="A1197" s="76">
        <f ca="1">IFERROR(__xludf.DUMMYFUNCTION("""COMPUTED_VALUE"""),2306815)</f>
        <v>2306815</v>
      </c>
      <c r="B1197" s="76" t="str">
        <f ca="1">IFERROR(__xludf.DUMMYFUNCTION("""COMPUTED_VALUE"""),"Ларина Маргарита Дмитриевна")</f>
        <v>Ларина Маргарита Дмитриевна</v>
      </c>
      <c r="C1197" s="75" t="str">
        <f ca="1">IFERROR(__xludf.DUMMYFUNCTION("""COMPUTED_VALUE"""),"Студент")</f>
        <v>Студент</v>
      </c>
    </row>
    <row r="1198" spans="1:3">
      <c r="A1198" s="76">
        <f ca="1">IFERROR(__xludf.DUMMYFUNCTION("""COMPUTED_VALUE"""),2306818)</f>
        <v>2306818</v>
      </c>
      <c r="B1198" s="76" t="str">
        <f ca="1">IFERROR(__xludf.DUMMYFUNCTION("""COMPUTED_VALUE"""),"Сазонов Артём Константинович")</f>
        <v>Сазонов Артём Константинович</v>
      </c>
      <c r="C1198" s="75" t="str">
        <f ca="1">IFERROR(__xludf.DUMMYFUNCTION("""COMPUTED_VALUE"""),"Студент")</f>
        <v>Студент</v>
      </c>
    </row>
    <row r="1199" spans="1:3">
      <c r="A1199" s="76">
        <f ca="1">IFERROR(__xludf.DUMMYFUNCTION("""COMPUTED_VALUE"""),2306824)</f>
        <v>2306824</v>
      </c>
      <c r="B1199" s="76" t="str">
        <f ca="1">IFERROR(__xludf.DUMMYFUNCTION("""COMPUTED_VALUE"""),"Медникова Мария Станиславовна")</f>
        <v>Медникова Мария Станиславовна</v>
      </c>
      <c r="C1199" s="75" t="str">
        <f ca="1">IFERROR(__xludf.DUMMYFUNCTION("""COMPUTED_VALUE"""),"Студент")</f>
        <v>Студент</v>
      </c>
    </row>
    <row r="1200" spans="1:3">
      <c r="A1200" s="76">
        <f ca="1">IFERROR(__xludf.DUMMYFUNCTION("""COMPUTED_VALUE"""),2306828)</f>
        <v>2306828</v>
      </c>
      <c r="B1200" s="76" t="str">
        <f ca="1">IFERROR(__xludf.DUMMYFUNCTION("""COMPUTED_VALUE"""),"Зябликова Ксения Дмитриевна")</f>
        <v>Зябликова Ксения Дмитриевна</v>
      </c>
      <c r="C1200" s="75" t="str">
        <f ca="1">IFERROR(__xludf.DUMMYFUNCTION("""COMPUTED_VALUE"""),"Студент")</f>
        <v>Студент</v>
      </c>
    </row>
    <row r="1201" spans="1:3">
      <c r="A1201" s="76">
        <f ca="1">IFERROR(__xludf.DUMMYFUNCTION("""COMPUTED_VALUE"""),2306838)</f>
        <v>2306838</v>
      </c>
      <c r="B1201" s="76" t="str">
        <f ca="1">IFERROR(__xludf.DUMMYFUNCTION("""COMPUTED_VALUE"""),"Черных Алиса Антоновна")</f>
        <v>Черных Алиса Антоновна</v>
      </c>
      <c r="C1201" s="75" t="str">
        <f ca="1">IFERROR(__xludf.DUMMYFUNCTION("""COMPUTED_VALUE"""),"Студент")</f>
        <v>Студент</v>
      </c>
    </row>
    <row r="1202" spans="1:3">
      <c r="A1202" s="76">
        <f ca="1">IFERROR(__xludf.DUMMYFUNCTION("""COMPUTED_VALUE"""),2306841)</f>
        <v>2306841</v>
      </c>
      <c r="B1202" s="76" t="str">
        <f ca="1">IFERROR(__xludf.DUMMYFUNCTION("""COMPUTED_VALUE"""),"Ахмадышина Амина Ринатовна")</f>
        <v>Ахмадышина Амина Ринатовна</v>
      </c>
      <c r="C1202" s="75" t="str">
        <f ca="1">IFERROR(__xludf.DUMMYFUNCTION("""COMPUTED_VALUE"""),"Студент")</f>
        <v>Студент</v>
      </c>
    </row>
    <row r="1203" spans="1:3">
      <c r="A1203" s="76">
        <f ca="1">IFERROR(__xludf.DUMMYFUNCTION("""COMPUTED_VALUE"""),2306844)</f>
        <v>2306844</v>
      </c>
      <c r="B1203" s="76" t="str">
        <f ca="1">IFERROR(__xludf.DUMMYFUNCTION("""COMPUTED_VALUE"""),"Одегов Артём Сергеевич")</f>
        <v>Одегов Артём Сергеевич</v>
      </c>
      <c r="C1203" s="75" t="str">
        <f ca="1">IFERROR(__xludf.DUMMYFUNCTION("""COMPUTED_VALUE"""),"Студент")</f>
        <v>Студент</v>
      </c>
    </row>
    <row r="1204" spans="1:3">
      <c r="A1204" s="76">
        <f ca="1">IFERROR(__xludf.DUMMYFUNCTION("""COMPUTED_VALUE"""),2306852)</f>
        <v>2306852</v>
      </c>
      <c r="B1204" s="76" t="str">
        <f ca="1">IFERROR(__xludf.DUMMYFUNCTION("""COMPUTED_VALUE"""),"Никандрова Ксения Дмитриевна")</f>
        <v>Никандрова Ксения Дмитриевна</v>
      </c>
      <c r="C1204" s="75" t="str">
        <f ca="1">IFERROR(__xludf.DUMMYFUNCTION("""COMPUTED_VALUE"""),"Студент")</f>
        <v>Студент</v>
      </c>
    </row>
    <row r="1205" spans="1:3">
      <c r="A1205" s="76">
        <f ca="1">IFERROR(__xludf.DUMMYFUNCTION("""COMPUTED_VALUE"""),2306853)</f>
        <v>2306853</v>
      </c>
      <c r="B1205" s="76" t="str">
        <f ca="1">IFERROR(__xludf.DUMMYFUNCTION("""COMPUTED_VALUE"""),"Мельников Егор Алексеевич")</f>
        <v>Мельников Егор Алексеевич</v>
      </c>
      <c r="C1205" s="75" t="str">
        <f ca="1">IFERROR(__xludf.DUMMYFUNCTION("""COMPUTED_VALUE"""),"Студент")</f>
        <v>Студент</v>
      </c>
    </row>
    <row r="1206" spans="1:3">
      <c r="A1206" s="76">
        <f ca="1">IFERROR(__xludf.DUMMYFUNCTION("""COMPUTED_VALUE"""),2306858)</f>
        <v>2306858</v>
      </c>
      <c r="B1206" s="76" t="str">
        <f ca="1">IFERROR(__xludf.DUMMYFUNCTION("""COMPUTED_VALUE"""),"Лищенко Александра Вадимовна")</f>
        <v>Лищенко Александра Вадимовна</v>
      </c>
      <c r="C1206" s="75" t="str">
        <f ca="1">IFERROR(__xludf.DUMMYFUNCTION("""COMPUTED_VALUE"""),"Студент")</f>
        <v>Студент</v>
      </c>
    </row>
    <row r="1207" spans="1:3">
      <c r="A1207" s="76">
        <f ca="1">IFERROR(__xludf.DUMMYFUNCTION("""COMPUTED_VALUE"""),2306861)</f>
        <v>2306861</v>
      </c>
      <c r="B1207" s="76" t="str">
        <f ca="1">IFERROR(__xludf.DUMMYFUNCTION("""COMPUTED_VALUE"""),"Петросян Дмитрий Камоевич")</f>
        <v>Петросян Дмитрий Камоевич</v>
      </c>
      <c r="C1207" s="75" t="str">
        <f ca="1">IFERROR(__xludf.DUMMYFUNCTION("""COMPUTED_VALUE"""),"Студент")</f>
        <v>Студент</v>
      </c>
    </row>
    <row r="1208" spans="1:3">
      <c r="A1208" s="76">
        <f ca="1">IFERROR(__xludf.DUMMYFUNCTION("""COMPUTED_VALUE"""),2306862)</f>
        <v>2306862</v>
      </c>
      <c r="B1208" s="76" t="str">
        <f ca="1">IFERROR(__xludf.DUMMYFUNCTION("""COMPUTED_VALUE"""),"Вагин Илья Александрович")</f>
        <v>Вагин Илья Александрович</v>
      </c>
      <c r="C1208" s="75" t="str">
        <f ca="1">IFERROR(__xludf.DUMMYFUNCTION("""COMPUTED_VALUE"""),"Студент")</f>
        <v>Студент</v>
      </c>
    </row>
    <row r="1209" spans="1:3">
      <c r="A1209" s="76">
        <f ca="1">IFERROR(__xludf.DUMMYFUNCTION("""COMPUTED_VALUE"""),2306871)</f>
        <v>2306871</v>
      </c>
      <c r="B1209" s="76" t="str">
        <f ca="1">IFERROR(__xludf.DUMMYFUNCTION("""COMPUTED_VALUE"""),"Климова Мария Александровна")</f>
        <v>Климова Мария Александровна</v>
      </c>
      <c r="C1209" s="75" t="str">
        <f ca="1">IFERROR(__xludf.DUMMYFUNCTION("""COMPUTED_VALUE"""),"Студент")</f>
        <v>Студент</v>
      </c>
    </row>
    <row r="1210" spans="1:3">
      <c r="A1210" s="76">
        <f ca="1">IFERROR(__xludf.DUMMYFUNCTION("""COMPUTED_VALUE"""),2306880)</f>
        <v>2306880</v>
      </c>
      <c r="B1210" s="76" t="str">
        <f ca="1">IFERROR(__xludf.DUMMYFUNCTION("""COMPUTED_VALUE"""),"Колодин Евгений Дмитриевич")</f>
        <v>Колодин Евгений Дмитриевич</v>
      </c>
      <c r="C1210" s="75" t="str">
        <f ca="1">IFERROR(__xludf.DUMMYFUNCTION("""COMPUTED_VALUE"""),"Студент")</f>
        <v>Студент</v>
      </c>
    </row>
    <row r="1211" spans="1:3">
      <c r="A1211" s="76">
        <f ca="1">IFERROR(__xludf.DUMMYFUNCTION("""COMPUTED_VALUE"""),2306891)</f>
        <v>2306891</v>
      </c>
      <c r="B1211" s="76" t="str">
        <f ca="1">IFERROR(__xludf.DUMMYFUNCTION("""COMPUTED_VALUE"""),"Ховалыг Дажы-Доржу Эресович")</f>
        <v>Ховалыг Дажы-Доржу Эресович</v>
      </c>
      <c r="C1211" s="75" t="str">
        <f ca="1">IFERROR(__xludf.DUMMYFUNCTION("""COMPUTED_VALUE"""),"Студент")</f>
        <v>Студент</v>
      </c>
    </row>
    <row r="1212" spans="1:3">
      <c r="A1212" s="76">
        <f ca="1">IFERROR(__xludf.DUMMYFUNCTION("""COMPUTED_VALUE"""),2306897)</f>
        <v>2306897</v>
      </c>
      <c r="B1212" s="76" t="str">
        <f ca="1">IFERROR(__xludf.DUMMYFUNCTION("""COMPUTED_VALUE"""),"Семенова Мария Ильинична")</f>
        <v>Семенова Мария Ильинична</v>
      </c>
      <c r="C1212" s="75" t="str">
        <f ca="1">IFERROR(__xludf.DUMMYFUNCTION("""COMPUTED_VALUE"""),"Студент")</f>
        <v>Студент</v>
      </c>
    </row>
    <row r="1213" spans="1:3">
      <c r="A1213" s="76">
        <f ca="1">IFERROR(__xludf.DUMMYFUNCTION("""COMPUTED_VALUE"""),2306898)</f>
        <v>2306898</v>
      </c>
      <c r="B1213" s="76" t="str">
        <f ca="1">IFERROR(__xludf.DUMMYFUNCTION("""COMPUTED_VALUE"""),"Меркулов Максим Алексеевич")</f>
        <v>Меркулов Максим Алексеевич</v>
      </c>
      <c r="C1213" s="75" t="str">
        <f ca="1">IFERROR(__xludf.DUMMYFUNCTION("""COMPUTED_VALUE"""),"Студент")</f>
        <v>Студент</v>
      </c>
    </row>
    <row r="1214" spans="1:3">
      <c r="A1214" s="76">
        <f ca="1">IFERROR(__xludf.DUMMYFUNCTION("""COMPUTED_VALUE"""),2306903)</f>
        <v>2306903</v>
      </c>
      <c r="B1214" s="76" t="str">
        <f ca="1">IFERROR(__xludf.DUMMYFUNCTION("""COMPUTED_VALUE"""),"Шпаковская Софья Сергеевна")</f>
        <v>Шпаковская Софья Сергеевна</v>
      </c>
      <c r="C1214" s="75" t="str">
        <f ca="1">IFERROR(__xludf.DUMMYFUNCTION("""COMPUTED_VALUE"""),"Студент")</f>
        <v>Студент</v>
      </c>
    </row>
    <row r="1215" spans="1:3">
      <c r="A1215" s="76">
        <f ca="1">IFERROR(__xludf.DUMMYFUNCTION("""COMPUTED_VALUE"""),2306905)</f>
        <v>2306905</v>
      </c>
      <c r="B1215" s="76" t="str">
        <f ca="1">IFERROR(__xludf.DUMMYFUNCTION("""COMPUTED_VALUE"""),"Назаренко Юрий Константинович")</f>
        <v>Назаренко Юрий Константинович</v>
      </c>
      <c r="C1215" s="75" t="str">
        <f ca="1">IFERROR(__xludf.DUMMYFUNCTION("""COMPUTED_VALUE"""),"Студент")</f>
        <v>Студент</v>
      </c>
    </row>
    <row r="1216" spans="1:3">
      <c r="A1216" s="76">
        <f ca="1">IFERROR(__xludf.DUMMYFUNCTION("""COMPUTED_VALUE"""),2306906)</f>
        <v>2306906</v>
      </c>
      <c r="B1216" s="76" t="str">
        <f ca="1">IFERROR(__xludf.DUMMYFUNCTION("""COMPUTED_VALUE"""),"Шадрин Артём Александрович")</f>
        <v>Шадрин Артём Александрович</v>
      </c>
      <c r="C1216" s="75" t="str">
        <f ca="1">IFERROR(__xludf.DUMMYFUNCTION("""COMPUTED_VALUE"""),"Студент")</f>
        <v>Студент</v>
      </c>
    </row>
    <row r="1217" spans="1:3">
      <c r="A1217" s="76">
        <f ca="1">IFERROR(__xludf.DUMMYFUNCTION("""COMPUTED_VALUE"""),2306908)</f>
        <v>2306908</v>
      </c>
      <c r="B1217" s="76" t="str">
        <f ca="1">IFERROR(__xludf.DUMMYFUNCTION("""COMPUTED_VALUE"""),"Куулар Амина Сергеевна")</f>
        <v>Куулар Амина Сергеевна</v>
      </c>
      <c r="C1217" s="75" t="str">
        <f ca="1">IFERROR(__xludf.DUMMYFUNCTION("""COMPUTED_VALUE"""),"Студент")</f>
        <v>Студент</v>
      </c>
    </row>
    <row r="1218" spans="1:3">
      <c r="A1218" s="76">
        <f ca="1">IFERROR(__xludf.DUMMYFUNCTION("""COMPUTED_VALUE"""),2306909)</f>
        <v>2306909</v>
      </c>
      <c r="B1218" s="76" t="str">
        <f ca="1">IFERROR(__xludf.DUMMYFUNCTION("""COMPUTED_VALUE"""),"Левашова Мирра Михайловна")</f>
        <v>Левашова Мирра Михайловна</v>
      </c>
      <c r="C1218" s="75" t="str">
        <f ca="1">IFERROR(__xludf.DUMMYFUNCTION("""COMPUTED_VALUE"""),"Студент")</f>
        <v>Студент</v>
      </c>
    </row>
    <row r="1219" spans="1:3">
      <c r="A1219" s="76">
        <f ca="1">IFERROR(__xludf.DUMMYFUNCTION("""COMPUTED_VALUE"""),2306910)</f>
        <v>2306910</v>
      </c>
      <c r="B1219" s="76" t="str">
        <f ca="1">IFERROR(__xludf.DUMMYFUNCTION("""COMPUTED_VALUE"""),"Краснов Данила Сергеевич")</f>
        <v>Краснов Данила Сергеевич</v>
      </c>
      <c r="C1219" s="75" t="str">
        <f ca="1">IFERROR(__xludf.DUMMYFUNCTION("""COMPUTED_VALUE"""),"Студент")</f>
        <v>Студент</v>
      </c>
    </row>
    <row r="1220" spans="1:3">
      <c r="A1220" s="76">
        <f ca="1">IFERROR(__xludf.DUMMYFUNCTION("""COMPUTED_VALUE"""),2306912)</f>
        <v>2306912</v>
      </c>
      <c r="B1220" s="76" t="str">
        <f ca="1">IFERROR(__xludf.DUMMYFUNCTION("""COMPUTED_VALUE"""),"Абрамичева Вера Владимировна")</f>
        <v>Абрамичева Вера Владимировна</v>
      </c>
      <c r="C1220" s="75" t="str">
        <f ca="1">IFERROR(__xludf.DUMMYFUNCTION("""COMPUTED_VALUE"""),"Студент")</f>
        <v>Студент</v>
      </c>
    </row>
    <row r="1221" spans="1:3">
      <c r="A1221" s="76">
        <f ca="1">IFERROR(__xludf.DUMMYFUNCTION("""COMPUTED_VALUE"""),2306920)</f>
        <v>2306920</v>
      </c>
      <c r="B1221" s="76" t="str">
        <f ca="1">IFERROR(__xludf.DUMMYFUNCTION("""COMPUTED_VALUE"""),"Раузер Георгий")</f>
        <v>Раузер Георгий</v>
      </c>
      <c r="C1221" s="75" t="str">
        <f ca="1">IFERROR(__xludf.DUMMYFUNCTION("""COMPUTED_VALUE"""),"Студент")</f>
        <v>Студент</v>
      </c>
    </row>
    <row r="1222" spans="1:3">
      <c r="A1222" s="76">
        <f ca="1">IFERROR(__xludf.DUMMYFUNCTION("""COMPUTED_VALUE"""),2306922)</f>
        <v>2306922</v>
      </c>
      <c r="B1222" s="76" t="str">
        <f ca="1">IFERROR(__xludf.DUMMYFUNCTION("""COMPUTED_VALUE"""),"Филиппов Пётр Олегович")</f>
        <v>Филиппов Пётр Олегович</v>
      </c>
      <c r="C1222" s="75" t="str">
        <f ca="1">IFERROR(__xludf.DUMMYFUNCTION("""COMPUTED_VALUE"""),"Студент")</f>
        <v>Студент</v>
      </c>
    </row>
    <row r="1223" spans="1:3">
      <c r="A1223" s="76">
        <f ca="1">IFERROR(__xludf.DUMMYFUNCTION("""COMPUTED_VALUE"""),2306927)</f>
        <v>2306927</v>
      </c>
      <c r="B1223" s="76" t="str">
        <f ca="1">IFERROR(__xludf.DUMMYFUNCTION("""COMPUTED_VALUE"""),"Ляпустина Ольга Игоревна")</f>
        <v>Ляпустина Ольга Игоревна</v>
      </c>
      <c r="C1223" s="75" t="str">
        <f ca="1">IFERROR(__xludf.DUMMYFUNCTION("""COMPUTED_VALUE"""),"Студент")</f>
        <v>Студент</v>
      </c>
    </row>
    <row r="1224" spans="1:3">
      <c r="A1224" s="76">
        <f ca="1">IFERROR(__xludf.DUMMYFUNCTION("""COMPUTED_VALUE"""),2306929)</f>
        <v>2306929</v>
      </c>
      <c r="B1224" s="76" t="str">
        <f ca="1">IFERROR(__xludf.DUMMYFUNCTION("""COMPUTED_VALUE"""),"Трофимов Платон Васильевич")</f>
        <v>Трофимов Платон Васильевич</v>
      </c>
      <c r="C1224" s="75" t="str">
        <f ca="1">IFERROR(__xludf.DUMMYFUNCTION("""COMPUTED_VALUE"""),"Студент")</f>
        <v>Студент</v>
      </c>
    </row>
    <row r="1225" spans="1:3">
      <c r="A1225" s="76">
        <f ca="1">IFERROR(__xludf.DUMMYFUNCTION("""COMPUTED_VALUE"""),2306930)</f>
        <v>2306930</v>
      </c>
      <c r="B1225" s="76" t="str">
        <f ca="1">IFERROR(__xludf.DUMMYFUNCTION("""COMPUTED_VALUE"""),"Бут Серафима Сергеевна")</f>
        <v>Бут Серафима Сергеевна</v>
      </c>
      <c r="C1225" s="75" t="str">
        <f ca="1">IFERROR(__xludf.DUMMYFUNCTION("""COMPUTED_VALUE"""),"Студент")</f>
        <v>Студент</v>
      </c>
    </row>
    <row r="1226" spans="1:3">
      <c r="A1226" s="76">
        <f ca="1">IFERROR(__xludf.DUMMYFUNCTION("""COMPUTED_VALUE"""),2307028)</f>
        <v>2307028</v>
      </c>
      <c r="B1226" s="76" t="str">
        <f ca="1">IFERROR(__xludf.DUMMYFUNCTION("""COMPUTED_VALUE"""),"Пермякова Анастасия Александровна")</f>
        <v>Пермякова Анастасия Александровна</v>
      </c>
      <c r="C1226" s="75" t="str">
        <f ca="1">IFERROR(__xludf.DUMMYFUNCTION("""COMPUTED_VALUE"""),"Студент")</f>
        <v>Студент</v>
      </c>
    </row>
    <row r="1227" spans="1:3">
      <c r="A1227" s="76">
        <f ca="1">IFERROR(__xludf.DUMMYFUNCTION("""COMPUTED_VALUE"""),2307044)</f>
        <v>2307044</v>
      </c>
      <c r="B1227" s="76" t="str">
        <f ca="1">IFERROR(__xludf.DUMMYFUNCTION("""COMPUTED_VALUE"""),"Костиков Степан Николаевич")</f>
        <v>Костиков Степан Николаевич</v>
      </c>
      <c r="C1227" s="75" t="str">
        <f ca="1">IFERROR(__xludf.DUMMYFUNCTION("""COMPUTED_VALUE"""),"Студент")</f>
        <v>Студент</v>
      </c>
    </row>
    <row r="1228" spans="1:3">
      <c r="A1228" s="76">
        <f ca="1">IFERROR(__xludf.DUMMYFUNCTION("""COMPUTED_VALUE"""),2307047)</f>
        <v>2307047</v>
      </c>
      <c r="B1228" s="76" t="str">
        <f ca="1">IFERROR(__xludf.DUMMYFUNCTION("""COMPUTED_VALUE"""),"Меньков Марк Андреевич")</f>
        <v>Меньков Марк Андреевич</v>
      </c>
      <c r="C1228" s="75" t="str">
        <f ca="1">IFERROR(__xludf.DUMMYFUNCTION("""COMPUTED_VALUE"""),"Студент")</f>
        <v>Студент</v>
      </c>
    </row>
    <row r="1229" spans="1:3">
      <c r="A1229" s="76">
        <f ca="1">IFERROR(__xludf.DUMMYFUNCTION("""COMPUTED_VALUE"""),2307048)</f>
        <v>2307048</v>
      </c>
      <c r="B1229" s="76" t="str">
        <f ca="1">IFERROR(__xludf.DUMMYFUNCTION("""COMPUTED_VALUE"""),"Акрамов Бекзод Акмал угли")</f>
        <v>Акрамов Бекзод Акмал угли</v>
      </c>
      <c r="C1229" s="75" t="str">
        <f ca="1">IFERROR(__xludf.DUMMYFUNCTION("""COMPUTED_VALUE"""),"Студент")</f>
        <v>Студент</v>
      </c>
    </row>
    <row r="1230" spans="1:3">
      <c r="A1230" s="76">
        <f ca="1">IFERROR(__xludf.DUMMYFUNCTION("""COMPUTED_VALUE"""),2307054)</f>
        <v>2307054</v>
      </c>
      <c r="B1230" s="76" t="str">
        <f ca="1">IFERROR(__xludf.DUMMYFUNCTION("""COMPUTED_VALUE"""),"Петрова Виктория Владиславовна")</f>
        <v>Петрова Виктория Владиславовна</v>
      </c>
      <c r="C1230" s="75" t="str">
        <f ca="1">IFERROR(__xludf.DUMMYFUNCTION("""COMPUTED_VALUE"""),"Студент")</f>
        <v>Студент</v>
      </c>
    </row>
    <row r="1231" spans="1:3">
      <c r="A1231" s="76">
        <f ca="1">IFERROR(__xludf.DUMMYFUNCTION("""COMPUTED_VALUE"""),2307056)</f>
        <v>2307056</v>
      </c>
      <c r="B1231" s="76" t="str">
        <f ca="1">IFERROR(__xludf.DUMMYFUNCTION("""COMPUTED_VALUE"""),"Поздеев Михаил Константинович")</f>
        <v>Поздеев Михаил Константинович</v>
      </c>
      <c r="C1231" s="75" t="str">
        <f ca="1">IFERROR(__xludf.DUMMYFUNCTION("""COMPUTED_VALUE"""),"Студент")</f>
        <v>Студент</v>
      </c>
    </row>
    <row r="1232" spans="1:3">
      <c r="A1232" s="76">
        <f ca="1">IFERROR(__xludf.DUMMYFUNCTION("""COMPUTED_VALUE"""),2307057)</f>
        <v>2307057</v>
      </c>
      <c r="B1232" s="76" t="str">
        <f ca="1">IFERROR(__xludf.DUMMYFUNCTION("""COMPUTED_VALUE"""),"Осокин Алексей Алексеевич")</f>
        <v>Осокин Алексей Алексеевич</v>
      </c>
      <c r="C1232" s="75" t="str">
        <f ca="1">IFERROR(__xludf.DUMMYFUNCTION("""COMPUTED_VALUE"""),"Студент")</f>
        <v>Студент</v>
      </c>
    </row>
    <row r="1233" spans="1:3">
      <c r="A1233" s="76">
        <f ca="1">IFERROR(__xludf.DUMMYFUNCTION("""COMPUTED_VALUE"""),2307081)</f>
        <v>2307081</v>
      </c>
      <c r="B1233" s="76" t="str">
        <f ca="1">IFERROR(__xludf.DUMMYFUNCTION("""COMPUTED_VALUE"""),"Иванова Анна Романовна")</f>
        <v>Иванова Анна Романовна</v>
      </c>
      <c r="C1233" s="75" t="str">
        <f ca="1">IFERROR(__xludf.DUMMYFUNCTION("""COMPUTED_VALUE"""),"Студент")</f>
        <v>Студент</v>
      </c>
    </row>
    <row r="1234" spans="1:3">
      <c r="A1234" s="76">
        <f ca="1">IFERROR(__xludf.DUMMYFUNCTION("""COMPUTED_VALUE"""),2307100)</f>
        <v>2307100</v>
      </c>
      <c r="B1234" s="76" t="str">
        <f ca="1">IFERROR(__xludf.DUMMYFUNCTION("""COMPUTED_VALUE"""),"Вынту Кристиан")</f>
        <v>Вынту Кристиан</v>
      </c>
      <c r="C1234" s="75" t="str">
        <f ca="1">IFERROR(__xludf.DUMMYFUNCTION("""COMPUTED_VALUE"""),"Студент")</f>
        <v>Студент</v>
      </c>
    </row>
    <row r="1235" spans="1:3">
      <c r="A1235" s="76">
        <f ca="1">IFERROR(__xludf.DUMMYFUNCTION("""COMPUTED_VALUE"""),2307102)</f>
        <v>2307102</v>
      </c>
      <c r="B1235" s="76" t="str">
        <f ca="1">IFERROR(__xludf.DUMMYFUNCTION("""COMPUTED_VALUE"""),"Селезнева Алиса Константиновна")</f>
        <v>Селезнева Алиса Константиновна</v>
      </c>
      <c r="C1235" s="75" t="str">
        <f ca="1">IFERROR(__xludf.DUMMYFUNCTION("""COMPUTED_VALUE"""),"Студент")</f>
        <v>Студент</v>
      </c>
    </row>
    <row r="1236" spans="1:3">
      <c r="A1236" s="76">
        <f ca="1">IFERROR(__xludf.DUMMYFUNCTION("""COMPUTED_VALUE"""),2307124)</f>
        <v>2307124</v>
      </c>
      <c r="B1236" s="76" t="str">
        <f ca="1">IFERROR(__xludf.DUMMYFUNCTION("""COMPUTED_VALUE"""),"Ткачева Елизавета Евгеньевна")</f>
        <v>Ткачева Елизавета Евгеньевна</v>
      </c>
      <c r="C1236" s="75" t="str">
        <f ca="1">IFERROR(__xludf.DUMMYFUNCTION("""COMPUTED_VALUE"""),"Студент")</f>
        <v>Студент</v>
      </c>
    </row>
    <row r="1237" spans="1:3">
      <c r="A1237" s="76">
        <f ca="1">IFERROR(__xludf.DUMMYFUNCTION("""COMPUTED_VALUE"""),2307125)</f>
        <v>2307125</v>
      </c>
      <c r="B1237" s="76" t="str">
        <f ca="1">IFERROR(__xludf.DUMMYFUNCTION("""COMPUTED_VALUE"""),"Вавилов Сергей Михайлович")</f>
        <v>Вавилов Сергей Михайлович</v>
      </c>
      <c r="C1237" s="75" t="str">
        <f ca="1">IFERROR(__xludf.DUMMYFUNCTION("""COMPUTED_VALUE"""),"Студент")</f>
        <v>Студент</v>
      </c>
    </row>
    <row r="1238" spans="1:3">
      <c r="A1238" s="76">
        <f ca="1">IFERROR(__xludf.DUMMYFUNCTION("""COMPUTED_VALUE"""),2307127)</f>
        <v>2307127</v>
      </c>
      <c r="B1238" s="76" t="str">
        <f ca="1">IFERROR(__xludf.DUMMYFUNCTION("""COMPUTED_VALUE"""),"Воронов Виктор Андреевич")</f>
        <v>Воронов Виктор Андреевич</v>
      </c>
      <c r="C1238" s="75" t="str">
        <f ca="1">IFERROR(__xludf.DUMMYFUNCTION("""COMPUTED_VALUE"""),"Студент")</f>
        <v>Студент</v>
      </c>
    </row>
    <row r="1239" spans="1:3">
      <c r="A1239" s="76">
        <f ca="1">IFERROR(__xludf.DUMMYFUNCTION("""COMPUTED_VALUE"""),2307138)</f>
        <v>2307138</v>
      </c>
      <c r="B1239" s="76" t="str">
        <f ca="1">IFERROR(__xludf.DUMMYFUNCTION("""COMPUTED_VALUE"""),"Шульга Владимир Александрович")</f>
        <v>Шульга Владимир Александрович</v>
      </c>
      <c r="C1239" s="75" t="str">
        <f ca="1">IFERROR(__xludf.DUMMYFUNCTION("""COMPUTED_VALUE"""),"Студент")</f>
        <v>Студент</v>
      </c>
    </row>
    <row r="1240" spans="1:3">
      <c r="A1240" s="76">
        <f ca="1">IFERROR(__xludf.DUMMYFUNCTION("""COMPUTED_VALUE"""),2307146)</f>
        <v>2307146</v>
      </c>
      <c r="B1240" s="76" t="str">
        <f ca="1">IFERROR(__xludf.DUMMYFUNCTION("""COMPUTED_VALUE"""),"Климов Илья Сергеевич")</f>
        <v>Климов Илья Сергеевич</v>
      </c>
      <c r="C1240" s="75" t="str">
        <f ca="1">IFERROR(__xludf.DUMMYFUNCTION("""COMPUTED_VALUE"""),"Студент")</f>
        <v>Студент</v>
      </c>
    </row>
    <row r="1241" spans="1:3">
      <c r="A1241" s="76">
        <f ca="1">IFERROR(__xludf.DUMMYFUNCTION("""COMPUTED_VALUE"""),2307155)</f>
        <v>2307155</v>
      </c>
      <c r="B1241" s="76" t="str">
        <f ca="1">IFERROR(__xludf.DUMMYFUNCTION("""COMPUTED_VALUE"""),"Алиева Нелли Вахидовна")</f>
        <v>Алиева Нелли Вахидовна</v>
      </c>
      <c r="C1241" s="75" t="str">
        <f ca="1">IFERROR(__xludf.DUMMYFUNCTION("""COMPUTED_VALUE"""),"Студент")</f>
        <v>Студент</v>
      </c>
    </row>
    <row r="1242" spans="1:3">
      <c r="A1242" s="76">
        <f ca="1">IFERROR(__xludf.DUMMYFUNCTION("""COMPUTED_VALUE"""),2307169)</f>
        <v>2307169</v>
      </c>
      <c r="B1242" s="76" t="str">
        <f ca="1">IFERROR(__xludf.DUMMYFUNCTION("""COMPUTED_VALUE"""),"Дустмуродов Ёкубджон Искандарович")</f>
        <v>Дустмуродов Ёкубджон Искандарович</v>
      </c>
      <c r="C1242" s="75" t="str">
        <f ca="1">IFERROR(__xludf.DUMMYFUNCTION("""COMPUTED_VALUE"""),"Студент")</f>
        <v>Студент</v>
      </c>
    </row>
    <row r="1243" spans="1:3">
      <c r="A1243" s="76">
        <f ca="1">IFERROR(__xludf.DUMMYFUNCTION("""COMPUTED_VALUE"""),2307172)</f>
        <v>2307172</v>
      </c>
      <c r="B1243" s="76" t="str">
        <f ca="1">IFERROR(__xludf.DUMMYFUNCTION("""COMPUTED_VALUE"""),"Абрамов Сергей Александрович")</f>
        <v>Абрамов Сергей Александрович</v>
      </c>
      <c r="C1243" s="75" t="str">
        <f ca="1">IFERROR(__xludf.DUMMYFUNCTION("""COMPUTED_VALUE"""),"Студент")</f>
        <v>Студент</v>
      </c>
    </row>
    <row r="1244" spans="1:3">
      <c r="A1244" s="76">
        <f ca="1">IFERROR(__xludf.DUMMYFUNCTION("""COMPUTED_VALUE"""),2307173)</f>
        <v>2307173</v>
      </c>
      <c r="B1244" s="76" t="str">
        <f ca="1">IFERROR(__xludf.DUMMYFUNCTION("""COMPUTED_VALUE"""),"Санарова Дарья")</f>
        <v>Санарова Дарья</v>
      </c>
      <c r="C1244" s="75" t="str">
        <f ca="1">IFERROR(__xludf.DUMMYFUNCTION("""COMPUTED_VALUE"""),"Студент")</f>
        <v>Студент</v>
      </c>
    </row>
    <row r="1245" spans="1:3">
      <c r="A1245" s="76">
        <f ca="1">IFERROR(__xludf.DUMMYFUNCTION("""COMPUTED_VALUE"""),2307183)</f>
        <v>2307183</v>
      </c>
      <c r="B1245" s="76" t="str">
        <f ca="1">IFERROR(__xludf.DUMMYFUNCTION("""COMPUTED_VALUE"""),"Дыжин Федор Денисович")</f>
        <v>Дыжин Федор Денисович</v>
      </c>
      <c r="C1245" s="75" t="str">
        <f ca="1">IFERROR(__xludf.DUMMYFUNCTION("""COMPUTED_VALUE"""),"Студент")</f>
        <v>Студент</v>
      </c>
    </row>
    <row r="1246" spans="1:3">
      <c r="A1246" s="76">
        <f ca="1">IFERROR(__xludf.DUMMYFUNCTION("""COMPUTED_VALUE"""),2307189)</f>
        <v>2307189</v>
      </c>
      <c r="B1246" s="76" t="str">
        <f ca="1">IFERROR(__xludf.DUMMYFUNCTION("""COMPUTED_VALUE"""),"Коноплянников Дмитрий Александрович")</f>
        <v>Коноплянников Дмитрий Александрович</v>
      </c>
      <c r="C1246" s="75" t="str">
        <f ca="1">IFERROR(__xludf.DUMMYFUNCTION("""COMPUTED_VALUE"""),"Студент")</f>
        <v>Студент</v>
      </c>
    </row>
    <row r="1247" spans="1:3">
      <c r="A1247" s="76">
        <f ca="1">IFERROR(__xludf.DUMMYFUNCTION("""COMPUTED_VALUE"""),2307192)</f>
        <v>2307192</v>
      </c>
      <c r="B1247" s="76" t="str">
        <f ca="1">IFERROR(__xludf.DUMMYFUNCTION("""COMPUTED_VALUE"""),"Маненкова Анна Юрьевна")</f>
        <v>Маненкова Анна Юрьевна</v>
      </c>
      <c r="C1247" s="75" t="str">
        <f ca="1">IFERROR(__xludf.DUMMYFUNCTION("""COMPUTED_VALUE"""),"Студент")</f>
        <v>Студент</v>
      </c>
    </row>
    <row r="1248" spans="1:3">
      <c r="A1248" s="76">
        <f ca="1">IFERROR(__xludf.DUMMYFUNCTION("""COMPUTED_VALUE"""),2307197)</f>
        <v>2307197</v>
      </c>
      <c r="B1248" s="76" t="str">
        <f ca="1">IFERROR(__xludf.DUMMYFUNCTION("""COMPUTED_VALUE"""),"Москаленко Полина Сергеевна")</f>
        <v>Москаленко Полина Сергеевна</v>
      </c>
      <c r="C1248" s="75" t="str">
        <f ca="1">IFERROR(__xludf.DUMMYFUNCTION("""COMPUTED_VALUE"""),"Студент")</f>
        <v>Студент</v>
      </c>
    </row>
    <row r="1249" spans="1:3">
      <c r="A1249" s="76">
        <f ca="1">IFERROR(__xludf.DUMMYFUNCTION("""COMPUTED_VALUE"""),2307203)</f>
        <v>2307203</v>
      </c>
      <c r="B1249" s="76" t="str">
        <f ca="1">IFERROR(__xludf.DUMMYFUNCTION("""COMPUTED_VALUE"""),"Мухтаров Тимур Сергеевич")</f>
        <v>Мухтаров Тимур Сергеевич</v>
      </c>
      <c r="C1249" s="75" t="str">
        <f ca="1">IFERROR(__xludf.DUMMYFUNCTION("""COMPUTED_VALUE"""),"Студент")</f>
        <v>Студент</v>
      </c>
    </row>
    <row r="1250" spans="1:3">
      <c r="A1250" s="76">
        <f ca="1">IFERROR(__xludf.DUMMYFUNCTION("""COMPUTED_VALUE"""),2307205)</f>
        <v>2307205</v>
      </c>
      <c r="B1250" s="76" t="str">
        <f ca="1">IFERROR(__xludf.DUMMYFUNCTION("""COMPUTED_VALUE"""),"Чернышов Илья Александрович")</f>
        <v>Чернышов Илья Александрович</v>
      </c>
      <c r="C1250" s="75" t="str">
        <f ca="1">IFERROR(__xludf.DUMMYFUNCTION("""COMPUTED_VALUE"""),"Студент")</f>
        <v>Студент</v>
      </c>
    </row>
    <row r="1251" spans="1:3">
      <c r="A1251" s="76">
        <f ca="1">IFERROR(__xludf.DUMMYFUNCTION("""COMPUTED_VALUE"""),2307207)</f>
        <v>2307207</v>
      </c>
      <c r="B1251" s="76" t="str">
        <f ca="1">IFERROR(__xludf.DUMMYFUNCTION("""COMPUTED_VALUE"""),"Добрынин Леон Артемович")</f>
        <v>Добрынин Леон Артемович</v>
      </c>
      <c r="C1251" s="75" t="str">
        <f ca="1">IFERROR(__xludf.DUMMYFUNCTION("""COMPUTED_VALUE"""),"Студент")</f>
        <v>Студент</v>
      </c>
    </row>
    <row r="1252" spans="1:3">
      <c r="A1252" s="76">
        <f ca="1">IFERROR(__xludf.DUMMYFUNCTION("""COMPUTED_VALUE"""),2307217)</f>
        <v>2307217</v>
      </c>
      <c r="B1252" s="76" t="str">
        <f ca="1">IFERROR(__xludf.DUMMYFUNCTION("""COMPUTED_VALUE"""),"Вереникин Михаил Алексеевич")</f>
        <v>Вереникин Михаил Алексеевич</v>
      </c>
      <c r="C1252" s="75" t="str">
        <f ca="1">IFERROR(__xludf.DUMMYFUNCTION("""COMPUTED_VALUE"""),"Аспирант")</f>
        <v>Аспирант</v>
      </c>
    </row>
    <row r="1253" spans="1:3">
      <c r="A1253" s="76">
        <f ca="1">IFERROR(__xludf.DUMMYFUNCTION("""COMPUTED_VALUE"""),2307225)</f>
        <v>2307225</v>
      </c>
      <c r="B1253" s="76" t="str">
        <f ca="1">IFERROR(__xludf.DUMMYFUNCTION("""COMPUTED_VALUE"""),"Али Альтохами Камаладин Эльтохани")</f>
        <v>Али Альтохами Камаладин Эльтохани</v>
      </c>
      <c r="C1253" s="75" t="str">
        <f ca="1">IFERROR(__xludf.DUMMYFUNCTION("""COMPUTED_VALUE"""),"Студент")</f>
        <v>Студент</v>
      </c>
    </row>
    <row r="1254" spans="1:3">
      <c r="A1254" s="76">
        <f ca="1">IFERROR(__xludf.DUMMYFUNCTION("""COMPUTED_VALUE"""),2307228)</f>
        <v>2307228</v>
      </c>
      <c r="B1254" s="76" t="str">
        <f ca="1">IFERROR(__xludf.DUMMYFUNCTION("""COMPUTED_VALUE"""),"Кривулько Федор Алексеевич")</f>
        <v>Кривулько Федор Алексеевич</v>
      </c>
      <c r="C1254" s="75" t="str">
        <f ca="1">IFERROR(__xludf.DUMMYFUNCTION("""COMPUTED_VALUE"""),"Студент")</f>
        <v>Студент</v>
      </c>
    </row>
    <row r="1255" spans="1:3">
      <c r="A1255" s="76">
        <f ca="1">IFERROR(__xludf.DUMMYFUNCTION("""COMPUTED_VALUE"""),2307229)</f>
        <v>2307229</v>
      </c>
      <c r="B1255" s="76" t="str">
        <f ca="1">IFERROR(__xludf.DUMMYFUNCTION("""COMPUTED_VALUE"""),"Данилова Елизавета Игоревна")</f>
        <v>Данилова Елизавета Игоревна</v>
      </c>
      <c r="C1255" s="75" t="str">
        <f ca="1">IFERROR(__xludf.DUMMYFUNCTION("""COMPUTED_VALUE"""),"Студент")</f>
        <v>Студент</v>
      </c>
    </row>
    <row r="1256" spans="1:3">
      <c r="A1256" s="76">
        <f ca="1">IFERROR(__xludf.DUMMYFUNCTION("""COMPUTED_VALUE"""),2307238)</f>
        <v>2307238</v>
      </c>
      <c r="B1256" s="76" t="str">
        <f ca="1">IFERROR(__xludf.DUMMYFUNCTION("""COMPUTED_VALUE"""),"Фёдорова Кристина Николаевна")</f>
        <v>Фёдорова Кристина Николаевна</v>
      </c>
      <c r="C1256" s="75" t="str">
        <f ca="1">IFERROR(__xludf.DUMMYFUNCTION("""COMPUTED_VALUE"""),"Студент")</f>
        <v>Студент</v>
      </c>
    </row>
    <row r="1257" spans="1:3">
      <c r="A1257" s="76">
        <f ca="1">IFERROR(__xludf.DUMMYFUNCTION("""COMPUTED_VALUE"""),2307240)</f>
        <v>2307240</v>
      </c>
      <c r="B1257" s="76" t="str">
        <f ca="1">IFERROR(__xludf.DUMMYFUNCTION("""COMPUTED_VALUE"""),"Козырев Максим Вячеславович")</f>
        <v>Козырев Максим Вячеславович</v>
      </c>
      <c r="C1257" s="75" t="str">
        <f ca="1">IFERROR(__xludf.DUMMYFUNCTION("""COMPUTED_VALUE"""),"Студент")</f>
        <v>Студент</v>
      </c>
    </row>
    <row r="1258" spans="1:3">
      <c r="A1258" s="76">
        <f ca="1">IFERROR(__xludf.DUMMYFUNCTION("""COMPUTED_VALUE"""),2307256)</f>
        <v>2307256</v>
      </c>
      <c r="B1258" s="76" t="str">
        <f ca="1">IFERROR(__xludf.DUMMYFUNCTION("""COMPUTED_VALUE"""),"Юнусова Жасмин Дмитриевна")</f>
        <v>Юнусова Жасмин Дмитриевна</v>
      </c>
      <c r="C1258" s="75" t="str">
        <f ca="1">IFERROR(__xludf.DUMMYFUNCTION("""COMPUTED_VALUE"""),"Студент")</f>
        <v>Студент</v>
      </c>
    </row>
    <row r="1259" spans="1:3">
      <c r="A1259" s="76">
        <f ca="1">IFERROR(__xludf.DUMMYFUNCTION("""COMPUTED_VALUE"""),2307257)</f>
        <v>2307257</v>
      </c>
      <c r="B1259" s="76" t="str">
        <f ca="1">IFERROR(__xludf.DUMMYFUNCTION("""COMPUTED_VALUE"""),"Хайдукова Мария Игоревна")</f>
        <v>Хайдукова Мария Игоревна</v>
      </c>
      <c r="C1259" s="75" t="str">
        <f ca="1">IFERROR(__xludf.DUMMYFUNCTION("""COMPUTED_VALUE"""),"Студент")</f>
        <v>Студент</v>
      </c>
    </row>
    <row r="1260" spans="1:3">
      <c r="A1260" s="76">
        <f ca="1">IFERROR(__xludf.DUMMYFUNCTION("""COMPUTED_VALUE"""),2307259)</f>
        <v>2307259</v>
      </c>
      <c r="B1260" s="76" t="str">
        <f ca="1">IFERROR(__xludf.DUMMYFUNCTION("""COMPUTED_VALUE"""),"Канищева Мария Александровна")</f>
        <v>Канищева Мария Александровна</v>
      </c>
      <c r="C1260" s="75" t="str">
        <f ca="1">IFERROR(__xludf.DUMMYFUNCTION("""COMPUTED_VALUE"""),"Студент")</f>
        <v>Студент</v>
      </c>
    </row>
    <row r="1261" spans="1:3">
      <c r="A1261" s="76">
        <f ca="1">IFERROR(__xludf.DUMMYFUNCTION("""COMPUTED_VALUE"""),2307260)</f>
        <v>2307260</v>
      </c>
      <c r="B1261" s="76" t="str">
        <f ca="1">IFERROR(__xludf.DUMMYFUNCTION("""COMPUTED_VALUE"""),"Теркулов Дмитрий Аделевич")</f>
        <v>Теркулов Дмитрий Аделевич</v>
      </c>
      <c r="C1261" s="75" t="str">
        <f ca="1">IFERROR(__xludf.DUMMYFUNCTION("""COMPUTED_VALUE"""),"Студент")</f>
        <v>Студент</v>
      </c>
    </row>
    <row r="1262" spans="1:3">
      <c r="A1262" s="76">
        <f ca="1">IFERROR(__xludf.DUMMYFUNCTION("""COMPUTED_VALUE"""),2307270)</f>
        <v>2307270</v>
      </c>
      <c r="B1262" s="76" t="str">
        <f ca="1">IFERROR(__xludf.DUMMYFUNCTION("""COMPUTED_VALUE"""),"Тураев Денис Дмитриевич")</f>
        <v>Тураев Денис Дмитриевич</v>
      </c>
      <c r="C1262" s="75" t="str">
        <f ca="1">IFERROR(__xludf.DUMMYFUNCTION("""COMPUTED_VALUE"""),"Студент")</f>
        <v>Студент</v>
      </c>
    </row>
    <row r="1263" spans="1:3">
      <c r="A1263" s="76">
        <f ca="1">IFERROR(__xludf.DUMMYFUNCTION("""COMPUTED_VALUE"""),2307282)</f>
        <v>2307282</v>
      </c>
      <c r="B1263" s="76" t="str">
        <f ca="1">IFERROR(__xludf.DUMMYFUNCTION("""COMPUTED_VALUE"""),"Сямиуллин Рамил Вафинович")</f>
        <v>Сямиуллин Рамил Вафинович</v>
      </c>
      <c r="C1263" s="75" t="str">
        <f ca="1">IFERROR(__xludf.DUMMYFUNCTION("""COMPUTED_VALUE"""),"Студент")</f>
        <v>Студент</v>
      </c>
    </row>
    <row r="1264" spans="1:3">
      <c r="A1264" s="76">
        <f ca="1">IFERROR(__xludf.DUMMYFUNCTION("""COMPUTED_VALUE"""),2307292)</f>
        <v>2307292</v>
      </c>
      <c r="B1264" s="76" t="str">
        <f ca="1">IFERROR(__xludf.DUMMYFUNCTION("""COMPUTED_VALUE"""),"Чеботарь Иван Сергеевич")</f>
        <v>Чеботарь Иван Сергеевич</v>
      </c>
      <c r="C1264" s="75" t="str">
        <f ca="1">IFERROR(__xludf.DUMMYFUNCTION("""COMPUTED_VALUE"""),"Студент")</f>
        <v>Студент</v>
      </c>
    </row>
    <row r="1265" spans="1:3">
      <c r="A1265" s="76">
        <f ca="1">IFERROR(__xludf.DUMMYFUNCTION("""COMPUTED_VALUE"""),2307308)</f>
        <v>2307308</v>
      </c>
      <c r="B1265" s="76" t="str">
        <f ca="1">IFERROR(__xludf.DUMMYFUNCTION("""COMPUTED_VALUE"""),"Лунчев Артём Игоревич")</f>
        <v>Лунчев Артём Игоревич</v>
      </c>
      <c r="C1265" s="75" t="str">
        <f ca="1">IFERROR(__xludf.DUMMYFUNCTION("""COMPUTED_VALUE"""),"Студент")</f>
        <v>Студент</v>
      </c>
    </row>
    <row r="1266" spans="1:3">
      <c r="A1266" s="76">
        <f ca="1">IFERROR(__xludf.DUMMYFUNCTION("""COMPUTED_VALUE"""),2307328)</f>
        <v>2307328</v>
      </c>
      <c r="B1266" s="76" t="str">
        <f ca="1">IFERROR(__xludf.DUMMYFUNCTION("""COMPUTED_VALUE"""),"Рафикова Алина Ринатовна")</f>
        <v>Рафикова Алина Ринатовна</v>
      </c>
      <c r="C1266" s="75" t="str">
        <f ca="1">IFERROR(__xludf.DUMMYFUNCTION("""COMPUTED_VALUE"""),"Студент")</f>
        <v>Студент</v>
      </c>
    </row>
    <row r="1267" spans="1:3">
      <c r="A1267" s="76">
        <f ca="1">IFERROR(__xludf.DUMMYFUNCTION("""COMPUTED_VALUE"""),2307342)</f>
        <v>2307342</v>
      </c>
      <c r="B1267" s="76" t="str">
        <f ca="1">IFERROR(__xludf.DUMMYFUNCTION("""COMPUTED_VALUE"""),"Амеличкина Софья Алексеевна")</f>
        <v>Амеличкина Софья Алексеевна</v>
      </c>
      <c r="C1267" s="75" t="str">
        <f ca="1">IFERROR(__xludf.DUMMYFUNCTION("""COMPUTED_VALUE"""),"Студент")</f>
        <v>Студент</v>
      </c>
    </row>
    <row r="1268" spans="1:3">
      <c r="A1268" s="76">
        <f ca="1">IFERROR(__xludf.DUMMYFUNCTION("""COMPUTED_VALUE"""),2307356)</f>
        <v>2307356</v>
      </c>
      <c r="B1268" s="76" t="str">
        <f ca="1">IFERROR(__xludf.DUMMYFUNCTION("""COMPUTED_VALUE"""),"Гнатюк Олеся Дмитриевна")</f>
        <v>Гнатюк Олеся Дмитриевна</v>
      </c>
      <c r="C1268" s="75" t="str">
        <f ca="1">IFERROR(__xludf.DUMMYFUNCTION("""COMPUTED_VALUE"""),"Студент")</f>
        <v>Студент</v>
      </c>
    </row>
    <row r="1269" spans="1:3">
      <c r="A1269" s="76">
        <f ca="1">IFERROR(__xludf.DUMMYFUNCTION("""COMPUTED_VALUE"""),2307358)</f>
        <v>2307358</v>
      </c>
      <c r="B1269" s="76" t="str">
        <f ca="1">IFERROR(__xludf.DUMMYFUNCTION("""COMPUTED_VALUE"""),"Фадеев Александр Юрьевич")</f>
        <v>Фадеев Александр Юрьевич</v>
      </c>
      <c r="C1269" s="75" t="str">
        <f ca="1">IFERROR(__xludf.DUMMYFUNCTION("""COMPUTED_VALUE"""),"Аспирант")</f>
        <v>Аспирант</v>
      </c>
    </row>
    <row r="1270" spans="1:3">
      <c r="A1270" s="76">
        <f ca="1">IFERROR(__xludf.DUMMYFUNCTION("""COMPUTED_VALUE"""),2307366)</f>
        <v>2307366</v>
      </c>
      <c r="B1270" s="76" t="str">
        <f ca="1">IFERROR(__xludf.DUMMYFUNCTION("""COMPUTED_VALUE"""),"Тычинин Андрей Алексеевич")</f>
        <v>Тычинин Андрей Алексеевич</v>
      </c>
      <c r="C1270" s="75" t="str">
        <f ca="1">IFERROR(__xludf.DUMMYFUNCTION("""COMPUTED_VALUE"""),"Студент")</f>
        <v>Студент</v>
      </c>
    </row>
    <row r="1271" spans="1:3">
      <c r="A1271" s="76">
        <f ca="1">IFERROR(__xludf.DUMMYFUNCTION("""COMPUTED_VALUE"""),2307376)</f>
        <v>2307376</v>
      </c>
      <c r="B1271" s="76" t="str">
        <f ca="1">IFERROR(__xludf.DUMMYFUNCTION("""COMPUTED_VALUE"""),"Дементьев Александр Сергеевич")</f>
        <v>Дементьев Александр Сергеевич</v>
      </c>
      <c r="C1271" s="75" t="str">
        <f ca="1">IFERROR(__xludf.DUMMYFUNCTION("""COMPUTED_VALUE"""),"Студент")</f>
        <v>Студент</v>
      </c>
    </row>
    <row r="1272" spans="1:3">
      <c r="A1272" s="76">
        <f ca="1">IFERROR(__xludf.DUMMYFUNCTION("""COMPUTED_VALUE"""),2307382)</f>
        <v>2307382</v>
      </c>
      <c r="B1272" s="76" t="str">
        <f ca="1">IFERROR(__xludf.DUMMYFUNCTION("""COMPUTED_VALUE"""),"Толстов Артём Вадимович")</f>
        <v>Толстов Артём Вадимович</v>
      </c>
      <c r="C1272" s="75" t="str">
        <f ca="1">IFERROR(__xludf.DUMMYFUNCTION("""COMPUTED_VALUE"""),"Студент")</f>
        <v>Студент</v>
      </c>
    </row>
    <row r="1273" spans="1:3">
      <c r="A1273" s="76">
        <f ca="1">IFERROR(__xludf.DUMMYFUNCTION("""COMPUTED_VALUE"""),2307384)</f>
        <v>2307384</v>
      </c>
      <c r="B1273" s="76" t="str">
        <f ca="1">IFERROR(__xludf.DUMMYFUNCTION("""COMPUTED_VALUE"""),"Дройский Евгений Денисович")</f>
        <v>Дройский Евгений Денисович</v>
      </c>
      <c r="C1273" s="75" t="str">
        <f ca="1">IFERROR(__xludf.DUMMYFUNCTION("""COMPUTED_VALUE"""),"Студент")</f>
        <v>Студент</v>
      </c>
    </row>
    <row r="1274" spans="1:3">
      <c r="A1274" s="76">
        <f ca="1">IFERROR(__xludf.DUMMYFUNCTION("""COMPUTED_VALUE"""),2307406)</f>
        <v>2307406</v>
      </c>
      <c r="B1274" s="76" t="str">
        <f ca="1">IFERROR(__xludf.DUMMYFUNCTION("""COMPUTED_VALUE"""),"Муромцев Александр Александрович")</f>
        <v>Муромцев Александр Александрович</v>
      </c>
      <c r="C1274" s="75" t="str">
        <f ca="1">IFERROR(__xludf.DUMMYFUNCTION("""COMPUTED_VALUE"""),"Студент")</f>
        <v>Студент</v>
      </c>
    </row>
    <row r="1275" spans="1:3">
      <c r="A1275" s="76">
        <f ca="1">IFERROR(__xludf.DUMMYFUNCTION("""COMPUTED_VALUE"""),2307412)</f>
        <v>2307412</v>
      </c>
      <c r="B1275" s="76" t="str">
        <f ca="1">IFERROR(__xludf.DUMMYFUNCTION("""COMPUTED_VALUE"""),"Ермак Никита Артёмович")</f>
        <v>Ермак Никита Артёмович</v>
      </c>
      <c r="C1275" s="75" t="str">
        <f ca="1">IFERROR(__xludf.DUMMYFUNCTION("""COMPUTED_VALUE"""),"Студент")</f>
        <v>Студент</v>
      </c>
    </row>
    <row r="1276" spans="1:3">
      <c r="A1276" s="76">
        <f ca="1">IFERROR(__xludf.DUMMYFUNCTION("""COMPUTED_VALUE"""),2307431)</f>
        <v>2307431</v>
      </c>
      <c r="B1276" s="76" t="str">
        <f ca="1">IFERROR(__xludf.DUMMYFUNCTION("""COMPUTED_VALUE"""),"Мулык Дарья Николаевна")</f>
        <v>Мулык Дарья Николаевна</v>
      </c>
      <c r="C1276" s="75" t="str">
        <f ca="1">IFERROR(__xludf.DUMMYFUNCTION("""COMPUTED_VALUE"""),"Студент")</f>
        <v>Студент</v>
      </c>
    </row>
    <row r="1277" spans="1:3">
      <c r="A1277" s="76">
        <f ca="1">IFERROR(__xludf.DUMMYFUNCTION("""COMPUTED_VALUE"""),2307442)</f>
        <v>2307442</v>
      </c>
      <c r="B1277" s="76" t="str">
        <f ca="1">IFERROR(__xludf.DUMMYFUNCTION("""COMPUTED_VALUE"""),"Соколов Сергей Андреевич")</f>
        <v>Соколов Сергей Андреевич</v>
      </c>
      <c r="C1277" s="75" t="str">
        <f ca="1">IFERROR(__xludf.DUMMYFUNCTION("""COMPUTED_VALUE"""),"Студент")</f>
        <v>Студент</v>
      </c>
    </row>
    <row r="1278" spans="1:3">
      <c r="A1278" s="76">
        <f ca="1">IFERROR(__xludf.DUMMYFUNCTION("""COMPUTED_VALUE"""),2307447)</f>
        <v>2307447</v>
      </c>
      <c r="B1278" s="76" t="str">
        <f ca="1">IFERROR(__xludf.DUMMYFUNCTION("""COMPUTED_VALUE"""),"Броскин Дмитрий Олегович")</f>
        <v>Броскин Дмитрий Олегович</v>
      </c>
      <c r="C1278" s="75" t="str">
        <f ca="1">IFERROR(__xludf.DUMMYFUNCTION("""COMPUTED_VALUE"""),"Студент")</f>
        <v>Студент</v>
      </c>
    </row>
    <row r="1279" spans="1:3">
      <c r="A1279" s="76">
        <f ca="1">IFERROR(__xludf.DUMMYFUNCTION("""COMPUTED_VALUE"""),2307451)</f>
        <v>2307451</v>
      </c>
      <c r="B1279" s="76" t="str">
        <f ca="1">IFERROR(__xludf.DUMMYFUNCTION("""COMPUTED_VALUE"""),"Бабуридис Айк Гаспарович")</f>
        <v>Бабуридис Айк Гаспарович</v>
      </c>
      <c r="C1279" s="75" t="str">
        <f ca="1">IFERROR(__xludf.DUMMYFUNCTION("""COMPUTED_VALUE"""),"Студент")</f>
        <v>Студент</v>
      </c>
    </row>
    <row r="1280" spans="1:3">
      <c r="A1280" s="76">
        <f ca="1">IFERROR(__xludf.DUMMYFUNCTION("""COMPUTED_VALUE"""),2307455)</f>
        <v>2307455</v>
      </c>
      <c r="B1280" s="76" t="str">
        <f ca="1">IFERROR(__xludf.DUMMYFUNCTION("""COMPUTED_VALUE"""),"Хуснуллин Руслан Алексеевич")</f>
        <v>Хуснуллин Руслан Алексеевич</v>
      </c>
      <c r="C1280" s="75" t="str">
        <f ca="1">IFERROR(__xludf.DUMMYFUNCTION("""COMPUTED_VALUE"""),"Студент")</f>
        <v>Студент</v>
      </c>
    </row>
    <row r="1281" spans="1:3">
      <c r="A1281" s="76">
        <f ca="1">IFERROR(__xludf.DUMMYFUNCTION("""COMPUTED_VALUE"""),2307464)</f>
        <v>2307464</v>
      </c>
      <c r="B1281" s="76" t="str">
        <f ca="1">IFERROR(__xludf.DUMMYFUNCTION("""COMPUTED_VALUE"""),"Пулова Дарья Дмитриевна")</f>
        <v>Пулова Дарья Дмитриевна</v>
      </c>
      <c r="C1281" s="75" t="str">
        <f ca="1">IFERROR(__xludf.DUMMYFUNCTION("""COMPUTED_VALUE"""),"Студент")</f>
        <v>Студент</v>
      </c>
    </row>
    <row r="1282" spans="1:3">
      <c r="A1282" s="76">
        <f ca="1">IFERROR(__xludf.DUMMYFUNCTION("""COMPUTED_VALUE"""),2307467)</f>
        <v>2307467</v>
      </c>
      <c r="B1282" s="76" t="str">
        <f ca="1">IFERROR(__xludf.DUMMYFUNCTION("""COMPUTED_VALUE"""),"Берякин Илья Сергеевич")</f>
        <v>Берякин Илья Сергеевич</v>
      </c>
      <c r="C1282" s="75" t="str">
        <f ca="1">IFERROR(__xludf.DUMMYFUNCTION("""COMPUTED_VALUE"""),"Студент")</f>
        <v>Студент</v>
      </c>
    </row>
    <row r="1283" spans="1:3">
      <c r="A1283" s="76">
        <f ca="1">IFERROR(__xludf.DUMMYFUNCTION("""COMPUTED_VALUE"""),2307473)</f>
        <v>2307473</v>
      </c>
      <c r="B1283" s="76" t="str">
        <f ca="1">IFERROR(__xludf.DUMMYFUNCTION("""COMPUTED_VALUE"""),"Евсеев Андрей Алексеевич")</f>
        <v>Евсеев Андрей Алексеевич</v>
      </c>
      <c r="C1283" s="75" t="str">
        <f ca="1">IFERROR(__xludf.DUMMYFUNCTION("""COMPUTED_VALUE"""),"Студент")</f>
        <v>Студент</v>
      </c>
    </row>
    <row r="1284" spans="1:3">
      <c r="A1284" s="76">
        <f ca="1">IFERROR(__xludf.DUMMYFUNCTION("""COMPUTED_VALUE"""),2307477)</f>
        <v>2307477</v>
      </c>
      <c r="B1284" s="76" t="str">
        <f ca="1">IFERROR(__xludf.DUMMYFUNCTION("""COMPUTED_VALUE"""),"Никитина София Михайловна")</f>
        <v>Никитина София Михайловна</v>
      </c>
      <c r="C1284" s="75" t="str">
        <f ca="1">IFERROR(__xludf.DUMMYFUNCTION("""COMPUTED_VALUE"""),"Студент")</f>
        <v>Студент</v>
      </c>
    </row>
    <row r="1285" spans="1:3">
      <c r="A1285" s="76">
        <f ca="1">IFERROR(__xludf.DUMMYFUNCTION("""COMPUTED_VALUE"""),2307480)</f>
        <v>2307480</v>
      </c>
      <c r="B1285" s="76" t="str">
        <f ca="1">IFERROR(__xludf.DUMMYFUNCTION("""COMPUTED_VALUE"""),"Сазонов Данила Дмитриевич")</f>
        <v>Сазонов Данила Дмитриевич</v>
      </c>
      <c r="C1285" s="75" t="str">
        <f ca="1">IFERROR(__xludf.DUMMYFUNCTION("""COMPUTED_VALUE"""),"Студент")</f>
        <v>Студент</v>
      </c>
    </row>
    <row r="1286" spans="1:3">
      <c r="A1286" s="76">
        <f ca="1">IFERROR(__xludf.DUMMYFUNCTION("""COMPUTED_VALUE"""),2307481)</f>
        <v>2307481</v>
      </c>
      <c r="B1286" s="76" t="str">
        <f ca="1">IFERROR(__xludf.DUMMYFUNCTION("""COMPUTED_VALUE"""),"Шуваев Михаил Алексеевич")</f>
        <v>Шуваев Михаил Алексеевич</v>
      </c>
      <c r="C1286" s="75" t="str">
        <f ca="1">IFERROR(__xludf.DUMMYFUNCTION("""COMPUTED_VALUE"""),"Студент")</f>
        <v>Студент</v>
      </c>
    </row>
    <row r="1287" spans="1:3">
      <c r="A1287" s="76">
        <f ca="1">IFERROR(__xludf.DUMMYFUNCTION("""COMPUTED_VALUE"""),2307489)</f>
        <v>2307489</v>
      </c>
      <c r="B1287" s="76" t="str">
        <f ca="1">IFERROR(__xludf.DUMMYFUNCTION("""COMPUTED_VALUE"""),"Амелина Анна Валерьевна")</f>
        <v>Амелина Анна Валерьевна</v>
      </c>
      <c r="C1287" s="75" t="str">
        <f ca="1">IFERROR(__xludf.DUMMYFUNCTION("""COMPUTED_VALUE"""),"Студент")</f>
        <v>Студент</v>
      </c>
    </row>
    <row r="1288" spans="1:3">
      <c r="A1288" s="76">
        <f ca="1">IFERROR(__xludf.DUMMYFUNCTION("""COMPUTED_VALUE"""),2307490)</f>
        <v>2307490</v>
      </c>
      <c r="B1288" s="76" t="str">
        <f ca="1">IFERROR(__xludf.DUMMYFUNCTION("""COMPUTED_VALUE"""),"Яксюбаева Элина Рунисовна")</f>
        <v>Яксюбаева Элина Рунисовна</v>
      </c>
      <c r="C1288" s="75" t="str">
        <f ca="1">IFERROR(__xludf.DUMMYFUNCTION("""COMPUTED_VALUE"""),"Студент")</f>
        <v>Студент</v>
      </c>
    </row>
    <row r="1289" spans="1:3">
      <c r="A1289" s="76">
        <f ca="1">IFERROR(__xludf.DUMMYFUNCTION("""COMPUTED_VALUE"""),2307493)</f>
        <v>2307493</v>
      </c>
      <c r="B1289" s="76" t="str">
        <f ca="1">IFERROR(__xludf.DUMMYFUNCTION("""COMPUTED_VALUE"""),"Жуйкова Дарья Михайловна")</f>
        <v>Жуйкова Дарья Михайловна</v>
      </c>
      <c r="C1289" s="75" t="str">
        <f ca="1">IFERROR(__xludf.DUMMYFUNCTION("""COMPUTED_VALUE"""),"Студент")</f>
        <v>Студент</v>
      </c>
    </row>
    <row r="1290" spans="1:3">
      <c r="A1290" s="76">
        <f ca="1">IFERROR(__xludf.DUMMYFUNCTION("""COMPUTED_VALUE"""),2307502)</f>
        <v>2307502</v>
      </c>
      <c r="B1290" s="76" t="str">
        <f ca="1">IFERROR(__xludf.DUMMYFUNCTION("""COMPUTED_VALUE"""),"Янов Семён Олегович")</f>
        <v>Янов Семён Олегович</v>
      </c>
      <c r="C1290" s="75" t="str">
        <f ca="1">IFERROR(__xludf.DUMMYFUNCTION("""COMPUTED_VALUE"""),"Студент")</f>
        <v>Студент</v>
      </c>
    </row>
    <row r="1291" spans="1:3">
      <c r="A1291" s="76">
        <f ca="1">IFERROR(__xludf.DUMMYFUNCTION("""COMPUTED_VALUE"""),2307508)</f>
        <v>2307508</v>
      </c>
      <c r="B1291" s="76" t="str">
        <f ca="1">IFERROR(__xludf.DUMMYFUNCTION("""COMPUTED_VALUE"""),"Баранова Евгения Сергеевна")</f>
        <v>Баранова Евгения Сергеевна</v>
      </c>
      <c r="C1291" s="75" t="str">
        <f ca="1">IFERROR(__xludf.DUMMYFUNCTION("""COMPUTED_VALUE"""),"Студент")</f>
        <v>Студент</v>
      </c>
    </row>
    <row r="1292" spans="1:3">
      <c r="A1292" s="76">
        <f ca="1">IFERROR(__xludf.DUMMYFUNCTION("""COMPUTED_VALUE"""),2307513)</f>
        <v>2307513</v>
      </c>
      <c r="B1292" s="76" t="str">
        <f ca="1">IFERROR(__xludf.DUMMYFUNCTION("""COMPUTED_VALUE"""),"Сергина Мария Михайловна")</f>
        <v>Сергина Мария Михайловна</v>
      </c>
      <c r="C1292" s="75" t="str">
        <f ca="1">IFERROR(__xludf.DUMMYFUNCTION("""COMPUTED_VALUE"""),"Студент")</f>
        <v>Студент</v>
      </c>
    </row>
    <row r="1293" spans="1:3">
      <c r="A1293" s="76">
        <f ca="1">IFERROR(__xludf.DUMMYFUNCTION("""COMPUTED_VALUE"""),2307514)</f>
        <v>2307514</v>
      </c>
      <c r="B1293" s="76" t="str">
        <f ca="1">IFERROR(__xludf.DUMMYFUNCTION("""COMPUTED_VALUE"""),"Шарапова Марина Евгеньевна")</f>
        <v>Шарапова Марина Евгеньевна</v>
      </c>
      <c r="C1293" s="75" t="str">
        <f ca="1">IFERROR(__xludf.DUMMYFUNCTION("""COMPUTED_VALUE"""),"Студент")</f>
        <v>Студент</v>
      </c>
    </row>
    <row r="1294" spans="1:3">
      <c r="A1294" s="76">
        <f ca="1">IFERROR(__xludf.DUMMYFUNCTION("""COMPUTED_VALUE"""),2307519)</f>
        <v>2307519</v>
      </c>
      <c r="B1294" s="76" t="str">
        <f ca="1">IFERROR(__xludf.DUMMYFUNCTION("""COMPUTED_VALUE"""),"Ефремов Даниил Максимович")</f>
        <v>Ефремов Даниил Максимович</v>
      </c>
      <c r="C1294" s="75" t="str">
        <f ca="1">IFERROR(__xludf.DUMMYFUNCTION("""COMPUTED_VALUE"""),"Студент")</f>
        <v>Студент</v>
      </c>
    </row>
    <row r="1295" spans="1:3">
      <c r="A1295" s="76">
        <f ca="1">IFERROR(__xludf.DUMMYFUNCTION("""COMPUTED_VALUE"""),2307523)</f>
        <v>2307523</v>
      </c>
      <c r="B1295" s="76" t="str">
        <f ca="1">IFERROR(__xludf.DUMMYFUNCTION("""COMPUTED_VALUE"""),"Жураев Уктам Рустам Угли")</f>
        <v>Жураев Уктам Рустам Угли</v>
      </c>
      <c r="C1295" s="75" t="str">
        <f ca="1">IFERROR(__xludf.DUMMYFUNCTION("""COMPUTED_VALUE"""),"Студент")</f>
        <v>Студент</v>
      </c>
    </row>
    <row r="1296" spans="1:3">
      <c r="A1296" s="76">
        <f ca="1">IFERROR(__xludf.DUMMYFUNCTION("""COMPUTED_VALUE"""),2307527)</f>
        <v>2307527</v>
      </c>
      <c r="B1296" s="76" t="str">
        <f ca="1">IFERROR(__xludf.DUMMYFUNCTION("""COMPUTED_VALUE"""),"Свиридова Анастасия Алексеевна")</f>
        <v>Свиридова Анастасия Алексеевна</v>
      </c>
      <c r="C1296" s="75" t="str">
        <f ca="1">IFERROR(__xludf.DUMMYFUNCTION("""COMPUTED_VALUE"""),"Студент")</f>
        <v>Студент</v>
      </c>
    </row>
    <row r="1297" spans="1:3">
      <c r="A1297" s="76">
        <f ca="1">IFERROR(__xludf.DUMMYFUNCTION("""COMPUTED_VALUE"""),2307544)</f>
        <v>2307544</v>
      </c>
      <c r="B1297" s="76" t="str">
        <f ca="1">IFERROR(__xludf.DUMMYFUNCTION("""COMPUTED_VALUE"""),"Аверин Артемий Сергеевич")</f>
        <v>Аверин Артемий Сергеевич</v>
      </c>
      <c r="C1297" s="75" t="str">
        <f ca="1">IFERROR(__xludf.DUMMYFUNCTION("""COMPUTED_VALUE"""),"Студент")</f>
        <v>Студент</v>
      </c>
    </row>
    <row r="1298" spans="1:3">
      <c r="A1298" s="76">
        <f ca="1">IFERROR(__xludf.DUMMYFUNCTION("""COMPUTED_VALUE"""),2307550)</f>
        <v>2307550</v>
      </c>
      <c r="B1298" s="76" t="str">
        <f ca="1">IFERROR(__xludf.DUMMYFUNCTION("""COMPUTED_VALUE"""),"Резникова Ангелина Юрьевна")</f>
        <v>Резникова Ангелина Юрьевна</v>
      </c>
      <c r="C1298" s="75" t="str">
        <f ca="1">IFERROR(__xludf.DUMMYFUNCTION("""COMPUTED_VALUE"""),"Студент")</f>
        <v>Студент</v>
      </c>
    </row>
    <row r="1299" spans="1:3">
      <c r="A1299" s="76">
        <f ca="1">IFERROR(__xludf.DUMMYFUNCTION("""COMPUTED_VALUE"""),2307557)</f>
        <v>2307557</v>
      </c>
      <c r="B1299" s="76" t="str">
        <f ca="1">IFERROR(__xludf.DUMMYFUNCTION("""COMPUTED_VALUE"""),"Данилюк Валерия Александровна")</f>
        <v>Данилюк Валерия Александровна</v>
      </c>
      <c r="C1299" s="75" t="str">
        <f ca="1">IFERROR(__xludf.DUMMYFUNCTION("""COMPUTED_VALUE"""),"Студент")</f>
        <v>Студент</v>
      </c>
    </row>
    <row r="1300" spans="1:3">
      <c r="A1300" s="76">
        <f ca="1">IFERROR(__xludf.DUMMYFUNCTION("""COMPUTED_VALUE"""),2307574)</f>
        <v>2307574</v>
      </c>
      <c r="B1300" s="76" t="str">
        <f ca="1">IFERROR(__xludf.DUMMYFUNCTION("""COMPUTED_VALUE"""),"Иванцова Екатерина Александровна")</f>
        <v>Иванцова Екатерина Александровна</v>
      </c>
      <c r="C1300" s="75" t="str">
        <f ca="1">IFERROR(__xludf.DUMMYFUNCTION("""COMPUTED_VALUE"""),"Студент")</f>
        <v>Студент</v>
      </c>
    </row>
    <row r="1301" spans="1:3">
      <c r="A1301" s="76">
        <f ca="1">IFERROR(__xludf.DUMMYFUNCTION("""COMPUTED_VALUE"""),2307578)</f>
        <v>2307578</v>
      </c>
      <c r="B1301" s="76" t="str">
        <f ca="1">IFERROR(__xludf.DUMMYFUNCTION("""COMPUTED_VALUE"""),"Нестеров Глеб Борисович")</f>
        <v>Нестеров Глеб Борисович</v>
      </c>
      <c r="C1301" s="75" t="str">
        <f ca="1">IFERROR(__xludf.DUMMYFUNCTION("""COMPUTED_VALUE"""),"Студент")</f>
        <v>Студент</v>
      </c>
    </row>
    <row r="1302" spans="1:3">
      <c r="A1302" s="76">
        <f ca="1">IFERROR(__xludf.DUMMYFUNCTION("""COMPUTED_VALUE"""),2307583)</f>
        <v>2307583</v>
      </c>
      <c r="B1302" s="76" t="str">
        <f ca="1">IFERROR(__xludf.DUMMYFUNCTION("""COMPUTED_VALUE"""),"Исламов Олимджон Бахромович")</f>
        <v>Исламов Олимджон Бахромович</v>
      </c>
      <c r="C1302" s="75" t="str">
        <f ca="1">IFERROR(__xludf.DUMMYFUNCTION("""COMPUTED_VALUE"""),"Студент")</f>
        <v>Студент</v>
      </c>
    </row>
    <row r="1303" spans="1:3">
      <c r="A1303" s="76">
        <f ca="1">IFERROR(__xludf.DUMMYFUNCTION("""COMPUTED_VALUE"""),2307584)</f>
        <v>2307584</v>
      </c>
      <c r="B1303" s="76" t="str">
        <f ca="1">IFERROR(__xludf.DUMMYFUNCTION("""COMPUTED_VALUE"""),"Первицкая Виктория Дмитриевна")</f>
        <v>Первицкая Виктория Дмитриевна</v>
      </c>
      <c r="C1303" s="75" t="str">
        <f ca="1">IFERROR(__xludf.DUMMYFUNCTION("""COMPUTED_VALUE"""),"Студент")</f>
        <v>Студент</v>
      </c>
    </row>
    <row r="1304" spans="1:3">
      <c r="A1304" s="76">
        <f ca="1">IFERROR(__xludf.DUMMYFUNCTION("""COMPUTED_VALUE"""),2307587)</f>
        <v>2307587</v>
      </c>
      <c r="B1304" s="76" t="str">
        <f ca="1">IFERROR(__xludf.DUMMYFUNCTION("""COMPUTED_VALUE"""),"Бычкова Елена Романовна")</f>
        <v>Бычкова Елена Романовна</v>
      </c>
      <c r="C1304" s="75" t="str">
        <f ca="1">IFERROR(__xludf.DUMMYFUNCTION("""COMPUTED_VALUE"""),"Студент")</f>
        <v>Студент</v>
      </c>
    </row>
    <row r="1305" spans="1:3">
      <c r="A1305" s="76">
        <f ca="1">IFERROR(__xludf.DUMMYFUNCTION("""COMPUTED_VALUE"""),2307597)</f>
        <v>2307597</v>
      </c>
      <c r="B1305" s="76" t="str">
        <f ca="1">IFERROR(__xludf.DUMMYFUNCTION("""COMPUTED_VALUE"""),"Галиев Ильшат Радикович")</f>
        <v>Галиев Ильшат Радикович</v>
      </c>
      <c r="C1305" s="75" t="str">
        <f ca="1">IFERROR(__xludf.DUMMYFUNCTION("""COMPUTED_VALUE"""),"Студент")</f>
        <v>Студент</v>
      </c>
    </row>
    <row r="1306" spans="1:3">
      <c r="A1306" s="76">
        <f ca="1">IFERROR(__xludf.DUMMYFUNCTION("""COMPUTED_VALUE"""),2307603)</f>
        <v>2307603</v>
      </c>
      <c r="B1306" s="76" t="str">
        <f ca="1">IFERROR(__xludf.DUMMYFUNCTION("""COMPUTED_VALUE"""),"Войнова София Сергеевна")</f>
        <v>Войнова София Сергеевна</v>
      </c>
      <c r="C1306" s="75" t="str">
        <f ca="1">IFERROR(__xludf.DUMMYFUNCTION("""COMPUTED_VALUE"""),"Студент")</f>
        <v>Студент</v>
      </c>
    </row>
    <row r="1307" spans="1:3">
      <c r="A1307" s="76">
        <f ca="1">IFERROR(__xludf.DUMMYFUNCTION("""COMPUTED_VALUE"""),2307611)</f>
        <v>2307611</v>
      </c>
      <c r="B1307" s="76" t="str">
        <f ca="1">IFERROR(__xludf.DUMMYFUNCTION("""COMPUTED_VALUE"""),"Сибко Александр Алексеевич")</f>
        <v>Сибко Александр Алексеевич</v>
      </c>
      <c r="C1307" s="75" t="str">
        <f ca="1">IFERROR(__xludf.DUMMYFUNCTION("""COMPUTED_VALUE"""),"Студент")</f>
        <v>Студент</v>
      </c>
    </row>
    <row r="1308" spans="1:3">
      <c r="A1308" s="76">
        <f ca="1">IFERROR(__xludf.DUMMYFUNCTION("""COMPUTED_VALUE"""),2307615)</f>
        <v>2307615</v>
      </c>
      <c r="B1308" s="76" t="str">
        <f ca="1">IFERROR(__xludf.DUMMYFUNCTION("""COMPUTED_VALUE"""),"Иванова Иляна Владимировна")</f>
        <v>Иванова Иляна Владимировна</v>
      </c>
      <c r="C1308" s="75" t="str">
        <f ca="1">IFERROR(__xludf.DUMMYFUNCTION("""COMPUTED_VALUE"""),"Студент")</f>
        <v>Студент</v>
      </c>
    </row>
    <row r="1309" spans="1:3">
      <c r="A1309" s="76">
        <f ca="1">IFERROR(__xludf.DUMMYFUNCTION("""COMPUTED_VALUE"""),2307624)</f>
        <v>2307624</v>
      </c>
      <c r="B1309" s="76" t="str">
        <f ca="1">IFERROR(__xludf.DUMMYFUNCTION("""COMPUTED_VALUE"""),"Джураев Абдусаид Хасанович")</f>
        <v>Джураев Абдусаид Хасанович</v>
      </c>
      <c r="C1309" s="75" t="str">
        <f ca="1">IFERROR(__xludf.DUMMYFUNCTION("""COMPUTED_VALUE"""),"Студент")</f>
        <v>Студент</v>
      </c>
    </row>
    <row r="1310" spans="1:3">
      <c r="A1310" s="76">
        <f ca="1">IFERROR(__xludf.DUMMYFUNCTION("""COMPUTED_VALUE"""),2307626)</f>
        <v>2307626</v>
      </c>
      <c r="B1310" s="76" t="str">
        <f ca="1">IFERROR(__xludf.DUMMYFUNCTION("""COMPUTED_VALUE"""),"Волегов Денис Витальевич")</f>
        <v>Волегов Денис Витальевич</v>
      </c>
      <c r="C1310" s="75" t="str">
        <f ca="1">IFERROR(__xludf.DUMMYFUNCTION("""COMPUTED_VALUE"""),"Студент")</f>
        <v>Студент</v>
      </c>
    </row>
    <row r="1311" spans="1:3">
      <c r="A1311" s="76">
        <f ca="1">IFERROR(__xludf.DUMMYFUNCTION("""COMPUTED_VALUE"""),2307634)</f>
        <v>2307634</v>
      </c>
      <c r="B1311" s="76" t="str">
        <f ca="1">IFERROR(__xludf.DUMMYFUNCTION("""COMPUTED_VALUE"""),"Костромина Татьяна Геннадьевна")</f>
        <v>Костромина Татьяна Геннадьевна</v>
      </c>
      <c r="C1311" s="75" t="str">
        <f ca="1">IFERROR(__xludf.DUMMYFUNCTION("""COMPUTED_VALUE"""),"Студент")</f>
        <v>Студент</v>
      </c>
    </row>
    <row r="1312" spans="1:3">
      <c r="A1312" s="76">
        <f ca="1">IFERROR(__xludf.DUMMYFUNCTION("""COMPUTED_VALUE"""),2307642)</f>
        <v>2307642</v>
      </c>
      <c r="B1312" s="76" t="str">
        <f ca="1">IFERROR(__xludf.DUMMYFUNCTION("""COMPUTED_VALUE"""),"Екомазова Софья Сергеевна")</f>
        <v>Екомазова Софья Сергеевна</v>
      </c>
      <c r="C1312" s="75" t="str">
        <f ca="1">IFERROR(__xludf.DUMMYFUNCTION("""COMPUTED_VALUE"""),"Студент")</f>
        <v>Студент</v>
      </c>
    </row>
    <row r="1313" spans="1:3">
      <c r="A1313" s="76">
        <f ca="1">IFERROR(__xludf.DUMMYFUNCTION("""COMPUTED_VALUE"""),2307679)</f>
        <v>2307679</v>
      </c>
      <c r="B1313" s="76" t="str">
        <f ca="1">IFERROR(__xludf.DUMMYFUNCTION("""COMPUTED_VALUE"""),"Балясников Никита Денисович")</f>
        <v>Балясников Никита Денисович</v>
      </c>
      <c r="C1313" s="75" t="str">
        <f ca="1">IFERROR(__xludf.DUMMYFUNCTION("""COMPUTED_VALUE"""),"Студент")</f>
        <v>Студент</v>
      </c>
    </row>
    <row r="1314" spans="1:3">
      <c r="A1314" s="76">
        <f ca="1">IFERROR(__xludf.DUMMYFUNCTION("""COMPUTED_VALUE"""),2307680)</f>
        <v>2307680</v>
      </c>
      <c r="B1314" s="76" t="str">
        <f ca="1">IFERROR(__xludf.DUMMYFUNCTION("""COMPUTED_VALUE"""),"Бойченко Лада-Екатерина")</f>
        <v>Бойченко Лада-Екатерина</v>
      </c>
      <c r="C1314" s="75" t="str">
        <f ca="1">IFERROR(__xludf.DUMMYFUNCTION("""COMPUTED_VALUE"""),"Студент")</f>
        <v>Студент</v>
      </c>
    </row>
    <row r="1315" spans="1:3">
      <c r="A1315" s="76">
        <f ca="1">IFERROR(__xludf.DUMMYFUNCTION("""COMPUTED_VALUE"""),2307689)</f>
        <v>2307689</v>
      </c>
      <c r="B1315" s="76" t="str">
        <f ca="1">IFERROR(__xludf.DUMMYFUNCTION("""COMPUTED_VALUE"""),"Антощенков Марк Антонович")</f>
        <v>Антощенков Марк Антонович</v>
      </c>
      <c r="C1315" s="75" t="str">
        <f ca="1">IFERROR(__xludf.DUMMYFUNCTION("""COMPUTED_VALUE"""),"Студент")</f>
        <v>Студент</v>
      </c>
    </row>
    <row r="1316" spans="1:3">
      <c r="A1316" s="76">
        <f ca="1">IFERROR(__xludf.DUMMYFUNCTION("""COMPUTED_VALUE"""),2307697)</f>
        <v>2307697</v>
      </c>
      <c r="B1316" s="76" t="str">
        <f ca="1">IFERROR(__xludf.DUMMYFUNCTION("""COMPUTED_VALUE"""),"Трудова Виктория Владимировна")</f>
        <v>Трудова Виктория Владимировна</v>
      </c>
      <c r="C1316" s="75" t="str">
        <f ca="1">IFERROR(__xludf.DUMMYFUNCTION("""COMPUTED_VALUE"""),"Студент")</f>
        <v>Студент</v>
      </c>
    </row>
    <row r="1317" spans="1:3">
      <c r="A1317" s="76">
        <f ca="1">IFERROR(__xludf.DUMMYFUNCTION("""COMPUTED_VALUE"""),2307709)</f>
        <v>2307709</v>
      </c>
      <c r="B1317" s="76" t="str">
        <f ca="1">IFERROR(__xludf.DUMMYFUNCTION("""COMPUTED_VALUE"""),"Кожиев Алан Русланович")</f>
        <v>Кожиев Алан Русланович</v>
      </c>
      <c r="C1317" s="75" t="str">
        <f ca="1">IFERROR(__xludf.DUMMYFUNCTION("""COMPUTED_VALUE"""),"Студент")</f>
        <v>Студент</v>
      </c>
    </row>
    <row r="1318" spans="1:3">
      <c r="A1318" s="76">
        <f ca="1">IFERROR(__xludf.DUMMYFUNCTION("""COMPUTED_VALUE"""),2307718)</f>
        <v>2307718</v>
      </c>
      <c r="B1318" s="76" t="str">
        <f ca="1">IFERROR(__xludf.DUMMYFUNCTION("""COMPUTED_VALUE"""),"Окунева Ирина Вадимовна")</f>
        <v>Окунева Ирина Вадимовна</v>
      </c>
      <c r="C1318" s="75" t="str">
        <f ca="1">IFERROR(__xludf.DUMMYFUNCTION("""COMPUTED_VALUE"""),"Студент")</f>
        <v>Студент</v>
      </c>
    </row>
    <row r="1319" spans="1:3">
      <c r="A1319" s="76">
        <f ca="1">IFERROR(__xludf.DUMMYFUNCTION("""COMPUTED_VALUE"""),2307731)</f>
        <v>2307731</v>
      </c>
      <c r="B1319" s="76" t="str">
        <f ca="1">IFERROR(__xludf.DUMMYFUNCTION("""COMPUTED_VALUE"""),"Цупков Николай Олегович")</f>
        <v>Цупков Николай Олегович</v>
      </c>
      <c r="C1319" s="75" t="str">
        <f ca="1">IFERROR(__xludf.DUMMYFUNCTION("""COMPUTED_VALUE"""),"Студент")</f>
        <v>Студент</v>
      </c>
    </row>
    <row r="1320" spans="1:3">
      <c r="A1320" s="76">
        <f ca="1">IFERROR(__xludf.DUMMYFUNCTION("""COMPUTED_VALUE"""),2307733)</f>
        <v>2307733</v>
      </c>
      <c r="B1320" s="76" t="str">
        <f ca="1">IFERROR(__xludf.DUMMYFUNCTION("""COMPUTED_VALUE"""),"Мартынова Екатерина Андреевна")</f>
        <v>Мартынова Екатерина Андреевна</v>
      </c>
      <c r="C1320" s="75" t="str">
        <f ca="1">IFERROR(__xludf.DUMMYFUNCTION("""COMPUTED_VALUE"""),"Студент")</f>
        <v>Студент</v>
      </c>
    </row>
    <row r="1321" spans="1:3">
      <c r="A1321" s="76">
        <f ca="1">IFERROR(__xludf.DUMMYFUNCTION("""COMPUTED_VALUE"""),2307741)</f>
        <v>2307741</v>
      </c>
      <c r="B1321" s="76" t="str">
        <f ca="1">IFERROR(__xludf.DUMMYFUNCTION("""COMPUTED_VALUE"""),"Сатторов Мухаммадумар Алишер угли")</f>
        <v>Сатторов Мухаммадумар Алишер угли</v>
      </c>
      <c r="C1321" s="75" t="str">
        <f ca="1">IFERROR(__xludf.DUMMYFUNCTION("""COMPUTED_VALUE"""),"Студент")</f>
        <v>Студент</v>
      </c>
    </row>
    <row r="1322" spans="1:3">
      <c r="A1322" s="76">
        <f ca="1">IFERROR(__xludf.DUMMYFUNCTION("""COMPUTED_VALUE"""),2307760)</f>
        <v>2307760</v>
      </c>
      <c r="B1322" s="76" t="str">
        <f ca="1">IFERROR(__xludf.DUMMYFUNCTION("""COMPUTED_VALUE"""),"Салогуб Дмитрий Дмитриевич")</f>
        <v>Салогуб Дмитрий Дмитриевич</v>
      </c>
      <c r="C1322" s="75" t="str">
        <f ca="1">IFERROR(__xludf.DUMMYFUNCTION("""COMPUTED_VALUE"""),"Студент")</f>
        <v>Студент</v>
      </c>
    </row>
    <row r="1323" spans="1:3">
      <c r="A1323" s="76">
        <f ca="1">IFERROR(__xludf.DUMMYFUNCTION("""COMPUTED_VALUE"""),2307781)</f>
        <v>2307781</v>
      </c>
      <c r="B1323" s="76" t="str">
        <f ca="1">IFERROR(__xludf.DUMMYFUNCTION("""COMPUTED_VALUE"""),"Сладков Даниил Павлович")</f>
        <v>Сладков Даниил Павлович</v>
      </c>
      <c r="C1323" s="75" t="str">
        <f ca="1">IFERROR(__xludf.DUMMYFUNCTION("""COMPUTED_VALUE"""),"Студент")</f>
        <v>Студент</v>
      </c>
    </row>
    <row r="1324" spans="1:3">
      <c r="A1324" s="76">
        <f ca="1">IFERROR(__xludf.DUMMYFUNCTION("""COMPUTED_VALUE"""),2307782)</f>
        <v>2307782</v>
      </c>
      <c r="B1324" s="76" t="str">
        <f ca="1">IFERROR(__xludf.DUMMYFUNCTION("""COMPUTED_VALUE"""),"Макеев Николай Максимович")</f>
        <v>Макеев Николай Максимович</v>
      </c>
      <c r="C1324" s="75" t="str">
        <f ca="1">IFERROR(__xludf.DUMMYFUNCTION("""COMPUTED_VALUE"""),"Студент")</f>
        <v>Студент</v>
      </c>
    </row>
    <row r="1325" spans="1:3">
      <c r="A1325" s="76">
        <f ca="1">IFERROR(__xludf.DUMMYFUNCTION("""COMPUTED_VALUE"""),2307796)</f>
        <v>2307796</v>
      </c>
      <c r="B1325" s="76" t="str">
        <f ca="1">IFERROR(__xludf.DUMMYFUNCTION("""COMPUTED_VALUE"""),"Бронников Олег Александрович")</f>
        <v>Бронников Олег Александрович</v>
      </c>
      <c r="C1325" s="75" t="str">
        <f ca="1">IFERROR(__xludf.DUMMYFUNCTION("""COMPUTED_VALUE"""),"Студент")</f>
        <v>Студент</v>
      </c>
    </row>
    <row r="1326" spans="1:3">
      <c r="A1326" s="76">
        <f ca="1">IFERROR(__xludf.DUMMYFUNCTION("""COMPUTED_VALUE"""),2307800)</f>
        <v>2307800</v>
      </c>
      <c r="B1326" s="76" t="str">
        <f ca="1">IFERROR(__xludf.DUMMYFUNCTION("""COMPUTED_VALUE"""),"Антонов Владимир Андреевич")</f>
        <v>Антонов Владимир Андреевич</v>
      </c>
      <c r="C1326" s="75" t="str">
        <f ca="1">IFERROR(__xludf.DUMMYFUNCTION("""COMPUTED_VALUE"""),"Студент")</f>
        <v>Студент</v>
      </c>
    </row>
    <row r="1327" spans="1:3">
      <c r="A1327" s="76">
        <f ca="1">IFERROR(__xludf.DUMMYFUNCTION("""COMPUTED_VALUE"""),2307803)</f>
        <v>2307803</v>
      </c>
      <c r="B1327" s="76" t="str">
        <f ca="1">IFERROR(__xludf.DUMMYFUNCTION("""COMPUTED_VALUE"""),"Пестрецова Анастасия Дмитриевна")</f>
        <v>Пестрецова Анастасия Дмитриевна</v>
      </c>
      <c r="C1327" s="75" t="str">
        <f ca="1">IFERROR(__xludf.DUMMYFUNCTION("""COMPUTED_VALUE"""),"Студент")</f>
        <v>Студент</v>
      </c>
    </row>
    <row r="1328" spans="1:3">
      <c r="A1328" s="76">
        <f ca="1">IFERROR(__xludf.DUMMYFUNCTION("""COMPUTED_VALUE"""),2307804)</f>
        <v>2307804</v>
      </c>
      <c r="B1328" s="76" t="str">
        <f ca="1">IFERROR(__xludf.DUMMYFUNCTION("""COMPUTED_VALUE"""),"Томачинский Артём Васильевич")</f>
        <v>Томачинский Артём Васильевич</v>
      </c>
      <c r="C1328" s="75" t="str">
        <f ca="1">IFERROR(__xludf.DUMMYFUNCTION("""COMPUTED_VALUE"""),"Студент")</f>
        <v>Студент</v>
      </c>
    </row>
    <row r="1329" spans="1:3">
      <c r="A1329" s="76">
        <f ca="1">IFERROR(__xludf.DUMMYFUNCTION("""COMPUTED_VALUE"""),2307806)</f>
        <v>2307806</v>
      </c>
      <c r="B1329" s="76" t="str">
        <f ca="1">IFERROR(__xludf.DUMMYFUNCTION("""COMPUTED_VALUE"""),"Бурденков Георгий Михайлович")</f>
        <v>Бурденков Георгий Михайлович</v>
      </c>
      <c r="C1329" s="75" t="str">
        <f ca="1">IFERROR(__xludf.DUMMYFUNCTION("""COMPUTED_VALUE"""),"Студент")</f>
        <v>Студент</v>
      </c>
    </row>
    <row r="1330" spans="1:3">
      <c r="A1330" s="76">
        <f ca="1">IFERROR(__xludf.DUMMYFUNCTION("""COMPUTED_VALUE"""),2307813)</f>
        <v>2307813</v>
      </c>
      <c r="B1330" s="76" t="str">
        <f ca="1">IFERROR(__xludf.DUMMYFUNCTION("""COMPUTED_VALUE"""),"Нехорошкова Александра Сергеевна")</f>
        <v>Нехорошкова Александра Сергеевна</v>
      </c>
      <c r="C1330" s="75" t="str">
        <f ca="1">IFERROR(__xludf.DUMMYFUNCTION("""COMPUTED_VALUE"""),"Студент")</f>
        <v>Студент</v>
      </c>
    </row>
    <row r="1331" spans="1:3">
      <c r="A1331" s="76">
        <f ca="1">IFERROR(__xludf.DUMMYFUNCTION("""COMPUTED_VALUE"""),2307815)</f>
        <v>2307815</v>
      </c>
      <c r="B1331" s="76" t="str">
        <f ca="1">IFERROR(__xludf.DUMMYFUNCTION("""COMPUTED_VALUE"""),"Миронов Никита Игоревич")</f>
        <v>Миронов Никита Игоревич</v>
      </c>
      <c r="C1331" s="75" t="str">
        <f ca="1">IFERROR(__xludf.DUMMYFUNCTION("""COMPUTED_VALUE"""),"Студент")</f>
        <v>Студент</v>
      </c>
    </row>
    <row r="1332" spans="1:3">
      <c r="A1332" s="76">
        <f ca="1">IFERROR(__xludf.DUMMYFUNCTION("""COMPUTED_VALUE"""),2307819)</f>
        <v>2307819</v>
      </c>
      <c r="B1332" s="76" t="str">
        <f ca="1">IFERROR(__xludf.DUMMYFUNCTION("""COMPUTED_VALUE"""),"Елисова Алла Андреевна")</f>
        <v>Елисова Алла Андреевна</v>
      </c>
      <c r="C1332" s="75" t="str">
        <f ca="1">IFERROR(__xludf.DUMMYFUNCTION("""COMPUTED_VALUE"""),"Студент")</f>
        <v>Студент</v>
      </c>
    </row>
    <row r="1333" spans="1:3">
      <c r="A1333" s="76">
        <f ca="1">IFERROR(__xludf.DUMMYFUNCTION("""COMPUTED_VALUE"""),2307824)</f>
        <v>2307824</v>
      </c>
      <c r="B1333" s="76" t="str">
        <f ca="1">IFERROR(__xludf.DUMMYFUNCTION("""COMPUTED_VALUE"""),"Михеев Алексей Евгеньевич")</f>
        <v>Михеев Алексей Евгеньевич</v>
      </c>
      <c r="C1333" s="75" t="str">
        <f ca="1">IFERROR(__xludf.DUMMYFUNCTION("""COMPUTED_VALUE"""),"Студент")</f>
        <v>Студент</v>
      </c>
    </row>
    <row r="1334" spans="1:3">
      <c r="A1334" s="76">
        <f ca="1">IFERROR(__xludf.DUMMYFUNCTION("""COMPUTED_VALUE"""),2307827)</f>
        <v>2307827</v>
      </c>
      <c r="B1334" s="76" t="str">
        <f ca="1">IFERROR(__xludf.DUMMYFUNCTION("""COMPUTED_VALUE"""),"Вешнякова Елизавета Сергеевна")</f>
        <v>Вешнякова Елизавета Сергеевна</v>
      </c>
      <c r="C1334" s="75" t="str">
        <f ca="1">IFERROR(__xludf.DUMMYFUNCTION("""COMPUTED_VALUE"""),"Студент")</f>
        <v>Студент</v>
      </c>
    </row>
    <row r="1335" spans="1:3">
      <c r="A1335" s="76">
        <f ca="1">IFERROR(__xludf.DUMMYFUNCTION("""COMPUTED_VALUE"""),2307832)</f>
        <v>2307832</v>
      </c>
      <c r="B1335" s="76" t="str">
        <f ca="1">IFERROR(__xludf.DUMMYFUNCTION("""COMPUTED_VALUE"""),"Сонина Дарья Вадимовна")</f>
        <v>Сонина Дарья Вадимовна</v>
      </c>
      <c r="C1335" s="75" t="str">
        <f ca="1">IFERROR(__xludf.DUMMYFUNCTION("""COMPUTED_VALUE"""),"Студент")</f>
        <v>Студент</v>
      </c>
    </row>
    <row r="1336" spans="1:3">
      <c r="A1336" s="76">
        <f ca="1">IFERROR(__xludf.DUMMYFUNCTION("""COMPUTED_VALUE"""),2307834)</f>
        <v>2307834</v>
      </c>
      <c r="B1336" s="76" t="str">
        <f ca="1">IFERROR(__xludf.DUMMYFUNCTION("""COMPUTED_VALUE"""),"Ананьева Светлана Витальевна")</f>
        <v>Ананьева Светлана Витальевна</v>
      </c>
      <c r="C1336" s="75" t="str">
        <f ca="1">IFERROR(__xludf.DUMMYFUNCTION("""COMPUTED_VALUE"""),"Студент")</f>
        <v>Студент</v>
      </c>
    </row>
    <row r="1337" spans="1:3">
      <c r="A1337" s="76">
        <f ca="1">IFERROR(__xludf.DUMMYFUNCTION("""COMPUTED_VALUE"""),2307835)</f>
        <v>2307835</v>
      </c>
      <c r="B1337" s="76" t="str">
        <f ca="1">IFERROR(__xludf.DUMMYFUNCTION("""COMPUTED_VALUE"""),"Емельянов Иван Андреевич")</f>
        <v>Емельянов Иван Андреевич</v>
      </c>
      <c r="C1337" s="75" t="str">
        <f ca="1">IFERROR(__xludf.DUMMYFUNCTION("""COMPUTED_VALUE"""),"Студент")</f>
        <v>Студент</v>
      </c>
    </row>
    <row r="1338" spans="1:3">
      <c r="A1338" s="76">
        <f ca="1">IFERROR(__xludf.DUMMYFUNCTION("""COMPUTED_VALUE"""),2307842)</f>
        <v>2307842</v>
      </c>
      <c r="B1338" s="76" t="str">
        <f ca="1">IFERROR(__xludf.DUMMYFUNCTION("""COMPUTED_VALUE"""),"Семенов Антон Владимирович")</f>
        <v>Семенов Антон Владимирович</v>
      </c>
      <c r="C1338" s="75" t="str">
        <f ca="1">IFERROR(__xludf.DUMMYFUNCTION("""COMPUTED_VALUE"""),"Студент")</f>
        <v>Студент</v>
      </c>
    </row>
    <row r="1339" spans="1:3">
      <c r="A1339" s="76">
        <f ca="1">IFERROR(__xludf.DUMMYFUNCTION("""COMPUTED_VALUE"""),2307849)</f>
        <v>2307849</v>
      </c>
      <c r="B1339" s="76" t="str">
        <f ca="1">IFERROR(__xludf.DUMMYFUNCTION("""COMPUTED_VALUE"""),"Казачанский Даниил Дмитриевич")</f>
        <v>Казачанский Даниил Дмитриевич</v>
      </c>
      <c r="C1339" s="75" t="str">
        <f ca="1">IFERROR(__xludf.DUMMYFUNCTION("""COMPUTED_VALUE"""),"Студент")</f>
        <v>Студент</v>
      </c>
    </row>
    <row r="1340" spans="1:3">
      <c r="A1340" s="76">
        <f ca="1">IFERROR(__xludf.DUMMYFUNCTION("""COMPUTED_VALUE"""),2307859)</f>
        <v>2307859</v>
      </c>
      <c r="B1340" s="76" t="str">
        <f ca="1">IFERROR(__xludf.DUMMYFUNCTION("""COMPUTED_VALUE"""),"Прозорова Кристина Евгеньевна")</f>
        <v>Прозорова Кристина Евгеньевна</v>
      </c>
      <c r="C1340" s="75" t="str">
        <f ca="1">IFERROR(__xludf.DUMMYFUNCTION("""COMPUTED_VALUE"""),"Студент")</f>
        <v>Студент</v>
      </c>
    </row>
    <row r="1341" spans="1:3">
      <c r="A1341" s="76">
        <f ca="1">IFERROR(__xludf.DUMMYFUNCTION("""COMPUTED_VALUE"""),2307868)</f>
        <v>2307868</v>
      </c>
      <c r="B1341" s="76" t="str">
        <f ca="1">IFERROR(__xludf.DUMMYFUNCTION("""COMPUTED_VALUE"""),"Сорокина Маргарита Алексеевна")</f>
        <v>Сорокина Маргарита Алексеевна</v>
      </c>
      <c r="C1341" s="75" t="str">
        <f ca="1">IFERROR(__xludf.DUMMYFUNCTION("""COMPUTED_VALUE"""),"Студент")</f>
        <v>Студент</v>
      </c>
    </row>
    <row r="1342" spans="1:3">
      <c r="A1342" s="76">
        <f ca="1">IFERROR(__xludf.DUMMYFUNCTION("""COMPUTED_VALUE"""),2307879)</f>
        <v>2307879</v>
      </c>
      <c r="B1342" s="76" t="str">
        <f ca="1">IFERROR(__xludf.DUMMYFUNCTION("""COMPUTED_VALUE"""),"Варсанович Иван Андреевич")</f>
        <v>Варсанович Иван Андреевич</v>
      </c>
      <c r="C1342" s="75" t="str">
        <f ca="1">IFERROR(__xludf.DUMMYFUNCTION("""COMPUTED_VALUE"""),"Студент")</f>
        <v>Студент</v>
      </c>
    </row>
    <row r="1343" spans="1:3">
      <c r="A1343" s="76">
        <f ca="1">IFERROR(__xludf.DUMMYFUNCTION("""COMPUTED_VALUE"""),2307880)</f>
        <v>2307880</v>
      </c>
      <c r="B1343" s="76" t="str">
        <f ca="1">IFERROR(__xludf.DUMMYFUNCTION("""COMPUTED_VALUE"""),"Малиновская Анастасия Владимировна")</f>
        <v>Малиновская Анастасия Владимировна</v>
      </c>
      <c r="C1343" s="75" t="str">
        <f ca="1">IFERROR(__xludf.DUMMYFUNCTION("""COMPUTED_VALUE"""),"Студент")</f>
        <v>Студент</v>
      </c>
    </row>
    <row r="1344" spans="1:3">
      <c r="A1344" s="76">
        <f ca="1">IFERROR(__xludf.DUMMYFUNCTION("""COMPUTED_VALUE"""),2307883)</f>
        <v>2307883</v>
      </c>
      <c r="B1344" s="76" t="str">
        <f ca="1">IFERROR(__xludf.DUMMYFUNCTION("""COMPUTED_VALUE"""),"Султанова Фатима Равильевна")</f>
        <v>Султанова Фатима Равильевна</v>
      </c>
      <c r="C1344" s="75" t="str">
        <f ca="1">IFERROR(__xludf.DUMMYFUNCTION("""COMPUTED_VALUE"""),"Студент")</f>
        <v>Студент</v>
      </c>
    </row>
    <row r="1345" spans="1:3">
      <c r="A1345" s="76">
        <f ca="1">IFERROR(__xludf.DUMMYFUNCTION("""COMPUTED_VALUE"""),2307885)</f>
        <v>2307885</v>
      </c>
      <c r="B1345" s="76" t="str">
        <f ca="1">IFERROR(__xludf.DUMMYFUNCTION("""COMPUTED_VALUE"""),"Щуцкая Софья Станиславовна")</f>
        <v>Щуцкая Софья Станиславовна</v>
      </c>
      <c r="C1345" s="75" t="str">
        <f ca="1">IFERROR(__xludf.DUMMYFUNCTION("""COMPUTED_VALUE"""),"Студент")</f>
        <v>Студент</v>
      </c>
    </row>
    <row r="1346" spans="1:3">
      <c r="A1346" s="76">
        <f ca="1">IFERROR(__xludf.DUMMYFUNCTION("""COMPUTED_VALUE"""),2307887)</f>
        <v>2307887</v>
      </c>
      <c r="B1346" s="76" t="str">
        <f ca="1">IFERROR(__xludf.DUMMYFUNCTION("""COMPUTED_VALUE"""),"Онищенко Владимир Алексеевич")</f>
        <v>Онищенко Владимир Алексеевич</v>
      </c>
      <c r="C1346" s="75" t="str">
        <f ca="1">IFERROR(__xludf.DUMMYFUNCTION("""COMPUTED_VALUE"""),"Студент")</f>
        <v>Студент</v>
      </c>
    </row>
    <row r="1347" spans="1:3">
      <c r="A1347" s="76">
        <f ca="1">IFERROR(__xludf.DUMMYFUNCTION("""COMPUTED_VALUE"""),2307890)</f>
        <v>2307890</v>
      </c>
      <c r="B1347" s="76" t="str">
        <f ca="1">IFERROR(__xludf.DUMMYFUNCTION("""COMPUTED_VALUE"""),"Ахметов Аслан Серикович")</f>
        <v>Ахметов Аслан Серикович</v>
      </c>
      <c r="C1347" s="75" t="str">
        <f ca="1">IFERROR(__xludf.DUMMYFUNCTION("""COMPUTED_VALUE"""),"Студент")</f>
        <v>Студент</v>
      </c>
    </row>
    <row r="1348" spans="1:3">
      <c r="A1348" s="76">
        <f ca="1">IFERROR(__xludf.DUMMYFUNCTION("""COMPUTED_VALUE"""),2307899)</f>
        <v>2307899</v>
      </c>
      <c r="B1348" s="76" t="str">
        <f ca="1">IFERROR(__xludf.DUMMYFUNCTION("""COMPUTED_VALUE"""),"Доржиев Биликто Баторович")</f>
        <v>Доржиев Биликто Баторович</v>
      </c>
      <c r="C1348" s="75" t="str">
        <f ca="1">IFERROR(__xludf.DUMMYFUNCTION("""COMPUTED_VALUE"""),"Студент")</f>
        <v>Студент</v>
      </c>
    </row>
    <row r="1349" spans="1:3">
      <c r="A1349" s="76">
        <f ca="1">IFERROR(__xludf.DUMMYFUNCTION("""COMPUTED_VALUE"""),2307913)</f>
        <v>2307913</v>
      </c>
      <c r="B1349" s="76" t="str">
        <f ca="1">IFERROR(__xludf.DUMMYFUNCTION("""COMPUTED_VALUE"""),"Казанников Андрей Андреевич")</f>
        <v>Казанников Андрей Андреевич</v>
      </c>
      <c r="C1349" s="75" t="str">
        <f ca="1">IFERROR(__xludf.DUMMYFUNCTION("""COMPUTED_VALUE"""),"Студент")</f>
        <v>Студент</v>
      </c>
    </row>
    <row r="1350" spans="1:3">
      <c r="A1350" s="76">
        <f ca="1">IFERROR(__xludf.DUMMYFUNCTION("""COMPUTED_VALUE"""),2307918)</f>
        <v>2307918</v>
      </c>
      <c r="B1350" s="76" t="str">
        <f ca="1">IFERROR(__xludf.DUMMYFUNCTION("""COMPUTED_VALUE"""),"Ломакина Юлия Владимировна")</f>
        <v>Ломакина Юлия Владимировна</v>
      </c>
      <c r="C1350" s="75" t="str">
        <f ca="1">IFERROR(__xludf.DUMMYFUNCTION("""COMPUTED_VALUE"""),"Студент")</f>
        <v>Студент</v>
      </c>
    </row>
    <row r="1351" spans="1:3">
      <c r="A1351" s="76">
        <f ca="1">IFERROR(__xludf.DUMMYFUNCTION("""COMPUTED_VALUE"""),2307922)</f>
        <v>2307922</v>
      </c>
      <c r="B1351" s="76" t="str">
        <f ca="1">IFERROR(__xludf.DUMMYFUNCTION("""COMPUTED_VALUE"""),"Байрамова Арзу Камран Кызы")</f>
        <v>Байрамова Арзу Камран Кызы</v>
      </c>
      <c r="C1351" s="75" t="str">
        <f ca="1">IFERROR(__xludf.DUMMYFUNCTION("""COMPUTED_VALUE"""),"Студент")</f>
        <v>Студент</v>
      </c>
    </row>
    <row r="1352" spans="1:3">
      <c r="A1352" s="76">
        <f ca="1">IFERROR(__xludf.DUMMYFUNCTION("""COMPUTED_VALUE"""),2307924)</f>
        <v>2307924</v>
      </c>
      <c r="B1352" s="76" t="str">
        <f ca="1">IFERROR(__xludf.DUMMYFUNCTION("""COMPUTED_VALUE"""),"Сатторов Фирдавс Азимуллоевич")</f>
        <v>Сатторов Фирдавс Азимуллоевич</v>
      </c>
      <c r="C1352" s="75" t="str">
        <f ca="1">IFERROR(__xludf.DUMMYFUNCTION("""COMPUTED_VALUE"""),"Студент")</f>
        <v>Студент</v>
      </c>
    </row>
    <row r="1353" spans="1:3">
      <c r="A1353" s="76">
        <f ca="1">IFERROR(__xludf.DUMMYFUNCTION("""COMPUTED_VALUE"""),2307927)</f>
        <v>2307927</v>
      </c>
      <c r="B1353" s="76" t="str">
        <f ca="1">IFERROR(__xludf.DUMMYFUNCTION("""COMPUTED_VALUE"""),"Вострокнутов Иван Евгеньевич")</f>
        <v>Вострокнутов Иван Евгеньевич</v>
      </c>
      <c r="C1353" s="75" t="str">
        <f ca="1">IFERROR(__xludf.DUMMYFUNCTION("""COMPUTED_VALUE"""),"Студент")</f>
        <v>Студент</v>
      </c>
    </row>
    <row r="1354" spans="1:3">
      <c r="A1354" s="76">
        <f ca="1">IFERROR(__xludf.DUMMYFUNCTION("""COMPUTED_VALUE"""),2307938)</f>
        <v>2307938</v>
      </c>
      <c r="B1354" s="76" t="str">
        <f ca="1">IFERROR(__xludf.DUMMYFUNCTION("""COMPUTED_VALUE"""),"Костенко Константин Алексеевич")</f>
        <v>Костенко Константин Алексеевич</v>
      </c>
      <c r="C1354" s="75" t="str">
        <f ca="1">IFERROR(__xludf.DUMMYFUNCTION("""COMPUTED_VALUE"""),"Студент")</f>
        <v>Студент</v>
      </c>
    </row>
    <row r="1355" spans="1:3">
      <c r="A1355" s="76">
        <f ca="1">IFERROR(__xludf.DUMMYFUNCTION("""COMPUTED_VALUE"""),2307946)</f>
        <v>2307946</v>
      </c>
      <c r="B1355" s="76" t="str">
        <f ca="1">IFERROR(__xludf.DUMMYFUNCTION("""COMPUTED_VALUE"""),"Заболотских Иван Алексеевич")</f>
        <v>Заболотских Иван Алексеевич</v>
      </c>
      <c r="C1355" s="75" t="str">
        <f ca="1">IFERROR(__xludf.DUMMYFUNCTION("""COMPUTED_VALUE"""),"Студент")</f>
        <v>Студент</v>
      </c>
    </row>
    <row r="1356" spans="1:3">
      <c r="A1356" s="76">
        <f ca="1">IFERROR(__xludf.DUMMYFUNCTION("""COMPUTED_VALUE"""),2308022)</f>
        <v>2308022</v>
      </c>
      <c r="B1356" s="76" t="str">
        <f ca="1">IFERROR(__xludf.DUMMYFUNCTION("""COMPUTED_VALUE"""),"Юсупов Шохрух Нариманович")</f>
        <v>Юсупов Шохрух Нариманович</v>
      </c>
      <c r="C1356" s="75" t="str">
        <f ca="1">IFERROR(__xludf.DUMMYFUNCTION("""COMPUTED_VALUE"""),"Студент")</f>
        <v>Студент</v>
      </c>
    </row>
    <row r="1357" spans="1:3">
      <c r="A1357" s="76">
        <f ca="1">IFERROR(__xludf.DUMMYFUNCTION("""COMPUTED_VALUE"""),2308023)</f>
        <v>2308023</v>
      </c>
      <c r="B1357" s="76" t="str">
        <f ca="1">IFERROR(__xludf.DUMMYFUNCTION("""COMPUTED_VALUE"""),"Деребенский Константин Евгеньевич")</f>
        <v>Деребенский Константин Евгеньевич</v>
      </c>
      <c r="C1357" s="75" t="str">
        <f ca="1">IFERROR(__xludf.DUMMYFUNCTION("""COMPUTED_VALUE"""),"Студент")</f>
        <v>Студент</v>
      </c>
    </row>
    <row r="1358" spans="1:3">
      <c r="A1358" s="76">
        <f ca="1">IFERROR(__xludf.DUMMYFUNCTION("""COMPUTED_VALUE"""),2308027)</f>
        <v>2308027</v>
      </c>
      <c r="B1358" s="76" t="str">
        <f ca="1">IFERROR(__xludf.DUMMYFUNCTION("""COMPUTED_VALUE"""),"Аванесян Артем Армавикович")</f>
        <v>Аванесян Артем Армавикович</v>
      </c>
      <c r="C1358" s="75" t="str">
        <f ca="1">IFERROR(__xludf.DUMMYFUNCTION("""COMPUTED_VALUE"""),"Студент")</f>
        <v>Студент</v>
      </c>
    </row>
    <row r="1359" spans="1:3">
      <c r="A1359" s="76">
        <f ca="1">IFERROR(__xludf.DUMMYFUNCTION("""COMPUTED_VALUE"""),2308040)</f>
        <v>2308040</v>
      </c>
      <c r="B1359" s="76" t="str">
        <f ca="1">IFERROR(__xludf.DUMMYFUNCTION("""COMPUTED_VALUE"""),"Першаков Виталий Евгеньевич")</f>
        <v>Першаков Виталий Евгеньевич</v>
      </c>
      <c r="C1359" s="75" t="str">
        <f ca="1">IFERROR(__xludf.DUMMYFUNCTION("""COMPUTED_VALUE"""),"Студент")</f>
        <v>Студент</v>
      </c>
    </row>
    <row r="1360" spans="1:3">
      <c r="A1360" s="76">
        <f ca="1">IFERROR(__xludf.DUMMYFUNCTION("""COMPUTED_VALUE"""),2308045)</f>
        <v>2308045</v>
      </c>
      <c r="B1360" s="76" t="str">
        <f ca="1">IFERROR(__xludf.DUMMYFUNCTION("""COMPUTED_VALUE"""),"Аскербеков Диас")</f>
        <v>Аскербеков Диас</v>
      </c>
      <c r="C1360" s="75" t="str">
        <f ca="1">IFERROR(__xludf.DUMMYFUNCTION("""COMPUTED_VALUE"""),"Студент")</f>
        <v>Студент</v>
      </c>
    </row>
    <row r="1361" spans="1:3">
      <c r="A1361" s="76">
        <f ca="1">IFERROR(__xludf.DUMMYFUNCTION("""COMPUTED_VALUE"""),2308046)</f>
        <v>2308046</v>
      </c>
      <c r="B1361" s="76" t="str">
        <f ca="1">IFERROR(__xludf.DUMMYFUNCTION("""COMPUTED_VALUE"""),"Мустафина Арина Тимуровна")</f>
        <v>Мустафина Арина Тимуровна</v>
      </c>
      <c r="C1361" s="75" t="str">
        <f ca="1">IFERROR(__xludf.DUMMYFUNCTION("""COMPUTED_VALUE"""),"Студент")</f>
        <v>Студент</v>
      </c>
    </row>
    <row r="1362" spans="1:3">
      <c r="A1362" s="76">
        <f ca="1">IFERROR(__xludf.DUMMYFUNCTION("""COMPUTED_VALUE"""),2308050)</f>
        <v>2308050</v>
      </c>
      <c r="B1362" s="76" t="str">
        <f ca="1">IFERROR(__xludf.DUMMYFUNCTION("""COMPUTED_VALUE"""),"Балонина Виктория Сергеевна")</f>
        <v>Балонина Виктория Сергеевна</v>
      </c>
      <c r="C1362" s="75" t="str">
        <f ca="1">IFERROR(__xludf.DUMMYFUNCTION("""COMPUTED_VALUE"""),"Студент")</f>
        <v>Студент</v>
      </c>
    </row>
    <row r="1363" spans="1:3">
      <c r="A1363" s="76">
        <f ca="1">IFERROR(__xludf.DUMMYFUNCTION("""COMPUTED_VALUE"""),2308054)</f>
        <v>2308054</v>
      </c>
      <c r="B1363" s="76" t="str">
        <f ca="1">IFERROR(__xludf.DUMMYFUNCTION("""COMPUTED_VALUE"""),"Садуева Марин Саадуевна")</f>
        <v>Садуева Марин Саадуевна</v>
      </c>
      <c r="C1363" s="75" t="str">
        <f ca="1">IFERROR(__xludf.DUMMYFUNCTION("""COMPUTED_VALUE"""),"Студент")</f>
        <v>Студент</v>
      </c>
    </row>
    <row r="1364" spans="1:3">
      <c r="A1364" s="76">
        <f ca="1">IFERROR(__xludf.DUMMYFUNCTION("""COMPUTED_VALUE"""),2308056)</f>
        <v>2308056</v>
      </c>
      <c r="B1364" s="76" t="str">
        <f ca="1">IFERROR(__xludf.DUMMYFUNCTION("""COMPUTED_VALUE"""),"Стенина Анастасия Алексеевна")</f>
        <v>Стенина Анастасия Алексеевна</v>
      </c>
      <c r="C1364" s="75" t="str">
        <f ca="1">IFERROR(__xludf.DUMMYFUNCTION("""COMPUTED_VALUE"""),"Студент")</f>
        <v>Студент</v>
      </c>
    </row>
    <row r="1365" spans="1:3">
      <c r="A1365" s="76">
        <f ca="1">IFERROR(__xludf.DUMMYFUNCTION("""COMPUTED_VALUE"""),2308068)</f>
        <v>2308068</v>
      </c>
      <c r="B1365" s="76" t="str">
        <f ca="1">IFERROR(__xludf.DUMMYFUNCTION("""COMPUTED_VALUE"""),"Туйгунова Екатерина Ильшатовна")</f>
        <v>Туйгунова Екатерина Ильшатовна</v>
      </c>
      <c r="C1365" s="75" t="str">
        <f ca="1">IFERROR(__xludf.DUMMYFUNCTION("""COMPUTED_VALUE"""),"Студент")</f>
        <v>Студент</v>
      </c>
    </row>
    <row r="1366" spans="1:3">
      <c r="A1366" s="76">
        <f ca="1">IFERROR(__xludf.DUMMYFUNCTION("""COMPUTED_VALUE"""),2308095)</f>
        <v>2308095</v>
      </c>
      <c r="B1366" s="76" t="str">
        <f ca="1">IFERROR(__xludf.DUMMYFUNCTION("""COMPUTED_VALUE"""),"Зелигер Борис Владимирович")</f>
        <v>Зелигер Борис Владимирович</v>
      </c>
      <c r="C1366" s="75" t="str">
        <f ca="1">IFERROR(__xludf.DUMMYFUNCTION("""COMPUTED_VALUE"""),"Студент")</f>
        <v>Студент</v>
      </c>
    </row>
    <row r="1367" spans="1:3">
      <c r="A1367" s="76">
        <f ca="1">IFERROR(__xludf.DUMMYFUNCTION("""COMPUTED_VALUE"""),2308098)</f>
        <v>2308098</v>
      </c>
      <c r="B1367" s="76" t="str">
        <f ca="1">IFERROR(__xludf.DUMMYFUNCTION("""COMPUTED_VALUE"""),"Холькина Анна Александровна")</f>
        <v>Холькина Анна Александровна</v>
      </c>
      <c r="C1367" s="75" t="str">
        <f ca="1">IFERROR(__xludf.DUMMYFUNCTION("""COMPUTED_VALUE"""),"Студент")</f>
        <v>Студент</v>
      </c>
    </row>
    <row r="1368" spans="1:3">
      <c r="A1368" s="76">
        <f ca="1">IFERROR(__xludf.DUMMYFUNCTION("""COMPUTED_VALUE"""),2308113)</f>
        <v>2308113</v>
      </c>
      <c r="B1368" s="76" t="str">
        <f ca="1">IFERROR(__xludf.DUMMYFUNCTION("""COMPUTED_VALUE"""),"Кучерявый Семён Михайлович")</f>
        <v>Кучерявый Семён Михайлович</v>
      </c>
      <c r="C1368" s="75" t="str">
        <f ca="1">IFERROR(__xludf.DUMMYFUNCTION("""COMPUTED_VALUE"""),"Студент")</f>
        <v>Студент</v>
      </c>
    </row>
    <row r="1369" spans="1:3">
      <c r="A1369" s="76">
        <f ca="1">IFERROR(__xludf.DUMMYFUNCTION("""COMPUTED_VALUE"""),2308114)</f>
        <v>2308114</v>
      </c>
      <c r="B1369" s="76" t="str">
        <f ca="1">IFERROR(__xludf.DUMMYFUNCTION("""COMPUTED_VALUE"""),"Тучкин Владислав Сергеевич")</f>
        <v>Тучкин Владислав Сергеевич</v>
      </c>
      <c r="C1369" s="75" t="str">
        <f ca="1">IFERROR(__xludf.DUMMYFUNCTION("""COMPUTED_VALUE"""),"Студент")</f>
        <v>Студент</v>
      </c>
    </row>
    <row r="1370" spans="1:3">
      <c r="A1370" s="76">
        <f ca="1">IFERROR(__xludf.DUMMYFUNCTION("""COMPUTED_VALUE"""),2308116)</f>
        <v>2308116</v>
      </c>
      <c r="B1370" s="76" t="str">
        <f ca="1">IFERROR(__xludf.DUMMYFUNCTION("""COMPUTED_VALUE"""),"Кулыгин Егор Иванович")</f>
        <v>Кулыгин Егор Иванович</v>
      </c>
      <c r="C1370" s="75" t="str">
        <f ca="1">IFERROR(__xludf.DUMMYFUNCTION("""COMPUTED_VALUE"""),"Студент")</f>
        <v>Студент</v>
      </c>
    </row>
    <row r="1371" spans="1:3">
      <c r="A1371" s="76">
        <f ca="1">IFERROR(__xludf.DUMMYFUNCTION("""COMPUTED_VALUE"""),2308122)</f>
        <v>2308122</v>
      </c>
      <c r="B1371" s="76" t="str">
        <f ca="1">IFERROR(__xludf.DUMMYFUNCTION("""COMPUTED_VALUE"""),"Пшенина Варвара Петровна")</f>
        <v>Пшенина Варвара Петровна</v>
      </c>
      <c r="C1371" s="75" t="str">
        <f ca="1">IFERROR(__xludf.DUMMYFUNCTION("""COMPUTED_VALUE"""),"Студент")</f>
        <v>Студент</v>
      </c>
    </row>
    <row r="1372" spans="1:3">
      <c r="A1372" s="76">
        <f ca="1">IFERROR(__xludf.DUMMYFUNCTION("""COMPUTED_VALUE"""),2308134)</f>
        <v>2308134</v>
      </c>
      <c r="B1372" s="76" t="str">
        <f ca="1">IFERROR(__xludf.DUMMYFUNCTION("""COMPUTED_VALUE"""),"Руденко Дарья Анатольевна")</f>
        <v>Руденко Дарья Анатольевна</v>
      </c>
      <c r="C1372" s="75" t="str">
        <f ca="1">IFERROR(__xludf.DUMMYFUNCTION("""COMPUTED_VALUE"""),"Студент")</f>
        <v>Студент</v>
      </c>
    </row>
    <row r="1373" spans="1:3">
      <c r="A1373" s="76">
        <f ca="1">IFERROR(__xludf.DUMMYFUNCTION("""COMPUTED_VALUE"""),2308135)</f>
        <v>2308135</v>
      </c>
      <c r="B1373" s="76" t="str">
        <f ca="1">IFERROR(__xludf.DUMMYFUNCTION("""COMPUTED_VALUE"""),"Янина Анастасия Романовна")</f>
        <v>Янина Анастасия Романовна</v>
      </c>
      <c r="C1373" s="75" t="str">
        <f ca="1">IFERROR(__xludf.DUMMYFUNCTION("""COMPUTED_VALUE"""),"Студент")</f>
        <v>Студент</v>
      </c>
    </row>
    <row r="1374" spans="1:3">
      <c r="A1374" s="76">
        <f ca="1">IFERROR(__xludf.DUMMYFUNCTION("""COMPUTED_VALUE"""),2308137)</f>
        <v>2308137</v>
      </c>
      <c r="B1374" s="76" t="str">
        <f ca="1">IFERROR(__xludf.DUMMYFUNCTION("""COMPUTED_VALUE"""),"Солнцева Варвара Алексеевна")</f>
        <v>Солнцева Варвара Алексеевна</v>
      </c>
      <c r="C1374" s="75" t="str">
        <f ca="1">IFERROR(__xludf.DUMMYFUNCTION("""COMPUTED_VALUE"""),"Студент")</f>
        <v>Студент</v>
      </c>
    </row>
    <row r="1375" spans="1:3">
      <c r="A1375" s="76">
        <f ca="1">IFERROR(__xludf.DUMMYFUNCTION("""COMPUTED_VALUE"""),2308141)</f>
        <v>2308141</v>
      </c>
      <c r="B1375" s="76" t="str">
        <f ca="1">IFERROR(__xludf.DUMMYFUNCTION("""COMPUTED_VALUE"""),"Савчук Ирина Александровна")</f>
        <v>Савчук Ирина Александровна</v>
      </c>
      <c r="C1375" s="75" t="str">
        <f ca="1">IFERROR(__xludf.DUMMYFUNCTION("""COMPUTED_VALUE"""),"Студент")</f>
        <v>Студент</v>
      </c>
    </row>
    <row r="1376" spans="1:3">
      <c r="A1376" s="76">
        <f ca="1">IFERROR(__xludf.DUMMYFUNCTION("""COMPUTED_VALUE"""),2308148)</f>
        <v>2308148</v>
      </c>
      <c r="B1376" s="76" t="str">
        <f ca="1">IFERROR(__xludf.DUMMYFUNCTION("""COMPUTED_VALUE"""),"Карнаухов Иван Алексеевич")</f>
        <v>Карнаухов Иван Алексеевич</v>
      </c>
      <c r="C1376" s="75" t="str">
        <f ca="1">IFERROR(__xludf.DUMMYFUNCTION("""COMPUTED_VALUE"""),"Студент")</f>
        <v>Студент</v>
      </c>
    </row>
    <row r="1377" spans="1:3">
      <c r="A1377" s="76">
        <f ca="1">IFERROR(__xludf.DUMMYFUNCTION("""COMPUTED_VALUE"""),2308150)</f>
        <v>2308150</v>
      </c>
      <c r="B1377" s="76" t="str">
        <f ca="1">IFERROR(__xludf.DUMMYFUNCTION("""COMPUTED_VALUE"""),"Брычев Артём Павлович")</f>
        <v>Брычев Артём Павлович</v>
      </c>
      <c r="C1377" s="75" t="str">
        <f ca="1">IFERROR(__xludf.DUMMYFUNCTION("""COMPUTED_VALUE"""),"Студент")</f>
        <v>Студент</v>
      </c>
    </row>
    <row r="1378" spans="1:3">
      <c r="A1378" s="76">
        <f ca="1">IFERROR(__xludf.DUMMYFUNCTION("""COMPUTED_VALUE"""),2308152)</f>
        <v>2308152</v>
      </c>
      <c r="B1378" s="76" t="str">
        <f ca="1">IFERROR(__xludf.DUMMYFUNCTION("""COMPUTED_VALUE"""),"Старостин Руслан Андреевич")</f>
        <v>Старостин Руслан Андреевич</v>
      </c>
      <c r="C1378" s="75" t="str">
        <f ca="1">IFERROR(__xludf.DUMMYFUNCTION("""COMPUTED_VALUE"""),"Аспирант")</f>
        <v>Аспирант</v>
      </c>
    </row>
    <row r="1379" spans="1:3">
      <c r="A1379" s="76">
        <f ca="1">IFERROR(__xludf.DUMMYFUNCTION("""COMPUTED_VALUE"""),2308153)</f>
        <v>2308153</v>
      </c>
      <c r="B1379" s="76" t="str">
        <f ca="1">IFERROR(__xludf.DUMMYFUNCTION("""COMPUTED_VALUE"""),"Теревникова Полина Николаевна")</f>
        <v>Теревникова Полина Николаевна</v>
      </c>
      <c r="C1379" s="75" t="str">
        <f ca="1">IFERROR(__xludf.DUMMYFUNCTION("""COMPUTED_VALUE"""),"Студент")</f>
        <v>Студент</v>
      </c>
    </row>
    <row r="1380" spans="1:3">
      <c r="A1380" s="76">
        <f ca="1">IFERROR(__xludf.DUMMYFUNCTION("""COMPUTED_VALUE"""),2308154)</f>
        <v>2308154</v>
      </c>
      <c r="B1380" s="76" t="str">
        <f ca="1">IFERROR(__xludf.DUMMYFUNCTION("""COMPUTED_VALUE"""),"Москвин Владимир Александрович")</f>
        <v>Москвин Владимир Александрович</v>
      </c>
      <c r="C1380" s="75" t="str">
        <f ca="1">IFERROR(__xludf.DUMMYFUNCTION("""COMPUTED_VALUE"""),"Студент")</f>
        <v>Студент</v>
      </c>
    </row>
    <row r="1381" spans="1:3">
      <c r="A1381" s="76">
        <f ca="1">IFERROR(__xludf.DUMMYFUNCTION("""COMPUTED_VALUE"""),2308155)</f>
        <v>2308155</v>
      </c>
      <c r="B1381" s="76" t="str">
        <f ca="1">IFERROR(__xludf.DUMMYFUNCTION("""COMPUTED_VALUE"""),"Напаскин Максим Васильевич")</f>
        <v>Напаскин Максим Васильевич</v>
      </c>
      <c r="C1381" s="75" t="str">
        <f ca="1">IFERROR(__xludf.DUMMYFUNCTION("""COMPUTED_VALUE"""),"Студент")</f>
        <v>Студент</v>
      </c>
    </row>
    <row r="1382" spans="1:3">
      <c r="A1382" s="76">
        <f ca="1">IFERROR(__xludf.DUMMYFUNCTION("""COMPUTED_VALUE"""),2308156)</f>
        <v>2308156</v>
      </c>
      <c r="B1382" s="76" t="str">
        <f ca="1">IFERROR(__xludf.DUMMYFUNCTION("""COMPUTED_VALUE"""),"Рыжикова Валерия Олеговна")</f>
        <v>Рыжикова Валерия Олеговна</v>
      </c>
      <c r="C1382" s="75" t="str">
        <f ca="1">IFERROR(__xludf.DUMMYFUNCTION("""COMPUTED_VALUE"""),"Студент")</f>
        <v>Студент</v>
      </c>
    </row>
    <row r="1383" spans="1:3">
      <c r="A1383" s="76">
        <f ca="1">IFERROR(__xludf.DUMMYFUNCTION("""COMPUTED_VALUE"""),2308162)</f>
        <v>2308162</v>
      </c>
      <c r="B1383" s="76" t="str">
        <f ca="1">IFERROR(__xludf.DUMMYFUNCTION("""COMPUTED_VALUE"""),"Чернышов Максим Викторович")</f>
        <v>Чернышов Максим Викторович</v>
      </c>
      <c r="C1383" s="75" t="str">
        <f ca="1">IFERROR(__xludf.DUMMYFUNCTION("""COMPUTED_VALUE"""),"Студент")</f>
        <v>Студент</v>
      </c>
    </row>
    <row r="1384" spans="1:3">
      <c r="A1384" s="76">
        <f ca="1">IFERROR(__xludf.DUMMYFUNCTION("""COMPUTED_VALUE"""),2308168)</f>
        <v>2308168</v>
      </c>
      <c r="B1384" s="76" t="str">
        <f ca="1">IFERROR(__xludf.DUMMYFUNCTION("""COMPUTED_VALUE"""),"Курзаева Софья Юрьевна")</f>
        <v>Курзаева Софья Юрьевна</v>
      </c>
      <c r="C1384" s="75" t="str">
        <f ca="1">IFERROR(__xludf.DUMMYFUNCTION("""COMPUTED_VALUE"""),"Студент")</f>
        <v>Студент</v>
      </c>
    </row>
    <row r="1385" spans="1:3">
      <c r="A1385" s="76">
        <f ca="1">IFERROR(__xludf.DUMMYFUNCTION("""COMPUTED_VALUE"""),2308172)</f>
        <v>2308172</v>
      </c>
      <c r="B1385" s="76" t="str">
        <f ca="1">IFERROR(__xludf.DUMMYFUNCTION("""COMPUTED_VALUE"""),"Колягина Дарья Сергеевна")</f>
        <v>Колягина Дарья Сергеевна</v>
      </c>
      <c r="C1385" s="75" t="str">
        <f ca="1">IFERROR(__xludf.DUMMYFUNCTION("""COMPUTED_VALUE"""),"Студент")</f>
        <v>Студент</v>
      </c>
    </row>
    <row r="1386" spans="1:3">
      <c r="A1386" s="76">
        <f ca="1">IFERROR(__xludf.DUMMYFUNCTION("""COMPUTED_VALUE"""),2308178)</f>
        <v>2308178</v>
      </c>
      <c r="B1386" s="76" t="str">
        <f ca="1">IFERROR(__xludf.DUMMYFUNCTION("""COMPUTED_VALUE"""),"Бачалов Муса Султанович")</f>
        <v>Бачалов Муса Султанович</v>
      </c>
      <c r="C1386" s="75" t="str">
        <f ca="1">IFERROR(__xludf.DUMMYFUNCTION("""COMPUTED_VALUE"""),"Студент")</f>
        <v>Студент</v>
      </c>
    </row>
    <row r="1387" spans="1:3">
      <c r="A1387" s="76">
        <f ca="1">IFERROR(__xludf.DUMMYFUNCTION("""COMPUTED_VALUE"""),2308192)</f>
        <v>2308192</v>
      </c>
      <c r="B1387" s="76" t="str">
        <f ca="1">IFERROR(__xludf.DUMMYFUNCTION("""COMPUTED_VALUE"""),"Обухова Алёна Сергеевна")</f>
        <v>Обухова Алёна Сергеевна</v>
      </c>
      <c r="C1387" s="75" t="str">
        <f ca="1">IFERROR(__xludf.DUMMYFUNCTION("""COMPUTED_VALUE"""),"Студент")</f>
        <v>Студент</v>
      </c>
    </row>
    <row r="1388" spans="1:3">
      <c r="A1388" s="76">
        <f ca="1">IFERROR(__xludf.DUMMYFUNCTION("""COMPUTED_VALUE"""),2308202)</f>
        <v>2308202</v>
      </c>
      <c r="B1388" s="76" t="str">
        <f ca="1">IFERROR(__xludf.DUMMYFUNCTION("""COMPUTED_VALUE"""),"Сапега Виктория Константиновна")</f>
        <v>Сапега Виктория Константиновна</v>
      </c>
      <c r="C1388" s="75" t="str">
        <f ca="1">IFERROR(__xludf.DUMMYFUNCTION("""COMPUTED_VALUE"""),"Студент")</f>
        <v>Студент</v>
      </c>
    </row>
    <row r="1389" spans="1:3">
      <c r="A1389" s="76">
        <f ca="1">IFERROR(__xludf.DUMMYFUNCTION("""COMPUTED_VALUE"""),2308210)</f>
        <v>2308210</v>
      </c>
      <c r="B1389" s="76" t="str">
        <f ca="1">IFERROR(__xludf.DUMMYFUNCTION("""COMPUTED_VALUE"""),"Парыгина Елена Сергеевна")</f>
        <v>Парыгина Елена Сергеевна</v>
      </c>
      <c r="C1389" s="75" t="str">
        <f ca="1">IFERROR(__xludf.DUMMYFUNCTION("""COMPUTED_VALUE"""),"Студент")</f>
        <v>Студент</v>
      </c>
    </row>
    <row r="1390" spans="1:3">
      <c r="A1390" s="76">
        <f ca="1">IFERROR(__xludf.DUMMYFUNCTION("""COMPUTED_VALUE"""),2308216)</f>
        <v>2308216</v>
      </c>
      <c r="B1390" s="76" t="str">
        <f ca="1">IFERROR(__xludf.DUMMYFUNCTION("""COMPUTED_VALUE"""),"Лаптева Екатерина Дмитриевна")</f>
        <v>Лаптева Екатерина Дмитриевна</v>
      </c>
      <c r="C1390" s="75" t="str">
        <f ca="1">IFERROR(__xludf.DUMMYFUNCTION("""COMPUTED_VALUE"""),"Студент")</f>
        <v>Студент</v>
      </c>
    </row>
    <row r="1391" spans="1:3">
      <c r="A1391" s="76">
        <f ca="1">IFERROR(__xludf.DUMMYFUNCTION("""COMPUTED_VALUE"""),2308223)</f>
        <v>2308223</v>
      </c>
      <c r="B1391" s="76" t="str">
        <f ca="1">IFERROR(__xludf.DUMMYFUNCTION("""COMPUTED_VALUE"""),"Хакимова Диана Юрьевна")</f>
        <v>Хакимова Диана Юрьевна</v>
      </c>
      <c r="C1391" s="75" t="str">
        <f ca="1">IFERROR(__xludf.DUMMYFUNCTION("""COMPUTED_VALUE"""),"Студент")</f>
        <v>Студент</v>
      </c>
    </row>
    <row r="1392" spans="1:3">
      <c r="A1392" s="76">
        <f ca="1">IFERROR(__xludf.DUMMYFUNCTION("""COMPUTED_VALUE"""),2308224)</f>
        <v>2308224</v>
      </c>
      <c r="B1392" s="76" t="str">
        <f ca="1">IFERROR(__xludf.DUMMYFUNCTION("""COMPUTED_VALUE"""),"Сушков Илья Алексеевич")</f>
        <v>Сушков Илья Алексеевич</v>
      </c>
      <c r="C1392" s="75" t="str">
        <f ca="1">IFERROR(__xludf.DUMMYFUNCTION("""COMPUTED_VALUE"""),"Студент")</f>
        <v>Студент</v>
      </c>
    </row>
    <row r="1393" spans="1:3">
      <c r="A1393" s="76">
        <f ca="1">IFERROR(__xludf.DUMMYFUNCTION("""COMPUTED_VALUE"""),2308242)</f>
        <v>2308242</v>
      </c>
      <c r="B1393" s="76" t="str">
        <f ca="1">IFERROR(__xludf.DUMMYFUNCTION("""COMPUTED_VALUE"""),"Федулов Платон Сергеевич")</f>
        <v>Федулов Платон Сергеевич</v>
      </c>
      <c r="C1393" s="75" t="str">
        <f ca="1">IFERROR(__xludf.DUMMYFUNCTION("""COMPUTED_VALUE"""),"Студент")</f>
        <v>Студент</v>
      </c>
    </row>
    <row r="1394" spans="1:3">
      <c r="A1394" s="76">
        <f ca="1">IFERROR(__xludf.DUMMYFUNCTION("""COMPUTED_VALUE"""),2308244)</f>
        <v>2308244</v>
      </c>
      <c r="B1394" s="76" t="str">
        <f ca="1">IFERROR(__xludf.DUMMYFUNCTION("""COMPUTED_VALUE"""),"Адзиев Хизри Гамидович")</f>
        <v>Адзиев Хизри Гамидович</v>
      </c>
      <c r="C1394" s="75" t="str">
        <f ca="1">IFERROR(__xludf.DUMMYFUNCTION("""COMPUTED_VALUE"""),"Студент")</f>
        <v>Студент</v>
      </c>
    </row>
    <row r="1395" spans="1:3">
      <c r="A1395" s="76">
        <f ca="1">IFERROR(__xludf.DUMMYFUNCTION("""COMPUTED_VALUE"""),2308248)</f>
        <v>2308248</v>
      </c>
      <c r="B1395" s="76" t="str">
        <f ca="1">IFERROR(__xludf.DUMMYFUNCTION("""COMPUTED_VALUE"""),"Шиндиков Александр Дмитриевич")</f>
        <v>Шиндиков Александр Дмитриевич</v>
      </c>
      <c r="C1395" s="75" t="str">
        <f ca="1">IFERROR(__xludf.DUMMYFUNCTION("""COMPUTED_VALUE"""),"Студент")</f>
        <v>Студент</v>
      </c>
    </row>
    <row r="1396" spans="1:3">
      <c r="A1396" s="76">
        <f ca="1">IFERROR(__xludf.DUMMYFUNCTION("""COMPUTED_VALUE"""),2308256)</f>
        <v>2308256</v>
      </c>
      <c r="B1396" s="76" t="str">
        <f ca="1">IFERROR(__xludf.DUMMYFUNCTION("""COMPUTED_VALUE"""),"Ломенков Владислав Александрович")</f>
        <v>Ломенков Владислав Александрович</v>
      </c>
      <c r="C1396" s="75" t="str">
        <f ca="1">IFERROR(__xludf.DUMMYFUNCTION("""COMPUTED_VALUE"""),"Студент")</f>
        <v>Студент</v>
      </c>
    </row>
    <row r="1397" spans="1:3">
      <c r="A1397" s="76">
        <f ca="1">IFERROR(__xludf.DUMMYFUNCTION("""COMPUTED_VALUE"""),2308274)</f>
        <v>2308274</v>
      </c>
      <c r="B1397" s="76" t="str">
        <f ca="1">IFERROR(__xludf.DUMMYFUNCTION("""COMPUTED_VALUE"""),"Татарцев Александр Сергеевич")</f>
        <v>Татарцев Александр Сергеевич</v>
      </c>
      <c r="C1397" s="75" t="str">
        <f ca="1">IFERROR(__xludf.DUMMYFUNCTION("""COMPUTED_VALUE"""),"Студент")</f>
        <v>Студент</v>
      </c>
    </row>
    <row r="1398" spans="1:3">
      <c r="A1398" s="76">
        <f ca="1">IFERROR(__xludf.DUMMYFUNCTION("""COMPUTED_VALUE"""),2308277)</f>
        <v>2308277</v>
      </c>
      <c r="B1398" s="76" t="str">
        <f ca="1">IFERROR(__xludf.DUMMYFUNCTION("""COMPUTED_VALUE"""),"Кузнечик Борис Александрович")</f>
        <v>Кузнечик Борис Александрович</v>
      </c>
      <c r="C1398" s="75" t="str">
        <f ca="1">IFERROR(__xludf.DUMMYFUNCTION("""COMPUTED_VALUE"""),"Студент")</f>
        <v>Студент</v>
      </c>
    </row>
    <row r="1399" spans="1:3">
      <c r="A1399" s="76">
        <f ca="1">IFERROR(__xludf.DUMMYFUNCTION("""COMPUTED_VALUE"""),2308278)</f>
        <v>2308278</v>
      </c>
      <c r="B1399" s="76" t="str">
        <f ca="1">IFERROR(__xludf.DUMMYFUNCTION("""COMPUTED_VALUE"""),"Волков Валентин Александрович")</f>
        <v>Волков Валентин Александрович</v>
      </c>
      <c r="C1399" s="75" t="str">
        <f ca="1">IFERROR(__xludf.DUMMYFUNCTION("""COMPUTED_VALUE"""),"Студент")</f>
        <v>Студент</v>
      </c>
    </row>
    <row r="1400" spans="1:3">
      <c r="A1400" s="76">
        <f ca="1">IFERROR(__xludf.DUMMYFUNCTION("""COMPUTED_VALUE"""),2308280)</f>
        <v>2308280</v>
      </c>
      <c r="B1400" s="76" t="str">
        <f ca="1">IFERROR(__xludf.DUMMYFUNCTION("""COMPUTED_VALUE"""),"Рябов Макар Андреевич")</f>
        <v>Рябов Макар Андреевич</v>
      </c>
      <c r="C1400" s="75" t="str">
        <f ca="1">IFERROR(__xludf.DUMMYFUNCTION("""COMPUTED_VALUE"""),"Студент")</f>
        <v>Студент</v>
      </c>
    </row>
    <row r="1401" spans="1:3">
      <c r="A1401" s="76">
        <f ca="1">IFERROR(__xludf.DUMMYFUNCTION("""COMPUTED_VALUE"""),2308281)</f>
        <v>2308281</v>
      </c>
      <c r="B1401" s="76" t="str">
        <f ca="1">IFERROR(__xludf.DUMMYFUNCTION("""COMPUTED_VALUE"""),"Чирикова Елизавета Александровна")</f>
        <v>Чирикова Елизавета Александровна</v>
      </c>
      <c r="C1401" s="75" t="str">
        <f ca="1">IFERROR(__xludf.DUMMYFUNCTION("""COMPUTED_VALUE"""),"Студент")</f>
        <v>Студент</v>
      </c>
    </row>
    <row r="1402" spans="1:3">
      <c r="A1402" s="76">
        <f ca="1">IFERROR(__xludf.DUMMYFUNCTION("""COMPUTED_VALUE"""),2308283)</f>
        <v>2308283</v>
      </c>
      <c r="B1402" s="76" t="str">
        <f ca="1">IFERROR(__xludf.DUMMYFUNCTION("""COMPUTED_VALUE"""),"Колесникова Виктория Витальевна")</f>
        <v>Колесникова Виктория Витальевна</v>
      </c>
      <c r="C1402" s="75" t="str">
        <f ca="1">IFERROR(__xludf.DUMMYFUNCTION("""COMPUTED_VALUE"""),"Студент")</f>
        <v>Студент</v>
      </c>
    </row>
    <row r="1403" spans="1:3">
      <c r="A1403" s="76">
        <f ca="1">IFERROR(__xludf.DUMMYFUNCTION("""COMPUTED_VALUE"""),2308290)</f>
        <v>2308290</v>
      </c>
      <c r="B1403" s="76" t="str">
        <f ca="1">IFERROR(__xludf.DUMMYFUNCTION("""COMPUTED_VALUE"""),"Тимонин Владислав Владимирович")</f>
        <v>Тимонин Владислав Владимирович</v>
      </c>
      <c r="C1403" s="75" t="str">
        <f ca="1">IFERROR(__xludf.DUMMYFUNCTION("""COMPUTED_VALUE"""),"Студент")</f>
        <v>Студент</v>
      </c>
    </row>
    <row r="1404" spans="1:3">
      <c r="A1404" s="76">
        <f ca="1">IFERROR(__xludf.DUMMYFUNCTION("""COMPUTED_VALUE"""),2308295)</f>
        <v>2308295</v>
      </c>
      <c r="B1404" s="76" t="str">
        <f ca="1">IFERROR(__xludf.DUMMYFUNCTION("""COMPUTED_VALUE"""),"Кашевский Сергей Владимирович")</f>
        <v>Кашевский Сергей Владимирович</v>
      </c>
      <c r="C1404" s="75" t="str">
        <f ca="1">IFERROR(__xludf.DUMMYFUNCTION("""COMPUTED_VALUE"""),"Студент")</f>
        <v>Студент</v>
      </c>
    </row>
    <row r="1405" spans="1:3">
      <c r="A1405" s="76">
        <f ca="1">IFERROR(__xludf.DUMMYFUNCTION("""COMPUTED_VALUE"""),2308296)</f>
        <v>2308296</v>
      </c>
      <c r="B1405" s="76" t="str">
        <f ca="1">IFERROR(__xludf.DUMMYFUNCTION("""COMPUTED_VALUE"""),"Нефедова Екатерина Игоревна")</f>
        <v>Нефедова Екатерина Игоревна</v>
      </c>
      <c r="C1405" s="75" t="str">
        <f ca="1">IFERROR(__xludf.DUMMYFUNCTION("""COMPUTED_VALUE"""),"Студент")</f>
        <v>Студент</v>
      </c>
    </row>
    <row r="1406" spans="1:3">
      <c r="A1406" s="76">
        <f ca="1">IFERROR(__xludf.DUMMYFUNCTION("""COMPUTED_VALUE"""),2308298)</f>
        <v>2308298</v>
      </c>
      <c r="B1406" s="76" t="str">
        <f ca="1">IFERROR(__xludf.DUMMYFUNCTION("""COMPUTED_VALUE"""),"Кузнецов Антон Юрьевич")</f>
        <v>Кузнецов Антон Юрьевич</v>
      </c>
      <c r="C1406" s="75" t="str">
        <f ca="1">IFERROR(__xludf.DUMMYFUNCTION("""COMPUTED_VALUE"""),"Студент")</f>
        <v>Студент</v>
      </c>
    </row>
    <row r="1407" spans="1:3">
      <c r="A1407" s="76">
        <f ca="1">IFERROR(__xludf.DUMMYFUNCTION("""COMPUTED_VALUE"""),2308306)</f>
        <v>2308306</v>
      </c>
      <c r="B1407" s="76" t="str">
        <f ca="1">IFERROR(__xludf.DUMMYFUNCTION("""COMPUTED_VALUE"""),"Маликов Шохбоз Арслон угли")</f>
        <v>Маликов Шохбоз Арслон угли</v>
      </c>
      <c r="C1407" s="75" t="str">
        <f ca="1">IFERROR(__xludf.DUMMYFUNCTION("""COMPUTED_VALUE"""),"Студент")</f>
        <v>Студент</v>
      </c>
    </row>
    <row r="1408" spans="1:3">
      <c r="A1408" s="76">
        <f ca="1">IFERROR(__xludf.DUMMYFUNCTION("""COMPUTED_VALUE"""),2308309)</f>
        <v>2308309</v>
      </c>
      <c r="B1408" s="76" t="str">
        <f ca="1">IFERROR(__xludf.DUMMYFUNCTION("""COMPUTED_VALUE"""),"Епифанов Данила Игоревич")</f>
        <v>Епифанов Данила Игоревич</v>
      </c>
      <c r="C1408" s="75" t="str">
        <f ca="1">IFERROR(__xludf.DUMMYFUNCTION("""COMPUTED_VALUE"""),"Студент")</f>
        <v>Студент</v>
      </c>
    </row>
    <row r="1409" spans="1:3">
      <c r="A1409" s="76">
        <f ca="1">IFERROR(__xludf.DUMMYFUNCTION("""COMPUTED_VALUE"""),2308310)</f>
        <v>2308310</v>
      </c>
      <c r="B1409" s="76" t="str">
        <f ca="1">IFERROR(__xludf.DUMMYFUNCTION("""COMPUTED_VALUE"""),"Егорова Мария Андреевна")</f>
        <v>Егорова Мария Андреевна</v>
      </c>
      <c r="C1409" s="75" t="str">
        <f ca="1">IFERROR(__xludf.DUMMYFUNCTION("""COMPUTED_VALUE"""),"Студент")</f>
        <v>Студент</v>
      </c>
    </row>
    <row r="1410" spans="1:3">
      <c r="A1410" s="76">
        <f ca="1">IFERROR(__xludf.DUMMYFUNCTION("""COMPUTED_VALUE"""),2308312)</f>
        <v>2308312</v>
      </c>
      <c r="B1410" s="76" t="str">
        <f ca="1">IFERROR(__xludf.DUMMYFUNCTION("""COMPUTED_VALUE"""),"Дохова Фатима Исуфовна")</f>
        <v>Дохова Фатима Исуфовна</v>
      </c>
      <c r="C1410" s="75" t="str">
        <f ca="1">IFERROR(__xludf.DUMMYFUNCTION("""COMPUTED_VALUE"""),"Студент")</f>
        <v>Студент</v>
      </c>
    </row>
    <row r="1411" spans="1:3">
      <c r="A1411" s="76">
        <f ca="1">IFERROR(__xludf.DUMMYFUNCTION("""COMPUTED_VALUE"""),2308323)</f>
        <v>2308323</v>
      </c>
      <c r="B1411" s="76" t="str">
        <f ca="1">IFERROR(__xludf.DUMMYFUNCTION("""COMPUTED_VALUE"""),"Глущенко Анастасия Артёмовна")</f>
        <v>Глущенко Анастасия Артёмовна</v>
      </c>
      <c r="C1411" s="75" t="str">
        <f ca="1">IFERROR(__xludf.DUMMYFUNCTION("""COMPUTED_VALUE"""),"Студент")</f>
        <v>Студент</v>
      </c>
    </row>
    <row r="1412" spans="1:3">
      <c r="A1412" s="76">
        <f ca="1">IFERROR(__xludf.DUMMYFUNCTION("""COMPUTED_VALUE"""),2308327)</f>
        <v>2308327</v>
      </c>
      <c r="B1412" s="76" t="str">
        <f ca="1">IFERROR(__xludf.DUMMYFUNCTION("""COMPUTED_VALUE"""),"Блинова Алиса Олеговна")</f>
        <v>Блинова Алиса Олеговна</v>
      </c>
      <c r="C1412" s="75" t="str">
        <f ca="1">IFERROR(__xludf.DUMMYFUNCTION("""COMPUTED_VALUE"""),"Студент")</f>
        <v>Студент</v>
      </c>
    </row>
    <row r="1413" spans="1:3">
      <c r="A1413" s="76">
        <f ca="1">IFERROR(__xludf.DUMMYFUNCTION("""COMPUTED_VALUE"""),2308336)</f>
        <v>2308336</v>
      </c>
      <c r="B1413" s="76" t="str">
        <f ca="1">IFERROR(__xludf.DUMMYFUNCTION("""COMPUTED_VALUE"""),"Филина Яна Михайловна")</f>
        <v>Филина Яна Михайловна</v>
      </c>
      <c r="C1413" s="75" t="str">
        <f ca="1">IFERROR(__xludf.DUMMYFUNCTION("""COMPUTED_VALUE"""),"Студент")</f>
        <v>Студент</v>
      </c>
    </row>
    <row r="1414" spans="1:3">
      <c r="A1414" s="76">
        <f ca="1">IFERROR(__xludf.DUMMYFUNCTION("""COMPUTED_VALUE"""),2308345)</f>
        <v>2308345</v>
      </c>
      <c r="B1414" s="76" t="str">
        <f ca="1">IFERROR(__xludf.DUMMYFUNCTION("""COMPUTED_VALUE"""),"Корнев Александр Юрьевич")</f>
        <v>Корнев Александр Юрьевич</v>
      </c>
      <c r="C1414" s="75" t="str">
        <f ca="1">IFERROR(__xludf.DUMMYFUNCTION("""COMPUTED_VALUE"""),"Студент")</f>
        <v>Студент</v>
      </c>
    </row>
    <row r="1415" spans="1:3">
      <c r="A1415" s="76">
        <f ca="1">IFERROR(__xludf.DUMMYFUNCTION("""COMPUTED_VALUE"""),2308350)</f>
        <v>2308350</v>
      </c>
      <c r="B1415" s="76" t="str">
        <f ca="1">IFERROR(__xludf.DUMMYFUNCTION("""COMPUTED_VALUE"""),"Синицын Данил Глебович")</f>
        <v>Синицын Данил Глебович</v>
      </c>
      <c r="C1415" s="75" t="str">
        <f ca="1">IFERROR(__xludf.DUMMYFUNCTION("""COMPUTED_VALUE"""),"Студент")</f>
        <v>Студент</v>
      </c>
    </row>
    <row r="1416" spans="1:3">
      <c r="A1416" s="76">
        <f ca="1">IFERROR(__xludf.DUMMYFUNCTION("""COMPUTED_VALUE"""),2308355)</f>
        <v>2308355</v>
      </c>
      <c r="B1416" s="76" t="str">
        <f ca="1">IFERROR(__xludf.DUMMYFUNCTION("""COMPUTED_VALUE"""),"Шкваринская Анастасия Васильевна")</f>
        <v>Шкваринская Анастасия Васильевна</v>
      </c>
      <c r="C1416" s="75" t="str">
        <f ca="1">IFERROR(__xludf.DUMMYFUNCTION("""COMPUTED_VALUE"""),"Студент")</f>
        <v>Студент</v>
      </c>
    </row>
    <row r="1417" spans="1:3">
      <c r="A1417" s="76">
        <f ca="1">IFERROR(__xludf.DUMMYFUNCTION("""COMPUTED_VALUE"""),2308364)</f>
        <v>2308364</v>
      </c>
      <c r="B1417" s="76" t="str">
        <f ca="1">IFERROR(__xludf.DUMMYFUNCTION("""COMPUTED_VALUE"""),"Губанов Михаил Романович")</f>
        <v>Губанов Михаил Романович</v>
      </c>
      <c r="C1417" s="75" t="str">
        <f ca="1">IFERROR(__xludf.DUMMYFUNCTION("""COMPUTED_VALUE"""),"Студент")</f>
        <v>Студент</v>
      </c>
    </row>
    <row r="1418" spans="1:3">
      <c r="A1418" s="76">
        <f ca="1">IFERROR(__xludf.DUMMYFUNCTION("""COMPUTED_VALUE"""),2308365)</f>
        <v>2308365</v>
      </c>
      <c r="B1418" s="76" t="str">
        <f ca="1">IFERROR(__xludf.DUMMYFUNCTION("""COMPUTED_VALUE"""),"Пылаева Анна Алексеевна")</f>
        <v>Пылаева Анна Алексеевна</v>
      </c>
      <c r="C1418" s="75" t="str">
        <f ca="1">IFERROR(__xludf.DUMMYFUNCTION("""COMPUTED_VALUE"""),"Студент")</f>
        <v>Студент</v>
      </c>
    </row>
    <row r="1419" spans="1:3">
      <c r="A1419" s="76">
        <f ca="1">IFERROR(__xludf.DUMMYFUNCTION("""COMPUTED_VALUE"""),2308385)</f>
        <v>2308385</v>
      </c>
      <c r="B1419" s="76" t="str">
        <f ca="1">IFERROR(__xludf.DUMMYFUNCTION("""COMPUTED_VALUE"""),"Милехина Любовь Юрьевна")</f>
        <v>Милехина Любовь Юрьевна</v>
      </c>
      <c r="C1419" s="75" t="str">
        <f ca="1">IFERROR(__xludf.DUMMYFUNCTION("""COMPUTED_VALUE"""),"Студент")</f>
        <v>Студент</v>
      </c>
    </row>
    <row r="1420" spans="1:3">
      <c r="A1420" s="76">
        <f ca="1">IFERROR(__xludf.DUMMYFUNCTION("""COMPUTED_VALUE"""),2308388)</f>
        <v>2308388</v>
      </c>
      <c r="B1420" s="76" t="str">
        <f ca="1">IFERROR(__xludf.DUMMYFUNCTION("""COMPUTED_VALUE"""),"Гогчян Армен Давидович")</f>
        <v>Гогчян Армен Давидович</v>
      </c>
      <c r="C1420" s="75" t="str">
        <f ca="1">IFERROR(__xludf.DUMMYFUNCTION("""COMPUTED_VALUE"""),"Студент")</f>
        <v>Студент</v>
      </c>
    </row>
    <row r="1421" spans="1:3">
      <c r="A1421" s="76">
        <f ca="1">IFERROR(__xludf.DUMMYFUNCTION("""COMPUTED_VALUE"""),2308397)</f>
        <v>2308397</v>
      </c>
      <c r="B1421" s="76" t="str">
        <f ca="1">IFERROR(__xludf.DUMMYFUNCTION("""COMPUTED_VALUE"""),"Волыхина Мария Константиновна")</f>
        <v>Волыхина Мария Константиновна</v>
      </c>
      <c r="C1421" s="75" t="str">
        <f ca="1">IFERROR(__xludf.DUMMYFUNCTION("""COMPUTED_VALUE"""),"Студент")</f>
        <v>Студент</v>
      </c>
    </row>
    <row r="1422" spans="1:3">
      <c r="A1422" s="76">
        <f ca="1">IFERROR(__xludf.DUMMYFUNCTION("""COMPUTED_VALUE"""),2308405)</f>
        <v>2308405</v>
      </c>
      <c r="B1422" s="76" t="str">
        <f ca="1">IFERROR(__xludf.DUMMYFUNCTION("""COMPUTED_VALUE"""),"Вишнякова Кристина Георгиевна")</f>
        <v>Вишнякова Кристина Георгиевна</v>
      </c>
      <c r="C1422" s="75" t="str">
        <f ca="1">IFERROR(__xludf.DUMMYFUNCTION("""COMPUTED_VALUE"""),"Студент")</f>
        <v>Студент</v>
      </c>
    </row>
    <row r="1423" spans="1:3">
      <c r="A1423" s="76">
        <f ca="1">IFERROR(__xludf.DUMMYFUNCTION("""COMPUTED_VALUE"""),2308410)</f>
        <v>2308410</v>
      </c>
      <c r="B1423" s="76" t="str">
        <f ca="1">IFERROR(__xludf.DUMMYFUNCTION("""COMPUTED_VALUE"""),"Таланцев Глеб Александрович")</f>
        <v>Таланцев Глеб Александрович</v>
      </c>
      <c r="C1423" s="75" t="str">
        <f ca="1">IFERROR(__xludf.DUMMYFUNCTION("""COMPUTED_VALUE"""),"Студент")</f>
        <v>Студент</v>
      </c>
    </row>
    <row r="1424" spans="1:3">
      <c r="A1424" s="76">
        <f ca="1">IFERROR(__xludf.DUMMYFUNCTION("""COMPUTED_VALUE"""),2308412)</f>
        <v>2308412</v>
      </c>
      <c r="B1424" s="76" t="str">
        <f ca="1">IFERROR(__xludf.DUMMYFUNCTION("""COMPUTED_VALUE"""),"Филатова Алиса Игоревна")</f>
        <v>Филатова Алиса Игоревна</v>
      </c>
      <c r="C1424" s="75" t="str">
        <f ca="1">IFERROR(__xludf.DUMMYFUNCTION("""COMPUTED_VALUE"""),"Студент")</f>
        <v>Студент</v>
      </c>
    </row>
    <row r="1425" spans="1:3">
      <c r="A1425" s="76">
        <f ca="1">IFERROR(__xludf.DUMMYFUNCTION("""COMPUTED_VALUE"""),2308428)</f>
        <v>2308428</v>
      </c>
      <c r="B1425" s="76" t="str">
        <f ca="1">IFERROR(__xludf.DUMMYFUNCTION("""COMPUTED_VALUE"""),"Муртузаева Алана Зейналовна")</f>
        <v>Муртузаева Алана Зейналовна</v>
      </c>
      <c r="C1425" s="75" t="str">
        <f ca="1">IFERROR(__xludf.DUMMYFUNCTION("""COMPUTED_VALUE"""),"Студент")</f>
        <v>Студент</v>
      </c>
    </row>
    <row r="1426" spans="1:3">
      <c r="A1426" s="76">
        <f ca="1">IFERROR(__xludf.DUMMYFUNCTION("""COMPUTED_VALUE"""),2308444)</f>
        <v>2308444</v>
      </c>
      <c r="B1426" s="76" t="str">
        <f ca="1">IFERROR(__xludf.DUMMYFUNCTION("""COMPUTED_VALUE"""),"Хачиров Антон Вячеславович")</f>
        <v>Хачиров Антон Вячеславович</v>
      </c>
      <c r="C1426" s="75" t="str">
        <f ca="1">IFERROR(__xludf.DUMMYFUNCTION("""COMPUTED_VALUE"""),"Студент")</f>
        <v>Студент</v>
      </c>
    </row>
    <row r="1427" spans="1:3">
      <c r="A1427" s="76">
        <f ca="1">IFERROR(__xludf.DUMMYFUNCTION("""COMPUTED_VALUE"""),2308446)</f>
        <v>2308446</v>
      </c>
      <c r="B1427" s="76" t="str">
        <f ca="1">IFERROR(__xludf.DUMMYFUNCTION("""COMPUTED_VALUE"""),"Ермолаев Кирилл Павлович")</f>
        <v>Ермолаев Кирилл Павлович</v>
      </c>
      <c r="C1427" s="75" t="str">
        <f ca="1">IFERROR(__xludf.DUMMYFUNCTION("""COMPUTED_VALUE"""),"Студент")</f>
        <v>Студент</v>
      </c>
    </row>
    <row r="1428" spans="1:3">
      <c r="A1428" s="76">
        <f ca="1">IFERROR(__xludf.DUMMYFUNCTION("""COMPUTED_VALUE"""),2308447)</f>
        <v>2308447</v>
      </c>
      <c r="B1428" s="76" t="str">
        <f ca="1">IFERROR(__xludf.DUMMYFUNCTION("""COMPUTED_VALUE"""),"Дронов Александр Владимирович")</f>
        <v>Дронов Александр Владимирович</v>
      </c>
      <c r="C1428" s="75" t="str">
        <f ca="1">IFERROR(__xludf.DUMMYFUNCTION("""COMPUTED_VALUE"""),"Студент")</f>
        <v>Студент</v>
      </c>
    </row>
    <row r="1429" spans="1:3">
      <c r="A1429" s="76">
        <f ca="1">IFERROR(__xludf.DUMMYFUNCTION("""COMPUTED_VALUE"""),2308449)</f>
        <v>2308449</v>
      </c>
      <c r="B1429" s="76" t="str">
        <f ca="1">IFERROR(__xludf.DUMMYFUNCTION("""COMPUTED_VALUE"""),"Третьякова Галина Сергеевна")</f>
        <v>Третьякова Галина Сергеевна</v>
      </c>
      <c r="C1429" s="75" t="str">
        <f ca="1">IFERROR(__xludf.DUMMYFUNCTION("""COMPUTED_VALUE"""),"Студент")</f>
        <v>Студент</v>
      </c>
    </row>
    <row r="1430" spans="1:3">
      <c r="A1430" s="76">
        <f ca="1">IFERROR(__xludf.DUMMYFUNCTION("""COMPUTED_VALUE"""),2308451)</f>
        <v>2308451</v>
      </c>
      <c r="B1430" s="76" t="str">
        <f ca="1">IFERROR(__xludf.DUMMYFUNCTION("""COMPUTED_VALUE"""),"Беспалов Кирилл Алексеевич")</f>
        <v>Беспалов Кирилл Алексеевич</v>
      </c>
      <c r="C1430" s="75" t="str">
        <f ca="1">IFERROR(__xludf.DUMMYFUNCTION("""COMPUTED_VALUE"""),"Студент")</f>
        <v>Студент</v>
      </c>
    </row>
    <row r="1431" spans="1:3">
      <c r="A1431" s="76">
        <f ca="1">IFERROR(__xludf.DUMMYFUNCTION("""COMPUTED_VALUE"""),2308455)</f>
        <v>2308455</v>
      </c>
      <c r="B1431" s="76" t="str">
        <f ca="1">IFERROR(__xludf.DUMMYFUNCTION("""COMPUTED_VALUE"""),"Дуткин Тимур Евгеньевич")</f>
        <v>Дуткин Тимур Евгеньевич</v>
      </c>
      <c r="C1431" s="75" t="str">
        <f ca="1">IFERROR(__xludf.DUMMYFUNCTION("""COMPUTED_VALUE"""),"Студент")</f>
        <v>Студент</v>
      </c>
    </row>
    <row r="1432" spans="1:3">
      <c r="A1432" s="76">
        <f ca="1">IFERROR(__xludf.DUMMYFUNCTION("""COMPUTED_VALUE"""),2308457)</f>
        <v>2308457</v>
      </c>
      <c r="B1432" s="76" t="str">
        <f ca="1">IFERROR(__xludf.DUMMYFUNCTION("""COMPUTED_VALUE"""),"Лизандер Анастасия Денисовна")</f>
        <v>Лизандер Анастасия Денисовна</v>
      </c>
      <c r="C1432" s="75" t="str">
        <f ca="1">IFERROR(__xludf.DUMMYFUNCTION("""COMPUTED_VALUE"""),"Студент")</f>
        <v>Студент</v>
      </c>
    </row>
    <row r="1433" spans="1:3">
      <c r="A1433" s="76">
        <f ca="1">IFERROR(__xludf.DUMMYFUNCTION("""COMPUTED_VALUE"""),2308473)</f>
        <v>2308473</v>
      </c>
      <c r="B1433" s="76" t="str">
        <f ca="1">IFERROR(__xludf.DUMMYFUNCTION("""COMPUTED_VALUE"""),"Кулыгин Станислав Алексеевич")</f>
        <v>Кулыгин Станислав Алексеевич</v>
      </c>
      <c r="C1433" s="75" t="str">
        <f ca="1">IFERROR(__xludf.DUMMYFUNCTION("""COMPUTED_VALUE"""),"Студент")</f>
        <v>Студент</v>
      </c>
    </row>
    <row r="1434" spans="1:3">
      <c r="A1434" s="76">
        <f ca="1">IFERROR(__xludf.DUMMYFUNCTION("""COMPUTED_VALUE"""),2308474)</f>
        <v>2308474</v>
      </c>
      <c r="B1434" s="76" t="str">
        <f ca="1">IFERROR(__xludf.DUMMYFUNCTION("""COMPUTED_VALUE"""),"Дятлова Екатерина Валерьевна")</f>
        <v>Дятлова Екатерина Валерьевна</v>
      </c>
      <c r="C1434" s="75" t="str">
        <f ca="1">IFERROR(__xludf.DUMMYFUNCTION("""COMPUTED_VALUE"""),"Студент")</f>
        <v>Студент</v>
      </c>
    </row>
    <row r="1435" spans="1:3">
      <c r="A1435" s="76">
        <f ca="1">IFERROR(__xludf.DUMMYFUNCTION("""COMPUTED_VALUE"""),2308480)</f>
        <v>2308480</v>
      </c>
      <c r="B1435" s="76" t="str">
        <f ca="1">IFERROR(__xludf.DUMMYFUNCTION("""COMPUTED_VALUE"""),"Егоров Даниил Юрьевич")</f>
        <v>Егоров Даниил Юрьевич</v>
      </c>
      <c r="C1435" s="75" t="str">
        <f ca="1">IFERROR(__xludf.DUMMYFUNCTION("""COMPUTED_VALUE"""),"Студент")</f>
        <v>Студент</v>
      </c>
    </row>
    <row r="1436" spans="1:3">
      <c r="A1436" s="76">
        <f ca="1">IFERROR(__xludf.DUMMYFUNCTION("""COMPUTED_VALUE"""),2308482)</f>
        <v>2308482</v>
      </c>
      <c r="B1436" s="76" t="str">
        <f ca="1">IFERROR(__xludf.DUMMYFUNCTION("""COMPUTED_VALUE"""),"Абрамова Анисья Денисовна")</f>
        <v>Абрамова Анисья Денисовна</v>
      </c>
      <c r="C1436" s="75" t="str">
        <f ca="1">IFERROR(__xludf.DUMMYFUNCTION("""COMPUTED_VALUE"""),"Студент")</f>
        <v>Студент</v>
      </c>
    </row>
    <row r="1437" spans="1:3">
      <c r="A1437" s="76">
        <f ca="1">IFERROR(__xludf.DUMMYFUNCTION("""COMPUTED_VALUE"""),2308488)</f>
        <v>2308488</v>
      </c>
      <c r="B1437" s="76" t="str">
        <f ca="1">IFERROR(__xludf.DUMMYFUNCTION("""COMPUTED_VALUE"""),"Дмитриев Никита Борисович")</f>
        <v>Дмитриев Никита Борисович</v>
      </c>
      <c r="C1437" s="75" t="str">
        <f ca="1">IFERROR(__xludf.DUMMYFUNCTION("""COMPUTED_VALUE"""),"Студент")</f>
        <v>Студент</v>
      </c>
    </row>
    <row r="1438" spans="1:3">
      <c r="A1438" s="76">
        <f ca="1">IFERROR(__xludf.DUMMYFUNCTION("""COMPUTED_VALUE"""),2308489)</f>
        <v>2308489</v>
      </c>
      <c r="B1438" s="76" t="str">
        <f ca="1">IFERROR(__xludf.DUMMYFUNCTION("""COMPUTED_VALUE"""),"Бекбергенова Диана Батржановна")</f>
        <v>Бекбергенова Диана Батржановна</v>
      </c>
      <c r="C1438" s="75" t="str">
        <f ca="1">IFERROR(__xludf.DUMMYFUNCTION("""COMPUTED_VALUE"""),"Студент")</f>
        <v>Студент</v>
      </c>
    </row>
    <row r="1439" spans="1:3">
      <c r="A1439" s="76">
        <f ca="1">IFERROR(__xludf.DUMMYFUNCTION("""COMPUTED_VALUE"""),2308490)</f>
        <v>2308490</v>
      </c>
      <c r="B1439" s="76" t="str">
        <f ca="1">IFERROR(__xludf.DUMMYFUNCTION("""COMPUTED_VALUE"""),"Троицких Олеся Сергеевна")</f>
        <v>Троицких Олеся Сергеевна</v>
      </c>
      <c r="C1439" s="75" t="str">
        <f ca="1">IFERROR(__xludf.DUMMYFUNCTION("""COMPUTED_VALUE"""),"Студент")</f>
        <v>Студент</v>
      </c>
    </row>
    <row r="1440" spans="1:3">
      <c r="A1440" s="76">
        <f ca="1">IFERROR(__xludf.DUMMYFUNCTION("""COMPUTED_VALUE"""),2308497)</f>
        <v>2308497</v>
      </c>
      <c r="B1440" s="76" t="str">
        <f ca="1">IFERROR(__xludf.DUMMYFUNCTION("""COMPUTED_VALUE"""),"Пронина Дарья Эдуардовна")</f>
        <v>Пронина Дарья Эдуардовна</v>
      </c>
      <c r="C1440" s="75" t="str">
        <f ca="1">IFERROR(__xludf.DUMMYFUNCTION("""COMPUTED_VALUE"""),"Аспирант")</f>
        <v>Аспирант</v>
      </c>
    </row>
    <row r="1441" spans="1:3">
      <c r="A1441" s="76">
        <f ca="1">IFERROR(__xludf.DUMMYFUNCTION("""COMPUTED_VALUE"""),2308500)</f>
        <v>2308500</v>
      </c>
      <c r="B1441" s="76" t="str">
        <f ca="1">IFERROR(__xludf.DUMMYFUNCTION("""COMPUTED_VALUE"""),"Рагозин Артём Алексеевич")</f>
        <v>Рагозин Артём Алексеевич</v>
      </c>
      <c r="C1441" s="75" t="str">
        <f ca="1">IFERROR(__xludf.DUMMYFUNCTION("""COMPUTED_VALUE"""),"Студент")</f>
        <v>Студент</v>
      </c>
    </row>
    <row r="1442" spans="1:3">
      <c r="A1442" s="76">
        <f ca="1">IFERROR(__xludf.DUMMYFUNCTION("""COMPUTED_VALUE"""),2308507)</f>
        <v>2308507</v>
      </c>
      <c r="B1442" s="76" t="str">
        <f ca="1">IFERROR(__xludf.DUMMYFUNCTION("""COMPUTED_VALUE"""),"Хвощ Лилия Леонидовна")</f>
        <v>Хвощ Лилия Леонидовна</v>
      </c>
      <c r="C1442" s="75" t="str">
        <f ca="1">IFERROR(__xludf.DUMMYFUNCTION("""COMPUTED_VALUE"""),"Студент")</f>
        <v>Студент</v>
      </c>
    </row>
    <row r="1443" spans="1:3">
      <c r="A1443" s="76">
        <f ca="1">IFERROR(__xludf.DUMMYFUNCTION("""COMPUTED_VALUE"""),2308511)</f>
        <v>2308511</v>
      </c>
      <c r="B1443" s="76" t="str">
        <f ca="1">IFERROR(__xludf.DUMMYFUNCTION("""COMPUTED_VALUE"""),"Ахмедова Хадижат Ахмедовна")</f>
        <v>Ахмедова Хадижат Ахмедовна</v>
      </c>
      <c r="C1443" s="75" t="str">
        <f ca="1">IFERROR(__xludf.DUMMYFUNCTION("""COMPUTED_VALUE"""),"Студент")</f>
        <v>Студент</v>
      </c>
    </row>
    <row r="1444" spans="1:3">
      <c r="A1444" s="76">
        <f ca="1">IFERROR(__xludf.DUMMYFUNCTION("""COMPUTED_VALUE"""),2308521)</f>
        <v>2308521</v>
      </c>
      <c r="B1444" s="76" t="str">
        <f ca="1">IFERROR(__xludf.DUMMYFUNCTION("""COMPUTED_VALUE"""),"Матрос Николай Романович")</f>
        <v>Матрос Николай Романович</v>
      </c>
      <c r="C1444" s="75" t="str">
        <f ca="1">IFERROR(__xludf.DUMMYFUNCTION("""COMPUTED_VALUE"""),"Аспирант")</f>
        <v>Аспирант</v>
      </c>
    </row>
    <row r="1445" spans="1:3">
      <c r="A1445" s="76">
        <f ca="1">IFERROR(__xludf.DUMMYFUNCTION("""COMPUTED_VALUE"""),2308529)</f>
        <v>2308529</v>
      </c>
      <c r="B1445" s="76" t="str">
        <f ca="1">IFERROR(__xludf.DUMMYFUNCTION("""COMPUTED_VALUE"""),"Шушков Максим Павлович")</f>
        <v>Шушков Максим Павлович</v>
      </c>
      <c r="C1445" s="75" t="str">
        <f ca="1">IFERROR(__xludf.DUMMYFUNCTION("""COMPUTED_VALUE"""),"Студент")</f>
        <v>Студент</v>
      </c>
    </row>
    <row r="1446" spans="1:3">
      <c r="A1446" s="76">
        <f ca="1">IFERROR(__xludf.DUMMYFUNCTION("""COMPUTED_VALUE"""),2308535)</f>
        <v>2308535</v>
      </c>
      <c r="B1446" s="76" t="str">
        <f ca="1">IFERROR(__xludf.DUMMYFUNCTION("""COMPUTED_VALUE"""),"Асафова Юлия Александровна")</f>
        <v>Асафова Юлия Александровна</v>
      </c>
      <c r="C1446" s="75" t="str">
        <f ca="1">IFERROR(__xludf.DUMMYFUNCTION("""COMPUTED_VALUE"""),"Студент")</f>
        <v>Студент</v>
      </c>
    </row>
    <row r="1447" spans="1:3">
      <c r="A1447" s="76">
        <f ca="1">IFERROR(__xludf.DUMMYFUNCTION("""COMPUTED_VALUE"""),2308538)</f>
        <v>2308538</v>
      </c>
      <c r="B1447" s="76" t="str">
        <f ca="1">IFERROR(__xludf.DUMMYFUNCTION("""COMPUTED_VALUE"""),"Мукашева Айпери Токойбековна")</f>
        <v>Мукашева Айпери Токойбековна</v>
      </c>
      <c r="C1447" s="75" t="str">
        <f ca="1">IFERROR(__xludf.DUMMYFUNCTION("""COMPUTED_VALUE"""),"Студент")</f>
        <v>Студент</v>
      </c>
    </row>
    <row r="1448" spans="1:3">
      <c r="A1448" s="76">
        <f ca="1">IFERROR(__xludf.DUMMYFUNCTION("""COMPUTED_VALUE"""),2308540)</f>
        <v>2308540</v>
      </c>
      <c r="B1448" s="76" t="str">
        <f ca="1">IFERROR(__xludf.DUMMYFUNCTION("""COMPUTED_VALUE"""),"Кондрова Анастасия Олеговна")</f>
        <v>Кондрова Анастасия Олеговна</v>
      </c>
      <c r="C1448" s="75" t="str">
        <f ca="1">IFERROR(__xludf.DUMMYFUNCTION("""COMPUTED_VALUE"""),"Студент")</f>
        <v>Студент</v>
      </c>
    </row>
    <row r="1449" spans="1:3">
      <c r="A1449" s="76">
        <f ca="1">IFERROR(__xludf.DUMMYFUNCTION("""COMPUTED_VALUE"""),2308542)</f>
        <v>2308542</v>
      </c>
      <c r="B1449" s="76" t="str">
        <f ca="1">IFERROR(__xludf.DUMMYFUNCTION("""COMPUTED_VALUE"""),"Жумабаева Ленара Шухратовна")</f>
        <v>Жумабаева Ленара Шухратовна</v>
      </c>
      <c r="C1449" s="75" t="str">
        <f ca="1">IFERROR(__xludf.DUMMYFUNCTION("""COMPUTED_VALUE"""),"Студент")</f>
        <v>Студент</v>
      </c>
    </row>
    <row r="1450" spans="1:3">
      <c r="A1450" s="76">
        <f ca="1">IFERROR(__xludf.DUMMYFUNCTION("""COMPUTED_VALUE"""),2308545)</f>
        <v>2308545</v>
      </c>
      <c r="B1450" s="76" t="str">
        <f ca="1">IFERROR(__xludf.DUMMYFUNCTION("""COMPUTED_VALUE"""),"Кривоногова Кира Дмитриевна")</f>
        <v>Кривоногова Кира Дмитриевна</v>
      </c>
      <c r="C1450" s="75" t="str">
        <f ca="1">IFERROR(__xludf.DUMMYFUNCTION("""COMPUTED_VALUE"""),"Студент")</f>
        <v>Студент</v>
      </c>
    </row>
    <row r="1451" spans="1:3">
      <c r="A1451" s="76">
        <f ca="1">IFERROR(__xludf.DUMMYFUNCTION("""COMPUTED_VALUE"""),2308558)</f>
        <v>2308558</v>
      </c>
      <c r="B1451" s="76" t="str">
        <f ca="1">IFERROR(__xludf.DUMMYFUNCTION("""COMPUTED_VALUE"""),"Никитин Даниэль Павлович")</f>
        <v>Никитин Даниэль Павлович</v>
      </c>
      <c r="C1451" s="75" t="str">
        <f ca="1">IFERROR(__xludf.DUMMYFUNCTION("""COMPUTED_VALUE"""),"Студент")</f>
        <v>Студент</v>
      </c>
    </row>
    <row r="1452" spans="1:3">
      <c r="A1452" s="76">
        <f ca="1">IFERROR(__xludf.DUMMYFUNCTION("""COMPUTED_VALUE"""),2308559)</f>
        <v>2308559</v>
      </c>
      <c r="B1452" s="76" t="str">
        <f ca="1">IFERROR(__xludf.DUMMYFUNCTION("""COMPUTED_VALUE"""),"Лисеенко Даниил Максимович")</f>
        <v>Лисеенко Даниил Максимович</v>
      </c>
      <c r="C1452" s="75" t="str">
        <f ca="1">IFERROR(__xludf.DUMMYFUNCTION("""COMPUTED_VALUE"""),"Студент")</f>
        <v>Студент</v>
      </c>
    </row>
    <row r="1453" spans="1:3">
      <c r="A1453" s="76">
        <f ca="1">IFERROR(__xludf.DUMMYFUNCTION("""COMPUTED_VALUE"""),2308560)</f>
        <v>2308560</v>
      </c>
      <c r="B1453" s="76" t="str">
        <f ca="1">IFERROR(__xludf.DUMMYFUNCTION("""COMPUTED_VALUE"""),"Евдокимов Александр Юрьевич")</f>
        <v>Евдокимов Александр Юрьевич</v>
      </c>
      <c r="C1453" s="75" t="str">
        <f ca="1">IFERROR(__xludf.DUMMYFUNCTION("""COMPUTED_VALUE"""),"Студент")</f>
        <v>Студент</v>
      </c>
    </row>
    <row r="1454" spans="1:3">
      <c r="A1454" s="76">
        <f ca="1">IFERROR(__xludf.DUMMYFUNCTION("""COMPUTED_VALUE"""),2308563)</f>
        <v>2308563</v>
      </c>
      <c r="B1454" s="76" t="str">
        <f ca="1">IFERROR(__xludf.DUMMYFUNCTION("""COMPUTED_VALUE"""),"Добрева Арина Руслановна")</f>
        <v>Добрева Арина Руслановна</v>
      </c>
      <c r="C1454" s="75" t="str">
        <f ca="1">IFERROR(__xludf.DUMMYFUNCTION("""COMPUTED_VALUE"""),"Студент")</f>
        <v>Студент</v>
      </c>
    </row>
    <row r="1455" spans="1:3">
      <c r="A1455" s="76">
        <f ca="1">IFERROR(__xludf.DUMMYFUNCTION("""COMPUTED_VALUE"""),2308569)</f>
        <v>2308569</v>
      </c>
      <c r="B1455" s="76" t="str">
        <f ca="1">IFERROR(__xludf.DUMMYFUNCTION("""COMPUTED_VALUE"""),"Ватутина Ксения Алексеевна")</f>
        <v>Ватутина Ксения Алексеевна</v>
      </c>
      <c r="C1455" s="75" t="str">
        <f ca="1">IFERROR(__xludf.DUMMYFUNCTION("""COMPUTED_VALUE"""),"Студент")</f>
        <v>Студент</v>
      </c>
    </row>
    <row r="1456" spans="1:3">
      <c r="A1456" s="76">
        <f ca="1">IFERROR(__xludf.DUMMYFUNCTION("""COMPUTED_VALUE"""),2308578)</f>
        <v>2308578</v>
      </c>
      <c r="B1456" s="76" t="str">
        <f ca="1">IFERROR(__xludf.DUMMYFUNCTION("""COMPUTED_VALUE"""),"Борисенко Ирина Сергеевна")</f>
        <v>Борисенко Ирина Сергеевна</v>
      </c>
      <c r="C1456" s="75" t="str">
        <f ca="1">IFERROR(__xludf.DUMMYFUNCTION("""COMPUTED_VALUE"""),"Студент")</f>
        <v>Студент</v>
      </c>
    </row>
    <row r="1457" spans="1:3">
      <c r="A1457" s="76">
        <f ca="1">IFERROR(__xludf.DUMMYFUNCTION("""COMPUTED_VALUE"""),2308583)</f>
        <v>2308583</v>
      </c>
      <c r="B1457" s="76" t="str">
        <f ca="1">IFERROR(__xludf.DUMMYFUNCTION("""COMPUTED_VALUE"""),"Куликова Анастасия Евгеньевна")</f>
        <v>Куликова Анастасия Евгеньевна</v>
      </c>
      <c r="C1457" s="75" t="str">
        <f ca="1">IFERROR(__xludf.DUMMYFUNCTION("""COMPUTED_VALUE"""),"Студент")</f>
        <v>Студент</v>
      </c>
    </row>
    <row r="1458" spans="1:3">
      <c r="A1458" s="76">
        <f ca="1">IFERROR(__xludf.DUMMYFUNCTION("""COMPUTED_VALUE"""),2308584)</f>
        <v>2308584</v>
      </c>
      <c r="B1458" s="76" t="str">
        <f ca="1">IFERROR(__xludf.DUMMYFUNCTION("""COMPUTED_VALUE"""),"Выприцкая Юлия Анатольевна")</f>
        <v>Выприцкая Юлия Анатольевна</v>
      </c>
      <c r="C1458" s="75" t="str">
        <f ca="1">IFERROR(__xludf.DUMMYFUNCTION("""COMPUTED_VALUE"""),"Студент")</f>
        <v>Студент</v>
      </c>
    </row>
    <row r="1459" spans="1:3">
      <c r="A1459" s="76">
        <f ca="1">IFERROR(__xludf.DUMMYFUNCTION("""COMPUTED_VALUE"""),2308588)</f>
        <v>2308588</v>
      </c>
      <c r="B1459" s="76" t="str">
        <f ca="1">IFERROR(__xludf.DUMMYFUNCTION("""COMPUTED_VALUE"""),"Павлов Георгий Сергеевич")</f>
        <v>Павлов Георгий Сергеевич</v>
      </c>
      <c r="C1459" s="75" t="str">
        <f ca="1">IFERROR(__xludf.DUMMYFUNCTION("""COMPUTED_VALUE"""),"Студент")</f>
        <v>Студент</v>
      </c>
    </row>
    <row r="1460" spans="1:3">
      <c r="A1460" s="76">
        <f ca="1">IFERROR(__xludf.DUMMYFUNCTION("""COMPUTED_VALUE"""),2308595)</f>
        <v>2308595</v>
      </c>
      <c r="B1460" s="76" t="str">
        <f ca="1">IFERROR(__xludf.DUMMYFUNCTION("""COMPUTED_VALUE"""),"Ибрагимов Рустам Раимович")</f>
        <v>Ибрагимов Рустам Раимович</v>
      </c>
      <c r="C1460" s="75" t="str">
        <f ca="1">IFERROR(__xludf.DUMMYFUNCTION("""COMPUTED_VALUE"""),"Студент")</f>
        <v>Студент</v>
      </c>
    </row>
    <row r="1461" spans="1:3">
      <c r="A1461" s="76">
        <f ca="1">IFERROR(__xludf.DUMMYFUNCTION("""COMPUTED_VALUE"""),2308603)</f>
        <v>2308603</v>
      </c>
      <c r="B1461" s="76" t="str">
        <f ca="1">IFERROR(__xludf.DUMMYFUNCTION("""COMPUTED_VALUE"""),"Дин Дмитрий Сергеевич")</f>
        <v>Дин Дмитрий Сергеевич</v>
      </c>
      <c r="C1461" s="75" t="str">
        <f ca="1">IFERROR(__xludf.DUMMYFUNCTION("""COMPUTED_VALUE"""),"Студент")</f>
        <v>Студент</v>
      </c>
    </row>
    <row r="1462" spans="1:3">
      <c r="A1462" s="76">
        <f ca="1">IFERROR(__xludf.DUMMYFUNCTION("""COMPUTED_VALUE"""),2308606)</f>
        <v>2308606</v>
      </c>
      <c r="B1462" s="76" t="str">
        <f ca="1">IFERROR(__xludf.DUMMYFUNCTION("""COMPUTED_VALUE"""),"Вольская Алёна Александровна")</f>
        <v>Вольская Алёна Александровна</v>
      </c>
      <c r="C1462" s="75" t="str">
        <f ca="1">IFERROR(__xludf.DUMMYFUNCTION("""COMPUTED_VALUE"""),"Студент")</f>
        <v>Студент</v>
      </c>
    </row>
    <row r="1463" spans="1:3">
      <c r="A1463" s="76">
        <f ca="1">IFERROR(__xludf.DUMMYFUNCTION("""COMPUTED_VALUE"""),2308622)</f>
        <v>2308622</v>
      </c>
      <c r="B1463" s="76" t="str">
        <f ca="1">IFERROR(__xludf.DUMMYFUNCTION("""COMPUTED_VALUE"""),"Кузякин Алексей Сергеевич")</f>
        <v>Кузякин Алексей Сергеевич</v>
      </c>
      <c r="C1463" s="75" t="str">
        <f ca="1">IFERROR(__xludf.DUMMYFUNCTION("""COMPUTED_VALUE"""),"Студент")</f>
        <v>Студент</v>
      </c>
    </row>
    <row r="1464" spans="1:3">
      <c r="A1464" s="76">
        <f ca="1">IFERROR(__xludf.DUMMYFUNCTION("""COMPUTED_VALUE"""),2308625)</f>
        <v>2308625</v>
      </c>
      <c r="B1464" s="76" t="str">
        <f ca="1">IFERROR(__xludf.DUMMYFUNCTION("""COMPUTED_VALUE"""),"Меньщиков Артём Алексеевич")</f>
        <v>Меньщиков Артём Алексеевич</v>
      </c>
      <c r="C1464" s="75" t="str">
        <f ca="1">IFERROR(__xludf.DUMMYFUNCTION("""COMPUTED_VALUE"""),"Студент")</f>
        <v>Студент</v>
      </c>
    </row>
    <row r="1465" spans="1:3">
      <c r="A1465" s="76">
        <f ca="1">IFERROR(__xludf.DUMMYFUNCTION("""COMPUTED_VALUE"""),2308628)</f>
        <v>2308628</v>
      </c>
      <c r="B1465" s="76" t="str">
        <f ca="1">IFERROR(__xludf.DUMMYFUNCTION("""COMPUTED_VALUE"""),"Дробнов Елисей Андреевич")</f>
        <v>Дробнов Елисей Андреевич</v>
      </c>
      <c r="C1465" s="75" t="str">
        <f ca="1">IFERROR(__xludf.DUMMYFUNCTION("""COMPUTED_VALUE"""),"Студент")</f>
        <v>Студент</v>
      </c>
    </row>
    <row r="1466" spans="1:3">
      <c r="A1466" s="76">
        <f ca="1">IFERROR(__xludf.DUMMYFUNCTION("""COMPUTED_VALUE"""),2308639)</f>
        <v>2308639</v>
      </c>
      <c r="B1466" s="76" t="str">
        <f ca="1">IFERROR(__xludf.DUMMYFUNCTION("""COMPUTED_VALUE"""),"Курбонов Шерзод Сарахонович")</f>
        <v>Курбонов Шерзод Сарахонович</v>
      </c>
      <c r="C1466" s="75" t="str">
        <f ca="1">IFERROR(__xludf.DUMMYFUNCTION("""COMPUTED_VALUE"""),"Студент")</f>
        <v>Студент</v>
      </c>
    </row>
    <row r="1467" spans="1:3">
      <c r="A1467" s="76">
        <f ca="1">IFERROR(__xludf.DUMMYFUNCTION("""COMPUTED_VALUE"""),2308640)</f>
        <v>2308640</v>
      </c>
      <c r="B1467" s="76" t="str">
        <f ca="1">IFERROR(__xludf.DUMMYFUNCTION("""COMPUTED_VALUE"""),"Астахов Алексей Геннадьевич")</f>
        <v>Астахов Алексей Геннадьевич</v>
      </c>
      <c r="C1467" s="75" t="str">
        <f ca="1">IFERROR(__xludf.DUMMYFUNCTION("""COMPUTED_VALUE"""),"Студент")</f>
        <v>Студент</v>
      </c>
    </row>
    <row r="1468" spans="1:3">
      <c r="A1468" s="76">
        <f ca="1">IFERROR(__xludf.DUMMYFUNCTION("""COMPUTED_VALUE"""),2308650)</f>
        <v>2308650</v>
      </c>
      <c r="B1468" s="76" t="str">
        <f ca="1">IFERROR(__xludf.DUMMYFUNCTION("""COMPUTED_VALUE"""),"Харламов Андрей Николаевич")</f>
        <v>Харламов Андрей Николаевич</v>
      </c>
      <c r="C1468" s="75" t="str">
        <f ca="1">IFERROR(__xludf.DUMMYFUNCTION("""COMPUTED_VALUE"""),"Студент")</f>
        <v>Студент</v>
      </c>
    </row>
    <row r="1469" spans="1:3">
      <c r="A1469" s="76">
        <f ca="1">IFERROR(__xludf.DUMMYFUNCTION("""COMPUTED_VALUE"""),2308654)</f>
        <v>2308654</v>
      </c>
      <c r="B1469" s="76" t="str">
        <f ca="1">IFERROR(__xludf.DUMMYFUNCTION("""COMPUTED_VALUE"""),"Попов Константин Алексеевич")</f>
        <v>Попов Константин Алексеевич</v>
      </c>
      <c r="C1469" s="75" t="str">
        <f ca="1">IFERROR(__xludf.DUMMYFUNCTION("""COMPUTED_VALUE"""),"Студент")</f>
        <v>Студент</v>
      </c>
    </row>
    <row r="1470" spans="1:3">
      <c r="A1470" s="76">
        <f ca="1">IFERROR(__xludf.DUMMYFUNCTION("""COMPUTED_VALUE"""),2308660)</f>
        <v>2308660</v>
      </c>
      <c r="B1470" s="76" t="str">
        <f ca="1">IFERROR(__xludf.DUMMYFUNCTION("""COMPUTED_VALUE"""),"Охлопков Матвей Анатольевич")</f>
        <v>Охлопков Матвей Анатольевич</v>
      </c>
      <c r="C1470" s="75" t="str">
        <f ca="1">IFERROR(__xludf.DUMMYFUNCTION("""COMPUTED_VALUE"""),"Студент")</f>
        <v>Студент</v>
      </c>
    </row>
    <row r="1471" spans="1:3">
      <c r="A1471" s="76">
        <f ca="1">IFERROR(__xludf.DUMMYFUNCTION("""COMPUTED_VALUE"""),2308667)</f>
        <v>2308667</v>
      </c>
      <c r="B1471" s="76" t="str">
        <f ca="1">IFERROR(__xludf.DUMMYFUNCTION("""COMPUTED_VALUE"""),"Малахова Елена Николаевна")</f>
        <v>Малахова Елена Николаевна</v>
      </c>
      <c r="C1471" s="75" t="str">
        <f ca="1">IFERROR(__xludf.DUMMYFUNCTION("""COMPUTED_VALUE"""),"Студент")</f>
        <v>Студент</v>
      </c>
    </row>
    <row r="1472" spans="1:3">
      <c r="A1472" s="76">
        <f ca="1">IFERROR(__xludf.DUMMYFUNCTION("""COMPUTED_VALUE"""),2308671)</f>
        <v>2308671</v>
      </c>
      <c r="B1472" s="76" t="str">
        <f ca="1">IFERROR(__xludf.DUMMYFUNCTION("""COMPUTED_VALUE"""),"Сергиенко Надежда Леонтьевна")</f>
        <v>Сергиенко Надежда Леонтьевна</v>
      </c>
      <c r="C1472" s="75" t="str">
        <f ca="1">IFERROR(__xludf.DUMMYFUNCTION("""COMPUTED_VALUE"""),"Студент")</f>
        <v>Студент</v>
      </c>
    </row>
    <row r="1473" spans="1:3">
      <c r="A1473" s="76">
        <f ca="1">IFERROR(__xludf.DUMMYFUNCTION("""COMPUTED_VALUE"""),2308673)</f>
        <v>2308673</v>
      </c>
      <c r="B1473" s="76" t="str">
        <f ca="1">IFERROR(__xludf.DUMMYFUNCTION("""COMPUTED_VALUE"""),"Присяжный Егор Алексеевич")</f>
        <v>Присяжный Егор Алексеевич</v>
      </c>
      <c r="C1473" s="75" t="str">
        <f ca="1">IFERROR(__xludf.DUMMYFUNCTION("""COMPUTED_VALUE"""),"Студент")</f>
        <v>Студент</v>
      </c>
    </row>
    <row r="1474" spans="1:3">
      <c r="A1474" s="76">
        <f ca="1">IFERROR(__xludf.DUMMYFUNCTION("""COMPUTED_VALUE"""),2308677)</f>
        <v>2308677</v>
      </c>
      <c r="B1474" s="76" t="str">
        <f ca="1">IFERROR(__xludf.DUMMYFUNCTION("""COMPUTED_VALUE"""),"Павликеевич Дмитрий Александрович")</f>
        <v>Павликеевич Дмитрий Александрович</v>
      </c>
      <c r="C1474" s="75" t="str">
        <f ca="1">IFERROR(__xludf.DUMMYFUNCTION("""COMPUTED_VALUE"""),"Студент")</f>
        <v>Студент</v>
      </c>
    </row>
    <row r="1475" spans="1:3">
      <c r="A1475" s="76">
        <f ca="1">IFERROR(__xludf.DUMMYFUNCTION("""COMPUTED_VALUE"""),2308686)</f>
        <v>2308686</v>
      </c>
      <c r="B1475" s="76" t="str">
        <f ca="1">IFERROR(__xludf.DUMMYFUNCTION("""COMPUTED_VALUE"""),"Войтова Снежана Сергеевна")</f>
        <v>Войтова Снежана Сергеевна</v>
      </c>
      <c r="C1475" s="75" t="str">
        <f ca="1">IFERROR(__xludf.DUMMYFUNCTION("""COMPUTED_VALUE"""),"Студент")</f>
        <v>Студент</v>
      </c>
    </row>
    <row r="1476" spans="1:3">
      <c r="A1476" s="76">
        <f ca="1">IFERROR(__xludf.DUMMYFUNCTION("""COMPUTED_VALUE"""),2308692)</f>
        <v>2308692</v>
      </c>
      <c r="B1476" s="76" t="str">
        <f ca="1">IFERROR(__xludf.DUMMYFUNCTION("""COMPUTED_VALUE"""),"Гончаров Леонид Александрович")</f>
        <v>Гончаров Леонид Александрович</v>
      </c>
      <c r="C1476" s="75" t="str">
        <f ca="1">IFERROR(__xludf.DUMMYFUNCTION("""COMPUTED_VALUE"""),"Студент")</f>
        <v>Студент</v>
      </c>
    </row>
    <row r="1477" spans="1:3">
      <c r="A1477" s="76">
        <f ca="1">IFERROR(__xludf.DUMMYFUNCTION("""COMPUTED_VALUE"""),2308694)</f>
        <v>2308694</v>
      </c>
      <c r="B1477" s="76" t="str">
        <f ca="1">IFERROR(__xludf.DUMMYFUNCTION("""COMPUTED_VALUE"""),"Санников Илья Олегович")</f>
        <v>Санников Илья Олегович</v>
      </c>
      <c r="C1477" s="75" t="str">
        <f ca="1">IFERROR(__xludf.DUMMYFUNCTION("""COMPUTED_VALUE"""),"Аспирант")</f>
        <v>Аспирант</v>
      </c>
    </row>
    <row r="1478" spans="1:3">
      <c r="A1478" s="76">
        <f ca="1">IFERROR(__xludf.DUMMYFUNCTION("""COMPUTED_VALUE"""),2308718)</f>
        <v>2308718</v>
      </c>
      <c r="B1478" s="76" t="str">
        <f ca="1">IFERROR(__xludf.DUMMYFUNCTION("""COMPUTED_VALUE"""),"Егорова Мария Александровна")</f>
        <v>Егорова Мария Александровна</v>
      </c>
      <c r="C1478" s="75" t="str">
        <f ca="1">IFERROR(__xludf.DUMMYFUNCTION("""COMPUTED_VALUE"""),"Студент")</f>
        <v>Студент</v>
      </c>
    </row>
    <row r="1479" spans="1:3">
      <c r="A1479" s="76">
        <f ca="1">IFERROR(__xludf.DUMMYFUNCTION("""COMPUTED_VALUE"""),2308719)</f>
        <v>2308719</v>
      </c>
      <c r="B1479" s="76" t="str">
        <f ca="1">IFERROR(__xludf.DUMMYFUNCTION("""COMPUTED_VALUE"""),"Кривоножкина Александра Дмитриевна")</f>
        <v>Кривоножкина Александра Дмитриевна</v>
      </c>
      <c r="C1479" s="75" t="str">
        <f ca="1">IFERROR(__xludf.DUMMYFUNCTION("""COMPUTED_VALUE"""),"Студент")</f>
        <v>Студент</v>
      </c>
    </row>
    <row r="1480" spans="1:3">
      <c r="A1480" s="76">
        <f ca="1">IFERROR(__xludf.DUMMYFUNCTION("""COMPUTED_VALUE"""),2308724)</f>
        <v>2308724</v>
      </c>
      <c r="B1480" s="76" t="str">
        <f ca="1">IFERROR(__xludf.DUMMYFUNCTION("""COMPUTED_VALUE"""),"Антипов Андрей Валерьевич")</f>
        <v>Антипов Андрей Валерьевич</v>
      </c>
      <c r="C1480" s="75" t="str">
        <f ca="1">IFERROR(__xludf.DUMMYFUNCTION("""COMPUTED_VALUE"""),"Студент")</f>
        <v>Студент</v>
      </c>
    </row>
    <row r="1481" spans="1:3">
      <c r="A1481" s="76">
        <f ca="1">IFERROR(__xludf.DUMMYFUNCTION("""COMPUTED_VALUE"""),2308730)</f>
        <v>2308730</v>
      </c>
      <c r="B1481" s="76" t="str">
        <f ca="1">IFERROR(__xludf.DUMMYFUNCTION("""COMPUTED_VALUE"""),"Максимов Дмитрий Андреевич")</f>
        <v>Максимов Дмитрий Андреевич</v>
      </c>
      <c r="C1481" s="75" t="str">
        <f ca="1">IFERROR(__xludf.DUMMYFUNCTION("""COMPUTED_VALUE"""),"Студент")</f>
        <v>Студент</v>
      </c>
    </row>
    <row r="1482" spans="1:3">
      <c r="A1482" s="76">
        <f ca="1">IFERROR(__xludf.DUMMYFUNCTION("""COMPUTED_VALUE"""),2308736)</f>
        <v>2308736</v>
      </c>
      <c r="B1482" s="76" t="str">
        <f ca="1">IFERROR(__xludf.DUMMYFUNCTION("""COMPUTED_VALUE"""),"Кулобиев Джовидон Рузимадович")</f>
        <v>Кулобиев Джовидон Рузимадович</v>
      </c>
      <c r="C1482" s="75" t="str">
        <f ca="1">IFERROR(__xludf.DUMMYFUNCTION("""COMPUTED_VALUE"""),"Студент")</f>
        <v>Студент</v>
      </c>
    </row>
    <row r="1483" spans="1:3">
      <c r="A1483" s="76">
        <f ca="1">IFERROR(__xludf.DUMMYFUNCTION("""COMPUTED_VALUE"""),2308742)</f>
        <v>2308742</v>
      </c>
      <c r="B1483" s="76" t="str">
        <f ca="1">IFERROR(__xludf.DUMMYFUNCTION("""COMPUTED_VALUE"""),"Варваровская Ольга Владимировна")</f>
        <v>Варваровская Ольга Владимировна</v>
      </c>
      <c r="C1483" s="75" t="str">
        <f ca="1">IFERROR(__xludf.DUMMYFUNCTION("""COMPUTED_VALUE"""),"Студент")</f>
        <v>Студент</v>
      </c>
    </row>
    <row r="1484" spans="1:3">
      <c r="A1484" s="76">
        <f ca="1">IFERROR(__xludf.DUMMYFUNCTION("""COMPUTED_VALUE"""),2308749)</f>
        <v>2308749</v>
      </c>
      <c r="B1484" s="76" t="str">
        <f ca="1">IFERROR(__xludf.DUMMYFUNCTION("""COMPUTED_VALUE"""),"Червоткина Полина Аркадьевна")</f>
        <v>Червоткина Полина Аркадьевна</v>
      </c>
      <c r="C1484" s="75" t="str">
        <f ca="1">IFERROR(__xludf.DUMMYFUNCTION("""COMPUTED_VALUE"""),"Студент")</f>
        <v>Студент</v>
      </c>
    </row>
    <row r="1485" spans="1:3">
      <c r="A1485" s="76">
        <f ca="1">IFERROR(__xludf.DUMMYFUNCTION("""COMPUTED_VALUE"""),2308751)</f>
        <v>2308751</v>
      </c>
      <c r="B1485" s="76" t="str">
        <f ca="1">IFERROR(__xludf.DUMMYFUNCTION("""COMPUTED_VALUE"""),"Габбасов Камиль Азатович")</f>
        <v>Габбасов Камиль Азатович</v>
      </c>
      <c r="C1485" s="75" t="str">
        <f ca="1">IFERROR(__xludf.DUMMYFUNCTION("""COMPUTED_VALUE"""),"Аспирант")</f>
        <v>Аспирант</v>
      </c>
    </row>
    <row r="1486" spans="1:3">
      <c r="A1486" s="76">
        <f ca="1">IFERROR(__xludf.DUMMYFUNCTION("""COMPUTED_VALUE"""),2308752)</f>
        <v>2308752</v>
      </c>
      <c r="B1486" s="76" t="str">
        <f ca="1">IFERROR(__xludf.DUMMYFUNCTION("""COMPUTED_VALUE"""),"Осокин Ярослав Юрьевич")</f>
        <v>Осокин Ярослав Юрьевич</v>
      </c>
      <c r="C1486" s="75" t="str">
        <f ca="1">IFERROR(__xludf.DUMMYFUNCTION("""COMPUTED_VALUE"""),"Студент")</f>
        <v>Студент</v>
      </c>
    </row>
    <row r="1487" spans="1:3">
      <c r="A1487" s="76">
        <f ca="1">IFERROR(__xludf.DUMMYFUNCTION("""COMPUTED_VALUE"""),2308758)</f>
        <v>2308758</v>
      </c>
      <c r="B1487" s="76" t="str">
        <f ca="1">IFERROR(__xludf.DUMMYFUNCTION("""COMPUTED_VALUE"""),"Гаджиев Мурад Абубакарович")</f>
        <v>Гаджиев Мурад Абубакарович</v>
      </c>
      <c r="C1487" s="75" t="str">
        <f ca="1">IFERROR(__xludf.DUMMYFUNCTION("""COMPUTED_VALUE"""),"Студент")</f>
        <v>Студент</v>
      </c>
    </row>
    <row r="1488" spans="1:3">
      <c r="A1488" s="76">
        <f ca="1">IFERROR(__xludf.DUMMYFUNCTION("""COMPUTED_VALUE"""),2308767)</f>
        <v>2308767</v>
      </c>
      <c r="B1488" s="76" t="str">
        <f ca="1">IFERROR(__xludf.DUMMYFUNCTION("""COMPUTED_VALUE"""),"Вакулюк Елена Геннадьевна")</f>
        <v>Вакулюк Елена Геннадьевна</v>
      </c>
      <c r="C1488" s="75" t="str">
        <f ca="1">IFERROR(__xludf.DUMMYFUNCTION("""COMPUTED_VALUE"""),"Студент")</f>
        <v>Студент</v>
      </c>
    </row>
    <row r="1489" spans="1:3">
      <c r="A1489" s="76">
        <f ca="1">IFERROR(__xludf.DUMMYFUNCTION("""COMPUTED_VALUE"""),2308768)</f>
        <v>2308768</v>
      </c>
      <c r="B1489" s="76" t="str">
        <f ca="1">IFERROR(__xludf.DUMMYFUNCTION("""COMPUTED_VALUE"""),"Акбаров Жамшидбек Шерзод угли")</f>
        <v>Акбаров Жамшидбек Шерзод угли</v>
      </c>
      <c r="C1489" s="75" t="str">
        <f ca="1">IFERROR(__xludf.DUMMYFUNCTION("""COMPUTED_VALUE"""),"Студент")</f>
        <v>Студент</v>
      </c>
    </row>
    <row r="1490" spans="1:3">
      <c r="A1490" s="76">
        <f ca="1">IFERROR(__xludf.DUMMYFUNCTION("""COMPUTED_VALUE"""),2308769)</f>
        <v>2308769</v>
      </c>
      <c r="B1490" s="76" t="str">
        <f ca="1">IFERROR(__xludf.DUMMYFUNCTION("""COMPUTED_VALUE"""),"Голикова Маргарита Алексеевна")</f>
        <v>Голикова Маргарита Алексеевна</v>
      </c>
      <c r="C1490" s="75" t="str">
        <f ca="1">IFERROR(__xludf.DUMMYFUNCTION("""COMPUTED_VALUE"""),"Аспирант")</f>
        <v>Аспирант</v>
      </c>
    </row>
    <row r="1491" spans="1:3">
      <c r="A1491" s="76">
        <f ca="1">IFERROR(__xludf.DUMMYFUNCTION("""COMPUTED_VALUE"""),2308775)</f>
        <v>2308775</v>
      </c>
      <c r="B1491" s="76" t="str">
        <f ca="1">IFERROR(__xludf.DUMMYFUNCTION("""COMPUTED_VALUE"""),"Рощупкин Данил Анатольевич")</f>
        <v>Рощупкин Данил Анатольевич</v>
      </c>
      <c r="C1491" s="75" t="str">
        <f ca="1">IFERROR(__xludf.DUMMYFUNCTION("""COMPUTED_VALUE"""),"Студент")</f>
        <v>Студент</v>
      </c>
    </row>
    <row r="1492" spans="1:3">
      <c r="A1492" s="76">
        <f ca="1">IFERROR(__xludf.DUMMYFUNCTION("""COMPUTED_VALUE"""),2308776)</f>
        <v>2308776</v>
      </c>
      <c r="B1492" s="76" t="str">
        <f ca="1">IFERROR(__xludf.DUMMYFUNCTION("""COMPUTED_VALUE"""),"Шамсудинов Хаджимурад Гаджиевич")</f>
        <v>Шамсудинов Хаджимурад Гаджиевич</v>
      </c>
      <c r="C1492" s="75" t="str">
        <f ca="1">IFERROR(__xludf.DUMMYFUNCTION("""COMPUTED_VALUE"""),"Студент")</f>
        <v>Студент</v>
      </c>
    </row>
    <row r="1493" spans="1:3">
      <c r="A1493" s="76">
        <f ca="1">IFERROR(__xludf.DUMMYFUNCTION("""COMPUTED_VALUE"""),2308787)</f>
        <v>2308787</v>
      </c>
      <c r="B1493" s="76" t="str">
        <f ca="1">IFERROR(__xludf.DUMMYFUNCTION("""COMPUTED_VALUE"""),"Камалова Нигора Нуриддин Кизи")</f>
        <v>Камалова Нигора Нуриддин Кизи</v>
      </c>
      <c r="C1493" s="75" t="str">
        <f ca="1">IFERROR(__xludf.DUMMYFUNCTION("""COMPUTED_VALUE"""),"Студент")</f>
        <v>Студент</v>
      </c>
    </row>
    <row r="1494" spans="1:3">
      <c r="A1494" s="76">
        <f ca="1">IFERROR(__xludf.DUMMYFUNCTION("""COMPUTED_VALUE"""),2308788)</f>
        <v>2308788</v>
      </c>
      <c r="B1494" s="76" t="str">
        <f ca="1">IFERROR(__xludf.DUMMYFUNCTION("""COMPUTED_VALUE"""),"Булыгин Александр Сергеевич")</f>
        <v>Булыгин Александр Сергеевич</v>
      </c>
      <c r="C1494" s="75" t="str">
        <f ca="1">IFERROR(__xludf.DUMMYFUNCTION("""COMPUTED_VALUE"""),"Студент")</f>
        <v>Студент</v>
      </c>
    </row>
    <row r="1495" spans="1:3">
      <c r="A1495" s="76">
        <f ca="1">IFERROR(__xludf.DUMMYFUNCTION("""COMPUTED_VALUE"""),2308800)</f>
        <v>2308800</v>
      </c>
      <c r="B1495" s="76" t="str">
        <f ca="1">IFERROR(__xludf.DUMMYFUNCTION("""COMPUTED_VALUE"""),"Гулиев Егор Русланович")</f>
        <v>Гулиев Егор Русланович</v>
      </c>
      <c r="C1495" s="75" t="str">
        <f ca="1">IFERROR(__xludf.DUMMYFUNCTION("""COMPUTED_VALUE"""),"Студент")</f>
        <v>Студент</v>
      </c>
    </row>
    <row r="1496" spans="1:3">
      <c r="A1496" s="76">
        <f ca="1">IFERROR(__xludf.DUMMYFUNCTION("""COMPUTED_VALUE"""),2308802)</f>
        <v>2308802</v>
      </c>
      <c r="B1496" s="76" t="str">
        <f ca="1">IFERROR(__xludf.DUMMYFUNCTION("""COMPUTED_VALUE"""),"Петроченко Зоя Александровна")</f>
        <v>Петроченко Зоя Александровна</v>
      </c>
      <c r="C1496" s="75" t="str">
        <f ca="1">IFERROR(__xludf.DUMMYFUNCTION("""COMPUTED_VALUE"""),"Студент")</f>
        <v>Студент</v>
      </c>
    </row>
    <row r="1497" spans="1:3">
      <c r="A1497" s="76">
        <f ca="1">IFERROR(__xludf.DUMMYFUNCTION("""COMPUTED_VALUE"""),2308804)</f>
        <v>2308804</v>
      </c>
      <c r="B1497" s="76" t="str">
        <f ca="1">IFERROR(__xludf.DUMMYFUNCTION("""COMPUTED_VALUE"""),"Кузин Андрей Александрович")</f>
        <v>Кузин Андрей Александрович</v>
      </c>
      <c r="C1497" s="75" t="str">
        <f ca="1">IFERROR(__xludf.DUMMYFUNCTION("""COMPUTED_VALUE"""),"Студент")</f>
        <v>Студент</v>
      </c>
    </row>
    <row r="1498" spans="1:3">
      <c r="A1498" s="76">
        <f ca="1">IFERROR(__xludf.DUMMYFUNCTION("""COMPUTED_VALUE"""),2308807)</f>
        <v>2308807</v>
      </c>
      <c r="B1498" s="76" t="str">
        <f ca="1">IFERROR(__xludf.DUMMYFUNCTION("""COMPUTED_VALUE"""),"Осипова Виктория Алексеевна")</f>
        <v>Осипова Виктория Алексеевна</v>
      </c>
      <c r="C1498" s="75" t="str">
        <f ca="1">IFERROR(__xludf.DUMMYFUNCTION("""COMPUTED_VALUE"""),"Студент")</f>
        <v>Студент</v>
      </c>
    </row>
    <row r="1499" spans="1:3">
      <c r="A1499" s="76">
        <f ca="1">IFERROR(__xludf.DUMMYFUNCTION("""COMPUTED_VALUE"""),2308809)</f>
        <v>2308809</v>
      </c>
      <c r="B1499" s="76" t="str">
        <f ca="1">IFERROR(__xludf.DUMMYFUNCTION("""COMPUTED_VALUE"""),"Калинин Артём Максимович")</f>
        <v>Калинин Артём Максимович</v>
      </c>
      <c r="C1499" s="75" t="str">
        <f ca="1">IFERROR(__xludf.DUMMYFUNCTION("""COMPUTED_VALUE"""),"Студент")</f>
        <v>Студент</v>
      </c>
    </row>
    <row r="1500" spans="1:3">
      <c r="A1500" s="76">
        <f ca="1">IFERROR(__xludf.DUMMYFUNCTION("""COMPUTED_VALUE"""),2308811)</f>
        <v>2308811</v>
      </c>
      <c r="B1500" s="76" t="str">
        <f ca="1">IFERROR(__xludf.DUMMYFUNCTION("""COMPUTED_VALUE"""),"Самарцева Ирина Владимировна")</f>
        <v>Самарцева Ирина Владимировна</v>
      </c>
      <c r="C1500" s="75" t="str">
        <f ca="1">IFERROR(__xludf.DUMMYFUNCTION("""COMPUTED_VALUE"""),"Студент")</f>
        <v>Студент</v>
      </c>
    </row>
    <row r="1501" spans="1:3">
      <c r="A1501" s="76">
        <f ca="1">IFERROR(__xludf.DUMMYFUNCTION("""COMPUTED_VALUE"""),2308817)</f>
        <v>2308817</v>
      </c>
      <c r="B1501" s="76" t="str">
        <f ca="1">IFERROR(__xludf.DUMMYFUNCTION("""COMPUTED_VALUE"""),"Береснев Григорий Алексеевич")</f>
        <v>Береснев Григорий Алексеевич</v>
      </c>
      <c r="C1501" s="75" t="str">
        <f ca="1">IFERROR(__xludf.DUMMYFUNCTION("""COMPUTED_VALUE"""),"Студент")</f>
        <v>Студент</v>
      </c>
    </row>
    <row r="1502" spans="1:3">
      <c r="A1502" s="76">
        <f ca="1">IFERROR(__xludf.DUMMYFUNCTION("""COMPUTED_VALUE"""),2308830)</f>
        <v>2308830</v>
      </c>
      <c r="B1502" s="76" t="str">
        <f ca="1">IFERROR(__xludf.DUMMYFUNCTION("""COMPUTED_VALUE"""),"Бобрышева Арина Олеговна")</f>
        <v>Бобрышева Арина Олеговна</v>
      </c>
      <c r="C1502" s="75" t="str">
        <f ca="1">IFERROR(__xludf.DUMMYFUNCTION("""COMPUTED_VALUE"""),"Аспирант")</f>
        <v>Аспирант</v>
      </c>
    </row>
    <row r="1503" spans="1:3">
      <c r="A1503" s="76">
        <f ca="1">IFERROR(__xludf.DUMMYFUNCTION("""COMPUTED_VALUE"""),2308845)</f>
        <v>2308845</v>
      </c>
      <c r="B1503" s="76" t="str">
        <f ca="1">IFERROR(__xludf.DUMMYFUNCTION("""COMPUTED_VALUE"""),"Николенко Полина Игоревна")</f>
        <v>Николенко Полина Игоревна</v>
      </c>
      <c r="C1503" s="75" t="str">
        <f ca="1">IFERROR(__xludf.DUMMYFUNCTION("""COMPUTED_VALUE"""),"Аспирант")</f>
        <v>Аспирант</v>
      </c>
    </row>
    <row r="1504" spans="1:3">
      <c r="A1504" s="76">
        <f ca="1">IFERROR(__xludf.DUMMYFUNCTION("""COMPUTED_VALUE"""),2308878)</f>
        <v>2308878</v>
      </c>
      <c r="B1504" s="76" t="str">
        <f ca="1">IFERROR(__xludf.DUMMYFUNCTION("""COMPUTED_VALUE"""),"Бариль Кирилл Алексеевич")</f>
        <v>Бариль Кирилл Алексеевич</v>
      </c>
      <c r="C1504" s="75" t="str">
        <f ca="1">IFERROR(__xludf.DUMMYFUNCTION("""COMPUTED_VALUE"""),"Студент")</f>
        <v>Студент</v>
      </c>
    </row>
    <row r="1505" spans="1:3">
      <c r="A1505" s="76">
        <f ca="1">IFERROR(__xludf.DUMMYFUNCTION("""COMPUTED_VALUE"""),2308882)</f>
        <v>2308882</v>
      </c>
      <c r="B1505" s="76" t="str">
        <f ca="1">IFERROR(__xludf.DUMMYFUNCTION("""COMPUTED_VALUE"""),"Монастырская Александра Олеговна")</f>
        <v>Монастырская Александра Олеговна</v>
      </c>
      <c r="C1505" s="75" t="str">
        <f ca="1">IFERROR(__xludf.DUMMYFUNCTION("""COMPUTED_VALUE"""),"Студент")</f>
        <v>Студент</v>
      </c>
    </row>
    <row r="1506" spans="1:3">
      <c r="A1506" s="76">
        <f ca="1">IFERROR(__xludf.DUMMYFUNCTION("""COMPUTED_VALUE"""),2308883)</f>
        <v>2308883</v>
      </c>
      <c r="B1506" s="76" t="str">
        <f ca="1">IFERROR(__xludf.DUMMYFUNCTION("""COMPUTED_VALUE"""),"Перетягин Артем Алексеевич")</f>
        <v>Перетягин Артем Алексеевич</v>
      </c>
      <c r="C1506" s="75" t="str">
        <f ca="1">IFERROR(__xludf.DUMMYFUNCTION("""COMPUTED_VALUE"""),"Студент")</f>
        <v>Студент</v>
      </c>
    </row>
    <row r="1507" spans="1:3">
      <c r="A1507" s="76">
        <f ca="1">IFERROR(__xludf.DUMMYFUNCTION("""COMPUTED_VALUE"""),2308884)</f>
        <v>2308884</v>
      </c>
      <c r="B1507" s="76" t="str">
        <f ca="1">IFERROR(__xludf.DUMMYFUNCTION("""COMPUTED_VALUE"""),"Селиверстова Татьяна Викторовна")</f>
        <v>Селиверстова Татьяна Викторовна</v>
      </c>
      <c r="C1507" s="75" t="str">
        <f ca="1">IFERROR(__xludf.DUMMYFUNCTION("""COMPUTED_VALUE"""),"Студент")</f>
        <v>Студент</v>
      </c>
    </row>
    <row r="1508" spans="1:3">
      <c r="A1508" s="76">
        <f ca="1">IFERROR(__xludf.DUMMYFUNCTION("""COMPUTED_VALUE"""),2308885)</f>
        <v>2308885</v>
      </c>
      <c r="B1508" s="76" t="str">
        <f ca="1">IFERROR(__xludf.DUMMYFUNCTION("""COMPUTED_VALUE"""),"Дидаев Мухаммад Бесланович")</f>
        <v>Дидаев Мухаммад Бесланович</v>
      </c>
      <c r="C1508" s="75" t="str">
        <f ca="1">IFERROR(__xludf.DUMMYFUNCTION("""COMPUTED_VALUE"""),"Студент")</f>
        <v>Студент</v>
      </c>
    </row>
    <row r="1509" spans="1:3">
      <c r="A1509" s="76">
        <f ca="1">IFERROR(__xludf.DUMMYFUNCTION("""COMPUTED_VALUE"""),2308892)</f>
        <v>2308892</v>
      </c>
      <c r="B1509" s="76" t="str">
        <f ca="1">IFERROR(__xludf.DUMMYFUNCTION("""COMPUTED_VALUE"""),"Чуркин Артём Андреевич")</f>
        <v>Чуркин Артём Андреевич</v>
      </c>
      <c r="C1509" s="75" t="str">
        <f ca="1">IFERROR(__xludf.DUMMYFUNCTION("""COMPUTED_VALUE"""),"Студент")</f>
        <v>Студент</v>
      </c>
    </row>
    <row r="1510" spans="1:3">
      <c r="A1510" s="76">
        <f ca="1">IFERROR(__xludf.DUMMYFUNCTION("""COMPUTED_VALUE"""),2308897)</f>
        <v>2308897</v>
      </c>
      <c r="B1510" s="76" t="str">
        <f ca="1">IFERROR(__xludf.DUMMYFUNCTION("""COMPUTED_VALUE"""),"Бажукова Валерия Игоревна")</f>
        <v>Бажукова Валерия Игоревна</v>
      </c>
      <c r="C1510" s="75" t="str">
        <f ca="1">IFERROR(__xludf.DUMMYFUNCTION("""COMPUTED_VALUE"""),"Студент")</f>
        <v>Студент</v>
      </c>
    </row>
    <row r="1511" spans="1:3">
      <c r="A1511" s="76">
        <f ca="1">IFERROR(__xludf.DUMMYFUNCTION("""COMPUTED_VALUE"""),2308899)</f>
        <v>2308899</v>
      </c>
      <c r="B1511" s="76" t="str">
        <f ca="1">IFERROR(__xludf.DUMMYFUNCTION("""COMPUTED_VALUE"""),"Шварц Василиса Алексеевна")</f>
        <v>Шварц Василиса Алексеевна</v>
      </c>
      <c r="C1511" s="75" t="str">
        <f ca="1">IFERROR(__xludf.DUMMYFUNCTION("""COMPUTED_VALUE"""),"Студент")</f>
        <v>Студент</v>
      </c>
    </row>
    <row r="1512" spans="1:3">
      <c r="A1512" s="76">
        <f ca="1">IFERROR(__xludf.DUMMYFUNCTION("""COMPUTED_VALUE"""),2308906)</f>
        <v>2308906</v>
      </c>
      <c r="B1512" s="76" t="str">
        <f ca="1">IFERROR(__xludf.DUMMYFUNCTION("""COMPUTED_VALUE"""),"Гаврилов Иван Ильич")</f>
        <v>Гаврилов Иван Ильич</v>
      </c>
      <c r="C1512" s="75" t="str">
        <f ca="1">IFERROR(__xludf.DUMMYFUNCTION("""COMPUTED_VALUE"""),"Студент")</f>
        <v>Студент</v>
      </c>
    </row>
    <row r="1513" spans="1:3">
      <c r="A1513" s="76">
        <f ca="1">IFERROR(__xludf.DUMMYFUNCTION("""COMPUTED_VALUE"""),2308907)</f>
        <v>2308907</v>
      </c>
      <c r="B1513" s="76" t="str">
        <f ca="1">IFERROR(__xludf.DUMMYFUNCTION("""COMPUTED_VALUE"""),"Цыденов Аюр Сергеевич")</f>
        <v>Цыденов Аюр Сергеевич</v>
      </c>
      <c r="C1513" s="75" t="str">
        <f ca="1">IFERROR(__xludf.DUMMYFUNCTION("""COMPUTED_VALUE"""),"Студент")</f>
        <v>Студент</v>
      </c>
    </row>
    <row r="1514" spans="1:3">
      <c r="A1514" s="76">
        <f ca="1">IFERROR(__xludf.DUMMYFUNCTION("""COMPUTED_VALUE"""),2308909)</f>
        <v>2308909</v>
      </c>
      <c r="B1514" s="76" t="str">
        <f ca="1">IFERROR(__xludf.DUMMYFUNCTION("""COMPUTED_VALUE"""),"Родина Ксения Витальевна")</f>
        <v>Родина Ксения Витальевна</v>
      </c>
      <c r="C1514" s="75" t="str">
        <f ca="1">IFERROR(__xludf.DUMMYFUNCTION("""COMPUTED_VALUE"""),"Студент")</f>
        <v>Студент</v>
      </c>
    </row>
    <row r="1515" spans="1:3">
      <c r="A1515" s="76">
        <f ca="1">IFERROR(__xludf.DUMMYFUNCTION("""COMPUTED_VALUE"""),2308914)</f>
        <v>2308914</v>
      </c>
      <c r="B1515" s="76" t="str">
        <f ca="1">IFERROR(__xludf.DUMMYFUNCTION("""COMPUTED_VALUE"""),"Сотникова Ольга Владимировна")</f>
        <v>Сотникова Ольга Владимировна</v>
      </c>
      <c r="C1515" s="75" t="str">
        <f ca="1">IFERROR(__xludf.DUMMYFUNCTION("""COMPUTED_VALUE"""),"Студент")</f>
        <v>Студент</v>
      </c>
    </row>
    <row r="1516" spans="1:3">
      <c r="A1516" s="76">
        <f ca="1">IFERROR(__xludf.DUMMYFUNCTION("""COMPUTED_VALUE"""),2308924)</f>
        <v>2308924</v>
      </c>
      <c r="B1516" s="76" t="str">
        <f ca="1">IFERROR(__xludf.DUMMYFUNCTION("""COMPUTED_VALUE"""),"Кенжебаев Куаныш Нурланулы")</f>
        <v>Кенжебаев Куаныш Нурланулы</v>
      </c>
      <c r="C1516" s="75" t="str">
        <f ca="1">IFERROR(__xludf.DUMMYFUNCTION("""COMPUTED_VALUE"""),"Аспирант")</f>
        <v>Аспирант</v>
      </c>
    </row>
    <row r="1517" spans="1:3">
      <c r="A1517" s="76">
        <f ca="1">IFERROR(__xludf.DUMMYFUNCTION("""COMPUTED_VALUE"""),2308935)</f>
        <v>2308935</v>
      </c>
      <c r="B1517" s="76" t="str">
        <f ca="1">IFERROR(__xludf.DUMMYFUNCTION("""COMPUTED_VALUE"""),"Иванов Дмитрий Александрович")</f>
        <v>Иванов Дмитрий Александрович</v>
      </c>
      <c r="C1517" s="75" t="str">
        <f ca="1">IFERROR(__xludf.DUMMYFUNCTION("""COMPUTED_VALUE"""),"Студент")</f>
        <v>Студент</v>
      </c>
    </row>
    <row r="1518" spans="1:3">
      <c r="A1518" s="76">
        <f ca="1">IFERROR(__xludf.DUMMYFUNCTION("""COMPUTED_VALUE"""),2308936)</f>
        <v>2308936</v>
      </c>
      <c r="B1518" s="76" t="str">
        <f ca="1">IFERROR(__xludf.DUMMYFUNCTION("""COMPUTED_VALUE"""),"Гришин Владислав Максимович")</f>
        <v>Гришин Владислав Максимович</v>
      </c>
      <c r="C1518" s="75" t="str">
        <f ca="1">IFERROR(__xludf.DUMMYFUNCTION("""COMPUTED_VALUE"""),"Студент")</f>
        <v>Студент</v>
      </c>
    </row>
    <row r="1519" spans="1:3">
      <c r="A1519" s="76">
        <f ca="1">IFERROR(__xludf.DUMMYFUNCTION("""COMPUTED_VALUE"""),2308938)</f>
        <v>2308938</v>
      </c>
      <c r="B1519" s="76" t="str">
        <f ca="1">IFERROR(__xludf.DUMMYFUNCTION("""COMPUTED_VALUE"""),"Нестеров Никита Михайлович")</f>
        <v>Нестеров Никита Михайлович</v>
      </c>
      <c r="C1519" s="75" t="str">
        <f ca="1">IFERROR(__xludf.DUMMYFUNCTION("""COMPUTED_VALUE"""),"Студент")</f>
        <v>Студент</v>
      </c>
    </row>
    <row r="1520" spans="1:3">
      <c r="A1520" s="76">
        <f ca="1">IFERROR(__xludf.DUMMYFUNCTION("""COMPUTED_VALUE"""),2308946)</f>
        <v>2308946</v>
      </c>
      <c r="B1520" s="76" t="str">
        <f ca="1">IFERROR(__xludf.DUMMYFUNCTION("""COMPUTED_VALUE"""),"Новикова Ульяна Александровна")</f>
        <v>Новикова Ульяна Александровна</v>
      </c>
      <c r="C1520" s="75" t="str">
        <f ca="1">IFERROR(__xludf.DUMMYFUNCTION("""COMPUTED_VALUE"""),"Студент")</f>
        <v>Студент</v>
      </c>
    </row>
    <row r="1521" spans="1:3">
      <c r="A1521" s="76">
        <f ca="1">IFERROR(__xludf.DUMMYFUNCTION("""COMPUTED_VALUE"""),2308951)</f>
        <v>2308951</v>
      </c>
      <c r="B1521" s="76" t="str">
        <f ca="1">IFERROR(__xludf.DUMMYFUNCTION("""COMPUTED_VALUE"""),"Наседкина Полина Сергеевна")</f>
        <v>Наседкина Полина Сергеевна</v>
      </c>
      <c r="C1521" s="75" t="str">
        <f ca="1">IFERROR(__xludf.DUMMYFUNCTION("""COMPUTED_VALUE"""),"Студент")</f>
        <v>Студент</v>
      </c>
    </row>
    <row r="1522" spans="1:3">
      <c r="A1522" s="76">
        <f ca="1">IFERROR(__xludf.DUMMYFUNCTION("""COMPUTED_VALUE"""),2308953)</f>
        <v>2308953</v>
      </c>
      <c r="B1522" s="76" t="str">
        <f ca="1">IFERROR(__xludf.DUMMYFUNCTION("""COMPUTED_VALUE"""),"Дюбилин Владислав Алексеевич")</f>
        <v>Дюбилин Владислав Алексеевич</v>
      </c>
      <c r="C1522" s="75" t="str">
        <f ca="1">IFERROR(__xludf.DUMMYFUNCTION("""COMPUTED_VALUE"""),"Студент")</f>
        <v>Студент</v>
      </c>
    </row>
    <row r="1523" spans="1:3">
      <c r="A1523" s="76">
        <f ca="1">IFERROR(__xludf.DUMMYFUNCTION("""COMPUTED_VALUE"""),2308961)</f>
        <v>2308961</v>
      </c>
      <c r="B1523" s="76" t="str">
        <f ca="1">IFERROR(__xludf.DUMMYFUNCTION("""COMPUTED_VALUE"""),"Смирёнова Екатерина Алексеевна")</f>
        <v>Смирёнова Екатерина Алексеевна</v>
      </c>
      <c r="C1523" s="75" t="str">
        <f ca="1">IFERROR(__xludf.DUMMYFUNCTION("""COMPUTED_VALUE"""),"Студент")</f>
        <v>Студент</v>
      </c>
    </row>
    <row r="1524" spans="1:3">
      <c r="A1524" s="76">
        <f ca="1">IFERROR(__xludf.DUMMYFUNCTION("""COMPUTED_VALUE"""),2308969)</f>
        <v>2308969</v>
      </c>
      <c r="B1524" s="76" t="str">
        <f ca="1">IFERROR(__xludf.DUMMYFUNCTION("""COMPUTED_VALUE"""),"Караваев Артём Александрович")</f>
        <v>Караваев Артём Александрович</v>
      </c>
      <c r="C1524" s="75" t="str">
        <f ca="1">IFERROR(__xludf.DUMMYFUNCTION("""COMPUTED_VALUE"""),"Студент")</f>
        <v>Студент</v>
      </c>
    </row>
    <row r="1525" spans="1:3">
      <c r="A1525" s="76">
        <f ca="1">IFERROR(__xludf.DUMMYFUNCTION("""COMPUTED_VALUE"""),2308971)</f>
        <v>2308971</v>
      </c>
      <c r="B1525" s="76" t="str">
        <f ca="1">IFERROR(__xludf.DUMMYFUNCTION("""COMPUTED_VALUE"""),"Туртыгин Александр Владимирович")</f>
        <v>Туртыгин Александр Владимирович</v>
      </c>
      <c r="C1525" s="75" t="str">
        <f ca="1">IFERROR(__xludf.DUMMYFUNCTION("""COMPUTED_VALUE"""),"Студент")</f>
        <v>Студент</v>
      </c>
    </row>
    <row r="1526" spans="1:3">
      <c r="A1526" s="76">
        <f ca="1">IFERROR(__xludf.DUMMYFUNCTION("""COMPUTED_VALUE"""),2308973)</f>
        <v>2308973</v>
      </c>
      <c r="B1526" s="76" t="str">
        <f ca="1">IFERROR(__xludf.DUMMYFUNCTION("""COMPUTED_VALUE"""),"Оселедько Юлия Дмитриевна")</f>
        <v>Оселедько Юлия Дмитриевна</v>
      </c>
      <c r="C1526" s="75" t="str">
        <f ca="1">IFERROR(__xludf.DUMMYFUNCTION("""COMPUTED_VALUE"""),"Студент")</f>
        <v>Студент</v>
      </c>
    </row>
    <row r="1527" spans="1:3">
      <c r="A1527" s="76">
        <f ca="1">IFERROR(__xludf.DUMMYFUNCTION("""COMPUTED_VALUE"""),2308974)</f>
        <v>2308974</v>
      </c>
      <c r="B1527" s="76" t="str">
        <f ca="1">IFERROR(__xludf.DUMMYFUNCTION("""COMPUTED_VALUE"""),"Колесникова Анна Сергеевна")</f>
        <v>Колесникова Анна Сергеевна</v>
      </c>
      <c r="C1527" s="75" t="str">
        <f ca="1">IFERROR(__xludf.DUMMYFUNCTION("""COMPUTED_VALUE"""),"Студент")</f>
        <v>Студент</v>
      </c>
    </row>
    <row r="1528" spans="1:3">
      <c r="A1528" s="76">
        <f ca="1">IFERROR(__xludf.DUMMYFUNCTION("""COMPUTED_VALUE"""),2308979)</f>
        <v>2308979</v>
      </c>
      <c r="B1528" s="76" t="str">
        <f ca="1">IFERROR(__xludf.DUMMYFUNCTION("""COMPUTED_VALUE"""),"Оселедько Олеся Дмитриевна")</f>
        <v>Оселедько Олеся Дмитриевна</v>
      </c>
      <c r="C1528" s="75" t="str">
        <f ca="1">IFERROR(__xludf.DUMMYFUNCTION("""COMPUTED_VALUE"""),"Студент")</f>
        <v>Студент</v>
      </c>
    </row>
    <row r="1529" spans="1:3">
      <c r="A1529" s="76">
        <f ca="1">IFERROR(__xludf.DUMMYFUNCTION("""COMPUTED_VALUE"""),2308983)</f>
        <v>2308983</v>
      </c>
      <c r="B1529" s="76" t="str">
        <f ca="1">IFERROR(__xludf.DUMMYFUNCTION("""COMPUTED_VALUE"""),"Шаров Никита Алексеевич")</f>
        <v>Шаров Никита Алексеевич</v>
      </c>
      <c r="C1529" s="75" t="str">
        <f ca="1">IFERROR(__xludf.DUMMYFUNCTION("""COMPUTED_VALUE"""),"Студент")</f>
        <v>Студент</v>
      </c>
    </row>
    <row r="1530" spans="1:3">
      <c r="A1530" s="76">
        <f ca="1">IFERROR(__xludf.DUMMYFUNCTION("""COMPUTED_VALUE"""),2308986)</f>
        <v>2308986</v>
      </c>
      <c r="B1530" s="76" t="str">
        <f ca="1">IFERROR(__xludf.DUMMYFUNCTION("""COMPUTED_VALUE"""),"Маулавиева Алия Ильясовна")</f>
        <v>Маулавиева Алия Ильясовна</v>
      </c>
      <c r="C1530" s="75" t="str">
        <f ca="1">IFERROR(__xludf.DUMMYFUNCTION("""COMPUTED_VALUE"""),"Студент")</f>
        <v>Студент</v>
      </c>
    </row>
    <row r="1531" spans="1:3">
      <c r="A1531" s="76">
        <f ca="1">IFERROR(__xludf.DUMMYFUNCTION("""COMPUTED_VALUE"""),2308992)</f>
        <v>2308992</v>
      </c>
      <c r="B1531" s="76" t="str">
        <f ca="1">IFERROR(__xludf.DUMMYFUNCTION("""COMPUTED_VALUE"""),"Канунникова Ярославна Олеговна")</f>
        <v>Канунникова Ярославна Олеговна</v>
      </c>
      <c r="C1531" s="75" t="str">
        <f ca="1">IFERROR(__xludf.DUMMYFUNCTION("""COMPUTED_VALUE"""),"Студент")</f>
        <v>Студент</v>
      </c>
    </row>
    <row r="1532" spans="1:3">
      <c r="A1532" s="76">
        <f ca="1">IFERROR(__xludf.DUMMYFUNCTION("""COMPUTED_VALUE"""),2309021)</f>
        <v>2309021</v>
      </c>
      <c r="B1532" s="76" t="str">
        <f ca="1">IFERROR(__xludf.DUMMYFUNCTION("""COMPUTED_VALUE"""),"Бизова Валентина Юрьевна")</f>
        <v>Бизова Валентина Юрьевна</v>
      </c>
      <c r="C1532" s="75" t="str">
        <f ca="1">IFERROR(__xludf.DUMMYFUNCTION("""COMPUTED_VALUE"""),"Студент")</f>
        <v>Студент</v>
      </c>
    </row>
    <row r="1533" spans="1:3">
      <c r="A1533" s="76">
        <f ca="1">IFERROR(__xludf.DUMMYFUNCTION("""COMPUTED_VALUE"""),2309029)</f>
        <v>2309029</v>
      </c>
      <c r="B1533" s="76" t="str">
        <f ca="1">IFERROR(__xludf.DUMMYFUNCTION("""COMPUTED_VALUE"""),"Ткачева Мария Алексеевна")</f>
        <v>Ткачева Мария Алексеевна</v>
      </c>
      <c r="C1533" s="75" t="str">
        <f ca="1">IFERROR(__xludf.DUMMYFUNCTION("""COMPUTED_VALUE"""),"Студент")</f>
        <v>Студент</v>
      </c>
    </row>
    <row r="1534" spans="1:3">
      <c r="A1534" s="76">
        <f ca="1">IFERROR(__xludf.DUMMYFUNCTION("""COMPUTED_VALUE"""),2309031)</f>
        <v>2309031</v>
      </c>
      <c r="B1534" s="76" t="str">
        <f ca="1">IFERROR(__xludf.DUMMYFUNCTION("""COMPUTED_VALUE"""),"Добротин Григорий Сергеевич")</f>
        <v>Добротин Григорий Сергеевич</v>
      </c>
      <c r="C1534" s="75" t="str">
        <f ca="1">IFERROR(__xludf.DUMMYFUNCTION("""COMPUTED_VALUE"""),"Студент")</f>
        <v>Студент</v>
      </c>
    </row>
    <row r="1535" spans="1:3">
      <c r="A1535" s="76">
        <f ca="1">IFERROR(__xludf.DUMMYFUNCTION("""COMPUTED_VALUE"""),2309032)</f>
        <v>2309032</v>
      </c>
      <c r="B1535" s="76" t="str">
        <f ca="1">IFERROR(__xludf.DUMMYFUNCTION("""COMPUTED_VALUE"""),"Колосова Софья Александровна")</f>
        <v>Колосова Софья Александровна</v>
      </c>
      <c r="C1535" s="75" t="str">
        <f ca="1">IFERROR(__xludf.DUMMYFUNCTION("""COMPUTED_VALUE"""),"Студент")</f>
        <v>Студент</v>
      </c>
    </row>
    <row r="1536" spans="1:3">
      <c r="A1536" s="76">
        <f ca="1">IFERROR(__xludf.DUMMYFUNCTION("""COMPUTED_VALUE"""),2309039)</f>
        <v>2309039</v>
      </c>
      <c r="B1536" s="76" t="str">
        <f ca="1">IFERROR(__xludf.DUMMYFUNCTION("""COMPUTED_VALUE"""),"Баранов Никита Дмитриевич")</f>
        <v>Баранов Никита Дмитриевич</v>
      </c>
      <c r="C1536" s="75" t="str">
        <f ca="1">IFERROR(__xludf.DUMMYFUNCTION("""COMPUTED_VALUE"""),"Студент")</f>
        <v>Студент</v>
      </c>
    </row>
    <row r="1537" spans="1:3">
      <c r="A1537" s="76">
        <f ca="1">IFERROR(__xludf.DUMMYFUNCTION("""COMPUTED_VALUE"""),2309061)</f>
        <v>2309061</v>
      </c>
      <c r="B1537" s="76" t="str">
        <f ca="1">IFERROR(__xludf.DUMMYFUNCTION("""COMPUTED_VALUE"""),"Пудовкина Ольга Петровна")</f>
        <v>Пудовкина Ольга Петровна</v>
      </c>
      <c r="C1537" s="75" t="str">
        <f ca="1">IFERROR(__xludf.DUMMYFUNCTION("""COMPUTED_VALUE"""),"Студент")</f>
        <v>Студент</v>
      </c>
    </row>
    <row r="1538" spans="1:3">
      <c r="A1538" s="76">
        <f ca="1">IFERROR(__xludf.DUMMYFUNCTION("""COMPUTED_VALUE"""),2309069)</f>
        <v>2309069</v>
      </c>
      <c r="B1538" s="76" t="str">
        <f ca="1">IFERROR(__xludf.DUMMYFUNCTION("""COMPUTED_VALUE"""),"Симаков Даниил Павлович")</f>
        <v>Симаков Даниил Павлович</v>
      </c>
      <c r="C1538" s="75" t="str">
        <f ca="1">IFERROR(__xludf.DUMMYFUNCTION("""COMPUTED_VALUE"""),"Студент")</f>
        <v>Студент</v>
      </c>
    </row>
    <row r="1539" spans="1:3">
      <c r="A1539" s="76">
        <f ca="1">IFERROR(__xludf.DUMMYFUNCTION("""COMPUTED_VALUE"""),2309073)</f>
        <v>2309073</v>
      </c>
      <c r="B1539" s="76" t="str">
        <f ca="1">IFERROR(__xludf.DUMMYFUNCTION("""COMPUTED_VALUE"""),"Каверин Григорий Дмитриевич")</f>
        <v>Каверин Григорий Дмитриевич</v>
      </c>
      <c r="C1539" s="75" t="str">
        <f ca="1">IFERROR(__xludf.DUMMYFUNCTION("""COMPUTED_VALUE"""),"Студент")</f>
        <v>Студент</v>
      </c>
    </row>
    <row r="1540" spans="1:3">
      <c r="A1540" s="76">
        <f ca="1">IFERROR(__xludf.DUMMYFUNCTION("""COMPUTED_VALUE"""),2309075)</f>
        <v>2309075</v>
      </c>
      <c r="B1540" s="76" t="str">
        <f ca="1">IFERROR(__xludf.DUMMYFUNCTION("""COMPUTED_VALUE"""),"Соколов Дмитрий Юрьевич")</f>
        <v>Соколов Дмитрий Юрьевич</v>
      </c>
      <c r="C1540" s="75" t="str">
        <f ca="1">IFERROR(__xludf.DUMMYFUNCTION("""COMPUTED_VALUE"""),"Студент")</f>
        <v>Студент</v>
      </c>
    </row>
    <row r="1541" spans="1:3">
      <c r="A1541" s="76">
        <f ca="1">IFERROR(__xludf.DUMMYFUNCTION("""COMPUTED_VALUE"""),2309076)</f>
        <v>2309076</v>
      </c>
      <c r="B1541" s="76" t="str">
        <f ca="1">IFERROR(__xludf.DUMMYFUNCTION("""COMPUTED_VALUE"""),"Семенов Ярослав Сергеевич")</f>
        <v>Семенов Ярослав Сергеевич</v>
      </c>
      <c r="C1541" s="75" t="str">
        <f ca="1">IFERROR(__xludf.DUMMYFUNCTION("""COMPUTED_VALUE"""),"Студент")</f>
        <v>Студент</v>
      </c>
    </row>
    <row r="1542" spans="1:3">
      <c r="A1542" s="76">
        <f ca="1">IFERROR(__xludf.DUMMYFUNCTION("""COMPUTED_VALUE"""),2309078)</f>
        <v>2309078</v>
      </c>
      <c r="B1542" s="76" t="str">
        <f ca="1">IFERROR(__xludf.DUMMYFUNCTION("""COMPUTED_VALUE"""),"Кулешова Наталья Александровна")</f>
        <v>Кулешова Наталья Александровна</v>
      </c>
      <c r="C1542" s="75" t="str">
        <f ca="1">IFERROR(__xludf.DUMMYFUNCTION("""COMPUTED_VALUE"""),"Студент")</f>
        <v>Студент</v>
      </c>
    </row>
    <row r="1543" spans="1:3">
      <c r="A1543" s="76">
        <f ca="1">IFERROR(__xludf.DUMMYFUNCTION("""COMPUTED_VALUE"""),2309081)</f>
        <v>2309081</v>
      </c>
      <c r="B1543" s="76" t="str">
        <f ca="1">IFERROR(__xludf.DUMMYFUNCTION("""COMPUTED_VALUE"""),"Аксенова Мария Викторовна")</f>
        <v>Аксенова Мария Викторовна</v>
      </c>
      <c r="C1543" s="75" t="str">
        <f ca="1">IFERROR(__xludf.DUMMYFUNCTION("""COMPUTED_VALUE"""),"Студент")</f>
        <v>Студент</v>
      </c>
    </row>
    <row r="1544" spans="1:3">
      <c r="A1544" s="76">
        <f ca="1">IFERROR(__xludf.DUMMYFUNCTION("""COMPUTED_VALUE"""),2309083)</f>
        <v>2309083</v>
      </c>
      <c r="B1544" s="76" t="str">
        <f ca="1">IFERROR(__xludf.DUMMYFUNCTION("""COMPUTED_VALUE"""),"Дементьева Анжелика Евгеньевна")</f>
        <v>Дементьева Анжелика Евгеньевна</v>
      </c>
      <c r="C1544" s="75" t="str">
        <f ca="1">IFERROR(__xludf.DUMMYFUNCTION("""COMPUTED_VALUE"""),"Студент")</f>
        <v>Студент</v>
      </c>
    </row>
    <row r="1545" spans="1:3">
      <c r="A1545" s="76">
        <f ca="1">IFERROR(__xludf.DUMMYFUNCTION("""COMPUTED_VALUE"""),2309087)</f>
        <v>2309087</v>
      </c>
      <c r="B1545" s="76" t="str">
        <f ca="1">IFERROR(__xludf.DUMMYFUNCTION("""COMPUTED_VALUE"""),"Реунов Алексей Геннадьевич")</f>
        <v>Реунов Алексей Геннадьевич</v>
      </c>
      <c r="C1545" s="75" t="str">
        <f ca="1">IFERROR(__xludf.DUMMYFUNCTION("""COMPUTED_VALUE"""),"Студент")</f>
        <v>Студент</v>
      </c>
    </row>
    <row r="1546" spans="1:3">
      <c r="A1546" s="76">
        <f ca="1">IFERROR(__xludf.DUMMYFUNCTION("""COMPUTED_VALUE"""),2309090)</f>
        <v>2309090</v>
      </c>
      <c r="B1546" s="76" t="str">
        <f ca="1">IFERROR(__xludf.DUMMYFUNCTION("""COMPUTED_VALUE"""),"Ясиновский Кирилл Игоревич")</f>
        <v>Ясиновский Кирилл Игоревич</v>
      </c>
      <c r="C1546" s="75" t="str">
        <f ca="1">IFERROR(__xludf.DUMMYFUNCTION("""COMPUTED_VALUE"""),"Студент")</f>
        <v>Студент</v>
      </c>
    </row>
    <row r="1547" spans="1:3">
      <c r="A1547" s="76">
        <f ca="1">IFERROR(__xludf.DUMMYFUNCTION("""COMPUTED_VALUE"""),2309091)</f>
        <v>2309091</v>
      </c>
      <c r="B1547" s="76" t="str">
        <f ca="1">IFERROR(__xludf.DUMMYFUNCTION("""COMPUTED_VALUE"""),"Булич Дарья Сергеевна")</f>
        <v>Булич Дарья Сергеевна</v>
      </c>
      <c r="C1547" s="75" t="str">
        <f ca="1">IFERROR(__xludf.DUMMYFUNCTION("""COMPUTED_VALUE"""),"Студент")</f>
        <v>Студент</v>
      </c>
    </row>
    <row r="1548" spans="1:3">
      <c r="A1548" s="76">
        <f ca="1">IFERROR(__xludf.DUMMYFUNCTION("""COMPUTED_VALUE"""),2309101)</f>
        <v>2309101</v>
      </c>
      <c r="B1548" s="76" t="str">
        <f ca="1">IFERROR(__xludf.DUMMYFUNCTION("""COMPUTED_VALUE"""),"Кузьмин Александр Артурович")</f>
        <v>Кузьмин Александр Артурович</v>
      </c>
      <c r="C1548" s="75" t="str">
        <f ca="1">IFERROR(__xludf.DUMMYFUNCTION("""COMPUTED_VALUE"""),"Студент")</f>
        <v>Студент</v>
      </c>
    </row>
    <row r="1549" spans="1:3">
      <c r="A1549" s="76">
        <f ca="1">IFERROR(__xludf.DUMMYFUNCTION("""COMPUTED_VALUE"""),2309103)</f>
        <v>2309103</v>
      </c>
      <c r="B1549" s="76" t="str">
        <f ca="1">IFERROR(__xludf.DUMMYFUNCTION("""COMPUTED_VALUE"""),"Бушаленко Иван Александрович")</f>
        <v>Бушаленко Иван Александрович</v>
      </c>
      <c r="C1549" s="75" t="str">
        <f ca="1">IFERROR(__xludf.DUMMYFUNCTION("""COMPUTED_VALUE"""),"Студент")</f>
        <v>Студент</v>
      </c>
    </row>
    <row r="1550" spans="1:3">
      <c r="A1550" s="76">
        <f ca="1">IFERROR(__xludf.DUMMYFUNCTION("""COMPUTED_VALUE"""),2309105)</f>
        <v>2309105</v>
      </c>
      <c r="B1550" s="76" t="str">
        <f ca="1">IFERROR(__xludf.DUMMYFUNCTION("""COMPUTED_VALUE"""),"Меркулова Полина Николаевна")</f>
        <v>Меркулова Полина Николаевна</v>
      </c>
      <c r="C1550" s="75" t="str">
        <f ca="1">IFERROR(__xludf.DUMMYFUNCTION("""COMPUTED_VALUE"""),"Студент")</f>
        <v>Студент</v>
      </c>
    </row>
    <row r="1551" spans="1:3">
      <c r="A1551" s="76">
        <f ca="1">IFERROR(__xludf.DUMMYFUNCTION("""COMPUTED_VALUE"""),2309114)</f>
        <v>2309114</v>
      </c>
      <c r="B1551" s="76" t="str">
        <f ca="1">IFERROR(__xludf.DUMMYFUNCTION("""COMPUTED_VALUE"""),"Земцова Варвара Владимировна")</f>
        <v>Земцова Варвара Владимировна</v>
      </c>
      <c r="C1551" s="75" t="str">
        <f ca="1">IFERROR(__xludf.DUMMYFUNCTION("""COMPUTED_VALUE"""),"Студент")</f>
        <v>Студент</v>
      </c>
    </row>
    <row r="1552" spans="1:3">
      <c r="A1552" s="76">
        <f ca="1">IFERROR(__xludf.DUMMYFUNCTION("""COMPUTED_VALUE"""),2309121)</f>
        <v>2309121</v>
      </c>
      <c r="B1552" s="76" t="str">
        <f ca="1">IFERROR(__xludf.DUMMYFUNCTION("""COMPUTED_VALUE"""),"Бетекбаев Ержан")</f>
        <v>Бетекбаев Ержан</v>
      </c>
      <c r="C1552" s="75" t="str">
        <f ca="1">IFERROR(__xludf.DUMMYFUNCTION("""COMPUTED_VALUE"""),"Аспирант")</f>
        <v>Аспирант</v>
      </c>
    </row>
    <row r="1553" spans="1:3">
      <c r="A1553" s="76">
        <f ca="1">IFERROR(__xludf.DUMMYFUNCTION("""COMPUTED_VALUE"""),2309132)</f>
        <v>2309132</v>
      </c>
      <c r="B1553" s="76" t="str">
        <f ca="1">IFERROR(__xludf.DUMMYFUNCTION("""COMPUTED_VALUE"""),"Данилов Евгений Владимирович")</f>
        <v>Данилов Евгений Владимирович</v>
      </c>
      <c r="C1553" s="75" t="str">
        <f ca="1">IFERROR(__xludf.DUMMYFUNCTION("""COMPUTED_VALUE"""),"Студент")</f>
        <v>Студент</v>
      </c>
    </row>
    <row r="1554" spans="1:3">
      <c r="A1554" s="76">
        <f ca="1">IFERROR(__xludf.DUMMYFUNCTION("""COMPUTED_VALUE"""),2309135)</f>
        <v>2309135</v>
      </c>
      <c r="B1554" s="76" t="str">
        <f ca="1">IFERROR(__xludf.DUMMYFUNCTION("""COMPUTED_VALUE"""),"Филиппович Наталья Васильевна")</f>
        <v>Филиппович Наталья Васильевна</v>
      </c>
      <c r="C1554" s="75" t="str">
        <f ca="1">IFERROR(__xludf.DUMMYFUNCTION("""COMPUTED_VALUE"""),"Студент")</f>
        <v>Студент</v>
      </c>
    </row>
    <row r="1555" spans="1:3">
      <c r="A1555" s="76">
        <f ca="1">IFERROR(__xludf.DUMMYFUNCTION("""COMPUTED_VALUE"""),2309137)</f>
        <v>2309137</v>
      </c>
      <c r="B1555" s="76" t="str">
        <f ca="1">IFERROR(__xludf.DUMMYFUNCTION("""COMPUTED_VALUE"""),"Исмагилова Дилара Айратовна")</f>
        <v>Исмагилова Дилара Айратовна</v>
      </c>
      <c r="C1555" s="75" t="str">
        <f ca="1">IFERROR(__xludf.DUMMYFUNCTION("""COMPUTED_VALUE"""),"Студент")</f>
        <v>Студент</v>
      </c>
    </row>
    <row r="1556" spans="1:3">
      <c r="A1556" s="76">
        <f ca="1">IFERROR(__xludf.DUMMYFUNCTION("""COMPUTED_VALUE"""),2309142)</f>
        <v>2309142</v>
      </c>
      <c r="B1556" s="76" t="str">
        <f ca="1">IFERROR(__xludf.DUMMYFUNCTION("""COMPUTED_VALUE"""),"Якушев Глеб Вячеславович")</f>
        <v>Якушев Глеб Вячеславович</v>
      </c>
      <c r="C1556" s="75" t="str">
        <f ca="1">IFERROR(__xludf.DUMMYFUNCTION("""COMPUTED_VALUE"""),"Студент")</f>
        <v>Студент</v>
      </c>
    </row>
    <row r="1557" spans="1:3">
      <c r="A1557" s="76">
        <f ca="1">IFERROR(__xludf.DUMMYFUNCTION("""COMPUTED_VALUE"""),2309147)</f>
        <v>2309147</v>
      </c>
      <c r="B1557" s="76" t="str">
        <f ca="1">IFERROR(__xludf.DUMMYFUNCTION("""COMPUTED_VALUE"""),"Гиззатуллина Динара Марселевна")</f>
        <v>Гиззатуллина Динара Марселевна</v>
      </c>
      <c r="C1557" s="75" t="str">
        <f ca="1">IFERROR(__xludf.DUMMYFUNCTION("""COMPUTED_VALUE"""),"Студент")</f>
        <v>Студент</v>
      </c>
    </row>
    <row r="1558" spans="1:3">
      <c r="A1558" s="76">
        <f ca="1">IFERROR(__xludf.DUMMYFUNCTION("""COMPUTED_VALUE"""),2309151)</f>
        <v>2309151</v>
      </c>
      <c r="B1558" s="76" t="str">
        <f ca="1">IFERROR(__xludf.DUMMYFUNCTION("""COMPUTED_VALUE"""),"Гришин Павел Николаевич")</f>
        <v>Гришин Павел Николаевич</v>
      </c>
      <c r="C1558" s="75" t="str">
        <f ca="1">IFERROR(__xludf.DUMMYFUNCTION("""COMPUTED_VALUE"""),"Аспирант")</f>
        <v>Аспирант</v>
      </c>
    </row>
    <row r="1559" spans="1:3">
      <c r="A1559" s="76">
        <f ca="1">IFERROR(__xludf.DUMMYFUNCTION("""COMPUTED_VALUE"""),2309152)</f>
        <v>2309152</v>
      </c>
      <c r="B1559" s="76" t="str">
        <f ca="1">IFERROR(__xludf.DUMMYFUNCTION("""COMPUTED_VALUE"""),"Александров Илья Алексеевич")</f>
        <v>Александров Илья Алексеевич</v>
      </c>
      <c r="C1559" s="75" t="str">
        <f ca="1">IFERROR(__xludf.DUMMYFUNCTION("""COMPUTED_VALUE"""),"Студент")</f>
        <v>Студент</v>
      </c>
    </row>
    <row r="1560" spans="1:3">
      <c r="A1560" s="76">
        <f ca="1">IFERROR(__xludf.DUMMYFUNCTION("""COMPUTED_VALUE"""),2309154)</f>
        <v>2309154</v>
      </c>
      <c r="B1560" s="76" t="str">
        <f ca="1">IFERROR(__xludf.DUMMYFUNCTION("""COMPUTED_VALUE"""),"Клименко Иван Андреевич")</f>
        <v>Клименко Иван Андреевич</v>
      </c>
      <c r="C1560" s="75" t="str">
        <f ca="1">IFERROR(__xludf.DUMMYFUNCTION("""COMPUTED_VALUE"""),"Студент")</f>
        <v>Студент</v>
      </c>
    </row>
    <row r="1561" spans="1:3">
      <c r="A1561" s="76">
        <f ca="1">IFERROR(__xludf.DUMMYFUNCTION("""COMPUTED_VALUE"""),2309160)</f>
        <v>2309160</v>
      </c>
      <c r="B1561" s="76" t="str">
        <f ca="1">IFERROR(__xludf.DUMMYFUNCTION("""COMPUTED_VALUE"""),"Пронкин Егор Сергеевич")</f>
        <v>Пронкин Егор Сергеевич</v>
      </c>
      <c r="C1561" s="75" t="str">
        <f ca="1">IFERROR(__xludf.DUMMYFUNCTION("""COMPUTED_VALUE"""),"Студент")</f>
        <v>Студент</v>
      </c>
    </row>
    <row r="1562" spans="1:3">
      <c r="A1562" s="76">
        <f ca="1">IFERROR(__xludf.DUMMYFUNCTION("""COMPUTED_VALUE"""),2309168)</f>
        <v>2309168</v>
      </c>
      <c r="B1562" s="76" t="str">
        <f ca="1">IFERROR(__xludf.DUMMYFUNCTION("""COMPUTED_VALUE"""),"Бухтеев Олег Максимович")</f>
        <v>Бухтеев Олег Максимович</v>
      </c>
      <c r="C1562" s="75" t="str">
        <f ca="1">IFERROR(__xludf.DUMMYFUNCTION("""COMPUTED_VALUE"""),"Аспирант")</f>
        <v>Аспирант</v>
      </c>
    </row>
    <row r="1563" spans="1:3">
      <c r="A1563" s="76">
        <f ca="1">IFERROR(__xludf.DUMMYFUNCTION("""COMPUTED_VALUE"""),2309169)</f>
        <v>2309169</v>
      </c>
      <c r="B1563" s="76" t="str">
        <f ca="1">IFERROR(__xludf.DUMMYFUNCTION("""COMPUTED_VALUE"""),"Дорджиев Роман Окаевич")</f>
        <v>Дорджиев Роман Окаевич</v>
      </c>
      <c r="C1563" s="75" t="str">
        <f ca="1">IFERROR(__xludf.DUMMYFUNCTION("""COMPUTED_VALUE"""),"Студент")</f>
        <v>Студент</v>
      </c>
    </row>
    <row r="1564" spans="1:3">
      <c r="A1564" s="76">
        <f ca="1">IFERROR(__xludf.DUMMYFUNCTION("""COMPUTED_VALUE"""),2309178)</f>
        <v>2309178</v>
      </c>
      <c r="B1564" s="76" t="str">
        <f ca="1">IFERROR(__xludf.DUMMYFUNCTION("""COMPUTED_VALUE"""),"Нестюркин Михаил Сергеевич")</f>
        <v>Нестюркин Михаил Сергеевич</v>
      </c>
      <c r="C1564" s="75" t="str">
        <f ca="1">IFERROR(__xludf.DUMMYFUNCTION("""COMPUTED_VALUE"""),"Аспирант")</f>
        <v>Аспирант</v>
      </c>
    </row>
    <row r="1565" spans="1:3">
      <c r="A1565" s="76">
        <f ca="1">IFERROR(__xludf.DUMMYFUNCTION("""COMPUTED_VALUE"""),2309184)</f>
        <v>2309184</v>
      </c>
      <c r="B1565" s="76" t="str">
        <f ca="1">IFERROR(__xludf.DUMMYFUNCTION("""COMPUTED_VALUE"""),"Толмачева Владислава Евгеньевна")</f>
        <v>Толмачева Владислава Евгеньевна</v>
      </c>
      <c r="C1565" s="75" t="str">
        <f ca="1">IFERROR(__xludf.DUMMYFUNCTION("""COMPUTED_VALUE"""),"Студент")</f>
        <v>Студент</v>
      </c>
    </row>
    <row r="1566" spans="1:3">
      <c r="A1566" s="76">
        <f ca="1">IFERROR(__xludf.DUMMYFUNCTION("""COMPUTED_VALUE"""),2309187)</f>
        <v>2309187</v>
      </c>
      <c r="B1566" s="76" t="str">
        <f ca="1">IFERROR(__xludf.DUMMYFUNCTION("""COMPUTED_VALUE"""),"Виноградова Светлана Александровна")</f>
        <v>Виноградова Светлана Александровна</v>
      </c>
      <c r="C1566" s="75" t="str">
        <f ca="1">IFERROR(__xludf.DUMMYFUNCTION("""COMPUTED_VALUE"""),"Студент")</f>
        <v>Студент</v>
      </c>
    </row>
    <row r="1567" spans="1:3">
      <c r="A1567" s="76">
        <f ca="1">IFERROR(__xludf.DUMMYFUNCTION("""COMPUTED_VALUE"""),2309191)</f>
        <v>2309191</v>
      </c>
      <c r="B1567" s="76" t="str">
        <f ca="1">IFERROR(__xludf.DUMMYFUNCTION("""COMPUTED_VALUE"""),"Миссанда Нгурума Доминик Анри")</f>
        <v>Миссанда Нгурума Доминик Анри</v>
      </c>
      <c r="C1567" s="75" t="str">
        <f ca="1">IFERROR(__xludf.DUMMYFUNCTION("""COMPUTED_VALUE"""),"Студент")</f>
        <v>Студент</v>
      </c>
    </row>
    <row r="1568" spans="1:3">
      <c r="A1568" s="76">
        <f ca="1">IFERROR(__xludf.DUMMYFUNCTION("""COMPUTED_VALUE"""),2309194)</f>
        <v>2309194</v>
      </c>
      <c r="B1568" s="76" t="str">
        <f ca="1">IFERROR(__xludf.DUMMYFUNCTION("""COMPUTED_VALUE"""),"Ким Артём")</f>
        <v>Ким Артём</v>
      </c>
      <c r="C1568" s="75" t="str">
        <f ca="1">IFERROR(__xludf.DUMMYFUNCTION("""COMPUTED_VALUE"""),"Студент")</f>
        <v>Студент</v>
      </c>
    </row>
    <row r="1569" spans="1:3">
      <c r="A1569" s="76">
        <f ca="1">IFERROR(__xludf.DUMMYFUNCTION("""COMPUTED_VALUE"""),2309195)</f>
        <v>2309195</v>
      </c>
      <c r="B1569" s="76" t="str">
        <f ca="1">IFERROR(__xludf.DUMMYFUNCTION("""COMPUTED_VALUE"""),"Малышев Максим Константинович")</f>
        <v>Малышев Максим Константинович</v>
      </c>
      <c r="C1569" s="75" t="str">
        <f ca="1">IFERROR(__xludf.DUMMYFUNCTION("""COMPUTED_VALUE"""),"Студент")</f>
        <v>Студент</v>
      </c>
    </row>
    <row r="1570" spans="1:3">
      <c r="A1570" s="76">
        <f ca="1">IFERROR(__xludf.DUMMYFUNCTION("""COMPUTED_VALUE"""),2309198)</f>
        <v>2309198</v>
      </c>
      <c r="B1570" s="76" t="str">
        <f ca="1">IFERROR(__xludf.DUMMYFUNCTION("""COMPUTED_VALUE"""),"Мазина Наталья Константиновна")</f>
        <v>Мазина Наталья Константиновна</v>
      </c>
      <c r="C1570" s="75" t="str">
        <f ca="1">IFERROR(__xludf.DUMMYFUNCTION("""COMPUTED_VALUE"""),"Студент")</f>
        <v>Студент</v>
      </c>
    </row>
    <row r="1571" spans="1:3">
      <c r="A1571" s="76">
        <f ca="1">IFERROR(__xludf.DUMMYFUNCTION("""COMPUTED_VALUE"""),2309200)</f>
        <v>2309200</v>
      </c>
      <c r="B1571" s="76" t="str">
        <f ca="1">IFERROR(__xludf.DUMMYFUNCTION("""COMPUTED_VALUE"""),"Вербицкий Виталий Васильевич")</f>
        <v>Вербицкий Виталий Васильевич</v>
      </c>
      <c r="C1571" s="75" t="str">
        <f ca="1">IFERROR(__xludf.DUMMYFUNCTION("""COMPUTED_VALUE"""),"Студент")</f>
        <v>Студент</v>
      </c>
    </row>
    <row r="1572" spans="1:3">
      <c r="A1572" s="76">
        <f ca="1">IFERROR(__xludf.DUMMYFUNCTION("""COMPUTED_VALUE"""),2309201)</f>
        <v>2309201</v>
      </c>
      <c r="B1572" s="76" t="str">
        <f ca="1">IFERROR(__xludf.DUMMYFUNCTION("""COMPUTED_VALUE"""),"Бойко Александра Андреевна")</f>
        <v>Бойко Александра Андреевна</v>
      </c>
      <c r="C1572" s="75" t="str">
        <f ca="1">IFERROR(__xludf.DUMMYFUNCTION("""COMPUTED_VALUE"""),"Студент")</f>
        <v>Студент</v>
      </c>
    </row>
    <row r="1573" spans="1:3">
      <c r="A1573" s="76">
        <f ca="1">IFERROR(__xludf.DUMMYFUNCTION("""COMPUTED_VALUE"""),2309209)</f>
        <v>2309209</v>
      </c>
      <c r="B1573" s="76" t="str">
        <f ca="1">IFERROR(__xludf.DUMMYFUNCTION("""COMPUTED_VALUE"""),"Расторгуев Владислав Вадимович")</f>
        <v>Расторгуев Владислав Вадимович</v>
      </c>
      <c r="C1573" s="75" t="str">
        <f ca="1">IFERROR(__xludf.DUMMYFUNCTION("""COMPUTED_VALUE"""),"Студент")</f>
        <v>Студент</v>
      </c>
    </row>
    <row r="1574" spans="1:3">
      <c r="A1574" s="76">
        <f ca="1">IFERROR(__xludf.DUMMYFUNCTION("""COMPUTED_VALUE"""),2309228)</f>
        <v>2309228</v>
      </c>
      <c r="B1574" s="76" t="str">
        <f ca="1">IFERROR(__xludf.DUMMYFUNCTION("""COMPUTED_VALUE"""),"Гуляев Вячеслав Александрович")</f>
        <v>Гуляев Вячеслав Александрович</v>
      </c>
      <c r="C1574" s="75" t="str">
        <f ca="1">IFERROR(__xludf.DUMMYFUNCTION("""COMPUTED_VALUE"""),"Студент")</f>
        <v>Студент</v>
      </c>
    </row>
    <row r="1575" spans="1:3">
      <c r="A1575" s="76">
        <f ca="1">IFERROR(__xludf.DUMMYFUNCTION("""COMPUTED_VALUE"""),2309233)</f>
        <v>2309233</v>
      </c>
      <c r="B1575" s="76" t="str">
        <f ca="1">IFERROR(__xludf.DUMMYFUNCTION("""COMPUTED_VALUE"""),"Палкин Павел Александрович")</f>
        <v>Палкин Павел Александрович</v>
      </c>
      <c r="C1575" s="75" t="str">
        <f ca="1">IFERROR(__xludf.DUMMYFUNCTION("""COMPUTED_VALUE"""),"Аспирант")</f>
        <v>Аспирант</v>
      </c>
    </row>
    <row r="1576" spans="1:3">
      <c r="A1576" s="76">
        <f ca="1">IFERROR(__xludf.DUMMYFUNCTION("""COMPUTED_VALUE"""),2309246)</f>
        <v>2309246</v>
      </c>
      <c r="B1576" s="76" t="str">
        <f ca="1">IFERROR(__xludf.DUMMYFUNCTION("""COMPUTED_VALUE"""),"Брусов Никита Денисович")</f>
        <v>Брусов Никита Денисович</v>
      </c>
      <c r="C1576" s="75" t="str">
        <f ca="1">IFERROR(__xludf.DUMMYFUNCTION("""COMPUTED_VALUE"""),"Студент")</f>
        <v>Студент</v>
      </c>
    </row>
    <row r="1577" spans="1:3">
      <c r="A1577" s="76">
        <f ca="1">IFERROR(__xludf.DUMMYFUNCTION("""COMPUTED_VALUE"""),2309247)</f>
        <v>2309247</v>
      </c>
      <c r="B1577" s="76" t="str">
        <f ca="1">IFERROR(__xludf.DUMMYFUNCTION("""COMPUTED_VALUE"""),"Жураковский Карен Васильевич")</f>
        <v>Жураковский Карен Васильевич</v>
      </c>
      <c r="C1577" s="75" t="str">
        <f ca="1">IFERROR(__xludf.DUMMYFUNCTION("""COMPUTED_VALUE"""),"Студент")</f>
        <v>Студент</v>
      </c>
    </row>
    <row r="1578" spans="1:3">
      <c r="A1578" s="76">
        <f ca="1">IFERROR(__xludf.DUMMYFUNCTION("""COMPUTED_VALUE"""),2309253)</f>
        <v>2309253</v>
      </c>
      <c r="B1578" s="76" t="str">
        <f ca="1">IFERROR(__xludf.DUMMYFUNCTION("""COMPUTED_VALUE"""),"Ткаченко Ольга Петровна")</f>
        <v>Ткаченко Ольга Петровна</v>
      </c>
      <c r="C1578" s="75" t="str">
        <f ca="1">IFERROR(__xludf.DUMMYFUNCTION("""COMPUTED_VALUE"""),"Студент")</f>
        <v>Студент</v>
      </c>
    </row>
    <row r="1579" spans="1:3">
      <c r="A1579" s="76">
        <f ca="1">IFERROR(__xludf.DUMMYFUNCTION("""COMPUTED_VALUE"""),2309258)</f>
        <v>2309258</v>
      </c>
      <c r="B1579" s="76" t="str">
        <f ca="1">IFERROR(__xludf.DUMMYFUNCTION("""COMPUTED_VALUE"""),"Селиванов Максим Викторович")</f>
        <v>Селиванов Максим Викторович</v>
      </c>
      <c r="C1579" s="75" t="str">
        <f ca="1">IFERROR(__xludf.DUMMYFUNCTION("""COMPUTED_VALUE"""),"Аспирант")</f>
        <v>Аспирант</v>
      </c>
    </row>
    <row r="1580" spans="1:3">
      <c r="A1580" s="76">
        <f ca="1">IFERROR(__xludf.DUMMYFUNCTION("""COMPUTED_VALUE"""),2309259)</f>
        <v>2309259</v>
      </c>
      <c r="B1580" s="76" t="str">
        <f ca="1">IFERROR(__xludf.DUMMYFUNCTION("""COMPUTED_VALUE"""),"Котикова Мария Николаевна")</f>
        <v>Котикова Мария Николаевна</v>
      </c>
      <c r="C1580" s="75" t="str">
        <f ca="1">IFERROR(__xludf.DUMMYFUNCTION("""COMPUTED_VALUE"""),"Студент")</f>
        <v>Студент</v>
      </c>
    </row>
    <row r="1581" spans="1:3">
      <c r="A1581" s="76">
        <f ca="1">IFERROR(__xludf.DUMMYFUNCTION("""COMPUTED_VALUE"""),2309262)</f>
        <v>2309262</v>
      </c>
      <c r="B1581" s="76" t="str">
        <f ca="1">IFERROR(__xludf.DUMMYFUNCTION("""COMPUTED_VALUE"""),"Очиров Рабдан Жаргалович")</f>
        <v>Очиров Рабдан Жаргалович</v>
      </c>
      <c r="C1581" s="75" t="str">
        <f ca="1">IFERROR(__xludf.DUMMYFUNCTION("""COMPUTED_VALUE"""),"Студент")</f>
        <v>Студент</v>
      </c>
    </row>
    <row r="1582" spans="1:3">
      <c r="A1582" s="76">
        <f ca="1">IFERROR(__xludf.DUMMYFUNCTION("""COMPUTED_VALUE"""),2309263)</f>
        <v>2309263</v>
      </c>
      <c r="B1582" s="76" t="str">
        <f ca="1">IFERROR(__xludf.DUMMYFUNCTION("""COMPUTED_VALUE"""),"Гусев Святослав Андреевич")</f>
        <v>Гусев Святослав Андреевич</v>
      </c>
      <c r="C1582" s="75" t="str">
        <f ca="1">IFERROR(__xludf.DUMMYFUNCTION("""COMPUTED_VALUE"""),"Студент")</f>
        <v>Студент</v>
      </c>
    </row>
    <row r="1583" spans="1:3">
      <c r="A1583" s="76">
        <f ca="1">IFERROR(__xludf.DUMMYFUNCTION("""COMPUTED_VALUE"""),2309278)</f>
        <v>2309278</v>
      </c>
      <c r="B1583" s="76" t="str">
        <f ca="1">IFERROR(__xludf.DUMMYFUNCTION("""COMPUTED_VALUE"""),"Корнилов Даниил Анатольевич")</f>
        <v>Корнилов Даниил Анатольевич</v>
      </c>
      <c r="C1583" s="75" t="str">
        <f ca="1">IFERROR(__xludf.DUMMYFUNCTION("""COMPUTED_VALUE"""),"Студент")</f>
        <v>Студент</v>
      </c>
    </row>
    <row r="1584" spans="1:3">
      <c r="A1584" s="76">
        <f ca="1">IFERROR(__xludf.DUMMYFUNCTION("""COMPUTED_VALUE"""),2309279)</f>
        <v>2309279</v>
      </c>
      <c r="B1584" s="76" t="str">
        <f ca="1">IFERROR(__xludf.DUMMYFUNCTION("""COMPUTED_VALUE"""),"Аккуратнов Елисей Андреевич")</f>
        <v>Аккуратнов Елисей Андреевич</v>
      </c>
      <c r="C1584" s="75" t="str">
        <f ca="1">IFERROR(__xludf.DUMMYFUNCTION("""COMPUTED_VALUE"""),"Аспирант")</f>
        <v>Аспирант</v>
      </c>
    </row>
    <row r="1585" spans="1:3">
      <c r="A1585" s="76">
        <f ca="1">IFERROR(__xludf.DUMMYFUNCTION("""COMPUTED_VALUE"""),2309280)</f>
        <v>2309280</v>
      </c>
      <c r="B1585" s="76" t="str">
        <f ca="1">IFERROR(__xludf.DUMMYFUNCTION("""COMPUTED_VALUE"""),"Козлов Захар Валерьевич")</f>
        <v>Козлов Захар Валерьевич</v>
      </c>
      <c r="C1585" s="75" t="str">
        <f ca="1">IFERROR(__xludf.DUMMYFUNCTION("""COMPUTED_VALUE"""),"Студент")</f>
        <v>Студент</v>
      </c>
    </row>
    <row r="1586" spans="1:3">
      <c r="A1586" s="76">
        <f ca="1">IFERROR(__xludf.DUMMYFUNCTION("""COMPUTED_VALUE"""),2309287)</f>
        <v>2309287</v>
      </c>
      <c r="B1586" s="76" t="str">
        <f ca="1">IFERROR(__xludf.DUMMYFUNCTION("""COMPUTED_VALUE"""),"Вахрушев Роман Алексеевич")</f>
        <v>Вахрушев Роман Алексеевич</v>
      </c>
      <c r="C1586" s="75" t="str">
        <f ca="1">IFERROR(__xludf.DUMMYFUNCTION("""COMPUTED_VALUE"""),"Аспирант")</f>
        <v>Аспирант</v>
      </c>
    </row>
    <row r="1587" spans="1:3">
      <c r="A1587" s="76">
        <f ca="1">IFERROR(__xludf.DUMMYFUNCTION("""COMPUTED_VALUE"""),2309303)</f>
        <v>2309303</v>
      </c>
      <c r="B1587" s="76" t="str">
        <f ca="1">IFERROR(__xludf.DUMMYFUNCTION("""COMPUTED_VALUE"""),"Елсукова Юлия Сергеевна")</f>
        <v>Елсукова Юлия Сергеевна</v>
      </c>
      <c r="C1587" s="75" t="str">
        <f ca="1">IFERROR(__xludf.DUMMYFUNCTION("""COMPUTED_VALUE"""),"Студент")</f>
        <v>Студент</v>
      </c>
    </row>
    <row r="1588" spans="1:3">
      <c r="A1588" s="76">
        <f ca="1">IFERROR(__xludf.DUMMYFUNCTION("""COMPUTED_VALUE"""),2309312)</f>
        <v>2309312</v>
      </c>
      <c r="B1588" s="76" t="str">
        <f ca="1">IFERROR(__xludf.DUMMYFUNCTION("""COMPUTED_VALUE"""),"Цой Константин Александрович")</f>
        <v>Цой Константин Александрович</v>
      </c>
      <c r="C1588" s="75" t="str">
        <f ca="1">IFERROR(__xludf.DUMMYFUNCTION("""COMPUTED_VALUE"""),"Студент")</f>
        <v>Студент</v>
      </c>
    </row>
    <row r="1589" spans="1:3">
      <c r="A1589" s="76">
        <f ca="1">IFERROR(__xludf.DUMMYFUNCTION("""COMPUTED_VALUE"""),2309324)</f>
        <v>2309324</v>
      </c>
      <c r="B1589" s="76" t="str">
        <f ca="1">IFERROR(__xludf.DUMMYFUNCTION("""COMPUTED_VALUE"""),"Буркина Елизавета Сергеевна")</f>
        <v>Буркина Елизавета Сергеевна</v>
      </c>
      <c r="C1589" s="75" t="str">
        <f ca="1">IFERROR(__xludf.DUMMYFUNCTION("""COMPUTED_VALUE"""),"Студент")</f>
        <v>Студент</v>
      </c>
    </row>
    <row r="1590" spans="1:3">
      <c r="A1590" s="76">
        <f ca="1">IFERROR(__xludf.DUMMYFUNCTION("""COMPUTED_VALUE"""),2309329)</f>
        <v>2309329</v>
      </c>
      <c r="B1590" s="76" t="str">
        <f ca="1">IFERROR(__xludf.DUMMYFUNCTION("""COMPUTED_VALUE"""),"Заворотный Александр Владимирович")</f>
        <v>Заворотный Александр Владимирович</v>
      </c>
      <c r="C1590" s="75" t="str">
        <f ca="1">IFERROR(__xludf.DUMMYFUNCTION("""COMPUTED_VALUE"""),"Аспирант")</f>
        <v>Аспирант</v>
      </c>
    </row>
    <row r="1591" spans="1:3">
      <c r="A1591" s="76">
        <f ca="1">IFERROR(__xludf.DUMMYFUNCTION("""COMPUTED_VALUE"""),2309331)</f>
        <v>2309331</v>
      </c>
      <c r="B1591" s="76" t="str">
        <f ca="1">IFERROR(__xludf.DUMMYFUNCTION("""COMPUTED_VALUE"""),"Земляков Александр Сергеевич")</f>
        <v>Земляков Александр Сергеевич</v>
      </c>
      <c r="C1591" s="75" t="str">
        <f ca="1">IFERROR(__xludf.DUMMYFUNCTION("""COMPUTED_VALUE"""),"Студент")</f>
        <v>Студент</v>
      </c>
    </row>
    <row r="1592" spans="1:3">
      <c r="A1592" s="76">
        <f ca="1">IFERROR(__xludf.DUMMYFUNCTION("""COMPUTED_VALUE"""),2309334)</f>
        <v>2309334</v>
      </c>
      <c r="B1592" s="76" t="str">
        <f ca="1">IFERROR(__xludf.DUMMYFUNCTION("""COMPUTED_VALUE"""),"Кузьмина Мария Денисовна")</f>
        <v>Кузьмина Мария Денисовна</v>
      </c>
      <c r="C1592" s="75" t="str">
        <f ca="1">IFERROR(__xludf.DUMMYFUNCTION("""COMPUTED_VALUE"""),"Студент")</f>
        <v>Студент</v>
      </c>
    </row>
    <row r="1593" spans="1:3">
      <c r="A1593" s="76">
        <f ca="1">IFERROR(__xludf.DUMMYFUNCTION("""COMPUTED_VALUE"""),2309341)</f>
        <v>2309341</v>
      </c>
      <c r="B1593" s="76" t="str">
        <f ca="1">IFERROR(__xludf.DUMMYFUNCTION("""COMPUTED_VALUE"""),"Илядярова Татьяна Владимировна")</f>
        <v>Илядярова Татьяна Владимировна</v>
      </c>
      <c r="C1593" s="75" t="str">
        <f ca="1">IFERROR(__xludf.DUMMYFUNCTION("""COMPUTED_VALUE"""),"Студент")</f>
        <v>Студент</v>
      </c>
    </row>
    <row r="1594" spans="1:3">
      <c r="A1594" s="76">
        <f ca="1">IFERROR(__xludf.DUMMYFUNCTION("""COMPUTED_VALUE"""),2309348)</f>
        <v>2309348</v>
      </c>
      <c r="B1594" s="76" t="str">
        <f ca="1">IFERROR(__xludf.DUMMYFUNCTION("""COMPUTED_VALUE"""),"Зимин Алексей Александрович")</f>
        <v>Зимин Алексей Александрович</v>
      </c>
      <c r="C1594" s="75" t="str">
        <f ca="1">IFERROR(__xludf.DUMMYFUNCTION("""COMPUTED_VALUE"""),"Студент")</f>
        <v>Студент</v>
      </c>
    </row>
    <row r="1595" spans="1:3">
      <c r="A1595" s="76">
        <f ca="1">IFERROR(__xludf.DUMMYFUNCTION("""COMPUTED_VALUE"""),2309356)</f>
        <v>2309356</v>
      </c>
      <c r="B1595" s="76" t="str">
        <f ca="1">IFERROR(__xludf.DUMMYFUNCTION("""COMPUTED_VALUE"""),"Колесникова Анастасия Сергеевна")</f>
        <v>Колесникова Анастасия Сергеевна</v>
      </c>
      <c r="C1595" s="75" t="str">
        <f ca="1">IFERROR(__xludf.DUMMYFUNCTION("""COMPUTED_VALUE"""),"Студент")</f>
        <v>Студент</v>
      </c>
    </row>
    <row r="1596" spans="1:3">
      <c r="A1596" s="76">
        <f ca="1">IFERROR(__xludf.DUMMYFUNCTION("""COMPUTED_VALUE"""),2309357)</f>
        <v>2309357</v>
      </c>
      <c r="B1596" s="76" t="str">
        <f ca="1">IFERROR(__xludf.DUMMYFUNCTION("""COMPUTED_VALUE"""),"Сомов Кирилл Сергеевич")</f>
        <v>Сомов Кирилл Сергеевич</v>
      </c>
      <c r="C1596" s="75" t="str">
        <f ca="1">IFERROR(__xludf.DUMMYFUNCTION("""COMPUTED_VALUE"""),"Студент")</f>
        <v>Студент</v>
      </c>
    </row>
    <row r="1597" spans="1:3">
      <c r="A1597" s="76">
        <f ca="1">IFERROR(__xludf.DUMMYFUNCTION("""COMPUTED_VALUE"""),2309359)</f>
        <v>2309359</v>
      </c>
      <c r="B1597" s="76" t="str">
        <f ca="1">IFERROR(__xludf.DUMMYFUNCTION("""COMPUTED_VALUE"""),"Антонов Илья Константинович")</f>
        <v>Антонов Илья Константинович</v>
      </c>
      <c r="C1597" s="75" t="str">
        <f ca="1">IFERROR(__xludf.DUMMYFUNCTION("""COMPUTED_VALUE"""),"Студент")</f>
        <v>Студент</v>
      </c>
    </row>
    <row r="1598" spans="1:3">
      <c r="A1598" s="76">
        <f ca="1">IFERROR(__xludf.DUMMYFUNCTION("""COMPUTED_VALUE"""),2309360)</f>
        <v>2309360</v>
      </c>
      <c r="B1598" s="76" t="str">
        <f ca="1">IFERROR(__xludf.DUMMYFUNCTION("""COMPUTED_VALUE"""),"Башкиров Андрей Алексеевич")</f>
        <v>Башкиров Андрей Алексеевич</v>
      </c>
      <c r="C1598" s="75" t="str">
        <f ca="1">IFERROR(__xludf.DUMMYFUNCTION("""COMPUTED_VALUE"""),"Студент")</f>
        <v>Студент</v>
      </c>
    </row>
    <row r="1599" spans="1:3">
      <c r="A1599" s="76">
        <f ca="1">IFERROR(__xludf.DUMMYFUNCTION("""COMPUTED_VALUE"""),2309361)</f>
        <v>2309361</v>
      </c>
      <c r="B1599" s="76" t="str">
        <f ca="1">IFERROR(__xludf.DUMMYFUNCTION("""COMPUTED_VALUE"""),"Кукунова Мария Михайловна")</f>
        <v>Кукунова Мария Михайловна</v>
      </c>
      <c r="C1599" s="75" t="str">
        <f ca="1">IFERROR(__xludf.DUMMYFUNCTION("""COMPUTED_VALUE"""),"Студент")</f>
        <v>Студент</v>
      </c>
    </row>
    <row r="1600" spans="1:3">
      <c r="A1600" s="76">
        <f ca="1">IFERROR(__xludf.DUMMYFUNCTION("""COMPUTED_VALUE"""),2309362)</f>
        <v>2309362</v>
      </c>
      <c r="B1600" s="76" t="str">
        <f ca="1">IFERROR(__xludf.DUMMYFUNCTION("""COMPUTED_VALUE"""),"Попов Павел Александрович")</f>
        <v>Попов Павел Александрович</v>
      </c>
      <c r="C1600" s="75" t="str">
        <f ca="1">IFERROR(__xludf.DUMMYFUNCTION("""COMPUTED_VALUE"""),"Студент")</f>
        <v>Студент</v>
      </c>
    </row>
    <row r="1601" spans="1:3">
      <c r="A1601" s="76">
        <f ca="1">IFERROR(__xludf.DUMMYFUNCTION("""COMPUTED_VALUE"""),2309369)</f>
        <v>2309369</v>
      </c>
      <c r="B1601" s="76" t="str">
        <f ca="1">IFERROR(__xludf.DUMMYFUNCTION("""COMPUTED_VALUE"""),"Колесниченко Иван Сергеевич")</f>
        <v>Колесниченко Иван Сергеевич</v>
      </c>
      <c r="C1601" s="75" t="str">
        <f ca="1">IFERROR(__xludf.DUMMYFUNCTION("""COMPUTED_VALUE"""),"Студент")</f>
        <v>Студент</v>
      </c>
    </row>
    <row r="1602" spans="1:3">
      <c r="A1602" s="76">
        <f ca="1">IFERROR(__xludf.DUMMYFUNCTION("""COMPUTED_VALUE"""),2309370)</f>
        <v>2309370</v>
      </c>
      <c r="B1602" s="76" t="str">
        <f ca="1">IFERROR(__xludf.DUMMYFUNCTION("""COMPUTED_VALUE"""),"Майорова Карина Александровна")</f>
        <v>Майорова Карина Александровна</v>
      </c>
      <c r="C1602" s="75" t="str">
        <f ca="1">IFERROR(__xludf.DUMMYFUNCTION("""COMPUTED_VALUE"""),"Студент")</f>
        <v>Студент</v>
      </c>
    </row>
    <row r="1603" spans="1:3">
      <c r="A1603" s="76">
        <f ca="1">IFERROR(__xludf.DUMMYFUNCTION("""COMPUTED_VALUE"""),2309378)</f>
        <v>2309378</v>
      </c>
      <c r="B1603" s="76" t="str">
        <f ca="1">IFERROR(__xludf.DUMMYFUNCTION("""COMPUTED_VALUE"""),"Недосекин Илья Петрович")</f>
        <v>Недосекин Илья Петрович</v>
      </c>
      <c r="C1603" s="75" t="str">
        <f ca="1">IFERROR(__xludf.DUMMYFUNCTION("""COMPUTED_VALUE"""),"Студент")</f>
        <v>Студент</v>
      </c>
    </row>
    <row r="1604" spans="1:3">
      <c r="A1604" s="76">
        <f ca="1">IFERROR(__xludf.DUMMYFUNCTION("""COMPUTED_VALUE"""),2309382)</f>
        <v>2309382</v>
      </c>
      <c r="B1604" s="76" t="str">
        <f ca="1">IFERROR(__xludf.DUMMYFUNCTION("""COMPUTED_VALUE"""),"Степанова Анна Васильевна")</f>
        <v>Степанова Анна Васильевна</v>
      </c>
      <c r="C1604" s="75" t="str">
        <f ca="1">IFERROR(__xludf.DUMMYFUNCTION("""COMPUTED_VALUE"""),"Студент")</f>
        <v>Студент</v>
      </c>
    </row>
    <row r="1605" spans="1:3">
      <c r="A1605" s="76">
        <f ca="1">IFERROR(__xludf.DUMMYFUNCTION("""COMPUTED_VALUE"""),2309386)</f>
        <v>2309386</v>
      </c>
      <c r="B1605" s="76" t="str">
        <f ca="1">IFERROR(__xludf.DUMMYFUNCTION("""COMPUTED_VALUE"""),"Исаченко Михаил Константинович")</f>
        <v>Исаченко Михаил Константинович</v>
      </c>
      <c r="C1605" s="75" t="str">
        <f ca="1">IFERROR(__xludf.DUMMYFUNCTION("""COMPUTED_VALUE"""),"Студент")</f>
        <v>Студент</v>
      </c>
    </row>
    <row r="1606" spans="1:3">
      <c r="A1606" s="76">
        <f ca="1">IFERROR(__xludf.DUMMYFUNCTION("""COMPUTED_VALUE"""),2309388)</f>
        <v>2309388</v>
      </c>
      <c r="B1606" s="76" t="str">
        <f ca="1">IFERROR(__xludf.DUMMYFUNCTION("""COMPUTED_VALUE"""),"Репина Дарья Дмитриевна")</f>
        <v>Репина Дарья Дмитриевна</v>
      </c>
      <c r="C1606" s="75" t="str">
        <f ca="1">IFERROR(__xludf.DUMMYFUNCTION("""COMPUTED_VALUE"""),"Студент")</f>
        <v>Студент</v>
      </c>
    </row>
    <row r="1607" spans="1:3">
      <c r="A1607" s="76">
        <f ca="1">IFERROR(__xludf.DUMMYFUNCTION("""COMPUTED_VALUE"""),2309397)</f>
        <v>2309397</v>
      </c>
      <c r="B1607" s="76" t="str">
        <f ca="1">IFERROR(__xludf.DUMMYFUNCTION("""COMPUTED_VALUE"""),"Морозов Александр Андреевич")</f>
        <v>Морозов Александр Андреевич</v>
      </c>
      <c r="C1607" s="75" t="str">
        <f ca="1">IFERROR(__xludf.DUMMYFUNCTION("""COMPUTED_VALUE"""),"Аспирант")</f>
        <v>Аспирант</v>
      </c>
    </row>
    <row r="1608" spans="1:3">
      <c r="A1608" s="76">
        <f ca="1">IFERROR(__xludf.DUMMYFUNCTION("""COMPUTED_VALUE"""),2309413)</f>
        <v>2309413</v>
      </c>
      <c r="B1608" s="76" t="str">
        <f ca="1">IFERROR(__xludf.DUMMYFUNCTION("""COMPUTED_VALUE"""),"Сорокин Евгений Петрович")</f>
        <v>Сорокин Евгений Петрович</v>
      </c>
      <c r="C1608" s="75" t="str">
        <f ca="1">IFERROR(__xludf.DUMMYFUNCTION("""COMPUTED_VALUE"""),"Студент")</f>
        <v>Студент</v>
      </c>
    </row>
    <row r="1609" spans="1:3">
      <c r="A1609" s="76">
        <f ca="1">IFERROR(__xludf.DUMMYFUNCTION("""COMPUTED_VALUE"""),2309417)</f>
        <v>2309417</v>
      </c>
      <c r="B1609" s="76" t="str">
        <f ca="1">IFERROR(__xludf.DUMMYFUNCTION("""COMPUTED_VALUE"""),"Чуркина Анастасия Юрьевна")</f>
        <v>Чуркина Анастасия Юрьевна</v>
      </c>
      <c r="C1609" s="75" t="str">
        <f ca="1">IFERROR(__xludf.DUMMYFUNCTION("""COMPUTED_VALUE"""),"Студент")</f>
        <v>Студент</v>
      </c>
    </row>
    <row r="1610" spans="1:3">
      <c r="A1610" s="76">
        <f ca="1">IFERROR(__xludf.DUMMYFUNCTION("""COMPUTED_VALUE"""),2309426)</f>
        <v>2309426</v>
      </c>
      <c r="B1610" s="76" t="str">
        <f ca="1">IFERROR(__xludf.DUMMYFUNCTION("""COMPUTED_VALUE"""),"Гумиров Михаил Романович")</f>
        <v>Гумиров Михаил Романович</v>
      </c>
      <c r="C1610" s="75" t="str">
        <f ca="1">IFERROR(__xludf.DUMMYFUNCTION("""COMPUTED_VALUE"""),"Студент")</f>
        <v>Студент</v>
      </c>
    </row>
    <row r="1611" spans="1:3">
      <c r="A1611" s="76">
        <f ca="1">IFERROR(__xludf.DUMMYFUNCTION("""COMPUTED_VALUE"""),2309437)</f>
        <v>2309437</v>
      </c>
      <c r="B1611" s="76" t="str">
        <f ca="1">IFERROR(__xludf.DUMMYFUNCTION("""COMPUTED_VALUE"""),"Токаренко Полина Александровна")</f>
        <v>Токаренко Полина Александровна</v>
      </c>
      <c r="C1611" s="75" t="str">
        <f ca="1">IFERROR(__xludf.DUMMYFUNCTION("""COMPUTED_VALUE"""),"Студент")</f>
        <v>Студент</v>
      </c>
    </row>
    <row r="1612" spans="1:3">
      <c r="A1612" s="76">
        <f ca="1">IFERROR(__xludf.DUMMYFUNCTION("""COMPUTED_VALUE"""),2309441)</f>
        <v>2309441</v>
      </c>
      <c r="B1612" s="76" t="str">
        <f ca="1">IFERROR(__xludf.DUMMYFUNCTION("""COMPUTED_VALUE"""),"Энеев Заур Алиевич")</f>
        <v>Энеев Заур Алиевич</v>
      </c>
      <c r="C1612" s="75" t="str">
        <f ca="1">IFERROR(__xludf.DUMMYFUNCTION("""COMPUTED_VALUE"""),"Студент")</f>
        <v>Студент</v>
      </c>
    </row>
    <row r="1613" spans="1:3">
      <c r="A1613" s="76">
        <f ca="1">IFERROR(__xludf.DUMMYFUNCTION("""COMPUTED_VALUE"""),2309447)</f>
        <v>2309447</v>
      </c>
      <c r="B1613" s="76" t="str">
        <f ca="1">IFERROR(__xludf.DUMMYFUNCTION("""COMPUTED_VALUE"""),"Воробьев Яков Рудольфович")</f>
        <v>Воробьев Яков Рудольфович</v>
      </c>
      <c r="C1613" s="75" t="str">
        <f ca="1">IFERROR(__xludf.DUMMYFUNCTION("""COMPUTED_VALUE"""),"Студент")</f>
        <v>Студент</v>
      </c>
    </row>
    <row r="1614" spans="1:3">
      <c r="A1614" s="76">
        <f ca="1">IFERROR(__xludf.DUMMYFUNCTION("""COMPUTED_VALUE"""),2309450)</f>
        <v>2309450</v>
      </c>
      <c r="B1614" s="76" t="str">
        <f ca="1">IFERROR(__xludf.DUMMYFUNCTION("""COMPUTED_VALUE"""),"Байкова Кристина Робертовна")</f>
        <v>Байкова Кристина Робертовна</v>
      </c>
      <c r="C1614" s="75" t="str">
        <f ca="1">IFERROR(__xludf.DUMMYFUNCTION("""COMPUTED_VALUE"""),"Студент")</f>
        <v>Студент</v>
      </c>
    </row>
    <row r="1615" spans="1:3">
      <c r="A1615" s="76">
        <f ca="1">IFERROR(__xludf.DUMMYFUNCTION("""COMPUTED_VALUE"""),2309464)</f>
        <v>2309464</v>
      </c>
      <c r="B1615" s="76" t="str">
        <f ca="1">IFERROR(__xludf.DUMMYFUNCTION("""COMPUTED_VALUE"""),"Андреенков Даниил Александрович")</f>
        <v>Андреенков Даниил Александрович</v>
      </c>
      <c r="C1615" s="75" t="str">
        <f ca="1">IFERROR(__xludf.DUMMYFUNCTION("""COMPUTED_VALUE"""),"Студент")</f>
        <v>Студент</v>
      </c>
    </row>
    <row r="1616" spans="1:3">
      <c r="A1616" s="76">
        <f ca="1">IFERROR(__xludf.DUMMYFUNCTION("""COMPUTED_VALUE"""),2309478)</f>
        <v>2309478</v>
      </c>
      <c r="B1616" s="76" t="str">
        <f ca="1">IFERROR(__xludf.DUMMYFUNCTION("""COMPUTED_VALUE"""),"Рагаускас Владас Артурович")</f>
        <v>Рагаускас Владас Артурович</v>
      </c>
      <c r="C1616" s="75" t="str">
        <f ca="1">IFERROR(__xludf.DUMMYFUNCTION("""COMPUTED_VALUE"""),"Студент")</f>
        <v>Студент</v>
      </c>
    </row>
    <row r="1617" spans="1:3">
      <c r="A1617" s="76">
        <f ca="1">IFERROR(__xludf.DUMMYFUNCTION("""COMPUTED_VALUE"""),2309484)</f>
        <v>2309484</v>
      </c>
      <c r="B1617" s="76" t="str">
        <f ca="1">IFERROR(__xludf.DUMMYFUNCTION("""COMPUTED_VALUE"""),"Шурыгин Владислав Олегович")</f>
        <v>Шурыгин Владислав Олегович</v>
      </c>
      <c r="C1617" s="75" t="str">
        <f ca="1">IFERROR(__xludf.DUMMYFUNCTION("""COMPUTED_VALUE"""),"Студент")</f>
        <v>Студент</v>
      </c>
    </row>
    <row r="1618" spans="1:3">
      <c r="A1618" s="76">
        <f ca="1">IFERROR(__xludf.DUMMYFUNCTION("""COMPUTED_VALUE"""),2309485)</f>
        <v>2309485</v>
      </c>
      <c r="B1618" s="76" t="str">
        <f ca="1">IFERROR(__xludf.DUMMYFUNCTION("""COMPUTED_VALUE"""),"Абрамова Дарья Евгеньевна")</f>
        <v>Абрамова Дарья Евгеньевна</v>
      </c>
      <c r="C1618" s="75" t="str">
        <f ca="1">IFERROR(__xludf.DUMMYFUNCTION("""COMPUTED_VALUE"""),"Студент")</f>
        <v>Студент</v>
      </c>
    </row>
    <row r="1619" spans="1:3">
      <c r="A1619" s="76">
        <f ca="1">IFERROR(__xludf.DUMMYFUNCTION("""COMPUTED_VALUE"""),2309491)</f>
        <v>2309491</v>
      </c>
      <c r="B1619" s="76" t="str">
        <f ca="1">IFERROR(__xludf.DUMMYFUNCTION("""COMPUTED_VALUE"""),"Троц Владислав Вадимович")</f>
        <v>Троц Владислав Вадимович</v>
      </c>
      <c r="C1619" s="75" t="str">
        <f ca="1">IFERROR(__xludf.DUMMYFUNCTION("""COMPUTED_VALUE"""),"Студент")</f>
        <v>Студент</v>
      </c>
    </row>
    <row r="1620" spans="1:3">
      <c r="A1620" s="76">
        <f ca="1">IFERROR(__xludf.DUMMYFUNCTION("""COMPUTED_VALUE"""),2309496)</f>
        <v>2309496</v>
      </c>
      <c r="B1620" s="76" t="str">
        <f ca="1">IFERROR(__xludf.DUMMYFUNCTION("""COMPUTED_VALUE"""),"Макарова Ксения Дмитриевна")</f>
        <v>Макарова Ксения Дмитриевна</v>
      </c>
      <c r="C1620" s="75" t="str">
        <f ca="1">IFERROR(__xludf.DUMMYFUNCTION("""COMPUTED_VALUE"""),"Студент")</f>
        <v>Студент</v>
      </c>
    </row>
    <row r="1621" spans="1:3">
      <c r="A1621" s="76">
        <f ca="1">IFERROR(__xludf.DUMMYFUNCTION("""COMPUTED_VALUE"""),2309498)</f>
        <v>2309498</v>
      </c>
      <c r="B1621" s="76" t="str">
        <f ca="1">IFERROR(__xludf.DUMMYFUNCTION("""COMPUTED_VALUE"""),"Коровин Дмитрий Константинович")</f>
        <v>Коровин Дмитрий Константинович</v>
      </c>
      <c r="C1621" s="75" t="str">
        <f ca="1">IFERROR(__xludf.DUMMYFUNCTION("""COMPUTED_VALUE"""),"Студент")</f>
        <v>Студент</v>
      </c>
    </row>
    <row r="1622" spans="1:3">
      <c r="A1622" s="76">
        <f ca="1">IFERROR(__xludf.DUMMYFUNCTION("""COMPUTED_VALUE"""),2309506)</f>
        <v>2309506</v>
      </c>
      <c r="B1622" s="76" t="str">
        <f ca="1">IFERROR(__xludf.DUMMYFUNCTION("""COMPUTED_VALUE"""),"Купчинская Анастасия Алексеевна")</f>
        <v>Купчинская Анастасия Алексеевна</v>
      </c>
      <c r="C1622" s="75" t="str">
        <f ca="1">IFERROR(__xludf.DUMMYFUNCTION("""COMPUTED_VALUE"""),"Студент")</f>
        <v>Студент</v>
      </c>
    </row>
    <row r="1623" spans="1:3">
      <c r="A1623" s="76">
        <f ca="1">IFERROR(__xludf.DUMMYFUNCTION("""COMPUTED_VALUE"""),2309520)</f>
        <v>2309520</v>
      </c>
      <c r="B1623" s="76" t="str">
        <f ca="1">IFERROR(__xludf.DUMMYFUNCTION("""COMPUTED_VALUE"""),"Алмазбеков Максатбек")</f>
        <v>Алмазбеков Максатбек</v>
      </c>
      <c r="C1623" s="75" t="str">
        <f ca="1">IFERROR(__xludf.DUMMYFUNCTION("""COMPUTED_VALUE"""),"Студент")</f>
        <v>Студент</v>
      </c>
    </row>
    <row r="1624" spans="1:3">
      <c r="A1624" s="76">
        <f ca="1">IFERROR(__xludf.DUMMYFUNCTION("""COMPUTED_VALUE"""),2309537)</f>
        <v>2309537</v>
      </c>
      <c r="B1624" s="76" t="str">
        <f ca="1">IFERROR(__xludf.DUMMYFUNCTION("""COMPUTED_VALUE"""),"Ушакова Александра Юрьевна")</f>
        <v>Ушакова Александра Юрьевна</v>
      </c>
      <c r="C1624" s="75" t="str">
        <f ca="1">IFERROR(__xludf.DUMMYFUNCTION("""COMPUTED_VALUE"""),"Студент")</f>
        <v>Студент</v>
      </c>
    </row>
    <row r="1625" spans="1:3">
      <c r="A1625" s="76">
        <f ca="1">IFERROR(__xludf.DUMMYFUNCTION("""COMPUTED_VALUE"""),2309538)</f>
        <v>2309538</v>
      </c>
      <c r="B1625" s="76" t="str">
        <f ca="1">IFERROR(__xludf.DUMMYFUNCTION("""COMPUTED_VALUE"""),"Мусифулин Даниль Рашидович")</f>
        <v>Мусифулин Даниль Рашидович</v>
      </c>
      <c r="C1625" s="75" t="str">
        <f ca="1">IFERROR(__xludf.DUMMYFUNCTION("""COMPUTED_VALUE"""),"Студент")</f>
        <v>Студент</v>
      </c>
    </row>
    <row r="1626" spans="1:3">
      <c r="A1626" s="76">
        <f ca="1">IFERROR(__xludf.DUMMYFUNCTION("""COMPUTED_VALUE"""),2309539)</f>
        <v>2309539</v>
      </c>
      <c r="B1626" s="76" t="str">
        <f ca="1">IFERROR(__xludf.DUMMYFUNCTION("""COMPUTED_VALUE"""),"Богданов Кирилл Артёмович")</f>
        <v>Богданов Кирилл Артёмович</v>
      </c>
      <c r="C1626" s="75" t="str">
        <f ca="1">IFERROR(__xludf.DUMMYFUNCTION("""COMPUTED_VALUE"""),"Студент")</f>
        <v>Студент</v>
      </c>
    </row>
    <row r="1627" spans="1:3">
      <c r="A1627" s="76">
        <f ca="1">IFERROR(__xludf.DUMMYFUNCTION("""COMPUTED_VALUE"""),2309548)</f>
        <v>2309548</v>
      </c>
      <c r="B1627" s="76" t="str">
        <f ca="1">IFERROR(__xludf.DUMMYFUNCTION("""COMPUTED_VALUE"""),"Киселев Илья Денисович")</f>
        <v>Киселев Илья Денисович</v>
      </c>
      <c r="C1627" s="75" t="str">
        <f ca="1">IFERROR(__xludf.DUMMYFUNCTION("""COMPUTED_VALUE"""),"Студент")</f>
        <v>Студент</v>
      </c>
    </row>
    <row r="1628" spans="1:3">
      <c r="A1628" s="76">
        <f ca="1">IFERROR(__xludf.DUMMYFUNCTION("""COMPUTED_VALUE"""),2309549)</f>
        <v>2309549</v>
      </c>
      <c r="B1628" s="76" t="str">
        <f ca="1">IFERROR(__xludf.DUMMYFUNCTION("""COMPUTED_VALUE"""),"Бугаков Никита Игоревич")</f>
        <v>Бугаков Никита Игоревич</v>
      </c>
      <c r="C1628" s="75" t="str">
        <f ca="1">IFERROR(__xludf.DUMMYFUNCTION("""COMPUTED_VALUE"""),"Студент")</f>
        <v>Студент</v>
      </c>
    </row>
    <row r="1629" spans="1:3">
      <c r="A1629" s="76">
        <f ca="1">IFERROR(__xludf.DUMMYFUNCTION("""COMPUTED_VALUE"""),2309550)</f>
        <v>2309550</v>
      </c>
      <c r="B1629" s="76" t="str">
        <f ca="1">IFERROR(__xludf.DUMMYFUNCTION("""COMPUTED_VALUE"""),"Муминова Одина Абдужалиловна")</f>
        <v>Муминова Одина Абдужалиловна</v>
      </c>
      <c r="C1629" s="75" t="str">
        <f ca="1">IFERROR(__xludf.DUMMYFUNCTION("""COMPUTED_VALUE"""),"Студент")</f>
        <v>Студент</v>
      </c>
    </row>
    <row r="1630" spans="1:3">
      <c r="A1630" s="76">
        <f ca="1">IFERROR(__xludf.DUMMYFUNCTION("""COMPUTED_VALUE"""),2309555)</f>
        <v>2309555</v>
      </c>
      <c r="B1630" s="76" t="str">
        <f ca="1">IFERROR(__xludf.DUMMYFUNCTION("""COMPUTED_VALUE"""),"Шафигуллина Кристина Эдуардовна")</f>
        <v>Шафигуллина Кристина Эдуардовна</v>
      </c>
      <c r="C1630" s="75" t="str">
        <f ca="1">IFERROR(__xludf.DUMMYFUNCTION("""COMPUTED_VALUE"""),"Аспирант")</f>
        <v>Аспирант</v>
      </c>
    </row>
    <row r="1631" spans="1:3">
      <c r="A1631" s="76">
        <f ca="1">IFERROR(__xludf.DUMMYFUNCTION("""COMPUTED_VALUE"""),2309563)</f>
        <v>2309563</v>
      </c>
      <c r="B1631" s="76" t="str">
        <f ca="1">IFERROR(__xludf.DUMMYFUNCTION("""COMPUTED_VALUE"""),"Моисеева Анастасия Андреевна")</f>
        <v>Моисеева Анастасия Андреевна</v>
      </c>
      <c r="C1631" s="75" t="str">
        <f ca="1">IFERROR(__xludf.DUMMYFUNCTION("""COMPUTED_VALUE"""),"Студент")</f>
        <v>Студент</v>
      </c>
    </row>
    <row r="1632" spans="1:3">
      <c r="A1632" s="76">
        <f ca="1">IFERROR(__xludf.DUMMYFUNCTION("""COMPUTED_VALUE"""),2309568)</f>
        <v>2309568</v>
      </c>
      <c r="B1632" s="76" t="str">
        <f ca="1">IFERROR(__xludf.DUMMYFUNCTION("""COMPUTED_VALUE"""),"Балабаев Егор Андреевич")</f>
        <v>Балабаев Егор Андреевич</v>
      </c>
      <c r="C1632" s="75" t="str">
        <f ca="1">IFERROR(__xludf.DUMMYFUNCTION("""COMPUTED_VALUE"""),"Студент")</f>
        <v>Студент</v>
      </c>
    </row>
    <row r="1633" spans="1:3">
      <c r="A1633" s="76">
        <f ca="1">IFERROR(__xludf.DUMMYFUNCTION("""COMPUTED_VALUE"""),2309569)</f>
        <v>2309569</v>
      </c>
      <c r="B1633" s="76" t="str">
        <f ca="1">IFERROR(__xludf.DUMMYFUNCTION("""COMPUTED_VALUE"""),"Лукинова Екатерина Михайловна")</f>
        <v>Лукинова Екатерина Михайловна</v>
      </c>
      <c r="C1633" s="75" t="str">
        <f ca="1">IFERROR(__xludf.DUMMYFUNCTION("""COMPUTED_VALUE"""),"Студент")</f>
        <v>Студент</v>
      </c>
    </row>
    <row r="1634" spans="1:3">
      <c r="A1634" s="76">
        <f ca="1">IFERROR(__xludf.DUMMYFUNCTION("""COMPUTED_VALUE"""),2309570)</f>
        <v>2309570</v>
      </c>
      <c r="B1634" s="76" t="str">
        <f ca="1">IFERROR(__xludf.DUMMYFUNCTION("""COMPUTED_VALUE"""),"Носырев Глеб Михайлович")</f>
        <v>Носырев Глеб Михайлович</v>
      </c>
      <c r="C1634" s="75" t="str">
        <f ca="1">IFERROR(__xludf.DUMMYFUNCTION("""COMPUTED_VALUE"""),"Аспирант")</f>
        <v>Аспирант</v>
      </c>
    </row>
    <row r="1635" spans="1:3">
      <c r="A1635" s="76">
        <f ca="1">IFERROR(__xludf.DUMMYFUNCTION("""COMPUTED_VALUE"""),2309572)</f>
        <v>2309572</v>
      </c>
      <c r="B1635" s="76" t="str">
        <f ca="1">IFERROR(__xludf.DUMMYFUNCTION("""COMPUTED_VALUE"""),"Овечкина Анастасия Романовна")</f>
        <v>Овечкина Анастасия Романовна</v>
      </c>
      <c r="C1635" s="75" t="str">
        <f ca="1">IFERROR(__xludf.DUMMYFUNCTION("""COMPUTED_VALUE"""),"Студент")</f>
        <v>Студент</v>
      </c>
    </row>
    <row r="1636" spans="1:3">
      <c r="A1636" s="76">
        <f ca="1">IFERROR(__xludf.DUMMYFUNCTION("""COMPUTED_VALUE"""),2309576)</f>
        <v>2309576</v>
      </c>
      <c r="B1636" s="76" t="str">
        <f ca="1">IFERROR(__xludf.DUMMYFUNCTION("""COMPUTED_VALUE"""),"Кенжаев Нишонбек Арзикул Угли")</f>
        <v>Кенжаев Нишонбек Арзикул Угли</v>
      </c>
      <c r="C1636" s="75" t="str">
        <f ca="1">IFERROR(__xludf.DUMMYFUNCTION("""COMPUTED_VALUE"""),"Студент")</f>
        <v>Студент</v>
      </c>
    </row>
    <row r="1637" spans="1:3">
      <c r="A1637" s="76">
        <f ca="1">IFERROR(__xludf.DUMMYFUNCTION("""COMPUTED_VALUE"""),2309578)</f>
        <v>2309578</v>
      </c>
      <c r="B1637" s="76" t="str">
        <f ca="1">IFERROR(__xludf.DUMMYFUNCTION("""COMPUTED_VALUE"""),"Мучуков Александр Сергеевич")</f>
        <v>Мучуков Александр Сергеевич</v>
      </c>
      <c r="C1637" s="75" t="str">
        <f ca="1">IFERROR(__xludf.DUMMYFUNCTION("""COMPUTED_VALUE"""),"Студент")</f>
        <v>Студент</v>
      </c>
    </row>
    <row r="1638" spans="1:3">
      <c r="A1638" s="76">
        <f ca="1">IFERROR(__xludf.DUMMYFUNCTION("""COMPUTED_VALUE"""),2309579)</f>
        <v>2309579</v>
      </c>
      <c r="B1638" s="76" t="str">
        <f ca="1">IFERROR(__xludf.DUMMYFUNCTION("""COMPUTED_VALUE"""),"Айтукаев Имам Висланович")</f>
        <v>Айтукаев Имам Висланович</v>
      </c>
      <c r="C1638" s="75" t="str">
        <f ca="1">IFERROR(__xludf.DUMMYFUNCTION("""COMPUTED_VALUE"""),"Студент")</f>
        <v>Студент</v>
      </c>
    </row>
    <row r="1639" spans="1:3">
      <c r="A1639" s="76">
        <f ca="1">IFERROR(__xludf.DUMMYFUNCTION("""COMPUTED_VALUE"""),2309581)</f>
        <v>2309581</v>
      </c>
      <c r="B1639" s="76" t="str">
        <f ca="1">IFERROR(__xludf.DUMMYFUNCTION("""COMPUTED_VALUE"""),"Андреев Александр Геннадьевич")</f>
        <v>Андреев Александр Геннадьевич</v>
      </c>
      <c r="C1639" s="75" t="str">
        <f ca="1">IFERROR(__xludf.DUMMYFUNCTION("""COMPUTED_VALUE"""),"Студент")</f>
        <v>Студент</v>
      </c>
    </row>
    <row r="1640" spans="1:3">
      <c r="A1640" s="76">
        <f ca="1">IFERROR(__xludf.DUMMYFUNCTION("""COMPUTED_VALUE"""),2309582)</f>
        <v>2309582</v>
      </c>
      <c r="B1640" s="76" t="str">
        <f ca="1">IFERROR(__xludf.DUMMYFUNCTION("""COMPUTED_VALUE"""),"Банникова Мария Дмитриевна")</f>
        <v>Банникова Мария Дмитриевна</v>
      </c>
      <c r="C1640" s="75" t="str">
        <f ca="1">IFERROR(__xludf.DUMMYFUNCTION("""COMPUTED_VALUE"""),"Студент")</f>
        <v>Студент</v>
      </c>
    </row>
    <row r="1641" spans="1:3">
      <c r="A1641" s="76">
        <f ca="1">IFERROR(__xludf.DUMMYFUNCTION("""COMPUTED_VALUE"""),2309585)</f>
        <v>2309585</v>
      </c>
      <c r="B1641" s="76" t="str">
        <f ca="1">IFERROR(__xludf.DUMMYFUNCTION("""COMPUTED_VALUE"""),"Савченко Евгений Игоревич")</f>
        <v>Савченко Евгений Игоревич</v>
      </c>
      <c r="C1641" s="75" t="str">
        <f ca="1">IFERROR(__xludf.DUMMYFUNCTION("""COMPUTED_VALUE"""),"Студент")</f>
        <v>Студент</v>
      </c>
    </row>
    <row r="1642" spans="1:3">
      <c r="A1642" s="76">
        <f ca="1">IFERROR(__xludf.DUMMYFUNCTION("""COMPUTED_VALUE"""),2309594)</f>
        <v>2309594</v>
      </c>
      <c r="B1642" s="76" t="str">
        <f ca="1">IFERROR(__xludf.DUMMYFUNCTION("""COMPUTED_VALUE"""),"Немцов Алексей Юрьевич")</f>
        <v>Немцов Алексей Юрьевич</v>
      </c>
      <c r="C1642" s="75" t="str">
        <f ca="1">IFERROR(__xludf.DUMMYFUNCTION("""COMPUTED_VALUE"""),"Студент")</f>
        <v>Студент</v>
      </c>
    </row>
    <row r="1643" spans="1:3">
      <c r="A1643" s="76">
        <f ca="1">IFERROR(__xludf.DUMMYFUNCTION("""COMPUTED_VALUE"""),2309596)</f>
        <v>2309596</v>
      </c>
      <c r="B1643" s="76" t="str">
        <f ca="1">IFERROR(__xludf.DUMMYFUNCTION("""COMPUTED_VALUE"""),"Чернояров Евгений Валерьевич")</f>
        <v>Чернояров Евгений Валерьевич</v>
      </c>
      <c r="C1643" s="75" t="str">
        <f ca="1">IFERROR(__xludf.DUMMYFUNCTION("""COMPUTED_VALUE"""),"Студент")</f>
        <v>Студент</v>
      </c>
    </row>
    <row r="1644" spans="1:3">
      <c r="A1644" s="76">
        <f ca="1">IFERROR(__xludf.DUMMYFUNCTION("""COMPUTED_VALUE"""),2309600)</f>
        <v>2309600</v>
      </c>
      <c r="B1644" s="76" t="str">
        <f ca="1">IFERROR(__xludf.DUMMYFUNCTION("""COMPUTED_VALUE"""),"Ганьжина Татьяна Юрьевна")</f>
        <v>Ганьжина Татьяна Юрьевна</v>
      </c>
      <c r="C1644" s="75" t="str">
        <f ca="1">IFERROR(__xludf.DUMMYFUNCTION("""COMPUTED_VALUE"""),"Студент")</f>
        <v>Студент</v>
      </c>
    </row>
    <row r="1645" spans="1:3">
      <c r="A1645" s="76">
        <f ca="1">IFERROR(__xludf.DUMMYFUNCTION("""COMPUTED_VALUE"""),2309607)</f>
        <v>2309607</v>
      </c>
      <c r="B1645" s="76" t="str">
        <f ca="1">IFERROR(__xludf.DUMMYFUNCTION("""COMPUTED_VALUE"""),"Лосев Владимир Петрович")</f>
        <v>Лосев Владимир Петрович</v>
      </c>
      <c r="C1645" s="75" t="str">
        <f ca="1">IFERROR(__xludf.DUMMYFUNCTION("""COMPUTED_VALUE"""),"Студент")</f>
        <v>Студент</v>
      </c>
    </row>
    <row r="1646" spans="1:3">
      <c r="A1646" s="76">
        <f ca="1">IFERROR(__xludf.DUMMYFUNCTION("""COMPUTED_VALUE"""),2309609)</f>
        <v>2309609</v>
      </c>
      <c r="B1646" s="76" t="str">
        <f ca="1">IFERROR(__xludf.DUMMYFUNCTION("""COMPUTED_VALUE"""),"Андреева Екатерина Дмитриевна")</f>
        <v>Андреева Екатерина Дмитриевна</v>
      </c>
      <c r="C1646" s="75" t="str">
        <f ca="1">IFERROR(__xludf.DUMMYFUNCTION("""COMPUTED_VALUE"""),"Студент")</f>
        <v>Студент</v>
      </c>
    </row>
    <row r="1647" spans="1:3">
      <c r="A1647" s="76">
        <f ca="1">IFERROR(__xludf.DUMMYFUNCTION("""COMPUTED_VALUE"""),2309633)</f>
        <v>2309633</v>
      </c>
      <c r="B1647" s="76" t="str">
        <f ca="1">IFERROR(__xludf.DUMMYFUNCTION("""COMPUTED_VALUE"""),"Шешенин Егор Викторович")</f>
        <v>Шешенин Егор Викторович</v>
      </c>
      <c r="C1647" s="75" t="str">
        <f ca="1">IFERROR(__xludf.DUMMYFUNCTION("""COMPUTED_VALUE"""),"Аспирант")</f>
        <v>Аспирант</v>
      </c>
    </row>
    <row r="1648" spans="1:3">
      <c r="A1648" s="76">
        <f ca="1">IFERROR(__xludf.DUMMYFUNCTION("""COMPUTED_VALUE"""),2309641)</f>
        <v>2309641</v>
      </c>
      <c r="B1648" s="76" t="str">
        <f ca="1">IFERROR(__xludf.DUMMYFUNCTION("""COMPUTED_VALUE"""),"Конурова Виктория Максимовна")</f>
        <v>Конурова Виктория Максимовна</v>
      </c>
      <c r="C1648" s="75" t="str">
        <f ca="1">IFERROR(__xludf.DUMMYFUNCTION("""COMPUTED_VALUE"""),"Студент")</f>
        <v>Студент</v>
      </c>
    </row>
    <row r="1649" spans="1:3">
      <c r="A1649" s="76">
        <f ca="1">IFERROR(__xludf.DUMMYFUNCTION("""COMPUTED_VALUE"""),2309642)</f>
        <v>2309642</v>
      </c>
      <c r="B1649" s="76" t="str">
        <f ca="1">IFERROR(__xludf.DUMMYFUNCTION("""COMPUTED_VALUE"""),"Джазаев Марат Шамильевич")</f>
        <v>Джазаев Марат Шамильевич</v>
      </c>
      <c r="C1649" s="75" t="str">
        <f ca="1">IFERROR(__xludf.DUMMYFUNCTION("""COMPUTED_VALUE"""),"Студент")</f>
        <v>Студент</v>
      </c>
    </row>
    <row r="1650" spans="1:3">
      <c r="A1650" s="76">
        <f ca="1">IFERROR(__xludf.DUMMYFUNCTION("""COMPUTED_VALUE"""),2309643)</f>
        <v>2309643</v>
      </c>
      <c r="B1650" s="76" t="str">
        <f ca="1">IFERROR(__xludf.DUMMYFUNCTION("""COMPUTED_VALUE"""),"Давыдова Екатерина Дмитриевна")</f>
        <v>Давыдова Екатерина Дмитриевна</v>
      </c>
      <c r="C1650" s="75" t="str">
        <f ca="1">IFERROR(__xludf.DUMMYFUNCTION("""COMPUTED_VALUE"""),"Студент")</f>
        <v>Студент</v>
      </c>
    </row>
    <row r="1651" spans="1:3">
      <c r="A1651" s="76">
        <f ca="1">IFERROR(__xludf.DUMMYFUNCTION("""COMPUTED_VALUE"""),2309646)</f>
        <v>2309646</v>
      </c>
      <c r="B1651" s="76" t="str">
        <f ca="1">IFERROR(__xludf.DUMMYFUNCTION("""COMPUTED_VALUE"""),"Доброва Екатерина Витальевна")</f>
        <v>Доброва Екатерина Витальевна</v>
      </c>
      <c r="C1651" s="75" t="str">
        <f ca="1">IFERROR(__xludf.DUMMYFUNCTION("""COMPUTED_VALUE"""),"Студент")</f>
        <v>Студент</v>
      </c>
    </row>
    <row r="1652" spans="1:3">
      <c r="A1652" s="76">
        <f ca="1">IFERROR(__xludf.DUMMYFUNCTION("""COMPUTED_VALUE"""),2309647)</f>
        <v>2309647</v>
      </c>
      <c r="B1652" s="76" t="str">
        <f ca="1">IFERROR(__xludf.DUMMYFUNCTION("""COMPUTED_VALUE"""),"Ревенко Георгий Дмитриевич")</f>
        <v>Ревенко Георгий Дмитриевич</v>
      </c>
      <c r="C1652" s="75" t="str">
        <f ca="1">IFERROR(__xludf.DUMMYFUNCTION("""COMPUTED_VALUE"""),"Студент")</f>
        <v>Студент</v>
      </c>
    </row>
    <row r="1653" spans="1:3">
      <c r="A1653" s="76">
        <f ca="1">IFERROR(__xludf.DUMMYFUNCTION("""COMPUTED_VALUE"""),2309651)</f>
        <v>2309651</v>
      </c>
      <c r="B1653" s="76" t="str">
        <f ca="1">IFERROR(__xludf.DUMMYFUNCTION("""COMPUTED_VALUE"""),"Заливин Андрей Сергеевич")</f>
        <v>Заливин Андрей Сергеевич</v>
      </c>
      <c r="C1653" s="75" t="str">
        <f ca="1">IFERROR(__xludf.DUMMYFUNCTION("""COMPUTED_VALUE"""),"Аспирант")</f>
        <v>Аспирант</v>
      </c>
    </row>
    <row r="1654" spans="1:3">
      <c r="A1654" s="76">
        <f ca="1">IFERROR(__xludf.DUMMYFUNCTION("""COMPUTED_VALUE"""),2309654)</f>
        <v>2309654</v>
      </c>
      <c r="B1654" s="76" t="str">
        <f ca="1">IFERROR(__xludf.DUMMYFUNCTION("""COMPUTED_VALUE"""),"Рягузов Артем Алексеевич")</f>
        <v>Рягузов Артем Алексеевич</v>
      </c>
      <c r="C1654" s="75" t="str">
        <f ca="1">IFERROR(__xludf.DUMMYFUNCTION("""COMPUTED_VALUE"""),"Студент")</f>
        <v>Студент</v>
      </c>
    </row>
    <row r="1655" spans="1:3">
      <c r="A1655" s="76">
        <f ca="1">IFERROR(__xludf.DUMMYFUNCTION("""COMPUTED_VALUE"""),2309655)</f>
        <v>2309655</v>
      </c>
      <c r="B1655" s="76" t="str">
        <f ca="1">IFERROR(__xludf.DUMMYFUNCTION("""COMPUTED_VALUE"""),"Сахно Полина Валерьевна")</f>
        <v>Сахно Полина Валерьевна</v>
      </c>
      <c r="C1655" s="75" t="str">
        <f ca="1">IFERROR(__xludf.DUMMYFUNCTION("""COMPUTED_VALUE"""),"Студент")</f>
        <v>Студент</v>
      </c>
    </row>
    <row r="1656" spans="1:3">
      <c r="A1656" s="76">
        <f ca="1">IFERROR(__xludf.DUMMYFUNCTION("""COMPUTED_VALUE"""),2309657)</f>
        <v>2309657</v>
      </c>
      <c r="B1656" s="76" t="str">
        <f ca="1">IFERROR(__xludf.DUMMYFUNCTION("""COMPUTED_VALUE"""),"Армароли Ангелина Робертовна")</f>
        <v>Армароли Ангелина Робертовна</v>
      </c>
      <c r="C1656" s="75" t="str">
        <f ca="1">IFERROR(__xludf.DUMMYFUNCTION("""COMPUTED_VALUE"""),"Студент")</f>
        <v>Студент</v>
      </c>
    </row>
    <row r="1657" spans="1:3">
      <c r="A1657" s="76">
        <f ca="1">IFERROR(__xludf.DUMMYFUNCTION("""COMPUTED_VALUE"""),2309674)</f>
        <v>2309674</v>
      </c>
      <c r="B1657" s="76" t="str">
        <f ca="1">IFERROR(__xludf.DUMMYFUNCTION("""COMPUTED_VALUE"""),"Григорьев Никита Алексеевич")</f>
        <v>Григорьев Никита Алексеевич</v>
      </c>
      <c r="C1657" s="75" t="str">
        <f ca="1">IFERROR(__xludf.DUMMYFUNCTION("""COMPUTED_VALUE"""),"Студент")</f>
        <v>Студент</v>
      </c>
    </row>
    <row r="1658" spans="1:3">
      <c r="A1658" s="76">
        <f ca="1">IFERROR(__xludf.DUMMYFUNCTION("""COMPUTED_VALUE"""),2309676)</f>
        <v>2309676</v>
      </c>
      <c r="B1658" s="76" t="str">
        <f ca="1">IFERROR(__xludf.DUMMYFUNCTION("""COMPUTED_VALUE"""),"Чадин Дмитрий Алексеевич")</f>
        <v>Чадин Дмитрий Алексеевич</v>
      </c>
      <c r="C1658" s="75" t="str">
        <f ca="1">IFERROR(__xludf.DUMMYFUNCTION("""COMPUTED_VALUE"""),"Студент")</f>
        <v>Студент</v>
      </c>
    </row>
    <row r="1659" spans="1:3">
      <c r="A1659" s="76">
        <f ca="1">IFERROR(__xludf.DUMMYFUNCTION("""COMPUTED_VALUE"""),2309678)</f>
        <v>2309678</v>
      </c>
      <c r="B1659" s="76" t="str">
        <f ca="1">IFERROR(__xludf.DUMMYFUNCTION("""COMPUTED_VALUE"""),"Людофа Елена Анатольевна")</f>
        <v>Людофа Елена Анатольевна</v>
      </c>
      <c r="C1659" s="75" t="str">
        <f ca="1">IFERROR(__xludf.DUMMYFUNCTION("""COMPUTED_VALUE"""),"Студент")</f>
        <v>Студент</v>
      </c>
    </row>
    <row r="1660" spans="1:3">
      <c r="A1660" s="76">
        <f ca="1">IFERROR(__xludf.DUMMYFUNCTION("""COMPUTED_VALUE"""),2309680)</f>
        <v>2309680</v>
      </c>
      <c r="B1660" s="76" t="str">
        <f ca="1">IFERROR(__xludf.DUMMYFUNCTION("""COMPUTED_VALUE"""),"Грищенко Дмитрий Игоревич")</f>
        <v>Грищенко Дмитрий Игоревич</v>
      </c>
      <c r="C1660" s="75" t="str">
        <f ca="1">IFERROR(__xludf.DUMMYFUNCTION("""COMPUTED_VALUE"""),"Студент")</f>
        <v>Студент</v>
      </c>
    </row>
    <row r="1661" spans="1:3">
      <c r="A1661" s="76">
        <f ca="1">IFERROR(__xludf.DUMMYFUNCTION("""COMPUTED_VALUE"""),2309682)</f>
        <v>2309682</v>
      </c>
      <c r="B1661" s="76" t="str">
        <f ca="1">IFERROR(__xludf.DUMMYFUNCTION("""COMPUTED_VALUE"""),"Петрова Дарья Александровна")</f>
        <v>Петрова Дарья Александровна</v>
      </c>
      <c r="C1661" s="75" t="str">
        <f ca="1">IFERROR(__xludf.DUMMYFUNCTION("""COMPUTED_VALUE"""),"Студент")</f>
        <v>Студент</v>
      </c>
    </row>
    <row r="1662" spans="1:3">
      <c r="A1662" s="76">
        <f ca="1">IFERROR(__xludf.DUMMYFUNCTION("""COMPUTED_VALUE"""),2309685)</f>
        <v>2309685</v>
      </c>
      <c r="B1662" s="76" t="str">
        <f ca="1">IFERROR(__xludf.DUMMYFUNCTION("""COMPUTED_VALUE"""),"Ступина Анастасия Александровна")</f>
        <v>Ступина Анастасия Александровна</v>
      </c>
      <c r="C1662" s="75" t="str">
        <f ca="1">IFERROR(__xludf.DUMMYFUNCTION("""COMPUTED_VALUE"""),"Студент")</f>
        <v>Студент</v>
      </c>
    </row>
    <row r="1663" spans="1:3">
      <c r="A1663" s="76">
        <f ca="1">IFERROR(__xludf.DUMMYFUNCTION("""COMPUTED_VALUE"""),2309692)</f>
        <v>2309692</v>
      </c>
      <c r="B1663" s="76" t="str">
        <f ca="1">IFERROR(__xludf.DUMMYFUNCTION("""COMPUTED_VALUE"""),"Якимова Кристина Константиновна")</f>
        <v>Якимова Кристина Константиновна</v>
      </c>
      <c r="C1663" s="75" t="str">
        <f ca="1">IFERROR(__xludf.DUMMYFUNCTION("""COMPUTED_VALUE"""),"Студент")</f>
        <v>Студент</v>
      </c>
    </row>
    <row r="1664" spans="1:3">
      <c r="A1664" s="76">
        <f ca="1">IFERROR(__xludf.DUMMYFUNCTION("""COMPUTED_VALUE"""),2309693)</f>
        <v>2309693</v>
      </c>
      <c r="B1664" s="76" t="str">
        <f ca="1">IFERROR(__xludf.DUMMYFUNCTION("""COMPUTED_VALUE"""),"Исмаилов Диёрбек Махмуд Угли")</f>
        <v>Исмаилов Диёрбек Махмуд Угли</v>
      </c>
      <c r="C1664" s="75" t="str">
        <f ca="1">IFERROR(__xludf.DUMMYFUNCTION("""COMPUTED_VALUE"""),"Студент")</f>
        <v>Студент</v>
      </c>
    </row>
    <row r="1665" spans="1:3">
      <c r="A1665" s="76">
        <f ca="1">IFERROR(__xludf.DUMMYFUNCTION("""COMPUTED_VALUE"""),2309695)</f>
        <v>2309695</v>
      </c>
      <c r="B1665" s="76" t="str">
        <f ca="1">IFERROR(__xludf.DUMMYFUNCTION("""COMPUTED_VALUE"""),"Ибадуллаев Тархан Нураддин оглы")</f>
        <v>Ибадуллаев Тархан Нураддин оглы</v>
      </c>
      <c r="C1665" s="75" t="str">
        <f ca="1">IFERROR(__xludf.DUMMYFUNCTION("""COMPUTED_VALUE"""),"Студент")</f>
        <v>Студент</v>
      </c>
    </row>
    <row r="1666" spans="1:3">
      <c r="A1666" s="76">
        <f ca="1">IFERROR(__xludf.DUMMYFUNCTION("""COMPUTED_VALUE"""),2309697)</f>
        <v>2309697</v>
      </c>
      <c r="B1666" s="76" t="str">
        <f ca="1">IFERROR(__xludf.DUMMYFUNCTION("""COMPUTED_VALUE"""),"Мадаминов Акромжон Тулкин Угли")</f>
        <v>Мадаминов Акромжон Тулкин Угли</v>
      </c>
      <c r="C1666" s="75" t="str">
        <f ca="1">IFERROR(__xludf.DUMMYFUNCTION("""COMPUTED_VALUE"""),"Студент")</f>
        <v>Студент</v>
      </c>
    </row>
    <row r="1667" spans="1:3">
      <c r="A1667" s="76">
        <f ca="1">IFERROR(__xludf.DUMMYFUNCTION("""COMPUTED_VALUE"""),2309699)</f>
        <v>2309699</v>
      </c>
      <c r="B1667" s="76" t="str">
        <f ca="1">IFERROR(__xludf.DUMMYFUNCTION("""COMPUTED_VALUE"""),"Шелихина Ольга Владимировна")</f>
        <v>Шелихина Ольга Владимировна</v>
      </c>
      <c r="C1667" s="75" t="str">
        <f ca="1">IFERROR(__xludf.DUMMYFUNCTION("""COMPUTED_VALUE"""),"Студент")</f>
        <v>Студент</v>
      </c>
    </row>
    <row r="1668" spans="1:3">
      <c r="A1668" s="76">
        <f ca="1">IFERROR(__xludf.DUMMYFUNCTION("""COMPUTED_VALUE"""),2309700)</f>
        <v>2309700</v>
      </c>
      <c r="B1668" s="76" t="str">
        <f ca="1">IFERROR(__xludf.DUMMYFUNCTION("""COMPUTED_VALUE"""),"Хасанов Шохбоз Бахтиёрович")</f>
        <v>Хасанов Шохбоз Бахтиёрович</v>
      </c>
      <c r="C1668" s="75" t="str">
        <f ca="1">IFERROR(__xludf.DUMMYFUNCTION("""COMPUTED_VALUE"""),"Студент")</f>
        <v>Студент</v>
      </c>
    </row>
    <row r="1669" spans="1:3">
      <c r="A1669" s="76">
        <f ca="1">IFERROR(__xludf.DUMMYFUNCTION("""COMPUTED_VALUE"""),2309701)</f>
        <v>2309701</v>
      </c>
      <c r="B1669" s="76" t="str">
        <f ca="1">IFERROR(__xludf.DUMMYFUNCTION("""COMPUTED_VALUE"""),"Карпенко Екатерина Владимировна")</f>
        <v>Карпенко Екатерина Владимировна</v>
      </c>
      <c r="C1669" s="75" t="str">
        <f ca="1">IFERROR(__xludf.DUMMYFUNCTION("""COMPUTED_VALUE"""),"Студент")</f>
        <v>Студент</v>
      </c>
    </row>
    <row r="1670" spans="1:3">
      <c r="A1670" s="76">
        <f ca="1">IFERROR(__xludf.DUMMYFUNCTION("""COMPUTED_VALUE"""),2309706)</f>
        <v>2309706</v>
      </c>
      <c r="B1670" s="76" t="str">
        <f ca="1">IFERROR(__xludf.DUMMYFUNCTION("""COMPUTED_VALUE"""),"Толстенко Александр Александрович")</f>
        <v>Толстенко Александр Александрович</v>
      </c>
      <c r="C1670" s="75" t="str">
        <f ca="1">IFERROR(__xludf.DUMMYFUNCTION("""COMPUTED_VALUE"""),"Студент")</f>
        <v>Студент</v>
      </c>
    </row>
    <row r="1671" spans="1:3">
      <c r="A1671" s="76">
        <f ca="1">IFERROR(__xludf.DUMMYFUNCTION("""COMPUTED_VALUE"""),2309719)</f>
        <v>2309719</v>
      </c>
      <c r="B1671" s="76" t="str">
        <f ca="1">IFERROR(__xludf.DUMMYFUNCTION("""COMPUTED_VALUE"""),"Артюшкин Дмитрий Андреевич")</f>
        <v>Артюшкин Дмитрий Андреевич</v>
      </c>
      <c r="C1671" s="75" t="str">
        <f ca="1">IFERROR(__xludf.DUMMYFUNCTION("""COMPUTED_VALUE"""),"Студент")</f>
        <v>Студент</v>
      </c>
    </row>
    <row r="1672" spans="1:3">
      <c r="A1672" s="76">
        <f ca="1">IFERROR(__xludf.DUMMYFUNCTION("""COMPUTED_VALUE"""),2309720)</f>
        <v>2309720</v>
      </c>
      <c r="B1672" s="76" t="str">
        <f ca="1">IFERROR(__xludf.DUMMYFUNCTION("""COMPUTED_VALUE"""),"Леликов Слободан Сергеевич")</f>
        <v>Леликов Слободан Сергеевич</v>
      </c>
      <c r="C1672" s="75" t="str">
        <f ca="1">IFERROR(__xludf.DUMMYFUNCTION("""COMPUTED_VALUE"""),"Студент")</f>
        <v>Студент</v>
      </c>
    </row>
    <row r="1673" spans="1:3">
      <c r="A1673" s="76">
        <f ca="1">IFERROR(__xludf.DUMMYFUNCTION("""COMPUTED_VALUE"""),2309722)</f>
        <v>2309722</v>
      </c>
      <c r="B1673" s="76" t="str">
        <f ca="1">IFERROR(__xludf.DUMMYFUNCTION("""COMPUTED_VALUE"""),"Шевченко Екатерина Андреевна")</f>
        <v>Шевченко Екатерина Андреевна</v>
      </c>
      <c r="C1673" s="75" t="str">
        <f ca="1">IFERROR(__xludf.DUMMYFUNCTION("""COMPUTED_VALUE"""),"Студент")</f>
        <v>Студент</v>
      </c>
    </row>
    <row r="1674" spans="1:3">
      <c r="A1674" s="76">
        <f ca="1">IFERROR(__xludf.DUMMYFUNCTION("""COMPUTED_VALUE"""),2309727)</f>
        <v>2309727</v>
      </c>
      <c r="B1674" s="76" t="str">
        <f ca="1">IFERROR(__xludf.DUMMYFUNCTION("""COMPUTED_VALUE"""),"Жарова Ольга Юрьевна")</f>
        <v>Жарова Ольга Юрьевна</v>
      </c>
      <c r="C1674" s="75" t="str">
        <f ca="1">IFERROR(__xludf.DUMMYFUNCTION("""COMPUTED_VALUE"""),"Аспирант")</f>
        <v>Аспирант</v>
      </c>
    </row>
    <row r="1675" spans="1:3">
      <c r="A1675" s="76">
        <f ca="1">IFERROR(__xludf.DUMMYFUNCTION("""COMPUTED_VALUE"""),2309729)</f>
        <v>2309729</v>
      </c>
      <c r="B1675" s="76" t="str">
        <f ca="1">IFERROR(__xludf.DUMMYFUNCTION("""COMPUTED_VALUE"""),"Гоцкина Елизавета Денисовна")</f>
        <v>Гоцкина Елизавета Денисовна</v>
      </c>
      <c r="C1675" s="75" t="str">
        <f ca="1">IFERROR(__xludf.DUMMYFUNCTION("""COMPUTED_VALUE"""),"Студент")</f>
        <v>Студент</v>
      </c>
    </row>
    <row r="1676" spans="1:3">
      <c r="A1676" s="76">
        <f ca="1">IFERROR(__xludf.DUMMYFUNCTION("""COMPUTED_VALUE"""),2309739)</f>
        <v>2309739</v>
      </c>
      <c r="B1676" s="76" t="str">
        <f ca="1">IFERROR(__xludf.DUMMYFUNCTION("""COMPUTED_VALUE"""),"Горячев Вадим Денисович")</f>
        <v>Горячев Вадим Денисович</v>
      </c>
      <c r="C1676" s="75" t="str">
        <f ca="1">IFERROR(__xludf.DUMMYFUNCTION("""COMPUTED_VALUE"""),"Студент")</f>
        <v>Студент</v>
      </c>
    </row>
    <row r="1677" spans="1:3">
      <c r="A1677" s="76">
        <f ca="1">IFERROR(__xludf.DUMMYFUNCTION("""COMPUTED_VALUE"""),2309743)</f>
        <v>2309743</v>
      </c>
      <c r="B1677" s="76" t="str">
        <f ca="1">IFERROR(__xludf.DUMMYFUNCTION("""COMPUTED_VALUE"""),"Горская София Олеговна")</f>
        <v>Горская София Олеговна</v>
      </c>
      <c r="C1677" s="75" t="str">
        <f ca="1">IFERROR(__xludf.DUMMYFUNCTION("""COMPUTED_VALUE"""),"Студент")</f>
        <v>Студент</v>
      </c>
    </row>
    <row r="1678" spans="1:3">
      <c r="A1678" s="76">
        <f ca="1">IFERROR(__xludf.DUMMYFUNCTION("""COMPUTED_VALUE"""),2309745)</f>
        <v>2309745</v>
      </c>
      <c r="B1678" s="76" t="str">
        <f ca="1">IFERROR(__xludf.DUMMYFUNCTION("""COMPUTED_VALUE"""),"Валюгин Михаил Александрович")</f>
        <v>Валюгин Михаил Александрович</v>
      </c>
      <c r="C1678" s="75" t="str">
        <f ca="1">IFERROR(__xludf.DUMMYFUNCTION("""COMPUTED_VALUE"""),"Студент")</f>
        <v>Студент</v>
      </c>
    </row>
    <row r="1679" spans="1:3">
      <c r="A1679" s="76">
        <f ca="1">IFERROR(__xludf.DUMMYFUNCTION("""COMPUTED_VALUE"""),2309749)</f>
        <v>2309749</v>
      </c>
      <c r="B1679" s="76" t="str">
        <f ca="1">IFERROR(__xludf.DUMMYFUNCTION("""COMPUTED_VALUE"""),"Сайфуллин Артём Русланович")</f>
        <v>Сайфуллин Артём Русланович</v>
      </c>
      <c r="C1679" s="75" t="str">
        <f ca="1">IFERROR(__xludf.DUMMYFUNCTION("""COMPUTED_VALUE"""),"Студент")</f>
        <v>Студент</v>
      </c>
    </row>
    <row r="1680" spans="1:3">
      <c r="A1680" s="76">
        <f ca="1">IFERROR(__xludf.DUMMYFUNCTION("""COMPUTED_VALUE"""),2309763)</f>
        <v>2309763</v>
      </c>
      <c r="B1680" s="76" t="str">
        <f ca="1">IFERROR(__xludf.DUMMYFUNCTION("""COMPUTED_VALUE"""),"Горячева Виктория Евгеньевна")</f>
        <v>Горячева Виктория Евгеньевна</v>
      </c>
      <c r="C1680" s="75" t="str">
        <f ca="1">IFERROR(__xludf.DUMMYFUNCTION("""COMPUTED_VALUE"""),"Студент")</f>
        <v>Студент</v>
      </c>
    </row>
    <row r="1681" spans="1:3">
      <c r="A1681" s="76">
        <f ca="1">IFERROR(__xludf.DUMMYFUNCTION("""COMPUTED_VALUE"""),2309764)</f>
        <v>2309764</v>
      </c>
      <c r="B1681" s="76" t="str">
        <f ca="1">IFERROR(__xludf.DUMMYFUNCTION("""COMPUTED_VALUE"""),"Гусакова Элина Владиславовна")</f>
        <v>Гусакова Элина Владиславовна</v>
      </c>
      <c r="C1681" s="75" t="str">
        <f ca="1">IFERROR(__xludf.DUMMYFUNCTION("""COMPUTED_VALUE"""),"Студент")</f>
        <v>Студент</v>
      </c>
    </row>
    <row r="1682" spans="1:3">
      <c r="A1682" s="76">
        <f ca="1">IFERROR(__xludf.DUMMYFUNCTION("""COMPUTED_VALUE"""),2309770)</f>
        <v>2309770</v>
      </c>
      <c r="B1682" s="76" t="str">
        <f ca="1">IFERROR(__xludf.DUMMYFUNCTION("""COMPUTED_VALUE"""),"Киселев Михаил Владимирович")</f>
        <v>Киселев Михаил Владимирович</v>
      </c>
      <c r="C1682" s="75" t="str">
        <f ca="1">IFERROR(__xludf.DUMMYFUNCTION("""COMPUTED_VALUE"""),"Студент")</f>
        <v>Студент</v>
      </c>
    </row>
    <row r="1683" spans="1:3">
      <c r="A1683" s="76">
        <f ca="1">IFERROR(__xludf.DUMMYFUNCTION("""COMPUTED_VALUE"""),2309775)</f>
        <v>2309775</v>
      </c>
      <c r="B1683" s="76" t="str">
        <f ca="1">IFERROR(__xludf.DUMMYFUNCTION("""COMPUTED_VALUE"""),"Грудкин Константин Денисович")</f>
        <v>Грудкин Константин Денисович</v>
      </c>
      <c r="C1683" s="75" t="str">
        <f ca="1">IFERROR(__xludf.DUMMYFUNCTION("""COMPUTED_VALUE"""),"Студент")</f>
        <v>Студент</v>
      </c>
    </row>
    <row r="1684" spans="1:3">
      <c r="A1684" s="76">
        <f ca="1">IFERROR(__xludf.DUMMYFUNCTION("""COMPUTED_VALUE"""),2309781)</f>
        <v>2309781</v>
      </c>
      <c r="B1684" s="76" t="str">
        <f ca="1">IFERROR(__xludf.DUMMYFUNCTION("""COMPUTED_VALUE"""),"Полуянов Максим Александрович")</f>
        <v>Полуянов Максим Александрович</v>
      </c>
      <c r="C1684" s="75" t="str">
        <f ca="1">IFERROR(__xludf.DUMMYFUNCTION("""COMPUTED_VALUE"""),"Аспирант")</f>
        <v>Аспирант</v>
      </c>
    </row>
    <row r="1685" spans="1:3">
      <c r="A1685" s="76">
        <f ca="1">IFERROR(__xludf.DUMMYFUNCTION("""COMPUTED_VALUE"""),2309783)</f>
        <v>2309783</v>
      </c>
      <c r="B1685" s="76" t="str">
        <f ca="1">IFERROR(__xludf.DUMMYFUNCTION("""COMPUTED_VALUE"""),"Холматов Мансуржон Зиёдилла Угли")</f>
        <v>Холматов Мансуржон Зиёдилла Угли</v>
      </c>
      <c r="C1685" s="75" t="str">
        <f ca="1">IFERROR(__xludf.DUMMYFUNCTION("""COMPUTED_VALUE"""),"Студент")</f>
        <v>Студент</v>
      </c>
    </row>
    <row r="1686" spans="1:3">
      <c r="A1686" s="76">
        <f ca="1">IFERROR(__xludf.DUMMYFUNCTION("""COMPUTED_VALUE"""),2309788)</f>
        <v>2309788</v>
      </c>
      <c r="B1686" s="76" t="str">
        <f ca="1">IFERROR(__xludf.DUMMYFUNCTION("""COMPUTED_VALUE"""),"Немчинов Иван Олегович")</f>
        <v>Немчинов Иван Олегович</v>
      </c>
      <c r="C1686" s="75" t="str">
        <f ca="1">IFERROR(__xludf.DUMMYFUNCTION("""COMPUTED_VALUE"""),"Студент")</f>
        <v>Студент</v>
      </c>
    </row>
    <row r="1687" spans="1:3">
      <c r="A1687" s="76">
        <f ca="1">IFERROR(__xludf.DUMMYFUNCTION("""COMPUTED_VALUE"""),2309790)</f>
        <v>2309790</v>
      </c>
      <c r="B1687" s="76" t="str">
        <f ca="1">IFERROR(__xludf.DUMMYFUNCTION("""COMPUTED_VALUE"""),"Обертышева Полина Сергеевна")</f>
        <v>Обертышева Полина Сергеевна</v>
      </c>
      <c r="C1687" s="75" t="str">
        <f ca="1">IFERROR(__xludf.DUMMYFUNCTION("""COMPUTED_VALUE"""),"Студент")</f>
        <v>Студент</v>
      </c>
    </row>
    <row r="1688" spans="1:3">
      <c r="A1688" s="76">
        <f ca="1">IFERROR(__xludf.DUMMYFUNCTION("""COMPUTED_VALUE"""),2309796)</f>
        <v>2309796</v>
      </c>
      <c r="B1688" s="76" t="str">
        <f ca="1">IFERROR(__xludf.DUMMYFUNCTION("""COMPUTED_VALUE"""),"Куриленко Виталина Евгеньевна")</f>
        <v>Куриленко Виталина Евгеньевна</v>
      </c>
      <c r="C1688" s="75" t="str">
        <f ca="1">IFERROR(__xludf.DUMMYFUNCTION("""COMPUTED_VALUE"""),"Студент")</f>
        <v>Студент</v>
      </c>
    </row>
    <row r="1689" spans="1:3">
      <c r="A1689" s="76">
        <f ca="1">IFERROR(__xludf.DUMMYFUNCTION("""COMPUTED_VALUE"""),2309800)</f>
        <v>2309800</v>
      </c>
      <c r="B1689" s="76" t="str">
        <f ca="1">IFERROR(__xludf.DUMMYFUNCTION("""COMPUTED_VALUE"""),"Скорик Анна Константиновна")</f>
        <v>Скорик Анна Константиновна</v>
      </c>
      <c r="C1689" s="75" t="str">
        <f ca="1">IFERROR(__xludf.DUMMYFUNCTION("""COMPUTED_VALUE"""),"Студент")</f>
        <v>Студент</v>
      </c>
    </row>
    <row r="1690" spans="1:3">
      <c r="A1690" s="76">
        <f ca="1">IFERROR(__xludf.DUMMYFUNCTION("""COMPUTED_VALUE"""),2309813)</f>
        <v>2309813</v>
      </c>
      <c r="B1690" s="76" t="str">
        <f ca="1">IFERROR(__xludf.DUMMYFUNCTION("""COMPUTED_VALUE"""),"Яценко Ларита Дмитриевна")</f>
        <v>Яценко Ларита Дмитриевна</v>
      </c>
      <c r="C1690" s="75" t="str">
        <f ca="1">IFERROR(__xludf.DUMMYFUNCTION("""COMPUTED_VALUE"""),"Студент")</f>
        <v>Студент</v>
      </c>
    </row>
    <row r="1691" spans="1:3">
      <c r="A1691" s="76">
        <f ca="1">IFERROR(__xludf.DUMMYFUNCTION("""COMPUTED_VALUE"""),2309817)</f>
        <v>2309817</v>
      </c>
      <c r="B1691" s="76" t="str">
        <f ca="1">IFERROR(__xludf.DUMMYFUNCTION("""COMPUTED_VALUE"""),"Шебанова Татьяна Романовна")</f>
        <v>Шебанова Татьяна Романовна</v>
      </c>
      <c r="C1691" s="75" t="str">
        <f ca="1">IFERROR(__xludf.DUMMYFUNCTION("""COMPUTED_VALUE"""),"Студент")</f>
        <v>Студент</v>
      </c>
    </row>
    <row r="1692" spans="1:3">
      <c r="A1692" s="76">
        <f ca="1">IFERROR(__xludf.DUMMYFUNCTION("""COMPUTED_VALUE"""),2309818)</f>
        <v>2309818</v>
      </c>
      <c r="B1692" s="76" t="str">
        <f ca="1">IFERROR(__xludf.DUMMYFUNCTION("""COMPUTED_VALUE"""),"Веккер Виктор Владиславович")</f>
        <v>Веккер Виктор Владиславович</v>
      </c>
      <c r="C1692" s="75" t="str">
        <f ca="1">IFERROR(__xludf.DUMMYFUNCTION("""COMPUTED_VALUE"""),"Студент")</f>
        <v>Студент</v>
      </c>
    </row>
    <row r="1693" spans="1:3">
      <c r="A1693" s="76">
        <f ca="1">IFERROR(__xludf.DUMMYFUNCTION("""COMPUTED_VALUE"""),2309827)</f>
        <v>2309827</v>
      </c>
      <c r="B1693" s="76" t="str">
        <f ca="1">IFERROR(__xludf.DUMMYFUNCTION("""COMPUTED_VALUE"""),"Цветков Никита Андреевич")</f>
        <v>Цветков Никита Андреевич</v>
      </c>
      <c r="C1693" s="75" t="str">
        <f ca="1">IFERROR(__xludf.DUMMYFUNCTION("""COMPUTED_VALUE"""),"Студент")</f>
        <v>Студент</v>
      </c>
    </row>
    <row r="1694" spans="1:3">
      <c r="A1694" s="76">
        <f ca="1">IFERROR(__xludf.DUMMYFUNCTION("""COMPUTED_VALUE"""),2309831)</f>
        <v>2309831</v>
      </c>
      <c r="B1694" s="76" t="str">
        <f ca="1">IFERROR(__xludf.DUMMYFUNCTION("""COMPUTED_VALUE"""),"Аугайтис Евгений Александрович")</f>
        <v>Аугайтис Евгений Александрович</v>
      </c>
      <c r="C1694" s="75" t="str">
        <f ca="1">IFERROR(__xludf.DUMMYFUNCTION("""COMPUTED_VALUE"""),"Студент")</f>
        <v>Студент</v>
      </c>
    </row>
    <row r="1695" spans="1:3">
      <c r="A1695" s="76">
        <f ca="1">IFERROR(__xludf.DUMMYFUNCTION("""COMPUTED_VALUE"""),2309832)</f>
        <v>2309832</v>
      </c>
      <c r="B1695" s="76" t="str">
        <f ca="1">IFERROR(__xludf.DUMMYFUNCTION("""COMPUTED_VALUE"""),"Мельников Кирилл Сергеевич")</f>
        <v>Мельников Кирилл Сергеевич</v>
      </c>
      <c r="C1695" s="75" t="str">
        <f ca="1">IFERROR(__xludf.DUMMYFUNCTION("""COMPUTED_VALUE"""),"Студент")</f>
        <v>Студент</v>
      </c>
    </row>
    <row r="1696" spans="1:3">
      <c r="A1696" s="76">
        <f ca="1">IFERROR(__xludf.DUMMYFUNCTION("""COMPUTED_VALUE"""),2309838)</f>
        <v>2309838</v>
      </c>
      <c r="B1696" s="76" t="str">
        <f ca="1">IFERROR(__xludf.DUMMYFUNCTION("""COMPUTED_VALUE"""),"Умылин Владислав Евгеньевич")</f>
        <v>Умылин Владислав Евгеньевич</v>
      </c>
      <c r="C1696" s="75" t="str">
        <f ca="1">IFERROR(__xludf.DUMMYFUNCTION("""COMPUTED_VALUE"""),"Аспирант")</f>
        <v>Аспирант</v>
      </c>
    </row>
    <row r="1697" spans="1:3">
      <c r="A1697" s="76">
        <f ca="1">IFERROR(__xludf.DUMMYFUNCTION("""COMPUTED_VALUE"""),2309873)</f>
        <v>2309873</v>
      </c>
      <c r="B1697" s="76" t="str">
        <f ca="1">IFERROR(__xludf.DUMMYFUNCTION("""COMPUTED_VALUE"""),"Шибаев Сергей Игоревич")</f>
        <v>Шибаев Сергей Игоревич</v>
      </c>
      <c r="C1697" s="75" t="str">
        <f ca="1">IFERROR(__xludf.DUMMYFUNCTION("""COMPUTED_VALUE"""),"Студент")</f>
        <v>Студент</v>
      </c>
    </row>
    <row r="1698" spans="1:3">
      <c r="A1698" s="76">
        <f ca="1">IFERROR(__xludf.DUMMYFUNCTION("""COMPUTED_VALUE"""),2309877)</f>
        <v>2309877</v>
      </c>
      <c r="B1698" s="76" t="str">
        <f ca="1">IFERROR(__xludf.DUMMYFUNCTION("""COMPUTED_VALUE"""),"Завидей Никита Андреевич")</f>
        <v>Завидей Никита Андреевич</v>
      </c>
      <c r="C1698" s="75" t="str">
        <f ca="1">IFERROR(__xludf.DUMMYFUNCTION("""COMPUTED_VALUE"""),"Студент")</f>
        <v>Студент</v>
      </c>
    </row>
    <row r="1699" spans="1:3">
      <c r="A1699" s="76">
        <f ca="1">IFERROR(__xludf.DUMMYFUNCTION("""COMPUTED_VALUE"""),2309880)</f>
        <v>2309880</v>
      </c>
      <c r="B1699" s="76" t="str">
        <f ca="1">IFERROR(__xludf.DUMMYFUNCTION("""COMPUTED_VALUE"""),"Ивасько Александр Сергеевич")</f>
        <v>Ивасько Александр Сергеевич</v>
      </c>
      <c r="C1699" s="75" t="str">
        <f ca="1">IFERROR(__xludf.DUMMYFUNCTION("""COMPUTED_VALUE"""),"Аспирант")</f>
        <v>Аспирант</v>
      </c>
    </row>
    <row r="1700" spans="1:3">
      <c r="A1700" s="76">
        <f ca="1">IFERROR(__xludf.DUMMYFUNCTION("""COMPUTED_VALUE"""),2309882)</f>
        <v>2309882</v>
      </c>
      <c r="B1700" s="76" t="str">
        <f ca="1">IFERROR(__xludf.DUMMYFUNCTION("""COMPUTED_VALUE"""),"Митрофанов Никита Алексеевич")</f>
        <v>Митрофанов Никита Алексеевич</v>
      </c>
      <c r="C1700" s="75" t="str">
        <f ca="1">IFERROR(__xludf.DUMMYFUNCTION("""COMPUTED_VALUE"""),"Студент")</f>
        <v>Студент</v>
      </c>
    </row>
    <row r="1701" spans="1:3">
      <c r="A1701" s="76">
        <f ca="1">IFERROR(__xludf.DUMMYFUNCTION("""COMPUTED_VALUE"""),2309892)</f>
        <v>2309892</v>
      </c>
      <c r="B1701" s="76" t="str">
        <f ca="1">IFERROR(__xludf.DUMMYFUNCTION("""COMPUTED_VALUE"""),"Феденко Софья Александровна")</f>
        <v>Феденко Софья Александровна</v>
      </c>
      <c r="C1701" s="75" t="str">
        <f ca="1">IFERROR(__xludf.DUMMYFUNCTION("""COMPUTED_VALUE"""),"Студент")</f>
        <v>Студент</v>
      </c>
    </row>
    <row r="1702" spans="1:3">
      <c r="A1702" s="76">
        <f ca="1">IFERROR(__xludf.DUMMYFUNCTION("""COMPUTED_VALUE"""),2309897)</f>
        <v>2309897</v>
      </c>
      <c r="B1702" s="76" t="str">
        <f ca="1">IFERROR(__xludf.DUMMYFUNCTION("""COMPUTED_VALUE"""),"Ксенофонтова Татьяна Дмитриевна")</f>
        <v>Ксенофонтова Татьяна Дмитриевна</v>
      </c>
      <c r="C1702" s="75" t="str">
        <f ca="1">IFERROR(__xludf.DUMMYFUNCTION("""COMPUTED_VALUE"""),"Аспирант")</f>
        <v>Аспирант</v>
      </c>
    </row>
    <row r="1703" spans="1:3">
      <c r="A1703" s="76">
        <f ca="1">IFERROR(__xludf.DUMMYFUNCTION("""COMPUTED_VALUE"""),2309900)</f>
        <v>2309900</v>
      </c>
      <c r="B1703" s="76" t="str">
        <f ca="1">IFERROR(__xludf.DUMMYFUNCTION("""COMPUTED_VALUE"""),"Бессеребренникова Полина Андреевна")</f>
        <v>Бессеребренникова Полина Андреевна</v>
      </c>
      <c r="C1703" s="75" t="str">
        <f ca="1">IFERROR(__xludf.DUMMYFUNCTION("""COMPUTED_VALUE"""),"Студент")</f>
        <v>Студент</v>
      </c>
    </row>
    <row r="1704" spans="1:3">
      <c r="A1704" s="76">
        <f ca="1">IFERROR(__xludf.DUMMYFUNCTION("""COMPUTED_VALUE"""),2309903)</f>
        <v>2309903</v>
      </c>
      <c r="B1704" s="76" t="str">
        <f ca="1">IFERROR(__xludf.DUMMYFUNCTION("""COMPUTED_VALUE"""),"Куликов Артём Андреевич")</f>
        <v>Куликов Артём Андреевич</v>
      </c>
      <c r="C1704" s="75" t="str">
        <f ca="1">IFERROR(__xludf.DUMMYFUNCTION("""COMPUTED_VALUE"""),"Студент")</f>
        <v>Студент</v>
      </c>
    </row>
    <row r="1705" spans="1:3">
      <c r="A1705" s="76">
        <f ca="1">IFERROR(__xludf.DUMMYFUNCTION("""COMPUTED_VALUE"""),2309906)</f>
        <v>2309906</v>
      </c>
      <c r="B1705" s="76" t="str">
        <f ca="1">IFERROR(__xludf.DUMMYFUNCTION("""COMPUTED_VALUE"""),"Утнасунова Альмина Басанговна")</f>
        <v>Утнасунова Альмина Басанговна</v>
      </c>
      <c r="C1705" s="75" t="str">
        <f ca="1">IFERROR(__xludf.DUMMYFUNCTION("""COMPUTED_VALUE"""),"Студент")</f>
        <v>Студент</v>
      </c>
    </row>
    <row r="1706" spans="1:3">
      <c r="A1706" s="76">
        <f ca="1">IFERROR(__xludf.DUMMYFUNCTION("""COMPUTED_VALUE"""),2309908)</f>
        <v>2309908</v>
      </c>
      <c r="B1706" s="76" t="str">
        <f ca="1">IFERROR(__xludf.DUMMYFUNCTION("""COMPUTED_VALUE"""),"Реан Ляя Александровна")</f>
        <v>Реан Ляя Александровна</v>
      </c>
      <c r="C1706" s="75" t="str">
        <f ca="1">IFERROR(__xludf.DUMMYFUNCTION("""COMPUTED_VALUE"""),"Студент")</f>
        <v>Студент</v>
      </c>
    </row>
    <row r="1707" spans="1:3">
      <c r="A1707" s="76">
        <f ca="1">IFERROR(__xludf.DUMMYFUNCTION("""COMPUTED_VALUE"""),2309909)</f>
        <v>2309909</v>
      </c>
      <c r="B1707" s="76" t="str">
        <f ca="1">IFERROR(__xludf.DUMMYFUNCTION("""COMPUTED_VALUE"""),"Игнатова Юлия Олеговна")</f>
        <v>Игнатова Юлия Олеговна</v>
      </c>
      <c r="C1707" s="75" t="str">
        <f ca="1">IFERROR(__xludf.DUMMYFUNCTION("""COMPUTED_VALUE"""),"Студент")</f>
        <v>Студент</v>
      </c>
    </row>
    <row r="1708" spans="1:3">
      <c r="A1708" s="76">
        <f ca="1">IFERROR(__xludf.DUMMYFUNCTION("""COMPUTED_VALUE"""),2309921)</f>
        <v>2309921</v>
      </c>
      <c r="B1708" s="76" t="str">
        <f ca="1">IFERROR(__xludf.DUMMYFUNCTION("""COMPUTED_VALUE"""),"Устинова Александра Игоревна")</f>
        <v>Устинова Александра Игоревна</v>
      </c>
      <c r="C1708" s="75" t="str">
        <f ca="1">IFERROR(__xludf.DUMMYFUNCTION("""COMPUTED_VALUE"""),"Студент")</f>
        <v>Студент</v>
      </c>
    </row>
    <row r="1709" spans="1:3">
      <c r="A1709" s="76">
        <f ca="1">IFERROR(__xludf.DUMMYFUNCTION("""COMPUTED_VALUE"""),2309923)</f>
        <v>2309923</v>
      </c>
      <c r="B1709" s="76" t="str">
        <f ca="1">IFERROR(__xludf.DUMMYFUNCTION("""COMPUTED_VALUE"""),"Дузджу Хасан Джан")</f>
        <v>Дузджу Хасан Джан</v>
      </c>
      <c r="C1709" s="75" t="str">
        <f ca="1">IFERROR(__xludf.DUMMYFUNCTION("""COMPUTED_VALUE"""),"Студент")</f>
        <v>Студент</v>
      </c>
    </row>
    <row r="1710" spans="1:3">
      <c r="A1710" s="76">
        <f ca="1">IFERROR(__xludf.DUMMYFUNCTION("""COMPUTED_VALUE"""),2309924)</f>
        <v>2309924</v>
      </c>
      <c r="B1710" s="76" t="str">
        <f ca="1">IFERROR(__xludf.DUMMYFUNCTION("""COMPUTED_VALUE"""),"Чемерицкий Андрей Алексеевич")</f>
        <v>Чемерицкий Андрей Алексеевич</v>
      </c>
      <c r="C1710" s="75" t="str">
        <f ca="1">IFERROR(__xludf.DUMMYFUNCTION("""COMPUTED_VALUE"""),"Студент")</f>
        <v>Студент</v>
      </c>
    </row>
    <row r="1711" spans="1:3">
      <c r="A1711" s="76">
        <f ca="1">IFERROR(__xludf.DUMMYFUNCTION("""COMPUTED_VALUE"""),2309940)</f>
        <v>2309940</v>
      </c>
      <c r="B1711" s="76" t="str">
        <f ca="1">IFERROR(__xludf.DUMMYFUNCTION("""COMPUTED_VALUE"""),"Чернавцева Алина Геннадиевна")</f>
        <v>Чернавцева Алина Геннадиевна</v>
      </c>
      <c r="C1711" s="75" t="str">
        <f ca="1">IFERROR(__xludf.DUMMYFUNCTION("""COMPUTED_VALUE"""),"Студент")</f>
        <v>Студент</v>
      </c>
    </row>
    <row r="1712" spans="1:3">
      <c r="A1712" s="76">
        <f ca="1">IFERROR(__xludf.DUMMYFUNCTION("""COMPUTED_VALUE"""),2309943)</f>
        <v>2309943</v>
      </c>
      <c r="B1712" s="76" t="str">
        <f ca="1">IFERROR(__xludf.DUMMYFUNCTION("""COMPUTED_VALUE"""),"Сорокин Игорь Игоревич")</f>
        <v>Сорокин Игорь Игоревич</v>
      </c>
      <c r="C1712" s="75" t="str">
        <f ca="1">IFERROR(__xludf.DUMMYFUNCTION("""COMPUTED_VALUE"""),"Студент")</f>
        <v>Студент</v>
      </c>
    </row>
    <row r="1713" spans="1:3">
      <c r="A1713" s="76">
        <f ca="1">IFERROR(__xludf.DUMMYFUNCTION("""COMPUTED_VALUE"""),2309945)</f>
        <v>2309945</v>
      </c>
      <c r="B1713" s="76" t="str">
        <f ca="1">IFERROR(__xludf.DUMMYFUNCTION("""COMPUTED_VALUE"""),"Абаноков Ильнур Амирович")</f>
        <v>Абаноков Ильнур Амирович</v>
      </c>
      <c r="C1713" s="75" t="str">
        <f ca="1">IFERROR(__xludf.DUMMYFUNCTION("""COMPUTED_VALUE"""),"Студент")</f>
        <v>Студент</v>
      </c>
    </row>
    <row r="1714" spans="1:3">
      <c r="A1714" s="76">
        <f ca="1">IFERROR(__xludf.DUMMYFUNCTION("""COMPUTED_VALUE"""),2309954)</f>
        <v>2309954</v>
      </c>
      <c r="B1714" s="76" t="str">
        <f ca="1">IFERROR(__xludf.DUMMYFUNCTION("""COMPUTED_VALUE"""),"Севидов Иван Сергеевич")</f>
        <v>Севидов Иван Сергеевич</v>
      </c>
      <c r="C1714" s="75" t="str">
        <f ca="1">IFERROR(__xludf.DUMMYFUNCTION("""COMPUTED_VALUE"""),"Студент")</f>
        <v>Студент</v>
      </c>
    </row>
    <row r="1715" spans="1:3">
      <c r="A1715" s="76">
        <f ca="1">IFERROR(__xludf.DUMMYFUNCTION("""COMPUTED_VALUE"""),2309957)</f>
        <v>2309957</v>
      </c>
      <c r="B1715" s="76" t="str">
        <f ca="1">IFERROR(__xludf.DUMMYFUNCTION("""COMPUTED_VALUE"""),"Ласко Максим Андреевич")</f>
        <v>Ласко Максим Андреевич</v>
      </c>
      <c r="C1715" s="75" t="str">
        <f ca="1">IFERROR(__xludf.DUMMYFUNCTION("""COMPUTED_VALUE"""),"Студент")</f>
        <v>Студент</v>
      </c>
    </row>
    <row r="1716" spans="1:3">
      <c r="A1716" s="76">
        <f ca="1">IFERROR(__xludf.DUMMYFUNCTION("""COMPUTED_VALUE"""),2309958)</f>
        <v>2309958</v>
      </c>
      <c r="B1716" s="76" t="str">
        <f ca="1">IFERROR(__xludf.DUMMYFUNCTION("""COMPUTED_VALUE"""),"Вахрушева Ирина Олеговна")</f>
        <v>Вахрушева Ирина Олеговна</v>
      </c>
      <c r="C1716" s="75" t="str">
        <f ca="1">IFERROR(__xludf.DUMMYFUNCTION("""COMPUTED_VALUE"""),"Аспирант")</f>
        <v>Аспирант</v>
      </c>
    </row>
    <row r="1717" spans="1:3">
      <c r="A1717" s="76">
        <f ca="1">IFERROR(__xludf.DUMMYFUNCTION("""COMPUTED_VALUE"""),2309959)</f>
        <v>2309959</v>
      </c>
      <c r="B1717" s="76" t="str">
        <f ca="1">IFERROR(__xludf.DUMMYFUNCTION("""COMPUTED_VALUE"""),"Разсоха Марк Алексеевич")</f>
        <v>Разсоха Марк Алексеевич</v>
      </c>
      <c r="C1717" s="75" t="str">
        <f ca="1">IFERROR(__xludf.DUMMYFUNCTION("""COMPUTED_VALUE"""),"Студент")</f>
        <v>Студент</v>
      </c>
    </row>
    <row r="1718" spans="1:3">
      <c r="A1718" s="76">
        <f ca="1">IFERROR(__xludf.DUMMYFUNCTION("""COMPUTED_VALUE"""),2309963)</f>
        <v>2309963</v>
      </c>
      <c r="B1718" s="76" t="str">
        <f ca="1">IFERROR(__xludf.DUMMYFUNCTION("""COMPUTED_VALUE"""),"Беляев Сергей Михайлович")</f>
        <v>Беляев Сергей Михайлович</v>
      </c>
      <c r="C1718" s="75" t="str">
        <f ca="1">IFERROR(__xludf.DUMMYFUNCTION("""COMPUTED_VALUE"""),"Студент")</f>
        <v>Студент</v>
      </c>
    </row>
    <row r="1719" spans="1:3">
      <c r="A1719" s="76">
        <f ca="1">IFERROR(__xludf.DUMMYFUNCTION("""COMPUTED_VALUE"""),2309966)</f>
        <v>2309966</v>
      </c>
      <c r="B1719" s="76" t="str">
        <f ca="1">IFERROR(__xludf.DUMMYFUNCTION("""COMPUTED_VALUE"""),"Прохоренко Антон Денисович")</f>
        <v>Прохоренко Антон Денисович</v>
      </c>
      <c r="C1719" s="75" t="str">
        <f ca="1">IFERROR(__xludf.DUMMYFUNCTION("""COMPUTED_VALUE"""),"Студент")</f>
        <v>Студент</v>
      </c>
    </row>
    <row r="1720" spans="1:3">
      <c r="A1720" s="76">
        <f ca="1">IFERROR(__xludf.DUMMYFUNCTION("""COMPUTED_VALUE"""),2309967)</f>
        <v>2309967</v>
      </c>
      <c r="B1720" s="76" t="str">
        <f ca="1">IFERROR(__xludf.DUMMYFUNCTION("""COMPUTED_VALUE"""),"Козлова Анна Евгеньевна")</f>
        <v>Козлова Анна Евгеньевна</v>
      </c>
      <c r="C1720" s="75" t="str">
        <f ca="1">IFERROR(__xludf.DUMMYFUNCTION("""COMPUTED_VALUE"""),"Студент")</f>
        <v>Студент</v>
      </c>
    </row>
    <row r="1721" spans="1:3">
      <c r="A1721" s="76">
        <f ca="1">IFERROR(__xludf.DUMMYFUNCTION("""COMPUTED_VALUE"""),2309973)</f>
        <v>2309973</v>
      </c>
      <c r="B1721" s="76" t="str">
        <f ca="1">IFERROR(__xludf.DUMMYFUNCTION("""COMPUTED_VALUE"""),"Ермоленко Алина Алексеевна")</f>
        <v>Ермоленко Алина Алексеевна</v>
      </c>
      <c r="C1721" s="75" t="str">
        <f ca="1">IFERROR(__xludf.DUMMYFUNCTION("""COMPUTED_VALUE"""),"Студент")</f>
        <v>Студент</v>
      </c>
    </row>
    <row r="1722" spans="1:3">
      <c r="A1722" s="76">
        <f ca="1">IFERROR(__xludf.DUMMYFUNCTION("""COMPUTED_VALUE"""),2309975)</f>
        <v>2309975</v>
      </c>
      <c r="B1722" s="76" t="str">
        <f ca="1">IFERROR(__xludf.DUMMYFUNCTION("""COMPUTED_VALUE"""),"Токарев Максим Романович")</f>
        <v>Токарев Максим Романович</v>
      </c>
      <c r="C1722" s="75" t="str">
        <f ca="1">IFERROR(__xludf.DUMMYFUNCTION("""COMPUTED_VALUE"""),"Студент")</f>
        <v>Студент</v>
      </c>
    </row>
    <row r="1723" spans="1:3">
      <c r="A1723" s="76">
        <f ca="1">IFERROR(__xludf.DUMMYFUNCTION("""COMPUTED_VALUE"""),2309978)</f>
        <v>2309978</v>
      </c>
      <c r="B1723" s="76" t="str">
        <f ca="1">IFERROR(__xludf.DUMMYFUNCTION("""COMPUTED_VALUE"""),"Федосеева Виктория Романовна")</f>
        <v>Федосеева Виктория Романовна</v>
      </c>
      <c r="C1723" s="75" t="str">
        <f ca="1">IFERROR(__xludf.DUMMYFUNCTION("""COMPUTED_VALUE"""),"Студент")</f>
        <v>Студент</v>
      </c>
    </row>
    <row r="1724" spans="1:3">
      <c r="A1724" s="76">
        <f ca="1">IFERROR(__xludf.DUMMYFUNCTION("""COMPUTED_VALUE"""),2309982)</f>
        <v>2309982</v>
      </c>
      <c r="B1724" s="76" t="str">
        <f ca="1">IFERROR(__xludf.DUMMYFUNCTION("""COMPUTED_VALUE"""),"Сущина Екатерина Сергеевна")</f>
        <v>Сущина Екатерина Сергеевна</v>
      </c>
      <c r="C1724" s="75" t="str">
        <f ca="1">IFERROR(__xludf.DUMMYFUNCTION("""COMPUTED_VALUE"""),"Студент")</f>
        <v>Студент</v>
      </c>
    </row>
    <row r="1725" spans="1:3">
      <c r="A1725" s="76">
        <f ca="1">IFERROR(__xludf.DUMMYFUNCTION("""COMPUTED_VALUE"""),2309987)</f>
        <v>2309987</v>
      </c>
      <c r="B1725" s="76" t="str">
        <f ca="1">IFERROR(__xludf.DUMMYFUNCTION("""COMPUTED_VALUE"""),"Орлова Анна Романовна")</f>
        <v>Орлова Анна Романовна</v>
      </c>
      <c r="C1725" s="75" t="str">
        <f ca="1">IFERROR(__xludf.DUMMYFUNCTION("""COMPUTED_VALUE"""),"Студент")</f>
        <v>Студент</v>
      </c>
    </row>
    <row r="1726" spans="1:3">
      <c r="A1726" s="76">
        <f ca="1">IFERROR(__xludf.DUMMYFUNCTION("""COMPUTED_VALUE"""),2309992)</f>
        <v>2309992</v>
      </c>
      <c r="B1726" s="76" t="str">
        <f ca="1">IFERROR(__xludf.DUMMYFUNCTION("""COMPUTED_VALUE"""),"Абдухалилов Фазлиддин Фахриддин Угли")</f>
        <v>Абдухалилов Фазлиддин Фахриддин Угли</v>
      </c>
      <c r="C1726" s="75" t="str">
        <f ca="1">IFERROR(__xludf.DUMMYFUNCTION("""COMPUTED_VALUE"""),"Студент")</f>
        <v>Студент</v>
      </c>
    </row>
    <row r="1727" spans="1:3">
      <c r="A1727" s="76">
        <f ca="1">IFERROR(__xludf.DUMMYFUNCTION("""COMPUTED_VALUE"""),2309995)</f>
        <v>2309995</v>
      </c>
      <c r="B1727" s="76" t="str">
        <f ca="1">IFERROR(__xludf.DUMMYFUNCTION("""COMPUTED_VALUE"""),"Хайретдинова Динара Ринатовна")</f>
        <v>Хайретдинова Динара Ринатовна</v>
      </c>
      <c r="C1727" s="75" t="str">
        <f ca="1">IFERROR(__xludf.DUMMYFUNCTION("""COMPUTED_VALUE"""),"Аспирант")</f>
        <v>Аспирант</v>
      </c>
    </row>
    <row r="1728" spans="1:3">
      <c r="A1728" s="76">
        <f ca="1">IFERROR(__xludf.DUMMYFUNCTION("""COMPUTED_VALUE"""),2309996)</f>
        <v>2309996</v>
      </c>
      <c r="B1728" s="76" t="str">
        <f ca="1">IFERROR(__xludf.DUMMYFUNCTION("""COMPUTED_VALUE"""),"Антонова Анастасия Александровна")</f>
        <v>Антонова Анастасия Александровна</v>
      </c>
      <c r="C1728" s="75" t="str">
        <f ca="1">IFERROR(__xludf.DUMMYFUNCTION("""COMPUTED_VALUE"""),"Студент")</f>
        <v>Студент</v>
      </c>
    </row>
    <row r="1729" spans="1:3">
      <c r="A1729" s="76">
        <f ca="1">IFERROR(__xludf.DUMMYFUNCTION("""COMPUTED_VALUE"""),2309998)</f>
        <v>2309998</v>
      </c>
      <c r="B1729" s="76" t="str">
        <f ca="1">IFERROR(__xludf.DUMMYFUNCTION("""COMPUTED_VALUE"""),"Умбетьяров Алишер Ербулатулы")</f>
        <v>Умбетьяров Алишер Ербулатулы</v>
      </c>
      <c r="C1729" s="75" t="str">
        <f ca="1">IFERROR(__xludf.DUMMYFUNCTION("""COMPUTED_VALUE"""),"Студент")</f>
        <v>Студент</v>
      </c>
    </row>
    <row r="1730" spans="1:3">
      <c r="A1730" s="76">
        <f ca="1">IFERROR(__xludf.DUMMYFUNCTION("""COMPUTED_VALUE"""),2309999)</f>
        <v>2309999</v>
      </c>
      <c r="B1730" s="76" t="str">
        <f ca="1">IFERROR(__xludf.DUMMYFUNCTION("""COMPUTED_VALUE"""),"Шихова Светлана Алексеевна")</f>
        <v>Шихова Светлана Алексеевна</v>
      </c>
      <c r="C1730" s="75" t="str">
        <f ca="1">IFERROR(__xludf.DUMMYFUNCTION("""COMPUTED_VALUE"""),"Студент")</f>
        <v>Студент</v>
      </c>
    </row>
    <row r="1731" spans="1:3">
      <c r="A1731" s="76">
        <f ca="1">IFERROR(__xludf.DUMMYFUNCTION("""COMPUTED_VALUE"""),2310004)</f>
        <v>2310004</v>
      </c>
      <c r="B1731" s="76" t="str">
        <f ca="1">IFERROR(__xludf.DUMMYFUNCTION("""COMPUTED_VALUE"""),"Архипов Виктор Алексеевич")</f>
        <v>Архипов Виктор Алексеевич</v>
      </c>
      <c r="C1731" s="75" t="str">
        <f ca="1">IFERROR(__xludf.DUMMYFUNCTION("""COMPUTED_VALUE"""),"Студент")</f>
        <v>Студент</v>
      </c>
    </row>
    <row r="1732" spans="1:3">
      <c r="A1732" s="76">
        <f ca="1">IFERROR(__xludf.DUMMYFUNCTION("""COMPUTED_VALUE"""),2310014)</f>
        <v>2310014</v>
      </c>
      <c r="B1732" s="76" t="str">
        <f ca="1">IFERROR(__xludf.DUMMYFUNCTION("""COMPUTED_VALUE"""),"Мартиросян Завен Карапетович")</f>
        <v>Мартиросян Завен Карапетович</v>
      </c>
      <c r="C1732" s="75" t="str">
        <f ca="1">IFERROR(__xludf.DUMMYFUNCTION("""COMPUTED_VALUE"""),"Аспирант")</f>
        <v>Аспирант</v>
      </c>
    </row>
    <row r="1733" spans="1:3">
      <c r="A1733" s="76">
        <f ca="1">IFERROR(__xludf.DUMMYFUNCTION("""COMPUTED_VALUE"""),2310016)</f>
        <v>2310016</v>
      </c>
      <c r="B1733" s="76" t="str">
        <f ca="1">IFERROR(__xludf.DUMMYFUNCTION("""COMPUTED_VALUE"""),"Гагарин Василий Олегович")</f>
        <v>Гагарин Василий Олегович</v>
      </c>
      <c r="C1733" s="75" t="str">
        <f ca="1">IFERROR(__xludf.DUMMYFUNCTION("""COMPUTED_VALUE"""),"Студент")</f>
        <v>Студент</v>
      </c>
    </row>
    <row r="1734" spans="1:3">
      <c r="A1734" s="76">
        <f ca="1">IFERROR(__xludf.DUMMYFUNCTION("""COMPUTED_VALUE"""),2310017)</f>
        <v>2310017</v>
      </c>
      <c r="B1734" s="76" t="str">
        <f ca="1">IFERROR(__xludf.DUMMYFUNCTION("""COMPUTED_VALUE"""),"Корепина Дарья Павловна")</f>
        <v>Корепина Дарья Павловна</v>
      </c>
      <c r="C1734" s="75" t="str">
        <f ca="1">IFERROR(__xludf.DUMMYFUNCTION("""COMPUTED_VALUE"""),"Студент")</f>
        <v>Студент</v>
      </c>
    </row>
    <row r="1735" spans="1:3">
      <c r="A1735" s="76">
        <f ca="1">IFERROR(__xludf.DUMMYFUNCTION("""COMPUTED_VALUE"""),2310030)</f>
        <v>2310030</v>
      </c>
      <c r="B1735" s="76" t="str">
        <f ca="1">IFERROR(__xludf.DUMMYFUNCTION("""COMPUTED_VALUE"""),"Янгибоев Жамшид Кахрамон Угли")</f>
        <v>Янгибоев Жамшид Кахрамон Угли</v>
      </c>
      <c r="C1735" s="75" t="str">
        <f ca="1">IFERROR(__xludf.DUMMYFUNCTION("""COMPUTED_VALUE"""),"Студент")</f>
        <v>Студент</v>
      </c>
    </row>
    <row r="1736" spans="1:3">
      <c r="A1736" s="76">
        <f ca="1">IFERROR(__xludf.DUMMYFUNCTION("""COMPUTED_VALUE"""),2310031)</f>
        <v>2310031</v>
      </c>
      <c r="B1736" s="76" t="str">
        <f ca="1">IFERROR(__xludf.DUMMYFUNCTION("""COMPUTED_VALUE"""),"Зуев Алексей Сергеевич")</f>
        <v>Зуев Алексей Сергеевич</v>
      </c>
      <c r="C1736" s="75" t="str">
        <f ca="1">IFERROR(__xludf.DUMMYFUNCTION("""COMPUTED_VALUE"""),"Аспирант")</f>
        <v>Аспирант</v>
      </c>
    </row>
    <row r="1737" spans="1:3">
      <c r="A1737" s="76">
        <f ca="1">IFERROR(__xludf.DUMMYFUNCTION("""COMPUTED_VALUE"""),2310033)</f>
        <v>2310033</v>
      </c>
      <c r="B1737" s="76" t="str">
        <f ca="1">IFERROR(__xludf.DUMMYFUNCTION("""COMPUTED_VALUE"""),"Усенков Дмитрий Сергеевич")</f>
        <v>Усенков Дмитрий Сергеевич</v>
      </c>
      <c r="C1737" s="75" t="str">
        <f ca="1">IFERROR(__xludf.DUMMYFUNCTION("""COMPUTED_VALUE"""),"Студент")</f>
        <v>Студент</v>
      </c>
    </row>
    <row r="1738" spans="1:3">
      <c r="A1738" s="76">
        <f ca="1">IFERROR(__xludf.DUMMYFUNCTION("""COMPUTED_VALUE"""),2310049)</f>
        <v>2310049</v>
      </c>
      <c r="B1738" s="76" t="str">
        <f ca="1">IFERROR(__xludf.DUMMYFUNCTION("""COMPUTED_VALUE"""),"Киселева Анастасия Геннадьевна")</f>
        <v>Киселева Анастасия Геннадьевна</v>
      </c>
      <c r="C1738" s="75" t="str">
        <f ca="1">IFERROR(__xludf.DUMMYFUNCTION("""COMPUTED_VALUE"""),"Студент")</f>
        <v>Студент</v>
      </c>
    </row>
    <row r="1739" spans="1:3">
      <c r="A1739" s="76">
        <f ca="1">IFERROR(__xludf.DUMMYFUNCTION("""COMPUTED_VALUE"""),2310052)</f>
        <v>2310052</v>
      </c>
      <c r="B1739" s="76" t="str">
        <f ca="1">IFERROR(__xludf.DUMMYFUNCTION("""COMPUTED_VALUE"""),"Попов Алексей Николаевич")</f>
        <v>Попов Алексей Николаевич</v>
      </c>
      <c r="C1739" s="75" t="str">
        <f ca="1">IFERROR(__xludf.DUMMYFUNCTION("""COMPUTED_VALUE"""),"Студент")</f>
        <v>Студент</v>
      </c>
    </row>
    <row r="1740" spans="1:3">
      <c r="A1740" s="76">
        <f ca="1">IFERROR(__xludf.DUMMYFUNCTION("""COMPUTED_VALUE"""),2310055)</f>
        <v>2310055</v>
      </c>
      <c r="B1740" s="76" t="str">
        <f ca="1">IFERROR(__xludf.DUMMYFUNCTION("""COMPUTED_VALUE"""),"Чуянова Елена Сергеевна")</f>
        <v>Чуянова Елена Сергеевна</v>
      </c>
      <c r="C1740" s="75" t="str">
        <f ca="1">IFERROR(__xludf.DUMMYFUNCTION("""COMPUTED_VALUE"""),"Аспирант")</f>
        <v>Аспирант</v>
      </c>
    </row>
    <row r="1741" spans="1:3">
      <c r="A1741" s="76">
        <f ca="1">IFERROR(__xludf.DUMMYFUNCTION("""COMPUTED_VALUE"""),2310059)</f>
        <v>2310059</v>
      </c>
      <c r="B1741" s="76" t="str">
        <f ca="1">IFERROR(__xludf.DUMMYFUNCTION("""COMPUTED_VALUE"""),"Сидорова Ксения Михайловна")</f>
        <v>Сидорова Ксения Михайловна</v>
      </c>
      <c r="C1741" s="75" t="str">
        <f ca="1">IFERROR(__xludf.DUMMYFUNCTION("""COMPUTED_VALUE"""),"Студент")</f>
        <v>Студент</v>
      </c>
    </row>
    <row r="1742" spans="1:3">
      <c r="A1742" s="76">
        <f ca="1">IFERROR(__xludf.DUMMYFUNCTION("""COMPUTED_VALUE"""),2310066)</f>
        <v>2310066</v>
      </c>
      <c r="B1742" s="76" t="str">
        <f ca="1">IFERROR(__xludf.DUMMYFUNCTION("""COMPUTED_VALUE"""),"Мамонтов Семен Александрович")</f>
        <v>Мамонтов Семен Александрович</v>
      </c>
      <c r="C1742" s="75" t="str">
        <f ca="1">IFERROR(__xludf.DUMMYFUNCTION("""COMPUTED_VALUE"""),"Студент")</f>
        <v>Студент</v>
      </c>
    </row>
    <row r="1743" spans="1:3">
      <c r="A1743" s="76">
        <f ca="1">IFERROR(__xludf.DUMMYFUNCTION("""COMPUTED_VALUE"""),2310077)</f>
        <v>2310077</v>
      </c>
      <c r="B1743" s="76" t="str">
        <f ca="1">IFERROR(__xludf.DUMMYFUNCTION("""COMPUTED_VALUE"""),"Кротов Олег Валерьевич")</f>
        <v>Кротов Олег Валерьевич</v>
      </c>
      <c r="C1743" s="75" t="str">
        <f ca="1">IFERROR(__xludf.DUMMYFUNCTION("""COMPUTED_VALUE"""),"Студент")</f>
        <v>Студент</v>
      </c>
    </row>
    <row r="1744" spans="1:3">
      <c r="A1744" s="76">
        <f ca="1">IFERROR(__xludf.DUMMYFUNCTION("""COMPUTED_VALUE"""),2310084)</f>
        <v>2310084</v>
      </c>
      <c r="B1744" s="76" t="str">
        <f ca="1">IFERROR(__xludf.DUMMYFUNCTION("""COMPUTED_VALUE"""),"Бачурин Станислав Алексеевич")</f>
        <v>Бачурин Станислав Алексеевич</v>
      </c>
      <c r="C1744" s="75" t="str">
        <f ca="1">IFERROR(__xludf.DUMMYFUNCTION("""COMPUTED_VALUE"""),"Студент")</f>
        <v>Студент</v>
      </c>
    </row>
    <row r="1745" spans="1:3">
      <c r="A1745" s="76">
        <f ca="1">IFERROR(__xludf.DUMMYFUNCTION("""COMPUTED_VALUE"""),2310087)</f>
        <v>2310087</v>
      </c>
      <c r="B1745" s="76" t="str">
        <f ca="1">IFERROR(__xludf.DUMMYFUNCTION("""COMPUTED_VALUE"""),"Сидоровская Ольга Евгеньевна")</f>
        <v>Сидоровская Ольга Евгеньевна</v>
      </c>
      <c r="C1745" s="75" t="str">
        <f ca="1">IFERROR(__xludf.DUMMYFUNCTION("""COMPUTED_VALUE"""),"Студент")</f>
        <v>Студент</v>
      </c>
    </row>
    <row r="1746" spans="1:3">
      <c r="A1746" s="76">
        <f ca="1">IFERROR(__xludf.DUMMYFUNCTION("""COMPUTED_VALUE"""),2310090)</f>
        <v>2310090</v>
      </c>
      <c r="B1746" s="76" t="str">
        <f ca="1">IFERROR(__xludf.DUMMYFUNCTION("""COMPUTED_VALUE"""),"Новрузова Ширин Сулеймановна")</f>
        <v>Новрузова Ширин Сулеймановна</v>
      </c>
      <c r="C1746" s="75" t="str">
        <f ca="1">IFERROR(__xludf.DUMMYFUNCTION("""COMPUTED_VALUE"""),"Студент")</f>
        <v>Студент</v>
      </c>
    </row>
    <row r="1747" spans="1:3">
      <c r="A1747" s="76">
        <f ca="1">IFERROR(__xludf.DUMMYFUNCTION("""COMPUTED_VALUE"""),2310093)</f>
        <v>2310093</v>
      </c>
      <c r="B1747" s="76" t="str">
        <f ca="1">IFERROR(__xludf.DUMMYFUNCTION("""COMPUTED_VALUE"""),"Кабанова Ксения Викторовна")</f>
        <v>Кабанова Ксения Викторовна</v>
      </c>
      <c r="C1747" s="75" t="str">
        <f ca="1">IFERROR(__xludf.DUMMYFUNCTION("""COMPUTED_VALUE"""),"Студент")</f>
        <v>Студент</v>
      </c>
    </row>
    <row r="1748" spans="1:3">
      <c r="A1748" s="76">
        <f ca="1">IFERROR(__xludf.DUMMYFUNCTION("""COMPUTED_VALUE"""),2310094)</f>
        <v>2310094</v>
      </c>
      <c r="B1748" s="76" t="str">
        <f ca="1">IFERROR(__xludf.DUMMYFUNCTION("""COMPUTED_VALUE"""),"Оганезов Михаил Алексеевич")</f>
        <v>Оганезов Михаил Алексеевич</v>
      </c>
      <c r="C1748" s="75" t="str">
        <f ca="1">IFERROR(__xludf.DUMMYFUNCTION("""COMPUTED_VALUE"""),"Студент")</f>
        <v>Студент</v>
      </c>
    </row>
    <row r="1749" spans="1:3">
      <c r="A1749" s="76">
        <f ca="1">IFERROR(__xludf.DUMMYFUNCTION("""COMPUTED_VALUE"""),2310100)</f>
        <v>2310100</v>
      </c>
      <c r="B1749" s="76" t="str">
        <f ca="1">IFERROR(__xludf.DUMMYFUNCTION("""COMPUTED_VALUE"""),"Джакеев Амир Маратович")</f>
        <v>Джакеев Амир Маратович</v>
      </c>
      <c r="C1749" s="75" t="str">
        <f ca="1">IFERROR(__xludf.DUMMYFUNCTION("""COMPUTED_VALUE"""),"Студент")</f>
        <v>Студент</v>
      </c>
    </row>
    <row r="1750" spans="1:3">
      <c r="A1750" s="76">
        <f ca="1">IFERROR(__xludf.DUMMYFUNCTION("""COMPUTED_VALUE"""),2310108)</f>
        <v>2310108</v>
      </c>
      <c r="B1750" s="76" t="str">
        <f ca="1">IFERROR(__xludf.DUMMYFUNCTION("""COMPUTED_VALUE"""),"Стрельников Александр Константинович")</f>
        <v>Стрельников Александр Константинович</v>
      </c>
      <c r="C1750" s="75" t="str">
        <f ca="1">IFERROR(__xludf.DUMMYFUNCTION("""COMPUTED_VALUE"""),"Студент")</f>
        <v>Студент</v>
      </c>
    </row>
    <row r="1751" spans="1:3">
      <c r="A1751" s="76">
        <f ca="1">IFERROR(__xludf.DUMMYFUNCTION("""COMPUTED_VALUE"""),2310109)</f>
        <v>2310109</v>
      </c>
      <c r="B1751" s="76" t="str">
        <f ca="1">IFERROR(__xludf.DUMMYFUNCTION("""COMPUTED_VALUE"""),"Калинин Федор Алексеевич")</f>
        <v>Калинин Федор Алексеевич</v>
      </c>
      <c r="C1751" s="75" t="str">
        <f ca="1">IFERROR(__xludf.DUMMYFUNCTION("""COMPUTED_VALUE"""),"Студент")</f>
        <v>Студент</v>
      </c>
    </row>
    <row r="1752" spans="1:3">
      <c r="A1752" s="76">
        <f ca="1">IFERROR(__xludf.DUMMYFUNCTION("""COMPUTED_VALUE"""),2310120)</f>
        <v>2310120</v>
      </c>
      <c r="B1752" s="76" t="str">
        <f ca="1">IFERROR(__xludf.DUMMYFUNCTION("""COMPUTED_VALUE"""),"Костылев Владимир Алексеевич")</f>
        <v>Костылев Владимир Алексеевич</v>
      </c>
      <c r="C1752" s="75" t="str">
        <f ca="1">IFERROR(__xludf.DUMMYFUNCTION("""COMPUTED_VALUE"""),"Студент")</f>
        <v>Студент</v>
      </c>
    </row>
    <row r="1753" spans="1:3">
      <c r="A1753" s="76">
        <f ca="1">IFERROR(__xludf.DUMMYFUNCTION("""COMPUTED_VALUE"""),2310129)</f>
        <v>2310129</v>
      </c>
      <c r="B1753" s="76" t="str">
        <f ca="1">IFERROR(__xludf.DUMMYFUNCTION("""COMPUTED_VALUE"""),"Шевцов Алексей Вадимович")</f>
        <v>Шевцов Алексей Вадимович</v>
      </c>
      <c r="C1753" s="75" t="str">
        <f ca="1">IFERROR(__xludf.DUMMYFUNCTION("""COMPUTED_VALUE"""),"Студент")</f>
        <v>Студент</v>
      </c>
    </row>
    <row r="1754" spans="1:3">
      <c r="A1754" s="76">
        <f ca="1">IFERROR(__xludf.DUMMYFUNCTION("""COMPUTED_VALUE"""),2310138)</f>
        <v>2310138</v>
      </c>
      <c r="B1754" s="76" t="str">
        <f ca="1">IFERROR(__xludf.DUMMYFUNCTION("""COMPUTED_VALUE"""),"Хаскашев Паймон Шохинович")</f>
        <v>Хаскашев Паймон Шохинович</v>
      </c>
      <c r="C1754" s="75" t="str">
        <f ca="1">IFERROR(__xludf.DUMMYFUNCTION("""COMPUTED_VALUE"""),"Студент")</f>
        <v>Студент</v>
      </c>
    </row>
    <row r="1755" spans="1:3">
      <c r="A1755" s="76">
        <f ca="1">IFERROR(__xludf.DUMMYFUNCTION("""COMPUTED_VALUE"""),2310164)</f>
        <v>2310164</v>
      </c>
      <c r="B1755" s="76" t="str">
        <f ca="1">IFERROR(__xludf.DUMMYFUNCTION("""COMPUTED_VALUE"""),"Воробьева Анна Геннадьевна")</f>
        <v>Воробьева Анна Геннадьевна</v>
      </c>
      <c r="C1755" s="75" t="str">
        <f ca="1">IFERROR(__xludf.DUMMYFUNCTION("""COMPUTED_VALUE"""),"Студент")</f>
        <v>Студент</v>
      </c>
    </row>
    <row r="1756" spans="1:3">
      <c r="A1756" s="76">
        <f ca="1">IFERROR(__xludf.DUMMYFUNCTION("""COMPUTED_VALUE"""),2310166)</f>
        <v>2310166</v>
      </c>
      <c r="B1756" s="76" t="str">
        <f ca="1">IFERROR(__xludf.DUMMYFUNCTION("""COMPUTED_VALUE"""),"Абрамова Мария Сергеевна")</f>
        <v>Абрамова Мария Сергеевна</v>
      </c>
      <c r="C1756" s="75" t="str">
        <f ca="1">IFERROR(__xludf.DUMMYFUNCTION("""COMPUTED_VALUE"""),"Студент")</f>
        <v>Студент</v>
      </c>
    </row>
    <row r="1757" spans="1:3">
      <c r="A1757" s="76">
        <f ca="1">IFERROR(__xludf.DUMMYFUNCTION("""COMPUTED_VALUE"""),2310172)</f>
        <v>2310172</v>
      </c>
      <c r="B1757" s="76" t="str">
        <f ca="1">IFERROR(__xludf.DUMMYFUNCTION("""COMPUTED_VALUE"""),"Каххоров Азамат Абдурахим угли")</f>
        <v>Каххоров Азамат Абдурахим угли</v>
      </c>
      <c r="C1757" s="75" t="str">
        <f ca="1">IFERROR(__xludf.DUMMYFUNCTION("""COMPUTED_VALUE"""),"Студент")</f>
        <v>Студент</v>
      </c>
    </row>
    <row r="1758" spans="1:3">
      <c r="A1758" s="76">
        <f ca="1">IFERROR(__xludf.DUMMYFUNCTION("""COMPUTED_VALUE"""),2310177)</f>
        <v>2310177</v>
      </c>
      <c r="B1758" s="76" t="str">
        <f ca="1">IFERROR(__xludf.DUMMYFUNCTION("""COMPUTED_VALUE"""),"Бакунчева Анастасия Михайловна")</f>
        <v>Бакунчева Анастасия Михайловна</v>
      </c>
      <c r="C1758" s="75" t="str">
        <f ca="1">IFERROR(__xludf.DUMMYFUNCTION("""COMPUTED_VALUE"""),"Студент")</f>
        <v>Студент</v>
      </c>
    </row>
    <row r="1759" spans="1:3">
      <c r="A1759" s="76">
        <f ca="1">IFERROR(__xludf.DUMMYFUNCTION("""COMPUTED_VALUE"""),2310186)</f>
        <v>2310186</v>
      </c>
      <c r="B1759" s="76" t="str">
        <f ca="1">IFERROR(__xludf.DUMMYFUNCTION("""COMPUTED_VALUE"""),"Хитро Анна Владимировна")</f>
        <v>Хитро Анна Владимировна</v>
      </c>
      <c r="C1759" s="75" t="str">
        <f ca="1">IFERROR(__xludf.DUMMYFUNCTION("""COMPUTED_VALUE"""),"Студент")</f>
        <v>Студент</v>
      </c>
    </row>
    <row r="1760" spans="1:3">
      <c r="A1760" s="76">
        <f ca="1">IFERROR(__xludf.DUMMYFUNCTION("""COMPUTED_VALUE"""),2310188)</f>
        <v>2310188</v>
      </c>
      <c r="B1760" s="76" t="str">
        <f ca="1">IFERROR(__xludf.DUMMYFUNCTION("""COMPUTED_VALUE"""),"Степанова Ангелина Владимировна")</f>
        <v>Степанова Ангелина Владимировна</v>
      </c>
      <c r="C1760" s="75" t="str">
        <f ca="1">IFERROR(__xludf.DUMMYFUNCTION("""COMPUTED_VALUE"""),"Студент")</f>
        <v>Студент</v>
      </c>
    </row>
    <row r="1761" spans="1:3">
      <c r="A1761" s="76">
        <f ca="1">IFERROR(__xludf.DUMMYFUNCTION("""COMPUTED_VALUE"""),2310191)</f>
        <v>2310191</v>
      </c>
      <c r="B1761" s="76" t="str">
        <f ca="1">IFERROR(__xludf.DUMMYFUNCTION("""COMPUTED_VALUE"""),"Холина Александра Дмитриевна")</f>
        <v>Холина Александра Дмитриевна</v>
      </c>
      <c r="C1761" s="75" t="str">
        <f ca="1">IFERROR(__xludf.DUMMYFUNCTION("""COMPUTED_VALUE"""),"Студент")</f>
        <v>Студент</v>
      </c>
    </row>
    <row r="1762" spans="1:3">
      <c r="A1762" s="76">
        <f ca="1">IFERROR(__xludf.DUMMYFUNCTION("""COMPUTED_VALUE"""),2310199)</f>
        <v>2310199</v>
      </c>
      <c r="B1762" s="76" t="str">
        <f ca="1">IFERROR(__xludf.DUMMYFUNCTION("""COMPUTED_VALUE"""),"Меркулов Марсель Аликович")</f>
        <v>Меркулов Марсель Аликович</v>
      </c>
      <c r="C1762" s="75" t="str">
        <f ca="1">IFERROR(__xludf.DUMMYFUNCTION("""COMPUTED_VALUE"""),"Студент")</f>
        <v>Студент</v>
      </c>
    </row>
    <row r="1763" spans="1:3">
      <c r="A1763" s="76">
        <f ca="1">IFERROR(__xludf.DUMMYFUNCTION("""COMPUTED_VALUE"""),2310204)</f>
        <v>2310204</v>
      </c>
      <c r="B1763" s="76" t="str">
        <f ca="1">IFERROR(__xludf.DUMMYFUNCTION("""COMPUTED_VALUE"""),"Игнатова Мария Евгеньевна")</f>
        <v>Игнатова Мария Евгеньевна</v>
      </c>
      <c r="C1763" s="75" t="str">
        <f ca="1">IFERROR(__xludf.DUMMYFUNCTION("""COMPUTED_VALUE"""),"Студент")</f>
        <v>Студент</v>
      </c>
    </row>
    <row r="1764" spans="1:3">
      <c r="A1764" s="76">
        <f ca="1">IFERROR(__xludf.DUMMYFUNCTION("""COMPUTED_VALUE"""),2310208)</f>
        <v>2310208</v>
      </c>
      <c r="B1764" s="76" t="str">
        <f ca="1">IFERROR(__xludf.DUMMYFUNCTION("""COMPUTED_VALUE"""),"Плигунов Илья Сергеевич")</f>
        <v>Плигунов Илья Сергеевич</v>
      </c>
      <c r="C1764" s="75" t="str">
        <f ca="1">IFERROR(__xludf.DUMMYFUNCTION("""COMPUTED_VALUE"""),"Студент")</f>
        <v>Студент</v>
      </c>
    </row>
    <row r="1765" spans="1:3">
      <c r="A1765" s="76">
        <f ca="1">IFERROR(__xludf.DUMMYFUNCTION("""COMPUTED_VALUE"""),2310231)</f>
        <v>2310231</v>
      </c>
      <c r="B1765" s="76" t="str">
        <f ca="1">IFERROR(__xludf.DUMMYFUNCTION("""COMPUTED_VALUE"""),"Чхитунидзе Нино Зурабовна")</f>
        <v>Чхитунидзе Нино Зурабовна</v>
      </c>
      <c r="C1765" s="75" t="str">
        <f ca="1">IFERROR(__xludf.DUMMYFUNCTION("""COMPUTED_VALUE"""),"Студент")</f>
        <v>Студент</v>
      </c>
    </row>
    <row r="1766" spans="1:3">
      <c r="A1766" s="76">
        <f ca="1">IFERROR(__xludf.DUMMYFUNCTION("""COMPUTED_VALUE"""),2310234)</f>
        <v>2310234</v>
      </c>
      <c r="B1766" s="76" t="str">
        <f ca="1">IFERROR(__xludf.DUMMYFUNCTION("""COMPUTED_VALUE"""),"Денищенко Артем Дмитриевич")</f>
        <v>Денищенко Артем Дмитриевич</v>
      </c>
      <c r="C1766" s="75" t="str">
        <f ca="1">IFERROR(__xludf.DUMMYFUNCTION("""COMPUTED_VALUE"""),"Аспирант")</f>
        <v>Аспирант</v>
      </c>
    </row>
    <row r="1767" spans="1:3">
      <c r="A1767" s="76">
        <f ca="1">IFERROR(__xludf.DUMMYFUNCTION("""COMPUTED_VALUE"""),2310242)</f>
        <v>2310242</v>
      </c>
      <c r="B1767" s="76" t="str">
        <f ca="1">IFERROR(__xludf.DUMMYFUNCTION("""COMPUTED_VALUE"""),"Панкратов Максим Анатольевич")</f>
        <v>Панкратов Максим Анатольевич</v>
      </c>
      <c r="C1767" s="75" t="str">
        <f ca="1">IFERROR(__xludf.DUMMYFUNCTION("""COMPUTED_VALUE"""),"Студент")</f>
        <v>Студент</v>
      </c>
    </row>
    <row r="1768" spans="1:3">
      <c r="A1768" s="76">
        <f ca="1">IFERROR(__xludf.DUMMYFUNCTION("""COMPUTED_VALUE"""),2310244)</f>
        <v>2310244</v>
      </c>
      <c r="B1768" s="76" t="str">
        <f ca="1">IFERROR(__xludf.DUMMYFUNCTION("""COMPUTED_VALUE"""),"Павлов Максим Алексеевич")</f>
        <v>Павлов Максим Алексеевич</v>
      </c>
      <c r="C1768" s="75" t="str">
        <f ca="1">IFERROR(__xludf.DUMMYFUNCTION("""COMPUTED_VALUE"""),"Студент")</f>
        <v>Студент</v>
      </c>
    </row>
    <row r="1769" spans="1:3">
      <c r="A1769" s="76">
        <f ca="1">IFERROR(__xludf.DUMMYFUNCTION("""COMPUTED_VALUE"""),2310245)</f>
        <v>2310245</v>
      </c>
      <c r="B1769" s="76" t="str">
        <f ca="1">IFERROR(__xludf.DUMMYFUNCTION("""COMPUTED_VALUE"""),"Карасев Арсений Андреевич")</f>
        <v>Карасев Арсений Андреевич</v>
      </c>
      <c r="C1769" s="75" t="str">
        <f ca="1">IFERROR(__xludf.DUMMYFUNCTION("""COMPUTED_VALUE"""),"Студент")</f>
        <v>Студент</v>
      </c>
    </row>
    <row r="1770" spans="1:3">
      <c r="A1770" s="76">
        <f ca="1">IFERROR(__xludf.DUMMYFUNCTION("""COMPUTED_VALUE"""),2310247)</f>
        <v>2310247</v>
      </c>
      <c r="B1770" s="76" t="str">
        <f ca="1">IFERROR(__xludf.DUMMYFUNCTION("""COMPUTED_VALUE"""),"Рыбаков Роман Ильич")</f>
        <v>Рыбаков Роман Ильич</v>
      </c>
      <c r="C1770" s="75" t="str">
        <f ca="1">IFERROR(__xludf.DUMMYFUNCTION("""COMPUTED_VALUE"""),"Студент")</f>
        <v>Студент</v>
      </c>
    </row>
    <row r="1771" spans="1:3">
      <c r="A1771" s="76">
        <f ca="1">IFERROR(__xludf.DUMMYFUNCTION("""COMPUTED_VALUE"""),2310250)</f>
        <v>2310250</v>
      </c>
      <c r="B1771" s="76" t="str">
        <f ca="1">IFERROR(__xludf.DUMMYFUNCTION("""COMPUTED_VALUE"""),"Турчин Никита Вадимович")</f>
        <v>Турчин Никита Вадимович</v>
      </c>
      <c r="C1771" s="75" t="str">
        <f ca="1">IFERROR(__xludf.DUMMYFUNCTION("""COMPUTED_VALUE"""),"Аспирант")</f>
        <v>Аспирант</v>
      </c>
    </row>
    <row r="1772" spans="1:3">
      <c r="A1772" s="76">
        <f ca="1">IFERROR(__xludf.DUMMYFUNCTION("""COMPUTED_VALUE"""),2310263)</f>
        <v>2310263</v>
      </c>
      <c r="B1772" s="76" t="str">
        <f ca="1">IFERROR(__xludf.DUMMYFUNCTION("""COMPUTED_VALUE"""),"Важенин Егор Владимирович")</f>
        <v>Важенин Егор Владимирович</v>
      </c>
      <c r="C1772" s="75" t="str">
        <f ca="1">IFERROR(__xludf.DUMMYFUNCTION("""COMPUTED_VALUE"""),"Студент")</f>
        <v>Студент</v>
      </c>
    </row>
    <row r="1773" spans="1:3">
      <c r="A1773" s="76">
        <f ca="1">IFERROR(__xludf.DUMMYFUNCTION("""COMPUTED_VALUE"""),2310266)</f>
        <v>2310266</v>
      </c>
      <c r="B1773" s="76" t="str">
        <f ca="1">IFERROR(__xludf.DUMMYFUNCTION("""COMPUTED_VALUE"""),"Подземельный Александр Григорьевич")</f>
        <v>Подземельный Александр Григорьевич</v>
      </c>
      <c r="C1773" s="75" t="str">
        <f ca="1">IFERROR(__xludf.DUMMYFUNCTION("""COMPUTED_VALUE"""),"Студент")</f>
        <v>Студент</v>
      </c>
    </row>
    <row r="1774" spans="1:3">
      <c r="A1774" s="76">
        <f ca="1">IFERROR(__xludf.DUMMYFUNCTION("""COMPUTED_VALUE"""),2310267)</f>
        <v>2310267</v>
      </c>
      <c r="B1774" s="76" t="str">
        <f ca="1">IFERROR(__xludf.DUMMYFUNCTION("""COMPUTED_VALUE"""),"Лукута Евгений Сергеевич")</f>
        <v>Лукута Евгений Сергеевич</v>
      </c>
      <c r="C1774" s="75" t="str">
        <f ca="1">IFERROR(__xludf.DUMMYFUNCTION("""COMPUTED_VALUE"""),"Аспирант")</f>
        <v>Аспирант</v>
      </c>
    </row>
    <row r="1775" spans="1:3">
      <c r="A1775" s="76">
        <f ca="1">IFERROR(__xludf.DUMMYFUNCTION("""COMPUTED_VALUE"""),2310271)</f>
        <v>2310271</v>
      </c>
      <c r="B1775" s="76" t="str">
        <f ca="1">IFERROR(__xludf.DUMMYFUNCTION("""COMPUTED_VALUE"""),"Исраилов Джахангир Маннабаевич")</f>
        <v>Исраилов Джахангир Маннабаевич</v>
      </c>
      <c r="C1775" s="75" t="str">
        <f ca="1">IFERROR(__xludf.DUMMYFUNCTION("""COMPUTED_VALUE"""),"Студент")</f>
        <v>Студент</v>
      </c>
    </row>
    <row r="1776" spans="1:3">
      <c r="A1776" s="76">
        <f ca="1">IFERROR(__xludf.DUMMYFUNCTION("""COMPUTED_VALUE"""),2310280)</f>
        <v>2310280</v>
      </c>
      <c r="B1776" s="76" t="str">
        <f ca="1">IFERROR(__xludf.DUMMYFUNCTION("""COMPUTED_VALUE"""),"Корченкова Дарья Сергеевна")</f>
        <v>Корченкова Дарья Сергеевна</v>
      </c>
      <c r="C1776" s="75" t="str">
        <f ca="1">IFERROR(__xludf.DUMMYFUNCTION("""COMPUTED_VALUE"""),"Студент")</f>
        <v>Студент</v>
      </c>
    </row>
    <row r="1777" spans="1:3">
      <c r="A1777" s="76">
        <f ca="1">IFERROR(__xludf.DUMMYFUNCTION("""COMPUTED_VALUE"""),2310289)</f>
        <v>2310289</v>
      </c>
      <c r="B1777" s="76" t="str">
        <f ca="1">IFERROR(__xludf.DUMMYFUNCTION("""COMPUTED_VALUE"""),"Оздамиров Ахмед Анзорович")</f>
        <v>Оздамиров Ахмед Анзорович</v>
      </c>
      <c r="C1777" s="75" t="str">
        <f ca="1">IFERROR(__xludf.DUMMYFUNCTION("""COMPUTED_VALUE"""),"Студент")</f>
        <v>Студент</v>
      </c>
    </row>
    <row r="1778" spans="1:3">
      <c r="A1778" s="76">
        <f ca="1">IFERROR(__xludf.DUMMYFUNCTION("""COMPUTED_VALUE"""),2310291)</f>
        <v>2310291</v>
      </c>
      <c r="B1778" s="76" t="str">
        <f ca="1">IFERROR(__xludf.DUMMYFUNCTION("""COMPUTED_VALUE"""),"Вигуров Максим Сергеевич")</f>
        <v>Вигуров Максим Сергеевич</v>
      </c>
      <c r="C1778" s="75" t="str">
        <f ca="1">IFERROR(__xludf.DUMMYFUNCTION("""COMPUTED_VALUE"""),"Студент")</f>
        <v>Студент</v>
      </c>
    </row>
    <row r="1779" spans="1:3">
      <c r="A1779" s="76">
        <f ca="1">IFERROR(__xludf.DUMMYFUNCTION("""COMPUTED_VALUE"""),2310293)</f>
        <v>2310293</v>
      </c>
      <c r="B1779" s="76" t="str">
        <f ca="1">IFERROR(__xludf.DUMMYFUNCTION("""COMPUTED_VALUE"""),"Штомпель Даниил Игоревич")</f>
        <v>Штомпель Даниил Игоревич</v>
      </c>
      <c r="C1779" s="75" t="str">
        <f ca="1">IFERROR(__xludf.DUMMYFUNCTION("""COMPUTED_VALUE"""),"Студент")</f>
        <v>Студент</v>
      </c>
    </row>
    <row r="1780" spans="1:3">
      <c r="A1780" s="76">
        <f ca="1">IFERROR(__xludf.DUMMYFUNCTION("""COMPUTED_VALUE"""),2310312)</f>
        <v>2310312</v>
      </c>
      <c r="B1780" s="76" t="str">
        <f ca="1">IFERROR(__xludf.DUMMYFUNCTION("""COMPUTED_VALUE"""),"Корчевский Александр Сергеевич")</f>
        <v>Корчевский Александр Сергеевич</v>
      </c>
      <c r="C1780" s="75" t="str">
        <f ca="1">IFERROR(__xludf.DUMMYFUNCTION("""COMPUTED_VALUE"""),"Студент")</f>
        <v>Студент</v>
      </c>
    </row>
    <row r="1781" spans="1:3">
      <c r="A1781" s="76">
        <f ca="1">IFERROR(__xludf.DUMMYFUNCTION("""COMPUTED_VALUE"""),2310314)</f>
        <v>2310314</v>
      </c>
      <c r="B1781" s="76" t="str">
        <f ca="1">IFERROR(__xludf.DUMMYFUNCTION("""COMPUTED_VALUE"""),"Пристегина Ксения Андреевна")</f>
        <v>Пристегина Ксения Андреевна</v>
      </c>
      <c r="C1781" s="75" t="str">
        <f ca="1">IFERROR(__xludf.DUMMYFUNCTION("""COMPUTED_VALUE"""),"Студент")</f>
        <v>Студент</v>
      </c>
    </row>
    <row r="1782" spans="1:3">
      <c r="A1782" s="76">
        <f ca="1">IFERROR(__xludf.DUMMYFUNCTION("""COMPUTED_VALUE"""),2310322)</f>
        <v>2310322</v>
      </c>
      <c r="B1782" s="76" t="str">
        <f ca="1">IFERROR(__xludf.DUMMYFUNCTION("""COMPUTED_VALUE"""),"Каракашян Артур Артурович")</f>
        <v>Каракашян Артур Артурович</v>
      </c>
      <c r="C1782" s="75" t="str">
        <f ca="1">IFERROR(__xludf.DUMMYFUNCTION("""COMPUTED_VALUE"""),"Студент")</f>
        <v>Студент</v>
      </c>
    </row>
    <row r="1783" spans="1:3">
      <c r="A1783" s="76">
        <f ca="1">IFERROR(__xludf.DUMMYFUNCTION("""COMPUTED_VALUE"""),2310323)</f>
        <v>2310323</v>
      </c>
      <c r="B1783" s="76" t="str">
        <f ca="1">IFERROR(__xludf.DUMMYFUNCTION("""COMPUTED_VALUE"""),"Федоров Пётр Юрьевич")</f>
        <v>Федоров Пётр Юрьевич</v>
      </c>
      <c r="C1783" s="75" t="str">
        <f ca="1">IFERROR(__xludf.DUMMYFUNCTION("""COMPUTED_VALUE"""),"Студент")</f>
        <v>Студент</v>
      </c>
    </row>
    <row r="1784" spans="1:3">
      <c r="A1784" s="76">
        <f ca="1">IFERROR(__xludf.DUMMYFUNCTION("""COMPUTED_VALUE"""),2310327)</f>
        <v>2310327</v>
      </c>
      <c r="B1784" s="76" t="str">
        <f ca="1">IFERROR(__xludf.DUMMYFUNCTION("""COMPUTED_VALUE"""),"Лунгу Сусанна Захариевна")</f>
        <v>Лунгу Сусанна Захариевна</v>
      </c>
      <c r="C1784" s="75" t="str">
        <f ca="1">IFERROR(__xludf.DUMMYFUNCTION("""COMPUTED_VALUE"""),"Студент")</f>
        <v>Студент</v>
      </c>
    </row>
    <row r="1785" spans="1:3">
      <c r="A1785" s="76">
        <f ca="1">IFERROR(__xludf.DUMMYFUNCTION("""COMPUTED_VALUE"""),2310330)</f>
        <v>2310330</v>
      </c>
      <c r="B1785" s="76" t="str">
        <f ca="1">IFERROR(__xludf.DUMMYFUNCTION("""COMPUTED_VALUE"""),"Исаев Роман Анатольевич")</f>
        <v>Исаев Роман Анатольевич</v>
      </c>
      <c r="C1785" s="75" t="str">
        <f ca="1">IFERROR(__xludf.DUMMYFUNCTION("""COMPUTED_VALUE"""),"Аспирант")</f>
        <v>Аспирант</v>
      </c>
    </row>
    <row r="1786" spans="1:3">
      <c r="A1786" s="76">
        <f ca="1">IFERROR(__xludf.DUMMYFUNCTION("""COMPUTED_VALUE"""),2310337)</f>
        <v>2310337</v>
      </c>
      <c r="B1786" s="76" t="str">
        <f ca="1">IFERROR(__xludf.DUMMYFUNCTION("""COMPUTED_VALUE"""),"Иванова Ангелина")</f>
        <v>Иванова Ангелина</v>
      </c>
      <c r="C1786" s="75" t="str">
        <f ca="1">IFERROR(__xludf.DUMMYFUNCTION("""COMPUTED_VALUE"""),"Студент")</f>
        <v>Студент</v>
      </c>
    </row>
    <row r="1787" spans="1:3">
      <c r="A1787" s="76">
        <f ca="1">IFERROR(__xludf.DUMMYFUNCTION("""COMPUTED_VALUE"""),2310339)</f>
        <v>2310339</v>
      </c>
      <c r="B1787" s="76" t="str">
        <f ca="1">IFERROR(__xludf.DUMMYFUNCTION("""COMPUTED_VALUE"""),"Королева Виктория Андреевна")</f>
        <v>Королева Виктория Андреевна</v>
      </c>
      <c r="C1787" s="75" t="str">
        <f ca="1">IFERROR(__xludf.DUMMYFUNCTION("""COMPUTED_VALUE"""),"Студент")</f>
        <v>Студент</v>
      </c>
    </row>
    <row r="1788" spans="1:3">
      <c r="A1788" s="76">
        <f ca="1">IFERROR(__xludf.DUMMYFUNCTION("""COMPUTED_VALUE"""),2310340)</f>
        <v>2310340</v>
      </c>
      <c r="B1788" s="76" t="str">
        <f ca="1">IFERROR(__xludf.DUMMYFUNCTION("""COMPUTED_VALUE"""),"Мокроусова Анна Евгеньевна")</f>
        <v>Мокроусова Анна Евгеньевна</v>
      </c>
      <c r="C1788" s="75" t="str">
        <f ca="1">IFERROR(__xludf.DUMMYFUNCTION("""COMPUTED_VALUE"""),"Студент")</f>
        <v>Студент</v>
      </c>
    </row>
    <row r="1789" spans="1:3">
      <c r="A1789" s="76">
        <f ca="1">IFERROR(__xludf.DUMMYFUNCTION("""COMPUTED_VALUE"""),2310348)</f>
        <v>2310348</v>
      </c>
      <c r="B1789" s="76" t="str">
        <f ca="1">IFERROR(__xludf.DUMMYFUNCTION("""COMPUTED_VALUE"""),"Хайдаров Тимур Бахтиёрович")</f>
        <v>Хайдаров Тимур Бахтиёрович</v>
      </c>
      <c r="C1789" s="75" t="str">
        <f ca="1">IFERROR(__xludf.DUMMYFUNCTION("""COMPUTED_VALUE"""),"Аспирант")</f>
        <v>Аспирант</v>
      </c>
    </row>
    <row r="1790" spans="1:3">
      <c r="A1790" s="76">
        <f ca="1">IFERROR(__xludf.DUMMYFUNCTION("""COMPUTED_VALUE"""),2310362)</f>
        <v>2310362</v>
      </c>
      <c r="B1790" s="76" t="str">
        <f ca="1">IFERROR(__xludf.DUMMYFUNCTION("""COMPUTED_VALUE"""),"Селиховкин Михаил Александрович")</f>
        <v>Селиховкин Михаил Александрович</v>
      </c>
      <c r="C1790" s="75" t="str">
        <f ca="1">IFERROR(__xludf.DUMMYFUNCTION("""COMPUTED_VALUE"""),"Студент")</f>
        <v>Студент</v>
      </c>
    </row>
    <row r="1791" spans="1:3">
      <c r="A1791" s="76">
        <f ca="1">IFERROR(__xludf.DUMMYFUNCTION("""COMPUTED_VALUE"""),2310368)</f>
        <v>2310368</v>
      </c>
      <c r="B1791" s="76" t="str">
        <f ca="1">IFERROR(__xludf.DUMMYFUNCTION("""COMPUTED_VALUE"""),"Турусов Василий Андреевич")</f>
        <v>Турусов Василий Андреевич</v>
      </c>
      <c r="C1791" s="75" t="str">
        <f ca="1">IFERROR(__xludf.DUMMYFUNCTION("""COMPUTED_VALUE"""),"Студент")</f>
        <v>Студент</v>
      </c>
    </row>
    <row r="1792" spans="1:3">
      <c r="A1792" s="76">
        <f ca="1">IFERROR(__xludf.DUMMYFUNCTION("""COMPUTED_VALUE"""),2310371)</f>
        <v>2310371</v>
      </c>
      <c r="B1792" s="76" t="str">
        <f ca="1">IFERROR(__xludf.DUMMYFUNCTION("""COMPUTED_VALUE"""),"Овчинникова Екатерина Сергеевна")</f>
        <v>Овчинникова Екатерина Сергеевна</v>
      </c>
      <c r="C1792" s="75" t="str">
        <f ca="1">IFERROR(__xludf.DUMMYFUNCTION("""COMPUTED_VALUE"""),"Студент")</f>
        <v>Студент</v>
      </c>
    </row>
    <row r="1793" spans="1:3">
      <c r="A1793" s="76">
        <f ca="1">IFERROR(__xludf.DUMMYFUNCTION("""COMPUTED_VALUE"""),2310373)</f>
        <v>2310373</v>
      </c>
      <c r="B1793" s="76" t="str">
        <f ca="1">IFERROR(__xludf.DUMMYFUNCTION("""COMPUTED_VALUE"""),"Латыпов Тимур Ильгамович")</f>
        <v>Латыпов Тимур Ильгамович</v>
      </c>
      <c r="C1793" s="75" t="str">
        <f ca="1">IFERROR(__xludf.DUMMYFUNCTION("""COMPUTED_VALUE"""),"Студент")</f>
        <v>Студент</v>
      </c>
    </row>
    <row r="1794" spans="1:3">
      <c r="A1794" s="76">
        <f ca="1">IFERROR(__xludf.DUMMYFUNCTION("""COMPUTED_VALUE"""),2310376)</f>
        <v>2310376</v>
      </c>
      <c r="B1794" s="76" t="str">
        <f ca="1">IFERROR(__xludf.DUMMYFUNCTION("""COMPUTED_VALUE"""),"Федоров Илья Андреевич")</f>
        <v>Федоров Илья Андреевич</v>
      </c>
      <c r="C1794" s="75" t="str">
        <f ca="1">IFERROR(__xludf.DUMMYFUNCTION("""COMPUTED_VALUE"""),"Студент")</f>
        <v>Студент</v>
      </c>
    </row>
    <row r="1795" spans="1:3">
      <c r="A1795" s="76">
        <f ca="1">IFERROR(__xludf.DUMMYFUNCTION("""COMPUTED_VALUE"""),2310379)</f>
        <v>2310379</v>
      </c>
      <c r="B1795" s="76" t="str">
        <f ca="1">IFERROR(__xludf.DUMMYFUNCTION("""COMPUTED_VALUE"""),"Воеводина Виктория Евгеньевна")</f>
        <v>Воеводина Виктория Евгеньевна</v>
      </c>
      <c r="C1795" s="75" t="str">
        <f ca="1">IFERROR(__xludf.DUMMYFUNCTION("""COMPUTED_VALUE"""),"Студент")</f>
        <v>Студент</v>
      </c>
    </row>
    <row r="1796" spans="1:3">
      <c r="A1796" s="76">
        <f ca="1">IFERROR(__xludf.DUMMYFUNCTION("""COMPUTED_VALUE"""),2310383)</f>
        <v>2310383</v>
      </c>
      <c r="B1796" s="76" t="str">
        <f ca="1">IFERROR(__xludf.DUMMYFUNCTION("""COMPUTED_VALUE"""),"Гомзикова Ангелина Андреевна")</f>
        <v>Гомзикова Ангелина Андреевна</v>
      </c>
      <c r="C1796" s="75" t="str">
        <f ca="1">IFERROR(__xludf.DUMMYFUNCTION("""COMPUTED_VALUE"""),"Студент")</f>
        <v>Студент</v>
      </c>
    </row>
    <row r="1797" spans="1:3">
      <c r="A1797" s="76">
        <f ca="1">IFERROR(__xludf.DUMMYFUNCTION("""COMPUTED_VALUE"""),2310393)</f>
        <v>2310393</v>
      </c>
      <c r="B1797" s="76" t="str">
        <f ca="1">IFERROR(__xludf.DUMMYFUNCTION("""COMPUTED_VALUE"""),"Ризниченко Владимир Владимирович")</f>
        <v>Ризниченко Владимир Владимирович</v>
      </c>
      <c r="C1797" s="75" t="str">
        <f ca="1">IFERROR(__xludf.DUMMYFUNCTION("""COMPUTED_VALUE"""),"Студент")</f>
        <v>Студент</v>
      </c>
    </row>
    <row r="1798" spans="1:3">
      <c r="A1798" s="76">
        <f ca="1">IFERROR(__xludf.DUMMYFUNCTION("""COMPUTED_VALUE"""),2310403)</f>
        <v>2310403</v>
      </c>
      <c r="B1798" s="76" t="str">
        <f ca="1">IFERROR(__xludf.DUMMYFUNCTION("""COMPUTED_VALUE"""),"Жуков Иван Романович")</f>
        <v>Жуков Иван Романович</v>
      </c>
      <c r="C1798" s="75" t="str">
        <f ca="1">IFERROR(__xludf.DUMMYFUNCTION("""COMPUTED_VALUE"""),"Студент")</f>
        <v>Студент</v>
      </c>
    </row>
    <row r="1799" spans="1:3">
      <c r="A1799" s="76">
        <f ca="1">IFERROR(__xludf.DUMMYFUNCTION("""COMPUTED_VALUE"""),2310405)</f>
        <v>2310405</v>
      </c>
      <c r="B1799" s="76" t="str">
        <f ca="1">IFERROR(__xludf.DUMMYFUNCTION("""COMPUTED_VALUE"""),"Тонченко Полина Владимировна")</f>
        <v>Тонченко Полина Владимировна</v>
      </c>
      <c r="C1799" s="75" t="str">
        <f ca="1">IFERROR(__xludf.DUMMYFUNCTION("""COMPUTED_VALUE"""),"Студент")</f>
        <v>Студент</v>
      </c>
    </row>
    <row r="1800" spans="1:3">
      <c r="A1800" s="76">
        <f ca="1">IFERROR(__xludf.DUMMYFUNCTION("""COMPUTED_VALUE"""),2310419)</f>
        <v>2310419</v>
      </c>
      <c r="B1800" s="76" t="str">
        <f ca="1">IFERROR(__xludf.DUMMYFUNCTION("""COMPUTED_VALUE"""),"Плишкин Михаил Дмитриевич")</f>
        <v>Плишкин Михаил Дмитриевич</v>
      </c>
      <c r="C1800" s="75" t="str">
        <f ca="1">IFERROR(__xludf.DUMMYFUNCTION("""COMPUTED_VALUE"""),"Студент")</f>
        <v>Студент</v>
      </c>
    </row>
    <row r="1801" spans="1:3">
      <c r="A1801" s="76">
        <f ca="1">IFERROR(__xludf.DUMMYFUNCTION("""COMPUTED_VALUE"""),2310446)</f>
        <v>2310446</v>
      </c>
      <c r="B1801" s="76" t="str">
        <f ca="1">IFERROR(__xludf.DUMMYFUNCTION("""COMPUTED_VALUE"""),"Сергиенко Диана Дмитриевна")</f>
        <v>Сергиенко Диана Дмитриевна</v>
      </c>
      <c r="C1801" s="75" t="str">
        <f ca="1">IFERROR(__xludf.DUMMYFUNCTION("""COMPUTED_VALUE"""),"Студент")</f>
        <v>Студент</v>
      </c>
    </row>
    <row r="1802" spans="1:3">
      <c r="A1802" s="76">
        <f ca="1">IFERROR(__xludf.DUMMYFUNCTION("""COMPUTED_VALUE"""),2310450)</f>
        <v>2310450</v>
      </c>
      <c r="B1802" s="76" t="str">
        <f ca="1">IFERROR(__xludf.DUMMYFUNCTION("""COMPUTED_VALUE"""),"Актамов Рамеш Уткир угли")</f>
        <v>Актамов Рамеш Уткир угли</v>
      </c>
      <c r="C1802" s="75" t="str">
        <f ca="1">IFERROR(__xludf.DUMMYFUNCTION("""COMPUTED_VALUE"""),"Студент")</f>
        <v>Студент</v>
      </c>
    </row>
    <row r="1803" spans="1:3">
      <c r="A1803" s="76">
        <f ca="1">IFERROR(__xludf.DUMMYFUNCTION("""COMPUTED_VALUE"""),2310452)</f>
        <v>2310452</v>
      </c>
      <c r="B1803" s="76" t="str">
        <f ca="1">IFERROR(__xludf.DUMMYFUNCTION("""COMPUTED_VALUE"""),"Пираков Алимжон Сулаймонович")</f>
        <v>Пираков Алимжон Сулаймонович</v>
      </c>
      <c r="C1803" s="75" t="str">
        <f ca="1">IFERROR(__xludf.DUMMYFUNCTION("""COMPUTED_VALUE"""),"Студент")</f>
        <v>Студент</v>
      </c>
    </row>
    <row r="1804" spans="1:3">
      <c r="A1804" s="76">
        <f ca="1">IFERROR(__xludf.DUMMYFUNCTION("""COMPUTED_VALUE"""),2310476)</f>
        <v>2310476</v>
      </c>
      <c r="B1804" s="76" t="str">
        <f ca="1">IFERROR(__xludf.DUMMYFUNCTION("""COMPUTED_VALUE"""),"Иванов Дмитрий Сергеевич")</f>
        <v>Иванов Дмитрий Сергеевич</v>
      </c>
      <c r="C1804" s="75" t="str">
        <f ca="1">IFERROR(__xludf.DUMMYFUNCTION("""COMPUTED_VALUE"""),"Студент")</f>
        <v>Студент</v>
      </c>
    </row>
    <row r="1805" spans="1:3">
      <c r="A1805" s="76">
        <f ca="1">IFERROR(__xludf.DUMMYFUNCTION("""COMPUTED_VALUE"""),2310477)</f>
        <v>2310477</v>
      </c>
      <c r="B1805" s="76" t="str">
        <f ca="1">IFERROR(__xludf.DUMMYFUNCTION("""COMPUTED_VALUE"""),"Лунева Анастасия Сергеевна")</f>
        <v>Лунева Анастасия Сергеевна</v>
      </c>
      <c r="C1805" s="75" t="str">
        <f ca="1">IFERROR(__xludf.DUMMYFUNCTION("""COMPUTED_VALUE"""),"Студент")</f>
        <v>Студент</v>
      </c>
    </row>
    <row r="1806" spans="1:3">
      <c r="A1806" s="76">
        <f ca="1">IFERROR(__xludf.DUMMYFUNCTION("""COMPUTED_VALUE"""),2310483)</f>
        <v>2310483</v>
      </c>
      <c r="B1806" s="76" t="str">
        <f ca="1">IFERROR(__xludf.DUMMYFUNCTION("""COMPUTED_VALUE"""),"Батян Елизавета Александровна")</f>
        <v>Батян Елизавета Александровна</v>
      </c>
      <c r="C1806" s="75" t="str">
        <f ca="1">IFERROR(__xludf.DUMMYFUNCTION("""COMPUTED_VALUE"""),"Студент")</f>
        <v>Студент</v>
      </c>
    </row>
    <row r="1807" spans="1:3">
      <c r="A1807" s="76">
        <f ca="1">IFERROR(__xludf.DUMMYFUNCTION("""COMPUTED_VALUE"""),2310495)</f>
        <v>2310495</v>
      </c>
      <c r="B1807" s="76" t="str">
        <f ca="1">IFERROR(__xludf.DUMMYFUNCTION("""COMPUTED_VALUE"""),"Миронов Артём Эдуардович")</f>
        <v>Миронов Артём Эдуардович</v>
      </c>
      <c r="C1807" s="75" t="str">
        <f ca="1">IFERROR(__xludf.DUMMYFUNCTION("""COMPUTED_VALUE"""),"Студент")</f>
        <v>Студент</v>
      </c>
    </row>
    <row r="1808" spans="1:3">
      <c r="A1808" s="76">
        <f ca="1">IFERROR(__xludf.DUMMYFUNCTION("""COMPUTED_VALUE"""),2310502)</f>
        <v>2310502</v>
      </c>
      <c r="B1808" s="76" t="str">
        <f ca="1">IFERROR(__xludf.DUMMYFUNCTION("""COMPUTED_VALUE"""),"Дмитрук Михаил Дмитриевич")</f>
        <v>Дмитрук Михаил Дмитриевич</v>
      </c>
      <c r="C1808" s="75" t="str">
        <f ca="1">IFERROR(__xludf.DUMMYFUNCTION("""COMPUTED_VALUE"""),"Студент")</f>
        <v>Студент</v>
      </c>
    </row>
    <row r="1809" spans="1:3">
      <c r="A1809" s="76">
        <f ca="1">IFERROR(__xludf.DUMMYFUNCTION("""COMPUTED_VALUE"""),2310507)</f>
        <v>2310507</v>
      </c>
      <c r="B1809" s="76" t="str">
        <f ca="1">IFERROR(__xludf.DUMMYFUNCTION("""COMPUTED_VALUE"""),"Хихеев Николай Германович")</f>
        <v>Хихеев Николай Германович</v>
      </c>
      <c r="C1809" s="75" t="str">
        <f ca="1">IFERROR(__xludf.DUMMYFUNCTION("""COMPUTED_VALUE"""),"Студент")</f>
        <v>Студент</v>
      </c>
    </row>
    <row r="1810" spans="1:3">
      <c r="A1810" s="76">
        <f ca="1">IFERROR(__xludf.DUMMYFUNCTION("""COMPUTED_VALUE"""),2310520)</f>
        <v>2310520</v>
      </c>
      <c r="B1810" s="76" t="str">
        <f ca="1">IFERROR(__xludf.DUMMYFUNCTION("""COMPUTED_VALUE"""),"Султанбеков Ярослав Александрович")</f>
        <v>Султанбеков Ярослав Александрович</v>
      </c>
      <c r="C1810" s="75" t="str">
        <f ca="1">IFERROR(__xludf.DUMMYFUNCTION("""COMPUTED_VALUE"""),"Студент")</f>
        <v>Студент</v>
      </c>
    </row>
    <row r="1811" spans="1:3">
      <c r="A1811" s="76">
        <f ca="1">IFERROR(__xludf.DUMMYFUNCTION("""COMPUTED_VALUE"""),2310534)</f>
        <v>2310534</v>
      </c>
      <c r="B1811" s="76" t="str">
        <f ca="1">IFERROR(__xludf.DUMMYFUNCTION("""COMPUTED_VALUE"""),"Семишев Егор Александрович")</f>
        <v>Семишев Егор Александрович</v>
      </c>
      <c r="C1811" s="75" t="str">
        <f ca="1">IFERROR(__xludf.DUMMYFUNCTION("""COMPUTED_VALUE"""),"Студент")</f>
        <v>Студент</v>
      </c>
    </row>
    <row r="1812" spans="1:3">
      <c r="A1812" s="76">
        <f ca="1">IFERROR(__xludf.DUMMYFUNCTION("""COMPUTED_VALUE"""),2310541)</f>
        <v>2310541</v>
      </c>
      <c r="B1812" s="76" t="str">
        <f ca="1">IFERROR(__xludf.DUMMYFUNCTION("""COMPUTED_VALUE"""),"Заднипрянец Екатерина Владиславовна")</f>
        <v>Заднипрянец Екатерина Владиславовна</v>
      </c>
      <c r="C1812" s="75" t="str">
        <f ca="1">IFERROR(__xludf.DUMMYFUNCTION("""COMPUTED_VALUE"""),"Студент")</f>
        <v>Студент</v>
      </c>
    </row>
    <row r="1813" spans="1:3">
      <c r="A1813" s="76">
        <f ca="1">IFERROR(__xludf.DUMMYFUNCTION("""COMPUTED_VALUE"""),2310558)</f>
        <v>2310558</v>
      </c>
      <c r="B1813" s="76" t="str">
        <f ca="1">IFERROR(__xludf.DUMMYFUNCTION("""COMPUTED_VALUE"""),"Бурьянская Евгения Львовна")</f>
        <v>Бурьянская Евгения Львовна</v>
      </c>
      <c r="C1813" s="75" t="str">
        <f ca="1">IFERROR(__xludf.DUMMYFUNCTION("""COMPUTED_VALUE"""),"Аспирант")</f>
        <v>Аспирант</v>
      </c>
    </row>
    <row r="1814" spans="1:3">
      <c r="A1814" s="76">
        <f ca="1">IFERROR(__xludf.DUMMYFUNCTION("""COMPUTED_VALUE"""),2310561)</f>
        <v>2310561</v>
      </c>
      <c r="B1814" s="76" t="str">
        <f ca="1">IFERROR(__xludf.DUMMYFUNCTION("""COMPUTED_VALUE"""),"Петров Михаил Максимович")</f>
        <v>Петров Михаил Максимович</v>
      </c>
      <c r="C1814" s="75" t="str">
        <f ca="1">IFERROR(__xludf.DUMMYFUNCTION("""COMPUTED_VALUE"""),"Студент")</f>
        <v>Студент</v>
      </c>
    </row>
    <row r="1815" spans="1:3">
      <c r="A1815" s="76">
        <f ca="1">IFERROR(__xludf.DUMMYFUNCTION("""COMPUTED_VALUE"""),2310563)</f>
        <v>2310563</v>
      </c>
      <c r="B1815" s="76" t="str">
        <f ca="1">IFERROR(__xludf.DUMMYFUNCTION("""COMPUTED_VALUE"""),"Тихомирова Александра Романовна")</f>
        <v>Тихомирова Александра Романовна</v>
      </c>
      <c r="C1815" s="75" t="str">
        <f ca="1">IFERROR(__xludf.DUMMYFUNCTION("""COMPUTED_VALUE"""),"Студент")</f>
        <v>Студент</v>
      </c>
    </row>
    <row r="1816" spans="1:3">
      <c r="A1816" s="76">
        <f ca="1">IFERROR(__xludf.DUMMYFUNCTION("""COMPUTED_VALUE"""),2310566)</f>
        <v>2310566</v>
      </c>
      <c r="B1816" s="76" t="str">
        <f ca="1">IFERROR(__xludf.DUMMYFUNCTION("""COMPUTED_VALUE"""),"Куренкова Екатерина Сергеевна")</f>
        <v>Куренкова Екатерина Сергеевна</v>
      </c>
      <c r="C1816" s="75" t="str">
        <f ca="1">IFERROR(__xludf.DUMMYFUNCTION("""COMPUTED_VALUE"""),"Студент")</f>
        <v>Студент</v>
      </c>
    </row>
    <row r="1817" spans="1:3">
      <c r="A1817" s="76">
        <f ca="1">IFERROR(__xludf.DUMMYFUNCTION("""COMPUTED_VALUE"""),2310567)</f>
        <v>2310567</v>
      </c>
      <c r="B1817" s="76" t="str">
        <f ca="1">IFERROR(__xludf.DUMMYFUNCTION("""COMPUTED_VALUE"""),"Митлигина Софья Павловна")</f>
        <v>Митлигина Софья Павловна</v>
      </c>
      <c r="C1817" s="75" t="str">
        <f ca="1">IFERROR(__xludf.DUMMYFUNCTION("""COMPUTED_VALUE"""),"Студент")</f>
        <v>Студент</v>
      </c>
    </row>
    <row r="1818" spans="1:3">
      <c r="A1818" s="76">
        <f ca="1">IFERROR(__xludf.DUMMYFUNCTION("""COMPUTED_VALUE"""),2310575)</f>
        <v>2310575</v>
      </c>
      <c r="B1818" s="76" t="str">
        <f ca="1">IFERROR(__xludf.DUMMYFUNCTION("""COMPUTED_VALUE"""),"Богомолов Владислав Юрьевич")</f>
        <v>Богомолов Владислав Юрьевич</v>
      </c>
      <c r="C1818" s="75" t="str">
        <f ca="1">IFERROR(__xludf.DUMMYFUNCTION("""COMPUTED_VALUE"""),"Студент")</f>
        <v>Студент</v>
      </c>
    </row>
    <row r="1819" spans="1:3">
      <c r="A1819" s="76">
        <f ca="1">IFERROR(__xludf.DUMMYFUNCTION("""COMPUTED_VALUE"""),2310586)</f>
        <v>2310586</v>
      </c>
      <c r="B1819" s="76" t="str">
        <f ca="1">IFERROR(__xludf.DUMMYFUNCTION("""COMPUTED_VALUE"""),"Зинов Кирилл Андреевич")</f>
        <v>Зинов Кирилл Андреевич</v>
      </c>
      <c r="C1819" s="75" t="str">
        <f ca="1">IFERROR(__xludf.DUMMYFUNCTION("""COMPUTED_VALUE"""),"Студент")</f>
        <v>Студент</v>
      </c>
    </row>
    <row r="1820" spans="1:3">
      <c r="A1820" s="76">
        <f ca="1">IFERROR(__xludf.DUMMYFUNCTION("""COMPUTED_VALUE"""),2310588)</f>
        <v>2310588</v>
      </c>
      <c r="B1820" s="76" t="str">
        <f ca="1">IFERROR(__xludf.DUMMYFUNCTION("""COMPUTED_VALUE"""),"Манеров Лев Станиславович")</f>
        <v>Манеров Лев Станиславович</v>
      </c>
      <c r="C1820" s="75" t="str">
        <f ca="1">IFERROR(__xludf.DUMMYFUNCTION("""COMPUTED_VALUE"""),"Студент")</f>
        <v>Студент</v>
      </c>
    </row>
    <row r="1821" spans="1:3">
      <c r="A1821" s="76">
        <f ca="1">IFERROR(__xludf.DUMMYFUNCTION("""COMPUTED_VALUE"""),2310617)</f>
        <v>2310617</v>
      </c>
      <c r="B1821" s="76" t="str">
        <f ca="1">IFERROR(__xludf.DUMMYFUNCTION("""COMPUTED_VALUE"""),"Блашко Ксения Сергеевна")</f>
        <v>Блашко Ксения Сергеевна</v>
      </c>
      <c r="C1821" s="75" t="str">
        <f ca="1">IFERROR(__xludf.DUMMYFUNCTION("""COMPUTED_VALUE"""),"Студент")</f>
        <v>Студент</v>
      </c>
    </row>
    <row r="1822" spans="1:3">
      <c r="A1822" s="76">
        <f ca="1">IFERROR(__xludf.DUMMYFUNCTION("""COMPUTED_VALUE"""),2310628)</f>
        <v>2310628</v>
      </c>
      <c r="B1822" s="76" t="str">
        <f ca="1">IFERROR(__xludf.DUMMYFUNCTION("""COMPUTED_VALUE"""),"Шпаковский Алексей Эдуардович")</f>
        <v>Шпаковский Алексей Эдуардович</v>
      </c>
      <c r="C1822" s="75" t="str">
        <f ca="1">IFERROR(__xludf.DUMMYFUNCTION("""COMPUTED_VALUE"""),"Студент")</f>
        <v>Студент</v>
      </c>
    </row>
    <row r="1823" spans="1:3">
      <c r="A1823" s="76">
        <f ca="1">IFERROR(__xludf.DUMMYFUNCTION("""COMPUTED_VALUE"""),2310642)</f>
        <v>2310642</v>
      </c>
      <c r="B1823" s="76" t="str">
        <f ca="1">IFERROR(__xludf.DUMMYFUNCTION("""COMPUTED_VALUE"""),"Амелина Мария Александровна")</f>
        <v>Амелина Мария Александровна</v>
      </c>
      <c r="C1823" s="75" t="str">
        <f ca="1">IFERROR(__xludf.DUMMYFUNCTION("""COMPUTED_VALUE"""),"Студент")</f>
        <v>Студент</v>
      </c>
    </row>
    <row r="1824" spans="1:3">
      <c r="A1824" s="76">
        <f ca="1">IFERROR(__xludf.DUMMYFUNCTION("""COMPUTED_VALUE"""),2310648)</f>
        <v>2310648</v>
      </c>
      <c r="B1824" s="76" t="str">
        <f ca="1">IFERROR(__xludf.DUMMYFUNCTION("""COMPUTED_VALUE"""),"Баклашева Ульяна Андреевна")</f>
        <v>Баклашева Ульяна Андреевна</v>
      </c>
      <c r="C1824" s="75" t="str">
        <f ca="1">IFERROR(__xludf.DUMMYFUNCTION("""COMPUTED_VALUE"""),"Студент")</f>
        <v>Студент</v>
      </c>
    </row>
    <row r="1825" spans="1:3">
      <c r="A1825" s="76">
        <f ca="1">IFERROR(__xludf.DUMMYFUNCTION("""COMPUTED_VALUE"""),2310651)</f>
        <v>2310651</v>
      </c>
      <c r="B1825" s="76" t="str">
        <f ca="1">IFERROR(__xludf.DUMMYFUNCTION("""COMPUTED_VALUE"""),"Попов Артём Борисович")</f>
        <v>Попов Артём Борисович</v>
      </c>
      <c r="C1825" s="75" t="str">
        <f ca="1">IFERROR(__xludf.DUMMYFUNCTION("""COMPUTED_VALUE"""),"Студент")</f>
        <v>Студент</v>
      </c>
    </row>
    <row r="1826" spans="1:3">
      <c r="A1826" s="76">
        <f ca="1">IFERROR(__xludf.DUMMYFUNCTION("""COMPUTED_VALUE"""),2310666)</f>
        <v>2310666</v>
      </c>
      <c r="B1826" s="76" t="str">
        <f ca="1">IFERROR(__xludf.DUMMYFUNCTION("""COMPUTED_VALUE"""),"Гладких Анастасия Юрьевна")</f>
        <v>Гладких Анастасия Юрьевна</v>
      </c>
      <c r="C1826" s="75" t="str">
        <f ca="1">IFERROR(__xludf.DUMMYFUNCTION("""COMPUTED_VALUE"""),"Студент")</f>
        <v>Студент</v>
      </c>
    </row>
    <row r="1827" spans="1:3">
      <c r="A1827" s="76">
        <f ca="1">IFERROR(__xludf.DUMMYFUNCTION("""COMPUTED_VALUE"""),2310670)</f>
        <v>2310670</v>
      </c>
      <c r="B1827" s="76" t="str">
        <f ca="1">IFERROR(__xludf.DUMMYFUNCTION("""COMPUTED_VALUE"""),"Честнова Екатерина Александровна")</f>
        <v>Честнова Екатерина Александровна</v>
      </c>
      <c r="C1827" s="75" t="str">
        <f ca="1">IFERROR(__xludf.DUMMYFUNCTION("""COMPUTED_VALUE"""),"Студент")</f>
        <v>Студент</v>
      </c>
    </row>
    <row r="1828" spans="1:3">
      <c r="A1828" s="76">
        <f ca="1">IFERROR(__xludf.DUMMYFUNCTION("""COMPUTED_VALUE"""),2310673)</f>
        <v>2310673</v>
      </c>
      <c r="B1828" s="76" t="str">
        <f ca="1">IFERROR(__xludf.DUMMYFUNCTION("""COMPUTED_VALUE"""),"Мильчаков Дмитрий Александрович")</f>
        <v>Мильчаков Дмитрий Александрович</v>
      </c>
      <c r="C1828" s="75" t="str">
        <f ca="1">IFERROR(__xludf.DUMMYFUNCTION("""COMPUTED_VALUE"""),"Студент")</f>
        <v>Студент</v>
      </c>
    </row>
    <row r="1829" spans="1:3">
      <c r="A1829" s="76">
        <f ca="1">IFERROR(__xludf.DUMMYFUNCTION("""COMPUTED_VALUE"""),2310675)</f>
        <v>2310675</v>
      </c>
      <c r="B1829" s="76" t="str">
        <f ca="1">IFERROR(__xludf.DUMMYFUNCTION("""COMPUTED_VALUE"""),"Плохотнюк Иван Александрович")</f>
        <v>Плохотнюк Иван Александрович</v>
      </c>
      <c r="C1829" s="75" t="str">
        <f ca="1">IFERROR(__xludf.DUMMYFUNCTION("""COMPUTED_VALUE"""),"Студент")</f>
        <v>Студент</v>
      </c>
    </row>
    <row r="1830" spans="1:3">
      <c r="A1830" s="76">
        <f ca="1">IFERROR(__xludf.DUMMYFUNCTION("""COMPUTED_VALUE"""),2310684)</f>
        <v>2310684</v>
      </c>
      <c r="B1830" s="76" t="str">
        <f ca="1">IFERROR(__xludf.DUMMYFUNCTION("""COMPUTED_VALUE"""),"Гальянова Евгения Юрьевна")</f>
        <v>Гальянова Евгения Юрьевна</v>
      </c>
      <c r="C1830" s="75" t="str">
        <f ca="1">IFERROR(__xludf.DUMMYFUNCTION("""COMPUTED_VALUE"""),"Студент")</f>
        <v>Студент</v>
      </c>
    </row>
    <row r="1831" spans="1:3">
      <c r="A1831" s="76">
        <f ca="1">IFERROR(__xludf.DUMMYFUNCTION("""COMPUTED_VALUE"""),2310696)</f>
        <v>2310696</v>
      </c>
      <c r="B1831" s="76" t="str">
        <f ca="1">IFERROR(__xludf.DUMMYFUNCTION("""COMPUTED_VALUE"""),"Султанов Арслан Дамирович")</f>
        <v>Султанов Арслан Дамирович</v>
      </c>
      <c r="C1831" s="75" t="str">
        <f ca="1">IFERROR(__xludf.DUMMYFUNCTION("""COMPUTED_VALUE"""),"Студент")</f>
        <v>Студент</v>
      </c>
    </row>
    <row r="1832" spans="1:3">
      <c r="A1832" s="76">
        <f ca="1">IFERROR(__xludf.DUMMYFUNCTION("""COMPUTED_VALUE"""),2310719)</f>
        <v>2310719</v>
      </c>
      <c r="B1832" s="76" t="str">
        <f ca="1">IFERROR(__xludf.DUMMYFUNCTION("""COMPUTED_VALUE"""),"Гулин Артём Игоревич")</f>
        <v>Гулин Артём Игоревич</v>
      </c>
      <c r="C1832" s="75" t="str">
        <f ca="1">IFERROR(__xludf.DUMMYFUNCTION("""COMPUTED_VALUE"""),"Студент")</f>
        <v>Студент</v>
      </c>
    </row>
    <row r="1833" spans="1:3">
      <c r="A1833" s="76">
        <f ca="1">IFERROR(__xludf.DUMMYFUNCTION("""COMPUTED_VALUE"""),2310722)</f>
        <v>2310722</v>
      </c>
      <c r="B1833" s="76" t="str">
        <f ca="1">IFERROR(__xludf.DUMMYFUNCTION("""COMPUTED_VALUE"""),"Симаков Александр Михайлович")</f>
        <v>Симаков Александр Михайлович</v>
      </c>
      <c r="C1833" s="75" t="str">
        <f ca="1">IFERROR(__xludf.DUMMYFUNCTION("""COMPUTED_VALUE"""),"Аспирант")</f>
        <v>Аспирант</v>
      </c>
    </row>
    <row r="1834" spans="1:3">
      <c r="A1834" s="76">
        <f ca="1">IFERROR(__xludf.DUMMYFUNCTION("""COMPUTED_VALUE"""),2310726)</f>
        <v>2310726</v>
      </c>
      <c r="B1834" s="76" t="str">
        <f ca="1">IFERROR(__xludf.DUMMYFUNCTION("""COMPUTED_VALUE"""),"Григорян Виктория Сергеевна")</f>
        <v>Григорян Виктория Сергеевна</v>
      </c>
      <c r="C1834" s="75" t="str">
        <f ca="1">IFERROR(__xludf.DUMMYFUNCTION("""COMPUTED_VALUE"""),"Студент")</f>
        <v>Студент</v>
      </c>
    </row>
    <row r="1835" spans="1:3">
      <c r="A1835" s="76">
        <f ca="1">IFERROR(__xludf.DUMMYFUNCTION("""COMPUTED_VALUE"""),2310733)</f>
        <v>2310733</v>
      </c>
      <c r="B1835" s="76" t="str">
        <f ca="1">IFERROR(__xludf.DUMMYFUNCTION("""COMPUTED_VALUE"""),"Подопригора Артем Андреевич")</f>
        <v>Подопригора Артем Андреевич</v>
      </c>
      <c r="C1835" s="75" t="str">
        <f ca="1">IFERROR(__xludf.DUMMYFUNCTION("""COMPUTED_VALUE"""),"Студент")</f>
        <v>Студент</v>
      </c>
    </row>
    <row r="1836" spans="1:3">
      <c r="A1836" s="76">
        <f ca="1">IFERROR(__xludf.DUMMYFUNCTION("""COMPUTED_VALUE"""),2310736)</f>
        <v>2310736</v>
      </c>
      <c r="B1836" s="76" t="str">
        <f ca="1">IFERROR(__xludf.DUMMYFUNCTION("""COMPUTED_VALUE"""),"Авазов Рашад Раджабович")</f>
        <v>Авазов Рашад Раджабович</v>
      </c>
      <c r="C1836" s="75" t="str">
        <f ca="1">IFERROR(__xludf.DUMMYFUNCTION("""COMPUTED_VALUE"""),"Студент")</f>
        <v>Студент</v>
      </c>
    </row>
    <row r="1837" spans="1:3">
      <c r="A1837" s="76">
        <f ca="1">IFERROR(__xludf.DUMMYFUNCTION("""COMPUTED_VALUE"""),2310743)</f>
        <v>2310743</v>
      </c>
      <c r="B1837" s="76" t="str">
        <f ca="1">IFERROR(__xludf.DUMMYFUNCTION("""COMPUTED_VALUE"""),"Мякишев Андрей Алексеевич")</f>
        <v>Мякишев Андрей Алексеевич</v>
      </c>
      <c r="C1837" s="75" t="str">
        <f ca="1">IFERROR(__xludf.DUMMYFUNCTION("""COMPUTED_VALUE"""),"Студент")</f>
        <v>Студент</v>
      </c>
    </row>
    <row r="1838" spans="1:3">
      <c r="A1838" s="76">
        <f ca="1">IFERROR(__xludf.DUMMYFUNCTION("""COMPUTED_VALUE"""),2310748)</f>
        <v>2310748</v>
      </c>
      <c r="B1838" s="76" t="str">
        <f ca="1">IFERROR(__xludf.DUMMYFUNCTION("""COMPUTED_VALUE"""),"Шкаревня Любовь Игоревна")</f>
        <v>Шкаревня Любовь Игоревна</v>
      </c>
      <c r="C1838" s="75" t="str">
        <f ca="1">IFERROR(__xludf.DUMMYFUNCTION("""COMPUTED_VALUE"""),"Студент")</f>
        <v>Студент</v>
      </c>
    </row>
    <row r="1839" spans="1:3">
      <c r="A1839" s="76">
        <f ca="1">IFERROR(__xludf.DUMMYFUNCTION("""COMPUTED_VALUE"""),2310758)</f>
        <v>2310758</v>
      </c>
      <c r="B1839" s="76" t="str">
        <f ca="1">IFERROR(__xludf.DUMMYFUNCTION("""COMPUTED_VALUE"""),"Руманова Анна Ильинична")</f>
        <v>Руманова Анна Ильинична</v>
      </c>
      <c r="C1839" s="75" t="str">
        <f ca="1">IFERROR(__xludf.DUMMYFUNCTION("""COMPUTED_VALUE"""),"Студент")</f>
        <v>Студент</v>
      </c>
    </row>
    <row r="1840" spans="1:3">
      <c r="A1840" s="76">
        <f ca="1">IFERROR(__xludf.DUMMYFUNCTION("""COMPUTED_VALUE"""),2310759)</f>
        <v>2310759</v>
      </c>
      <c r="B1840" s="76" t="str">
        <f ca="1">IFERROR(__xludf.DUMMYFUNCTION("""COMPUTED_VALUE"""),"Дарбакова Альмина Григорьевна")</f>
        <v>Дарбакова Альмина Григорьевна</v>
      </c>
      <c r="C1840" s="75" t="str">
        <f ca="1">IFERROR(__xludf.DUMMYFUNCTION("""COMPUTED_VALUE"""),"Студент")</f>
        <v>Студент</v>
      </c>
    </row>
    <row r="1841" spans="1:3">
      <c r="A1841" s="76">
        <f ca="1">IFERROR(__xludf.DUMMYFUNCTION("""COMPUTED_VALUE"""),2310760)</f>
        <v>2310760</v>
      </c>
      <c r="B1841" s="76" t="str">
        <f ca="1">IFERROR(__xludf.DUMMYFUNCTION("""COMPUTED_VALUE"""),"Пищугин Дмитрий Сергеевич")</f>
        <v>Пищугин Дмитрий Сергеевич</v>
      </c>
      <c r="C1841" s="75" t="str">
        <f ca="1">IFERROR(__xludf.DUMMYFUNCTION("""COMPUTED_VALUE"""),"Студент")</f>
        <v>Студент</v>
      </c>
    </row>
    <row r="1842" spans="1:3">
      <c r="A1842" s="76">
        <f ca="1">IFERROR(__xludf.DUMMYFUNCTION("""COMPUTED_VALUE"""),2310763)</f>
        <v>2310763</v>
      </c>
      <c r="B1842" s="76" t="str">
        <f ca="1">IFERROR(__xludf.DUMMYFUNCTION("""COMPUTED_VALUE"""),"Космина Ольга Юрьевна")</f>
        <v>Космина Ольга Юрьевна</v>
      </c>
      <c r="C1842" s="75" t="str">
        <f ca="1">IFERROR(__xludf.DUMMYFUNCTION("""COMPUTED_VALUE"""),"Студент")</f>
        <v>Студент</v>
      </c>
    </row>
    <row r="1843" spans="1:3">
      <c r="A1843" s="76">
        <f ca="1">IFERROR(__xludf.DUMMYFUNCTION("""COMPUTED_VALUE"""),2310768)</f>
        <v>2310768</v>
      </c>
      <c r="B1843" s="76" t="str">
        <f ca="1">IFERROR(__xludf.DUMMYFUNCTION("""COMPUTED_VALUE"""),"Мышкин Аристарх Михайлович")</f>
        <v>Мышкин Аристарх Михайлович</v>
      </c>
      <c r="C1843" s="75" t="str">
        <f ca="1">IFERROR(__xludf.DUMMYFUNCTION("""COMPUTED_VALUE"""),"Студент")</f>
        <v>Студент</v>
      </c>
    </row>
    <row r="1844" spans="1:3">
      <c r="A1844" s="76">
        <f ca="1">IFERROR(__xludf.DUMMYFUNCTION("""COMPUTED_VALUE"""),2310776)</f>
        <v>2310776</v>
      </c>
      <c r="B1844" s="76" t="str">
        <f ca="1">IFERROR(__xludf.DUMMYFUNCTION("""COMPUTED_VALUE"""),"Бурцев Павел Сергеевич")</f>
        <v>Бурцев Павел Сергеевич</v>
      </c>
      <c r="C1844" s="75" t="str">
        <f ca="1">IFERROR(__xludf.DUMMYFUNCTION("""COMPUTED_VALUE"""),"Студент")</f>
        <v>Студент</v>
      </c>
    </row>
    <row r="1845" spans="1:3">
      <c r="A1845" s="76">
        <f ca="1">IFERROR(__xludf.DUMMYFUNCTION("""COMPUTED_VALUE"""),2310784)</f>
        <v>2310784</v>
      </c>
      <c r="B1845" s="76" t="str">
        <f ca="1">IFERROR(__xludf.DUMMYFUNCTION("""COMPUTED_VALUE"""),"Родионова Александра Сергеевна")</f>
        <v>Родионова Александра Сергеевна</v>
      </c>
      <c r="C1845" s="75" t="str">
        <f ca="1">IFERROR(__xludf.DUMMYFUNCTION("""COMPUTED_VALUE"""),"Студент")</f>
        <v>Студент</v>
      </c>
    </row>
    <row r="1846" spans="1:3">
      <c r="A1846" s="76">
        <f ca="1">IFERROR(__xludf.DUMMYFUNCTION("""COMPUTED_VALUE"""),2310785)</f>
        <v>2310785</v>
      </c>
      <c r="B1846" s="76" t="str">
        <f ca="1">IFERROR(__xludf.DUMMYFUNCTION("""COMPUTED_VALUE"""),"Данилина Юлия Ивановна")</f>
        <v>Данилина Юлия Ивановна</v>
      </c>
      <c r="C1846" s="75" t="str">
        <f ca="1">IFERROR(__xludf.DUMMYFUNCTION("""COMPUTED_VALUE"""),"Студент")</f>
        <v>Студент</v>
      </c>
    </row>
    <row r="1847" spans="1:3">
      <c r="A1847" s="76">
        <f ca="1">IFERROR(__xludf.DUMMYFUNCTION("""COMPUTED_VALUE"""),2310788)</f>
        <v>2310788</v>
      </c>
      <c r="B1847" s="76" t="str">
        <f ca="1">IFERROR(__xludf.DUMMYFUNCTION("""COMPUTED_VALUE"""),"Земцов Артем Эдуардович")</f>
        <v>Земцов Артем Эдуардович</v>
      </c>
      <c r="C1847" s="75" t="str">
        <f ca="1">IFERROR(__xludf.DUMMYFUNCTION("""COMPUTED_VALUE"""),"Аспирант")</f>
        <v>Аспирант</v>
      </c>
    </row>
    <row r="1848" spans="1:3">
      <c r="A1848" s="76">
        <f ca="1">IFERROR(__xludf.DUMMYFUNCTION("""COMPUTED_VALUE"""),2310793)</f>
        <v>2310793</v>
      </c>
      <c r="B1848" s="76" t="str">
        <f ca="1">IFERROR(__xludf.DUMMYFUNCTION("""COMPUTED_VALUE"""),"Болотников Антон Александрович")</f>
        <v>Болотников Антон Александрович</v>
      </c>
      <c r="C1848" s="75" t="str">
        <f ca="1">IFERROR(__xludf.DUMMYFUNCTION("""COMPUTED_VALUE"""),"Студент")</f>
        <v>Студент</v>
      </c>
    </row>
    <row r="1849" spans="1:3">
      <c r="A1849" s="76">
        <f ca="1">IFERROR(__xludf.DUMMYFUNCTION("""COMPUTED_VALUE"""),2310800)</f>
        <v>2310800</v>
      </c>
      <c r="B1849" s="76" t="str">
        <f ca="1">IFERROR(__xludf.DUMMYFUNCTION("""COMPUTED_VALUE"""),"Вишнякова Анжелика Александровна")</f>
        <v>Вишнякова Анжелика Александровна</v>
      </c>
      <c r="C1849" s="75" t="str">
        <f ca="1">IFERROR(__xludf.DUMMYFUNCTION("""COMPUTED_VALUE"""),"Студент")</f>
        <v>Студент</v>
      </c>
    </row>
    <row r="1850" spans="1:3">
      <c r="A1850" s="76">
        <f ca="1">IFERROR(__xludf.DUMMYFUNCTION("""COMPUTED_VALUE"""),2310817)</f>
        <v>2310817</v>
      </c>
      <c r="B1850" s="76" t="str">
        <f ca="1">IFERROR(__xludf.DUMMYFUNCTION("""COMPUTED_VALUE"""),"Тепловодская Майя Владимировна")</f>
        <v>Тепловодская Майя Владимировна</v>
      </c>
      <c r="C1850" s="75" t="str">
        <f ca="1">IFERROR(__xludf.DUMMYFUNCTION("""COMPUTED_VALUE"""),"Студент")</f>
        <v>Студент</v>
      </c>
    </row>
    <row r="1851" spans="1:3">
      <c r="A1851" s="76">
        <f ca="1">IFERROR(__xludf.DUMMYFUNCTION("""COMPUTED_VALUE"""),2310818)</f>
        <v>2310818</v>
      </c>
      <c r="B1851" s="76" t="str">
        <f ca="1">IFERROR(__xludf.DUMMYFUNCTION("""COMPUTED_VALUE"""),"Сенинг Елизавета Романовна")</f>
        <v>Сенинг Елизавета Романовна</v>
      </c>
      <c r="C1851" s="75" t="str">
        <f ca="1">IFERROR(__xludf.DUMMYFUNCTION("""COMPUTED_VALUE"""),"Студент")</f>
        <v>Студент</v>
      </c>
    </row>
    <row r="1852" spans="1:3">
      <c r="A1852" s="76">
        <f ca="1">IFERROR(__xludf.DUMMYFUNCTION("""COMPUTED_VALUE"""),2310820)</f>
        <v>2310820</v>
      </c>
      <c r="B1852" s="76" t="str">
        <f ca="1">IFERROR(__xludf.DUMMYFUNCTION("""COMPUTED_VALUE"""),"Теплюк Максим Андреевич")</f>
        <v>Теплюк Максим Андреевич</v>
      </c>
      <c r="C1852" s="75" t="str">
        <f ca="1">IFERROR(__xludf.DUMMYFUNCTION("""COMPUTED_VALUE"""),"Студент")</f>
        <v>Студент</v>
      </c>
    </row>
    <row r="1853" spans="1:3">
      <c r="A1853" s="76">
        <f ca="1">IFERROR(__xludf.DUMMYFUNCTION("""COMPUTED_VALUE"""),2310832)</f>
        <v>2310832</v>
      </c>
      <c r="B1853" s="76" t="str">
        <f ca="1">IFERROR(__xludf.DUMMYFUNCTION("""COMPUTED_VALUE"""),"Гончаров Данил Алексеевич")</f>
        <v>Гончаров Данил Алексеевич</v>
      </c>
      <c r="C1853" s="75" t="str">
        <f ca="1">IFERROR(__xludf.DUMMYFUNCTION("""COMPUTED_VALUE"""),"Студент")</f>
        <v>Студент</v>
      </c>
    </row>
    <row r="1854" spans="1:3">
      <c r="A1854" s="76">
        <f ca="1">IFERROR(__xludf.DUMMYFUNCTION("""COMPUTED_VALUE"""),2310835)</f>
        <v>2310835</v>
      </c>
      <c r="B1854" s="76" t="str">
        <f ca="1">IFERROR(__xludf.DUMMYFUNCTION("""COMPUTED_VALUE"""),"Кожухов Александр Алексеевич")</f>
        <v>Кожухов Александр Алексеевич</v>
      </c>
      <c r="C1854" s="75" t="str">
        <f ca="1">IFERROR(__xludf.DUMMYFUNCTION("""COMPUTED_VALUE"""),"Студент")</f>
        <v>Студент</v>
      </c>
    </row>
    <row r="1855" spans="1:3">
      <c r="A1855" s="76">
        <f ca="1">IFERROR(__xludf.DUMMYFUNCTION("""COMPUTED_VALUE"""),2310839)</f>
        <v>2310839</v>
      </c>
      <c r="B1855" s="76" t="str">
        <f ca="1">IFERROR(__xludf.DUMMYFUNCTION("""COMPUTED_VALUE"""),"Толстобров Данила Игоревич")</f>
        <v>Толстобров Данила Игоревич</v>
      </c>
      <c r="C1855" s="75" t="str">
        <f ca="1">IFERROR(__xludf.DUMMYFUNCTION("""COMPUTED_VALUE"""),"Студент")</f>
        <v>Студент</v>
      </c>
    </row>
    <row r="1856" spans="1:3">
      <c r="A1856" s="76">
        <f ca="1">IFERROR(__xludf.DUMMYFUNCTION("""COMPUTED_VALUE"""),2310842)</f>
        <v>2310842</v>
      </c>
      <c r="B1856" s="76" t="str">
        <f ca="1">IFERROR(__xludf.DUMMYFUNCTION("""COMPUTED_VALUE"""),"Пушкова Анастасия Дмитриевна")</f>
        <v>Пушкова Анастасия Дмитриевна</v>
      </c>
      <c r="C1856" s="75" t="str">
        <f ca="1">IFERROR(__xludf.DUMMYFUNCTION("""COMPUTED_VALUE"""),"Студент")</f>
        <v>Студент</v>
      </c>
    </row>
    <row r="1857" spans="1:3">
      <c r="A1857" s="76">
        <f ca="1">IFERROR(__xludf.DUMMYFUNCTION("""COMPUTED_VALUE"""),2310844)</f>
        <v>2310844</v>
      </c>
      <c r="B1857" s="76" t="str">
        <f ca="1">IFERROR(__xludf.DUMMYFUNCTION("""COMPUTED_VALUE"""),"Попцов Максим Сергеевич")</f>
        <v>Попцов Максим Сергеевич</v>
      </c>
      <c r="C1857" s="75" t="str">
        <f ca="1">IFERROR(__xludf.DUMMYFUNCTION("""COMPUTED_VALUE"""),"Студент")</f>
        <v>Студент</v>
      </c>
    </row>
    <row r="1858" spans="1:3">
      <c r="A1858" s="76">
        <f ca="1">IFERROR(__xludf.DUMMYFUNCTION("""COMPUTED_VALUE"""),2310869)</f>
        <v>2310869</v>
      </c>
      <c r="B1858" s="76" t="str">
        <f ca="1">IFERROR(__xludf.DUMMYFUNCTION("""COMPUTED_VALUE"""),"Зиядиева Камиля Раильевна")</f>
        <v>Зиядиева Камиля Раильевна</v>
      </c>
      <c r="C1858" s="75" t="str">
        <f ca="1">IFERROR(__xludf.DUMMYFUNCTION("""COMPUTED_VALUE"""),"Студент")</f>
        <v>Студент</v>
      </c>
    </row>
    <row r="1859" spans="1:3">
      <c r="A1859" s="76">
        <f ca="1">IFERROR(__xludf.DUMMYFUNCTION("""COMPUTED_VALUE"""),2310878)</f>
        <v>2310878</v>
      </c>
      <c r="B1859" s="76" t="str">
        <f ca="1">IFERROR(__xludf.DUMMYFUNCTION("""COMPUTED_VALUE"""),"Беспалов Вениамин Сергеевич")</f>
        <v>Беспалов Вениамин Сергеевич</v>
      </c>
      <c r="C1859" s="75" t="str">
        <f ca="1">IFERROR(__xludf.DUMMYFUNCTION("""COMPUTED_VALUE"""),"Студент")</f>
        <v>Студент</v>
      </c>
    </row>
    <row r="1860" spans="1:3">
      <c r="A1860" s="76">
        <f ca="1">IFERROR(__xludf.DUMMYFUNCTION("""COMPUTED_VALUE"""),2310882)</f>
        <v>2310882</v>
      </c>
      <c r="B1860" s="76" t="str">
        <f ca="1">IFERROR(__xludf.DUMMYFUNCTION("""COMPUTED_VALUE"""),"Лашек Александра Юрьевна")</f>
        <v>Лашек Александра Юрьевна</v>
      </c>
      <c r="C1860" s="75" t="str">
        <f ca="1">IFERROR(__xludf.DUMMYFUNCTION("""COMPUTED_VALUE"""),"Студент")</f>
        <v>Студент</v>
      </c>
    </row>
    <row r="1861" spans="1:3">
      <c r="A1861" s="76">
        <f ca="1">IFERROR(__xludf.DUMMYFUNCTION("""COMPUTED_VALUE"""),2310883)</f>
        <v>2310883</v>
      </c>
      <c r="B1861" s="76" t="str">
        <f ca="1">IFERROR(__xludf.DUMMYFUNCTION("""COMPUTED_VALUE"""),"Орлов Александр Дмитриевич")</f>
        <v>Орлов Александр Дмитриевич</v>
      </c>
      <c r="C1861" s="75" t="str">
        <f ca="1">IFERROR(__xludf.DUMMYFUNCTION("""COMPUTED_VALUE"""),"Студент")</f>
        <v>Студент</v>
      </c>
    </row>
    <row r="1862" spans="1:3">
      <c r="A1862" s="76">
        <f ca="1">IFERROR(__xludf.DUMMYFUNCTION("""COMPUTED_VALUE"""),2310894)</f>
        <v>2310894</v>
      </c>
      <c r="B1862" s="76" t="str">
        <f ca="1">IFERROR(__xludf.DUMMYFUNCTION("""COMPUTED_VALUE"""),"Шеймин Никита Артёмович")</f>
        <v>Шеймин Никита Артёмович</v>
      </c>
      <c r="C1862" s="75" t="str">
        <f ca="1">IFERROR(__xludf.DUMMYFUNCTION("""COMPUTED_VALUE"""),"Студент")</f>
        <v>Студент</v>
      </c>
    </row>
    <row r="1863" spans="1:3">
      <c r="A1863" s="76">
        <f ca="1">IFERROR(__xludf.DUMMYFUNCTION("""COMPUTED_VALUE"""),2310896)</f>
        <v>2310896</v>
      </c>
      <c r="B1863" s="76" t="str">
        <f ca="1">IFERROR(__xludf.DUMMYFUNCTION("""COMPUTED_VALUE"""),"Марченко Татьяна Антоновна")</f>
        <v>Марченко Татьяна Антоновна</v>
      </c>
      <c r="C1863" s="75" t="str">
        <f ca="1">IFERROR(__xludf.DUMMYFUNCTION("""COMPUTED_VALUE"""),"Аспирант")</f>
        <v>Аспирант</v>
      </c>
    </row>
    <row r="1864" spans="1:3">
      <c r="A1864" s="76">
        <f ca="1">IFERROR(__xludf.DUMMYFUNCTION("""COMPUTED_VALUE"""),2310899)</f>
        <v>2310899</v>
      </c>
      <c r="B1864" s="76" t="str">
        <f ca="1">IFERROR(__xludf.DUMMYFUNCTION("""COMPUTED_VALUE"""),"Селезнёв Денис Николаевич")</f>
        <v>Селезнёв Денис Николаевич</v>
      </c>
      <c r="C1864" s="75" t="str">
        <f ca="1">IFERROR(__xludf.DUMMYFUNCTION("""COMPUTED_VALUE"""),"Студент")</f>
        <v>Студент</v>
      </c>
    </row>
    <row r="1865" spans="1:3">
      <c r="A1865" s="76">
        <f ca="1">IFERROR(__xludf.DUMMYFUNCTION("""COMPUTED_VALUE"""),2310908)</f>
        <v>2310908</v>
      </c>
      <c r="B1865" s="76" t="str">
        <f ca="1">IFERROR(__xludf.DUMMYFUNCTION("""COMPUTED_VALUE"""),"Барков Никита Сергеевич")</f>
        <v>Барков Никита Сергеевич</v>
      </c>
      <c r="C1865" s="75" t="str">
        <f ca="1">IFERROR(__xludf.DUMMYFUNCTION("""COMPUTED_VALUE"""),"Студент")</f>
        <v>Студент</v>
      </c>
    </row>
    <row r="1866" spans="1:3">
      <c r="A1866" s="76">
        <f ca="1">IFERROR(__xludf.DUMMYFUNCTION("""COMPUTED_VALUE"""),2310912)</f>
        <v>2310912</v>
      </c>
      <c r="B1866" s="76" t="str">
        <f ca="1">IFERROR(__xludf.DUMMYFUNCTION("""COMPUTED_VALUE"""),"Корнилова Екатерина Михайловна")</f>
        <v>Корнилова Екатерина Михайловна</v>
      </c>
      <c r="C1866" s="75" t="str">
        <f ca="1">IFERROR(__xludf.DUMMYFUNCTION("""COMPUTED_VALUE"""),"Студент")</f>
        <v>Студент</v>
      </c>
    </row>
    <row r="1867" spans="1:3">
      <c r="A1867" s="76">
        <f ca="1">IFERROR(__xludf.DUMMYFUNCTION("""COMPUTED_VALUE"""),2310921)</f>
        <v>2310921</v>
      </c>
      <c r="B1867" s="76" t="str">
        <f ca="1">IFERROR(__xludf.DUMMYFUNCTION("""COMPUTED_VALUE"""),"Осокина Варвара Денисовна")</f>
        <v>Осокина Варвара Денисовна</v>
      </c>
      <c r="C1867" s="75" t="str">
        <f ca="1">IFERROR(__xludf.DUMMYFUNCTION("""COMPUTED_VALUE"""),"Студент")</f>
        <v>Студент</v>
      </c>
    </row>
    <row r="1868" spans="1:3">
      <c r="A1868" s="76">
        <f ca="1">IFERROR(__xludf.DUMMYFUNCTION("""COMPUTED_VALUE"""),2310930)</f>
        <v>2310930</v>
      </c>
      <c r="B1868" s="76" t="str">
        <f ca="1">IFERROR(__xludf.DUMMYFUNCTION("""COMPUTED_VALUE"""),"Попов Дмитрий Вячеславович")</f>
        <v>Попов Дмитрий Вячеславович</v>
      </c>
      <c r="C1868" s="75" t="str">
        <f ca="1">IFERROR(__xludf.DUMMYFUNCTION("""COMPUTED_VALUE"""),"Студент")</f>
        <v>Студент</v>
      </c>
    </row>
    <row r="1869" spans="1:3">
      <c r="A1869" s="76">
        <f ca="1">IFERROR(__xludf.DUMMYFUNCTION("""COMPUTED_VALUE"""),2310933)</f>
        <v>2310933</v>
      </c>
      <c r="B1869" s="76" t="str">
        <f ca="1">IFERROR(__xludf.DUMMYFUNCTION("""COMPUTED_VALUE"""),"Поляков Федор Алексеевич")</f>
        <v>Поляков Федор Алексеевич</v>
      </c>
      <c r="C1869" s="75" t="str">
        <f ca="1">IFERROR(__xludf.DUMMYFUNCTION("""COMPUTED_VALUE"""),"Аспирант")</f>
        <v>Аспирант</v>
      </c>
    </row>
    <row r="1870" spans="1:3">
      <c r="A1870" s="76">
        <f ca="1">IFERROR(__xludf.DUMMYFUNCTION("""COMPUTED_VALUE"""),2310938)</f>
        <v>2310938</v>
      </c>
      <c r="B1870" s="76" t="str">
        <f ca="1">IFERROR(__xludf.DUMMYFUNCTION("""COMPUTED_VALUE"""),"Галинурова Дарья Марселевна")</f>
        <v>Галинурова Дарья Марселевна</v>
      </c>
      <c r="C1870" s="75" t="str">
        <f ca="1">IFERROR(__xludf.DUMMYFUNCTION("""COMPUTED_VALUE"""),"Студент")</f>
        <v>Студент</v>
      </c>
    </row>
    <row r="1871" spans="1:3">
      <c r="A1871" s="76">
        <f ca="1">IFERROR(__xludf.DUMMYFUNCTION("""COMPUTED_VALUE"""),2310939)</f>
        <v>2310939</v>
      </c>
      <c r="B1871" s="76" t="str">
        <f ca="1">IFERROR(__xludf.DUMMYFUNCTION("""COMPUTED_VALUE"""),"Груздев Антон Сергеевич")</f>
        <v>Груздев Антон Сергеевич</v>
      </c>
      <c r="C1871" s="75" t="str">
        <f ca="1">IFERROR(__xludf.DUMMYFUNCTION("""COMPUTED_VALUE"""),"Студент")</f>
        <v>Студент</v>
      </c>
    </row>
    <row r="1872" spans="1:3">
      <c r="A1872" s="76">
        <f ca="1">IFERROR(__xludf.DUMMYFUNCTION("""COMPUTED_VALUE"""),2310943)</f>
        <v>2310943</v>
      </c>
      <c r="B1872" s="76" t="str">
        <f ca="1">IFERROR(__xludf.DUMMYFUNCTION("""COMPUTED_VALUE"""),"Яворская Анастасия Андреевна")</f>
        <v>Яворская Анастасия Андреевна</v>
      </c>
      <c r="C1872" s="75" t="str">
        <f ca="1">IFERROR(__xludf.DUMMYFUNCTION("""COMPUTED_VALUE"""),"Студент")</f>
        <v>Студент</v>
      </c>
    </row>
    <row r="1873" spans="1:3">
      <c r="A1873" s="76">
        <f ca="1">IFERROR(__xludf.DUMMYFUNCTION("""COMPUTED_VALUE"""),2310954)</f>
        <v>2310954</v>
      </c>
      <c r="B1873" s="76" t="str">
        <f ca="1">IFERROR(__xludf.DUMMYFUNCTION("""COMPUTED_VALUE"""),"Фролова Светлана Алексеевна")</f>
        <v>Фролова Светлана Алексеевна</v>
      </c>
      <c r="C1873" s="75" t="str">
        <f ca="1">IFERROR(__xludf.DUMMYFUNCTION("""COMPUTED_VALUE"""),"Студент")</f>
        <v>Студент</v>
      </c>
    </row>
    <row r="1874" spans="1:3">
      <c r="A1874" s="76">
        <f ca="1">IFERROR(__xludf.DUMMYFUNCTION("""COMPUTED_VALUE"""),2310958)</f>
        <v>2310958</v>
      </c>
      <c r="B1874" s="76" t="str">
        <f ca="1">IFERROR(__xludf.DUMMYFUNCTION("""COMPUTED_VALUE"""),"Фаизов Данис Ильгизович")</f>
        <v>Фаизов Данис Ильгизович</v>
      </c>
      <c r="C1874" s="75" t="str">
        <f ca="1">IFERROR(__xludf.DUMMYFUNCTION("""COMPUTED_VALUE"""),"Студент")</f>
        <v>Студент</v>
      </c>
    </row>
    <row r="1875" spans="1:3">
      <c r="A1875" s="76">
        <f ca="1">IFERROR(__xludf.DUMMYFUNCTION("""COMPUTED_VALUE"""),2310960)</f>
        <v>2310960</v>
      </c>
      <c r="B1875" s="76" t="str">
        <f ca="1">IFERROR(__xludf.DUMMYFUNCTION("""COMPUTED_VALUE"""),"Талалина Марина Игоревна")</f>
        <v>Талалина Марина Игоревна</v>
      </c>
      <c r="C1875" s="75" t="str">
        <f ca="1">IFERROR(__xludf.DUMMYFUNCTION("""COMPUTED_VALUE"""),"Студент")</f>
        <v>Студент</v>
      </c>
    </row>
    <row r="1876" spans="1:3">
      <c r="A1876" s="76">
        <f ca="1">IFERROR(__xludf.DUMMYFUNCTION("""COMPUTED_VALUE"""),2310966)</f>
        <v>2310966</v>
      </c>
      <c r="B1876" s="76" t="str">
        <f ca="1">IFERROR(__xludf.DUMMYFUNCTION("""COMPUTED_VALUE"""),"Малышева Ольга Алексеевна")</f>
        <v>Малышева Ольга Алексеевна</v>
      </c>
      <c r="C1876" s="75" t="str">
        <f ca="1">IFERROR(__xludf.DUMMYFUNCTION("""COMPUTED_VALUE"""),"Студент")</f>
        <v>Студент</v>
      </c>
    </row>
    <row r="1877" spans="1:3">
      <c r="A1877" s="76">
        <f ca="1">IFERROR(__xludf.DUMMYFUNCTION("""COMPUTED_VALUE"""),2310969)</f>
        <v>2310969</v>
      </c>
      <c r="B1877" s="76" t="str">
        <f ca="1">IFERROR(__xludf.DUMMYFUNCTION("""COMPUTED_VALUE"""),"Гаврин Артём Денисович")</f>
        <v>Гаврин Артём Денисович</v>
      </c>
      <c r="C1877" s="75" t="str">
        <f ca="1">IFERROR(__xludf.DUMMYFUNCTION("""COMPUTED_VALUE"""),"Студент")</f>
        <v>Студент</v>
      </c>
    </row>
    <row r="1878" spans="1:3">
      <c r="A1878" s="76">
        <f ca="1">IFERROR(__xludf.DUMMYFUNCTION("""COMPUTED_VALUE"""),2310977)</f>
        <v>2310977</v>
      </c>
      <c r="B1878" s="76" t="str">
        <f ca="1">IFERROR(__xludf.DUMMYFUNCTION("""COMPUTED_VALUE"""),"Бердикулова Динора Фарходовна")</f>
        <v>Бердикулова Динора Фарходовна</v>
      </c>
      <c r="C1878" s="75" t="str">
        <f ca="1">IFERROR(__xludf.DUMMYFUNCTION("""COMPUTED_VALUE"""),"Студент")</f>
        <v>Студент</v>
      </c>
    </row>
    <row r="1879" spans="1:3">
      <c r="A1879" s="76">
        <f ca="1">IFERROR(__xludf.DUMMYFUNCTION("""COMPUTED_VALUE"""),2310980)</f>
        <v>2310980</v>
      </c>
      <c r="B1879" s="76" t="str">
        <f ca="1">IFERROR(__xludf.DUMMYFUNCTION("""COMPUTED_VALUE"""),"Полякова Юлия Андреевна")</f>
        <v>Полякова Юлия Андреевна</v>
      </c>
      <c r="C1879" s="75" t="str">
        <f ca="1">IFERROR(__xludf.DUMMYFUNCTION("""COMPUTED_VALUE"""),"Студент")</f>
        <v>Студент</v>
      </c>
    </row>
    <row r="1880" spans="1:3">
      <c r="A1880" s="76">
        <f ca="1">IFERROR(__xludf.DUMMYFUNCTION("""COMPUTED_VALUE"""),2310989)</f>
        <v>2310989</v>
      </c>
      <c r="B1880" s="76" t="str">
        <f ca="1">IFERROR(__xludf.DUMMYFUNCTION("""COMPUTED_VALUE"""),"Горин Денис Васильевич")</f>
        <v>Горин Денис Васильевич</v>
      </c>
      <c r="C1880" s="75" t="str">
        <f ca="1">IFERROR(__xludf.DUMMYFUNCTION("""COMPUTED_VALUE"""),"Студент")</f>
        <v>Студент</v>
      </c>
    </row>
    <row r="1881" spans="1:3">
      <c r="A1881" s="76">
        <f ca="1">IFERROR(__xludf.DUMMYFUNCTION("""COMPUTED_VALUE"""),2310990)</f>
        <v>2310990</v>
      </c>
      <c r="B1881" s="76" t="str">
        <f ca="1">IFERROR(__xludf.DUMMYFUNCTION("""COMPUTED_VALUE"""),"Николаев Егор Андреевич")</f>
        <v>Николаев Егор Андреевич</v>
      </c>
      <c r="C1881" s="75" t="str">
        <f ca="1">IFERROR(__xludf.DUMMYFUNCTION("""COMPUTED_VALUE"""),"Студент")</f>
        <v>Студент</v>
      </c>
    </row>
    <row r="1882" spans="1:3">
      <c r="A1882" s="76">
        <f ca="1">IFERROR(__xludf.DUMMYFUNCTION("""COMPUTED_VALUE"""),2310992)</f>
        <v>2310992</v>
      </c>
      <c r="B1882" s="76" t="str">
        <f ca="1">IFERROR(__xludf.DUMMYFUNCTION("""COMPUTED_VALUE"""),"Моклакова Кристина Сергеевна")</f>
        <v>Моклакова Кристина Сергеевна</v>
      </c>
      <c r="C1882" s="75" t="str">
        <f ca="1">IFERROR(__xludf.DUMMYFUNCTION("""COMPUTED_VALUE"""),"Студент")</f>
        <v>Студент</v>
      </c>
    </row>
    <row r="1883" spans="1:3">
      <c r="A1883" s="76">
        <f ca="1">IFERROR(__xludf.DUMMYFUNCTION("""COMPUTED_VALUE"""),2310993)</f>
        <v>2310993</v>
      </c>
      <c r="B1883" s="76" t="str">
        <f ca="1">IFERROR(__xludf.DUMMYFUNCTION("""COMPUTED_VALUE"""),"Ржакова Софья Евгеньевна")</f>
        <v>Ржакова Софья Евгеньевна</v>
      </c>
      <c r="C1883" s="75" t="str">
        <f ca="1">IFERROR(__xludf.DUMMYFUNCTION("""COMPUTED_VALUE"""),"Студент")</f>
        <v>Студент</v>
      </c>
    </row>
    <row r="1884" spans="1:3">
      <c r="A1884" s="76">
        <f ca="1">IFERROR(__xludf.DUMMYFUNCTION("""COMPUTED_VALUE"""),2311001)</f>
        <v>2311001</v>
      </c>
      <c r="B1884" s="76" t="str">
        <f ca="1">IFERROR(__xludf.DUMMYFUNCTION("""COMPUTED_VALUE"""),"Шилова Яна Владимировна")</f>
        <v>Шилова Яна Владимировна</v>
      </c>
      <c r="C1884" s="75" t="str">
        <f ca="1">IFERROR(__xludf.DUMMYFUNCTION("""COMPUTED_VALUE"""),"Студент")</f>
        <v>Студент</v>
      </c>
    </row>
    <row r="1885" spans="1:3">
      <c r="A1885" s="76">
        <f ca="1">IFERROR(__xludf.DUMMYFUNCTION("""COMPUTED_VALUE"""),2311002)</f>
        <v>2311002</v>
      </c>
      <c r="B1885" s="76" t="str">
        <f ca="1">IFERROR(__xludf.DUMMYFUNCTION("""COMPUTED_VALUE"""),"Баженов Константин Эдуардович")</f>
        <v>Баженов Константин Эдуардович</v>
      </c>
      <c r="C1885" s="75" t="str">
        <f ca="1">IFERROR(__xludf.DUMMYFUNCTION("""COMPUTED_VALUE"""),"Студент")</f>
        <v>Студент</v>
      </c>
    </row>
    <row r="1886" spans="1:3">
      <c r="A1886" s="76">
        <f ca="1">IFERROR(__xludf.DUMMYFUNCTION("""COMPUTED_VALUE"""),2311003)</f>
        <v>2311003</v>
      </c>
      <c r="B1886" s="76" t="str">
        <f ca="1">IFERROR(__xludf.DUMMYFUNCTION("""COMPUTED_VALUE"""),"Федунь Богдан Владимирович")</f>
        <v>Федунь Богдан Владимирович</v>
      </c>
      <c r="C1886" s="75" t="str">
        <f ca="1">IFERROR(__xludf.DUMMYFUNCTION("""COMPUTED_VALUE"""),"Студент")</f>
        <v>Студент</v>
      </c>
    </row>
    <row r="1887" spans="1:3">
      <c r="A1887" s="76">
        <f ca="1">IFERROR(__xludf.DUMMYFUNCTION("""COMPUTED_VALUE"""),2311012)</f>
        <v>2311012</v>
      </c>
      <c r="B1887" s="76" t="str">
        <f ca="1">IFERROR(__xludf.DUMMYFUNCTION("""COMPUTED_VALUE"""),"Суров Дмитрий Игоревич")</f>
        <v>Суров Дмитрий Игоревич</v>
      </c>
      <c r="C1887" s="75" t="str">
        <f ca="1">IFERROR(__xludf.DUMMYFUNCTION("""COMPUTED_VALUE"""),"Аспирант")</f>
        <v>Аспирант</v>
      </c>
    </row>
    <row r="1888" spans="1:3">
      <c r="A1888" s="76">
        <f ca="1">IFERROR(__xludf.DUMMYFUNCTION("""COMPUTED_VALUE"""),2311020)</f>
        <v>2311020</v>
      </c>
      <c r="B1888" s="76" t="str">
        <f ca="1">IFERROR(__xludf.DUMMYFUNCTION("""COMPUTED_VALUE"""),"Узлов Даниил Юрьевич")</f>
        <v>Узлов Даниил Юрьевич</v>
      </c>
      <c r="C1888" s="75" t="str">
        <f ca="1">IFERROR(__xludf.DUMMYFUNCTION("""COMPUTED_VALUE"""),"Студент")</f>
        <v>Студент</v>
      </c>
    </row>
    <row r="1889" spans="1:3">
      <c r="A1889" s="76">
        <f ca="1">IFERROR(__xludf.DUMMYFUNCTION("""COMPUTED_VALUE"""),2311021)</f>
        <v>2311021</v>
      </c>
      <c r="B1889" s="76" t="str">
        <f ca="1">IFERROR(__xludf.DUMMYFUNCTION("""COMPUTED_VALUE"""),"Кузьмин Александр Александрович")</f>
        <v>Кузьмин Александр Александрович</v>
      </c>
      <c r="C1889" s="75" t="str">
        <f ca="1">IFERROR(__xludf.DUMMYFUNCTION("""COMPUTED_VALUE"""),"Студент")</f>
        <v>Студент</v>
      </c>
    </row>
    <row r="1890" spans="1:3">
      <c r="A1890" s="76">
        <f ca="1">IFERROR(__xludf.DUMMYFUNCTION("""COMPUTED_VALUE"""),2311025)</f>
        <v>2311025</v>
      </c>
      <c r="B1890" s="76" t="str">
        <f ca="1">IFERROR(__xludf.DUMMYFUNCTION("""COMPUTED_VALUE"""),"Иванова Дарья Сергеевна")</f>
        <v>Иванова Дарья Сергеевна</v>
      </c>
      <c r="C1890" s="75" t="str">
        <f ca="1">IFERROR(__xludf.DUMMYFUNCTION("""COMPUTED_VALUE"""),"Студент")</f>
        <v>Студент</v>
      </c>
    </row>
    <row r="1891" spans="1:3">
      <c r="A1891" s="76">
        <f ca="1">IFERROR(__xludf.DUMMYFUNCTION("""COMPUTED_VALUE"""),2311060)</f>
        <v>2311060</v>
      </c>
      <c r="B1891" s="76" t="str">
        <f ca="1">IFERROR(__xludf.DUMMYFUNCTION("""COMPUTED_VALUE"""),"Моисеев Денис Андреевич")</f>
        <v>Моисеев Денис Андреевич</v>
      </c>
      <c r="C1891" s="75" t="str">
        <f ca="1">IFERROR(__xludf.DUMMYFUNCTION("""COMPUTED_VALUE"""),"Студент")</f>
        <v>Студент</v>
      </c>
    </row>
    <row r="1892" spans="1:3">
      <c r="A1892" s="76">
        <f ca="1">IFERROR(__xludf.DUMMYFUNCTION("""COMPUTED_VALUE"""),2311065)</f>
        <v>2311065</v>
      </c>
      <c r="B1892" s="76" t="str">
        <f ca="1">IFERROR(__xludf.DUMMYFUNCTION("""COMPUTED_VALUE"""),"Челбанов Данзан Павлович")</f>
        <v>Челбанов Данзан Павлович</v>
      </c>
      <c r="C1892" s="75" t="str">
        <f ca="1">IFERROR(__xludf.DUMMYFUNCTION("""COMPUTED_VALUE"""),"Студент")</f>
        <v>Студент</v>
      </c>
    </row>
    <row r="1893" spans="1:3">
      <c r="A1893" s="76">
        <f ca="1">IFERROR(__xludf.DUMMYFUNCTION("""COMPUTED_VALUE"""),2311070)</f>
        <v>2311070</v>
      </c>
      <c r="B1893" s="76" t="str">
        <f ca="1">IFERROR(__xludf.DUMMYFUNCTION("""COMPUTED_VALUE"""),"Андреева Ия Ильинична")</f>
        <v>Андреева Ия Ильинична</v>
      </c>
      <c r="C1893" s="75" t="str">
        <f ca="1">IFERROR(__xludf.DUMMYFUNCTION("""COMPUTED_VALUE"""),"Студент")</f>
        <v>Студент</v>
      </c>
    </row>
    <row r="1894" spans="1:3">
      <c r="A1894" s="76">
        <f ca="1">IFERROR(__xludf.DUMMYFUNCTION("""COMPUTED_VALUE"""),2311074)</f>
        <v>2311074</v>
      </c>
      <c r="B1894" s="76" t="str">
        <f ca="1">IFERROR(__xludf.DUMMYFUNCTION("""COMPUTED_VALUE"""),"Варнавская Дарья Сергеевна")</f>
        <v>Варнавская Дарья Сергеевна</v>
      </c>
      <c r="C1894" s="75" t="str">
        <f ca="1">IFERROR(__xludf.DUMMYFUNCTION("""COMPUTED_VALUE"""),"Студент")</f>
        <v>Студент</v>
      </c>
    </row>
    <row r="1895" spans="1:3">
      <c r="A1895" s="76">
        <f ca="1">IFERROR(__xludf.DUMMYFUNCTION("""COMPUTED_VALUE"""),2311084)</f>
        <v>2311084</v>
      </c>
      <c r="B1895" s="76" t="str">
        <f ca="1">IFERROR(__xludf.DUMMYFUNCTION("""COMPUTED_VALUE"""),"Осипова Алена Валерьевна")</f>
        <v>Осипова Алена Валерьевна</v>
      </c>
      <c r="C1895" s="75" t="str">
        <f ca="1">IFERROR(__xludf.DUMMYFUNCTION("""COMPUTED_VALUE"""),"Студент")</f>
        <v>Студент</v>
      </c>
    </row>
    <row r="1896" spans="1:3">
      <c r="A1896" s="76">
        <f ca="1">IFERROR(__xludf.DUMMYFUNCTION("""COMPUTED_VALUE"""),2311085)</f>
        <v>2311085</v>
      </c>
      <c r="B1896" s="76" t="str">
        <f ca="1">IFERROR(__xludf.DUMMYFUNCTION("""COMPUTED_VALUE"""),"Рохаталиев Комронбек Рохатали угли")</f>
        <v>Рохаталиев Комронбек Рохатали угли</v>
      </c>
      <c r="C1896" s="75" t="str">
        <f ca="1">IFERROR(__xludf.DUMMYFUNCTION("""COMPUTED_VALUE"""),"Студент")</f>
        <v>Студент</v>
      </c>
    </row>
    <row r="1897" spans="1:3">
      <c r="A1897" s="76">
        <f ca="1">IFERROR(__xludf.DUMMYFUNCTION("""COMPUTED_VALUE"""),2311087)</f>
        <v>2311087</v>
      </c>
      <c r="B1897" s="76" t="str">
        <f ca="1">IFERROR(__xludf.DUMMYFUNCTION("""COMPUTED_VALUE"""),"Чухно Анастасия Александровна")</f>
        <v>Чухно Анастасия Александровна</v>
      </c>
      <c r="C1897" s="75" t="str">
        <f ca="1">IFERROR(__xludf.DUMMYFUNCTION("""COMPUTED_VALUE"""),"Студент")</f>
        <v>Студент</v>
      </c>
    </row>
    <row r="1898" spans="1:3">
      <c r="A1898" s="76">
        <f ca="1">IFERROR(__xludf.DUMMYFUNCTION("""COMPUTED_VALUE"""),2311093)</f>
        <v>2311093</v>
      </c>
      <c r="B1898" s="76" t="str">
        <f ca="1">IFERROR(__xludf.DUMMYFUNCTION("""COMPUTED_VALUE"""),"Калмыкова Виктория Павловна")</f>
        <v>Калмыкова Виктория Павловна</v>
      </c>
      <c r="C1898" s="75" t="str">
        <f ca="1">IFERROR(__xludf.DUMMYFUNCTION("""COMPUTED_VALUE"""),"Студент")</f>
        <v>Студент</v>
      </c>
    </row>
    <row r="1899" spans="1:3">
      <c r="A1899" s="76">
        <f ca="1">IFERROR(__xludf.DUMMYFUNCTION("""COMPUTED_VALUE"""),2311097)</f>
        <v>2311097</v>
      </c>
      <c r="B1899" s="76" t="str">
        <f ca="1">IFERROR(__xludf.DUMMYFUNCTION("""COMPUTED_VALUE"""),"Юдин Данила Игоревич")</f>
        <v>Юдин Данила Игоревич</v>
      </c>
      <c r="C1899" s="75" t="str">
        <f ca="1">IFERROR(__xludf.DUMMYFUNCTION("""COMPUTED_VALUE"""),"Студент")</f>
        <v>Студент</v>
      </c>
    </row>
    <row r="1900" spans="1:3">
      <c r="A1900" s="76">
        <f ca="1">IFERROR(__xludf.DUMMYFUNCTION("""COMPUTED_VALUE"""),2311103)</f>
        <v>2311103</v>
      </c>
      <c r="B1900" s="76" t="str">
        <f ca="1">IFERROR(__xludf.DUMMYFUNCTION("""COMPUTED_VALUE"""),"Юлаев Евгений Артурович")</f>
        <v>Юлаев Евгений Артурович</v>
      </c>
      <c r="C1900" s="75" t="str">
        <f ca="1">IFERROR(__xludf.DUMMYFUNCTION("""COMPUTED_VALUE"""),"Студент")</f>
        <v>Студент</v>
      </c>
    </row>
    <row r="1901" spans="1:3">
      <c r="A1901" s="76">
        <f ca="1">IFERROR(__xludf.DUMMYFUNCTION("""COMPUTED_VALUE"""),2311117)</f>
        <v>2311117</v>
      </c>
      <c r="B1901" s="76" t="str">
        <f ca="1">IFERROR(__xludf.DUMMYFUNCTION("""COMPUTED_VALUE"""),"Тюхова Мария Петровна")</f>
        <v>Тюхова Мария Петровна</v>
      </c>
      <c r="C1901" s="75" t="str">
        <f ca="1">IFERROR(__xludf.DUMMYFUNCTION("""COMPUTED_VALUE"""),"Аспирант")</f>
        <v>Аспирант</v>
      </c>
    </row>
    <row r="1902" spans="1:3">
      <c r="A1902" s="76">
        <f ca="1">IFERROR(__xludf.DUMMYFUNCTION("""COMPUTED_VALUE"""),2311119)</f>
        <v>2311119</v>
      </c>
      <c r="B1902" s="76" t="str">
        <f ca="1">IFERROR(__xludf.DUMMYFUNCTION("""COMPUTED_VALUE"""),"Горяник Евгений Юрьевич")</f>
        <v>Горяник Евгений Юрьевич</v>
      </c>
      <c r="C1902" s="75" t="str">
        <f ca="1">IFERROR(__xludf.DUMMYFUNCTION("""COMPUTED_VALUE"""),"Студент")</f>
        <v>Студент</v>
      </c>
    </row>
    <row r="1903" spans="1:3">
      <c r="A1903" s="76">
        <f ca="1">IFERROR(__xludf.DUMMYFUNCTION("""COMPUTED_VALUE"""),2311132)</f>
        <v>2311132</v>
      </c>
      <c r="B1903" s="76" t="str">
        <f ca="1">IFERROR(__xludf.DUMMYFUNCTION("""COMPUTED_VALUE"""),"Мисинева Елизавета Владимировна")</f>
        <v>Мисинева Елизавета Владимировна</v>
      </c>
      <c r="C1903" s="75" t="str">
        <f ca="1">IFERROR(__xludf.DUMMYFUNCTION("""COMPUTED_VALUE"""),"Аспирант")</f>
        <v>Аспирант</v>
      </c>
    </row>
    <row r="1904" spans="1:3">
      <c r="A1904" s="76">
        <f ca="1">IFERROR(__xludf.DUMMYFUNCTION("""COMPUTED_VALUE"""),2311139)</f>
        <v>2311139</v>
      </c>
      <c r="B1904" s="76" t="str">
        <f ca="1">IFERROR(__xludf.DUMMYFUNCTION("""COMPUTED_VALUE"""),"Булавко Кристина Владимировна")</f>
        <v>Булавко Кристина Владимировна</v>
      </c>
      <c r="C1904" s="75" t="str">
        <f ca="1">IFERROR(__xludf.DUMMYFUNCTION("""COMPUTED_VALUE"""),"Студент")</f>
        <v>Студент</v>
      </c>
    </row>
    <row r="1905" spans="1:3">
      <c r="A1905" s="76">
        <f ca="1">IFERROR(__xludf.DUMMYFUNCTION("""COMPUTED_VALUE"""),2311142)</f>
        <v>2311142</v>
      </c>
      <c r="B1905" s="76" t="str">
        <f ca="1">IFERROR(__xludf.DUMMYFUNCTION("""COMPUTED_VALUE"""),"Калмыков Матвей Дмитриевич")</f>
        <v>Калмыков Матвей Дмитриевич</v>
      </c>
      <c r="C1905" s="75" t="str">
        <f ca="1">IFERROR(__xludf.DUMMYFUNCTION("""COMPUTED_VALUE"""),"Отчислен")</f>
        <v>Отчислен</v>
      </c>
    </row>
    <row r="1906" spans="1:3">
      <c r="A1906" s="76">
        <f ca="1">IFERROR(__xludf.DUMMYFUNCTION("""COMPUTED_VALUE"""),2311147)</f>
        <v>2311147</v>
      </c>
      <c r="B1906" s="76" t="str">
        <f ca="1">IFERROR(__xludf.DUMMYFUNCTION("""COMPUTED_VALUE"""),"Исламов Рафаэль Тагирович")</f>
        <v>Исламов Рафаэль Тагирович</v>
      </c>
      <c r="C1906" s="75" t="str">
        <f ca="1">IFERROR(__xludf.DUMMYFUNCTION("""COMPUTED_VALUE"""),"Студент")</f>
        <v>Студент</v>
      </c>
    </row>
    <row r="1907" spans="1:3">
      <c r="A1907" s="76">
        <f ca="1">IFERROR(__xludf.DUMMYFUNCTION("""COMPUTED_VALUE"""),2311149)</f>
        <v>2311149</v>
      </c>
      <c r="B1907" s="76" t="str">
        <f ca="1">IFERROR(__xludf.DUMMYFUNCTION("""COMPUTED_VALUE"""),"Денисова Виктория Дмитриевна")</f>
        <v>Денисова Виктория Дмитриевна</v>
      </c>
      <c r="C1907" s="75" t="str">
        <f ca="1">IFERROR(__xludf.DUMMYFUNCTION("""COMPUTED_VALUE"""),"Студент")</f>
        <v>Студент</v>
      </c>
    </row>
    <row r="1908" spans="1:3">
      <c r="A1908" s="76">
        <f ca="1">IFERROR(__xludf.DUMMYFUNCTION("""COMPUTED_VALUE"""),2311152)</f>
        <v>2311152</v>
      </c>
      <c r="B1908" s="76" t="str">
        <f ca="1">IFERROR(__xludf.DUMMYFUNCTION("""COMPUTED_VALUE"""),"Глазов Владислав Сергеевич")</f>
        <v>Глазов Владислав Сергеевич</v>
      </c>
      <c r="C1908" s="75" t="str">
        <f ca="1">IFERROR(__xludf.DUMMYFUNCTION("""COMPUTED_VALUE"""),"Студент")</f>
        <v>Студент</v>
      </c>
    </row>
    <row r="1909" spans="1:3">
      <c r="A1909" s="76">
        <f ca="1">IFERROR(__xludf.DUMMYFUNCTION("""COMPUTED_VALUE"""),2311158)</f>
        <v>2311158</v>
      </c>
      <c r="B1909" s="76" t="str">
        <f ca="1">IFERROR(__xludf.DUMMYFUNCTION("""COMPUTED_VALUE"""),"Ахметов Данияр Сулейманович")</f>
        <v>Ахметов Данияр Сулейманович</v>
      </c>
      <c r="C1909" s="75" t="str">
        <f ca="1">IFERROR(__xludf.DUMMYFUNCTION("""COMPUTED_VALUE"""),"Студент")</f>
        <v>Студент</v>
      </c>
    </row>
    <row r="1910" spans="1:3">
      <c r="A1910" s="76">
        <f ca="1">IFERROR(__xludf.DUMMYFUNCTION("""COMPUTED_VALUE"""),2311166)</f>
        <v>2311166</v>
      </c>
      <c r="B1910" s="76" t="str">
        <f ca="1">IFERROR(__xludf.DUMMYFUNCTION("""COMPUTED_VALUE"""),"Ярославцева Дарья Олеговна")</f>
        <v>Ярославцева Дарья Олеговна</v>
      </c>
      <c r="C1910" s="75" t="str">
        <f ca="1">IFERROR(__xludf.DUMMYFUNCTION("""COMPUTED_VALUE"""),"Студент")</f>
        <v>Студент</v>
      </c>
    </row>
    <row r="1911" spans="1:3">
      <c r="A1911" s="76">
        <f ca="1">IFERROR(__xludf.DUMMYFUNCTION("""COMPUTED_VALUE"""),2311173)</f>
        <v>2311173</v>
      </c>
      <c r="B1911" s="76" t="str">
        <f ca="1">IFERROR(__xludf.DUMMYFUNCTION("""COMPUTED_VALUE"""),"Голубев Максим Дмитриевич")</f>
        <v>Голубев Максим Дмитриевич</v>
      </c>
      <c r="C1911" s="75" t="str">
        <f ca="1">IFERROR(__xludf.DUMMYFUNCTION("""COMPUTED_VALUE"""),"Студент")</f>
        <v>Студент</v>
      </c>
    </row>
    <row r="1912" spans="1:3">
      <c r="A1912" s="76">
        <f ca="1">IFERROR(__xludf.DUMMYFUNCTION("""COMPUTED_VALUE"""),2311176)</f>
        <v>2311176</v>
      </c>
      <c r="B1912" s="76" t="str">
        <f ca="1">IFERROR(__xludf.DUMMYFUNCTION("""COMPUTED_VALUE"""),"Андреева Анна Алексеевна")</f>
        <v>Андреева Анна Алексеевна</v>
      </c>
      <c r="C1912" s="75" t="str">
        <f ca="1">IFERROR(__xludf.DUMMYFUNCTION("""COMPUTED_VALUE"""),"Студент")</f>
        <v>Студент</v>
      </c>
    </row>
    <row r="1913" spans="1:3">
      <c r="A1913" s="76">
        <f ca="1">IFERROR(__xludf.DUMMYFUNCTION("""COMPUTED_VALUE"""),2311177)</f>
        <v>2311177</v>
      </c>
      <c r="B1913" s="76" t="str">
        <f ca="1">IFERROR(__xludf.DUMMYFUNCTION("""COMPUTED_VALUE"""),"Баландина Анастасия Павловна")</f>
        <v>Баландина Анастасия Павловна</v>
      </c>
      <c r="C1913" s="75" t="str">
        <f ca="1">IFERROR(__xludf.DUMMYFUNCTION("""COMPUTED_VALUE"""),"Студент")</f>
        <v>Студент</v>
      </c>
    </row>
    <row r="1914" spans="1:3">
      <c r="A1914" s="76">
        <f ca="1">IFERROR(__xludf.DUMMYFUNCTION("""COMPUTED_VALUE"""),2311180)</f>
        <v>2311180</v>
      </c>
      <c r="B1914" s="76" t="str">
        <f ca="1">IFERROR(__xludf.DUMMYFUNCTION("""COMPUTED_VALUE"""),"Усманов Дилшод Хидиралиевич")</f>
        <v>Усманов Дилшод Хидиралиевич</v>
      </c>
      <c r="C1914" s="75" t="str">
        <f ca="1">IFERROR(__xludf.DUMMYFUNCTION("""COMPUTED_VALUE"""),"Студент")</f>
        <v>Студент</v>
      </c>
    </row>
    <row r="1915" spans="1:3">
      <c r="A1915" s="76">
        <f ca="1">IFERROR(__xludf.DUMMYFUNCTION("""COMPUTED_VALUE"""),2311182)</f>
        <v>2311182</v>
      </c>
      <c r="B1915" s="76" t="str">
        <f ca="1">IFERROR(__xludf.DUMMYFUNCTION("""COMPUTED_VALUE"""),"Королев Данил Алексеевич")</f>
        <v>Королев Данил Алексеевич</v>
      </c>
      <c r="C1915" s="75" t="str">
        <f ca="1">IFERROR(__xludf.DUMMYFUNCTION("""COMPUTED_VALUE"""),"Студент")</f>
        <v>Студент</v>
      </c>
    </row>
    <row r="1916" spans="1:3">
      <c r="A1916" s="76">
        <f ca="1">IFERROR(__xludf.DUMMYFUNCTION("""COMPUTED_VALUE"""),2311191)</f>
        <v>2311191</v>
      </c>
      <c r="B1916" s="76" t="str">
        <f ca="1">IFERROR(__xludf.DUMMYFUNCTION("""COMPUTED_VALUE"""),"Какадей Софья Ильинична")</f>
        <v>Какадей Софья Ильинична</v>
      </c>
      <c r="C1916" s="75" t="str">
        <f ca="1">IFERROR(__xludf.DUMMYFUNCTION("""COMPUTED_VALUE"""),"Студент")</f>
        <v>Студент</v>
      </c>
    </row>
    <row r="1917" spans="1:3">
      <c r="A1917" s="76">
        <f ca="1">IFERROR(__xludf.DUMMYFUNCTION("""COMPUTED_VALUE"""),2311194)</f>
        <v>2311194</v>
      </c>
      <c r="B1917" s="76" t="str">
        <f ca="1">IFERROR(__xludf.DUMMYFUNCTION("""COMPUTED_VALUE"""),"Поддубнова Ксения Викторовна")</f>
        <v>Поддубнова Ксения Викторовна</v>
      </c>
      <c r="C1917" s="75" t="str">
        <f ca="1">IFERROR(__xludf.DUMMYFUNCTION("""COMPUTED_VALUE"""),"Студент")</f>
        <v>Студент</v>
      </c>
    </row>
    <row r="1918" spans="1:3">
      <c r="A1918" s="76">
        <f ca="1">IFERROR(__xludf.DUMMYFUNCTION("""COMPUTED_VALUE"""),2311195)</f>
        <v>2311195</v>
      </c>
      <c r="B1918" s="76" t="str">
        <f ca="1">IFERROR(__xludf.DUMMYFUNCTION("""COMPUTED_VALUE"""),"Пыргаева Анастасия Сергеевна")</f>
        <v>Пыргаева Анастасия Сергеевна</v>
      </c>
      <c r="C1918" s="75" t="str">
        <f ca="1">IFERROR(__xludf.DUMMYFUNCTION("""COMPUTED_VALUE"""),"Студент")</f>
        <v>Студент</v>
      </c>
    </row>
    <row r="1919" spans="1:3">
      <c r="A1919" s="76">
        <f ca="1">IFERROR(__xludf.DUMMYFUNCTION("""COMPUTED_VALUE"""),2311199)</f>
        <v>2311199</v>
      </c>
      <c r="B1919" s="76" t="str">
        <f ca="1">IFERROR(__xludf.DUMMYFUNCTION("""COMPUTED_VALUE"""),"Михайлов Андрей Олегович")</f>
        <v>Михайлов Андрей Олегович</v>
      </c>
      <c r="C1919" s="75" t="str">
        <f ca="1">IFERROR(__xludf.DUMMYFUNCTION("""COMPUTED_VALUE"""),"Студент")</f>
        <v>Студент</v>
      </c>
    </row>
    <row r="1920" spans="1:3">
      <c r="A1920" s="76">
        <f ca="1">IFERROR(__xludf.DUMMYFUNCTION("""COMPUTED_VALUE"""),2311201)</f>
        <v>2311201</v>
      </c>
      <c r="B1920" s="76" t="str">
        <f ca="1">IFERROR(__xludf.DUMMYFUNCTION("""COMPUTED_VALUE"""),"Павлов Андрей Александрович")</f>
        <v>Павлов Андрей Александрович</v>
      </c>
      <c r="C1920" s="75" t="str">
        <f ca="1">IFERROR(__xludf.DUMMYFUNCTION("""COMPUTED_VALUE"""),"Студент")</f>
        <v>Студент</v>
      </c>
    </row>
    <row r="1921" spans="1:3">
      <c r="A1921" s="76">
        <f ca="1">IFERROR(__xludf.DUMMYFUNCTION("""COMPUTED_VALUE"""),2311203)</f>
        <v>2311203</v>
      </c>
      <c r="B1921" s="76" t="str">
        <f ca="1">IFERROR(__xludf.DUMMYFUNCTION("""COMPUTED_VALUE"""),"Шаблыгин Михаил Максимович")</f>
        <v>Шаблыгин Михаил Максимович</v>
      </c>
      <c r="C1921" s="75" t="str">
        <f ca="1">IFERROR(__xludf.DUMMYFUNCTION("""COMPUTED_VALUE"""),"Студент")</f>
        <v>Студент</v>
      </c>
    </row>
    <row r="1922" spans="1:3">
      <c r="A1922" s="76">
        <f ca="1">IFERROR(__xludf.DUMMYFUNCTION("""COMPUTED_VALUE"""),2311214)</f>
        <v>2311214</v>
      </c>
      <c r="B1922" s="76" t="str">
        <f ca="1">IFERROR(__xludf.DUMMYFUNCTION("""COMPUTED_VALUE"""),"Патока Дарья Романовна")</f>
        <v>Патока Дарья Романовна</v>
      </c>
      <c r="C1922" s="75" t="str">
        <f ca="1">IFERROR(__xludf.DUMMYFUNCTION("""COMPUTED_VALUE"""),"Студент")</f>
        <v>Студент</v>
      </c>
    </row>
    <row r="1923" spans="1:3">
      <c r="A1923" s="76">
        <f ca="1">IFERROR(__xludf.DUMMYFUNCTION("""COMPUTED_VALUE"""),2311221)</f>
        <v>2311221</v>
      </c>
      <c r="B1923" s="76" t="str">
        <f ca="1">IFERROR(__xludf.DUMMYFUNCTION("""COMPUTED_VALUE"""),"Мунзаферова Наиля Эльдаровна")</f>
        <v>Мунзаферова Наиля Эльдаровна</v>
      </c>
      <c r="C1923" s="75" t="str">
        <f ca="1">IFERROR(__xludf.DUMMYFUNCTION("""COMPUTED_VALUE"""),"Студент")</f>
        <v>Студент</v>
      </c>
    </row>
    <row r="1924" spans="1:3">
      <c r="A1924" s="76">
        <f ca="1">IFERROR(__xludf.DUMMYFUNCTION("""COMPUTED_VALUE"""),2311224)</f>
        <v>2311224</v>
      </c>
      <c r="B1924" s="76" t="str">
        <f ca="1">IFERROR(__xludf.DUMMYFUNCTION("""COMPUTED_VALUE"""),"Шакаршоев Давид Мазхабшоевич")</f>
        <v>Шакаршоев Давид Мазхабшоевич</v>
      </c>
      <c r="C1924" s="75" t="str">
        <f ca="1">IFERROR(__xludf.DUMMYFUNCTION("""COMPUTED_VALUE"""),"Студент")</f>
        <v>Студент</v>
      </c>
    </row>
    <row r="1925" spans="1:3">
      <c r="A1925" s="76">
        <f ca="1">IFERROR(__xludf.DUMMYFUNCTION("""COMPUTED_VALUE"""),2311235)</f>
        <v>2311235</v>
      </c>
      <c r="B1925" s="76" t="str">
        <f ca="1">IFERROR(__xludf.DUMMYFUNCTION("""COMPUTED_VALUE"""),"Трухачева Дарья Юрьевна")</f>
        <v>Трухачева Дарья Юрьевна</v>
      </c>
      <c r="C1925" s="75" t="str">
        <f ca="1">IFERROR(__xludf.DUMMYFUNCTION("""COMPUTED_VALUE"""),"Аспирант")</f>
        <v>Аспирант</v>
      </c>
    </row>
    <row r="1926" spans="1:3">
      <c r="A1926" s="76">
        <f ca="1">IFERROR(__xludf.DUMMYFUNCTION("""COMPUTED_VALUE"""),2311236)</f>
        <v>2311236</v>
      </c>
      <c r="B1926" s="76" t="str">
        <f ca="1">IFERROR(__xludf.DUMMYFUNCTION("""COMPUTED_VALUE"""),"Флегонтов Владислав Артемович")</f>
        <v>Флегонтов Владислав Артемович</v>
      </c>
      <c r="C1926" s="75" t="str">
        <f ca="1">IFERROR(__xludf.DUMMYFUNCTION("""COMPUTED_VALUE"""),"Студент")</f>
        <v>Студент</v>
      </c>
    </row>
    <row r="1927" spans="1:3">
      <c r="A1927" s="76">
        <f ca="1">IFERROR(__xludf.DUMMYFUNCTION("""COMPUTED_VALUE"""),2311240)</f>
        <v>2311240</v>
      </c>
      <c r="B1927" s="76" t="str">
        <f ca="1">IFERROR(__xludf.DUMMYFUNCTION("""COMPUTED_VALUE"""),"Солоницын Артем Романович")</f>
        <v>Солоницын Артем Романович</v>
      </c>
      <c r="C1927" s="75" t="str">
        <f ca="1">IFERROR(__xludf.DUMMYFUNCTION("""COMPUTED_VALUE"""),"Студент")</f>
        <v>Студент</v>
      </c>
    </row>
    <row r="1928" spans="1:3">
      <c r="A1928" s="76">
        <f ca="1">IFERROR(__xludf.DUMMYFUNCTION("""COMPUTED_VALUE"""),2311251)</f>
        <v>2311251</v>
      </c>
      <c r="B1928" s="76" t="str">
        <f ca="1">IFERROR(__xludf.DUMMYFUNCTION("""COMPUTED_VALUE"""),"Жигмитова Бутид Баировна")</f>
        <v>Жигмитова Бутид Баировна</v>
      </c>
      <c r="C1928" s="75" t="str">
        <f ca="1">IFERROR(__xludf.DUMMYFUNCTION("""COMPUTED_VALUE"""),"Студент")</f>
        <v>Студент</v>
      </c>
    </row>
    <row r="1929" spans="1:3">
      <c r="A1929" s="76">
        <f ca="1">IFERROR(__xludf.DUMMYFUNCTION("""COMPUTED_VALUE"""),2311255)</f>
        <v>2311255</v>
      </c>
      <c r="B1929" s="76" t="str">
        <f ca="1">IFERROR(__xludf.DUMMYFUNCTION("""COMPUTED_VALUE"""),"Каширов Егор Сергеевич")</f>
        <v>Каширов Егор Сергеевич</v>
      </c>
      <c r="C1929" s="75" t="str">
        <f ca="1">IFERROR(__xludf.DUMMYFUNCTION("""COMPUTED_VALUE"""),"Аспирант")</f>
        <v>Аспирант</v>
      </c>
    </row>
    <row r="1930" spans="1:3">
      <c r="A1930" s="76">
        <f ca="1">IFERROR(__xludf.DUMMYFUNCTION("""COMPUTED_VALUE"""),2311257)</f>
        <v>2311257</v>
      </c>
      <c r="B1930" s="76" t="str">
        <f ca="1">IFERROR(__xludf.DUMMYFUNCTION("""COMPUTED_VALUE"""),"Шайхутдинова Аделия Ильдаровна")</f>
        <v>Шайхутдинова Аделия Ильдаровна</v>
      </c>
      <c r="C1930" s="75" t="str">
        <f ca="1">IFERROR(__xludf.DUMMYFUNCTION("""COMPUTED_VALUE"""),"Студент")</f>
        <v>Студент</v>
      </c>
    </row>
    <row r="1931" spans="1:3">
      <c r="A1931" s="76">
        <f ca="1">IFERROR(__xludf.DUMMYFUNCTION("""COMPUTED_VALUE"""),2311258)</f>
        <v>2311258</v>
      </c>
      <c r="B1931" s="76" t="str">
        <f ca="1">IFERROR(__xludf.DUMMYFUNCTION("""COMPUTED_VALUE"""),"Ахмадова Нозимахон Хабибуллахон кизи")</f>
        <v>Ахмадова Нозимахон Хабибуллахон кизи</v>
      </c>
      <c r="C1931" s="75" t="str">
        <f ca="1">IFERROR(__xludf.DUMMYFUNCTION("""COMPUTED_VALUE"""),"Студент")</f>
        <v>Студент</v>
      </c>
    </row>
    <row r="1932" spans="1:3">
      <c r="A1932" s="76">
        <f ca="1">IFERROR(__xludf.DUMMYFUNCTION("""COMPUTED_VALUE"""),2311266)</f>
        <v>2311266</v>
      </c>
      <c r="B1932" s="76" t="str">
        <f ca="1">IFERROR(__xludf.DUMMYFUNCTION("""COMPUTED_VALUE"""),"Ляш Павел Андреевич")</f>
        <v>Ляш Павел Андреевич</v>
      </c>
      <c r="C1932" s="75" t="str">
        <f ca="1">IFERROR(__xludf.DUMMYFUNCTION("""COMPUTED_VALUE"""),"Студент")</f>
        <v>Студент</v>
      </c>
    </row>
    <row r="1933" spans="1:3">
      <c r="A1933" s="76">
        <f ca="1">IFERROR(__xludf.DUMMYFUNCTION("""COMPUTED_VALUE"""),2311269)</f>
        <v>2311269</v>
      </c>
      <c r="B1933" s="76" t="str">
        <f ca="1">IFERROR(__xludf.DUMMYFUNCTION("""COMPUTED_VALUE"""),"Даваев Чимид Евгеньевич")</f>
        <v>Даваев Чимид Евгеньевич</v>
      </c>
      <c r="C1933" s="75" t="str">
        <f ca="1">IFERROR(__xludf.DUMMYFUNCTION("""COMPUTED_VALUE"""),"Студент")</f>
        <v>Студент</v>
      </c>
    </row>
    <row r="1934" spans="1:3">
      <c r="A1934" s="76">
        <f ca="1">IFERROR(__xludf.DUMMYFUNCTION("""COMPUTED_VALUE"""),2311274)</f>
        <v>2311274</v>
      </c>
      <c r="B1934" s="76" t="str">
        <f ca="1">IFERROR(__xludf.DUMMYFUNCTION("""COMPUTED_VALUE"""),"Ковалев Александр Денисович")</f>
        <v>Ковалев Александр Денисович</v>
      </c>
      <c r="C1934" s="75" t="str">
        <f ca="1">IFERROR(__xludf.DUMMYFUNCTION("""COMPUTED_VALUE"""),"Студент")</f>
        <v>Студент</v>
      </c>
    </row>
    <row r="1935" spans="1:3">
      <c r="A1935" s="76">
        <f ca="1">IFERROR(__xludf.DUMMYFUNCTION("""COMPUTED_VALUE"""),2311278)</f>
        <v>2311278</v>
      </c>
      <c r="B1935" s="76" t="str">
        <f ca="1">IFERROR(__xludf.DUMMYFUNCTION("""COMPUTED_VALUE"""),"Давыдов Дмитрий Александрович")</f>
        <v>Давыдов Дмитрий Александрович</v>
      </c>
      <c r="C1935" s="75" t="str">
        <f ca="1">IFERROR(__xludf.DUMMYFUNCTION("""COMPUTED_VALUE"""),"Студент")</f>
        <v>Студент</v>
      </c>
    </row>
    <row r="1936" spans="1:3">
      <c r="A1936" s="76">
        <f ca="1">IFERROR(__xludf.DUMMYFUNCTION("""COMPUTED_VALUE"""),2311279)</f>
        <v>2311279</v>
      </c>
      <c r="B1936" s="76" t="str">
        <f ca="1">IFERROR(__xludf.DUMMYFUNCTION("""COMPUTED_VALUE"""),"Джасурова Рейхан")</f>
        <v>Джасурова Рейхан</v>
      </c>
      <c r="C1936" s="75" t="str">
        <f ca="1">IFERROR(__xludf.DUMMYFUNCTION("""COMPUTED_VALUE"""),"Студент")</f>
        <v>Студент</v>
      </c>
    </row>
    <row r="1937" spans="1:3">
      <c r="A1937" s="76">
        <f ca="1">IFERROR(__xludf.DUMMYFUNCTION("""COMPUTED_VALUE"""),2311280)</f>
        <v>2311280</v>
      </c>
      <c r="B1937" s="76" t="str">
        <f ca="1">IFERROR(__xludf.DUMMYFUNCTION("""COMPUTED_VALUE"""),"Лазаренко Андрей Петрович")</f>
        <v>Лазаренко Андрей Петрович</v>
      </c>
      <c r="C1937" s="75" t="str">
        <f ca="1">IFERROR(__xludf.DUMMYFUNCTION("""COMPUTED_VALUE"""),"Студент")</f>
        <v>Студент</v>
      </c>
    </row>
    <row r="1938" spans="1:3">
      <c r="A1938" s="76">
        <f ca="1">IFERROR(__xludf.DUMMYFUNCTION("""COMPUTED_VALUE"""),2311285)</f>
        <v>2311285</v>
      </c>
      <c r="B1938" s="76" t="str">
        <f ca="1">IFERROR(__xludf.DUMMYFUNCTION("""COMPUTED_VALUE"""),"Волосяцкий Артем Витальевич")</f>
        <v>Волосяцкий Артем Витальевич</v>
      </c>
      <c r="C1938" s="75" t="str">
        <f ca="1">IFERROR(__xludf.DUMMYFUNCTION("""COMPUTED_VALUE"""),"Студент")</f>
        <v>Студент</v>
      </c>
    </row>
    <row r="1939" spans="1:3">
      <c r="A1939" s="76">
        <f ca="1">IFERROR(__xludf.DUMMYFUNCTION("""COMPUTED_VALUE"""),2311286)</f>
        <v>2311286</v>
      </c>
      <c r="B1939" s="76" t="str">
        <f ca="1">IFERROR(__xludf.DUMMYFUNCTION("""COMPUTED_VALUE"""),"Скитева Мария Александровна")</f>
        <v>Скитева Мария Александровна</v>
      </c>
      <c r="C1939" s="75" t="str">
        <f ca="1">IFERROR(__xludf.DUMMYFUNCTION("""COMPUTED_VALUE"""),"Студент")</f>
        <v>Студент</v>
      </c>
    </row>
    <row r="1940" spans="1:3">
      <c r="A1940" s="76">
        <f ca="1">IFERROR(__xludf.DUMMYFUNCTION("""COMPUTED_VALUE"""),2311288)</f>
        <v>2311288</v>
      </c>
      <c r="B1940" s="76" t="str">
        <f ca="1">IFERROR(__xludf.DUMMYFUNCTION("""COMPUTED_VALUE"""),"Соловьев Иван Сергеевич")</f>
        <v>Соловьев Иван Сергеевич</v>
      </c>
      <c r="C1940" s="75" t="str">
        <f ca="1">IFERROR(__xludf.DUMMYFUNCTION("""COMPUTED_VALUE"""),"Аспирант")</f>
        <v>Аспирант</v>
      </c>
    </row>
    <row r="1941" spans="1:3">
      <c r="A1941" s="76">
        <f ca="1">IFERROR(__xludf.DUMMYFUNCTION("""COMPUTED_VALUE"""),2311290)</f>
        <v>2311290</v>
      </c>
      <c r="B1941" s="76" t="str">
        <f ca="1">IFERROR(__xludf.DUMMYFUNCTION("""COMPUTED_VALUE"""),"Самойлова Анастасия Алексеевна")</f>
        <v>Самойлова Анастасия Алексеевна</v>
      </c>
      <c r="C1941" s="75" t="str">
        <f ca="1">IFERROR(__xludf.DUMMYFUNCTION("""COMPUTED_VALUE"""),"Студент")</f>
        <v>Студент</v>
      </c>
    </row>
    <row r="1942" spans="1:3">
      <c r="A1942" s="76">
        <f ca="1">IFERROR(__xludf.DUMMYFUNCTION("""COMPUTED_VALUE"""),2311301)</f>
        <v>2311301</v>
      </c>
      <c r="B1942" s="76" t="str">
        <f ca="1">IFERROR(__xludf.DUMMYFUNCTION("""COMPUTED_VALUE"""),"Сорокин Всеволод Алексеевич")</f>
        <v>Сорокин Всеволод Алексеевич</v>
      </c>
      <c r="C1942" s="75" t="str">
        <f ca="1">IFERROR(__xludf.DUMMYFUNCTION("""COMPUTED_VALUE"""),"Студент")</f>
        <v>Студент</v>
      </c>
    </row>
    <row r="1943" spans="1:3">
      <c r="A1943" s="76">
        <f ca="1">IFERROR(__xludf.DUMMYFUNCTION("""COMPUTED_VALUE"""),2311303)</f>
        <v>2311303</v>
      </c>
      <c r="B1943" s="76" t="str">
        <f ca="1">IFERROR(__xludf.DUMMYFUNCTION("""COMPUTED_VALUE"""),"Лангинен Елизавета Родионовна")</f>
        <v>Лангинен Елизавета Родионовна</v>
      </c>
      <c r="C1943" s="75" t="str">
        <f ca="1">IFERROR(__xludf.DUMMYFUNCTION("""COMPUTED_VALUE"""),"Студент")</f>
        <v>Студент</v>
      </c>
    </row>
    <row r="1944" spans="1:3">
      <c r="A1944" s="76">
        <f ca="1">IFERROR(__xludf.DUMMYFUNCTION("""COMPUTED_VALUE"""),2311306)</f>
        <v>2311306</v>
      </c>
      <c r="B1944" s="76" t="str">
        <f ca="1">IFERROR(__xludf.DUMMYFUNCTION("""COMPUTED_VALUE"""),"Беляева Светлана Олеговна")</f>
        <v>Беляева Светлана Олеговна</v>
      </c>
      <c r="C1944" s="75" t="str">
        <f ca="1">IFERROR(__xludf.DUMMYFUNCTION("""COMPUTED_VALUE"""),"Студент")</f>
        <v>Студент</v>
      </c>
    </row>
    <row r="1945" spans="1:3">
      <c r="A1945" s="76">
        <f ca="1">IFERROR(__xludf.DUMMYFUNCTION("""COMPUTED_VALUE"""),2311307)</f>
        <v>2311307</v>
      </c>
      <c r="B1945" s="76" t="str">
        <f ca="1">IFERROR(__xludf.DUMMYFUNCTION("""COMPUTED_VALUE"""),"Хужаев Шухрат Рустамович")</f>
        <v>Хужаев Шухрат Рустамович</v>
      </c>
      <c r="C1945" s="75" t="str">
        <f ca="1">IFERROR(__xludf.DUMMYFUNCTION("""COMPUTED_VALUE"""),"Студент")</f>
        <v>Студент</v>
      </c>
    </row>
    <row r="1946" spans="1:3">
      <c r="A1946" s="76">
        <f ca="1">IFERROR(__xludf.DUMMYFUNCTION("""COMPUTED_VALUE"""),2311308)</f>
        <v>2311308</v>
      </c>
      <c r="B1946" s="76" t="str">
        <f ca="1">IFERROR(__xludf.DUMMYFUNCTION("""COMPUTED_VALUE"""),"Кондратьев Виталий Дмитриевич")</f>
        <v>Кондратьев Виталий Дмитриевич</v>
      </c>
      <c r="C1946" s="75" t="str">
        <f ca="1">IFERROR(__xludf.DUMMYFUNCTION("""COMPUTED_VALUE"""),"Студент")</f>
        <v>Студент</v>
      </c>
    </row>
    <row r="1947" spans="1:3">
      <c r="A1947" s="76">
        <f ca="1">IFERROR(__xludf.DUMMYFUNCTION("""COMPUTED_VALUE"""),2311319)</f>
        <v>2311319</v>
      </c>
      <c r="B1947" s="76" t="str">
        <f ca="1">IFERROR(__xludf.DUMMYFUNCTION("""COMPUTED_VALUE"""),"Широковских Иван Сергеевич")</f>
        <v>Широковских Иван Сергеевич</v>
      </c>
      <c r="C1947" s="75" t="str">
        <f ca="1">IFERROR(__xludf.DUMMYFUNCTION("""COMPUTED_VALUE"""),"Студент")</f>
        <v>Студент</v>
      </c>
    </row>
    <row r="1948" spans="1:3">
      <c r="A1948" s="76">
        <f ca="1">IFERROR(__xludf.DUMMYFUNCTION("""COMPUTED_VALUE"""),2311330)</f>
        <v>2311330</v>
      </c>
      <c r="B1948" s="76" t="str">
        <f ca="1">IFERROR(__xludf.DUMMYFUNCTION("""COMPUTED_VALUE"""),"Титлова Ксения Витальевна")</f>
        <v>Титлова Ксения Витальевна</v>
      </c>
      <c r="C1948" s="75" t="str">
        <f ca="1">IFERROR(__xludf.DUMMYFUNCTION("""COMPUTED_VALUE"""),"Студент")</f>
        <v>Студент</v>
      </c>
    </row>
    <row r="1949" spans="1:3">
      <c r="A1949" s="76">
        <f ca="1">IFERROR(__xludf.DUMMYFUNCTION("""COMPUTED_VALUE"""),2311341)</f>
        <v>2311341</v>
      </c>
      <c r="B1949" s="76" t="str">
        <f ca="1">IFERROR(__xludf.DUMMYFUNCTION("""COMPUTED_VALUE"""),"Афанасьев Сергей Андреевич")</f>
        <v>Афанасьев Сергей Андреевич</v>
      </c>
      <c r="C1949" s="75" t="str">
        <f ca="1">IFERROR(__xludf.DUMMYFUNCTION("""COMPUTED_VALUE"""),"Студент")</f>
        <v>Студент</v>
      </c>
    </row>
    <row r="1950" spans="1:3">
      <c r="A1950" s="76">
        <f ca="1">IFERROR(__xludf.DUMMYFUNCTION("""COMPUTED_VALUE"""),2311343)</f>
        <v>2311343</v>
      </c>
      <c r="B1950" s="76" t="str">
        <f ca="1">IFERROR(__xludf.DUMMYFUNCTION("""COMPUTED_VALUE"""),"Евсеева Анна Александровна")</f>
        <v>Евсеева Анна Александровна</v>
      </c>
      <c r="C1950" s="75" t="str">
        <f ca="1">IFERROR(__xludf.DUMMYFUNCTION("""COMPUTED_VALUE"""),"Студент")</f>
        <v>Студент</v>
      </c>
    </row>
    <row r="1951" spans="1:3">
      <c r="A1951" s="76">
        <f ca="1">IFERROR(__xludf.DUMMYFUNCTION("""COMPUTED_VALUE"""),2311351)</f>
        <v>2311351</v>
      </c>
      <c r="B1951" s="76" t="str">
        <f ca="1">IFERROR(__xludf.DUMMYFUNCTION("""COMPUTED_VALUE"""),"Сиденко Артём Анатольевич")</f>
        <v>Сиденко Артём Анатольевич</v>
      </c>
      <c r="C1951" s="75" t="str">
        <f ca="1">IFERROR(__xludf.DUMMYFUNCTION("""COMPUTED_VALUE"""),"Студент")</f>
        <v>Студент</v>
      </c>
    </row>
    <row r="1952" spans="1:3">
      <c r="A1952" s="76">
        <f ca="1">IFERROR(__xludf.DUMMYFUNCTION("""COMPUTED_VALUE"""),2311352)</f>
        <v>2311352</v>
      </c>
      <c r="B1952" s="76" t="str">
        <f ca="1">IFERROR(__xludf.DUMMYFUNCTION("""COMPUTED_VALUE"""),"Голубинский Владимир Петрович")</f>
        <v>Голубинский Владимир Петрович</v>
      </c>
      <c r="C1952" s="75" t="str">
        <f ca="1">IFERROR(__xludf.DUMMYFUNCTION("""COMPUTED_VALUE"""),"Студент")</f>
        <v>Студент</v>
      </c>
    </row>
    <row r="1953" spans="1:3">
      <c r="A1953" s="76">
        <f ca="1">IFERROR(__xludf.DUMMYFUNCTION("""COMPUTED_VALUE"""),2311359)</f>
        <v>2311359</v>
      </c>
      <c r="B1953" s="76" t="str">
        <f ca="1">IFERROR(__xludf.DUMMYFUNCTION("""COMPUTED_VALUE"""),"Ода Вера Вячеславовна")</f>
        <v>Ода Вера Вячеславовна</v>
      </c>
      <c r="C1953" s="75" t="str">
        <f ca="1">IFERROR(__xludf.DUMMYFUNCTION("""COMPUTED_VALUE"""),"Студент")</f>
        <v>Студент</v>
      </c>
    </row>
    <row r="1954" spans="1:3">
      <c r="A1954" s="76">
        <f ca="1">IFERROR(__xludf.DUMMYFUNCTION("""COMPUTED_VALUE"""),2311361)</f>
        <v>2311361</v>
      </c>
      <c r="B1954" s="76" t="str">
        <f ca="1">IFERROR(__xludf.DUMMYFUNCTION("""COMPUTED_VALUE"""),"Кодиров Мухаммаджон Файзуллоевич")</f>
        <v>Кодиров Мухаммаджон Файзуллоевич</v>
      </c>
      <c r="C1954" s="75" t="str">
        <f ca="1">IFERROR(__xludf.DUMMYFUNCTION("""COMPUTED_VALUE"""),"Студент")</f>
        <v>Студент</v>
      </c>
    </row>
    <row r="1955" spans="1:3">
      <c r="A1955" s="76">
        <f ca="1">IFERROR(__xludf.DUMMYFUNCTION("""COMPUTED_VALUE"""),2311378)</f>
        <v>2311378</v>
      </c>
      <c r="B1955" s="76" t="str">
        <f ca="1">IFERROR(__xludf.DUMMYFUNCTION("""COMPUTED_VALUE"""),"Мукабенов Артём Александрович")</f>
        <v>Мукабенов Артём Александрович</v>
      </c>
      <c r="C1955" s="75" t="str">
        <f ca="1">IFERROR(__xludf.DUMMYFUNCTION("""COMPUTED_VALUE"""),"Студент")</f>
        <v>Студент</v>
      </c>
    </row>
    <row r="1956" spans="1:3">
      <c r="A1956" s="76">
        <f ca="1">IFERROR(__xludf.DUMMYFUNCTION("""COMPUTED_VALUE"""),2311382)</f>
        <v>2311382</v>
      </c>
      <c r="B1956" s="76" t="str">
        <f ca="1">IFERROR(__xludf.DUMMYFUNCTION("""COMPUTED_VALUE"""),"Васин Артём Александрович")</f>
        <v>Васин Артём Александрович</v>
      </c>
      <c r="C1956" s="75" t="str">
        <f ca="1">IFERROR(__xludf.DUMMYFUNCTION("""COMPUTED_VALUE"""),"Студент")</f>
        <v>Студент</v>
      </c>
    </row>
    <row r="1957" spans="1:3">
      <c r="A1957" s="76">
        <f ca="1">IFERROR(__xludf.DUMMYFUNCTION("""COMPUTED_VALUE"""),2311384)</f>
        <v>2311384</v>
      </c>
      <c r="B1957" s="76" t="str">
        <f ca="1">IFERROR(__xludf.DUMMYFUNCTION("""COMPUTED_VALUE"""),"Рябцев Никита Валерьевич")</f>
        <v>Рябцев Никита Валерьевич</v>
      </c>
      <c r="C1957" s="75" t="str">
        <f ca="1">IFERROR(__xludf.DUMMYFUNCTION("""COMPUTED_VALUE"""),"Студент")</f>
        <v>Студент</v>
      </c>
    </row>
    <row r="1958" spans="1:3">
      <c r="A1958" s="76">
        <f ca="1">IFERROR(__xludf.DUMMYFUNCTION("""COMPUTED_VALUE"""),2311386)</f>
        <v>2311386</v>
      </c>
      <c r="B1958" s="76" t="str">
        <f ca="1">IFERROR(__xludf.DUMMYFUNCTION("""COMPUTED_VALUE"""),"Тажиев Умид Каримович")</f>
        <v>Тажиев Умид Каримович</v>
      </c>
      <c r="C1958" s="75" t="str">
        <f ca="1">IFERROR(__xludf.DUMMYFUNCTION("""COMPUTED_VALUE"""),"Студент")</f>
        <v>Студент</v>
      </c>
    </row>
    <row r="1959" spans="1:3">
      <c r="A1959" s="76">
        <f ca="1">IFERROR(__xludf.DUMMYFUNCTION("""COMPUTED_VALUE"""),2311394)</f>
        <v>2311394</v>
      </c>
      <c r="B1959" s="76" t="str">
        <f ca="1">IFERROR(__xludf.DUMMYFUNCTION("""COMPUTED_VALUE"""),"Куанаева Регина Маратовна")</f>
        <v>Куанаева Регина Маратовна</v>
      </c>
      <c r="C1959" s="75" t="str">
        <f ca="1">IFERROR(__xludf.DUMMYFUNCTION("""COMPUTED_VALUE"""),"Аспирант")</f>
        <v>Аспирант</v>
      </c>
    </row>
    <row r="1960" spans="1:3">
      <c r="A1960" s="76">
        <f ca="1">IFERROR(__xludf.DUMMYFUNCTION("""COMPUTED_VALUE"""),2311396)</f>
        <v>2311396</v>
      </c>
      <c r="B1960" s="76" t="str">
        <f ca="1">IFERROR(__xludf.DUMMYFUNCTION("""COMPUTED_VALUE"""),"Голубничая Яна Андреевна")</f>
        <v>Голубничая Яна Андреевна</v>
      </c>
      <c r="C1960" s="75" t="str">
        <f ca="1">IFERROR(__xludf.DUMMYFUNCTION("""COMPUTED_VALUE"""),"Студент")</f>
        <v>Студент</v>
      </c>
    </row>
    <row r="1961" spans="1:3">
      <c r="A1961" s="76">
        <f ca="1">IFERROR(__xludf.DUMMYFUNCTION("""COMPUTED_VALUE"""),2311397)</f>
        <v>2311397</v>
      </c>
      <c r="B1961" s="76" t="str">
        <f ca="1">IFERROR(__xludf.DUMMYFUNCTION("""COMPUTED_VALUE"""),"Савина Наталия Дмитриевна")</f>
        <v>Савина Наталия Дмитриевна</v>
      </c>
      <c r="C1961" s="75" t="str">
        <f ca="1">IFERROR(__xludf.DUMMYFUNCTION("""COMPUTED_VALUE"""),"Студент")</f>
        <v>Студент</v>
      </c>
    </row>
    <row r="1962" spans="1:3">
      <c r="A1962" s="76">
        <f ca="1">IFERROR(__xludf.DUMMYFUNCTION("""COMPUTED_VALUE"""),2311402)</f>
        <v>2311402</v>
      </c>
      <c r="B1962" s="76" t="str">
        <f ca="1">IFERROR(__xludf.DUMMYFUNCTION("""COMPUTED_VALUE"""),"Зайкова Дарья Михайловна")</f>
        <v>Зайкова Дарья Михайловна</v>
      </c>
      <c r="C1962" s="75" t="str">
        <f ca="1">IFERROR(__xludf.DUMMYFUNCTION("""COMPUTED_VALUE"""),"Студент")</f>
        <v>Студент</v>
      </c>
    </row>
    <row r="1963" spans="1:3">
      <c r="A1963" s="76">
        <f ca="1">IFERROR(__xludf.DUMMYFUNCTION("""COMPUTED_VALUE"""),2311403)</f>
        <v>2311403</v>
      </c>
      <c r="B1963" s="76" t="str">
        <f ca="1">IFERROR(__xludf.DUMMYFUNCTION("""COMPUTED_VALUE"""),"Абрамова Софья Леонидовна")</f>
        <v>Абрамова Софья Леонидовна</v>
      </c>
      <c r="C1963" s="75" t="str">
        <f ca="1">IFERROR(__xludf.DUMMYFUNCTION("""COMPUTED_VALUE"""),"Студент")</f>
        <v>Студент</v>
      </c>
    </row>
    <row r="1964" spans="1:3">
      <c r="A1964" s="76">
        <f ca="1">IFERROR(__xludf.DUMMYFUNCTION("""COMPUTED_VALUE"""),2311419)</f>
        <v>2311419</v>
      </c>
      <c r="B1964" s="76" t="str">
        <f ca="1">IFERROR(__xludf.DUMMYFUNCTION("""COMPUTED_VALUE"""),"Стафеев Иван Александрович")</f>
        <v>Стафеев Иван Александрович</v>
      </c>
      <c r="C1964" s="75" t="str">
        <f ca="1">IFERROR(__xludf.DUMMYFUNCTION("""COMPUTED_VALUE"""),"Студент")</f>
        <v>Студент</v>
      </c>
    </row>
    <row r="1965" spans="1:3">
      <c r="A1965" s="76">
        <f ca="1">IFERROR(__xludf.DUMMYFUNCTION("""COMPUTED_VALUE"""),2311427)</f>
        <v>2311427</v>
      </c>
      <c r="B1965" s="76" t="str">
        <f ca="1">IFERROR(__xludf.DUMMYFUNCTION("""COMPUTED_VALUE"""),"Степанов Михаил Андреевич")</f>
        <v>Степанов Михаил Андреевич</v>
      </c>
      <c r="C1965" s="75" t="str">
        <f ca="1">IFERROR(__xludf.DUMMYFUNCTION("""COMPUTED_VALUE"""),"Студент")</f>
        <v>Студент</v>
      </c>
    </row>
    <row r="1966" spans="1:3">
      <c r="A1966" s="76">
        <f ca="1">IFERROR(__xludf.DUMMYFUNCTION("""COMPUTED_VALUE"""),2311434)</f>
        <v>2311434</v>
      </c>
      <c r="B1966" s="76" t="str">
        <f ca="1">IFERROR(__xludf.DUMMYFUNCTION("""COMPUTED_VALUE"""),"Ковзик Николь Робертовна")</f>
        <v>Ковзик Николь Робертовна</v>
      </c>
      <c r="C1966" s="75" t="str">
        <f ca="1">IFERROR(__xludf.DUMMYFUNCTION("""COMPUTED_VALUE"""),"Студент")</f>
        <v>Студент</v>
      </c>
    </row>
    <row r="1967" spans="1:3">
      <c r="A1967" s="76">
        <f ca="1">IFERROR(__xludf.DUMMYFUNCTION("""COMPUTED_VALUE"""),2311442)</f>
        <v>2311442</v>
      </c>
      <c r="B1967" s="76" t="str">
        <f ca="1">IFERROR(__xludf.DUMMYFUNCTION("""COMPUTED_VALUE"""),"Полетаева Полина Андреевна")</f>
        <v>Полетаева Полина Андреевна</v>
      </c>
      <c r="C1967" s="75" t="str">
        <f ca="1">IFERROR(__xludf.DUMMYFUNCTION("""COMPUTED_VALUE"""),"Студент")</f>
        <v>Студент</v>
      </c>
    </row>
    <row r="1968" spans="1:3">
      <c r="A1968" s="76">
        <f ca="1">IFERROR(__xludf.DUMMYFUNCTION("""COMPUTED_VALUE"""),2311443)</f>
        <v>2311443</v>
      </c>
      <c r="B1968" s="76" t="str">
        <f ca="1">IFERROR(__xludf.DUMMYFUNCTION("""COMPUTED_VALUE"""),"Абдуллоев Муртазоходжа Мухиддинович")</f>
        <v>Абдуллоев Муртазоходжа Мухиддинович</v>
      </c>
      <c r="C1968" s="75" t="str">
        <f ca="1">IFERROR(__xludf.DUMMYFUNCTION("""COMPUTED_VALUE"""),"Студент")</f>
        <v>Студент</v>
      </c>
    </row>
    <row r="1969" spans="1:3">
      <c r="A1969" s="76">
        <f ca="1">IFERROR(__xludf.DUMMYFUNCTION("""COMPUTED_VALUE"""),2311444)</f>
        <v>2311444</v>
      </c>
      <c r="B1969" s="76" t="str">
        <f ca="1">IFERROR(__xludf.DUMMYFUNCTION("""COMPUTED_VALUE"""),"Поликарпова Варвара Григорьевна")</f>
        <v>Поликарпова Варвара Григорьевна</v>
      </c>
      <c r="C1969" s="75" t="str">
        <f ca="1">IFERROR(__xludf.DUMMYFUNCTION("""COMPUTED_VALUE"""),"Студент")</f>
        <v>Студент</v>
      </c>
    </row>
    <row r="1970" spans="1:3">
      <c r="A1970" s="76">
        <f ca="1">IFERROR(__xludf.DUMMYFUNCTION("""COMPUTED_VALUE"""),2311445)</f>
        <v>2311445</v>
      </c>
      <c r="B1970" s="76" t="str">
        <f ca="1">IFERROR(__xludf.DUMMYFUNCTION("""COMPUTED_VALUE"""),"Давыдов Никита Витальевич")</f>
        <v>Давыдов Никита Витальевич</v>
      </c>
      <c r="C1970" s="75" t="str">
        <f ca="1">IFERROR(__xludf.DUMMYFUNCTION("""COMPUTED_VALUE"""),"Аспирант")</f>
        <v>Аспирант</v>
      </c>
    </row>
    <row r="1971" spans="1:3">
      <c r="A1971" s="76">
        <f ca="1">IFERROR(__xludf.DUMMYFUNCTION("""COMPUTED_VALUE"""),2311446)</f>
        <v>2311446</v>
      </c>
      <c r="B1971" s="76" t="str">
        <f ca="1">IFERROR(__xludf.DUMMYFUNCTION("""COMPUTED_VALUE"""),"Привалова Юлия Ильясовна")</f>
        <v>Привалова Юлия Ильясовна</v>
      </c>
      <c r="C1971" s="75" t="str">
        <f ca="1">IFERROR(__xludf.DUMMYFUNCTION("""COMPUTED_VALUE"""),"Студент")</f>
        <v>Студент</v>
      </c>
    </row>
    <row r="1972" spans="1:3">
      <c r="A1972" s="76">
        <f ca="1">IFERROR(__xludf.DUMMYFUNCTION("""COMPUTED_VALUE"""),2311447)</f>
        <v>2311447</v>
      </c>
      <c r="B1972" s="76" t="str">
        <f ca="1">IFERROR(__xludf.DUMMYFUNCTION("""COMPUTED_VALUE"""),"Юсуповский Андрей Сергеевич")</f>
        <v>Юсуповский Андрей Сергеевич</v>
      </c>
      <c r="C1972" s="75" t="str">
        <f ca="1">IFERROR(__xludf.DUMMYFUNCTION("""COMPUTED_VALUE"""),"Студент")</f>
        <v>Студент</v>
      </c>
    </row>
    <row r="1973" spans="1:3">
      <c r="A1973" s="76">
        <f ca="1">IFERROR(__xludf.DUMMYFUNCTION("""COMPUTED_VALUE"""),2311452)</f>
        <v>2311452</v>
      </c>
      <c r="B1973" s="76" t="str">
        <f ca="1">IFERROR(__xludf.DUMMYFUNCTION("""COMPUTED_VALUE"""),"Киселев Артём Алексеевич")</f>
        <v>Киселев Артём Алексеевич</v>
      </c>
      <c r="C1973" s="75" t="str">
        <f ca="1">IFERROR(__xludf.DUMMYFUNCTION("""COMPUTED_VALUE"""),"Студент")</f>
        <v>Студент</v>
      </c>
    </row>
    <row r="1974" spans="1:3">
      <c r="A1974" s="76">
        <f ca="1">IFERROR(__xludf.DUMMYFUNCTION("""COMPUTED_VALUE"""),2311465)</f>
        <v>2311465</v>
      </c>
      <c r="B1974" s="76" t="str">
        <f ca="1">IFERROR(__xludf.DUMMYFUNCTION("""COMPUTED_VALUE"""),"Хусанов Миродил Абдукодир Угли")</f>
        <v>Хусанов Миродил Абдукодир Угли</v>
      </c>
      <c r="C1974" s="75" t="str">
        <f ca="1">IFERROR(__xludf.DUMMYFUNCTION("""COMPUTED_VALUE"""),"Студент")</f>
        <v>Студент</v>
      </c>
    </row>
    <row r="1975" spans="1:3">
      <c r="A1975" s="76">
        <f ca="1">IFERROR(__xludf.DUMMYFUNCTION("""COMPUTED_VALUE"""),2311466)</f>
        <v>2311466</v>
      </c>
      <c r="B1975" s="76" t="str">
        <f ca="1">IFERROR(__xludf.DUMMYFUNCTION("""COMPUTED_VALUE"""),"Колмаков Филипп Андреевич")</f>
        <v>Колмаков Филипп Андреевич</v>
      </c>
      <c r="C1975" s="75" t="str">
        <f ca="1">IFERROR(__xludf.DUMMYFUNCTION("""COMPUTED_VALUE"""),"Студент")</f>
        <v>Студент</v>
      </c>
    </row>
    <row r="1976" spans="1:3">
      <c r="A1976" s="76">
        <f ca="1">IFERROR(__xludf.DUMMYFUNCTION("""COMPUTED_VALUE"""),2311468)</f>
        <v>2311468</v>
      </c>
      <c r="B1976" s="76" t="str">
        <f ca="1">IFERROR(__xludf.DUMMYFUNCTION("""COMPUTED_VALUE"""),"Махова Валерия Владимировна")</f>
        <v>Махова Валерия Владимировна</v>
      </c>
      <c r="C1976" s="75" t="str">
        <f ca="1">IFERROR(__xludf.DUMMYFUNCTION("""COMPUTED_VALUE"""),"Студент")</f>
        <v>Студент</v>
      </c>
    </row>
    <row r="1977" spans="1:3">
      <c r="A1977" s="76">
        <f ca="1">IFERROR(__xludf.DUMMYFUNCTION("""COMPUTED_VALUE"""),2311473)</f>
        <v>2311473</v>
      </c>
      <c r="B1977" s="76" t="str">
        <f ca="1">IFERROR(__xludf.DUMMYFUNCTION("""COMPUTED_VALUE"""),"Шепелев Антон Алексеевич")</f>
        <v>Шепелев Антон Алексеевич</v>
      </c>
      <c r="C1977" s="75" t="str">
        <f ca="1">IFERROR(__xludf.DUMMYFUNCTION("""COMPUTED_VALUE"""),"Студент")</f>
        <v>Студент</v>
      </c>
    </row>
    <row r="1978" spans="1:3">
      <c r="A1978" s="76">
        <f ca="1">IFERROR(__xludf.DUMMYFUNCTION("""COMPUTED_VALUE"""),2311475)</f>
        <v>2311475</v>
      </c>
      <c r="B1978" s="76" t="str">
        <f ca="1">IFERROR(__xludf.DUMMYFUNCTION("""COMPUTED_VALUE"""),"Симонов Михаил Андреевич")</f>
        <v>Симонов Михаил Андреевич</v>
      </c>
      <c r="C1978" s="75" t="str">
        <f ca="1">IFERROR(__xludf.DUMMYFUNCTION("""COMPUTED_VALUE"""),"Аспирант")</f>
        <v>Аспирант</v>
      </c>
    </row>
    <row r="1979" spans="1:3">
      <c r="A1979" s="76">
        <f ca="1">IFERROR(__xludf.DUMMYFUNCTION("""COMPUTED_VALUE"""),2311476)</f>
        <v>2311476</v>
      </c>
      <c r="B1979" s="76" t="str">
        <f ca="1">IFERROR(__xludf.DUMMYFUNCTION("""COMPUTED_VALUE"""),"Смирнов Михаил Андреевич")</f>
        <v>Смирнов Михаил Андреевич</v>
      </c>
      <c r="C1979" s="75" t="str">
        <f ca="1">IFERROR(__xludf.DUMMYFUNCTION("""COMPUTED_VALUE"""),"Аспирант")</f>
        <v>Аспирант</v>
      </c>
    </row>
    <row r="1980" spans="1:3">
      <c r="A1980" s="76">
        <f ca="1">IFERROR(__xludf.DUMMYFUNCTION("""COMPUTED_VALUE"""),2311477)</f>
        <v>2311477</v>
      </c>
      <c r="B1980" s="76" t="str">
        <f ca="1">IFERROR(__xludf.DUMMYFUNCTION("""COMPUTED_VALUE"""),"Полулях Артем Николаевич")</f>
        <v>Полулях Артем Николаевич</v>
      </c>
      <c r="C1980" s="75" t="str">
        <f ca="1">IFERROR(__xludf.DUMMYFUNCTION("""COMPUTED_VALUE"""),"Аспирант")</f>
        <v>Аспирант</v>
      </c>
    </row>
    <row r="1981" spans="1:3">
      <c r="A1981" s="76">
        <f ca="1">IFERROR(__xludf.DUMMYFUNCTION("""COMPUTED_VALUE"""),2311479)</f>
        <v>2311479</v>
      </c>
      <c r="B1981" s="76" t="str">
        <f ca="1">IFERROR(__xludf.DUMMYFUNCTION("""COMPUTED_VALUE"""),"Корлякова Екатерина Юльевна")</f>
        <v>Корлякова Екатерина Юльевна</v>
      </c>
      <c r="C1981" s="75" t="str">
        <f ca="1">IFERROR(__xludf.DUMMYFUNCTION("""COMPUTED_VALUE"""),"Аспирант")</f>
        <v>Аспирант</v>
      </c>
    </row>
    <row r="1982" spans="1:3">
      <c r="A1982" s="76">
        <f ca="1">IFERROR(__xludf.DUMMYFUNCTION("""COMPUTED_VALUE"""),2311481)</f>
        <v>2311481</v>
      </c>
      <c r="B1982" s="76" t="str">
        <f ca="1">IFERROR(__xludf.DUMMYFUNCTION("""COMPUTED_VALUE"""),"Гасак Илья Олегович")</f>
        <v>Гасак Илья Олегович</v>
      </c>
      <c r="C1982" s="75" t="str">
        <f ca="1">IFERROR(__xludf.DUMMYFUNCTION("""COMPUTED_VALUE"""),"Аспирант")</f>
        <v>Аспирант</v>
      </c>
    </row>
    <row r="1983" spans="1:3">
      <c r="A1983" s="76">
        <f ca="1">IFERROR(__xludf.DUMMYFUNCTION("""COMPUTED_VALUE"""),2311482)</f>
        <v>2311482</v>
      </c>
      <c r="B1983" s="76" t="str">
        <f ca="1">IFERROR(__xludf.DUMMYFUNCTION("""COMPUTED_VALUE"""),"Жерноклеев Александр Вадимович")</f>
        <v>Жерноклеев Александр Вадимович</v>
      </c>
      <c r="C1983" s="75" t="str">
        <f ca="1">IFERROR(__xludf.DUMMYFUNCTION("""COMPUTED_VALUE"""),"Аспирант")</f>
        <v>Аспирант</v>
      </c>
    </row>
    <row r="1984" spans="1:3">
      <c r="A1984" s="76">
        <f ca="1">IFERROR(__xludf.DUMMYFUNCTION("""COMPUTED_VALUE"""),2311505)</f>
        <v>2311505</v>
      </c>
      <c r="B1984" s="76" t="str">
        <f ca="1">IFERROR(__xludf.DUMMYFUNCTION("""COMPUTED_VALUE"""),"Фейгенберг Михаил Ильич")</f>
        <v>Фейгенберг Михаил Ильич</v>
      </c>
      <c r="C1984" s="75" t="str">
        <f ca="1">IFERROR(__xludf.DUMMYFUNCTION("""COMPUTED_VALUE"""),"Студент")</f>
        <v>Студент</v>
      </c>
    </row>
    <row r="1985" spans="1:3">
      <c r="A1985" s="76">
        <f ca="1">IFERROR(__xludf.DUMMYFUNCTION("""COMPUTED_VALUE"""),2311506)</f>
        <v>2311506</v>
      </c>
      <c r="B1985" s="76" t="str">
        <f ca="1">IFERROR(__xludf.DUMMYFUNCTION("""COMPUTED_VALUE"""),"Мисюк Артём Владимирович")</f>
        <v>Мисюк Артём Владимирович</v>
      </c>
      <c r="C1985" s="75" t="str">
        <f ca="1">IFERROR(__xludf.DUMMYFUNCTION("""COMPUTED_VALUE"""),"Студент")</f>
        <v>Студент</v>
      </c>
    </row>
    <row r="1986" spans="1:3">
      <c r="A1986" s="76">
        <f ca="1">IFERROR(__xludf.DUMMYFUNCTION("""COMPUTED_VALUE"""),2311513)</f>
        <v>2311513</v>
      </c>
      <c r="B1986" s="76" t="str">
        <f ca="1">IFERROR(__xludf.DUMMYFUNCTION("""COMPUTED_VALUE"""),"Коршунова Софья Владиславовна")</f>
        <v>Коршунова Софья Владиславовна</v>
      </c>
      <c r="C1986" s="75" t="str">
        <f ca="1">IFERROR(__xludf.DUMMYFUNCTION("""COMPUTED_VALUE"""),"Студент")</f>
        <v>Студент</v>
      </c>
    </row>
    <row r="1987" spans="1:3">
      <c r="A1987" s="76">
        <f ca="1">IFERROR(__xludf.DUMMYFUNCTION("""COMPUTED_VALUE"""),2311537)</f>
        <v>2311537</v>
      </c>
      <c r="B1987" s="76" t="str">
        <f ca="1">IFERROR(__xludf.DUMMYFUNCTION("""COMPUTED_VALUE"""),"Гущин Никита Александрович")</f>
        <v>Гущин Никита Александрович</v>
      </c>
      <c r="C1987" s="75" t="str">
        <f ca="1">IFERROR(__xludf.DUMMYFUNCTION("""COMPUTED_VALUE"""),"Студент")</f>
        <v>Студент</v>
      </c>
    </row>
    <row r="1988" spans="1:3">
      <c r="A1988" s="76">
        <f ca="1">IFERROR(__xludf.DUMMYFUNCTION("""COMPUTED_VALUE"""),2311544)</f>
        <v>2311544</v>
      </c>
      <c r="B1988" s="76" t="str">
        <f ca="1">IFERROR(__xludf.DUMMYFUNCTION("""COMPUTED_VALUE"""),"Ловянов Владислав Юрьевич")</f>
        <v>Ловянов Владислав Юрьевич</v>
      </c>
      <c r="C1988" s="75" t="str">
        <f ca="1">IFERROR(__xludf.DUMMYFUNCTION("""COMPUTED_VALUE"""),"Студент")</f>
        <v>Студент</v>
      </c>
    </row>
    <row r="1989" spans="1:3">
      <c r="A1989" s="76">
        <f ca="1">IFERROR(__xludf.DUMMYFUNCTION("""COMPUTED_VALUE"""),2311545)</f>
        <v>2311545</v>
      </c>
      <c r="B1989" s="76" t="str">
        <f ca="1">IFERROR(__xludf.DUMMYFUNCTION("""COMPUTED_VALUE"""),"Гриненко Илья Иванович")</f>
        <v>Гриненко Илья Иванович</v>
      </c>
      <c r="C1989" s="75" t="str">
        <f ca="1">IFERROR(__xludf.DUMMYFUNCTION("""COMPUTED_VALUE"""),"Студент")</f>
        <v>Студент</v>
      </c>
    </row>
    <row r="1990" spans="1:3">
      <c r="A1990" s="76">
        <f ca="1">IFERROR(__xludf.DUMMYFUNCTION("""COMPUTED_VALUE"""),2311549)</f>
        <v>2311549</v>
      </c>
      <c r="B1990" s="76" t="str">
        <f ca="1">IFERROR(__xludf.DUMMYFUNCTION("""COMPUTED_VALUE"""),"Саибназарова Даяна Хаёловна")</f>
        <v>Саибназарова Даяна Хаёловна</v>
      </c>
      <c r="C1990" s="75" t="str">
        <f ca="1">IFERROR(__xludf.DUMMYFUNCTION("""COMPUTED_VALUE"""),"Студент")</f>
        <v>Студент</v>
      </c>
    </row>
    <row r="1991" spans="1:3">
      <c r="A1991" s="76">
        <f ca="1">IFERROR(__xludf.DUMMYFUNCTION("""COMPUTED_VALUE"""),2311554)</f>
        <v>2311554</v>
      </c>
      <c r="B1991" s="76" t="str">
        <f ca="1">IFERROR(__xludf.DUMMYFUNCTION("""COMPUTED_VALUE"""),"Ушкалова Дана Станиславовна")</f>
        <v>Ушкалова Дана Станиславовна</v>
      </c>
      <c r="C1991" s="75" t="str">
        <f ca="1">IFERROR(__xludf.DUMMYFUNCTION("""COMPUTED_VALUE"""),"Студент")</f>
        <v>Студент</v>
      </c>
    </row>
    <row r="1992" spans="1:3">
      <c r="A1992" s="76">
        <f ca="1">IFERROR(__xludf.DUMMYFUNCTION("""COMPUTED_VALUE"""),2311561)</f>
        <v>2311561</v>
      </c>
      <c r="B1992" s="76" t="str">
        <f ca="1">IFERROR(__xludf.DUMMYFUNCTION("""COMPUTED_VALUE"""),"Михайлова Анастасия Владимировна")</f>
        <v>Михайлова Анастасия Владимировна</v>
      </c>
      <c r="C1992" s="75" t="str">
        <f ca="1">IFERROR(__xludf.DUMMYFUNCTION("""COMPUTED_VALUE"""),"Студент")</f>
        <v>Студент</v>
      </c>
    </row>
    <row r="1993" spans="1:3">
      <c r="A1993" s="76">
        <f ca="1">IFERROR(__xludf.DUMMYFUNCTION("""COMPUTED_VALUE"""),2311567)</f>
        <v>2311567</v>
      </c>
      <c r="B1993" s="76" t="str">
        <f ca="1">IFERROR(__xludf.DUMMYFUNCTION("""COMPUTED_VALUE"""),"Быков Вадим Дмитриевич")</f>
        <v>Быков Вадим Дмитриевич</v>
      </c>
      <c r="C1993" s="75" t="str">
        <f ca="1">IFERROR(__xludf.DUMMYFUNCTION("""COMPUTED_VALUE"""),"Студент")</f>
        <v>Студент</v>
      </c>
    </row>
    <row r="1994" spans="1:3">
      <c r="A1994" s="76">
        <f ca="1">IFERROR(__xludf.DUMMYFUNCTION("""COMPUTED_VALUE"""),2311569)</f>
        <v>2311569</v>
      </c>
      <c r="B1994" s="76" t="str">
        <f ca="1">IFERROR(__xludf.DUMMYFUNCTION("""COMPUTED_VALUE"""),"Чикалин Никита Максимович")</f>
        <v>Чикалин Никита Максимович</v>
      </c>
      <c r="C1994" s="75" t="str">
        <f ca="1">IFERROR(__xludf.DUMMYFUNCTION("""COMPUTED_VALUE"""),"Студент")</f>
        <v>Студент</v>
      </c>
    </row>
    <row r="1995" spans="1:3">
      <c r="A1995" s="76">
        <f ca="1">IFERROR(__xludf.DUMMYFUNCTION("""COMPUTED_VALUE"""),2311570)</f>
        <v>2311570</v>
      </c>
      <c r="B1995" s="76" t="str">
        <f ca="1">IFERROR(__xludf.DUMMYFUNCTION("""COMPUTED_VALUE"""),"Жабин Григорий Михайлович")</f>
        <v>Жабин Григорий Михайлович</v>
      </c>
      <c r="C1995" s="75" t="str">
        <f ca="1">IFERROR(__xludf.DUMMYFUNCTION("""COMPUTED_VALUE"""),"Студент")</f>
        <v>Студент</v>
      </c>
    </row>
    <row r="1996" spans="1:3">
      <c r="A1996" s="76">
        <f ca="1">IFERROR(__xludf.DUMMYFUNCTION("""COMPUTED_VALUE"""),2311576)</f>
        <v>2311576</v>
      </c>
      <c r="B1996" s="76" t="str">
        <f ca="1">IFERROR(__xludf.DUMMYFUNCTION("""COMPUTED_VALUE"""),"Долгач Егор Дмитриевич")</f>
        <v>Долгач Егор Дмитриевич</v>
      </c>
      <c r="C1996" s="75" t="str">
        <f ca="1">IFERROR(__xludf.DUMMYFUNCTION("""COMPUTED_VALUE"""),"Аспирант")</f>
        <v>Аспирант</v>
      </c>
    </row>
    <row r="1997" spans="1:3">
      <c r="A1997" s="76">
        <f ca="1">IFERROR(__xludf.DUMMYFUNCTION("""COMPUTED_VALUE"""),2311577)</f>
        <v>2311577</v>
      </c>
      <c r="B1997" s="76" t="str">
        <f ca="1">IFERROR(__xludf.DUMMYFUNCTION("""COMPUTED_VALUE"""),"Ушанкова Екатерина Сергеевна")</f>
        <v>Ушанкова Екатерина Сергеевна</v>
      </c>
      <c r="C1997" s="75" t="str">
        <f ca="1">IFERROR(__xludf.DUMMYFUNCTION("""COMPUTED_VALUE"""),"Студент")</f>
        <v>Студент</v>
      </c>
    </row>
    <row r="1998" spans="1:3">
      <c r="A1998" s="76">
        <f ca="1">IFERROR(__xludf.DUMMYFUNCTION("""COMPUTED_VALUE"""),2311580)</f>
        <v>2311580</v>
      </c>
      <c r="B1998" s="76" t="str">
        <f ca="1">IFERROR(__xludf.DUMMYFUNCTION("""COMPUTED_VALUE"""),"Иванов Артем Александрович")</f>
        <v>Иванов Артем Александрович</v>
      </c>
      <c r="C1998" s="75" t="str">
        <f ca="1">IFERROR(__xludf.DUMMYFUNCTION("""COMPUTED_VALUE"""),"Студент")</f>
        <v>Студент</v>
      </c>
    </row>
    <row r="1999" spans="1:3">
      <c r="A1999" s="76">
        <f ca="1">IFERROR(__xludf.DUMMYFUNCTION("""COMPUTED_VALUE"""),2311590)</f>
        <v>2311590</v>
      </c>
      <c r="B1999" s="76" t="str">
        <f ca="1">IFERROR(__xludf.DUMMYFUNCTION("""COMPUTED_VALUE"""),"Машарипов Саддам Зохирджонович")</f>
        <v>Машарипов Саддам Зохирджонович</v>
      </c>
      <c r="C1999" s="75" t="str">
        <f ca="1">IFERROR(__xludf.DUMMYFUNCTION("""COMPUTED_VALUE"""),"Аспирант")</f>
        <v>Аспирант</v>
      </c>
    </row>
    <row r="2000" spans="1:3">
      <c r="A2000" s="76">
        <f ca="1">IFERROR(__xludf.DUMMYFUNCTION("""COMPUTED_VALUE"""),2311598)</f>
        <v>2311598</v>
      </c>
      <c r="B2000" s="76" t="str">
        <f ca="1">IFERROR(__xludf.DUMMYFUNCTION("""COMPUTED_VALUE"""),"Шеина Дарья Андреевна")</f>
        <v>Шеина Дарья Андреевна</v>
      </c>
      <c r="C2000" s="75" t="str">
        <f ca="1">IFERROR(__xludf.DUMMYFUNCTION("""COMPUTED_VALUE"""),"Студент")</f>
        <v>Студент</v>
      </c>
    </row>
    <row r="2001" spans="1:3">
      <c r="A2001" s="76">
        <f ca="1">IFERROR(__xludf.DUMMYFUNCTION("""COMPUTED_VALUE"""),2311599)</f>
        <v>2311599</v>
      </c>
      <c r="B2001" s="76" t="str">
        <f ca="1">IFERROR(__xludf.DUMMYFUNCTION("""COMPUTED_VALUE"""),"Морозова Татьяна Андреевна")</f>
        <v>Морозова Татьяна Андреевна</v>
      </c>
      <c r="C2001" s="75" t="str">
        <f ca="1">IFERROR(__xludf.DUMMYFUNCTION("""COMPUTED_VALUE"""),"Аспирант")</f>
        <v>Аспирант</v>
      </c>
    </row>
    <row r="2002" spans="1:3">
      <c r="A2002" s="76">
        <f ca="1">IFERROR(__xludf.DUMMYFUNCTION("""COMPUTED_VALUE"""),2311601)</f>
        <v>2311601</v>
      </c>
      <c r="B2002" s="76" t="str">
        <f ca="1">IFERROR(__xludf.DUMMYFUNCTION("""COMPUTED_VALUE"""),"Разаков Владимир Сергеевич")</f>
        <v>Разаков Владимир Сергеевич</v>
      </c>
      <c r="C2002" s="75" t="str">
        <f ca="1">IFERROR(__xludf.DUMMYFUNCTION("""COMPUTED_VALUE"""),"Студент")</f>
        <v>Студент</v>
      </c>
    </row>
    <row r="2003" spans="1:3">
      <c r="A2003" s="76">
        <f ca="1">IFERROR(__xludf.DUMMYFUNCTION("""COMPUTED_VALUE"""),2311602)</f>
        <v>2311602</v>
      </c>
      <c r="B2003" s="76" t="str">
        <f ca="1">IFERROR(__xludf.DUMMYFUNCTION("""COMPUTED_VALUE"""),"Казин Даниил Романович")</f>
        <v>Казин Даниил Романович</v>
      </c>
      <c r="C2003" s="75" t="str">
        <f ca="1">IFERROR(__xludf.DUMMYFUNCTION("""COMPUTED_VALUE"""),"Студент")</f>
        <v>Студент</v>
      </c>
    </row>
    <row r="2004" spans="1:3">
      <c r="A2004" s="76">
        <f ca="1">IFERROR(__xludf.DUMMYFUNCTION("""COMPUTED_VALUE"""),2311605)</f>
        <v>2311605</v>
      </c>
      <c r="B2004" s="76" t="str">
        <f ca="1">IFERROR(__xludf.DUMMYFUNCTION("""COMPUTED_VALUE"""),"Матяш Дмитрий Сергеевич")</f>
        <v>Матяш Дмитрий Сергеевич</v>
      </c>
      <c r="C2004" s="75" t="str">
        <f ca="1">IFERROR(__xludf.DUMMYFUNCTION("""COMPUTED_VALUE"""),"Студент")</f>
        <v>Студент</v>
      </c>
    </row>
    <row r="2005" spans="1:3">
      <c r="A2005" s="76">
        <f ca="1">IFERROR(__xludf.DUMMYFUNCTION("""COMPUTED_VALUE"""),2311611)</f>
        <v>2311611</v>
      </c>
      <c r="B2005" s="76" t="str">
        <f ca="1">IFERROR(__xludf.DUMMYFUNCTION("""COMPUTED_VALUE"""),"Шокуев Имран Русланович")</f>
        <v>Шокуев Имран Русланович</v>
      </c>
      <c r="C2005" s="75" t="str">
        <f ca="1">IFERROR(__xludf.DUMMYFUNCTION("""COMPUTED_VALUE"""),"Студент")</f>
        <v>Студент</v>
      </c>
    </row>
    <row r="2006" spans="1:3">
      <c r="A2006" s="76">
        <f ca="1">IFERROR(__xludf.DUMMYFUNCTION("""COMPUTED_VALUE"""),2311616)</f>
        <v>2311616</v>
      </c>
      <c r="B2006" s="76" t="str">
        <f ca="1">IFERROR(__xludf.DUMMYFUNCTION("""COMPUTED_VALUE"""),"Лавринайтис Татьяна Сергеевна")</f>
        <v>Лавринайтис Татьяна Сергеевна</v>
      </c>
      <c r="C2006" s="75" t="str">
        <f ca="1">IFERROR(__xludf.DUMMYFUNCTION("""COMPUTED_VALUE"""),"Студент")</f>
        <v>Студент</v>
      </c>
    </row>
    <row r="2007" spans="1:3">
      <c r="A2007" s="76">
        <f ca="1">IFERROR(__xludf.DUMMYFUNCTION("""COMPUTED_VALUE"""),2311618)</f>
        <v>2311618</v>
      </c>
      <c r="B2007" s="76" t="str">
        <f ca="1">IFERROR(__xludf.DUMMYFUNCTION("""COMPUTED_VALUE"""),"Лаптев Денис Андреевич")</f>
        <v>Лаптев Денис Андреевич</v>
      </c>
      <c r="C2007" s="75" t="str">
        <f ca="1">IFERROR(__xludf.DUMMYFUNCTION("""COMPUTED_VALUE"""),"Студент")</f>
        <v>Студент</v>
      </c>
    </row>
    <row r="2008" spans="1:3">
      <c r="A2008" s="76">
        <f ca="1">IFERROR(__xludf.DUMMYFUNCTION("""COMPUTED_VALUE"""),2311622)</f>
        <v>2311622</v>
      </c>
      <c r="B2008" s="76" t="str">
        <f ca="1">IFERROR(__xludf.DUMMYFUNCTION("""COMPUTED_VALUE"""),"Смирнов Никита Анатольевич")</f>
        <v>Смирнов Никита Анатольевич</v>
      </c>
      <c r="C2008" s="75" t="str">
        <f ca="1">IFERROR(__xludf.DUMMYFUNCTION("""COMPUTED_VALUE"""),"Студент")</f>
        <v>Студент</v>
      </c>
    </row>
    <row r="2009" spans="1:3">
      <c r="A2009" s="76">
        <f ca="1">IFERROR(__xludf.DUMMYFUNCTION("""COMPUTED_VALUE"""),2311631)</f>
        <v>2311631</v>
      </c>
      <c r="B2009" s="76" t="str">
        <f ca="1">IFERROR(__xludf.DUMMYFUNCTION("""COMPUTED_VALUE"""),"Исакин Илья Алексеевич")</f>
        <v>Исакин Илья Алексеевич</v>
      </c>
      <c r="C2009" s="75" t="str">
        <f ca="1">IFERROR(__xludf.DUMMYFUNCTION("""COMPUTED_VALUE"""),"Студент")</f>
        <v>Студент</v>
      </c>
    </row>
    <row r="2010" spans="1:3">
      <c r="A2010" s="76">
        <f ca="1">IFERROR(__xludf.DUMMYFUNCTION("""COMPUTED_VALUE"""),2311633)</f>
        <v>2311633</v>
      </c>
      <c r="B2010" s="76" t="str">
        <f ca="1">IFERROR(__xludf.DUMMYFUNCTION("""COMPUTED_VALUE"""),"Мехова Мария Сергеевна")</f>
        <v>Мехова Мария Сергеевна</v>
      </c>
      <c r="C2010" s="75" t="str">
        <f ca="1">IFERROR(__xludf.DUMMYFUNCTION("""COMPUTED_VALUE"""),"Студент")</f>
        <v>Студент</v>
      </c>
    </row>
    <row r="2011" spans="1:3">
      <c r="A2011" s="76">
        <f ca="1">IFERROR(__xludf.DUMMYFUNCTION("""COMPUTED_VALUE"""),2311635)</f>
        <v>2311635</v>
      </c>
      <c r="B2011" s="76" t="str">
        <f ca="1">IFERROR(__xludf.DUMMYFUNCTION("""COMPUTED_VALUE"""),"Иванькова Юлия Игоревна")</f>
        <v>Иванькова Юлия Игоревна</v>
      </c>
      <c r="C2011" s="75" t="str">
        <f ca="1">IFERROR(__xludf.DUMMYFUNCTION("""COMPUTED_VALUE"""),"Аспирант")</f>
        <v>Аспирант</v>
      </c>
    </row>
    <row r="2012" spans="1:3">
      <c r="A2012" s="76">
        <f ca="1">IFERROR(__xludf.DUMMYFUNCTION("""COMPUTED_VALUE"""),2311637)</f>
        <v>2311637</v>
      </c>
      <c r="B2012" s="76" t="str">
        <f ca="1">IFERROR(__xludf.DUMMYFUNCTION("""COMPUTED_VALUE"""),"Сысоев Максим Алексеевич")</f>
        <v>Сысоев Максим Алексеевич</v>
      </c>
      <c r="C2012" s="75" t="str">
        <f ca="1">IFERROR(__xludf.DUMMYFUNCTION("""COMPUTED_VALUE"""),"Аспирант")</f>
        <v>Аспирант</v>
      </c>
    </row>
    <row r="2013" spans="1:3">
      <c r="A2013" s="76">
        <f ca="1">IFERROR(__xludf.DUMMYFUNCTION("""COMPUTED_VALUE"""),2311645)</f>
        <v>2311645</v>
      </c>
      <c r="B2013" s="76" t="str">
        <f ca="1">IFERROR(__xludf.DUMMYFUNCTION("""COMPUTED_VALUE"""),"Ангархаев Максим Доржиевич")</f>
        <v>Ангархаев Максим Доржиевич</v>
      </c>
      <c r="C2013" s="75" t="str">
        <f ca="1">IFERROR(__xludf.DUMMYFUNCTION("""COMPUTED_VALUE"""),"Студент")</f>
        <v>Студент</v>
      </c>
    </row>
    <row r="2014" spans="1:3">
      <c r="A2014" s="76">
        <f ca="1">IFERROR(__xludf.DUMMYFUNCTION("""COMPUTED_VALUE"""),2311646)</f>
        <v>2311646</v>
      </c>
      <c r="B2014" s="76" t="str">
        <f ca="1">IFERROR(__xludf.DUMMYFUNCTION("""COMPUTED_VALUE"""),"Чувайкина Елизавета Сергеевна")</f>
        <v>Чувайкина Елизавета Сергеевна</v>
      </c>
      <c r="C2014" s="75" t="str">
        <f ca="1">IFERROR(__xludf.DUMMYFUNCTION("""COMPUTED_VALUE"""),"Студент")</f>
        <v>Студент</v>
      </c>
    </row>
    <row r="2015" spans="1:3">
      <c r="A2015" s="76">
        <f ca="1">IFERROR(__xludf.DUMMYFUNCTION("""COMPUTED_VALUE"""),2311656)</f>
        <v>2311656</v>
      </c>
      <c r="B2015" s="76" t="str">
        <f ca="1">IFERROR(__xludf.DUMMYFUNCTION("""COMPUTED_VALUE"""),"Логинова Анастасия Сергеевна")</f>
        <v>Логинова Анастасия Сергеевна</v>
      </c>
      <c r="C2015" s="75" t="str">
        <f ca="1">IFERROR(__xludf.DUMMYFUNCTION("""COMPUTED_VALUE"""),"Студент")</f>
        <v>Студент</v>
      </c>
    </row>
    <row r="2016" spans="1:3">
      <c r="A2016" s="76">
        <f ca="1">IFERROR(__xludf.DUMMYFUNCTION("""COMPUTED_VALUE"""),2311658)</f>
        <v>2311658</v>
      </c>
      <c r="B2016" s="76" t="str">
        <f ca="1">IFERROR(__xludf.DUMMYFUNCTION("""COMPUTED_VALUE"""),"Гуняков Евгений Витальевич")</f>
        <v>Гуняков Евгений Витальевич</v>
      </c>
      <c r="C2016" s="75" t="str">
        <f ca="1">IFERROR(__xludf.DUMMYFUNCTION("""COMPUTED_VALUE"""),"Студент")</f>
        <v>Студент</v>
      </c>
    </row>
    <row r="2017" spans="1:3">
      <c r="A2017" s="76">
        <f ca="1">IFERROR(__xludf.DUMMYFUNCTION("""COMPUTED_VALUE"""),2311660)</f>
        <v>2311660</v>
      </c>
      <c r="B2017" s="76" t="str">
        <f ca="1">IFERROR(__xludf.DUMMYFUNCTION("""COMPUTED_VALUE"""),"Марченко Олег Михайлович")</f>
        <v>Марченко Олег Михайлович</v>
      </c>
      <c r="C2017" s="75" t="str">
        <f ca="1">IFERROR(__xludf.DUMMYFUNCTION("""COMPUTED_VALUE"""),"Студент")</f>
        <v>Студент</v>
      </c>
    </row>
    <row r="2018" spans="1:3">
      <c r="A2018" s="76">
        <f ca="1">IFERROR(__xludf.DUMMYFUNCTION("""COMPUTED_VALUE"""),2311661)</f>
        <v>2311661</v>
      </c>
      <c r="B2018" s="76" t="str">
        <f ca="1">IFERROR(__xludf.DUMMYFUNCTION("""COMPUTED_VALUE"""),"Рязанцева Анастасия Алексеевна")</f>
        <v>Рязанцева Анастасия Алексеевна</v>
      </c>
      <c r="C2018" s="75" t="str">
        <f ca="1">IFERROR(__xludf.DUMMYFUNCTION("""COMPUTED_VALUE"""),"Студент")</f>
        <v>Студент</v>
      </c>
    </row>
    <row r="2019" spans="1:3">
      <c r="A2019" s="76">
        <f ca="1">IFERROR(__xludf.DUMMYFUNCTION("""COMPUTED_VALUE"""),2311663)</f>
        <v>2311663</v>
      </c>
      <c r="B2019" s="76" t="str">
        <f ca="1">IFERROR(__xludf.DUMMYFUNCTION("""COMPUTED_VALUE"""),"Луккарева Снежана Александровна")</f>
        <v>Луккарева Снежана Александровна</v>
      </c>
      <c r="C2019" s="75" t="str">
        <f ca="1">IFERROR(__xludf.DUMMYFUNCTION("""COMPUTED_VALUE"""),"Аспирант")</f>
        <v>Аспирант</v>
      </c>
    </row>
    <row r="2020" spans="1:3">
      <c r="A2020" s="76">
        <f ca="1">IFERROR(__xludf.DUMMYFUNCTION("""COMPUTED_VALUE"""),2311664)</f>
        <v>2311664</v>
      </c>
      <c r="B2020" s="76" t="str">
        <f ca="1">IFERROR(__xludf.DUMMYFUNCTION("""COMPUTED_VALUE"""),"Иовашвили Софья Мерабовна")</f>
        <v>Иовашвили Софья Мерабовна</v>
      </c>
      <c r="C2020" s="75" t="str">
        <f ca="1">IFERROR(__xludf.DUMMYFUNCTION("""COMPUTED_VALUE"""),"Студент")</f>
        <v>Студент</v>
      </c>
    </row>
    <row r="2021" spans="1:3">
      <c r="A2021" s="76">
        <f ca="1">IFERROR(__xludf.DUMMYFUNCTION("""COMPUTED_VALUE"""),2311677)</f>
        <v>2311677</v>
      </c>
      <c r="B2021" s="76" t="str">
        <f ca="1">IFERROR(__xludf.DUMMYFUNCTION("""COMPUTED_VALUE"""),"Подчасов Олег Александрович")</f>
        <v>Подчасов Олег Александрович</v>
      </c>
      <c r="C2021" s="75" t="str">
        <f ca="1">IFERROR(__xludf.DUMMYFUNCTION("""COMPUTED_VALUE"""),"Студент")</f>
        <v>Студент</v>
      </c>
    </row>
    <row r="2022" spans="1:3">
      <c r="A2022" s="76">
        <f ca="1">IFERROR(__xludf.DUMMYFUNCTION("""COMPUTED_VALUE"""),2311683)</f>
        <v>2311683</v>
      </c>
      <c r="B2022" s="76" t="str">
        <f ca="1">IFERROR(__xludf.DUMMYFUNCTION("""COMPUTED_VALUE"""),"Созинов Евгений Евгеньевич")</f>
        <v>Созинов Евгений Евгеньевич</v>
      </c>
      <c r="C2022" s="75" t="str">
        <f ca="1">IFERROR(__xludf.DUMMYFUNCTION("""COMPUTED_VALUE"""),"Студент")</f>
        <v>Студент</v>
      </c>
    </row>
    <row r="2023" spans="1:3">
      <c r="A2023" s="76">
        <f ca="1">IFERROR(__xludf.DUMMYFUNCTION("""COMPUTED_VALUE"""),2311689)</f>
        <v>2311689</v>
      </c>
      <c r="B2023" s="76" t="str">
        <f ca="1">IFERROR(__xludf.DUMMYFUNCTION("""COMPUTED_VALUE"""),"Соколов Василий Юрьевич")</f>
        <v>Соколов Василий Юрьевич</v>
      </c>
      <c r="C2023" s="75" t="str">
        <f ca="1">IFERROR(__xludf.DUMMYFUNCTION("""COMPUTED_VALUE"""),"Студент")</f>
        <v>Студент</v>
      </c>
    </row>
    <row r="2024" spans="1:3">
      <c r="A2024" s="76">
        <f ca="1">IFERROR(__xludf.DUMMYFUNCTION("""COMPUTED_VALUE"""),2311690)</f>
        <v>2311690</v>
      </c>
      <c r="B2024" s="76" t="str">
        <f ca="1">IFERROR(__xludf.DUMMYFUNCTION("""COMPUTED_VALUE"""),"Крючков Сергей Алексеевич")</f>
        <v>Крючков Сергей Алексеевич</v>
      </c>
      <c r="C2024" s="75" t="str">
        <f ca="1">IFERROR(__xludf.DUMMYFUNCTION("""COMPUTED_VALUE"""),"Студент")</f>
        <v>Студент</v>
      </c>
    </row>
    <row r="2025" spans="1:3">
      <c r="A2025" s="76">
        <f ca="1">IFERROR(__xludf.DUMMYFUNCTION("""COMPUTED_VALUE"""),2311692)</f>
        <v>2311692</v>
      </c>
      <c r="B2025" s="76" t="str">
        <f ca="1">IFERROR(__xludf.DUMMYFUNCTION("""COMPUTED_VALUE"""),"Ходан Лилия Аркадьевна")</f>
        <v>Ходан Лилия Аркадьевна</v>
      </c>
      <c r="C2025" s="75" t="str">
        <f ca="1">IFERROR(__xludf.DUMMYFUNCTION("""COMPUTED_VALUE"""),"Аспирант")</f>
        <v>Аспирант</v>
      </c>
    </row>
    <row r="2026" spans="1:3">
      <c r="A2026" s="76">
        <f ca="1">IFERROR(__xludf.DUMMYFUNCTION("""COMPUTED_VALUE"""),2311697)</f>
        <v>2311697</v>
      </c>
      <c r="B2026" s="76" t="str">
        <f ca="1">IFERROR(__xludf.DUMMYFUNCTION("""COMPUTED_VALUE"""),"Конопак Екатерина Сергеевна")</f>
        <v>Конопак Екатерина Сергеевна</v>
      </c>
      <c r="C2026" s="75" t="str">
        <f ca="1">IFERROR(__xludf.DUMMYFUNCTION("""COMPUTED_VALUE"""),"Студент")</f>
        <v>Студент</v>
      </c>
    </row>
    <row r="2027" spans="1:3">
      <c r="A2027" s="76">
        <f ca="1">IFERROR(__xludf.DUMMYFUNCTION("""COMPUTED_VALUE"""),2311699)</f>
        <v>2311699</v>
      </c>
      <c r="B2027" s="76" t="str">
        <f ca="1">IFERROR(__xludf.DUMMYFUNCTION("""COMPUTED_VALUE"""),"Муравьев Данила Игоревич")</f>
        <v>Муравьев Данила Игоревич</v>
      </c>
      <c r="C2027" s="75" t="str">
        <f ca="1">IFERROR(__xludf.DUMMYFUNCTION("""COMPUTED_VALUE"""),"Студент")</f>
        <v>Студент</v>
      </c>
    </row>
    <row r="2028" spans="1:3">
      <c r="A2028" s="76">
        <f ca="1">IFERROR(__xludf.DUMMYFUNCTION("""COMPUTED_VALUE"""),2311709)</f>
        <v>2311709</v>
      </c>
      <c r="B2028" s="76" t="str">
        <f ca="1">IFERROR(__xludf.DUMMYFUNCTION("""COMPUTED_VALUE"""),"Щелчкова Татьяна Денисовна")</f>
        <v>Щелчкова Татьяна Денисовна</v>
      </c>
      <c r="C2028" s="75" t="str">
        <f ca="1">IFERROR(__xludf.DUMMYFUNCTION("""COMPUTED_VALUE"""),"Студент")</f>
        <v>Студент</v>
      </c>
    </row>
    <row r="2029" spans="1:3">
      <c r="A2029" s="76">
        <f ca="1">IFERROR(__xludf.DUMMYFUNCTION("""COMPUTED_VALUE"""),2311711)</f>
        <v>2311711</v>
      </c>
      <c r="B2029" s="76" t="str">
        <f ca="1">IFERROR(__xludf.DUMMYFUNCTION("""COMPUTED_VALUE"""),"Хромушкин Кирилл Денисович")</f>
        <v>Хромушкин Кирилл Денисович</v>
      </c>
      <c r="C2029" s="75" t="str">
        <f ca="1">IFERROR(__xludf.DUMMYFUNCTION("""COMPUTED_VALUE"""),"Аспирант")</f>
        <v>Аспирант</v>
      </c>
    </row>
    <row r="2030" spans="1:3">
      <c r="A2030" s="76">
        <f ca="1">IFERROR(__xludf.DUMMYFUNCTION("""COMPUTED_VALUE"""),2311717)</f>
        <v>2311717</v>
      </c>
      <c r="B2030" s="76" t="str">
        <f ca="1">IFERROR(__xludf.DUMMYFUNCTION("""COMPUTED_VALUE"""),"Шульгин Максим Александрович")</f>
        <v>Шульгин Максим Александрович</v>
      </c>
      <c r="C2030" s="75" t="str">
        <f ca="1">IFERROR(__xludf.DUMMYFUNCTION("""COMPUTED_VALUE"""),"Студент")</f>
        <v>Студент</v>
      </c>
    </row>
    <row r="2031" spans="1:3">
      <c r="A2031" s="76">
        <f ca="1">IFERROR(__xludf.DUMMYFUNCTION("""COMPUTED_VALUE"""),2311723)</f>
        <v>2311723</v>
      </c>
      <c r="B2031" s="76" t="str">
        <f ca="1">IFERROR(__xludf.DUMMYFUNCTION("""COMPUTED_VALUE"""),"Верховникова Екатерина Николаевна")</f>
        <v>Верховникова Екатерина Николаевна</v>
      </c>
      <c r="C2031" s="75" t="str">
        <f ca="1">IFERROR(__xludf.DUMMYFUNCTION("""COMPUTED_VALUE"""),"Студент")</f>
        <v>Студент</v>
      </c>
    </row>
    <row r="2032" spans="1:3">
      <c r="A2032" s="76">
        <f ca="1">IFERROR(__xludf.DUMMYFUNCTION("""COMPUTED_VALUE"""),2311725)</f>
        <v>2311725</v>
      </c>
      <c r="B2032" s="76" t="str">
        <f ca="1">IFERROR(__xludf.DUMMYFUNCTION("""COMPUTED_VALUE"""),"Фокина Татьяна Владимировна")</f>
        <v>Фокина Татьяна Владимировна</v>
      </c>
      <c r="C2032" s="75" t="str">
        <f ca="1">IFERROR(__xludf.DUMMYFUNCTION("""COMPUTED_VALUE"""),"Студент")</f>
        <v>Студент</v>
      </c>
    </row>
    <row r="2033" spans="1:3">
      <c r="A2033" s="76">
        <f ca="1">IFERROR(__xludf.DUMMYFUNCTION("""COMPUTED_VALUE"""),2311726)</f>
        <v>2311726</v>
      </c>
      <c r="B2033" s="76" t="str">
        <f ca="1">IFERROR(__xludf.DUMMYFUNCTION("""COMPUTED_VALUE"""),"Александровский Эдуард Константинович")</f>
        <v>Александровский Эдуард Константинович</v>
      </c>
      <c r="C2033" s="75" t="str">
        <f ca="1">IFERROR(__xludf.DUMMYFUNCTION("""COMPUTED_VALUE"""),"Аспирант")</f>
        <v>Аспирант</v>
      </c>
    </row>
    <row r="2034" spans="1:3">
      <c r="A2034" s="76">
        <f ca="1">IFERROR(__xludf.DUMMYFUNCTION("""COMPUTED_VALUE"""),2311732)</f>
        <v>2311732</v>
      </c>
      <c r="B2034" s="76" t="str">
        <f ca="1">IFERROR(__xludf.DUMMYFUNCTION("""COMPUTED_VALUE"""),"Филиппова Екатерина Владимировна")</f>
        <v>Филиппова Екатерина Владимировна</v>
      </c>
      <c r="C2034" s="75" t="str">
        <f ca="1">IFERROR(__xludf.DUMMYFUNCTION("""COMPUTED_VALUE"""),"Студент")</f>
        <v>Студент</v>
      </c>
    </row>
    <row r="2035" spans="1:3">
      <c r="A2035" s="76">
        <f ca="1">IFERROR(__xludf.DUMMYFUNCTION("""COMPUTED_VALUE"""),2311736)</f>
        <v>2311736</v>
      </c>
      <c r="B2035" s="76" t="str">
        <f ca="1">IFERROR(__xludf.DUMMYFUNCTION("""COMPUTED_VALUE"""),"Грачев Роман Игоревич")</f>
        <v>Грачев Роман Игоревич</v>
      </c>
      <c r="C2035" s="75" t="str">
        <f ca="1">IFERROR(__xludf.DUMMYFUNCTION("""COMPUTED_VALUE"""),"Студент")</f>
        <v>Студент</v>
      </c>
    </row>
    <row r="2036" spans="1:3">
      <c r="A2036" s="76">
        <f ca="1">IFERROR(__xludf.DUMMYFUNCTION("""COMPUTED_VALUE"""),2311737)</f>
        <v>2311737</v>
      </c>
      <c r="B2036" s="76" t="str">
        <f ca="1">IFERROR(__xludf.DUMMYFUNCTION("""COMPUTED_VALUE"""),"Мозиков Михаил Борисович")</f>
        <v>Мозиков Михаил Борисович</v>
      </c>
      <c r="C2036" s="75" t="str">
        <f ca="1">IFERROR(__xludf.DUMMYFUNCTION("""COMPUTED_VALUE"""),"Аспирант")</f>
        <v>Аспирант</v>
      </c>
    </row>
    <row r="2037" spans="1:3">
      <c r="A2037" s="76">
        <f ca="1">IFERROR(__xludf.DUMMYFUNCTION("""COMPUTED_VALUE"""),2311739)</f>
        <v>2311739</v>
      </c>
      <c r="B2037" s="76" t="str">
        <f ca="1">IFERROR(__xludf.DUMMYFUNCTION("""COMPUTED_VALUE"""),"Буданова Екатерина Сергеевна")</f>
        <v>Буданова Екатерина Сергеевна</v>
      </c>
      <c r="C2037" s="75" t="str">
        <f ca="1">IFERROR(__xludf.DUMMYFUNCTION("""COMPUTED_VALUE"""),"Аспирант")</f>
        <v>Аспирант</v>
      </c>
    </row>
    <row r="2038" spans="1:3">
      <c r="A2038" s="76">
        <f ca="1">IFERROR(__xludf.DUMMYFUNCTION("""COMPUTED_VALUE"""),2311743)</f>
        <v>2311743</v>
      </c>
      <c r="B2038" s="76" t="str">
        <f ca="1">IFERROR(__xludf.DUMMYFUNCTION("""COMPUTED_VALUE"""),"Хахалин Владимир Дмитриевич")</f>
        <v>Хахалин Владимир Дмитриевич</v>
      </c>
      <c r="C2038" s="75" t="str">
        <f ca="1">IFERROR(__xludf.DUMMYFUNCTION("""COMPUTED_VALUE"""),"Аспирант")</f>
        <v>Аспирант</v>
      </c>
    </row>
    <row r="2039" spans="1:3">
      <c r="A2039" s="76">
        <f ca="1">IFERROR(__xludf.DUMMYFUNCTION("""COMPUTED_VALUE"""),2311764)</f>
        <v>2311764</v>
      </c>
      <c r="B2039" s="76" t="str">
        <f ca="1">IFERROR(__xludf.DUMMYFUNCTION("""COMPUTED_VALUE"""),"Селивёрстов Никита Александрович")</f>
        <v>Селивёрстов Никита Александрович</v>
      </c>
      <c r="C2039" s="75" t="str">
        <f ca="1">IFERROR(__xludf.DUMMYFUNCTION("""COMPUTED_VALUE"""),"Студент")</f>
        <v>Студент</v>
      </c>
    </row>
    <row r="2040" spans="1:3">
      <c r="A2040" s="76">
        <f ca="1">IFERROR(__xludf.DUMMYFUNCTION("""COMPUTED_VALUE"""),2311776)</f>
        <v>2311776</v>
      </c>
      <c r="B2040" s="76" t="str">
        <f ca="1">IFERROR(__xludf.DUMMYFUNCTION("""COMPUTED_VALUE"""),"Власов Александр Евгеньевич")</f>
        <v>Власов Александр Евгеньевич</v>
      </c>
      <c r="C2040" s="75" t="str">
        <f ca="1">IFERROR(__xludf.DUMMYFUNCTION("""COMPUTED_VALUE"""),"Студент")</f>
        <v>Студент</v>
      </c>
    </row>
    <row r="2041" spans="1:3">
      <c r="A2041" s="76">
        <f ca="1">IFERROR(__xludf.DUMMYFUNCTION("""COMPUTED_VALUE"""),2311780)</f>
        <v>2311780</v>
      </c>
      <c r="B2041" s="76" t="str">
        <f ca="1">IFERROR(__xludf.DUMMYFUNCTION("""COMPUTED_VALUE"""),"Остриков Андрей Вячеславович")</f>
        <v>Остриков Андрей Вячеславович</v>
      </c>
      <c r="C2041" s="75" t="str">
        <f ca="1">IFERROR(__xludf.DUMMYFUNCTION("""COMPUTED_VALUE"""),"Аспирант")</f>
        <v>Аспирант</v>
      </c>
    </row>
    <row r="2042" spans="1:3">
      <c r="A2042" s="76">
        <f ca="1">IFERROR(__xludf.DUMMYFUNCTION("""COMPUTED_VALUE"""),2311791)</f>
        <v>2311791</v>
      </c>
      <c r="B2042" s="76" t="str">
        <f ca="1">IFERROR(__xludf.DUMMYFUNCTION("""COMPUTED_VALUE"""),"Щетинин Максим Валерьевич")</f>
        <v>Щетинин Максим Валерьевич</v>
      </c>
      <c r="C2042" s="75" t="str">
        <f ca="1">IFERROR(__xludf.DUMMYFUNCTION("""COMPUTED_VALUE"""),"Студент")</f>
        <v>Студент</v>
      </c>
    </row>
    <row r="2043" spans="1:3">
      <c r="A2043" s="76">
        <f ca="1">IFERROR(__xludf.DUMMYFUNCTION("""COMPUTED_VALUE"""),2311798)</f>
        <v>2311798</v>
      </c>
      <c r="B2043" s="76" t="str">
        <f ca="1">IFERROR(__xludf.DUMMYFUNCTION("""COMPUTED_VALUE"""),"Пидюкова Алена Владимировна")</f>
        <v>Пидюкова Алена Владимировна</v>
      </c>
      <c r="C2043" s="75" t="str">
        <f ca="1">IFERROR(__xludf.DUMMYFUNCTION("""COMPUTED_VALUE"""),"Студент")</f>
        <v>Студент</v>
      </c>
    </row>
    <row r="2044" spans="1:3">
      <c r="A2044" s="76">
        <f ca="1">IFERROR(__xludf.DUMMYFUNCTION("""COMPUTED_VALUE"""),2311801)</f>
        <v>2311801</v>
      </c>
      <c r="B2044" s="76" t="str">
        <f ca="1">IFERROR(__xludf.DUMMYFUNCTION("""COMPUTED_VALUE"""),"Егоров Владимир Юрьевич")</f>
        <v>Егоров Владимир Юрьевич</v>
      </c>
      <c r="C2044" s="75" t="str">
        <f ca="1">IFERROR(__xludf.DUMMYFUNCTION("""COMPUTED_VALUE"""),"Аспирант")</f>
        <v>Аспирант</v>
      </c>
    </row>
    <row r="2045" spans="1:3">
      <c r="A2045" s="76">
        <f ca="1">IFERROR(__xludf.DUMMYFUNCTION("""COMPUTED_VALUE"""),2311802)</f>
        <v>2311802</v>
      </c>
      <c r="B2045" s="76" t="str">
        <f ca="1">IFERROR(__xludf.DUMMYFUNCTION("""COMPUTED_VALUE"""),"Крюков Данила Дмитриевич")</f>
        <v>Крюков Данила Дмитриевич</v>
      </c>
      <c r="C2045" s="75" t="str">
        <f ca="1">IFERROR(__xludf.DUMMYFUNCTION("""COMPUTED_VALUE"""),"Студент")</f>
        <v>Студент</v>
      </c>
    </row>
    <row r="2046" spans="1:3">
      <c r="A2046" s="76">
        <f ca="1">IFERROR(__xludf.DUMMYFUNCTION("""COMPUTED_VALUE"""),2311803)</f>
        <v>2311803</v>
      </c>
      <c r="B2046" s="76" t="str">
        <f ca="1">IFERROR(__xludf.DUMMYFUNCTION("""COMPUTED_VALUE"""),"Козаев Артём Аланович")</f>
        <v>Козаев Артём Аланович</v>
      </c>
      <c r="C2046" s="75" t="str">
        <f ca="1">IFERROR(__xludf.DUMMYFUNCTION("""COMPUTED_VALUE"""),"Аспирант")</f>
        <v>Аспирант</v>
      </c>
    </row>
    <row r="2047" spans="1:3">
      <c r="A2047" s="76">
        <f ca="1">IFERROR(__xludf.DUMMYFUNCTION("""COMPUTED_VALUE"""),2311804)</f>
        <v>2311804</v>
      </c>
      <c r="B2047" s="76" t="str">
        <f ca="1">IFERROR(__xludf.DUMMYFUNCTION("""COMPUTED_VALUE"""),"Ермаков Алексей Юрьевич")</f>
        <v>Ермаков Алексей Юрьевич</v>
      </c>
      <c r="C2047" s="75" t="str">
        <f ca="1">IFERROR(__xludf.DUMMYFUNCTION("""COMPUTED_VALUE"""),"Аспирант")</f>
        <v>Аспирант</v>
      </c>
    </row>
    <row r="2048" spans="1:3">
      <c r="A2048" s="76">
        <f ca="1">IFERROR(__xludf.DUMMYFUNCTION("""COMPUTED_VALUE"""),2311807)</f>
        <v>2311807</v>
      </c>
      <c r="B2048" s="76" t="str">
        <f ca="1">IFERROR(__xludf.DUMMYFUNCTION("""COMPUTED_VALUE"""),"Иванова Карина Андреевна")</f>
        <v>Иванова Карина Андреевна</v>
      </c>
      <c r="C2048" s="75" t="str">
        <f ca="1">IFERROR(__xludf.DUMMYFUNCTION("""COMPUTED_VALUE"""),"Студент")</f>
        <v>Студент</v>
      </c>
    </row>
    <row r="2049" spans="1:3">
      <c r="A2049" s="76">
        <f ca="1">IFERROR(__xludf.DUMMYFUNCTION("""COMPUTED_VALUE"""),2311810)</f>
        <v>2311810</v>
      </c>
      <c r="B2049" s="76" t="str">
        <f ca="1">IFERROR(__xludf.DUMMYFUNCTION("""COMPUTED_VALUE"""),"Ларюшин Виктор Романович")</f>
        <v>Ларюшин Виктор Романович</v>
      </c>
      <c r="C2049" s="75" t="str">
        <f ca="1">IFERROR(__xludf.DUMMYFUNCTION("""COMPUTED_VALUE"""),"Студент")</f>
        <v>Студент</v>
      </c>
    </row>
    <row r="2050" spans="1:3">
      <c r="A2050" s="76">
        <f ca="1">IFERROR(__xludf.DUMMYFUNCTION("""COMPUTED_VALUE"""),2311813)</f>
        <v>2311813</v>
      </c>
      <c r="B2050" s="76" t="str">
        <f ca="1">IFERROR(__xludf.DUMMYFUNCTION("""COMPUTED_VALUE"""),"Абакаров Джамал Арсенович")</f>
        <v>Абакаров Джамал Арсенович</v>
      </c>
      <c r="C2050" s="75" t="str">
        <f ca="1">IFERROR(__xludf.DUMMYFUNCTION("""COMPUTED_VALUE"""),"Студент")</f>
        <v>Студент</v>
      </c>
    </row>
    <row r="2051" spans="1:3">
      <c r="A2051" s="76">
        <f ca="1">IFERROR(__xludf.DUMMYFUNCTION("""COMPUTED_VALUE"""),2311826)</f>
        <v>2311826</v>
      </c>
      <c r="B2051" s="76" t="str">
        <f ca="1">IFERROR(__xludf.DUMMYFUNCTION("""COMPUTED_VALUE"""),"Лялин Илья Антонович")</f>
        <v>Лялин Илья Антонович</v>
      </c>
      <c r="C2051" s="75" t="str">
        <f ca="1">IFERROR(__xludf.DUMMYFUNCTION("""COMPUTED_VALUE"""),"Студент")</f>
        <v>Студент</v>
      </c>
    </row>
    <row r="2052" spans="1:3">
      <c r="A2052" s="76">
        <f ca="1">IFERROR(__xludf.DUMMYFUNCTION("""COMPUTED_VALUE"""),2311832)</f>
        <v>2311832</v>
      </c>
      <c r="B2052" s="76" t="str">
        <f ca="1">IFERROR(__xludf.DUMMYFUNCTION("""COMPUTED_VALUE"""),"Голованов Никита Сергеевич")</f>
        <v>Голованов Никита Сергеевич</v>
      </c>
      <c r="C2052" s="75" t="str">
        <f ca="1">IFERROR(__xludf.DUMMYFUNCTION("""COMPUTED_VALUE"""),"Аспирант")</f>
        <v>Аспирант</v>
      </c>
    </row>
    <row r="2053" spans="1:3">
      <c r="A2053" s="76">
        <f ca="1">IFERROR(__xludf.DUMMYFUNCTION("""COMPUTED_VALUE"""),2311834)</f>
        <v>2311834</v>
      </c>
      <c r="B2053" s="76" t="str">
        <f ca="1">IFERROR(__xludf.DUMMYFUNCTION("""COMPUTED_VALUE"""),"Тришкин Юрий Дмитриевич")</f>
        <v>Тришкин Юрий Дмитриевич</v>
      </c>
      <c r="C2053" s="75" t="str">
        <f ca="1">IFERROR(__xludf.DUMMYFUNCTION("""COMPUTED_VALUE"""),"Студент")</f>
        <v>Студент</v>
      </c>
    </row>
    <row r="2054" spans="1:3">
      <c r="A2054" s="76">
        <f ca="1">IFERROR(__xludf.DUMMYFUNCTION("""COMPUTED_VALUE"""),2311845)</f>
        <v>2311845</v>
      </c>
      <c r="B2054" s="76" t="str">
        <f ca="1">IFERROR(__xludf.DUMMYFUNCTION("""COMPUTED_VALUE"""),"Шенгерий Михаил Олегович")</f>
        <v>Шенгерий Михаил Олегович</v>
      </c>
      <c r="C2054" s="75" t="str">
        <f ca="1">IFERROR(__xludf.DUMMYFUNCTION("""COMPUTED_VALUE"""),"Аспирант")</f>
        <v>Аспирант</v>
      </c>
    </row>
    <row r="2055" spans="1:3">
      <c r="A2055" s="76">
        <f ca="1">IFERROR(__xludf.DUMMYFUNCTION("""COMPUTED_VALUE"""),2311850)</f>
        <v>2311850</v>
      </c>
      <c r="B2055" s="76" t="str">
        <f ca="1">IFERROR(__xludf.DUMMYFUNCTION("""COMPUTED_VALUE"""),"Гришаева Арина Сергеевна")</f>
        <v>Гришаева Арина Сергеевна</v>
      </c>
      <c r="C2055" s="75" t="str">
        <f ca="1">IFERROR(__xludf.DUMMYFUNCTION("""COMPUTED_VALUE"""),"Студент")</f>
        <v>Студент</v>
      </c>
    </row>
    <row r="2056" spans="1:3">
      <c r="A2056" s="76">
        <f ca="1">IFERROR(__xludf.DUMMYFUNCTION("""COMPUTED_VALUE"""),2311853)</f>
        <v>2311853</v>
      </c>
      <c r="B2056" s="76" t="str">
        <f ca="1">IFERROR(__xludf.DUMMYFUNCTION("""COMPUTED_VALUE"""),"Богданов Дмитрий Романович")</f>
        <v>Богданов Дмитрий Романович</v>
      </c>
      <c r="C2056" s="75" t="str">
        <f ca="1">IFERROR(__xludf.DUMMYFUNCTION("""COMPUTED_VALUE"""),"Студент")</f>
        <v>Студент</v>
      </c>
    </row>
    <row r="2057" spans="1:3">
      <c r="A2057" s="76">
        <f ca="1">IFERROR(__xludf.DUMMYFUNCTION("""COMPUTED_VALUE"""),2311859)</f>
        <v>2311859</v>
      </c>
      <c r="B2057" s="76" t="str">
        <f ca="1">IFERROR(__xludf.DUMMYFUNCTION("""COMPUTED_VALUE"""),"Старостин Вадим Валерьевич")</f>
        <v>Старостин Вадим Валерьевич</v>
      </c>
      <c r="C2057" s="75" t="str">
        <f ca="1">IFERROR(__xludf.DUMMYFUNCTION("""COMPUTED_VALUE"""),"Студент")</f>
        <v>Студент</v>
      </c>
    </row>
    <row r="2058" spans="1:3">
      <c r="A2058" s="76">
        <f ca="1">IFERROR(__xludf.DUMMYFUNCTION("""COMPUTED_VALUE"""),2311866)</f>
        <v>2311866</v>
      </c>
      <c r="B2058" s="76" t="str">
        <f ca="1">IFERROR(__xludf.DUMMYFUNCTION("""COMPUTED_VALUE"""),"Колесникова Дарья Павловна")</f>
        <v>Колесникова Дарья Павловна</v>
      </c>
      <c r="C2058" s="75" t="str">
        <f ca="1">IFERROR(__xludf.DUMMYFUNCTION("""COMPUTED_VALUE"""),"Студент")</f>
        <v>Студент</v>
      </c>
    </row>
    <row r="2059" spans="1:3">
      <c r="A2059" s="76">
        <f ca="1">IFERROR(__xludf.DUMMYFUNCTION("""COMPUTED_VALUE"""),2311878)</f>
        <v>2311878</v>
      </c>
      <c r="B2059" s="76" t="str">
        <f ca="1">IFERROR(__xludf.DUMMYFUNCTION("""COMPUTED_VALUE"""),"Левина Алиса Игоревна")</f>
        <v>Левина Алиса Игоревна</v>
      </c>
      <c r="C2059" s="75" t="str">
        <f ca="1">IFERROR(__xludf.DUMMYFUNCTION("""COMPUTED_VALUE"""),"Студент")</f>
        <v>Студент</v>
      </c>
    </row>
    <row r="2060" spans="1:3">
      <c r="A2060" s="76">
        <f ca="1">IFERROR(__xludf.DUMMYFUNCTION("""COMPUTED_VALUE"""),2311883)</f>
        <v>2311883</v>
      </c>
      <c r="B2060" s="76" t="str">
        <f ca="1">IFERROR(__xludf.DUMMYFUNCTION("""COMPUTED_VALUE"""),"Дубовскова Анастасия Алексеевна")</f>
        <v>Дубовскова Анастасия Алексеевна</v>
      </c>
      <c r="C2060" s="75" t="str">
        <f ca="1">IFERROR(__xludf.DUMMYFUNCTION("""COMPUTED_VALUE"""),"Аспирант")</f>
        <v>Аспирант</v>
      </c>
    </row>
    <row r="2061" spans="1:3">
      <c r="A2061" s="76">
        <f ca="1">IFERROR(__xludf.DUMMYFUNCTION("""COMPUTED_VALUE"""),2311884)</f>
        <v>2311884</v>
      </c>
      <c r="B2061" s="76" t="str">
        <f ca="1">IFERROR(__xludf.DUMMYFUNCTION("""COMPUTED_VALUE"""),"Бураго Антон Вячеславович")</f>
        <v>Бураго Антон Вячеславович</v>
      </c>
      <c r="C2061" s="75" t="str">
        <f ca="1">IFERROR(__xludf.DUMMYFUNCTION("""COMPUTED_VALUE"""),"Студент")</f>
        <v>Студент</v>
      </c>
    </row>
    <row r="2062" spans="1:3">
      <c r="A2062" s="76">
        <f ca="1">IFERROR(__xludf.DUMMYFUNCTION("""COMPUTED_VALUE"""),2311888)</f>
        <v>2311888</v>
      </c>
      <c r="B2062" s="76" t="str">
        <f ca="1">IFERROR(__xludf.DUMMYFUNCTION("""COMPUTED_VALUE"""),"Макаров Никита Андреевич")</f>
        <v>Макаров Никита Андреевич</v>
      </c>
      <c r="C2062" s="75" t="str">
        <f ca="1">IFERROR(__xludf.DUMMYFUNCTION("""COMPUTED_VALUE"""),"Студент")</f>
        <v>Студент</v>
      </c>
    </row>
    <row r="2063" spans="1:3">
      <c r="A2063" s="76">
        <f ca="1">IFERROR(__xludf.DUMMYFUNCTION("""COMPUTED_VALUE"""),2311889)</f>
        <v>2311889</v>
      </c>
      <c r="B2063" s="76" t="str">
        <f ca="1">IFERROR(__xludf.DUMMYFUNCTION("""COMPUTED_VALUE"""),"Григорьева Полина Юрьевна")</f>
        <v>Григорьева Полина Юрьевна</v>
      </c>
      <c r="C2063" s="75" t="str">
        <f ca="1">IFERROR(__xludf.DUMMYFUNCTION("""COMPUTED_VALUE"""),"Студент")</f>
        <v>Студент</v>
      </c>
    </row>
    <row r="2064" spans="1:3">
      <c r="A2064" s="76">
        <f ca="1">IFERROR(__xludf.DUMMYFUNCTION("""COMPUTED_VALUE"""),2311894)</f>
        <v>2311894</v>
      </c>
      <c r="B2064" s="76" t="str">
        <f ca="1">IFERROR(__xludf.DUMMYFUNCTION("""COMPUTED_VALUE"""),"Шмелев Руслан Муродуллоевич")</f>
        <v>Шмелев Руслан Муродуллоевич</v>
      </c>
      <c r="C2064" s="75" t="str">
        <f ca="1">IFERROR(__xludf.DUMMYFUNCTION("""COMPUTED_VALUE"""),"Студент")</f>
        <v>Студент</v>
      </c>
    </row>
    <row r="2065" spans="1:3">
      <c r="A2065" s="76">
        <f ca="1">IFERROR(__xludf.DUMMYFUNCTION("""COMPUTED_VALUE"""),2311914)</f>
        <v>2311914</v>
      </c>
      <c r="B2065" s="76" t="str">
        <f ca="1">IFERROR(__xludf.DUMMYFUNCTION("""COMPUTED_VALUE"""),"Амелин Кирилл Сергеевич")</f>
        <v>Амелин Кирилл Сергеевич</v>
      </c>
      <c r="C2065" s="75" t="str">
        <f ca="1">IFERROR(__xludf.DUMMYFUNCTION("""COMPUTED_VALUE"""),"Студент")</f>
        <v>Студент</v>
      </c>
    </row>
    <row r="2066" spans="1:3">
      <c r="A2066" s="76">
        <f ca="1">IFERROR(__xludf.DUMMYFUNCTION("""COMPUTED_VALUE"""),2311920)</f>
        <v>2311920</v>
      </c>
      <c r="B2066" s="76" t="str">
        <f ca="1">IFERROR(__xludf.DUMMYFUNCTION("""COMPUTED_VALUE"""),"Некрасов Андрей Владимирович")</f>
        <v>Некрасов Андрей Владимирович</v>
      </c>
      <c r="C2066" s="75" t="str">
        <f ca="1">IFERROR(__xludf.DUMMYFUNCTION("""COMPUTED_VALUE"""),"Аспирант")</f>
        <v>Аспирант</v>
      </c>
    </row>
    <row r="2067" spans="1:3">
      <c r="A2067" s="76">
        <f ca="1">IFERROR(__xludf.DUMMYFUNCTION("""COMPUTED_VALUE"""),2311921)</f>
        <v>2311921</v>
      </c>
      <c r="B2067" s="76" t="str">
        <f ca="1">IFERROR(__xludf.DUMMYFUNCTION("""COMPUTED_VALUE"""),"Орехов Егор Александрович")</f>
        <v>Орехов Егор Александрович</v>
      </c>
      <c r="C2067" s="75" t="str">
        <f ca="1">IFERROR(__xludf.DUMMYFUNCTION("""COMPUTED_VALUE"""),"Аспирант")</f>
        <v>Аспирант</v>
      </c>
    </row>
    <row r="2068" spans="1:3">
      <c r="A2068" s="76">
        <f ca="1">IFERROR(__xludf.DUMMYFUNCTION("""COMPUTED_VALUE"""),2311924)</f>
        <v>2311924</v>
      </c>
      <c r="B2068" s="76" t="str">
        <f ca="1">IFERROR(__xludf.DUMMYFUNCTION("""COMPUTED_VALUE"""),"Тихонов Кирилл Валерьевич")</f>
        <v>Тихонов Кирилл Валерьевич</v>
      </c>
      <c r="C2068" s="75" t="str">
        <f ca="1">IFERROR(__xludf.DUMMYFUNCTION("""COMPUTED_VALUE"""),"Аспирант")</f>
        <v>Аспирант</v>
      </c>
    </row>
    <row r="2069" spans="1:3">
      <c r="A2069" s="76">
        <f ca="1">IFERROR(__xludf.DUMMYFUNCTION("""COMPUTED_VALUE"""),2311928)</f>
        <v>2311928</v>
      </c>
      <c r="B2069" s="76" t="str">
        <f ca="1">IFERROR(__xludf.DUMMYFUNCTION("""COMPUTED_VALUE"""),"Саченок Даниил Алексеевич")</f>
        <v>Саченок Даниил Алексеевич</v>
      </c>
      <c r="C2069" s="75" t="str">
        <f ca="1">IFERROR(__xludf.DUMMYFUNCTION("""COMPUTED_VALUE"""),"Аспирант")</f>
        <v>Аспирант</v>
      </c>
    </row>
    <row r="2070" spans="1:3">
      <c r="A2070" s="76">
        <f ca="1">IFERROR(__xludf.DUMMYFUNCTION("""COMPUTED_VALUE"""),2311929)</f>
        <v>2311929</v>
      </c>
      <c r="B2070" s="76" t="str">
        <f ca="1">IFERROR(__xludf.DUMMYFUNCTION("""COMPUTED_VALUE"""),"Климченко Кирилл Петрович")</f>
        <v>Климченко Кирилл Петрович</v>
      </c>
      <c r="C2070" s="75" t="str">
        <f ca="1">IFERROR(__xludf.DUMMYFUNCTION("""COMPUTED_VALUE"""),"Аспирант")</f>
        <v>Аспирант</v>
      </c>
    </row>
    <row r="2071" spans="1:3">
      <c r="A2071" s="76">
        <f ca="1">IFERROR(__xludf.DUMMYFUNCTION("""COMPUTED_VALUE"""),2311931)</f>
        <v>2311931</v>
      </c>
      <c r="B2071" s="76" t="str">
        <f ca="1">IFERROR(__xludf.DUMMYFUNCTION("""COMPUTED_VALUE"""),"Марченков Валерий Валентинович")</f>
        <v>Марченков Валерий Валентинович</v>
      </c>
      <c r="C2071" s="75" t="str">
        <f ca="1">IFERROR(__xludf.DUMMYFUNCTION("""COMPUTED_VALUE"""),"Аспирант")</f>
        <v>Аспирант</v>
      </c>
    </row>
    <row r="2072" spans="1:3">
      <c r="A2072" s="76">
        <f ca="1">IFERROR(__xludf.DUMMYFUNCTION("""COMPUTED_VALUE"""),2311932)</f>
        <v>2311932</v>
      </c>
      <c r="B2072" s="76" t="str">
        <f ca="1">IFERROR(__xludf.DUMMYFUNCTION("""COMPUTED_VALUE"""),"Горбенко Артём Дмитриевич")</f>
        <v>Горбенко Артём Дмитриевич</v>
      </c>
      <c r="C2072" s="75" t="str">
        <f ca="1">IFERROR(__xludf.DUMMYFUNCTION("""COMPUTED_VALUE"""),"Аспирант")</f>
        <v>Аспирант</v>
      </c>
    </row>
    <row r="2073" spans="1:3">
      <c r="A2073" s="76">
        <f ca="1">IFERROR(__xludf.DUMMYFUNCTION("""COMPUTED_VALUE"""),2311933)</f>
        <v>2311933</v>
      </c>
      <c r="B2073" s="76" t="str">
        <f ca="1">IFERROR(__xludf.DUMMYFUNCTION("""COMPUTED_VALUE"""),"Токин Георгий Михайлович")</f>
        <v>Токин Георгий Михайлович</v>
      </c>
      <c r="C2073" s="75" t="str">
        <f ca="1">IFERROR(__xludf.DUMMYFUNCTION("""COMPUTED_VALUE"""),"Аспирант")</f>
        <v>Аспирант</v>
      </c>
    </row>
    <row r="2074" spans="1:3">
      <c r="A2074" s="76">
        <f ca="1">IFERROR(__xludf.DUMMYFUNCTION("""COMPUTED_VALUE"""),2311934)</f>
        <v>2311934</v>
      </c>
      <c r="B2074" s="76" t="str">
        <f ca="1">IFERROR(__xludf.DUMMYFUNCTION("""COMPUTED_VALUE"""),"Быканов Артём Сергеевич")</f>
        <v>Быканов Артём Сергеевич</v>
      </c>
      <c r="C2074" s="75" t="str">
        <f ca="1">IFERROR(__xludf.DUMMYFUNCTION("""COMPUTED_VALUE"""),"Аспирант")</f>
        <v>Аспирант</v>
      </c>
    </row>
    <row r="2075" spans="1:3">
      <c r="A2075" s="76">
        <f ca="1">IFERROR(__xludf.DUMMYFUNCTION("""COMPUTED_VALUE"""),2311935)</f>
        <v>2311935</v>
      </c>
      <c r="B2075" s="76" t="str">
        <f ca="1">IFERROR(__xludf.DUMMYFUNCTION("""COMPUTED_VALUE"""),"Дрожжин Денис Александрович")</f>
        <v>Дрожжин Денис Александрович</v>
      </c>
      <c r="C2075" s="75" t="str">
        <f ca="1">IFERROR(__xludf.DUMMYFUNCTION("""COMPUTED_VALUE"""),"Аспирант")</f>
        <v>Аспирант</v>
      </c>
    </row>
    <row r="2076" spans="1:3">
      <c r="A2076" s="76">
        <f ca="1">IFERROR(__xludf.DUMMYFUNCTION("""COMPUTED_VALUE"""),2311950)</f>
        <v>2311950</v>
      </c>
      <c r="B2076" s="76" t="str">
        <f ca="1">IFERROR(__xludf.DUMMYFUNCTION("""COMPUTED_VALUE"""),"Абдумуминов Аъзам Абдумавлон угли")</f>
        <v>Абдумуминов Аъзам Абдумавлон угли</v>
      </c>
      <c r="C2076" s="75" t="str">
        <f ca="1">IFERROR(__xludf.DUMMYFUNCTION("""COMPUTED_VALUE"""),"Студент")</f>
        <v>Студент</v>
      </c>
    </row>
    <row r="2077" spans="1:3">
      <c r="A2077" s="76">
        <f ca="1">IFERROR(__xludf.DUMMYFUNCTION("""COMPUTED_VALUE"""),2311953)</f>
        <v>2311953</v>
      </c>
      <c r="B2077" s="76" t="str">
        <f ca="1">IFERROR(__xludf.DUMMYFUNCTION("""COMPUTED_VALUE"""),"Гончарова Мария Игоревна")</f>
        <v>Гончарова Мария Игоревна</v>
      </c>
      <c r="C2077" s="75" t="str">
        <f ca="1">IFERROR(__xludf.DUMMYFUNCTION("""COMPUTED_VALUE"""),"Студент")</f>
        <v>Студент</v>
      </c>
    </row>
    <row r="2078" spans="1:3">
      <c r="A2078" s="76">
        <f ca="1">IFERROR(__xludf.DUMMYFUNCTION("""COMPUTED_VALUE"""),2311954)</f>
        <v>2311954</v>
      </c>
      <c r="B2078" s="76" t="str">
        <f ca="1">IFERROR(__xludf.DUMMYFUNCTION("""COMPUTED_VALUE"""),"Цындыжапов Альберт Андреевич")</f>
        <v>Цындыжапов Альберт Андреевич</v>
      </c>
      <c r="C2078" s="75" t="str">
        <f ca="1">IFERROR(__xludf.DUMMYFUNCTION("""COMPUTED_VALUE"""),"Студент")</f>
        <v>Студент</v>
      </c>
    </row>
    <row r="2079" spans="1:3">
      <c r="A2079" s="76">
        <f ca="1">IFERROR(__xludf.DUMMYFUNCTION("""COMPUTED_VALUE"""),2311956)</f>
        <v>2311956</v>
      </c>
      <c r="B2079" s="76" t="str">
        <f ca="1">IFERROR(__xludf.DUMMYFUNCTION("""COMPUTED_VALUE"""),"Георгиева Анастасия Антоновна")</f>
        <v>Георгиева Анастасия Антоновна</v>
      </c>
      <c r="C2079" s="75" t="str">
        <f ca="1">IFERROR(__xludf.DUMMYFUNCTION("""COMPUTED_VALUE"""),"Студент")</f>
        <v>Студент</v>
      </c>
    </row>
    <row r="2080" spans="1:3">
      <c r="A2080" s="76">
        <f ca="1">IFERROR(__xludf.DUMMYFUNCTION("""COMPUTED_VALUE"""),2311965)</f>
        <v>2311965</v>
      </c>
      <c r="B2080" s="76" t="str">
        <f ca="1">IFERROR(__xludf.DUMMYFUNCTION("""COMPUTED_VALUE"""),"Гильдерман Валерий Сергеевич")</f>
        <v>Гильдерман Валерий Сергеевич</v>
      </c>
      <c r="C2080" s="75" t="str">
        <f ca="1">IFERROR(__xludf.DUMMYFUNCTION("""COMPUTED_VALUE"""),"Студент")</f>
        <v>Студент</v>
      </c>
    </row>
    <row r="2081" spans="1:3">
      <c r="A2081" s="76">
        <f ca="1">IFERROR(__xludf.DUMMYFUNCTION("""COMPUTED_VALUE"""),2311969)</f>
        <v>2311969</v>
      </c>
      <c r="B2081" s="76" t="str">
        <f ca="1">IFERROR(__xludf.DUMMYFUNCTION("""COMPUTED_VALUE"""),"Серезо-Вестер Леон Алексеевич")</f>
        <v>Серезо-Вестер Леон Алексеевич</v>
      </c>
      <c r="C2081" s="75" t="str">
        <f ca="1">IFERROR(__xludf.DUMMYFUNCTION("""COMPUTED_VALUE"""),"Студент")</f>
        <v>Студент</v>
      </c>
    </row>
    <row r="2082" spans="1:3">
      <c r="A2082" s="76">
        <f ca="1">IFERROR(__xludf.DUMMYFUNCTION("""COMPUTED_VALUE"""),2311970)</f>
        <v>2311970</v>
      </c>
      <c r="B2082" s="76" t="str">
        <f ca="1">IFERROR(__xludf.DUMMYFUNCTION("""COMPUTED_VALUE"""),"Ахмедьянова Наиля Ринатовна")</f>
        <v>Ахмедьянова Наиля Ринатовна</v>
      </c>
      <c r="C2082" s="75" t="str">
        <f ca="1">IFERROR(__xludf.DUMMYFUNCTION("""COMPUTED_VALUE"""),"Студент")</f>
        <v>Студент</v>
      </c>
    </row>
    <row r="2083" spans="1:3">
      <c r="A2083" s="76">
        <f ca="1">IFERROR(__xludf.DUMMYFUNCTION("""COMPUTED_VALUE"""),2311981)</f>
        <v>2311981</v>
      </c>
      <c r="B2083" s="76" t="str">
        <f ca="1">IFERROR(__xludf.DUMMYFUNCTION("""COMPUTED_VALUE"""),"Марусев Егор Александрович")</f>
        <v>Марусев Егор Александрович</v>
      </c>
      <c r="C2083" s="75" t="str">
        <f ca="1">IFERROR(__xludf.DUMMYFUNCTION("""COMPUTED_VALUE"""),"Студент")</f>
        <v>Студент</v>
      </c>
    </row>
    <row r="2084" spans="1:3">
      <c r="A2084" s="76">
        <f ca="1">IFERROR(__xludf.DUMMYFUNCTION("""COMPUTED_VALUE"""),2311990)</f>
        <v>2311990</v>
      </c>
      <c r="B2084" s="76" t="str">
        <f ca="1">IFERROR(__xludf.DUMMYFUNCTION("""COMPUTED_VALUE"""),"Цыбина Юлия Сергеевна")</f>
        <v>Цыбина Юлия Сергеевна</v>
      </c>
      <c r="C2084" s="75" t="str">
        <f ca="1">IFERROR(__xludf.DUMMYFUNCTION("""COMPUTED_VALUE"""),"Студент")</f>
        <v>Студент</v>
      </c>
    </row>
    <row r="2085" spans="1:3">
      <c r="A2085" s="76">
        <f ca="1">IFERROR(__xludf.DUMMYFUNCTION("""COMPUTED_VALUE"""),2311992)</f>
        <v>2311992</v>
      </c>
      <c r="B2085" s="76" t="str">
        <f ca="1">IFERROR(__xludf.DUMMYFUNCTION("""COMPUTED_VALUE"""),"Руденко Никита Юрьевич")</f>
        <v>Руденко Никита Юрьевич</v>
      </c>
      <c r="C2085" s="75" t="str">
        <f ca="1">IFERROR(__xludf.DUMMYFUNCTION("""COMPUTED_VALUE"""),"Аспирант")</f>
        <v>Аспирант</v>
      </c>
    </row>
    <row r="2086" spans="1:3">
      <c r="A2086" s="76">
        <f ca="1">IFERROR(__xludf.DUMMYFUNCTION("""COMPUTED_VALUE"""),2311998)</f>
        <v>2311998</v>
      </c>
      <c r="B2086" s="76" t="str">
        <f ca="1">IFERROR(__xludf.DUMMYFUNCTION("""COMPUTED_VALUE"""),"Баркин Роман Станиславович")</f>
        <v>Баркин Роман Станиславович</v>
      </c>
      <c r="C2086" s="75" t="str">
        <f ca="1">IFERROR(__xludf.DUMMYFUNCTION("""COMPUTED_VALUE"""),"Студент")</f>
        <v>Студент</v>
      </c>
    </row>
    <row r="2087" spans="1:3">
      <c r="A2087" s="76">
        <f ca="1">IFERROR(__xludf.DUMMYFUNCTION("""COMPUTED_VALUE"""),2312018)</f>
        <v>2312018</v>
      </c>
      <c r="B2087" s="76" t="str">
        <f ca="1">IFERROR(__xludf.DUMMYFUNCTION("""COMPUTED_VALUE"""),"Карпенко Илья Сергеевич")</f>
        <v>Карпенко Илья Сергеевич</v>
      </c>
      <c r="C2087" s="75" t="str">
        <f ca="1">IFERROR(__xludf.DUMMYFUNCTION("""COMPUTED_VALUE"""),"Студент")</f>
        <v>Студент</v>
      </c>
    </row>
    <row r="2088" spans="1:3">
      <c r="A2088" s="76">
        <f ca="1">IFERROR(__xludf.DUMMYFUNCTION("""COMPUTED_VALUE"""),2312019)</f>
        <v>2312019</v>
      </c>
      <c r="B2088" s="76" t="str">
        <f ca="1">IFERROR(__xludf.DUMMYFUNCTION("""COMPUTED_VALUE"""),"Костин Юрий Сергеевич")</f>
        <v>Костин Юрий Сергеевич</v>
      </c>
      <c r="C2088" s="75" t="str">
        <f ca="1">IFERROR(__xludf.DUMMYFUNCTION("""COMPUTED_VALUE"""),"Аспирант")</f>
        <v>Аспирант</v>
      </c>
    </row>
    <row r="2089" spans="1:3">
      <c r="A2089" s="76">
        <f ca="1">IFERROR(__xludf.DUMMYFUNCTION("""COMPUTED_VALUE"""),2312027)</f>
        <v>2312027</v>
      </c>
      <c r="B2089" s="76" t="str">
        <f ca="1">IFERROR(__xludf.DUMMYFUNCTION("""COMPUTED_VALUE"""),"Гранилина Элина Станиславовна")</f>
        <v>Гранилина Элина Станиславовна</v>
      </c>
      <c r="C2089" s="75" t="str">
        <f ca="1">IFERROR(__xludf.DUMMYFUNCTION("""COMPUTED_VALUE"""),"Студент")</f>
        <v>Студент</v>
      </c>
    </row>
    <row r="2090" spans="1:3">
      <c r="A2090" s="76">
        <f ca="1">IFERROR(__xludf.DUMMYFUNCTION("""COMPUTED_VALUE"""),2312031)</f>
        <v>2312031</v>
      </c>
      <c r="B2090" s="76" t="str">
        <f ca="1">IFERROR(__xludf.DUMMYFUNCTION("""COMPUTED_VALUE"""),"Федюнин Егор Алексеевич")</f>
        <v>Федюнин Егор Алексеевич</v>
      </c>
      <c r="C2090" s="75" t="str">
        <f ca="1">IFERROR(__xludf.DUMMYFUNCTION("""COMPUTED_VALUE"""),"Студент")</f>
        <v>Студент</v>
      </c>
    </row>
    <row r="2091" spans="1:3">
      <c r="A2091" s="76">
        <f ca="1">IFERROR(__xludf.DUMMYFUNCTION("""COMPUTED_VALUE"""),2312039)</f>
        <v>2312039</v>
      </c>
      <c r="B2091" s="76" t="str">
        <f ca="1">IFERROR(__xludf.DUMMYFUNCTION("""COMPUTED_VALUE"""),"Миронов Иван Игоревич")</f>
        <v>Миронов Иван Игоревич</v>
      </c>
      <c r="C2091" s="75" t="str">
        <f ca="1">IFERROR(__xludf.DUMMYFUNCTION("""COMPUTED_VALUE"""),"Студент")</f>
        <v>Студент</v>
      </c>
    </row>
    <row r="2092" spans="1:3">
      <c r="A2092" s="76">
        <f ca="1">IFERROR(__xludf.DUMMYFUNCTION("""COMPUTED_VALUE"""),2312041)</f>
        <v>2312041</v>
      </c>
      <c r="B2092" s="76" t="str">
        <f ca="1">IFERROR(__xludf.DUMMYFUNCTION("""COMPUTED_VALUE"""),"Бобков Ярослав Александрович")</f>
        <v>Бобков Ярослав Александрович</v>
      </c>
      <c r="C2092" s="75" t="str">
        <f ca="1">IFERROR(__xludf.DUMMYFUNCTION("""COMPUTED_VALUE"""),"Студент")</f>
        <v>Студент</v>
      </c>
    </row>
    <row r="2093" spans="1:3">
      <c r="A2093" s="76">
        <f ca="1">IFERROR(__xludf.DUMMYFUNCTION("""COMPUTED_VALUE"""),2312044)</f>
        <v>2312044</v>
      </c>
      <c r="B2093" s="76" t="str">
        <f ca="1">IFERROR(__xludf.DUMMYFUNCTION("""COMPUTED_VALUE"""),"Мальцева Дарья Сергеевна")</f>
        <v>Мальцева Дарья Сергеевна</v>
      </c>
      <c r="C2093" s="75" t="str">
        <f ca="1">IFERROR(__xludf.DUMMYFUNCTION("""COMPUTED_VALUE"""),"Студент")</f>
        <v>Студент</v>
      </c>
    </row>
    <row r="2094" spans="1:3">
      <c r="A2094" s="76">
        <f ca="1">IFERROR(__xludf.DUMMYFUNCTION("""COMPUTED_VALUE"""),2312047)</f>
        <v>2312047</v>
      </c>
      <c r="B2094" s="76" t="str">
        <f ca="1">IFERROR(__xludf.DUMMYFUNCTION("""COMPUTED_VALUE"""),"Гроголь Трофим Георгиевич")</f>
        <v>Гроголь Трофим Георгиевич</v>
      </c>
      <c r="C2094" s="75" t="str">
        <f ca="1">IFERROR(__xludf.DUMMYFUNCTION("""COMPUTED_VALUE"""),"Студент")</f>
        <v>Студент</v>
      </c>
    </row>
    <row r="2095" spans="1:3">
      <c r="A2095" s="76">
        <f ca="1">IFERROR(__xludf.DUMMYFUNCTION("""COMPUTED_VALUE"""),2312057)</f>
        <v>2312057</v>
      </c>
      <c r="B2095" s="76" t="str">
        <f ca="1">IFERROR(__xludf.DUMMYFUNCTION("""COMPUTED_VALUE"""),"Турсунов Тимур Рустамович")</f>
        <v>Турсунов Тимур Рустамович</v>
      </c>
      <c r="C2095" s="75" t="str">
        <f ca="1">IFERROR(__xludf.DUMMYFUNCTION("""COMPUTED_VALUE"""),"Студент")</f>
        <v>Студент</v>
      </c>
    </row>
    <row r="2096" spans="1:3">
      <c r="A2096" s="76">
        <f ca="1">IFERROR(__xludf.DUMMYFUNCTION("""COMPUTED_VALUE"""),2312061)</f>
        <v>2312061</v>
      </c>
      <c r="B2096" s="76" t="str">
        <f ca="1">IFERROR(__xludf.DUMMYFUNCTION("""COMPUTED_VALUE"""),"Захидов Дмитрий Сергеевич")</f>
        <v>Захидов Дмитрий Сергеевич</v>
      </c>
      <c r="C2096" s="75" t="str">
        <f ca="1">IFERROR(__xludf.DUMMYFUNCTION("""COMPUTED_VALUE"""),"Аспирант")</f>
        <v>Аспирант</v>
      </c>
    </row>
    <row r="2097" spans="1:3">
      <c r="A2097" s="76">
        <f ca="1">IFERROR(__xludf.DUMMYFUNCTION("""COMPUTED_VALUE"""),2312071)</f>
        <v>2312071</v>
      </c>
      <c r="B2097" s="76" t="str">
        <f ca="1">IFERROR(__xludf.DUMMYFUNCTION("""COMPUTED_VALUE"""),"Попадьина Варвара Александровна")</f>
        <v>Попадьина Варвара Александровна</v>
      </c>
      <c r="C2097" s="75" t="str">
        <f ca="1">IFERROR(__xludf.DUMMYFUNCTION("""COMPUTED_VALUE"""),"Студент")</f>
        <v>Студент</v>
      </c>
    </row>
    <row r="2098" spans="1:3">
      <c r="A2098" s="76">
        <f ca="1">IFERROR(__xludf.DUMMYFUNCTION("""COMPUTED_VALUE"""),2312073)</f>
        <v>2312073</v>
      </c>
      <c r="B2098" s="76" t="str">
        <f ca="1">IFERROR(__xludf.DUMMYFUNCTION("""COMPUTED_VALUE"""),"Айтмухамедова Эльнара Зауровна")</f>
        <v>Айтмухамедова Эльнара Зауровна</v>
      </c>
      <c r="C2098" s="75" t="str">
        <f ca="1">IFERROR(__xludf.DUMMYFUNCTION("""COMPUTED_VALUE"""),"Студент")</f>
        <v>Студент</v>
      </c>
    </row>
    <row r="2099" spans="1:3">
      <c r="A2099" s="76">
        <f ca="1">IFERROR(__xludf.DUMMYFUNCTION("""COMPUTED_VALUE"""),2312098)</f>
        <v>2312098</v>
      </c>
      <c r="B2099" s="76" t="str">
        <f ca="1">IFERROR(__xludf.DUMMYFUNCTION("""COMPUTED_VALUE"""),"Кононыхин Данил Александрович")</f>
        <v>Кононыхин Данил Александрович</v>
      </c>
      <c r="C2099" s="75" t="str">
        <f ca="1">IFERROR(__xludf.DUMMYFUNCTION("""COMPUTED_VALUE"""),"Аспирант")</f>
        <v>Аспирант</v>
      </c>
    </row>
    <row r="2100" spans="1:3">
      <c r="A2100" s="76">
        <f ca="1">IFERROR(__xludf.DUMMYFUNCTION("""COMPUTED_VALUE"""),2312105)</f>
        <v>2312105</v>
      </c>
      <c r="B2100" s="76" t="str">
        <f ca="1">IFERROR(__xludf.DUMMYFUNCTION("""COMPUTED_VALUE"""),"Туманов Владислав Юрьевич")</f>
        <v>Туманов Владислав Юрьевич</v>
      </c>
      <c r="C2100" s="75" t="str">
        <f ca="1">IFERROR(__xludf.DUMMYFUNCTION("""COMPUTED_VALUE"""),"Студент")</f>
        <v>Студент</v>
      </c>
    </row>
    <row r="2101" spans="1:3">
      <c r="A2101" s="76">
        <f ca="1">IFERROR(__xludf.DUMMYFUNCTION("""COMPUTED_VALUE"""),2312115)</f>
        <v>2312115</v>
      </c>
      <c r="B2101" s="76" t="str">
        <f ca="1">IFERROR(__xludf.DUMMYFUNCTION("""COMPUTED_VALUE"""),"Гизитдинова Анастасия Владимировна")</f>
        <v>Гизитдинова Анастасия Владимировна</v>
      </c>
      <c r="C2101" s="75" t="str">
        <f ca="1">IFERROR(__xludf.DUMMYFUNCTION("""COMPUTED_VALUE"""),"Студент")</f>
        <v>Студент</v>
      </c>
    </row>
    <row r="2102" spans="1:3">
      <c r="A2102" s="76">
        <f ca="1">IFERROR(__xludf.DUMMYFUNCTION("""COMPUTED_VALUE"""),2312120)</f>
        <v>2312120</v>
      </c>
      <c r="B2102" s="76" t="str">
        <f ca="1">IFERROR(__xludf.DUMMYFUNCTION("""COMPUTED_VALUE"""),"Иванов Никита Сергеевич")</f>
        <v>Иванов Никита Сергеевич</v>
      </c>
      <c r="C2102" s="75" t="str">
        <f ca="1">IFERROR(__xludf.DUMMYFUNCTION("""COMPUTED_VALUE"""),"Студент")</f>
        <v>Студент</v>
      </c>
    </row>
    <row r="2103" spans="1:3">
      <c r="A2103" s="76">
        <f ca="1">IFERROR(__xludf.DUMMYFUNCTION("""COMPUTED_VALUE"""),2312121)</f>
        <v>2312121</v>
      </c>
      <c r="B2103" s="76" t="str">
        <f ca="1">IFERROR(__xludf.DUMMYFUNCTION("""COMPUTED_VALUE"""),"Галачинский Сергей Андреевич")</f>
        <v>Галачинский Сергей Андреевич</v>
      </c>
      <c r="C2103" s="75" t="str">
        <f ca="1">IFERROR(__xludf.DUMMYFUNCTION("""COMPUTED_VALUE"""),"Студент")</f>
        <v>Студент</v>
      </c>
    </row>
    <row r="2104" spans="1:3">
      <c r="A2104" s="76">
        <f ca="1">IFERROR(__xludf.DUMMYFUNCTION("""COMPUTED_VALUE"""),2312123)</f>
        <v>2312123</v>
      </c>
      <c r="B2104" s="76" t="str">
        <f ca="1">IFERROR(__xludf.DUMMYFUNCTION("""COMPUTED_VALUE"""),"Павлухина Анастасия Дмитриевна")</f>
        <v>Павлухина Анастасия Дмитриевна</v>
      </c>
      <c r="C2104" s="75" t="str">
        <f ca="1">IFERROR(__xludf.DUMMYFUNCTION("""COMPUTED_VALUE"""),"Студент")</f>
        <v>Студент</v>
      </c>
    </row>
    <row r="2105" spans="1:3">
      <c r="A2105" s="76">
        <f ca="1">IFERROR(__xludf.DUMMYFUNCTION("""COMPUTED_VALUE"""),2312133)</f>
        <v>2312133</v>
      </c>
      <c r="B2105" s="76" t="str">
        <f ca="1">IFERROR(__xludf.DUMMYFUNCTION("""COMPUTED_VALUE"""),"Богачев Андрей Сергеевич")</f>
        <v>Богачев Андрей Сергеевич</v>
      </c>
      <c r="C2105" s="75" t="str">
        <f ca="1">IFERROR(__xludf.DUMMYFUNCTION("""COMPUTED_VALUE"""),"Аспирант")</f>
        <v>Аспирант</v>
      </c>
    </row>
    <row r="2106" spans="1:3">
      <c r="A2106" s="76">
        <f ca="1">IFERROR(__xludf.DUMMYFUNCTION("""COMPUTED_VALUE"""),2312138)</f>
        <v>2312138</v>
      </c>
      <c r="B2106" s="76" t="str">
        <f ca="1">IFERROR(__xludf.DUMMYFUNCTION("""COMPUTED_VALUE"""),"Баранова Вероника Андреевна")</f>
        <v>Баранова Вероника Андреевна</v>
      </c>
      <c r="C2106" s="75" t="str">
        <f ca="1">IFERROR(__xludf.DUMMYFUNCTION("""COMPUTED_VALUE"""),"Студент")</f>
        <v>Студент</v>
      </c>
    </row>
    <row r="2107" spans="1:3">
      <c r="A2107" s="76">
        <f ca="1">IFERROR(__xludf.DUMMYFUNCTION("""COMPUTED_VALUE"""),2312139)</f>
        <v>2312139</v>
      </c>
      <c r="B2107" s="76" t="str">
        <f ca="1">IFERROR(__xludf.DUMMYFUNCTION("""COMPUTED_VALUE"""),"Дубовицкий Валерий Павлович")</f>
        <v>Дубовицкий Валерий Павлович</v>
      </c>
      <c r="C2107" s="75" t="str">
        <f ca="1">IFERROR(__xludf.DUMMYFUNCTION("""COMPUTED_VALUE"""),"Студент")</f>
        <v>Студент</v>
      </c>
    </row>
    <row r="2108" spans="1:3">
      <c r="A2108" s="76">
        <f ca="1">IFERROR(__xludf.DUMMYFUNCTION("""COMPUTED_VALUE"""),2312157)</f>
        <v>2312157</v>
      </c>
      <c r="B2108" s="76" t="str">
        <f ca="1">IFERROR(__xludf.DUMMYFUNCTION("""COMPUTED_VALUE"""),"Милов Арсентий Владимирович")</f>
        <v>Милов Арсентий Владимирович</v>
      </c>
      <c r="C2108" s="75" t="str">
        <f ca="1">IFERROR(__xludf.DUMMYFUNCTION("""COMPUTED_VALUE"""),"Аспирант")</f>
        <v>Аспирант</v>
      </c>
    </row>
    <row r="2109" spans="1:3">
      <c r="A2109" s="76">
        <f ca="1">IFERROR(__xludf.DUMMYFUNCTION("""COMPUTED_VALUE"""),2312160)</f>
        <v>2312160</v>
      </c>
      <c r="B2109" s="76" t="str">
        <f ca="1">IFERROR(__xludf.DUMMYFUNCTION("""COMPUTED_VALUE"""),"Абрамова Юлия Андреевна")</f>
        <v>Абрамова Юлия Андреевна</v>
      </c>
      <c r="C2109" s="75" t="str">
        <f ca="1">IFERROR(__xludf.DUMMYFUNCTION("""COMPUTED_VALUE"""),"Студент")</f>
        <v>Студент</v>
      </c>
    </row>
    <row r="2110" spans="1:3">
      <c r="A2110" s="76">
        <f ca="1">IFERROR(__xludf.DUMMYFUNCTION("""COMPUTED_VALUE"""),2312161)</f>
        <v>2312161</v>
      </c>
      <c r="B2110" s="76" t="str">
        <f ca="1">IFERROR(__xludf.DUMMYFUNCTION("""COMPUTED_VALUE"""),"Даютов Роман Алексеевич")</f>
        <v>Даютов Роман Алексеевич</v>
      </c>
      <c r="C2110" s="75" t="str">
        <f ca="1">IFERROR(__xludf.DUMMYFUNCTION("""COMPUTED_VALUE"""),"Студент")</f>
        <v>Студент</v>
      </c>
    </row>
    <row r="2111" spans="1:3">
      <c r="A2111" s="76">
        <f ca="1">IFERROR(__xludf.DUMMYFUNCTION("""COMPUTED_VALUE"""),2312181)</f>
        <v>2312181</v>
      </c>
      <c r="B2111" s="76" t="str">
        <f ca="1">IFERROR(__xludf.DUMMYFUNCTION("""COMPUTED_VALUE"""),"Маджитов Тимур Азаматович")</f>
        <v>Маджитов Тимур Азаматович</v>
      </c>
      <c r="C2111" s="75" t="str">
        <f ca="1">IFERROR(__xludf.DUMMYFUNCTION("""COMPUTED_VALUE"""),"Аспирант")</f>
        <v>Аспирант</v>
      </c>
    </row>
    <row r="2112" spans="1:3">
      <c r="A2112" s="76">
        <f ca="1">IFERROR(__xludf.DUMMYFUNCTION("""COMPUTED_VALUE"""),2312183)</f>
        <v>2312183</v>
      </c>
      <c r="B2112" s="76" t="str">
        <f ca="1">IFERROR(__xludf.DUMMYFUNCTION("""COMPUTED_VALUE"""),"Водянов Даниил Игоревич")</f>
        <v>Водянов Даниил Игоревич</v>
      </c>
      <c r="C2112" s="75" t="str">
        <f ca="1">IFERROR(__xludf.DUMMYFUNCTION("""COMPUTED_VALUE"""),"Студент")</f>
        <v>Студент</v>
      </c>
    </row>
    <row r="2113" spans="1:3">
      <c r="A2113" s="76">
        <f ca="1">IFERROR(__xludf.DUMMYFUNCTION("""COMPUTED_VALUE"""),2312187)</f>
        <v>2312187</v>
      </c>
      <c r="B2113" s="76" t="str">
        <f ca="1">IFERROR(__xludf.DUMMYFUNCTION("""COMPUTED_VALUE"""),"Сохраннов Михаил Сергеевич")</f>
        <v>Сохраннов Михаил Сергеевич</v>
      </c>
      <c r="C2113" s="75" t="str">
        <f ca="1">IFERROR(__xludf.DUMMYFUNCTION("""COMPUTED_VALUE"""),"Студент")</f>
        <v>Студент</v>
      </c>
    </row>
    <row r="2114" spans="1:3">
      <c r="A2114" s="76">
        <f ca="1">IFERROR(__xludf.DUMMYFUNCTION("""COMPUTED_VALUE"""),2312189)</f>
        <v>2312189</v>
      </c>
      <c r="B2114" s="76" t="str">
        <f ca="1">IFERROR(__xludf.DUMMYFUNCTION("""COMPUTED_VALUE"""),"Калинин Алексей Анатольевич")</f>
        <v>Калинин Алексей Анатольевич</v>
      </c>
      <c r="C2114" s="75" t="str">
        <f ca="1">IFERROR(__xludf.DUMMYFUNCTION("""COMPUTED_VALUE"""),"Студент")</f>
        <v>Студент</v>
      </c>
    </row>
    <row r="2115" spans="1:3">
      <c r="A2115" s="76">
        <f ca="1">IFERROR(__xludf.DUMMYFUNCTION("""COMPUTED_VALUE"""),2312196)</f>
        <v>2312196</v>
      </c>
      <c r="B2115" s="76" t="str">
        <f ca="1">IFERROR(__xludf.DUMMYFUNCTION("""COMPUTED_VALUE"""),"Ресслер Альберт Муратович")</f>
        <v>Ресслер Альберт Муратович</v>
      </c>
      <c r="C2115" s="75" t="str">
        <f ca="1">IFERROR(__xludf.DUMMYFUNCTION("""COMPUTED_VALUE"""),"Студент")</f>
        <v>Студент</v>
      </c>
    </row>
    <row r="2116" spans="1:3">
      <c r="A2116" s="76">
        <f ca="1">IFERROR(__xludf.DUMMYFUNCTION("""COMPUTED_VALUE"""),2312199)</f>
        <v>2312199</v>
      </c>
      <c r="B2116" s="76" t="str">
        <f ca="1">IFERROR(__xludf.DUMMYFUNCTION("""COMPUTED_VALUE"""),"Карягин Арсений Сергеевич")</f>
        <v>Карягин Арсений Сергеевич</v>
      </c>
      <c r="C2116" s="75" t="str">
        <f ca="1">IFERROR(__xludf.DUMMYFUNCTION("""COMPUTED_VALUE"""),"Студент")</f>
        <v>Студент</v>
      </c>
    </row>
    <row r="2117" spans="1:3">
      <c r="A2117" s="76">
        <f ca="1">IFERROR(__xludf.DUMMYFUNCTION("""COMPUTED_VALUE"""),2312208)</f>
        <v>2312208</v>
      </c>
      <c r="B2117" s="76" t="str">
        <f ca="1">IFERROR(__xludf.DUMMYFUNCTION("""COMPUTED_VALUE"""),"Зеленин Егор Сергеевич")</f>
        <v>Зеленин Егор Сергеевич</v>
      </c>
      <c r="C2117" s="75" t="str">
        <f ca="1">IFERROR(__xludf.DUMMYFUNCTION("""COMPUTED_VALUE"""),"Студент")</f>
        <v>Студент</v>
      </c>
    </row>
    <row r="2118" spans="1:3">
      <c r="A2118" s="76">
        <f ca="1">IFERROR(__xludf.DUMMYFUNCTION("""COMPUTED_VALUE"""),2312217)</f>
        <v>2312217</v>
      </c>
      <c r="B2118" s="76" t="str">
        <f ca="1">IFERROR(__xludf.DUMMYFUNCTION("""COMPUTED_VALUE"""),"Костриков Максим Андреевич")</f>
        <v>Костриков Максим Андреевич</v>
      </c>
      <c r="C2118" s="75" t="str">
        <f ca="1">IFERROR(__xludf.DUMMYFUNCTION("""COMPUTED_VALUE"""),"Студент")</f>
        <v>Студент</v>
      </c>
    </row>
    <row r="2119" spans="1:3">
      <c r="A2119" s="76">
        <f ca="1">IFERROR(__xludf.DUMMYFUNCTION("""COMPUTED_VALUE"""),2312218)</f>
        <v>2312218</v>
      </c>
      <c r="B2119" s="76" t="str">
        <f ca="1">IFERROR(__xludf.DUMMYFUNCTION("""COMPUTED_VALUE"""),"Молчанова Юлия Дмитриевна")</f>
        <v>Молчанова Юлия Дмитриевна</v>
      </c>
      <c r="C2119" s="75" t="str">
        <f ca="1">IFERROR(__xludf.DUMMYFUNCTION("""COMPUTED_VALUE"""),"Студент")</f>
        <v>Студент</v>
      </c>
    </row>
    <row r="2120" spans="1:3">
      <c r="A2120" s="76">
        <f ca="1">IFERROR(__xludf.DUMMYFUNCTION("""COMPUTED_VALUE"""),2312221)</f>
        <v>2312221</v>
      </c>
      <c r="B2120" s="76" t="str">
        <f ca="1">IFERROR(__xludf.DUMMYFUNCTION("""COMPUTED_VALUE"""),"Зудов Артем Андреевич")</f>
        <v>Зудов Артем Андреевич</v>
      </c>
      <c r="C2120" s="75" t="str">
        <f ca="1">IFERROR(__xludf.DUMMYFUNCTION("""COMPUTED_VALUE"""),"Студент")</f>
        <v>Студент</v>
      </c>
    </row>
    <row r="2121" spans="1:3">
      <c r="A2121" s="76">
        <f ca="1">IFERROR(__xludf.DUMMYFUNCTION("""COMPUTED_VALUE"""),2312225)</f>
        <v>2312225</v>
      </c>
      <c r="B2121" s="76" t="str">
        <f ca="1">IFERROR(__xludf.DUMMYFUNCTION("""COMPUTED_VALUE"""),"Махова Анастасия Андреевна")</f>
        <v>Махова Анастасия Андреевна</v>
      </c>
      <c r="C2121" s="75" t="str">
        <f ca="1">IFERROR(__xludf.DUMMYFUNCTION("""COMPUTED_VALUE"""),"Студент")</f>
        <v>Студент</v>
      </c>
    </row>
    <row r="2122" spans="1:3">
      <c r="A2122" s="76">
        <f ca="1">IFERROR(__xludf.DUMMYFUNCTION("""COMPUTED_VALUE"""),2312229)</f>
        <v>2312229</v>
      </c>
      <c r="B2122" s="76" t="str">
        <f ca="1">IFERROR(__xludf.DUMMYFUNCTION("""COMPUTED_VALUE"""),"Ляпчева Наталья Геннадьевна")</f>
        <v>Ляпчева Наталья Геннадьевна</v>
      </c>
      <c r="C2122" s="75" t="str">
        <f ca="1">IFERROR(__xludf.DUMMYFUNCTION("""COMPUTED_VALUE"""),"Студент")</f>
        <v>Студент</v>
      </c>
    </row>
    <row r="2123" spans="1:3">
      <c r="A2123" s="76">
        <f ca="1">IFERROR(__xludf.DUMMYFUNCTION("""COMPUTED_VALUE"""),2312248)</f>
        <v>2312248</v>
      </c>
      <c r="B2123" s="76" t="str">
        <f ca="1">IFERROR(__xludf.DUMMYFUNCTION("""COMPUTED_VALUE"""),"Бодиштяну Артём Игоревич")</f>
        <v>Бодиштяну Артём Игоревич</v>
      </c>
      <c r="C2123" s="75" t="str">
        <f ca="1">IFERROR(__xludf.DUMMYFUNCTION("""COMPUTED_VALUE"""),"Студент")</f>
        <v>Студент</v>
      </c>
    </row>
    <row r="2124" spans="1:3">
      <c r="A2124" s="76">
        <f ca="1">IFERROR(__xludf.DUMMYFUNCTION("""COMPUTED_VALUE"""),2312249)</f>
        <v>2312249</v>
      </c>
      <c r="B2124" s="76" t="str">
        <f ca="1">IFERROR(__xludf.DUMMYFUNCTION("""COMPUTED_VALUE"""),"Ефимова Елизавета Павловна")</f>
        <v>Ефимова Елизавета Павловна</v>
      </c>
      <c r="C2124" s="75" t="str">
        <f ca="1">IFERROR(__xludf.DUMMYFUNCTION("""COMPUTED_VALUE"""),"Студент")</f>
        <v>Студент</v>
      </c>
    </row>
    <row r="2125" spans="1:3">
      <c r="A2125" s="76">
        <f ca="1">IFERROR(__xludf.DUMMYFUNCTION("""COMPUTED_VALUE"""),2312254)</f>
        <v>2312254</v>
      </c>
      <c r="B2125" s="76" t="str">
        <f ca="1">IFERROR(__xludf.DUMMYFUNCTION("""COMPUTED_VALUE"""),"Безрядина Ирина Анатольевна")</f>
        <v>Безрядина Ирина Анатольевна</v>
      </c>
      <c r="C2125" s="75" t="str">
        <f ca="1">IFERROR(__xludf.DUMMYFUNCTION("""COMPUTED_VALUE"""),"Студент")</f>
        <v>Студент</v>
      </c>
    </row>
    <row r="2126" spans="1:3">
      <c r="A2126" s="76">
        <f ca="1">IFERROR(__xludf.DUMMYFUNCTION("""COMPUTED_VALUE"""),2312258)</f>
        <v>2312258</v>
      </c>
      <c r="B2126" s="76" t="str">
        <f ca="1">IFERROR(__xludf.DUMMYFUNCTION("""COMPUTED_VALUE"""),"Краснова Марьяна Дмитриевна")</f>
        <v>Краснова Марьяна Дмитриевна</v>
      </c>
      <c r="C2126" s="75" t="str">
        <f ca="1">IFERROR(__xludf.DUMMYFUNCTION("""COMPUTED_VALUE"""),"Студент")</f>
        <v>Студент</v>
      </c>
    </row>
    <row r="2127" spans="1:3">
      <c r="A2127" s="76">
        <f ca="1">IFERROR(__xludf.DUMMYFUNCTION("""COMPUTED_VALUE"""),2312261)</f>
        <v>2312261</v>
      </c>
      <c r="B2127" s="76" t="str">
        <f ca="1">IFERROR(__xludf.DUMMYFUNCTION("""COMPUTED_VALUE"""),"Тотоева Алина Борисовна")</f>
        <v>Тотоева Алина Борисовна</v>
      </c>
      <c r="C2127" s="75" t="str">
        <f ca="1">IFERROR(__xludf.DUMMYFUNCTION("""COMPUTED_VALUE"""),"Студент")</f>
        <v>Студент</v>
      </c>
    </row>
    <row r="2128" spans="1:3">
      <c r="A2128" s="76">
        <f ca="1">IFERROR(__xludf.DUMMYFUNCTION("""COMPUTED_VALUE"""),2312269)</f>
        <v>2312269</v>
      </c>
      <c r="B2128" s="76" t="str">
        <f ca="1">IFERROR(__xludf.DUMMYFUNCTION("""COMPUTED_VALUE"""),"Саторов Сафоходжа Мехроджхонович")</f>
        <v>Саторов Сафоходжа Мехроджхонович</v>
      </c>
      <c r="C2128" s="75" t="str">
        <f ca="1">IFERROR(__xludf.DUMMYFUNCTION("""COMPUTED_VALUE"""),"Студент")</f>
        <v>Студент</v>
      </c>
    </row>
    <row r="2129" spans="1:3">
      <c r="A2129" s="76">
        <f ca="1">IFERROR(__xludf.DUMMYFUNCTION("""COMPUTED_VALUE"""),2312275)</f>
        <v>2312275</v>
      </c>
      <c r="B2129" s="76" t="str">
        <f ca="1">IFERROR(__xludf.DUMMYFUNCTION("""COMPUTED_VALUE"""),"Губина Ксения Александровна")</f>
        <v>Губина Ксения Александровна</v>
      </c>
      <c r="C2129" s="75" t="str">
        <f ca="1">IFERROR(__xludf.DUMMYFUNCTION("""COMPUTED_VALUE"""),"Аспирант")</f>
        <v>Аспирант</v>
      </c>
    </row>
    <row r="2130" spans="1:3">
      <c r="A2130" s="76">
        <f ca="1">IFERROR(__xludf.DUMMYFUNCTION("""COMPUTED_VALUE"""),2312287)</f>
        <v>2312287</v>
      </c>
      <c r="B2130" s="76" t="str">
        <f ca="1">IFERROR(__xludf.DUMMYFUNCTION("""COMPUTED_VALUE"""),"Чернова Ирина Сергеевна")</f>
        <v>Чернова Ирина Сергеевна</v>
      </c>
      <c r="C2130" s="75" t="str">
        <f ca="1">IFERROR(__xludf.DUMMYFUNCTION("""COMPUTED_VALUE"""),"Студент")</f>
        <v>Студент</v>
      </c>
    </row>
    <row r="2131" spans="1:3">
      <c r="A2131" s="76">
        <f ca="1">IFERROR(__xludf.DUMMYFUNCTION("""COMPUTED_VALUE"""),2312293)</f>
        <v>2312293</v>
      </c>
      <c r="B2131" s="76" t="str">
        <f ca="1">IFERROR(__xludf.DUMMYFUNCTION("""COMPUTED_VALUE"""),"Горбовская Екатерина Сергеевна")</f>
        <v>Горбовская Екатерина Сергеевна</v>
      </c>
      <c r="C2131" s="75" t="str">
        <f ca="1">IFERROR(__xludf.DUMMYFUNCTION("""COMPUTED_VALUE"""),"Студент")</f>
        <v>Студент</v>
      </c>
    </row>
    <row r="2132" spans="1:3">
      <c r="A2132" s="76">
        <f ca="1">IFERROR(__xludf.DUMMYFUNCTION("""COMPUTED_VALUE"""),2312294)</f>
        <v>2312294</v>
      </c>
      <c r="B2132" s="76" t="str">
        <f ca="1">IFERROR(__xludf.DUMMYFUNCTION("""COMPUTED_VALUE"""),"Чарыкова Валерия Константиновна")</f>
        <v>Чарыкова Валерия Константиновна</v>
      </c>
      <c r="C2132" s="75" t="str">
        <f ca="1">IFERROR(__xludf.DUMMYFUNCTION("""COMPUTED_VALUE"""),"Студент")</f>
        <v>Студент</v>
      </c>
    </row>
    <row r="2133" spans="1:3">
      <c r="A2133" s="76">
        <f ca="1">IFERROR(__xludf.DUMMYFUNCTION("""COMPUTED_VALUE"""),2312298)</f>
        <v>2312298</v>
      </c>
      <c r="B2133" s="76" t="str">
        <f ca="1">IFERROR(__xludf.DUMMYFUNCTION("""COMPUTED_VALUE"""),"Кудяков Артём Игоревич")</f>
        <v>Кудяков Артём Игоревич</v>
      </c>
      <c r="C2133" s="75" t="str">
        <f ca="1">IFERROR(__xludf.DUMMYFUNCTION("""COMPUTED_VALUE"""),"Студент")</f>
        <v>Студент</v>
      </c>
    </row>
    <row r="2134" spans="1:3">
      <c r="A2134" s="76">
        <f ca="1">IFERROR(__xludf.DUMMYFUNCTION("""COMPUTED_VALUE"""),2312311)</f>
        <v>2312311</v>
      </c>
      <c r="B2134" s="76" t="str">
        <f ca="1">IFERROR(__xludf.DUMMYFUNCTION("""COMPUTED_VALUE"""),"Орлов Денис Андреевич")</f>
        <v>Орлов Денис Андреевич</v>
      </c>
      <c r="C2134" s="75" t="str">
        <f ca="1">IFERROR(__xludf.DUMMYFUNCTION("""COMPUTED_VALUE"""),"Студент")</f>
        <v>Студент</v>
      </c>
    </row>
    <row r="2135" spans="1:3">
      <c r="A2135" s="76">
        <f ca="1">IFERROR(__xludf.DUMMYFUNCTION("""COMPUTED_VALUE"""),2312314)</f>
        <v>2312314</v>
      </c>
      <c r="B2135" s="76" t="str">
        <f ca="1">IFERROR(__xludf.DUMMYFUNCTION("""COMPUTED_VALUE"""),"Фаткуллин Альберт Линарович")</f>
        <v>Фаткуллин Альберт Линарович</v>
      </c>
      <c r="C2135" s="75" t="str">
        <f ca="1">IFERROR(__xludf.DUMMYFUNCTION("""COMPUTED_VALUE"""),"Студент")</f>
        <v>Студент</v>
      </c>
    </row>
    <row r="2136" spans="1:3">
      <c r="A2136" s="76">
        <f ca="1">IFERROR(__xludf.DUMMYFUNCTION("""COMPUTED_VALUE"""),2312316)</f>
        <v>2312316</v>
      </c>
      <c r="B2136" s="76" t="str">
        <f ca="1">IFERROR(__xludf.DUMMYFUNCTION("""COMPUTED_VALUE"""),"Опаричев Тимур Александрович")</f>
        <v>Опаричев Тимур Александрович</v>
      </c>
      <c r="C2136" s="75" t="str">
        <f ca="1">IFERROR(__xludf.DUMMYFUNCTION("""COMPUTED_VALUE"""),"Студент")</f>
        <v>Студент</v>
      </c>
    </row>
    <row r="2137" spans="1:3">
      <c r="A2137" s="76">
        <f ca="1">IFERROR(__xludf.DUMMYFUNCTION("""COMPUTED_VALUE"""),2312317)</f>
        <v>2312317</v>
      </c>
      <c r="B2137" s="76" t="str">
        <f ca="1">IFERROR(__xludf.DUMMYFUNCTION("""COMPUTED_VALUE"""),"Эрлер Яна Витальевна")</f>
        <v>Эрлер Яна Витальевна</v>
      </c>
      <c r="C2137" s="75" t="str">
        <f ca="1">IFERROR(__xludf.DUMMYFUNCTION("""COMPUTED_VALUE"""),"Студент")</f>
        <v>Студент</v>
      </c>
    </row>
    <row r="2138" spans="1:3">
      <c r="A2138" s="76">
        <f ca="1">IFERROR(__xludf.DUMMYFUNCTION("""COMPUTED_VALUE"""),2312318)</f>
        <v>2312318</v>
      </c>
      <c r="B2138" s="76" t="str">
        <f ca="1">IFERROR(__xludf.DUMMYFUNCTION("""COMPUTED_VALUE"""),"Гаврилин Алексей Дмитриевич")</f>
        <v>Гаврилин Алексей Дмитриевич</v>
      </c>
      <c r="C2138" s="75" t="str">
        <f ca="1">IFERROR(__xludf.DUMMYFUNCTION("""COMPUTED_VALUE"""),"Студент")</f>
        <v>Студент</v>
      </c>
    </row>
    <row r="2139" spans="1:3">
      <c r="A2139" s="76">
        <f ca="1">IFERROR(__xludf.DUMMYFUNCTION("""COMPUTED_VALUE"""),2312321)</f>
        <v>2312321</v>
      </c>
      <c r="B2139" s="76" t="str">
        <f ca="1">IFERROR(__xludf.DUMMYFUNCTION("""COMPUTED_VALUE"""),"Чиглинцев Александр Сергеевич")</f>
        <v>Чиглинцев Александр Сергеевич</v>
      </c>
      <c r="C2139" s="75" t="str">
        <f ca="1">IFERROR(__xludf.DUMMYFUNCTION("""COMPUTED_VALUE"""),"Студент")</f>
        <v>Студент</v>
      </c>
    </row>
    <row r="2140" spans="1:3">
      <c r="A2140" s="76">
        <f ca="1">IFERROR(__xludf.DUMMYFUNCTION("""COMPUTED_VALUE"""),2312323)</f>
        <v>2312323</v>
      </c>
      <c r="B2140" s="76" t="str">
        <f ca="1">IFERROR(__xludf.DUMMYFUNCTION("""COMPUTED_VALUE"""),"Нефодина Анна Александровна")</f>
        <v>Нефодина Анна Александровна</v>
      </c>
      <c r="C2140" s="75" t="str">
        <f ca="1">IFERROR(__xludf.DUMMYFUNCTION("""COMPUTED_VALUE"""),"Студент")</f>
        <v>Студент</v>
      </c>
    </row>
    <row r="2141" spans="1:3">
      <c r="A2141" s="76">
        <f ca="1">IFERROR(__xludf.DUMMYFUNCTION("""COMPUTED_VALUE"""),2312329)</f>
        <v>2312329</v>
      </c>
      <c r="B2141" s="76" t="str">
        <f ca="1">IFERROR(__xludf.DUMMYFUNCTION("""COMPUTED_VALUE"""),"Куликов Константин Юрьевич")</f>
        <v>Куликов Константин Юрьевич</v>
      </c>
      <c r="C2141" s="75" t="str">
        <f ca="1">IFERROR(__xludf.DUMMYFUNCTION("""COMPUTED_VALUE"""),"Аспирант")</f>
        <v>Аспирант</v>
      </c>
    </row>
    <row r="2142" spans="1:3">
      <c r="A2142" s="76">
        <f ca="1">IFERROR(__xludf.DUMMYFUNCTION("""COMPUTED_VALUE"""),2312341)</f>
        <v>2312341</v>
      </c>
      <c r="B2142" s="76" t="str">
        <f ca="1">IFERROR(__xludf.DUMMYFUNCTION("""COMPUTED_VALUE"""),"Гердт Никита Андреевич")</f>
        <v>Гердт Никита Андреевич</v>
      </c>
      <c r="C2142" s="75" t="str">
        <f ca="1">IFERROR(__xludf.DUMMYFUNCTION("""COMPUTED_VALUE"""),"Студент")</f>
        <v>Студент</v>
      </c>
    </row>
    <row r="2143" spans="1:3">
      <c r="A2143" s="76">
        <f ca="1">IFERROR(__xludf.DUMMYFUNCTION("""COMPUTED_VALUE"""),2312343)</f>
        <v>2312343</v>
      </c>
      <c r="B2143" s="76" t="str">
        <f ca="1">IFERROR(__xludf.DUMMYFUNCTION("""COMPUTED_VALUE"""),"Федчишен Андрей Анатольевич")</f>
        <v>Федчишен Андрей Анатольевич</v>
      </c>
      <c r="C2143" s="75" t="str">
        <f ca="1">IFERROR(__xludf.DUMMYFUNCTION("""COMPUTED_VALUE"""),"Студент")</f>
        <v>Студент</v>
      </c>
    </row>
    <row r="2144" spans="1:3">
      <c r="A2144" s="76">
        <f ca="1">IFERROR(__xludf.DUMMYFUNCTION("""COMPUTED_VALUE"""),2312344)</f>
        <v>2312344</v>
      </c>
      <c r="B2144" s="76" t="str">
        <f ca="1">IFERROR(__xludf.DUMMYFUNCTION("""COMPUTED_VALUE"""),"Агуреев Матвей Валерьевич")</f>
        <v>Агуреев Матвей Валерьевич</v>
      </c>
      <c r="C2144" s="75" t="str">
        <f ca="1">IFERROR(__xludf.DUMMYFUNCTION("""COMPUTED_VALUE"""),"Студент")</f>
        <v>Студент</v>
      </c>
    </row>
    <row r="2145" spans="1:3">
      <c r="A2145" s="76">
        <f ca="1">IFERROR(__xludf.DUMMYFUNCTION("""COMPUTED_VALUE"""),2312351)</f>
        <v>2312351</v>
      </c>
      <c r="B2145" s="76" t="str">
        <f ca="1">IFERROR(__xludf.DUMMYFUNCTION("""COMPUTED_VALUE"""),"Кукушкин Иван Сергеевич")</f>
        <v>Кукушкин Иван Сергеевич</v>
      </c>
      <c r="C2145" s="75" t="str">
        <f ca="1">IFERROR(__xludf.DUMMYFUNCTION("""COMPUTED_VALUE"""),"Студент")</f>
        <v>Студент</v>
      </c>
    </row>
    <row r="2146" spans="1:3">
      <c r="A2146" s="76">
        <f ca="1">IFERROR(__xludf.DUMMYFUNCTION("""COMPUTED_VALUE"""),2312354)</f>
        <v>2312354</v>
      </c>
      <c r="B2146" s="76" t="str">
        <f ca="1">IFERROR(__xludf.DUMMYFUNCTION("""COMPUTED_VALUE"""),"Бузуверова Дарья Васильевна")</f>
        <v>Бузуверова Дарья Васильевна</v>
      </c>
      <c r="C2146" s="75" t="str">
        <f ca="1">IFERROR(__xludf.DUMMYFUNCTION("""COMPUTED_VALUE"""),"Студент")</f>
        <v>Студент</v>
      </c>
    </row>
    <row r="2147" spans="1:3">
      <c r="A2147" s="76">
        <f ca="1">IFERROR(__xludf.DUMMYFUNCTION("""COMPUTED_VALUE"""),2312359)</f>
        <v>2312359</v>
      </c>
      <c r="B2147" s="76" t="str">
        <f ca="1">IFERROR(__xludf.DUMMYFUNCTION("""COMPUTED_VALUE"""),"Мигдисов Роман Александрович")</f>
        <v>Мигдисов Роман Александрович</v>
      </c>
      <c r="C2147" s="75" t="str">
        <f ca="1">IFERROR(__xludf.DUMMYFUNCTION("""COMPUTED_VALUE"""),"Студент")</f>
        <v>Студент</v>
      </c>
    </row>
    <row r="2148" spans="1:3">
      <c r="A2148" s="76">
        <f ca="1">IFERROR(__xludf.DUMMYFUNCTION("""COMPUTED_VALUE"""),2312363)</f>
        <v>2312363</v>
      </c>
      <c r="B2148" s="76" t="str">
        <f ca="1">IFERROR(__xludf.DUMMYFUNCTION("""COMPUTED_VALUE"""),"Костерина Елизавета Евгеньевна")</f>
        <v>Костерина Елизавета Евгеньевна</v>
      </c>
      <c r="C2148" s="75" t="str">
        <f ca="1">IFERROR(__xludf.DUMMYFUNCTION("""COMPUTED_VALUE"""),"Студент")</f>
        <v>Студент</v>
      </c>
    </row>
    <row r="2149" spans="1:3">
      <c r="A2149" s="76">
        <f ca="1">IFERROR(__xludf.DUMMYFUNCTION("""COMPUTED_VALUE"""),2312368)</f>
        <v>2312368</v>
      </c>
      <c r="B2149" s="76" t="str">
        <f ca="1">IFERROR(__xludf.DUMMYFUNCTION("""COMPUTED_VALUE"""),"Балобайко Полина Николаевна")</f>
        <v>Балобайко Полина Николаевна</v>
      </c>
      <c r="C2149" s="75" t="str">
        <f ca="1">IFERROR(__xludf.DUMMYFUNCTION("""COMPUTED_VALUE"""),"Студент")</f>
        <v>Студент</v>
      </c>
    </row>
    <row r="2150" spans="1:3">
      <c r="A2150" s="76">
        <f ca="1">IFERROR(__xludf.DUMMYFUNCTION("""COMPUTED_VALUE"""),2312386)</f>
        <v>2312386</v>
      </c>
      <c r="B2150" s="76" t="str">
        <f ca="1">IFERROR(__xludf.DUMMYFUNCTION("""COMPUTED_VALUE"""),"Бикбавов Карим Айратович")</f>
        <v>Бикбавов Карим Айратович</v>
      </c>
      <c r="C2150" s="75" t="str">
        <f ca="1">IFERROR(__xludf.DUMMYFUNCTION("""COMPUTED_VALUE"""),"Студент")</f>
        <v>Студент</v>
      </c>
    </row>
    <row r="2151" spans="1:3">
      <c r="A2151" s="76">
        <f ca="1">IFERROR(__xludf.DUMMYFUNCTION("""COMPUTED_VALUE"""),2312387)</f>
        <v>2312387</v>
      </c>
      <c r="B2151" s="76" t="str">
        <f ca="1">IFERROR(__xludf.DUMMYFUNCTION("""COMPUTED_VALUE"""),"Антонов Владимир Сергеевич")</f>
        <v>Антонов Владимир Сергеевич</v>
      </c>
      <c r="C2151" s="75" t="str">
        <f ca="1">IFERROR(__xludf.DUMMYFUNCTION("""COMPUTED_VALUE"""),"Аспирант")</f>
        <v>Аспирант</v>
      </c>
    </row>
    <row r="2152" spans="1:3">
      <c r="A2152" s="76">
        <f ca="1">IFERROR(__xludf.DUMMYFUNCTION("""COMPUTED_VALUE"""),2312389)</f>
        <v>2312389</v>
      </c>
      <c r="B2152" s="76" t="str">
        <f ca="1">IFERROR(__xludf.DUMMYFUNCTION("""COMPUTED_VALUE"""),"Гисина Анастасия Ильинична")</f>
        <v>Гисина Анастасия Ильинична</v>
      </c>
      <c r="C2152" s="75" t="str">
        <f ca="1">IFERROR(__xludf.DUMMYFUNCTION("""COMPUTED_VALUE"""),"Студент")</f>
        <v>Студент</v>
      </c>
    </row>
    <row r="2153" spans="1:3">
      <c r="A2153" s="76">
        <f ca="1">IFERROR(__xludf.DUMMYFUNCTION("""COMPUTED_VALUE"""),2312402)</f>
        <v>2312402</v>
      </c>
      <c r="B2153" s="76" t="str">
        <f ca="1">IFERROR(__xludf.DUMMYFUNCTION("""COMPUTED_VALUE"""),"Романова Анастасия Евгеньевна")</f>
        <v>Романова Анастасия Евгеньевна</v>
      </c>
      <c r="C2153" s="75" t="str">
        <f ca="1">IFERROR(__xludf.DUMMYFUNCTION("""COMPUTED_VALUE"""),"Студент")</f>
        <v>Студент</v>
      </c>
    </row>
    <row r="2154" spans="1:3">
      <c r="A2154" s="76">
        <f ca="1">IFERROR(__xludf.DUMMYFUNCTION("""COMPUTED_VALUE"""),2312411)</f>
        <v>2312411</v>
      </c>
      <c r="B2154" s="76" t="str">
        <f ca="1">IFERROR(__xludf.DUMMYFUNCTION("""COMPUTED_VALUE"""),"Паршин Никита Владимирович")</f>
        <v>Паршин Никита Владимирович</v>
      </c>
      <c r="C2154" s="75" t="str">
        <f ca="1">IFERROR(__xludf.DUMMYFUNCTION("""COMPUTED_VALUE"""),"Аспирант")</f>
        <v>Аспирант</v>
      </c>
    </row>
    <row r="2155" spans="1:3">
      <c r="A2155" s="76">
        <f ca="1">IFERROR(__xludf.DUMMYFUNCTION("""COMPUTED_VALUE"""),2312413)</f>
        <v>2312413</v>
      </c>
      <c r="B2155" s="76" t="str">
        <f ca="1">IFERROR(__xludf.DUMMYFUNCTION("""COMPUTED_VALUE"""),"Касимова Яна Александровна")</f>
        <v>Касимова Яна Александровна</v>
      </c>
      <c r="C2155" s="75" t="str">
        <f ca="1">IFERROR(__xludf.DUMMYFUNCTION("""COMPUTED_VALUE"""),"Аспирант")</f>
        <v>Аспирант</v>
      </c>
    </row>
    <row r="2156" spans="1:3">
      <c r="A2156" s="76">
        <f ca="1">IFERROR(__xludf.DUMMYFUNCTION("""COMPUTED_VALUE"""),2312415)</f>
        <v>2312415</v>
      </c>
      <c r="B2156" s="76" t="str">
        <f ca="1">IFERROR(__xludf.DUMMYFUNCTION("""COMPUTED_VALUE"""),"Кузнецов Павел Игоревич")</f>
        <v>Кузнецов Павел Игоревич</v>
      </c>
      <c r="C2156" s="75" t="str">
        <f ca="1">IFERROR(__xludf.DUMMYFUNCTION("""COMPUTED_VALUE"""),"Аспирант")</f>
        <v>Аспирант</v>
      </c>
    </row>
    <row r="2157" spans="1:3">
      <c r="A2157" s="76">
        <f ca="1">IFERROR(__xludf.DUMMYFUNCTION("""COMPUTED_VALUE"""),2312417)</f>
        <v>2312417</v>
      </c>
      <c r="B2157" s="76" t="str">
        <f ca="1">IFERROR(__xludf.DUMMYFUNCTION("""COMPUTED_VALUE"""),"Гизатулин Дамир Шавкатович")</f>
        <v>Гизатулин Дамир Шавкатович</v>
      </c>
      <c r="C2157" s="75" t="str">
        <f ca="1">IFERROR(__xludf.DUMMYFUNCTION("""COMPUTED_VALUE"""),"Аспирант")</f>
        <v>Аспирант</v>
      </c>
    </row>
    <row r="2158" spans="1:3">
      <c r="A2158" s="76">
        <f ca="1">IFERROR(__xludf.DUMMYFUNCTION("""COMPUTED_VALUE"""),2312418)</f>
        <v>2312418</v>
      </c>
      <c r="B2158" s="76" t="str">
        <f ca="1">IFERROR(__xludf.DUMMYFUNCTION("""COMPUTED_VALUE"""),"Филиппов Антон Сергеевич")</f>
        <v>Филиппов Антон Сергеевич</v>
      </c>
      <c r="C2158" s="75" t="str">
        <f ca="1">IFERROR(__xludf.DUMMYFUNCTION("""COMPUTED_VALUE"""),"Аспирант")</f>
        <v>Аспирант</v>
      </c>
    </row>
    <row r="2159" spans="1:3">
      <c r="A2159" s="76">
        <f ca="1">IFERROR(__xludf.DUMMYFUNCTION("""COMPUTED_VALUE"""),2312419)</f>
        <v>2312419</v>
      </c>
      <c r="B2159" s="76" t="str">
        <f ca="1">IFERROR(__xludf.DUMMYFUNCTION("""COMPUTED_VALUE"""),"Самойленко Александр Сергеевич")</f>
        <v>Самойленко Александр Сергеевич</v>
      </c>
      <c r="C2159" s="75" t="str">
        <f ca="1">IFERROR(__xludf.DUMMYFUNCTION("""COMPUTED_VALUE"""),"Аспирант")</f>
        <v>Аспирант</v>
      </c>
    </row>
    <row r="2160" spans="1:3">
      <c r="A2160" s="76">
        <f ca="1">IFERROR(__xludf.DUMMYFUNCTION("""COMPUTED_VALUE"""),2312421)</f>
        <v>2312421</v>
      </c>
      <c r="B2160" s="76" t="str">
        <f ca="1">IFERROR(__xludf.DUMMYFUNCTION("""COMPUTED_VALUE"""),"Будаковский Дмитрий Викторович")</f>
        <v>Будаковский Дмитрий Викторович</v>
      </c>
      <c r="C2160" s="75" t="str">
        <f ca="1">IFERROR(__xludf.DUMMYFUNCTION("""COMPUTED_VALUE"""),"Аспирант")</f>
        <v>Аспирант</v>
      </c>
    </row>
    <row r="2161" spans="1:3">
      <c r="A2161" s="76">
        <f ca="1">IFERROR(__xludf.DUMMYFUNCTION("""COMPUTED_VALUE"""),2312422)</f>
        <v>2312422</v>
      </c>
      <c r="B2161" s="76" t="str">
        <f ca="1">IFERROR(__xludf.DUMMYFUNCTION("""COMPUTED_VALUE"""),"Барбышев Константин Александрович")</f>
        <v>Барбышев Константин Александрович</v>
      </c>
      <c r="C2161" s="75" t="str">
        <f ca="1">IFERROR(__xludf.DUMMYFUNCTION("""COMPUTED_VALUE"""),"Аспирант")</f>
        <v>Аспирант</v>
      </c>
    </row>
    <row r="2162" spans="1:3">
      <c r="A2162" s="76">
        <f ca="1">IFERROR(__xludf.DUMMYFUNCTION("""COMPUTED_VALUE"""),2312462)</f>
        <v>2312462</v>
      </c>
      <c r="B2162" s="76" t="str">
        <f ca="1">IFERROR(__xludf.DUMMYFUNCTION("""COMPUTED_VALUE"""),"Мухлынин Александр Александрович")</f>
        <v>Мухлынин Александр Александрович</v>
      </c>
      <c r="C2162" s="75" t="str">
        <f ca="1">IFERROR(__xludf.DUMMYFUNCTION("""COMPUTED_VALUE"""),"Студент")</f>
        <v>Студент</v>
      </c>
    </row>
    <row r="2163" spans="1:3">
      <c r="A2163" s="76">
        <f ca="1">IFERROR(__xludf.DUMMYFUNCTION("""COMPUTED_VALUE"""),2312466)</f>
        <v>2312466</v>
      </c>
      <c r="B2163" s="76" t="str">
        <f ca="1">IFERROR(__xludf.DUMMYFUNCTION("""COMPUTED_VALUE"""),"Федоткин Илия Олегович")</f>
        <v>Федоткин Илия Олегович</v>
      </c>
      <c r="C2163" s="75" t="str">
        <f ca="1">IFERROR(__xludf.DUMMYFUNCTION("""COMPUTED_VALUE"""),"Аспирант")</f>
        <v>Аспирант</v>
      </c>
    </row>
    <row r="2164" spans="1:3">
      <c r="A2164" s="76">
        <f ca="1">IFERROR(__xludf.DUMMYFUNCTION("""COMPUTED_VALUE"""),2312474)</f>
        <v>2312474</v>
      </c>
      <c r="B2164" s="76" t="str">
        <f ca="1">IFERROR(__xludf.DUMMYFUNCTION("""COMPUTED_VALUE"""),"Бондаренко Иван Викторович")</f>
        <v>Бондаренко Иван Викторович</v>
      </c>
      <c r="C2164" s="75" t="str">
        <f ca="1">IFERROR(__xludf.DUMMYFUNCTION("""COMPUTED_VALUE"""),"Студент")</f>
        <v>Студент</v>
      </c>
    </row>
    <row r="2165" spans="1:3">
      <c r="A2165" s="76">
        <f ca="1">IFERROR(__xludf.DUMMYFUNCTION("""COMPUTED_VALUE"""),2312482)</f>
        <v>2312482</v>
      </c>
      <c r="B2165" s="76" t="str">
        <f ca="1">IFERROR(__xludf.DUMMYFUNCTION("""COMPUTED_VALUE"""),"Гвоздева Вероника Александровна")</f>
        <v>Гвоздева Вероника Александровна</v>
      </c>
      <c r="C2165" s="75" t="str">
        <f ca="1">IFERROR(__xludf.DUMMYFUNCTION("""COMPUTED_VALUE"""),"Студент")</f>
        <v>Студент</v>
      </c>
    </row>
    <row r="2166" spans="1:3">
      <c r="A2166" s="76">
        <f ca="1">IFERROR(__xludf.DUMMYFUNCTION("""COMPUTED_VALUE"""),2312491)</f>
        <v>2312491</v>
      </c>
      <c r="B2166" s="76" t="str">
        <f ca="1">IFERROR(__xludf.DUMMYFUNCTION("""COMPUTED_VALUE"""),"Седых Дмитрий Анатольевич")</f>
        <v>Седых Дмитрий Анатольевич</v>
      </c>
      <c r="C2166" s="75" t="str">
        <f ca="1">IFERROR(__xludf.DUMMYFUNCTION("""COMPUTED_VALUE"""),"Аспирант")</f>
        <v>Аспирант</v>
      </c>
    </row>
    <row r="2167" spans="1:3">
      <c r="A2167" s="76">
        <f ca="1">IFERROR(__xludf.DUMMYFUNCTION("""COMPUTED_VALUE"""),2312496)</f>
        <v>2312496</v>
      </c>
      <c r="B2167" s="76" t="str">
        <f ca="1">IFERROR(__xludf.DUMMYFUNCTION("""COMPUTED_VALUE"""),"Танюшкина Дарья Сергеевна")</f>
        <v>Танюшкина Дарья Сергеевна</v>
      </c>
      <c r="C2167" s="75" t="str">
        <f ca="1">IFERROR(__xludf.DUMMYFUNCTION("""COMPUTED_VALUE"""),"Аспирант")</f>
        <v>Аспирант</v>
      </c>
    </row>
    <row r="2168" spans="1:3">
      <c r="A2168" s="76">
        <f ca="1">IFERROR(__xludf.DUMMYFUNCTION("""COMPUTED_VALUE"""),2312510)</f>
        <v>2312510</v>
      </c>
      <c r="B2168" s="76" t="str">
        <f ca="1">IFERROR(__xludf.DUMMYFUNCTION("""COMPUTED_VALUE"""),"Сультимов Роман Владиславович")</f>
        <v>Сультимов Роман Владиславович</v>
      </c>
      <c r="C2168" s="75" t="str">
        <f ca="1">IFERROR(__xludf.DUMMYFUNCTION("""COMPUTED_VALUE"""),"Аспирант")</f>
        <v>Аспирант</v>
      </c>
    </row>
    <row r="2169" spans="1:3">
      <c r="A2169" s="76">
        <f ca="1">IFERROR(__xludf.DUMMYFUNCTION("""COMPUTED_VALUE"""),2312539)</f>
        <v>2312539</v>
      </c>
      <c r="B2169" s="76" t="str">
        <f ca="1">IFERROR(__xludf.DUMMYFUNCTION("""COMPUTED_VALUE"""),"Шишков Максим Евгеньевич")</f>
        <v>Шишков Максим Евгеньевич</v>
      </c>
      <c r="C2169" s="75" t="str">
        <f ca="1">IFERROR(__xludf.DUMMYFUNCTION("""COMPUTED_VALUE"""),"Студент")</f>
        <v>Студент</v>
      </c>
    </row>
    <row r="2170" spans="1:3">
      <c r="A2170" s="76">
        <f ca="1">IFERROR(__xludf.DUMMYFUNCTION("""COMPUTED_VALUE"""),2312548)</f>
        <v>2312548</v>
      </c>
      <c r="B2170" s="76" t="str">
        <f ca="1">IFERROR(__xludf.DUMMYFUNCTION("""COMPUTED_VALUE"""),"Кутузова Анна Алексеевна")</f>
        <v>Кутузова Анна Алексеевна</v>
      </c>
      <c r="C2170" s="75" t="str">
        <f ca="1">IFERROR(__xludf.DUMMYFUNCTION("""COMPUTED_VALUE"""),"Студент")</f>
        <v>Студент</v>
      </c>
    </row>
    <row r="2171" spans="1:3">
      <c r="A2171" s="76">
        <f ca="1">IFERROR(__xludf.DUMMYFUNCTION("""COMPUTED_VALUE"""),2312576)</f>
        <v>2312576</v>
      </c>
      <c r="B2171" s="76" t="str">
        <f ca="1">IFERROR(__xludf.DUMMYFUNCTION("""COMPUTED_VALUE"""),"Байдарик Алина Олеговна")</f>
        <v>Байдарик Алина Олеговна</v>
      </c>
      <c r="C2171" s="75" t="str">
        <f ca="1">IFERROR(__xludf.DUMMYFUNCTION("""COMPUTED_VALUE"""),"Студент")</f>
        <v>Студент</v>
      </c>
    </row>
    <row r="2172" spans="1:3">
      <c r="A2172" s="76">
        <f ca="1">IFERROR(__xludf.DUMMYFUNCTION("""COMPUTED_VALUE"""),2312591)</f>
        <v>2312591</v>
      </c>
      <c r="B2172" s="76" t="str">
        <f ca="1">IFERROR(__xludf.DUMMYFUNCTION("""COMPUTED_VALUE"""),"Табачнов Игорь Евгеньевич")</f>
        <v>Табачнов Игорь Евгеньевич</v>
      </c>
      <c r="C2172" s="75" t="str">
        <f ca="1">IFERROR(__xludf.DUMMYFUNCTION("""COMPUTED_VALUE"""),"Студент")</f>
        <v>Студент</v>
      </c>
    </row>
    <row r="2173" spans="1:3">
      <c r="A2173" s="76">
        <f ca="1">IFERROR(__xludf.DUMMYFUNCTION("""COMPUTED_VALUE"""),2312607)</f>
        <v>2312607</v>
      </c>
      <c r="B2173" s="76" t="str">
        <f ca="1">IFERROR(__xludf.DUMMYFUNCTION("""COMPUTED_VALUE"""),"Анаджиб Араби Адум")</f>
        <v>Анаджиб Араби Адум</v>
      </c>
      <c r="C2173" s="75" t="str">
        <f ca="1">IFERROR(__xludf.DUMMYFUNCTION("""COMPUTED_VALUE"""),"Студент")</f>
        <v>Студент</v>
      </c>
    </row>
    <row r="2174" spans="1:3">
      <c r="A2174" s="76">
        <f ca="1">IFERROR(__xludf.DUMMYFUNCTION("""COMPUTED_VALUE"""),2312608)</f>
        <v>2312608</v>
      </c>
      <c r="B2174" s="76" t="str">
        <f ca="1">IFERROR(__xludf.DUMMYFUNCTION("""COMPUTED_VALUE"""),"Свяцкий Глеб Юрьевич")</f>
        <v>Свяцкий Глеб Юрьевич</v>
      </c>
      <c r="C2174" s="75" t="str">
        <f ca="1">IFERROR(__xludf.DUMMYFUNCTION("""COMPUTED_VALUE"""),"Аспирант")</f>
        <v>Аспирант</v>
      </c>
    </row>
    <row r="2175" spans="1:3">
      <c r="A2175" s="76">
        <f ca="1">IFERROR(__xludf.DUMMYFUNCTION("""COMPUTED_VALUE"""),2312614)</f>
        <v>2312614</v>
      </c>
      <c r="B2175" s="76" t="str">
        <f ca="1">IFERROR(__xludf.DUMMYFUNCTION("""COMPUTED_VALUE"""),"Шаныгин Дмитрий Олегович")</f>
        <v>Шаныгин Дмитрий Олегович</v>
      </c>
      <c r="C2175" s="75" t="str">
        <f ca="1">IFERROR(__xludf.DUMMYFUNCTION("""COMPUTED_VALUE"""),"Студент")</f>
        <v>Студент</v>
      </c>
    </row>
    <row r="2176" spans="1:3">
      <c r="A2176" s="76">
        <f ca="1">IFERROR(__xludf.DUMMYFUNCTION("""COMPUTED_VALUE"""),2312618)</f>
        <v>2312618</v>
      </c>
      <c r="B2176" s="76" t="str">
        <f ca="1">IFERROR(__xludf.DUMMYFUNCTION("""COMPUTED_VALUE"""),"Чоке Уаман Эво Сильверио")</f>
        <v>Чоке Уаман Эво Сильверио</v>
      </c>
      <c r="C2176" s="75" t="str">
        <f ca="1">IFERROR(__xludf.DUMMYFUNCTION("""COMPUTED_VALUE"""),"Студент")</f>
        <v>Студент</v>
      </c>
    </row>
    <row r="2177" spans="1:3">
      <c r="A2177" s="76">
        <f ca="1">IFERROR(__xludf.DUMMYFUNCTION("""COMPUTED_VALUE"""),2312625)</f>
        <v>2312625</v>
      </c>
      <c r="B2177" s="76" t="str">
        <f ca="1">IFERROR(__xludf.DUMMYFUNCTION("""COMPUTED_VALUE"""),"Райич Душан")</f>
        <v>Райич Душан</v>
      </c>
      <c r="C2177" s="75" t="str">
        <f ca="1">IFERROR(__xludf.DUMMYFUNCTION("""COMPUTED_VALUE"""),"Студент")</f>
        <v>Студент</v>
      </c>
    </row>
    <row r="2178" spans="1:3">
      <c r="A2178" s="76">
        <f ca="1">IFERROR(__xludf.DUMMYFUNCTION("""COMPUTED_VALUE"""),2312627)</f>
        <v>2312627</v>
      </c>
      <c r="B2178" s="76" t="str">
        <f ca="1">IFERROR(__xludf.DUMMYFUNCTION("""COMPUTED_VALUE"""),"Докукин Никита Алексеевич")</f>
        <v>Докукин Никита Алексеевич</v>
      </c>
      <c r="C2178" s="75" t="str">
        <f ca="1">IFERROR(__xludf.DUMMYFUNCTION("""COMPUTED_VALUE"""),"Студент")</f>
        <v>Студент</v>
      </c>
    </row>
    <row r="2179" spans="1:3">
      <c r="A2179" s="76">
        <f ca="1">IFERROR(__xludf.DUMMYFUNCTION("""COMPUTED_VALUE"""),2312629)</f>
        <v>2312629</v>
      </c>
      <c r="B2179" s="76" t="str">
        <f ca="1">IFERROR(__xludf.DUMMYFUNCTION("""COMPUTED_VALUE"""),"Забродин Ростислав Владимирович")</f>
        <v>Забродин Ростислав Владимирович</v>
      </c>
      <c r="C2179" s="75" t="str">
        <f ca="1">IFERROR(__xludf.DUMMYFUNCTION("""COMPUTED_VALUE"""),"Студент")</f>
        <v>Студент</v>
      </c>
    </row>
    <row r="2180" spans="1:3">
      <c r="A2180" s="76">
        <f ca="1">IFERROR(__xludf.DUMMYFUNCTION("""COMPUTED_VALUE"""),2312645)</f>
        <v>2312645</v>
      </c>
      <c r="B2180" s="76" t="str">
        <f ca="1">IFERROR(__xludf.DUMMYFUNCTION("""COMPUTED_VALUE"""),"Чжан Цзяньцзюнь")</f>
        <v>Чжан Цзяньцзюнь</v>
      </c>
      <c r="C2180" s="75" t="str">
        <f ca="1">IFERROR(__xludf.DUMMYFUNCTION("""COMPUTED_VALUE"""),"Аспирант")</f>
        <v>Аспирант</v>
      </c>
    </row>
    <row r="2181" spans="1:3">
      <c r="A2181" s="76">
        <f ca="1">IFERROR(__xludf.DUMMYFUNCTION("""COMPUTED_VALUE"""),2312647)</f>
        <v>2312647</v>
      </c>
      <c r="B2181" s="76" t="str">
        <f ca="1">IFERROR(__xludf.DUMMYFUNCTION("""COMPUTED_VALUE"""),"Кузин Михаил Витальевич")</f>
        <v>Кузин Михаил Витальевич</v>
      </c>
      <c r="C2181" s="75" t="str">
        <f ca="1">IFERROR(__xludf.DUMMYFUNCTION("""COMPUTED_VALUE"""),"Аспирант")</f>
        <v>Аспирант</v>
      </c>
    </row>
    <row r="2182" spans="1:3">
      <c r="A2182" s="76">
        <f ca="1">IFERROR(__xludf.DUMMYFUNCTION("""COMPUTED_VALUE"""),2312651)</f>
        <v>2312651</v>
      </c>
      <c r="B2182" s="76" t="str">
        <f ca="1">IFERROR(__xludf.DUMMYFUNCTION("""COMPUTED_VALUE"""),"Крылов Никита Андреевич")</f>
        <v>Крылов Никита Андреевич</v>
      </c>
      <c r="C2182" s="75" t="str">
        <f ca="1">IFERROR(__xludf.DUMMYFUNCTION("""COMPUTED_VALUE"""),"Студент")</f>
        <v>Студент</v>
      </c>
    </row>
    <row r="2183" spans="1:3">
      <c r="A2183" s="76">
        <f ca="1">IFERROR(__xludf.DUMMYFUNCTION("""COMPUTED_VALUE"""),2312652)</f>
        <v>2312652</v>
      </c>
      <c r="B2183" s="76" t="str">
        <f ca="1">IFERROR(__xludf.DUMMYFUNCTION("""COMPUTED_VALUE"""),"Саласар Морено Матео Николас")</f>
        <v>Саласар Морено Матео Николас</v>
      </c>
      <c r="C2183" s="75" t="str">
        <f ca="1">IFERROR(__xludf.DUMMYFUNCTION("""COMPUTED_VALUE"""),"Студент")</f>
        <v>Студент</v>
      </c>
    </row>
    <row r="2184" spans="1:3">
      <c r="A2184" s="76">
        <f ca="1">IFERROR(__xludf.DUMMYFUNCTION("""COMPUTED_VALUE"""),2312656)</f>
        <v>2312656</v>
      </c>
      <c r="B2184" s="76" t="str">
        <f ca="1">IFERROR(__xludf.DUMMYFUNCTION("""COMPUTED_VALUE"""),"Омоса Брайан Ньянкери")</f>
        <v>Омоса Брайан Ньянкери</v>
      </c>
      <c r="C2184" s="75" t="str">
        <f ca="1">IFERROR(__xludf.DUMMYFUNCTION("""COMPUTED_VALUE"""),"Студент")</f>
        <v>Студент</v>
      </c>
    </row>
    <row r="2185" spans="1:3">
      <c r="A2185" s="76">
        <f ca="1">IFERROR(__xludf.DUMMYFUNCTION("""COMPUTED_VALUE"""),2312660)</f>
        <v>2312660</v>
      </c>
      <c r="B2185" s="76" t="str">
        <f ca="1">IFERROR(__xludf.DUMMYFUNCTION("""COMPUTED_VALUE"""),"Парчиев Рауф Борисович")</f>
        <v>Парчиев Рауф Борисович</v>
      </c>
      <c r="C2185" s="75" t="str">
        <f ca="1">IFERROR(__xludf.DUMMYFUNCTION("""COMPUTED_VALUE"""),"Студент")</f>
        <v>Студент</v>
      </c>
    </row>
    <row r="2186" spans="1:3">
      <c r="A2186" s="76">
        <f ca="1">IFERROR(__xludf.DUMMYFUNCTION("""COMPUTED_VALUE"""),2312662)</f>
        <v>2312662</v>
      </c>
      <c r="B2186" s="76" t="str">
        <f ca="1">IFERROR(__xludf.DUMMYFUNCTION("""COMPUTED_VALUE"""),"Федотов Александр Дмитриевич")</f>
        <v>Федотов Александр Дмитриевич</v>
      </c>
      <c r="C2186" s="75" t="str">
        <f ca="1">IFERROR(__xludf.DUMMYFUNCTION("""COMPUTED_VALUE"""),"Аспирант")</f>
        <v>Аспирант</v>
      </c>
    </row>
    <row r="2187" spans="1:3">
      <c r="A2187" s="76">
        <f ca="1">IFERROR(__xludf.DUMMYFUNCTION("""COMPUTED_VALUE"""),2312667)</f>
        <v>2312667</v>
      </c>
      <c r="B2187" s="76" t="str">
        <f ca="1">IFERROR(__xludf.DUMMYFUNCTION("""COMPUTED_VALUE"""),"Ротич Джеоффри Киптануи")</f>
        <v>Ротич Джеоффри Киптануи</v>
      </c>
      <c r="C2187" s="75" t="str">
        <f ca="1">IFERROR(__xludf.DUMMYFUNCTION("""COMPUTED_VALUE"""),"Студент")</f>
        <v>Студент</v>
      </c>
    </row>
    <row r="2188" spans="1:3">
      <c r="A2188" s="76">
        <f ca="1">IFERROR(__xludf.DUMMYFUNCTION("""COMPUTED_VALUE"""),2312681)</f>
        <v>2312681</v>
      </c>
      <c r="B2188" s="76" t="str">
        <f ca="1">IFERROR(__xludf.DUMMYFUNCTION("""COMPUTED_VALUE"""),"Жоау Андре Албану")</f>
        <v>Жоау Андре Албану</v>
      </c>
      <c r="C2188" s="75" t="str">
        <f ca="1">IFERROR(__xludf.DUMMYFUNCTION("""COMPUTED_VALUE"""),"Аспирант")</f>
        <v>Аспирант</v>
      </c>
    </row>
    <row r="2189" spans="1:3">
      <c r="A2189" s="76">
        <f ca="1">IFERROR(__xludf.DUMMYFUNCTION("""COMPUTED_VALUE"""),2312685)</f>
        <v>2312685</v>
      </c>
      <c r="B2189" s="76" t="str">
        <f ca="1">IFERROR(__xludf.DUMMYFUNCTION("""COMPUTED_VALUE"""),"Седых Владислав Анатольевич")</f>
        <v>Седых Владислав Анатольевич</v>
      </c>
      <c r="C2189" s="75" t="str">
        <f ca="1">IFERROR(__xludf.DUMMYFUNCTION("""COMPUTED_VALUE"""),"Аспирант")</f>
        <v>Аспирант</v>
      </c>
    </row>
    <row r="2190" spans="1:3">
      <c r="A2190" s="76">
        <f ca="1">IFERROR(__xludf.DUMMYFUNCTION("""COMPUTED_VALUE"""),2312686)</f>
        <v>2312686</v>
      </c>
      <c r="B2190" s="76" t="str">
        <f ca="1">IFERROR(__xludf.DUMMYFUNCTION("""COMPUTED_VALUE"""),"Цыплянский Артём Михайлович")</f>
        <v>Цыплянский Артём Михайлович</v>
      </c>
      <c r="C2190" s="75" t="str">
        <f ca="1">IFERROR(__xludf.DUMMYFUNCTION("""COMPUTED_VALUE"""),"Студент")</f>
        <v>Студент</v>
      </c>
    </row>
    <row r="2191" spans="1:3">
      <c r="A2191" s="76">
        <f ca="1">IFERROR(__xludf.DUMMYFUNCTION("""COMPUTED_VALUE"""),2312689)</f>
        <v>2312689</v>
      </c>
      <c r="B2191" s="76" t="str">
        <f ca="1">IFERROR(__xludf.DUMMYFUNCTION("""COMPUTED_VALUE"""),"Мундунди Коррейя Паулу")</f>
        <v>Мундунди Коррейя Паулу</v>
      </c>
      <c r="C2191" s="75" t="str">
        <f ca="1">IFERROR(__xludf.DUMMYFUNCTION("""COMPUTED_VALUE"""),"Аспирант")</f>
        <v>Аспирант</v>
      </c>
    </row>
    <row r="2192" spans="1:3">
      <c r="A2192" s="76">
        <f ca="1">IFERROR(__xludf.DUMMYFUNCTION("""COMPUTED_VALUE"""),2312690)</f>
        <v>2312690</v>
      </c>
      <c r="B2192" s="76" t="str">
        <f ca="1">IFERROR(__xludf.DUMMYFUNCTION("""COMPUTED_VALUE"""),"Идиятуллин Шамиль Ильдарович")</f>
        <v>Идиятуллин Шамиль Ильдарович</v>
      </c>
      <c r="C2192" s="75" t="str">
        <f ca="1">IFERROR(__xludf.DUMMYFUNCTION("""COMPUTED_VALUE"""),"Студент")</f>
        <v>Студент</v>
      </c>
    </row>
    <row r="2193" spans="1:3">
      <c r="A2193" s="76">
        <f ca="1">IFERROR(__xludf.DUMMYFUNCTION("""COMPUTED_VALUE"""),2312695)</f>
        <v>2312695</v>
      </c>
      <c r="B2193" s="76" t="str">
        <f ca="1">IFERROR(__xludf.DUMMYFUNCTION("""COMPUTED_VALUE"""),"Сала Жулиу Кикуамби")</f>
        <v>Сала Жулиу Кикуамби</v>
      </c>
      <c r="C2193" s="75" t="str">
        <f ca="1">IFERROR(__xludf.DUMMYFUNCTION("""COMPUTED_VALUE"""),"Аспирант")</f>
        <v>Аспирант</v>
      </c>
    </row>
    <row r="2194" spans="1:3">
      <c r="A2194" s="76">
        <f ca="1">IFERROR(__xludf.DUMMYFUNCTION("""COMPUTED_VALUE"""),2312700)</f>
        <v>2312700</v>
      </c>
      <c r="B2194" s="76" t="str">
        <f ca="1">IFERROR(__xludf.DUMMYFUNCTION("""COMPUTED_VALUE"""),"Шумаев Евгений Витальевич")</f>
        <v>Шумаев Евгений Витальевич</v>
      </c>
      <c r="C2194" s="75" t="str">
        <f ca="1">IFERROR(__xludf.DUMMYFUNCTION("""COMPUTED_VALUE"""),"Студент")</f>
        <v>Студент</v>
      </c>
    </row>
    <row r="2195" spans="1:3">
      <c r="A2195" s="76">
        <f ca="1">IFERROR(__xludf.DUMMYFUNCTION("""COMPUTED_VALUE"""),2312704)</f>
        <v>2312704</v>
      </c>
      <c r="B2195" s="76" t="str">
        <f ca="1">IFERROR(__xludf.DUMMYFUNCTION("""COMPUTED_VALUE"""),"Бакри Абдиллахи Мохамед")</f>
        <v>Бакри Абдиллахи Мохамед</v>
      </c>
      <c r="C2195" s="75" t="str">
        <f ca="1">IFERROR(__xludf.DUMMYFUNCTION("""COMPUTED_VALUE"""),"Аспирант")</f>
        <v>Аспирант</v>
      </c>
    </row>
    <row r="2196" spans="1:3">
      <c r="A2196" s="76">
        <f ca="1">IFERROR(__xludf.DUMMYFUNCTION("""COMPUTED_VALUE"""),2312706)</f>
        <v>2312706</v>
      </c>
      <c r="B2196" s="76" t="str">
        <f ca="1">IFERROR(__xludf.DUMMYFUNCTION("""COMPUTED_VALUE"""),"Мфуму Андре Гонда Муана")</f>
        <v>Мфуму Андре Гонда Муана</v>
      </c>
      <c r="C2196" s="75" t="str">
        <f ca="1">IFERROR(__xludf.DUMMYFUNCTION("""COMPUTED_VALUE"""),"Студент")</f>
        <v>Студент</v>
      </c>
    </row>
    <row r="2197" spans="1:3">
      <c r="A2197" s="76">
        <f ca="1">IFERROR(__xludf.DUMMYFUNCTION("""COMPUTED_VALUE"""),2312711)</f>
        <v>2312711</v>
      </c>
      <c r="B2197" s="76" t="str">
        <f ca="1">IFERROR(__xludf.DUMMYFUNCTION("""COMPUTED_VALUE"""),"Джунджу Дуглас")</f>
        <v>Джунджу Дуглас</v>
      </c>
      <c r="C2197" s="75" t="str">
        <f ca="1">IFERROR(__xludf.DUMMYFUNCTION("""COMPUTED_VALUE"""),"Аспирант")</f>
        <v>Аспирант</v>
      </c>
    </row>
    <row r="2198" spans="1:3">
      <c r="A2198" s="76">
        <f ca="1">IFERROR(__xludf.DUMMYFUNCTION("""COMPUTED_VALUE"""),2312716)</f>
        <v>2312716</v>
      </c>
      <c r="B2198" s="76" t="str">
        <f ca="1">IFERROR(__xludf.DUMMYFUNCTION("""COMPUTED_VALUE"""),"Карякин Алексей Владимирович")</f>
        <v>Карякин Алексей Владимирович</v>
      </c>
      <c r="C2198" s="75" t="str">
        <f ca="1">IFERROR(__xludf.DUMMYFUNCTION("""COMPUTED_VALUE"""),"Студент")</f>
        <v>Студент</v>
      </c>
    </row>
    <row r="2199" spans="1:3">
      <c r="A2199" s="76">
        <f ca="1">IFERROR(__xludf.DUMMYFUNCTION("""COMPUTED_VALUE"""),2312718)</f>
        <v>2312718</v>
      </c>
      <c r="B2199" s="76" t="str">
        <f ca="1">IFERROR(__xludf.DUMMYFUNCTION("""COMPUTED_VALUE"""),"Якубу Шараф-Дин")</f>
        <v>Якубу Шараф-Дин</v>
      </c>
      <c r="C2199" s="75" t="str">
        <f ca="1">IFERROR(__xludf.DUMMYFUNCTION("""COMPUTED_VALUE"""),"Студент")</f>
        <v>Студент</v>
      </c>
    </row>
    <row r="2200" spans="1:3">
      <c r="A2200" s="76">
        <f ca="1">IFERROR(__xludf.DUMMYFUNCTION("""COMPUTED_VALUE"""),2312741)</f>
        <v>2312741</v>
      </c>
      <c r="B2200" s="76" t="str">
        <f ca="1">IFERROR(__xludf.DUMMYFUNCTION("""COMPUTED_VALUE"""),"Попов Архип Сергеевич")</f>
        <v>Попов Архип Сергеевич</v>
      </c>
      <c r="C2200" s="75" t="str">
        <f ca="1">IFERROR(__xludf.DUMMYFUNCTION("""COMPUTED_VALUE"""),"Студент")</f>
        <v>Студент</v>
      </c>
    </row>
    <row r="2201" spans="1:3">
      <c r="A2201" s="76">
        <f ca="1">IFERROR(__xludf.DUMMYFUNCTION("""COMPUTED_VALUE"""),2312751)</f>
        <v>2312751</v>
      </c>
      <c r="B2201" s="76" t="str">
        <f ca="1">IFERROR(__xludf.DUMMYFUNCTION("""COMPUTED_VALUE"""),"Нуретдинов Даврон Салохиддин Угли")</f>
        <v>Нуретдинов Даврон Салохиддин Угли</v>
      </c>
      <c r="C2201" s="75" t="str">
        <f ca="1">IFERROR(__xludf.DUMMYFUNCTION("""COMPUTED_VALUE"""),"Аспирант")</f>
        <v>Аспирант</v>
      </c>
    </row>
    <row r="2202" spans="1:3">
      <c r="A2202" s="76">
        <f ca="1">IFERROR(__xludf.DUMMYFUNCTION("""COMPUTED_VALUE"""),2312752)</f>
        <v>2312752</v>
      </c>
      <c r="B2202" s="76" t="str">
        <f ca="1">IFERROR(__xludf.DUMMYFUNCTION("""COMPUTED_VALUE"""),"Виноградова Ангелина Олеговна")</f>
        <v>Виноградова Ангелина Олеговна</v>
      </c>
      <c r="C2202" s="75" t="str">
        <f ca="1">IFERROR(__xludf.DUMMYFUNCTION("""COMPUTED_VALUE"""),"Студент")</f>
        <v>Студент</v>
      </c>
    </row>
    <row r="2203" spans="1:3">
      <c r="A2203" s="76">
        <f ca="1">IFERROR(__xludf.DUMMYFUNCTION("""COMPUTED_VALUE"""),2312753)</f>
        <v>2312753</v>
      </c>
      <c r="B2203" s="76" t="str">
        <f ca="1">IFERROR(__xludf.DUMMYFUNCTION("""COMPUTED_VALUE"""),"Кристя Дан Вячеславович")</f>
        <v>Кристя Дан Вячеславович</v>
      </c>
      <c r="C2203" s="75" t="str">
        <f ca="1">IFERROR(__xludf.DUMMYFUNCTION("""COMPUTED_VALUE"""),"Студент")</f>
        <v>Студент</v>
      </c>
    </row>
    <row r="2204" spans="1:3">
      <c r="A2204" s="76">
        <f ca="1">IFERROR(__xludf.DUMMYFUNCTION("""COMPUTED_VALUE"""),2312754)</f>
        <v>2312754</v>
      </c>
      <c r="B2204" s="76" t="str">
        <f ca="1">IFERROR(__xludf.DUMMYFUNCTION("""COMPUTED_VALUE"""),"Викториано Абреу Джерси")</f>
        <v>Викториано Абреу Джерси</v>
      </c>
      <c r="C2204" s="75" t="str">
        <f ca="1">IFERROR(__xludf.DUMMYFUNCTION("""COMPUTED_VALUE"""),"Студент")</f>
        <v>Студент</v>
      </c>
    </row>
    <row r="2205" spans="1:3">
      <c r="A2205" s="76">
        <f ca="1">IFERROR(__xludf.DUMMYFUNCTION("""COMPUTED_VALUE"""),2312756)</f>
        <v>2312756</v>
      </c>
      <c r="B2205" s="76" t="str">
        <f ca="1">IFERROR(__xludf.DUMMYFUNCTION("""COMPUTED_VALUE"""),"Вторников Михаил Юрьевич")</f>
        <v>Вторников Михаил Юрьевич</v>
      </c>
      <c r="C2205" s="75" t="str">
        <f ca="1">IFERROR(__xludf.DUMMYFUNCTION("""COMPUTED_VALUE"""),"Студент")</f>
        <v>Студент</v>
      </c>
    </row>
    <row r="2206" spans="1:3">
      <c r="A2206" s="76">
        <f ca="1">IFERROR(__xludf.DUMMYFUNCTION("""COMPUTED_VALUE"""),2312771)</f>
        <v>2312771</v>
      </c>
      <c r="B2206" s="76" t="str">
        <f ca="1">IFERROR(__xludf.DUMMYFUNCTION("""COMPUTED_VALUE"""),"Хромых Дмитрий Владимирович")</f>
        <v>Хромых Дмитрий Владимирович</v>
      </c>
      <c r="C2206" s="75" t="str">
        <f ca="1">IFERROR(__xludf.DUMMYFUNCTION("""COMPUTED_VALUE"""),"Аспирант")</f>
        <v>Аспирант</v>
      </c>
    </row>
    <row r="2207" spans="1:3">
      <c r="A2207" s="76">
        <f ca="1">IFERROR(__xludf.DUMMYFUNCTION("""COMPUTED_VALUE"""),2312772)</f>
        <v>2312772</v>
      </c>
      <c r="B2207" s="76" t="str">
        <f ca="1">IFERROR(__xludf.DUMMYFUNCTION("""COMPUTED_VALUE"""),"Лосева Полина Сергеевна")</f>
        <v>Лосева Полина Сергеевна</v>
      </c>
      <c r="C2207" s="75" t="str">
        <f ca="1">IFERROR(__xludf.DUMMYFUNCTION("""COMPUTED_VALUE"""),"Студент")</f>
        <v>Студент</v>
      </c>
    </row>
    <row r="2208" spans="1:3">
      <c r="A2208" s="76">
        <f ca="1">IFERROR(__xludf.DUMMYFUNCTION("""COMPUTED_VALUE"""),2312775)</f>
        <v>2312775</v>
      </c>
      <c r="B2208" s="76" t="str">
        <f ca="1">IFERROR(__xludf.DUMMYFUNCTION("""COMPUTED_VALUE"""),"Тесфамариам Теклеаб Андемариам")</f>
        <v>Тесфамариам Теклеаб Андемариам</v>
      </c>
      <c r="C2208" s="75" t="str">
        <f ca="1">IFERROR(__xludf.DUMMYFUNCTION("""COMPUTED_VALUE"""),"Студент")</f>
        <v>Студент</v>
      </c>
    </row>
    <row r="2209" spans="1:3">
      <c r="A2209" s="76">
        <f ca="1">IFERROR(__xludf.DUMMYFUNCTION("""COMPUTED_VALUE"""),2312782)</f>
        <v>2312782</v>
      </c>
      <c r="B2209" s="76" t="str">
        <f ca="1">IFERROR(__xludf.DUMMYFUNCTION("""COMPUTED_VALUE"""),"Эксанова Дарья Денисовна")</f>
        <v>Эксанова Дарья Денисовна</v>
      </c>
      <c r="C2209" s="75" t="str">
        <f ca="1">IFERROR(__xludf.DUMMYFUNCTION("""COMPUTED_VALUE"""),"Студент")</f>
        <v>Студент</v>
      </c>
    </row>
    <row r="2210" spans="1:3">
      <c r="A2210" s="76">
        <f ca="1">IFERROR(__xludf.DUMMYFUNCTION("""COMPUTED_VALUE"""),2312783)</f>
        <v>2312783</v>
      </c>
      <c r="B2210" s="76" t="str">
        <f ca="1">IFERROR(__xludf.DUMMYFUNCTION("""COMPUTED_VALUE"""),"Латанова Елена Александровна")</f>
        <v>Латанова Елена Александровна</v>
      </c>
      <c r="C2210" s="75" t="str">
        <f ca="1">IFERROR(__xludf.DUMMYFUNCTION("""COMPUTED_VALUE"""),"Аспирант")</f>
        <v>Аспирант</v>
      </c>
    </row>
    <row r="2211" spans="1:3">
      <c r="A2211" s="76">
        <f ca="1">IFERROR(__xludf.DUMMYFUNCTION("""COMPUTED_VALUE"""),2312787)</f>
        <v>2312787</v>
      </c>
      <c r="B2211" s="76" t="str">
        <f ca="1">IFERROR(__xludf.DUMMYFUNCTION("""COMPUTED_VALUE"""),"Захарова Виктория Олеговна")</f>
        <v>Захарова Виктория Олеговна</v>
      </c>
      <c r="C2211" s="75" t="str">
        <f ca="1">IFERROR(__xludf.DUMMYFUNCTION("""COMPUTED_VALUE"""),"Студент")</f>
        <v>Студент</v>
      </c>
    </row>
    <row r="2212" spans="1:3">
      <c r="A2212" s="76">
        <f ca="1">IFERROR(__xludf.DUMMYFUNCTION("""COMPUTED_VALUE"""),2312799)</f>
        <v>2312799</v>
      </c>
      <c r="B2212" s="76" t="str">
        <f ca="1">IFERROR(__xludf.DUMMYFUNCTION("""COMPUTED_VALUE"""),"Джонсон Чидинма Энн")</f>
        <v>Джонсон Чидинма Энн</v>
      </c>
      <c r="C2212" s="75" t="str">
        <f ca="1">IFERROR(__xludf.DUMMYFUNCTION("""COMPUTED_VALUE"""),"Аспирант")</f>
        <v>Аспирант</v>
      </c>
    </row>
    <row r="2213" spans="1:3">
      <c r="A2213" s="76">
        <f ca="1">IFERROR(__xludf.DUMMYFUNCTION("""COMPUTED_VALUE"""),2312800)</f>
        <v>2312800</v>
      </c>
      <c r="B2213" s="76" t="str">
        <f ca="1">IFERROR(__xludf.DUMMYFUNCTION("""COMPUTED_VALUE"""),"Сальников Дмитрий Витальевич")</f>
        <v>Сальников Дмитрий Витальевич</v>
      </c>
      <c r="C2213" s="75" t="str">
        <f ca="1">IFERROR(__xludf.DUMMYFUNCTION("""COMPUTED_VALUE"""),"Студент")</f>
        <v>Студент</v>
      </c>
    </row>
    <row r="2214" spans="1:3">
      <c r="A2214" s="76">
        <f ca="1">IFERROR(__xludf.DUMMYFUNCTION("""COMPUTED_VALUE"""),2312805)</f>
        <v>2312805</v>
      </c>
      <c r="B2214" s="76" t="str">
        <f ca="1">IFERROR(__xludf.DUMMYFUNCTION("""COMPUTED_VALUE"""),"Экпемиро Келечи Удочукву")</f>
        <v>Экпемиро Келечи Удочукву</v>
      </c>
      <c r="C2214" s="75" t="str">
        <f ca="1">IFERROR(__xludf.DUMMYFUNCTION("""COMPUTED_VALUE"""),"Студент")</f>
        <v>Студент</v>
      </c>
    </row>
    <row r="2215" spans="1:3">
      <c r="A2215" s="76">
        <f ca="1">IFERROR(__xludf.DUMMYFUNCTION("""COMPUTED_VALUE"""),2312807)</f>
        <v>2312807</v>
      </c>
      <c r="B2215" s="76" t="str">
        <f ca="1">IFERROR(__xludf.DUMMYFUNCTION("""COMPUTED_VALUE"""),"Козлов Аркадий Сергеевич")</f>
        <v>Козлов Аркадий Сергеевич</v>
      </c>
      <c r="C2215" s="75" t="str">
        <f ca="1">IFERROR(__xludf.DUMMYFUNCTION("""COMPUTED_VALUE"""),"Студент")</f>
        <v>Студент</v>
      </c>
    </row>
    <row r="2216" spans="1:3">
      <c r="A2216" s="76">
        <f ca="1">IFERROR(__xludf.DUMMYFUNCTION("""COMPUTED_VALUE"""),2312809)</f>
        <v>2312809</v>
      </c>
      <c r="B2216" s="76" t="str">
        <f ca="1">IFERROR(__xludf.DUMMYFUNCTION("""COMPUTED_VALUE"""),"Коновалова Кристина Александровна")</f>
        <v>Коновалова Кристина Александровна</v>
      </c>
      <c r="C2216" s="75" t="str">
        <f ca="1">IFERROR(__xludf.DUMMYFUNCTION("""COMPUTED_VALUE"""),"Аспирант")</f>
        <v>Аспирант</v>
      </c>
    </row>
    <row r="2217" spans="1:3">
      <c r="A2217" s="76">
        <f ca="1">IFERROR(__xludf.DUMMYFUNCTION("""COMPUTED_VALUE"""),2312810)</f>
        <v>2312810</v>
      </c>
      <c r="B2217" s="76" t="str">
        <f ca="1">IFERROR(__xludf.DUMMYFUNCTION("""COMPUTED_VALUE"""),"Юнуса Лукман Джибрил")</f>
        <v>Юнуса Лукман Джибрил</v>
      </c>
      <c r="C2217" s="75" t="str">
        <f ca="1">IFERROR(__xludf.DUMMYFUNCTION("""COMPUTED_VALUE"""),"Аспирант")</f>
        <v>Аспирант</v>
      </c>
    </row>
    <row r="2218" spans="1:3">
      <c r="A2218" s="76">
        <f ca="1">IFERROR(__xludf.DUMMYFUNCTION("""COMPUTED_VALUE"""),2312815)</f>
        <v>2312815</v>
      </c>
      <c r="B2218" s="76" t="str">
        <f ca="1">IFERROR(__xludf.DUMMYFUNCTION("""COMPUTED_VALUE"""),"Лудина Анастасия Максимовна")</f>
        <v>Лудина Анастасия Максимовна</v>
      </c>
      <c r="C2218" s="75" t="str">
        <f ca="1">IFERROR(__xludf.DUMMYFUNCTION("""COMPUTED_VALUE"""),"Студент")</f>
        <v>Студент</v>
      </c>
    </row>
    <row r="2219" spans="1:3">
      <c r="A2219" s="76">
        <f ca="1">IFERROR(__xludf.DUMMYFUNCTION("""COMPUTED_VALUE"""),2312821)</f>
        <v>2312821</v>
      </c>
      <c r="B2219" s="76" t="str">
        <f ca="1">IFERROR(__xludf.DUMMYFUNCTION("""COMPUTED_VALUE"""),"Томпсон Дэниел Дэниел Эдем")</f>
        <v>Томпсон Дэниел Дэниел Эдем</v>
      </c>
      <c r="C2219" s="75" t="str">
        <f ca="1">IFERROR(__xludf.DUMMYFUNCTION("""COMPUTED_VALUE"""),"Студент")</f>
        <v>Студент</v>
      </c>
    </row>
    <row r="2220" spans="1:3">
      <c r="A2220" s="76">
        <f ca="1">IFERROR(__xludf.DUMMYFUNCTION("""COMPUTED_VALUE"""),2312837)</f>
        <v>2312837</v>
      </c>
      <c r="B2220" s="76" t="str">
        <f ca="1">IFERROR(__xludf.DUMMYFUNCTION("""COMPUTED_VALUE"""),"Куаку Куадио Шарлен Трезор")</f>
        <v>Куаку Куадио Шарлен Трезор</v>
      </c>
      <c r="C2220" s="75" t="str">
        <f ca="1">IFERROR(__xludf.DUMMYFUNCTION("""COMPUTED_VALUE"""),"Студент")</f>
        <v>Студент</v>
      </c>
    </row>
    <row r="2221" spans="1:3">
      <c r="A2221" s="76">
        <f ca="1">IFERROR(__xludf.DUMMYFUNCTION("""COMPUTED_VALUE"""),2312843)</f>
        <v>2312843</v>
      </c>
      <c r="B2221" s="76" t="str">
        <f ca="1">IFERROR(__xludf.DUMMYFUNCTION("""COMPUTED_VALUE"""),"Жуков Степан Андреевич")</f>
        <v>Жуков Степан Андреевич</v>
      </c>
      <c r="C2221" s="75" t="str">
        <f ca="1">IFERROR(__xludf.DUMMYFUNCTION("""COMPUTED_VALUE"""),"Студент")</f>
        <v>Студент</v>
      </c>
    </row>
    <row r="2222" spans="1:3">
      <c r="A2222" s="76">
        <f ca="1">IFERROR(__xludf.DUMMYFUNCTION("""COMPUTED_VALUE"""),2312844)</f>
        <v>2312844</v>
      </c>
      <c r="B2222" s="76" t="str">
        <f ca="1">IFERROR(__xludf.DUMMYFUNCTION("""COMPUTED_VALUE"""),"Филатова Анна Дмитриевна")</f>
        <v>Филатова Анна Дмитриевна</v>
      </c>
      <c r="C2222" s="75" t="str">
        <f ca="1">IFERROR(__xludf.DUMMYFUNCTION("""COMPUTED_VALUE"""),"Студент")</f>
        <v>Студент</v>
      </c>
    </row>
    <row r="2223" spans="1:3">
      <c r="A2223" s="76">
        <f ca="1">IFERROR(__xludf.DUMMYFUNCTION("""COMPUTED_VALUE"""),2312847)</f>
        <v>2312847</v>
      </c>
      <c r="B2223" s="76" t="str">
        <f ca="1">IFERROR(__xludf.DUMMYFUNCTION("""COMPUTED_VALUE"""),"Ахмед Эхдаааллах Усама Халифа Сайед")</f>
        <v>Ахмед Эхдаааллах Усама Халифа Сайед</v>
      </c>
      <c r="C2223" s="75" t="str">
        <f ca="1">IFERROR(__xludf.DUMMYFUNCTION("""COMPUTED_VALUE"""),"Аспирант")</f>
        <v>Аспирант</v>
      </c>
    </row>
    <row r="2224" spans="1:3">
      <c r="A2224" s="76">
        <f ca="1">IFERROR(__xludf.DUMMYFUNCTION("""COMPUTED_VALUE"""),2312848)</f>
        <v>2312848</v>
      </c>
      <c r="B2224" s="76" t="str">
        <f ca="1">IFERROR(__xludf.DUMMYFUNCTION("""COMPUTED_VALUE"""),"Коршаков Александр Игоревич")</f>
        <v>Коршаков Александр Игоревич</v>
      </c>
      <c r="C2224" s="75" t="str">
        <f ca="1">IFERROR(__xludf.DUMMYFUNCTION("""COMPUTED_VALUE"""),"Студент")</f>
        <v>Студент</v>
      </c>
    </row>
    <row r="2225" spans="1:3">
      <c r="A2225" s="76">
        <f ca="1">IFERROR(__xludf.DUMMYFUNCTION("""COMPUTED_VALUE"""),2312850)</f>
        <v>2312850</v>
      </c>
      <c r="B2225" s="76" t="str">
        <f ca="1">IFERROR(__xludf.DUMMYFUNCTION("""COMPUTED_VALUE"""),"Коновалов Денис Васильевич")</f>
        <v>Коновалов Денис Васильевич</v>
      </c>
      <c r="C2225" s="75" t="str">
        <f ca="1">IFERROR(__xludf.DUMMYFUNCTION("""COMPUTED_VALUE"""),"Студент")</f>
        <v>Студент</v>
      </c>
    </row>
    <row r="2226" spans="1:3">
      <c r="A2226" s="76">
        <f ca="1">IFERROR(__xludf.DUMMYFUNCTION("""COMPUTED_VALUE"""),2312865)</f>
        <v>2312865</v>
      </c>
      <c r="B2226" s="76" t="str">
        <f ca="1">IFERROR(__xludf.DUMMYFUNCTION("""COMPUTED_VALUE"""),"Нгуен Ву Май Куен")</f>
        <v>Нгуен Ву Май Куен</v>
      </c>
      <c r="C2226" s="75" t="str">
        <f ca="1">IFERROR(__xludf.DUMMYFUNCTION("""COMPUTED_VALUE"""),"Студент")</f>
        <v>Студент</v>
      </c>
    </row>
    <row r="2227" spans="1:3">
      <c r="A2227" s="76">
        <f ca="1">IFERROR(__xludf.DUMMYFUNCTION("""COMPUTED_VALUE"""),2312874)</f>
        <v>2312874</v>
      </c>
      <c r="B2227" s="76" t="str">
        <f ca="1">IFERROR(__xludf.DUMMYFUNCTION("""COMPUTED_VALUE"""),"Олоту Дэвид Олорунтоба")</f>
        <v>Олоту Дэвид Олорунтоба</v>
      </c>
      <c r="C2227" s="75" t="str">
        <f ca="1">IFERROR(__xludf.DUMMYFUNCTION("""COMPUTED_VALUE"""),"Студент")</f>
        <v>Студент</v>
      </c>
    </row>
    <row r="2228" spans="1:3">
      <c r="A2228" s="76">
        <f ca="1">IFERROR(__xludf.DUMMYFUNCTION("""COMPUTED_VALUE"""),2312881)</f>
        <v>2312881</v>
      </c>
      <c r="B2228" s="76" t="str">
        <f ca="1">IFERROR(__xludf.DUMMYFUNCTION("""COMPUTED_VALUE"""),"Коркор Франклина")</f>
        <v>Коркор Франклина</v>
      </c>
      <c r="C2228" s="75" t="str">
        <f ca="1">IFERROR(__xludf.DUMMYFUNCTION("""COMPUTED_VALUE"""),"Студент")</f>
        <v>Студент</v>
      </c>
    </row>
    <row r="2229" spans="1:3">
      <c r="A2229" s="76">
        <f ca="1">IFERROR(__xludf.DUMMYFUNCTION("""COMPUTED_VALUE"""),2312886)</f>
        <v>2312886</v>
      </c>
      <c r="B2229" s="76" t="str">
        <f ca="1">IFERROR(__xludf.DUMMYFUNCTION("""COMPUTED_VALUE"""),"Борщевская Наталья Александровна")</f>
        <v>Борщевская Наталья Александровна</v>
      </c>
      <c r="C2229" s="75" t="str">
        <f ca="1">IFERROR(__xludf.DUMMYFUNCTION("""COMPUTED_VALUE"""),"Студент")</f>
        <v>Студент</v>
      </c>
    </row>
    <row r="2230" spans="1:3">
      <c r="A2230" s="76">
        <f ca="1">IFERROR(__xludf.DUMMYFUNCTION("""COMPUTED_VALUE"""),2312891)</f>
        <v>2312891</v>
      </c>
      <c r="B2230" s="76" t="str">
        <f ca="1">IFERROR(__xludf.DUMMYFUNCTION("""COMPUTED_VALUE"""),"Яковлев Николай Николаевич")</f>
        <v>Яковлев Николай Николаевич</v>
      </c>
      <c r="C2230" s="75" t="str">
        <f ca="1">IFERROR(__xludf.DUMMYFUNCTION("""COMPUTED_VALUE"""),"Студент")</f>
        <v>Студент</v>
      </c>
    </row>
    <row r="2231" spans="1:3">
      <c r="A2231" s="76">
        <f ca="1">IFERROR(__xludf.DUMMYFUNCTION("""COMPUTED_VALUE"""),2312892)</f>
        <v>2312892</v>
      </c>
      <c r="B2231" s="76" t="str">
        <f ca="1">IFERROR(__xludf.DUMMYFUNCTION("""COMPUTED_VALUE"""),"Чинь Чонг Зяп")</f>
        <v>Чинь Чонг Зяп</v>
      </c>
      <c r="C2231" s="75" t="str">
        <f ca="1">IFERROR(__xludf.DUMMYFUNCTION("""COMPUTED_VALUE"""),"Студент")</f>
        <v>Студент</v>
      </c>
    </row>
    <row r="2232" spans="1:3">
      <c r="A2232" s="76">
        <f ca="1">IFERROR(__xludf.DUMMYFUNCTION("""COMPUTED_VALUE"""),2312898)</f>
        <v>2312898</v>
      </c>
      <c r="B2232" s="76" t="str">
        <f ca="1">IFERROR(__xludf.DUMMYFUNCTION("""COMPUTED_VALUE"""),"Комиссаров Александр Анатольевич")</f>
        <v>Комиссаров Александр Анатольевич</v>
      </c>
      <c r="C2232" s="75" t="str">
        <f ca="1">IFERROR(__xludf.DUMMYFUNCTION("""COMPUTED_VALUE"""),"Студент")</f>
        <v>Студент</v>
      </c>
    </row>
    <row r="2233" spans="1:3">
      <c r="A2233" s="76">
        <f ca="1">IFERROR(__xludf.DUMMYFUNCTION("""COMPUTED_VALUE"""),2312903)</f>
        <v>2312903</v>
      </c>
      <c r="B2233" s="76" t="str">
        <f ca="1">IFERROR(__xludf.DUMMYFUNCTION("""COMPUTED_VALUE"""),"Фадеев Владислав Валерьевич")</f>
        <v>Фадеев Владислав Валерьевич</v>
      </c>
      <c r="C2233" s="75" t="str">
        <f ca="1">IFERROR(__xludf.DUMMYFUNCTION("""COMPUTED_VALUE"""),"Студент")</f>
        <v>Студент</v>
      </c>
    </row>
    <row r="2234" spans="1:3">
      <c r="A2234" s="76">
        <f ca="1">IFERROR(__xludf.DUMMYFUNCTION("""COMPUTED_VALUE"""),2312906)</f>
        <v>2312906</v>
      </c>
      <c r="B2234" s="76" t="str">
        <f ca="1">IFERROR(__xludf.DUMMYFUNCTION("""COMPUTED_VALUE"""),"Камбаров Сарвар Уткиржон-Угли")</f>
        <v>Камбаров Сарвар Уткиржон-Угли</v>
      </c>
      <c r="C2234" s="75" t="str">
        <f ca="1">IFERROR(__xludf.DUMMYFUNCTION("""COMPUTED_VALUE"""),"Аспирант")</f>
        <v>Аспирант</v>
      </c>
    </row>
    <row r="2235" spans="1:3">
      <c r="A2235" s="76">
        <f ca="1">IFERROR(__xludf.DUMMYFUNCTION("""COMPUTED_VALUE"""),2312917)</f>
        <v>2312917</v>
      </c>
      <c r="B2235" s="76" t="str">
        <f ca="1">IFERROR(__xludf.DUMMYFUNCTION("""COMPUTED_VALUE"""),"Макарова Алина Андреевна")</f>
        <v>Макарова Алина Андреевна</v>
      </c>
      <c r="C2235" s="75" t="str">
        <f ca="1">IFERROR(__xludf.DUMMYFUNCTION("""COMPUTED_VALUE"""),"Студент")</f>
        <v>Студент</v>
      </c>
    </row>
    <row r="2236" spans="1:3">
      <c r="A2236" s="76">
        <f ca="1">IFERROR(__xludf.DUMMYFUNCTION("""COMPUTED_VALUE"""),2312920)</f>
        <v>2312920</v>
      </c>
      <c r="B2236" s="76" t="str">
        <f ca="1">IFERROR(__xludf.DUMMYFUNCTION("""COMPUTED_VALUE"""),"Колобаева Яника Максимовна")</f>
        <v>Колобаева Яника Максимовна</v>
      </c>
      <c r="C2236" s="75" t="str">
        <f ca="1">IFERROR(__xludf.DUMMYFUNCTION("""COMPUTED_VALUE"""),"Студент")</f>
        <v>Студент</v>
      </c>
    </row>
    <row r="2237" spans="1:3">
      <c r="A2237" s="76">
        <f ca="1">IFERROR(__xludf.DUMMYFUNCTION("""COMPUTED_VALUE"""),2312923)</f>
        <v>2312923</v>
      </c>
      <c r="B2237" s="76" t="str">
        <f ca="1">IFERROR(__xludf.DUMMYFUNCTION("""COMPUTED_VALUE"""),"Белов Георгий Владимирович")</f>
        <v>Белов Георгий Владимирович</v>
      </c>
      <c r="C2237" s="75" t="str">
        <f ca="1">IFERROR(__xludf.DUMMYFUNCTION("""COMPUTED_VALUE"""),"Студент")</f>
        <v>Студент</v>
      </c>
    </row>
    <row r="2238" spans="1:3">
      <c r="A2238" s="76">
        <f ca="1">IFERROR(__xludf.DUMMYFUNCTION("""COMPUTED_VALUE"""),2312925)</f>
        <v>2312925</v>
      </c>
      <c r="B2238" s="76" t="str">
        <f ca="1">IFERROR(__xludf.DUMMYFUNCTION("""COMPUTED_VALUE"""),"Орасиу Жезус Мануэл")</f>
        <v>Орасиу Жезус Мануэл</v>
      </c>
      <c r="C2238" s="75" t="str">
        <f ca="1">IFERROR(__xludf.DUMMYFUNCTION("""COMPUTED_VALUE"""),"Студент")</f>
        <v>Студент</v>
      </c>
    </row>
    <row r="2239" spans="1:3">
      <c r="A2239" s="76">
        <f ca="1">IFERROR(__xludf.DUMMYFUNCTION("""COMPUTED_VALUE"""),2312926)</f>
        <v>2312926</v>
      </c>
      <c r="B2239" s="76" t="str">
        <f ca="1">IFERROR(__xludf.DUMMYFUNCTION("""COMPUTED_VALUE"""),"Коновалов Матвей Алексеевич")</f>
        <v>Коновалов Матвей Алексеевич</v>
      </c>
      <c r="C2239" s="75" t="str">
        <f ca="1">IFERROR(__xludf.DUMMYFUNCTION("""COMPUTED_VALUE"""),"Студент")</f>
        <v>Студент</v>
      </c>
    </row>
    <row r="2240" spans="1:3">
      <c r="A2240" s="76">
        <f ca="1">IFERROR(__xludf.DUMMYFUNCTION("""COMPUTED_VALUE"""),2312928)</f>
        <v>2312928</v>
      </c>
      <c r="B2240" s="76" t="str">
        <f ca="1">IFERROR(__xludf.DUMMYFUNCTION("""COMPUTED_VALUE"""),"Кондратьев Егор Евгеньевич")</f>
        <v>Кондратьев Егор Евгеньевич</v>
      </c>
      <c r="C2240" s="75" t="str">
        <f ca="1">IFERROR(__xludf.DUMMYFUNCTION("""COMPUTED_VALUE"""),"Студент")</f>
        <v>Студент</v>
      </c>
    </row>
    <row r="2241" spans="1:3">
      <c r="A2241" s="76">
        <f ca="1">IFERROR(__xludf.DUMMYFUNCTION("""COMPUTED_VALUE"""),2312939)</f>
        <v>2312939</v>
      </c>
      <c r="B2241" s="76" t="str">
        <f ca="1">IFERROR(__xludf.DUMMYFUNCTION("""COMPUTED_VALUE"""),"Ахмадеева Галия Данисовна")</f>
        <v>Ахмадеева Галия Данисовна</v>
      </c>
      <c r="C2241" s="75" t="str">
        <f ca="1">IFERROR(__xludf.DUMMYFUNCTION("""COMPUTED_VALUE"""),"Студент")</f>
        <v>Студент</v>
      </c>
    </row>
    <row r="2242" spans="1:3">
      <c r="A2242" s="76">
        <f ca="1">IFERROR(__xludf.DUMMYFUNCTION("""COMPUTED_VALUE"""),2312942)</f>
        <v>2312942</v>
      </c>
      <c r="B2242" s="76" t="str">
        <f ca="1">IFERROR(__xludf.DUMMYFUNCTION("""COMPUTED_VALUE"""),"Тарасова Марина Викторовна")</f>
        <v>Тарасова Марина Викторовна</v>
      </c>
      <c r="C2242" s="75" t="str">
        <f ca="1">IFERROR(__xludf.DUMMYFUNCTION("""COMPUTED_VALUE"""),"Аспирант")</f>
        <v>Аспирант</v>
      </c>
    </row>
    <row r="2243" spans="1:3">
      <c r="A2243" s="76">
        <f ca="1">IFERROR(__xludf.DUMMYFUNCTION("""COMPUTED_VALUE"""),2312947)</f>
        <v>2312947</v>
      </c>
      <c r="B2243" s="76" t="str">
        <f ca="1">IFERROR(__xludf.DUMMYFUNCTION("""COMPUTED_VALUE"""),"Суховеев Денис Сергеевич")</f>
        <v>Суховеев Денис Сергеевич</v>
      </c>
      <c r="C2243" s="75" t="str">
        <f ca="1">IFERROR(__xludf.DUMMYFUNCTION("""COMPUTED_VALUE"""),"Аспирант")</f>
        <v>Аспирант</v>
      </c>
    </row>
    <row r="2244" spans="1:3">
      <c r="A2244" s="76">
        <f ca="1">IFERROR(__xludf.DUMMYFUNCTION("""COMPUTED_VALUE"""),2312951)</f>
        <v>2312951</v>
      </c>
      <c r="B2244" s="76" t="str">
        <f ca="1">IFERROR(__xludf.DUMMYFUNCTION("""COMPUTED_VALUE"""),"Филимончук Леонид Иванович")</f>
        <v>Филимончук Леонид Иванович</v>
      </c>
      <c r="C2244" s="75" t="str">
        <f ca="1">IFERROR(__xludf.DUMMYFUNCTION("""COMPUTED_VALUE"""),"Студент")</f>
        <v>Студент</v>
      </c>
    </row>
    <row r="2245" spans="1:3">
      <c r="A2245" s="76">
        <f ca="1">IFERROR(__xludf.DUMMYFUNCTION("""COMPUTED_VALUE"""),2312953)</f>
        <v>2312953</v>
      </c>
      <c r="B2245" s="76" t="str">
        <f ca="1">IFERROR(__xludf.DUMMYFUNCTION("""COMPUTED_VALUE"""),"Номеровский Евгений Алексеевич")</f>
        <v>Номеровский Евгений Алексеевич</v>
      </c>
      <c r="C2245" s="75" t="str">
        <f ca="1">IFERROR(__xludf.DUMMYFUNCTION("""COMPUTED_VALUE"""),"Аспирант")</f>
        <v>Аспирант</v>
      </c>
    </row>
    <row r="2246" spans="1:3">
      <c r="A2246" s="76">
        <f ca="1">IFERROR(__xludf.DUMMYFUNCTION("""COMPUTED_VALUE"""),2312958)</f>
        <v>2312958</v>
      </c>
      <c r="B2246" s="76" t="str">
        <f ca="1">IFERROR(__xludf.DUMMYFUNCTION("""COMPUTED_VALUE"""),"Разин Денис Андреевич")</f>
        <v>Разин Денис Андреевич</v>
      </c>
      <c r="C2246" s="75" t="str">
        <f ca="1">IFERROR(__xludf.DUMMYFUNCTION("""COMPUTED_VALUE"""),"Аспирант")</f>
        <v>Аспирант</v>
      </c>
    </row>
    <row r="2247" spans="1:3">
      <c r="A2247" s="76">
        <f ca="1">IFERROR(__xludf.DUMMYFUNCTION("""COMPUTED_VALUE"""),2312965)</f>
        <v>2312965</v>
      </c>
      <c r="B2247" s="76" t="str">
        <f ca="1">IFERROR(__xludf.DUMMYFUNCTION("""COMPUTED_VALUE"""),"Хабибулин Эльдар Эмильевич")</f>
        <v>Хабибулин Эльдар Эмильевич</v>
      </c>
      <c r="C2247" s="75" t="str">
        <f ca="1">IFERROR(__xludf.DUMMYFUNCTION("""COMPUTED_VALUE"""),"Аспирант")</f>
        <v>Аспирант</v>
      </c>
    </row>
    <row r="2248" spans="1:3">
      <c r="A2248" s="76">
        <f ca="1">IFERROR(__xludf.DUMMYFUNCTION("""COMPUTED_VALUE"""),2312966)</f>
        <v>2312966</v>
      </c>
      <c r="B2248" s="76" t="str">
        <f ca="1">IFERROR(__xludf.DUMMYFUNCTION("""COMPUTED_VALUE"""),"Рослов Николай Андреевич")</f>
        <v>Рослов Николай Андреевич</v>
      </c>
      <c r="C2248" s="75" t="str">
        <f ca="1">IFERROR(__xludf.DUMMYFUNCTION("""COMPUTED_VALUE"""),"Аспирант")</f>
        <v>Аспирант</v>
      </c>
    </row>
    <row r="2249" spans="1:3">
      <c r="A2249" s="76">
        <f ca="1">IFERROR(__xludf.DUMMYFUNCTION("""COMPUTED_VALUE"""),2312967)</f>
        <v>2312967</v>
      </c>
      <c r="B2249" s="76" t="str">
        <f ca="1">IFERROR(__xludf.DUMMYFUNCTION("""COMPUTED_VALUE"""),"Беляков Андрей Александрович")</f>
        <v>Беляков Андрей Александрович</v>
      </c>
      <c r="C2249" s="75" t="str">
        <f ca="1">IFERROR(__xludf.DUMMYFUNCTION("""COMPUTED_VALUE"""),"Аспирант")</f>
        <v>Аспирант</v>
      </c>
    </row>
    <row r="2250" spans="1:3">
      <c r="A2250" s="76">
        <f ca="1">IFERROR(__xludf.DUMMYFUNCTION("""COMPUTED_VALUE"""),2312969)</f>
        <v>2312969</v>
      </c>
      <c r="B2250" s="76" t="str">
        <f ca="1">IFERROR(__xludf.DUMMYFUNCTION("""COMPUTED_VALUE"""),"Рябов Иван Юрьевич")</f>
        <v>Рябов Иван Юрьевич</v>
      </c>
      <c r="C2250" s="75" t="str">
        <f ca="1">IFERROR(__xludf.DUMMYFUNCTION("""COMPUTED_VALUE"""),"Аспирант")</f>
        <v>Аспирант</v>
      </c>
    </row>
    <row r="2251" spans="1:3">
      <c r="A2251" s="76">
        <f ca="1">IFERROR(__xludf.DUMMYFUNCTION("""COMPUTED_VALUE"""),2312972)</f>
        <v>2312972</v>
      </c>
      <c r="B2251" s="76" t="str">
        <f ca="1">IFERROR(__xludf.DUMMYFUNCTION("""COMPUTED_VALUE"""),"Судакова Милена Евгеньевна")</f>
        <v>Судакова Милена Евгеньевна</v>
      </c>
      <c r="C2251" s="75" t="str">
        <f ca="1">IFERROR(__xludf.DUMMYFUNCTION("""COMPUTED_VALUE"""),"Аспирант")</f>
        <v>Аспирант</v>
      </c>
    </row>
    <row r="2252" spans="1:3">
      <c r="A2252" s="76">
        <f ca="1">IFERROR(__xludf.DUMMYFUNCTION("""COMPUTED_VALUE"""),2312973)</f>
        <v>2312973</v>
      </c>
      <c r="B2252" s="76" t="str">
        <f ca="1">IFERROR(__xludf.DUMMYFUNCTION("""COMPUTED_VALUE"""),"Морозов Алексей Викторович")</f>
        <v>Морозов Алексей Викторович</v>
      </c>
      <c r="C2252" s="75" t="str">
        <f ca="1">IFERROR(__xludf.DUMMYFUNCTION("""COMPUTED_VALUE"""),"Аспирант")</f>
        <v>Аспирант</v>
      </c>
    </row>
    <row r="2253" spans="1:3">
      <c r="A2253" s="76">
        <f ca="1">IFERROR(__xludf.DUMMYFUNCTION("""COMPUTED_VALUE"""),2312976)</f>
        <v>2312976</v>
      </c>
      <c r="B2253" s="76" t="str">
        <f ca="1">IFERROR(__xludf.DUMMYFUNCTION("""COMPUTED_VALUE"""),"Манзов Андрей Андреевич")</f>
        <v>Манзов Андрей Андреевич</v>
      </c>
      <c r="C2253" s="75" t="str">
        <f ca="1">IFERROR(__xludf.DUMMYFUNCTION("""COMPUTED_VALUE"""),"Студент")</f>
        <v>Студент</v>
      </c>
    </row>
    <row r="2254" spans="1:3">
      <c r="A2254" s="76">
        <f ca="1">IFERROR(__xludf.DUMMYFUNCTION("""COMPUTED_VALUE"""),2312978)</f>
        <v>2312978</v>
      </c>
      <c r="B2254" s="76" t="str">
        <f ca="1">IFERROR(__xludf.DUMMYFUNCTION("""COMPUTED_VALUE"""),"Косьмин Илья Валентинович")</f>
        <v>Косьмин Илья Валентинович</v>
      </c>
      <c r="C2254" s="75" t="str">
        <f ca="1">IFERROR(__xludf.DUMMYFUNCTION("""COMPUTED_VALUE"""),"Аспирант")</f>
        <v>Аспирант</v>
      </c>
    </row>
    <row r="2255" spans="1:3">
      <c r="A2255" s="76">
        <f ca="1">IFERROR(__xludf.DUMMYFUNCTION("""COMPUTED_VALUE"""),2312980)</f>
        <v>2312980</v>
      </c>
      <c r="B2255" s="76" t="str">
        <f ca="1">IFERROR(__xludf.DUMMYFUNCTION("""COMPUTED_VALUE"""),"Моськин Артем Вячеславович")</f>
        <v>Моськин Артем Вячеславович</v>
      </c>
      <c r="C2255" s="75" t="str">
        <f ca="1">IFERROR(__xludf.DUMMYFUNCTION("""COMPUTED_VALUE"""),"Аспирант")</f>
        <v>Аспирант</v>
      </c>
    </row>
    <row r="2256" spans="1:3">
      <c r="A2256" s="76">
        <f ca="1">IFERROR(__xludf.DUMMYFUNCTION("""COMPUTED_VALUE"""),2312985)</f>
        <v>2312985</v>
      </c>
      <c r="B2256" s="76" t="str">
        <f ca="1">IFERROR(__xludf.DUMMYFUNCTION("""COMPUTED_VALUE"""),"Иванников Яков Александрович")</f>
        <v>Иванников Яков Александрович</v>
      </c>
      <c r="C2256" s="75" t="str">
        <f ca="1">IFERROR(__xludf.DUMMYFUNCTION("""COMPUTED_VALUE"""),"Аспирант")</f>
        <v>Аспирант</v>
      </c>
    </row>
    <row r="2257" spans="1:3">
      <c r="A2257" s="76">
        <f ca="1">IFERROR(__xludf.DUMMYFUNCTION("""COMPUTED_VALUE"""),2312998)</f>
        <v>2312998</v>
      </c>
      <c r="B2257" s="76" t="str">
        <f ca="1">IFERROR(__xludf.DUMMYFUNCTION("""COMPUTED_VALUE"""),"Гасенко Марина Алексеевна")</f>
        <v>Гасенко Марина Алексеевна</v>
      </c>
      <c r="C2257" s="75" t="str">
        <f ca="1">IFERROR(__xludf.DUMMYFUNCTION("""COMPUTED_VALUE"""),"Студент")</f>
        <v>Студент</v>
      </c>
    </row>
    <row r="2258" spans="1:3">
      <c r="A2258" s="76">
        <f ca="1">IFERROR(__xludf.DUMMYFUNCTION("""COMPUTED_VALUE"""),2313002)</f>
        <v>2313002</v>
      </c>
      <c r="B2258" s="76" t="str">
        <f ca="1">IFERROR(__xludf.DUMMYFUNCTION("""COMPUTED_VALUE"""),"Зосимова Полина Олеговна")</f>
        <v>Зосимова Полина Олеговна</v>
      </c>
      <c r="C2258" s="75" t="str">
        <f ca="1">IFERROR(__xludf.DUMMYFUNCTION("""COMPUTED_VALUE"""),"Студент")</f>
        <v>Студент</v>
      </c>
    </row>
    <row r="2259" spans="1:3">
      <c r="A2259" s="76">
        <f ca="1">IFERROR(__xludf.DUMMYFUNCTION("""COMPUTED_VALUE"""),2313004)</f>
        <v>2313004</v>
      </c>
      <c r="B2259" s="76" t="str">
        <f ca="1">IFERROR(__xludf.DUMMYFUNCTION("""COMPUTED_VALUE"""),"Щербатый Герман Сергеевич")</f>
        <v>Щербатый Герман Сергеевич</v>
      </c>
      <c r="C2259" s="75" t="str">
        <f ca="1">IFERROR(__xludf.DUMMYFUNCTION("""COMPUTED_VALUE"""),"Студент")</f>
        <v>Студент</v>
      </c>
    </row>
    <row r="2260" spans="1:3">
      <c r="A2260" s="76">
        <f ca="1">IFERROR(__xludf.DUMMYFUNCTION("""COMPUTED_VALUE"""),2313016)</f>
        <v>2313016</v>
      </c>
      <c r="B2260" s="76" t="str">
        <f ca="1">IFERROR(__xludf.DUMMYFUNCTION("""COMPUTED_VALUE"""),"Дедов Александр Дмитриевич")</f>
        <v>Дедов Александр Дмитриевич</v>
      </c>
      <c r="C2260" s="75" t="str">
        <f ca="1">IFERROR(__xludf.DUMMYFUNCTION("""COMPUTED_VALUE"""),"Студент")</f>
        <v>Студент</v>
      </c>
    </row>
    <row r="2261" spans="1:3">
      <c r="A2261" s="76">
        <f ca="1">IFERROR(__xludf.DUMMYFUNCTION("""COMPUTED_VALUE"""),2313026)</f>
        <v>2313026</v>
      </c>
      <c r="B2261" s="76" t="str">
        <f ca="1">IFERROR(__xludf.DUMMYFUNCTION("""COMPUTED_VALUE"""),"Шкидин Степан Александрович")</f>
        <v>Шкидин Степан Александрович</v>
      </c>
      <c r="C2261" s="75" t="str">
        <f ca="1">IFERROR(__xludf.DUMMYFUNCTION("""COMPUTED_VALUE"""),"Студент")</f>
        <v>Студент</v>
      </c>
    </row>
    <row r="2262" spans="1:3">
      <c r="A2262" s="76">
        <f ca="1">IFERROR(__xludf.DUMMYFUNCTION("""COMPUTED_VALUE"""),2313043)</f>
        <v>2313043</v>
      </c>
      <c r="B2262" s="76" t="str">
        <f ca="1">IFERROR(__xludf.DUMMYFUNCTION("""COMPUTED_VALUE"""),"Позднухова Виталия Павловна")</f>
        <v>Позднухова Виталия Павловна</v>
      </c>
      <c r="C2262" s="75" t="str">
        <f ca="1">IFERROR(__xludf.DUMMYFUNCTION("""COMPUTED_VALUE"""),"Студент")</f>
        <v>Студент</v>
      </c>
    </row>
    <row r="2263" spans="1:3">
      <c r="A2263" s="76">
        <f ca="1">IFERROR(__xludf.DUMMYFUNCTION("""COMPUTED_VALUE"""),2313051)</f>
        <v>2313051</v>
      </c>
      <c r="B2263" s="76" t="str">
        <f ca="1">IFERROR(__xludf.DUMMYFUNCTION("""COMPUTED_VALUE"""),"Шохина Диана Александровна")</f>
        <v>Шохина Диана Александровна</v>
      </c>
      <c r="C2263" s="75" t="str">
        <f ca="1">IFERROR(__xludf.DUMMYFUNCTION("""COMPUTED_VALUE"""),"Студент")</f>
        <v>Студент</v>
      </c>
    </row>
    <row r="2264" spans="1:3">
      <c r="A2264" s="76">
        <f ca="1">IFERROR(__xludf.DUMMYFUNCTION("""COMPUTED_VALUE"""),2313065)</f>
        <v>2313065</v>
      </c>
      <c r="B2264" s="76" t="str">
        <f ca="1">IFERROR(__xludf.DUMMYFUNCTION("""COMPUTED_VALUE"""),"Васильев Данил Викторович")</f>
        <v>Васильев Данил Викторович</v>
      </c>
      <c r="C2264" s="75" t="str">
        <f ca="1">IFERROR(__xludf.DUMMYFUNCTION("""COMPUTED_VALUE"""),"Студент")</f>
        <v>Студент</v>
      </c>
    </row>
    <row r="2265" spans="1:3">
      <c r="A2265" s="76">
        <f ca="1">IFERROR(__xludf.DUMMYFUNCTION("""COMPUTED_VALUE"""),2313068)</f>
        <v>2313068</v>
      </c>
      <c r="B2265" s="76" t="str">
        <f ca="1">IFERROR(__xludf.DUMMYFUNCTION("""COMPUTED_VALUE"""),"Мочалов Артём Владимирович")</f>
        <v>Мочалов Артём Владимирович</v>
      </c>
      <c r="C2265" s="75" t="str">
        <f ca="1">IFERROR(__xludf.DUMMYFUNCTION("""COMPUTED_VALUE"""),"Студент")</f>
        <v>Студент</v>
      </c>
    </row>
    <row r="2266" spans="1:3">
      <c r="A2266" s="76">
        <f ca="1">IFERROR(__xludf.DUMMYFUNCTION("""COMPUTED_VALUE"""),2313074)</f>
        <v>2313074</v>
      </c>
      <c r="B2266" s="76" t="str">
        <f ca="1">IFERROR(__xludf.DUMMYFUNCTION("""COMPUTED_VALUE"""),"Осиновская Елизавета Денисовна")</f>
        <v>Осиновская Елизавета Денисовна</v>
      </c>
      <c r="C2266" s="75" t="str">
        <f ca="1">IFERROR(__xludf.DUMMYFUNCTION("""COMPUTED_VALUE"""),"Студент")</f>
        <v>Студент</v>
      </c>
    </row>
    <row r="2267" spans="1:3">
      <c r="A2267" s="76">
        <f ca="1">IFERROR(__xludf.DUMMYFUNCTION("""COMPUTED_VALUE"""),2313084)</f>
        <v>2313084</v>
      </c>
      <c r="B2267" s="76" t="str">
        <f ca="1">IFERROR(__xludf.DUMMYFUNCTION("""COMPUTED_VALUE"""),"Чашин Михаил Юрьевич")</f>
        <v>Чашин Михаил Юрьевич</v>
      </c>
      <c r="C2267" s="75" t="str">
        <f ca="1">IFERROR(__xludf.DUMMYFUNCTION("""COMPUTED_VALUE"""),"Студент")</f>
        <v>Студент</v>
      </c>
    </row>
    <row r="2268" spans="1:3">
      <c r="A2268" s="76">
        <f ca="1">IFERROR(__xludf.DUMMYFUNCTION("""COMPUTED_VALUE"""),2313089)</f>
        <v>2313089</v>
      </c>
      <c r="B2268" s="76" t="str">
        <f ca="1">IFERROR(__xludf.DUMMYFUNCTION("""COMPUTED_VALUE"""),"Палкина Кристина Михайловна")</f>
        <v>Палкина Кристина Михайловна</v>
      </c>
      <c r="C2268" s="75" t="str">
        <f ca="1">IFERROR(__xludf.DUMMYFUNCTION("""COMPUTED_VALUE"""),"Студент")</f>
        <v>Студент</v>
      </c>
    </row>
    <row r="2269" spans="1:3">
      <c r="A2269" s="76">
        <f ca="1">IFERROR(__xludf.DUMMYFUNCTION("""COMPUTED_VALUE"""),2313090)</f>
        <v>2313090</v>
      </c>
      <c r="B2269" s="76" t="str">
        <f ca="1">IFERROR(__xludf.DUMMYFUNCTION("""COMPUTED_VALUE"""),"Манаенкова Владислава Александровна")</f>
        <v>Манаенкова Владислава Александровна</v>
      </c>
      <c r="C2269" s="75" t="str">
        <f ca="1">IFERROR(__xludf.DUMMYFUNCTION("""COMPUTED_VALUE"""),"Студент")</f>
        <v>Студент</v>
      </c>
    </row>
    <row r="2270" spans="1:3">
      <c r="A2270" s="76">
        <f ca="1">IFERROR(__xludf.DUMMYFUNCTION("""COMPUTED_VALUE"""),2313098)</f>
        <v>2313098</v>
      </c>
      <c r="B2270" s="76" t="str">
        <f ca="1">IFERROR(__xludf.DUMMYFUNCTION("""COMPUTED_VALUE"""),"Кудряшова Екатерина Александровна")</f>
        <v>Кудряшова Екатерина Александровна</v>
      </c>
      <c r="C2270" s="75" t="str">
        <f ca="1">IFERROR(__xludf.DUMMYFUNCTION("""COMPUTED_VALUE"""),"Студент")</f>
        <v>Студент</v>
      </c>
    </row>
    <row r="2271" spans="1:3">
      <c r="A2271" s="76">
        <f ca="1">IFERROR(__xludf.DUMMYFUNCTION("""COMPUTED_VALUE"""),2313106)</f>
        <v>2313106</v>
      </c>
      <c r="B2271" s="76" t="str">
        <f ca="1">IFERROR(__xludf.DUMMYFUNCTION("""COMPUTED_VALUE"""),"Куршанова Алёна Денисовна")</f>
        <v>Куршанова Алёна Денисовна</v>
      </c>
      <c r="C2271" s="75" t="str">
        <f ca="1">IFERROR(__xludf.DUMMYFUNCTION("""COMPUTED_VALUE"""),"Студент")</f>
        <v>Студент</v>
      </c>
    </row>
    <row r="2272" spans="1:3">
      <c r="A2272" s="76">
        <f ca="1">IFERROR(__xludf.DUMMYFUNCTION("""COMPUTED_VALUE"""),2313111)</f>
        <v>2313111</v>
      </c>
      <c r="B2272" s="76" t="str">
        <f ca="1">IFERROR(__xludf.DUMMYFUNCTION("""COMPUTED_VALUE"""),"Богданова Мария Сергеевна")</f>
        <v>Богданова Мария Сергеевна</v>
      </c>
      <c r="C2272" s="75" t="str">
        <f ca="1">IFERROR(__xludf.DUMMYFUNCTION("""COMPUTED_VALUE"""),"Студент")</f>
        <v>Студент</v>
      </c>
    </row>
    <row r="2273" spans="1:3">
      <c r="A2273" s="76">
        <f ca="1">IFERROR(__xludf.DUMMYFUNCTION("""COMPUTED_VALUE"""),2313113)</f>
        <v>2313113</v>
      </c>
      <c r="B2273" s="76" t="str">
        <f ca="1">IFERROR(__xludf.DUMMYFUNCTION("""COMPUTED_VALUE"""),"Ганзя Татьяна Дмитриевна")</f>
        <v>Ганзя Татьяна Дмитриевна</v>
      </c>
      <c r="C2273" s="75" t="str">
        <f ca="1">IFERROR(__xludf.DUMMYFUNCTION("""COMPUTED_VALUE"""),"Студент")</f>
        <v>Студент</v>
      </c>
    </row>
    <row r="2274" spans="1:3">
      <c r="A2274" s="76">
        <f ca="1">IFERROR(__xludf.DUMMYFUNCTION("""COMPUTED_VALUE"""),2313127)</f>
        <v>2313127</v>
      </c>
      <c r="B2274" s="76" t="str">
        <f ca="1">IFERROR(__xludf.DUMMYFUNCTION("""COMPUTED_VALUE"""),"Нежельская Дарья Андреевна")</f>
        <v>Нежельская Дарья Андреевна</v>
      </c>
      <c r="C2274" s="75" t="str">
        <f ca="1">IFERROR(__xludf.DUMMYFUNCTION("""COMPUTED_VALUE"""),"Студент")</f>
        <v>Студент</v>
      </c>
    </row>
    <row r="2275" spans="1:3">
      <c r="A2275" s="76">
        <f ca="1">IFERROR(__xludf.DUMMYFUNCTION("""COMPUTED_VALUE"""),2313128)</f>
        <v>2313128</v>
      </c>
      <c r="B2275" s="76" t="str">
        <f ca="1">IFERROR(__xludf.DUMMYFUNCTION("""COMPUTED_VALUE"""),"Тихонов Владимир Юрьевич")</f>
        <v>Тихонов Владимир Юрьевич</v>
      </c>
      <c r="C2275" s="75" t="str">
        <f ca="1">IFERROR(__xludf.DUMMYFUNCTION("""COMPUTED_VALUE"""),"Студент")</f>
        <v>Студент</v>
      </c>
    </row>
    <row r="2276" spans="1:3">
      <c r="A2276" s="76">
        <f ca="1">IFERROR(__xludf.DUMMYFUNCTION("""COMPUTED_VALUE"""),2313133)</f>
        <v>2313133</v>
      </c>
      <c r="B2276" s="76" t="str">
        <f ca="1">IFERROR(__xludf.DUMMYFUNCTION("""COMPUTED_VALUE"""),"Филиппов Андрей Игоревич")</f>
        <v>Филиппов Андрей Игоревич</v>
      </c>
      <c r="C2276" s="75" t="str">
        <f ca="1">IFERROR(__xludf.DUMMYFUNCTION("""COMPUTED_VALUE"""),"Студент")</f>
        <v>Студент</v>
      </c>
    </row>
    <row r="2277" spans="1:3">
      <c r="A2277" s="76">
        <f ca="1">IFERROR(__xludf.DUMMYFUNCTION("""COMPUTED_VALUE"""),2313148)</f>
        <v>2313148</v>
      </c>
      <c r="B2277" s="76" t="str">
        <f ca="1">IFERROR(__xludf.DUMMYFUNCTION("""COMPUTED_VALUE"""),"Захваткина Алина Александровна")</f>
        <v>Захваткина Алина Александровна</v>
      </c>
      <c r="C2277" s="75" t="str">
        <f ca="1">IFERROR(__xludf.DUMMYFUNCTION("""COMPUTED_VALUE"""),"Студент")</f>
        <v>Студент</v>
      </c>
    </row>
    <row r="2278" spans="1:3">
      <c r="A2278" s="76">
        <f ca="1">IFERROR(__xludf.DUMMYFUNCTION("""COMPUTED_VALUE"""),2313151)</f>
        <v>2313151</v>
      </c>
      <c r="B2278" s="76" t="str">
        <f ca="1">IFERROR(__xludf.DUMMYFUNCTION("""COMPUTED_VALUE"""),"Пигулевская Татьяна Сергеевна")</f>
        <v>Пигулевская Татьяна Сергеевна</v>
      </c>
      <c r="C2278" s="75" t="str">
        <f ca="1">IFERROR(__xludf.DUMMYFUNCTION("""COMPUTED_VALUE"""),"Студент")</f>
        <v>Студент</v>
      </c>
    </row>
    <row r="2279" spans="1:3">
      <c r="A2279" s="76">
        <f ca="1">IFERROR(__xludf.DUMMYFUNCTION("""COMPUTED_VALUE"""),2313158)</f>
        <v>2313158</v>
      </c>
      <c r="B2279" s="76" t="str">
        <f ca="1">IFERROR(__xludf.DUMMYFUNCTION("""COMPUTED_VALUE"""),"Зенцов Данила Николаевич")</f>
        <v>Зенцов Данила Николаевич</v>
      </c>
      <c r="C2279" s="75" t="str">
        <f ca="1">IFERROR(__xludf.DUMMYFUNCTION("""COMPUTED_VALUE"""),"Студент")</f>
        <v>Студент</v>
      </c>
    </row>
    <row r="2280" spans="1:3">
      <c r="A2280" s="76">
        <f ca="1">IFERROR(__xludf.DUMMYFUNCTION("""COMPUTED_VALUE"""),2313165)</f>
        <v>2313165</v>
      </c>
      <c r="B2280" s="76" t="str">
        <f ca="1">IFERROR(__xludf.DUMMYFUNCTION("""COMPUTED_VALUE"""),"Исмаилов Серафим Микаэльевич")</f>
        <v>Исмаилов Серафим Микаэльевич</v>
      </c>
      <c r="C2280" s="75" t="str">
        <f ca="1">IFERROR(__xludf.DUMMYFUNCTION("""COMPUTED_VALUE"""),"Студент")</f>
        <v>Студент</v>
      </c>
    </row>
    <row r="2281" spans="1:3">
      <c r="A2281" s="76">
        <f ca="1">IFERROR(__xludf.DUMMYFUNCTION("""COMPUTED_VALUE"""),2313168)</f>
        <v>2313168</v>
      </c>
      <c r="B2281" s="76" t="str">
        <f ca="1">IFERROR(__xludf.DUMMYFUNCTION("""COMPUTED_VALUE"""),"Ярикова Любовь Юрьевна")</f>
        <v>Ярикова Любовь Юрьевна</v>
      </c>
      <c r="C2281" s="75" t="str">
        <f ca="1">IFERROR(__xludf.DUMMYFUNCTION("""COMPUTED_VALUE"""),"Студент")</f>
        <v>Студент</v>
      </c>
    </row>
    <row r="2282" spans="1:3">
      <c r="A2282" s="76">
        <f ca="1">IFERROR(__xludf.DUMMYFUNCTION("""COMPUTED_VALUE"""),2313187)</f>
        <v>2313187</v>
      </c>
      <c r="B2282" s="76" t="str">
        <f ca="1">IFERROR(__xludf.DUMMYFUNCTION("""COMPUTED_VALUE"""),"Гаврюшенко Дарина Сергеевна")</f>
        <v>Гаврюшенко Дарина Сергеевна</v>
      </c>
      <c r="C2282" s="75" t="str">
        <f ca="1">IFERROR(__xludf.DUMMYFUNCTION("""COMPUTED_VALUE"""),"Студент")</f>
        <v>Студент</v>
      </c>
    </row>
    <row r="2283" spans="1:3">
      <c r="A2283" s="76">
        <f ca="1">IFERROR(__xludf.DUMMYFUNCTION("""COMPUTED_VALUE"""),2313196)</f>
        <v>2313196</v>
      </c>
      <c r="B2283" s="76" t="str">
        <f ca="1">IFERROR(__xludf.DUMMYFUNCTION("""COMPUTED_VALUE"""),"Петров Максим Павлович")</f>
        <v>Петров Максим Павлович</v>
      </c>
      <c r="C2283" s="75" t="str">
        <f ca="1">IFERROR(__xludf.DUMMYFUNCTION("""COMPUTED_VALUE"""),"Студент")</f>
        <v>Студент</v>
      </c>
    </row>
    <row r="2284" spans="1:3">
      <c r="A2284" s="76">
        <f ca="1">IFERROR(__xludf.DUMMYFUNCTION("""COMPUTED_VALUE"""),2313200)</f>
        <v>2313200</v>
      </c>
      <c r="B2284" s="76" t="str">
        <f ca="1">IFERROR(__xludf.DUMMYFUNCTION("""COMPUTED_VALUE"""),"Паписмедова Мери Гочевна")</f>
        <v>Паписмедова Мери Гочевна</v>
      </c>
      <c r="C2284" s="75" t="str">
        <f ca="1">IFERROR(__xludf.DUMMYFUNCTION("""COMPUTED_VALUE"""),"Студент")</f>
        <v>Студент</v>
      </c>
    </row>
    <row r="2285" spans="1:3">
      <c r="A2285" s="76">
        <f ca="1">IFERROR(__xludf.DUMMYFUNCTION("""COMPUTED_VALUE"""),2313217)</f>
        <v>2313217</v>
      </c>
      <c r="B2285" s="76" t="str">
        <f ca="1">IFERROR(__xludf.DUMMYFUNCTION("""COMPUTED_VALUE"""),"Цховребова Арина Вадимовна")</f>
        <v>Цховребова Арина Вадимовна</v>
      </c>
      <c r="C2285" s="75" t="str">
        <f ca="1">IFERROR(__xludf.DUMMYFUNCTION("""COMPUTED_VALUE"""),"Студент")</f>
        <v>Студент</v>
      </c>
    </row>
    <row r="2286" spans="1:3">
      <c r="A2286" s="76">
        <f ca="1">IFERROR(__xludf.DUMMYFUNCTION("""COMPUTED_VALUE"""),2313224)</f>
        <v>2313224</v>
      </c>
      <c r="B2286" s="76" t="str">
        <f ca="1">IFERROR(__xludf.DUMMYFUNCTION("""COMPUTED_VALUE"""),"Кроповинская Арина Вадимовна")</f>
        <v>Кроповинская Арина Вадимовна</v>
      </c>
      <c r="C2286" s="75" t="str">
        <f ca="1">IFERROR(__xludf.DUMMYFUNCTION("""COMPUTED_VALUE"""),"Студент")</f>
        <v>Студент</v>
      </c>
    </row>
    <row r="2287" spans="1:3">
      <c r="A2287" s="76">
        <f ca="1">IFERROR(__xludf.DUMMYFUNCTION("""COMPUTED_VALUE"""),2313230)</f>
        <v>2313230</v>
      </c>
      <c r="B2287" s="76" t="str">
        <f ca="1">IFERROR(__xludf.DUMMYFUNCTION("""COMPUTED_VALUE"""),"Бердиёрзода Мехриёр Бердиёр")</f>
        <v>Бердиёрзода Мехриёр Бердиёр</v>
      </c>
      <c r="C2287" s="75" t="str">
        <f ca="1">IFERROR(__xludf.DUMMYFUNCTION("""COMPUTED_VALUE"""),"Студент")</f>
        <v>Студент</v>
      </c>
    </row>
    <row r="2288" spans="1:3">
      <c r="A2288" s="76">
        <f ca="1">IFERROR(__xludf.DUMMYFUNCTION("""COMPUTED_VALUE"""),2313232)</f>
        <v>2313232</v>
      </c>
      <c r="B2288" s="76" t="str">
        <f ca="1">IFERROR(__xludf.DUMMYFUNCTION("""COMPUTED_VALUE"""),"Трофимова Татьяна Андреевна")</f>
        <v>Трофимова Татьяна Андреевна</v>
      </c>
      <c r="C2288" s="75" t="str">
        <f ca="1">IFERROR(__xludf.DUMMYFUNCTION("""COMPUTED_VALUE"""),"Студент")</f>
        <v>Студент</v>
      </c>
    </row>
    <row r="2289" spans="1:3">
      <c r="A2289" s="76">
        <f ca="1">IFERROR(__xludf.DUMMYFUNCTION("""COMPUTED_VALUE"""),2313234)</f>
        <v>2313234</v>
      </c>
      <c r="B2289" s="76" t="str">
        <f ca="1">IFERROR(__xludf.DUMMYFUNCTION("""COMPUTED_VALUE"""),"Раджабов Алишер Идрисович")</f>
        <v>Раджабов Алишер Идрисович</v>
      </c>
      <c r="C2289" s="75" t="str">
        <f ca="1">IFERROR(__xludf.DUMMYFUNCTION("""COMPUTED_VALUE"""),"Студент")</f>
        <v>Студент</v>
      </c>
    </row>
    <row r="2290" spans="1:3">
      <c r="A2290" s="76">
        <f ca="1">IFERROR(__xludf.DUMMYFUNCTION("""COMPUTED_VALUE"""),2313259)</f>
        <v>2313259</v>
      </c>
      <c r="B2290" s="76" t="str">
        <f ca="1">IFERROR(__xludf.DUMMYFUNCTION("""COMPUTED_VALUE"""),"Верещагина Татьяна Владимировна")</f>
        <v>Верещагина Татьяна Владимировна</v>
      </c>
      <c r="C2290" s="75" t="str">
        <f ca="1">IFERROR(__xludf.DUMMYFUNCTION("""COMPUTED_VALUE"""),"Студент")</f>
        <v>Студент</v>
      </c>
    </row>
    <row r="2291" spans="1:3">
      <c r="A2291" s="76">
        <f ca="1">IFERROR(__xludf.DUMMYFUNCTION("""COMPUTED_VALUE"""),2313261)</f>
        <v>2313261</v>
      </c>
      <c r="B2291" s="76" t="str">
        <f ca="1">IFERROR(__xludf.DUMMYFUNCTION("""COMPUTED_VALUE"""),"Тамаева Асия Славиковна")</f>
        <v>Тамаева Асия Славиковна</v>
      </c>
      <c r="C2291" s="75" t="str">
        <f ca="1">IFERROR(__xludf.DUMMYFUNCTION("""COMPUTED_VALUE"""),"Студент")</f>
        <v>Студент</v>
      </c>
    </row>
    <row r="2292" spans="1:3">
      <c r="A2292" s="76">
        <f ca="1">IFERROR(__xludf.DUMMYFUNCTION("""COMPUTED_VALUE"""),2313277)</f>
        <v>2313277</v>
      </c>
      <c r="B2292" s="76" t="str">
        <f ca="1">IFERROR(__xludf.DUMMYFUNCTION("""COMPUTED_VALUE"""),"Перемитин Евгений Владимирович")</f>
        <v>Перемитин Евгений Владимирович</v>
      </c>
      <c r="C2292" s="75" t="str">
        <f ca="1">IFERROR(__xludf.DUMMYFUNCTION("""COMPUTED_VALUE"""),"Студент")</f>
        <v>Студент</v>
      </c>
    </row>
    <row r="2293" spans="1:3">
      <c r="A2293" s="76">
        <f ca="1">IFERROR(__xludf.DUMMYFUNCTION("""COMPUTED_VALUE"""),2313294)</f>
        <v>2313294</v>
      </c>
      <c r="B2293" s="76" t="str">
        <f ca="1">IFERROR(__xludf.DUMMYFUNCTION("""COMPUTED_VALUE"""),"Обидзода Зайнулобиддин Саймурод")</f>
        <v>Обидзода Зайнулобиддин Саймурод</v>
      </c>
      <c r="C2293" s="75" t="str">
        <f ca="1">IFERROR(__xludf.DUMMYFUNCTION("""COMPUTED_VALUE"""),"Студент")</f>
        <v>Студент</v>
      </c>
    </row>
    <row r="2294" spans="1:3">
      <c r="A2294" s="76">
        <f ca="1">IFERROR(__xludf.DUMMYFUNCTION("""COMPUTED_VALUE"""),2313304)</f>
        <v>2313304</v>
      </c>
      <c r="B2294" s="76" t="str">
        <f ca="1">IFERROR(__xludf.DUMMYFUNCTION("""COMPUTED_VALUE"""),"Костенко Егор Вячеславович")</f>
        <v>Костенко Егор Вячеславович</v>
      </c>
      <c r="C2294" s="75" t="str">
        <f ca="1">IFERROR(__xludf.DUMMYFUNCTION("""COMPUTED_VALUE"""),"Студент")</f>
        <v>Студент</v>
      </c>
    </row>
    <row r="2295" spans="1:3">
      <c r="A2295" s="76">
        <f ca="1">IFERROR(__xludf.DUMMYFUNCTION("""COMPUTED_VALUE"""),2313305)</f>
        <v>2313305</v>
      </c>
      <c r="B2295" s="76" t="str">
        <f ca="1">IFERROR(__xludf.DUMMYFUNCTION("""COMPUTED_VALUE"""),"Фоменко Артём Алексеевич")</f>
        <v>Фоменко Артём Алексеевич</v>
      </c>
      <c r="C2295" s="75" t="str">
        <f ca="1">IFERROR(__xludf.DUMMYFUNCTION("""COMPUTED_VALUE"""),"Студент")</f>
        <v>Студент</v>
      </c>
    </row>
    <row r="2296" spans="1:3">
      <c r="A2296" s="76">
        <f ca="1">IFERROR(__xludf.DUMMYFUNCTION("""COMPUTED_VALUE"""),2313312)</f>
        <v>2313312</v>
      </c>
      <c r="B2296" s="76" t="str">
        <f ca="1">IFERROR(__xludf.DUMMYFUNCTION("""COMPUTED_VALUE"""),"Андрюшкина Анастасия Андреевна")</f>
        <v>Андрюшкина Анастасия Андреевна</v>
      </c>
      <c r="C2296" s="75" t="str">
        <f ca="1">IFERROR(__xludf.DUMMYFUNCTION("""COMPUTED_VALUE"""),"Студент")</f>
        <v>Студент</v>
      </c>
    </row>
    <row r="2297" spans="1:3">
      <c r="A2297" s="76">
        <f ca="1">IFERROR(__xludf.DUMMYFUNCTION("""COMPUTED_VALUE"""),2313316)</f>
        <v>2313316</v>
      </c>
      <c r="B2297" s="76" t="str">
        <f ca="1">IFERROR(__xludf.DUMMYFUNCTION("""COMPUTED_VALUE"""),"Сивеня Александр Александрович")</f>
        <v>Сивеня Александр Александрович</v>
      </c>
      <c r="C2297" s="75" t="str">
        <f ca="1">IFERROR(__xludf.DUMMYFUNCTION("""COMPUTED_VALUE"""),"Студент")</f>
        <v>Студент</v>
      </c>
    </row>
    <row r="2298" spans="1:3">
      <c r="A2298" s="76">
        <f ca="1">IFERROR(__xludf.DUMMYFUNCTION("""COMPUTED_VALUE"""),2313325)</f>
        <v>2313325</v>
      </c>
      <c r="B2298" s="76" t="str">
        <f ca="1">IFERROR(__xludf.DUMMYFUNCTION("""COMPUTED_VALUE"""),"Зудина Татьяна Геннадьевна")</f>
        <v>Зудина Татьяна Геннадьевна</v>
      </c>
      <c r="C2298" s="75" t="str">
        <f ca="1">IFERROR(__xludf.DUMMYFUNCTION("""COMPUTED_VALUE"""),"Студент")</f>
        <v>Студент</v>
      </c>
    </row>
    <row r="2299" spans="1:3">
      <c r="A2299" s="76">
        <f ca="1">IFERROR(__xludf.DUMMYFUNCTION("""COMPUTED_VALUE"""),2313329)</f>
        <v>2313329</v>
      </c>
      <c r="B2299" s="76" t="str">
        <f ca="1">IFERROR(__xludf.DUMMYFUNCTION("""COMPUTED_VALUE"""),"Русалиева Умида Умаралиевна")</f>
        <v>Русалиева Умида Умаралиевна</v>
      </c>
      <c r="C2299" s="75" t="str">
        <f ca="1">IFERROR(__xludf.DUMMYFUNCTION("""COMPUTED_VALUE"""),"Студент")</f>
        <v>Студент</v>
      </c>
    </row>
    <row r="2300" spans="1:3">
      <c r="A2300" s="76">
        <f ca="1">IFERROR(__xludf.DUMMYFUNCTION("""COMPUTED_VALUE"""),2313330)</f>
        <v>2313330</v>
      </c>
      <c r="B2300" s="76" t="str">
        <f ca="1">IFERROR(__xludf.DUMMYFUNCTION("""COMPUTED_VALUE"""),"Васильев Даниил Дмитриевич")</f>
        <v>Васильев Даниил Дмитриевич</v>
      </c>
      <c r="C2300" s="75" t="str">
        <f ca="1">IFERROR(__xludf.DUMMYFUNCTION("""COMPUTED_VALUE"""),"Студент")</f>
        <v>Студент</v>
      </c>
    </row>
    <row r="2301" spans="1:3">
      <c r="A2301" s="76">
        <f ca="1">IFERROR(__xludf.DUMMYFUNCTION("""COMPUTED_VALUE"""),2313334)</f>
        <v>2313334</v>
      </c>
      <c r="B2301" s="76" t="str">
        <f ca="1">IFERROR(__xludf.DUMMYFUNCTION("""COMPUTED_VALUE"""),"Смирнов Павел Николаевич")</f>
        <v>Смирнов Павел Николаевич</v>
      </c>
      <c r="C2301" s="75" t="str">
        <f ca="1">IFERROR(__xludf.DUMMYFUNCTION("""COMPUTED_VALUE"""),"Студент")</f>
        <v>Студент</v>
      </c>
    </row>
    <row r="2302" spans="1:3">
      <c r="A2302" s="76">
        <f ca="1">IFERROR(__xludf.DUMMYFUNCTION("""COMPUTED_VALUE"""),2313343)</f>
        <v>2313343</v>
      </c>
      <c r="B2302" s="76" t="str">
        <f ca="1">IFERROR(__xludf.DUMMYFUNCTION("""COMPUTED_VALUE"""),"Яер Доржу Нареш")</f>
        <v>Яер Доржу Нареш</v>
      </c>
      <c r="C2302" s="75" t="str">
        <f ca="1">IFERROR(__xludf.DUMMYFUNCTION("""COMPUTED_VALUE"""),"Студент")</f>
        <v>Студент</v>
      </c>
    </row>
    <row r="2303" spans="1:3">
      <c r="A2303" s="76">
        <f ca="1">IFERROR(__xludf.DUMMYFUNCTION("""COMPUTED_VALUE"""),2313348)</f>
        <v>2313348</v>
      </c>
      <c r="B2303" s="76" t="str">
        <f ca="1">IFERROR(__xludf.DUMMYFUNCTION("""COMPUTED_VALUE"""),"Колесников Арсений Евгеньевич")</f>
        <v>Колесников Арсений Евгеньевич</v>
      </c>
      <c r="C2303" s="75" t="str">
        <f ca="1">IFERROR(__xludf.DUMMYFUNCTION("""COMPUTED_VALUE"""),"Студент")</f>
        <v>Студент</v>
      </c>
    </row>
    <row r="2304" spans="1:3">
      <c r="A2304" s="76">
        <f ca="1">IFERROR(__xludf.DUMMYFUNCTION("""COMPUTED_VALUE"""),2313349)</f>
        <v>2313349</v>
      </c>
      <c r="B2304" s="76" t="str">
        <f ca="1">IFERROR(__xludf.DUMMYFUNCTION("""COMPUTED_VALUE"""),"Злобин Антон Владиславович")</f>
        <v>Злобин Антон Владиславович</v>
      </c>
      <c r="C2304" s="75" t="str">
        <f ca="1">IFERROR(__xludf.DUMMYFUNCTION("""COMPUTED_VALUE"""),"Студент")</f>
        <v>Студент</v>
      </c>
    </row>
    <row r="2305" spans="1:3">
      <c r="A2305" s="76">
        <f ca="1">IFERROR(__xludf.DUMMYFUNCTION("""COMPUTED_VALUE"""),2313350)</f>
        <v>2313350</v>
      </c>
      <c r="B2305" s="76" t="str">
        <f ca="1">IFERROR(__xludf.DUMMYFUNCTION("""COMPUTED_VALUE"""),"Татару Анна Николаевна")</f>
        <v>Татару Анна Николаевна</v>
      </c>
      <c r="C2305" s="75" t="str">
        <f ca="1">IFERROR(__xludf.DUMMYFUNCTION("""COMPUTED_VALUE"""),"Студент")</f>
        <v>Студент</v>
      </c>
    </row>
    <row r="2306" spans="1:3">
      <c r="A2306" s="76">
        <f ca="1">IFERROR(__xludf.DUMMYFUNCTION("""COMPUTED_VALUE"""),2313352)</f>
        <v>2313352</v>
      </c>
      <c r="B2306" s="76" t="str">
        <f ca="1">IFERROR(__xludf.DUMMYFUNCTION("""COMPUTED_VALUE"""),"Карпов Назарий Максимович")</f>
        <v>Карпов Назарий Максимович</v>
      </c>
      <c r="C2306" s="75" t="str">
        <f ca="1">IFERROR(__xludf.DUMMYFUNCTION("""COMPUTED_VALUE"""),"Студент")</f>
        <v>Студент</v>
      </c>
    </row>
    <row r="2307" spans="1:3">
      <c r="A2307" s="76">
        <f ca="1">IFERROR(__xludf.DUMMYFUNCTION("""COMPUTED_VALUE"""),2313367)</f>
        <v>2313367</v>
      </c>
      <c r="B2307" s="76" t="str">
        <f ca="1">IFERROR(__xludf.DUMMYFUNCTION("""COMPUTED_VALUE"""),"Степкина Евгения Алексеевна")</f>
        <v>Степкина Евгения Алексеевна</v>
      </c>
      <c r="C2307" s="75" t="str">
        <f ca="1">IFERROR(__xludf.DUMMYFUNCTION("""COMPUTED_VALUE"""),"Студент")</f>
        <v>Студент</v>
      </c>
    </row>
    <row r="2308" spans="1:3">
      <c r="A2308" s="76">
        <f ca="1">IFERROR(__xludf.DUMMYFUNCTION("""COMPUTED_VALUE"""),2313376)</f>
        <v>2313376</v>
      </c>
      <c r="B2308" s="76" t="str">
        <f ca="1">IFERROR(__xludf.DUMMYFUNCTION("""COMPUTED_VALUE"""),"Гараева Вероника Валерьевна")</f>
        <v>Гараева Вероника Валерьевна</v>
      </c>
      <c r="C2308" s="75" t="str">
        <f ca="1">IFERROR(__xludf.DUMMYFUNCTION("""COMPUTED_VALUE"""),"Студент")</f>
        <v>Студент</v>
      </c>
    </row>
    <row r="2309" spans="1:3">
      <c r="A2309" s="76">
        <f ca="1">IFERROR(__xludf.DUMMYFUNCTION("""COMPUTED_VALUE"""),2313379)</f>
        <v>2313379</v>
      </c>
      <c r="B2309" s="76" t="str">
        <f ca="1">IFERROR(__xludf.DUMMYFUNCTION("""COMPUTED_VALUE"""),"Разоков Мухаммадсалмонхон Абдурафиевич")</f>
        <v>Разоков Мухаммадсалмонхон Абдурафиевич</v>
      </c>
      <c r="C2309" s="75" t="str">
        <f ca="1">IFERROR(__xludf.DUMMYFUNCTION("""COMPUTED_VALUE"""),"Студент")</f>
        <v>Студент</v>
      </c>
    </row>
    <row r="2310" spans="1:3">
      <c r="A2310" s="76">
        <f ca="1">IFERROR(__xludf.DUMMYFUNCTION("""COMPUTED_VALUE"""),2313401)</f>
        <v>2313401</v>
      </c>
      <c r="B2310" s="76" t="str">
        <f ca="1">IFERROR(__xludf.DUMMYFUNCTION("""COMPUTED_VALUE"""),"Димитриенко Алексей Александрович")</f>
        <v>Димитриенко Алексей Александрович</v>
      </c>
      <c r="C2310" s="75" t="str">
        <f ca="1">IFERROR(__xludf.DUMMYFUNCTION("""COMPUTED_VALUE"""),"Студент")</f>
        <v>Студент</v>
      </c>
    </row>
    <row r="2311" spans="1:3">
      <c r="A2311" s="76">
        <f ca="1">IFERROR(__xludf.DUMMYFUNCTION("""COMPUTED_VALUE"""),2313405)</f>
        <v>2313405</v>
      </c>
      <c r="B2311" s="76" t="str">
        <f ca="1">IFERROR(__xludf.DUMMYFUNCTION("""COMPUTED_VALUE"""),"Асафов Кирилл Сергеевич")</f>
        <v>Асафов Кирилл Сергеевич</v>
      </c>
      <c r="C2311" s="75" t="str">
        <f ca="1">IFERROR(__xludf.DUMMYFUNCTION("""COMPUTED_VALUE"""),"Студент")</f>
        <v>Студент</v>
      </c>
    </row>
    <row r="2312" spans="1:3">
      <c r="A2312" s="76">
        <f ca="1">IFERROR(__xludf.DUMMYFUNCTION("""COMPUTED_VALUE"""),2313409)</f>
        <v>2313409</v>
      </c>
      <c r="B2312" s="76" t="str">
        <f ca="1">IFERROR(__xludf.DUMMYFUNCTION("""COMPUTED_VALUE"""),"Гулин Егор Дмитриевич")</f>
        <v>Гулин Егор Дмитриевич</v>
      </c>
      <c r="C2312" s="75" t="str">
        <f ca="1">IFERROR(__xludf.DUMMYFUNCTION("""COMPUTED_VALUE"""),"Студент")</f>
        <v>Студент</v>
      </c>
    </row>
    <row r="2313" spans="1:3">
      <c r="A2313" s="76">
        <f ca="1">IFERROR(__xludf.DUMMYFUNCTION("""COMPUTED_VALUE"""),2313424)</f>
        <v>2313424</v>
      </c>
      <c r="B2313" s="76" t="str">
        <f ca="1">IFERROR(__xludf.DUMMYFUNCTION("""COMPUTED_VALUE"""),"Голубева Екатерина Михайловна")</f>
        <v>Голубева Екатерина Михайловна</v>
      </c>
      <c r="C2313" s="75" t="str">
        <f ca="1">IFERROR(__xludf.DUMMYFUNCTION("""COMPUTED_VALUE"""),"Студент")</f>
        <v>Студент</v>
      </c>
    </row>
    <row r="2314" spans="1:3">
      <c r="A2314" s="76">
        <f ca="1">IFERROR(__xludf.DUMMYFUNCTION("""COMPUTED_VALUE"""),2313429)</f>
        <v>2313429</v>
      </c>
      <c r="B2314" s="76" t="str">
        <f ca="1">IFERROR(__xludf.DUMMYFUNCTION("""COMPUTED_VALUE"""),"Львов Кирилл Олегович")</f>
        <v>Львов Кирилл Олегович</v>
      </c>
      <c r="C2314" s="75" t="str">
        <f ca="1">IFERROR(__xludf.DUMMYFUNCTION("""COMPUTED_VALUE"""),"Студент")</f>
        <v>Студент</v>
      </c>
    </row>
    <row r="2315" spans="1:3">
      <c r="A2315" s="76">
        <f ca="1">IFERROR(__xludf.DUMMYFUNCTION("""COMPUTED_VALUE"""),2313442)</f>
        <v>2313442</v>
      </c>
      <c r="B2315" s="76" t="str">
        <f ca="1">IFERROR(__xludf.DUMMYFUNCTION("""COMPUTED_VALUE"""),"Шарстук Даниил Андреевич")</f>
        <v>Шарстук Даниил Андреевич</v>
      </c>
      <c r="C2315" s="75" t="str">
        <f ca="1">IFERROR(__xludf.DUMMYFUNCTION("""COMPUTED_VALUE"""),"Студент")</f>
        <v>Студент</v>
      </c>
    </row>
    <row r="2316" spans="1:3">
      <c r="A2316" s="76">
        <f ca="1">IFERROR(__xludf.DUMMYFUNCTION("""COMPUTED_VALUE"""),2313445)</f>
        <v>2313445</v>
      </c>
      <c r="B2316" s="76" t="str">
        <f ca="1">IFERROR(__xludf.DUMMYFUNCTION("""COMPUTED_VALUE"""),"Носов Арсений Юрьевич")</f>
        <v>Носов Арсений Юрьевич</v>
      </c>
      <c r="C2316" s="75" t="str">
        <f ca="1">IFERROR(__xludf.DUMMYFUNCTION("""COMPUTED_VALUE"""),"Студент")</f>
        <v>Студент</v>
      </c>
    </row>
    <row r="2317" spans="1:3">
      <c r="A2317" s="76">
        <f ca="1">IFERROR(__xludf.DUMMYFUNCTION("""COMPUTED_VALUE"""),2313449)</f>
        <v>2313449</v>
      </c>
      <c r="B2317" s="76" t="str">
        <f ca="1">IFERROR(__xludf.DUMMYFUNCTION("""COMPUTED_VALUE"""),"Халафов Джамал Назирович")</f>
        <v>Халафов Джамал Назирович</v>
      </c>
      <c r="C2317" s="75" t="str">
        <f ca="1">IFERROR(__xludf.DUMMYFUNCTION("""COMPUTED_VALUE"""),"Студент")</f>
        <v>Студент</v>
      </c>
    </row>
    <row r="2318" spans="1:3">
      <c r="A2318" s="76">
        <f ca="1">IFERROR(__xludf.DUMMYFUNCTION("""COMPUTED_VALUE"""),2313451)</f>
        <v>2313451</v>
      </c>
      <c r="B2318" s="76" t="str">
        <f ca="1">IFERROR(__xludf.DUMMYFUNCTION("""COMPUTED_VALUE"""),"Горшенина Ангелина Сергеевна")</f>
        <v>Горшенина Ангелина Сергеевна</v>
      </c>
      <c r="C2318" s="75" t="str">
        <f ca="1">IFERROR(__xludf.DUMMYFUNCTION("""COMPUTED_VALUE"""),"Студент")</f>
        <v>Студент</v>
      </c>
    </row>
    <row r="2319" spans="1:3">
      <c r="A2319" s="76">
        <f ca="1">IFERROR(__xludf.DUMMYFUNCTION("""COMPUTED_VALUE"""),2313452)</f>
        <v>2313452</v>
      </c>
      <c r="B2319" s="76" t="str">
        <f ca="1">IFERROR(__xludf.DUMMYFUNCTION("""COMPUTED_VALUE"""),"Коксегенова Олеся")</f>
        <v>Коксегенова Олеся</v>
      </c>
      <c r="C2319" s="75" t="str">
        <f ca="1">IFERROR(__xludf.DUMMYFUNCTION("""COMPUTED_VALUE"""),"Студент")</f>
        <v>Студент</v>
      </c>
    </row>
    <row r="2320" spans="1:3">
      <c r="A2320" s="76">
        <f ca="1">IFERROR(__xludf.DUMMYFUNCTION("""COMPUTED_VALUE"""),2313454)</f>
        <v>2313454</v>
      </c>
      <c r="B2320" s="76" t="str">
        <f ca="1">IFERROR(__xludf.DUMMYFUNCTION("""COMPUTED_VALUE"""),"Салчак Айлана Чимит-Доржуевна")</f>
        <v>Салчак Айлана Чимит-Доржуевна</v>
      </c>
      <c r="C2320" s="75" t="str">
        <f ca="1">IFERROR(__xludf.DUMMYFUNCTION("""COMPUTED_VALUE"""),"Студент")</f>
        <v>Студент</v>
      </c>
    </row>
    <row r="2321" spans="1:3">
      <c r="A2321" s="76">
        <f ca="1">IFERROR(__xludf.DUMMYFUNCTION("""COMPUTED_VALUE"""),2313460)</f>
        <v>2313460</v>
      </c>
      <c r="B2321" s="76" t="str">
        <f ca="1">IFERROR(__xludf.DUMMYFUNCTION("""COMPUTED_VALUE"""),"Козаева Нина Георгиевна")</f>
        <v>Козаева Нина Георгиевна</v>
      </c>
      <c r="C2321" s="75" t="str">
        <f ca="1">IFERROR(__xludf.DUMMYFUNCTION("""COMPUTED_VALUE"""),"Студент")</f>
        <v>Студент</v>
      </c>
    </row>
    <row r="2322" spans="1:3">
      <c r="A2322" s="76">
        <f ca="1">IFERROR(__xludf.DUMMYFUNCTION("""COMPUTED_VALUE"""),2313463)</f>
        <v>2313463</v>
      </c>
      <c r="B2322" s="76" t="str">
        <f ca="1">IFERROR(__xludf.DUMMYFUNCTION("""COMPUTED_VALUE"""),"Невретдинов Вадим Константинович")</f>
        <v>Невретдинов Вадим Константинович</v>
      </c>
      <c r="C2322" s="75" t="str">
        <f ca="1">IFERROR(__xludf.DUMMYFUNCTION("""COMPUTED_VALUE"""),"Студент")</f>
        <v>Студент</v>
      </c>
    </row>
    <row r="2323" spans="1:3">
      <c r="A2323" s="76">
        <f ca="1">IFERROR(__xludf.DUMMYFUNCTION("""COMPUTED_VALUE"""),2313466)</f>
        <v>2313466</v>
      </c>
      <c r="B2323" s="76" t="str">
        <f ca="1">IFERROR(__xludf.DUMMYFUNCTION("""COMPUTED_VALUE"""),"Виговский Антон Андреевич")</f>
        <v>Виговский Антон Андреевич</v>
      </c>
      <c r="C2323" s="75" t="str">
        <f ca="1">IFERROR(__xludf.DUMMYFUNCTION("""COMPUTED_VALUE"""),"Студент")</f>
        <v>Студент</v>
      </c>
    </row>
    <row r="2324" spans="1:3">
      <c r="A2324" s="76">
        <f ca="1">IFERROR(__xludf.DUMMYFUNCTION("""COMPUTED_VALUE"""),2313467)</f>
        <v>2313467</v>
      </c>
      <c r="B2324" s="76" t="str">
        <f ca="1">IFERROR(__xludf.DUMMYFUNCTION("""COMPUTED_VALUE"""),"Павлов Андрей Павлович")</f>
        <v>Павлов Андрей Павлович</v>
      </c>
      <c r="C2324" s="75" t="str">
        <f ca="1">IFERROR(__xludf.DUMMYFUNCTION("""COMPUTED_VALUE"""),"Студент")</f>
        <v>Студент</v>
      </c>
    </row>
    <row r="2325" spans="1:3">
      <c r="A2325" s="76">
        <f ca="1">IFERROR(__xludf.DUMMYFUNCTION("""COMPUTED_VALUE"""),2313469)</f>
        <v>2313469</v>
      </c>
      <c r="B2325" s="76" t="str">
        <f ca="1">IFERROR(__xludf.DUMMYFUNCTION("""COMPUTED_VALUE"""),"Кузнецова Валерия Андреевна")</f>
        <v>Кузнецова Валерия Андреевна</v>
      </c>
      <c r="C2325" s="75" t="str">
        <f ca="1">IFERROR(__xludf.DUMMYFUNCTION("""COMPUTED_VALUE"""),"Студент")</f>
        <v>Студент</v>
      </c>
    </row>
    <row r="2326" spans="1:3">
      <c r="A2326" s="76">
        <f ca="1">IFERROR(__xludf.DUMMYFUNCTION("""COMPUTED_VALUE"""),2313475)</f>
        <v>2313475</v>
      </c>
      <c r="B2326" s="76" t="str">
        <f ca="1">IFERROR(__xludf.DUMMYFUNCTION("""COMPUTED_VALUE"""),"Смирнов Данил Алексеевич")</f>
        <v>Смирнов Данил Алексеевич</v>
      </c>
      <c r="C2326" s="75" t="str">
        <f ca="1">IFERROR(__xludf.DUMMYFUNCTION("""COMPUTED_VALUE"""),"Студент")</f>
        <v>Студент</v>
      </c>
    </row>
    <row r="2327" spans="1:3">
      <c r="A2327" s="76">
        <f ca="1">IFERROR(__xludf.DUMMYFUNCTION("""COMPUTED_VALUE"""),2313478)</f>
        <v>2313478</v>
      </c>
      <c r="B2327" s="76" t="str">
        <f ca="1">IFERROR(__xludf.DUMMYFUNCTION("""COMPUTED_VALUE"""),"Галиахметов Руслан Тимурович")</f>
        <v>Галиахметов Руслан Тимурович</v>
      </c>
      <c r="C2327" s="75" t="str">
        <f ca="1">IFERROR(__xludf.DUMMYFUNCTION("""COMPUTED_VALUE"""),"Студент")</f>
        <v>Студент</v>
      </c>
    </row>
    <row r="2328" spans="1:3">
      <c r="A2328" s="76">
        <f ca="1">IFERROR(__xludf.DUMMYFUNCTION("""COMPUTED_VALUE"""),2313480)</f>
        <v>2313480</v>
      </c>
      <c r="B2328" s="76" t="str">
        <f ca="1">IFERROR(__xludf.DUMMYFUNCTION("""COMPUTED_VALUE"""),"Тацишин Михаил Сергеевич")</f>
        <v>Тацишин Михаил Сергеевич</v>
      </c>
      <c r="C2328" s="75" t="str">
        <f ca="1">IFERROR(__xludf.DUMMYFUNCTION("""COMPUTED_VALUE"""),"Студент")</f>
        <v>Студент</v>
      </c>
    </row>
    <row r="2329" spans="1:3">
      <c r="A2329" s="76">
        <f ca="1">IFERROR(__xludf.DUMMYFUNCTION("""COMPUTED_VALUE"""),2313483)</f>
        <v>2313483</v>
      </c>
      <c r="B2329" s="76" t="str">
        <f ca="1">IFERROR(__xludf.DUMMYFUNCTION("""COMPUTED_VALUE"""),"Хребтова Наталья Андреевна")</f>
        <v>Хребтова Наталья Андреевна</v>
      </c>
      <c r="C2329" s="75" t="str">
        <f ca="1">IFERROR(__xludf.DUMMYFUNCTION("""COMPUTED_VALUE"""),"Студент")</f>
        <v>Студент</v>
      </c>
    </row>
    <row r="2330" spans="1:3">
      <c r="A2330" s="76">
        <f ca="1">IFERROR(__xludf.DUMMYFUNCTION("""COMPUTED_VALUE"""),2313500)</f>
        <v>2313500</v>
      </c>
      <c r="B2330" s="76" t="str">
        <f ca="1">IFERROR(__xludf.DUMMYFUNCTION("""COMPUTED_VALUE"""),"Рахмонов Ихтиёржон Илхом Угли")</f>
        <v>Рахмонов Ихтиёржон Илхом Угли</v>
      </c>
      <c r="C2330" s="75" t="str">
        <f ca="1">IFERROR(__xludf.DUMMYFUNCTION("""COMPUTED_VALUE"""),"Студент")</f>
        <v>Студент</v>
      </c>
    </row>
    <row r="2331" spans="1:3">
      <c r="A2331" s="76">
        <f ca="1">IFERROR(__xludf.DUMMYFUNCTION("""COMPUTED_VALUE"""),2313533)</f>
        <v>2313533</v>
      </c>
      <c r="B2331" s="76" t="str">
        <f ca="1">IFERROR(__xludf.DUMMYFUNCTION("""COMPUTED_VALUE"""),"Трофимов Павел Евгеньевич")</f>
        <v>Трофимов Павел Евгеньевич</v>
      </c>
      <c r="C2331" s="75" t="str">
        <f ca="1">IFERROR(__xludf.DUMMYFUNCTION("""COMPUTED_VALUE"""),"Студент")</f>
        <v>Студент</v>
      </c>
    </row>
    <row r="2332" spans="1:3">
      <c r="A2332" s="76">
        <f ca="1">IFERROR(__xludf.DUMMYFUNCTION("""COMPUTED_VALUE"""),2313539)</f>
        <v>2313539</v>
      </c>
      <c r="B2332" s="76" t="str">
        <f ca="1">IFERROR(__xludf.DUMMYFUNCTION("""COMPUTED_VALUE"""),"Трохимец Анна Владимировна")</f>
        <v>Трохимец Анна Владимировна</v>
      </c>
      <c r="C2332" s="75" t="str">
        <f ca="1">IFERROR(__xludf.DUMMYFUNCTION("""COMPUTED_VALUE"""),"Студент")</f>
        <v>Студент</v>
      </c>
    </row>
    <row r="2333" spans="1:3">
      <c r="A2333" s="76">
        <f ca="1">IFERROR(__xludf.DUMMYFUNCTION("""COMPUTED_VALUE"""),2313547)</f>
        <v>2313547</v>
      </c>
      <c r="B2333" s="76" t="str">
        <f ca="1">IFERROR(__xludf.DUMMYFUNCTION("""COMPUTED_VALUE"""),"Канбекова Самира Руслановна")</f>
        <v>Канбекова Самира Руслановна</v>
      </c>
      <c r="C2333" s="75" t="str">
        <f ca="1">IFERROR(__xludf.DUMMYFUNCTION("""COMPUTED_VALUE"""),"Студент")</f>
        <v>Студент</v>
      </c>
    </row>
    <row r="2334" spans="1:3">
      <c r="A2334" s="76">
        <f ca="1">IFERROR(__xludf.DUMMYFUNCTION("""COMPUTED_VALUE"""),2313566)</f>
        <v>2313566</v>
      </c>
      <c r="B2334" s="76" t="str">
        <f ca="1">IFERROR(__xludf.DUMMYFUNCTION("""COMPUTED_VALUE"""),"Кукушкин Илья Олегович")</f>
        <v>Кукушкин Илья Олегович</v>
      </c>
      <c r="C2334" s="75" t="str">
        <f ca="1">IFERROR(__xludf.DUMMYFUNCTION("""COMPUTED_VALUE"""),"Студент")</f>
        <v>Студент</v>
      </c>
    </row>
    <row r="2335" spans="1:3">
      <c r="A2335" s="76">
        <f ca="1">IFERROR(__xludf.DUMMYFUNCTION("""COMPUTED_VALUE"""),2313571)</f>
        <v>2313571</v>
      </c>
      <c r="B2335" s="76" t="str">
        <f ca="1">IFERROR(__xludf.DUMMYFUNCTION("""COMPUTED_VALUE"""),"Камчатникова Юлия Сергеевна")</f>
        <v>Камчатникова Юлия Сергеевна</v>
      </c>
      <c r="C2335" s="75" t="str">
        <f ca="1">IFERROR(__xludf.DUMMYFUNCTION("""COMPUTED_VALUE"""),"Студент")</f>
        <v>Студент</v>
      </c>
    </row>
    <row r="2336" spans="1:3">
      <c r="A2336" s="76">
        <f ca="1">IFERROR(__xludf.DUMMYFUNCTION("""COMPUTED_VALUE"""),2313574)</f>
        <v>2313574</v>
      </c>
      <c r="B2336" s="76" t="str">
        <f ca="1">IFERROR(__xludf.DUMMYFUNCTION("""COMPUTED_VALUE"""),"Денисова Ангелина Игоревна")</f>
        <v>Денисова Ангелина Игоревна</v>
      </c>
      <c r="C2336" s="75" t="str">
        <f ca="1">IFERROR(__xludf.DUMMYFUNCTION("""COMPUTED_VALUE"""),"Студент")</f>
        <v>Студент</v>
      </c>
    </row>
    <row r="2337" spans="1:3">
      <c r="A2337" s="76">
        <f ca="1">IFERROR(__xludf.DUMMYFUNCTION("""COMPUTED_VALUE"""),2313588)</f>
        <v>2313588</v>
      </c>
      <c r="B2337" s="76" t="str">
        <f ca="1">IFERROR(__xludf.DUMMYFUNCTION("""COMPUTED_VALUE"""),"Махатырова Диана Васильевна")</f>
        <v>Махатырова Диана Васильевна</v>
      </c>
      <c r="C2337" s="75" t="str">
        <f ca="1">IFERROR(__xludf.DUMMYFUNCTION("""COMPUTED_VALUE"""),"Студент")</f>
        <v>Студент</v>
      </c>
    </row>
    <row r="2338" spans="1:3">
      <c r="A2338" s="76">
        <f ca="1">IFERROR(__xludf.DUMMYFUNCTION("""COMPUTED_VALUE"""),2313606)</f>
        <v>2313606</v>
      </c>
      <c r="B2338" s="76" t="str">
        <f ca="1">IFERROR(__xludf.DUMMYFUNCTION("""COMPUTED_VALUE"""),"Антонова Виталина Викторовна")</f>
        <v>Антонова Виталина Викторовна</v>
      </c>
      <c r="C2338" s="75" t="str">
        <f ca="1">IFERROR(__xludf.DUMMYFUNCTION("""COMPUTED_VALUE"""),"Студент")</f>
        <v>Студент</v>
      </c>
    </row>
    <row r="2339" spans="1:3">
      <c r="A2339" s="76">
        <f ca="1">IFERROR(__xludf.DUMMYFUNCTION("""COMPUTED_VALUE"""),2313622)</f>
        <v>2313622</v>
      </c>
      <c r="B2339" s="76" t="str">
        <f ca="1">IFERROR(__xludf.DUMMYFUNCTION("""COMPUTED_VALUE"""),"Картавенко Илья Дмитриевич")</f>
        <v>Картавенко Илья Дмитриевич</v>
      </c>
      <c r="C2339" s="75" t="str">
        <f ca="1">IFERROR(__xludf.DUMMYFUNCTION("""COMPUTED_VALUE"""),"Студент")</f>
        <v>Студент</v>
      </c>
    </row>
    <row r="2340" spans="1:3">
      <c r="A2340" s="76">
        <f ca="1">IFERROR(__xludf.DUMMYFUNCTION("""COMPUTED_VALUE"""),2313632)</f>
        <v>2313632</v>
      </c>
      <c r="B2340" s="76" t="str">
        <f ca="1">IFERROR(__xludf.DUMMYFUNCTION("""COMPUTED_VALUE"""),"Арустамян Милана Руслановна")</f>
        <v>Арустамян Милана Руслановна</v>
      </c>
      <c r="C2340" s="75" t="str">
        <f ca="1">IFERROR(__xludf.DUMMYFUNCTION("""COMPUTED_VALUE"""),"Студент")</f>
        <v>Студент</v>
      </c>
    </row>
    <row r="2341" spans="1:3">
      <c r="A2341" s="76">
        <f ca="1">IFERROR(__xludf.DUMMYFUNCTION("""COMPUTED_VALUE"""),2313667)</f>
        <v>2313667</v>
      </c>
      <c r="B2341" s="76" t="str">
        <f ca="1">IFERROR(__xludf.DUMMYFUNCTION("""COMPUTED_VALUE"""),"Апостолова Ирина Ивановна")</f>
        <v>Апостолова Ирина Ивановна</v>
      </c>
      <c r="C2341" s="75" t="str">
        <f ca="1">IFERROR(__xludf.DUMMYFUNCTION("""COMPUTED_VALUE"""),"Студент")</f>
        <v>Студент</v>
      </c>
    </row>
    <row r="2342" spans="1:3">
      <c r="A2342" s="76">
        <f ca="1">IFERROR(__xludf.DUMMYFUNCTION("""COMPUTED_VALUE"""),2313669)</f>
        <v>2313669</v>
      </c>
      <c r="B2342" s="76" t="str">
        <f ca="1">IFERROR(__xludf.DUMMYFUNCTION("""COMPUTED_VALUE"""),"Подъячев Алексей Викторович")</f>
        <v>Подъячев Алексей Викторович</v>
      </c>
      <c r="C2342" s="75" t="str">
        <f ca="1">IFERROR(__xludf.DUMMYFUNCTION("""COMPUTED_VALUE"""),"Студент")</f>
        <v>Студент</v>
      </c>
    </row>
    <row r="2343" spans="1:3">
      <c r="A2343" s="76">
        <f ca="1">IFERROR(__xludf.DUMMYFUNCTION("""COMPUTED_VALUE"""),2313686)</f>
        <v>2313686</v>
      </c>
      <c r="B2343" s="76" t="str">
        <f ca="1">IFERROR(__xludf.DUMMYFUNCTION("""COMPUTED_VALUE"""),"Ивонцына Елизавета Геннадьевна")</f>
        <v>Ивонцына Елизавета Геннадьевна</v>
      </c>
      <c r="C2343" s="75" t="str">
        <f ca="1">IFERROR(__xludf.DUMMYFUNCTION("""COMPUTED_VALUE"""),"Студент")</f>
        <v>Студент</v>
      </c>
    </row>
    <row r="2344" spans="1:3">
      <c r="A2344" s="76">
        <f ca="1">IFERROR(__xludf.DUMMYFUNCTION("""COMPUTED_VALUE"""),2313714)</f>
        <v>2313714</v>
      </c>
      <c r="B2344" s="76" t="str">
        <f ca="1">IFERROR(__xludf.DUMMYFUNCTION("""COMPUTED_VALUE"""),"Колесень Валерия Ивановна")</f>
        <v>Колесень Валерия Ивановна</v>
      </c>
      <c r="C2344" s="75" t="str">
        <f ca="1">IFERROR(__xludf.DUMMYFUNCTION("""COMPUTED_VALUE"""),"Студент")</f>
        <v>Студент</v>
      </c>
    </row>
    <row r="2345" spans="1:3">
      <c r="A2345" s="76">
        <f ca="1">IFERROR(__xludf.DUMMYFUNCTION("""COMPUTED_VALUE"""),2313721)</f>
        <v>2313721</v>
      </c>
      <c r="B2345" s="76" t="str">
        <f ca="1">IFERROR(__xludf.DUMMYFUNCTION("""COMPUTED_VALUE"""),"Бикташева Алия Айратовна")</f>
        <v>Бикташева Алия Айратовна</v>
      </c>
      <c r="C2345" s="75" t="str">
        <f ca="1">IFERROR(__xludf.DUMMYFUNCTION("""COMPUTED_VALUE"""),"Студент")</f>
        <v>Студент</v>
      </c>
    </row>
    <row r="2346" spans="1:3">
      <c r="A2346" s="76">
        <f ca="1">IFERROR(__xludf.DUMMYFUNCTION("""COMPUTED_VALUE"""),2313723)</f>
        <v>2313723</v>
      </c>
      <c r="B2346" s="76" t="str">
        <f ca="1">IFERROR(__xludf.DUMMYFUNCTION("""COMPUTED_VALUE"""),"Макарова Ирина Андреевна")</f>
        <v>Макарова Ирина Андреевна</v>
      </c>
      <c r="C2346" s="75" t="str">
        <f ca="1">IFERROR(__xludf.DUMMYFUNCTION("""COMPUTED_VALUE"""),"Студент")</f>
        <v>Студент</v>
      </c>
    </row>
    <row r="2347" spans="1:3">
      <c r="A2347" s="76">
        <f ca="1">IFERROR(__xludf.DUMMYFUNCTION("""COMPUTED_VALUE"""),2313729)</f>
        <v>2313729</v>
      </c>
      <c r="B2347" s="76" t="str">
        <f ca="1">IFERROR(__xludf.DUMMYFUNCTION("""COMPUTED_VALUE"""),"Вихастая Елена Руслановна")</f>
        <v>Вихастая Елена Руслановна</v>
      </c>
      <c r="C2347" s="75" t="str">
        <f ca="1">IFERROR(__xludf.DUMMYFUNCTION("""COMPUTED_VALUE"""),"Студент")</f>
        <v>Студент</v>
      </c>
    </row>
    <row r="2348" spans="1:3">
      <c r="A2348" s="76">
        <f ca="1">IFERROR(__xludf.DUMMYFUNCTION("""COMPUTED_VALUE"""),2313797)</f>
        <v>2313797</v>
      </c>
      <c r="B2348" s="76" t="str">
        <f ca="1">IFERROR(__xludf.DUMMYFUNCTION("""COMPUTED_VALUE"""),"Гашемова Анна Сейфалиевна")</f>
        <v>Гашемова Анна Сейфалиевна</v>
      </c>
      <c r="C2348" s="75" t="str">
        <f ca="1">IFERROR(__xludf.DUMMYFUNCTION("""COMPUTED_VALUE"""),"Студент")</f>
        <v>Студент</v>
      </c>
    </row>
    <row r="2349" spans="1:3">
      <c r="A2349" s="76">
        <f ca="1">IFERROR(__xludf.DUMMYFUNCTION("""COMPUTED_VALUE"""),2313801)</f>
        <v>2313801</v>
      </c>
      <c r="B2349" s="76" t="str">
        <f ca="1">IFERROR(__xludf.DUMMYFUNCTION("""COMPUTED_VALUE"""),"Рябов Илья Михайлович")</f>
        <v>Рябов Илья Михайлович</v>
      </c>
      <c r="C2349" s="75" t="str">
        <f ca="1">IFERROR(__xludf.DUMMYFUNCTION("""COMPUTED_VALUE"""),"Студент")</f>
        <v>Студент</v>
      </c>
    </row>
    <row r="2350" spans="1:3">
      <c r="A2350" s="76">
        <f ca="1">IFERROR(__xludf.DUMMYFUNCTION("""COMPUTED_VALUE"""),2313820)</f>
        <v>2313820</v>
      </c>
      <c r="B2350" s="76" t="str">
        <f ca="1">IFERROR(__xludf.DUMMYFUNCTION("""COMPUTED_VALUE"""),"Жорник Елизавета Сергеевна")</f>
        <v>Жорник Елизавета Сергеевна</v>
      </c>
      <c r="C2350" s="75" t="str">
        <f ca="1">IFERROR(__xludf.DUMMYFUNCTION("""COMPUTED_VALUE"""),"Студент")</f>
        <v>Студент</v>
      </c>
    </row>
    <row r="2351" spans="1:3">
      <c r="A2351" s="76">
        <f ca="1">IFERROR(__xludf.DUMMYFUNCTION("""COMPUTED_VALUE"""),2313845)</f>
        <v>2313845</v>
      </c>
      <c r="B2351" s="76" t="str">
        <f ca="1">IFERROR(__xludf.DUMMYFUNCTION("""COMPUTED_VALUE"""),"Нестеренко Григорий Сергеевич")</f>
        <v>Нестеренко Григорий Сергеевич</v>
      </c>
      <c r="C2351" s="75" t="str">
        <f ca="1">IFERROR(__xludf.DUMMYFUNCTION("""COMPUTED_VALUE"""),"Студент")</f>
        <v>Студент</v>
      </c>
    </row>
    <row r="2352" spans="1:3">
      <c r="A2352" s="76">
        <f ca="1">IFERROR(__xludf.DUMMYFUNCTION("""COMPUTED_VALUE"""),2313861)</f>
        <v>2313861</v>
      </c>
      <c r="B2352" s="76" t="str">
        <f ca="1">IFERROR(__xludf.DUMMYFUNCTION("""COMPUTED_VALUE"""),"Ким Сергей Владимирович")</f>
        <v>Ким Сергей Владимирович</v>
      </c>
      <c r="C2352" s="75" t="str">
        <f ca="1">IFERROR(__xludf.DUMMYFUNCTION("""COMPUTED_VALUE"""),"Студент")</f>
        <v>Студент</v>
      </c>
    </row>
    <row r="2353" spans="1:3">
      <c r="A2353" s="76">
        <f ca="1">IFERROR(__xludf.DUMMYFUNCTION("""COMPUTED_VALUE"""),2313878)</f>
        <v>2313878</v>
      </c>
      <c r="B2353" s="76" t="str">
        <f ca="1">IFERROR(__xludf.DUMMYFUNCTION("""COMPUTED_VALUE"""),"Рамазанов Никита Максимович")</f>
        <v>Рамазанов Никита Максимович</v>
      </c>
      <c r="C2353" s="75" t="str">
        <f ca="1">IFERROR(__xludf.DUMMYFUNCTION("""COMPUTED_VALUE"""),"Студент")</f>
        <v>Студент</v>
      </c>
    </row>
    <row r="2354" spans="1:3">
      <c r="A2354" s="76">
        <f ca="1">IFERROR(__xludf.DUMMYFUNCTION("""COMPUTED_VALUE"""),2313894)</f>
        <v>2313894</v>
      </c>
      <c r="B2354" s="76" t="str">
        <f ca="1">IFERROR(__xludf.DUMMYFUNCTION("""COMPUTED_VALUE"""),"Филатова Полина Дмитриевна")</f>
        <v>Филатова Полина Дмитриевна</v>
      </c>
      <c r="C2354" s="75" t="str">
        <f ca="1">IFERROR(__xludf.DUMMYFUNCTION("""COMPUTED_VALUE"""),"Студент")</f>
        <v>Студент</v>
      </c>
    </row>
    <row r="2355" spans="1:3">
      <c r="A2355" s="76">
        <f ca="1">IFERROR(__xludf.DUMMYFUNCTION("""COMPUTED_VALUE"""),2313902)</f>
        <v>2313902</v>
      </c>
      <c r="B2355" s="76" t="str">
        <f ca="1">IFERROR(__xludf.DUMMYFUNCTION("""COMPUTED_VALUE"""),"Пунин Антон Сергеевич")</f>
        <v>Пунин Антон Сергеевич</v>
      </c>
      <c r="C2355" s="75" t="str">
        <f ca="1">IFERROR(__xludf.DUMMYFUNCTION("""COMPUTED_VALUE"""),"Студент")</f>
        <v>Студент</v>
      </c>
    </row>
    <row r="2356" spans="1:3">
      <c r="A2356" s="76">
        <f ca="1">IFERROR(__xludf.DUMMYFUNCTION("""COMPUTED_VALUE"""),2313914)</f>
        <v>2313914</v>
      </c>
      <c r="B2356" s="76" t="str">
        <f ca="1">IFERROR(__xludf.DUMMYFUNCTION("""COMPUTED_VALUE"""),"Власова Владмира Андреевна")</f>
        <v>Власова Владмира Андреевна</v>
      </c>
      <c r="C2356" s="75" t="str">
        <f ca="1">IFERROR(__xludf.DUMMYFUNCTION("""COMPUTED_VALUE"""),"Студент")</f>
        <v>Студент</v>
      </c>
    </row>
    <row r="2357" spans="1:3">
      <c r="A2357" s="76">
        <f ca="1">IFERROR(__xludf.DUMMYFUNCTION("""COMPUTED_VALUE"""),2313916)</f>
        <v>2313916</v>
      </c>
      <c r="B2357" s="76" t="str">
        <f ca="1">IFERROR(__xludf.DUMMYFUNCTION("""COMPUTED_VALUE"""),"Головина Дарья Васильевна")</f>
        <v>Головина Дарья Васильевна</v>
      </c>
      <c r="C2357" s="75" t="str">
        <f ca="1">IFERROR(__xludf.DUMMYFUNCTION("""COMPUTED_VALUE"""),"Студент")</f>
        <v>Студент</v>
      </c>
    </row>
    <row r="2358" spans="1:3">
      <c r="A2358" s="76">
        <f ca="1">IFERROR(__xludf.DUMMYFUNCTION("""COMPUTED_VALUE"""),2313918)</f>
        <v>2313918</v>
      </c>
      <c r="B2358" s="76" t="str">
        <f ca="1">IFERROR(__xludf.DUMMYFUNCTION("""COMPUTED_VALUE"""),"Виноградов Андрей Васильевич")</f>
        <v>Виноградов Андрей Васильевич</v>
      </c>
      <c r="C2358" s="75" t="str">
        <f ca="1">IFERROR(__xludf.DUMMYFUNCTION("""COMPUTED_VALUE"""),"Студент")</f>
        <v>Студент</v>
      </c>
    </row>
    <row r="2359" spans="1:3">
      <c r="A2359" s="76">
        <f ca="1">IFERROR(__xludf.DUMMYFUNCTION("""COMPUTED_VALUE"""),2313922)</f>
        <v>2313922</v>
      </c>
      <c r="B2359" s="76" t="str">
        <f ca="1">IFERROR(__xludf.DUMMYFUNCTION("""COMPUTED_VALUE"""),"Лютоев Семён Алексеевич")</f>
        <v>Лютоев Семён Алексеевич</v>
      </c>
      <c r="C2359" s="75" t="str">
        <f ca="1">IFERROR(__xludf.DUMMYFUNCTION("""COMPUTED_VALUE"""),"Студент")</f>
        <v>Студент</v>
      </c>
    </row>
    <row r="2360" spans="1:3">
      <c r="A2360" s="76">
        <f ca="1">IFERROR(__xludf.DUMMYFUNCTION("""COMPUTED_VALUE"""),2313932)</f>
        <v>2313932</v>
      </c>
      <c r="B2360" s="76" t="str">
        <f ca="1">IFERROR(__xludf.DUMMYFUNCTION("""COMPUTED_VALUE"""),"Лукарина Алина Витальевна")</f>
        <v>Лукарина Алина Витальевна</v>
      </c>
      <c r="C2360" s="75" t="str">
        <f ca="1">IFERROR(__xludf.DUMMYFUNCTION("""COMPUTED_VALUE"""),"Студент")</f>
        <v>Студент</v>
      </c>
    </row>
    <row r="2361" spans="1:3">
      <c r="A2361" s="76">
        <f ca="1">IFERROR(__xludf.DUMMYFUNCTION("""COMPUTED_VALUE"""),2313933)</f>
        <v>2313933</v>
      </c>
      <c r="B2361" s="76" t="str">
        <f ca="1">IFERROR(__xludf.DUMMYFUNCTION("""COMPUTED_VALUE"""),"Агапова Екатерина Олеговна")</f>
        <v>Агапова Екатерина Олеговна</v>
      </c>
      <c r="C2361" s="75" t="str">
        <f ca="1">IFERROR(__xludf.DUMMYFUNCTION("""COMPUTED_VALUE"""),"Студент")</f>
        <v>Студент</v>
      </c>
    </row>
    <row r="2362" spans="1:3">
      <c r="A2362" s="76">
        <f ca="1">IFERROR(__xludf.DUMMYFUNCTION("""COMPUTED_VALUE"""),2313941)</f>
        <v>2313941</v>
      </c>
      <c r="B2362" s="76" t="str">
        <f ca="1">IFERROR(__xludf.DUMMYFUNCTION("""COMPUTED_VALUE"""),"Анисимов Александр Александрович")</f>
        <v>Анисимов Александр Александрович</v>
      </c>
      <c r="C2362" s="75" t="str">
        <f ca="1">IFERROR(__xludf.DUMMYFUNCTION("""COMPUTED_VALUE"""),"Студент")</f>
        <v>Студент</v>
      </c>
    </row>
    <row r="2363" spans="1:3">
      <c r="A2363" s="76">
        <f ca="1">IFERROR(__xludf.DUMMYFUNCTION("""COMPUTED_VALUE"""),2313944)</f>
        <v>2313944</v>
      </c>
      <c r="B2363" s="76" t="str">
        <f ca="1">IFERROR(__xludf.DUMMYFUNCTION("""COMPUTED_VALUE"""),"Мвангомбе Эммануел Мвазо")</f>
        <v>Мвангомбе Эммануел Мвазо</v>
      </c>
      <c r="C2363" s="75" t="str">
        <f ca="1">IFERROR(__xludf.DUMMYFUNCTION("""COMPUTED_VALUE"""),"Студент")</f>
        <v>Студент</v>
      </c>
    </row>
    <row r="2364" spans="1:3">
      <c r="A2364" s="76">
        <f ca="1">IFERROR(__xludf.DUMMYFUNCTION("""COMPUTED_VALUE"""),2313950)</f>
        <v>2313950</v>
      </c>
      <c r="B2364" s="76" t="str">
        <f ca="1">IFERROR(__xludf.DUMMYFUNCTION("""COMPUTED_VALUE"""),"Красников Егор Владимирович")</f>
        <v>Красников Егор Владимирович</v>
      </c>
      <c r="C2364" s="75" t="str">
        <f ca="1">IFERROR(__xludf.DUMMYFUNCTION("""COMPUTED_VALUE"""),"Студент")</f>
        <v>Студент</v>
      </c>
    </row>
    <row r="2365" spans="1:3">
      <c r="A2365" s="76">
        <f ca="1">IFERROR(__xludf.DUMMYFUNCTION("""COMPUTED_VALUE"""),2313958)</f>
        <v>2313958</v>
      </c>
      <c r="B2365" s="76" t="str">
        <f ca="1">IFERROR(__xludf.DUMMYFUNCTION("""COMPUTED_VALUE"""),"Ломова Валентина Евгеньевна")</f>
        <v>Ломова Валентина Евгеньевна</v>
      </c>
      <c r="C2365" s="75" t="str">
        <f ca="1">IFERROR(__xludf.DUMMYFUNCTION("""COMPUTED_VALUE"""),"Студент")</f>
        <v>Студент</v>
      </c>
    </row>
    <row r="2366" spans="1:3">
      <c r="A2366" s="76">
        <f ca="1">IFERROR(__xludf.DUMMYFUNCTION("""COMPUTED_VALUE"""),2313972)</f>
        <v>2313972</v>
      </c>
      <c r="B2366" s="76" t="str">
        <f ca="1">IFERROR(__xludf.DUMMYFUNCTION("""COMPUTED_VALUE"""),"Васин Ростислав Константинович")</f>
        <v>Васин Ростислав Константинович</v>
      </c>
      <c r="C2366" s="75" t="str">
        <f ca="1">IFERROR(__xludf.DUMMYFUNCTION("""COMPUTED_VALUE"""),"Студент")</f>
        <v>Студент</v>
      </c>
    </row>
    <row r="2367" spans="1:3">
      <c r="A2367" s="76">
        <f ca="1">IFERROR(__xludf.DUMMYFUNCTION("""COMPUTED_VALUE"""),2313975)</f>
        <v>2313975</v>
      </c>
      <c r="B2367" s="76" t="str">
        <f ca="1">IFERROR(__xludf.DUMMYFUNCTION("""COMPUTED_VALUE"""),"Митриченко Даниил Дмитриевич")</f>
        <v>Митриченко Даниил Дмитриевич</v>
      </c>
      <c r="C2367" s="75" t="str">
        <f ca="1">IFERROR(__xludf.DUMMYFUNCTION("""COMPUTED_VALUE"""),"Студент")</f>
        <v>Студент</v>
      </c>
    </row>
    <row r="2368" spans="1:3">
      <c r="A2368" s="76">
        <f ca="1">IFERROR(__xludf.DUMMYFUNCTION("""COMPUTED_VALUE"""),2313977)</f>
        <v>2313977</v>
      </c>
      <c r="B2368" s="76" t="str">
        <f ca="1">IFERROR(__xludf.DUMMYFUNCTION("""COMPUTED_VALUE"""),"Башаева Сибила Ризвановна")</f>
        <v>Башаева Сибила Ризвановна</v>
      </c>
      <c r="C2368" s="75" t="str">
        <f ca="1">IFERROR(__xludf.DUMMYFUNCTION("""COMPUTED_VALUE"""),"Студент")</f>
        <v>Студент</v>
      </c>
    </row>
    <row r="2369" spans="1:3">
      <c r="A2369" s="76">
        <f ca="1">IFERROR(__xludf.DUMMYFUNCTION("""COMPUTED_VALUE"""),2313981)</f>
        <v>2313981</v>
      </c>
      <c r="B2369" s="76" t="str">
        <f ca="1">IFERROR(__xludf.DUMMYFUNCTION("""COMPUTED_VALUE"""),"Зубарева Ульяна Валерьевна")</f>
        <v>Зубарева Ульяна Валерьевна</v>
      </c>
      <c r="C2369" s="75" t="str">
        <f ca="1">IFERROR(__xludf.DUMMYFUNCTION("""COMPUTED_VALUE"""),"Студент")</f>
        <v>Студент</v>
      </c>
    </row>
    <row r="2370" spans="1:3">
      <c r="A2370" s="76">
        <f ca="1">IFERROR(__xludf.DUMMYFUNCTION("""COMPUTED_VALUE"""),2313983)</f>
        <v>2313983</v>
      </c>
      <c r="B2370" s="76" t="str">
        <f ca="1">IFERROR(__xludf.DUMMYFUNCTION("""COMPUTED_VALUE"""),"Пячина Анастасия Максимовна")</f>
        <v>Пячина Анастасия Максимовна</v>
      </c>
      <c r="C2370" s="75" t="str">
        <f ca="1">IFERROR(__xludf.DUMMYFUNCTION("""COMPUTED_VALUE"""),"Студент")</f>
        <v>Студент</v>
      </c>
    </row>
    <row r="2371" spans="1:3">
      <c r="A2371" s="76">
        <f ca="1">IFERROR(__xludf.DUMMYFUNCTION("""COMPUTED_VALUE"""),2313993)</f>
        <v>2313993</v>
      </c>
      <c r="B2371" s="76" t="str">
        <f ca="1">IFERROR(__xludf.DUMMYFUNCTION("""COMPUTED_VALUE"""),"Абдуев Абухалид")</f>
        <v>Абдуев Абухалид</v>
      </c>
      <c r="C2371" s="75" t="str">
        <f ca="1">IFERROR(__xludf.DUMMYFUNCTION("""COMPUTED_VALUE"""),"Студент")</f>
        <v>Студент</v>
      </c>
    </row>
    <row r="2372" spans="1:3">
      <c r="A2372" s="76">
        <f ca="1">IFERROR(__xludf.DUMMYFUNCTION("""COMPUTED_VALUE"""),2313996)</f>
        <v>2313996</v>
      </c>
      <c r="B2372" s="76" t="str">
        <f ca="1">IFERROR(__xludf.DUMMYFUNCTION("""COMPUTED_VALUE"""),"Кузьмина Дарья Евгеньевна")</f>
        <v>Кузьмина Дарья Евгеньевна</v>
      </c>
      <c r="C2372" s="75" t="str">
        <f ca="1">IFERROR(__xludf.DUMMYFUNCTION("""COMPUTED_VALUE"""),"Студент")</f>
        <v>Студент</v>
      </c>
    </row>
    <row r="2373" spans="1:3">
      <c r="A2373" s="76">
        <f ca="1">IFERROR(__xludf.DUMMYFUNCTION("""COMPUTED_VALUE"""),2313997)</f>
        <v>2313997</v>
      </c>
      <c r="B2373" s="76" t="str">
        <f ca="1">IFERROR(__xludf.DUMMYFUNCTION("""COMPUTED_VALUE"""),"Еремин Егор Александрович")</f>
        <v>Еремин Егор Александрович</v>
      </c>
      <c r="C2373" s="75" t="str">
        <f ca="1">IFERROR(__xludf.DUMMYFUNCTION("""COMPUTED_VALUE"""),"Студент")</f>
        <v>Студент</v>
      </c>
    </row>
    <row r="2374" spans="1:3">
      <c r="A2374" s="76">
        <f ca="1">IFERROR(__xludf.DUMMYFUNCTION("""COMPUTED_VALUE"""),2314000)</f>
        <v>2314000</v>
      </c>
      <c r="B2374" s="76" t="str">
        <f ca="1">IFERROR(__xludf.DUMMYFUNCTION("""COMPUTED_VALUE"""),"Куровцев Антон Владимирович")</f>
        <v>Куровцев Антон Владимирович</v>
      </c>
      <c r="C2374" s="75" t="str">
        <f ca="1">IFERROR(__xludf.DUMMYFUNCTION("""COMPUTED_VALUE"""),"Студент")</f>
        <v>Студент</v>
      </c>
    </row>
    <row r="2375" spans="1:3">
      <c r="A2375" s="76">
        <f ca="1">IFERROR(__xludf.DUMMYFUNCTION("""COMPUTED_VALUE"""),2314004)</f>
        <v>2314004</v>
      </c>
      <c r="B2375" s="76" t="str">
        <f ca="1">IFERROR(__xludf.DUMMYFUNCTION("""COMPUTED_VALUE"""),"Баранов Егор Алексеевич")</f>
        <v>Баранов Егор Алексеевич</v>
      </c>
      <c r="C2375" s="75" t="str">
        <f ca="1">IFERROR(__xludf.DUMMYFUNCTION("""COMPUTED_VALUE"""),"Студент")</f>
        <v>Студент</v>
      </c>
    </row>
    <row r="2376" spans="1:3">
      <c r="A2376" s="76">
        <f ca="1">IFERROR(__xludf.DUMMYFUNCTION("""COMPUTED_VALUE"""),2314018)</f>
        <v>2314018</v>
      </c>
      <c r="B2376" s="76" t="str">
        <f ca="1">IFERROR(__xludf.DUMMYFUNCTION("""COMPUTED_VALUE"""),"Кононова Светлана Владимировна")</f>
        <v>Кононова Светлана Владимировна</v>
      </c>
      <c r="C2376" s="75" t="str">
        <f ca="1">IFERROR(__xludf.DUMMYFUNCTION("""COMPUTED_VALUE"""),"Студент")</f>
        <v>Студент</v>
      </c>
    </row>
    <row r="2377" spans="1:3">
      <c r="A2377" s="76">
        <f ca="1">IFERROR(__xludf.DUMMYFUNCTION("""COMPUTED_VALUE"""),2314030)</f>
        <v>2314030</v>
      </c>
      <c r="B2377" s="76" t="str">
        <f ca="1">IFERROR(__xludf.DUMMYFUNCTION("""COMPUTED_VALUE"""),"Венедиктова Валерия Сергеевна")</f>
        <v>Венедиктова Валерия Сергеевна</v>
      </c>
      <c r="C2377" s="75" t="str">
        <f ca="1">IFERROR(__xludf.DUMMYFUNCTION("""COMPUTED_VALUE"""),"Студент")</f>
        <v>Студент</v>
      </c>
    </row>
    <row r="2378" spans="1:3">
      <c r="A2378" s="76">
        <f ca="1">IFERROR(__xludf.DUMMYFUNCTION("""COMPUTED_VALUE"""),2314035)</f>
        <v>2314035</v>
      </c>
      <c r="B2378" s="76" t="str">
        <f ca="1">IFERROR(__xludf.DUMMYFUNCTION("""COMPUTED_VALUE"""),"Мадалиев Мухаммадсидик Додохонович")</f>
        <v>Мадалиев Мухаммадсидик Додохонович</v>
      </c>
      <c r="C2378" s="75" t="str">
        <f ca="1">IFERROR(__xludf.DUMMYFUNCTION("""COMPUTED_VALUE"""),"Студент")</f>
        <v>Студент</v>
      </c>
    </row>
    <row r="2379" spans="1:3">
      <c r="A2379" s="76">
        <f ca="1">IFERROR(__xludf.DUMMYFUNCTION("""COMPUTED_VALUE"""),2314039)</f>
        <v>2314039</v>
      </c>
      <c r="B2379" s="76" t="str">
        <f ca="1">IFERROR(__xludf.DUMMYFUNCTION("""COMPUTED_VALUE"""),"Беков Жахонгир Фуркатович")</f>
        <v>Беков Жахонгир Фуркатович</v>
      </c>
      <c r="C2379" s="75" t="str">
        <f ca="1">IFERROR(__xludf.DUMMYFUNCTION("""COMPUTED_VALUE"""),"Студент")</f>
        <v>Студент</v>
      </c>
    </row>
    <row r="2380" spans="1:3">
      <c r="A2380" s="76">
        <f ca="1">IFERROR(__xludf.DUMMYFUNCTION("""COMPUTED_VALUE"""),2314042)</f>
        <v>2314042</v>
      </c>
      <c r="B2380" s="76" t="str">
        <f ca="1">IFERROR(__xludf.DUMMYFUNCTION("""COMPUTED_VALUE"""),"Бережной Сергей Константинович")</f>
        <v>Бережной Сергей Константинович</v>
      </c>
      <c r="C2380" s="75" t="str">
        <f ca="1">IFERROR(__xludf.DUMMYFUNCTION("""COMPUTED_VALUE"""),"Студент")</f>
        <v>Студент</v>
      </c>
    </row>
    <row r="2381" spans="1:3">
      <c r="A2381" s="76">
        <f ca="1">IFERROR(__xludf.DUMMYFUNCTION("""COMPUTED_VALUE"""),2314043)</f>
        <v>2314043</v>
      </c>
      <c r="B2381" s="76" t="str">
        <f ca="1">IFERROR(__xludf.DUMMYFUNCTION("""COMPUTED_VALUE"""),"Белоусов Андрей Юрьевич")</f>
        <v>Белоусов Андрей Юрьевич</v>
      </c>
      <c r="C2381" s="75" t="str">
        <f ca="1">IFERROR(__xludf.DUMMYFUNCTION("""COMPUTED_VALUE"""),"Студент")</f>
        <v>Студент</v>
      </c>
    </row>
    <row r="2382" spans="1:3">
      <c r="A2382" s="76">
        <f ca="1">IFERROR(__xludf.DUMMYFUNCTION("""COMPUTED_VALUE"""),2314059)</f>
        <v>2314059</v>
      </c>
      <c r="B2382" s="76" t="str">
        <f ca="1">IFERROR(__xludf.DUMMYFUNCTION("""COMPUTED_VALUE"""),"Филимонов Максим Олегович")</f>
        <v>Филимонов Максим Олегович</v>
      </c>
      <c r="C2382" s="75" t="str">
        <f ca="1">IFERROR(__xludf.DUMMYFUNCTION("""COMPUTED_VALUE"""),"Студент")</f>
        <v>Студент</v>
      </c>
    </row>
    <row r="2383" spans="1:3">
      <c r="A2383" s="76">
        <f ca="1">IFERROR(__xludf.DUMMYFUNCTION("""COMPUTED_VALUE"""),2314060)</f>
        <v>2314060</v>
      </c>
      <c r="B2383" s="76" t="str">
        <f ca="1">IFERROR(__xludf.DUMMYFUNCTION("""COMPUTED_VALUE"""),"Злобина Анна Валерьевна")</f>
        <v>Злобина Анна Валерьевна</v>
      </c>
      <c r="C2383" s="75" t="str">
        <f ca="1">IFERROR(__xludf.DUMMYFUNCTION("""COMPUTED_VALUE"""),"Студент")</f>
        <v>Студент</v>
      </c>
    </row>
    <row r="2384" spans="1:3">
      <c r="A2384" s="76">
        <f ca="1">IFERROR(__xludf.DUMMYFUNCTION("""COMPUTED_VALUE"""),2314064)</f>
        <v>2314064</v>
      </c>
      <c r="B2384" s="76" t="str">
        <f ca="1">IFERROR(__xludf.DUMMYFUNCTION("""COMPUTED_VALUE"""),"Игумнов Дмитрий Андреевич")</f>
        <v>Игумнов Дмитрий Андреевич</v>
      </c>
      <c r="C2384" s="75" t="str">
        <f ca="1">IFERROR(__xludf.DUMMYFUNCTION("""COMPUTED_VALUE"""),"Студент")</f>
        <v>Студент</v>
      </c>
    </row>
    <row r="2385" spans="1:3">
      <c r="A2385" s="76">
        <f ca="1">IFERROR(__xludf.DUMMYFUNCTION("""COMPUTED_VALUE"""),2314066)</f>
        <v>2314066</v>
      </c>
      <c r="B2385" s="76" t="str">
        <f ca="1">IFERROR(__xludf.DUMMYFUNCTION("""COMPUTED_VALUE"""),"Красильников Иван Юрьевич")</f>
        <v>Красильников Иван Юрьевич</v>
      </c>
      <c r="C2385" s="75" t="str">
        <f ca="1">IFERROR(__xludf.DUMMYFUNCTION("""COMPUTED_VALUE"""),"Студент")</f>
        <v>Студент</v>
      </c>
    </row>
    <row r="2386" spans="1:3">
      <c r="A2386" s="76">
        <f ca="1">IFERROR(__xludf.DUMMYFUNCTION("""COMPUTED_VALUE"""),2314069)</f>
        <v>2314069</v>
      </c>
      <c r="B2386" s="76" t="str">
        <f ca="1">IFERROR(__xludf.DUMMYFUNCTION("""COMPUTED_VALUE"""),"Апатченко Александр Алексеевич")</f>
        <v>Апатченко Александр Алексеевич</v>
      </c>
      <c r="C2386" s="75" t="str">
        <f ca="1">IFERROR(__xludf.DUMMYFUNCTION("""COMPUTED_VALUE"""),"Студент")</f>
        <v>Студент</v>
      </c>
    </row>
    <row r="2387" spans="1:3">
      <c r="A2387" s="76">
        <f ca="1">IFERROR(__xludf.DUMMYFUNCTION("""COMPUTED_VALUE"""),2314076)</f>
        <v>2314076</v>
      </c>
      <c r="B2387" s="76" t="str">
        <f ca="1">IFERROR(__xludf.DUMMYFUNCTION("""COMPUTED_VALUE"""),"Никонова Диана Игоревна")</f>
        <v>Никонова Диана Игоревна</v>
      </c>
      <c r="C2387" s="75" t="str">
        <f ca="1">IFERROR(__xludf.DUMMYFUNCTION("""COMPUTED_VALUE"""),"Студент")</f>
        <v>Студент</v>
      </c>
    </row>
    <row r="2388" spans="1:3">
      <c r="A2388" s="76">
        <f ca="1">IFERROR(__xludf.DUMMYFUNCTION("""COMPUTED_VALUE"""),2314111)</f>
        <v>2314111</v>
      </c>
      <c r="B2388" s="76" t="str">
        <f ca="1">IFERROR(__xludf.DUMMYFUNCTION("""COMPUTED_VALUE"""),"Череп Екатерина Игоревна")</f>
        <v>Череп Екатерина Игоревна</v>
      </c>
      <c r="C2388" s="75" t="str">
        <f ca="1">IFERROR(__xludf.DUMMYFUNCTION("""COMPUTED_VALUE"""),"Студент")</f>
        <v>Студент</v>
      </c>
    </row>
    <row r="2389" spans="1:3">
      <c r="A2389" s="76">
        <f ca="1">IFERROR(__xludf.DUMMYFUNCTION("""COMPUTED_VALUE"""),2314159)</f>
        <v>2314159</v>
      </c>
      <c r="B2389" s="76" t="str">
        <f ca="1">IFERROR(__xludf.DUMMYFUNCTION("""COMPUTED_VALUE"""),"Шаталов Иван Романович")</f>
        <v>Шаталов Иван Романович</v>
      </c>
      <c r="C2389" s="75" t="str">
        <f ca="1">IFERROR(__xludf.DUMMYFUNCTION("""COMPUTED_VALUE"""),"Студент")</f>
        <v>Студент</v>
      </c>
    </row>
    <row r="2390" spans="1:3">
      <c r="A2390" s="76">
        <f ca="1">IFERROR(__xludf.DUMMYFUNCTION("""COMPUTED_VALUE"""),2314160)</f>
        <v>2314160</v>
      </c>
      <c r="B2390" s="76" t="str">
        <f ca="1">IFERROR(__xludf.DUMMYFUNCTION("""COMPUTED_VALUE"""),"Мустафин Александр Наилевич")</f>
        <v>Мустафин Александр Наилевич</v>
      </c>
      <c r="C2390" s="75" t="str">
        <f ca="1">IFERROR(__xludf.DUMMYFUNCTION("""COMPUTED_VALUE"""),"Студент")</f>
        <v>Студент</v>
      </c>
    </row>
    <row r="2391" spans="1:3">
      <c r="A2391" s="76">
        <f ca="1">IFERROR(__xludf.DUMMYFUNCTION("""COMPUTED_VALUE"""),2314171)</f>
        <v>2314171</v>
      </c>
      <c r="B2391" s="76" t="str">
        <f ca="1">IFERROR(__xludf.DUMMYFUNCTION("""COMPUTED_VALUE"""),"Ермолин Вадим Михайлович")</f>
        <v>Ермолин Вадим Михайлович</v>
      </c>
      <c r="C2391" s="75" t="str">
        <f ca="1">IFERROR(__xludf.DUMMYFUNCTION("""COMPUTED_VALUE"""),"Студент")</f>
        <v>Студент</v>
      </c>
    </row>
    <row r="2392" spans="1:3">
      <c r="A2392" s="76">
        <f ca="1">IFERROR(__xludf.DUMMYFUNCTION("""COMPUTED_VALUE"""),2314183)</f>
        <v>2314183</v>
      </c>
      <c r="B2392" s="76" t="str">
        <f ca="1">IFERROR(__xludf.DUMMYFUNCTION("""COMPUTED_VALUE"""),"Четвериков Сергей Геннадьевич")</f>
        <v>Четвериков Сергей Геннадьевич</v>
      </c>
      <c r="C2392" s="75" t="str">
        <f ca="1">IFERROR(__xludf.DUMMYFUNCTION("""COMPUTED_VALUE"""),"Студент")</f>
        <v>Студент</v>
      </c>
    </row>
    <row r="2393" spans="1:3">
      <c r="A2393" s="76">
        <f ca="1">IFERROR(__xludf.DUMMYFUNCTION("""COMPUTED_VALUE"""),2314210)</f>
        <v>2314210</v>
      </c>
      <c r="B2393" s="76" t="str">
        <f ca="1">IFERROR(__xludf.DUMMYFUNCTION("""COMPUTED_VALUE"""),"Ахмедов Нодирбек Абдурашид Угли")</f>
        <v>Ахмедов Нодирбек Абдурашид Угли</v>
      </c>
      <c r="C2393" s="75" t="str">
        <f ca="1">IFERROR(__xludf.DUMMYFUNCTION("""COMPUTED_VALUE"""),"Студент")</f>
        <v>Студент</v>
      </c>
    </row>
    <row r="2394" spans="1:3">
      <c r="A2394" s="76">
        <f ca="1">IFERROR(__xludf.DUMMYFUNCTION("""COMPUTED_VALUE"""),2314211)</f>
        <v>2314211</v>
      </c>
      <c r="B2394" s="76" t="str">
        <f ca="1">IFERROR(__xludf.DUMMYFUNCTION("""COMPUTED_VALUE"""),"Искаков Асет Жароллович")</f>
        <v>Искаков Асет Жароллович</v>
      </c>
      <c r="C2394" s="75" t="str">
        <f ca="1">IFERROR(__xludf.DUMMYFUNCTION("""COMPUTED_VALUE"""),"Студент")</f>
        <v>Студент</v>
      </c>
    </row>
    <row r="2395" spans="1:3">
      <c r="A2395" s="76">
        <f ca="1">IFERROR(__xludf.DUMMYFUNCTION("""COMPUTED_VALUE"""),2314225)</f>
        <v>2314225</v>
      </c>
      <c r="B2395" s="76" t="str">
        <f ca="1">IFERROR(__xludf.DUMMYFUNCTION("""COMPUTED_VALUE"""),"Акманов Андрей Рустемович")</f>
        <v>Акманов Андрей Рустемович</v>
      </c>
      <c r="C2395" s="75" t="str">
        <f ca="1">IFERROR(__xludf.DUMMYFUNCTION("""COMPUTED_VALUE"""),"Студент")</f>
        <v>Студент</v>
      </c>
    </row>
    <row r="2396" spans="1:3">
      <c r="A2396" s="76">
        <f ca="1">IFERROR(__xludf.DUMMYFUNCTION("""COMPUTED_VALUE"""),2314233)</f>
        <v>2314233</v>
      </c>
      <c r="B2396" s="76" t="str">
        <f ca="1">IFERROR(__xludf.DUMMYFUNCTION("""COMPUTED_VALUE"""),"Алферов Арсений Олегович")</f>
        <v>Алферов Арсений Олегович</v>
      </c>
      <c r="C2396" s="75" t="str">
        <f ca="1">IFERROR(__xludf.DUMMYFUNCTION("""COMPUTED_VALUE"""),"Студент")</f>
        <v>Студент</v>
      </c>
    </row>
    <row r="2397" spans="1:3">
      <c r="A2397" s="76">
        <f ca="1">IFERROR(__xludf.DUMMYFUNCTION("""COMPUTED_VALUE"""),2314244)</f>
        <v>2314244</v>
      </c>
      <c r="B2397" s="76" t="str">
        <f ca="1">IFERROR(__xludf.DUMMYFUNCTION("""COMPUTED_VALUE"""),"Бородин Александр Андреевич")</f>
        <v>Бородин Александр Андреевич</v>
      </c>
      <c r="C2397" s="75" t="str">
        <f ca="1">IFERROR(__xludf.DUMMYFUNCTION("""COMPUTED_VALUE"""),"Студент")</f>
        <v>Студент</v>
      </c>
    </row>
    <row r="2398" spans="1:3">
      <c r="A2398" s="76">
        <f ca="1">IFERROR(__xludf.DUMMYFUNCTION("""COMPUTED_VALUE"""),2314246)</f>
        <v>2314246</v>
      </c>
      <c r="B2398" s="76" t="str">
        <f ca="1">IFERROR(__xludf.DUMMYFUNCTION("""COMPUTED_VALUE"""),"Пащенко Сергей Витальевич")</f>
        <v>Пащенко Сергей Витальевич</v>
      </c>
      <c r="C2398" s="75" t="str">
        <f ca="1">IFERROR(__xludf.DUMMYFUNCTION("""COMPUTED_VALUE"""),"Студент")</f>
        <v>Студент</v>
      </c>
    </row>
    <row r="2399" spans="1:3">
      <c r="A2399" s="76">
        <f ca="1">IFERROR(__xludf.DUMMYFUNCTION("""COMPUTED_VALUE"""),2314252)</f>
        <v>2314252</v>
      </c>
      <c r="B2399" s="76" t="str">
        <f ca="1">IFERROR(__xludf.DUMMYFUNCTION("""COMPUTED_VALUE"""),"Паршин Егор Алексеевич")</f>
        <v>Паршин Егор Алексеевич</v>
      </c>
      <c r="C2399" s="75" t="str">
        <f ca="1">IFERROR(__xludf.DUMMYFUNCTION("""COMPUTED_VALUE"""),"Студент")</f>
        <v>Студент</v>
      </c>
    </row>
    <row r="2400" spans="1:3">
      <c r="A2400" s="76">
        <f ca="1">IFERROR(__xludf.DUMMYFUNCTION("""COMPUTED_VALUE"""),2314258)</f>
        <v>2314258</v>
      </c>
      <c r="B2400" s="76" t="str">
        <f ca="1">IFERROR(__xludf.DUMMYFUNCTION("""COMPUTED_VALUE"""),"Сорокин Дмитрий Игоревич")</f>
        <v>Сорокин Дмитрий Игоревич</v>
      </c>
      <c r="C2400" s="75" t="str">
        <f ca="1">IFERROR(__xludf.DUMMYFUNCTION("""COMPUTED_VALUE"""),"Студент")</f>
        <v>Студент</v>
      </c>
    </row>
    <row r="2401" spans="1:3">
      <c r="A2401" s="76">
        <f ca="1">IFERROR(__xludf.DUMMYFUNCTION("""COMPUTED_VALUE"""),2314259)</f>
        <v>2314259</v>
      </c>
      <c r="B2401" s="76" t="str">
        <f ca="1">IFERROR(__xludf.DUMMYFUNCTION("""COMPUTED_VALUE"""),"Артамонов Антон Андреевич")</f>
        <v>Артамонов Антон Андреевич</v>
      </c>
      <c r="C2401" s="75" t="str">
        <f ca="1">IFERROR(__xludf.DUMMYFUNCTION("""COMPUTED_VALUE"""),"Студент")</f>
        <v>Студент</v>
      </c>
    </row>
    <row r="2402" spans="1:3">
      <c r="A2402" s="76">
        <f ca="1">IFERROR(__xludf.DUMMYFUNCTION("""COMPUTED_VALUE"""),2314262)</f>
        <v>2314262</v>
      </c>
      <c r="B2402" s="76" t="str">
        <f ca="1">IFERROR(__xludf.DUMMYFUNCTION("""COMPUTED_VALUE"""),"Лойко Антон Геннадьевич")</f>
        <v>Лойко Антон Геннадьевич</v>
      </c>
      <c r="C2402" s="75" t="str">
        <f ca="1">IFERROR(__xludf.DUMMYFUNCTION("""COMPUTED_VALUE"""),"Студент")</f>
        <v>Студент</v>
      </c>
    </row>
    <row r="2403" spans="1:3">
      <c r="A2403" s="76">
        <f ca="1">IFERROR(__xludf.DUMMYFUNCTION("""COMPUTED_VALUE"""),2314264)</f>
        <v>2314264</v>
      </c>
      <c r="B2403" s="76" t="str">
        <f ca="1">IFERROR(__xludf.DUMMYFUNCTION("""COMPUTED_VALUE"""),"Веревкин Василий Михайлович")</f>
        <v>Веревкин Василий Михайлович</v>
      </c>
      <c r="C2403" s="75" t="str">
        <f ca="1">IFERROR(__xludf.DUMMYFUNCTION("""COMPUTED_VALUE"""),"Студент")</f>
        <v>Студент</v>
      </c>
    </row>
    <row r="2404" spans="1:3">
      <c r="A2404" s="76">
        <f ca="1">IFERROR(__xludf.DUMMYFUNCTION("""COMPUTED_VALUE"""),2314266)</f>
        <v>2314266</v>
      </c>
      <c r="B2404" s="76" t="str">
        <f ca="1">IFERROR(__xludf.DUMMYFUNCTION("""COMPUTED_VALUE"""),"Козлов Сергей Александрович")</f>
        <v>Козлов Сергей Александрович</v>
      </c>
      <c r="C2404" s="75" t="str">
        <f ca="1">IFERROR(__xludf.DUMMYFUNCTION("""COMPUTED_VALUE"""),"Студент")</f>
        <v>Студент</v>
      </c>
    </row>
    <row r="2405" spans="1:3">
      <c r="A2405" s="76">
        <f ca="1">IFERROR(__xludf.DUMMYFUNCTION("""COMPUTED_VALUE"""),2314269)</f>
        <v>2314269</v>
      </c>
      <c r="B2405" s="76" t="str">
        <f ca="1">IFERROR(__xludf.DUMMYFUNCTION("""COMPUTED_VALUE"""),"Тагильцев Михаил Юрьевич")</f>
        <v>Тагильцев Михаил Юрьевич</v>
      </c>
      <c r="C2405" s="75" t="str">
        <f ca="1">IFERROR(__xludf.DUMMYFUNCTION("""COMPUTED_VALUE"""),"Студент")</f>
        <v>Студент</v>
      </c>
    </row>
    <row r="2406" spans="1:3">
      <c r="A2406" s="76">
        <f ca="1">IFERROR(__xludf.DUMMYFUNCTION("""COMPUTED_VALUE"""),2314271)</f>
        <v>2314271</v>
      </c>
      <c r="B2406" s="76" t="str">
        <f ca="1">IFERROR(__xludf.DUMMYFUNCTION("""COMPUTED_VALUE"""),"Асланян Дмитрий Вадимович")</f>
        <v>Асланян Дмитрий Вадимович</v>
      </c>
      <c r="C2406" s="75" t="str">
        <f ca="1">IFERROR(__xludf.DUMMYFUNCTION("""COMPUTED_VALUE"""),"Студент")</f>
        <v>Студент</v>
      </c>
    </row>
    <row r="2407" spans="1:3">
      <c r="A2407" s="76">
        <f ca="1">IFERROR(__xludf.DUMMYFUNCTION("""COMPUTED_VALUE"""),2314273)</f>
        <v>2314273</v>
      </c>
      <c r="B2407" s="76" t="str">
        <f ca="1">IFERROR(__xludf.DUMMYFUNCTION("""COMPUTED_VALUE"""),"Исмаилов Кудратбек Кахраман Угли")</f>
        <v>Исмаилов Кудратбек Кахраман Угли</v>
      </c>
      <c r="C2407" s="75" t="str">
        <f ca="1">IFERROR(__xludf.DUMMYFUNCTION("""COMPUTED_VALUE"""),"Студент")</f>
        <v>Студент</v>
      </c>
    </row>
    <row r="2408" spans="1:3">
      <c r="A2408" s="76">
        <f ca="1">IFERROR(__xludf.DUMMYFUNCTION("""COMPUTED_VALUE"""),2314275)</f>
        <v>2314275</v>
      </c>
      <c r="B2408" s="76" t="str">
        <f ca="1">IFERROR(__xludf.DUMMYFUNCTION("""COMPUTED_VALUE"""),"Мальцев Денис Сергеевич")</f>
        <v>Мальцев Денис Сергеевич</v>
      </c>
      <c r="C2408" s="75" t="str">
        <f ca="1">IFERROR(__xludf.DUMMYFUNCTION("""COMPUTED_VALUE"""),"Студент")</f>
        <v>Студент</v>
      </c>
    </row>
    <row r="2409" spans="1:3">
      <c r="A2409" s="76">
        <f ca="1">IFERROR(__xludf.DUMMYFUNCTION("""COMPUTED_VALUE"""),2314286)</f>
        <v>2314286</v>
      </c>
      <c r="B2409" s="76" t="str">
        <f ca="1">IFERROR(__xludf.DUMMYFUNCTION("""COMPUTED_VALUE"""),"Яковлев Андрей Валерьевич")</f>
        <v>Яковлев Андрей Валерьевич</v>
      </c>
      <c r="C2409" s="75" t="str">
        <f ca="1">IFERROR(__xludf.DUMMYFUNCTION("""COMPUTED_VALUE"""),"Студент")</f>
        <v>Студент</v>
      </c>
    </row>
    <row r="2410" spans="1:3">
      <c r="A2410" s="76">
        <f ca="1">IFERROR(__xludf.DUMMYFUNCTION("""COMPUTED_VALUE"""),2314289)</f>
        <v>2314289</v>
      </c>
      <c r="B2410" s="76" t="str">
        <f ca="1">IFERROR(__xludf.DUMMYFUNCTION("""COMPUTED_VALUE"""),"Дергалов Олег Михайлович")</f>
        <v>Дергалов Олег Михайлович</v>
      </c>
      <c r="C2410" s="75" t="str">
        <f ca="1">IFERROR(__xludf.DUMMYFUNCTION("""COMPUTED_VALUE"""),"Студент")</f>
        <v>Студент</v>
      </c>
    </row>
    <row r="2411" spans="1:3">
      <c r="A2411" s="76">
        <f ca="1">IFERROR(__xludf.DUMMYFUNCTION("""COMPUTED_VALUE"""),2314295)</f>
        <v>2314295</v>
      </c>
      <c r="B2411" s="76" t="str">
        <f ca="1">IFERROR(__xludf.DUMMYFUNCTION("""COMPUTED_VALUE"""),"Милкин Максим Алексеевич")</f>
        <v>Милкин Максим Алексеевич</v>
      </c>
      <c r="C2411" s="75" t="str">
        <f ca="1">IFERROR(__xludf.DUMMYFUNCTION("""COMPUTED_VALUE"""),"Студент")</f>
        <v>Студент</v>
      </c>
    </row>
    <row r="2412" spans="1:3">
      <c r="A2412" s="76">
        <f ca="1">IFERROR(__xludf.DUMMYFUNCTION("""COMPUTED_VALUE"""),2314299)</f>
        <v>2314299</v>
      </c>
      <c r="B2412" s="76" t="str">
        <f ca="1">IFERROR(__xludf.DUMMYFUNCTION("""COMPUTED_VALUE"""),"Беляков Кирилл Валерьевич")</f>
        <v>Беляков Кирилл Валерьевич</v>
      </c>
      <c r="C2412" s="75" t="str">
        <f ca="1">IFERROR(__xludf.DUMMYFUNCTION("""COMPUTED_VALUE"""),"Студент")</f>
        <v>Студент</v>
      </c>
    </row>
    <row r="2413" spans="1:3">
      <c r="A2413" s="76">
        <f ca="1">IFERROR(__xludf.DUMMYFUNCTION("""COMPUTED_VALUE"""),2314305)</f>
        <v>2314305</v>
      </c>
      <c r="B2413" s="76" t="str">
        <f ca="1">IFERROR(__xludf.DUMMYFUNCTION("""COMPUTED_VALUE"""),"Кудинов Ярослав Олегович")</f>
        <v>Кудинов Ярослав Олегович</v>
      </c>
      <c r="C2413" s="75" t="str">
        <f ca="1">IFERROR(__xludf.DUMMYFUNCTION("""COMPUTED_VALUE"""),"Студент")</f>
        <v>Студент</v>
      </c>
    </row>
    <row r="2414" spans="1:3">
      <c r="A2414" s="76">
        <f ca="1">IFERROR(__xludf.DUMMYFUNCTION("""COMPUTED_VALUE"""),2314311)</f>
        <v>2314311</v>
      </c>
      <c r="B2414" s="76" t="str">
        <f ca="1">IFERROR(__xludf.DUMMYFUNCTION("""COMPUTED_VALUE"""),"Самолдина Татьяна Валерьевна")</f>
        <v>Самолдина Татьяна Валерьевна</v>
      </c>
      <c r="C2414" s="75" t="str">
        <f ca="1">IFERROR(__xludf.DUMMYFUNCTION("""COMPUTED_VALUE"""),"Студент")</f>
        <v>Студент</v>
      </c>
    </row>
    <row r="2415" spans="1:3">
      <c r="A2415" s="76">
        <f ca="1">IFERROR(__xludf.DUMMYFUNCTION("""COMPUTED_VALUE"""),2314313)</f>
        <v>2314313</v>
      </c>
      <c r="B2415" s="76" t="str">
        <f ca="1">IFERROR(__xludf.DUMMYFUNCTION("""COMPUTED_VALUE"""),"Фролов Сергей Алексеевич")</f>
        <v>Фролов Сергей Алексеевич</v>
      </c>
      <c r="C2415" s="75" t="str">
        <f ca="1">IFERROR(__xludf.DUMMYFUNCTION("""COMPUTED_VALUE"""),"Студент")</f>
        <v>Студент</v>
      </c>
    </row>
    <row r="2416" spans="1:3">
      <c r="A2416" s="76">
        <f ca="1">IFERROR(__xludf.DUMMYFUNCTION("""COMPUTED_VALUE"""),2314322)</f>
        <v>2314322</v>
      </c>
      <c r="B2416" s="76" t="str">
        <f ca="1">IFERROR(__xludf.DUMMYFUNCTION("""COMPUTED_VALUE"""),"Жусуева Айназик Рашитовна")</f>
        <v>Жусуева Айназик Рашитовна</v>
      </c>
      <c r="C2416" s="75" t="str">
        <f ca="1">IFERROR(__xludf.DUMMYFUNCTION("""COMPUTED_VALUE"""),"Студент")</f>
        <v>Студент</v>
      </c>
    </row>
    <row r="2417" spans="1:3">
      <c r="A2417" s="76">
        <f ca="1">IFERROR(__xludf.DUMMYFUNCTION("""COMPUTED_VALUE"""),2314323)</f>
        <v>2314323</v>
      </c>
      <c r="B2417" s="76" t="str">
        <f ca="1">IFERROR(__xludf.DUMMYFUNCTION("""COMPUTED_VALUE"""),"Стронов Максим Витальевич")</f>
        <v>Стронов Максим Витальевич</v>
      </c>
      <c r="C2417" s="75" t="str">
        <f ca="1">IFERROR(__xludf.DUMMYFUNCTION("""COMPUTED_VALUE"""),"Студент")</f>
        <v>Студент</v>
      </c>
    </row>
    <row r="2418" spans="1:3">
      <c r="A2418" s="76">
        <f ca="1">IFERROR(__xludf.DUMMYFUNCTION("""COMPUTED_VALUE"""),2314324)</f>
        <v>2314324</v>
      </c>
      <c r="B2418" s="76" t="str">
        <f ca="1">IFERROR(__xludf.DUMMYFUNCTION("""COMPUTED_VALUE"""),"Белобров Антон Владимирович")</f>
        <v>Белобров Антон Владимирович</v>
      </c>
      <c r="C2418" s="75" t="str">
        <f ca="1">IFERROR(__xludf.DUMMYFUNCTION("""COMPUTED_VALUE"""),"Студент")</f>
        <v>Студент</v>
      </c>
    </row>
    <row r="2419" spans="1:3">
      <c r="A2419" s="76">
        <f ca="1">IFERROR(__xludf.DUMMYFUNCTION("""COMPUTED_VALUE"""),2314325)</f>
        <v>2314325</v>
      </c>
      <c r="B2419" s="76" t="str">
        <f ca="1">IFERROR(__xludf.DUMMYFUNCTION("""COMPUTED_VALUE"""),"Байкина Татьяна Валерьевна")</f>
        <v>Байкина Татьяна Валерьевна</v>
      </c>
      <c r="C2419" s="75" t="str">
        <f ca="1">IFERROR(__xludf.DUMMYFUNCTION("""COMPUTED_VALUE"""),"Студент")</f>
        <v>Студент</v>
      </c>
    </row>
    <row r="2420" spans="1:3">
      <c r="A2420" s="76">
        <f ca="1">IFERROR(__xludf.DUMMYFUNCTION("""COMPUTED_VALUE"""),2314326)</f>
        <v>2314326</v>
      </c>
      <c r="B2420" s="76" t="str">
        <f ca="1">IFERROR(__xludf.DUMMYFUNCTION("""COMPUTED_VALUE"""),"Попов Александр Сергеевич")</f>
        <v>Попов Александр Сергеевич</v>
      </c>
      <c r="C2420" s="75" t="str">
        <f ca="1">IFERROR(__xludf.DUMMYFUNCTION("""COMPUTED_VALUE"""),"Студент")</f>
        <v>Студент</v>
      </c>
    </row>
    <row r="2421" spans="1:3">
      <c r="A2421" s="76">
        <f ca="1">IFERROR(__xludf.DUMMYFUNCTION("""COMPUTED_VALUE"""),2314328)</f>
        <v>2314328</v>
      </c>
      <c r="B2421" s="76" t="str">
        <f ca="1">IFERROR(__xludf.DUMMYFUNCTION("""COMPUTED_VALUE"""),"Богданов Данила Александрович")</f>
        <v>Богданов Данила Александрович</v>
      </c>
      <c r="C2421" s="75" t="str">
        <f ca="1">IFERROR(__xludf.DUMMYFUNCTION("""COMPUTED_VALUE"""),"Студент")</f>
        <v>Студент</v>
      </c>
    </row>
    <row r="2422" spans="1:3">
      <c r="A2422" s="76">
        <f ca="1">IFERROR(__xludf.DUMMYFUNCTION("""COMPUTED_VALUE"""),2314330)</f>
        <v>2314330</v>
      </c>
      <c r="B2422" s="76" t="str">
        <f ca="1">IFERROR(__xludf.DUMMYFUNCTION("""COMPUTED_VALUE"""),"Моматюк Александр Александрович")</f>
        <v>Моматюк Александр Александрович</v>
      </c>
      <c r="C2422" s="75" t="str">
        <f ca="1">IFERROR(__xludf.DUMMYFUNCTION("""COMPUTED_VALUE"""),"Студент")</f>
        <v>Студент</v>
      </c>
    </row>
    <row r="2423" spans="1:3">
      <c r="A2423" s="76">
        <f ca="1">IFERROR(__xludf.DUMMYFUNCTION("""COMPUTED_VALUE"""),2314333)</f>
        <v>2314333</v>
      </c>
      <c r="B2423" s="76" t="str">
        <f ca="1">IFERROR(__xludf.DUMMYFUNCTION("""COMPUTED_VALUE"""),"Смирнов Денис Андреевич")</f>
        <v>Смирнов Денис Андреевич</v>
      </c>
      <c r="C2423" s="75" t="str">
        <f ca="1">IFERROR(__xludf.DUMMYFUNCTION("""COMPUTED_VALUE"""),"Студент")</f>
        <v>Студент</v>
      </c>
    </row>
    <row r="2424" spans="1:3">
      <c r="A2424" s="76">
        <f ca="1">IFERROR(__xludf.DUMMYFUNCTION("""COMPUTED_VALUE"""),2314336)</f>
        <v>2314336</v>
      </c>
      <c r="B2424" s="76" t="str">
        <f ca="1">IFERROR(__xludf.DUMMYFUNCTION("""COMPUTED_VALUE"""),"Киселев Дмитрий Александрович")</f>
        <v>Киселев Дмитрий Александрович</v>
      </c>
      <c r="C2424" s="75" t="str">
        <f ca="1">IFERROR(__xludf.DUMMYFUNCTION("""COMPUTED_VALUE"""),"Студент")</f>
        <v>Студент</v>
      </c>
    </row>
    <row r="2425" spans="1:3">
      <c r="A2425" s="76">
        <f ca="1">IFERROR(__xludf.DUMMYFUNCTION("""COMPUTED_VALUE"""),2314337)</f>
        <v>2314337</v>
      </c>
      <c r="B2425" s="76" t="str">
        <f ca="1">IFERROR(__xludf.DUMMYFUNCTION("""COMPUTED_VALUE"""),"Кулов Суннатулло Абдужалилович")</f>
        <v>Кулов Суннатулло Абдужалилович</v>
      </c>
      <c r="C2425" s="75" t="str">
        <f ca="1">IFERROR(__xludf.DUMMYFUNCTION("""COMPUTED_VALUE"""),"Студент")</f>
        <v>Студент</v>
      </c>
    </row>
    <row r="2426" spans="1:3">
      <c r="A2426" s="76">
        <f ca="1">IFERROR(__xludf.DUMMYFUNCTION("""COMPUTED_VALUE"""),2314338)</f>
        <v>2314338</v>
      </c>
      <c r="B2426" s="76" t="str">
        <f ca="1">IFERROR(__xludf.DUMMYFUNCTION("""COMPUTED_VALUE"""),"Сафаров Аъзамджон Нарзуллоевич")</f>
        <v>Сафаров Аъзамджон Нарзуллоевич</v>
      </c>
      <c r="C2426" s="75" t="str">
        <f ca="1">IFERROR(__xludf.DUMMYFUNCTION("""COMPUTED_VALUE"""),"Студент")</f>
        <v>Студент</v>
      </c>
    </row>
    <row r="2427" spans="1:3">
      <c r="A2427" s="76">
        <f ca="1">IFERROR(__xludf.DUMMYFUNCTION("""COMPUTED_VALUE"""),2314340)</f>
        <v>2314340</v>
      </c>
      <c r="B2427" s="76" t="str">
        <f ca="1">IFERROR(__xludf.DUMMYFUNCTION("""COMPUTED_VALUE"""),"Артюхин Иван Александрович")</f>
        <v>Артюхин Иван Александрович</v>
      </c>
      <c r="C2427" s="75" t="str">
        <f ca="1">IFERROR(__xludf.DUMMYFUNCTION("""COMPUTED_VALUE"""),"Студент")</f>
        <v>Студент</v>
      </c>
    </row>
    <row r="2428" spans="1:3">
      <c r="A2428" s="76">
        <f ca="1">IFERROR(__xludf.DUMMYFUNCTION("""COMPUTED_VALUE"""),2314341)</f>
        <v>2314341</v>
      </c>
      <c r="B2428" s="76" t="str">
        <f ca="1">IFERROR(__xludf.DUMMYFUNCTION("""COMPUTED_VALUE"""),"Климова Виктория Сергеевна")</f>
        <v>Климова Виктория Сергеевна</v>
      </c>
      <c r="C2428" s="75" t="str">
        <f ca="1">IFERROR(__xludf.DUMMYFUNCTION("""COMPUTED_VALUE"""),"Студент")</f>
        <v>Студент</v>
      </c>
    </row>
    <row r="2429" spans="1:3">
      <c r="A2429" s="76">
        <f ca="1">IFERROR(__xludf.DUMMYFUNCTION("""COMPUTED_VALUE"""),2314342)</f>
        <v>2314342</v>
      </c>
      <c r="B2429" s="76" t="str">
        <f ca="1">IFERROR(__xludf.DUMMYFUNCTION("""COMPUTED_VALUE"""),"Бурячок Иван Игоревич")</f>
        <v>Бурячок Иван Игоревич</v>
      </c>
      <c r="C2429" s="75" t="str">
        <f ca="1">IFERROR(__xludf.DUMMYFUNCTION("""COMPUTED_VALUE"""),"Студент")</f>
        <v>Студент</v>
      </c>
    </row>
    <row r="2430" spans="1:3">
      <c r="A2430" s="76">
        <f ca="1">IFERROR(__xludf.DUMMYFUNCTION("""COMPUTED_VALUE"""),2314347)</f>
        <v>2314347</v>
      </c>
      <c r="B2430" s="76" t="str">
        <f ca="1">IFERROR(__xludf.DUMMYFUNCTION("""COMPUTED_VALUE"""),"Суровова Юлия Сергеевна")</f>
        <v>Суровова Юлия Сергеевна</v>
      </c>
      <c r="C2430" s="75" t="str">
        <f ca="1">IFERROR(__xludf.DUMMYFUNCTION("""COMPUTED_VALUE"""),"Студент")</f>
        <v>Студент</v>
      </c>
    </row>
    <row r="2431" spans="1:3">
      <c r="A2431" s="76">
        <f ca="1">IFERROR(__xludf.DUMMYFUNCTION("""COMPUTED_VALUE"""),2314353)</f>
        <v>2314353</v>
      </c>
      <c r="B2431" s="76" t="str">
        <f ca="1">IFERROR(__xludf.DUMMYFUNCTION("""COMPUTED_VALUE"""),"Гилевич Игорь Константинович")</f>
        <v>Гилевич Игорь Константинович</v>
      </c>
      <c r="C2431" s="75" t="str">
        <f ca="1">IFERROR(__xludf.DUMMYFUNCTION("""COMPUTED_VALUE"""),"Студент")</f>
        <v>Студент</v>
      </c>
    </row>
    <row r="2432" spans="1:3">
      <c r="A2432" s="76">
        <f ca="1">IFERROR(__xludf.DUMMYFUNCTION("""COMPUTED_VALUE"""),2314355)</f>
        <v>2314355</v>
      </c>
      <c r="B2432" s="76" t="str">
        <f ca="1">IFERROR(__xludf.DUMMYFUNCTION("""COMPUTED_VALUE"""),"Олимзода Олимджони Зайнидин")</f>
        <v>Олимзода Олимджони Зайнидин</v>
      </c>
      <c r="C2432" s="75" t="str">
        <f ca="1">IFERROR(__xludf.DUMMYFUNCTION("""COMPUTED_VALUE"""),"Студент")</f>
        <v>Студент</v>
      </c>
    </row>
    <row r="2433" spans="1:3">
      <c r="A2433" s="76">
        <f ca="1">IFERROR(__xludf.DUMMYFUNCTION("""COMPUTED_VALUE"""),2314357)</f>
        <v>2314357</v>
      </c>
      <c r="B2433" s="76" t="str">
        <f ca="1">IFERROR(__xludf.DUMMYFUNCTION("""COMPUTED_VALUE"""),"Иванов Максим Николаевич")</f>
        <v>Иванов Максим Николаевич</v>
      </c>
      <c r="C2433" s="75" t="str">
        <f ca="1">IFERROR(__xludf.DUMMYFUNCTION("""COMPUTED_VALUE"""),"Студент")</f>
        <v>Студент</v>
      </c>
    </row>
    <row r="2434" spans="1:3">
      <c r="A2434" s="76">
        <f ca="1">IFERROR(__xludf.DUMMYFUNCTION("""COMPUTED_VALUE"""),2314360)</f>
        <v>2314360</v>
      </c>
      <c r="B2434" s="76" t="str">
        <f ca="1">IFERROR(__xludf.DUMMYFUNCTION("""COMPUTED_VALUE"""),"Меркулов Трофим Денисович")</f>
        <v>Меркулов Трофим Денисович</v>
      </c>
      <c r="C2434" s="75" t="str">
        <f ca="1">IFERROR(__xludf.DUMMYFUNCTION("""COMPUTED_VALUE"""),"Студент")</f>
        <v>Студент</v>
      </c>
    </row>
    <row r="2435" spans="1:3">
      <c r="A2435" s="76">
        <f ca="1">IFERROR(__xludf.DUMMYFUNCTION("""COMPUTED_VALUE"""),2314362)</f>
        <v>2314362</v>
      </c>
      <c r="B2435" s="76" t="str">
        <f ca="1">IFERROR(__xludf.DUMMYFUNCTION("""COMPUTED_VALUE"""),"Кадер Эхсан")</f>
        <v>Кадер Эхсан</v>
      </c>
      <c r="C2435" s="75" t="str">
        <f ca="1">IFERROR(__xludf.DUMMYFUNCTION("""COMPUTED_VALUE"""),"Студент")</f>
        <v>Студент</v>
      </c>
    </row>
    <row r="2436" spans="1:3">
      <c r="A2436" s="76">
        <f ca="1">IFERROR(__xludf.DUMMYFUNCTION("""COMPUTED_VALUE"""),2314363)</f>
        <v>2314363</v>
      </c>
      <c r="B2436" s="76" t="str">
        <f ca="1">IFERROR(__xludf.DUMMYFUNCTION("""COMPUTED_VALUE"""),"Перелетов Иван Павлович")</f>
        <v>Перелетов Иван Павлович</v>
      </c>
      <c r="C2436" s="75" t="str">
        <f ca="1">IFERROR(__xludf.DUMMYFUNCTION("""COMPUTED_VALUE"""),"Студент")</f>
        <v>Студент</v>
      </c>
    </row>
    <row r="2437" spans="1:3">
      <c r="A2437" s="76">
        <f ca="1">IFERROR(__xludf.DUMMYFUNCTION("""COMPUTED_VALUE"""),2314366)</f>
        <v>2314366</v>
      </c>
      <c r="B2437" s="76" t="str">
        <f ca="1">IFERROR(__xludf.DUMMYFUNCTION("""COMPUTED_VALUE"""),"Рубан Ярослав Дмитриевич")</f>
        <v>Рубан Ярослав Дмитриевич</v>
      </c>
      <c r="C2437" s="75" t="str">
        <f ca="1">IFERROR(__xludf.DUMMYFUNCTION("""COMPUTED_VALUE"""),"Студент")</f>
        <v>Студент</v>
      </c>
    </row>
    <row r="2438" spans="1:3">
      <c r="A2438" s="76">
        <f ca="1">IFERROR(__xludf.DUMMYFUNCTION("""COMPUTED_VALUE"""),2314368)</f>
        <v>2314368</v>
      </c>
      <c r="B2438" s="76" t="str">
        <f ca="1">IFERROR(__xludf.DUMMYFUNCTION("""COMPUTED_VALUE"""),"Акинтоби Тосин Эммануэль")</f>
        <v>Акинтоби Тосин Эммануэль</v>
      </c>
      <c r="C2438" s="75" t="str">
        <f ca="1">IFERROR(__xludf.DUMMYFUNCTION("""COMPUTED_VALUE"""),"Студент")</f>
        <v>Студент</v>
      </c>
    </row>
    <row r="2439" spans="1:3">
      <c r="A2439" s="76">
        <f ca="1">IFERROR(__xludf.DUMMYFUNCTION("""COMPUTED_VALUE"""),2314369)</f>
        <v>2314369</v>
      </c>
      <c r="B2439" s="76" t="str">
        <f ca="1">IFERROR(__xludf.DUMMYFUNCTION("""COMPUTED_VALUE"""),"Царев Денис Владимирович")</f>
        <v>Царев Денис Владимирович</v>
      </c>
      <c r="C2439" s="75" t="str">
        <f ca="1">IFERROR(__xludf.DUMMYFUNCTION("""COMPUTED_VALUE"""),"Студент")</f>
        <v>Студент</v>
      </c>
    </row>
    <row r="2440" spans="1:3">
      <c r="A2440" s="76">
        <f ca="1">IFERROR(__xludf.DUMMYFUNCTION("""COMPUTED_VALUE"""),2314371)</f>
        <v>2314371</v>
      </c>
      <c r="B2440" s="76" t="str">
        <f ca="1">IFERROR(__xludf.DUMMYFUNCTION("""COMPUTED_VALUE"""),"Кустов Кирилл Александрович")</f>
        <v>Кустов Кирилл Александрович</v>
      </c>
      <c r="C2440" s="75" t="str">
        <f ca="1">IFERROR(__xludf.DUMMYFUNCTION("""COMPUTED_VALUE"""),"Студент")</f>
        <v>Студент</v>
      </c>
    </row>
    <row r="2441" spans="1:3">
      <c r="A2441" s="76">
        <f ca="1">IFERROR(__xludf.DUMMYFUNCTION("""COMPUTED_VALUE"""),2314372)</f>
        <v>2314372</v>
      </c>
      <c r="B2441" s="76" t="str">
        <f ca="1">IFERROR(__xludf.DUMMYFUNCTION("""COMPUTED_VALUE"""),"Береснева Мария Олеговна")</f>
        <v>Береснева Мария Олеговна</v>
      </c>
      <c r="C2441" s="75" t="str">
        <f ca="1">IFERROR(__xludf.DUMMYFUNCTION("""COMPUTED_VALUE"""),"Студент")</f>
        <v>Студент</v>
      </c>
    </row>
    <row r="2442" spans="1:3">
      <c r="A2442" s="76">
        <f ca="1">IFERROR(__xludf.DUMMYFUNCTION("""COMPUTED_VALUE"""),2314376)</f>
        <v>2314376</v>
      </c>
      <c r="B2442" s="76" t="str">
        <f ca="1">IFERROR(__xludf.DUMMYFUNCTION("""COMPUTED_VALUE"""),"Ласкин Кирилл Алексеевич")</f>
        <v>Ласкин Кирилл Алексеевич</v>
      </c>
      <c r="C2442" s="75" t="str">
        <f ca="1">IFERROR(__xludf.DUMMYFUNCTION("""COMPUTED_VALUE"""),"Студент")</f>
        <v>Студент</v>
      </c>
    </row>
    <row r="2443" spans="1:3">
      <c r="A2443" s="76">
        <f ca="1">IFERROR(__xludf.DUMMYFUNCTION("""COMPUTED_VALUE"""),2314378)</f>
        <v>2314378</v>
      </c>
      <c r="B2443" s="76" t="str">
        <f ca="1">IFERROR(__xludf.DUMMYFUNCTION("""COMPUTED_VALUE"""),"Атви Мохамад")</f>
        <v>Атви Мохамад</v>
      </c>
      <c r="C2443" s="75" t="str">
        <f ca="1">IFERROR(__xludf.DUMMYFUNCTION("""COMPUTED_VALUE"""),"Студент")</f>
        <v>Студент</v>
      </c>
    </row>
    <row r="2444" spans="1:3">
      <c r="A2444" s="76">
        <f ca="1">IFERROR(__xludf.DUMMYFUNCTION("""COMPUTED_VALUE"""),2314381)</f>
        <v>2314381</v>
      </c>
      <c r="B2444" s="76" t="str">
        <f ca="1">IFERROR(__xludf.DUMMYFUNCTION("""COMPUTED_VALUE"""),"Чатикобо Этель")</f>
        <v>Чатикобо Этель</v>
      </c>
      <c r="C2444" s="75" t="str">
        <f ca="1">IFERROR(__xludf.DUMMYFUNCTION("""COMPUTED_VALUE"""),"Студент")</f>
        <v>Студент</v>
      </c>
    </row>
    <row r="2445" spans="1:3">
      <c r="A2445" s="76">
        <f ca="1">IFERROR(__xludf.DUMMYFUNCTION("""COMPUTED_VALUE"""),2314384)</f>
        <v>2314384</v>
      </c>
      <c r="B2445" s="76" t="str">
        <f ca="1">IFERROR(__xludf.DUMMYFUNCTION("""COMPUTED_VALUE"""),"Егоров Игорь Александрович")</f>
        <v>Егоров Игорь Александрович</v>
      </c>
      <c r="C2445" s="75" t="str">
        <f ca="1">IFERROR(__xludf.DUMMYFUNCTION("""COMPUTED_VALUE"""),"Студент")</f>
        <v>Студент</v>
      </c>
    </row>
    <row r="2446" spans="1:3">
      <c r="A2446" s="76">
        <f ca="1">IFERROR(__xludf.DUMMYFUNCTION("""COMPUTED_VALUE"""),2314396)</f>
        <v>2314396</v>
      </c>
      <c r="B2446" s="76" t="str">
        <f ca="1">IFERROR(__xludf.DUMMYFUNCTION("""COMPUTED_VALUE"""),"Рысьев Матвей Сергеевич")</f>
        <v>Рысьев Матвей Сергеевич</v>
      </c>
      <c r="C2446" s="75" t="str">
        <f ca="1">IFERROR(__xludf.DUMMYFUNCTION("""COMPUTED_VALUE"""),"Студент")</f>
        <v>Студент</v>
      </c>
    </row>
    <row r="2447" spans="1:3">
      <c r="A2447" s="76">
        <f ca="1">IFERROR(__xludf.DUMMYFUNCTION("""COMPUTED_VALUE"""),2314405)</f>
        <v>2314405</v>
      </c>
      <c r="B2447" s="76" t="str">
        <f ca="1">IFERROR(__xludf.DUMMYFUNCTION("""COMPUTED_VALUE"""),"Колташов Михаил Андреевич")</f>
        <v>Колташов Михаил Андреевич</v>
      </c>
      <c r="C2447" s="75" t="str">
        <f ca="1">IFERROR(__xludf.DUMMYFUNCTION("""COMPUTED_VALUE"""),"Студент")</f>
        <v>Студент</v>
      </c>
    </row>
    <row r="2448" spans="1:3">
      <c r="A2448" s="76">
        <f ca="1">IFERROR(__xludf.DUMMYFUNCTION("""COMPUTED_VALUE"""),2314422)</f>
        <v>2314422</v>
      </c>
      <c r="B2448" s="76" t="str">
        <f ca="1">IFERROR(__xludf.DUMMYFUNCTION("""COMPUTED_VALUE"""),"Ндлела Элтон Сифисо")</f>
        <v>Ндлела Элтон Сифисо</v>
      </c>
      <c r="C2448" s="75" t="str">
        <f ca="1">IFERROR(__xludf.DUMMYFUNCTION("""COMPUTED_VALUE"""),"Студент")</f>
        <v>Студент</v>
      </c>
    </row>
    <row r="2449" spans="1:3">
      <c r="A2449" s="76">
        <f ca="1">IFERROR(__xludf.DUMMYFUNCTION("""COMPUTED_VALUE"""),2314427)</f>
        <v>2314427</v>
      </c>
      <c r="B2449" s="76" t="str">
        <f ca="1">IFERROR(__xludf.DUMMYFUNCTION("""COMPUTED_VALUE"""),"Балаев Антон Александрович")</f>
        <v>Балаев Антон Александрович</v>
      </c>
      <c r="C2449" s="75" t="str">
        <f ca="1">IFERROR(__xludf.DUMMYFUNCTION("""COMPUTED_VALUE"""),"Студент")</f>
        <v>Студент</v>
      </c>
    </row>
    <row r="2450" spans="1:3">
      <c r="A2450" s="76">
        <f ca="1">IFERROR(__xludf.DUMMYFUNCTION("""COMPUTED_VALUE"""),2314429)</f>
        <v>2314429</v>
      </c>
      <c r="B2450" s="76" t="str">
        <f ca="1">IFERROR(__xludf.DUMMYFUNCTION("""COMPUTED_VALUE"""),"Алексанян Георгий")</f>
        <v>Алексанян Георгий</v>
      </c>
      <c r="C2450" s="75" t="str">
        <f ca="1">IFERROR(__xludf.DUMMYFUNCTION("""COMPUTED_VALUE"""),"Студент")</f>
        <v>Студент</v>
      </c>
    </row>
    <row r="2451" spans="1:3">
      <c r="A2451" s="76">
        <f ca="1">IFERROR(__xludf.DUMMYFUNCTION("""COMPUTED_VALUE"""),2314431)</f>
        <v>2314431</v>
      </c>
      <c r="B2451" s="76" t="str">
        <f ca="1">IFERROR(__xludf.DUMMYFUNCTION("""COMPUTED_VALUE"""),"Денисова Виктория Михайловна")</f>
        <v>Денисова Виктория Михайловна</v>
      </c>
      <c r="C2451" s="75" t="str">
        <f ca="1">IFERROR(__xludf.DUMMYFUNCTION("""COMPUTED_VALUE"""),"Студент")</f>
        <v>Студент</v>
      </c>
    </row>
    <row r="2452" spans="1:3">
      <c r="A2452" s="76">
        <f ca="1">IFERROR(__xludf.DUMMYFUNCTION("""COMPUTED_VALUE"""),2314437)</f>
        <v>2314437</v>
      </c>
      <c r="B2452" s="76" t="str">
        <f ca="1">IFERROR(__xludf.DUMMYFUNCTION("""COMPUTED_VALUE"""),"Хадарина Тереза Александровна")</f>
        <v>Хадарина Тереза Александровна</v>
      </c>
      <c r="C2452" s="75" t="str">
        <f ca="1">IFERROR(__xludf.DUMMYFUNCTION("""COMPUTED_VALUE"""),"Студент")</f>
        <v>Студент</v>
      </c>
    </row>
    <row r="2453" spans="1:3">
      <c r="A2453" s="76">
        <f ca="1">IFERROR(__xludf.DUMMYFUNCTION("""COMPUTED_VALUE"""),2314439)</f>
        <v>2314439</v>
      </c>
      <c r="B2453" s="76" t="str">
        <f ca="1">IFERROR(__xludf.DUMMYFUNCTION("""COMPUTED_VALUE"""),"Сергазиева Лилия Ильдаровна")</f>
        <v>Сергазиева Лилия Ильдаровна</v>
      </c>
      <c r="C2453" s="75" t="str">
        <f ca="1">IFERROR(__xludf.DUMMYFUNCTION("""COMPUTED_VALUE"""),"Студент")</f>
        <v>Студент</v>
      </c>
    </row>
    <row r="2454" spans="1:3">
      <c r="A2454" s="76">
        <f ca="1">IFERROR(__xludf.DUMMYFUNCTION("""COMPUTED_VALUE"""),2314443)</f>
        <v>2314443</v>
      </c>
      <c r="B2454" s="76" t="str">
        <f ca="1">IFERROR(__xludf.DUMMYFUNCTION("""COMPUTED_VALUE"""),"Стрючков Григорий Васильевич")</f>
        <v>Стрючков Григорий Васильевич</v>
      </c>
      <c r="C2454" s="75" t="str">
        <f ca="1">IFERROR(__xludf.DUMMYFUNCTION("""COMPUTED_VALUE"""),"Студент")</f>
        <v>Студент</v>
      </c>
    </row>
    <row r="2455" spans="1:3">
      <c r="A2455" s="76">
        <f ca="1">IFERROR(__xludf.DUMMYFUNCTION("""COMPUTED_VALUE"""),2314448)</f>
        <v>2314448</v>
      </c>
      <c r="B2455" s="76" t="str">
        <f ca="1">IFERROR(__xludf.DUMMYFUNCTION("""COMPUTED_VALUE"""),"Чирара Хамид")</f>
        <v>Чирара Хамид</v>
      </c>
      <c r="C2455" s="75" t="str">
        <f ca="1">IFERROR(__xludf.DUMMYFUNCTION("""COMPUTED_VALUE"""),"Студент")</f>
        <v>Студент</v>
      </c>
    </row>
    <row r="2456" spans="1:3">
      <c r="A2456" s="76">
        <f ca="1">IFERROR(__xludf.DUMMYFUNCTION("""COMPUTED_VALUE"""),2314450)</f>
        <v>2314450</v>
      </c>
      <c r="B2456" s="76" t="str">
        <f ca="1">IFERROR(__xludf.DUMMYFUNCTION("""COMPUTED_VALUE"""),"Киура Стэнли Матека")</f>
        <v>Киура Стэнли Матека</v>
      </c>
      <c r="C2456" s="75" t="str">
        <f ca="1">IFERROR(__xludf.DUMMYFUNCTION("""COMPUTED_VALUE"""),"Студент")</f>
        <v>Студент</v>
      </c>
    </row>
    <row r="2457" spans="1:3">
      <c r="A2457" s="76">
        <f ca="1">IFERROR(__xludf.DUMMYFUNCTION("""COMPUTED_VALUE"""),2314455)</f>
        <v>2314455</v>
      </c>
      <c r="B2457" s="76" t="str">
        <f ca="1">IFERROR(__xludf.DUMMYFUNCTION("""COMPUTED_VALUE"""),"Ивершин Вадим Сергеевич")</f>
        <v>Ивершин Вадим Сергеевич</v>
      </c>
      <c r="C2457" s="75" t="str">
        <f ca="1">IFERROR(__xludf.DUMMYFUNCTION("""COMPUTED_VALUE"""),"Студент")</f>
        <v>Студент</v>
      </c>
    </row>
    <row r="2458" spans="1:3">
      <c r="A2458" s="76">
        <f ca="1">IFERROR(__xludf.DUMMYFUNCTION("""COMPUTED_VALUE"""),2314457)</f>
        <v>2314457</v>
      </c>
      <c r="B2458" s="76" t="str">
        <f ca="1">IFERROR(__xludf.DUMMYFUNCTION("""COMPUTED_VALUE"""),"Баташов Исмаил Юнусович")</f>
        <v>Баташов Исмаил Юнусович</v>
      </c>
      <c r="C2458" s="75" t="str">
        <f ca="1">IFERROR(__xludf.DUMMYFUNCTION("""COMPUTED_VALUE"""),"Студент")</f>
        <v>Студент</v>
      </c>
    </row>
    <row r="2459" spans="1:3">
      <c r="A2459" s="76">
        <f ca="1">IFERROR(__xludf.DUMMYFUNCTION("""COMPUTED_VALUE"""),2314459)</f>
        <v>2314459</v>
      </c>
      <c r="B2459" s="76" t="str">
        <f ca="1">IFERROR(__xludf.DUMMYFUNCTION("""COMPUTED_VALUE"""),"Магомаев Асланбек Бисланович")</f>
        <v>Магомаев Асланбек Бисланович</v>
      </c>
      <c r="C2459" s="75" t="str">
        <f ca="1">IFERROR(__xludf.DUMMYFUNCTION("""COMPUTED_VALUE"""),"Студент")</f>
        <v>Студент</v>
      </c>
    </row>
    <row r="2460" spans="1:3">
      <c r="A2460" s="76">
        <f ca="1">IFERROR(__xludf.DUMMYFUNCTION("""COMPUTED_VALUE"""),2314461)</f>
        <v>2314461</v>
      </c>
      <c r="B2460" s="76" t="str">
        <f ca="1">IFERROR(__xludf.DUMMYFUNCTION("""COMPUTED_VALUE"""),"Мудаев Шамхан Сайдахметович")</f>
        <v>Мудаев Шамхан Сайдахметович</v>
      </c>
      <c r="C2460" s="75" t="str">
        <f ca="1">IFERROR(__xludf.DUMMYFUNCTION("""COMPUTED_VALUE"""),"Студент")</f>
        <v>Студент</v>
      </c>
    </row>
    <row r="2461" spans="1:3">
      <c r="A2461" s="76">
        <f ca="1">IFERROR(__xludf.DUMMYFUNCTION("""COMPUTED_VALUE"""),2314463)</f>
        <v>2314463</v>
      </c>
      <c r="B2461" s="76" t="str">
        <f ca="1">IFERROR(__xludf.DUMMYFUNCTION("""COMPUTED_VALUE"""),"Богданов Артем Андреевич")</f>
        <v>Богданов Артем Андреевич</v>
      </c>
      <c r="C2461" s="75" t="str">
        <f ca="1">IFERROR(__xludf.DUMMYFUNCTION("""COMPUTED_VALUE"""),"Студент")</f>
        <v>Студент</v>
      </c>
    </row>
    <row r="2462" spans="1:3">
      <c r="A2462" s="76">
        <f ca="1">IFERROR(__xludf.DUMMYFUNCTION("""COMPUTED_VALUE"""),2314464)</f>
        <v>2314464</v>
      </c>
      <c r="B2462" s="76" t="str">
        <f ca="1">IFERROR(__xludf.DUMMYFUNCTION("""COMPUTED_VALUE"""),"Талхигов Асламбек Умарович")</f>
        <v>Талхигов Асламбек Умарович</v>
      </c>
      <c r="C2462" s="75" t="str">
        <f ca="1">IFERROR(__xludf.DUMMYFUNCTION("""COMPUTED_VALUE"""),"Студент")</f>
        <v>Студент</v>
      </c>
    </row>
    <row r="2463" spans="1:3">
      <c r="A2463" s="76">
        <f ca="1">IFERROR(__xludf.DUMMYFUNCTION("""COMPUTED_VALUE"""),2314471)</f>
        <v>2314471</v>
      </c>
      <c r="B2463" s="76" t="str">
        <f ca="1">IFERROR(__xludf.DUMMYFUNCTION("""COMPUTED_VALUE"""),"Плотников Геннадий Сергеевич")</f>
        <v>Плотников Геннадий Сергеевич</v>
      </c>
      <c r="C2463" s="75" t="str">
        <f ca="1">IFERROR(__xludf.DUMMYFUNCTION("""COMPUTED_VALUE"""),"Студент")</f>
        <v>Студент</v>
      </c>
    </row>
    <row r="2464" spans="1:3">
      <c r="A2464" s="76">
        <f ca="1">IFERROR(__xludf.DUMMYFUNCTION("""COMPUTED_VALUE"""),2314476)</f>
        <v>2314476</v>
      </c>
      <c r="B2464" s="76" t="str">
        <f ca="1">IFERROR(__xludf.DUMMYFUNCTION("""COMPUTED_VALUE"""),"Булочникова Надежда Андреевна")</f>
        <v>Булочникова Надежда Андреевна</v>
      </c>
      <c r="C2464" s="75" t="str">
        <f ca="1">IFERROR(__xludf.DUMMYFUNCTION("""COMPUTED_VALUE"""),"Студент")</f>
        <v>Студент</v>
      </c>
    </row>
    <row r="2465" spans="1:3">
      <c r="A2465" s="76">
        <f ca="1">IFERROR(__xludf.DUMMYFUNCTION("""COMPUTED_VALUE"""),2314477)</f>
        <v>2314477</v>
      </c>
      <c r="B2465" s="76" t="str">
        <f ca="1">IFERROR(__xludf.DUMMYFUNCTION("""COMPUTED_VALUE"""),"Чичигин Борис Генадьевич")</f>
        <v>Чичигин Борис Генадьевич</v>
      </c>
      <c r="C2465" s="75" t="str">
        <f ca="1">IFERROR(__xludf.DUMMYFUNCTION("""COMPUTED_VALUE"""),"Студент")</f>
        <v>Студент</v>
      </c>
    </row>
    <row r="2466" spans="1:3">
      <c r="A2466" s="76">
        <f ca="1">IFERROR(__xludf.DUMMYFUNCTION("""COMPUTED_VALUE"""),2314481)</f>
        <v>2314481</v>
      </c>
      <c r="B2466" s="76" t="str">
        <f ca="1">IFERROR(__xludf.DUMMYFUNCTION("""COMPUTED_VALUE"""),"Кулсахатова Мехрибан")</f>
        <v>Кулсахатова Мехрибан</v>
      </c>
      <c r="C2466" s="75" t="str">
        <f ca="1">IFERROR(__xludf.DUMMYFUNCTION("""COMPUTED_VALUE"""),"Студент")</f>
        <v>Студент</v>
      </c>
    </row>
    <row r="2467" spans="1:3">
      <c r="A2467" s="76">
        <f ca="1">IFERROR(__xludf.DUMMYFUNCTION("""COMPUTED_VALUE"""),2314489)</f>
        <v>2314489</v>
      </c>
      <c r="B2467" s="76" t="str">
        <f ca="1">IFERROR(__xludf.DUMMYFUNCTION("""COMPUTED_VALUE"""),"Муханов Данила Андреевич")</f>
        <v>Муханов Данила Андреевич</v>
      </c>
      <c r="C2467" s="75" t="str">
        <f ca="1">IFERROR(__xludf.DUMMYFUNCTION("""COMPUTED_VALUE"""),"Студент")</f>
        <v>Студент</v>
      </c>
    </row>
    <row r="2468" spans="1:3">
      <c r="A2468" s="76">
        <f ca="1">IFERROR(__xludf.DUMMYFUNCTION("""COMPUTED_VALUE"""),2314492)</f>
        <v>2314492</v>
      </c>
      <c r="B2468" s="76" t="str">
        <f ca="1">IFERROR(__xludf.DUMMYFUNCTION("""COMPUTED_VALUE"""),"Давлетшин Кирилл Рафаэльевич")</f>
        <v>Давлетшин Кирилл Рафаэльевич</v>
      </c>
      <c r="C2468" s="75" t="str">
        <f ca="1">IFERROR(__xludf.DUMMYFUNCTION("""COMPUTED_VALUE"""),"Студент")</f>
        <v>Студент</v>
      </c>
    </row>
    <row r="2469" spans="1:3">
      <c r="A2469" s="76">
        <f ca="1">IFERROR(__xludf.DUMMYFUNCTION("""COMPUTED_VALUE"""),2314493)</f>
        <v>2314493</v>
      </c>
      <c r="B2469" s="76" t="str">
        <f ca="1">IFERROR(__xludf.DUMMYFUNCTION("""COMPUTED_VALUE"""),"Гриненко Вероника Александровна")</f>
        <v>Гриненко Вероника Александровна</v>
      </c>
      <c r="C2469" s="75" t="str">
        <f ca="1">IFERROR(__xludf.DUMMYFUNCTION("""COMPUTED_VALUE"""),"Студент")</f>
        <v>Студент</v>
      </c>
    </row>
    <row r="2470" spans="1:3">
      <c r="A2470" s="76">
        <f ca="1">IFERROR(__xludf.DUMMYFUNCTION("""COMPUTED_VALUE"""),2314508)</f>
        <v>2314508</v>
      </c>
      <c r="B2470" s="76" t="str">
        <f ca="1">IFERROR(__xludf.DUMMYFUNCTION("""COMPUTED_VALUE"""),"Джумъаев Солехджон Аминджонович")</f>
        <v>Джумъаев Солехджон Аминджонович</v>
      </c>
      <c r="C2470" s="75" t="str">
        <f ca="1">IFERROR(__xludf.DUMMYFUNCTION("""COMPUTED_VALUE"""),"Студент")</f>
        <v>Студент</v>
      </c>
    </row>
    <row r="2471" spans="1:3">
      <c r="A2471" s="76">
        <f ca="1">IFERROR(__xludf.DUMMYFUNCTION("""COMPUTED_VALUE"""),2314513)</f>
        <v>2314513</v>
      </c>
      <c r="B2471" s="76" t="str">
        <f ca="1">IFERROR(__xludf.DUMMYFUNCTION("""COMPUTED_VALUE"""),"Муллоджонов Муин Умеджонович")</f>
        <v>Муллоджонов Муин Умеджонович</v>
      </c>
      <c r="C2471" s="75" t="str">
        <f ca="1">IFERROR(__xludf.DUMMYFUNCTION("""COMPUTED_VALUE"""),"Студент")</f>
        <v>Студент</v>
      </c>
    </row>
    <row r="2472" spans="1:3">
      <c r="A2472" s="76">
        <f ca="1">IFERROR(__xludf.DUMMYFUNCTION("""COMPUTED_VALUE"""),2314520)</f>
        <v>2314520</v>
      </c>
      <c r="B2472" s="76" t="str">
        <f ca="1">IFERROR(__xludf.DUMMYFUNCTION("""COMPUTED_VALUE"""),"Курбатова Татьяна Владимировна")</f>
        <v>Курбатова Татьяна Владимировна</v>
      </c>
      <c r="C2472" s="75" t="str">
        <f ca="1">IFERROR(__xludf.DUMMYFUNCTION("""COMPUTED_VALUE"""),"Студент")</f>
        <v>Студент</v>
      </c>
    </row>
    <row r="2473" spans="1:3">
      <c r="A2473" s="76">
        <f ca="1">IFERROR(__xludf.DUMMYFUNCTION("""COMPUTED_VALUE"""),2314526)</f>
        <v>2314526</v>
      </c>
      <c r="B2473" s="76" t="str">
        <f ca="1">IFERROR(__xludf.DUMMYFUNCTION("""COMPUTED_VALUE"""),"Хакимова Мадина Неъматжон кизи")</f>
        <v>Хакимова Мадина Неъматжон кизи</v>
      </c>
      <c r="C2473" s="75" t="str">
        <f ca="1">IFERROR(__xludf.DUMMYFUNCTION("""COMPUTED_VALUE"""),"Студент")</f>
        <v>Студент</v>
      </c>
    </row>
    <row r="2474" spans="1:3">
      <c r="A2474" s="76">
        <f ca="1">IFERROR(__xludf.DUMMYFUNCTION("""COMPUTED_VALUE"""),2314533)</f>
        <v>2314533</v>
      </c>
      <c r="B2474" s="76" t="str">
        <f ca="1">IFERROR(__xludf.DUMMYFUNCTION("""COMPUTED_VALUE"""),"Кальянова Ангелина Владимировна")</f>
        <v>Кальянова Ангелина Владимировна</v>
      </c>
      <c r="C2474" s="75" t="str">
        <f ca="1">IFERROR(__xludf.DUMMYFUNCTION("""COMPUTED_VALUE"""),"Студент")</f>
        <v>Студент</v>
      </c>
    </row>
    <row r="2475" spans="1:3">
      <c r="A2475" s="76">
        <f ca="1">IFERROR(__xludf.DUMMYFUNCTION("""COMPUTED_VALUE"""),2314543)</f>
        <v>2314543</v>
      </c>
      <c r="B2475" s="76" t="str">
        <f ca="1">IFERROR(__xludf.DUMMYFUNCTION("""COMPUTED_VALUE"""),"Анищенко Валерий Валерьевич")</f>
        <v>Анищенко Валерий Валерьевич</v>
      </c>
      <c r="C2475" s="75" t="str">
        <f ca="1">IFERROR(__xludf.DUMMYFUNCTION("""COMPUTED_VALUE"""),"Студент")</f>
        <v>Студент</v>
      </c>
    </row>
    <row r="2476" spans="1:3">
      <c r="A2476" s="76">
        <f ca="1">IFERROR(__xludf.DUMMYFUNCTION("""COMPUTED_VALUE"""),2314547)</f>
        <v>2314547</v>
      </c>
      <c r="B2476" s="76" t="str">
        <f ca="1">IFERROR(__xludf.DUMMYFUNCTION("""COMPUTED_VALUE"""),"Бикетов Алексей Романович")</f>
        <v>Бикетов Алексей Романович</v>
      </c>
      <c r="C2476" s="75" t="str">
        <f ca="1">IFERROR(__xludf.DUMMYFUNCTION("""COMPUTED_VALUE"""),"Студент")</f>
        <v>Студент</v>
      </c>
    </row>
    <row r="2477" spans="1:3">
      <c r="A2477" s="76">
        <f ca="1">IFERROR(__xludf.DUMMYFUNCTION("""COMPUTED_VALUE"""),2314556)</f>
        <v>2314556</v>
      </c>
      <c r="B2477" s="76" t="str">
        <f ca="1">IFERROR(__xludf.DUMMYFUNCTION("""COMPUTED_VALUE"""),"Абдуллаева Умият Абдуллаевна")</f>
        <v>Абдуллаева Умият Абдуллаевна</v>
      </c>
      <c r="C2477" s="75" t="str">
        <f ca="1">IFERROR(__xludf.DUMMYFUNCTION("""COMPUTED_VALUE"""),"Студент")</f>
        <v>Студент</v>
      </c>
    </row>
    <row r="2478" spans="1:3">
      <c r="A2478" s="76">
        <f ca="1">IFERROR(__xludf.DUMMYFUNCTION("""COMPUTED_VALUE"""),2314572)</f>
        <v>2314572</v>
      </c>
      <c r="B2478" s="76" t="str">
        <f ca="1">IFERROR(__xludf.DUMMYFUNCTION("""COMPUTED_VALUE"""),"Алексеев Александр Александрович")</f>
        <v>Алексеев Александр Александрович</v>
      </c>
      <c r="C2478" s="75" t="str">
        <f ca="1">IFERROR(__xludf.DUMMYFUNCTION("""COMPUTED_VALUE"""),"Студент")</f>
        <v>Студент</v>
      </c>
    </row>
    <row r="2479" spans="1:3">
      <c r="A2479" s="76">
        <f ca="1">IFERROR(__xludf.DUMMYFUNCTION("""COMPUTED_VALUE"""),2314578)</f>
        <v>2314578</v>
      </c>
      <c r="B2479" s="76" t="str">
        <f ca="1">IFERROR(__xludf.DUMMYFUNCTION("""COMPUTED_VALUE"""),"Хабибзода Мухаммадумар Фозил")</f>
        <v>Хабибзода Мухаммадумар Фозил</v>
      </c>
      <c r="C2479" s="75" t="str">
        <f ca="1">IFERROR(__xludf.DUMMYFUNCTION("""COMPUTED_VALUE"""),"Студент")</f>
        <v>Студент</v>
      </c>
    </row>
    <row r="2480" spans="1:3">
      <c r="A2480" s="76">
        <f ca="1">IFERROR(__xludf.DUMMYFUNCTION("""COMPUTED_VALUE"""),2314579)</f>
        <v>2314579</v>
      </c>
      <c r="B2480" s="76" t="str">
        <f ca="1">IFERROR(__xludf.DUMMYFUNCTION("""COMPUTED_VALUE"""),"Шумилин Егор Андреевич")</f>
        <v>Шумилин Егор Андреевич</v>
      </c>
      <c r="C2480" s="75" t="str">
        <f ca="1">IFERROR(__xludf.DUMMYFUNCTION("""COMPUTED_VALUE"""),"Студент")</f>
        <v>Студент</v>
      </c>
    </row>
    <row r="2481" spans="1:3">
      <c r="A2481" s="76">
        <f ca="1">IFERROR(__xludf.DUMMYFUNCTION("""COMPUTED_VALUE"""),2314582)</f>
        <v>2314582</v>
      </c>
      <c r="B2481" s="76" t="str">
        <f ca="1">IFERROR(__xludf.DUMMYFUNCTION("""COMPUTED_VALUE"""),"Беляев Егор Валерьевич")</f>
        <v>Беляев Егор Валерьевич</v>
      </c>
      <c r="C2481" s="75" t="str">
        <f ca="1">IFERROR(__xludf.DUMMYFUNCTION("""COMPUTED_VALUE"""),"Студент")</f>
        <v>Студент</v>
      </c>
    </row>
    <row r="2482" spans="1:3">
      <c r="A2482" s="76">
        <f ca="1">IFERROR(__xludf.DUMMYFUNCTION("""COMPUTED_VALUE"""),2314583)</f>
        <v>2314583</v>
      </c>
      <c r="B2482" s="76" t="str">
        <f ca="1">IFERROR(__xludf.DUMMYFUNCTION("""COMPUTED_VALUE"""),"Пономарева Анастасия Владимировна")</f>
        <v>Пономарева Анастасия Владимировна</v>
      </c>
      <c r="C2482" s="75" t="str">
        <f ca="1">IFERROR(__xludf.DUMMYFUNCTION("""COMPUTED_VALUE"""),"Студент")</f>
        <v>Студент</v>
      </c>
    </row>
    <row r="2483" spans="1:3">
      <c r="A2483" s="76">
        <f ca="1">IFERROR(__xludf.DUMMYFUNCTION("""COMPUTED_VALUE"""),2314587)</f>
        <v>2314587</v>
      </c>
      <c r="B2483" s="76" t="str">
        <f ca="1">IFERROR(__xludf.DUMMYFUNCTION("""COMPUTED_VALUE"""),"Денисов Олег Геннадьевич")</f>
        <v>Денисов Олег Геннадьевич</v>
      </c>
      <c r="C2483" s="75" t="str">
        <f ca="1">IFERROR(__xludf.DUMMYFUNCTION("""COMPUTED_VALUE"""),"Студент")</f>
        <v>Студент</v>
      </c>
    </row>
    <row r="2484" spans="1:3">
      <c r="A2484" s="76">
        <f ca="1">IFERROR(__xludf.DUMMYFUNCTION("""COMPUTED_VALUE"""),2314588)</f>
        <v>2314588</v>
      </c>
      <c r="B2484" s="76" t="str">
        <f ca="1">IFERROR(__xludf.DUMMYFUNCTION("""COMPUTED_VALUE"""),"Иноземцева Ольга Владимировна")</f>
        <v>Иноземцева Ольга Владимировна</v>
      </c>
      <c r="C2484" s="75" t="str">
        <f ca="1">IFERROR(__xludf.DUMMYFUNCTION("""COMPUTED_VALUE"""),"Студент")</f>
        <v>Студент</v>
      </c>
    </row>
    <row r="2485" spans="1:3">
      <c r="A2485" s="76">
        <f ca="1">IFERROR(__xludf.DUMMYFUNCTION("""COMPUTED_VALUE"""),2314589)</f>
        <v>2314589</v>
      </c>
      <c r="B2485" s="76" t="str">
        <f ca="1">IFERROR(__xludf.DUMMYFUNCTION("""COMPUTED_VALUE"""),"Махмадуллоев Кишварбек Зиёдуллоевич")</f>
        <v>Махмадуллоев Кишварбек Зиёдуллоевич</v>
      </c>
      <c r="C2485" s="75" t="str">
        <f ca="1">IFERROR(__xludf.DUMMYFUNCTION("""COMPUTED_VALUE"""),"Студент")</f>
        <v>Студент</v>
      </c>
    </row>
    <row r="2486" spans="1:3">
      <c r="A2486" s="76">
        <f ca="1">IFERROR(__xludf.DUMMYFUNCTION("""COMPUTED_VALUE"""),2314592)</f>
        <v>2314592</v>
      </c>
      <c r="B2486" s="76" t="str">
        <f ca="1">IFERROR(__xludf.DUMMYFUNCTION("""COMPUTED_VALUE"""),"Гришенкова Юлия Александровна")</f>
        <v>Гришенкова Юлия Александровна</v>
      </c>
      <c r="C2486" s="75" t="str">
        <f ca="1">IFERROR(__xludf.DUMMYFUNCTION("""COMPUTED_VALUE"""),"Студент")</f>
        <v>Студент</v>
      </c>
    </row>
    <row r="2487" spans="1:3">
      <c r="A2487" s="76">
        <f ca="1">IFERROR(__xludf.DUMMYFUNCTION("""COMPUTED_VALUE"""),2314593)</f>
        <v>2314593</v>
      </c>
      <c r="B2487" s="76" t="str">
        <f ca="1">IFERROR(__xludf.DUMMYFUNCTION("""COMPUTED_VALUE"""),"Базалеев Фёдор Евгеньевич")</f>
        <v>Базалеев Фёдор Евгеньевич</v>
      </c>
      <c r="C2487" s="75" t="str">
        <f ca="1">IFERROR(__xludf.DUMMYFUNCTION("""COMPUTED_VALUE"""),"Студент")</f>
        <v>Студент</v>
      </c>
    </row>
    <row r="2488" spans="1:3">
      <c r="A2488" s="76">
        <f ca="1">IFERROR(__xludf.DUMMYFUNCTION("""COMPUTED_VALUE"""),2314594)</f>
        <v>2314594</v>
      </c>
      <c r="B2488" s="76" t="str">
        <f ca="1">IFERROR(__xludf.DUMMYFUNCTION("""COMPUTED_VALUE"""),"Степанов Денис Дмитриевич")</f>
        <v>Степанов Денис Дмитриевич</v>
      </c>
      <c r="C2488" s="75" t="str">
        <f ca="1">IFERROR(__xludf.DUMMYFUNCTION("""COMPUTED_VALUE"""),"Студент")</f>
        <v>Студент</v>
      </c>
    </row>
    <row r="2489" spans="1:3">
      <c r="A2489" s="76">
        <f ca="1">IFERROR(__xludf.DUMMYFUNCTION("""COMPUTED_VALUE"""),2314596)</f>
        <v>2314596</v>
      </c>
      <c r="B2489" s="76" t="str">
        <f ca="1">IFERROR(__xludf.DUMMYFUNCTION("""COMPUTED_VALUE"""),"Зокиров Мехроб Шавкатович")</f>
        <v>Зокиров Мехроб Шавкатович</v>
      </c>
      <c r="C2489" s="75" t="str">
        <f ca="1">IFERROR(__xludf.DUMMYFUNCTION("""COMPUTED_VALUE"""),"Студент")</f>
        <v>Студент</v>
      </c>
    </row>
    <row r="2490" spans="1:3">
      <c r="A2490" s="76">
        <f ca="1">IFERROR(__xludf.DUMMYFUNCTION("""COMPUTED_VALUE"""),2314597)</f>
        <v>2314597</v>
      </c>
      <c r="B2490" s="76" t="str">
        <f ca="1">IFERROR(__xludf.DUMMYFUNCTION("""COMPUTED_VALUE"""),"Ходжаева Офтобхон Камиловна")</f>
        <v>Ходжаева Офтобхон Камиловна</v>
      </c>
      <c r="C2490" s="75" t="str">
        <f ca="1">IFERROR(__xludf.DUMMYFUNCTION("""COMPUTED_VALUE"""),"Студент")</f>
        <v>Студент</v>
      </c>
    </row>
    <row r="2491" spans="1:3">
      <c r="A2491" s="76">
        <f ca="1">IFERROR(__xludf.DUMMYFUNCTION("""COMPUTED_VALUE"""),2314604)</f>
        <v>2314604</v>
      </c>
      <c r="B2491" s="76" t="str">
        <f ca="1">IFERROR(__xludf.DUMMYFUNCTION("""COMPUTED_VALUE"""),"Давлатов Бехруз Талбидагиевич")</f>
        <v>Давлатов Бехруз Талбидагиевич</v>
      </c>
      <c r="C2491" s="75" t="str">
        <f ca="1">IFERROR(__xludf.DUMMYFUNCTION("""COMPUTED_VALUE"""),"Студент")</f>
        <v>Студент</v>
      </c>
    </row>
    <row r="2492" spans="1:3">
      <c r="A2492" s="76">
        <f ca="1">IFERROR(__xludf.DUMMYFUNCTION("""COMPUTED_VALUE"""),2314605)</f>
        <v>2314605</v>
      </c>
      <c r="B2492" s="76" t="str">
        <f ca="1">IFERROR(__xludf.DUMMYFUNCTION("""COMPUTED_VALUE"""),"Мирзоев Идрис Тоджидинович")</f>
        <v>Мирзоев Идрис Тоджидинович</v>
      </c>
      <c r="C2492" s="75" t="str">
        <f ca="1">IFERROR(__xludf.DUMMYFUNCTION("""COMPUTED_VALUE"""),"Студент")</f>
        <v>Студент</v>
      </c>
    </row>
    <row r="2493" spans="1:3">
      <c r="A2493" s="76">
        <f ca="1">IFERROR(__xludf.DUMMYFUNCTION("""COMPUTED_VALUE"""),2314606)</f>
        <v>2314606</v>
      </c>
      <c r="B2493" s="76" t="str">
        <f ca="1">IFERROR(__xludf.DUMMYFUNCTION("""COMPUTED_VALUE"""),"Андрюнин Андрей Вячеславович")</f>
        <v>Андрюнин Андрей Вячеславович</v>
      </c>
      <c r="C2493" s="75" t="str">
        <f ca="1">IFERROR(__xludf.DUMMYFUNCTION("""COMPUTED_VALUE"""),"Студент")</f>
        <v>Студент</v>
      </c>
    </row>
    <row r="2494" spans="1:3">
      <c r="A2494" s="76">
        <f ca="1">IFERROR(__xludf.DUMMYFUNCTION("""COMPUTED_VALUE"""),2314610)</f>
        <v>2314610</v>
      </c>
      <c r="B2494" s="76" t="str">
        <f ca="1">IFERROR(__xludf.DUMMYFUNCTION("""COMPUTED_VALUE"""),"Бургун Эрик")</f>
        <v>Бургун Эрик</v>
      </c>
      <c r="C2494" s="75" t="str">
        <f ca="1">IFERROR(__xludf.DUMMYFUNCTION("""COMPUTED_VALUE"""),"Студент")</f>
        <v>Студент</v>
      </c>
    </row>
    <row r="2495" spans="1:3">
      <c r="A2495" s="76">
        <f ca="1">IFERROR(__xludf.DUMMYFUNCTION("""COMPUTED_VALUE"""),2314614)</f>
        <v>2314614</v>
      </c>
      <c r="B2495" s="76" t="str">
        <f ca="1">IFERROR(__xludf.DUMMYFUNCTION("""COMPUTED_VALUE"""),"Шайхутдинов Талгат Финилович")</f>
        <v>Шайхутдинов Талгат Финилович</v>
      </c>
      <c r="C2495" s="75" t="str">
        <f ca="1">IFERROR(__xludf.DUMMYFUNCTION("""COMPUTED_VALUE"""),"Студент")</f>
        <v>Студент</v>
      </c>
    </row>
    <row r="2496" spans="1:3">
      <c r="A2496" s="76">
        <f ca="1">IFERROR(__xludf.DUMMYFUNCTION("""COMPUTED_VALUE"""),2314616)</f>
        <v>2314616</v>
      </c>
      <c r="B2496" s="76" t="str">
        <f ca="1">IFERROR(__xludf.DUMMYFUNCTION("""COMPUTED_VALUE"""),"Цянь Луцзян")</f>
        <v>Цянь Луцзян</v>
      </c>
      <c r="C2496" s="75" t="str">
        <f ca="1">IFERROR(__xludf.DUMMYFUNCTION("""COMPUTED_VALUE"""),"Студент")</f>
        <v>Студент</v>
      </c>
    </row>
    <row r="2497" spans="1:3">
      <c r="A2497" s="76">
        <f ca="1">IFERROR(__xludf.DUMMYFUNCTION("""COMPUTED_VALUE"""),2314620)</f>
        <v>2314620</v>
      </c>
      <c r="B2497" s="76" t="str">
        <f ca="1">IFERROR(__xludf.DUMMYFUNCTION("""COMPUTED_VALUE"""),"Эммануэль Стивен Сандей")</f>
        <v>Эммануэль Стивен Сандей</v>
      </c>
      <c r="C2497" s="75" t="str">
        <f ca="1">IFERROR(__xludf.DUMMYFUNCTION("""COMPUTED_VALUE"""),"Студент")</f>
        <v>Студент</v>
      </c>
    </row>
    <row r="2498" spans="1:3">
      <c r="A2498" s="76">
        <f ca="1">IFERROR(__xludf.DUMMYFUNCTION("""COMPUTED_VALUE"""),2314623)</f>
        <v>2314623</v>
      </c>
      <c r="B2498" s="76" t="str">
        <f ca="1">IFERROR(__xludf.DUMMYFUNCTION("""COMPUTED_VALUE"""),"Быстров Дмитрий Александрович")</f>
        <v>Быстров Дмитрий Александрович</v>
      </c>
      <c r="C2498" s="75" t="str">
        <f ca="1">IFERROR(__xludf.DUMMYFUNCTION("""COMPUTED_VALUE"""),"Студент")</f>
        <v>Студент</v>
      </c>
    </row>
    <row r="2499" spans="1:3">
      <c r="A2499" s="76">
        <f ca="1">IFERROR(__xludf.DUMMYFUNCTION("""COMPUTED_VALUE"""),2314624)</f>
        <v>2314624</v>
      </c>
      <c r="B2499" s="76" t="str">
        <f ca="1">IFERROR(__xludf.DUMMYFUNCTION("""COMPUTED_VALUE"""),"Наранбаатар Тунармаа")</f>
        <v>Наранбаатар Тунармаа</v>
      </c>
      <c r="C2499" s="75" t="str">
        <f ca="1">IFERROR(__xludf.DUMMYFUNCTION("""COMPUTED_VALUE"""),"Студент")</f>
        <v>Студент</v>
      </c>
    </row>
    <row r="2500" spans="1:3">
      <c r="A2500" s="76">
        <f ca="1">IFERROR(__xludf.DUMMYFUNCTION("""COMPUTED_VALUE"""),2314626)</f>
        <v>2314626</v>
      </c>
      <c r="B2500" s="76" t="str">
        <f ca="1">IFERROR(__xludf.DUMMYFUNCTION("""COMPUTED_VALUE"""),"Азимов Камар Илхомидинович")</f>
        <v>Азимов Камар Илхомидинович</v>
      </c>
      <c r="C2500" s="75" t="str">
        <f ca="1">IFERROR(__xludf.DUMMYFUNCTION("""COMPUTED_VALUE"""),"Студент")</f>
        <v>Студент</v>
      </c>
    </row>
    <row r="2501" spans="1:3">
      <c r="A2501" s="76">
        <f ca="1">IFERROR(__xludf.DUMMYFUNCTION("""COMPUTED_VALUE"""),2314630)</f>
        <v>2314630</v>
      </c>
      <c r="B2501" s="76" t="str">
        <f ca="1">IFERROR(__xludf.DUMMYFUNCTION("""COMPUTED_VALUE"""),"Горб Екатерина Александровна")</f>
        <v>Горб Екатерина Александровна</v>
      </c>
      <c r="C2501" s="75" t="str">
        <f ca="1">IFERROR(__xludf.DUMMYFUNCTION("""COMPUTED_VALUE"""),"Студент")</f>
        <v>Студент</v>
      </c>
    </row>
    <row r="2502" spans="1:3">
      <c r="A2502" s="76">
        <f ca="1">IFERROR(__xludf.DUMMYFUNCTION("""COMPUTED_VALUE"""),2314633)</f>
        <v>2314633</v>
      </c>
      <c r="B2502" s="76" t="str">
        <f ca="1">IFERROR(__xludf.DUMMYFUNCTION("""COMPUTED_VALUE"""),"Алексеев Владимир Игоревич")</f>
        <v>Алексеев Владимир Игоревич</v>
      </c>
      <c r="C2502" s="75" t="str">
        <f ca="1">IFERROR(__xludf.DUMMYFUNCTION("""COMPUTED_VALUE"""),"Студент")</f>
        <v>Студент</v>
      </c>
    </row>
    <row r="2503" spans="1:3">
      <c r="A2503" s="76">
        <f ca="1">IFERROR(__xludf.DUMMYFUNCTION("""COMPUTED_VALUE"""),2314634)</f>
        <v>2314634</v>
      </c>
      <c r="B2503" s="76" t="str">
        <f ca="1">IFERROR(__xludf.DUMMYFUNCTION("""COMPUTED_VALUE"""),"Пиров Манучехр Акбарович")</f>
        <v>Пиров Манучехр Акбарович</v>
      </c>
      <c r="C2503" s="75" t="str">
        <f ca="1">IFERROR(__xludf.DUMMYFUNCTION("""COMPUTED_VALUE"""),"Студент")</f>
        <v>Студент</v>
      </c>
    </row>
    <row r="2504" spans="1:3">
      <c r="A2504" s="76">
        <f ca="1">IFERROR(__xludf.DUMMYFUNCTION("""COMPUTED_VALUE"""),2314635)</f>
        <v>2314635</v>
      </c>
      <c r="B2504" s="76" t="str">
        <f ca="1">IFERROR(__xludf.DUMMYFUNCTION("""COMPUTED_VALUE"""),"Аджаи Виктор Осамудиамен")</f>
        <v>Аджаи Виктор Осамудиамен</v>
      </c>
      <c r="C2504" s="75" t="str">
        <f ca="1">IFERROR(__xludf.DUMMYFUNCTION("""COMPUTED_VALUE"""),"Студент")</f>
        <v>Студент</v>
      </c>
    </row>
    <row r="2505" spans="1:3">
      <c r="A2505" s="76">
        <f ca="1">IFERROR(__xludf.DUMMYFUNCTION("""COMPUTED_VALUE"""),2314638)</f>
        <v>2314638</v>
      </c>
      <c r="B2505" s="76" t="str">
        <f ca="1">IFERROR(__xludf.DUMMYFUNCTION("""COMPUTED_VALUE"""),"Салохов Фаридун Сухробович")</f>
        <v>Салохов Фаридун Сухробович</v>
      </c>
      <c r="C2505" s="75" t="str">
        <f ca="1">IFERROR(__xludf.DUMMYFUNCTION("""COMPUTED_VALUE"""),"Студент")</f>
        <v>Студент</v>
      </c>
    </row>
    <row r="2506" spans="1:3">
      <c r="A2506" s="76">
        <f ca="1">IFERROR(__xludf.DUMMYFUNCTION("""COMPUTED_VALUE"""),2314639)</f>
        <v>2314639</v>
      </c>
      <c r="B2506" s="76" t="str">
        <f ca="1">IFERROR(__xludf.DUMMYFUNCTION("""COMPUTED_VALUE"""),"Меламед Никита Дмитриевич")</f>
        <v>Меламед Никита Дмитриевич</v>
      </c>
      <c r="C2506" s="75" t="str">
        <f ca="1">IFERROR(__xludf.DUMMYFUNCTION("""COMPUTED_VALUE"""),"Студент")</f>
        <v>Студент</v>
      </c>
    </row>
    <row r="2507" spans="1:3">
      <c r="A2507" s="76">
        <f ca="1">IFERROR(__xludf.DUMMYFUNCTION("""COMPUTED_VALUE"""),2314645)</f>
        <v>2314645</v>
      </c>
      <c r="B2507" s="76" t="str">
        <f ca="1">IFERROR(__xludf.DUMMYFUNCTION("""COMPUTED_VALUE"""),"Кудрявский Алексей Эдуардович")</f>
        <v>Кудрявский Алексей Эдуардович</v>
      </c>
      <c r="C2507" s="75" t="str">
        <f ca="1">IFERROR(__xludf.DUMMYFUNCTION("""COMPUTED_VALUE"""),"Студент")</f>
        <v>Студент</v>
      </c>
    </row>
    <row r="2508" spans="1:3">
      <c r="A2508" s="76">
        <f ca="1">IFERROR(__xludf.DUMMYFUNCTION("""COMPUTED_VALUE"""),2314648)</f>
        <v>2314648</v>
      </c>
      <c r="B2508" s="76" t="str">
        <f ca="1">IFERROR(__xludf.DUMMYFUNCTION("""COMPUTED_VALUE"""),"Смелков Сергей Олегович")</f>
        <v>Смелков Сергей Олегович</v>
      </c>
      <c r="C2508" s="75" t="str">
        <f ca="1">IFERROR(__xludf.DUMMYFUNCTION("""COMPUTED_VALUE"""),"Студент")</f>
        <v>Студент</v>
      </c>
    </row>
    <row r="2509" spans="1:3">
      <c r="A2509" s="76">
        <f ca="1">IFERROR(__xludf.DUMMYFUNCTION("""COMPUTED_VALUE"""),2314653)</f>
        <v>2314653</v>
      </c>
      <c r="B2509" s="76" t="str">
        <f ca="1">IFERROR(__xludf.DUMMYFUNCTION("""COMPUTED_VALUE"""),"Эшмирзоев Субхон Давронович")</f>
        <v>Эшмирзоев Субхон Давронович</v>
      </c>
      <c r="C2509" s="75" t="str">
        <f ca="1">IFERROR(__xludf.DUMMYFUNCTION("""COMPUTED_VALUE"""),"Студент")</f>
        <v>Студент</v>
      </c>
    </row>
    <row r="2510" spans="1:3">
      <c r="A2510" s="76">
        <f ca="1">IFERROR(__xludf.DUMMYFUNCTION("""COMPUTED_VALUE"""),2314655)</f>
        <v>2314655</v>
      </c>
      <c r="B2510" s="76" t="str">
        <f ca="1">IFERROR(__xludf.DUMMYFUNCTION("""COMPUTED_VALUE"""),"Королев Сергей Михайлович")</f>
        <v>Королев Сергей Михайлович</v>
      </c>
      <c r="C2510" s="75" t="str">
        <f ca="1">IFERROR(__xludf.DUMMYFUNCTION("""COMPUTED_VALUE"""),"Студент")</f>
        <v>Студент</v>
      </c>
    </row>
    <row r="2511" spans="1:3">
      <c r="A2511" s="76">
        <f ca="1">IFERROR(__xludf.DUMMYFUNCTION("""COMPUTED_VALUE"""),2314661)</f>
        <v>2314661</v>
      </c>
      <c r="B2511" s="76" t="str">
        <f ca="1">IFERROR(__xludf.DUMMYFUNCTION("""COMPUTED_VALUE"""),"Полуэктова Ксения Витальевна")</f>
        <v>Полуэктова Ксения Витальевна</v>
      </c>
      <c r="C2511" s="75" t="str">
        <f ca="1">IFERROR(__xludf.DUMMYFUNCTION("""COMPUTED_VALUE"""),"Студент")</f>
        <v>Студент</v>
      </c>
    </row>
    <row r="2512" spans="1:3">
      <c r="A2512" s="76">
        <f ca="1">IFERROR(__xludf.DUMMYFUNCTION("""COMPUTED_VALUE"""),2314664)</f>
        <v>2314664</v>
      </c>
      <c r="B2512" s="76" t="str">
        <f ca="1">IFERROR(__xludf.DUMMYFUNCTION("""COMPUTED_VALUE"""),"Раджабов Рамзиёр Абдусаломович")</f>
        <v>Раджабов Рамзиёр Абдусаломович</v>
      </c>
      <c r="C2512" s="75" t="str">
        <f ca="1">IFERROR(__xludf.DUMMYFUNCTION("""COMPUTED_VALUE"""),"Студент")</f>
        <v>Студент</v>
      </c>
    </row>
    <row r="2513" spans="1:3">
      <c r="A2513" s="76">
        <f ca="1">IFERROR(__xludf.DUMMYFUNCTION("""COMPUTED_VALUE"""),2314670)</f>
        <v>2314670</v>
      </c>
      <c r="B2513" s="76" t="str">
        <f ca="1">IFERROR(__xludf.DUMMYFUNCTION("""COMPUTED_VALUE"""),"Никитин Антон Владимирович")</f>
        <v>Никитин Антон Владимирович</v>
      </c>
      <c r="C2513" s="75" t="str">
        <f ca="1">IFERROR(__xludf.DUMMYFUNCTION("""COMPUTED_VALUE"""),"Студент")</f>
        <v>Студент</v>
      </c>
    </row>
    <row r="2514" spans="1:3">
      <c r="A2514" s="76">
        <f ca="1">IFERROR(__xludf.DUMMYFUNCTION("""COMPUTED_VALUE"""),2314679)</f>
        <v>2314679</v>
      </c>
      <c r="B2514" s="76" t="str">
        <f ca="1">IFERROR(__xludf.DUMMYFUNCTION("""COMPUTED_VALUE"""),"Хаитов Холмурод Бобосаидович")</f>
        <v>Хаитов Холмурод Бобосаидович</v>
      </c>
      <c r="C2514" s="75" t="str">
        <f ca="1">IFERROR(__xludf.DUMMYFUNCTION("""COMPUTED_VALUE"""),"Студент")</f>
        <v>Студент</v>
      </c>
    </row>
    <row r="2515" spans="1:3">
      <c r="A2515" s="76">
        <f ca="1">IFERROR(__xludf.DUMMYFUNCTION("""COMPUTED_VALUE"""),2314688)</f>
        <v>2314688</v>
      </c>
      <c r="B2515" s="76" t="str">
        <f ca="1">IFERROR(__xludf.DUMMYFUNCTION("""COMPUTED_VALUE"""),"Баландин Семён Сергеевич")</f>
        <v>Баландин Семён Сергеевич</v>
      </c>
      <c r="C2515" s="75" t="str">
        <f ca="1">IFERROR(__xludf.DUMMYFUNCTION("""COMPUTED_VALUE"""),"Студент")</f>
        <v>Студент</v>
      </c>
    </row>
    <row r="2516" spans="1:3">
      <c r="A2516" s="76">
        <f ca="1">IFERROR(__xludf.DUMMYFUNCTION("""COMPUTED_VALUE"""),2314695)</f>
        <v>2314695</v>
      </c>
      <c r="B2516" s="76" t="str">
        <f ca="1">IFERROR(__xludf.DUMMYFUNCTION("""COMPUTED_VALUE"""),"Карпов Иван Алексеевич")</f>
        <v>Карпов Иван Алексеевич</v>
      </c>
      <c r="C2516" s="75" t="str">
        <f ca="1">IFERROR(__xludf.DUMMYFUNCTION("""COMPUTED_VALUE"""),"Студент")</f>
        <v>Студент</v>
      </c>
    </row>
    <row r="2517" spans="1:3">
      <c r="A2517" s="76">
        <f ca="1">IFERROR(__xludf.DUMMYFUNCTION("""COMPUTED_VALUE"""),2314706)</f>
        <v>2314706</v>
      </c>
      <c r="B2517" s="76" t="str">
        <f ca="1">IFERROR(__xludf.DUMMYFUNCTION("""COMPUTED_VALUE"""),"Кузьмин Артем Валентинович")</f>
        <v>Кузьмин Артем Валентинович</v>
      </c>
      <c r="C2517" s="75" t="str">
        <f ca="1">IFERROR(__xludf.DUMMYFUNCTION("""COMPUTED_VALUE"""),"Студент")</f>
        <v>Студент</v>
      </c>
    </row>
    <row r="2518" spans="1:3">
      <c r="A2518" s="76">
        <f ca="1">IFERROR(__xludf.DUMMYFUNCTION("""COMPUTED_VALUE"""),2314742)</f>
        <v>2314742</v>
      </c>
      <c r="B2518" s="76" t="str">
        <f ca="1">IFERROR(__xludf.DUMMYFUNCTION("""COMPUTED_VALUE"""),"Гаврин Илья Антонович")</f>
        <v>Гаврин Илья Антонович</v>
      </c>
      <c r="C2518" s="75" t="str">
        <f ca="1">IFERROR(__xludf.DUMMYFUNCTION("""COMPUTED_VALUE"""),"Студент")</f>
        <v>Студент</v>
      </c>
    </row>
    <row r="2519" spans="1:3">
      <c r="A2519" s="76">
        <f ca="1">IFERROR(__xludf.DUMMYFUNCTION("""COMPUTED_VALUE"""),2314743)</f>
        <v>2314743</v>
      </c>
      <c r="B2519" s="76" t="str">
        <f ca="1">IFERROR(__xludf.DUMMYFUNCTION("""COMPUTED_VALUE"""),"Сурина Екатерина Алексеевна")</f>
        <v>Сурина Екатерина Алексеевна</v>
      </c>
      <c r="C2519" s="75" t="str">
        <f ca="1">IFERROR(__xludf.DUMMYFUNCTION("""COMPUTED_VALUE"""),"Студент")</f>
        <v>Студент</v>
      </c>
    </row>
    <row r="2520" spans="1:3">
      <c r="A2520" s="76">
        <f ca="1">IFERROR(__xludf.DUMMYFUNCTION("""COMPUTED_VALUE"""),2314746)</f>
        <v>2314746</v>
      </c>
      <c r="B2520" s="76" t="str">
        <f ca="1">IFERROR(__xludf.DUMMYFUNCTION("""COMPUTED_VALUE"""),"Аталаева Патимат Нуриевна")</f>
        <v>Аталаева Патимат Нуриевна</v>
      </c>
      <c r="C2520" s="75" t="str">
        <f ca="1">IFERROR(__xludf.DUMMYFUNCTION("""COMPUTED_VALUE"""),"Студент")</f>
        <v>Студент</v>
      </c>
    </row>
    <row r="2521" spans="1:3">
      <c r="A2521" s="76">
        <f ca="1">IFERROR(__xludf.DUMMYFUNCTION("""COMPUTED_VALUE"""),2314747)</f>
        <v>2314747</v>
      </c>
      <c r="B2521" s="76" t="str">
        <f ca="1">IFERROR(__xludf.DUMMYFUNCTION("""COMPUTED_VALUE"""),"Демаков Алексей Михайлович")</f>
        <v>Демаков Алексей Михайлович</v>
      </c>
      <c r="C2521" s="75" t="str">
        <f ca="1">IFERROR(__xludf.DUMMYFUNCTION("""COMPUTED_VALUE"""),"Студент")</f>
        <v>Студент</v>
      </c>
    </row>
    <row r="2522" spans="1:3">
      <c r="A2522" s="76">
        <f ca="1">IFERROR(__xludf.DUMMYFUNCTION("""COMPUTED_VALUE"""),2314752)</f>
        <v>2314752</v>
      </c>
      <c r="B2522" s="76" t="str">
        <f ca="1">IFERROR(__xludf.DUMMYFUNCTION("""COMPUTED_VALUE"""),"Кучеряев Кирилл Алексеевич")</f>
        <v>Кучеряев Кирилл Алексеевич</v>
      </c>
      <c r="C2522" s="75" t="str">
        <f ca="1">IFERROR(__xludf.DUMMYFUNCTION("""COMPUTED_VALUE"""),"Студент")</f>
        <v>Студент</v>
      </c>
    </row>
    <row r="2523" spans="1:3">
      <c r="A2523" s="76">
        <f ca="1">IFERROR(__xludf.DUMMYFUNCTION("""COMPUTED_VALUE"""),2314760)</f>
        <v>2314760</v>
      </c>
      <c r="B2523" s="76" t="str">
        <f ca="1">IFERROR(__xludf.DUMMYFUNCTION("""COMPUTED_VALUE"""),"Графова Полина Леонидовна")</f>
        <v>Графова Полина Леонидовна</v>
      </c>
      <c r="C2523" s="75" t="str">
        <f ca="1">IFERROR(__xludf.DUMMYFUNCTION("""COMPUTED_VALUE"""),"Студент")</f>
        <v>Студент</v>
      </c>
    </row>
    <row r="2524" spans="1:3">
      <c r="A2524" s="76">
        <f ca="1">IFERROR(__xludf.DUMMYFUNCTION("""COMPUTED_VALUE"""),2314764)</f>
        <v>2314764</v>
      </c>
      <c r="B2524" s="76" t="str">
        <f ca="1">IFERROR(__xludf.DUMMYFUNCTION("""COMPUTED_VALUE"""),"Радыгин Никита Сергеевич")</f>
        <v>Радыгин Никита Сергеевич</v>
      </c>
      <c r="C2524" s="75" t="str">
        <f ca="1">IFERROR(__xludf.DUMMYFUNCTION("""COMPUTED_VALUE"""),"Студент")</f>
        <v>Студент</v>
      </c>
    </row>
    <row r="2525" spans="1:3">
      <c r="A2525" s="76">
        <f ca="1">IFERROR(__xludf.DUMMYFUNCTION("""COMPUTED_VALUE"""),2314765)</f>
        <v>2314765</v>
      </c>
      <c r="B2525" s="76" t="str">
        <f ca="1">IFERROR(__xludf.DUMMYFUNCTION("""COMPUTED_VALUE"""),"Шарипова Зебуниссо Мусиновна")</f>
        <v>Шарипова Зебуниссо Мусиновна</v>
      </c>
      <c r="C2525" s="75" t="str">
        <f ca="1">IFERROR(__xludf.DUMMYFUNCTION("""COMPUTED_VALUE"""),"Студент")</f>
        <v>Студент</v>
      </c>
    </row>
    <row r="2526" spans="1:3">
      <c r="A2526" s="76">
        <f ca="1">IFERROR(__xludf.DUMMYFUNCTION("""COMPUTED_VALUE"""),2314766)</f>
        <v>2314766</v>
      </c>
      <c r="B2526" s="76" t="str">
        <f ca="1">IFERROR(__xludf.DUMMYFUNCTION("""COMPUTED_VALUE"""),"Мустафокулов Бахриддин Бахтиёрович")</f>
        <v>Мустафокулов Бахриддин Бахтиёрович</v>
      </c>
      <c r="C2526" s="75" t="str">
        <f ca="1">IFERROR(__xludf.DUMMYFUNCTION("""COMPUTED_VALUE"""),"Студент")</f>
        <v>Студент</v>
      </c>
    </row>
    <row r="2527" spans="1:3">
      <c r="A2527" s="76">
        <f ca="1">IFERROR(__xludf.DUMMYFUNCTION("""COMPUTED_VALUE"""),2314777)</f>
        <v>2314777</v>
      </c>
      <c r="B2527" s="76" t="str">
        <f ca="1">IFERROR(__xludf.DUMMYFUNCTION("""COMPUTED_VALUE"""),"Мирзоева Тахмина Сухробовна")</f>
        <v>Мирзоева Тахмина Сухробовна</v>
      </c>
      <c r="C2527" s="75" t="str">
        <f ca="1">IFERROR(__xludf.DUMMYFUNCTION("""COMPUTED_VALUE"""),"Студент")</f>
        <v>Студент</v>
      </c>
    </row>
    <row r="2528" spans="1:3">
      <c r="A2528" s="76">
        <f ca="1">IFERROR(__xludf.DUMMYFUNCTION("""COMPUTED_VALUE"""),2314780)</f>
        <v>2314780</v>
      </c>
      <c r="B2528" s="76" t="str">
        <f ca="1">IFERROR(__xludf.DUMMYFUNCTION("""COMPUTED_VALUE"""),"Холова Гулноза Олимджоновна")</f>
        <v>Холова Гулноза Олимджоновна</v>
      </c>
      <c r="C2528" s="75" t="str">
        <f ca="1">IFERROR(__xludf.DUMMYFUNCTION("""COMPUTED_VALUE"""),"Студент")</f>
        <v>Студент</v>
      </c>
    </row>
    <row r="2529" spans="1:3">
      <c r="A2529" s="76">
        <f ca="1">IFERROR(__xludf.DUMMYFUNCTION("""COMPUTED_VALUE"""),2314785)</f>
        <v>2314785</v>
      </c>
      <c r="B2529" s="76" t="str">
        <f ca="1">IFERROR(__xludf.DUMMYFUNCTION("""COMPUTED_VALUE"""),"Абдулхаев Али Мухаммадович")</f>
        <v>Абдулхаев Али Мухаммадович</v>
      </c>
      <c r="C2529" s="75" t="str">
        <f ca="1">IFERROR(__xludf.DUMMYFUNCTION("""COMPUTED_VALUE"""),"Студент")</f>
        <v>Студент</v>
      </c>
    </row>
    <row r="2530" spans="1:3">
      <c r="A2530" s="76">
        <f ca="1">IFERROR(__xludf.DUMMYFUNCTION("""COMPUTED_VALUE"""),2314799)</f>
        <v>2314799</v>
      </c>
      <c r="B2530" s="76" t="str">
        <f ca="1">IFERROR(__xludf.DUMMYFUNCTION("""COMPUTED_VALUE"""),"Краулин Денис Константинович")</f>
        <v>Краулин Денис Константинович</v>
      </c>
      <c r="C2530" s="75" t="str">
        <f ca="1">IFERROR(__xludf.DUMMYFUNCTION("""COMPUTED_VALUE"""),"Студент")</f>
        <v>Студент</v>
      </c>
    </row>
    <row r="2531" spans="1:3">
      <c r="A2531" s="76">
        <f ca="1">IFERROR(__xludf.DUMMYFUNCTION("""COMPUTED_VALUE"""),2314804)</f>
        <v>2314804</v>
      </c>
      <c r="B2531" s="76" t="str">
        <f ca="1">IFERROR(__xludf.DUMMYFUNCTION("""COMPUTED_VALUE"""),"Азизов Санжарбек Мухаммадович")</f>
        <v>Азизов Санжарбек Мухаммадович</v>
      </c>
      <c r="C2531" s="75" t="str">
        <f ca="1">IFERROR(__xludf.DUMMYFUNCTION("""COMPUTED_VALUE"""),"Студент")</f>
        <v>Студент</v>
      </c>
    </row>
    <row r="2532" spans="1:3">
      <c r="A2532" s="76">
        <f ca="1">IFERROR(__xludf.DUMMYFUNCTION("""COMPUTED_VALUE"""),2314805)</f>
        <v>2314805</v>
      </c>
      <c r="B2532" s="76" t="str">
        <f ca="1">IFERROR(__xludf.DUMMYFUNCTION("""COMPUTED_VALUE"""),"Корнеев Артем Иванович")</f>
        <v>Корнеев Артем Иванович</v>
      </c>
      <c r="C2532" s="75" t="str">
        <f ca="1">IFERROR(__xludf.DUMMYFUNCTION("""COMPUTED_VALUE"""),"Студент")</f>
        <v>Студент</v>
      </c>
    </row>
    <row r="2533" spans="1:3">
      <c r="A2533" s="76">
        <f ca="1">IFERROR(__xludf.DUMMYFUNCTION("""COMPUTED_VALUE"""),2314813)</f>
        <v>2314813</v>
      </c>
      <c r="B2533" s="76" t="str">
        <f ca="1">IFERROR(__xludf.DUMMYFUNCTION("""COMPUTED_VALUE"""),"Сайдалин Асанали")</f>
        <v>Сайдалин Асанали</v>
      </c>
      <c r="C2533" s="75" t="str">
        <f ca="1">IFERROR(__xludf.DUMMYFUNCTION("""COMPUTED_VALUE"""),"Студент")</f>
        <v>Студент</v>
      </c>
    </row>
    <row r="2534" spans="1:3">
      <c r="A2534" s="76">
        <f ca="1">IFERROR(__xludf.DUMMYFUNCTION("""COMPUTED_VALUE"""),2314822)</f>
        <v>2314822</v>
      </c>
      <c r="B2534" s="76" t="str">
        <f ca="1">IFERROR(__xludf.DUMMYFUNCTION("""COMPUTED_VALUE"""),"Гусева Виктория Владиславовна")</f>
        <v>Гусева Виктория Владиславовна</v>
      </c>
      <c r="C2534" s="75" t="str">
        <f ca="1">IFERROR(__xludf.DUMMYFUNCTION("""COMPUTED_VALUE"""),"Студент")</f>
        <v>Студент</v>
      </c>
    </row>
    <row r="2535" spans="1:3">
      <c r="A2535" s="76">
        <f ca="1">IFERROR(__xludf.DUMMYFUNCTION("""COMPUTED_VALUE"""),2314829)</f>
        <v>2314829</v>
      </c>
      <c r="B2535" s="76" t="str">
        <f ca="1">IFERROR(__xludf.DUMMYFUNCTION("""COMPUTED_VALUE"""),"Каримов Муротжон Сайдулла Угли")</f>
        <v>Каримов Муротжон Сайдулла Угли</v>
      </c>
      <c r="C2535" s="75" t="str">
        <f ca="1">IFERROR(__xludf.DUMMYFUNCTION("""COMPUTED_VALUE"""),"Студент")</f>
        <v>Студент</v>
      </c>
    </row>
    <row r="2536" spans="1:3">
      <c r="A2536" s="76">
        <f ca="1">IFERROR(__xludf.DUMMYFUNCTION("""COMPUTED_VALUE"""),2314832)</f>
        <v>2314832</v>
      </c>
      <c r="B2536" s="76" t="str">
        <f ca="1">IFERROR(__xludf.DUMMYFUNCTION("""COMPUTED_VALUE"""),"Каюмов Лутфулло Асадуллоевич")</f>
        <v>Каюмов Лутфулло Асадуллоевич</v>
      </c>
      <c r="C2536" s="75" t="str">
        <f ca="1">IFERROR(__xludf.DUMMYFUNCTION("""COMPUTED_VALUE"""),"Студент")</f>
        <v>Студент</v>
      </c>
    </row>
    <row r="2537" spans="1:3">
      <c r="A2537" s="76">
        <f ca="1">IFERROR(__xludf.DUMMYFUNCTION("""COMPUTED_VALUE"""),2314839)</f>
        <v>2314839</v>
      </c>
      <c r="B2537" s="76" t="str">
        <f ca="1">IFERROR(__xludf.DUMMYFUNCTION("""COMPUTED_VALUE"""),"Омонов Ахмад Шерали угли")</f>
        <v>Омонов Ахмад Шерали угли</v>
      </c>
      <c r="C2537" s="75" t="str">
        <f ca="1">IFERROR(__xludf.DUMMYFUNCTION("""COMPUTED_VALUE"""),"Студент")</f>
        <v>Студент</v>
      </c>
    </row>
    <row r="2538" spans="1:3">
      <c r="A2538" s="76">
        <f ca="1">IFERROR(__xludf.DUMMYFUNCTION("""COMPUTED_VALUE"""),2314840)</f>
        <v>2314840</v>
      </c>
      <c r="B2538" s="76" t="str">
        <f ca="1">IFERROR(__xludf.DUMMYFUNCTION("""COMPUTED_VALUE"""),"Толипов Жавохир Ботир угли")</f>
        <v>Толипов Жавохир Ботир угли</v>
      </c>
      <c r="C2538" s="75" t="str">
        <f ca="1">IFERROR(__xludf.DUMMYFUNCTION("""COMPUTED_VALUE"""),"Студент")</f>
        <v>Студент</v>
      </c>
    </row>
    <row r="2539" spans="1:3">
      <c r="A2539" s="76">
        <f ca="1">IFERROR(__xludf.DUMMYFUNCTION("""COMPUTED_VALUE"""),2314843)</f>
        <v>2314843</v>
      </c>
      <c r="B2539" s="76" t="str">
        <f ca="1">IFERROR(__xludf.DUMMYFUNCTION("""COMPUTED_VALUE"""),"Соцков Игнатий Николаевич")</f>
        <v>Соцков Игнатий Николаевич</v>
      </c>
      <c r="C2539" s="75" t="str">
        <f ca="1">IFERROR(__xludf.DUMMYFUNCTION("""COMPUTED_VALUE"""),"Студент")</f>
        <v>Студент</v>
      </c>
    </row>
    <row r="2540" spans="1:3">
      <c r="A2540" s="76">
        <f ca="1">IFERROR(__xludf.DUMMYFUNCTION("""COMPUTED_VALUE"""),2314852)</f>
        <v>2314852</v>
      </c>
      <c r="B2540" s="76" t="str">
        <f ca="1">IFERROR(__xludf.DUMMYFUNCTION("""COMPUTED_VALUE"""),"Мазалов Денис Алексеевич")</f>
        <v>Мазалов Денис Алексеевич</v>
      </c>
      <c r="C2540" s="75" t="str">
        <f ca="1">IFERROR(__xludf.DUMMYFUNCTION("""COMPUTED_VALUE"""),"Студент")</f>
        <v>Студент</v>
      </c>
    </row>
    <row r="2541" spans="1:3">
      <c r="A2541" s="76">
        <f ca="1">IFERROR(__xludf.DUMMYFUNCTION("""COMPUTED_VALUE"""),2314856)</f>
        <v>2314856</v>
      </c>
      <c r="B2541" s="76" t="str">
        <f ca="1">IFERROR(__xludf.DUMMYFUNCTION("""COMPUTED_VALUE"""),"Тимохин Владимир Дмитриевич")</f>
        <v>Тимохин Владимир Дмитриевич</v>
      </c>
      <c r="C2541" s="75" t="str">
        <f ca="1">IFERROR(__xludf.DUMMYFUNCTION("""COMPUTED_VALUE"""),"Студент")</f>
        <v>Студент</v>
      </c>
    </row>
    <row r="2542" spans="1:3">
      <c r="A2542" s="76">
        <f ca="1">IFERROR(__xludf.DUMMYFUNCTION("""COMPUTED_VALUE"""),2314859)</f>
        <v>2314859</v>
      </c>
      <c r="B2542" s="76" t="str">
        <f ca="1">IFERROR(__xludf.DUMMYFUNCTION("""COMPUTED_VALUE"""),"Гурова Анастасия Сергеевна")</f>
        <v>Гурова Анастасия Сергеевна</v>
      </c>
      <c r="C2542" s="75" t="str">
        <f ca="1">IFERROR(__xludf.DUMMYFUNCTION("""COMPUTED_VALUE"""),"Студент")</f>
        <v>Студент</v>
      </c>
    </row>
    <row r="2543" spans="1:3">
      <c r="A2543" s="76">
        <f ca="1">IFERROR(__xludf.DUMMYFUNCTION("""COMPUTED_VALUE"""),2314864)</f>
        <v>2314864</v>
      </c>
      <c r="B2543" s="76" t="str">
        <f ca="1">IFERROR(__xludf.DUMMYFUNCTION("""COMPUTED_VALUE"""),"Куртенкова Анна Денисовна")</f>
        <v>Куртенкова Анна Денисовна</v>
      </c>
      <c r="C2543" s="75" t="str">
        <f ca="1">IFERROR(__xludf.DUMMYFUNCTION("""COMPUTED_VALUE"""),"Студент")</f>
        <v>Студент</v>
      </c>
    </row>
    <row r="2544" spans="1:3">
      <c r="A2544" s="76">
        <f ca="1">IFERROR(__xludf.DUMMYFUNCTION("""COMPUTED_VALUE"""),2314872)</f>
        <v>2314872</v>
      </c>
      <c r="B2544" s="76" t="str">
        <f ca="1">IFERROR(__xludf.DUMMYFUNCTION("""COMPUTED_VALUE"""),"Шумаков Владислав Владимирович")</f>
        <v>Шумаков Владислав Владимирович</v>
      </c>
      <c r="C2544" s="75" t="str">
        <f ca="1">IFERROR(__xludf.DUMMYFUNCTION("""COMPUTED_VALUE"""),"Студент")</f>
        <v>Студент</v>
      </c>
    </row>
    <row r="2545" spans="1:3">
      <c r="A2545" s="76">
        <f ca="1">IFERROR(__xludf.DUMMYFUNCTION("""COMPUTED_VALUE"""),2314879)</f>
        <v>2314879</v>
      </c>
      <c r="B2545" s="76" t="str">
        <f ca="1">IFERROR(__xludf.DUMMYFUNCTION("""COMPUTED_VALUE"""),"Сафарбеков Бехруз Зафарович")</f>
        <v>Сафарбеков Бехруз Зафарович</v>
      </c>
      <c r="C2545" s="75" t="str">
        <f ca="1">IFERROR(__xludf.DUMMYFUNCTION("""COMPUTED_VALUE"""),"Студент")</f>
        <v>Студент</v>
      </c>
    </row>
    <row r="2546" spans="1:3">
      <c r="A2546" s="76">
        <f ca="1">IFERROR(__xludf.DUMMYFUNCTION("""COMPUTED_VALUE"""),2314916)</f>
        <v>2314916</v>
      </c>
      <c r="B2546" s="76" t="str">
        <f ca="1">IFERROR(__xludf.DUMMYFUNCTION("""COMPUTED_VALUE"""),"Гафуров Тимур Тахирович")</f>
        <v>Гафуров Тимур Тахирович</v>
      </c>
      <c r="C2546" s="75" t="str">
        <f ca="1">IFERROR(__xludf.DUMMYFUNCTION("""COMPUTED_VALUE"""),"Студент")</f>
        <v>Студент</v>
      </c>
    </row>
    <row r="2547" spans="1:3">
      <c r="A2547" s="76">
        <f ca="1">IFERROR(__xludf.DUMMYFUNCTION("""COMPUTED_VALUE"""),2314933)</f>
        <v>2314933</v>
      </c>
      <c r="B2547" s="76" t="str">
        <f ca="1">IFERROR(__xludf.DUMMYFUNCTION("""COMPUTED_VALUE"""),"Сидоров Никита Николаевич")</f>
        <v>Сидоров Никита Николаевич</v>
      </c>
      <c r="C2547" s="75" t="str">
        <f ca="1">IFERROR(__xludf.DUMMYFUNCTION("""COMPUTED_VALUE"""),"Студент")</f>
        <v>Студент</v>
      </c>
    </row>
    <row r="2548" spans="1:3">
      <c r="A2548" s="76">
        <f ca="1">IFERROR(__xludf.DUMMYFUNCTION("""COMPUTED_VALUE"""),2314934)</f>
        <v>2314934</v>
      </c>
      <c r="B2548" s="76" t="str">
        <f ca="1">IFERROR(__xludf.DUMMYFUNCTION("""COMPUTED_VALUE"""),"Гостев Артем Алексеевич")</f>
        <v>Гостев Артем Алексеевич</v>
      </c>
      <c r="C2548" s="75" t="str">
        <f ca="1">IFERROR(__xludf.DUMMYFUNCTION("""COMPUTED_VALUE"""),"Студент")</f>
        <v>Студент</v>
      </c>
    </row>
    <row r="2549" spans="1:3">
      <c r="A2549" s="76">
        <f ca="1">IFERROR(__xludf.DUMMYFUNCTION("""COMPUTED_VALUE"""),2314940)</f>
        <v>2314940</v>
      </c>
      <c r="B2549" s="76" t="str">
        <f ca="1">IFERROR(__xludf.DUMMYFUNCTION("""COMPUTED_VALUE"""),"Юнусов Ахмаджон Дилшод угли")</f>
        <v>Юнусов Ахмаджон Дилшод угли</v>
      </c>
      <c r="C2549" s="75" t="str">
        <f ca="1">IFERROR(__xludf.DUMMYFUNCTION("""COMPUTED_VALUE"""),"Студент")</f>
        <v>Студент</v>
      </c>
    </row>
    <row r="2550" spans="1:3">
      <c r="A2550" s="76">
        <f ca="1">IFERROR(__xludf.DUMMYFUNCTION("""COMPUTED_VALUE"""),2314944)</f>
        <v>2314944</v>
      </c>
      <c r="B2550" s="76" t="str">
        <f ca="1">IFERROR(__xludf.DUMMYFUNCTION("""COMPUTED_VALUE"""),"Киричек Павел Владимирович")</f>
        <v>Киричек Павел Владимирович</v>
      </c>
      <c r="C2550" s="75" t="str">
        <f ca="1">IFERROR(__xludf.DUMMYFUNCTION("""COMPUTED_VALUE"""),"Студент")</f>
        <v>Студент</v>
      </c>
    </row>
    <row r="2551" spans="1:3">
      <c r="A2551" s="76">
        <f ca="1">IFERROR(__xludf.DUMMYFUNCTION("""COMPUTED_VALUE"""),2314946)</f>
        <v>2314946</v>
      </c>
      <c r="B2551" s="76" t="str">
        <f ca="1">IFERROR(__xludf.DUMMYFUNCTION("""COMPUTED_VALUE"""),"Дубынина Анжелика Игоревна")</f>
        <v>Дубынина Анжелика Игоревна</v>
      </c>
      <c r="C2551" s="75" t="str">
        <f ca="1">IFERROR(__xludf.DUMMYFUNCTION("""COMPUTED_VALUE"""),"Студент")</f>
        <v>Студент</v>
      </c>
    </row>
    <row r="2552" spans="1:3">
      <c r="A2552" s="76">
        <f ca="1">IFERROR(__xludf.DUMMYFUNCTION("""COMPUTED_VALUE"""),2314958)</f>
        <v>2314958</v>
      </c>
      <c r="B2552" s="76" t="str">
        <f ca="1">IFERROR(__xludf.DUMMYFUNCTION("""COMPUTED_VALUE"""),"Ипатов Иван Максимович")</f>
        <v>Ипатов Иван Максимович</v>
      </c>
      <c r="C2552" s="75" t="str">
        <f ca="1">IFERROR(__xludf.DUMMYFUNCTION("""COMPUTED_VALUE"""),"Студент")</f>
        <v>Студент</v>
      </c>
    </row>
    <row r="2553" spans="1:3">
      <c r="A2553" s="76">
        <f ca="1">IFERROR(__xludf.DUMMYFUNCTION("""COMPUTED_VALUE"""),2314964)</f>
        <v>2314964</v>
      </c>
      <c r="B2553" s="76" t="str">
        <f ca="1">IFERROR(__xludf.DUMMYFUNCTION("""COMPUTED_VALUE"""),"Оспенников Егор Андреевич")</f>
        <v>Оспенников Егор Андреевич</v>
      </c>
      <c r="C2553" s="75" t="str">
        <f ca="1">IFERROR(__xludf.DUMMYFUNCTION("""COMPUTED_VALUE"""),"Студент")</f>
        <v>Студент</v>
      </c>
    </row>
    <row r="2554" spans="1:3">
      <c r="A2554" s="76">
        <f ca="1">IFERROR(__xludf.DUMMYFUNCTION("""COMPUTED_VALUE"""),2314968)</f>
        <v>2314968</v>
      </c>
      <c r="B2554" s="76" t="str">
        <f ca="1">IFERROR(__xludf.DUMMYFUNCTION("""COMPUTED_VALUE"""),"Хагба Гарри Анзорович")</f>
        <v>Хагба Гарри Анзорович</v>
      </c>
      <c r="C2554" s="75" t="str">
        <f ca="1">IFERROR(__xludf.DUMMYFUNCTION("""COMPUTED_VALUE"""),"Студент")</f>
        <v>Студент</v>
      </c>
    </row>
    <row r="2555" spans="1:3">
      <c r="A2555" s="76">
        <f ca="1">IFERROR(__xludf.DUMMYFUNCTION("""COMPUTED_VALUE"""),2314977)</f>
        <v>2314977</v>
      </c>
      <c r="B2555" s="76" t="str">
        <f ca="1">IFERROR(__xludf.DUMMYFUNCTION("""COMPUTED_VALUE"""),"Холматов Комилджон Махтумджонович")</f>
        <v>Холматов Комилджон Махтумджонович</v>
      </c>
      <c r="C2555" s="75" t="str">
        <f ca="1">IFERROR(__xludf.DUMMYFUNCTION("""COMPUTED_VALUE"""),"Студент")</f>
        <v>Студент</v>
      </c>
    </row>
    <row r="2556" spans="1:3">
      <c r="A2556" s="76">
        <f ca="1">IFERROR(__xludf.DUMMYFUNCTION("""COMPUTED_VALUE"""),2314978)</f>
        <v>2314978</v>
      </c>
      <c r="B2556" s="76" t="str">
        <f ca="1">IFERROR(__xludf.DUMMYFUNCTION("""COMPUTED_VALUE"""),"Рыспекова Айгерим Рыспековна")</f>
        <v>Рыспекова Айгерим Рыспековна</v>
      </c>
      <c r="C2556" s="75" t="str">
        <f ca="1">IFERROR(__xludf.DUMMYFUNCTION("""COMPUTED_VALUE"""),"Студент")</f>
        <v>Студент</v>
      </c>
    </row>
    <row r="2557" spans="1:3">
      <c r="A2557" s="76">
        <f ca="1">IFERROR(__xludf.DUMMYFUNCTION("""COMPUTED_VALUE"""),2314980)</f>
        <v>2314980</v>
      </c>
      <c r="B2557" s="76" t="str">
        <f ca="1">IFERROR(__xludf.DUMMYFUNCTION("""COMPUTED_VALUE"""),"Сат Оран Огонекович")</f>
        <v>Сат Оран Огонекович</v>
      </c>
      <c r="C2557" s="75" t="str">
        <f ca="1">IFERROR(__xludf.DUMMYFUNCTION("""COMPUTED_VALUE"""),"Студент")</f>
        <v>Студент</v>
      </c>
    </row>
    <row r="2558" spans="1:3">
      <c r="A2558" s="76">
        <f ca="1">IFERROR(__xludf.DUMMYFUNCTION("""COMPUTED_VALUE"""),2314984)</f>
        <v>2314984</v>
      </c>
      <c r="B2558" s="76" t="str">
        <f ca="1">IFERROR(__xludf.DUMMYFUNCTION("""COMPUTED_VALUE"""),"Бушуева Алина Николаевна")</f>
        <v>Бушуева Алина Николаевна</v>
      </c>
      <c r="C2558" s="75" t="str">
        <f ca="1">IFERROR(__xludf.DUMMYFUNCTION("""COMPUTED_VALUE"""),"Студент")</f>
        <v>Студент</v>
      </c>
    </row>
    <row r="2559" spans="1:3">
      <c r="A2559" s="76">
        <f ca="1">IFERROR(__xludf.DUMMYFUNCTION("""COMPUTED_VALUE"""),2314985)</f>
        <v>2314985</v>
      </c>
      <c r="B2559" s="76" t="str">
        <f ca="1">IFERROR(__xludf.DUMMYFUNCTION("""COMPUTED_VALUE"""),"Турсунов Асрор Парвизович")</f>
        <v>Турсунов Асрор Парвизович</v>
      </c>
      <c r="C2559" s="75" t="str">
        <f ca="1">IFERROR(__xludf.DUMMYFUNCTION("""COMPUTED_VALUE"""),"Студент")</f>
        <v>Студент</v>
      </c>
    </row>
    <row r="2560" spans="1:3">
      <c r="A2560" s="76">
        <f ca="1">IFERROR(__xludf.DUMMYFUNCTION("""COMPUTED_VALUE"""),2314995)</f>
        <v>2314995</v>
      </c>
      <c r="B2560" s="76" t="str">
        <f ca="1">IFERROR(__xludf.DUMMYFUNCTION("""COMPUTED_VALUE"""),"Пронин Роман Вячеславович")</f>
        <v>Пронин Роман Вячеславович</v>
      </c>
      <c r="C2560" s="75" t="str">
        <f ca="1">IFERROR(__xludf.DUMMYFUNCTION("""COMPUTED_VALUE"""),"Студент")</f>
        <v>Студент</v>
      </c>
    </row>
    <row r="2561" spans="1:3">
      <c r="A2561" s="76">
        <f ca="1">IFERROR(__xludf.DUMMYFUNCTION("""COMPUTED_VALUE"""),2314996)</f>
        <v>2314996</v>
      </c>
      <c r="B2561" s="76" t="str">
        <f ca="1">IFERROR(__xludf.DUMMYFUNCTION("""COMPUTED_VALUE"""),"Лагутенко Кирилл Владимирович")</f>
        <v>Лагутенко Кирилл Владимирович</v>
      </c>
      <c r="C2561" s="75" t="str">
        <f ca="1">IFERROR(__xludf.DUMMYFUNCTION("""COMPUTED_VALUE"""),"Студент")</f>
        <v>Студент</v>
      </c>
    </row>
    <row r="2562" spans="1:3">
      <c r="A2562" s="76">
        <f ca="1">IFERROR(__xludf.DUMMYFUNCTION("""COMPUTED_VALUE"""),2315004)</f>
        <v>2315004</v>
      </c>
      <c r="B2562" s="76" t="str">
        <f ca="1">IFERROR(__xludf.DUMMYFUNCTION("""COMPUTED_VALUE"""),"Максимихин Алексей Владимирович")</f>
        <v>Максимихин Алексей Владимирович</v>
      </c>
      <c r="C2562" s="75" t="str">
        <f ca="1">IFERROR(__xludf.DUMMYFUNCTION("""COMPUTED_VALUE"""),"Студент")</f>
        <v>Студент</v>
      </c>
    </row>
    <row r="2563" spans="1:3">
      <c r="A2563" s="76">
        <f ca="1">IFERROR(__xludf.DUMMYFUNCTION("""COMPUTED_VALUE"""),2315010)</f>
        <v>2315010</v>
      </c>
      <c r="B2563" s="76" t="str">
        <f ca="1">IFERROR(__xludf.DUMMYFUNCTION("""COMPUTED_VALUE"""),"Джабборзода Сайдамири Саймуддин")</f>
        <v>Джабборзода Сайдамири Саймуддин</v>
      </c>
      <c r="C2563" s="75" t="str">
        <f ca="1">IFERROR(__xludf.DUMMYFUNCTION("""COMPUTED_VALUE"""),"Студент")</f>
        <v>Студент</v>
      </c>
    </row>
    <row r="2564" spans="1:3">
      <c r="A2564" s="76">
        <f ca="1">IFERROR(__xludf.DUMMYFUNCTION("""COMPUTED_VALUE"""),2315015)</f>
        <v>2315015</v>
      </c>
      <c r="B2564" s="76" t="str">
        <f ca="1">IFERROR(__xludf.DUMMYFUNCTION("""COMPUTED_VALUE"""),"Бобоев Масрурджон Нодирхонович")</f>
        <v>Бобоев Масрурджон Нодирхонович</v>
      </c>
      <c r="C2564" s="75" t="str">
        <f ca="1">IFERROR(__xludf.DUMMYFUNCTION("""COMPUTED_VALUE"""),"Студент")</f>
        <v>Студент</v>
      </c>
    </row>
    <row r="2565" spans="1:3">
      <c r="A2565" s="76">
        <f ca="1">IFERROR(__xludf.DUMMYFUNCTION("""COMPUTED_VALUE"""),2315025)</f>
        <v>2315025</v>
      </c>
      <c r="B2565" s="76" t="str">
        <f ca="1">IFERROR(__xludf.DUMMYFUNCTION("""COMPUTED_VALUE"""),"Аскеров Гусейн Рза оглы")</f>
        <v>Аскеров Гусейн Рза оглы</v>
      </c>
      <c r="C2565" s="75" t="str">
        <f ca="1">IFERROR(__xludf.DUMMYFUNCTION("""COMPUTED_VALUE"""),"Студент")</f>
        <v>Студент</v>
      </c>
    </row>
    <row r="2566" spans="1:3">
      <c r="A2566" s="76">
        <f ca="1">IFERROR(__xludf.DUMMYFUNCTION("""COMPUTED_VALUE"""),2315027)</f>
        <v>2315027</v>
      </c>
      <c r="B2566" s="76" t="str">
        <f ca="1">IFERROR(__xludf.DUMMYFUNCTION("""COMPUTED_VALUE"""),"Мирзоев Фирдавс Рахмиддинович")</f>
        <v>Мирзоев Фирдавс Рахмиддинович</v>
      </c>
      <c r="C2566" s="75" t="str">
        <f ca="1">IFERROR(__xludf.DUMMYFUNCTION("""COMPUTED_VALUE"""),"Студент")</f>
        <v>Студент</v>
      </c>
    </row>
    <row r="2567" spans="1:3">
      <c r="A2567" s="76">
        <f ca="1">IFERROR(__xludf.DUMMYFUNCTION("""COMPUTED_VALUE"""),2315028)</f>
        <v>2315028</v>
      </c>
      <c r="B2567" s="76" t="str">
        <f ca="1">IFERROR(__xludf.DUMMYFUNCTION("""COMPUTED_VALUE"""),"Пагиев Георгий Валерьевич")</f>
        <v>Пагиев Георгий Валерьевич</v>
      </c>
      <c r="C2567" s="75" t="str">
        <f ca="1">IFERROR(__xludf.DUMMYFUNCTION("""COMPUTED_VALUE"""),"Студент")</f>
        <v>Студент</v>
      </c>
    </row>
    <row r="2568" spans="1:3">
      <c r="A2568" s="76">
        <f ca="1">IFERROR(__xludf.DUMMYFUNCTION("""COMPUTED_VALUE"""),2315034)</f>
        <v>2315034</v>
      </c>
      <c r="B2568" s="76" t="str">
        <f ca="1">IFERROR(__xludf.DUMMYFUNCTION("""COMPUTED_VALUE"""),"Шарипов Рустам Шарипович")</f>
        <v>Шарипов Рустам Шарипович</v>
      </c>
      <c r="C2568" s="75" t="str">
        <f ca="1">IFERROR(__xludf.DUMMYFUNCTION("""COMPUTED_VALUE"""),"Студент")</f>
        <v>Студент</v>
      </c>
    </row>
    <row r="2569" spans="1:3">
      <c r="A2569" s="76">
        <f ca="1">IFERROR(__xludf.DUMMYFUNCTION("""COMPUTED_VALUE"""),2315037)</f>
        <v>2315037</v>
      </c>
      <c r="B2569" s="76" t="str">
        <f ca="1">IFERROR(__xludf.DUMMYFUNCTION("""COMPUTED_VALUE"""),"Камилзаде Рамин Чингиз Оглы")</f>
        <v>Камилзаде Рамин Чингиз Оглы</v>
      </c>
      <c r="C2569" s="75" t="str">
        <f ca="1">IFERROR(__xludf.DUMMYFUNCTION("""COMPUTED_VALUE"""),"Студент")</f>
        <v>Студент</v>
      </c>
    </row>
    <row r="2570" spans="1:3">
      <c r="A2570" s="76">
        <f ca="1">IFERROR(__xludf.DUMMYFUNCTION("""COMPUTED_VALUE"""),2315043)</f>
        <v>2315043</v>
      </c>
      <c r="B2570" s="76" t="str">
        <f ca="1">IFERROR(__xludf.DUMMYFUNCTION("""COMPUTED_VALUE"""),"Нелина Дарья Владимировна")</f>
        <v>Нелина Дарья Владимировна</v>
      </c>
      <c r="C2570" s="75" t="str">
        <f ca="1">IFERROR(__xludf.DUMMYFUNCTION("""COMPUTED_VALUE"""),"Студент")</f>
        <v>Студент</v>
      </c>
    </row>
    <row r="2571" spans="1:3">
      <c r="A2571" s="76">
        <f ca="1">IFERROR(__xludf.DUMMYFUNCTION("""COMPUTED_VALUE"""),2315044)</f>
        <v>2315044</v>
      </c>
      <c r="B2571" s="76" t="str">
        <f ca="1">IFERROR(__xludf.DUMMYFUNCTION("""COMPUTED_VALUE"""),"Широков Федор Борисович")</f>
        <v>Широков Федор Борисович</v>
      </c>
      <c r="C2571" s="75" t="str">
        <f ca="1">IFERROR(__xludf.DUMMYFUNCTION("""COMPUTED_VALUE"""),"Студент")</f>
        <v>Студент</v>
      </c>
    </row>
    <row r="2572" spans="1:3">
      <c r="A2572" s="76">
        <f ca="1">IFERROR(__xludf.DUMMYFUNCTION("""COMPUTED_VALUE"""),2315050)</f>
        <v>2315050</v>
      </c>
      <c r="B2572" s="76" t="str">
        <f ca="1">IFERROR(__xludf.DUMMYFUNCTION("""COMPUTED_VALUE"""),"Раджабов Хасан Мухаммадшарифович")</f>
        <v>Раджабов Хасан Мухаммадшарифович</v>
      </c>
      <c r="C2572" s="75" t="str">
        <f ca="1">IFERROR(__xludf.DUMMYFUNCTION("""COMPUTED_VALUE"""),"Студент")</f>
        <v>Студент</v>
      </c>
    </row>
    <row r="2573" spans="1:3">
      <c r="A2573" s="76">
        <f ca="1">IFERROR(__xludf.DUMMYFUNCTION("""COMPUTED_VALUE"""),2315054)</f>
        <v>2315054</v>
      </c>
      <c r="B2573" s="76" t="str">
        <f ca="1">IFERROR(__xludf.DUMMYFUNCTION("""COMPUTED_VALUE"""),"Ухванова Валерия Валерьевна")</f>
        <v>Ухванова Валерия Валерьевна</v>
      </c>
      <c r="C2573" s="75" t="str">
        <f ca="1">IFERROR(__xludf.DUMMYFUNCTION("""COMPUTED_VALUE"""),"Студент")</f>
        <v>Студент</v>
      </c>
    </row>
    <row r="2574" spans="1:3">
      <c r="A2574" s="76">
        <f ca="1">IFERROR(__xludf.DUMMYFUNCTION("""COMPUTED_VALUE"""),2315058)</f>
        <v>2315058</v>
      </c>
      <c r="B2574" s="76" t="str">
        <f ca="1">IFERROR(__xludf.DUMMYFUNCTION("""COMPUTED_VALUE"""),"Курдюмова Дарья Сергеевна")</f>
        <v>Курдюмова Дарья Сергеевна</v>
      </c>
      <c r="C2574" s="75" t="str">
        <f ca="1">IFERROR(__xludf.DUMMYFUNCTION("""COMPUTED_VALUE"""),"Студент")</f>
        <v>Студент</v>
      </c>
    </row>
    <row r="2575" spans="1:3">
      <c r="A2575" s="76">
        <f ca="1">IFERROR(__xludf.DUMMYFUNCTION("""COMPUTED_VALUE"""),2315059)</f>
        <v>2315059</v>
      </c>
      <c r="B2575" s="76" t="str">
        <f ca="1">IFERROR(__xludf.DUMMYFUNCTION("""COMPUTED_VALUE"""),"Яниковский Александр Станиславович")</f>
        <v>Яниковский Александр Станиславович</v>
      </c>
      <c r="C2575" s="75" t="str">
        <f ca="1">IFERROR(__xludf.DUMMYFUNCTION("""COMPUTED_VALUE"""),"Студент")</f>
        <v>Студент</v>
      </c>
    </row>
    <row r="2576" spans="1:3">
      <c r="A2576" s="76">
        <f ca="1">IFERROR(__xludf.DUMMYFUNCTION("""COMPUTED_VALUE"""),2315065)</f>
        <v>2315065</v>
      </c>
      <c r="B2576" s="76" t="str">
        <f ca="1">IFERROR(__xludf.DUMMYFUNCTION("""COMPUTED_VALUE"""),"Мисютин Вячеслав Алексеевич")</f>
        <v>Мисютин Вячеслав Алексеевич</v>
      </c>
      <c r="C2576" s="75" t="str">
        <f ca="1">IFERROR(__xludf.DUMMYFUNCTION("""COMPUTED_VALUE"""),"Студент")</f>
        <v>Студент</v>
      </c>
    </row>
    <row r="2577" spans="1:3">
      <c r="A2577" s="76">
        <f ca="1">IFERROR(__xludf.DUMMYFUNCTION("""COMPUTED_VALUE"""),2315081)</f>
        <v>2315081</v>
      </c>
      <c r="B2577" s="76" t="str">
        <f ca="1">IFERROR(__xludf.DUMMYFUNCTION("""COMPUTED_VALUE"""),"Абдуманнобов Абулфайз Абдуёкуб Угли")</f>
        <v>Абдуманнобов Абулфайз Абдуёкуб Угли</v>
      </c>
      <c r="C2577" s="75" t="str">
        <f ca="1">IFERROR(__xludf.DUMMYFUNCTION("""COMPUTED_VALUE"""),"Студент")</f>
        <v>Студент</v>
      </c>
    </row>
    <row r="2578" spans="1:3">
      <c r="A2578" s="76">
        <f ca="1">IFERROR(__xludf.DUMMYFUNCTION("""COMPUTED_VALUE"""),2315083)</f>
        <v>2315083</v>
      </c>
      <c r="B2578" s="76" t="str">
        <f ca="1">IFERROR(__xludf.DUMMYFUNCTION("""COMPUTED_VALUE"""),"Пухова Екатерина Геннадьевна")</f>
        <v>Пухова Екатерина Геннадьевна</v>
      </c>
      <c r="C2578" s="75" t="str">
        <f ca="1">IFERROR(__xludf.DUMMYFUNCTION("""COMPUTED_VALUE"""),"Студент")</f>
        <v>Студент</v>
      </c>
    </row>
    <row r="2579" spans="1:3">
      <c r="A2579" s="76">
        <f ca="1">IFERROR(__xludf.DUMMYFUNCTION("""COMPUTED_VALUE"""),2315089)</f>
        <v>2315089</v>
      </c>
      <c r="B2579" s="76" t="str">
        <f ca="1">IFERROR(__xludf.DUMMYFUNCTION("""COMPUTED_VALUE"""),"Поселеннов Александр Дмитриевич")</f>
        <v>Поселеннов Александр Дмитриевич</v>
      </c>
      <c r="C2579" s="75" t="str">
        <f ca="1">IFERROR(__xludf.DUMMYFUNCTION("""COMPUTED_VALUE"""),"Студент")</f>
        <v>Студент</v>
      </c>
    </row>
    <row r="2580" spans="1:3">
      <c r="A2580" s="76">
        <f ca="1">IFERROR(__xludf.DUMMYFUNCTION("""COMPUTED_VALUE"""),2315093)</f>
        <v>2315093</v>
      </c>
      <c r="B2580" s="76" t="str">
        <f ca="1">IFERROR(__xludf.DUMMYFUNCTION("""COMPUTED_VALUE"""),"Миколае Арион Михайлович")</f>
        <v>Миколае Арион Михайлович</v>
      </c>
      <c r="C2580" s="75" t="str">
        <f ca="1">IFERROR(__xludf.DUMMYFUNCTION("""COMPUTED_VALUE"""),"Студент")</f>
        <v>Студент</v>
      </c>
    </row>
    <row r="2581" spans="1:3">
      <c r="A2581" s="76">
        <f ca="1">IFERROR(__xludf.DUMMYFUNCTION("""COMPUTED_VALUE"""),2315094)</f>
        <v>2315094</v>
      </c>
      <c r="B2581" s="76" t="str">
        <f ca="1">IFERROR(__xludf.DUMMYFUNCTION("""COMPUTED_VALUE"""),"Борченко Борис Евгеньевич")</f>
        <v>Борченко Борис Евгеньевич</v>
      </c>
      <c r="C2581" s="75" t="str">
        <f ca="1">IFERROR(__xludf.DUMMYFUNCTION("""COMPUTED_VALUE"""),"Студент")</f>
        <v>Студент</v>
      </c>
    </row>
    <row r="2582" spans="1:3">
      <c r="A2582" s="76">
        <f ca="1">IFERROR(__xludf.DUMMYFUNCTION("""COMPUTED_VALUE"""),2315095)</f>
        <v>2315095</v>
      </c>
      <c r="B2582" s="76" t="str">
        <f ca="1">IFERROR(__xludf.DUMMYFUNCTION("""COMPUTED_VALUE"""),"Шевелева Елена Дмитриевна")</f>
        <v>Шевелева Елена Дмитриевна</v>
      </c>
      <c r="C2582" s="75" t="str">
        <f ca="1">IFERROR(__xludf.DUMMYFUNCTION("""COMPUTED_VALUE"""),"Студент")</f>
        <v>Студент</v>
      </c>
    </row>
    <row r="2583" spans="1:3">
      <c r="A2583" s="76">
        <f ca="1">IFERROR(__xludf.DUMMYFUNCTION("""COMPUTED_VALUE"""),2315102)</f>
        <v>2315102</v>
      </c>
      <c r="B2583" s="76" t="str">
        <f ca="1">IFERROR(__xludf.DUMMYFUNCTION("""COMPUTED_VALUE"""),"Сердаров Мухаммет")</f>
        <v>Сердаров Мухаммет</v>
      </c>
      <c r="C2583" s="75" t="str">
        <f ca="1">IFERROR(__xludf.DUMMYFUNCTION("""COMPUTED_VALUE"""),"Студент")</f>
        <v>Студент</v>
      </c>
    </row>
    <row r="2584" spans="1:3">
      <c r="A2584" s="76">
        <f ca="1">IFERROR(__xludf.DUMMYFUNCTION("""COMPUTED_VALUE"""),2315114)</f>
        <v>2315114</v>
      </c>
      <c r="B2584" s="76" t="str">
        <f ca="1">IFERROR(__xludf.DUMMYFUNCTION("""COMPUTED_VALUE"""),"Малек Салама Хассанейн Фатхалла")</f>
        <v>Малек Салама Хассанейн Фатхалла</v>
      </c>
      <c r="C2584" s="75" t="str">
        <f ca="1">IFERROR(__xludf.DUMMYFUNCTION("""COMPUTED_VALUE"""),"Студент")</f>
        <v>Студент</v>
      </c>
    </row>
    <row r="2585" spans="1:3">
      <c r="A2585" s="76">
        <f ca="1">IFERROR(__xludf.DUMMYFUNCTION("""COMPUTED_VALUE"""),2315115)</f>
        <v>2315115</v>
      </c>
      <c r="B2585" s="76" t="str">
        <f ca="1">IFERROR(__xludf.DUMMYFUNCTION("""COMPUTED_VALUE"""),"Бойко Алина Алексеевна")</f>
        <v>Бойко Алина Алексеевна</v>
      </c>
      <c r="C2585" s="75" t="str">
        <f ca="1">IFERROR(__xludf.DUMMYFUNCTION("""COMPUTED_VALUE"""),"Студент")</f>
        <v>Студент</v>
      </c>
    </row>
    <row r="2586" spans="1:3">
      <c r="A2586" s="76">
        <f ca="1">IFERROR(__xludf.DUMMYFUNCTION("""COMPUTED_VALUE"""),2315117)</f>
        <v>2315117</v>
      </c>
      <c r="B2586" s="76" t="str">
        <f ca="1">IFERROR(__xludf.DUMMYFUNCTION("""COMPUTED_VALUE"""),"Сидави Алиаа")</f>
        <v>Сидави Алиаа</v>
      </c>
      <c r="C2586" s="75" t="str">
        <f ca="1">IFERROR(__xludf.DUMMYFUNCTION("""COMPUTED_VALUE"""),"Студент")</f>
        <v>Студент</v>
      </c>
    </row>
    <row r="2587" spans="1:3">
      <c r="A2587" s="76">
        <f ca="1">IFERROR(__xludf.DUMMYFUNCTION("""COMPUTED_VALUE"""),2315120)</f>
        <v>2315120</v>
      </c>
      <c r="B2587" s="76" t="str">
        <f ca="1">IFERROR(__xludf.DUMMYFUNCTION("""COMPUTED_VALUE"""),"Паис Переда Хосе Хавьер")</f>
        <v>Паис Переда Хосе Хавьер</v>
      </c>
      <c r="C2587" s="75" t="str">
        <f ca="1">IFERROR(__xludf.DUMMYFUNCTION("""COMPUTED_VALUE"""),"Аспирант")</f>
        <v>Аспирант</v>
      </c>
    </row>
    <row r="2588" spans="1:3">
      <c r="A2588" s="76">
        <f ca="1">IFERROR(__xludf.DUMMYFUNCTION("""COMPUTED_VALUE"""),2315125)</f>
        <v>2315125</v>
      </c>
      <c r="B2588" s="76" t="str">
        <f ca="1">IFERROR(__xludf.DUMMYFUNCTION("""COMPUTED_VALUE"""),"Чинжанжа Жозе Португал")</f>
        <v>Чинжанжа Жозе Португал</v>
      </c>
      <c r="C2588" s="75" t="str">
        <f ca="1">IFERROR(__xludf.DUMMYFUNCTION("""COMPUTED_VALUE"""),"Студент")</f>
        <v>Студент</v>
      </c>
    </row>
    <row r="2589" spans="1:3">
      <c r="A2589" s="76">
        <f ca="1">IFERROR(__xludf.DUMMYFUNCTION("""COMPUTED_VALUE"""),2315136)</f>
        <v>2315136</v>
      </c>
      <c r="B2589" s="76" t="str">
        <f ca="1">IFERROR(__xludf.DUMMYFUNCTION("""COMPUTED_VALUE"""),"Мамадалиев Бексултан Имамалиевич")</f>
        <v>Мамадалиев Бексултан Имамалиевич</v>
      </c>
      <c r="C2589" s="75" t="str">
        <f ca="1">IFERROR(__xludf.DUMMYFUNCTION("""COMPUTED_VALUE"""),"Студент")</f>
        <v>Студент</v>
      </c>
    </row>
    <row r="2590" spans="1:3">
      <c r="A2590" s="76">
        <f ca="1">IFERROR(__xludf.DUMMYFUNCTION("""COMPUTED_VALUE"""),2315145)</f>
        <v>2315145</v>
      </c>
      <c r="B2590" s="76" t="str">
        <f ca="1">IFERROR(__xludf.DUMMYFUNCTION("""COMPUTED_VALUE"""),"Алсуфьева Мария Николаевна")</f>
        <v>Алсуфьева Мария Николаевна</v>
      </c>
      <c r="C2590" s="75" t="str">
        <f ca="1">IFERROR(__xludf.DUMMYFUNCTION("""COMPUTED_VALUE"""),"Студент")</f>
        <v>Студент</v>
      </c>
    </row>
    <row r="2591" spans="1:3">
      <c r="A2591" s="76">
        <f ca="1">IFERROR(__xludf.DUMMYFUNCTION("""COMPUTED_VALUE"""),2315152)</f>
        <v>2315152</v>
      </c>
      <c r="B2591" s="76" t="str">
        <f ca="1">IFERROR(__xludf.DUMMYFUNCTION("""COMPUTED_VALUE"""),"Горбач Валерия Александровна")</f>
        <v>Горбач Валерия Александровна</v>
      </c>
      <c r="C2591" s="75" t="str">
        <f ca="1">IFERROR(__xludf.DUMMYFUNCTION("""COMPUTED_VALUE"""),"Студент")</f>
        <v>Студент</v>
      </c>
    </row>
    <row r="2592" spans="1:3">
      <c r="A2592" s="76">
        <f ca="1">IFERROR(__xludf.DUMMYFUNCTION("""COMPUTED_VALUE"""),2315155)</f>
        <v>2315155</v>
      </c>
      <c r="B2592" s="76" t="str">
        <f ca="1">IFERROR(__xludf.DUMMYFUNCTION("""COMPUTED_VALUE"""),"Ганина Елизавета Олеговна")</f>
        <v>Ганина Елизавета Олеговна</v>
      </c>
      <c r="C2592" s="75" t="str">
        <f ca="1">IFERROR(__xludf.DUMMYFUNCTION("""COMPUTED_VALUE"""),"Студент")</f>
        <v>Студент</v>
      </c>
    </row>
    <row r="2593" spans="1:3">
      <c r="A2593" s="76">
        <f ca="1">IFERROR(__xludf.DUMMYFUNCTION("""COMPUTED_VALUE"""),2315156)</f>
        <v>2315156</v>
      </c>
      <c r="B2593" s="76" t="str">
        <f ca="1">IFERROR(__xludf.DUMMYFUNCTION("""COMPUTED_VALUE"""),"Кумбуга Бруно Деррик")</f>
        <v>Кумбуга Бруно Деррик</v>
      </c>
      <c r="C2593" s="75" t="str">
        <f ca="1">IFERROR(__xludf.DUMMYFUNCTION("""COMPUTED_VALUE"""),"Студент")</f>
        <v>Студент</v>
      </c>
    </row>
    <row r="2594" spans="1:3">
      <c r="A2594" s="76">
        <f ca="1">IFERROR(__xludf.DUMMYFUNCTION("""COMPUTED_VALUE"""),2315157)</f>
        <v>2315157</v>
      </c>
      <c r="B2594" s="76" t="str">
        <f ca="1">IFERROR(__xludf.DUMMYFUNCTION("""COMPUTED_VALUE"""),"Дахе Ахмад")</f>
        <v>Дахе Ахмад</v>
      </c>
      <c r="C2594" s="75" t="str">
        <f ca="1">IFERROR(__xludf.DUMMYFUNCTION("""COMPUTED_VALUE"""),"Аспирант")</f>
        <v>Аспирант</v>
      </c>
    </row>
    <row r="2595" spans="1:3">
      <c r="A2595" s="76">
        <f ca="1">IFERROR(__xludf.DUMMYFUNCTION("""COMPUTED_VALUE"""),2315159)</f>
        <v>2315159</v>
      </c>
      <c r="B2595" s="76" t="str">
        <f ca="1">IFERROR(__xludf.DUMMYFUNCTION("""COMPUTED_VALUE"""),"Шеху Абубакар Умар")</f>
        <v>Шеху Абубакар Умар</v>
      </c>
      <c r="C2595" s="75" t="str">
        <f ca="1">IFERROR(__xludf.DUMMYFUNCTION("""COMPUTED_VALUE"""),"Студент")</f>
        <v>Студент</v>
      </c>
    </row>
    <row r="2596" spans="1:3">
      <c r="A2596" s="76">
        <f ca="1">IFERROR(__xludf.DUMMYFUNCTION("""COMPUTED_VALUE"""),2315161)</f>
        <v>2315161</v>
      </c>
      <c r="B2596" s="76" t="str">
        <f ca="1">IFERROR(__xludf.DUMMYFUNCTION("""COMPUTED_VALUE"""),"Хасан Ахмад")</f>
        <v>Хасан Ахмад</v>
      </c>
      <c r="C2596" s="75" t="str">
        <f ca="1">IFERROR(__xludf.DUMMYFUNCTION("""COMPUTED_VALUE"""),"Аспирант")</f>
        <v>Аспирант</v>
      </c>
    </row>
    <row r="2597" spans="1:3">
      <c r="A2597" s="76">
        <f ca="1">IFERROR(__xludf.DUMMYFUNCTION("""COMPUTED_VALUE"""),2315162)</f>
        <v>2315162</v>
      </c>
      <c r="B2597" s="76" t="str">
        <f ca="1">IFERROR(__xludf.DUMMYFUNCTION("""COMPUTED_VALUE"""),"Ньясими Хеллен Ньянчама")</f>
        <v>Ньясими Хеллен Ньянчама</v>
      </c>
      <c r="C2597" s="75" t="str">
        <f ca="1">IFERROR(__xludf.DUMMYFUNCTION("""COMPUTED_VALUE"""),"Студент")</f>
        <v>Студент</v>
      </c>
    </row>
    <row r="2598" spans="1:3">
      <c r="A2598" s="76">
        <f ca="1">IFERROR(__xludf.DUMMYFUNCTION("""COMPUTED_VALUE"""),2315175)</f>
        <v>2315175</v>
      </c>
      <c r="B2598" s="76" t="str">
        <f ca="1">IFERROR(__xludf.DUMMYFUNCTION("""COMPUTED_VALUE"""),"Мохаммед Мохаммед Ахмед Салех")</f>
        <v>Мохаммед Мохаммед Ахмед Салех</v>
      </c>
      <c r="C2598" s="75" t="str">
        <f ca="1">IFERROR(__xludf.DUMMYFUNCTION("""COMPUTED_VALUE"""),"Аспирант")</f>
        <v>Аспирант</v>
      </c>
    </row>
    <row r="2599" spans="1:3">
      <c r="A2599" s="76">
        <f ca="1">IFERROR(__xludf.DUMMYFUNCTION("""COMPUTED_VALUE"""),2315184)</f>
        <v>2315184</v>
      </c>
      <c r="B2599" s="76" t="str">
        <f ca="1">IFERROR(__xludf.DUMMYFUNCTION("""COMPUTED_VALUE"""),"Кабаира Мерси Мунаше")</f>
        <v>Кабаира Мерси Мунаше</v>
      </c>
      <c r="C2599" s="75" t="str">
        <f ca="1">IFERROR(__xludf.DUMMYFUNCTION("""COMPUTED_VALUE"""),"Студент")</f>
        <v>Студент</v>
      </c>
    </row>
    <row r="2600" spans="1:3">
      <c r="A2600" s="76">
        <f ca="1">IFERROR(__xludf.DUMMYFUNCTION("""COMPUTED_VALUE"""),2315189)</f>
        <v>2315189</v>
      </c>
      <c r="B2600" s="76" t="str">
        <f ca="1">IFERROR(__xludf.DUMMYFUNCTION("""COMPUTED_VALUE"""),"Гаули Парас Мани")</f>
        <v>Гаули Парас Мани</v>
      </c>
      <c r="C2600" s="75" t="str">
        <f ca="1">IFERROR(__xludf.DUMMYFUNCTION("""COMPUTED_VALUE"""),"Студент")</f>
        <v>Студент</v>
      </c>
    </row>
    <row r="2601" spans="1:3">
      <c r="A2601" s="76">
        <f ca="1">IFERROR(__xludf.DUMMYFUNCTION("""COMPUTED_VALUE"""),2315190)</f>
        <v>2315190</v>
      </c>
      <c r="B2601" s="76" t="str">
        <f ca="1">IFERROR(__xludf.DUMMYFUNCTION("""COMPUTED_VALUE"""),"Эрешов Умитджан")</f>
        <v>Эрешов Умитджан</v>
      </c>
      <c r="C2601" s="75" t="str">
        <f ca="1">IFERROR(__xludf.DUMMYFUNCTION("""COMPUTED_VALUE"""),"Студент")</f>
        <v>Студент</v>
      </c>
    </row>
    <row r="2602" spans="1:3">
      <c r="A2602" s="76">
        <f ca="1">IFERROR(__xludf.DUMMYFUNCTION("""COMPUTED_VALUE"""),2315191)</f>
        <v>2315191</v>
      </c>
      <c r="B2602" s="76" t="str">
        <f ca="1">IFERROR(__xludf.DUMMYFUNCTION("""COMPUTED_VALUE"""),"Исчанова Фарангиз")</f>
        <v>Исчанова Фарангиз</v>
      </c>
      <c r="C2602" s="75" t="str">
        <f ca="1">IFERROR(__xludf.DUMMYFUNCTION("""COMPUTED_VALUE"""),"Студент")</f>
        <v>Студент</v>
      </c>
    </row>
    <row r="2603" spans="1:3">
      <c r="A2603" s="76">
        <f ca="1">IFERROR(__xludf.DUMMYFUNCTION("""COMPUTED_VALUE"""),2315192)</f>
        <v>2315192</v>
      </c>
      <c r="B2603" s="76" t="str">
        <f ca="1">IFERROR(__xludf.DUMMYFUNCTION("""COMPUTED_VALUE"""),"Мгбемена Ммесомачукву Чуквуемека")</f>
        <v>Мгбемена Ммесомачукву Чуквуемека</v>
      </c>
      <c r="C2603" s="75" t="str">
        <f ca="1">IFERROR(__xludf.DUMMYFUNCTION("""COMPUTED_VALUE"""),"Студент")</f>
        <v>Студент</v>
      </c>
    </row>
    <row r="2604" spans="1:3">
      <c r="A2604" s="76">
        <f ca="1">IFERROR(__xludf.DUMMYFUNCTION("""COMPUTED_VALUE"""),2315199)</f>
        <v>2315199</v>
      </c>
      <c r="B2604" s="76" t="str">
        <f ca="1">IFERROR(__xludf.DUMMYFUNCTION("""COMPUTED_VALUE"""),"Сапура Валерия Артуровна")</f>
        <v>Сапура Валерия Артуровна</v>
      </c>
      <c r="C2604" s="75" t="str">
        <f ca="1">IFERROR(__xludf.DUMMYFUNCTION("""COMPUTED_VALUE"""),"Студент")</f>
        <v>Студент</v>
      </c>
    </row>
    <row r="2605" spans="1:3">
      <c r="A2605" s="76">
        <f ca="1">IFERROR(__xludf.DUMMYFUNCTION("""COMPUTED_VALUE"""),2315216)</f>
        <v>2315216</v>
      </c>
      <c r="B2605" s="76" t="str">
        <f ca="1">IFERROR(__xludf.DUMMYFUNCTION("""COMPUTED_VALUE"""),"Хромов Михаил Романович")</f>
        <v>Хромов Михаил Романович</v>
      </c>
      <c r="C2605" s="75" t="str">
        <f ca="1">IFERROR(__xludf.DUMMYFUNCTION("""COMPUTED_VALUE"""),"Студент")</f>
        <v>Студент</v>
      </c>
    </row>
    <row r="2606" spans="1:3">
      <c r="A2606" s="76">
        <f ca="1">IFERROR(__xludf.DUMMYFUNCTION("""COMPUTED_VALUE"""),2315228)</f>
        <v>2315228</v>
      </c>
      <c r="B2606" s="76" t="str">
        <f ca="1">IFERROR(__xludf.DUMMYFUNCTION("""COMPUTED_VALUE"""),"Лохманосов Никита Сергеевич")</f>
        <v>Лохманосов Никита Сергеевич</v>
      </c>
      <c r="C2606" s="75" t="str">
        <f ca="1">IFERROR(__xludf.DUMMYFUNCTION("""COMPUTED_VALUE"""),"Студент")</f>
        <v>Студент</v>
      </c>
    </row>
    <row r="2607" spans="1:3">
      <c r="A2607" s="76">
        <f ca="1">IFERROR(__xludf.DUMMYFUNCTION("""COMPUTED_VALUE"""),2315230)</f>
        <v>2315230</v>
      </c>
      <c r="B2607" s="76" t="str">
        <f ca="1">IFERROR(__xludf.DUMMYFUNCTION("""COMPUTED_VALUE"""),"Селиванов Артемий Игоревич")</f>
        <v>Селиванов Артемий Игоревич</v>
      </c>
      <c r="C2607" s="75" t="str">
        <f ca="1">IFERROR(__xludf.DUMMYFUNCTION("""COMPUTED_VALUE"""),"Студент")</f>
        <v>Студент</v>
      </c>
    </row>
    <row r="2608" spans="1:3">
      <c r="A2608" s="76">
        <f ca="1">IFERROR(__xludf.DUMMYFUNCTION("""COMPUTED_VALUE"""),2315233)</f>
        <v>2315233</v>
      </c>
      <c r="B2608" s="76" t="str">
        <f ca="1">IFERROR(__xludf.DUMMYFUNCTION("""COMPUTED_VALUE"""),"Аритора Джозеф")</f>
        <v>Аритора Джозеф</v>
      </c>
      <c r="C2608" s="75" t="str">
        <f ca="1">IFERROR(__xludf.DUMMYFUNCTION("""COMPUTED_VALUE"""),"Аспирант")</f>
        <v>Аспирант</v>
      </c>
    </row>
    <row r="2609" spans="1:3">
      <c r="A2609" s="76">
        <f ca="1">IFERROR(__xludf.DUMMYFUNCTION("""COMPUTED_VALUE"""),2315238)</f>
        <v>2315238</v>
      </c>
      <c r="B2609" s="76" t="str">
        <f ca="1">IFERROR(__xludf.DUMMYFUNCTION("""COMPUTED_VALUE"""),"Ибетуллов Алексей")</f>
        <v>Ибетуллов Алексей</v>
      </c>
      <c r="C2609" s="75" t="str">
        <f ca="1">IFERROR(__xludf.DUMMYFUNCTION("""COMPUTED_VALUE"""),"Студент")</f>
        <v>Студент</v>
      </c>
    </row>
    <row r="2610" spans="1:3">
      <c r="A2610" s="76">
        <f ca="1">IFERROR(__xludf.DUMMYFUNCTION("""COMPUTED_VALUE"""),2315239)</f>
        <v>2315239</v>
      </c>
      <c r="B2610" s="76" t="str">
        <f ca="1">IFERROR(__xludf.DUMMYFUNCTION("""COMPUTED_VALUE"""),"Беляева София Дмитриевна")</f>
        <v>Беляева София Дмитриевна</v>
      </c>
      <c r="C2610" s="75" t="str">
        <f ca="1">IFERROR(__xludf.DUMMYFUNCTION("""COMPUTED_VALUE"""),"Студент")</f>
        <v>Студент</v>
      </c>
    </row>
    <row r="2611" spans="1:3">
      <c r="A2611" s="76">
        <f ca="1">IFERROR(__xludf.DUMMYFUNCTION("""COMPUTED_VALUE"""),2315241)</f>
        <v>2315241</v>
      </c>
      <c r="B2611" s="76" t="str">
        <f ca="1">IFERROR(__xludf.DUMMYFUNCTION("""COMPUTED_VALUE"""),"Корыткин Артём Леонидович")</f>
        <v>Корыткин Артём Леонидович</v>
      </c>
      <c r="C2611" s="75" t="str">
        <f ca="1">IFERROR(__xludf.DUMMYFUNCTION("""COMPUTED_VALUE"""),"Студент")</f>
        <v>Студент</v>
      </c>
    </row>
    <row r="2612" spans="1:3">
      <c r="A2612" s="76">
        <f ca="1">IFERROR(__xludf.DUMMYFUNCTION("""COMPUTED_VALUE"""),2315242)</f>
        <v>2315242</v>
      </c>
      <c r="B2612" s="76" t="str">
        <f ca="1">IFERROR(__xludf.DUMMYFUNCTION("""COMPUTED_VALUE"""),"Чашников Павел Александрович")</f>
        <v>Чашников Павел Александрович</v>
      </c>
      <c r="C2612" s="75" t="str">
        <f ca="1">IFERROR(__xludf.DUMMYFUNCTION("""COMPUTED_VALUE"""),"Студент")</f>
        <v>Студент</v>
      </c>
    </row>
    <row r="2613" spans="1:3">
      <c r="A2613" s="76">
        <f ca="1">IFERROR(__xludf.DUMMYFUNCTION("""COMPUTED_VALUE"""),2315243)</f>
        <v>2315243</v>
      </c>
      <c r="B2613" s="76" t="str">
        <f ca="1">IFERROR(__xludf.DUMMYFUNCTION("""COMPUTED_VALUE"""),"Визарамалаже Надишани Джаявартхана")</f>
        <v>Визарамалаже Надишани Джаявартхана</v>
      </c>
      <c r="C2613" s="75" t="str">
        <f ca="1">IFERROR(__xludf.DUMMYFUNCTION("""COMPUTED_VALUE"""),"Студент")</f>
        <v>Студент</v>
      </c>
    </row>
    <row r="2614" spans="1:3">
      <c r="A2614" s="76">
        <f ca="1">IFERROR(__xludf.DUMMYFUNCTION("""COMPUTED_VALUE"""),2315245)</f>
        <v>2315245</v>
      </c>
      <c r="B2614" s="76" t="str">
        <f ca="1">IFERROR(__xludf.DUMMYFUNCTION("""COMPUTED_VALUE"""),"Гольдин Даниил Сергеевич")</f>
        <v>Гольдин Даниил Сергеевич</v>
      </c>
      <c r="C2614" s="75" t="str">
        <f ca="1">IFERROR(__xludf.DUMMYFUNCTION("""COMPUTED_VALUE"""),"Студент")</f>
        <v>Студент</v>
      </c>
    </row>
    <row r="2615" spans="1:3">
      <c r="A2615" s="76">
        <f ca="1">IFERROR(__xludf.DUMMYFUNCTION("""COMPUTED_VALUE"""),2315247)</f>
        <v>2315247</v>
      </c>
      <c r="B2615" s="76" t="str">
        <f ca="1">IFERROR(__xludf.DUMMYFUNCTION("""COMPUTED_VALUE"""),"Аюбов Исмоил Зиёвиддинович")</f>
        <v>Аюбов Исмоил Зиёвиддинович</v>
      </c>
      <c r="C2615" s="75" t="str">
        <f ca="1">IFERROR(__xludf.DUMMYFUNCTION("""COMPUTED_VALUE"""),"Студент")</f>
        <v>Студент</v>
      </c>
    </row>
    <row r="2616" spans="1:3">
      <c r="A2616" s="76">
        <f ca="1">IFERROR(__xludf.DUMMYFUNCTION("""COMPUTED_VALUE"""),2315253)</f>
        <v>2315253</v>
      </c>
      <c r="B2616" s="76" t="str">
        <f ca="1">IFERROR(__xludf.DUMMYFUNCTION("""COMPUTED_VALUE"""),"Юмагулов Данис Ильфатович")</f>
        <v>Юмагулов Данис Ильфатович</v>
      </c>
      <c r="C2616" s="75" t="str">
        <f ca="1">IFERROR(__xludf.DUMMYFUNCTION("""COMPUTED_VALUE"""),"Студент")</f>
        <v>Студент</v>
      </c>
    </row>
    <row r="2617" spans="1:3">
      <c r="A2617" s="76">
        <f ca="1">IFERROR(__xludf.DUMMYFUNCTION("""COMPUTED_VALUE"""),2315255)</f>
        <v>2315255</v>
      </c>
      <c r="B2617" s="76" t="str">
        <f ca="1">IFERROR(__xludf.DUMMYFUNCTION("""COMPUTED_VALUE"""),"Бикмаев Илья Сергеевич")</f>
        <v>Бикмаев Илья Сергеевич</v>
      </c>
      <c r="C2617" s="75" t="str">
        <f ca="1">IFERROR(__xludf.DUMMYFUNCTION("""COMPUTED_VALUE"""),"Студент")</f>
        <v>Студент</v>
      </c>
    </row>
    <row r="2618" spans="1:3">
      <c r="A2618" s="76">
        <f ca="1">IFERROR(__xludf.DUMMYFUNCTION("""COMPUTED_VALUE"""),2315256)</f>
        <v>2315256</v>
      </c>
      <c r="B2618" s="76" t="str">
        <f ca="1">IFERROR(__xludf.DUMMYFUNCTION("""COMPUTED_VALUE"""),"Яковлев Кирилл Павлович")</f>
        <v>Яковлев Кирилл Павлович</v>
      </c>
      <c r="C2618" s="75" t="str">
        <f ca="1">IFERROR(__xludf.DUMMYFUNCTION("""COMPUTED_VALUE"""),"Студент")</f>
        <v>Студент</v>
      </c>
    </row>
    <row r="2619" spans="1:3">
      <c r="A2619" s="76">
        <f ca="1">IFERROR(__xludf.DUMMYFUNCTION("""COMPUTED_VALUE"""),2315257)</f>
        <v>2315257</v>
      </c>
      <c r="B2619" s="76" t="str">
        <f ca="1">IFERROR(__xludf.DUMMYFUNCTION("""COMPUTED_VALUE"""),"Волкова Анна Николаевна")</f>
        <v>Волкова Анна Николаевна</v>
      </c>
      <c r="C2619" s="75" t="str">
        <f ca="1">IFERROR(__xludf.DUMMYFUNCTION("""COMPUTED_VALUE"""),"Студент")</f>
        <v>Студент</v>
      </c>
    </row>
    <row r="2620" spans="1:3">
      <c r="A2620" s="76">
        <f ca="1">IFERROR(__xludf.DUMMYFUNCTION("""COMPUTED_VALUE"""),2315262)</f>
        <v>2315262</v>
      </c>
      <c r="B2620" s="76" t="str">
        <f ca="1">IFERROR(__xludf.DUMMYFUNCTION("""COMPUTED_VALUE"""),"Крюкова Екатерина Николаевна")</f>
        <v>Крюкова Екатерина Николаевна</v>
      </c>
      <c r="C2620" s="75" t="str">
        <f ca="1">IFERROR(__xludf.DUMMYFUNCTION("""COMPUTED_VALUE"""),"Студент")</f>
        <v>Студент</v>
      </c>
    </row>
    <row r="2621" spans="1:3">
      <c r="A2621" s="76">
        <f ca="1">IFERROR(__xludf.DUMMYFUNCTION("""COMPUTED_VALUE"""),2315265)</f>
        <v>2315265</v>
      </c>
      <c r="B2621" s="76" t="str">
        <f ca="1">IFERROR(__xludf.DUMMYFUNCTION("""COMPUTED_VALUE"""),"Бек Михаель Эдвин Стефан")</f>
        <v>Бек Михаель Эдвин Стефан</v>
      </c>
      <c r="C2621" s="75" t="str">
        <f ca="1">IFERROR(__xludf.DUMMYFUNCTION("""COMPUTED_VALUE"""),"Аспирант")</f>
        <v>Аспирант</v>
      </c>
    </row>
    <row r="2622" spans="1:3">
      <c r="A2622" s="76">
        <f ca="1">IFERROR(__xludf.DUMMYFUNCTION("""COMPUTED_VALUE"""),2315275)</f>
        <v>2315275</v>
      </c>
      <c r="B2622" s="76" t="str">
        <f ca="1">IFERROR(__xludf.DUMMYFUNCTION("""COMPUTED_VALUE"""),"Смольянинова Полина Дмитриевна")</f>
        <v>Смольянинова Полина Дмитриевна</v>
      </c>
      <c r="C2622" s="75" t="str">
        <f ca="1">IFERROR(__xludf.DUMMYFUNCTION("""COMPUTED_VALUE"""),"Студент")</f>
        <v>Студент</v>
      </c>
    </row>
    <row r="2623" spans="1:3">
      <c r="A2623" s="76">
        <f ca="1">IFERROR(__xludf.DUMMYFUNCTION("""COMPUTED_VALUE"""),2315278)</f>
        <v>2315278</v>
      </c>
      <c r="B2623" s="76" t="str">
        <f ca="1">IFERROR(__xludf.DUMMYFUNCTION("""COMPUTED_VALUE"""),"Вольвачева Дарья Александровна")</f>
        <v>Вольвачева Дарья Александровна</v>
      </c>
      <c r="C2623" s="75" t="str">
        <f ca="1">IFERROR(__xludf.DUMMYFUNCTION("""COMPUTED_VALUE"""),"Студент")</f>
        <v>Студент</v>
      </c>
    </row>
    <row r="2624" spans="1:3">
      <c r="A2624" s="76">
        <f ca="1">IFERROR(__xludf.DUMMYFUNCTION("""COMPUTED_VALUE"""),2315316)</f>
        <v>2315316</v>
      </c>
      <c r="B2624" s="76" t="str">
        <f ca="1">IFERROR(__xludf.DUMMYFUNCTION("""COMPUTED_VALUE"""),"Салами Сиба")</f>
        <v>Салами Сиба</v>
      </c>
      <c r="C2624" s="75" t="str">
        <f ca="1">IFERROR(__xludf.DUMMYFUNCTION("""COMPUTED_VALUE"""),"Студент")</f>
        <v>Студент</v>
      </c>
    </row>
    <row r="2625" spans="1:3">
      <c r="A2625" s="76">
        <f ca="1">IFERROR(__xludf.DUMMYFUNCTION("""COMPUTED_VALUE"""),2315318)</f>
        <v>2315318</v>
      </c>
      <c r="B2625" s="76" t="str">
        <f ca="1">IFERROR(__xludf.DUMMYFUNCTION("""COMPUTED_VALUE"""),"Салами Бушра")</f>
        <v>Салами Бушра</v>
      </c>
      <c r="C2625" s="75" t="str">
        <f ca="1">IFERROR(__xludf.DUMMYFUNCTION("""COMPUTED_VALUE"""),"Студент")</f>
        <v>Студент</v>
      </c>
    </row>
    <row r="2626" spans="1:3">
      <c r="A2626" s="76">
        <f ca="1">IFERROR(__xludf.DUMMYFUNCTION("""COMPUTED_VALUE"""),2315336)</f>
        <v>2315336</v>
      </c>
      <c r="B2626" s="76" t="str">
        <f ca="1">IFERROR(__xludf.DUMMYFUNCTION("""COMPUTED_VALUE"""),"Хабибуллин Адиль Артурович")</f>
        <v>Хабибуллин Адиль Артурович</v>
      </c>
      <c r="C2626" s="75" t="str">
        <f ca="1">IFERROR(__xludf.DUMMYFUNCTION("""COMPUTED_VALUE"""),"Студент")</f>
        <v>Студент</v>
      </c>
    </row>
    <row r="2627" spans="1:3">
      <c r="A2627" s="76">
        <f ca="1">IFERROR(__xludf.DUMMYFUNCTION("""COMPUTED_VALUE"""),2315347)</f>
        <v>2315347</v>
      </c>
      <c r="B2627" s="76" t="str">
        <f ca="1">IFERROR(__xludf.DUMMYFUNCTION("""COMPUTED_VALUE"""),"Дудина Мира Алексеевна")</f>
        <v>Дудина Мира Алексеевна</v>
      </c>
      <c r="C2627" s="75" t="str">
        <f ca="1">IFERROR(__xludf.DUMMYFUNCTION("""COMPUTED_VALUE"""),"Студент")</f>
        <v>Студент</v>
      </c>
    </row>
    <row r="2628" spans="1:3">
      <c r="A2628" s="76">
        <f ca="1">IFERROR(__xludf.DUMMYFUNCTION("""COMPUTED_VALUE"""),2315354)</f>
        <v>2315354</v>
      </c>
      <c r="B2628" s="76" t="str">
        <f ca="1">IFERROR(__xludf.DUMMYFUNCTION("""COMPUTED_VALUE"""),"Крутов Никита Сергеевич")</f>
        <v>Крутов Никита Сергеевич</v>
      </c>
      <c r="C2628" s="75" t="str">
        <f ca="1">IFERROR(__xludf.DUMMYFUNCTION("""COMPUTED_VALUE"""),"Студент")</f>
        <v>Студент</v>
      </c>
    </row>
    <row r="2629" spans="1:3">
      <c r="A2629" s="76">
        <f ca="1">IFERROR(__xludf.DUMMYFUNCTION("""COMPUTED_VALUE"""),2315363)</f>
        <v>2315363</v>
      </c>
      <c r="B2629" s="76" t="str">
        <f ca="1">IFERROR(__xludf.DUMMYFUNCTION("""COMPUTED_VALUE"""),"Волга Полина Олеговна")</f>
        <v>Волга Полина Олеговна</v>
      </c>
      <c r="C2629" s="75" t="str">
        <f ca="1">IFERROR(__xludf.DUMMYFUNCTION("""COMPUTED_VALUE"""),"Студент")</f>
        <v>Студент</v>
      </c>
    </row>
    <row r="2630" spans="1:3">
      <c r="A2630" s="76">
        <f ca="1">IFERROR(__xludf.DUMMYFUNCTION("""COMPUTED_VALUE"""),2315371)</f>
        <v>2315371</v>
      </c>
      <c r="B2630" s="76" t="str">
        <f ca="1">IFERROR(__xludf.DUMMYFUNCTION("""COMPUTED_VALUE"""),"Квасова Дарья Дмитриевна")</f>
        <v>Квасова Дарья Дмитриевна</v>
      </c>
      <c r="C2630" s="75" t="str">
        <f ca="1">IFERROR(__xludf.DUMMYFUNCTION("""COMPUTED_VALUE"""),"Студент")</f>
        <v>Студент</v>
      </c>
    </row>
    <row r="2631" spans="1:3">
      <c r="A2631" s="76">
        <f ca="1">IFERROR(__xludf.DUMMYFUNCTION("""COMPUTED_VALUE"""),2315372)</f>
        <v>2315372</v>
      </c>
      <c r="B2631" s="76" t="str">
        <f ca="1">IFERROR(__xludf.DUMMYFUNCTION("""COMPUTED_VALUE"""),"Кикарош Александра")</f>
        <v>Кикарош Александра</v>
      </c>
      <c r="C2631" s="75" t="str">
        <f ca="1">IFERROR(__xludf.DUMMYFUNCTION("""COMPUTED_VALUE"""),"Студент")</f>
        <v>Студент</v>
      </c>
    </row>
    <row r="2632" spans="1:3">
      <c r="A2632" s="76">
        <f ca="1">IFERROR(__xludf.DUMMYFUNCTION("""COMPUTED_VALUE"""),2315374)</f>
        <v>2315374</v>
      </c>
      <c r="B2632" s="76" t="str">
        <f ca="1">IFERROR(__xludf.DUMMYFUNCTION("""COMPUTED_VALUE"""),"Грищук Егор Дмитриевич")</f>
        <v>Грищук Егор Дмитриевич</v>
      </c>
      <c r="C2632" s="75" t="str">
        <f ca="1">IFERROR(__xludf.DUMMYFUNCTION("""COMPUTED_VALUE"""),"Студент")</f>
        <v>Студент</v>
      </c>
    </row>
    <row r="2633" spans="1:3">
      <c r="A2633" s="76">
        <f ca="1">IFERROR(__xludf.DUMMYFUNCTION("""COMPUTED_VALUE"""),2315380)</f>
        <v>2315380</v>
      </c>
      <c r="B2633" s="76" t="str">
        <f ca="1">IFERROR(__xludf.DUMMYFUNCTION("""COMPUTED_VALUE"""),"Моргунов Глеб Александрович")</f>
        <v>Моргунов Глеб Александрович</v>
      </c>
      <c r="C2633" s="75" t="str">
        <f ca="1">IFERROR(__xludf.DUMMYFUNCTION("""COMPUTED_VALUE"""),"Студент")</f>
        <v>Студент</v>
      </c>
    </row>
    <row r="2634" spans="1:3">
      <c r="A2634" s="76">
        <f ca="1">IFERROR(__xludf.DUMMYFUNCTION("""COMPUTED_VALUE"""),2315381)</f>
        <v>2315381</v>
      </c>
      <c r="B2634" s="76" t="str">
        <f ca="1">IFERROR(__xludf.DUMMYFUNCTION("""COMPUTED_VALUE"""),"Мазуренко Анастасия Вячеславовна")</f>
        <v>Мазуренко Анастасия Вячеславовна</v>
      </c>
      <c r="C2634" s="75" t="str">
        <f ca="1">IFERROR(__xludf.DUMMYFUNCTION("""COMPUTED_VALUE"""),"Студент")</f>
        <v>Студент</v>
      </c>
    </row>
    <row r="2635" spans="1:3">
      <c r="A2635" s="76">
        <f ca="1">IFERROR(__xludf.DUMMYFUNCTION("""COMPUTED_VALUE"""),2315386)</f>
        <v>2315386</v>
      </c>
      <c r="B2635" s="76" t="str">
        <f ca="1">IFERROR(__xludf.DUMMYFUNCTION("""COMPUTED_VALUE"""),"Шкляр Владислав Юрьевич")</f>
        <v>Шкляр Владислав Юрьевич</v>
      </c>
      <c r="C2635" s="75" t="str">
        <f ca="1">IFERROR(__xludf.DUMMYFUNCTION("""COMPUTED_VALUE"""),"Студент")</f>
        <v>Студент</v>
      </c>
    </row>
    <row r="2636" spans="1:3">
      <c r="A2636" s="76">
        <f ca="1">IFERROR(__xludf.DUMMYFUNCTION("""COMPUTED_VALUE"""),2315387)</f>
        <v>2315387</v>
      </c>
      <c r="B2636" s="76" t="str">
        <f ca="1">IFERROR(__xludf.DUMMYFUNCTION("""COMPUTED_VALUE"""),"Попов Арсений Владиславович")</f>
        <v>Попов Арсений Владиславович</v>
      </c>
      <c r="C2636" s="75" t="str">
        <f ca="1">IFERROR(__xludf.DUMMYFUNCTION("""COMPUTED_VALUE"""),"Студент")</f>
        <v>Студент</v>
      </c>
    </row>
    <row r="2637" spans="1:3">
      <c r="A2637" s="76">
        <f ca="1">IFERROR(__xludf.DUMMYFUNCTION("""COMPUTED_VALUE"""),2315388)</f>
        <v>2315388</v>
      </c>
      <c r="B2637" s="76" t="str">
        <f ca="1">IFERROR(__xludf.DUMMYFUNCTION("""COMPUTED_VALUE"""),"Ахмед Юссеф Мамдух Юссеф Абделкадер")</f>
        <v>Ахмед Юссеф Мамдух Юссеф Абделкадер</v>
      </c>
      <c r="C2637" s="75" t="str">
        <f ca="1">IFERROR(__xludf.DUMMYFUNCTION("""COMPUTED_VALUE"""),"Студент")</f>
        <v>Студент</v>
      </c>
    </row>
    <row r="2638" spans="1:3">
      <c r="A2638" s="76">
        <f ca="1">IFERROR(__xludf.DUMMYFUNCTION("""COMPUTED_VALUE"""),2315389)</f>
        <v>2315389</v>
      </c>
      <c r="B2638" s="76" t="str">
        <f ca="1">IFERROR(__xludf.DUMMYFUNCTION("""COMPUTED_VALUE"""),"Булатов Артём Константинович")</f>
        <v>Булатов Артём Константинович</v>
      </c>
      <c r="C2638" s="75" t="str">
        <f ca="1">IFERROR(__xludf.DUMMYFUNCTION("""COMPUTED_VALUE"""),"Студент")</f>
        <v>Студент</v>
      </c>
    </row>
    <row r="2639" spans="1:3">
      <c r="A2639" s="76">
        <f ca="1">IFERROR(__xludf.DUMMYFUNCTION("""COMPUTED_VALUE"""),2315390)</f>
        <v>2315390</v>
      </c>
      <c r="B2639" s="76" t="str">
        <f ca="1">IFERROR(__xludf.DUMMYFUNCTION("""COMPUTED_VALUE"""),"Когалёнок Александр Денисович")</f>
        <v>Когалёнок Александр Денисович</v>
      </c>
      <c r="C2639" s="75" t="str">
        <f ca="1">IFERROR(__xludf.DUMMYFUNCTION("""COMPUTED_VALUE"""),"Студент")</f>
        <v>Студент</v>
      </c>
    </row>
    <row r="2640" spans="1:3">
      <c r="A2640" s="76">
        <f ca="1">IFERROR(__xludf.DUMMYFUNCTION("""COMPUTED_VALUE"""),2315393)</f>
        <v>2315393</v>
      </c>
      <c r="B2640" s="76" t="str">
        <f ca="1">IFERROR(__xludf.DUMMYFUNCTION("""COMPUTED_VALUE"""),"Демига Юсра")</f>
        <v>Демига Юсра</v>
      </c>
      <c r="C2640" s="75" t="str">
        <f ca="1">IFERROR(__xludf.DUMMYFUNCTION("""COMPUTED_VALUE"""),"Аспирант")</f>
        <v>Аспирант</v>
      </c>
    </row>
    <row r="2641" spans="1:3">
      <c r="A2641" s="76">
        <f ca="1">IFERROR(__xludf.DUMMYFUNCTION("""COMPUTED_VALUE"""),2315395)</f>
        <v>2315395</v>
      </c>
      <c r="B2641" s="76" t="str">
        <f ca="1">IFERROR(__xludf.DUMMYFUNCTION("""COMPUTED_VALUE"""),"Фролов Денис Олегович")</f>
        <v>Фролов Денис Олегович</v>
      </c>
      <c r="C2641" s="75" t="str">
        <f ca="1">IFERROR(__xludf.DUMMYFUNCTION("""COMPUTED_VALUE"""),"Студент")</f>
        <v>Студент</v>
      </c>
    </row>
    <row r="2642" spans="1:3">
      <c r="A2642" s="76">
        <f ca="1">IFERROR(__xludf.DUMMYFUNCTION("""COMPUTED_VALUE"""),2315398)</f>
        <v>2315398</v>
      </c>
      <c r="B2642" s="76" t="str">
        <f ca="1">IFERROR(__xludf.DUMMYFUNCTION("""COMPUTED_VALUE"""),"Никонова Светлана Евгеньевна")</f>
        <v>Никонова Светлана Евгеньевна</v>
      </c>
      <c r="C2642" s="75" t="str">
        <f ca="1">IFERROR(__xludf.DUMMYFUNCTION("""COMPUTED_VALUE"""),"Студент")</f>
        <v>Студент</v>
      </c>
    </row>
    <row r="2643" spans="1:3">
      <c r="A2643" s="76">
        <f ca="1">IFERROR(__xludf.DUMMYFUNCTION("""COMPUTED_VALUE"""),2315399)</f>
        <v>2315399</v>
      </c>
      <c r="B2643" s="76" t="str">
        <f ca="1">IFERROR(__xludf.DUMMYFUNCTION("""COMPUTED_VALUE"""),"Прунов Дмитрий Александрович")</f>
        <v>Прунов Дмитрий Александрович</v>
      </c>
      <c r="C2643" s="75" t="str">
        <f ca="1">IFERROR(__xludf.DUMMYFUNCTION("""COMPUTED_VALUE"""),"Студент")</f>
        <v>Студент</v>
      </c>
    </row>
    <row r="2644" spans="1:3">
      <c r="A2644" s="76">
        <f ca="1">IFERROR(__xludf.DUMMYFUNCTION("""COMPUTED_VALUE"""),2315402)</f>
        <v>2315402</v>
      </c>
      <c r="B2644" s="76" t="str">
        <f ca="1">IFERROR(__xludf.DUMMYFUNCTION("""COMPUTED_VALUE"""),"Гречный Егор Игоревич")</f>
        <v>Гречный Егор Игоревич</v>
      </c>
      <c r="C2644" s="75" t="str">
        <f ca="1">IFERROR(__xludf.DUMMYFUNCTION("""COMPUTED_VALUE"""),"Студент")</f>
        <v>Студент</v>
      </c>
    </row>
    <row r="2645" spans="1:3">
      <c r="A2645" s="76">
        <f ca="1">IFERROR(__xludf.DUMMYFUNCTION("""COMPUTED_VALUE"""),2315404)</f>
        <v>2315404</v>
      </c>
      <c r="B2645" s="76" t="str">
        <f ca="1">IFERROR(__xludf.DUMMYFUNCTION("""COMPUTED_VALUE"""),"Гусев Сергей Павлович")</f>
        <v>Гусев Сергей Павлович</v>
      </c>
      <c r="C2645" s="75" t="str">
        <f ca="1">IFERROR(__xludf.DUMMYFUNCTION("""COMPUTED_VALUE"""),"Студент")</f>
        <v>Студент</v>
      </c>
    </row>
    <row r="2646" spans="1:3">
      <c r="A2646" s="76">
        <f ca="1">IFERROR(__xludf.DUMMYFUNCTION("""COMPUTED_VALUE"""),2315405)</f>
        <v>2315405</v>
      </c>
      <c r="B2646" s="76" t="str">
        <f ca="1">IFERROR(__xludf.DUMMYFUNCTION("""COMPUTED_VALUE"""),"Барсуков Егор Олегович")</f>
        <v>Барсуков Егор Олегович</v>
      </c>
      <c r="C2646" s="75" t="str">
        <f ca="1">IFERROR(__xludf.DUMMYFUNCTION("""COMPUTED_VALUE"""),"Студент")</f>
        <v>Студент</v>
      </c>
    </row>
    <row r="2647" spans="1:3">
      <c r="A2647" s="76">
        <f ca="1">IFERROR(__xludf.DUMMYFUNCTION("""COMPUTED_VALUE"""),2315407)</f>
        <v>2315407</v>
      </c>
      <c r="B2647" s="76" t="str">
        <f ca="1">IFERROR(__xludf.DUMMYFUNCTION("""COMPUTED_VALUE"""),"Дорожкина София Михайловна")</f>
        <v>Дорожкина София Михайловна</v>
      </c>
      <c r="C2647" s="75" t="str">
        <f ca="1">IFERROR(__xludf.DUMMYFUNCTION("""COMPUTED_VALUE"""),"Студент")</f>
        <v>Студент</v>
      </c>
    </row>
    <row r="2648" spans="1:3">
      <c r="A2648" s="76">
        <f ca="1">IFERROR(__xludf.DUMMYFUNCTION("""COMPUTED_VALUE"""),2315408)</f>
        <v>2315408</v>
      </c>
      <c r="B2648" s="76" t="str">
        <f ca="1">IFERROR(__xludf.DUMMYFUNCTION("""COMPUTED_VALUE"""),"Юхнович Антон Васильевич")</f>
        <v>Юхнович Антон Васильевич</v>
      </c>
      <c r="C2648" s="75" t="str">
        <f ca="1">IFERROR(__xludf.DUMMYFUNCTION("""COMPUTED_VALUE"""),"Студент")</f>
        <v>Студент</v>
      </c>
    </row>
    <row r="2649" spans="1:3">
      <c r="A2649" s="76">
        <f ca="1">IFERROR(__xludf.DUMMYFUNCTION("""COMPUTED_VALUE"""),2315410)</f>
        <v>2315410</v>
      </c>
      <c r="B2649" s="76" t="str">
        <f ca="1">IFERROR(__xludf.DUMMYFUNCTION("""COMPUTED_VALUE"""),"Угнич Никита Дмитриевич")</f>
        <v>Угнич Никита Дмитриевич</v>
      </c>
      <c r="C2649" s="75" t="str">
        <f ca="1">IFERROR(__xludf.DUMMYFUNCTION("""COMPUTED_VALUE"""),"Студент")</f>
        <v>Студент</v>
      </c>
    </row>
    <row r="2650" spans="1:3">
      <c r="A2650" s="76">
        <f ca="1">IFERROR(__xludf.DUMMYFUNCTION("""COMPUTED_VALUE"""),2315412)</f>
        <v>2315412</v>
      </c>
      <c r="B2650" s="76" t="str">
        <f ca="1">IFERROR(__xludf.DUMMYFUNCTION("""COMPUTED_VALUE"""),"Курбонов Мехрофарин Мухамадшохевич")</f>
        <v>Курбонов Мехрофарин Мухамадшохевич</v>
      </c>
      <c r="C2650" s="75" t="str">
        <f ca="1">IFERROR(__xludf.DUMMYFUNCTION("""COMPUTED_VALUE"""),"Студент")</f>
        <v>Студент</v>
      </c>
    </row>
    <row r="2651" spans="1:3">
      <c r="A2651" s="76">
        <f ca="1">IFERROR(__xludf.DUMMYFUNCTION("""COMPUTED_VALUE"""),2315414)</f>
        <v>2315414</v>
      </c>
      <c r="B2651" s="76" t="str">
        <f ca="1">IFERROR(__xludf.DUMMYFUNCTION("""COMPUTED_VALUE"""),"Шахобуддинова Сохиба Обидовна")</f>
        <v>Шахобуддинова Сохиба Обидовна</v>
      </c>
      <c r="C2651" s="75" t="str">
        <f ca="1">IFERROR(__xludf.DUMMYFUNCTION("""COMPUTED_VALUE"""),"Студент")</f>
        <v>Студент</v>
      </c>
    </row>
    <row r="2652" spans="1:3">
      <c r="A2652" s="76">
        <f ca="1">IFERROR(__xludf.DUMMYFUNCTION("""COMPUTED_VALUE"""),2315415)</f>
        <v>2315415</v>
      </c>
      <c r="B2652" s="76" t="str">
        <f ca="1">IFERROR(__xludf.DUMMYFUNCTION("""COMPUTED_VALUE"""),"Мастонов Парвиз Макбулшохевич")</f>
        <v>Мастонов Парвиз Макбулшохевич</v>
      </c>
      <c r="C2652" s="75" t="str">
        <f ca="1">IFERROR(__xludf.DUMMYFUNCTION("""COMPUTED_VALUE"""),"Студент")</f>
        <v>Студент</v>
      </c>
    </row>
    <row r="2653" spans="1:3">
      <c r="A2653" s="76">
        <f ca="1">IFERROR(__xludf.DUMMYFUNCTION("""COMPUTED_VALUE"""),2315417)</f>
        <v>2315417</v>
      </c>
      <c r="B2653" s="76" t="str">
        <f ca="1">IFERROR(__xludf.DUMMYFUNCTION("""COMPUTED_VALUE"""),"Вохидов Мухаммадали Сайдалиевич")</f>
        <v>Вохидов Мухаммадали Сайдалиевич</v>
      </c>
      <c r="C2653" s="75" t="str">
        <f ca="1">IFERROR(__xludf.DUMMYFUNCTION("""COMPUTED_VALUE"""),"Студент")</f>
        <v>Студент</v>
      </c>
    </row>
    <row r="2654" spans="1:3">
      <c r="A2654" s="76">
        <f ca="1">IFERROR(__xludf.DUMMYFUNCTION("""COMPUTED_VALUE"""),2315420)</f>
        <v>2315420</v>
      </c>
      <c r="B2654" s="76" t="str">
        <f ca="1">IFERROR(__xludf.DUMMYFUNCTION("""COMPUTED_VALUE"""),"Рахимов Рахим Кулулович")</f>
        <v>Рахимов Рахим Кулулович</v>
      </c>
      <c r="C2654" s="75" t="str">
        <f ca="1">IFERROR(__xludf.DUMMYFUNCTION("""COMPUTED_VALUE"""),"Студент")</f>
        <v>Студент</v>
      </c>
    </row>
    <row r="2655" spans="1:3">
      <c r="A2655" s="76">
        <f ca="1">IFERROR(__xludf.DUMMYFUNCTION("""COMPUTED_VALUE"""),2315423)</f>
        <v>2315423</v>
      </c>
      <c r="B2655" s="76" t="str">
        <f ca="1">IFERROR(__xludf.DUMMYFUNCTION("""COMPUTED_VALUE"""),"Мухаммадиев Муминжон Мансуржонович")</f>
        <v>Мухаммадиев Муминжон Мансуржонович</v>
      </c>
      <c r="C2655" s="75" t="str">
        <f ca="1">IFERROR(__xludf.DUMMYFUNCTION("""COMPUTED_VALUE"""),"Студент")</f>
        <v>Студент</v>
      </c>
    </row>
    <row r="2656" spans="1:3">
      <c r="A2656" s="76">
        <f ca="1">IFERROR(__xludf.DUMMYFUNCTION("""COMPUTED_VALUE"""),2315425)</f>
        <v>2315425</v>
      </c>
      <c r="B2656" s="76" t="str">
        <f ca="1">IFERROR(__xludf.DUMMYFUNCTION("""COMPUTED_VALUE"""),"Иномов Иномхон Бахромович")</f>
        <v>Иномов Иномхон Бахромович</v>
      </c>
      <c r="C2656" s="75" t="str">
        <f ca="1">IFERROR(__xludf.DUMMYFUNCTION("""COMPUTED_VALUE"""),"Студент")</f>
        <v>Студент</v>
      </c>
    </row>
    <row r="2657" spans="1:3">
      <c r="A2657" s="76">
        <f ca="1">IFERROR(__xludf.DUMMYFUNCTION("""COMPUTED_VALUE"""),2315426)</f>
        <v>2315426</v>
      </c>
      <c r="B2657" s="76" t="str">
        <f ca="1">IFERROR(__xludf.DUMMYFUNCTION("""COMPUTED_VALUE"""),"Обиди Джовид")</f>
        <v>Обиди Джовид</v>
      </c>
      <c r="C2657" s="75" t="str">
        <f ca="1">IFERROR(__xludf.DUMMYFUNCTION("""COMPUTED_VALUE"""),"Студент")</f>
        <v>Студент</v>
      </c>
    </row>
    <row r="2658" spans="1:3">
      <c r="A2658" s="76">
        <f ca="1">IFERROR(__xludf.DUMMYFUNCTION("""COMPUTED_VALUE"""),2315427)</f>
        <v>2315427</v>
      </c>
      <c r="B2658" s="76" t="str">
        <f ca="1">IFERROR(__xludf.DUMMYFUNCTION("""COMPUTED_VALUE"""),"Зоирзода Заррухи Искандар")</f>
        <v>Зоирзода Заррухи Искандар</v>
      </c>
      <c r="C2658" s="75" t="str">
        <f ca="1">IFERROR(__xludf.DUMMYFUNCTION("""COMPUTED_VALUE"""),"Студент")</f>
        <v>Студент</v>
      </c>
    </row>
    <row r="2659" spans="1:3">
      <c r="A2659" s="76">
        <f ca="1">IFERROR(__xludf.DUMMYFUNCTION("""COMPUTED_VALUE"""),2315429)</f>
        <v>2315429</v>
      </c>
      <c r="B2659" s="76" t="str">
        <f ca="1">IFERROR(__xludf.DUMMYFUNCTION("""COMPUTED_VALUE"""),"Новиков Евгений Дмитриевич")</f>
        <v>Новиков Евгений Дмитриевич</v>
      </c>
      <c r="C2659" s="75" t="str">
        <f ca="1">IFERROR(__xludf.DUMMYFUNCTION("""COMPUTED_VALUE"""),"Студент")</f>
        <v>Студент</v>
      </c>
    </row>
    <row r="2660" spans="1:3">
      <c r="A2660" s="76">
        <f ca="1">IFERROR(__xludf.DUMMYFUNCTION("""COMPUTED_VALUE"""),2315430)</f>
        <v>2315430</v>
      </c>
      <c r="B2660" s="76" t="str">
        <f ca="1">IFERROR(__xludf.DUMMYFUNCTION("""COMPUTED_VALUE"""),"Тхайцук Алим Асланович")</f>
        <v>Тхайцук Алим Асланович</v>
      </c>
      <c r="C2660" s="75" t="str">
        <f ca="1">IFERROR(__xludf.DUMMYFUNCTION("""COMPUTED_VALUE"""),"Студент")</f>
        <v>Студент</v>
      </c>
    </row>
    <row r="2661" spans="1:3">
      <c r="A2661" s="76">
        <f ca="1">IFERROR(__xludf.DUMMYFUNCTION("""COMPUTED_VALUE"""),2315433)</f>
        <v>2315433</v>
      </c>
      <c r="B2661" s="76" t="str">
        <f ca="1">IFERROR(__xludf.DUMMYFUNCTION("""COMPUTED_VALUE"""),"Денисова Аделина")</f>
        <v>Денисова Аделина</v>
      </c>
      <c r="C2661" s="75" t="str">
        <f ca="1">IFERROR(__xludf.DUMMYFUNCTION("""COMPUTED_VALUE"""),"Студент")</f>
        <v>Студент</v>
      </c>
    </row>
    <row r="2662" spans="1:3">
      <c r="A2662" s="76">
        <f ca="1">IFERROR(__xludf.DUMMYFUNCTION("""COMPUTED_VALUE"""),2315435)</f>
        <v>2315435</v>
      </c>
      <c r="B2662" s="76" t="str">
        <f ca="1">IFERROR(__xludf.DUMMYFUNCTION("""COMPUTED_VALUE"""),"Шепшелий Богдан")</f>
        <v>Шепшелий Богдан</v>
      </c>
      <c r="C2662" s="75" t="str">
        <f ca="1">IFERROR(__xludf.DUMMYFUNCTION("""COMPUTED_VALUE"""),"Студент")</f>
        <v>Студент</v>
      </c>
    </row>
    <row r="2663" spans="1:3">
      <c r="A2663" s="76">
        <f ca="1">IFERROR(__xludf.DUMMYFUNCTION("""COMPUTED_VALUE"""),2315442)</f>
        <v>2315442</v>
      </c>
      <c r="B2663" s="76" t="str">
        <f ca="1">IFERROR(__xludf.DUMMYFUNCTION("""COMPUTED_VALUE"""),"Мутхана Али Салем Али")</f>
        <v>Мутхана Али Салем Али</v>
      </c>
      <c r="C2663" s="75" t="str">
        <f ca="1">IFERROR(__xludf.DUMMYFUNCTION("""COMPUTED_VALUE"""),"Аспирант")</f>
        <v>Аспирант</v>
      </c>
    </row>
    <row r="2664" spans="1:3">
      <c r="A2664" s="76">
        <f ca="1">IFERROR(__xludf.DUMMYFUNCTION("""COMPUTED_VALUE"""),2315443)</f>
        <v>2315443</v>
      </c>
      <c r="B2664" s="76" t="str">
        <f ca="1">IFERROR(__xludf.DUMMYFUNCTION("""COMPUTED_VALUE"""),"Анианву Соломон Нонсо")</f>
        <v>Анианву Соломон Нонсо</v>
      </c>
      <c r="C2664" s="75" t="str">
        <f ca="1">IFERROR(__xludf.DUMMYFUNCTION("""COMPUTED_VALUE"""),"Студент")</f>
        <v>Студент</v>
      </c>
    </row>
    <row r="2665" spans="1:3">
      <c r="A2665" s="76">
        <f ca="1">IFERROR(__xludf.DUMMYFUNCTION("""COMPUTED_VALUE"""),2315445)</f>
        <v>2315445</v>
      </c>
      <c r="B2665" s="76" t="str">
        <f ca="1">IFERROR(__xludf.DUMMYFUNCTION("""COMPUTED_VALUE"""),"Обийа Стивен Оньекачи")</f>
        <v>Обийа Стивен Оньекачи</v>
      </c>
      <c r="C2665" s="75" t="str">
        <f ca="1">IFERROR(__xludf.DUMMYFUNCTION("""COMPUTED_VALUE"""),"Студент")</f>
        <v>Студент</v>
      </c>
    </row>
    <row r="2666" spans="1:3">
      <c r="A2666" s="76">
        <f ca="1">IFERROR(__xludf.DUMMYFUNCTION("""COMPUTED_VALUE"""),2315446)</f>
        <v>2315446</v>
      </c>
      <c r="B2666" s="76" t="str">
        <f ca="1">IFERROR(__xludf.DUMMYFUNCTION("""COMPUTED_VALUE"""),"Едогиаверие Лидия Огоса")</f>
        <v>Едогиаверие Лидия Огоса</v>
      </c>
      <c r="C2666" s="75" t="str">
        <f ca="1">IFERROR(__xludf.DUMMYFUNCTION("""COMPUTED_VALUE"""),"Студент")</f>
        <v>Студент</v>
      </c>
    </row>
    <row r="2667" spans="1:3">
      <c r="A2667" s="76">
        <f ca="1">IFERROR(__xludf.DUMMYFUNCTION("""COMPUTED_VALUE"""),2315450)</f>
        <v>2315450</v>
      </c>
      <c r="B2667" s="76" t="str">
        <f ca="1">IFERROR(__xludf.DUMMYFUNCTION("""COMPUTED_VALUE"""),"Эзан Жиан-Увес Аристид")</f>
        <v>Эзан Жиан-Увес Аристид</v>
      </c>
      <c r="C2667" s="75" t="str">
        <f ca="1">IFERROR(__xludf.DUMMYFUNCTION("""COMPUTED_VALUE"""),"Аспирант")</f>
        <v>Аспирант</v>
      </c>
    </row>
    <row r="2668" spans="1:3">
      <c r="A2668" s="76">
        <f ca="1">IFERROR(__xludf.DUMMYFUNCTION("""COMPUTED_VALUE"""),2315461)</f>
        <v>2315461</v>
      </c>
      <c r="B2668" s="76" t="str">
        <f ca="1">IFERROR(__xludf.DUMMYFUNCTION("""COMPUTED_VALUE"""),"Кардаш Муддасир Мухиддин Алтахир")</f>
        <v>Кардаш Муддасир Мухиддин Алтахир</v>
      </c>
      <c r="C2668" s="75" t="str">
        <f ca="1">IFERROR(__xludf.DUMMYFUNCTION("""COMPUTED_VALUE"""),"Студент")</f>
        <v>Студент</v>
      </c>
    </row>
    <row r="2669" spans="1:3">
      <c r="A2669" s="76">
        <f ca="1">IFERROR(__xludf.DUMMYFUNCTION("""COMPUTED_VALUE"""),2315465)</f>
        <v>2315465</v>
      </c>
      <c r="B2669" s="76" t="str">
        <f ca="1">IFERROR(__xludf.DUMMYFUNCTION("""COMPUTED_VALUE"""),"Ахмед Мохамед Фатхия Мохамед")</f>
        <v>Ахмед Мохамед Фатхия Мохамед</v>
      </c>
      <c r="C2669" s="75" t="str">
        <f ca="1">IFERROR(__xludf.DUMMYFUNCTION("""COMPUTED_VALUE"""),"Студент")</f>
        <v>Студент</v>
      </c>
    </row>
    <row r="2670" spans="1:3">
      <c r="A2670" s="76">
        <f ca="1">IFERROR(__xludf.DUMMYFUNCTION("""COMPUTED_VALUE"""),2315477)</f>
        <v>2315477</v>
      </c>
      <c r="B2670" s="76" t="str">
        <f ca="1">IFERROR(__xludf.DUMMYFUNCTION("""COMPUTED_VALUE"""),"Рахмонов Исо Исмоилходжаевич")</f>
        <v>Рахмонов Исо Исмоилходжаевич</v>
      </c>
      <c r="C2670" s="75" t="str">
        <f ca="1">IFERROR(__xludf.DUMMYFUNCTION("""COMPUTED_VALUE"""),"Студент")</f>
        <v>Студент</v>
      </c>
    </row>
    <row r="2671" spans="1:3">
      <c r="A2671" s="76">
        <f ca="1">IFERROR(__xludf.DUMMYFUNCTION("""COMPUTED_VALUE"""),2315478)</f>
        <v>2315478</v>
      </c>
      <c r="B2671" s="76" t="str">
        <f ca="1">IFERROR(__xludf.DUMMYFUNCTION("""COMPUTED_VALUE"""),"Рахматулаев Магомед Шарипович")</f>
        <v>Рахматулаев Магомед Шарипович</v>
      </c>
      <c r="C2671" s="75" t="str">
        <f ca="1">IFERROR(__xludf.DUMMYFUNCTION("""COMPUTED_VALUE"""),"Студент")</f>
        <v>Студент</v>
      </c>
    </row>
    <row r="2672" spans="1:3">
      <c r="A2672" s="76">
        <f ca="1">IFERROR(__xludf.DUMMYFUNCTION("""COMPUTED_VALUE"""),2315483)</f>
        <v>2315483</v>
      </c>
      <c r="B2672" s="76" t="str">
        <f ca="1">IFERROR(__xludf.DUMMYFUNCTION("""COMPUTED_VALUE"""),"Холова Манижа Изатуллоевна")</f>
        <v>Холова Манижа Изатуллоевна</v>
      </c>
      <c r="C2672" s="75" t="str">
        <f ca="1">IFERROR(__xludf.DUMMYFUNCTION("""COMPUTED_VALUE"""),"Студент")</f>
        <v>Студент</v>
      </c>
    </row>
    <row r="2673" spans="1:3">
      <c r="A2673" s="76">
        <f ca="1">IFERROR(__xludf.DUMMYFUNCTION("""COMPUTED_VALUE"""),2315484)</f>
        <v>2315484</v>
      </c>
      <c r="B2673" s="76" t="str">
        <f ca="1">IFERROR(__xludf.DUMMYFUNCTION("""COMPUTED_VALUE"""),"Дмитриади Дмитрий Константинович")</f>
        <v>Дмитриади Дмитрий Константинович</v>
      </c>
      <c r="C2673" s="75" t="str">
        <f ca="1">IFERROR(__xludf.DUMMYFUNCTION("""COMPUTED_VALUE"""),"Студент")</f>
        <v>Студент</v>
      </c>
    </row>
    <row r="2674" spans="1:3">
      <c r="A2674" s="76">
        <f ca="1">IFERROR(__xludf.DUMMYFUNCTION("""COMPUTED_VALUE"""),2315485)</f>
        <v>2315485</v>
      </c>
      <c r="B2674" s="76" t="str">
        <f ca="1">IFERROR(__xludf.DUMMYFUNCTION("""COMPUTED_VALUE"""),"Иванова Анастасия Геннадьевна")</f>
        <v>Иванова Анастасия Геннадьевна</v>
      </c>
      <c r="C2674" s="75" t="str">
        <f ca="1">IFERROR(__xludf.DUMMYFUNCTION("""COMPUTED_VALUE"""),"Студент")</f>
        <v>Студент</v>
      </c>
    </row>
    <row r="2675" spans="1:3">
      <c r="A2675" s="76">
        <f ca="1">IFERROR(__xludf.DUMMYFUNCTION("""COMPUTED_VALUE"""),2315486)</f>
        <v>2315486</v>
      </c>
      <c r="B2675" s="76" t="str">
        <f ca="1">IFERROR(__xludf.DUMMYFUNCTION("""COMPUTED_VALUE"""),"Иовлев Егор Ильич")</f>
        <v>Иовлев Егор Ильич</v>
      </c>
      <c r="C2675" s="75" t="str">
        <f ca="1">IFERROR(__xludf.DUMMYFUNCTION("""COMPUTED_VALUE"""),"Студент")</f>
        <v>Студент</v>
      </c>
    </row>
    <row r="2676" spans="1:3">
      <c r="A2676" s="76">
        <f ca="1">IFERROR(__xludf.DUMMYFUNCTION("""COMPUTED_VALUE"""),2315487)</f>
        <v>2315487</v>
      </c>
      <c r="B2676" s="76" t="str">
        <f ca="1">IFERROR(__xludf.DUMMYFUNCTION("""COMPUTED_VALUE"""),"Кожемякин Николай Сергеевич")</f>
        <v>Кожемякин Николай Сергеевич</v>
      </c>
      <c r="C2676" s="75" t="str">
        <f ca="1">IFERROR(__xludf.DUMMYFUNCTION("""COMPUTED_VALUE"""),"Студент")</f>
        <v>Студент</v>
      </c>
    </row>
    <row r="2677" spans="1:3">
      <c r="A2677" s="76">
        <f ca="1">IFERROR(__xludf.DUMMYFUNCTION("""COMPUTED_VALUE"""),2315488)</f>
        <v>2315488</v>
      </c>
      <c r="B2677" s="76" t="str">
        <f ca="1">IFERROR(__xludf.DUMMYFUNCTION("""COMPUTED_VALUE"""),"Миловзорова Арина Николаевна")</f>
        <v>Миловзорова Арина Николаевна</v>
      </c>
      <c r="C2677" s="75" t="str">
        <f ca="1">IFERROR(__xludf.DUMMYFUNCTION("""COMPUTED_VALUE"""),"Студент")</f>
        <v>Студент</v>
      </c>
    </row>
    <row r="2678" spans="1:3">
      <c r="A2678" s="76">
        <f ca="1">IFERROR(__xludf.DUMMYFUNCTION("""COMPUTED_VALUE"""),2315489)</f>
        <v>2315489</v>
      </c>
      <c r="B2678" s="76" t="str">
        <f ca="1">IFERROR(__xludf.DUMMYFUNCTION("""COMPUTED_VALUE"""),"Петрова Полина Алексеевна")</f>
        <v>Петрова Полина Алексеевна</v>
      </c>
      <c r="C2678" s="75" t="str">
        <f ca="1">IFERROR(__xludf.DUMMYFUNCTION("""COMPUTED_VALUE"""),"Студент")</f>
        <v>Студент</v>
      </c>
    </row>
    <row r="2679" spans="1:3">
      <c r="A2679" s="76">
        <f ca="1">IFERROR(__xludf.DUMMYFUNCTION("""COMPUTED_VALUE"""),2315490)</f>
        <v>2315490</v>
      </c>
      <c r="B2679" s="76" t="str">
        <f ca="1">IFERROR(__xludf.DUMMYFUNCTION("""COMPUTED_VALUE"""),"Рыбаков Виктор Викторович")</f>
        <v>Рыбаков Виктор Викторович</v>
      </c>
      <c r="C2679" s="75" t="str">
        <f ca="1">IFERROR(__xludf.DUMMYFUNCTION("""COMPUTED_VALUE"""),"Студент")</f>
        <v>Студент</v>
      </c>
    </row>
    <row r="2680" spans="1:3">
      <c r="A2680" s="76">
        <f ca="1">IFERROR(__xludf.DUMMYFUNCTION("""COMPUTED_VALUE"""),2315491)</f>
        <v>2315491</v>
      </c>
      <c r="B2680" s="76" t="str">
        <f ca="1">IFERROR(__xludf.DUMMYFUNCTION("""COMPUTED_VALUE"""),"Сидоровская Ольга Евгеньевна")</f>
        <v>Сидоровская Ольга Евгеньевна</v>
      </c>
      <c r="C2680" s="75" t="str">
        <f ca="1">IFERROR(__xludf.DUMMYFUNCTION("""COMPUTED_VALUE"""),"Студент")</f>
        <v>Студент</v>
      </c>
    </row>
    <row r="2681" spans="1:3">
      <c r="A2681" s="76">
        <f ca="1">IFERROR(__xludf.DUMMYFUNCTION("""COMPUTED_VALUE"""),2315492)</f>
        <v>2315492</v>
      </c>
      <c r="B2681" s="76" t="str">
        <f ca="1">IFERROR(__xludf.DUMMYFUNCTION("""COMPUTED_VALUE"""),"Хыльма Виринея Данииловна")</f>
        <v>Хыльма Виринея Данииловна</v>
      </c>
      <c r="C2681" s="75" t="str">
        <f ca="1">IFERROR(__xludf.DUMMYFUNCTION("""COMPUTED_VALUE"""),"Студент")</f>
        <v>Студент</v>
      </c>
    </row>
    <row r="2682" spans="1:3">
      <c r="A2682" s="76">
        <f ca="1">IFERROR(__xludf.DUMMYFUNCTION("""COMPUTED_VALUE"""),2315493)</f>
        <v>2315493</v>
      </c>
      <c r="B2682" s="76" t="str">
        <f ca="1">IFERROR(__xludf.DUMMYFUNCTION("""COMPUTED_VALUE"""),"Чуфырева Мирослава Павловна")</f>
        <v>Чуфырева Мирослава Павловна</v>
      </c>
      <c r="C2682" s="75" t="str">
        <f ca="1">IFERROR(__xludf.DUMMYFUNCTION("""COMPUTED_VALUE"""),"Студент")</f>
        <v>Студент</v>
      </c>
    </row>
    <row r="2683" spans="1:3">
      <c r="A2683" s="76">
        <f ca="1">IFERROR(__xludf.DUMMYFUNCTION("""COMPUTED_VALUE"""),2315494)</f>
        <v>2315494</v>
      </c>
      <c r="B2683" s="76" t="str">
        <f ca="1">IFERROR(__xludf.DUMMYFUNCTION("""COMPUTED_VALUE"""),"Гриненко Илья Иванович")</f>
        <v>Гриненко Илья Иванович</v>
      </c>
      <c r="C2683" s="75" t="str">
        <f ca="1">IFERROR(__xludf.DUMMYFUNCTION("""COMPUTED_VALUE"""),"Студент")</f>
        <v>Студент</v>
      </c>
    </row>
    <row r="2684" spans="1:3">
      <c r="A2684" s="76">
        <f ca="1">IFERROR(__xludf.DUMMYFUNCTION("""COMPUTED_VALUE"""),2315495)</f>
        <v>2315495</v>
      </c>
      <c r="B2684" s="76" t="str">
        <f ca="1">IFERROR(__xludf.DUMMYFUNCTION("""COMPUTED_VALUE"""),"Хозром Ияд Мохаммед Нассер")</f>
        <v>Хозром Ияд Мохаммед Нассер</v>
      </c>
      <c r="C2684" s="75" t="str">
        <f ca="1">IFERROR(__xludf.DUMMYFUNCTION("""COMPUTED_VALUE"""),"Аспирант")</f>
        <v>Аспирант</v>
      </c>
    </row>
    <row r="2685" spans="1:3">
      <c r="A2685" s="76">
        <f ca="1">IFERROR(__xludf.DUMMYFUNCTION("""COMPUTED_VALUE"""),2315496)</f>
        <v>2315496</v>
      </c>
      <c r="B2685" s="76" t="str">
        <f ca="1">IFERROR(__xludf.DUMMYFUNCTION("""COMPUTED_VALUE"""),"Самран Хамза")</f>
        <v>Самран Хамза</v>
      </c>
      <c r="C2685" s="75" t="str">
        <f ca="1">IFERROR(__xludf.DUMMYFUNCTION("""COMPUTED_VALUE"""),"Студент")</f>
        <v>Студент</v>
      </c>
    </row>
    <row r="2686" spans="1:3">
      <c r="A2686" s="76">
        <f ca="1">IFERROR(__xludf.DUMMYFUNCTION("""COMPUTED_VALUE"""),2315498)</f>
        <v>2315498</v>
      </c>
      <c r="B2686" s="76" t="str">
        <f ca="1">IFERROR(__xludf.DUMMYFUNCTION("""COMPUTED_VALUE"""),"Абу Мерхи Дамаж Жад")</f>
        <v>Абу Мерхи Дамаж Жад</v>
      </c>
      <c r="C2686" s="75" t="str">
        <f ca="1">IFERROR(__xludf.DUMMYFUNCTION("""COMPUTED_VALUE"""),"Студент")</f>
        <v>Студент</v>
      </c>
    </row>
    <row r="2687" spans="1:3">
      <c r="A2687" s="76">
        <f ca="1">IFERROR(__xludf.DUMMYFUNCTION("""COMPUTED_VALUE"""),2315507)</f>
        <v>2315507</v>
      </c>
      <c r="B2687" s="76" t="str">
        <f ca="1">IFERROR(__xludf.DUMMYFUNCTION("""COMPUTED_VALUE"""),"Ламуто Макало Антониу Саломау Панзо")</f>
        <v>Ламуто Макало Антониу Саломау Панзо</v>
      </c>
      <c r="C2687" s="75" t="str">
        <f ca="1">IFERROR(__xludf.DUMMYFUNCTION("""COMPUTED_VALUE"""),"Студент")</f>
        <v>Студент</v>
      </c>
    </row>
    <row r="2688" spans="1:3">
      <c r="A2688" s="76">
        <f ca="1">IFERROR(__xludf.DUMMYFUNCTION("""COMPUTED_VALUE"""),2315509)</f>
        <v>2315509</v>
      </c>
      <c r="B2688" s="76" t="str">
        <f ca="1">IFERROR(__xludf.DUMMYFUNCTION("""COMPUTED_VALUE"""),"Чаморро Аранибар Пиерина Исабель")</f>
        <v>Чаморро Аранибар Пиерина Исабель</v>
      </c>
      <c r="C2688" s="75" t="str">
        <f ca="1">IFERROR(__xludf.DUMMYFUNCTION("""COMPUTED_VALUE"""),"Студент")</f>
        <v>Студент</v>
      </c>
    </row>
    <row r="2689" spans="1:3">
      <c r="A2689" s="76">
        <f ca="1">IFERROR(__xludf.DUMMYFUNCTION("""COMPUTED_VALUE"""),2315516)</f>
        <v>2315516</v>
      </c>
      <c r="B2689" s="76" t="str">
        <f ca="1">IFERROR(__xludf.DUMMYFUNCTION("""COMPUTED_VALUE"""),"Кущ Михаил")</f>
        <v>Кущ Михаил</v>
      </c>
      <c r="C2689" s="75" t="str">
        <f ca="1">IFERROR(__xludf.DUMMYFUNCTION("""COMPUTED_VALUE"""),"Студент")</f>
        <v>Студент</v>
      </c>
    </row>
    <row r="2690" spans="1:3">
      <c r="A2690" s="76">
        <f ca="1">IFERROR(__xludf.DUMMYFUNCTION("""COMPUTED_VALUE"""),2315517)</f>
        <v>2315517</v>
      </c>
      <c r="B2690" s="76" t="str">
        <f ca="1">IFERROR(__xludf.DUMMYFUNCTION("""COMPUTED_VALUE"""),"Рукамба Эрикус Эрикус")</f>
        <v>Рукамба Эрикус Эрикус</v>
      </c>
      <c r="C2690" s="75" t="str">
        <f ca="1">IFERROR(__xludf.DUMMYFUNCTION("""COMPUTED_VALUE"""),"Студент")</f>
        <v>Студент</v>
      </c>
    </row>
    <row r="2691" spans="1:3">
      <c r="A2691" s="76">
        <f ca="1">IFERROR(__xludf.DUMMYFUNCTION("""COMPUTED_VALUE"""),2315527)</f>
        <v>2315527</v>
      </c>
      <c r="B2691" s="76" t="str">
        <f ca="1">IFERROR(__xludf.DUMMYFUNCTION("""COMPUTED_VALUE"""),"Нго Хю Кыонг")</f>
        <v>Нго Хю Кыонг</v>
      </c>
      <c r="C2691" s="75" t="str">
        <f ca="1">IFERROR(__xludf.DUMMYFUNCTION("""COMPUTED_VALUE"""),"Студент")</f>
        <v>Студент</v>
      </c>
    </row>
    <row r="2692" spans="1:3">
      <c r="A2692" s="76">
        <f ca="1">IFERROR(__xludf.DUMMYFUNCTION("""COMPUTED_VALUE"""),2315528)</f>
        <v>2315528</v>
      </c>
      <c r="B2692" s="76" t="str">
        <f ca="1">IFERROR(__xludf.DUMMYFUNCTION("""COMPUTED_VALUE"""),"Аррьета Вильальба Оскар Андрес")</f>
        <v>Аррьета Вильальба Оскар Андрес</v>
      </c>
      <c r="C2692" s="75" t="str">
        <f ca="1">IFERROR(__xludf.DUMMYFUNCTION("""COMPUTED_VALUE"""),"Аспирант")</f>
        <v>Аспирант</v>
      </c>
    </row>
    <row r="2693" spans="1:3">
      <c r="A2693" s="76">
        <f ca="1">IFERROR(__xludf.DUMMYFUNCTION("""COMPUTED_VALUE"""),2315529)</f>
        <v>2315529</v>
      </c>
      <c r="B2693" s="76" t="str">
        <f ca="1">IFERROR(__xludf.DUMMYFUNCTION("""COMPUTED_VALUE"""),"Тшипингу Эдуарду Афонсу")</f>
        <v>Тшипингу Эдуарду Афонсу</v>
      </c>
      <c r="C2693" s="75" t="str">
        <f ca="1">IFERROR(__xludf.DUMMYFUNCTION("""COMPUTED_VALUE"""),"Аспирант")</f>
        <v>Аспирант</v>
      </c>
    </row>
    <row r="2694" spans="1:3">
      <c r="A2694" s="76">
        <f ca="1">IFERROR(__xludf.DUMMYFUNCTION("""COMPUTED_VALUE"""),2315530)</f>
        <v>2315530</v>
      </c>
      <c r="B2694" s="76" t="str">
        <f ca="1">IFERROR(__xludf.DUMMYFUNCTION("""COMPUTED_VALUE"""),"Сиака Дофоло Филипп")</f>
        <v>Сиака Дофоло Филипп</v>
      </c>
      <c r="C2694" s="75" t="str">
        <f ca="1">IFERROR(__xludf.DUMMYFUNCTION("""COMPUTED_VALUE"""),"Студент")</f>
        <v>Студент</v>
      </c>
    </row>
    <row r="2695" spans="1:3">
      <c r="A2695" s="76">
        <f ca="1">IFERROR(__xludf.DUMMYFUNCTION("""COMPUTED_VALUE"""),2315543)</f>
        <v>2315543</v>
      </c>
      <c r="B2695" s="76" t="str">
        <f ca="1">IFERROR(__xludf.DUMMYFUNCTION("""COMPUTED_VALUE"""),"Джари Мохаммад Фаек Джари")</f>
        <v>Джари Мохаммад Фаек Джари</v>
      </c>
      <c r="C2695" s="75" t="str">
        <f ca="1">IFERROR(__xludf.DUMMYFUNCTION("""COMPUTED_VALUE"""),"Аспирант")</f>
        <v>Аспирант</v>
      </c>
    </row>
    <row r="2696" spans="1:3">
      <c r="A2696" s="76">
        <f ca="1">IFERROR(__xludf.DUMMYFUNCTION("""COMPUTED_VALUE"""),2315545)</f>
        <v>2315545</v>
      </c>
      <c r="B2696" s="76" t="str">
        <f ca="1">IFERROR(__xludf.DUMMYFUNCTION("""COMPUTED_VALUE"""),"Авад Фатхи Абделмонем Мохамед Ахмед")</f>
        <v>Авад Фатхи Абделмонем Мохамед Ахмед</v>
      </c>
      <c r="C2696" s="75" t="str">
        <f ca="1">IFERROR(__xludf.DUMMYFUNCTION("""COMPUTED_VALUE"""),"Студент")</f>
        <v>Студент</v>
      </c>
    </row>
    <row r="2697" spans="1:3">
      <c r="A2697" s="76">
        <f ca="1">IFERROR(__xludf.DUMMYFUNCTION("""COMPUTED_VALUE"""),2315547)</f>
        <v>2315547</v>
      </c>
      <c r="B2697" s="76" t="str">
        <f ca="1">IFERROR(__xludf.DUMMYFUNCTION("""COMPUTED_VALUE"""),"Кизилова Вахида Рустамовна")</f>
        <v>Кизилова Вахида Рустамовна</v>
      </c>
      <c r="C2697" s="75" t="str">
        <f ca="1">IFERROR(__xludf.DUMMYFUNCTION("""COMPUTED_VALUE"""),"Студент")</f>
        <v>Студент</v>
      </c>
    </row>
    <row r="2698" spans="1:3">
      <c r="A2698" s="76">
        <f ca="1">IFERROR(__xludf.DUMMYFUNCTION("""COMPUTED_VALUE"""),2315548)</f>
        <v>2315548</v>
      </c>
      <c r="B2698" s="76" t="str">
        <f ca="1">IFERROR(__xludf.DUMMYFUNCTION("""COMPUTED_VALUE"""),"Куницкий Вячеслав")</f>
        <v>Куницкий Вячеслав</v>
      </c>
      <c r="C2698" s="75" t="str">
        <f ca="1">IFERROR(__xludf.DUMMYFUNCTION("""COMPUTED_VALUE"""),"Студент")</f>
        <v>Студент</v>
      </c>
    </row>
    <row r="2699" spans="1:3">
      <c r="A2699" s="76">
        <f ca="1">IFERROR(__xludf.DUMMYFUNCTION("""COMPUTED_VALUE"""),2315549)</f>
        <v>2315549</v>
      </c>
      <c r="B2699" s="76" t="str">
        <f ca="1">IFERROR(__xludf.DUMMYFUNCTION("""COMPUTED_VALUE"""),"Уиддир Абдеррахман")</f>
        <v>Уиддир Абдеррахман</v>
      </c>
      <c r="C2699" s="75" t="str">
        <f ca="1">IFERROR(__xludf.DUMMYFUNCTION("""COMPUTED_VALUE"""),"Студент")</f>
        <v>Студент</v>
      </c>
    </row>
    <row r="2700" spans="1:3">
      <c r="A2700" s="76">
        <f ca="1">IFERROR(__xludf.DUMMYFUNCTION("""COMPUTED_VALUE"""),2315571)</f>
        <v>2315571</v>
      </c>
      <c r="B2700" s="76" t="str">
        <f ca="1">IFERROR(__xludf.DUMMYFUNCTION("""COMPUTED_VALUE"""),"Аль-Хаити Абдулвасеа Нассер Хамид Мокбел")</f>
        <v>Аль-Хаити Абдулвасеа Нассер Хамид Мокбел</v>
      </c>
      <c r="C2700" s="75" t="str">
        <f ca="1">IFERROR(__xludf.DUMMYFUNCTION("""COMPUTED_VALUE"""),"Студент")</f>
        <v>Студент</v>
      </c>
    </row>
    <row r="2701" spans="1:3">
      <c r="A2701" s="76">
        <f ca="1">IFERROR(__xludf.DUMMYFUNCTION("""COMPUTED_VALUE"""),2315572)</f>
        <v>2315572</v>
      </c>
      <c r="B2701" s="76" t="str">
        <f ca="1">IFERROR(__xludf.DUMMYFUNCTION("""COMPUTED_VALUE"""),"Ал-Хаидари Хазим Хамид Абду")</f>
        <v>Ал-Хаидари Хазим Хамид Абду</v>
      </c>
      <c r="C2701" s="75" t="str">
        <f ca="1">IFERROR(__xludf.DUMMYFUNCTION("""COMPUTED_VALUE"""),"Студент")</f>
        <v>Студент</v>
      </c>
    </row>
    <row r="2702" spans="1:3">
      <c r="A2702" s="76">
        <f ca="1">IFERROR(__xludf.DUMMYFUNCTION("""COMPUTED_VALUE"""),2315576)</f>
        <v>2315576</v>
      </c>
      <c r="B2702" s="76" t="str">
        <f ca="1">IFERROR(__xludf.DUMMYFUNCTION("""COMPUTED_VALUE"""),"Пулатов Хусанхон Аълохонович")</f>
        <v>Пулатов Хусанхон Аълохонович</v>
      </c>
      <c r="C2702" s="75" t="str">
        <f ca="1">IFERROR(__xludf.DUMMYFUNCTION("""COMPUTED_VALUE"""),"Студент")</f>
        <v>Студент</v>
      </c>
    </row>
    <row r="2703" spans="1:3">
      <c r="A2703" s="76">
        <f ca="1">IFERROR(__xludf.DUMMYFUNCTION("""COMPUTED_VALUE"""),2315584)</f>
        <v>2315584</v>
      </c>
      <c r="B2703" s="76" t="str">
        <f ca="1">IFERROR(__xludf.DUMMYFUNCTION("""COMPUTED_VALUE"""),"Казарова Яна Васильевна")</f>
        <v>Казарова Яна Васильевна</v>
      </c>
      <c r="C2703" s="75" t="str">
        <f ca="1">IFERROR(__xludf.DUMMYFUNCTION("""COMPUTED_VALUE"""),"Студент")</f>
        <v>Студент</v>
      </c>
    </row>
    <row r="2704" spans="1:3">
      <c r="A2704" s="76">
        <f ca="1">IFERROR(__xludf.DUMMYFUNCTION("""COMPUTED_VALUE"""),2315606)</f>
        <v>2315606</v>
      </c>
      <c r="B2704" s="76" t="str">
        <f ca="1">IFERROR(__xludf.DUMMYFUNCTION("""COMPUTED_VALUE"""),"Муленга Таонга")</f>
        <v>Муленга Таонга</v>
      </c>
      <c r="C2704" s="75" t="str">
        <f ca="1">IFERROR(__xludf.DUMMYFUNCTION("""COMPUTED_VALUE"""),"Студент")</f>
        <v>Студент</v>
      </c>
    </row>
    <row r="2705" spans="1:3">
      <c r="A2705" s="76">
        <f ca="1">IFERROR(__xludf.DUMMYFUNCTION("""COMPUTED_VALUE"""),2315607)</f>
        <v>2315607</v>
      </c>
      <c r="B2705" s="76" t="str">
        <f ca="1">IFERROR(__xludf.DUMMYFUNCTION("""COMPUTED_VALUE"""),"Тасиса Давит Меконен")</f>
        <v>Тасиса Давит Меконен</v>
      </c>
      <c r="C2705" s="75" t="str">
        <f ca="1">IFERROR(__xludf.DUMMYFUNCTION("""COMPUTED_VALUE"""),"Студент")</f>
        <v>Студент</v>
      </c>
    </row>
    <row r="2706" spans="1:3">
      <c r="A2706" s="76">
        <f ca="1">IFERROR(__xludf.DUMMYFUNCTION("""COMPUTED_VALUE"""),2315609)</f>
        <v>2315609</v>
      </c>
      <c r="B2706" s="76" t="str">
        <f ca="1">IFERROR(__xludf.DUMMYFUNCTION("""COMPUTED_VALUE"""),"Дин Монис Али Заин Уль Абид Э")</f>
        <v>Дин Монис Али Заин Уль Абид Э</v>
      </c>
      <c r="C2706" s="75" t="str">
        <f ca="1">IFERROR(__xludf.DUMMYFUNCTION("""COMPUTED_VALUE"""),"Студент")</f>
        <v>Студент</v>
      </c>
    </row>
    <row r="2707" spans="1:3">
      <c r="A2707" s="76">
        <f ca="1">IFERROR(__xludf.DUMMYFUNCTION("""COMPUTED_VALUE"""),2315610)</f>
        <v>2315610</v>
      </c>
      <c r="B2707" s="76" t="str">
        <f ca="1">IFERROR(__xludf.DUMMYFUNCTION("""COMPUTED_VALUE"""),"Сайфиев Хусравхон Хайруллоевич")</f>
        <v>Сайфиев Хусравхон Хайруллоевич</v>
      </c>
      <c r="C2707" s="75" t="str">
        <f ca="1">IFERROR(__xludf.DUMMYFUNCTION("""COMPUTED_VALUE"""),"Студент")</f>
        <v>Студент</v>
      </c>
    </row>
    <row r="2708" spans="1:3">
      <c r="A2708" s="76">
        <f ca="1">IFERROR(__xludf.DUMMYFUNCTION("""COMPUTED_VALUE"""),2315611)</f>
        <v>2315611</v>
      </c>
      <c r="B2708" s="76" t="str">
        <f ca="1">IFERROR(__xludf.DUMMYFUNCTION("""COMPUTED_VALUE"""),"Ломтев Глеб")</f>
        <v>Ломтев Глеб</v>
      </c>
      <c r="C2708" s="75" t="str">
        <f ca="1">IFERROR(__xludf.DUMMYFUNCTION("""COMPUTED_VALUE"""),"Студент")</f>
        <v>Студент</v>
      </c>
    </row>
    <row r="2709" spans="1:3">
      <c r="A2709" s="76">
        <f ca="1">IFERROR(__xludf.DUMMYFUNCTION("""COMPUTED_VALUE"""),2315612)</f>
        <v>2315612</v>
      </c>
      <c r="B2709" s="76" t="str">
        <f ca="1">IFERROR(__xludf.DUMMYFUNCTION("""COMPUTED_VALUE"""),"Бангура Умар")</f>
        <v>Бангура Умар</v>
      </c>
      <c r="C2709" s="75" t="str">
        <f ca="1">IFERROR(__xludf.DUMMYFUNCTION("""COMPUTED_VALUE"""),"Аспирант")</f>
        <v>Аспирант</v>
      </c>
    </row>
    <row r="2710" spans="1:3">
      <c r="A2710" s="76">
        <f ca="1">IFERROR(__xludf.DUMMYFUNCTION("""COMPUTED_VALUE"""),2315613)</f>
        <v>2315613</v>
      </c>
      <c r="B2710" s="76" t="str">
        <f ca="1">IFERROR(__xludf.DUMMYFUNCTION("""COMPUTED_VALUE"""),"Лвагула Дерик")</f>
        <v>Лвагула Дерик</v>
      </c>
      <c r="C2710" s="75" t="str">
        <f ca="1">IFERROR(__xludf.DUMMYFUNCTION("""COMPUTED_VALUE"""),"Аспирант")</f>
        <v>Аспирант</v>
      </c>
    </row>
    <row r="2711" spans="1:3">
      <c r="A2711" s="76">
        <f ca="1">IFERROR(__xludf.DUMMYFUNCTION("""COMPUTED_VALUE"""),2315641)</f>
        <v>2315641</v>
      </c>
      <c r="B2711" s="76" t="str">
        <f ca="1">IFERROR(__xludf.DUMMYFUNCTION("""COMPUTED_VALUE"""),"Уйи Десмонд Осагуона")</f>
        <v>Уйи Десмонд Осагуона</v>
      </c>
      <c r="C2711" s="75" t="str">
        <f ca="1">IFERROR(__xludf.DUMMYFUNCTION("""COMPUTED_VALUE"""),"Студент")</f>
        <v>Студент</v>
      </c>
    </row>
    <row r="2712" spans="1:3">
      <c r="A2712" s="76">
        <f ca="1">IFERROR(__xludf.DUMMYFUNCTION("""COMPUTED_VALUE"""),2315671)</f>
        <v>2315671</v>
      </c>
      <c r="B2712" s="76" t="str">
        <f ca="1">IFERROR(__xludf.DUMMYFUNCTION("""COMPUTED_VALUE"""),"Степкина Евгения Алексеевна")</f>
        <v>Степкина Евгения Алексеевна</v>
      </c>
      <c r="C2712" s="75" t="str">
        <f ca="1">IFERROR(__xludf.DUMMYFUNCTION("""COMPUTED_VALUE"""),"Студент")</f>
        <v>Студент</v>
      </c>
    </row>
    <row r="2713" spans="1:3">
      <c r="A2713" s="76">
        <f ca="1">IFERROR(__xludf.DUMMYFUNCTION("""COMPUTED_VALUE"""),2315674)</f>
        <v>2315674</v>
      </c>
      <c r="B2713" s="76" t="str">
        <f ca="1">IFERROR(__xludf.DUMMYFUNCTION("""COMPUTED_VALUE"""),"Сайнзаяа Марал")</f>
        <v>Сайнзаяа Марал</v>
      </c>
      <c r="C2713" s="75" t="str">
        <f ca="1">IFERROR(__xludf.DUMMYFUNCTION("""COMPUTED_VALUE"""),"Студент")</f>
        <v>Студент</v>
      </c>
    </row>
    <row r="2714" spans="1:3">
      <c r="A2714" s="76">
        <f ca="1">IFERROR(__xludf.DUMMYFUNCTION("""COMPUTED_VALUE"""),2315740)</f>
        <v>2315740</v>
      </c>
      <c r="B2714" s="76" t="str">
        <f ca="1">IFERROR(__xludf.DUMMYFUNCTION("""COMPUTED_VALUE"""),"Рахимов Мехрбахш Салохиддинович")</f>
        <v>Рахимов Мехрбахш Салохиддинович</v>
      </c>
      <c r="C2714" s="75" t="str">
        <f ca="1">IFERROR(__xludf.DUMMYFUNCTION("""COMPUTED_VALUE"""),"Студент")</f>
        <v>Студент</v>
      </c>
    </row>
    <row r="2715" spans="1:3">
      <c r="A2715" s="76">
        <f ca="1">IFERROR(__xludf.DUMMYFUNCTION("""COMPUTED_VALUE"""),2315741)</f>
        <v>2315741</v>
      </c>
      <c r="B2715" s="76" t="str">
        <f ca="1">IFERROR(__xludf.DUMMYFUNCTION("""COMPUTED_VALUE"""),"Говера Шантел Гамучираи")</f>
        <v>Говера Шантел Гамучираи</v>
      </c>
      <c r="C2715" s="75" t="str">
        <f ca="1">IFERROR(__xludf.DUMMYFUNCTION("""COMPUTED_VALUE"""),"Студент")</f>
        <v>Студент</v>
      </c>
    </row>
    <row r="2716" spans="1:3">
      <c r="A2716" s="76">
        <f ca="1">IFERROR(__xludf.DUMMYFUNCTION("""COMPUTED_VALUE"""),2315742)</f>
        <v>2315742</v>
      </c>
      <c r="B2716" s="76" t="str">
        <f ca="1">IFERROR(__xludf.DUMMYFUNCTION("""COMPUTED_VALUE"""),"Поличко Олег")</f>
        <v>Поличко Олег</v>
      </c>
      <c r="C2716" s="75" t="str">
        <f ca="1">IFERROR(__xludf.DUMMYFUNCTION("""COMPUTED_VALUE"""),"Студент")</f>
        <v>Студент</v>
      </c>
    </row>
    <row r="2717" spans="1:3">
      <c r="A2717" s="76">
        <f ca="1">IFERROR(__xludf.DUMMYFUNCTION("""COMPUTED_VALUE"""),2315743)</f>
        <v>2315743</v>
      </c>
      <c r="B2717" s="76" t="str">
        <f ca="1">IFERROR(__xludf.DUMMYFUNCTION("""COMPUTED_VALUE"""),"Хаджати Мохаммадхоссейн")</f>
        <v>Хаджати Мохаммадхоссейн</v>
      </c>
      <c r="C2717" s="75" t="str">
        <f ca="1">IFERROR(__xludf.DUMMYFUNCTION("""COMPUTED_VALUE"""),"Студент")</f>
        <v>Студент</v>
      </c>
    </row>
    <row r="2718" spans="1:3">
      <c r="A2718" s="76">
        <f ca="1">IFERROR(__xludf.DUMMYFUNCTION("""COMPUTED_VALUE"""),2315744)</f>
        <v>2315744</v>
      </c>
      <c r="B2718" s="76" t="str">
        <f ca="1">IFERROR(__xludf.DUMMYFUNCTION("""COMPUTED_VALUE"""),"Кебеде Абрам Тадесс")</f>
        <v>Кебеде Абрам Тадесс</v>
      </c>
      <c r="C2718" s="75" t="str">
        <f ca="1">IFERROR(__xludf.DUMMYFUNCTION("""COMPUTED_VALUE"""),"Студент")</f>
        <v>Студент</v>
      </c>
    </row>
    <row r="2719" spans="1:3">
      <c r="A2719" s="76">
        <f ca="1">IFERROR(__xludf.DUMMYFUNCTION("""COMPUTED_VALUE"""),2315745)</f>
        <v>2315745</v>
      </c>
      <c r="B2719" s="76" t="str">
        <f ca="1">IFERROR(__xludf.DUMMYFUNCTION("""COMPUTED_VALUE"""),"Али Зафар")</f>
        <v>Али Зафар</v>
      </c>
      <c r="C2719" s="75" t="str">
        <f ca="1">IFERROR(__xludf.DUMMYFUNCTION("""COMPUTED_VALUE"""),"Студент")</f>
        <v>Студент</v>
      </c>
    </row>
    <row r="2720" spans="1:3">
      <c r="A2720" s="76">
        <f ca="1">IFERROR(__xludf.DUMMYFUNCTION("""COMPUTED_VALUE"""),2315746)</f>
        <v>2315746</v>
      </c>
      <c r="B2720" s="76" t="str">
        <f ca="1">IFERROR(__xludf.DUMMYFUNCTION("""COMPUTED_VALUE"""),"Чиусива Эндрю Фраксон")</f>
        <v>Чиусива Эндрю Фраксон</v>
      </c>
      <c r="C2720" s="75" t="str">
        <f ca="1">IFERROR(__xludf.DUMMYFUNCTION("""COMPUTED_VALUE"""),"Студент")</f>
        <v>Студент</v>
      </c>
    </row>
    <row r="2721" spans="1:3">
      <c r="A2721" s="76">
        <f ca="1">IFERROR(__xludf.DUMMYFUNCTION("""COMPUTED_VALUE"""),2315747)</f>
        <v>2315747</v>
      </c>
      <c r="B2721" s="76" t="str">
        <f ca="1">IFERROR(__xludf.DUMMYFUNCTION("""COMPUTED_VALUE"""),"Чакала Фарид")</f>
        <v>Чакала Фарид</v>
      </c>
      <c r="C2721" s="75" t="str">
        <f ca="1">IFERROR(__xludf.DUMMYFUNCTION("""COMPUTED_VALUE"""),"Студент")</f>
        <v>Студент</v>
      </c>
    </row>
    <row r="2722" spans="1:3">
      <c r="A2722" s="76"/>
      <c r="B2722" s="76"/>
      <c r="C2722" s="75"/>
    </row>
    <row r="2723" spans="1:3">
      <c r="A2723" s="76"/>
      <c r="B2723" s="76"/>
      <c r="C2723" s="75"/>
    </row>
    <row r="2724" spans="1:3">
      <c r="A2724" s="76"/>
      <c r="B2724" s="76"/>
      <c r="C2724" s="75"/>
    </row>
    <row r="2725" spans="1:3">
      <c r="A2725" s="76"/>
      <c r="B2725" s="76"/>
      <c r="C2725" s="75"/>
    </row>
    <row r="2726" spans="1:3">
      <c r="A2726" s="76"/>
      <c r="B2726" s="76"/>
      <c r="C2726" s="75"/>
    </row>
    <row r="2727" spans="1:3">
      <c r="A2727" s="76"/>
      <c r="B2727" s="76"/>
      <c r="C2727" s="75"/>
    </row>
    <row r="2728" spans="1:3">
      <c r="A2728" s="76"/>
      <c r="B2728" s="76"/>
      <c r="C2728" s="75"/>
    </row>
    <row r="2729" spans="1:3">
      <c r="A2729" s="76"/>
      <c r="B2729" s="76"/>
      <c r="C2729" s="75"/>
    </row>
    <row r="2730" spans="1:3">
      <c r="A2730" s="76"/>
      <c r="B2730" s="76"/>
      <c r="C2730" s="75"/>
    </row>
    <row r="2731" spans="1:3">
      <c r="A2731" s="76"/>
      <c r="B2731" s="76"/>
      <c r="C2731" s="75"/>
    </row>
    <row r="2732" spans="1:3">
      <c r="A2732" s="76"/>
      <c r="B2732" s="76"/>
      <c r="C2732" s="75"/>
    </row>
    <row r="2733" spans="1:3">
      <c r="A2733" s="76"/>
      <c r="B2733" s="76"/>
      <c r="C2733" s="75"/>
    </row>
    <row r="2734" spans="1:3">
      <c r="A2734" s="76"/>
      <c r="B2734" s="76"/>
      <c r="C2734" s="75"/>
    </row>
    <row r="2735" spans="1:3">
      <c r="A2735" s="76"/>
      <c r="B2735" s="76"/>
      <c r="C2735" s="75"/>
    </row>
    <row r="2736" spans="1:3">
      <c r="A2736" s="76"/>
      <c r="B2736" s="76"/>
      <c r="C2736" s="75"/>
    </row>
    <row r="2737" spans="1:3">
      <c r="A2737" s="76"/>
      <c r="B2737" s="76"/>
      <c r="C2737" s="75"/>
    </row>
    <row r="2738" spans="1:3">
      <c r="A2738" s="76"/>
      <c r="B2738" s="76"/>
      <c r="C2738" s="75"/>
    </row>
    <row r="2739" spans="1:3">
      <c r="A2739" s="76"/>
      <c r="B2739" s="76"/>
      <c r="C2739" s="75"/>
    </row>
    <row r="2740" spans="1:3">
      <c r="A2740" s="76"/>
      <c r="B2740" s="76"/>
      <c r="C2740" s="75"/>
    </row>
    <row r="2741" spans="1:3">
      <c r="A2741" s="76"/>
      <c r="B2741" s="76"/>
      <c r="C2741" s="75"/>
    </row>
    <row r="2742" spans="1:3">
      <c r="A2742" s="76"/>
      <c r="B2742" s="76"/>
      <c r="C2742" s="75"/>
    </row>
    <row r="2743" spans="1:3">
      <c r="A2743" s="76"/>
      <c r="B2743" s="76"/>
      <c r="C2743" s="75"/>
    </row>
    <row r="2744" spans="1:3">
      <c r="A2744" s="76"/>
      <c r="B2744" s="76"/>
      <c r="C2744" s="75"/>
    </row>
    <row r="2745" spans="1:3">
      <c r="A2745" s="76"/>
      <c r="B2745" s="76"/>
      <c r="C2745" s="75"/>
    </row>
    <row r="2746" spans="1:3">
      <c r="A2746" s="76"/>
      <c r="B2746" s="76"/>
      <c r="C2746" s="75"/>
    </row>
    <row r="2747" spans="1:3">
      <c r="A2747" s="76"/>
      <c r="B2747" s="76"/>
      <c r="C2747" s="75"/>
    </row>
    <row r="2748" spans="1:3">
      <c r="A2748" s="76"/>
      <c r="B2748" s="76"/>
      <c r="C2748" s="75"/>
    </row>
    <row r="2749" spans="1:3">
      <c r="A2749" s="76"/>
      <c r="B2749" s="76"/>
      <c r="C2749" s="75"/>
    </row>
    <row r="2750" spans="1:3">
      <c r="A2750" s="76"/>
      <c r="B2750" s="76"/>
      <c r="C2750" s="75"/>
    </row>
    <row r="2751" spans="1:3">
      <c r="A2751" s="76"/>
      <c r="B2751" s="76"/>
      <c r="C2751" s="75"/>
    </row>
    <row r="2752" spans="1:3">
      <c r="A2752" s="76"/>
      <c r="B2752" s="76"/>
      <c r="C2752" s="75"/>
    </row>
    <row r="2753" spans="1:3">
      <c r="A2753" s="76"/>
      <c r="B2753" s="76"/>
      <c r="C2753" s="75"/>
    </row>
    <row r="2754" spans="1:3">
      <c r="A2754" s="76"/>
      <c r="B2754" s="76"/>
      <c r="C2754" s="75"/>
    </row>
    <row r="2755" spans="1:3">
      <c r="A2755" s="76"/>
      <c r="B2755" s="76"/>
      <c r="C2755" s="75"/>
    </row>
    <row r="2756" spans="1:3">
      <c r="A2756" s="76"/>
      <c r="B2756" s="76"/>
      <c r="C2756" s="75"/>
    </row>
    <row r="2757" spans="1:3">
      <c r="A2757" s="76"/>
      <c r="B2757" s="76"/>
      <c r="C2757" s="75"/>
    </row>
    <row r="2758" spans="1:3">
      <c r="A2758" s="76"/>
      <c r="B2758" s="76"/>
      <c r="C2758" s="75"/>
    </row>
    <row r="2759" spans="1:3">
      <c r="A2759" s="76"/>
      <c r="B2759" s="76"/>
      <c r="C2759" s="75"/>
    </row>
    <row r="2760" spans="1:3">
      <c r="A2760" s="76"/>
      <c r="B2760" s="76"/>
      <c r="C2760" s="75"/>
    </row>
    <row r="2761" spans="1:3">
      <c r="A2761" s="76"/>
      <c r="B2761" s="76"/>
      <c r="C2761" s="75"/>
    </row>
    <row r="2762" spans="1:3">
      <c r="A2762" s="76"/>
      <c r="B2762" s="76"/>
      <c r="C2762" s="75"/>
    </row>
    <row r="2763" spans="1:3">
      <c r="A2763" s="76"/>
      <c r="B2763" s="76"/>
      <c r="C2763" s="75"/>
    </row>
    <row r="2764" spans="1:3">
      <c r="A2764" s="76"/>
      <c r="B2764" s="76"/>
      <c r="C2764" s="75"/>
    </row>
    <row r="2765" spans="1:3">
      <c r="A2765" s="76"/>
      <c r="B2765" s="76"/>
      <c r="C2765" s="75"/>
    </row>
    <row r="2766" spans="1:3">
      <c r="A2766" s="76"/>
      <c r="B2766" s="76"/>
      <c r="C2766" s="75"/>
    </row>
    <row r="2767" spans="1:3">
      <c r="A2767" s="76"/>
      <c r="B2767" s="76"/>
      <c r="C2767" s="75"/>
    </row>
    <row r="2768" spans="1:3">
      <c r="A2768" s="76"/>
      <c r="B2768" s="76"/>
      <c r="C2768" s="75"/>
    </row>
    <row r="2769" spans="1:3">
      <c r="A2769" s="76"/>
      <c r="B2769" s="76"/>
      <c r="C2769" s="75"/>
    </row>
    <row r="2770" spans="1:3">
      <c r="A2770" s="76"/>
      <c r="B2770" s="76"/>
      <c r="C2770" s="75"/>
    </row>
    <row r="2771" spans="1:3">
      <c r="A2771" s="76"/>
      <c r="B2771" s="76"/>
      <c r="C2771" s="75"/>
    </row>
    <row r="2772" spans="1:3">
      <c r="A2772" s="76"/>
      <c r="B2772" s="76"/>
      <c r="C2772" s="75"/>
    </row>
    <row r="2773" spans="1:3">
      <c r="A2773" s="76"/>
      <c r="B2773" s="76"/>
      <c r="C2773" s="75"/>
    </row>
    <row r="2774" spans="1:3">
      <c r="A2774" s="76"/>
      <c r="B2774" s="76"/>
      <c r="C2774" s="75"/>
    </row>
    <row r="2775" spans="1:3">
      <c r="A2775" s="76"/>
      <c r="B2775" s="76"/>
      <c r="C2775" s="75"/>
    </row>
    <row r="2776" spans="1:3">
      <c r="A2776" s="76"/>
      <c r="B2776" s="76"/>
      <c r="C2776" s="75"/>
    </row>
    <row r="2777" spans="1:3">
      <c r="A2777" s="76"/>
      <c r="B2777" s="76"/>
      <c r="C2777" s="75"/>
    </row>
    <row r="2778" spans="1:3">
      <c r="A2778" s="76"/>
      <c r="B2778" s="76"/>
      <c r="C2778" s="75"/>
    </row>
    <row r="2779" spans="1:3">
      <c r="A2779" s="76"/>
      <c r="B2779" s="76"/>
      <c r="C2779" s="75"/>
    </row>
    <row r="2780" spans="1:3">
      <c r="A2780" s="76"/>
      <c r="B2780" s="76"/>
      <c r="C2780" s="75"/>
    </row>
    <row r="2781" spans="1:3">
      <c r="A2781" s="76"/>
      <c r="B2781" s="76"/>
      <c r="C2781" s="75"/>
    </row>
    <row r="2782" spans="1:3">
      <c r="A2782" s="76"/>
      <c r="B2782" s="76"/>
      <c r="C2782" s="75"/>
    </row>
    <row r="2783" spans="1:3">
      <c r="A2783" s="76"/>
      <c r="B2783" s="76"/>
      <c r="C2783" s="75"/>
    </row>
    <row r="2784" spans="1:3">
      <c r="A2784" s="76"/>
      <c r="B2784" s="76"/>
      <c r="C2784" s="75"/>
    </row>
    <row r="2785" spans="1:3">
      <c r="A2785" s="76"/>
      <c r="B2785" s="76"/>
      <c r="C2785" s="75"/>
    </row>
    <row r="2786" spans="1:3">
      <c r="A2786" s="76"/>
      <c r="B2786" s="76"/>
      <c r="C2786" s="75"/>
    </row>
    <row r="2787" spans="1:3">
      <c r="A2787" s="76"/>
      <c r="B2787" s="76"/>
      <c r="C2787" s="75"/>
    </row>
    <row r="2788" spans="1:3">
      <c r="A2788" s="76"/>
      <c r="B2788" s="76"/>
      <c r="C2788" s="75"/>
    </row>
    <row r="2789" spans="1:3">
      <c r="A2789" s="76"/>
      <c r="B2789" s="76"/>
      <c r="C2789" s="75"/>
    </row>
    <row r="2790" spans="1:3">
      <c r="A2790" s="76"/>
      <c r="B2790" s="76"/>
      <c r="C2790" s="75"/>
    </row>
    <row r="2791" spans="1:3">
      <c r="A2791" s="76"/>
      <c r="B2791" s="76"/>
      <c r="C2791" s="75"/>
    </row>
    <row r="2792" spans="1:3">
      <c r="A2792" s="76"/>
      <c r="B2792" s="76"/>
      <c r="C2792" s="75"/>
    </row>
    <row r="2793" spans="1:3">
      <c r="A2793" s="76"/>
      <c r="B2793" s="76"/>
      <c r="C2793" s="75"/>
    </row>
    <row r="2794" spans="1:3">
      <c r="A2794" s="76"/>
      <c r="B2794" s="76"/>
      <c r="C2794" s="75"/>
    </row>
    <row r="2795" spans="1:3">
      <c r="A2795" s="76"/>
      <c r="B2795" s="76"/>
      <c r="C2795" s="75"/>
    </row>
    <row r="2796" spans="1:3">
      <c r="A2796" s="76"/>
      <c r="B2796" s="76"/>
      <c r="C2796" s="75"/>
    </row>
    <row r="2797" spans="1:3">
      <c r="A2797" s="76"/>
      <c r="B2797" s="76"/>
      <c r="C2797" s="75"/>
    </row>
    <row r="2798" spans="1:3">
      <c r="A2798" s="76"/>
      <c r="B2798" s="76"/>
      <c r="C2798" s="75"/>
    </row>
    <row r="2799" spans="1:3">
      <c r="A2799" s="76"/>
      <c r="B2799" s="76"/>
      <c r="C2799" s="75"/>
    </row>
    <row r="2800" spans="1:3">
      <c r="A2800" s="76"/>
      <c r="B2800" s="76"/>
      <c r="C2800" s="75"/>
    </row>
    <row r="2801" spans="1:3">
      <c r="A2801" s="76"/>
      <c r="B2801" s="76"/>
      <c r="C2801" s="75"/>
    </row>
    <row r="2802" spans="1:3">
      <c r="A2802" s="76"/>
      <c r="B2802" s="76"/>
      <c r="C2802" s="75"/>
    </row>
    <row r="2803" spans="1:3">
      <c r="A2803" s="76"/>
      <c r="B2803" s="76"/>
      <c r="C2803" s="75"/>
    </row>
    <row r="2804" spans="1:3">
      <c r="A2804" s="76"/>
      <c r="B2804" s="76"/>
      <c r="C2804" s="75"/>
    </row>
    <row r="2805" spans="1:3">
      <c r="A2805" s="76"/>
      <c r="B2805" s="76"/>
      <c r="C2805" s="75"/>
    </row>
    <row r="2806" spans="1:3">
      <c r="A2806" s="76"/>
      <c r="B2806" s="76"/>
      <c r="C2806" s="75"/>
    </row>
    <row r="2807" spans="1:3">
      <c r="A2807" s="76"/>
      <c r="B2807" s="76"/>
      <c r="C2807" s="75"/>
    </row>
    <row r="2808" spans="1:3">
      <c r="A2808" s="76"/>
      <c r="B2808" s="76"/>
      <c r="C2808" s="75"/>
    </row>
    <row r="2809" spans="1:3">
      <c r="A2809" s="76"/>
      <c r="B2809" s="76"/>
      <c r="C2809" s="75"/>
    </row>
    <row r="2810" spans="1:3">
      <c r="A2810" s="76"/>
      <c r="B2810" s="76"/>
      <c r="C2810" s="75"/>
    </row>
    <row r="2811" spans="1:3">
      <c r="A2811" s="76"/>
      <c r="B2811" s="76"/>
      <c r="C2811" s="75"/>
    </row>
    <row r="2812" spans="1:3">
      <c r="A2812" s="76"/>
      <c r="B2812" s="76"/>
      <c r="C2812" s="75"/>
    </row>
    <row r="2813" spans="1:3">
      <c r="A2813" s="76"/>
      <c r="B2813" s="76"/>
      <c r="C2813" s="75"/>
    </row>
    <row r="2814" spans="1:3">
      <c r="A2814" s="76"/>
      <c r="B2814" s="76"/>
      <c r="C2814" s="75"/>
    </row>
    <row r="2815" spans="1:3">
      <c r="A2815" s="76"/>
      <c r="B2815" s="76"/>
      <c r="C2815" s="75"/>
    </row>
    <row r="2816" spans="1:3">
      <c r="A2816" s="76"/>
      <c r="B2816" s="76"/>
      <c r="C2816" s="75"/>
    </row>
    <row r="2817" spans="1:3">
      <c r="A2817" s="76"/>
      <c r="B2817" s="76"/>
      <c r="C2817" s="75"/>
    </row>
    <row r="2818" spans="1:3">
      <c r="A2818" s="76"/>
      <c r="B2818" s="76"/>
      <c r="C2818" s="75"/>
    </row>
    <row r="2819" spans="1:3">
      <c r="A2819" s="76"/>
      <c r="B2819" s="76"/>
      <c r="C2819" s="75"/>
    </row>
    <row r="2820" spans="1:3">
      <c r="A2820" s="76"/>
      <c r="B2820" s="76"/>
      <c r="C2820" s="75"/>
    </row>
    <row r="2821" spans="1:3">
      <c r="A2821" s="76"/>
      <c r="B2821" s="76"/>
      <c r="C2821" s="75"/>
    </row>
    <row r="2822" spans="1:3">
      <c r="A2822" s="76"/>
      <c r="B2822" s="76"/>
      <c r="C2822" s="75"/>
    </row>
    <row r="2823" spans="1:3">
      <c r="A2823" s="76"/>
      <c r="B2823" s="76"/>
      <c r="C2823" s="75"/>
    </row>
    <row r="2824" spans="1:3">
      <c r="A2824" s="76"/>
      <c r="B2824" s="76"/>
      <c r="C2824" s="75"/>
    </row>
    <row r="2825" spans="1:3">
      <c r="A2825" s="76"/>
      <c r="B2825" s="76"/>
      <c r="C2825" s="75"/>
    </row>
    <row r="2826" spans="1:3">
      <c r="A2826" s="76"/>
      <c r="B2826" s="76"/>
      <c r="C2826" s="75"/>
    </row>
    <row r="2827" spans="1:3">
      <c r="A2827" s="76"/>
      <c r="B2827" s="76"/>
      <c r="C2827" s="75"/>
    </row>
    <row r="2828" spans="1:3">
      <c r="A2828" s="76"/>
      <c r="B2828" s="76"/>
      <c r="C2828" s="75"/>
    </row>
    <row r="2829" spans="1:3">
      <c r="A2829" s="76"/>
      <c r="B2829" s="76"/>
      <c r="C2829" s="75"/>
    </row>
    <row r="2830" spans="1:3">
      <c r="A2830" s="76"/>
      <c r="B2830" s="76"/>
      <c r="C2830" s="75"/>
    </row>
    <row r="2831" spans="1:3">
      <c r="A2831" s="76"/>
      <c r="B2831" s="76"/>
      <c r="C2831" s="75"/>
    </row>
    <row r="2832" spans="1:3">
      <c r="A2832" s="76"/>
      <c r="B2832" s="76"/>
      <c r="C2832" s="75"/>
    </row>
    <row r="2833" spans="1:3">
      <c r="A2833" s="76"/>
      <c r="B2833" s="76"/>
      <c r="C2833" s="75"/>
    </row>
    <row r="2834" spans="1:3">
      <c r="A2834" s="76"/>
      <c r="B2834" s="76"/>
      <c r="C2834" s="75"/>
    </row>
    <row r="2835" spans="1:3">
      <c r="A2835" s="76"/>
      <c r="B2835" s="76"/>
      <c r="C2835" s="75"/>
    </row>
    <row r="2836" spans="1:3">
      <c r="A2836" s="76"/>
      <c r="B2836" s="76"/>
      <c r="C2836" s="75"/>
    </row>
    <row r="2837" spans="1:3">
      <c r="A2837" s="76"/>
      <c r="B2837" s="76"/>
      <c r="C2837" s="75"/>
    </row>
    <row r="2838" spans="1:3">
      <c r="A2838" s="76"/>
      <c r="B2838" s="76"/>
      <c r="C2838" s="75"/>
    </row>
    <row r="2839" spans="1:3">
      <c r="A2839" s="76"/>
      <c r="B2839" s="76"/>
      <c r="C2839" s="75"/>
    </row>
    <row r="2840" spans="1:3">
      <c r="A2840" s="76"/>
      <c r="B2840" s="76"/>
      <c r="C2840" s="75"/>
    </row>
    <row r="2841" spans="1:3">
      <c r="A2841" s="76"/>
      <c r="B2841" s="76"/>
      <c r="C2841" s="75"/>
    </row>
    <row r="2842" spans="1:3">
      <c r="A2842" s="76"/>
      <c r="B2842" s="76"/>
      <c r="C2842" s="75"/>
    </row>
    <row r="2843" spans="1:3">
      <c r="A2843" s="76"/>
      <c r="B2843" s="76"/>
      <c r="C2843" s="75"/>
    </row>
    <row r="2844" spans="1:3">
      <c r="A2844" s="76"/>
      <c r="B2844" s="76"/>
      <c r="C2844" s="75"/>
    </row>
    <row r="2845" spans="1:3">
      <c r="A2845" s="76"/>
      <c r="B2845" s="76"/>
      <c r="C2845" s="75"/>
    </row>
    <row r="2846" spans="1:3">
      <c r="A2846" s="76"/>
      <c r="B2846" s="76"/>
      <c r="C2846" s="75"/>
    </row>
    <row r="2847" spans="1:3">
      <c r="A2847" s="76"/>
      <c r="B2847" s="76"/>
      <c r="C2847" s="75"/>
    </row>
    <row r="2848" spans="1:3">
      <c r="A2848" s="76"/>
      <c r="B2848" s="76"/>
      <c r="C2848" s="75"/>
    </row>
    <row r="2849" spans="1:3">
      <c r="A2849" s="76"/>
      <c r="B2849" s="76"/>
      <c r="C2849" s="75"/>
    </row>
    <row r="2850" spans="1:3">
      <c r="A2850" s="76"/>
      <c r="B2850" s="76"/>
      <c r="C2850" s="75"/>
    </row>
    <row r="2851" spans="1:3">
      <c r="A2851" s="76"/>
      <c r="B2851" s="76"/>
      <c r="C2851" s="75"/>
    </row>
    <row r="2852" spans="1:3">
      <c r="A2852" s="76"/>
      <c r="B2852" s="76"/>
      <c r="C2852" s="75"/>
    </row>
    <row r="2853" spans="1:3">
      <c r="A2853" s="76"/>
      <c r="B2853" s="76"/>
      <c r="C2853" s="75"/>
    </row>
    <row r="2854" spans="1:3">
      <c r="A2854" s="76"/>
      <c r="B2854" s="76"/>
      <c r="C2854" s="75"/>
    </row>
    <row r="2855" spans="1:3">
      <c r="A2855" s="76"/>
      <c r="B2855" s="76"/>
      <c r="C2855" s="75"/>
    </row>
    <row r="2856" spans="1:3">
      <c r="A2856" s="76"/>
      <c r="B2856" s="76"/>
      <c r="C2856" s="75"/>
    </row>
    <row r="2857" spans="1:3">
      <c r="A2857" s="76"/>
      <c r="B2857" s="76"/>
      <c r="C2857" s="75"/>
    </row>
    <row r="2858" spans="1:3">
      <c r="A2858" s="76"/>
      <c r="B2858" s="76"/>
      <c r="C2858" s="75"/>
    </row>
    <row r="2859" spans="1:3">
      <c r="A2859" s="76"/>
      <c r="B2859" s="76"/>
      <c r="C2859" s="75"/>
    </row>
    <row r="2860" spans="1:3">
      <c r="A2860" s="76"/>
      <c r="B2860" s="76"/>
      <c r="C2860" s="75"/>
    </row>
    <row r="2861" spans="1:3">
      <c r="A2861" s="76"/>
      <c r="B2861" s="76"/>
      <c r="C2861" s="75"/>
    </row>
    <row r="2862" spans="1:3">
      <c r="A2862" s="76"/>
      <c r="B2862" s="76"/>
      <c r="C2862" s="75"/>
    </row>
    <row r="2863" spans="1:3">
      <c r="A2863" s="76"/>
      <c r="B2863" s="76"/>
      <c r="C2863" s="75"/>
    </row>
    <row r="2864" spans="1:3">
      <c r="A2864" s="76"/>
      <c r="B2864" s="76"/>
      <c r="C2864" s="75"/>
    </row>
    <row r="2865" spans="1:3">
      <c r="A2865" s="76"/>
      <c r="B2865" s="76"/>
      <c r="C2865" s="75"/>
    </row>
    <row r="2866" spans="1:3">
      <c r="A2866" s="76"/>
      <c r="B2866" s="76"/>
      <c r="C2866" s="75"/>
    </row>
    <row r="2867" spans="1:3">
      <c r="A2867" s="76"/>
      <c r="B2867" s="76"/>
      <c r="C2867" s="75"/>
    </row>
    <row r="2868" spans="1:3">
      <c r="A2868" s="76"/>
      <c r="B2868" s="76"/>
      <c r="C2868" s="75"/>
    </row>
    <row r="2869" spans="1:3">
      <c r="A2869" s="76"/>
      <c r="B2869" s="76"/>
      <c r="C2869" s="75"/>
    </row>
    <row r="2870" spans="1:3">
      <c r="A2870" s="76"/>
      <c r="B2870" s="76"/>
      <c r="C2870" s="75"/>
    </row>
    <row r="2871" spans="1:3">
      <c r="A2871" s="76"/>
      <c r="B2871" s="76"/>
      <c r="C2871" s="75"/>
    </row>
    <row r="2872" spans="1:3">
      <c r="A2872" s="76"/>
      <c r="B2872" s="76"/>
      <c r="C2872" s="75"/>
    </row>
    <row r="2873" spans="1:3">
      <c r="A2873" s="76"/>
      <c r="B2873" s="76"/>
      <c r="C2873" s="75"/>
    </row>
    <row r="2874" spans="1:3">
      <c r="A2874" s="76"/>
      <c r="B2874" s="76"/>
      <c r="C2874" s="75"/>
    </row>
    <row r="2875" spans="1:3">
      <c r="A2875" s="76"/>
      <c r="B2875" s="76"/>
      <c r="C2875" s="75"/>
    </row>
    <row r="2876" spans="1:3">
      <c r="A2876" s="76"/>
      <c r="B2876" s="76"/>
      <c r="C2876" s="75"/>
    </row>
    <row r="2877" spans="1:3">
      <c r="A2877" s="76"/>
      <c r="B2877" s="76"/>
      <c r="C2877" s="75"/>
    </row>
    <row r="2878" spans="1:3">
      <c r="A2878" s="76"/>
      <c r="B2878" s="76"/>
      <c r="C2878" s="75"/>
    </row>
    <row r="2879" spans="1:3">
      <c r="A2879" s="76"/>
      <c r="B2879" s="76"/>
      <c r="C2879" s="75"/>
    </row>
    <row r="2880" spans="1:3">
      <c r="A2880" s="76"/>
      <c r="B2880" s="76"/>
      <c r="C2880" s="75"/>
    </row>
    <row r="2881" spans="1:3">
      <c r="A2881" s="76"/>
      <c r="B2881" s="76"/>
      <c r="C2881" s="75"/>
    </row>
    <row r="2882" spans="1:3">
      <c r="A2882" s="76"/>
      <c r="B2882" s="76"/>
      <c r="C2882" s="75"/>
    </row>
    <row r="2883" spans="1:3">
      <c r="A2883" s="76"/>
      <c r="B2883" s="76"/>
      <c r="C2883" s="75"/>
    </row>
    <row r="2884" spans="1:3">
      <c r="A2884" s="76"/>
      <c r="B2884" s="76"/>
      <c r="C2884" s="75"/>
    </row>
    <row r="2885" spans="1:3">
      <c r="A2885" s="76"/>
      <c r="B2885" s="76"/>
      <c r="C2885" s="75"/>
    </row>
    <row r="2886" spans="1:3">
      <c r="A2886" s="76"/>
      <c r="B2886" s="76"/>
      <c r="C2886" s="75"/>
    </row>
    <row r="2887" spans="1:3">
      <c r="A2887" s="76"/>
      <c r="B2887" s="76"/>
      <c r="C2887" s="75"/>
    </row>
    <row r="2888" spans="1:3">
      <c r="A2888" s="76"/>
      <c r="B2888" s="76"/>
      <c r="C2888" s="75"/>
    </row>
    <row r="2889" spans="1:3">
      <c r="A2889" s="76"/>
      <c r="B2889" s="76"/>
      <c r="C2889" s="75"/>
    </row>
    <row r="2890" spans="1:3">
      <c r="A2890" s="76"/>
      <c r="B2890" s="76"/>
      <c r="C2890" s="75"/>
    </row>
    <row r="2891" spans="1:3">
      <c r="A2891" s="76"/>
      <c r="B2891" s="76"/>
      <c r="C2891" s="75"/>
    </row>
    <row r="2892" spans="1:3">
      <c r="A2892" s="76"/>
      <c r="B2892" s="76"/>
      <c r="C2892" s="75"/>
    </row>
    <row r="2893" spans="1:3">
      <c r="A2893" s="76"/>
      <c r="B2893" s="76"/>
      <c r="C2893" s="75"/>
    </row>
    <row r="2894" spans="1:3">
      <c r="A2894" s="76"/>
      <c r="B2894" s="76"/>
      <c r="C2894" s="75"/>
    </row>
    <row r="2895" spans="1:3">
      <c r="A2895" s="76"/>
      <c r="B2895" s="76"/>
      <c r="C2895" s="75"/>
    </row>
    <row r="2896" spans="1:3">
      <c r="A2896" s="76"/>
      <c r="B2896" s="76"/>
      <c r="C2896" s="75"/>
    </row>
    <row r="2897" spans="1:3">
      <c r="A2897" s="76"/>
      <c r="B2897" s="76"/>
      <c r="C2897" s="75"/>
    </row>
    <row r="2898" spans="1:3">
      <c r="A2898" s="76"/>
      <c r="B2898" s="76"/>
      <c r="C2898" s="75"/>
    </row>
    <row r="2899" spans="1:3">
      <c r="A2899" s="76"/>
      <c r="B2899" s="76"/>
      <c r="C2899" s="75"/>
    </row>
    <row r="2900" spans="1:3">
      <c r="A2900" s="76"/>
      <c r="B2900" s="76"/>
      <c r="C2900" s="75"/>
    </row>
    <row r="2901" spans="1:3">
      <c r="A2901" s="76"/>
      <c r="B2901" s="76"/>
      <c r="C2901" s="75"/>
    </row>
    <row r="2902" spans="1:3">
      <c r="A2902" s="76"/>
      <c r="B2902" s="76"/>
      <c r="C2902" s="75"/>
    </row>
    <row r="2903" spans="1:3">
      <c r="A2903" s="76"/>
      <c r="B2903" s="76"/>
      <c r="C2903" s="75"/>
    </row>
    <row r="2904" spans="1:3">
      <c r="A2904" s="76"/>
      <c r="B2904" s="76"/>
      <c r="C2904" s="75"/>
    </row>
    <row r="2905" spans="1:3">
      <c r="A2905" s="76"/>
      <c r="B2905" s="76"/>
      <c r="C2905" s="75"/>
    </row>
    <row r="2906" spans="1:3">
      <c r="A2906" s="76"/>
      <c r="B2906" s="76"/>
      <c r="C2906" s="75"/>
    </row>
    <row r="2907" spans="1:3">
      <c r="A2907" s="76"/>
      <c r="B2907" s="76"/>
      <c r="C2907" s="75"/>
    </row>
    <row r="2908" spans="1:3">
      <c r="A2908" s="76"/>
      <c r="B2908" s="76"/>
      <c r="C2908" s="75"/>
    </row>
    <row r="2909" spans="1:3">
      <c r="A2909" s="76"/>
      <c r="B2909" s="76"/>
      <c r="C2909" s="75"/>
    </row>
    <row r="2910" spans="1:3">
      <c r="A2910" s="76"/>
      <c r="B2910" s="76"/>
      <c r="C2910" s="75"/>
    </row>
    <row r="2911" spans="1:3">
      <c r="A2911" s="76"/>
      <c r="B2911" s="76"/>
      <c r="C2911" s="75"/>
    </row>
    <row r="2912" spans="1:3">
      <c r="A2912" s="76"/>
      <c r="B2912" s="76"/>
      <c r="C2912" s="75"/>
    </row>
    <row r="2913" spans="1:3">
      <c r="A2913" s="76"/>
      <c r="B2913" s="76"/>
      <c r="C2913" s="75"/>
    </row>
    <row r="2914" spans="1:3">
      <c r="A2914" s="76"/>
      <c r="B2914" s="76"/>
      <c r="C2914" s="75"/>
    </row>
    <row r="2915" spans="1:3">
      <c r="A2915" s="76"/>
      <c r="B2915" s="76"/>
      <c r="C2915" s="75"/>
    </row>
    <row r="2916" spans="1:3">
      <c r="A2916" s="76"/>
      <c r="B2916" s="76"/>
      <c r="C2916" s="75"/>
    </row>
    <row r="2917" spans="1:3">
      <c r="A2917" s="76"/>
      <c r="B2917" s="76"/>
      <c r="C2917" s="75"/>
    </row>
    <row r="2918" spans="1:3">
      <c r="A2918" s="76"/>
      <c r="B2918" s="76"/>
      <c r="C2918" s="75"/>
    </row>
    <row r="2919" spans="1:3">
      <c r="A2919" s="76"/>
      <c r="B2919" s="76"/>
      <c r="C2919" s="75"/>
    </row>
    <row r="2920" spans="1:3">
      <c r="A2920" s="76"/>
      <c r="B2920" s="76"/>
      <c r="C2920" s="75"/>
    </row>
    <row r="2921" spans="1:3">
      <c r="A2921" s="76"/>
      <c r="B2921" s="76"/>
      <c r="C2921" s="75"/>
    </row>
    <row r="2922" spans="1:3">
      <c r="A2922" s="76"/>
      <c r="B2922" s="76"/>
      <c r="C2922" s="75"/>
    </row>
    <row r="2923" spans="1:3">
      <c r="A2923" s="76"/>
      <c r="B2923" s="76"/>
      <c r="C2923" s="75"/>
    </row>
    <row r="2924" spans="1:3">
      <c r="A2924" s="76"/>
      <c r="B2924" s="76"/>
      <c r="C2924" s="75"/>
    </row>
    <row r="2925" spans="1:3">
      <c r="A2925" s="76"/>
      <c r="B2925" s="76"/>
      <c r="C2925" s="75"/>
    </row>
    <row r="2926" spans="1:3">
      <c r="A2926" s="76"/>
      <c r="B2926" s="76"/>
      <c r="C2926" s="75"/>
    </row>
    <row r="2927" spans="1:3">
      <c r="A2927" s="76"/>
      <c r="B2927" s="76"/>
      <c r="C2927" s="75"/>
    </row>
    <row r="2928" spans="1:3">
      <c r="A2928" s="76"/>
      <c r="B2928" s="76"/>
      <c r="C2928" s="75"/>
    </row>
    <row r="2929" spans="1:3">
      <c r="A2929" s="76"/>
      <c r="B2929" s="76"/>
      <c r="C2929" s="75"/>
    </row>
    <row r="2930" spans="1:3">
      <c r="A2930" s="76"/>
      <c r="B2930" s="76"/>
      <c r="C2930" s="75"/>
    </row>
    <row r="2931" spans="1:3">
      <c r="A2931" s="76"/>
      <c r="B2931" s="76"/>
      <c r="C2931" s="75"/>
    </row>
    <row r="2932" spans="1:3">
      <c r="A2932" s="76"/>
      <c r="B2932" s="76"/>
      <c r="C2932" s="75"/>
    </row>
    <row r="2933" spans="1:3">
      <c r="A2933" s="76"/>
      <c r="B2933" s="76"/>
      <c r="C2933" s="75"/>
    </row>
    <row r="2934" spans="1:3">
      <c r="A2934" s="76"/>
      <c r="B2934" s="76"/>
      <c r="C2934" s="75"/>
    </row>
    <row r="2935" spans="1:3">
      <c r="A2935" s="76"/>
      <c r="B2935" s="76"/>
      <c r="C2935" s="75"/>
    </row>
    <row r="2936" spans="1:3">
      <c r="A2936" s="76"/>
      <c r="B2936" s="76"/>
      <c r="C2936" s="75"/>
    </row>
    <row r="2937" spans="1:3">
      <c r="A2937" s="76"/>
      <c r="B2937" s="76"/>
      <c r="C2937" s="75"/>
    </row>
    <row r="2938" spans="1:3">
      <c r="A2938" s="76"/>
      <c r="B2938" s="76"/>
      <c r="C2938" s="75"/>
    </row>
    <row r="2939" spans="1:3">
      <c r="A2939" s="76"/>
      <c r="B2939" s="76"/>
      <c r="C2939" s="75"/>
    </row>
    <row r="2940" spans="1:3">
      <c r="A2940" s="76"/>
      <c r="B2940" s="76"/>
      <c r="C2940" s="75"/>
    </row>
    <row r="2941" spans="1:3">
      <c r="A2941" s="76"/>
      <c r="B2941" s="76"/>
      <c r="C2941" s="75"/>
    </row>
    <row r="2942" spans="1:3">
      <c r="A2942" s="76"/>
      <c r="B2942" s="76"/>
      <c r="C2942" s="75"/>
    </row>
    <row r="2943" spans="1:3">
      <c r="A2943" s="76"/>
      <c r="B2943" s="76"/>
      <c r="C2943" s="75"/>
    </row>
    <row r="2944" spans="1:3">
      <c r="A2944" s="76"/>
      <c r="B2944" s="76"/>
      <c r="C2944" s="75"/>
    </row>
    <row r="2945" spans="1:3">
      <c r="A2945" s="76"/>
      <c r="B2945" s="76"/>
      <c r="C2945" s="75"/>
    </row>
    <row r="2946" spans="1:3">
      <c r="A2946" s="76"/>
      <c r="B2946" s="76"/>
      <c r="C2946" s="75"/>
    </row>
    <row r="2947" spans="1:3">
      <c r="A2947" s="76"/>
      <c r="B2947" s="76"/>
      <c r="C2947" s="75"/>
    </row>
    <row r="2948" spans="1:3">
      <c r="A2948" s="76"/>
      <c r="B2948" s="76"/>
      <c r="C2948" s="75"/>
    </row>
    <row r="2949" spans="1:3">
      <c r="A2949" s="76"/>
      <c r="B2949" s="76"/>
      <c r="C2949" s="75"/>
    </row>
    <row r="2950" spans="1:3">
      <c r="A2950" s="76"/>
      <c r="B2950" s="76"/>
      <c r="C2950" s="75"/>
    </row>
    <row r="2951" spans="1:3">
      <c r="A2951" s="76"/>
      <c r="B2951" s="76"/>
      <c r="C2951" s="75"/>
    </row>
    <row r="2952" spans="1:3">
      <c r="A2952" s="76"/>
      <c r="B2952" s="76"/>
      <c r="C2952" s="75"/>
    </row>
    <row r="2953" spans="1:3">
      <c r="A2953" s="76"/>
      <c r="B2953" s="76"/>
      <c r="C2953" s="75"/>
    </row>
    <row r="2954" spans="1:3">
      <c r="A2954" s="76"/>
      <c r="B2954" s="76"/>
      <c r="C2954" s="75"/>
    </row>
    <row r="2955" spans="1:3">
      <c r="A2955" s="76"/>
      <c r="B2955" s="76"/>
      <c r="C2955" s="75"/>
    </row>
    <row r="2956" spans="1:3">
      <c r="A2956" s="76"/>
      <c r="B2956" s="76"/>
      <c r="C2956" s="75"/>
    </row>
    <row r="2957" spans="1:3">
      <c r="A2957" s="76"/>
      <c r="B2957" s="76"/>
      <c r="C2957" s="75"/>
    </row>
    <row r="2958" spans="1:3">
      <c r="A2958" s="76"/>
      <c r="B2958" s="76"/>
      <c r="C2958" s="75"/>
    </row>
    <row r="2959" spans="1:3">
      <c r="A2959" s="76"/>
      <c r="B2959" s="76"/>
      <c r="C2959" s="75"/>
    </row>
    <row r="2960" spans="1:3">
      <c r="A2960" s="76"/>
      <c r="B2960" s="76"/>
      <c r="C2960" s="75"/>
    </row>
    <row r="2961" spans="1:3">
      <c r="A2961" s="76"/>
      <c r="B2961" s="76"/>
      <c r="C2961" s="75"/>
    </row>
    <row r="2962" spans="1:3">
      <c r="A2962" s="76"/>
      <c r="B2962" s="76"/>
      <c r="C2962" s="75"/>
    </row>
    <row r="2963" spans="1:3">
      <c r="A2963" s="76"/>
      <c r="B2963" s="76"/>
      <c r="C2963" s="75"/>
    </row>
    <row r="2964" spans="1:3">
      <c r="A2964" s="76"/>
      <c r="B2964" s="76"/>
      <c r="C2964" s="75"/>
    </row>
    <row r="2965" spans="1:3">
      <c r="A2965" s="76"/>
      <c r="B2965" s="76"/>
      <c r="C2965" s="75"/>
    </row>
    <row r="2966" spans="1:3">
      <c r="A2966" s="76"/>
      <c r="B2966" s="76"/>
      <c r="C2966" s="75"/>
    </row>
    <row r="2967" spans="1:3">
      <c r="A2967" s="76"/>
      <c r="B2967" s="76"/>
      <c r="C2967" s="75"/>
    </row>
    <row r="2968" spans="1:3">
      <c r="A2968" s="76"/>
      <c r="B2968" s="76"/>
      <c r="C2968" s="75"/>
    </row>
    <row r="2969" spans="1:3">
      <c r="A2969" s="76"/>
      <c r="B2969" s="76"/>
      <c r="C2969" s="75"/>
    </row>
    <row r="2970" spans="1:3">
      <c r="A2970" s="76"/>
      <c r="B2970" s="76"/>
      <c r="C2970" s="75"/>
    </row>
    <row r="2971" spans="1:3">
      <c r="A2971" s="76"/>
      <c r="B2971" s="76"/>
      <c r="C2971" s="75"/>
    </row>
    <row r="2972" spans="1:3">
      <c r="A2972" s="76"/>
      <c r="B2972" s="76"/>
      <c r="C2972" s="75"/>
    </row>
    <row r="2973" spans="1:3">
      <c r="A2973" s="76"/>
      <c r="B2973" s="76"/>
      <c r="C2973" s="75"/>
    </row>
    <row r="2974" spans="1:3">
      <c r="A2974" s="76"/>
      <c r="B2974" s="76"/>
      <c r="C2974" s="75"/>
    </row>
    <row r="2975" spans="1:3">
      <c r="A2975" s="76"/>
      <c r="B2975" s="76"/>
      <c r="C2975" s="75"/>
    </row>
    <row r="2976" spans="1:3">
      <c r="A2976" s="76"/>
      <c r="B2976" s="76"/>
      <c r="C2976" s="75"/>
    </row>
    <row r="2977" spans="1:3">
      <c r="A2977" s="76"/>
      <c r="B2977" s="76"/>
      <c r="C2977" s="75"/>
    </row>
    <row r="2978" spans="1:3">
      <c r="A2978" s="76"/>
      <c r="B2978" s="76"/>
      <c r="C2978" s="75"/>
    </row>
    <row r="2979" spans="1:3">
      <c r="A2979" s="76"/>
      <c r="B2979" s="76"/>
      <c r="C2979" s="75"/>
    </row>
    <row r="2980" spans="1:3">
      <c r="A2980" s="76"/>
      <c r="B2980" s="76"/>
      <c r="C2980" s="75"/>
    </row>
    <row r="2981" spans="1:3">
      <c r="A2981" s="76"/>
      <c r="B2981" s="76"/>
      <c r="C2981" s="75"/>
    </row>
    <row r="2982" spans="1:3">
      <c r="A2982" s="76"/>
      <c r="B2982" s="76"/>
      <c r="C2982" s="75"/>
    </row>
    <row r="2983" spans="1:3">
      <c r="A2983" s="76"/>
      <c r="B2983" s="76"/>
      <c r="C2983" s="75"/>
    </row>
    <row r="2984" spans="1:3">
      <c r="A2984" s="76"/>
      <c r="B2984" s="76"/>
      <c r="C2984" s="75"/>
    </row>
    <row r="2985" spans="1:3">
      <c r="A2985" s="76"/>
      <c r="B2985" s="76"/>
      <c r="C2985" s="75"/>
    </row>
    <row r="2986" spans="1:3">
      <c r="A2986" s="76"/>
      <c r="B2986" s="76"/>
      <c r="C2986" s="75"/>
    </row>
    <row r="2987" spans="1:3">
      <c r="A2987" s="76"/>
      <c r="B2987" s="76"/>
      <c r="C2987" s="75"/>
    </row>
    <row r="2988" spans="1:3">
      <c r="A2988" s="76"/>
      <c r="B2988" s="76"/>
      <c r="C2988" s="75"/>
    </row>
    <row r="2989" spans="1:3">
      <c r="A2989" s="76"/>
      <c r="B2989" s="76"/>
      <c r="C2989" s="75"/>
    </row>
    <row r="2990" spans="1:3">
      <c r="A2990" s="76"/>
      <c r="B2990" s="76"/>
      <c r="C2990" s="75"/>
    </row>
    <row r="2991" spans="1:3">
      <c r="A2991" s="76"/>
      <c r="B2991" s="76"/>
      <c r="C2991" s="75"/>
    </row>
    <row r="2992" spans="1:3">
      <c r="A2992" s="76"/>
      <c r="B2992" s="76"/>
      <c r="C2992" s="75"/>
    </row>
    <row r="2993" spans="1:3">
      <c r="A2993" s="76"/>
      <c r="B2993" s="76"/>
      <c r="C2993" s="75"/>
    </row>
    <row r="2994" spans="1:3">
      <c r="A2994" s="76"/>
      <c r="B2994" s="76"/>
      <c r="C2994" s="75"/>
    </row>
    <row r="2995" spans="1:3">
      <c r="A2995" s="76"/>
      <c r="B2995" s="76"/>
      <c r="C2995" s="75"/>
    </row>
    <row r="2996" spans="1:3">
      <c r="A2996" s="76"/>
      <c r="B2996" s="76"/>
      <c r="C2996" s="75"/>
    </row>
    <row r="2997" spans="1:3">
      <c r="A2997" s="76"/>
      <c r="B2997" s="76"/>
      <c r="C2997" s="75"/>
    </row>
    <row r="2998" spans="1:3">
      <c r="A2998" s="76"/>
      <c r="B2998" s="76"/>
      <c r="C2998" s="75"/>
    </row>
    <row r="2999" spans="1:3">
      <c r="A2999" s="76"/>
      <c r="B2999" s="76"/>
      <c r="C2999" s="75"/>
    </row>
    <row r="3000" spans="1:3">
      <c r="A3000" s="76"/>
      <c r="B3000" s="76"/>
      <c r="C3000" s="75"/>
    </row>
    <row r="3001" spans="1:3">
      <c r="A3001" s="76"/>
      <c r="B3001" s="76"/>
      <c r="C3001" s="75"/>
    </row>
    <row r="3002" spans="1:3">
      <c r="A3002" s="76"/>
      <c r="B3002" s="76"/>
      <c r="C3002" s="75"/>
    </row>
    <row r="3003" spans="1:3">
      <c r="A3003" s="76"/>
      <c r="B3003" s="76"/>
      <c r="C3003" s="75"/>
    </row>
    <row r="3004" spans="1:3">
      <c r="A3004" s="76"/>
      <c r="B3004" s="76"/>
      <c r="C3004" s="75"/>
    </row>
    <row r="3005" spans="1:3">
      <c r="A3005" s="76"/>
      <c r="B3005" s="76"/>
      <c r="C3005" s="75"/>
    </row>
    <row r="3006" spans="1:3">
      <c r="A3006" s="76"/>
      <c r="B3006" s="76"/>
      <c r="C3006" s="75"/>
    </row>
    <row r="3007" spans="1:3">
      <c r="A3007" s="76"/>
      <c r="B3007" s="76"/>
      <c r="C3007" s="75"/>
    </row>
    <row r="3008" spans="1:3">
      <c r="A3008" s="76"/>
      <c r="B3008" s="76"/>
      <c r="C3008" s="75"/>
    </row>
    <row r="3009" spans="1:3">
      <c r="A3009" s="76"/>
      <c r="B3009" s="76"/>
      <c r="C3009" s="75"/>
    </row>
    <row r="3010" spans="1:3">
      <c r="A3010" s="76"/>
      <c r="B3010" s="76"/>
      <c r="C3010" s="75"/>
    </row>
    <row r="3011" spans="1:3">
      <c r="A3011" s="76"/>
      <c r="B3011" s="76"/>
      <c r="C3011" s="75"/>
    </row>
    <row r="3012" spans="1:3">
      <c r="A3012" s="76"/>
      <c r="B3012" s="76"/>
      <c r="C3012" s="75"/>
    </row>
    <row r="3013" spans="1:3">
      <c r="A3013" s="76"/>
      <c r="B3013" s="76"/>
      <c r="C3013" s="75"/>
    </row>
    <row r="3014" spans="1:3">
      <c r="A3014" s="76"/>
      <c r="B3014" s="76"/>
      <c r="C3014" s="75"/>
    </row>
    <row r="3015" spans="1:3">
      <c r="A3015" s="76"/>
      <c r="B3015" s="76"/>
      <c r="C3015" s="75"/>
    </row>
    <row r="3016" spans="1:3">
      <c r="A3016" s="76"/>
      <c r="B3016" s="76"/>
      <c r="C3016" s="75"/>
    </row>
    <row r="3017" spans="1:3">
      <c r="A3017" s="76"/>
      <c r="B3017" s="76"/>
      <c r="C3017" s="75"/>
    </row>
    <row r="3018" spans="1:3">
      <c r="A3018" s="76"/>
      <c r="B3018" s="76"/>
      <c r="C3018" s="75"/>
    </row>
    <row r="3019" spans="1:3">
      <c r="A3019" s="76"/>
      <c r="B3019" s="76"/>
      <c r="C3019" s="75"/>
    </row>
    <row r="3020" spans="1:3">
      <c r="A3020" s="76"/>
      <c r="B3020" s="76"/>
      <c r="C3020" s="75"/>
    </row>
    <row r="3021" spans="1:3">
      <c r="A3021" s="76"/>
      <c r="B3021" s="76"/>
      <c r="C3021" s="75"/>
    </row>
    <row r="3022" spans="1:3">
      <c r="A3022" s="76"/>
      <c r="B3022" s="76"/>
      <c r="C3022" s="75"/>
    </row>
    <row r="3023" spans="1:3">
      <c r="A3023" s="76"/>
      <c r="B3023" s="76"/>
      <c r="C3023" s="75"/>
    </row>
    <row r="3024" spans="1:3">
      <c r="A3024" s="76"/>
      <c r="B3024" s="76"/>
      <c r="C3024" s="75"/>
    </row>
    <row r="3025" spans="1:3">
      <c r="A3025" s="76"/>
      <c r="B3025" s="76"/>
      <c r="C3025" s="75"/>
    </row>
    <row r="3026" spans="1:3">
      <c r="A3026" s="76"/>
      <c r="B3026" s="76"/>
      <c r="C3026" s="75"/>
    </row>
    <row r="3027" spans="1:3">
      <c r="A3027" s="76"/>
      <c r="B3027" s="76"/>
      <c r="C3027" s="75"/>
    </row>
    <row r="3028" spans="1:3">
      <c r="A3028" s="76"/>
      <c r="B3028" s="76"/>
      <c r="C3028" s="75"/>
    </row>
    <row r="3029" spans="1:3">
      <c r="A3029" s="76"/>
      <c r="B3029" s="76"/>
      <c r="C3029" s="75"/>
    </row>
    <row r="3030" spans="1:3">
      <c r="A3030" s="76"/>
      <c r="B3030" s="76"/>
      <c r="C3030" s="75"/>
    </row>
    <row r="3031" spans="1:3">
      <c r="A3031" s="76"/>
      <c r="B3031" s="76"/>
      <c r="C3031" s="75"/>
    </row>
    <row r="3032" spans="1:3">
      <c r="A3032" s="76"/>
      <c r="B3032" s="76"/>
      <c r="C3032" s="75"/>
    </row>
    <row r="3033" spans="1:3">
      <c r="A3033" s="76"/>
      <c r="B3033" s="76"/>
      <c r="C3033" s="75"/>
    </row>
    <row r="3034" spans="1:3">
      <c r="A3034" s="76"/>
      <c r="B3034" s="76"/>
      <c r="C3034" s="75"/>
    </row>
    <row r="3035" spans="1:3">
      <c r="A3035" s="76"/>
      <c r="B3035" s="76"/>
      <c r="C3035" s="75"/>
    </row>
    <row r="3036" spans="1:3">
      <c r="A3036" s="76"/>
      <c r="B3036" s="76"/>
      <c r="C3036" s="75"/>
    </row>
    <row r="3037" spans="1:3">
      <c r="A3037" s="76"/>
      <c r="B3037" s="76"/>
      <c r="C3037" s="75"/>
    </row>
    <row r="3038" spans="1:3">
      <c r="A3038" s="76"/>
      <c r="B3038" s="76"/>
      <c r="C3038" s="75"/>
    </row>
    <row r="3039" spans="1:3">
      <c r="A3039" s="76"/>
      <c r="B3039" s="76"/>
      <c r="C3039" s="75"/>
    </row>
    <row r="3040" spans="1:3">
      <c r="A3040" s="76"/>
      <c r="B3040" s="76"/>
      <c r="C3040" s="75"/>
    </row>
    <row r="3041" spans="1:3">
      <c r="A3041" s="76"/>
      <c r="B3041" s="76"/>
      <c r="C3041" s="75"/>
    </row>
    <row r="3042" spans="1:3">
      <c r="A3042" s="76"/>
      <c r="B3042" s="76"/>
      <c r="C3042" s="75"/>
    </row>
    <row r="3043" spans="1:3">
      <c r="A3043" s="76"/>
      <c r="B3043" s="76"/>
      <c r="C3043" s="75"/>
    </row>
    <row r="3044" spans="1:3">
      <c r="A3044" s="76"/>
      <c r="B3044" s="76"/>
      <c r="C3044" s="75"/>
    </row>
    <row r="3045" spans="1:3">
      <c r="A3045" s="76"/>
      <c r="B3045" s="76"/>
      <c r="C3045" s="75"/>
    </row>
    <row r="3046" spans="1:3">
      <c r="A3046" s="76"/>
      <c r="B3046" s="76"/>
      <c r="C3046" s="75"/>
    </row>
    <row r="3047" spans="1:3">
      <c r="A3047" s="76"/>
      <c r="B3047" s="76"/>
      <c r="C3047" s="75"/>
    </row>
    <row r="3048" spans="1:3">
      <c r="A3048" s="76"/>
      <c r="B3048" s="76"/>
      <c r="C3048" s="75"/>
    </row>
    <row r="3049" spans="1:3">
      <c r="A3049" s="76"/>
      <c r="B3049" s="76"/>
      <c r="C3049" s="75"/>
    </row>
    <row r="3050" spans="1:3">
      <c r="A3050" s="76"/>
      <c r="B3050" s="76"/>
      <c r="C3050" s="75"/>
    </row>
    <row r="3051" spans="1:3">
      <c r="A3051" s="76"/>
      <c r="B3051" s="76"/>
      <c r="C3051" s="75"/>
    </row>
    <row r="3052" spans="1:3">
      <c r="A3052" s="76"/>
      <c r="B3052" s="76"/>
      <c r="C3052" s="75"/>
    </row>
    <row r="3053" spans="1:3">
      <c r="A3053" s="76"/>
      <c r="B3053" s="76"/>
      <c r="C3053" s="75"/>
    </row>
    <row r="3054" spans="1:3">
      <c r="A3054" s="76"/>
      <c r="B3054" s="76"/>
      <c r="C3054" s="75"/>
    </row>
    <row r="3055" spans="1:3">
      <c r="A3055" s="76"/>
      <c r="B3055" s="76"/>
      <c r="C3055" s="75"/>
    </row>
    <row r="3056" spans="1:3">
      <c r="A3056" s="76"/>
      <c r="B3056" s="76"/>
      <c r="C3056" s="75"/>
    </row>
    <row r="3057" spans="1:3">
      <c r="A3057" s="76"/>
      <c r="B3057" s="76"/>
      <c r="C3057" s="75"/>
    </row>
    <row r="3058" spans="1:3">
      <c r="A3058" s="76"/>
      <c r="B3058" s="76"/>
      <c r="C3058" s="75"/>
    </row>
    <row r="3059" spans="1:3">
      <c r="A3059" s="76"/>
      <c r="B3059" s="76"/>
      <c r="C3059" s="75"/>
    </row>
    <row r="3060" spans="1:3">
      <c r="A3060" s="76"/>
      <c r="B3060" s="76"/>
      <c r="C3060" s="75"/>
    </row>
    <row r="3061" spans="1:3">
      <c r="A3061" s="76"/>
      <c r="B3061" s="76"/>
      <c r="C3061" s="75"/>
    </row>
    <row r="3062" spans="1:3">
      <c r="A3062" s="76"/>
      <c r="B3062" s="76"/>
      <c r="C3062" s="75"/>
    </row>
    <row r="3063" spans="1:3">
      <c r="A3063" s="76"/>
      <c r="B3063" s="76"/>
      <c r="C3063" s="75"/>
    </row>
    <row r="3064" spans="1:3">
      <c r="A3064" s="76"/>
      <c r="B3064" s="76"/>
      <c r="C3064" s="75"/>
    </row>
    <row r="3065" spans="1:3">
      <c r="A3065" s="76"/>
      <c r="B3065" s="76"/>
      <c r="C3065" s="75"/>
    </row>
    <row r="3066" spans="1:3">
      <c r="A3066" s="76"/>
      <c r="B3066" s="76"/>
      <c r="C3066" s="75"/>
    </row>
    <row r="3067" spans="1:3">
      <c r="A3067" s="76"/>
      <c r="B3067" s="76"/>
      <c r="C3067" s="75"/>
    </row>
    <row r="3068" spans="1:3">
      <c r="A3068" s="76"/>
      <c r="B3068" s="76"/>
      <c r="C3068" s="75"/>
    </row>
    <row r="3069" spans="1:3">
      <c r="A3069" s="76"/>
      <c r="B3069" s="76"/>
      <c r="C3069" s="75"/>
    </row>
    <row r="3070" spans="1:3">
      <c r="A3070" s="76"/>
      <c r="B3070" s="76"/>
      <c r="C3070" s="75"/>
    </row>
    <row r="3071" spans="1:3">
      <c r="A3071" s="76"/>
      <c r="B3071" s="76"/>
      <c r="C3071" s="75"/>
    </row>
    <row r="3072" spans="1:3">
      <c r="A3072" s="76"/>
      <c r="B3072" s="76"/>
      <c r="C3072" s="75"/>
    </row>
    <row r="3073" spans="1:3">
      <c r="A3073" s="76"/>
      <c r="B3073" s="76"/>
      <c r="C3073" s="75"/>
    </row>
    <row r="3074" spans="1:3">
      <c r="A3074" s="76"/>
      <c r="B3074" s="76"/>
      <c r="C3074" s="75"/>
    </row>
    <row r="3075" spans="1:3">
      <c r="A3075" s="76"/>
      <c r="B3075" s="76"/>
      <c r="C3075" s="75"/>
    </row>
    <row r="3076" spans="1:3">
      <c r="A3076" s="76"/>
      <c r="B3076" s="76"/>
      <c r="C3076" s="75"/>
    </row>
    <row r="3077" spans="1:3">
      <c r="A3077" s="76"/>
      <c r="B3077" s="76"/>
      <c r="C3077" s="75"/>
    </row>
    <row r="3078" spans="1:3">
      <c r="A3078" s="76"/>
      <c r="B3078" s="76"/>
      <c r="C3078" s="75"/>
    </row>
    <row r="3079" spans="1:3">
      <c r="A3079" s="76"/>
      <c r="B3079" s="76"/>
      <c r="C3079" s="75"/>
    </row>
    <row r="3080" spans="1:3">
      <c r="A3080" s="76"/>
      <c r="B3080" s="76"/>
      <c r="C3080" s="75"/>
    </row>
    <row r="3081" spans="1:3">
      <c r="A3081" s="76"/>
      <c r="B3081" s="76"/>
      <c r="C3081" s="75"/>
    </row>
    <row r="3082" spans="1:3">
      <c r="A3082" s="76"/>
      <c r="B3082" s="76"/>
      <c r="C3082" s="75"/>
    </row>
    <row r="3083" spans="1:3">
      <c r="A3083" s="76"/>
      <c r="B3083" s="76"/>
      <c r="C3083" s="75"/>
    </row>
    <row r="3084" spans="1:3">
      <c r="A3084" s="76"/>
      <c r="B3084" s="76"/>
      <c r="C3084" s="75"/>
    </row>
    <row r="3085" spans="1:3">
      <c r="A3085" s="76"/>
      <c r="B3085" s="76"/>
      <c r="C3085" s="75"/>
    </row>
    <row r="3086" spans="1:3">
      <c r="A3086" s="76"/>
      <c r="B3086" s="76"/>
      <c r="C3086" s="75"/>
    </row>
    <row r="3087" spans="1:3">
      <c r="A3087" s="76"/>
      <c r="B3087" s="76"/>
      <c r="C3087" s="75"/>
    </row>
    <row r="3088" spans="1:3">
      <c r="A3088" s="76"/>
      <c r="B3088" s="76"/>
      <c r="C3088" s="75"/>
    </row>
    <row r="3089" spans="1:3">
      <c r="A3089" s="76"/>
      <c r="B3089" s="76"/>
      <c r="C3089" s="75"/>
    </row>
    <row r="3090" spans="1:3">
      <c r="A3090" s="76"/>
      <c r="B3090" s="76"/>
      <c r="C3090" s="75"/>
    </row>
    <row r="3091" spans="1:3">
      <c r="A3091" s="76"/>
      <c r="B3091" s="76"/>
      <c r="C3091" s="75"/>
    </row>
    <row r="3092" spans="1:3">
      <c r="A3092" s="76"/>
      <c r="B3092" s="76"/>
      <c r="C3092" s="75"/>
    </row>
    <row r="3093" spans="1:3">
      <c r="A3093" s="76"/>
      <c r="B3093" s="76"/>
      <c r="C3093" s="75"/>
    </row>
    <row r="3094" spans="1:3">
      <c r="A3094" s="76"/>
      <c r="B3094" s="76"/>
      <c r="C3094" s="75"/>
    </row>
    <row r="3095" spans="1:3">
      <c r="A3095" s="76"/>
      <c r="B3095" s="76"/>
      <c r="C3095" s="75"/>
    </row>
    <row r="3096" spans="1:3">
      <c r="A3096" s="76"/>
      <c r="B3096" s="76"/>
      <c r="C3096" s="75"/>
    </row>
    <row r="3097" spans="1:3">
      <c r="A3097" s="76"/>
      <c r="B3097" s="76"/>
      <c r="C3097" s="75"/>
    </row>
    <row r="3098" spans="1:3">
      <c r="A3098" s="76"/>
      <c r="B3098" s="76"/>
      <c r="C3098" s="75"/>
    </row>
    <row r="3099" spans="1:3">
      <c r="A3099" s="76"/>
      <c r="B3099" s="76"/>
      <c r="C3099" s="75"/>
    </row>
    <row r="3100" spans="1:3">
      <c r="A3100" s="76"/>
      <c r="B3100" s="76"/>
      <c r="C3100" s="75"/>
    </row>
    <row r="3101" spans="1:3">
      <c r="A3101" s="76"/>
      <c r="B3101" s="76"/>
      <c r="C3101" s="75"/>
    </row>
    <row r="3102" spans="1:3">
      <c r="A3102" s="76"/>
      <c r="B3102" s="76"/>
      <c r="C3102" s="75"/>
    </row>
    <row r="3103" spans="1:3">
      <c r="A3103" s="76"/>
      <c r="B3103" s="76"/>
      <c r="C3103" s="75"/>
    </row>
    <row r="3104" spans="1:3">
      <c r="A3104" s="76"/>
      <c r="B3104" s="76"/>
      <c r="C3104" s="75"/>
    </row>
    <row r="3105" spans="1:3">
      <c r="A3105" s="76"/>
      <c r="B3105" s="76"/>
      <c r="C3105" s="75"/>
    </row>
    <row r="3106" spans="1:3">
      <c r="A3106" s="76"/>
      <c r="B3106" s="76"/>
      <c r="C3106" s="75"/>
    </row>
    <row r="3107" spans="1:3">
      <c r="A3107" s="76"/>
      <c r="B3107" s="76"/>
      <c r="C3107" s="75"/>
    </row>
    <row r="3108" spans="1:3">
      <c r="A3108" s="76"/>
      <c r="B3108" s="76"/>
      <c r="C3108" s="75"/>
    </row>
    <row r="3109" spans="1:3">
      <c r="A3109" s="76"/>
      <c r="B3109" s="76"/>
      <c r="C3109" s="75"/>
    </row>
    <row r="3110" spans="1:3">
      <c r="A3110" s="76"/>
      <c r="B3110" s="76"/>
      <c r="C3110" s="75"/>
    </row>
    <row r="3111" spans="1:3">
      <c r="A3111" s="76"/>
      <c r="B3111" s="76"/>
      <c r="C3111" s="75"/>
    </row>
    <row r="3112" spans="1:3">
      <c r="A3112" s="76"/>
      <c r="B3112" s="76"/>
      <c r="C3112" s="75"/>
    </row>
    <row r="3113" spans="1:3">
      <c r="A3113" s="76"/>
      <c r="B3113" s="76"/>
      <c r="C3113" s="75"/>
    </row>
    <row r="3114" spans="1:3">
      <c r="A3114" s="76"/>
      <c r="B3114" s="76"/>
      <c r="C3114" s="75"/>
    </row>
    <row r="3115" spans="1:3">
      <c r="A3115" s="76"/>
      <c r="B3115" s="76"/>
      <c r="C3115" s="75"/>
    </row>
    <row r="3116" spans="1:3">
      <c r="A3116" s="76"/>
      <c r="B3116" s="76"/>
      <c r="C3116" s="75"/>
    </row>
    <row r="3117" spans="1:3">
      <c r="A3117" s="76"/>
      <c r="B3117" s="76"/>
      <c r="C3117" s="75"/>
    </row>
    <row r="3118" spans="1:3">
      <c r="A3118" s="76"/>
      <c r="B3118" s="76"/>
      <c r="C3118" s="75"/>
    </row>
    <row r="3119" spans="1:3">
      <c r="A3119" s="76"/>
      <c r="B3119" s="76"/>
      <c r="C3119" s="75"/>
    </row>
    <row r="3120" spans="1:3">
      <c r="A3120" s="76"/>
      <c r="B3120" s="76"/>
      <c r="C3120" s="75"/>
    </row>
    <row r="3121" spans="1:3">
      <c r="A3121" s="76"/>
      <c r="B3121" s="76"/>
      <c r="C3121" s="75"/>
    </row>
    <row r="3122" spans="1:3">
      <c r="A3122" s="76"/>
      <c r="B3122" s="76"/>
      <c r="C3122" s="75"/>
    </row>
    <row r="3123" spans="1:3">
      <c r="A3123" s="76"/>
      <c r="B3123" s="76"/>
      <c r="C3123" s="75"/>
    </row>
    <row r="3124" spans="1:3">
      <c r="A3124" s="76"/>
      <c r="B3124" s="76"/>
      <c r="C3124" s="75"/>
    </row>
    <row r="3125" spans="1:3">
      <c r="A3125" s="76"/>
      <c r="B3125" s="76"/>
      <c r="C3125" s="75"/>
    </row>
    <row r="3126" spans="1:3">
      <c r="A3126" s="76"/>
      <c r="B3126" s="76"/>
      <c r="C3126" s="75"/>
    </row>
    <row r="3127" spans="1:3">
      <c r="A3127" s="76"/>
      <c r="B3127" s="76"/>
      <c r="C3127" s="75"/>
    </row>
    <row r="3128" spans="1:3">
      <c r="A3128" s="76"/>
      <c r="B3128" s="76"/>
      <c r="C3128" s="75"/>
    </row>
    <row r="3129" spans="1:3">
      <c r="A3129" s="76"/>
      <c r="B3129" s="76"/>
      <c r="C3129" s="75"/>
    </row>
    <row r="3130" spans="1:3">
      <c r="A3130" s="76"/>
      <c r="B3130" s="76"/>
      <c r="C3130" s="75"/>
    </row>
    <row r="3131" spans="1:3">
      <c r="A3131" s="76"/>
      <c r="B3131" s="76"/>
      <c r="C3131" s="75"/>
    </row>
    <row r="3132" spans="1:3">
      <c r="A3132" s="76"/>
      <c r="B3132" s="76"/>
      <c r="C3132" s="75"/>
    </row>
    <row r="3133" spans="1:3">
      <c r="A3133" s="76"/>
      <c r="B3133" s="76"/>
      <c r="C3133" s="75"/>
    </row>
    <row r="3134" spans="1:3">
      <c r="A3134" s="76"/>
      <c r="B3134" s="76"/>
      <c r="C3134" s="75"/>
    </row>
    <row r="3135" spans="1:3">
      <c r="A3135" s="76"/>
      <c r="B3135" s="76"/>
      <c r="C3135" s="75"/>
    </row>
    <row r="3136" spans="1:3">
      <c r="A3136" s="76"/>
      <c r="B3136" s="76"/>
      <c r="C3136" s="75"/>
    </row>
    <row r="3137" spans="1:3">
      <c r="A3137" s="76"/>
      <c r="B3137" s="76"/>
      <c r="C3137" s="75"/>
    </row>
    <row r="3138" spans="1:3">
      <c r="A3138" s="76"/>
      <c r="B3138" s="76"/>
      <c r="C3138" s="75"/>
    </row>
    <row r="3139" spans="1:3">
      <c r="A3139" s="76"/>
      <c r="B3139" s="76"/>
      <c r="C3139" s="75"/>
    </row>
    <row r="3140" spans="1:3">
      <c r="A3140" s="76"/>
      <c r="B3140" s="76"/>
      <c r="C3140" s="75"/>
    </row>
    <row r="3141" spans="1:3">
      <c r="A3141" s="76"/>
      <c r="B3141" s="76"/>
      <c r="C3141" s="75"/>
    </row>
    <row r="3142" spans="1:3">
      <c r="A3142" s="76"/>
      <c r="B3142" s="76"/>
      <c r="C3142" s="75"/>
    </row>
    <row r="3143" spans="1:3">
      <c r="A3143" s="76"/>
      <c r="B3143" s="76"/>
      <c r="C3143" s="75"/>
    </row>
    <row r="3144" spans="1:3">
      <c r="A3144" s="76"/>
      <c r="B3144" s="76"/>
      <c r="C3144" s="75"/>
    </row>
    <row r="3145" spans="1:3">
      <c r="A3145" s="76"/>
      <c r="B3145" s="76"/>
      <c r="C3145" s="75"/>
    </row>
    <row r="3146" spans="1:3">
      <c r="A3146" s="76"/>
      <c r="B3146" s="76"/>
      <c r="C3146" s="75"/>
    </row>
    <row r="3147" spans="1:3">
      <c r="A3147" s="76"/>
      <c r="B3147" s="76"/>
      <c r="C3147" s="75"/>
    </row>
    <row r="3148" spans="1:3">
      <c r="A3148" s="76"/>
      <c r="B3148" s="76"/>
      <c r="C3148" s="75"/>
    </row>
    <row r="3149" spans="1:3">
      <c r="A3149" s="76"/>
      <c r="B3149" s="76"/>
      <c r="C3149" s="75"/>
    </row>
    <row r="3150" spans="1:3">
      <c r="A3150" s="76"/>
      <c r="B3150" s="76"/>
      <c r="C3150" s="75"/>
    </row>
    <row r="3151" spans="1:3">
      <c r="A3151" s="76"/>
      <c r="B3151" s="76"/>
      <c r="C3151" s="75"/>
    </row>
    <row r="3152" spans="1:3">
      <c r="A3152" s="76"/>
      <c r="B3152" s="76"/>
      <c r="C3152" s="75"/>
    </row>
    <row r="3153" spans="1:3">
      <c r="A3153" s="76"/>
      <c r="B3153" s="76"/>
      <c r="C3153" s="75"/>
    </row>
    <row r="3154" spans="1:3">
      <c r="A3154" s="76"/>
      <c r="B3154" s="76"/>
      <c r="C3154" s="75"/>
    </row>
    <row r="3155" spans="1:3">
      <c r="A3155" s="76"/>
      <c r="B3155" s="76"/>
      <c r="C3155" s="75"/>
    </row>
    <row r="3156" spans="1:3">
      <c r="A3156" s="76"/>
      <c r="B3156" s="76"/>
      <c r="C3156" s="75"/>
    </row>
    <row r="3157" spans="1:3">
      <c r="A3157" s="76"/>
      <c r="B3157" s="76"/>
      <c r="C3157" s="75"/>
    </row>
    <row r="3158" spans="1:3">
      <c r="A3158" s="76"/>
      <c r="B3158" s="76"/>
      <c r="C3158" s="75"/>
    </row>
    <row r="3159" spans="1:3">
      <c r="A3159" s="76"/>
      <c r="B3159" s="76"/>
      <c r="C3159" s="75"/>
    </row>
    <row r="3160" spans="1:3">
      <c r="A3160" s="76"/>
      <c r="B3160" s="76"/>
      <c r="C3160" s="75"/>
    </row>
    <row r="3161" spans="1:3">
      <c r="A3161" s="76"/>
      <c r="B3161" s="76"/>
      <c r="C3161" s="75"/>
    </row>
    <row r="3162" spans="1:3">
      <c r="A3162" s="76"/>
      <c r="B3162" s="76"/>
      <c r="C3162" s="75"/>
    </row>
    <row r="3163" spans="1:3">
      <c r="A3163" s="76"/>
      <c r="B3163" s="76"/>
      <c r="C3163" s="75"/>
    </row>
    <row r="3164" spans="1:3">
      <c r="A3164" s="76"/>
      <c r="B3164" s="76"/>
      <c r="C3164" s="75"/>
    </row>
    <row r="3165" spans="1:3">
      <c r="A3165" s="76"/>
      <c r="B3165" s="76"/>
      <c r="C3165" s="75"/>
    </row>
    <row r="3166" spans="1:3">
      <c r="A3166" s="76"/>
      <c r="B3166" s="76"/>
      <c r="C3166" s="75"/>
    </row>
    <row r="3167" spans="1:3">
      <c r="A3167" s="76"/>
      <c r="B3167" s="76"/>
      <c r="C3167" s="75"/>
    </row>
    <row r="3168" spans="1:3">
      <c r="A3168" s="76"/>
      <c r="B3168" s="76"/>
      <c r="C3168" s="75"/>
    </row>
    <row r="3169" spans="1:3">
      <c r="A3169" s="76"/>
      <c r="B3169" s="76"/>
      <c r="C3169" s="75"/>
    </row>
    <row r="3170" spans="1:3">
      <c r="A3170" s="76"/>
      <c r="B3170" s="76"/>
      <c r="C3170" s="75"/>
    </row>
    <row r="3171" spans="1:3">
      <c r="A3171" s="76"/>
      <c r="B3171" s="76"/>
      <c r="C3171" s="75"/>
    </row>
    <row r="3172" spans="1:3">
      <c r="A3172" s="76"/>
      <c r="B3172" s="76"/>
      <c r="C3172" s="75"/>
    </row>
    <row r="3173" spans="1:3">
      <c r="A3173" s="76"/>
      <c r="B3173" s="76"/>
      <c r="C3173" s="75"/>
    </row>
    <row r="3174" spans="1:3">
      <c r="A3174" s="76"/>
      <c r="B3174" s="76"/>
      <c r="C3174" s="75"/>
    </row>
    <row r="3175" spans="1:3">
      <c r="A3175" s="76"/>
      <c r="B3175" s="76"/>
      <c r="C3175" s="75"/>
    </row>
    <row r="3176" spans="1:3">
      <c r="A3176" s="76"/>
      <c r="B3176" s="76"/>
      <c r="C3176" s="75"/>
    </row>
    <row r="3177" spans="1:3">
      <c r="A3177" s="76"/>
      <c r="B3177" s="76"/>
      <c r="C3177" s="75"/>
    </row>
    <row r="3178" spans="1:3">
      <c r="A3178" s="76"/>
      <c r="B3178" s="76"/>
      <c r="C3178" s="75"/>
    </row>
    <row r="3179" spans="1:3">
      <c r="A3179" s="76"/>
      <c r="B3179" s="76"/>
      <c r="C3179" s="75"/>
    </row>
    <row r="3180" spans="1:3">
      <c r="A3180" s="76"/>
      <c r="B3180" s="76"/>
      <c r="C3180" s="75"/>
    </row>
    <row r="3181" spans="1:3">
      <c r="A3181" s="76"/>
      <c r="B3181" s="76"/>
      <c r="C3181" s="75"/>
    </row>
    <row r="3182" spans="1:3">
      <c r="A3182" s="76"/>
      <c r="B3182" s="76"/>
      <c r="C3182" s="75"/>
    </row>
    <row r="3183" spans="1:3">
      <c r="A3183" s="76"/>
      <c r="B3183" s="76"/>
      <c r="C3183" s="75"/>
    </row>
    <row r="3184" spans="1:3">
      <c r="A3184" s="76"/>
      <c r="B3184" s="76"/>
      <c r="C3184" s="75"/>
    </row>
    <row r="3185" spans="1:3">
      <c r="A3185" s="76"/>
      <c r="B3185" s="76"/>
      <c r="C3185" s="75"/>
    </row>
    <row r="3186" spans="1:3">
      <c r="A3186" s="76"/>
      <c r="B3186" s="76"/>
      <c r="C3186" s="75"/>
    </row>
    <row r="3187" spans="1:3">
      <c r="A3187" s="76"/>
      <c r="B3187" s="76"/>
      <c r="C3187" s="75"/>
    </row>
    <row r="3188" spans="1:3">
      <c r="A3188" s="76"/>
      <c r="B3188" s="76"/>
      <c r="C3188" s="75"/>
    </row>
    <row r="3189" spans="1:3">
      <c r="A3189" s="76"/>
      <c r="B3189" s="76"/>
      <c r="C3189" s="75"/>
    </row>
    <row r="3190" spans="1:3">
      <c r="A3190" s="76"/>
      <c r="B3190" s="76"/>
      <c r="C3190" s="75"/>
    </row>
    <row r="3191" spans="1:3">
      <c r="A3191" s="76"/>
      <c r="B3191" s="76"/>
      <c r="C3191" s="75"/>
    </row>
    <row r="3192" spans="1:3">
      <c r="A3192" s="76"/>
      <c r="B3192" s="76"/>
      <c r="C3192" s="75"/>
    </row>
    <row r="3193" spans="1:3">
      <c r="A3193" s="76"/>
      <c r="B3193" s="76"/>
      <c r="C3193" s="75"/>
    </row>
    <row r="3194" spans="1:3">
      <c r="A3194" s="76"/>
      <c r="B3194" s="76"/>
      <c r="C3194" s="75"/>
    </row>
    <row r="3195" spans="1:3">
      <c r="A3195" s="76"/>
      <c r="B3195" s="76"/>
      <c r="C3195" s="75"/>
    </row>
    <row r="3196" spans="1:3">
      <c r="A3196" s="76"/>
      <c r="B3196" s="76"/>
      <c r="C3196" s="75"/>
    </row>
    <row r="3197" spans="1:3">
      <c r="A3197" s="76"/>
      <c r="B3197" s="76"/>
      <c r="C3197" s="75"/>
    </row>
    <row r="3198" spans="1:3">
      <c r="A3198" s="76"/>
      <c r="B3198" s="76"/>
      <c r="C3198" s="75"/>
    </row>
    <row r="3199" spans="1:3">
      <c r="A3199" s="76"/>
      <c r="B3199" s="76"/>
      <c r="C3199" s="75"/>
    </row>
    <row r="3200" spans="1:3">
      <c r="A3200" s="76"/>
      <c r="B3200" s="76"/>
      <c r="C3200" s="75"/>
    </row>
    <row r="3201" spans="1:3">
      <c r="A3201" s="76"/>
      <c r="B3201" s="76"/>
      <c r="C3201" s="75"/>
    </row>
    <row r="3202" spans="1:3">
      <c r="A3202" s="76"/>
      <c r="B3202" s="76"/>
      <c r="C3202" s="75"/>
    </row>
    <row r="3203" spans="1:3">
      <c r="A3203" s="76"/>
      <c r="B3203" s="76"/>
      <c r="C3203" s="75"/>
    </row>
    <row r="3204" spans="1:3">
      <c r="A3204" s="76"/>
      <c r="B3204" s="76"/>
      <c r="C3204" s="75"/>
    </row>
    <row r="3205" spans="1:3">
      <c r="A3205" s="76"/>
      <c r="B3205" s="76"/>
      <c r="C3205" s="75"/>
    </row>
    <row r="3206" spans="1:3">
      <c r="A3206" s="76"/>
      <c r="B3206" s="76"/>
      <c r="C3206" s="75"/>
    </row>
    <row r="3207" spans="1:3">
      <c r="A3207" s="76"/>
      <c r="B3207" s="76"/>
      <c r="C3207" s="75"/>
    </row>
    <row r="3208" spans="1:3">
      <c r="A3208" s="76"/>
      <c r="B3208" s="76"/>
      <c r="C3208" s="75"/>
    </row>
    <row r="3209" spans="1:3">
      <c r="A3209" s="76"/>
      <c r="B3209" s="76"/>
      <c r="C3209" s="75"/>
    </row>
    <row r="3210" spans="1:3">
      <c r="A3210" s="76"/>
      <c r="B3210" s="76"/>
      <c r="C3210" s="75"/>
    </row>
    <row r="3211" spans="1:3">
      <c r="A3211" s="76"/>
      <c r="B3211" s="76"/>
      <c r="C3211" s="75"/>
    </row>
    <row r="3212" spans="1:3">
      <c r="A3212" s="76"/>
      <c r="B3212" s="76"/>
      <c r="C3212" s="75"/>
    </row>
    <row r="3213" spans="1:3">
      <c r="A3213" s="76"/>
      <c r="B3213" s="76"/>
      <c r="C3213" s="75"/>
    </row>
    <row r="3214" spans="1:3">
      <c r="A3214" s="76"/>
      <c r="B3214" s="76"/>
      <c r="C3214" s="75"/>
    </row>
    <row r="3215" spans="1:3">
      <c r="A3215" s="76"/>
      <c r="B3215" s="76"/>
      <c r="C3215" s="75"/>
    </row>
    <row r="3216" spans="1:3">
      <c r="A3216" s="76"/>
      <c r="B3216" s="76"/>
      <c r="C3216" s="75"/>
    </row>
    <row r="3217" spans="1:3">
      <c r="A3217" s="76"/>
      <c r="B3217" s="76"/>
      <c r="C3217" s="75"/>
    </row>
    <row r="3218" spans="1:3">
      <c r="A3218" s="76"/>
      <c r="B3218" s="76"/>
      <c r="C3218" s="75"/>
    </row>
    <row r="3219" spans="1:3">
      <c r="A3219" s="76"/>
      <c r="B3219" s="76"/>
      <c r="C3219" s="75"/>
    </row>
    <row r="3220" spans="1:3">
      <c r="A3220" s="76"/>
      <c r="B3220" s="76"/>
      <c r="C3220" s="75"/>
    </row>
    <row r="3221" spans="1:3">
      <c r="A3221" s="76"/>
      <c r="B3221" s="76"/>
      <c r="C3221" s="75"/>
    </row>
    <row r="3222" spans="1:3">
      <c r="A3222" s="76"/>
      <c r="B3222" s="76"/>
      <c r="C3222" s="75"/>
    </row>
    <row r="3223" spans="1:3">
      <c r="A3223" s="76"/>
      <c r="B3223" s="76"/>
      <c r="C3223" s="75"/>
    </row>
    <row r="3224" spans="1:3">
      <c r="A3224" s="76"/>
      <c r="B3224" s="76"/>
      <c r="C3224" s="75"/>
    </row>
    <row r="3225" spans="1:3">
      <c r="A3225" s="76"/>
      <c r="B3225" s="76"/>
      <c r="C3225" s="75"/>
    </row>
    <row r="3226" spans="1:3">
      <c r="A3226" s="76"/>
      <c r="B3226" s="76"/>
      <c r="C3226" s="75"/>
    </row>
    <row r="3227" spans="1:3">
      <c r="A3227" s="76"/>
      <c r="B3227" s="76"/>
      <c r="C3227" s="75"/>
    </row>
    <row r="3228" spans="1:3">
      <c r="A3228" s="76"/>
      <c r="B3228" s="76"/>
      <c r="C3228" s="75"/>
    </row>
    <row r="3229" spans="1:3">
      <c r="A3229" s="76"/>
      <c r="B3229" s="76"/>
      <c r="C3229" s="75"/>
    </row>
    <row r="3230" spans="1:3">
      <c r="A3230" s="76"/>
      <c r="B3230" s="76"/>
      <c r="C3230" s="75"/>
    </row>
    <row r="3231" spans="1:3">
      <c r="A3231" s="76"/>
      <c r="B3231" s="76"/>
      <c r="C3231" s="75"/>
    </row>
    <row r="3232" spans="1:3">
      <c r="A3232" s="76"/>
      <c r="B3232" s="76"/>
      <c r="C3232" s="75"/>
    </row>
    <row r="3233" spans="1:3">
      <c r="A3233" s="76"/>
      <c r="B3233" s="76"/>
      <c r="C3233" s="75"/>
    </row>
    <row r="3234" spans="1:3">
      <c r="A3234" s="76"/>
      <c r="B3234" s="76"/>
      <c r="C3234" s="75"/>
    </row>
    <row r="3235" spans="1:3">
      <c r="A3235" s="76"/>
      <c r="B3235" s="76"/>
      <c r="C3235" s="75"/>
    </row>
    <row r="3236" spans="1:3">
      <c r="A3236" s="76"/>
      <c r="B3236" s="76"/>
      <c r="C3236" s="75"/>
    </row>
    <row r="3237" spans="1:3">
      <c r="A3237" s="76"/>
      <c r="B3237" s="76"/>
      <c r="C3237" s="75"/>
    </row>
    <row r="3238" spans="1:3">
      <c r="A3238" s="76"/>
      <c r="B3238" s="76"/>
      <c r="C3238" s="75"/>
    </row>
    <row r="3239" spans="1:3">
      <c r="A3239" s="76"/>
      <c r="B3239" s="76"/>
      <c r="C3239" s="75"/>
    </row>
    <row r="3240" spans="1:3">
      <c r="A3240" s="76"/>
      <c r="B3240" s="76"/>
      <c r="C3240" s="75"/>
    </row>
    <row r="3241" spans="1:3">
      <c r="A3241" s="76"/>
      <c r="B3241" s="76"/>
      <c r="C3241" s="75"/>
    </row>
    <row r="3242" spans="1:3">
      <c r="A3242" s="76"/>
      <c r="B3242" s="76"/>
      <c r="C3242" s="75"/>
    </row>
    <row r="3243" spans="1:3">
      <c r="A3243" s="76"/>
      <c r="B3243" s="76"/>
      <c r="C3243" s="75"/>
    </row>
    <row r="3244" spans="1:3">
      <c r="A3244" s="76"/>
      <c r="B3244" s="76"/>
      <c r="C3244" s="75"/>
    </row>
    <row r="3245" spans="1:3">
      <c r="A3245" s="76"/>
      <c r="B3245" s="76"/>
      <c r="C3245" s="75"/>
    </row>
    <row r="3246" spans="1:3">
      <c r="A3246" s="76"/>
      <c r="B3246" s="76"/>
      <c r="C3246" s="75"/>
    </row>
    <row r="3247" spans="1:3">
      <c r="A3247" s="76"/>
      <c r="B3247" s="76"/>
      <c r="C3247" s="75"/>
    </row>
    <row r="3248" spans="1:3">
      <c r="A3248" s="76"/>
      <c r="B3248" s="76"/>
      <c r="C3248" s="75"/>
    </row>
    <row r="3249" spans="1:3">
      <c r="A3249" s="76"/>
      <c r="B3249" s="76"/>
      <c r="C3249" s="75"/>
    </row>
    <row r="3250" spans="1:3">
      <c r="A3250" s="76"/>
      <c r="B3250" s="76"/>
      <c r="C3250" s="75"/>
    </row>
    <row r="3251" spans="1:3">
      <c r="A3251" s="76"/>
      <c r="B3251" s="76"/>
      <c r="C3251" s="75"/>
    </row>
    <row r="3252" spans="1:3">
      <c r="A3252" s="76"/>
      <c r="B3252" s="76"/>
      <c r="C3252" s="75"/>
    </row>
    <row r="3253" spans="1:3">
      <c r="A3253" s="76"/>
      <c r="B3253" s="76"/>
      <c r="C3253" s="75"/>
    </row>
    <row r="3254" spans="1:3">
      <c r="A3254" s="76"/>
      <c r="B3254" s="76"/>
      <c r="C3254" s="75"/>
    </row>
    <row r="3255" spans="1:3">
      <c r="A3255" s="76"/>
      <c r="B3255" s="76"/>
      <c r="C3255" s="75"/>
    </row>
    <row r="3256" spans="1:3">
      <c r="A3256" s="76"/>
      <c r="B3256" s="76"/>
      <c r="C3256" s="75"/>
    </row>
    <row r="3257" spans="1:3">
      <c r="A3257" s="76"/>
      <c r="B3257" s="76"/>
      <c r="C3257" s="75"/>
    </row>
    <row r="3258" spans="1:3">
      <c r="A3258" s="76"/>
      <c r="B3258" s="76"/>
      <c r="C3258" s="75"/>
    </row>
    <row r="3259" spans="1:3">
      <c r="A3259" s="76"/>
      <c r="B3259" s="76"/>
      <c r="C3259" s="75"/>
    </row>
    <row r="3260" spans="1:3">
      <c r="A3260" s="76"/>
      <c r="B3260" s="76"/>
      <c r="C3260" s="75"/>
    </row>
    <row r="3261" spans="1:3">
      <c r="A3261" s="76"/>
      <c r="B3261" s="76"/>
      <c r="C3261" s="75"/>
    </row>
    <row r="3262" spans="1:3">
      <c r="A3262" s="76"/>
      <c r="B3262" s="76"/>
      <c r="C3262" s="75"/>
    </row>
    <row r="3263" spans="1:3">
      <c r="A3263" s="76"/>
      <c r="B3263" s="76"/>
      <c r="C3263" s="75"/>
    </row>
    <row r="3264" spans="1:3">
      <c r="A3264" s="76"/>
      <c r="B3264" s="76"/>
      <c r="C3264" s="75"/>
    </row>
    <row r="3265" spans="1:3">
      <c r="A3265" s="76"/>
      <c r="B3265" s="76"/>
      <c r="C3265" s="75"/>
    </row>
    <row r="3266" spans="1:3">
      <c r="A3266" s="76"/>
      <c r="B3266" s="76"/>
      <c r="C3266" s="75"/>
    </row>
    <row r="3267" spans="1:3">
      <c r="A3267" s="76"/>
      <c r="B3267" s="76"/>
      <c r="C3267" s="75"/>
    </row>
    <row r="3268" spans="1:3">
      <c r="A3268" s="76"/>
      <c r="B3268" s="76"/>
      <c r="C3268" s="75"/>
    </row>
    <row r="3269" spans="1:3">
      <c r="A3269" s="76"/>
      <c r="B3269" s="76"/>
      <c r="C3269" s="75"/>
    </row>
    <row r="3270" spans="1:3">
      <c r="A3270" s="76"/>
      <c r="B3270" s="76"/>
      <c r="C3270" s="75"/>
    </row>
    <row r="3271" spans="1:3">
      <c r="A3271" s="76"/>
      <c r="B3271" s="76"/>
      <c r="C3271" s="75"/>
    </row>
    <row r="3272" spans="1:3">
      <c r="A3272" s="76"/>
      <c r="B3272" s="76"/>
      <c r="C3272" s="75"/>
    </row>
    <row r="3273" spans="1:3">
      <c r="A3273" s="76"/>
      <c r="B3273" s="76"/>
      <c r="C3273" s="75"/>
    </row>
    <row r="3274" spans="1:3">
      <c r="A3274" s="76"/>
      <c r="B3274" s="76"/>
      <c r="C3274" s="75"/>
    </row>
    <row r="3275" spans="1:3">
      <c r="A3275" s="76"/>
      <c r="B3275" s="76"/>
      <c r="C3275" s="75"/>
    </row>
    <row r="3276" spans="1:3">
      <c r="A3276" s="76"/>
      <c r="B3276" s="76"/>
      <c r="C3276" s="75"/>
    </row>
    <row r="3277" spans="1:3">
      <c r="A3277" s="76"/>
      <c r="B3277" s="76"/>
      <c r="C3277" s="75"/>
    </row>
    <row r="3278" spans="1:3">
      <c r="A3278" s="76"/>
      <c r="B3278" s="76"/>
      <c r="C3278" s="75"/>
    </row>
    <row r="3279" spans="1:3">
      <c r="A3279" s="76"/>
      <c r="B3279" s="76"/>
      <c r="C3279" s="75"/>
    </row>
    <row r="3280" spans="1:3">
      <c r="A3280" s="76"/>
      <c r="B3280" s="76"/>
      <c r="C3280" s="75"/>
    </row>
    <row r="3281" spans="1:3">
      <c r="A3281" s="76"/>
      <c r="B3281" s="76"/>
      <c r="C3281" s="75"/>
    </row>
    <row r="3282" spans="1:3">
      <c r="A3282" s="76"/>
      <c r="B3282" s="76"/>
      <c r="C3282" s="75"/>
    </row>
    <row r="3283" spans="1:3">
      <c r="A3283" s="76"/>
      <c r="B3283" s="76"/>
      <c r="C3283" s="75"/>
    </row>
    <row r="3284" spans="1:3">
      <c r="A3284" s="76"/>
      <c r="B3284" s="76"/>
      <c r="C3284" s="75"/>
    </row>
    <row r="3285" spans="1:3">
      <c r="A3285" s="76"/>
      <c r="B3285" s="76"/>
      <c r="C3285" s="75"/>
    </row>
    <row r="3286" spans="1:3">
      <c r="A3286" s="76"/>
      <c r="B3286" s="76"/>
      <c r="C3286" s="75"/>
    </row>
    <row r="3287" spans="1:3">
      <c r="A3287" s="76"/>
      <c r="B3287" s="76"/>
      <c r="C3287" s="75"/>
    </row>
    <row r="3288" spans="1:3">
      <c r="A3288" s="76"/>
      <c r="B3288" s="76"/>
      <c r="C3288" s="75"/>
    </row>
    <row r="3289" spans="1:3">
      <c r="A3289" s="76"/>
      <c r="B3289" s="76"/>
      <c r="C3289" s="75"/>
    </row>
    <row r="3290" spans="1:3">
      <c r="A3290" s="76"/>
      <c r="B3290" s="76"/>
      <c r="C3290" s="75"/>
    </row>
    <row r="3291" spans="1:3">
      <c r="A3291" s="76"/>
      <c r="B3291" s="76"/>
      <c r="C3291" s="75"/>
    </row>
    <row r="3292" spans="1:3">
      <c r="A3292" s="76"/>
      <c r="B3292" s="76"/>
      <c r="C3292" s="75"/>
    </row>
    <row r="3293" spans="1:3">
      <c r="A3293" s="76"/>
      <c r="B3293" s="76"/>
      <c r="C3293" s="75"/>
    </row>
    <row r="3294" spans="1:3">
      <c r="A3294" s="76"/>
      <c r="B3294" s="76"/>
      <c r="C3294" s="75"/>
    </row>
    <row r="3295" spans="1:3">
      <c r="A3295" s="76"/>
      <c r="B3295" s="76"/>
      <c r="C3295" s="75"/>
    </row>
    <row r="3296" spans="1:3">
      <c r="A3296" s="76"/>
      <c r="B3296" s="76"/>
      <c r="C3296" s="75"/>
    </row>
    <row r="3297" spans="1:3">
      <c r="A3297" s="76"/>
      <c r="B3297" s="76"/>
      <c r="C3297" s="75"/>
    </row>
    <row r="3298" spans="1:3">
      <c r="A3298" s="76"/>
      <c r="B3298" s="76"/>
      <c r="C3298" s="75"/>
    </row>
    <row r="3299" spans="1:3">
      <c r="A3299" s="76"/>
      <c r="B3299" s="76"/>
      <c r="C3299" s="75"/>
    </row>
    <row r="3300" spans="1:3">
      <c r="A3300" s="76"/>
      <c r="B3300" s="76"/>
      <c r="C3300" s="75"/>
    </row>
    <row r="3301" spans="1:3">
      <c r="A3301" s="76"/>
      <c r="B3301" s="76"/>
      <c r="C3301" s="75"/>
    </row>
    <row r="3302" spans="1:3">
      <c r="A3302" s="76"/>
      <c r="B3302" s="76"/>
      <c r="C3302" s="75"/>
    </row>
    <row r="3303" spans="1:3">
      <c r="A3303" s="76"/>
      <c r="B3303" s="76"/>
      <c r="C3303" s="75"/>
    </row>
    <row r="3304" spans="1:3">
      <c r="A3304" s="76"/>
      <c r="B3304" s="76"/>
      <c r="C3304" s="75"/>
    </row>
    <row r="3305" spans="1:3">
      <c r="A3305" s="76"/>
      <c r="B3305" s="76"/>
      <c r="C3305" s="75"/>
    </row>
    <row r="3306" spans="1:3">
      <c r="A3306" s="76"/>
      <c r="B3306" s="76"/>
      <c r="C3306" s="75"/>
    </row>
    <row r="3307" spans="1:3">
      <c r="A3307" s="76"/>
      <c r="B3307" s="76"/>
      <c r="C3307" s="75"/>
    </row>
    <row r="3308" spans="1:3">
      <c r="A3308" s="76"/>
      <c r="B3308" s="76"/>
      <c r="C3308" s="75"/>
    </row>
    <row r="3309" spans="1:3">
      <c r="A3309" s="76"/>
      <c r="B3309" s="76"/>
      <c r="C3309" s="75"/>
    </row>
    <row r="3310" spans="1:3">
      <c r="A3310" s="76"/>
      <c r="B3310" s="76"/>
      <c r="C3310" s="75"/>
    </row>
    <row r="3311" spans="1:3">
      <c r="A3311" s="76"/>
      <c r="B3311" s="76"/>
      <c r="C3311" s="75"/>
    </row>
    <row r="3312" spans="1:3">
      <c r="A3312" s="76"/>
      <c r="B3312" s="76"/>
      <c r="C3312" s="75"/>
    </row>
    <row r="3313" spans="1:3">
      <c r="A3313" s="76"/>
      <c r="B3313" s="76"/>
      <c r="C3313" s="75"/>
    </row>
    <row r="3314" spans="1:3">
      <c r="A3314" s="76"/>
      <c r="B3314" s="76"/>
      <c r="C3314" s="75"/>
    </row>
    <row r="3315" spans="1:3">
      <c r="A3315" s="76"/>
      <c r="B3315" s="76"/>
      <c r="C3315" s="75"/>
    </row>
    <row r="3316" spans="1:3">
      <c r="A3316" s="76"/>
      <c r="B3316" s="76"/>
      <c r="C3316" s="75"/>
    </row>
    <row r="3317" spans="1:3">
      <c r="A3317" s="76"/>
      <c r="B3317" s="76"/>
      <c r="C3317" s="75"/>
    </row>
    <row r="3318" spans="1:3">
      <c r="A3318" s="76"/>
      <c r="B3318" s="76"/>
      <c r="C3318" s="75"/>
    </row>
    <row r="3319" spans="1:3">
      <c r="A3319" s="76"/>
      <c r="B3319" s="76"/>
      <c r="C3319" s="75"/>
    </row>
    <row r="3320" spans="1:3">
      <c r="A3320" s="76"/>
      <c r="B3320" s="76"/>
      <c r="C3320" s="75"/>
    </row>
    <row r="3321" spans="1:3">
      <c r="A3321" s="76"/>
      <c r="B3321" s="76"/>
      <c r="C3321" s="75"/>
    </row>
    <row r="3322" spans="1:3">
      <c r="A3322" s="76"/>
      <c r="B3322" s="76"/>
      <c r="C3322" s="75"/>
    </row>
    <row r="3323" spans="1:3">
      <c r="A3323" s="76"/>
      <c r="B3323" s="76"/>
      <c r="C3323" s="75"/>
    </row>
    <row r="3324" spans="1:3">
      <c r="A3324" s="76"/>
      <c r="B3324" s="76"/>
      <c r="C3324" s="75"/>
    </row>
    <row r="3325" spans="1:3">
      <c r="A3325" s="76"/>
      <c r="B3325" s="76"/>
      <c r="C3325" s="75"/>
    </row>
    <row r="3326" spans="1:3">
      <c r="A3326" s="76"/>
      <c r="B3326" s="76"/>
      <c r="C3326" s="75"/>
    </row>
    <row r="3327" spans="1:3">
      <c r="A3327" s="76"/>
      <c r="B3327" s="76"/>
      <c r="C3327" s="75"/>
    </row>
    <row r="3328" spans="1:3">
      <c r="A3328" s="76"/>
      <c r="B3328" s="76"/>
      <c r="C3328" s="75"/>
    </row>
    <row r="3329" spans="1:3">
      <c r="A3329" s="76"/>
      <c r="B3329" s="76"/>
      <c r="C3329" s="75"/>
    </row>
    <row r="3330" spans="1:3">
      <c r="A3330" s="76"/>
      <c r="B3330" s="76"/>
      <c r="C3330" s="75"/>
    </row>
    <row r="3331" spans="1:3">
      <c r="A3331" s="76"/>
      <c r="B3331" s="76"/>
      <c r="C3331" s="75"/>
    </row>
    <row r="3332" spans="1:3">
      <c r="A3332" s="76"/>
      <c r="B3332" s="76"/>
      <c r="C3332" s="75"/>
    </row>
    <row r="3333" spans="1:3">
      <c r="A3333" s="76"/>
      <c r="B3333" s="76"/>
      <c r="C3333" s="75"/>
    </row>
    <row r="3334" spans="1:3">
      <c r="A3334" s="76"/>
      <c r="B3334" s="76"/>
      <c r="C3334" s="75"/>
    </row>
    <row r="3335" spans="1:3">
      <c r="A3335" s="76"/>
      <c r="B3335" s="76"/>
      <c r="C3335" s="75"/>
    </row>
    <row r="3336" spans="1:3">
      <c r="A3336" s="76"/>
      <c r="B3336" s="76"/>
      <c r="C3336" s="75"/>
    </row>
    <row r="3337" spans="1:3">
      <c r="A3337" s="76"/>
      <c r="B3337" s="76"/>
      <c r="C3337" s="75"/>
    </row>
    <row r="3338" spans="1:3">
      <c r="A3338" s="76"/>
      <c r="B3338" s="76"/>
      <c r="C3338" s="75"/>
    </row>
    <row r="3339" spans="1:3">
      <c r="A3339" s="76"/>
      <c r="B3339" s="76"/>
      <c r="C3339" s="75"/>
    </row>
    <row r="3340" spans="1:3">
      <c r="A3340" s="76"/>
      <c r="B3340" s="76"/>
      <c r="C3340" s="75"/>
    </row>
    <row r="3341" spans="1:3">
      <c r="A3341" s="76"/>
      <c r="B3341" s="76"/>
      <c r="C3341" s="75"/>
    </row>
    <row r="3342" spans="1:3">
      <c r="A3342" s="76"/>
      <c r="B3342" s="76"/>
      <c r="C3342" s="75"/>
    </row>
    <row r="3343" spans="1:3">
      <c r="A3343" s="76"/>
      <c r="B3343" s="76"/>
      <c r="C3343" s="75"/>
    </row>
    <row r="3344" spans="1:3">
      <c r="A3344" s="76"/>
      <c r="B3344" s="76"/>
      <c r="C3344" s="75"/>
    </row>
    <row r="3345" spans="1:3">
      <c r="A3345" s="76"/>
      <c r="B3345" s="76"/>
      <c r="C3345" s="75"/>
    </row>
    <row r="3346" spans="1:3">
      <c r="A3346" s="76"/>
      <c r="B3346" s="76"/>
      <c r="C3346" s="75"/>
    </row>
    <row r="3347" spans="1:3">
      <c r="A3347" s="76"/>
      <c r="B3347" s="76"/>
      <c r="C3347" s="75"/>
    </row>
    <row r="3348" spans="1:3">
      <c r="A3348" s="76"/>
      <c r="B3348" s="76"/>
      <c r="C3348" s="75"/>
    </row>
    <row r="3349" spans="1:3">
      <c r="A3349" s="76"/>
      <c r="B3349" s="76"/>
      <c r="C3349" s="75"/>
    </row>
    <row r="3350" spans="1:3">
      <c r="A3350" s="76"/>
      <c r="B3350" s="76"/>
      <c r="C3350" s="75"/>
    </row>
    <row r="3351" spans="1:3">
      <c r="A3351" s="76"/>
      <c r="B3351" s="76"/>
      <c r="C3351" s="75"/>
    </row>
    <row r="3352" spans="1:3">
      <c r="A3352" s="76"/>
      <c r="B3352" s="76"/>
      <c r="C3352" s="75"/>
    </row>
    <row r="3353" spans="1:3">
      <c r="A3353" s="76"/>
      <c r="B3353" s="76"/>
      <c r="C3353" s="75"/>
    </row>
    <row r="3354" spans="1:3">
      <c r="A3354" s="76"/>
      <c r="B3354" s="76"/>
      <c r="C3354" s="75"/>
    </row>
    <row r="3355" spans="1:3">
      <c r="A3355" s="76"/>
      <c r="B3355" s="76"/>
      <c r="C3355" s="75"/>
    </row>
    <row r="3356" spans="1:3">
      <c r="A3356" s="76"/>
      <c r="B3356" s="76"/>
      <c r="C3356" s="75"/>
    </row>
    <row r="3357" spans="1:3">
      <c r="A3357" s="76"/>
      <c r="B3357" s="76"/>
      <c r="C3357" s="75"/>
    </row>
    <row r="3358" spans="1:3">
      <c r="A3358" s="76"/>
      <c r="B3358" s="76"/>
      <c r="C3358" s="75"/>
    </row>
    <row r="3359" spans="1:3">
      <c r="A3359" s="76"/>
      <c r="B3359" s="76"/>
      <c r="C3359" s="75"/>
    </row>
    <row r="3360" spans="1:3">
      <c r="A3360" s="76"/>
      <c r="B3360" s="76"/>
      <c r="C3360" s="75"/>
    </row>
    <row r="3361" spans="1:3">
      <c r="A3361" s="76"/>
      <c r="B3361" s="76"/>
      <c r="C3361" s="75"/>
    </row>
    <row r="3362" spans="1:3">
      <c r="A3362" s="76"/>
      <c r="B3362" s="76"/>
      <c r="C3362" s="75"/>
    </row>
    <row r="3363" spans="1:3">
      <c r="A3363" s="76"/>
      <c r="B3363" s="76"/>
      <c r="C3363" s="75"/>
    </row>
    <row r="3364" spans="1:3">
      <c r="A3364" s="76"/>
      <c r="B3364" s="76"/>
      <c r="C3364" s="75"/>
    </row>
    <row r="3365" spans="1:3">
      <c r="A3365" s="76"/>
      <c r="B3365" s="76"/>
      <c r="C3365" s="75"/>
    </row>
    <row r="3366" spans="1:3">
      <c r="A3366" s="76"/>
      <c r="B3366" s="76"/>
      <c r="C3366" s="75"/>
    </row>
    <row r="3367" spans="1:3">
      <c r="A3367" s="76"/>
      <c r="B3367" s="76"/>
      <c r="C3367" s="75"/>
    </row>
    <row r="3368" spans="1:3">
      <c r="A3368" s="76"/>
      <c r="B3368" s="76"/>
      <c r="C3368" s="75"/>
    </row>
    <row r="3369" spans="1:3">
      <c r="A3369" s="76"/>
      <c r="B3369" s="76"/>
      <c r="C3369" s="75"/>
    </row>
    <row r="3370" spans="1:3">
      <c r="A3370" s="76"/>
      <c r="B3370" s="76"/>
      <c r="C3370" s="75"/>
    </row>
    <row r="3371" spans="1:3">
      <c r="A3371" s="76"/>
      <c r="B3371" s="76"/>
      <c r="C3371" s="75"/>
    </row>
    <row r="3372" spans="1:3">
      <c r="A3372" s="76"/>
      <c r="B3372" s="76"/>
      <c r="C3372" s="75"/>
    </row>
    <row r="3373" spans="1:3">
      <c r="A3373" s="76"/>
      <c r="B3373" s="76"/>
      <c r="C3373" s="75"/>
    </row>
    <row r="3374" spans="1:3">
      <c r="A3374" s="76"/>
      <c r="B3374" s="76"/>
      <c r="C3374" s="75"/>
    </row>
    <row r="3375" spans="1:3">
      <c r="A3375" s="76"/>
      <c r="B3375" s="76"/>
      <c r="C3375" s="75"/>
    </row>
    <row r="3376" spans="1:3">
      <c r="A3376" s="76"/>
      <c r="B3376" s="76"/>
      <c r="C3376" s="75"/>
    </row>
    <row r="3377" spans="1:3">
      <c r="A3377" s="76"/>
      <c r="B3377" s="76"/>
      <c r="C3377" s="75"/>
    </row>
    <row r="3378" spans="1:3">
      <c r="A3378" s="76"/>
      <c r="B3378" s="76"/>
      <c r="C3378" s="75"/>
    </row>
    <row r="3379" spans="1:3">
      <c r="A3379" s="76"/>
      <c r="B3379" s="76"/>
      <c r="C3379" s="75"/>
    </row>
    <row r="3380" spans="1:3">
      <c r="A3380" s="76"/>
      <c r="B3380" s="76"/>
      <c r="C3380" s="75"/>
    </row>
    <row r="3381" spans="1:3">
      <c r="A3381" s="76"/>
      <c r="B3381" s="76"/>
      <c r="C3381" s="75"/>
    </row>
    <row r="3382" spans="1:3">
      <c r="A3382" s="76"/>
      <c r="B3382" s="76"/>
      <c r="C3382" s="75"/>
    </row>
    <row r="3383" spans="1:3">
      <c r="A3383" s="76"/>
      <c r="B3383" s="76"/>
      <c r="C3383" s="75"/>
    </row>
    <row r="3384" spans="1:3">
      <c r="A3384" s="76"/>
      <c r="B3384" s="76"/>
      <c r="C3384" s="75"/>
    </row>
    <row r="3385" spans="1:3">
      <c r="A3385" s="76"/>
      <c r="B3385" s="76"/>
      <c r="C3385" s="75"/>
    </row>
    <row r="3386" spans="1:3">
      <c r="A3386" s="76"/>
      <c r="B3386" s="76"/>
      <c r="C3386" s="75"/>
    </row>
    <row r="3387" spans="1:3">
      <c r="A3387" s="76"/>
      <c r="B3387" s="76"/>
      <c r="C3387" s="75"/>
    </row>
    <row r="3388" spans="1:3">
      <c r="A3388" s="76"/>
      <c r="B3388" s="76"/>
      <c r="C3388" s="75"/>
    </row>
    <row r="3389" spans="1:3">
      <c r="A3389" s="76"/>
      <c r="B3389" s="76"/>
      <c r="C3389" s="75"/>
    </row>
    <row r="3390" spans="1:3">
      <c r="A3390" s="76"/>
      <c r="B3390" s="76"/>
      <c r="C3390" s="75"/>
    </row>
    <row r="3391" spans="1:3">
      <c r="A3391" s="76"/>
      <c r="B3391" s="76"/>
      <c r="C3391" s="75"/>
    </row>
    <row r="3392" spans="1:3">
      <c r="A3392" s="76"/>
      <c r="B3392" s="76"/>
      <c r="C3392" s="75"/>
    </row>
    <row r="3393" spans="1:3">
      <c r="A3393" s="76"/>
      <c r="B3393" s="76"/>
      <c r="C3393" s="75"/>
    </row>
    <row r="3394" spans="1:3">
      <c r="A3394" s="76"/>
      <c r="B3394" s="76"/>
      <c r="C3394" s="75"/>
    </row>
    <row r="3395" spans="1:3">
      <c r="A3395" s="76"/>
      <c r="B3395" s="76"/>
      <c r="C3395" s="75"/>
    </row>
    <row r="3396" spans="1:3">
      <c r="A3396" s="76"/>
      <c r="B3396" s="76"/>
      <c r="C3396" s="75"/>
    </row>
    <row r="3397" spans="1:3">
      <c r="A3397" s="76"/>
      <c r="B3397" s="76"/>
      <c r="C3397" s="75"/>
    </row>
    <row r="3398" spans="1:3">
      <c r="A3398" s="76"/>
      <c r="B3398" s="76"/>
      <c r="C3398" s="75"/>
    </row>
    <row r="3399" spans="1:3">
      <c r="A3399" s="76"/>
      <c r="B3399" s="76"/>
      <c r="C3399" s="75"/>
    </row>
    <row r="3400" spans="1:3">
      <c r="A3400" s="76"/>
      <c r="B3400" s="76"/>
      <c r="C3400" s="75"/>
    </row>
    <row r="3401" spans="1:3">
      <c r="A3401" s="76"/>
      <c r="B3401" s="76"/>
      <c r="C3401" s="75"/>
    </row>
    <row r="3402" spans="1:3">
      <c r="A3402" s="76"/>
      <c r="B3402" s="76"/>
      <c r="C3402" s="75"/>
    </row>
    <row r="3403" spans="1:3">
      <c r="A3403" s="76"/>
      <c r="B3403" s="76"/>
      <c r="C3403" s="75"/>
    </row>
    <row r="3404" spans="1:3">
      <c r="A3404" s="76"/>
      <c r="B3404" s="76"/>
      <c r="C3404" s="75"/>
    </row>
    <row r="3405" spans="1:3">
      <c r="A3405" s="76"/>
      <c r="B3405" s="76"/>
      <c r="C3405" s="75"/>
    </row>
    <row r="3406" spans="1:3">
      <c r="A3406" s="76"/>
      <c r="B3406" s="76"/>
      <c r="C3406" s="75"/>
    </row>
    <row r="3407" spans="1:3">
      <c r="A3407" s="76"/>
      <c r="B3407" s="76"/>
      <c r="C3407" s="75"/>
    </row>
    <row r="3408" spans="1:3">
      <c r="A3408" s="76"/>
      <c r="B3408" s="76"/>
      <c r="C3408" s="75"/>
    </row>
    <row r="3409" spans="1:3">
      <c r="A3409" s="76"/>
      <c r="B3409" s="76"/>
      <c r="C3409" s="75"/>
    </row>
    <row r="3410" spans="1:3">
      <c r="A3410" s="76"/>
      <c r="B3410" s="76"/>
      <c r="C3410" s="75"/>
    </row>
    <row r="3411" spans="1:3">
      <c r="A3411" s="76"/>
      <c r="B3411" s="76"/>
      <c r="C3411" s="75"/>
    </row>
    <row r="3412" spans="1:3">
      <c r="A3412" s="76"/>
      <c r="B3412" s="76"/>
      <c r="C3412" s="75"/>
    </row>
    <row r="3413" spans="1:3">
      <c r="A3413" s="76"/>
      <c r="B3413" s="76"/>
      <c r="C3413" s="75"/>
    </row>
    <row r="3414" spans="1:3">
      <c r="A3414" s="76"/>
      <c r="B3414" s="76"/>
      <c r="C3414" s="75"/>
    </row>
    <row r="3415" spans="1:3">
      <c r="A3415" s="76"/>
      <c r="B3415" s="76"/>
      <c r="C3415" s="75"/>
    </row>
    <row r="3416" spans="1:3">
      <c r="A3416" s="76"/>
      <c r="B3416" s="76"/>
      <c r="C3416" s="75"/>
    </row>
    <row r="3417" spans="1:3">
      <c r="A3417" s="76"/>
      <c r="B3417" s="76"/>
      <c r="C3417" s="75"/>
    </row>
    <row r="3418" spans="1:3">
      <c r="A3418" s="76"/>
      <c r="B3418" s="76"/>
      <c r="C3418" s="75"/>
    </row>
    <row r="3419" spans="1:3">
      <c r="A3419" s="76"/>
      <c r="B3419" s="76"/>
      <c r="C3419" s="75"/>
    </row>
    <row r="3420" spans="1:3">
      <c r="A3420" s="76"/>
      <c r="B3420" s="76"/>
      <c r="C3420" s="75"/>
    </row>
    <row r="3421" spans="1:3">
      <c r="A3421" s="76"/>
      <c r="B3421" s="76"/>
      <c r="C3421" s="75"/>
    </row>
    <row r="3422" spans="1:3">
      <c r="A3422" s="76"/>
      <c r="B3422" s="76"/>
      <c r="C3422" s="75"/>
    </row>
    <row r="3423" spans="1:3">
      <c r="A3423" s="76"/>
      <c r="B3423" s="76"/>
      <c r="C3423" s="75"/>
    </row>
    <row r="3424" spans="1:3">
      <c r="A3424" s="76"/>
      <c r="B3424" s="76"/>
      <c r="C3424" s="75"/>
    </row>
    <row r="3425" spans="1:3">
      <c r="A3425" s="76"/>
      <c r="B3425" s="76"/>
      <c r="C3425" s="75"/>
    </row>
    <row r="3426" spans="1:3">
      <c r="A3426" s="76"/>
      <c r="B3426" s="76"/>
      <c r="C3426" s="75"/>
    </row>
    <row r="3427" spans="1:3">
      <c r="A3427" s="76"/>
      <c r="B3427" s="76"/>
      <c r="C3427" s="75"/>
    </row>
    <row r="3428" spans="1:3">
      <c r="A3428" s="76"/>
      <c r="B3428" s="76"/>
      <c r="C3428" s="75"/>
    </row>
    <row r="3429" spans="1:3">
      <c r="A3429" s="76"/>
      <c r="B3429" s="76"/>
      <c r="C3429" s="75"/>
    </row>
    <row r="3430" spans="1:3">
      <c r="A3430" s="76"/>
      <c r="B3430" s="76"/>
      <c r="C3430" s="75"/>
    </row>
    <row r="3431" spans="1:3">
      <c r="A3431" s="76"/>
      <c r="B3431" s="76"/>
      <c r="C3431" s="75"/>
    </row>
    <row r="3432" spans="1:3">
      <c r="A3432" s="76"/>
      <c r="B3432" s="76"/>
      <c r="C3432" s="75"/>
    </row>
    <row r="3433" spans="1:3">
      <c r="A3433" s="76"/>
      <c r="B3433" s="76"/>
      <c r="C3433" s="75"/>
    </row>
    <row r="3434" spans="1:3">
      <c r="A3434" s="76"/>
      <c r="B3434" s="76"/>
      <c r="C3434" s="75"/>
    </row>
    <row r="3435" spans="1:3">
      <c r="A3435" s="76"/>
      <c r="B3435" s="76"/>
      <c r="C3435" s="75"/>
    </row>
    <row r="3436" spans="1:3">
      <c r="A3436" s="76"/>
      <c r="B3436" s="76"/>
      <c r="C3436" s="75"/>
    </row>
    <row r="3437" spans="1:3">
      <c r="A3437" s="76"/>
      <c r="B3437" s="76"/>
      <c r="C3437" s="75"/>
    </row>
    <row r="3438" spans="1:3">
      <c r="A3438" s="76"/>
      <c r="B3438" s="76"/>
      <c r="C3438" s="75"/>
    </row>
    <row r="3439" spans="1:3">
      <c r="A3439" s="76"/>
      <c r="B3439" s="76"/>
      <c r="C3439" s="75"/>
    </row>
    <row r="3440" spans="1:3">
      <c r="A3440" s="76"/>
      <c r="B3440" s="76"/>
      <c r="C3440" s="75"/>
    </row>
    <row r="3441" spans="1:3">
      <c r="A3441" s="76"/>
      <c r="B3441" s="76"/>
      <c r="C3441" s="75"/>
    </row>
    <row r="3442" spans="1:3">
      <c r="A3442" s="76"/>
      <c r="B3442" s="76"/>
      <c r="C3442" s="75"/>
    </row>
    <row r="3443" spans="1:3">
      <c r="A3443" s="76"/>
      <c r="B3443" s="76"/>
      <c r="C3443" s="75"/>
    </row>
    <row r="3444" spans="1:3">
      <c r="A3444" s="76"/>
      <c r="B3444" s="76"/>
      <c r="C3444" s="75"/>
    </row>
    <row r="3445" spans="1:3">
      <c r="A3445" s="76"/>
      <c r="B3445" s="76"/>
      <c r="C3445" s="75"/>
    </row>
    <row r="3446" spans="1:3">
      <c r="A3446" s="76"/>
      <c r="B3446" s="76"/>
      <c r="C3446" s="75"/>
    </row>
    <row r="3447" spans="1:3">
      <c r="A3447" s="76"/>
      <c r="B3447" s="76"/>
      <c r="C3447" s="75"/>
    </row>
    <row r="3448" spans="1:3">
      <c r="A3448" s="76"/>
      <c r="B3448" s="76"/>
      <c r="C3448" s="75"/>
    </row>
    <row r="3449" spans="1:3">
      <c r="A3449" s="76"/>
      <c r="B3449" s="76"/>
      <c r="C3449" s="75"/>
    </row>
    <row r="3450" spans="1:3">
      <c r="A3450" s="76"/>
      <c r="B3450" s="76"/>
      <c r="C3450" s="75"/>
    </row>
    <row r="3451" spans="1:3">
      <c r="A3451" s="76"/>
      <c r="B3451" s="76"/>
      <c r="C3451" s="75"/>
    </row>
    <row r="3452" spans="1:3">
      <c r="A3452" s="76"/>
      <c r="B3452" s="76"/>
      <c r="C3452" s="75"/>
    </row>
    <row r="3453" spans="1:3">
      <c r="A3453" s="76"/>
      <c r="B3453" s="76"/>
      <c r="C3453" s="75"/>
    </row>
    <row r="3454" spans="1:3">
      <c r="A3454" s="76"/>
      <c r="B3454" s="76"/>
      <c r="C3454" s="75"/>
    </row>
    <row r="3455" spans="1:3">
      <c r="A3455" s="76"/>
      <c r="B3455" s="76"/>
      <c r="C3455" s="75"/>
    </row>
    <row r="3456" spans="1:3">
      <c r="A3456" s="76"/>
      <c r="B3456" s="76"/>
      <c r="C3456" s="75"/>
    </row>
    <row r="3457" spans="1:3">
      <c r="A3457" s="76"/>
      <c r="B3457" s="76"/>
      <c r="C3457" s="75"/>
    </row>
    <row r="3458" spans="1:3">
      <c r="A3458" s="76"/>
      <c r="B3458" s="76"/>
      <c r="C3458" s="75"/>
    </row>
    <row r="3459" spans="1:3">
      <c r="A3459" s="76"/>
      <c r="B3459" s="76"/>
      <c r="C3459" s="75"/>
    </row>
    <row r="3460" spans="1:3">
      <c r="A3460" s="76"/>
      <c r="B3460" s="76"/>
      <c r="C3460" s="75"/>
    </row>
    <row r="3461" spans="1:3">
      <c r="A3461" s="76"/>
      <c r="B3461" s="76"/>
      <c r="C3461" s="75"/>
    </row>
    <row r="3462" spans="1:3">
      <c r="A3462" s="76"/>
      <c r="B3462" s="76"/>
      <c r="C3462" s="75"/>
    </row>
    <row r="3463" spans="1:3">
      <c r="A3463" s="76"/>
      <c r="B3463" s="76"/>
      <c r="C3463" s="75"/>
    </row>
    <row r="3464" spans="1:3">
      <c r="A3464" s="76"/>
      <c r="B3464" s="76"/>
      <c r="C3464" s="75"/>
    </row>
    <row r="3465" spans="1:3">
      <c r="A3465" s="76"/>
      <c r="B3465" s="76"/>
      <c r="C3465" s="75"/>
    </row>
    <row r="3466" spans="1:3">
      <c r="A3466" s="76"/>
      <c r="B3466" s="76"/>
      <c r="C3466" s="75"/>
    </row>
    <row r="3467" spans="1:3">
      <c r="A3467" s="76"/>
      <c r="B3467" s="76"/>
      <c r="C3467" s="75"/>
    </row>
    <row r="3468" spans="1:3">
      <c r="A3468" s="76"/>
      <c r="B3468" s="76"/>
      <c r="C3468" s="75"/>
    </row>
    <row r="3469" spans="1:3">
      <c r="A3469" s="76"/>
      <c r="B3469" s="76"/>
      <c r="C3469" s="75"/>
    </row>
    <row r="3470" spans="1:3">
      <c r="A3470" s="76"/>
      <c r="B3470" s="76"/>
      <c r="C3470" s="75"/>
    </row>
    <row r="3471" spans="1:3">
      <c r="A3471" s="76"/>
      <c r="B3471" s="76"/>
      <c r="C3471" s="75"/>
    </row>
    <row r="3472" spans="1:3">
      <c r="A3472" s="76"/>
      <c r="B3472" s="76"/>
      <c r="C3472" s="75"/>
    </row>
    <row r="3473" spans="1:3">
      <c r="A3473" s="76"/>
      <c r="B3473" s="76"/>
      <c r="C3473" s="75"/>
    </row>
    <row r="3474" spans="1:3">
      <c r="A3474" s="76"/>
      <c r="B3474" s="76"/>
      <c r="C3474" s="75"/>
    </row>
    <row r="3475" spans="1:3">
      <c r="A3475" s="76"/>
      <c r="B3475" s="76"/>
      <c r="C3475" s="75"/>
    </row>
    <row r="3476" spans="1:3">
      <c r="A3476" s="76"/>
      <c r="B3476" s="76"/>
      <c r="C3476" s="75"/>
    </row>
    <row r="3477" spans="1:3">
      <c r="A3477" s="76"/>
      <c r="B3477" s="76"/>
      <c r="C3477" s="75"/>
    </row>
    <row r="3478" spans="1:3">
      <c r="A3478" s="76"/>
      <c r="B3478" s="76"/>
      <c r="C3478" s="75"/>
    </row>
    <row r="3479" spans="1:3">
      <c r="A3479" s="76"/>
      <c r="B3479" s="76"/>
      <c r="C3479" s="75"/>
    </row>
    <row r="3480" spans="1:3">
      <c r="A3480" s="76"/>
      <c r="B3480" s="76"/>
      <c r="C3480" s="75"/>
    </row>
    <row r="3481" spans="1:3">
      <c r="A3481" s="76"/>
      <c r="B3481" s="76"/>
      <c r="C3481" s="75"/>
    </row>
    <row r="3482" spans="1:3">
      <c r="A3482" s="76"/>
      <c r="B3482" s="76"/>
      <c r="C3482" s="75"/>
    </row>
    <row r="3483" spans="1:3">
      <c r="A3483" s="76"/>
      <c r="B3483" s="76"/>
      <c r="C3483" s="75"/>
    </row>
    <row r="3484" spans="1:3">
      <c r="A3484" s="76"/>
      <c r="B3484" s="76"/>
      <c r="C3484" s="75"/>
    </row>
    <row r="3485" spans="1:3">
      <c r="A3485" s="76"/>
      <c r="B3485" s="76"/>
      <c r="C3485" s="75"/>
    </row>
    <row r="3486" spans="1:3">
      <c r="A3486" s="76"/>
      <c r="B3486" s="76"/>
      <c r="C3486" s="75"/>
    </row>
    <row r="3487" spans="1:3">
      <c r="A3487" s="76"/>
      <c r="B3487" s="76"/>
      <c r="C3487" s="75"/>
    </row>
    <row r="3488" spans="1:3">
      <c r="A3488" s="76"/>
      <c r="B3488" s="76"/>
      <c r="C3488" s="75"/>
    </row>
    <row r="3489" spans="1:3">
      <c r="A3489" s="76"/>
      <c r="B3489" s="76"/>
      <c r="C3489" s="75"/>
    </row>
    <row r="3490" spans="1:3">
      <c r="A3490" s="76"/>
      <c r="B3490" s="76"/>
      <c r="C3490" s="75"/>
    </row>
    <row r="3491" spans="1:3">
      <c r="A3491" s="76"/>
      <c r="B3491" s="76"/>
      <c r="C3491" s="75"/>
    </row>
    <row r="3492" spans="1:3">
      <c r="A3492" s="76"/>
      <c r="B3492" s="76"/>
      <c r="C3492" s="75"/>
    </row>
    <row r="3493" spans="1:3">
      <c r="A3493" s="76"/>
      <c r="B3493" s="76"/>
      <c r="C3493" s="75"/>
    </row>
    <row r="3494" spans="1:3">
      <c r="A3494" s="76"/>
      <c r="B3494" s="76"/>
      <c r="C3494" s="75"/>
    </row>
    <row r="3495" spans="1:3">
      <c r="A3495" s="76"/>
      <c r="B3495" s="76"/>
      <c r="C3495" s="75"/>
    </row>
    <row r="3496" spans="1:3">
      <c r="A3496" s="76"/>
      <c r="B3496" s="76"/>
      <c r="C3496" s="75"/>
    </row>
    <row r="3497" spans="1:3">
      <c r="A3497" s="76"/>
      <c r="B3497" s="76"/>
      <c r="C3497" s="75"/>
    </row>
    <row r="3498" spans="1:3">
      <c r="A3498" s="76"/>
      <c r="B3498" s="76"/>
      <c r="C3498" s="75"/>
    </row>
    <row r="3499" spans="1:3">
      <c r="A3499" s="76"/>
      <c r="B3499" s="76"/>
      <c r="C3499" s="75"/>
    </row>
    <row r="3500" spans="1:3">
      <c r="A3500" s="76"/>
      <c r="B3500" s="76"/>
      <c r="C3500" s="75"/>
    </row>
    <row r="3501" spans="1:3">
      <c r="A3501" s="76"/>
      <c r="B3501" s="76"/>
      <c r="C3501" s="75"/>
    </row>
    <row r="3502" spans="1:3">
      <c r="A3502" s="76"/>
      <c r="B3502" s="76"/>
      <c r="C3502" s="75"/>
    </row>
    <row r="3503" spans="1:3">
      <c r="A3503" s="76"/>
      <c r="B3503" s="76"/>
      <c r="C3503" s="75"/>
    </row>
    <row r="3504" spans="1:3">
      <c r="A3504" s="76"/>
      <c r="B3504" s="76"/>
      <c r="C3504" s="75"/>
    </row>
    <row r="3505" spans="1:3">
      <c r="A3505" s="76"/>
      <c r="B3505" s="76"/>
      <c r="C3505" s="75"/>
    </row>
    <row r="3506" spans="1:3">
      <c r="A3506" s="76"/>
      <c r="B3506" s="76"/>
      <c r="C3506" s="75"/>
    </row>
    <row r="3507" spans="1:3">
      <c r="A3507" s="76"/>
      <c r="B3507" s="76"/>
      <c r="C3507" s="75"/>
    </row>
    <row r="3508" spans="1:3">
      <c r="A3508" s="76"/>
      <c r="B3508" s="76"/>
      <c r="C3508" s="75"/>
    </row>
    <row r="3509" spans="1:3">
      <c r="A3509" s="76"/>
      <c r="B3509" s="76"/>
      <c r="C3509" s="75"/>
    </row>
    <row r="3510" spans="1:3">
      <c r="A3510" s="76"/>
      <c r="B3510" s="76"/>
      <c r="C3510" s="75"/>
    </row>
    <row r="3511" spans="1:3">
      <c r="A3511" s="76"/>
      <c r="B3511" s="76"/>
      <c r="C3511" s="75"/>
    </row>
    <row r="3512" spans="1:3">
      <c r="A3512" s="76"/>
      <c r="B3512" s="76"/>
      <c r="C3512" s="75"/>
    </row>
    <row r="3513" spans="1:3">
      <c r="A3513" s="76"/>
      <c r="B3513" s="76"/>
      <c r="C3513" s="75"/>
    </row>
    <row r="3514" spans="1:3">
      <c r="A3514" s="76"/>
      <c r="B3514" s="76"/>
      <c r="C3514" s="75"/>
    </row>
    <row r="3515" spans="1:3">
      <c r="A3515" s="76"/>
      <c r="B3515" s="76"/>
      <c r="C3515" s="75"/>
    </row>
    <row r="3516" spans="1:3">
      <c r="A3516" s="76"/>
      <c r="B3516" s="76"/>
      <c r="C3516" s="75"/>
    </row>
    <row r="3517" spans="1:3">
      <c r="A3517" s="76"/>
      <c r="B3517" s="76"/>
      <c r="C3517" s="75"/>
    </row>
    <row r="3518" spans="1:3">
      <c r="A3518" s="76"/>
      <c r="B3518" s="76"/>
      <c r="C3518" s="75"/>
    </row>
    <row r="3519" spans="1:3">
      <c r="A3519" s="76"/>
      <c r="B3519" s="76"/>
      <c r="C3519" s="75"/>
    </row>
    <row r="3520" spans="1:3">
      <c r="A3520" s="76"/>
      <c r="B3520" s="76"/>
      <c r="C3520" s="75"/>
    </row>
    <row r="3521" spans="1:3">
      <c r="A3521" s="76"/>
      <c r="B3521" s="76"/>
      <c r="C3521" s="75"/>
    </row>
    <row r="3522" spans="1:3">
      <c r="A3522" s="76"/>
      <c r="B3522" s="76"/>
      <c r="C3522" s="75"/>
    </row>
    <row r="3523" spans="1:3">
      <c r="A3523" s="76"/>
      <c r="B3523" s="76"/>
      <c r="C3523" s="75"/>
    </row>
    <row r="3524" spans="1:3">
      <c r="A3524" s="76"/>
      <c r="B3524" s="76"/>
      <c r="C3524" s="75"/>
    </row>
    <row r="3525" spans="1:3">
      <c r="A3525" s="76"/>
      <c r="B3525" s="76"/>
      <c r="C3525" s="75"/>
    </row>
    <row r="3526" spans="1:3">
      <c r="A3526" s="76"/>
      <c r="B3526" s="76"/>
      <c r="C3526" s="75"/>
    </row>
    <row r="3527" spans="1:3">
      <c r="A3527" s="76"/>
      <c r="B3527" s="76"/>
      <c r="C3527" s="75"/>
    </row>
    <row r="3528" spans="1:3">
      <c r="A3528" s="76"/>
      <c r="B3528" s="76"/>
      <c r="C3528" s="75"/>
    </row>
    <row r="3529" spans="1:3">
      <c r="A3529" s="76"/>
      <c r="B3529" s="76"/>
      <c r="C3529" s="75"/>
    </row>
    <row r="3530" spans="1:3">
      <c r="A3530" s="76"/>
      <c r="B3530" s="76"/>
      <c r="C3530" s="75"/>
    </row>
    <row r="3531" spans="1:3">
      <c r="A3531" s="76"/>
      <c r="B3531" s="76"/>
      <c r="C3531" s="75"/>
    </row>
    <row r="3532" spans="1:3">
      <c r="A3532" s="76"/>
      <c r="B3532" s="76"/>
      <c r="C3532" s="75"/>
    </row>
    <row r="3533" spans="1:3">
      <c r="A3533" s="76"/>
      <c r="B3533" s="76"/>
      <c r="C3533" s="75"/>
    </row>
    <row r="3534" spans="1:3">
      <c r="A3534" s="76"/>
      <c r="B3534" s="76"/>
      <c r="C3534" s="75"/>
    </row>
    <row r="3535" spans="1:3">
      <c r="A3535" s="76"/>
      <c r="B3535" s="76"/>
      <c r="C3535" s="75"/>
    </row>
    <row r="3536" spans="1:3">
      <c r="A3536" s="76"/>
      <c r="B3536" s="76"/>
      <c r="C3536" s="75"/>
    </row>
    <row r="3537" spans="1:3">
      <c r="A3537" s="76"/>
      <c r="B3537" s="76"/>
      <c r="C3537" s="75"/>
    </row>
    <row r="3538" spans="1:3">
      <c r="A3538" s="76"/>
      <c r="B3538" s="76"/>
      <c r="C3538" s="75"/>
    </row>
    <row r="3539" spans="1:3">
      <c r="A3539" s="76"/>
      <c r="B3539" s="76"/>
      <c r="C3539" s="75"/>
    </row>
    <row r="3540" spans="1:3">
      <c r="A3540" s="76"/>
      <c r="B3540" s="76"/>
      <c r="C3540" s="75"/>
    </row>
    <row r="3541" spans="1:3">
      <c r="A3541" s="76"/>
      <c r="B3541" s="76"/>
      <c r="C3541" s="75"/>
    </row>
    <row r="3542" spans="1:3">
      <c r="A3542" s="76"/>
      <c r="B3542" s="76"/>
      <c r="C3542" s="75"/>
    </row>
    <row r="3543" spans="1:3">
      <c r="A3543" s="76"/>
      <c r="B3543" s="76"/>
      <c r="C3543" s="75"/>
    </row>
    <row r="3544" spans="1:3">
      <c r="A3544" s="76"/>
      <c r="B3544" s="76"/>
      <c r="C3544" s="75"/>
    </row>
    <row r="3545" spans="1:3">
      <c r="A3545" s="76"/>
      <c r="B3545" s="76"/>
      <c r="C3545" s="75"/>
    </row>
    <row r="3546" spans="1:3">
      <c r="A3546" s="76"/>
      <c r="B3546" s="76"/>
      <c r="C3546" s="75"/>
    </row>
    <row r="3547" spans="1:3">
      <c r="A3547" s="76"/>
      <c r="B3547" s="76"/>
      <c r="C3547" s="75"/>
    </row>
    <row r="3548" spans="1:3">
      <c r="A3548" s="76"/>
      <c r="B3548" s="76"/>
      <c r="C3548" s="75"/>
    </row>
    <row r="3549" spans="1:3">
      <c r="A3549" s="76"/>
      <c r="B3549" s="76"/>
      <c r="C3549" s="75"/>
    </row>
    <row r="3550" spans="1:3">
      <c r="A3550" s="76"/>
      <c r="B3550" s="76"/>
      <c r="C3550" s="75"/>
    </row>
    <row r="3551" spans="1:3">
      <c r="A3551" s="76"/>
      <c r="B3551" s="76"/>
      <c r="C3551" s="75"/>
    </row>
    <row r="3552" spans="1:3">
      <c r="A3552" s="76"/>
      <c r="B3552" s="76"/>
      <c r="C3552" s="75"/>
    </row>
    <row r="3553" spans="1:3">
      <c r="A3553" s="76"/>
      <c r="B3553" s="76"/>
      <c r="C3553" s="75"/>
    </row>
    <row r="3554" spans="1:3">
      <c r="A3554" s="76"/>
      <c r="B3554" s="76"/>
      <c r="C3554" s="75"/>
    </row>
    <row r="3555" spans="1:3">
      <c r="A3555" s="76"/>
      <c r="B3555" s="76"/>
      <c r="C3555" s="75"/>
    </row>
    <row r="3556" spans="1:3">
      <c r="A3556" s="76"/>
      <c r="B3556" s="76"/>
      <c r="C3556" s="75"/>
    </row>
    <row r="3557" spans="1:3">
      <c r="A3557" s="76"/>
      <c r="B3557" s="76"/>
      <c r="C3557" s="75"/>
    </row>
    <row r="3558" spans="1:3">
      <c r="A3558" s="76"/>
      <c r="B3558" s="76"/>
      <c r="C3558" s="75"/>
    </row>
    <row r="3559" spans="1:3">
      <c r="A3559" s="76"/>
      <c r="B3559" s="76"/>
      <c r="C3559" s="75"/>
    </row>
    <row r="3560" spans="1:3">
      <c r="A3560" s="76"/>
      <c r="B3560" s="76"/>
      <c r="C3560" s="75"/>
    </row>
    <row r="3561" spans="1:3">
      <c r="A3561" s="76"/>
      <c r="B3561" s="76"/>
      <c r="C3561" s="75"/>
    </row>
    <row r="3562" spans="1:3">
      <c r="A3562" s="76"/>
      <c r="B3562" s="76"/>
      <c r="C3562" s="75"/>
    </row>
    <row r="3563" spans="1:3">
      <c r="A3563" s="76"/>
      <c r="B3563" s="76"/>
      <c r="C3563" s="75"/>
    </row>
    <row r="3564" spans="1:3">
      <c r="A3564" s="76"/>
      <c r="B3564" s="76"/>
      <c r="C3564" s="75"/>
    </row>
    <row r="3565" spans="1:3">
      <c r="A3565" s="76"/>
      <c r="B3565" s="76"/>
      <c r="C3565" s="75"/>
    </row>
    <row r="3566" spans="1:3">
      <c r="A3566" s="76"/>
      <c r="B3566" s="76"/>
      <c r="C3566" s="75"/>
    </row>
    <row r="3567" spans="1:3">
      <c r="A3567" s="76"/>
      <c r="B3567" s="76"/>
      <c r="C3567" s="75"/>
    </row>
    <row r="3568" spans="1:3">
      <c r="A3568" s="76"/>
      <c r="B3568" s="76"/>
      <c r="C3568" s="75"/>
    </row>
    <row r="3569" spans="1:3">
      <c r="A3569" s="76"/>
      <c r="B3569" s="76"/>
      <c r="C3569" s="75"/>
    </row>
    <row r="3570" spans="1:3">
      <c r="A3570" s="76"/>
      <c r="B3570" s="76"/>
      <c r="C3570" s="75"/>
    </row>
    <row r="3571" spans="1:3">
      <c r="A3571" s="76"/>
      <c r="B3571" s="76"/>
      <c r="C3571" s="75"/>
    </row>
    <row r="3572" spans="1:3">
      <c r="A3572" s="76"/>
      <c r="B3572" s="76"/>
      <c r="C3572" s="75"/>
    </row>
    <row r="3573" spans="1:3">
      <c r="A3573" s="76"/>
      <c r="B3573" s="76"/>
      <c r="C3573" s="75"/>
    </row>
    <row r="3574" spans="1:3">
      <c r="A3574" s="76"/>
      <c r="B3574" s="76"/>
      <c r="C3574" s="75"/>
    </row>
    <row r="3575" spans="1:3">
      <c r="A3575" s="76"/>
      <c r="B3575" s="76"/>
      <c r="C3575" s="75"/>
    </row>
    <row r="3576" spans="1:3">
      <c r="A3576" s="76"/>
      <c r="B3576" s="76"/>
      <c r="C3576" s="75"/>
    </row>
    <row r="3577" spans="1:3">
      <c r="A3577" s="76"/>
      <c r="B3577" s="76"/>
      <c r="C3577" s="75"/>
    </row>
    <row r="3578" spans="1:3">
      <c r="A3578" s="76"/>
      <c r="B3578" s="76"/>
      <c r="C3578" s="75"/>
    </row>
    <row r="3579" spans="1:3">
      <c r="A3579" s="76"/>
      <c r="B3579" s="76"/>
      <c r="C3579" s="75"/>
    </row>
    <row r="3580" spans="1:3">
      <c r="A3580" s="76"/>
      <c r="B3580" s="76"/>
      <c r="C3580" s="75"/>
    </row>
    <row r="3581" spans="1:3">
      <c r="A3581" s="76"/>
      <c r="B3581" s="76"/>
      <c r="C3581" s="75"/>
    </row>
    <row r="3582" spans="1:3">
      <c r="A3582" s="76"/>
      <c r="B3582" s="76"/>
      <c r="C3582" s="75"/>
    </row>
    <row r="3583" spans="1:3">
      <c r="A3583" s="76"/>
      <c r="B3583" s="76"/>
      <c r="C3583" s="75"/>
    </row>
    <row r="3584" spans="1:3">
      <c r="A3584" s="76"/>
      <c r="B3584" s="76"/>
      <c r="C3584" s="75"/>
    </row>
    <row r="3585" spans="1:3">
      <c r="A3585" s="76"/>
      <c r="B3585" s="76"/>
      <c r="C3585" s="75"/>
    </row>
    <row r="3586" spans="1:3">
      <c r="A3586" s="76"/>
      <c r="B3586" s="76"/>
      <c r="C3586" s="75"/>
    </row>
    <row r="3587" spans="1:3">
      <c r="A3587" s="76"/>
      <c r="B3587" s="76"/>
      <c r="C3587" s="75"/>
    </row>
    <row r="3588" spans="1:3">
      <c r="A3588" s="76"/>
      <c r="B3588" s="76"/>
      <c r="C3588" s="75"/>
    </row>
    <row r="3589" spans="1:3">
      <c r="A3589" s="76"/>
      <c r="B3589" s="76"/>
      <c r="C3589" s="75"/>
    </row>
    <row r="3590" spans="1:3">
      <c r="A3590" s="76"/>
      <c r="B3590" s="76"/>
      <c r="C3590" s="75"/>
    </row>
    <row r="3591" spans="1:3">
      <c r="A3591" s="76"/>
      <c r="B3591" s="76"/>
      <c r="C3591" s="75"/>
    </row>
    <row r="3592" spans="1:3">
      <c r="A3592" s="76"/>
      <c r="B3592" s="76"/>
      <c r="C3592" s="75"/>
    </row>
    <row r="3593" spans="1:3">
      <c r="A3593" s="76"/>
      <c r="B3593" s="76"/>
      <c r="C3593" s="75"/>
    </row>
    <row r="3594" spans="1:3">
      <c r="A3594" s="76"/>
      <c r="B3594" s="76"/>
      <c r="C3594" s="75"/>
    </row>
    <row r="3595" spans="1:3">
      <c r="A3595" s="76"/>
      <c r="B3595" s="76"/>
      <c r="C3595" s="75"/>
    </row>
    <row r="3596" spans="1:3">
      <c r="A3596" s="76"/>
      <c r="B3596" s="76"/>
      <c r="C3596" s="75"/>
    </row>
    <row r="3597" spans="1:3">
      <c r="A3597" s="76"/>
      <c r="B3597" s="76"/>
      <c r="C3597" s="75"/>
    </row>
    <row r="3598" spans="1:3">
      <c r="A3598" s="76"/>
      <c r="B3598" s="76"/>
      <c r="C3598" s="75"/>
    </row>
    <row r="3599" spans="1:3">
      <c r="A3599" s="76"/>
      <c r="B3599" s="76"/>
      <c r="C3599" s="75"/>
    </row>
    <row r="3600" spans="1:3">
      <c r="A3600" s="76"/>
      <c r="B3600" s="76"/>
      <c r="C3600" s="75"/>
    </row>
    <row r="3601" spans="1:3">
      <c r="A3601" s="76"/>
      <c r="B3601" s="76"/>
      <c r="C3601" s="75"/>
    </row>
    <row r="3602" spans="1:3">
      <c r="A3602" s="76"/>
      <c r="B3602" s="76"/>
      <c r="C3602" s="75"/>
    </row>
    <row r="3603" spans="1:3">
      <c r="A3603" s="76"/>
      <c r="B3603" s="76"/>
      <c r="C3603" s="75"/>
    </row>
    <row r="3604" spans="1:3">
      <c r="A3604" s="76"/>
      <c r="B3604" s="76"/>
      <c r="C3604" s="75"/>
    </row>
    <row r="3605" spans="1:3">
      <c r="A3605" s="76"/>
      <c r="B3605" s="76"/>
      <c r="C3605" s="75"/>
    </row>
    <row r="3606" spans="1:3">
      <c r="A3606" s="76"/>
      <c r="B3606" s="76"/>
      <c r="C3606" s="75"/>
    </row>
    <row r="3607" spans="1:3">
      <c r="A3607" s="76"/>
      <c r="B3607" s="76"/>
      <c r="C3607" s="75"/>
    </row>
    <row r="3608" spans="1:3">
      <c r="A3608" s="76"/>
      <c r="B3608" s="76"/>
      <c r="C3608" s="75"/>
    </row>
    <row r="3609" spans="1:3">
      <c r="A3609" s="76"/>
      <c r="B3609" s="76"/>
      <c r="C3609" s="75"/>
    </row>
    <row r="3610" spans="1:3">
      <c r="A3610" s="76"/>
      <c r="B3610" s="76"/>
      <c r="C3610" s="75"/>
    </row>
    <row r="3611" spans="1:3">
      <c r="A3611" s="76"/>
      <c r="B3611" s="76"/>
      <c r="C3611" s="75"/>
    </row>
    <row r="3612" spans="1:3">
      <c r="A3612" s="76"/>
      <c r="B3612" s="76"/>
      <c r="C3612" s="75"/>
    </row>
    <row r="3613" spans="1:3">
      <c r="A3613" s="76"/>
      <c r="B3613" s="76"/>
      <c r="C3613" s="75"/>
    </row>
    <row r="3614" spans="1:3">
      <c r="A3614" s="76"/>
      <c r="B3614" s="76"/>
      <c r="C3614" s="75"/>
    </row>
    <row r="3615" spans="1:3">
      <c r="A3615" s="76"/>
      <c r="B3615" s="76"/>
      <c r="C3615" s="75"/>
    </row>
    <row r="3616" spans="1:3">
      <c r="A3616" s="76"/>
      <c r="B3616" s="76"/>
      <c r="C3616" s="75"/>
    </row>
    <row r="3617" spans="1:3">
      <c r="A3617" s="76"/>
      <c r="B3617" s="76"/>
      <c r="C3617" s="75"/>
    </row>
    <row r="3618" spans="1:3">
      <c r="A3618" s="76"/>
      <c r="B3618" s="76"/>
      <c r="C3618" s="75"/>
    </row>
    <row r="3619" spans="1:3">
      <c r="A3619" s="76"/>
      <c r="B3619" s="76"/>
      <c r="C3619" s="75"/>
    </row>
    <row r="3620" spans="1:3">
      <c r="A3620" s="76"/>
      <c r="B3620" s="76"/>
      <c r="C3620" s="75"/>
    </row>
    <row r="3621" spans="1:3">
      <c r="A3621" s="76"/>
      <c r="B3621" s="76"/>
      <c r="C3621" s="75"/>
    </row>
    <row r="3622" spans="1:3">
      <c r="A3622" s="76"/>
      <c r="B3622" s="76"/>
      <c r="C3622" s="75"/>
    </row>
    <row r="3623" spans="1:3">
      <c r="A3623" s="76"/>
      <c r="B3623" s="76"/>
      <c r="C3623" s="75"/>
    </row>
    <row r="3624" spans="1:3">
      <c r="A3624" s="76"/>
      <c r="B3624" s="76"/>
      <c r="C3624" s="75"/>
    </row>
    <row r="3625" spans="1:3">
      <c r="A3625" s="76"/>
      <c r="B3625" s="76"/>
      <c r="C3625" s="75"/>
    </row>
    <row r="3626" spans="1:3">
      <c r="A3626" s="76"/>
      <c r="B3626" s="76"/>
      <c r="C3626" s="75"/>
    </row>
    <row r="3627" spans="1:3">
      <c r="A3627" s="76"/>
      <c r="B3627" s="76"/>
      <c r="C3627" s="75"/>
    </row>
    <row r="3628" spans="1:3">
      <c r="A3628" s="76"/>
      <c r="B3628" s="76"/>
      <c r="C3628" s="75"/>
    </row>
    <row r="3629" spans="1:3">
      <c r="A3629" s="76"/>
      <c r="B3629" s="76"/>
      <c r="C3629" s="75"/>
    </row>
    <row r="3630" spans="1:3">
      <c r="A3630" s="76"/>
      <c r="B3630" s="76"/>
      <c r="C3630" s="75"/>
    </row>
    <row r="3631" spans="1:3">
      <c r="A3631" s="76"/>
      <c r="B3631" s="76"/>
      <c r="C3631" s="75"/>
    </row>
    <row r="3632" spans="1:3">
      <c r="A3632" s="76"/>
      <c r="B3632" s="76"/>
      <c r="C3632" s="75"/>
    </row>
    <row r="3633" spans="1:3">
      <c r="A3633" s="76"/>
      <c r="B3633" s="76"/>
      <c r="C3633" s="75"/>
    </row>
    <row r="3634" spans="1:3">
      <c r="A3634" s="76"/>
      <c r="B3634" s="76"/>
      <c r="C3634" s="75"/>
    </row>
    <row r="3635" spans="1:3">
      <c r="A3635" s="76"/>
      <c r="B3635" s="76"/>
      <c r="C3635" s="75"/>
    </row>
    <row r="3636" spans="1:3">
      <c r="A3636" s="76"/>
      <c r="B3636" s="76"/>
      <c r="C3636" s="75"/>
    </row>
    <row r="3637" spans="1:3">
      <c r="A3637" s="76"/>
      <c r="B3637" s="76"/>
      <c r="C3637" s="75"/>
    </row>
    <row r="3638" spans="1:3">
      <c r="A3638" s="76"/>
      <c r="B3638" s="76"/>
      <c r="C3638" s="75"/>
    </row>
    <row r="3639" spans="1:3">
      <c r="A3639" s="76"/>
      <c r="B3639" s="76"/>
      <c r="C3639" s="75"/>
    </row>
    <row r="3640" spans="1:3">
      <c r="A3640" s="76"/>
      <c r="B3640" s="76"/>
      <c r="C3640" s="75"/>
    </row>
    <row r="3641" spans="1:3">
      <c r="A3641" s="76"/>
      <c r="B3641" s="76"/>
      <c r="C3641" s="75"/>
    </row>
    <row r="3642" spans="1:3">
      <c r="A3642" s="76"/>
      <c r="B3642" s="76"/>
      <c r="C3642" s="75"/>
    </row>
    <row r="3643" spans="1:3">
      <c r="A3643" s="76"/>
      <c r="B3643" s="76"/>
      <c r="C3643" s="75"/>
    </row>
    <row r="3644" spans="1:3">
      <c r="A3644" s="76"/>
      <c r="B3644" s="76"/>
      <c r="C3644" s="75"/>
    </row>
    <row r="3645" spans="1:3">
      <c r="A3645" s="76"/>
      <c r="B3645" s="76"/>
      <c r="C3645" s="75"/>
    </row>
    <row r="3646" spans="1:3">
      <c r="A3646" s="76"/>
      <c r="B3646" s="76"/>
      <c r="C3646" s="75"/>
    </row>
    <row r="3647" spans="1:3">
      <c r="A3647" s="76"/>
      <c r="B3647" s="76"/>
      <c r="C3647" s="75"/>
    </row>
    <row r="3648" spans="1:3">
      <c r="A3648" s="76"/>
      <c r="B3648" s="76"/>
      <c r="C3648" s="75"/>
    </row>
    <row r="3649" spans="1:3">
      <c r="A3649" s="76"/>
      <c r="B3649" s="76"/>
      <c r="C3649" s="75"/>
    </row>
    <row r="3650" spans="1:3">
      <c r="A3650" s="76"/>
      <c r="B3650" s="76"/>
      <c r="C3650" s="75"/>
    </row>
    <row r="3651" spans="1:3">
      <c r="A3651" s="76"/>
      <c r="B3651" s="76"/>
      <c r="C3651" s="75"/>
    </row>
    <row r="3652" spans="1:3">
      <c r="A3652" s="76"/>
      <c r="B3652" s="76"/>
      <c r="C3652" s="75"/>
    </row>
    <row r="3653" spans="1:3">
      <c r="A3653" s="76"/>
      <c r="B3653" s="76"/>
      <c r="C3653" s="75"/>
    </row>
    <row r="3654" spans="1:3">
      <c r="A3654" s="76"/>
      <c r="B3654" s="76"/>
      <c r="C3654" s="75"/>
    </row>
    <row r="3655" spans="1:3">
      <c r="A3655" s="76"/>
      <c r="B3655" s="76"/>
      <c r="C3655" s="75"/>
    </row>
    <row r="3656" spans="1:3">
      <c r="A3656" s="76"/>
      <c r="B3656" s="76"/>
      <c r="C3656" s="75"/>
    </row>
    <row r="3657" spans="1:3">
      <c r="A3657" s="76"/>
      <c r="B3657" s="76"/>
      <c r="C3657" s="75"/>
    </row>
    <row r="3658" spans="1:3">
      <c r="A3658" s="76"/>
      <c r="B3658" s="76"/>
      <c r="C3658" s="75"/>
    </row>
    <row r="3659" spans="1:3">
      <c r="A3659" s="76"/>
      <c r="B3659" s="76"/>
      <c r="C3659" s="75"/>
    </row>
    <row r="3660" spans="1:3">
      <c r="A3660" s="76"/>
      <c r="B3660" s="76"/>
      <c r="C3660" s="75"/>
    </row>
    <row r="3661" spans="1:3">
      <c r="A3661" s="76"/>
      <c r="B3661" s="76"/>
      <c r="C3661" s="75"/>
    </row>
    <row r="3662" spans="1:3">
      <c r="A3662" s="76"/>
      <c r="B3662" s="76"/>
      <c r="C3662" s="75"/>
    </row>
    <row r="3663" spans="1:3">
      <c r="A3663" s="76"/>
      <c r="B3663" s="76"/>
      <c r="C3663" s="75"/>
    </row>
    <row r="3664" spans="1:3">
      <c r="A3664" s="76"/>
      <c r="B3664" s="76"/>
      <c r="C3664" s="75"/>
    </row>
    <row r="3665" spans="1:3">
      <c r="A3665" s="76"/>
      <c r="B3665" s="76"/>
      <c r="C3665" s="75"/>
    </row>
    <row r="3666" spans="1:3">
      <c r="A3666" s="76"/>
      <c r="B3666" s="76"/>
      <c r="C3666" s="75"/>
    </row>
    <row r="3667" spans="1:3">
      <c r="A3667" s="76"/>
      <c r="B3667" s="76"/>
      <c r="C3667" s="75"/>
    </row>
    <row r="3668" spans="1:3">
      <c r="A3668" s="76"/>
      <c r="B3668" s="76"/>
      <c r="C3668" s="75"/>
    </row>
    <row r="3669" spans="1:3">
      <c r="A3669" s="76"/>
      <c r="B3669" s="76"/>
      <c r="C3669" s="75"/>
    </row>
    <row r="3670" spans="1:3">
      <c r="A3670" s="76"/>
      <c r="B3670" s="76"/>
      <c r="C3670" s="75"/>
    </row>
    <row r="3671" spans="1:3">
      <c r="A3671" s="76"/>
      <c r="B3671" s="76"/>
      <c r="C3671" s="75"/>
    </row>
    <row r="3672" spans="1:3">
      <c r="A3672" s="76"/>
      <c r="B3672" s="76"/>
      <c r="C3672" s="75"/>
    </row>
    <row r="3673" spans="1:3">
      <c r="A3673" s="76"/>
      <c r="B3673" s="76"/>
      <c r="C3673" s="75"/>
    </row>
    <row r="3674" spans="1:3">
      <c r="A3674" s="76"/>
      <c r="B3674" s="76"/>
      <c r="C3674" s="75"/>
    </row>
    <row r="3675" spans="1:3">
      <c r="A3675" s="76"/>
      <c r="B3675" s="76"/>
      <c r="C3675" s="75"/>
    </row>
    <row r="3676" spans="1:3">
      <c r="A3676" s="76"/>
      <c r="B3676" s="76"/>
      <c r="C3676" s="75"/>
    </row>
    <row r="3677" spans="1:3">
      <c r="A3677" s="76"/>
      <c r="B3677" s="76"/>
      <c r="C3677" s="75"/>
    </row>
    <row r="3678" spans="1:3">
      <c r="A3678" s="76"/>
      <c r="B3678" s="76"/>
      <c r="C3678" s="75"/>
    </row>
    <row r="3679" spans="1:3">
      <c r="A3679" s="76"/>
      <c r="B3679" s="76"/>
      <c r="C3679" s="75"/>
    </row>
    <row r="3680" spans="1:3">
      <c r="A3680" s="76"/>
      <c r="B3680" s="76"/>
      <c r="C3680" s="75"/>
    </row>
    <row r="3681" spans="1:3">
      <c r="A3681" s="76"/>
      <c r="B3681" s="76"/>
      <c r="C3681" s="75"/>
    </row>
    <row r="3682" spans="1:3">
      <c r="A3682" s="76"/>
      <c r="B3682" s="76"/>
      <c r="C3682" s="75"/>
    </row>
    <row r="3683" spans="1:3">
      <c r="A3683" s="76"/>
      <c r="B3683" s="76"/>
      <c r="C3683" s="75"/>
    </row>
    <row r="3684" spans="1:3">
      <c r="A3684" s="76"/>
      <c r="B3684" s="76"/>
      <c r="C3684" s="75"/>
    </row>
    <row r="3685" spans="1:3">
      <c r="A3685" s="76"/>
      <c r="B3685" s="76"/>
      <c r="C3685" s="75"/>
    </row>
    <row r="3686" spans="1:3">
      <c r="A3686" s="76"/>
      <c r="B3686" s="76"/>
      <c r="C3686" s="75"/>
    </row>
    <row r="3687" spans="1:3">
      <c r="A3687" s="76"/>
      <c r="B3687" s="76"/>
      <c r="C3687" s="75"/>
    </row>
    <row r="3688" spans="1:3">
      <c r="A3688" s="76"/>
      <c r="B3688" s="76"/>
      <c r="C3688" s="75"/>
    </row>
    <row r="3689" spans="1:3">
      <c r="A3689" s="76"/>
      <c r="B3689" s="76"/>
      <c r="C3689" s="75"/>
    </row>
    <row r="3690" spans="1:3">
      <c r="A3690" s="76"/>
      <c r="B3690" s="76"/>
      <c r="C3690" s="75"/>
    </row>
    <row r="3691" spans="1:3">
      <c r="A3691" s="76"/>
      <c r="B3691" s="76"/>
      <c r="C3691" s="75"/>
    </row>
    <row r="3692" spans="1:3">
      <c r="A3692" s="76"/>
      <c r="B3692" s="76"/>
      <c r="C3692" s="75"/>
    </row>
    <row r="3693" spans="1:3">
      <c r="A3693" s="76"/>
      <c r="B3693" s="76"/>
      <c r="C3693" s="75"/>
    </row>
    <row r="3694" spans="1:3">
      <c r="A3694" s="76"/>
      <c r="B3694" s="76"/>
      <c r="C3694" s="75"/>
    </row>
    <row r="3695" spans="1:3">
      <c r="A3695" s="76"/>
      <c r="B3695" s="76"/>
      <c r="C3695" s="75"/>
    </row>
    <row r="3696" spans="1:3">
      <c r="A3696" s="76"/>
      <c r="B3696" s="76"/>
      <c r="C3696" s="75"/>
    </row>
    <row r="3697" spans="1:3">
      <c r="A3697" s="76"/>
      <c r="B3697" s="76"/>
      <c r="C3697" s="75"/>
    </row>
    <row r="3698" spans="1:3">
      <c r="A3698" s="76"/>
      <c r="B3698" s="76"/>
      <c r="C3698" s="75"/>
    </row>
    <row r="3699" spans="1:3">
      <c r="A3699" s="76"/>
      <c r="B3699" s="76"/>
      <c r="C3699" s="75"/>
    </row>
    <row r="3700" spans="1:3">
      <c r="A3700" s="76"/>
      <c r="B3700" s="76"/>
      <c r="C3700" s="75"/>
    </row>
    <row r="3701" spans="1:3">
      <c r="A3701" s="76"/>
      <c r="B3701" s="76"/>
      <c r="C3701" s="75"/>
    </row>
    <row r="3702" spans="1:3">
      <c r="A3702" s="76"/>
      <c r="B3702" s="76"/>
      <c r="C3702" s="75"/>
    </row>
    <row r="3703" spans="1:3">
      <c r="A3703" s="76"/>
      <c r="B3703" s="76"/>
      <c r="C3703" s="75"/>
    </row>
    <row r="3704" spans="1:3">
      <c r="A3704" s="76"/>
      <c r="B3704" s="76"/>
      <c r="C3704" s="75"/>
    </row>
    <row r="3705" spans="1:3">
      <c r="A3705" s="76"/>
      <c r="B3705" s="76"/>
      <c r="C3705" s="75"/>
    </row>
    <row r="3706" spans="1:3">
      <c r="A3706" s="76"/>
      <c r="B3706" s="76"/>
      <c r="C3706" s="75"/>
    </row>
    <row r="3707" spans="1:3">
      <c r="A3707" s="76"/>
      <c r="B3707" s="76"/>
      <c r="C3707" s="75"/>
    </row>
    <row r="3708" spans="1:3">
      <c r="A3708" s="76"/>
      <c r="B3708" s="76"/>
      <c r="C3708" s="75"/>
    </row>
    <row r="3709" spans="1:3">
      <c r="A3709" s="76"/>
      <c r="B3709" s="76"/>
      <c r="C3709" s="75"/>
    </row>
    <row r="3710" spans="1:3">
      <c r="A3710" s="76"/>
      <c r="B3710" s="76"/>
      <c r="C3710" s="75"/>
    </row>
    <row r="3711" spans="1:3">
      <c r="A3711" s="76"/>
      <c r="B3711" s="76"/>
      <c r="C3711" s="75"/>
    </row>
    <row r="3712" spans="1:3">
      <c r="A3712" s="76"/>
      <c r="B3712" s="76"/>
      <c r="C3712" s="75"/>
    </row>
    <row r="3713" spans="1:3">
      <c r="A3713" s="76"/>
      <c r="B3713" s="76"/>
      <c r="C3713" s="75"/>
    </row>
    <row r="3714" spans="1:3">
      <c r="A3714" s="76"/>
      <c r="B3714" s="76"/>
      <c r="C3714" s="75"/>
    </row>
    <row r="3715" spans="1:3">
      <c r="A3715" s="76"/>
      <c r="B3715" s="76"/>
      <c r="C3715" s="75"/>
    </row>
    <row r="3716" spans="1:3">
      <c r="A3716" s="76"/>
      <c r="B3716" s="76"/>
      <c r="C3716" s="75"/>
    </row>
    <row r="3717" spans="1:3">
      <c r="A3717" s="76"/>
      <c r="B3717" s="76"/>
      <c r="C3717" s="75"/>
    </row>
    <row r="3718" spans="1:3">
      <c r="A3718" s="76"/>
      <c r="B3718" s="76"/>
      <c r="C3718" s="75"/>
    </row>
    <row r="3719" spans="1:3">
      <c r="A3719" s="76"/>
      <c r="B3719" s="76"/>
      <c r="C3719" s="75"/>
    </row>
    <row r="3720" spans="1:3">
      <c r="A3720" s="76"/>
      <c r="B3720" s="76"/>
      <c r="C3720" s="75"/>
    </row>
    <row r="3721" spans="1:3">
      <c r="A3721" s="76"/>
      <c r="B3721" s="76"/>
      <c r="C3721" s="75"/>
    </row>
    <row r="3722" spans="1:3">
      <c r="A3722" s="76"/>
      <c r="B3722" s="76"/>
      <c r="C3722" s="75"/>
    </row>
    <row r="3723" spans="1:3">
      <c r="A3723" s="76"/>
      <c r="B3723" s="76"/>
      <c r="C3723" s="75"/>
    </row>
    <row r="3724" spans="1:3">
      <c r="A3724" s="76"/>
      <c r="B3724" s="76"/>
      <c r="C3724" s="75"/>
    </row>
    <row r="3725" spans="1:3">
      <c r="A3725" s="76"/>
      <c r="B3725" s="76"/>
      <c r="C3725" s="75"/>
    </row>
    <row r="3726" spans="1:3">
      <c r="A3726" s="76"/>
      <c r="B3726" s="76"/>
      <c r="C3726" s="75"/>
    </row>
    <row r="3727" spans="1:3">
      <c r="A3727" s="76"/>
      <c r="B3727" s="76"/>
      <c r="C3727" s="75"/>
    </row>
    <row r="3728" spans="1:3">
      <c r="A3728" s="76"/>
      <c r="B3728" s="76"/>
      <c r="C3728" s="75"/>
    </row>
    <row r="3729" spans="1:3">
      <c r="A3729" s="76"/>
      <c r="B3729" s="76"/>
      <c r="C3729" s="75"/>
    </row>
    <row r="3730" spans="1:3">
      <c r="A3730" s="76"/>
      <c r="B3730" s="76"/>
      <c r="C3730" s="75"/>
    </row>
    <row r="3731" spans="1:3">
      <c r="A3731" s="76"/>
      <c r="B3731" s="76"/>
      <c r="C3731" s="75"/>
    </row>
    <row r="3732" spans="1:3">
      <c r="A3732" s="76"/>
      <c r="B3732" s="76"/>
      <c r="C3732" s="75"/>
    </row>
    <row r="3733" spans="1:3">
      <c r="A3733" s="76"/>
      <c r="B3733" s="76"/>
      <c r="C3733" s="75"/>
    </row>
    <row r="3734" spans="1:3">
      <c r="A3734" s="76"/>
      <c r="B3734" s="76"/>
      <c r="C3734" s="75"/>
    </row>
    <row r="3735" spans="1:3">
      <c r="A3735" s="76"/>
      <c r="B3735" s="76"/>
      <c r="C3735" s="75"/>
    </row>
    <row r="3736" spans="1:3">
      <c r="A3736" s="76"/>
      <c r="B3736" s="76"/>
      <c r="C3736" s="75"/>
    </row>
    <row r="3737" spans="1:3">
      <c r="A3737" s="76"/>
      <c r="B3737" s="76"/>
      <c r="C3737" s="75"/>
    </row>
    <row r="3738" spans="1:3">
      <c r="A3738" s="76"/>
      <c r="B3738" s="76"/>
      <c r="C3738" s="75"/>
    </row>
    <row r="3739" spans="1:3">
      <c r="A3739" s="76"/>
      <c r="B3739" s="76"/>
      <c r="C3739" s="75"/>
    </row>
    <row r="3740" spans="1:3">
      <c r="A3740" s="76"/>
      <c r="B3740" s="76"/>
      <c r="C3740" s="75"/>
    </row>
    <row r="3741" spans="1:3">
      <c r="A3741" s="76"/>
      <c r="B3741" s="76"/>
      <c r="C3741" s="75"/>
    </row>
    <row r="3742" spans="1:3">
      <c r="A3742" s="76"/>
      <c r="B3742" s="76"/>
      <c r="C3742" s="75"/>
    </row>
    <row r="3743" spans="1:3">
      <c r="A3743" s="76"/>
      <c r="B3743" s="76"/>
      <c r="C3743" s="75"/>
    </row>
    <row r="3744" spans="1:3">
      <c r="A3744" s="76"/>
      <c r="B3744" s="76"/>
      <c r="C3744" s="75"/>
    </row>
    <row r="3745" spans="1:3">
      <c r="A3745" s="76"/>
      <c r="B3745" s="76"/>
      <c r="C3745" s="75"/>
    </row>
    <row r="3746" spans="1:3">
      <c r="A3746" s="76"/>
      <c r="B3746" s="76"/>
      <c r="C3746" s="75"/>
    </row>
    <row r="3747" spans="1:3">
      <c r="A3747" s="76"/>
      <c r="B3747" s="76"/>
      <c r="C3747" s="75"/>
    </row>
    <row r="3748" spans="1:3">
      <c r="A3748" s="76"/>
      <c r="B3748" s="76"/>
      <c r="C3748" s="75"/>
    </row>
    <row r="3749" spans="1:3">
      <c r="A3749" s="76"/>
      <c r="B3749" s="76"/>
      <c r="C3749" s="75"/>
    </row>
    <row r="3750" spans="1:3">
      <c r="A3750" s="76"/>
      <c r="B3750" s="76"/>
      <c r="C3750" s="75"/>
    </row>
    <row r="3751" spans="1:3">
      <c r="A3751" s="76"/>
      <c r="B3751" s="76"/>
      <c r="C3751" s="75"/>
    </row>
    <row r="3752" spans="1:3">
      <c r="A3752" s="76"/>
      <c r="B3752" s="76"/>
      <c r="C3752" s="75"/>
    </row>
    <row r="3753" spans="1:3">
      <c r="A3753" s="76"/>
      <c r="B3753" s="76"/>
      <c r="C3753" s="75"/>
    </row>
    <row r="3754" spans="1:3">
      <c r="A3754" s="76"/>
      <c r="B3754" s="76"/>
      <c r="C3754" s="75"/>
    </row>
    <row r="3755" spans="1:3">
      <c r="A3755" s="76"/>
      <c r="B3755" s="76"/>
      <c r="C3755" s="75"/>
    </row>
    <row r="3756" spans="1:3">
      <c r="A3756" s="76"/>
      <c r="B3756" s="76"/>
      <c r="C3756" s="75"/>
    </row>
    <row r="3757" spans="1:3">
      <c r="A3757" s="76"/>
      <c r="B3757" s="76"/>
      <c r="C3757" s="75"/>
    </row>
    <row r="3758" spans="1:3">
      <c r="A3758" s="76"/>
      <c r="B3758" s="76"/>
      <c r="C3758" s="75"/>
    </row>
    <row r="3759" spans="1:3">
      <c r="A3759" s="76"/>
      <c r="B3759" s="76"/>
      <c r="C3759" s="75"/>
    </row>
    <row r="3760" spans="1:3">
      <c r="A3760" s="76"/>
      <c r="B3760" s="76"/>
      <c r="C3760" s="75"/>
    </row>
    <row r="3761" spans="1:3">
      <c r="A3761" s="76"/>
      <c r="B3761" s="76"/>
      <c r="C3761" s="75"/>
    </row>
    <row r="3762" spans="1:3">
      <c r="A3762" s="76"/>
      <c r="B3762" s="76"/>
      <c r="C3762" s="75"/>
    </row>
    <row r="3763" spans="1:3">
      <c r="A3763" s="76"/>
      <c r="B3763" s="76"/>
      <c r="C3763" s="75"/>
    </row>
    <row r="3764" spans="1:3">
      <c r="A3764" s="76"/>
      <c r="B3764" s="76"/>
      <c r="C3764" s="75"/>
    </row>
    <row r="3765" spans="1:3">
      <c r="A3765" s="76"/>
      <c r="B3765" s="76"/>
      <c r="C3765" s="75"/>
    </row>
    <row r="3766" spans="1:3">
      <c r="A3766" s="76"/>
      <c r="B3766" s="76"/>
      <c r="C3766" s="75"/>
    </row>
    <row r="3767" spans="1:3">
      <c r="A3767" s="76"/>
      <c r="B3767" s="76"/>
      <c r="C3767" s="75"/>
    </row>
    <row r="3768" spans="1:3">
      <c r="A3768" s="76"/>
      <c r="B3768" s="76"/>
      <c r="C3768" s="75"/>
    </row>
    <row r="3769" spans="1:3">
      <c r="A3769" s="76"/>
      <c r="B3769" s="76"/>
      <c r="C3769" s="75"/>
    </row>
    <row r="3770" spans="1:3">
      <c r="A3770" s="76"/>
      <c r="B3770" s="76"/>
      <c r="C3770" s="75"/>
    </row>
    <row r="3771" spans="1:3">
      <c r="A3771" s="76"/>
      <c r="B3771" s="76"/>
      <c r="C3771" s="75"/>
    </row>
    <row r="3772" spans="1:3">
      <c r="A3772" s="76"/>
      <c r="B3772" s="76"/>
      <c r="C3772" s="75"/>
    </row>
    <row r="3773" spans="1:3">
      <c r="A3773" s="76"/>
      <c r="B3773" s="76"/>
      <c r="C3773" s="75"/>
    </row>
    <row r="3774" spans="1:3">
      <c r="A3774" s="76"/>
      <c r="B3774" s="76"/>
      <c r="C3774" s="75"/>
    </row>
    <row r="3775" spans="1:3">
      <c r="A3775" s="76"/>
      <c r="B3775" s="76"/>
      <c r="C3775" s="75"/>
    </row>
    <row r="3776" spans="1:3">
      <c r="A3776" s="76"/>
      <c r="B3776" s="76"/>
      <c r="C3776" s="75"/>
    </row>
    <row r="3777" spans="1:3">
      <c r="A3777" s="76"/>
      <c r="B3777" s="76"/>
      <c r="C3777" s="75"/>
    </row>
    <row r="3778" spans="1:3">
      <c r="A3778" s="76"/>
      <c r="B3778" s="76"/>
      <c r="C3778" s="75"/>
    </row>
    <row r="3779" spans="1:3">
      <c r="A3779" s="76"/>
      <c r="B3779" s="76"/>
      <c r="C3779" s="75"/>
    </row>
    <row r="3780" spans="1:3">
      <c r="A3780" s="76"/>
      <c r="B3780" s="76"/>
      <c r="C3780" s="75"/>
    </row>
    <row r="3781" spans="1:3">
      <c r="A3781" s="76"/>
      <c r="B3781" s="76"/>
      <c r="C3781" s="75"/>
    </row>
    <row r="3782" spans="1:3">
      <c r="A3782" s="76"/>
      <c r="B3782" s="76"/>
      <c r="C3782" s="75"/>
    </row>
    <row r="3783" spans="1:3">
      <c r="A3783" s="76"/>
      <c r="B3783" s="76"/>
      <c r="C3783" s="75"/>
    </row>
    <row r="3784" spans="1:3">
      <c r="A3784" s="76"/>
      <c r="B3784" s="76"/>
      <c r="C3784" s="75"/>
    </row>
    <row r="3785" spans="1:3">
      <c r="A3785" s="76"/>
      <c r="B3785" s="76"/>
      <c r="C3785" s="75"/>
    </row>
    <row r="3786" spans="1:3">
      <c r="A3786" s="76"/>
      <c r="B3786" s="76"/>
      <c r="C3786" s="75"/>
    </row>
    <row r="3787" spans="1:3">
      <c r="A3787" s="76"/>
      <c r="B3787" s="76"/>
      <c r="C3787" s="75"/>
    </row>
    <row r="3788" spans="1:3">
      <c r="A3788" s="76"/>
      <c r="B3788" s="76"/>
      <c r="C3788" s="75"/>
    </row>
    <row r="3789" spans="1:3">
      <c r="A3789" s="76"/>
      <c r="B3789" s="76"/>
      <c r="C3789" s="75"/>
    </row>
    <row r="3790" spans="1:3">
      <c r="A3790" s="76"/>
      <c r="B3790" s="76"/>
      <c r="C3790" s="75"/>
    </row>
    <row r="3791" spans="1:3">
      <c r="A3791" s="76"/>
      <c r="B3791" s="76"/>
      <c r="C3791" s="75"/>
    </row>
    <row r="3792" spans="1:3">
      <c r="A3792" s="76"/>
      <c r="B3792" s="76"/>
      <c r="C3792" s="75"/>
    </row>
    <row r="3793" spans="1:3">
      <c r="A3793" s="76"/>
      <c r="B3793" s="76"/>
      <c r="C3793" s="75"/>
    </row>
    <row r="3794" spans="1:3">
      <c r="A3794" s="76"/>
      <c r="B3794" s="76"/>
      <c r="C3794" s="75"/>
    </row>
    <row r="3795" spans="1:3">
      <c r="A3795" s="76"/>
      <c r="B3795" s="76"/>
      <c r="C3795" s="75"/>
    </row>
    <row r="3796" spans="1:3">
      <c r="A3796" s="76"/>
      <c r="B3796" s="76"/>
      <c r="C3796" s="75"/>
    </row>
    <row r="3797" spans="1:3">
      <c r="A3797" s="76"/>
      <c r="B3797" s="76"/>
      <c r="C3797" s="75"/>
    </row>
    <row r="3798" spans="1:3">
      <c r="A3798" s="76"/>
      <c r="B3798" s="76"/>
      <c r="C3798" s="75"/>
    </row>
    <row r="3799" spans="1:3">
      <c r="A3799" s="76"/>
      <c r="B3799" s="76"/>
      <c r="C3799" s="75"/>
    </row>
    <row r="3800" spans="1:3">
      <c r="A3800" s="76"/>
      <c r="B3800" s="76"/>
      <c r="C3800" s="75"/>
    </row>
    <row r="3801" spans="1:3">
      <c r="A3801" s="76"/>
      <c r="B3801" s="76"/>
      <c r="C3801" s="75"/>
    </row>
    <row r="3802" spans="1:3">
      <c r="A3802" s="76"/>
      <c r="B3802" s="76"/>
      <c r="C3802" s="75"/>
    </row>
    <row r="3803" spans="1:3">
      <c r="A3803" s="76"/>
      <c r="B3803" s="76"/>
      <c r="C3803" s="75"/>
    </row>
    <row r="3804" spans="1:3">
      <c r="A3804" s="76"/>
      <c r="B3804" s="76"/>
      <c r="C3804" s="75"/>
    </row>
    <row r="3805" spans="1:3">
      <c r="A3805" s="76"/>
      <c r="B3805" s="76"/>
      <c r="C3805" s="75"/>
    </row>
    <row r="3806" spans="1:3">
      <c r="A3806" s="76"/>
      <c r="B3806" s="76"/>
      <c r="C3806" s="75"/>
    </row>
    <row r="3807" spans="1:3">
      <c r="A3807" s="76"/>
      <c r="B3807" s="76"/>
      <c r="C3807" s="75"/>
    </row>
    <row r="3808" spans="1:3">
      <c r="A3808" s="76"/>
      <c r="B3808" s="76"/>
      <c r="C3808" s="75"/>
    </row>
    <row r="3809" spans="1:3">
      <c r="A3809" s="76"/>
      <c r="B3809" s="76"/>
      <c r="C3809" s="75"/>
    </row>
    <row r="3810" spans="1:3">
      <c r="A3810" s="76"/>
      <c r="B3810" s="76"/>
      <c r="C3810" s="75"/>
    </row>
    <row r="3811" spans="1:3">
      <c r="A3811" s="76"/>
      <c r="B3811" s="76"/>
      <c r="C3811" s="75"/>
    </row>
    <row r="3812" spans="1:3">
      <c r="A3812" s="76"/>
      <c r="B3812" s="76"/>
      <c r="C3812" s="75"/>
    </row>
    <row r="3813" spans="1:3">
      <c r="A3813" s="76"/>
      <c r="B3813" s="76"/>
      <c r="C3813" s="75"/>
    </row>
    <row r="3814" spans="1:3">
      <c r="A3814" s="76"/>
      <c r="B3814" s="76"/>
      <c r="C3814" s="75"/>
    </row>
    <row r="3815" spans="1:3">
      <c r="A3815" s="76"/>
      <c r="B3815" s="76"/>
      <c r="C3815" s="75"/>
    </row>
    <row r="3816" spans="1:3">
      <c r="A3816" s="76"/>
      <c r="B3816" s="76"/>
      <c r="C3816" s="75"/>
    </row>
    <row r="3817" spans="1:3">
      <c r="A3817" s="76"/>
      <c r="B3817" s="76"/>
      <c r="C3817" s="75"/>
    </row>
    <row r="3818" spans="1:3">
      <c r="A3818" s="76"/>
      <c r="B3818" s="76"/>
      <c r="C3818" s="75"/>
    </row>
    <row r="3819" spans="1:3">
      <c r="A3819" s="76"/>
      <c r="B3819" s="76"/>
      <c r="C3819" s="75"/>
    </row>
    <row r="3820" spans="1:3">
      <c r="A3820" s="76"/>
      <c r="B3820" s="76"/>
      <c r="C3820" s="75"/>
    </row>
    <row r="3821" spans="1:3">
      <c r="A3821" s="76"/>
      <c r="B3821" s="76"/>
      <c r="C3821" s="75"/>
    </row>
    <row r="3822" spans="1:3">
      <c r="A3822" s="76"/>
      <c r="B3822" s="76"/>
      <c r="C3822" s="75"/>
    </row>
    <row r="3823" spans="1:3">
      <c r="A3823" s="76"/>
      <c r="B3823" s="76"/>
      <c r="C3823" s="75"/>
    </row>
    <row r="3824" spans="1:3">
      <c r="A3824" s="76"/>
      <c r="B3824" s="76"/>
      <c r="C3824" s="75"/>
    </row>
    <row r="3825" spans="1:3">
      <c r="A3825" s="76"/>
      <c r="B3825" s="76"/>
      <c r="C3825" s="75"/>
    </row>
    <row r="3826" spans="1:3">
      <c r="A3826" s="76"/>
      <c r="B3826" s="76"/>
      <c r="C3826" s="75"/>
    </row>
    <row r="3827" spans="1:3">
      <c r="A3827" s="76"/>
      <c r="B3827" s="76"/>
      <c r="C3827" s="75"/>
    </row>
    <row r="3828" spans="1:3">
      <c r="A3828" s="76"/>
      <c r="B3828" s="76"/>
      <c r="C3828" s="75"/>
    </row>
    <row r="3829" spans="1:3">
      <c r="A3829" s="76"/>
      <c r="B3829" s="76"/>
      <c r="C3829" s="75"/>
    </row>
    <row r="3830" spans="1:3">
      <c r="A3830" s="76"/>
      <c r="B3830" s="76"/>
      <c r="C3830" s="75"/>
    </row>
    <row r="3831" spans="1:3">
      <c r="A3831" s="76"/>
      <c r="B3831" s="76"/>
      <c r="C3831" s="75"/>
    </row>
    <row r="3832" spans="1:3">
      <c r="A3832" s="76"/>
      <c r="B3832" s="76"/>
      <c r="C3832" s="75"/>
    </row>
    <row r="3833" spans="1:3">
      <c r="A3833" s="76"/>
      <c r="B3833" s="76"/>
      <c r="C3833" s="75"/>
    </row>
    <row r="3834" spans="1:3">
      <c r="A3834" s="76"/>
      <c r="B3834" s="76"/>
      <c r="C3834" s="75"/>
    </row>
    <row r="3835" spans="1:3">
      <c r="A3835" s="76"/>
      <c r="B3835" s="76"/>
      <c r="C3835" s="75"/>
    </row>
    <row r="3836" spans="1:3">
      <c r="A3836" s="76"/>
      <c r="B3836" s="76"/>
      <c r="C3836" s="75"/>
    </row>
    <row r="3837" spans="1:3">
      <c r="A3837" s="76"/>
      <c r="B3837" s="76"/>
      <c r="C3837" s="75"/>
    </row>
    <row r="3838" spans="1:3">
      <c r="A3838" s="76"/>
      <c r="B3838" s="76"/>
      <c r="C3838" s="75"/>
    </row>
    <row r="3839" spans="1:3">
      <c r="A3839" s="76"/>
      <c r="B3839" s="76"/>
      <c r="C3839" s="75"/>
    </row>
    <row r="3840" spans="1:3">
      <c r="A3840" s="76"/>
      <c r="B3840" s="76"/>
      <c r="C3840" s="75"/>
    </row>
    <row r="3841" spans="1:3">
      <c r="A3841" s="76"/>
      <c r="B3841" s="76"/>
      <c r="C3841" s="75"/>
    </row>
    <row r="3842" spans="1:3">
      <c r="A3842" s="76"/>
      <c r="B3842" s="76"/>
      <c r="C3842" s="75"/>
    </row>
    <row r="3843" spans="1:3">
      <c r="A3843" s="76"/>
      <c r="B3843" s="76"/>
      <c r="C3843" s="75"/>
    </row>
    <row r="3844" spans="1:3">
      <c r="A3844" s="76"/>
      <c r="B3844" s="76"/>
      <c r="C3844" s="75"/>
    </row>
    <row r="3845" spans="1:3">
      <c r="A3845" s="76"/>
      <c r="B3845" s="76"/>
      <c r="C3845" s="75"/>
    </row>
    <row r="3846" spans="1:3">
      <c r="A3846" s="76"/>
      <c r="B3846" s="76"/>
      <c r="C3846" s="75"/>
    </row>
    <row r="3847" spans="1:3">
      <c r="A3847" s="76"/>
      <c r="B3847" s="76"/>
      <c r="C3847" s="75"/>
    </row>
    <row r="3848" spans="1:3">
      <c r="A3848" s="76"/>
      <c r="B3848" s="76"/>
      <c r="C3848" s="75"/>
    </row>
    <row r="3849" spans="1:3">
      <c r="A3849" s="76"/>
      <c r="B3849" s="76"/>
      <c r="C3849" s="75"/>
    </row>
    <row r="3850" spans="1:3">
      <c r="A3850" s="76"/>
      <c r="B3850" s="76"/>
      <c r="C3850" s="75"/>
    </row>
    <row r="3851" spans="1:3">
      <c r="A3851" s="76"/>
      <c r="B3851" s="76"/>
      <c r="C3851" s="75"/>
    </row>
    <row r="3852" spans="1:3">
      <c r="A3852" s="76"/>
      <c r="B3852" s="76"/>
      <c r="C3852" s="75"/>
    </row>
    <row r="3853" spans="1:3">
      <c r="A3853" s="76"/>
      <c r="B3853" s="76"/>
      <c r="C3853" s="75"/>
    </row>
    <row r="3854" spans="1:3">
      <c r="A3854" s="76"/>
      <c r="B3854" s="76"/>
      <c r="C3854" s="75"/>
    </row>
    <row r="3855" spans="1:3">
      <c r="A3855" s="76"/>
      <c r="B3855" s="76"/>
      <c r="C3855" s="75"/>
    </row>
    <row r="3856" spans="1:3">
      <c r="A3856" s="76"/>
      <c r="B3856" s="76"/>
      <c r="C3856" s="75"/>
    </row>
    <row r="3857" spans="1:3">
      <c r="A3857" s="76"/>
      <c r="B3857" s="76"/>
      <c r="C3857" s="75"/>
    </row>
    <row r="3858" spans="1:3">
      <c r="A3858" s="76"/>
      <c r="B3858" s="76"/>
      <c r="C3858" s="75"/>
    </row>
    <row r="3859" spans="1:3">
      <c r="A3859" s="76"/>
      <c r="B3859" s="76"/>
      <c r="C3859" s="75"/>
    </row>
    <row r="3860" spans="1:3">
      <c r="A3860" s="76"/>
      <c r="B3860" s="76"/>
      <c r="C3860" s="75"/>
    </row>
    <row r="3861" spans="1:3">
      <c r="A3861" s="76"/>
      <c r="B3861" s="76"/>
      <c r="C3861" s="75"/>
    </row>
    <row r="3862" spans="1:3">
      <c r="A3862" s="76"/>
      <c r="B3862" s="76"/>
      <c r="C3862" s="75"/>
    </row>
    <row r="3863" spans="1:3">
      <c r="A3863" s="76"/>
      <c r="B3863" s="76"/>
      <c r="C3863" s="75"/>
    </row>
    <row r="3864" spans="1:3">
      <c r="A3864" s="76"/>
      <c r="B3864" s="76"/>
      <c r="C3864" s="75"/>
    </row>
    <row r="3865" spans="1:3">
      <c r="A3865" s="76"/>
      <c r="B3865" s="76"/>
      <c r="C3865" s="75"/>
    </row>
    <row r="3866" spans="1:3">
      <c r="A3866" s="76"/>
      <c r="B3866" s="76"/>
      <c r="C3866" s="75"/>
    </row>
    <row r="3867" spans="1:3">
      <c r="A3867" s="76"/>
      <c r="B3867" s="76"/>
      <c r="C3867" s="75"/>
    </row>
    <row r="3868" spans="1:3">
      <c r="A3868" s="76"/>
      <c r="B3868" s="76"/>
      <c r="C3868" s="75"/>
    </row>
    <row r="3869" spans="1:3">
      <c r="A3869" s="76"/>
      <c r="B3869" s="76"/>
      <c r="C3869" s="75"/>
    </row>
    <row r="3870" spans="1:3">
      <c r="A3870" s="76"/>
      <c r="B3870" s="76"/>
      <c r="C3870" s="75"/>
    </row>
    <row r="3871" spans="1:3">
      <c r="A3871" s="76"/>
      <c r="B3871" s="76"/>
      <c r="C3871" s="75"/>
    </row>
    <row r="3872" spans="1:3">
      <c r="A3872" s="76"/>
      <c r="B3872" s="76"/>
      <c r="C3872" s="75"/>
    </row>
    <row r="3873" spans="1:3">
      <c r="A3873" s="76"/>
      <c r="B3873" s="76"/>
      <c r="C3873" s="75"/>
    </row>
    <row r="3874" spans="1:3">
      <c r="A3874" s="76"/>
      <c r="B3874" s="76"/>
      <c r="C3874" s="75"/>
    </row>
    <row r="3875" spans="1:3">
      <c r="A3875" s="76"/>
      <c r="B3875" s="76"/>
      <c r="C3875" s="75"/>
    </row>
    <row r="3876" spans="1:3">
      <c r="A3876" s="76"/>
      <c r="B3876" s="76"/>
      <c r="C3876" s="75"/>
    </row>
    <row r="3877" spans="1:3">
      <c r="A3877" s="76"/>
      <c r="B3877" s="76"/>
      <c r="C3877" s="75"/>
    </row>
    <row r="3878" spans="1:3">
      <c r="A3878" s="76"/>
      <c r="B3878" s="76"/>
      <c r="C3878" s="75"/>
    </row>
    <row r="3879" spans="1:3">
      <c r="A3879" s="76"/>
      <c r="B3879" s="76"/>
      <c r="C3879" s="75"/>
    </row>
    <row r="3880" spans="1:3">
      <c r="A3880" s="76"/>
      <c r="B3880" s="76"/>
      <c r="C3880" s="75"/>
    </row>
    <row r="3881" spans="1:3">
      <c r="A3881" s="76"/>
      <c r="B3881" s="76"/>
      <c r="C3881" s="75"/>
    </row>
    <row r="3882" spans="1:3">
      <c r="A3882" s="76"/>
      <c r="B3882" s="76"/>
      <c r="C3882" s="75"/>
    </row>
    <row r="3883" spans="1:3">
      <c r="A3883" s="76"/>
      <c r="B3883" s="76"/>
      <c r="C3883" s="75"/>
    </row>
    <row r="3884" spans="1:3">
      <c r="A3884" s="76"/>
      <c r="B3884" s="76"/>
      <c r="C3884" s="75"/>
    </row>
    <row r="3885" spans="1:3">
      <c r="A3885" s="76"/>
      <c r="B3885" s="76"/>
      <c r="C3885" s="75"/>
    </row>
    <row r="3886" spans="1:3">
      <c r="A3886" s="76"/>
      <c r="B3886" s="76"/>
      <c r="C3886" s="75"/>
    </row>
    <row r="3887" spans="1:3">
      <c r="A3887" s="76"/>
      <c r="B3887" s="76"/>
      <c r="C3887" s="75"/>
    </row>
    <row r="3888" spans="1:3">
      <c r="A3888" s="76"/>
      <c r="B3888" s="76"/>
      <c r="C3888" s="75"/>
    </row>
    <row r="3889" spans="1:3">
      <c r="A3889" s="76"/>
      <c r="B3889" s="76"/>
      <c r="C3889" s="75"/>
    </row>
    <row r="3890" spans="1:3">
      <c r="A3890" s="76"/>
      <c r="B3890" s="76"/>
      <c r="C3890" s="75"/>
    </row>
    <row r="3891" spans="1:3">
      <c r="A3891" s="76"/>
      <c r="B3891" s="76"/>
      <c r="C3891" s="75"/>
    </row>
    <row r="3892" spans="1:3">
      <c r="A3892" s="76"/>
      <c r="B3892" s="76"/>
      <c r="C3892" s="75"/>
    </row>
    <row r="3893" spans="1:3">
      <c r="A3893" s="76"/>
      <c r="B3893" s="76"/>
      <c r="C3893" s="75"/>
    </row>
    <row r="3894" spans="1:3">
      <c r="A3894" s="76"/>
      <c r="B3894" s="76"/>
      <c r="C3894" s="75"/>
    </row>
    <row r="3895" spans="1:3">
      <c r="A3895" s="76"/>
      <c r="B3895" s="76"/>
      <c r="C3895" s="75"/>
    </row>
    <row r="3896" spans="1:3">
      <c r="A3896" s="76"/>
      <c r="B3896" s="76"/>
      <c r="C3896" s="75"/>
    </row>
    <row r="3897" spans="1:3">
      <c r="A3897" s="76"/>
      <c r="B3897" s="76"/>
      <c r="C3897" s="75"/>
    </row>
    <row r="3898" spans="1:3">
      <c r="A3898" s="76"/>
      <c r="B3898" s="76"/>
      <c r="C3898" s="75"/>
    </row>
    <row r="3899" spans="1:3">
      <c r="A3899" s="76"/>
      <c r="B3899" s="76"/>
      <c r="C3899" s="75"/>
    </row>
    <row r="3900" spans="1:3">
      <c r="A3900" s="76"/>
      <c r="B3900" s="76"/>
      <c r="C3900" s="75"/>
    </row>
    <row r="3901" spans="1:3">
      <c r="A3901" s="76"/>
      <c r="B3901" s="76"/>
      <c r="C3901" s="75"/>
    </row>
    <row r="3902" spans="1:3">
      <c r="A3902" s="76"/>
      <c r="B3902" s="76"/>
      <c r="C3902" s="75"/>
    </row>
    <row r="3903" spans="1:3">
      <c r="A3903" s="76"/>
      <c r="B3903" s="76"/>
      <c r="C3903" s="75"/>
    </row>
    <row r="3904" spans="1:3">
      <c r="A3904" s="76"/>
      <c r="B3904" s="76"/>
      <c r="C3904" s="75"/>
    </row>
    <row r="3905" spans="1:3">
      <c r="A3905" s="76"/>
      <c r="B3905" s="76"/>
      <c r="C3905" s="75"/>
    </row>
    <row r="3906" spans="1:3">
      <c r="A3906" s="76"/>
      <c r="B3906" s="76"/>
      <c r="C3906" s="75"/>
    </row>
    <row r="3907" spans="1:3">
      <c r="A3907" s="76"/>
      <c r="B3907" s="76"/>
      <c r="C3907" s="75"/>
    </row>
    <row r="3908" spans="1:3">
      <c r="A3908" s="76"/>
      <c r="B3908" s="76"/>
      <c r="C3908" s="75"/>
    </row>
    <row r="3909" spans="1:3">
      <c r="A3909" s="76"/>
      <c r="B3909" s="76"/>
      <c r="C3909" s="75"/>
    </row>
    <row r="3910" spans="1:3">
      <c r="A3910" s="76"/>
      <c r="B3910" s="76"/>
      <c r="C3910" s="75"/>
    </row>
    <row r="3911" spans="1:3">
      <c r="A3911" s="76"/>
      <c r="B3911" s="76"/>
      <c r="C3911" s="75"/>
    </row>
    <row r="3912" spans="1:3">
      <c r="A3912" s="76"/>
      <c r="B3912" s="76"/>
      <c r="C3912" s="75"/>
    </row>
    <row r="3913" spans="1:3">
      <c r="A3913" s="76"/>
      <c r="B3913" s="76"/>
      <c r="C3913" s="75"/>
    </row>
    <row r="3914" spans="1:3">
      <c r="A3914" s="76"/>
      <c r="B3914" s="76"/>
      <c r="C3914" s="75"/>
    </row>
    <row r="3915" spans="1:3">
      <c r="A3915" s="76"/>
      <c r="B3915" s="76"/>
      <c r="C3915" s="75"/>
    </row>
    <row r="3916" spans="1:3">
      <c r="A3916" s="76"/>
      <c r="B3916" s="76"/>
      <c r="C3916" s="75"/>
    </row>
    <row r="3917" spans="1:3">
      <c r="A3917" s="76"/>
      <c r="B3917" s="76"/>
      <c r="C3917" s="75"/>
    </row>
    <row r="3918" spans="1:3">
      <c r="A3918" s="76"/>
      <c r="B3918" s="76"/>
      <c r="C3918" s="75"/>
    </row>
    <row r="3919" spans="1:3">
      <c r="A3919" s="76"/>
      <c r="B3919" s="76"/>
      <c r="C3919" s="75"/>
    </row>
    <row r="3920" spans="1:3">
      <c r="A3920" s="76"/>
      <c r="B3920" s="76"/>
      <c r="C3920" s="75"/>
    </row>
    <row r="3921" spans="1:3">
      <c r="A3921" s="76"/>
      <c r="B3921" s="76"/>
      <c r="C3921" s="75"/>
    </row>
    <row r="3922" spans="1:3">
      <c r="A3922" s="76"/>
      <c r="B3922" s="76"/>
      <c r="C3922" s="75"/>
    </row>
    <row r="3923" spans="1:3">
      <c r="A3923" s="76"/>
      <c r="B3923" s="76"/>
      <c r="C3923" s="75"/>
    </row>
    <row r="3924" spans="1:3">
      <c r="A3924" s="76"/>
      <c r="B3924" s="76"/>
      <c r="C3924" s="75"/>
    </row>
    <row r="3925" spans="1:3">
      <c r="A3925" s="76"/>
      <c r="B3925" s="76"/>
      <c r="C3925" s="75"/>
    </row>
    <row r="3926" spans="1:3">
      <c r="A3926" s="76"/>
      <c r="B3926" s="76"/>
      <c r="C3926" s="75"/>
    </row>
    <row r="3927" spans="1:3">
      <c r="A3927" s="76"/>
      <c r="B3927" s="76"/>
      <c r="C3927" s="75"/>
    </row>
    <row r="3928" spans="1:3">
      <c r="A3928" s="76"/>
      <c r="B3928" s="76"/>
      <c r="C3928" s="75"/>
    </row>
    <row r="3929" spans="1:3">
      <c r="A3929" s="76"/>
      <c r="B3929" s="76"/>
      <c r="C3929" s="75"/>
    </row>
    <row r="3930" spans="1:3">
      <c r="A3930" s="76"/>
      <c r="B3930" s="76"/>
      <c r="C3930" s="75"/>
    </row>
    <row r="3931" spans="1:3">
      <c r="A3931" s="76"/>
      <c r="B3931" s="76"/>
      <c r="C3931" s="75"/>
    </row>
    <row r="3932" spans="1:3">
      <c r="A3932" s="76"/>
      <c r="B3932" s="76"/>
      <c r="C3932" s="75"/>
    </row>
    <row r="3933" spans="1:3">
      <c r="A3933" s="76"/>
      <c r="B3933" s="76"/>
      <c r="C3933" s="75"/>
    </row>
    <row r="3934" spans="1:3">
      <c r="A3934" s="76"/>
      <c r="B3934" s="76"/>
      <c r="C3934" s="75"/>
    </row>
    <row r="3935" spans="1:3">
      <c r="A3935" s="76"/>
      <c r="B3935" s="76"/>
      <c r="C3935" s="75"/>
    </row>
    <row r="3936" spans="1:3">
      <c r="A3936" s="76"/>
      <c r="B3936" s="76"/>
      <c r="C3936" s="75"/>
    </row>
    <row r="3937" spans="1:3">
      <c r="A3937" s="76"/>
      <c r="B3937" s="76"/>
      <c r="C3937" s="75"/>
    </row>
    <row r="3938" spans="1:3">
      <c r="A3938" s="76"/>
      <c r="B3938" s="76"/>
      <c r="C3938" s="75"/>
    </row>
    <row r="3939" spans="1:3">
      <c r="A3939" s="76"/>
      <c r="B3939" s="76"/>
      <c r="C3939" s="75"/>
    </row>
    <row r="3940" spans="1:3">
      <c r="A3940" s="76"/>
      <c r="B3940" s="76"/>
      <c r="C3940" s="75"/>
    </row>
    <row r="3941" spans="1:3">
      <c r="A3941" s="76"/>
      <c r="B3941" s="76"/>
      <c r="C3941" s="75"/>
    </row>
    <row r="3942" spans="1:3">
      <c r="A3942" s="76"/>
      <c r="B3942" s="76"/>
      <c r="C3942" s="75"/>
    </row>
    <row r="3943" spans="1:3">
      <c r="A3943" s="76"/>
      <c r="B3943" s="76"/>
      <c r="C3943" s="75"/>
    </row>
    <row r="3944" spans="1:3">
      <c r="A3944" s="76"/>
      <c r="B3944" s="76"/>
      <c r="C3944" s="75"/>
    </row>
    <row r="3945" spans="1:3">
      <c r="A3945" s="76"/>
      <c r="B3945" s="76"/>
      <c r="C3945" s="75"/>
    </row>
    <row r="3946" spans="1:3">
      <c r="A3946" s="76"/>
      <c r="B3946" s="76"/>
      <c r="C3946" s="75"/>
    </row>
    <row r="3947" spans="1:3">
      <c r="A3947" s="76"/>
      <c r="B3947" s="76"/>
      <c r="C3947" s="75"/>
    </row>
    <row r="3948" spans="1:3">
      <c r="A3948" s="76"/>
      <c r="B3948" s="76"/>
      <c r="C3948" s="75"/>
    </row>
    <row r="3949" spans="1:3">
      <c r="A3949" s="76"/>
      <c r="B3949" s="76"/>
      <c r="C3949" s="75"/>
    </row>
    <row r="3950" spans="1:3">
      <c r="A3950" s="76"/>
      <c r="B3950" s="76"/>
      <c r="C3950" s="75"/>
    </row>
    <row r="3951" spans="1:3">
      <c r="A3951" s="76"/>
      <c r="B3951" s="76"/>
      <c r="C3951" s="75"/>
    </row>
    <row r="3952" spans="1:3">
      <c r="A3952" s="76"/>
      <c r="B3952" s="76"/>
      <c r="C3952" s="75"/>
    </row>
    <row r="3953" spans="1:3">
      <c r="A3953" s="76"/>
      <c r="B3953" s="76"/>
      <c r="C3953" s="75"/>
    </row>
    <row r="3954" spans="1:3">
      <c r="A3954" s="76"/>
      <c r="B3954" s="76"/>
      <c r="C3954" s="75"/>
    </row>
    <row r="3955" spans="1:3">
      <c r="A3955" s="76"/>
      <c r="B3955" s="76"/>
      <c r="C3955" s="75"/>
    </row>
    <row r="3956" spans="1:3">
      <c r="A3956" s="76"/>
      <c r="B3956" s="76"/>
      <c r="C3956" s="75"/>
    </row>
    <row r="3957" spans="1:3">
      <c r="A3957" s="76"/>
      <c r="B3957" s="76"/>
      <c r="C3957" s="75"/>
    </row>
    <row r="3958" spans="1:3">
      <c r="A3958" s="76"/>
      <c r="B3958" s="76"/>
      <c r="C3958" s="75"/>
    </row>
    <row r="3959" spans="1:3">
      <c r="A3959" s="76"/>
      <c r="B3959" s="76"/>
      <c r="C3959" s="75"/>
    </row>
    <row r="3960" spans="1:3">
      <c r="A3960" s="76"/>
      <c r="B3960" s="76"/>
      <c r="C3960" s="75"/>
    </row>
    <row r="3961" spans="1:3">
      <c r="A3961" s="76"/>
      <c r="B3961" s="76"/>
      <c r="C3961" s="75"/>
    </row>
    <row r="3962" spans="1:3">
      <c r="A3962" s="76"/>
      <c r="B3962" s="76"/>
      <c r="C3962" s="75"/>
    </row>
    <row r="3963" spans="1:3">
      <c r="A3963" s="76"/>
      <c r="B3963" s="76"/>
      <c r="C3963" s="75"/>
    </row>
    <row r="3964" spans="1:3">
      <c r="A3964" s="76"/>
      <c r="B3964" s="76"/>
      <c r="C3964" s="75"/>
    </row>
    <row r="3965" spans="1:3">
      <c r="A3965" s="76"/>
      <c r="B3965" s="76"/>
      <c r="C3965" s="75"/>
    </row>
    <row r="3966" spans="1:3">
      <c r="A3966" s="76"/>
      <c r="B3966" s="76"/>
      <c r="C3966" s="75"/>
    </row>
    <row r="3967" spans="1:3">
      <c r="A3967" s="76"/>
      <c r="B3967" s="76"/>
      <c r="C3967" s="75"/>
    </row>
    <row r="3968" spans="1:3">
      <c r="A3968" s="76"/>
      <c r="B3968" s="76"/>
      <c r="C3968" s="75"/>
    </row>
    <row r="3969" spans="1:3">
      <c r="A3969" s="76"/>
      <c r="B3969" s="76"/>
      <c r="C3969" s="75"/>
    </row>
    <row r="3970" spans="1:3">
      <c r="A3970" s="76"/>
      <c r="B3970" s="76"/>
      <c r="C3970" s="75"/>
    </row>
    <row r="3971" spans="1:3">
      <c r="A3971" s="76"/>
      <c r="B3971" s="76"/>
      <c r="C3971" s="75"/>
    </row>
    <row r="3972" spans="1:3">
      <c r="A3972" s="76"/>
      <c r="B3972" s="76"/>
      <c r="C3972" s="75"/>
    </row>
    <row r="3973" spans="1:3">
      <c r="A3973" s="76"/>
      <c r="B3973" s="76"/>
      <c r="C3973" s="75"/>
    </row>
    <row r="3974" spans="1:3">
      <c r="A3974" s="76"/>
      <c r="B3974" s="76"/>
      <c r="C3974" s="75"/>
    </row>
    <row r="3975" spans="1:3">
      <c r="A3975" s="76"/>
      <c r="B3975" s="76"/>
      <c r="C3975" s="75"/>
    </row>
    <row r="3976" spans="1:3">
      <c r="A3976" s="76"/>
      <c r="B3976" s="76"/>
      <c r="C3976" s="75"/>
    </row>
    <row r="3977" spans="1:3">
      <c r="A3977" s="76"/>
      <c r="B3977" s="76"/>
      <c r="C3977" s="75"/>
    </row>
    <row r="3978" spans="1:3">
      <c r="A3978" s="76"/>
      <c r="B3978" s="76"/>
      <c r="C3978" s="75"/>
    </row>
    <row r="3979" spans="1:3">
      <c r="A3979" s="76"/>
      <c r="B3979" s="76"/>
      <c r="C3979" s="75"/>
    </row>
    <row r="3980" spans="1:3">
      <c r="A3980" s="76"/>
      <c r="B3980" s="76"/>
      <c r="C3980" s="75"/>
    </row>
    <row r="3981" spans="1:3">
      <c r="A3981" s="76"/>
      <c r="B3981" s="76"/>
      <c r="C3981" s="75"/>
    </row>
    <row r="3982" spans="1:3">
      <c r="A3982" s="76"/>
      <c r="B3982" s="76"/>
      <c r="C3982" s="75"/>
    </row>
    <row r="3983" spans="1:3">
      <c r="A3983" s="76"/>
      <c r="B3983" s="76"/>
      <c r="C3983" s="75"/>
    </row>
    <row r="3984" spans="1:3">
      <c r="A3984" s="76"/>
      <c r="B3984" s="76"/>
      <c r="C3984" s="75"/>
    </row>
    <row r="3985" spans="1:3">
      <c r="A3985" s="76"/>
      <c r="B3985" s="76"/>
      <c r="C3985" s="75"/>
    </row>
    <row r="3986" spans="1:3">
      <c r="A3986" s="76"/>
      <c r="B3986" s="76"/>
      <c r="C3986" s="75"/>
    </row>
    <row r="3987" spans="1:3">
      <c r="A3987" s="76"/>
      <c r="B3987" s="76"/>
      <c r="C3987" s="75"/>
    </row>
    <row r="3988" spans="1:3">
      <c r="A3988" s="76"/>
      <c r="B3988" s="76"/>
      <c r="C3988" s="75"/>
    </row>
    <row r="3989" spans="1:3">
      <c r="A3989" s="76"/>
      <c r="B3989" s="76"/>
      <c r="C3989" s="75"/>
    </row>
    <row r="3990" spans="1:3">
      <c r="A3990" s="76"/>
      <c r="B3990" s="76"/>
      <c r="C3990" s="75"/>
    </row>
    <row r="3991" spans="1:3">
      <c r="A3991" s="76"/>
      <c r="B3991" s="76"/>
      <c r="C3991" s="75"/>
    </row>
    <row r="3992" spans="1:3">
      <c r="A3992" s="76"/>
      <c r="B3992" s="76"/>
      <c r="C3992" s="75"/>
    </row>
    <row r="3993" spans="1:3">
      <c r="A3993" s="76"/>
      <c r="B3993" s="76"/>
      <c r="C3993" s="75"/>
    </row>
    <row r="3994" spans="1:3">
      <c r="A3994" s="76"/>
      <c r="B3994" s="76"/>
      <c r="C3994" s="75"/>
    </row>
    <row r="3995" spans="1:3">
      <c r="A3995" s="76"/>
      <c r="B3995" s="76"/>
      <c r="C3995" s="75"/>
    </row>
    <row r="3996" spans="1:3">
      <c r="A3996" s="76"/>
      <c r="B3996" s="76"/>
      <c r="C3996" s="75"/>
    </row>
    <row r="3997" spans="1:3">
      <c r="A3997" s="76"/>
      <c r="B3997" s="76"/>
      <c r="C3997" s="75"/>
    </row>
    <row r="3998" spans="1:3">
      <c r="A3998" s="76"/>
      <c r="B3998" s="76"/>
      <c r="C3998" s="75"/>
    </row>
    <row r="3999" spans="1:3">
      <c r="A3999" s="76"/>
      <c r="B3999" s="76"/>
      <c r="C3999" s="75"/>
    </row>
    <row r="4000" spans="1:3">
      <c r="A4000" s="76"/>
      <c r="B4000" s="76"/>
      <c r="C4000" s="75"/>
    </row>
    <row r="4001" spans="1:3">
      <c r="A4001" s="76"/>
      <c r="B4001" s="76"/>
      <c r="C4001" s="75"/>
    </row>
    <row r="4002" spans="1:3">
      <c r="A4002" s="76"/>
      <c r="B4002" s="76"/>
      <c r="C4002" s="75"/>
    </row>
    <row r="4003" spans="1:3">
      <c r="A4003" s="76"/>
      <c r="B4003" s="76"/>
      <c r="C4003" s="75"/>
    </row>
    <row r="4004" spans="1:3">
      <c r="A4004" s="76"/>
      <c r="B4004" s="76"/>
      <c r="C4004" s="75"/>
    </row>
    <row r="4005" spans="1:3">
      <c r="A4005" s="76"/>
      <c r="B4005" s="76"/>
      <c r="C4005" s="75"/>
    </row>
    <row r="4006" spans="1:3">
      <c r="A4006" s="76"/>
      <c r="B4006" s="76"/>
      <c r="C4006" s="75"/>
    </row>
    <row r="4007" spans="1:3">
      <c r="A4007" s="76"/>
      <c r="B4007" s="76"/>
      <c r="C4007" s="75"/>
    </row>
    <row r="4008" spans="1:3">
      <c r="A4008" s="76"/>
      <c r="B4008" s="76"/>
      <c r="C4008" s="75"/>
    </row>
    <row r="4009" spans="1:3">
      <c r="A4009" s="76"/>
      <c r="B4009" s="76"/>
      <c r="C4009" s="75"/>
    </row>
    <row r="4010" spans="1:3">
      <c r="A4010" s="76"/>
      <c r="B4010" s="76"/>
      <c r="C4010" s="75"/>
    </row>
    <row r="4011" spans="1:3">
      <c r="A4011" s="76"/>
      <c r="B4011" s="76"/>
      <c r="C4011" s="75"/>
    </row>
    <row r="4012" spans="1:3">
      <c r="A4012" s="76"/>
      <c r="B4012" s="76"/>
      <c r="C4012" s="75"/>
    </row>
    <row r="4013" spans="1:3">
      <c r="A4013" s="76"/>
      <c r="B4013" s="76"/>
      <c r="C4013" s="75"/>
    </row>
    <row r="4014" spans="1:3">
      <c r="A4014" s="76"/>
      <c r="B4014" s="76"/>
      <c r="C4014" s="75"/>
    </row>
    <row r="4015" spans="1:3">
      <c r="A4015" s="76"/>
      <c r="B4015" s="76"/>
      <c r="C4015" s="75"/>
    </row>
    <row r="4016" spans="1:3">
      <c r="A4016" s="76"/>
      <c r="B4016" s="76"/>
      <c r="C4016" s="75"/>
    </row>
    <row r="4017" spans="1:3">
      <c r="A4017" s="76"/>
      <c r="B4017" s="76"/>
      <c r="C4017" s="75"/>
    </row>
    <row r="4018" spans="1:3">
      <c r="A4018" s="76"/>
      <c r="B4018" s="76"/>
      <c r="C4018" s="75"/>
    </row>
    <row r="4019" spans="1:3">
      <c r="A4019" s="76"/>
      <c r="B4019" s="76"/>
      <c r="C4019" s="75"/>
    </row>
    <row r="4020" spans="1:3">
      <c r="A4020" s="76"/>
      <c r="B4020" s="76"/>
      <c r="C4020" s="75"/>
    </row>
    <row r="4021" spans="1:3">
      <c r="A4021" s="76"/>
      <c r="B4021" s="76"/>
      <c r="C4021" s="75"/>
    </row>
    <row r="4022" spans="1:3">
      <c r="A4022" s="76"/>
      <c r="B4022" s="76"/>
      <c r="C4022" s="75"/>
    </row>
    <row r="4023" spans="1:3">
      <c r="A4023" s="76"/>
      <c r="B4023" s="76"/>
      <c r="C4023" s="75"/>
    </row>
    <row r="4024" spans="1:3">
      <c r="A4024" s="76"/>
      <c r="B4024" s="76"/>
      <c r="C4024" s="75"/>
    </row>
    <row r="4025" spans="1:3">
      <c r="A4025" s="76"/>
      <c r="B4025" s="76"/>
      <c r="C4025" s="75"/>
    </row>
    <row r="4026" spans="1:3">
      <c r="A4026" s="76"/>
      <c r="B4026" s="76"/>
      <c r="C4026" s="75"/>
    </row>
    <row r="4027" spans="1:3">
      <c r="A4027" s="76"/>
      <c r="B4027" s="76"/>
      <c r="C4027" s="75"/>
    </row>
    <row r="4028" spans="1:3">
      <c r="A4028" s="76"/>
      <c r="B4028" s="76"/>
      <c r="C4028" s="75"/>
    </row>
    <row r="4029" spans="1:3">
      <c r="A4029" s="76"/>
      <c r="B4029" s="76"/>
      <c r="C4029" s="75"/>
    </row>
    <row r="4030" spans="1:3">
      <c r="A4030" s="76"/>
      <c r="B4030" s="76"/>
      <c r="C4030" s="75"/>
    </row>
    <row r="4031" spans="1:3">
      <c r="A4031" s="76"/>
      <c r="B4031" s="76"/>
      <c r="C4031" s="75"/>
    </row>
    <row r="4032" spans="1:3">
      <c r="A4032" s="76"/>
      <c r="B4032" s="76"/>
      <c r="C4032" s="75"/>
    </row>
    <row r="4033" spans="1:3">
      <c r="A4033" s="76"/>
      <c r="B4033" s="76"/>
      <c r="C4033" s="75"/>
    </row>
    <row r="4034" spans="1:3">
      <c r="A4034" s="76"/>
      <c r="B4034" s="76"/>
      <c r="C4034" s="75"/>
    </row>
    <row r="4035" spans="1:3">
      <c r="A4035" s="76"/>
      <c r="B4035" s="76"/>
      <c r="C4035" s="75"/>
    </row>
    <row r="4036" spans="1:3">
      <c r="A4036" s="76"/>
      <c r="B4036" s="76"/>
      <c r="C4036" s="75"/>
    </row>
    <row r="4037" spans="1:3">
      <c r="A4037" s="76"/>
      <c r="B4037" s="76"/>
      <c r="C4037" s="75"/>
    </row>
    <row r="4038" spans="1:3">
      <c r="A4038" s="76"/>
      <c r="B4038" s="76"/>
      <c r="C4038" s="75"/>
    </row>
    <row r="4039" spans="1:3">
      <c r="A4039" s="76"/>
      <c r="B4039" s="76"/>
      <c r="C4039" s="75"/>
    </row>
    <row r="4040" spans="1:3">
      <c r="A4040" s="76"/>
      <c r="B4040" s="76"/>
      <c r="C4040" s="75"/>
    </row>
    <row r="4041" spans="1:3">
      <c r="A4041" s="76"/>
      <c r="B4041" s="76"/>
      <c r="C4041" s="75"/>
    </row>
    <row r="4042" spans="1:3">
      <c r="A4042" s="76"/>
      <c r="B4042" s="76"/>
      <c r="C4042" s="75"/>
    </row>
    <row r="4043" spans="1:3">
      <c r="A4043" s="76"/>
      <c r="B4043" s="76"/>
      <c r="C4043" s="75"/>
    </row>
    <row r="4044" spans="1:3">
      <c r="A4044" s="76"/>
      <c r="B4044" s="76"/>
      <c r="C4044" s="75"/>
    </row>
    <row r="4045" spans="1:3">
      <c r="A4045" s="76"/>
      <c r="B4045" s="76"/>
      <c r="C4045" s="75"/>
    </row>
    <row r="4046" spans="1:3">
      <c r="A4046" s="76"/>
      <c r="B4046" s="76"/>
      <c r="C4046" s="75"/>
    </row>
    <row r="4047" spans="1:3">
      <c r="A4047" s="76"/>
      <c r="B4047" s="76"/>
      <c r="C4047" s="75"/>
    </row>
    <row r="4048" spans="1:3">
      <c r="A4048" s="76"/>
      <c r="B4048" s="76"/>
      <c r="C4048" s="75"/>
    </row>
    <row r="4049" spans="1:3">
      <c r="A4049" s="76"/>
      <c r="B4049" s="76"/>
      <c r="C4049" s="75"/>
    </row>
    <row r="4050" spans="1:3">
      <c r="A4050" s="76"/>
      <c r="B4050" s="76"/>
      <c r="C4050" s="75"/>
    </row>
    <row r="4051" spans="1:3">
      <c r="A4051" s="76"/>
      <c r="B4051" s="76"/>
      <c r="C4051" s="75"/>
    </row>
    <row r="4052" spans="1:3">
      <c r="A4052" s="76"/>
      <c r="B4052" s="76"/>
      <c r="C4052" s="75"/>
    </row>
    <row r="4053" spans="1:3">
      <c r="A4053" s="76"/>
      <c r="B4053" s="76"/>
      <c r="C4053" s="75"/>
    </row>
    <row r="4054" spans="1:3">
      <c r="A4054" s="76"/>
      <c r="B4054" s="76"/>
      <c r="C4054" s="75"/>
    </row>
    <row r="4055" spans="1:3">
      <c r="A4055" s="76"/>
      <c r="B4055" s="76"/>
      <c r="C4055" s="75"/>
    </row>
    <row r="4056" spans="1:3">
      <c r="A4056" s="76"/>
      <c r="B4056" s="76"/>
      <c r="C4056" s="75"/>
    </row>
    <row r="4057" spans="1:3">
      <c r="A4057" s="76"/>
      <c r="B4057" s="76"/>
      <c r="C4057" s="75"/>
    </row>
    <row r="4058" spans="1:3">
      <c r="A4058" s="76"/>
      <c r="B4058" s="76"/>
      <c r="C4058" s="75"/>
    </row>
    <row r="4059" spans="1:3">
      <c r="A4059" s="76"/>
      <c r="B4059" s="76"/>
      <c r="C4059" s="75"/>
    </row>
    <row r="4060" spans="1:3">
      <c r="A4060" s="76"/>
      <c r="B4060" s="76"/>
      <c r="C4060" s="75"/>
    </row>
    <row r="4061" spans="1:3">
      <c r="A4061" s="76"/>
      <c r="B4061" s="76"/>
      <c r="C4061" s="75"/>
    </row>
    <row r="4062" spans="1:3">
      <c r="A4062" s="76"/>
      <c r="B4062" s="76"/>
      <c r="C4062" s="75"/>
    </row>
    <row r="4063" spans="1:3">
      <c r="A4063" s="76"/>
      <c r="B4063" s="76"/>
      <c r="C4063" s="75"/>
    </row>
    <row r="4064" spans="1:3">
      <c r="A4064" s="76"/>
      <c r="B4064" s="76"/>
      <c r="C4064" s="75"/>
    </row>
    <row r="4065" spans="1:3">
      <c r="A4065" s="76"/>
      <c r="B4065" s="76"/>
      <c r="C4065" s="75"/>
    </row>
    <row r="4066" spans="1:3">
      <c r="A4066" s="76"/>
      <c r="B4066" s="76"/>
      <c r="C4066" s="75"/>
    </row>
    <row r="4067" spans="1:3">
      <c r="A4067" s="76"/>
      <c r="B4067" s="76"/>
      <c r="C4067" s="75"/>
    </row>
    <row r="4068" spans="1:3">
      <c r="A4068" s="76"/>
      <c r="B4068" s="76"/>
      <c r="C4068" s="75"/>
    </row>
    <row r="4069" spans="1:3">
      <c r="A4069" s="76"/>
      <c r="B4069" s="76"/>
      <c r="C4069" s="75"/>
    </row>
    <row r="4070" spans="1:3">
      <c r="A4070" s="76"/>
      <c r="B4070" s="76"/>
      <c r="C4070" s="75"/>
    </row>
    <row r="4071" spans="1:3">
      <c r="A4071" s="76"/>
      <c r="B4071" s="76"/>
      <c r="C4071" s="75"/>
    </row>
    <row r="4072" spans="1:3">
      <c r="A4072" s="76"/>
      <c r="B4072" s="76"/>
      <c r="C4072" s="75"/>
    </row>
    <row r="4073" spans="1:3">
      <c r="A4073" s="76"/>
      <c r="B4073" s="76"/>
      <c r="C4073" s="75"/>
    </row>
    <row r="4074" spans="1:3">
      <c r="A4074" s="76"/>
      <c r="B4074" s="76"/>
      <c r="C4074" s="75"/>
    </row>
    <row r="4075" spans="1:3">
      <c r="A4075" s="76"/>
      <c r="B4075" s="76"/>
      <c r="C4075" s="75"/>
    </row>
    <row r="4076" spans="1:3">
      <c r="A4076" s="76"/>
      <c r="B4076" s="76"/>
      <c r="C4076" s="75"/>
    </row>
    <row r="4077" spans="1:3">
      <c r="A4077" s="76"/>
      <c r="B4077" s="76"/>
      <c r="C4077" s="75"/>
    </row>
    <row r="4078" spans="1:3">
      <c r="A4078" s="76"/>
      <c r="B4078" s="76"/>
      <c r="C4078" s="75"/>
    </row>
    <row r="4079" spans="1:3">
      <c r="A4079" s="76"/>
      <c r="B4079" s="76"/>
      <c r="C4079" s="75"/>
    </row>
    <row r="4080" spans="1:3">
      <c r="A4080" s="76"/>
      <c r="B4080" s="76"/>
      <c r="C4080" s="75"/>
    </row>
    <row r="4081" spans="1:3">
      <c r="A4081" s="76"/>
      <c r="B4081" s="76"/>
      <c r="C4081" s="75"/>
    </row>
    <row r="4082" spans="1:3">
      <c r="A4082" s="76"/>
      <c r="B4082" s="76"/>
      <c r="C4082" s="75"/>
    </row>
    <row r="4083" spans="1:3">
      <c r="A4083" s="76"/>
      <c r="B4083" s="76"/>
      <c r="C4083" s="75"/>
    </row>
    <row r="4084" spans="1:3">
      <c r="A4084" s="76"/>
      <c r="B4084" s="76"/>
      <c r="C4084" s="75"/>
    </row>
    <row r="4085" spans="1:3">
      <c r="A4085" s="76"/>
      <c r="B4085" s="76"/>
      <c r="C4085" s="75"/>
    </row>
    <row r="4086" spans="1:3">
      <c r="A4086" s="76"/>
      <c r="B4086" s="76"/>
      <c r="C4086" s="75"/>
    </row>
    <row r="4087" spans="1:3">
      <c r="A4087" s="76"/>
      <c r="B4087" s="76"/>
      <c r="C4087" s="75"/>
    </row>
    <row r="4088" spans="1:3">
      <c r="A4088" s="76"/>
      <c r="B4088" s="76"/>
      <c r="C4088" s="75"/>
    </row>
    <row r="4089" spans="1:3">
      <c r="A4089" s="76"/>
      <c r="B4089" s="76"/>
      <c r="C4089" s="75"/>
    </row>
    <row r="4090" spans="1:3">
      <c r="A4090" s="76"/>
      <c r="B4090" s="76"/>
      <c r="C4090" s="75"/>
    </row>
    <row r="4091" spans="1:3">
      <c r="A4091" s="76"/>
      <c r="B4091" s="76"/>
      <c r="C4091" s="75"/>
    </row>
    <row r="4092" spans="1:3">
      <c r="A4092" s="76"/>
      <c r="B4092" s="76"/>
      <c r="C4092" s="75"/>
    </row>
    <row r="4093" spans="1:3">
      <c r="A4093" s="76"/>
      <c r="B4093" s="76"/>
      <c r="C4093" s="75"/>
    </row>
    <row r="4094" spans="1:3">
      <c r="A4094" s="76"/>
      <c r="B4094" s="76"/>
      <c r="C4094" s="75"/>
    </row>
    <row r="4095" spans="1:3">
      <c r="A4095" s="76"/>
      <c r="B4095" s="76"/>
      <c r="C4095" s="75"/>
    </row>
    <row r="4096" spans="1:3">
      <c r="A4096" s="76"/>
      <c r="B4096" s="76"/>
      <c r="C4096" s="75"/>
    </row>
    <row r="4097" spans="1:3">
      <c r="A4097" s="76"/>
      <c r="B4097" s="76"/>
      <c r="C4097" s="75"/>
    </row>
    <row r="4098" spans="1:3">
      <c r="A4098" s="76"/>
      <c r="B4098" s="76"/>
      <c r="C4098" s="75"/>
    </row>
    <row r="4099" spans="1:3">
      <c r="A4099" s="76"/>
      <c r="B4099" s="76"/>
      <c r="C4099" s="75"/>
    </row>
    <row r="4100" spans="1:3">
      <c r="A4100" s="76"/>
      <c r="B4100" s="76"/>
      <c r="C4100" s="75"/>
    </row>
    <row r="4101" spans="1:3">
      <c r="A4101" s="76"/>
      <c r="B4101" s="76"/>
      <c r="C4101" s="75"/>
    </row>
    <row r="4102" spans="1:3">
      <c r="A4102" s="76"/>
      <c r="B4102" s="76"/>
      <c r="C4102" s="75"/>
    </row>
    <row r="4103" spans="1:3">
      <c r="A4103" s="76"/>
      <c r="B4103" s="76"/>
      <c r="C4103" s="75"/>
    </row>
    <row r="4104" spans="1:3">
      <c r="A4104" s="76"/>
      <c r="B4104" s="76"/>
      <c r="C4104" s="75"/>
    </row>
    <row r="4105" spans="1:3">
      <c r="A4105" s="76"/>
      <c r="B4105" s="76"/>
      <c r="C4105" s="75"/>
    </row>
    <row r="4106" spans="1:3">
      <c r="A4106" s="76"/>
      <c r="B4106" s="76"/>
      <c r="C4106" s="75"/>
    </row>
    <row r="4107" spans="1:3">
      <c r="A4107" s="76"/>
      <c r="B4107" s="76"/>
      <c r="C4107" s="75"/>
    </row>
    <row r="4108" spans="1:3">
      <c r="A4108" s="76"/>
      <c r="B4108" s="76"/>
      <c r="C4108" s="75"/>
    </row>
    <row r="4109" spans="1:3">
      <c r="A4109" s="76"/>
      <c r="B4109" s="76"/>
      <c r="C4109" s="75"/>
    </row>
    <row r="4110" spans="1:3">
      <c r="A4110" s="76"/>
      <c r="B4110" s="76"/>
      <c r="C4110" s="75"/>
    </row>
    <row r="4111" spans="1:3">
      <c r="A4111" s="76"/>
      <c r="B4111" s="76"/>
      <c r="C4111" s="75"/>
    </row>
    <row r="4112" spans="1:3">
      <c r="A4112" s="76"/>
      <c r="B4112" s="76"/>
      <c r="C4112" s="75"/>
    </row>
    <row r="4113" spans="1:3">
      <c r="A4113" s="76"/>
      <c r="B4113" s="76"/>
      <c r="C4113" s="75"/>
    </row>
    <row r="4114" spans="1:3">
      <c r="A4114" s="76"/>
      <c r="B4114" s="76"/>
      <c r="C4114" s="75"/>
    </row>
    <row r="4115" spans="1:3">
      <c r="A4115" s="76"/>
      <c r="B4115" s="76"/>
      <c r="C4115" s="75"/>
    </row>
    <row r="4116" spans="1:3">
      <c r="A4116" s="76"/>
      <c r="B4116" s="76"/>
      <c r="C4116" s="75"/>
    </row>
    <row r="4117" spans="1:3">
      <c r="A4117" s="76"/>
      <c r="B4117" s="76"/>
      <c r="C4117" s="75"/>
    </row>
    <row r="4118" spans="1:3">
      <c r="A4118" s="76"/>
      <c r="B4118" s="76"/>
      <c r="C4118" s="75"/>
    </row>
    <row r="4119" spans="1:3">
      <c r="A4119" s="76"/>
      <c r="B4119" s="76"/>
      <c r="C4119" s="75"/>
    </row>
    <row r="4120" spans="1:3">
      <c r="A4120" s="76"/>
      <c r="B4120" s="76"/>
      <c r="C4120" s="75"/>
    </row>
    <row r="4121" spans="1:3">
      <c r="A4121" s="76"/>
      <c r="B4121" s="76"/>
      <c r="C4121" s="75"/>
    </row>
    <row r="4122" spans="1:3">
      <c r="A4122" s="76"/>
      <c r="B4122" s="76"/>
      <c r="C4122" s="75"/>
    </row>
    <row r="4123" spans="1:3">
      <c r="A4123" s="76"/>
      <c r="B4123" s="76"/>
      <c r="C4123" s="75"/>
    </row>
    <row r="4124" spans="1:3">
      <c r="A4124" s="76"/>
      <c r="B4124" s="76"/>
      <c r="C4124" s="75"/>
    </row>
    <row r="4125" spans="1:3">
      <c r="A4125" s="76"/>
      <c r="B4125" s="76"/>
      <c r="C4125" s="75"/>
    </row>
    <row r="4126" spans="1:3">
      <c r="A4126" s="76"/>
      <c r="B4126" s="76"/>
      <c r="C4126" s="75"/>
    </row>
    <row r="4127" spans="1:3">
      <c r="A4127" s="76"/>
      <c r="B4127" s="76"/>
      <c r="C4127" s="75"/>
    </row>
    <row r="4128" spans="1:3">
      <c r="A4128" s="76"/>
      <c r="B4128" s="76"/>
      <c r="C4128" s="75"/>
    </row>
    <row r="4129" spans="1:3">
      <c r="A4129" s="76"/>
      <c r="B4129" s="76"/>
      <c r="C4129" s="75"/>
    </row>
    <row r="4130" spans="1:3">
      <c r="A4130" s="76"/>
      <c r="B4130" s="76"/>
      <c r="C4130" s="75"/>
    </row>
    <row r="4131" spans="1:3">
      <c r="A4131" s="76"/>
      <c r="B4131" s="76"/>
      <c r="C4131" s="75"/>
    </row>
    <row r="4132" spans="1:3">
      <c r="A4132" s="76"/>
      <c r="B4132" s="76"/>
      <c r="C4132" s="75"/>
    </row>
    <row r="4133" spans="1:3">
      <c r="A4133" s="76"/>
      <c r="B4133" s="76"/>
      <c r="C4133" s="75"/>
    </row>
    <row r="4134" spans="1:3">
      <c r="A4134" s="76"/>
      <c r="B4134" s="76"/>
      <c r="C4134" s="75"/>
    </row>
    <row r="4135" spans="1:3">
      <c r="A4135" s="76"/>
      <c r="B4135" s="76"/>
      <c r="C4135" s="75"/>
    </row>
    <row r="4136" spans="1:3">
      <c r="A4136" s="76"/>
      <c r="B4136" s="76"/>
      <c r="C4136" s="75"/>
    </row>
    <row r="4137" spans="1:3">
      <c r="A4137" s="76"/>
      <c r="B4137" s="76"/>
      <c r="C4137" s="75"/>
    </row>
    <row r="4138" spans="1:3">
      <c r="A4138" s="76"/>
      <c r="B4138" s="76"/>
      <c r="C4138" s="75"/>
    </row>
    <row r="4139" spans="1:3">
      <c r="A4139" s="76"/>
      <c r="B4139" s="76"/>
      <c r="C4139" s="75"/>
    </row>
    <row r="4140" spans="1:3">
      <c r="A4140" s="76"/>
      <c r="B4140" s="76"/>
      <c r="C4140" s="75"/>
    </row>
    <row r="4141" spans="1:3">
      <c r="A4141" s="76"/>
      <c r="B4141" s="76"/>
      <c r="C4141" s="75"/>
    </row>
    <row r="4142" spans="1:3">
      <c r="A4142" s="76"/>
      <c r="B4142" s="76"/>
      <c r="C4142" s="75"/>
    </row>
    <row r="4143" spans="1:3">
      <c r="A4143" s="76"/>
      <c r="B4143" s="76"/>
      <c r="C4143" s="75"/>
    </row>
    <row r="4144" spans="1:3">
      <c r="A4144" s="76"/>
      <c r="B4144" s="76"/>
      <c r="C4144" s="75"/>
    </row>
    <row r="4145" spans="1:3">
      <c r="A4145" s="76"/>
      <c r="B4145" s="76"/>
      <c r="C4145" s="75"/>
    </row>
    <row r="4146" spans="1:3">
      <c r="A4146" s="76"/>
      <c r="B4146" s="76"/>
      <c r="C4146" s="75"/>
    </row>
    <row r="4147" spans="1:3">
      <c r="A4147" s="76"/>
      <c r="B4147" s="76"/>
      <c r="C4147" s="75"/>
    </row>
    <row r="4148" spans="1:3">
      <c r="A4148" s="76"/>
      <c r="B4148" s="76"/>
      <c r="C4148" s="75"/>
    </row>
    <row r="4149" spans="1:3">
      <c r="A4149" s="76"/>
      <c r="B4149" s="76"/>
      <c r="C4149" s="75"/>
    </row>
    <row r="4150" spans="1:3">
      <c r="A4150" s="76"/>
      <c r="B4150" s="76"/>
      <c r="C4150" s="75"/>
    </row>
    <row r="4151" spans="1:3">
      <c r="A4151" s="76"/>
      <c r="B4151" s="76"/>
      <c r="C4151" s="75"/>
    </row>
    <row r="4152" spans="1:3">
      <c r="A4152" s="76"/>
      <c r="B4152" s="76"/>
      <c r="C4152" s="75"/>
    </row>
    <row r="4153" spans="1:3">
      <c r="A4153" s="76"/>
      <c r="B4153" s="76"/>
      <c r="C4153" s="75"/>
    </row>
    <row r="4154" spans="1:3">
      <c r="A4154" s="76"/>
      <c r="B4154" s="76"/>
      <c r="C4154" s="75"/>
    </row>
    <row r="4155" spans="1:3">
      <c r="A4155" s="76"/>
      <c r="B4155" s="76"/>
      <c r="C4155" s="75"/>
    </row>
    <row r="4156" spans="1:3">
      <c r="A4156" s="76"/>
      <c r="B4156" s="76"/>
      <c r="C4156" s="75"/>
    </row>
    <row r="4157" spans="1:3">
      <c r="A4157" s="76"/>
      <c r="B4157" s="76"/>
      <c r="C4157" s="75"/>
    </row>
    <row r="4158" spans="1:3">
      <c r="A4158" s="76"/>
      <c r="B4158" s="76"/>
      <c r="C4158" s="75"/>
    </row>
    <row r="4159" spans="1:3">
      <c r="A4159" s="76"/>
      <c r="B4159" s="76"/>
      <c r="C4159" s="75"/>
    </row>
    <row r="4160" spans="1:3">
      <c r="A4160" s="76"/>
      <c r="B4160" s="76"/>
      <c r="C4160" s="75"/>
    </row>
    <row r="4161" spans="1:3">
      <c r="A4161" s="76"/>
      <c r="B4161" s="76"/>
      <c r="C4161" s="75"/>
    </row>
    <row r="4162" spans="1:3">
      <c r="A4162" s="76"/>
      <c r="B4162" s="76"/>
      <c r="C4162" s="75"/>
    </row>
    <row r="4163" spans="1:3">
      <c r="A4163" s="76"/>
      <c r="B4163" s="76"/>
      <c r="C4163" s="75"/>
    </row>
    <row r="4164" spans="1:3">
      <c r="A4164" s="76"/>
      <c r="B4164" s="76"/>
      <c r="C4164" s="75"/>
    </row>
    <row r="4165" spans="1:3">
      <c r="A4165" s="76"/>
      <c r="B4165" s="76"/>
      <c r="C4165" s="75"/>
    </row>
    <row r="4166" spans="1:3">
      <c r="A4166" s="76"/>
      <c r="B4166" s="76"/>
      <c r="C4166" s="75"/>
    </row>
    <row r="4167" spans="1:3">
      <c r="A4167" s="76"/>
      <c r="B4167" s="76"/>
      <c r="C4167" s="75"/>
    </row>
    <row r="4168" spans="1:3">
      <c r="A4168" s="76"/>
      <c r="B4168" s="76"/>
      <c r="C4168" s="75"/>
    </row>
    <row r="4169" spans="1:3">
      <c r="A4169" s="76"/>
      <c r="B4169" s="76"/>
      <c r="C4169" s="75"/>
    </row>
    <row r="4170" spans="1:3">
      <c r="A4170" s="76"/>
      <c r="B4170" s="76"/>
      <c r="C4170" s="75"/>
    </row>
    <row r="4171" spans="1:3">
      <c r="A4171" s="76"/>
      <c r="B4171" s="76"/>
      <c r="C4171" s="75"/>
    </row>
    <row r="4172" spans="1:3">
      <c r="A4172" s="76"/>
      <c r="B4172" s="76"/>
      <c r="C4172" s="75"/>
    </row>
    <row r="4173" spans="1:3">
      <c r="A4173" s="76"/>
      <c r="B4173" s="76"/>
      <c r="C4173" s="75"/>
    </row>
    <row r="4174" spans="1:3">
      <c r="A4174" s="76"/>
      <c r="B4174" s="76"/>
      <c r="C4174" s="75"/>
    </row>
    <row r="4175" spans="1:3">
      <c r="A4175" s="76"/>
      <c r="B4175" s="76"/>
      <c r="C4175" s="75"/>
    </row>
    <row r="4176" spans="1:3">
      <c r="A4176" s="76"/>
      <c r="B4176" s="76"/>
      <c r="C4176" s="75"/>
    </row>
    <row r="4177" spans="1:3">
      <c r="A4177" s="76"/>
      <c r="B4177" s="76"/>
      <c r="C4177" s="75"/>
    </row>
    <row r="4178" spans="1:3">
      <c r="A4178" s="76"/>
      <c r="B4178" s="76"/>
      <c r="C4178" s="75"/>
    </row>
    <row r="4179" spans="1:3">
      <c r="A4179" s="76"/>
      <c r="B4179" s="76"/>
      <c r="C4179" s="75"/>
    </row>
    <row r="4180" spans="1:3">
      <c r="A4180" s="76"/>
      <c r="B4180" s="76"/>
      <c r="C4180" s="75"/>
    </row>
    <row r="4181" spans="1:3">
      <c r="A4181" s="76"/>
      <c r="B4181" s="76"/>
      <c r="C4181" s="75"/>
    </row>
    <row r="4182" spans="1:3">
      <c r="A4182" s="76"/>
      <c r="B4182" s="76"/>
      <c r="C4182" s="75"/>
    </row>
    <row r="4183" spans="1:3">
      <c r="A4183" s="76"/>
      <c r="B4183" s="76"/>
      <c r="C4183" s="75"/>
    </row>
    <row r="4184" spans="1:3">
      <c r="A4184" s="76"/>
      <c r="B4184" s="76"/>
      <c r="C4184" s="75"/>
    </row>
    <row r="4185" spans="1:3">
      <c r="A4185" s="76"/>
      <c r="B4185" s="76"/>
      <c r="C4185" s="75"/>
    </row>
    <row r="4186" spans="1:3">
      <c r="A4186" s="76"/>
      <c r="B4186" s="76"/>
      <c r="C4186" s="75"/>
    </row>
    <row r="4187" spans="1:3">
      <c r="A4187" s="76"/>
      <c r="B4187" s="76"/>
      <c r="C4187" s="75"/>
    </row>
    <row r="4188" spans="1:3">
      <c r="A4188" s="76"/>
      <c r="B4188" s="76"/>
      <c r="C4188" s="75"/>
    </row>
    <row r="4189" spans="1:3">
      <c r="A4189" s="76"/>
      <c r="B4189" s="76"/>
      <c r="C4189" s="75"/>
    </row>
    <row r="4190" spans="1:3">
      <c r="A4190" s="76"/>
      <c r="B4190" s="76"/>
      <c r="C4190" s="75"/>
    </row>
    <row r="4191" spans="1:3">
      <c r="A4191" s="76"/>
      <c r="B4191" s="76"/>
      <c r="C4191" s="75"/>
    </row>
    <row r="4192" spans="1:3">
      <c r="A4192" s="76"/>
      <c r="B4192" s="76"/>
      <c r="C4192" s="75"/>
    </row>
    <row r="4193" spans="1:3">
      <c r="A4193" s="76"/>
      <c r="B4193" s="76"/>
      <c r="C4193" s="75"/>
    </row>
    <row r="4194" spans="1:3">
      <c r="A4194" s="76"/>
      <c r="B4194" s="76"/>
      <c r="C4194" s="75"/>
    </row>
    <row r="4195" spans="1:3">
      <c r="A4195" s="76"/>
      <c r="B4195" s="76"/>
      <c r="C4195" s="75"/>
    </row>
    <row r="4196" spans="1:3">
      <c r="A4196" s="76"/>
      <c r="B4196" s="76"/>
      <c r="C4196" s="75"/>
    </row>
    <row r="4197" spans="1:3">
      <c r="A4197" s="76"/>
      <c r="B4197" s="76"/>
      <c r="C4197" s="75"/>
    </row>
    <row r="4198" spans="1:3">
      <c r="A4198" s="76"/>
      <c r="B4198" s="76"/>
      <c r="C4198" s="75"/>
    </row>
    <row r="4199" spans="1:3">
      <c r="A4199" s="76"/>
      <c r="B4199" s="76"/>
      <c r="C4199" s="75"/>
    </row>
    <row r="4200" spans="1:3">
      <c r="A4200" s="76"/>
      <c r="B4200" s="76"/>
      <c r="C4200" s="75"/>
    </row>
    <row r="4201" spans="1:3">
      <c r="A4201" s="76"/>
      <c r="B4201" s="76"/>
      <c r="C4201" s="75"/>
    </row>
    <row r="4202" spans="1:3">
      <c r="A4202" s="76"/>
      <c r="B4202" s="76"/>
      <c r="C4202" s="75"/>
    </row>
    <row r="4203" spans="1:3">
      <c r="A4203" s="76"/>
      <c r="B4203" s="76"/>
      <c r="C4203" s="75"/>
    </row>
    <row r="4204" spans="1:3">
      <c r="A4204" s="76"/>
      <c r="B4204" s="76"/>
      <c r="C4204" s="75"/>
    </row>
    <row r="4205" spans="1:3">
      <c r="A4205" s="76"/>
      <c r="B4205" s="76"/>
      <c r="C4205" s="75"/>
    </row>
    <row r="4206" spans="1:3">
      <c r="A4206" s="76"/>
      <c r="B4206" s="76"/>
      <c r="C4206" s="75"/>
    </row>
    <row r="4207" spans="1:3">
      <c r="A4207" s="76"/>
      <c r="B4207" s="76"/>
      <c r="C4207" s="75"/>
    </row>
    <row r="4208" spans="1:3">
      <c r="A4208" s="76"/>
      <c r="B4208" s="76"/>
      <c r="C4208" s="75"/>
    </row>
    <row r="4209" spans="1:3">
      <c r="A4209" s="76"/>
      <c r="B4209" s="76"/>
      <c r="C4209" s="75"/>
    </row>
    <row r="4210" spans="1:3">
      <c r="A4210" s="76"/>
      <c r="B4210" s="76"/>
      <c r="C4210" s="75"/>
    </row>
    <row r="4211" spans="1:3">
      <c r="A4211" s="76"/>
      <c r="B4211" s="76"/>
      <c r="C4211" s="75"/>
    </row>
    <row r="4212" spans="1:3">
      <c r="A4212" s="76"/>
      <c r="B4212" s="76"/>
      <c r="C4212" s="75"/>
    </row>
    <row r="4213" spans="1:3">
      <c r="A4213" s="76"/>
      <c r="B4213" s="76"/>
      <c r="C4213" s="75"/>
    </row>
    <row r="4214" spans="1:3">
      <c r="A4214" s="76"/>
      <c r="B4214" s="76"/>
      <c r="C4214" s="75"/>
    </row>
    <row r="4215" spans="1:3">
      <c r="A4215" s="76"/>
      <c r="B4215" s="76"/>
      <c r="C4215" s="75"/>
    </row>
    <row r="4216" spans="1:3">
      <c r="A4216" s="76"/>
      <c r="B4216" s="76"/>
      <c r="C4216" s="75"/>
    </row>
    <row r="4217" spans="1:3">
      <c r="A4217" s="76"/>
      <c r="B4217" s="76"/>
      <c r="C4217" s="75"/>
    </row>
    <row r="4218" spans="1:3">
      <c r="A4218" s="76"/>
      <c r="B4218" s="76"/>
      <c r="C4218" s="75"/>
    </row>
    <row r="4219" spans="1:3">
      <c r="A4219" s="76"/>
      <c r="B4219" s="76"/>
      <c r="C4219" s="75"/>
    </row>
    <row r="4220" spans="1:3">
      <c r="A4220" s="76"/>
      <c r="B4220" s="76"/>
      <c r="C4220" s="75"/>
    </row>
    <row r="4221" spans="1:3">
      <c r="A4221" s="76"/>
      <c r="B4221" s="76"/>
      <c r="C4221" s="75"/>
    </row>
    <row r="4222" spans="1:3">
      <c r="A4222" s="76"/>
      <c r="B4222" s="76"/>
      <c r="C4222" s="75"/>
    </row>
    <row r="4223" spans="1:3">
      <c r="A4223" s="76"/>
      <c r="B4223" s="76"/>
      <c r="C4223" s="75"/>
    </row>
    <row r="4224" spans="1:3">
      <c r="A4224" s="76"/>
      <c r="B4224" s="76"/>
      <c r="C4224" s="75"/>
    </row>
    <row r="4225" spans="1:3">
      <c r="A4225" s="76"/>
      <c r="B4225" s="76"/>
      <c r="C4225" s="75"/>
    </row>
    <row r="4226" spans="1:3">
      <c r="A4226" s="76"/>
      <c r="B4226" s="76"/>
      <c r="C4226" s="75"/>
    </row>
    <row r="4227" spans="1:3">
      <c r="A4227" s="76"/>
      <c r="B4227" s="76"/>
      <c r="C4227" s="75"/>
    </row>
    <row r="4228" spans="1:3">
      <c r="A4228" s="76"/>
      <c r="B4228" s="76"/>
      <c r="C4228" s="75"/>
    </row>
    <row r="4229" spans="1:3">
      <c r="A4229" s="76"/>
      <c r="B4229" s="76"/>
      <c r="C4229" s="75"/>
    </row>
    <row r="4230" spans="1:3">
      <c r="A4230" s="76"/>
      <c r="B4230" s="76"/>
      <c r="C4230" s="75"/>
    </row>
    <row r="4231" spans="1:3">
      <c r="A4231" s="76"/>
      <c r="B4231" s="76"/>
      <c r="C4231" s="75"/>
    </row>
    <row r="4232" spans="1:3">
      <c r="A4232" s="76"/>
      <c r="B4232" s="76"/>
      <c r="C4232" s="75"/>
    </row>
    <row r="4233" spans="1:3">
      <c r="A4233" s="76"/>
      <c r="B4233" s="76"/>
      <c r="C4233" s="75"/>
    </row>
    <row r="4234" spans="1:3">
      <c r="A4234" s="76"/>
      <c r="B4234" s="76"/>
      <c r="C4234" s="75"/>
    </row>
    <row r="4235" spans="1:3">
      <c r="A4235" s="76"/>
      <c r="B4235" s="76"/>
      <c r="C4235" s="75"/>
    </row>
    <row r="4236" spans="1:3">
      <c r="A4236" s="76"/>
      <c r="B4236" s="76"/>
      <c r="C4236" s="75"/>
    </row>
    <row r="4237" spans="1:3">
      <c r="A4237" s="76"/>
      <c r="B4237" s="76"/>
      <c r="C4237" s="75"/>
    </row>
    <row r="4238" spans="1:3">
      <c r="A4238" s="76"/>
      <c r="B4238" s="76"/>
      <c r="C4238" s="75"/>
    </row>
    <row r="4239" spans="1:3">
      <c r="A4239" s="76"/>
      <c r="B4239" s="76"/>
      <c r="C4239" s="75"/>
    </row>
    <row r="4240" spans="1:3">
      <c r="A4240" s="76"/>
      <c r="B4240" s="76"/>
      <c r="C4240" s="75"/>
    </row>
    <row r="4241" spans="1:3">
      <c r="A4241" s="76"/>
      <c r="B4241" s="76"/>
      <c r="C4241" s="75"/>
    </row>
    <row r="4242" spans="1:3">
      <c r="A4242" s="76"/>
      <c r="B4242" s="76"/>
      <c r="C4242" s="75"/>
    </row>
    <row r="4243" spans="1:3">
      <c r="A4243" s="76"/>
      <c r="B4243" s="76"/>
      <c r="C4243" s="75"/>
    </row>
    <row r="4244" spans="1:3">
      <c r="A4244" s="76"/>
      <c r="B4244" s="76"/>
      <c r="C4244" s="75"/>
    </row>
    <row r="4245" spans="1:3">
      <c r="A4245" s="76"/>
      <c r="B4245" s="76"/>
      <c r="C4245" s="75"/>
    </row>
    <row r="4246" spans="1:3">
      <c r="A4246" s="76"/>
      <c r="B4246" s="76"/>
      <c r="C4246" s="75"/>
    </row>
    <row r="4247" spans="1:3">
      <c r="A4247" s="76"/>
      <c r="B4247" s="76"/>
      <c r="C4247" s="75"/>
    </row>
    <row r="4248" spans="1:3">
      <c r="A4248" s="76"/>
      <c r="B4248" s="76"/>
      <c r="C4248" s="75"/>
    </row>
    <row r="4249" spans="1:3">
      <c r="A4249" s="76"/>
      <c r="B4249" s="76"/>
      <c r="C4249" s="75"/>
    </row>
    <row r="4250" spans="1:3">
      <c r="A4250" s="76"/>
      <c r="B4250" s="76"/>
      <c r="C4250" s="75"/>
    </row>
    <row r="4251" spans="1:3">
      <c r="A4251" s="76"/>
      <c r="B4251" s="76"/>
      <c r="C4251" s="75"/>
    </row>
    <row r="4252" spans="1:3">
      <c r="A4252" s="76"/>
      <c r="B4252" s="76"/>
      <c r="C4252" s="75"/>
    </row>
    <row r="4253" spans="1:3">
      <c r="A4253" s="76"/>
      <c r="B4253" s="76"/>
      <c r="C4253" s="75"/>
    </row>
    <row r="4254" spans="1:3">
      <c r="A4254" s="76"/>
      <c r="B4254" s="76"/>
      <c r="C4254" s="75"/>
    </row>
    <row r="4255" spans="1:3">
      <c r="A4255" s="76"/>
      <c r="B4255" s="76"/>
      <c r="C4255" s="75"/>
    </row>
    <row r="4256" spans="1:3">
      <c r="A4256" s="76"/>
      <c r="B4256" s="76"/>
      <c r="C4256" s="75"/>
    </row>
    <row r="4257" spans="1:3">
      <c r="A4257" s="76"/>
      <c r="B4257" s="76"/>
      <c r="C4257" s="75"/>
    </row>
    <row r="4258" spans="1:3">
      <c r="A4258" s="76"/>
      <c r="B4258" s="76"/>
      <c r="C4258" s="75"/>
    </row>
    <row r="4259" spans="1:3">
      <c r="A4259" s="76"/>
      <c r="B4259" s="76"/>
      <c r="C4259" s="75"/>
    </row>
    <row r="4260" spans="1:3">
      <c r="A4260" s="76"/>
      <c r="B4260" s="76"/>
      <c r="C4260" s="75"/>
    </row>
    <row r="4261" spans="1:3">
      <c r="A4261" s="76"/>
      <c r="B4261" s="76"/>
      <c r="C4261" s="75"/>
    </row>
    <row r="4262" spans="1:3">
      <c r="A4262" s="76"/>
      <c r="B4262" s="76"/>
      <c r="C4262" s="75"/>
    </row>
    <row r="4263" spans="1:3">
      <c r="A4263" s="76"/>
      <c r="B4263" s="76"/>
      <c r="C4263" s="75"/>
    </row>
    <row r="4264" spans="1:3">
      <c r="A4264" s="76"/>
      <c r="B4264" s="76"/>
      <c r="C4264" s="75"/>
    </row>
    <row r="4265" spans="1:3">
      <c r="A4265" s="76"/>
      <c r="B4265" s="76"/>
      <c r="C4265" s="75"/>
    </row>
    <row r="4266" spans="1:3">
      <c r="A4266" s="76"/>
      <c r="B4266" s="76"/>
      <c r="C4266" s="75"/>
    </row>
    <row r="4267" spans="1:3">
      <c r="A4267" s="76"/>
      <c r="B4267" s="76"/>
      <c r="C4267" s="75"/>
    </row>
    <row r="4268" spans="1:3">
      <c r="A4268" s="76"/>
      <c r="B4268" s="76"/>
      <c r="C4268" s="75"/>
    </row>
    <row r="4269" spans="1:3">
      <c r="A4269" s="76"/>
      <c r="B4269" s="76"/>
      <c r="C4269" s="75"/>
    </row>
    <row r="4270" spans="1:3">
      <c r="A4270" s="76"/>
      <c r="B4270" s="76"/>
      <c r="C4270" s="75"/>
    </row>
    <row r="4271" spans="1:3">
      <c r="A4271" s="76"/>
      <c r="B4271" s="76"/>
      <c r="C4271" s="75"/>
    </row>
    <row r="4272" spans="1:3">
      <c r="A4272" s="76"/>
      <c r="B4272" s="76"/>
      <c r="C4272" s="75"/>
    </row>
    <row r="4273" spans="1:3">
      <c r="A4273" s="76"/>
      <c r="B4273" s="76"/>
      <c r="C4273" s="75"/>
    </row>
    <row r="4274" spans="1:3">
      <c r="A4274" s="76"/>
      <c r="B4274" s="76"/>
      <c r="C4274" s="75"/>
    </row>
    <row r="4275" spans="1:3">
      <c r="A4275" s="76"/>
      <c r="B4275" s="76"/>
      <c r="C4275" s="75"/>
    </row>
    <row r="4276" spans="1:3">
      <c r="A4276" s="76"/>
      <c r="B4276" s="76"/>
      <c r="C4276" s="75"/>
    </row>
    <row r="4277" spans="1:3">
      <c r="A4277" s="76"/>
      <c r="B4277" s="76"/>
      <c r="C4277" s="75"/>
    </row>
    <row r="4278" spans="1:3">
      <c r="A4278" s="76"/>
      <c r="B4278" s="76"/>
      <c r="C4278" s="75"/>
    </row>
    <row r="4279" spans="1:3">
      <c r="A4279" s="76"/>
      <c r="B4279" s="76"/>
      <c r="C4279" s="75"/>
    </row>
    <row r="4280" spans="1:3">
      <c r="A4280" s="76"/>
      <c r="B4280" s="76"/>
      <c r="C4280" s="75"/>
    </row>
    <row r="4281" spans="1:3">
      <c r="A4281" s="76"/>
      <c r="B4281" s="76"/>
      <c r="C4281" s="75"/>
    </row>
    <row r="4282" spans="1:3">
      <c r="A4282" s="76"/>
      <c r="B4282" s="76"/>
      <c r="C4282" s="75"/>
    </row>
    <row r="4283" spans="1:3">
      <c r="A4283" s="76"/>
      <c r="B4283" s="76"/>
      <c r="C4283" s="75"/>
    </row>
    <row r="4284" spans="1:3">
      <c r="A4284" s="76"/>
      <c r="B4284" s="76"/>
      <c r="C4284" s="75"/>
    </row>
    <row r="4285" spans="1:3">
      <c r="A4285" s="76"/>
      <c r="B4285" s="76"/>
      <c r="C4285" s="75"/>
    </row>
    <row r="4286" spans="1:3">
      <c r="A4286" s="76"/>
      <c r="B4286" s="76"/>
      <c r="C4286" s="75"/>
    </row>
    <row r="4287" spans="1:3">
      <c r="A4287" s="76"/>
      <c r="B4287" s="76"/>
      <c r="C4287" s="75"/>
    </row>
    <row r="4288" spans="1:3">
      <c r="A4288" s="76"/>
      <c r="B4288" s="76"/>
      <c r="C4288" s="75"/>
    </row>
    <row r="4289" spans="1:3">
      <c r="A4289" s="76"/>
      <c r="B4289" s="76"/>
      <c r="C4289" s="75"/>
    </row>
    <row r="4290" spans="1:3">
      <c r="A4290" s="76"/>
      <c r="B4290" s="76"/>
      <c r="C4290" s="75"/>
    </row>
    <row r="4291" spans="1:3">
      <c r="A4291" s="76"/>
      <c r="B4291" s="76"/>
      <c r="C4291" s="75"/>
    </row>
    <row r="4292" spans="1:3">
      <c r="A4292" s="76"/>
      <c r="B4292" s="76"/>
      <c r="C4292" s="75"/>
    </row>
    <row r="4293" spans="1:3">
      <c r="A4293" s="76"/>
      <c r="B4293" s="76"/>
      <c r="C4293" s="75"/>
    </row>
    <row r="4294" spans="1:3">
      <c r="A4294" s="76"/>
      <c r="B4294" s="76"/>
      <c r="C4294" s="75"/>
    </row>
    <row r="4295" spans="1:3">
      <c r="A4295" s="76"/>
      <c r="B4295" s="76"/>
      <c r="C4295" s="75"/>
    </row>
    <row r="4296" spans="1:3">
      <c r="A4296" s="76"/>
      <c r="B4296" s="76"/>
      <c r="C4296" s="75"/>
    </row>
    <row r="4297" spans="1:3">
      <c r="A4297" s="76"/>
      <c r="B4297" s="76"/>
      <c r="C4297" s="75"/>
    </row>
    <row r="4298" spans="1:3">
      <c r="A4298" s="76"/>
      <c r="B4298" s="76"/>
      <c r="C4298" s="75"/>
    </row>
    <row r="4299" spans="1:3">
      <c r="A4299" s="76"/>
      <c r="B4299" s="76"/>
      <c r="C4299" s="75"/>
    </row>
    <row r="4300" spans="1:3">
      <c r="A4300" s="76"/>
      <c r="B4300" s="76"/>
      <c r="C4300" s="75"/>
    </row>
    <row r="4301" spans="1:3">
      <c r="A4301" s="76"/>
      <c r="B4301" s="76"/>
      <c r="C4301" s="75"/>
    </row>
    <row r="4302" spans="1:3">
      <c r="A4302" s="76"/>
      <c r="B4302" s="76"/>
      <c r="C4302" s="75"/>
    </row>
    <row r="4303" spans="1:3">
      <c r="A4303" s="76"/>
      <c r="B4303" s="76"/>
      <c r="C4303" s="75"/>
    </row>
    <row r="4304" spans="1:3">
      <c r="A4304" s="76"/>
      <c r="B4304" s="76"/>
      <c r="C4304" s="75"/>
    </row>
    <row r="4305" spans="1:3">
      <c r="A4305" s="76"/>
      <c r="B4305" s="76"/>
      <c r="C4305" s="75"/>
    </row>
    <row r="4306" spans="1:3">
      <c r="A4306" s="76"/>
      <c r="B4306" s="76"/>
      <c r="C4306" s="75"/>
    </row>
    <row r="4307" spans="1:3">
      <c r="A4307" s="76"/>
      <c r="B4307" s="76"/>
      <c r="C4307" s="75"/>
    </row>
    <row r="4308" spans="1:3">
      <c r="A4308" s="76"/>
      <c r="B4308" s="76"/>
      <c r="C4308" s="75"/>
    </row>
    <row r="4309" spans="1:3">
      <c r="A4309" s="76"/>
      <c r="B4309" s="76"/>
      <c r="C4309" s="75"/>
    </row>
    <row r="4310" spans="1:3">
      <c r="A4310" s="76"/>
      <c r="B4310" s="76"/>
      <c r="C4310" s="75"/>
    </row>
    <row r="4311" spans="1:3">
      <c r="A4311" s="76"/>
      <c r="B4311" s="76"/>
      <c r="C4311" s="75"/>
    </row>
    <row r="4312" spans="1:3">
      <c r="A4312" s="76"/>
      <c r="B4312" s="76"/>
      <c r="C4312" s="75"/>
    </row>
    <row r="4313" spans="1:3">
      <c r="A4313" s="76"/>
      <c r="B4313" s="76"/>
      <c r="C4313" s="75"/>
    </row>
    <row r="4314" spans="1:3">
      <c r="A4314" s="76"/>
      <c r="B4314" s="76"/>
      <c r="C4314" s="75"/>
    </row>
    <row r="4315" spans="1:3">
      <c r="A4315" s="76"/>
      <c r="B4315" s="76"/>
      <c r="C4315" s="75"/>
    </row>
    <row r="4316" spans="1:3">
      <c r="A4316" s="76"/>
      <c r="B4316" s="76"/>
      <c r="C4316" s="75"/>
    </row>
    <row r="4317" spans="1:3">
      <c r="A4317" s="76"/>
      <c r="B4317" s="76"/>
      <c r="C4317" s="75"/>
    </row>
    <row r="4318" spans="1:3">
      <c r="A4318" s="76"/>
      <c r="B4318" s="76"/>
      <c r="C4318" s="75"/>
    </row>
    <row r="4319" spans="1:3">
      <c r="A4319" s="76"/>
      <c r="B4319" s="76"/>
      <c r="C4319" s="75"/>
    </row>
    <row r="4320" spans="1:3">
      <c r="A4320" s="76"/>
      <c r="B4320" s="76"/>
      <c r="C4320" s="75"/>
    </row>
    <row r="4321" spans="1:3">
      <c r="A4321" s="76"/>
      <c r="B4321" s="76"/>
      <c r="C4321" s="75"/>
    </row>
    <row r="4322" spans="1:3">
      <c r="A4322" s="76"/>
      <c r="B4322" s="76"/>
      <c r="C4322" s="75"/>
    </row>
    <row r="4323" spans="1:3">
      <c r="A4323" s="76"/>
      <c r="B4323" s="76"/>
      <c r="C4323" s="75"/>
    </row>
    <row r="4324" spans="1:3">
      <c r="A4324" s="76"/>
      <c r="B4324" s="76"/>
      <c r="C4324" s="75"/>
    </row>
    <row r="4325" spans="1:3">
      <c r="A4325" s="76"/>
      <c r="B4325" s="76"/>
      <c r="C4325" s="75"/>
    </row>
    <row r="4326" spans="1:3">
      <c r="A4326" s="76"/>
      <c r="B4326" s="76"/>
      <c r="C4326" s="75"/>
    </row>
    <row r="4327" spans="1:3">
      <c r="A4327" s="76"/>
      <c r="B4327" s="76"/>
      <c r="C4327" s="75"/>
    </row>
    <row r="4328" spans="1:3">
      <c r="A4328" s="76"/>
      <c r="B4328" s="76"/>
      <c r="C4328" s="75"/>
    </row>
    <row r="4329" spans="1:3">
      <c r="A4329" s="76"/>
      <c r="B4329" s="76"/>
      <c r="C4329" s="75"/>
    </row>
    <row r="4330" spans="1:3">
      <c r="A4330" s="76"/>
      <c r="B4330" s="76"/>
      <c r="C4330" s="75"/>
    </row>
    <row r="4331" spans="1:3">
      <c r="A4331" s="76"/>
      <c r="B4331" s="76"/>
      <c r="C4331" s="75"/>
    </row>
    <row r="4332" spans="1:3">
      <c r="A4332" s="76"/>
      <c r="B4332" s="76"/>
      <c r="C4332" s="75"/>
    </row>
    <row r="4333" spans="1:3">
      <c r="A4333" s="76"/>
      <c r="B4333" s="76"/>
      <c r="C4333" s="75"/>
    </row>
    <row r="4334" spans="1:3">
      <c r="A4334" s="76"/>
      <c r="B4334" s="76"/>
      <c r="C4334" s="75"/>
    </row>
    <row r="4335" spans="1:3">
      <c r="A4335" s="76"/>
      <c r="B4335" s="76"/>
      <c r="C4335" s="75"/>
    </row>
    <row r="4336" spans="1:3">
      <c r="A4336" s="76"/>
      <c r="B4336" s="76"/>
      <c r="C4336" s="75"/>
    </row>
    <row r="4337" spans="1:3">
      <c r="A4337" s="76"/>
      <c r="B4337" s="76"/>
      <c r="C4337" s="75"/>
    </row>
    <row r="4338" spans="1:3">
      <c r="A4338" s="76"/>
      <c r="B4338" s="76"/>
      <c r="C4338" s="75"/>
    </row>
    <row r="4339" spans="1:3">
      <c r="A4339" s="76"/>
      <c r="B4339" s="76"/>
      <c r="C4339" s="75"/>
    </row>
    <row r="4340" spans="1:3">
      <c r="A4340" s="76"/>
      <c r="B4340" s="76"/>
      <c r="C4340" s="75"/>
    </row>
    <row r="4341" spans="1:3">
      <c r="A4341" s="76"/>
      <c r="B4341" s="76"/>
      <c r="C4341" s="75"/>
    </row>
    <row r="4342" spans="1:3">
      <c r="A4342" s="76"/>
      <c r="B4342" s="76"/>
      <c r="C4342" s="75"/>
    </row>
    <row r="4343" spans="1:3">
      <c r="A4343" s="76"/>
      <c r="B4343" s="76"/>
      <c r="C4343" s="75"/>
    </row>
    <row r="4344" spans="1:3">
      <c r="A4344" s="76"/>
      <c r="B4344" s="76"/>
      <c r="C4344" s="75"/>
    </row>
    <row r="4345" spans="1:3">
      <c r="A4345" s="76"/>
      <c r="B4345" s="76"/>
      <c r="C4345" s="75"/>
    </row>
    <row r="4346" spans="1:3">
      <c r="A4346" s="76"/>
      <c r="B4346" s="76"/>
      <c r="C4346" s="75"/>
    </row>
    <row r="4347" spans="1:3">
      <c r="A4347" s="76"/>
      <c r="B4347" s="76"/>
      <c r="C4347" s="75"/>
    </row>
    <row r="4348" spans="1:3">
      <c r="A4348" s="76"/>
      <c r="B4348" s="76"/>
      <c r="C4348" s="75"/>
    </row>
    <row r="4349" spans="1:3">
      <c r="A4349" s="76"/>
      <c r="B4349" s="76"/>
      <c r="C4349" s="75"/>
    </row>
    <row r="4350" spans="1:3">
      <c r="A4350" s="76"/>
      <c r="B4350" s="76"/>
      <c r="C4350" s="75"/>
    </row>
    <row r="4351" spans="1:3">
      <c r="A4351" s="76"/>
      <c r="B4351" s="76"/>
      <c r="C4351" s="75"/>
    </row>
    <row r="4352" spans="1:3">
      <c r="A4352" s="76"/>
      <c r="B4352" s="76"/>
      <c r="C4352" s="75"/>
    </row>
    <row r="4353" spans="1:3">
      <c r="A4353" s="76"/>
      <c r="B4353" s="76"/>
      <c r="C4353" s="75"/>
    </row>
    <row r="4354" spans="1:3">
      <c r="A4354" s="76"/>
      <c r="B4354" s="76"/>
      <c r="C4354" s="75"/>
    </row>
    <row r="4355" spans="1:3">
      <c r="A4355" s="76"/>
      <c r="B4355" s="76"/>
      <c r="C4355" s="75"/>
    </row>
    <row r="4356" spans="1:3">
      <c r="A4356" s="76"/>
      <c r="B4356" s="76"/>
      <c r="C4356" s="75"/>
    </row>
    <row r="4357" spans="1:3">
      <c r="A4357" s="76"/>
      <c r="B4357" s="76"/>
      <c r="C4357" s="75"/>
    </row>
    <row r="4358" spans="1:3">
      <c r="A4358" s="76"/>
      <c r="B4358" s="76"/>
      <c r="C4358" s="75"/>
    </row>
    <row r="4359" spans="1:3">
      <c r="A4359" s="76"/>
      <c r="B4359" s="76"/>
      <c r="C4359" s="75"/>
    </row>
    <row r="4360" spans="1:3">
      <c r="A4360" s="76"/>
      <c r="B4360" s="76"/>
      <c r="C4360" s="75"/>
    </row>
    <row r="4361" spans="1:3">
      <c r="A4361" s="76"/>
      <c r="B4361" s="76"/>
      <c r="C4361" s="75"/>
    </row>
    <row r="4362" spans="1:3">
      <c r="A4362" s="76"/>
      <c r="B4362" s="76"/>
      <c r="C4362" s="75"/>
    </row>
    <row r="4363" spans="1:3">
      <c r="A4363" s="76"/>
      <c r="B4363" s="76"/>
      <c r="C4363" s="75"/>
    </row>
    <row r="4364" spans="1:3">
      <c r="A4364" s="76"/>
      <c r="B4364" s="76"/>
      <c r="C4364" s="75"/>
    </row>
    <row r="4365" spans="1:3">
      <c r="A4365" s="76"/>
      <c r="B4365" s="76"/>
      <c r="C4365" s="75"/>
    </row>
    <row r="4366" spans="1:3">
      <c r="A4366" s="76"/>
      <c r="B4366" s="76"/>
      <c r="C4366" s="75"/>
    </row>
    <row r="4367" spans="1:3">
      <c r="A4367" s="76"/>
      <c r="B4367" s="76"/>
      <c r="C4367" s="75"/>
    </row>
    <row r="4368" spans="1:3">
      <c r="A4368" s="76"/>
      <c r="B4368" s="76"/>
      <c r="C4368" s="75"/>
    </row>
    <row r="4369" spans="1:3">
      <c r="A4369" s="76"/>
      <c r="B4369" s="76"/>
      <c r="C4369" s="75"/>
    </row>
    <row r="4370" spans="1:3">
      <c r="A4370" s="76"/>
      <c r="B4370" s="76"/>
      <c r="C4370" s="75"/>
    </row>
    <row r="4371" spans="1:3">
      <c r="A4371" s="76"/>
      <c r="B4371" s="76"/>
      <c r="C4371" s="75"/>
    </row>
    <row r="4372" spans="1:3">
      <c r="A4372" s="76"/>
      <c r="B4372" s="76"/>
      <c r="C4372" s="75"/>
    </row>
    <row r="4373" spans="1:3">
      <c r="A4373" s="76"/>
      <c r="B4373" s="76"/>
      <c r="C4373" s="75"/>
    </row>
    <row r="4374" spans="1:3">
      <c r="A4374" s="76"/>
      <c r="B4374" s="76"/>
      <c r="C4374" s="75"/>
    </row>
    <row r="4375" spans="1:3">
      <c r="A4375" s="76"/>
      <c r="B4375" s="76"/>
      <c r="C4375" s="75"/>
    </row>
    <row r="4376" spans="1:3">
      <c r="A4376" s="76"/>
      <c r="B4376" s="76"/>
      <c r="C4376" s="75"/>
    </row>
    <row r="4377" spans="1:3">
      <c r="A4377" s="76"/>
      <c r="B4377" s="76"/>
      <c r="C4377" s="75"/>
    </row>
    <row r="4378" spans="1:3">
      <c r="A4378" s="76"/>
      <c r="B4378" s="76"/>
      <c r="C4378" s="75"/>
    </row>
    <row r="4379" spans="1:3">
      <c r="A4379" s="76"/>
      <c r="B4379" s="76"/>
      <c r="C4379" s="75"/>
    </row>
    <row r="4380" spans="1:3">
      <c r="A4380" s="76"/>
      <c r="B4380" s="76"/>
      <c r="C4380" s="75"/>
    </row>
    <row r="4381" spans="1:3">
      <c r="A4381" s="76"/>
      <c r="B4381" s="76"/>
      <c r="C4381" s="75"/>
    </row>
    <row r="4382" spans="1:3">
      <c r="A4382" s="76"/>
      <c r="B4382" s="76"/>
      <c r="C4382" s="75"/>
    </row>
    <row r="4383" spans="1:3">
      <c r="A4383" s="76"/>
      <c r="B4383" s="76"/>
      <c r="C4383" s="75"/>
    </row>
    <row r="4384" spans="1:3">
      <c r="A4384" s="76"/>
      <c r="B4384" s="76"/>
      <c r="C4384" s="75"/>
    </row>
    <row r="4385" spans="1:3">
      <c r="A4385" s="76"/>
      <c r="B4385" s="76"/>
      <c r="C4385" s="75"/>
    </row>
    <row r="4386" spans="1:3">
      <c r="A4386" s="76"/>
      <c r="B4386" s="76"/>
      <c r="C4386" s="75"/>
    </row>
    <row r="4387" spans="1:3">
      <c r="A4387" s="76"/>
      <c r="B4387" s="76"/>
      <c r="C4387" s="75"/>
    </row>
    <row r="4388" spans="1:3">
      <c r="A4388" s="76"/>
      <c r="B4388" s="76"/>
      <c r="C4388" s="75"/>
    </row>
    <row r="4389" spans="1:3">
      <c r="A4389" s="76"/>
      <c r="B4389" s="76"/>
      <c r="C4389" s="75"/>
    </row>
    <row r="4390" spans="1:3">
      <c r="A4390" s="76"/>
      <c r="B4390" s="76"/>
      <c r="C4390" s="75"/>
    </row>
    <row r="4391" spans="1:3">
      <c r="A4391" s="76"/>
      <c r="B4391" s="76"/>
      <c r="C4391" s="75"/>
    </row>
    <row r="4392" spans="1:3">
      <c r="A4392" s="76"/>
      <c r="B4392" s="76"/>
      <c r="C4392" s="75"/>
    </row>
    <row r="4393" spans="1:3">
      <c r="A4393" s="76"/>
      <c r="B4393" s="76"/>
      <c r="C4393" s="75"/>
    </row>
    <row r="4394" spans="1:3">
      <c r="A4394" s="76"/>
      <c r="B4394" s="76"/>
      <c r="C4394" s="75"/>
    </row>
    <row r="4395" spans="1:3">
      <c r="A4395" s="76"/>
      <c r="B4395" s="76"/>
      <c r="C4395" s="75"/>
    </row>
    <row r="4396" spans="1:3">
      <c r="A4396" s="76"/>
      <c r="B4396" s="76"/>
      <c r="C4396" s="75"/>
    </row>
    <row r="4397" spans="1:3">
      <c r="A4397" s="76"/>
      <c r="B4397" s="76"/>
      <c r="C4397" s="75"/>
    </row>
    <row r="4398" spans="1:3">
      <c r="A4398" s="76"/>
      <c r="B4398" s="76"/>
      <c r="C4398" s="75"/>
    </row>
    <row r="4399" spans="1:3">
      <c r="A4399" s="76"/>
      <c r="B4399" s="76"/>
      <c r="C4399" s="75"/>
    </row>
    <row r="4400" spans="1:3">
      <c r="A4400" s="76"/>
      <c r="B4400" s="76"/>
      <c r="C4400" s="75"/>
    </row>
    <row r="4401" spans="1:3">
      <c r="A4401" s="76"/>
      <c r="B4401" s="76"/>
      <c r="C4401" s="75"/>
    </row>
    <row r="4402" spans="1:3">
      <c r="A4402" s="76"/>
      <c r="B4402" s="76"/>
      <c r="C4402" s="75"/>
    </row>
    <row r="4403" spans="1:3">
      <c r="A4403" s="76"/>
      <c r="B4403" s="76"/>
      <c r="C4403" s="75"/>
    </row>
    <row r="4404" spans="1:3">
      <c r="A4404" s="76"/>
      <c r="B4404" s="76"/>
      <c r="C4404" s="75"/>
    </row>
    <row r="4405" spans="1:3">
      <c r="A4405" s="76"/>
      <c r="B4405" s="76"/>
      <c r="C4405" s="75"/>
    </row>
    <row r="4406" spans="1:3">
      <c r="A4406" s="76"/>
      <c r="B4406" s="76"/>
      <c r="C4406" s="75"/>
    </row>
    <row r="4407" spans="1:3">
      <c r="A4407" s="76"/>
      <c r="B4407" s="76"/>
      <c r="C4407" s="75"/>
    </row>
    <row r="4408" spans="1:3">
      <c r="A4408" s="76"/>
      <c r="B4408" s="76"/>
      <c r="C4408" s="75"/>
    </row>
    <row r="4409" spans="1:3">
      <c r="A4409" s="76"/>
      <c r="B4409" s="76"/>
      <c r="C4409" s="75"/>
    </row>
    <row r="4410" spans="1:3">
      <c r="A4410" s="76"/>
      <c r="B4410" s="76"/>
      <c r="C4410" s="75"/>
    </row>
    <row r="4411" spans="1:3">
      <c r="A4411" s="76"/>
      <c r="B4411" s="76"/>
      <c r="C4411" s="75"/>
    </row>
    <row r="4412" spans="1:3">
      <c r="A4412" s="76"/>
      <c r="B4412" s="76"/>
      <c r="C4412" s="75"/>
    </row>
    <row r="4413" spans="1:3">
      <c r="A4413" s="76"/>
      <c r="B4413" s="76"/>
      <c r="C4413" s="75"/>
    </row>
    <row r="4414" spans="1:3">
      <c r="A4414" s="76"/>
      <c r="B4414" s="76"/>
      <c r="C4414" s="75"/>
    </row>
    <row r="4415" spans="1:3">
      <c r="A4415" s="76"/>
      <c r="B4415" s="76"/>
      <c r="C4415" s="75"/>
    </row>
    <row r="4416" spans="1:3">
      <c r="A4416" s="76"/>
      <c r="B4416" s="76"/>
      <c r="C4416" s="75"/>
    </row>
    <row r="4417" spans="1:3">
      <c r="A4417" s="76"/>
      <c r="B4417" s="76"/>
      <c r="C4417" s="75"/>
    </row>
    <row r="4418" spans="1:3">
      <c r="A4418" s="76"/>
      <c r="B4418" s="76"/>
      <c r="C4418" s="75"/>
    </row>
    <row r="4419" spans="1:3">
      <c r="A4419" s="76"/>
      <c r="B4419" s="76"/>
      <c r="C4419" s="75"/>
    </row>
    <row r="4420" spans="1:3">
      <c r="A4420" s="76"/>
      <c r="B4420" s="76"/>
      <c r="C4420" s="75"/>
    </row>
    <row r="4421" spans="1:3">
      <c r="A4421" s="76"/>
      <c r="B4421" s="76"/>
      <c r="C4421" s="75"/>
    </row>
    <row r="4422" spans="1:3">
      <c r="A4422" s="76"/>
      <c r="B4422" s="76"/>
      <c r="C4422" s="75"/>
    </row>
    <row r="4423" spans="1:3">
      <c r="A4423" s="76"/>
      <c r="B4423" s="76"/>
      <c r="C4423" s="75"/>
    </row>
    <row r="4424" spans="1:3">
      <c r="A4424" s="76"/>
      <c r="B4424" s="76"/>
      <c r="C4424" s="75"/>
    </row>
    <row r="4425" spans="1:3">
      <c r="A4425" s="76"/>
      <c r="B4425" s="76"/>
      <c r="C4425" s="75"/>
    </row>
    <row r="4426" spans="1:3">
      <c r="A4426" s="76"/>
      <c r="B4426" s="76"/>
      <c r="C4426" s="75"/>
    </row>
    <row r="4427" spans="1:3">
      <c r="A4427" s="76"/>
      <c r="B4427" s="76"/>
      <c r="C4427" s="75"/>
    </row>
    <row r="4428" spans="1:3">
      <c r="A4428" s="76"/>
      <c r="B4428" s="76"/>
      <c r="C4428" s="75"/>
    </row>
    <row r="4429" spans="1:3">
      <c r="A4429" s="76"/>
      <c r="B4429" s="76"/>
      <c r="C4429" s="75"/>
    </row>
    <row r="4430" spans="1:3">
      <c r="A4430" s="76"/>
      <c r="B4430" s="76"/>
      <c r="C4430" s="75"/>
    </row>
    <row r="4431" spans="1:3">
      <c r="A4431" s="76"/>
      <c r="B4431" s="76"/>
      <c r="C4431" s="75"/>
    </row>
    <row r="4432" spans="1:3">
      <c r="A4432" s="76"/>
      <c r="B4432" s="76"/>
      <c r="C4432" s="75"/>
    </row>
    <row r="4433" spans="1:3">
      <c r="A4433" s="76"/>
      <c r="B4433" s="76"/>
      <c r="C4433" s="75"/>
    </row>
    <row r="4434" spans="1:3">
      <c r="A4434" s="76"/>
      <c r="B4434" s="76"/>
      <c r="C4434" s="75"/>
    </row>
    <row r="4435" spans="1:3">
      <c r="A4435" s="76"/>
      <c r="B4435" s="76"/>
      <c r="C4435" s="75"/>
    </row>
    <row r="4436" spans="1:3">
      <c r="A4436" s="76"/>
      <c r="B4436" s="76"/>
      <c r="C4436" s="75"/>
    </row>
    <row r="4437" spans="1:3">
      <c r="A4437" s="76"/>
      <c r="B4437" s="76"/>
      <c r="C4437" s="75"/>
    </row>
    <row r="4438" spans="1:3">
      <c r="A4438" s="76"/>
      <c r="B4438" s="76"/>
      <c r="C4438" s="75"/>
    </row>
    <row r="4439" spans="1:3">
      <c r="A4439" s="76"/>
      <c r="B4439" s="76"/>
      <c r="C4439" s="75"/>
    </row>
    <row r="4440" spans="1:3">
      <c r="A4440" s="76"/>
      <c r="B4440" s="76"/>
      <c r="C4440" s="75"/>
    </row>
    <row r="4441" spans="1:3">
      <c r="A4441" s="76"/>
      <c r="B4441" s="76"/>
      <c r="C4441" s="75"/>
    </row>
    <row r="4442" spans="1:3">
      <c r="A4442" s="76"/>
      <c r="B4442" s="76"/>
      <c r="C4442" s="75"/>
    </row>
    <row r="4443" spans="1:3">
      <c r="A4443" s="76"/>
      <c r="B4443" s="76"/>
      <c r="C4443" s="75"/>
    </row>
    <row r="4444" spans="1:3">
      <c r="A4444" s="76"/>
      <c r="B4444" s="76"/>
      <c r="C4444" s="75"/>
    </row>
    <row r="4445" spans="1:3">
      <c r="A4445" s="76"/>
      <c r="B4445" s="76"/>
      <c r="C4445" s="75"/>
    </row>
    <row r="4446" spans="1:3">
      <c r="A4446" s="76"/>
      <c r="B4446" s="76"/>
      <c r="C4446" s="75"/>
    </row>
    <row r="4447" spans="1:3">
      <c r="A4447" s="76"/>
      <c r="B4447" s="76"/>
      <c r="C4447" s="75"/>
    </row>
    <row r="4448" spans="1:3">
      <c r="A4448" s="76"/>
      <c r="B4448" s="76"/>
      <c r="C4448" s="75"/>
    </row>
    <row r="4449" spans="1:3">
      <c r="A4449" s="76"/>
      <c r="B4449" s="76"/>
      <c r="C4449" s="75"/>
    </row>
    <row r="4450" spans="1:3">
      <c r="A4450" s="76"/>
      <c r="B4450" s="76"/>
      <c r="C4450" s="75"/>
    </row>
    <row r="4451" spans="1:3">
      <c r="A4451" s="76"/>
      <c r="B4451" s="76"/>
      <c r="C4451" s="75"/>
    </row>
    <row r="4452" spans="1:3">
      <c r="A4452" s="76"/>
      <c r="B4452" s="76"/>
      <c r="C4452" s="75"/>
    </row>
    <row r="4453" spans="1:3">
      <c r="A4453" s="76"/>
      <c r="B4453" s="76"/>
      <c r="C4453" s="75"/>
    </row>
    <row r="4454" spans="1:3">
      <c r="A4454" s="76"/>
      <c r="B4454" s="76"/>
      <c r="C4454" s="75"/>
    </row>
    <row r="4455" spans="1:3">
      <c r="A4455" s="76"/>
      <c r="B4455" s="76"/>
      <c r="C4455" s="75"/>
    </row>
    <row r="4456" spans="1:3">
      <c r="A4456" s="76"/>
      <c r="B4456" s="76"/>
      <c r="C4456" s="75"/>
    </row>
    <row r="4457" spans="1:3">
      <c r="A4457" s="76"/>
      <c r="B4457" s="76"/>
      <c r="C4457" s="75"/>
    </row>
    <row r="4458" spans="1:3">
      <c r="A4458" s="76"/>
      <c r="B4458" s="76"/>
      <c r="C4458" s="75"/>
    </row>
    <row r="4459" spans="1:3">
      <c r="A4459" s="76"/>
      <c r="B4459" s="76"/>
      <c r="C4459" s="75"/>
    </row>
    <row r="4460" spans="1:3">
      <c r="A4460" s="76"/>
      <c r="B4460" s="76"/>
      <c r="C4460" s="75"/>
    </row>
    <row r="4461" spans="1:3">
      <c r="A4461" s="76"/>
      <c r="B4461" s="76"/>
      <c r="C4461" s="75"/>
    </row>
    <row r="4462" spans="1:3">
      <c r="A4462" s="76"/>
      <c r="B4462" s="76"/>
      <c r="C4462" s="75"/>
    </row>
    <row r="4463" spans="1:3">
      <c r="A4463" s="76"/>
      <c r="B4463" s="76"/>
      <c r="C4463" s="75"/>
    </row>
    <row r="4464" spans="1:3">
      <c r="A4464" s="76"/>
      <c r="B4464" s="76"/>
      <c r="C4464" s="75"/>
    </row>
    <row r="4465" spans="1:3">
      <c r="A4465" s="76"/>
      <c r="B4465" s="76"/>
      <c r="C4465" s="75"/>
    </row>
    <row r="4466" spans="1:3">
      <c r="A4466" s="76"/>
      <c r="B4466" s="76"/>
      <c r="C4466" s="75"/>
    </row>
    <row r="4467" spans="1:3">
      <c r="A4467" s="76"/>
      <c r="B4467" s="76"/>
      <c r="C4467" s="75"/>
    </row>
    <row r="4468" spans="1:3">
      <c r="A4468" s="76"/>
      <c r="B4468" s="76"/>
      <c r="C4468" s="75"/>
    </row>
    <row r="4469" spans="1:3">
      <c r="A4469" s="76"/>
      <c r="B4469" s="76"/>
      <c r="C4469" s="75"/>
    </row>
    <row r="4470" spans="1:3">
      <c r="A4470" s="76"/>
      <c r="B4470" s="76"/>
      <c r="C4470" s="75"/>
    </row>
    <row r="4471" spans="1:3">
      <c r="A4471" s="76"/>
      <c r="B4471" s="76"/>
      <c r="C4471" s="75"/>
    </row>
    <row r="4472" spans="1:3">
      <c r="A4472" s="76"/>
      <c r="B4472" s="76"/>
      <c r="C4472" s="75"/>
    </row>
    <row r="4473" spans="1:3">
      <c r="A4473" s="76"/>
      <c r="B4473" s="76"/>
      <c r="C4473" s="75"/>
    </row>
    <row r="4474" spans="1:3">
      <c r="A4474" s="76"/>
      <c r="B4474" s="76"/>
      <c r="C4474" s="75"/>
    </row>
    <row r="4475" spans="1:3">
      <c r="A4475" s="76"/>
      <c r="B4475" s="76"/>
      <c r="C4475" s="75"/>
    </row>
    <row r="4476" spans="1:3">
      <c r="A4476" s="76"/>
      <c r="B4476" s="76"/>
      <c r="C4476" s="75"/>
    </row>
    <row r="4477" spans="1:3">
      <c r="A4477" s="76"/>
      <c r="B4477" s="76"/>
      <c r="C4477" s="75"/>
    </row>
    <row r="4478" spans="1:3">
      <c r="A4478" s="76"/>
      <c r="B4478" s="76"/>
      <c r="C4478" s="75"/>
    </row>
    <row r="4479" spans="1:3">
      <c r="A4479" s="76"/>
      <c r="B4479" s="76"/>
      <c r="C4479" s="75"/>
    </row>
    <row r="4480" spans="1:3">
      <c r="A4480" s="76"/>
      <c r="B4480" s="76"/>
      <c r="C4480" s="75"/>
    </row>
    <row r="4481" spans="1:3">
      <c r="A4481" s="76"/>
      <c r="B4481" s="76"/>
      <c r="C4481" s="75"/>
    </row>
    <row r="4482" spans="1:3">
      <c r="A4482" s="76"/>
      <c r="B4482" s="76"/>
      <c r="C4482" s="75"/>
    </row>
    <row r="4483" spans="1:3">
      <c r="A4483" s="76"/>
      <c r="B4483" s="76"/>
      <c r="C4483" s="75"/>
    </row>
    <row r="4484" spans="1:3">
      <c r="A4484" s="76"/>
      <c r="B4484" s="76"/>
      <c r="C4484" s="75"/>
    </row>
    <row r="4485" spans="1:3">
      <c r="A4485" s="76"/>
      <c r="B4485" s="76"/>
      <c r="C4485" s="75"/>
    </row>
    <row r="4486" spans="1:3">
      <c r="A4486" s="76"/>
      <c r="B4486" s="76"/>
      <c r="C4486" s="75"/>
    </row>
    <row r="4487" spans="1:3">
      <c r="A4487" s="76"/>
      <c r="B4487" s="76"/>
      <c r="C4487" s="75"/>
    </row>
    <row r="4488" spans="1:3">
      <c r="A4488" s="76"/>
      <c r="B4488" s="76"/>
      <c r="C4488" s="75"/>
    </row>
    <row r="4489" spans="1:3">
      <c r="A4489" s="76"/>
      <c r="B4489" s="76"/>
      <c r="C4489" s="75"/>
    </row>
    <row r="4490" spans="1:3">
      <c r="A4490" s="76"/>
      <c r="B4490" s="76"/>
      <c r="C4490" s="75"/>
    </row>
    <row r="4491" spans="1:3">
      <c r="A4491" s="76"/>
      <c r="B4491" s="76"/>
      <c r="C4491" s="75"/>
    </row>
    <row r="4492" spans="1:3">
      <c r="A4492" s="76"/>
      <c r="B4492" s="76"/>
      <c r="C4492" s="75"/>
    </row>
    <row r="4493" spans="1:3">
      <c r="A4493" s="76"/>
      <c r="B4493" s="76"/>
      <c r="C4493" s="75"/>
    </row>
    <row r="4494" spans="1:3">
      <c r="A4494" s="76"/>
      <c r="B4494" s="76"/>
      <c r="C4494" s="75"/>
    </row>
    <row r="4495" spans="1:3">
      <c r="A4495" s="76"/>
      <c r="B4495" s="76"/>
      <c r="C4495" s="75"/>
    </row>
    <row r="4496" spans="1:3">
      <c r="A4496" s="76"/>
      <c r="B4496" s="76"/>
      <c r="C4496" s="75"/>
    </row>
    <row r="4497" spans="1:3">
      <c r="A4497" s="76"/>
      <c r="B4497" s="76"/>
      <c r="C4497" s="75"/>
    </row>
    <row r="4498" spans="1:3">
      <c r="A4498" s="76"/>
      <c r="B4498" s="76"/>
      <c r="C4498" s="75"/>
    </row>
    <row r="4499" spans="1:3">
      <c r="A4499" s="76"/>
      <c r="B4499" s="76"/>
      <c r="C4499" s="75"/>
    </row>
    <row r="4500" spans="1:3">
      <c r="A4500" s="76"/>
      <c r="B4500" s="76"/>
      <c r="C4500" s="75"/>
    </row>
    <row r="4501" spans="1:3">
      <c r="A4501" s="76"/>
      <c r="B4501" s="76"/>
      <c r="C4501" s="75"/>
    </row>
    <row r="4502" spans="1:3">
      <c r="A4502" s="76"/>
      <c r="B4502" s="76"/>
      <c r="C4502" s="75"/>
    </row>
    <row r="4503" spans="1:3">
      <c r="A4503" s="76"/>
      <c r="B4503" s="76"/>
      <c r="C4503" s="75"/>
    </row>
    <row r="4504" spans="1:3">
      <c r="A4504" s="76"/>
      <c r="B4504" s="76"/>
      <c r="C4504" s="75"/>
    </row>
    <row r="4505" spans="1:3">
      <c r="A4505" s="76"/>
      <c r="B4505" s="76"/>
      <c r="C4505" s="75"/>
    </row>
    <row r="4506" spans="1:3">
      <c r="A4506" s="76"/>
      <c r="B4506" s="76"/>
      <c r="C4506" s="75"/>
    </row>
    <row r="4507" spans="1:3">
      <c r="A4507" s="76"/>
      <c r="B4507" s="76"/>
      <c r="C4507" s="75"/>
    </row>
    <row r="4508" spans="1:3">
      <c r="A4508" s="76"/>
      <c r="B4508" s="76"/>
      <c r="C4508" s="75"/>
    </row>
    <row r="4509" spans="1:3">
      <c r="A4509" s="76"/>
      <c r="B4509" s="76"/>
      <c r="C4509" s="75"/>
    </row>
    <row r="4510" spans="1:3">
      <c r="A4510" s="76"/>
      <c r="B4510" s="76"/>
      <c r="C4510" s="75"/>
    </row>
    <row r="4511" spans="1:3">
      <c r="A4511" s="76"/>
      <c r="B4511" s="76"/>
      <c r="C4511" s="75"/>
    </row>
    <row r="4512" spans="1:3">
      <c r="A4512" s="76"/>
      <c r="B4512" s="76"/>
      <c r="C4512" s="75"/>
    </row>
    <row r="4513" spans="1:3">
      <c r="A4513" s="76"/>
      <c r="B4513" s="76"/>
      <c r="C4513" s="75"/>
    </row>
    <row r="4514" spans="1:3">
      <c r="A4514" s="76"/>
      <c r="B4514" s="76"/>
      <c r="C4514" s="75"/>
    </row>
    <row r="4515" spans="1:3">
      <c r="A4515" s="76"/>
      <c r="B4515" s="76"/>
      <c r="C4515" s="75"/>
    </row>
    <row r="4516" spans="1:3">
      <c r="A4516" s="76"/>
      <c r="B4516" s="76"/>
      <c r="C4516" s="75"/>
    </row>
    <row r="4517" spans="1:3">
      <c r="A4517" s="76"/>
      <c r="B4517" s="76"/>
      <c r="C4517" s="75"/>
    </row>
    <row r="4518" spans="1:3">
      <c r="A4518" s="76"/>
      <c r="B4518" s="76"/>
      <c r="C4518" s="75"/>
    </row>
    <row r="4519" spans="1:3">
      <c r="A4519" s="76"/>
      <c r="B4519" s="76"/>
      <c r="C4519" s="75"/>
    </row>
    <row r="4520" spans="1:3">
      <c r="A4520" s="76"/>
      <c r="B4520" s="76"/>
      <c r="C4520" s="75"/>
    </row>
    <row r="4521" spans="1:3">
      <c r="A4521" s="76"/>
      <c r="B4521" s="76"/>
      <c r="C4521" s="75"/>
    </row>
    <row r="4522" spans="1:3">
      <c r="A4522" s="76"/>
      <c r="B4522" s="76"/>
      <c r="C4522" s="75"/>
    </row>
    <row r="4523" spans="1:3">
      <c r="A4523" s="76"/>
      <c r="B4523" s="76"/>
      <c r="C4523" s="75"/>
    </row>
    <row r="4524" spans="1:3">
      <c r="A4524" s="76"/>
      <c r="B4524" s="76"/>
      <c r="C4524" s="75"/>
    </row>
    <row r="4525" spans="1:3">
      <c r="A4525" s="76"/>
      <c r="B4525" s="76"/>
      <c r="C4525" s="75"/>
    </row>
    <row r="4526" spans="1:3">
      <c r="A4526" s="76"/>
      <c r="B4526" s="76"/>
      <c r="C4526" s="75"/>
    </row>
    <row r="4527" spans="1:3">
      <c r="A4527" s="76"/>
      <c r="B4527" s="76"/>
      <c r="C4527" s="75"/>
    </row>
    <row r="4528" spans="1:3">
      <c r="A4528" s="76"/>
      <c r="B4528" s="76"/>
      <c r="C4528" s="75"/>
    </row>
    <row r="4529" spans="1:3">
      <c r="A4529" s="76"/>
      <c r="B4529" s="76"/>
      <c r="C4529" s="75"/>
    </row>
    <row r="4530" spans="1:3">
      <c r="A4530" s="76"/>
      <c r="B4530" s="76"/>
      <c r="C4530" s="75"/>
    </row>
    <row r="4531" spans="1:3">
      <c r="A4531" s="76"/>
      <c r="B4531" s="76"/>
      <c r="C4531" s="75"/>
    </row>
    <row r="4532" spans="1:3">
      <c r="A4532" s="76"/>
      <c r="B4532" s="76"/>
      <c r="C4532" s="75"/>
    </row>
    <row r="4533" spans="1:3">
      <c r="A4533" s="76"/>
      <c r="B4533" s="76"/>
      <c r="C4533" s="75"/>
    </row>
    <row r="4534" spans="1:3">
      <c r="A4534" s="76"/>
      <c r="B4534" s="76"/>
      <c r="C4534" s="75"/>
    </row>
    <row r="4535" spans="1:3">
      <c r="A4535" s="76"/>
      <c r="B4535" s="76"/>
      <c r="C4535" s="75"/>
    </row>
    <row r="4536" spans="1:3">
      <c r="A4536" s="76"/>
      <c r="B4536" s="76"/>
      <c r="C4536" s="75"/>
    </row>
    <row r="4537" spans="1:3">
      <c r="A4537" s="76"/>
      <c r="B4537" s="76"/>
      <c r="C4537" s="75"/>
    </row>
    <row r="4538" spans="1:3">
      <c r="A4538" s="76"/>
      <c r="B4538" s="76"/>
      <c r="C4538" s="75"/>
    </row>
    <row r="4539" spans="1:3">
      <c r="A4539" s="76"/>
      <c r="B4539" s="76"/>
      <c r="C4539" s="75"/>
    </row>
    <row r="4540" spans="1:3">
      <c r="A4540" s="76"/>
      <c r="B4540" s="76"/>
      <c r="C4540" s="75"/>
    </row>
    <row r="4541" spans="1:3">
      <c r="A4541" s="76"/>
      <c r="B4541" s="76"/>
      <c r="C4541" s="75"/>
    </row>
    <row r="4542" spans="1:3">
      <c r="A4542" s="76"/>
      <c r="B4542" s="76"/>
      <c r="C4542" s="75"/>
    </row>
    <row r="4543" spans="1:3">
      <c r="A4543" s="76"/>
      <c r="B4543" s="76"/>
      <c r="C4543" s="75"/>
    </row>
    <row r="4544" spans="1:3">
      <c r="A4544" s="76"/>
      <c r="B4544" s="76"/>
      <c r="C4544" s="75"/>
    </row>
    <row r="4545" spans="1:3">
      <c r="A4545" s="76"/>
      <c r="B4545" s="76"/>
      <c r="C4545" s="75"/>
    </row>
    <row r="4546" spans="1:3">
      <c r="A4546" s="76"/>
      <c r="B4546" s="76"/>
      <c r="C4546" s="75"/>
    </row>
    <row r="4547" spans="1:3">
      <c r="A4547" s="76"/>
      <c r="B4547" s="76"/>
      <c r="C4547" s="75"/>
    </row>
    <row r="4548" spans="1:3">
      <c r="A4548" s="76"/>
      <c r="B4548" s="76"/>
      <c r="C4548" s="75"/>
    </row>
    <row r="4549" spans="1:3">
      <c r="A4549" s="76"/>
      <c r="B4549" s="76"/>
      <c r="C4549" s="75"/>
    </row>
    <row r="4550" spans="1:3">
      <c r="A4550" s="76"/>
      <c r="B4550" s="76"/>
      <c r="C4550" s="75"/>
    </row>
    <row r="4551" spans="1:3">
      <c r="A4551" s="76"/>
      <c r="B4551" s="76"/>
      <c r="C4551" s="75"/>
    </row>
    <row r="4552" spans="1:3">
      <c r="A4552" s="76"/>
      <c r="B4552" s="76"/>
      <c r="C4552" s="75"/>
    </row>
    <row r="4553" spans="1:3">
      <c r="A4553" s="76"/>
      <c r="B4553" s="76"/>
      <c r="C4553" s="75"/>
    </row>
    <row r="4554" spans="1:3">
      <c r="A4554" s="76"/>
      <c r="B4554" s="76"/>
      <c r="C4554" s="75"/>
    </row>
    <row r="4555" spans="1:3">
      <c r="A4555" s="76"/>
      <c r="B4555" s="76"/>
      <c r="C4555" s="75"/>
    </row>
    <row r="4556" spans="1:3">
      <c r="A4556" s="76"/>
      <c r="B4556" s="76"/>
      <c r="C4556" s="75"/>
    </row>
    <row r="4557" spans="1:3">
      <c r="A4557" s="76"/>
      <c r="B4557" s="76"/>
      <c r="C4557" s="75"/>
    </row>
    <row r="4558" spans="1:3">
      <c r="A4558" s="76"/>
      <c r="B4558" s="76"/>
      <c r="C4558" s="75"/>
    </row>
    <row r="4559" spans="1:3">
      <c r="A4559" s="76"/>
      <c r="B4559" s="76"/>
      <c r="C4559" s="75"/>
    </row>
    <row r="4560" spans="1:3">
      <c r="A4560" s="76"/>
      <c r="B4560" s="76"/>
      <c r="C4560" s="75"/>
    </row>
    <row r="4561" spans="1:3">
      <c r="A4561" s="76"/>
      <c r="B4561" s="76"/>
      <c r="C4561" s="75"/>
    </row>
    <row r="4562" spans="1:3">
      <c r="A4562" s="76"/>
      <c r="B4562" s="76"/>
      <c r="C4562" s="75"/>
    </row>
    <row r="4563" spans="1:3">
      <c r="A4563" s="76"/>
      <c r="B4563" s="76"/>
      <c r="C4563" s="75"/>
    </row>
    <row r="4564" spans="1:3">
      <c r="A4564" s="76"/>
      <c r="B4564" s="76"/>
      <c r="C4564" s="75"/>
    </row>
    <row r="4565" spans="1:3">
      <c r="A4565" s="76"/>
      <c r="B4565" s="76"/>
      <c r="C4565" s="75"/>
    </row>
    <row r="4566" spans="1:3">
      <c r="A4566" s="76"/>
      <c r="B4566" s="76"/>
      <c r="C4566" s="75"/>
    </row>
    <row r="4567" spans="1:3">
      <c r="A4567" s="76"/>
      <c r="B4567" s="76"/>
      <c r="C4567" s="75"/>
    </row>
    <row r="4568" spans="1:3">
      <c r="A4568" s="76"/>
      <c r="B4568" s="76"/>
      <c r="C4568" s="75"/>
    </row>
    <row r="4569" spans="1:3">
      <c r="A4569" s="76"/>
      <c r="B4569" s="76"/>
      <c r="C4569" s="75"/>
    </row>
    <row r="4570" spans="1:3">
      <c r="A4570" s="76"/>
      <c r="B4570" s="76"/>
      <c r="C4570" s="75"/>
    </row>
    <row r="4571" spans="1:3">
      <c r="A4571" s="76"/>
      <c r="B4571" s="76"/>
      <c r="C4571" s="75"/>
    </row>
    <row r="4572" spans="1:3">
      <c r="A4572" s="76"/>
      <c r="B4572" s="76"/>
      <c r="C4572" s="75"/>
    </row>
    <row r="4573" spans="1:3">
      <c r="A4573" s="76"/>
      <c r="B4573" s="76"/>
      <c r="C4573" s="75"/>
    </row>
    <row r="4574" spans="1:3">
      <c r="A4574" s="76"/>
      <c r="B4574" s="76"/>
      <c r="C4574" s="75"/>
    </row>
    <row r="4575" spans="1:3">
      <c r="A4575" s="76"/>
      <c r="B4575" s="76"/>
      <c r="C4575" s="75"/>
    </row>
    <row r="4576" spans="1:3">
      <c r="A4576" s="76"/>
      <c r="B4576" s="76"/>
      <c r="C4576" s="75"/>
    </row>
    <row r="4577" spans="1:3">
      <c r="A4577" s="76"/>
      <c r="B4577" s="76"/>
      <c r="C4577" s="75"/>
    </row>
    <row r="4578" spans="1:3">
      <c r="A4578" s="76"/>
      <c r="B4578" s="76"/>
      <c r="C4578" s="75"/>
    </row>
    <row r="4579" spans="1:3">
      <c r="A4579" s="76"/>
      <c r="B4579" s="76"/>
      <c r="C4579" s="75"/>
    </row>
    <row r="4580" spans="1:3">
      <c r="A4580" s="76"/>
      <c r="B4580" s="76"/>
      <c r="C4580" s="75"/>
    </row>
    <row r="4581" spans="1:3">
      <c r="A4581" s="76"/>
      <c r="B4581" s="76"/>
      <c r="C4581" s="75"/>
    </row>
    <row r="4582" spans="1:3">
      <c r="A4582" s="76"/>
      <c r="B4582" s="76"/>
      <c r="C4582" s="75"/>
    </row>
    <row r="4583" spans="1:3">
      <c r="A4583" s="76"/>
      <c r="B4583" s="76"/>
      <c r="C4583" s="75"/>
    </row>
    <row r="4584" spans="1:3">
      <c r="A4584" s="76"/>
      <c r="B4584" s="76"/>
      <c r="C4584" s="75"/>
    </row>
    <row r="4585" spans="1:3">
      <c r="A4585" s="76"/>
      <c r="B4585" s="76"/>
      <c r="C4585" s="75"/>
    </row>
    <row r="4586" spans="1:3">
      <c r="A4586" s="76"/>
      <c r="B4586" s="76"/>
      <c r="C4586" s="75"/>
    </row>
    <row r="4587" spans="1:3">
      <c r="A4587" s="76"/>
      <c r="B4587" s="76"/>
      <c r="C4587" s="75"/>
    </row>
    <row r="4588" spans="1:3">
      <c r="A4588" s="76"/>
      <c r="B4588" s="76"/>
      <c r="C4588" s="75"/>
    </row>
    <row r="4589" spans="1:3">
      <c r="A4589" s="76"/>
      <c r="B4589" s="76"/>
      <c r="C4589" s="75"/>
    </row>
    <row r="4590" spans="1:3">
      <c r="A4590" s="76"/>
      <c r="B4590" s="76"/>
      <c r="C4590" s="75"/>
    </row>
    <row r="4591" spans="1:3">
      <c r="A4591" s="76"/>
      <c r="B4591" s="76"/>
      <c r="C4591" s="75"/>
    </row>
    <row r="4592" spans="1:3">
      <c r="A4592" s="76"/>
      <c r="B4592" s="76"/>
      <c r="C4592" s="75"/>
    </row>
    <row r="4593" spans="1:3">
      <c r="A4593" s="76"/>
      <c r="B4593" s="76"/>
      <c r="C4593" s="75"/>
    </row>
    <row r="4594" spans="1:3">
      <c r="A4594" s="76"/>
      <c r="B4594" s="76"/>
      <c r="C4594" s="75"/>
    </row>
    <row r="4595" spans="1:3">
      <c r="A4595" s="76"/>
      <c r="B4595" s="76"/>
      <c r="C4595" s="75"/>
    </row>
    <row r="4596" spans="1:3">
      <c r="A4596" s="76"/>
      <c r="B4596" s="76"/>
      <c r="C4596" s="75"/>
    </row>
    <row r="4597" spans="1:3">
      <c r="A4597" s="76"/>
      <c r="B4597" s="76"/>
      <c r="C4597" s="75"/>
    </row>
    <row r="4598" spans="1:3">
      <c r="A4598" s="76"/>
      <c r="B4598" s="76"/>
      <c r="C4598" s="75"/>
    </row>
    <row r="4599" spans="1:3">
      <c r="A4599" s="76"/>
      <c r="B4599" s="76"/>
      <c r="C4599" s="75"/>
    </row>
    <row r="4600" spans="1:3">
      <c r="A4600" s="76"/>
      <c r="B4600" s="76"/>
      <c r="C4600" s="75"/>
    </row>
    <row r="4601" spans="1:3">
      <c r="A4601" s="76"/>
      <c r="B4601" s="76"/>
      <c r="C4601" s="75"/>
    </row>
    <row r="4602" spans="1:3">
      <c r="A4602" s="76"/>
      <c r="B4602" s="76"/>
      <c r="C4602" s="75"/>
    </row>
    <row r="4603" spans="1:3">
      <c r="A4603" s="76"/>
      <c r="B4603" s="76"/>
      <c r="C4603" s="75"/>
    </row>
    <row r="4604" spans="1:3">
      <c r="A4604" s="76"/>
      <c r="B4604" s="76"/>
      <c r="C4604" s="75"/>
    </row>
    <row r="4605" spans="1:3">
      <c r="A4605" s="76"/>
      <c r="B4605" s="76"/>
      <c r="C4605" s="75"/>
    </row>
    <row r="4606" spans="1:3">
      <c r="A4606" s="76"/>
      <c r="B4606" s="76"/>
      <c r="C4606" s="75"/>
    </row>
    <row r="4607" spans="1:3">
      <c r="A4607" s="76"/>
      <c r="B4607" s="76"/>
      <c r="C4607" s="75"/>
    </row>
    <row r="4608" spans="1:3">
      <c r="A4608" s="76"/>
      <c r="B4608" s="76"/>
      <c r="C4608" s="75"/>
    </row>
    <row r="4609" spans="1:3">
      <c r="A4609" s="76"/>
      <c r="B4609" s="76"/>
      <c r="C4609" s="75"/>
    </row>
    <row r="4610" spans="1:3">
      <c r="A4610" s="76"/>
      <c r="B4610" s="76"/>
      <c r="C4610" s="75"/>
    </row>
    <row r="4611" spans="1:3">
      <c r="A4611" s="76"/>
      <c r="B4611" s="76"/>
      <c r="C4611" s="75"/>
    </row>
    <row r="4612" spans="1:3">
      <c r="A4612" s="76"/>
      <c r="B4612" s="76"/>
      <c r="C4612" s="75"/>
    </row>
    <row r="4613" spans="1:3">
      <c r="A4613" s="76"/>
      <c r="B4613" s="76"/>
      <c r="C4613" s="75"/>
    </row>
    <row r="4614" spans="1:3">
      <c r="A4614" s="76"/>
      <c r="B4614" s="76"/>
      <c r="C4614" s="75"/>
    </row>
    <row r="4615" spans="1:3">
      <c r="A4615" s="76"/>
      <c r="B4615" s="76"/>
      <c r="C4615" s="75"/>
    </row>
    <row r="4616" spans="1:3">
      <c r="A4616" s="76"/>
      <c r="B4616" s="76"/>
      <c r="C4616" s="75"/>
    </row>
    <row r="4617" spans="1:3">
      <c r="A4617" s="76"/>
      <c r="B4617" s="76"/>
      <c r="C4617" s="75"/>
    </row>
    <row r="4618" spans="1:3">
      <c r="A4618" s="76"/>
      <c r="B4618" s="76"/>
      <c r="C4618" s="75"/>
    </row>
    <row r="4619" spans="1:3">
      <c r="A4619" s="76"/>
      <c r="B4619" s="76"/>
      <c r="C4619" s="75"/>
    </row>
    <row r="4620" spans="1:3">
      <c r="A4620" s="76"/>
      <c r="B4620" s="76"/>
      <c r="C4620" s="75"/>
    </row>
    <row r="4621" spans="1:3">
      <c r="A4621" s="76"/>
      <c r="B4621" s="76"/>
      <c r="C4621" s="75"/>
    </row>
    <row r="4622" spans="1:3">
      <c r="A4622" s="76"/>
      <c r="B4622" s="76"/>
      <c r="C4622" s="75"/>
    </row>
    <row r="4623" spans="1:3">
      <c r="A4623" s="76"/>
      <c r="B4623" s="76"/>
      <c r="C4623" s="75"/>
    </row>
    <row r="4624" spans="1:3">
      <c r="A4624" s="76"/>
      <c r="B4624" s="76"/>
      <c r="C4624" s="75"/>
    </row>
    <row r="4625" spans="1:3">
      <c r="A4625" s="76"/>
      <c r="B4625" s="76"/>
      <c r="C4625" s="75"/>
    </row>
    <row r="4626" spans="1:3">
      <c r="A4626" s="76"/>
      <c r="B4626" s="76"/>
      <c r="C4626" s="75"/>
    </row>
    <row r="4627" spans="1:3">
      <c r="A4627" s="76"/>
      <c r="B4627" s="76"/>
      <c r="C4627" s="75"/>
    </row>
    <row r="4628" spans="1:3">
      <c r="A4628" s="76"/>
      <c r="B4628" s="76"/>
      <c r="C4628" s="75"/>
    </row>
    <row r="4629" spans="1:3">
      <c r="A4629" s="76"/>
      <c r="B4629" s="76"/>
      <c r="C4629" s="75"/>
    </row>
    <row r="4630" spans="1:3">
      <c r="A4630" s="76"/>
      <c r="B4630" s="76"/>
      <c r="C4630" s="75"/>
    </row>
    <row r="4631" spans="1:3">
      <c r="A4631" s="76"/>
      <c r="B4631" s="76"/>
      <c r="C4631" s="75"/>
    </row>
    <row r="4632" spans="1:3">
      <c r="A4632" s="76"/>
      <c r="B4632" s="76"/>
      <c r="C4632" s="75"/>
    </row>
    <row r="4633" spans="1:3">
      <c r="A4633" s="76"/>
      <c r="B4633" s="76"/>
      <c r="C4633" s="75"/>
    </row>
    <row r="4634" spans="1:3">
      <c r="A4634" s="76"/>
      <c r="B4634" s="76"/>
      <c r="C4634" s="75"/>
    </row>
    <row r="4635" spans="1:3">
      <c r="A4635" s="76"/>
      <c r="B4635" s="76"/>
      <c r="C4635" s="75"/>
    </row>
    <row r="4636" spans="1:3">
      <c r="A4636" s="76"/>
      <c r="B4636" s="76"/>
      <c r="C4636" s="75"/>
    </row>
    <row r="4637" spans="1:3">
      <c r="A4637" s="76"/>
      <c r="B4637" s="76"/>
      <c r="C4637" s="75"/>
    </row>
    <row r="4638" spans="1:3">
      <c r="A4638" s="76"/>
      <c r="B4638" s="76"/>
      <c r="C4638" s="75"/>
    </row>
    <row r="4639" spans="1:3">
      <c r="A4639" s="76"/>
      <c r="B4639" s="76"/>
      <c r="C4639" s="75"/>
    </row>
    <row r="4640" spans="1:3">
      <c r="A4640" s="76"/>
      <c r="B4640" s="76"/>
      <c r="C4640" s="75"/>
    </row>
    <row r="4641" spans="1:3">
      <c r="A4641" s="76"/>
      <c r="B4641" s="76"/>
      <c r="C4641" s="75"/>
    </row>
    <row r="4642" spans="1:3">
      <c r="A4642" s="76"/>
      <c r="B4642" s="76"/>
      <c r="C4642" s="75"/>
    </row>
    <row r="4643" spans="1:3">
      <c r="A4643" s="76"/>
      <c r="B4643" s="76"/>
      <c r="C4643" s="75"/>
    </row>
    <row r="4644" spans="1:3">
      <c r="A4644" s="76"/>
      <c r="B4644" s="76"/>
      <c r="C4644" s="75"/>
    </row>
    <row r="4645" spans="1:3">
      <c r="A4645" s="76"/>
      <c r="B4645" s="76"/>
      <c r="C4645" s="75"/>
    </row>
    <row r="4646" spans="1:3">
      <c r="A4646" s="76"/>
      <c r="B4646" s="76"/>
      <c r="C4646" s="75"/>
    </row>
    <row r="4647" spans="1:3">
      <c r="A4647" s="76"/>
      <c r="B4647" s="76"/>
      <c r="C4647" s="75"/>
    </row>
    <row r="4648" spans="1:3">
      <c r="A4648" s="76"/>
      <c r="B4648" s="76"/>
      <c r="C4648" s="75"/>
    </row>
    <row r="4649" spans="1:3">
      <c r="A4649" s="76"/>
      <c r="B4649" s="76"/>
      <c r="C4649" s="75"/>
    </row>
    <row r="4650" spans="1:3">
      <c r="A4650" s="76"/>
      <c r="B4650" s="76"/>
      <c r="C4650" s="75"/>
    </row>
    <row r="4651" spans="1:3">
      <c r="A4651" s="76"/>
      <c r="B4651" s="76"/>
      <c r="C4651" s="75"/>
    </row>
    <row r="4652" spans="1:3">
      <c r="A4652" s="76"/>
      <c r="B4652" s="76"/>
      <c r="C4652" s="75"/>
    </row>
    <row r="4653" spans="1:3">
      <c r="A4653" s="76"/>
      <c r="B4653" s="76"/>
      <c r="C4653" s="75"/>
    </row>
    <row r="4654" spans="1:3">
      <c r="A4654" s="76"/>
      <c r="B4654" s="76"/>
      <c r="C4654" s="75"/>
    </row>
    <row r="4655" spans="1:3">
      <c r="A4655" s="76"/>
      <c r="B4655" s="76"/>
      <c r="C4655" s="75"/>
    </row>
    <row r="4656" spans="1:3">
      <c r="A4656" s="76"/>
      <c r="B4656" s="76"/>
      <c r="C4656" s="75"/>
    </row>
    <row r="4657" spans="1:3">
      <c r="A4657" s="76"/>
      <c r="B4657" s="76"/>
      <c r="C4657" s="75"/>
    </row>
    <row r="4658" spans="1:3">
      <c r="A4658" s="76"/>
      <c r="B4658" s="76"/>
      <c r="C4658" s="75"/>
    </row>
    <row r="4659" spans="1:3">
      <c r="A4659" s="76"/>
      <c r="B4659" s="76"/>
      <c r="C4659" s="75"/>
    </row>
    <row r="4660" spans="1:3">
      <c r="A4660" s="76"/>
      <c r="B4660" s="76"/>
      <c r="C4660" s="75"/>
    </row>
    <row r="4661" spans="1:3">
      <c r="A4661" s="76"/>
      <c r="B4661" s="76"/>
      <c r="C4661" s="75"/>
    </row>
    <row r="4662" spans="1:3">
      <c r="A4662" s="76"/>
      <c r="B4662" s="76"/>
      <c r="C4662" s="75"/>
    </row>
    <row r="4663" spans="1:3">
      <c r="A4663" s="76"/>
      <c r="B4663" s="76"/>
      <c r="C4663" s="75"/>
    </row>
    <row r="4664" spans="1:3">
      <c r="A4664" s="76"/>
      <c r="B4664" s="76"/>
      <c r="C4664" s="75"/>
    </row>
    <row r="4665" spans="1:3">
      <c r="A4665" s="76"/>
      <c r="B4665" s="76"/>
      <c r="C4665" s="75"/>
    </row>
    <row r="4666" spans="1:3">
      <c r="A4666" s="76"/>
      <c r="B4666" s="76"/>
      <c r="C4666" s="75"/>
    </row>
    <row r="4667" spans="1:3">
      <c r="A4667" s="76"/>
      <c r="B4667" s="76"/>
      <c r="C4667" s="75"/>
    </row>
    <row r="4668" spans="1:3">
      <c r="A4668" s="76"/>
      <c r="B4668" s="76"/>
      <c r="C4668" s="75"/>
    </row>
    <row r="4669" spans="1:3">
      <c r="A4669" s="76"/>
      <c r="B4669" s="76"/>
      <c r="C4669" s="75"/>
    </row>
    <row r="4670" spans="1:3">
      <c r="A4670" s="76"/>
      <c r="B4670" s="76"/>
      <c r="C4670" s="75"/>
    </row>
    <row r="4671" spans="1:3">
      <c r="A4671" s="76"/>
      <c r="B4671" s="76"/>
      <c r="C4671" s="75"/>
    </row>
    <row r="4672" spans="1:3">
      <c r="A4672" s="76"/>
      <c r="B4672" s="76"/>
      <c r="C4672" s="75"/>
    </row>
    <row r="4673" spans="1:3">
      <c r="A4673" s="76"/>
      <c r="B4673" s="76"/>
      <c r="C4673" s="75"/>
    </row>
    <row r="4674" spans="1:3">
      <c r="A4674" s="76"/>
      <c r="B4674" s="76"/>
      <c r="C4674" s="75"/>
    </row>
    <row r="4675" spans="1:3">
      <c r="A4675" s="76"/>
      <c r="B4675" s="76"/>
      <c r="C4675" s="75"/>
    </row>
    <row r="4676" spans="1:3">
      <c r="A4676" s="76"/>
      <c r="B4676" s="76"/>
      <c r="C4676" s="75"/>
    </row>
    <row r="4677" spans="1:3">
      <c r="A4677" s="76"/>
      <c r="B4677" s="76"/>
      <c r="C4677" s="75"/>
    </row>
    <row r="4678" spans="1:3">
      <c r="A4678" s="76"/>
      <c r="B4678" s="76"/>
      <c r="C4678" s="75"/>
    </row>
    <row r="4679" spans="1:3">
      <c r="A4679" s="76"/>
      <c r="B4679" s="76"/>
      <c r="C4679" s="75"/>
    </row>
    <row r="4680" spans="1:3">
      <c r="A4680" s="76"/>
      <c r="B4680" s="76"/>
      <c r="C4680" s="75"/>
    </row>
    <row r="4681" spans="1:3">
      <c r="A4681" s="76"/>
      <c r="B4681" s="76"/>
      <c r="C4681" s="75"/>
    </row>
    <row r="4682" spans="1:3">
      <c r="A4682" s="76"/>
      <c r="B4682" s="76"/>
      <c r="C4682" s="75"/>
    </row>
    <row r="4683" spans="1:3">
      <c r="A4683" s="76"/>
      <c r="B4683" s="76"/>
      <c r="C4683" s="75"/>
    </row>
    <row r="4684" spans="1:3">
      <c r="A4684" s="76"/>
      <c r="B4684" s="76"/>
      <c r="C4684" s="75"/>
    </row>
    <row r="4685" spans="1:3">
      <c r="A4685" s="76"/>
      <c r="B4685" s="76"/>
      <c r="C4685" s="75"/>
    </row>
    <row r="4686" spans="1:3">
      <c r="A4686" s="76"/>
      <c r="B4686" s="76"/>
      <c r="C4686" s="75"/>
    </row>
    <row r="4687" spans="1:3">
      <c r="A4687" s="76"/>
      <c r="B4687" s="76"/>
      <c r="C4687" s="75"/>
    </row>
    <row r="4688" spans="1:3">
      <c r="A4688" s="76"/>
      <c r="B4688" s="76"/>
      <c r="C4688" s="75"/>
    </row>
    <row r="4689" spans="1:3">
      <c r="A4689" s="76"/>
      <c r="B4689" s="76"/>
      <c r="C4689" s="75"/>
    </row>
    <row r="4690" spans="1:3">
      <c r="A4690" s="76"/>
      <c r="B4690" s="76"/>
      <c r="C4690" s="75"/>
    </row>
    <row r="4691" spans="1:3">
      <c r="A4691" s="76"/>
      <c r="B4691" s="76"/>
      <c r="C4691" s="75"/>
    </row>
    <row r="4692" spans="1:3">
      <c r="A4692" s="76"/>
      <c r="B4692" s="76"/>
      <c r="C4692" s="75"/>
    </row>
    <row r="4693" spans="1:3">
      <c r="A4693" s="76"/>
      <c r="B4693" s="76"/>
      <c r="C4693" s="75"/>
    </row>
    <row r="4694" spans="1:3">
      <c r="A4694" s="76"/>
      <c r="B4694" s="76"/>
      <c r="C4694" s="75"/>
    </row>
    <row r="4695" spans="1:3">
      <c r="A4695" s="76"/>
      <c r="B4695" s="76"/>
      <c r="C4695" s="75"/>
    </row>
    <row r="4696" spans="1:3">
      <c r="A4696" s="76"/>
      <c r="B4696" s="76"/>
      <c r="C4696" s="75"/>
    </row>
    <row r="4697" spans="1:3">
      <c r="A4697" s="76"/>
      <c r="B4697" s="76"/>
      <c r="C4697" s="75"/>
    </row>
    <row r="4698" spans="1:3">
      <c r="A4698" s="76"/>
      <c r="B4698" s="76"/>
      <c r="C4698" s="75"/>
    </row>
    <row r="4699" spans="1:3">
      <c r="A4699" s="76"/>
      <c r="B4699" s="76"/>
      <c r="C4699" s="75"/>
    </row>
    <row r="4700" spans="1:3">
      <c r="A4700" s="76"/>
      <c r="B4700" s="76"/>
      <c r="C4700" s="75"/>
    </row>
    <row r="4701" spans="1:3">
      <c r="A4701" s="76"/>
      <c r="B4701" s="76"/>
      <c r="C4701" s="75"/>
    </row>
    <row r="4702" spans="1:3">
      <c r="A4702" s="76"/>
      <c r="B4702" s="76"/>
      <c r="C4702" s="75"/>
    </row>
    <row r="4703" spans="1:3">
      <c r="A4703" s="76"/>
      <c r="B4703" s="76"/>
      <c r="C4703" s="75"/>
    </row>
    <row r="4704" spans="1:3">
      <c r="A4704" s="76"/>
      <c r="B4704" s="76"/>
      <c r="C4704" s="75"/>
    </row>
    <row r="4705" spans="1:3">
      <c r="A4705" s="76"/>
      <c r="B4705" s="76"/>
      <c r="C4705" s="75"/>
    </row>
    <row r="4706" spans="1:3">
      <c r="A4706" s="76"/>
      <c r="B4706" s="76"/>
      <c r="C4706" s="75"/>
    </row>
    <row r="4707" spans="1:3">
      <c r="A4707" s="76"/>
      <c r="B4707" s="76"/>
      <c r="C4707" s="75"/>
    </row>
    <row r="4708" spans="1:3">
      <c r="A4708" s="76"/>
      <c r="B4708" s="76"/>
      <c r="C4708" s="75"/>
    </row>
    <row r="4709" spans="1:3">
      <c r="A4709" s="76"/>
      <c r="B4709" s="76"/>
      <c r="C4709" s="75"/>
    </row>
    <row r="4710" spans="1:3">
      <c r="A4710" s="76"/>
      <c r="B4710" s="76"/>
      <c r="C4710" s="75"/>
    </row>
    <row r="4711" spans="1:3">
      <c r="A4711" s="76"/>
      <c r="B4711" s="76"/>
      <c r="C4711" s="75"/>
    </row>
    <row r="4712" spans="1:3">
      <c r="A4712" s="76"/>
      <c r="B4712" s="76"/>
      <c r="C4712" s="75"/>
    </row>
    <row r="4713" spans="1:3">
      <c r="A4713" s="76"/>
      <c r="B4713" s="76"/>
      <c r="C4713" s="75"/>
    </row>
    <row r="4714" spans="1:3">
      <c r="A4714" s="76"/>
      <c r="B4714" s="76"/>
      <c r="C4714" s="75"/>
    </row>
    <row r="4715" spans="1:3">
      <c r="A4715" s="76"/>
      <c r="B4715" s="76"/>
      <c r="C4715" s="75"/>
    </row>
    <row r="4716" spans="1:3">
      <c r="A4716" s="76"/>
      <c r="B4716" s="76"/>
      <c r="C4716" s="75"/>
    </row>
    <row r="4717" spans="1:3">
      <c r="A4717" s="76"/>
      <c r="B4717" s="76"/>
      <c r="C4717" s="75"/>
    </row>
    <row r="4718" spans="1:3">
      <c r="A4718" s="76"/>
      <c r="B4718" s="76"/>
      <c r="C4718" s="75"/>
    </row>
    <row r="4719" spans="1:3">
      <c r="A4719" s="76"/>
      <c r="B4719" s="76"/>
      <c r="C4719" s="75"/>
    </row>
    <row r="4720" spans="1:3">
      <c r="A4720" s="76"/>
      <c r="B4720" s="76"/>
      <c r="C4720" s="75"/>
    </row>
    <row r="4721" spans="1:3">
      <c r="A4721" s="76"/>
      <c r="B4721" s="76"/>
      <c r="C4721" s="75"/>
    </row>
    <row r="4722" spans="1:3">
      <c r="A4722" s="76"/>
      <c r="B4722" s="76"/>
      <c r="C4722" s="75"/>
    </row>
    <row r="4723" spans="1:3">
      <c r="A4723" s="76"/>
      <c r="B4723" s="76"/>
      <c r="C4723" s="75"/>
    </row>
    <row r="4724" spans="1:3">
      <c r="A4724" s="76"/>
      <c r="B4724" s="76"/>
      <c r="C4724" s="75"/>
    </row>
    <row r="4725" spans="1:3">
      <c r="A4725" s="76"/>
      <c r="B4725" s="76"/>
      <c r="C4725" s="75"/>
    </row>
    <row r="4726" spans="1:3">
      <c r="A4726" s="76"/>
      <c r="B4726" s="76"/>
      <c r="C4726" s="75"/>
    </row>
    <row r="4727" spans="1:3">
      <c r="A4727" s="76"/>
      <c r="B4727" s="76"/>
      <c r="C4727" s="75"/>
    </row>
    <row r="4728" spans="1:3">
      <c r="A4728" s="76"/>
      <c r="B4728" s="76"/>
      <c r="C4728" s="75"/>
    </row>
    <row r="4729" spans="1:3">
      <c r="A4729" s="76"/>
      <c r="B4729" s="76"/>
      <c r="C4729" s="75"/>
    </row>
    <row r="4730" spans="1:3">
      <c r="A4730" s="76"/>
      <c r="B4730" s="76"/>
      <c r="C4730" s="75"/>
    </row>
    <row r="4731" spans="1:3">
      <c r="A4731" s="76"/>
      <c r="B4731" s="76"/>
      <c r="C4731" s="75"/>
    </row>
    <row r="4732" spans="1:3">
      <c r="A4732" s="76"/>
      <c r="B4732" s="76"/>
      <c r="C4732" s="75"/>
    </row>
    <row r="4733" spans="1:3">
      <c r="A4733" s="76"/>
      <c r="B4733" s="76"/>
      <c r="C4733" s="75"/>
    </row>
    <row r="4734" spans="1:3">
      <c r="A4734" s="76"/>
      <c r="B4734" s="76"/>
      <c r="C4734" s="75"/>
    </row>
    <row r="4735" spans="1:3">
      <c r="A4735" s="76"/>
      <c r="B4735" s="76"/>
      <c r="C4735" s="75"/>
    </row>
    <row r="4736" spans="1:3">
      <c r="A4736" s="76"/>
      <c r="B4736" s="76"/>
      <c r="C4736" s="75"/>
    </row>
    <row r="4737" spans="1:3">
      <c r="A4737" s="76"/>
      <c r="B4737" s="76"/>
      <c r="C4737" s="75"/>
    </row>
    <row r="4738" spans="1:3">
      <c r="A4738" s="76"/>
      <c r="B4738" s="76"/>
      <c r="C4738" s="75"/>
    </row>
    <row r="4739" spans="1:3">
      <c r="A4739" s="76"/>
      <c r="B4739" s="76"/>
      <c r="C4739" s="75"/>
    </row>
    <row r="4740" spans="1:3">
      <c r="A4740" s="76"/>
      <c r="B4740" s="76"/>
      <c r="C4740" s="75"/>
    </row>
    <row r="4741" spans="1:3">
      <c r="A4741" s="76"/>
      <c r="B4741" s="76"/>
      <c r="C4741" s="75"/>
    </row>
    <row r="4742" spans="1:3">
      <c r="A4742" s="76"/>
      <c r="B4742" s="76"/>
      <c r="C4742" s="75"/>
    </row>
    <row r="4743" spans="1:3">
      <c r="A4743" s="76"/>
      <c r="B4743" s="76"/>
      <c r="C4743" s="75"/>
    </row>
    <row r="4744" spans="1:3">
      <c r="A4744" s="76"/>
      <c r="B4744" s="76"/>
      <c r="C4744" s="75"/>
    </row>
    <row r="4745" spans="1:3">
      <c r="A4745" s="76"/>
      <c r="B4745" s="76"/>
      <c r="C4745" s="75"/>
    </row>
    <row r="4746" spans="1:3">
      <c r="A4746" s="76"/>
      <c r="B4746" s="76"/>
      <c r="C4746" s="75"/>
    </row>
    <row r="4747" spans="1:3">
      <c r="A4747" s="76"/>
      <c r="B4747" s="76"/>
      <c r="C4747" s="75"/>
    </row>
    <row r="4748" spans="1:3">
      <c r="A4748" s="76"/>
      <c r="B4748" s="76"/>
      <c r="C4748" s="75"/>
    </row>
    <row r="4749" spans="1:3">
      <c r="A4749" s="76"/>
      <c r="B4749" s="76"/>
      <c r="C4749" s="75"/>
    </row>
    <row r="4750" spans="1:3">
      <c r="A4750" s="76"/>
      <c r="B4750" s="76"/>
      <c r="C4750" s="75"/>
    </row>
    <row r="4751" spans="1:3">
      <c r="A4751" s="76"/>
      <c r="B4751" s="76"/>
      <c r="C4751" s="75"/>
    </row>
    <row r="4752" spans="1:3">
      <c r="A4752" s="76"/>
      <c r="B4752" s="76"/>
      <c r="C4752" s="75"/>
    </row>
    <row r="4753" spans="1:3">
      <c r="A4753" s="76"/>
      <c r="B4753" s="76"/>
      <c r="C4753" s="75"/>
    </row>
    <row r="4754" spans="1:3">
      <c r="A4754" s="76"/>
      <c r="B4754" s="76"/>
      <c r="C4754" s="75"/>
    </row>
    <row r="4755" spans="1:3">
      <c r="A4755" s="76"/>
      <c r="B4755" s="76"/>
      <c r="C4755" s="75"/>
    </row>
    <row r="4756" spans="1:3">
      <c r="A4756" s="76"/>
      <c r="B4756" s="76"/>
      <c r="C4756" s="75"/>
    </row>
    <row r="4757" spans="1:3">
      <c r="A4757" s="76"/>
      <c r="B4757" s="76"/>
      <c r="C4757" s="75"/>
    </row>
    <row r="4758" spans="1:3">
      <c r="A4758" s="76"/>
      <c r="B4758" s="76"/>
      <c r="C4758" s="75"/>
    </row>
    <row r="4759" spans="1:3">
      <c r="A4759" s="76"/>
      <c r="B4759" s="76"/>
      <c r="C4759" s="75"/>
    </row>
    <row r="4760" spans="1:3">
      <c r="A4760" s="76"/>
      <c r="B4760" s="76"/>
      <c r="C4760" s="75"/>
    </row>
    <row r="4761" spans="1:3">
      <c r="A4761" s="76"/>
      <c r="B4761" s="76"/>
      <c r="C4761" s="75"/>
    </row>
    <row r="4762" spans="1:3">
      <c r="A4762" s="76"/>
      <c r="B4762" s="76"/>
      <c r="C4762" s="75"/>
    </row>
    <row r="4763" spans="1:3">
      <c r="A4763" s="76"/>
      <c r="B4763" s="76"/>
      <c r="C4763" s="75"/>
    </row>
    <row r="4764" spans="1:3">
      <c r="A4764" s="76"/>
      <c r="B4764" s="76"/>
      <c r="C4764" s="75"/>
    </row>
    <row r="4765" spans="1:3">
      <c r="A4765" s="76"/>
      <c r="B4765" s="76"/>
      <c r="C4765" s="75"/>
    </row>
    <row r="4766" spans="1:3">
      <c r="A4766" s="76"/>
      <c r="B4766" s="76"/>
      <c r="C4766" s="75"/>
    </row>
    <row r="4767" spans="1:3">
      <c r="A4767" s="76"/>
      <c r="B4767" s="76"/>
      <c r="C4767" s="75"/>
    </row>
    <row r="4768" spans="1:3">
      <c r="A4768" s="76"/>
      <c r="B4768" s="76"/>
      <c r="C4768" s="75"/>
    </row>
    <row r="4769" spans="1:3">
      <c r="A4769" s="76"/>
      <c r="B4769" s="76"/>
      <c r="C4769" s="75"/>
    </row>
    <row r="4770" spans="1:3">
      <c r="A4770" s="76"/>
      <c r="B4770" s="76"/>
      <c r="C4770" s="75"/>
    </row>
    <row r="4771" spans="1:3">
      <c r="A4771" s="76"/>
      <c r="B4771" s="76"/>
      <c r="C4771" s="75"/>
    </row>
    <row r="4772" spans="1:3">
      <c r="A4772" s="76"/>
      <c r="B4772" s="76"/>
      <c r="C4772" s="75"/>
    </row>
    <row r="4773" spans="1:3">
      <c r="A4773" s="76"/>
      <c r="B4773" s="76"/>
      <c r="C4773" s="75"/>
    </row>
    <row r="4774" spans="1:3">
      <c r="A4774" s="76"/>
      <c r="B4774" s="76"/>
      <c r="C4774" s="75"/>
    </row>
    <row r="4775" spans="1:3">
      <c r="A4775" s="76"/>
      <c r="B4775" s="76"/>
      <c r="C4775" s="75"/>
    </row>
    <row r="4776" spans="1:3">
      <c r="A4776" s="76"/>
      <c r="B4776" s="76"/>
      <c r="C4776" s="75"/>
    </row>
    <row r="4777" spans="1:3">
      <c r="A4777" s="76"/>
      <c r="B4777" s="76"/>
      <c r="C4777" s="75"/>
    </row>
    <row r="4778" spans="1:3">
      <c r="A4778" s="76"/>
      <c r="B4778" s="76"/>
      <c r="C4778" s="75"/>
    </row>
    <row r="4779" spans="1:3">
      <c r="A4779" s="76"/>
      <c r="B4779" s="76"/>
      <c r="C4779" s="75"/>
    </row>
    <row r="4780" spans="1:3">
      <c r="A4780" s="76"/>
      <c r="B4780" s="76"/>
      <c r="C4780" s="75"/>
    </row>
    <row r="4781" spans="1:3">
      <c r="A4781" s="76"/>
      <c r="B4781" s="76"/>
      <c r="C4781" s="75"/>
    </row>
    <row r="4782" spans="1:3">
      <c r="A4782" s="76"/>
      <c r="B4782" s="76"/>
      <c r="C4782" s="75"/>
    </row>
    <row r="4783" spans="1:3">
      <c r="A4783" s="76"/>
      <c r="B4783" s="76"/>
      <c r="C4783" s="75"/>
    </row>
    <row r="4784" spans="1:3">
      <c r="A4784" s="76"/>
      <c r="B4784" s="76"/>
      <c r="C4784" s="75"/>
    </row>
    <row r="4785" spans="1:3">
      <c r="A4785" s="76"/>
      <c r="B4785" s="76"/>
      <c r="C4785" s="75"/>
    </row>
    <row r="4786" spans="1:3">
      <c r="A4786" s="76"/>
      <c r="B4786" s="76"/>
      <c r="C4786" s="75"/>
    </row>
    <row r="4787" spans="1:3">
      <c r="A4787" s="76"/>
      <c r="B4787" s="76"/>
      <c r="C4787" s="75"/>
    </row>
    <row r="4788" spans="1:3">
      <c r="A4788" s="76"/>
      <c r="B4788" s="76"/>
      <c r="C4788" s="75"/>
    </row>
    <row r="4789" spans="1:3">
      <c r="A4789" s="76"/>
      <c r="B4789" s="76"/>
      <c r="C4789" s="75"/>
    </row>
    <row r="4790" spans="1:3">
      <c r="A4790" s="76"/>
      <c r="B4790" s="76"/>
      <c r="C4790" s="75"/>
    </row>
    <row r="4791" spans="1:3">
      <c r="A4791" s="76"/>
      <c r="B4791" s="76"/>
      <c r="C4791" s="75"/>
    </row>
    <row r="4792" spans="1:3">
      <c r="A4792" s="76"/>
      <c r="B4792" s="76"/>
      <c r="C4792" s="75"/>
    </row>
    <row r="4793" spans="1:3">
      <c r="A4793" s="76"/>
      <c r="B4793" s="76"/>
      <c r="C4793" s="75"/>
    </row>
    <row r="4794" spans="1:3">
      <c r="A4794" s="76"/>
      <c r="B4794" s="76"/>
      <c r="C4794" s="75"/>
    </row>
    <row r="4795" spans="1:3">
      <c r="A4795" s="76"/>
      <c r="B4795" s="76"/>
      <c r="C4795" s="75"/>
    </row>
    <row r="4796" spans="1:3">
      <c r="A4796" s="76"/>
      <c r="B4796" s="76"/>
      <c r="C4796" s="75"/>
    </row>
    <row r="4797" spans="1:3">
      <c r="A4797" s="76"/>
      <c r="B4797" s="76"/>
      <c r="C4797" s="75"/>
    </row>
    <row r="4798" spans="1:3">
      <c r="A4798" s="76"/>
      <c r="B4798" s="76"/>
      <c r="C4798" s="75"/>
    </row>
    <row r="4799" spans="1:3">
      <c r="A4799" s="76"/>
      <c r="B4799" s="76"/>
      <c r="C4799" s="75"/>
    </row>
    <row r="4800" spans="1:3">
      <c r="A4800" s="76"/>
      <c r="B4800" s="76"/>
      <c r="C4800" s="75"/>
    </row>
    <row r="4801" spans="1:3">
      <c r="A4801" s="76"/>
      <c r="B4801" s="76"/>
      <c r="C4801" s="75"/>
    </row>
    <row r="4802" spans="1:3">
      <c r="A4802" s="76"/>
      <c r="B4802" s="76"/>
      <c r="C4802" s="75"/>
    </row>
    <row r="4803" spans="1:3">
      <c r="A4803" s="76"/>
      <c r="B4803" s="76"/>
      <c r="C4803" s="75"/>
    </row>
    <row r="4804" spans="1:3">
      <c r="A4804" s="76"/>
      <c r="B4804" s="76"/>
      <c r="C4804" s="75"/>
    </row>
    <row r="4805" spans="1:3">
      <c r="A4805" s="76"/>
      <c r="B4805" s="76"/>
      <c r="C4805" s="75"/>
    </row>
    <row r="4806" spans="1:3">
      <c r="A4806" s="76"/>
      <c r="B4806" s="76"/>
      <c r="C4806" s="75"/>
    </row>
    <row r="4807" spans="1:3">
      <c r="A4807" s="76"/>
      <c r="B4807" s="76"/>
      <c r="C4807" s="75"/>
    </row>
    <row r="4808" spans="1:3">
      <c r="A4808" s="76"/>
      <c r="B4808" s="76"/>
      <c r="C4808" s="75"/>
    </row>
    <row r="4809" spans="1:3">
      <c r="A4809" s="76"/>
      <c r="B4809" s="76"/>
      <c r="C4809" s="75"/>
    </row>
    <row r="4810" spans="1:3">
      <c r="A4810" s="76"/>
      <c r="B4810" s="76"/>
      <c r="C4810" s="75"/>
    </row>
    <row r="4811" spans="1:3">
      <c r="A4811" s="76"/>
      <c r="B4811" s="76"/>
      <c r="C4811" s="75"/>
    </row>
    <row r="4812" spans="1:3">
      <c r="A4812" s="76"/>
      <c r="B4812" s="76"/>
      <c r="C4812" s="75"/>
    </row>
    <row r="4813" spans="1:3">
      <c r="A4813" s="76"/>
      <c r="B4813" s="76"/>
      <c r="C4813" s="75"/>
    </row>
    <row r="4814" spans="1:3">
      <c r="A4814" s="76"/>
      <c r="B4814" s="76"/>
      <c r="C4814" s="75"/>
    </row>
    <row r="4815" spans="1:3">
      <c r="A4815" s="76"/>
      <c r="B4815" s="76"/>
      <c r="C4815" s="75"/>
    </row>
    <row r="4816" spans="1:3">
      <c r="A4816" s="76"/>
      <c r="B4816" s="76"/>
      <c r="C4816" s="75"/>
    </row>
    <row r="4817" spans="1:3">
      <c r="A4817" s="76"/>
      <c r="B4817" s="76"/>
      <c r="C4817" s="75"/>
    </row>
    <row r="4818" spans="1:3">
      <c r="A4818" s="76"/>
      <c r="B4818" s="76"/>
      <c r="C4818" s="75"/>
    </row>
    <row r="4819" spans="1:3">
      <c r="A4819" s="76"/>
      <c r="B4819" s="76"/>
      <c r="C4819" s="75"/>
    </row>
    <row r="4820" spans="1:3">
      <c r="A4820" s="76"/>
      <c r="B4820" s="76"/>
      <c r="C4820" s="75"/>
    </row>
    <row r="4821" spans="1:3">
      <c r="A4821" s="76"/>
      <c r="B4821" s="76"/>
      <c r="C4821" s="75"/>
    </row>
    <row r="4822" spans="1:3">
      <c r="A4822" s="76"/>
      <c r="B4822" s="76"/>
      <c r="C4822" s="75"/>
    </row>
    <row r="4823" spans="1:3">
      <c r="A4823" s="76"/>
      <c r="B4823" s="76"/>
      <c r="C4823" s="75"/>
    </row>
    <row r="4824" spans="1:3">
      <c r="A4824" s="76"/>
      <c r="B4824" s="76"/>
      <c r="C4824" s="75"/>
    </row>
    <row r="4825" spans="1:3">
      <c r="A4825" s="76"/>
      <c r="B4825" s="76"/>
      <c r="C4825" s="75"/>
    </row>
    <row r="4826" spans="1:3">
      <c r="A4826" s="76"/>
      <c r="B4826" s="76"/>
      <c r="C4826" s="75"/>
    </row>
    <row r="4827" spans="1:3">
      <c r="A4827" s="76"/>
      <c r="B4827" s="76"/>
      <c r="C4827" s="75"/>
    </row>
    <row r="4828" spans="1:3">
      <c r="A4828" s="76"/>
      <c r="B4828" s="76"/>
      <c r="C4828" s="75"/>
    </row>
    <row r="4829" spans="1:3">
      <c r="A4829" s="76"/>
      <c r="B4829" s="76"/>
      <c r="C4829" s="75"/>
    </row>
    <row r="4830" spans="1:3">
      <c r="A4830" s="76"/>
      <c r="B4830" s="76"/>
      <c r="C4830" s="75"/>
    </row>
    <row r="4831" spans="1:3">
      <c r="A4831" s="76"/>
      <c r="B4831" s="76"/>
      <c r="C4831" s="75"/>
    </row>
    <row r="4832" spans="1:3">
      <c r="A4832" s="76"/>
      <c r="B4832" s="76"/>
      <c r="C4832" s="75"/>
    </row>
    <row r="4833" spans="1:3">
      <c r="A4833" s="76"/>
      <c r="B4833" s="76"/>
      <c r="C4833" s="75"/>
    </row>
    <row r="4834" spans="1:3">
      <c r="A4834" s="76"/>
      <c r="B4834" s="76"/>
      <c r="C4834" s="75"/>
    </row>
    <row r="4835" spans="1:3">
      <c r="A4835" s="76"/>
      <c r="B4835" s="76"/>
      <c r="C4835" s="75"/>
    </row>
    <row r="4836" spans="1:3">
      <c r="A4836" s="76"/>
      <c r="B4836" s="76"/>
      <c r="C4836" s="75"/>
    </row>
    <row r="4837" spans="1:3">
      <c r="A4837" s="76"/>
      <c r="B4837" s="76"/>
      <c r="C4837" s="75"/>
    </row>
    <row r="4838" spans="1:3">
      <c r="A4838" s="76"/>
      <c r="B4838" s="76"/>
      <c r="C4838" s="75"/>
    </row>
    <row r="4839" spans="1:3">
      <c r="A4839" s="76"/>
      <c r="B4839" s="76"/>
      <c r="C4839" s="75"/>
    </row>
    <row r="4840" spans="1:3">
      <c r="A4840" s="76"/>
      <c r="B4840" s="76"/>
      <c r="C4840" s="75"/>
    </row>
    <row r="4841" spans="1:3">
      <c r="A4841" s="76"/>
      <c r="B4841" s="76"/>
      <c r="C4841" s="75"/>
    </row>
    <row r="4842" spans="1:3">
      <c r="A4842" s="76"/>
      <c r="B4842" s="76"/>
      <c r="C4842" s="75"/>
    </row>
    <row r="4843" spans="1:3">
      <c r="A4843" s="76"/>
      <c r="B4843" s="76"/>
      <c r="C4843" s="75"/>
    </row>
    <row r="4844" spans="1:3">
      <c r="A4844" s="76"/>
      <c r="B4844" s="76"/>
      <c r="C4844" s="75"/>
    </row>
    <row r="4845" spans="1:3">
      <c r="A4845" s="76"/>
      <c r="B4845" s="76"/>
      <c r="C4845" s="75"/>
    </row>
    <row r="4846" spans="1:3">
      <c r="A4846" s="76"/>
      <c r="B4846" s="76"/>
      <c r="C4846" s="75"/>
    </row>
    <row r="4847" spans="1:3">
      <c r="A4847" s="76"/>
      <c r="B4847" s="76"/>
      <c r="C4847" s="75"/>
    </row>
    <row r="4848" spans="1:3">
      <c r="A4848" s="76"/>
      <c r="B4848" s="76"/>
      <c r="C4848" s="75"/>
    </row>
    <row r="4849" spans="1:3">
      <c r="A4849" s="76"/>
      <c r="B4849" s="76"/>
      <c r="C4849" s="75"/>
    </row>
    <row r="4850" spans="1:3">
      <c r="A4850" s="76"/>
      <c r="B4850" s="76"/>
      <c r="C4850" s="75"/>
    </row>
    <row r="4851" spans="1:3">
      <c r="A4851" s="76"/>
      <c r="B4851" s="76"/>
      <c r="C4851" s="75"/>
    </row>
    <row r="4852" spans="1:3">
      <c r="A4852" s="76"/>
      <c r="B4852" s="76"/>
      <c r="C4852" s="75"/>
    </row>
    <row r="4853" spans="1:3">
      <c r="A4853" s="76"/>
      <c r="B4853" s="76"/>
      <c r="C4853" s="75"/>
    </row>
    <row r="4854" spans="1:3">
      <c r="A4854" s="76"/>
      <c r="B4854" s="76"/>
      <c r="C4854" s="75"/>
    </row>
    <row r="4855" spans="1:3">
      <c r="A4855" s="76"/>
      <c r="B4855" s="76"/>
      <c r="C4855" s="75"/>
    </row>
    <row r="4856" spans="1:3">
      <c r="A4856" s="76"/>
      <c r="B4856" s="76"/>
      <c r="C4856" s="75"/>
    </row>
    <row r="4857" spans="1:3">
      <c r="A4857" s="76"/>
      <c r="B4857" s="76"/>
      <c r="C4857" s="75"/>
    </row>
    <row r="4858" spans="1:3">
      <c r="A4858" s="76"/>
      <c r="B4858" s="76"/>
      <c r="C4858" s="75"/>
    </row>
    <row r="4859" spans="1:3">
      <c r="A4859" s="76"/>
      <c r="B4859" s="76"/>
      <c r="C4859" s="75"/>
    </row>
    <row r="4860" spans="1:3">
      <c r="A4860" s="76"/>
      <c r="B4860" s="76"/>
      <c r="C4860" s="75"/>
    </row>
    <row r="4861" spans="1:3">
      <c r="A4861" s="76"/>
      <c r="B4861" s="76"/>
      <c r="C4861" s="75"/>
    </row>
    <row r="4862" spans="1:3">
      <c r="A4862" s="76"/>
      <c r="B4862" s="76"/>
      <c r="C4862" s="75"/>
    </row>
    <row r="4863" spans="1:3">
      <c r="A4863" s="76"/>
      <c r="B4863" s="76"/>
      <c r="C4863" s="75"/>
    </row>
    <row r="4864" spans="1:3">
      <c r="A4864" s="76"/>
      <c r="B4864" s="76"/>
      <c r="C4864" s="75"/>
    </row>
    <row r="4865" spans="1:3">
      <c r="A4865" s="76"/>
      <c r="B4865" s="76"/>
      <c r="C4865" s="75"/>
    </row>
    <row r="4866" spans="1:3">
      <c r="A4866" s="76"/>
      <c r="B4866" s="76"/>
      <c r="C4866" s="75"/>
    </row>
    <row r="4867" spans="1:3">
      <c r="A4867" s="76"/>
      <c r="B4867" s="76"/>
      <c r="C4867" s="75"/>
    </row>
    <row r="4868" spans="1:3">
      <c r="A4868" s="76"/>
      <c r="B4868" s="76"/>
      <c r="C4868" s="75"/>
    </row>
    <row r="4869" spans="1:3">
      <c r="A4869" s="76"/>
      <c r="B4869" s="76"/>
      <c r="C4869" s="75"/>
    </row>
    <row r="4870" spans="1:3">
      <c r="A4870" s="76"/>
      <c r="B4870" s="76"/>
      <c r="C4870" s="75"/>
    </row>
    <row r="4871" spans="1:3">
      <c r="A4871" s="76"/>
      <c r="B4871" s="76"/>
      <c r="C4871" s="75"/>
    </row>
    <row r="4872" spans="1:3">
      <c r="A4872" s="76"/>
      <c r="B4872" s="76"/>
      <c r="C4872" s="75"/>
    </row>
    <row r="4873" spans="1:3">
      <c r="A4873" s="76"/>
      <c r="B4873" s="76"/>
      <c r="C4873" s="75"/>
    </row>
    <row r="4874" spans="1:3">
      <c r="A4874" s="76"/>
      <c r="B4874" s="76"/>
      <c r="C4874" s="75"/>
    </row>
    <row r="4875" spans="1:3">
      <c r="A4875" s="76"/>
      <c r="B4875" s="76"/>
      <c r="C4875" s="75"/>
    </row>
    <row r="4876" spans="1:3">
      <c r="A4876" s="76"/>
      <c r="B4876" s="76"/>
      <c r="C4876" s="75"/>
    </row>
    <row r="4877" spans="1:3">
      <c r="A4877" s="76"/>
      <c r="B4877" s="76"/>
      <c r="C4877" s="75"/>
    </row>
    <row r="4878" spans="1:3">
      <c r="A4878" s="76"/>
      <c r="B4878" s="76"/>
      <c r="C4878" s="75"/>
    </row>
    <row r="4879" spans="1:3">
      <c r="A4879" s="76"/>
      <c r="B4879" s="76"/>
      <c r="C4879" s="75"/>
    </row>
    <row r="4880" spans="1:3">
      <c r="A4880" s="76"/>
      <c r="B4880" s="76"/>
      <c r="C4880" s="75"/>
    </row>
    <row r="4881" spans="1:3">
      <c r="A4881" s="76"/>
      <c r="B4881" s="76"/>
      <c r="C4881" s="75"/>
    </row>
    <row r="4882" spans="1:3">
      <c r="A4882" s="76"/>
      <c r="B4882" s="76"/>
      <c r="C4882" s="75"/>
    </row>
    <row r="4883" spans="1:3">
      <c r="A4883" s="76"/>
      <c r="B4883" s="76"/>
      <c r="C4883" s="75"/>
    </row>
    <row r="4884" spans="1:3">
      <c r="A4884" s="76"/>
      <c r="B4884" s="76"/>
      <c r="C4884" s="75"/>
    </row>
    <row r="4885" spans="1:3">
      <c r="A4885" s="76"/>
      <c r="B4885" s="76"/>
      <c r="C4885" s="75"/>
    </row>
    <row r="4886" spans="1:3">
      <c r="A4886" s="76"/>
      <c r="B4886" s="76"/>
      <c r="C4886" s="75"/>
    </row>
    <row r="4887" spans="1:3">
      <c r="A4887" s="76"/>
      <c r="B4887" s="76"/>
      <c r="C4887" s="75"/>
    </row>
    <row r="4888" spans="1:3">
      <c r="A4888" s="76"/>
      <c r="B4888" s="76"/>
      <c r="C4888" s="75"/>
    </row>
    <row r="4889" spans="1:3">
      <c r="A4889" s="76"/>
      <c r="B4889" s="76"/>
      <c r="C4889" s="75"/>
    </row>
    <row r="4890" spans="1:3">
      <c r="A4890" s="76"/>
      <c r="B4890" s="76"/>
      <c r="C4890" s="75"/>
    </row>
    <row r="4891" spans="1:3">
      <c r="A4891" s="76"/>
      <c r="B4891" s="76"/>
      <c r="C4891" s="75"/>
    </row>
    <row r="4892" spans="1:3">
      <c r="A4892" s="76"/>
      <c r="B4892" s="76"/>
      <c r="C4892" s="75"/>
    </row>
    <row r="4893" spans="1:3">
      <c r="A4893" s="76"/>
      <c r="B4893" s="76"/>
      <c r="C4893" s="75"/>
    </row>
    <row r="4894" spans="1:3">
      <c r="A4894" s="76"/>
      <c r="B4894" s="76"/>
      <c r="C4894" s="75"/>
    </row>
    <row r="4895" spans="1:3">
      <c r="A4895" s="76"/>
      <c r="B4895" s="76"/>
      <c r="C4895" s="75"/>
    </row>
    <row r="4896" spans="1:3">
      <c r="A4896" s="76"/>
      <c r="B4896" s="76"/>
      <c r="C4896" s="75"/>
    </row>
    <row r="4897" spans="1:3">
      <c r="A4897" s="76"/>
      <c r="B4897" s="76"/>
      <c r="C4897" s="75"/>
    </row>
    <row r="4898" spans="1:3">
      <c r="A4898" s="76"/>
      <c r="B4898" s="76"/>
      <c r="C4898" s="75"/>
    </row>
    <row r="4899" spans="1:3">
      <c r="A4899" s="76"/>
      <c r="B4899" s="76"/>
      <c r="C4899" s="75"/>
    </row>
    <row r="4900" spans="1:3">
      <c r="A4900" s="76"/>
      <c r="B4900" s="76"/>
      <c r="C4900" s="75"/>
    </row>
    <row r="4901" spans="1:3">
      <c r="A4901" s="76"/>
      <c r="B4901" s="76"/>
      <c r="C4901" s="75"/>
    </row>
    <row r="4902" spans="1:3">
      <c r="A4902" s="76"/>
      <c r="B4902" s="76"/>
      <c r="C4902" s="75"/>
    </row>
    <row r="4903" spans="1:3">
      <c r="A4903" s="76"/>
      <c r="B4903" s="76"/>
      <c r="C4903" s="75"/>
    </row>
    <row r="4904" spans="1:3">
      <c r="A4904" s="76"/>
      <c r="B4904" s="76"/>
      <c r="C4904" s="75"/>
    </row>
    <row r="4905" spans="1:3">
      <c r="A4905" s="76"/>
      <c r="B4905" s="76"/>
      <c r="C4905" s="75"/>
    </row>
    <row r="4906" spans="1:3">
      <c r="A4906" s="76"/>
      <c r="B4906" s="76"/>
      <c r="C4906" s="75"/>
    </row>
    <row r="4907" spans="1:3">
      <c r="A4907" s="76"/>
      <c r="B4907" s="76"/>
      <c r="C4907" s="75"/>
    </row>
    <row r="4908" spans="1:3">
      <c r="A4908" s="76"/>
      <c r="B4908" s="76"/>
      <c r="C4908" s="75"/>
    </row>
    <row r="4909" spans="1:3">
      <c r="A4909" s="76"/>
      <c r="B4909" s="76"/>
      <c r="C4909" s="75"/>
    </row>
    <row r="4910" spans="1:3">
      <c r="A4910" s="76"/>
      <c r="B4910" s="76"/>
      <c r="C4910" s="75"/>
    </row>
    <row r="4911" spans="1:3">
      <c r="A4911" s="76"/>
      <c r="B4911" s="76"/>
      <c r="C4911" s="75"/>
    </row>
    <row r="4912" spans="1:3">
      <c r="A4912" s="76"/>
      <c r="B4912" s="76"/>
      <c r="C4912" s="75"/>
    </row>
    <row r="4913" spans="1:3">
      <c r="A4913" s="76"/>
      <c r="B4913" s="76"/>
      <c r="C4913" s="75"/>
    </row>
    <row r="4914" spans="1:3">
      <c r="A4914" s="76"/>
      <c r="B4914" s="76"/>
      <c r="C4914" s="75"/>
    </row>
    <row r="4915" spans="1:3">
      <c r="A4915" s="76"/>
      <c r="B4915" s="76"/>
      <c r="C4915" s="75"/>
    </row>
    <row r="4916" spans="1:3">
      <c r="A4916" s="76"/>
      <c r="B4916" s="76"/>
      <c r="C4916" s="75"/>
    </row>
    <row r="4917" spans="1:3">
      <c r="A4917" s="76"/>
      <c r="B4917" s="76"/>
      <c r="C4917" s="75"/>
    </row>
    <row r="4918" spans="1:3">
      <c r="A4918" s="76"/>
      <c r="B4918" s="76"/>
      <c r="C4918" s="75"/>
    </row>
    <row r="4919" spans="1:3">
      <c r="A4919" s="76"/>
      <c r="B4919" s="76"/>
      <c r="C4919" s="75"/>
    </row>
    <row r="4920" spans="1:3">
      <c r="A4920" s="76"/>
      <c r="B4920" s="76"/>
      <c r="C4920" s="75"/>
    </row>
    <row r="4921" spans="1:3">
      <c r="A4921" s="76"/>
      <c r="B4921" s="76"/>
      <c r="C4921" s="75"/>
    </row>
    <row r="4922" spans="1:3">
      <c r="A4922" s="76"/>
      <c r="B4922" s="76"/>
      <c r="C4922" s="75"/>
    </row>
    <row r="4923" spans="1:3">
      <c r="A4923" s="76"/>
      <c r="B4923" s="76"/>
      <c r="C4923" s="75"/>
    </row>
    <row r="4924" spans="1:3">
      <c r="A4924" s="76"/>
      <c r="B4924" s="76"/>
      <c r="C4924" s="75"/>
    </row>
    <row r="4925" spans="1:3">
      <c r="A4925" s="76"/>
      <c r="B4925" s="76"/>
      <c r="C4925" s="75"/>
    </row>
    <row r="4926" spans="1:3">
      <c r="A4926" s="76"/>
      <c r="B4926" s="76"/>
      <c r="C4926" s="75"/>
    </row>
    <row r="4927" spans="1:3">
      <c r="A4927" s="76"/>
      <c r="B4927" s="76"/>
      <c r="C4927" s="75"/>
    </row>
    <row r="4928" spans="1:3">
      <c r="A4928" s="76"/>
      <c r="B4928" s="76"/>
      <c r="C4928" s="75"/>
    </row>
    <row r="4929" spans="1:3">
      <c r="A4929" s="76"/>
      <c r="B4929" s="76"/>
      <c r="C4929" s="75"/>
    </row>
    <row r="4930" spans="1:3">
      <c r="A4930" s="76"/>
      <c r="B4930" s="76"/>
      <c r="C4930" s="75"/>
    </row>
    <row r="4931" spans="1:3">
      <c r="A4931" s="76"/>
      <c r="B4931" s="76"/>
      <c r="C4931" s="75"/>
    </row>
    <row r="4932" spans="1:3">
      <c r="A4932" s="76"/>
      <c r="B4932" s="76"/>
      <c r="C4932" s="75"/>
    </row>
    <row r="4933" spans="1:3">
      <c r="A4933" s="76"/>
      <c r="B4933" s="76"/>
      <c r="C4933" s="75"/>
    </row>
    <row r="4934" spans="1:3">
      <c r="A4934" s="76"/>
      <c r="B4934" s="76"/>
      <c r="C4934" s="75"/>
    </row>
    <row r="4935" spans="1:3">
      <c r="A4935" s="76"/>
      <c r="B4935" s="76"/>
      <c r="C4935" s="75"/>
    </row>
    <row r="4936" spans="1:3">
      <c r="A4936" s="76"/>
      <c r="B4936" s="76"/>
      <c r="C4936" s="75"/>
    </row>
    <row r="4937" spans="1:3">
      <c r="A4937" s="76"/>
      <c r="B4937" s="76"/>
      <c r="C4937" s="75"/>
    </row>
    <row r="4938" spans="1:3">
      <c r="A4938" s="76"/>
      <c r="B4938" s="76"/>
      <c r="C4938" s="75"/>
    </row>
    <row r="4939" spans="1:3">
      <c r="A4939" s="76"/>
      <c r="B4939" s="76"/>
      <c r="C4939" s="75"/>
    </row>
    <row r="4940" spans="1:3">
      <c r="A4940" s="76"/>
      <c r="B4940" s="76"/>
      <c r="C4940" s="75"/>
    </row>
    <row r="4941" spans="1:3">
      <c r="A4941" s="76"/>
      <c r="B4941" s="76"/>
      <c r="C4941" s="75"/>
    </row>
    <row r="4942" spans="1:3">
      <c r="A4942" s="76"/>
      <c r="B4942" s="76"/>
      <c r="C4942" s="75"/>
    </row>
    <row r="4943" spans="1:3">
      <c r="A4943" s="76"/>
      <c r="B4943" s="76"/>
      <c r="C4943" s="75"/>
    </row>
    <row r="4944" spans="1:3">
      <c r="A4944" s="76"/>
      <c r="B4944" s="76"/>
      <c r="C4944" s="75"/>
    </row>
    <row r="4945" spans="1:3">
      <c r="A4945" s="76"/>
      <c r="B4945" s="76"/>
      <c r="C4945" s="75"/>
    </row>
    <row r="4946" spans="1:3">
      <c r="A4946" s="76"/>
      <c r="B4946" s="76"/>
      <c r="C4946" s="75"/>
    </row>
    <row r="4947" spans="1:3">
      <c r="A4947" s="76"/>
      <c r="B4947" s="76"/>
      <c r="C4947" s="75"/>
    </row>
    <row r="4948" spans="1:3">
      <c r="A4948" s="76"/>
      <c r="B4948" s="76"/>
      <c r="C4948" s="75"/>
    </row>
    <row r="4949" spans="1:3">
      <c r="A4949" s="76"/>
      <c r="B4949" s="76"/>
      <c r="C4949" s="75"/>
    </row>
    <row r="4950" spans="1:3">
      <c r="A4950" s="76"/>
      <c r="B4950" s="76"/>
      <c r="C4950" s="75"/>
    </row>
    <row r="4951" spans="1:3">
      <c r="A4951" s="76"/>
      <c r="B4951" s="76"/>
      <c r="C4951" s="75"/>
    </row>
    <row r="4952" spans="1:3">
      <c r="A4952" s="76"/>
      <c r="B4952" s="76"/>
      <c r="C4952" s="75"/>
    </row>
    <row r="4953" spans="1:3">
      <c r="A4953" s="76"/>
      <c r="B4953" s="76"/>
      <c r="C4953" s="75"/>
    </row>
    <row r="4954" spans="1:3">
      <c r="A4954" s="76"/>
      <c r="B4954" s="76"/>
      <c r="C4954" s="75"/>
    </row>
    <row r="4955" spans="1:3">
      <c r="A4955" s="76"/>
      <c r="B4955" s="76"/>
      <c r="C4955" s="75"/>
    </row>
    <row r="4956" spans="1:3">
      <c r="A4956" s="76"/>
      <c r="B4956" s="76"/>
      <c r="C4956" s="75"/>
    </row>
    <row r="4957" spans="1:3">
      <c r="A4957" s="76"/>
      <c r="B4957" s="76"/>
      <c r="C4957" s="75"/>
    </row>
    <row r="4958" spans="1:3">
      <c r="A4958" s="76"/>
      <c r="B4958" s="76"/>
      <c r="C4958" s="75"/>
    </row>
    <row r="4959" spans="1:3">
      <c r="A4959" s="76"/>
      <c r="B4959" s="76"/>
      <c r="C4959" s="75"/>
    </row>
    <row r="4960" spans="1:3">
      <c r="A4960" s="76"/>
      <c r="B4960" s="76"/>
      <c r="C4960" s="75"/>
    </row>
    <row r="4961" spans="1:3">
      <c r="A4961" s="76"/>
      <c r="B4961" s="76"/>
      <c r="C4961" s="75"/>
    </row>
    <row r="4962" spans="1:3">
      <c r="A4962" s="76"/>
      <c r="B4962" s="76"/>
      <c r="C4962" s="75"/>
    </row>
    <row r="4963" spans="1:3">
      <c r="A4963" s="76"/>
      <c r="B4963" s="76"/>
      <c r="C4963" s="75"/>
    </row>
    <row r="4964" spans="1:3">
      <c r="A4964" s="76"/>
      <c r="B4964" s="76"/>
      <c r="C4964" s="75"/>
    </row>
    <row r="4965" spans="1:3">
      <c r="A4965" s="76"/>
      <c r="B4965" s="76"/>
      <c r="C4965" s="75"/>
    </row>
    <row r="4966" spans="1:3">
      <c r="A4966" s="76"/>
      <c r="B4966" s="76"/>
      <c r="C4966" s="75"/>
    </row>
    <row r="4967" spans="1:3">
      <c r="A4967" s="76"/>
      <c r="B4967" s="76"/>
      <c r="C4967" s="75"/>
    </row>
    <row r="4968" spans="1:3">
      <c r="A4968" s="76"/>
      <c r="B4968" s="76"/>
      <c r="C4968" s="75"/>
    </row>
    <row r="4969" spans="1:3">
      <c r="A4969" s="76"/>
      <c r="B4969" s="76"/>
      <c r="C4969" s="75"/>
    </row>
    <row r="4970" spans="1:3">
      <c r="A4970" s="76"/>
      <c r="B4970" s="76"/>
      <c r="C4970" s="75"/>
    </row>
    <row r="4971" spans="1:3">
      <c r="A4971" s="76"/>
      <c r="B4971" s="76"/>
      <c r="C4971" s="75"/>
    </row>
    <row r="4972" spans="1:3">
      <c r="A4972" s="76"/>
      <c r="B4972" s="76"/>
      <c r="C4972" s="75"/>
    </row>
    <row r="4973" spans="1:3">
      <c r="A4973" s="76"/>
      <c r="B4973" s="76"/>
      <c r="C4973" s="75"/>
    </row>
    <row r="4974" spans="1:3">
      <c r="A4974" s="76"/>
      <c r="B4974" s="76"/>
      <c r="C4974" s="75"/>
    </row>
    <row r="4975" spans="1:3">
      <c r="A4975" s="76"/>
      <c r="B4975" s="76"/>
      <c r="C4975" s="75"/>
    </row>
    <row r="4976" spans="1:3">
      <c r="A4976" s="76"/>
      <c r="B4976" s="76"/>
      <c r="C4976" s="75"/>
    </row>
    <row r="4977" spans="1:3">
      <c r="A4977" s="76"/>
      <c r="B4977" s="76"/>
      <c r="C4977" s="75"/>
    </row>
    <row r="4978" spans="1:3">
      <c r="A4978" s="76"/>
      <c r="B4978" s="76"/>
      <c r="C4978" s="75"/>
    </row>
    <row r="4979" spans="1:3">
      <c r="A4979" s="76"/>
      <c r="B4979" s="76"/>
      <c r="C4979" s="75"/>
    </row>
    <row r="4980" spans="1:3">
      <c r="A4980" s="76"/>
      <c r="B4980" s="76"/>
      <c r="C4980" s="75"/>
    </row>
    <row r="4981" spans="1:3">
      <c r="A4981" s="76"/>
      <c r="B4981" s="76"/>
      <c r="C4981" s="75"/>
    </row>
    <row r="4982" spans="1:3">
      <c r="A4982" s="76"/>
      <c r="B4982" s="76"/>
      <c r="C4982" s="75"/>
    </row>
    <row r="4983" spans="1:3">
      <c r="A4983" s="76"/>
      <c r="B4983" s="76"/>
      <c r="C4983" s="75"/>
    </row>
    <row r="4984" spans="1:3">
      <c r="A4984" s="76"/>
      <c r="B4984" s="76"/>
      <c r="C4984" s="75"/>
    </row>
    <row r="4985" spans="1:3">
      <c r="A4985" s="76"/>
      <c r="B4985" s="76"/>
      <c r="C4985" s="75"/>
    </row>
    <row r="4986" spans="1:3">
      <c r="A4986" s="76"/>
      <c r="B4986" s="76"/>
      <c r="C4986" s="75"/>
    </row>
    <row r="4987" spans="1:3">
      <c r="A4987" s="76"/>
      <c r="B4987" s="76"/>
      <c r="C4987" s="75"/>
    </row>
    <row r="4988" spans="1:3">
      <c r="A4988" s="76"/>
      <c r="B4988" s="76"/>
      <c r="C4988" s="75"/>
    </row>
    <row r="4989" spans="1:3">
      <c r="A4989" s="76"/>
      <c r="B4989" s="76"/>
      <c r="C4989" s="75"/>
    </row>
    <row r="4990" spans="1:3">
      <c r="A4990" s="76"/>
      <c r="B4990" s="76"/>
      <c r="C4990" s="75"/>
    </row>
    <row r="4991" spans="1:3">
      <c r="A4991" s="76"/>
      <c r="B4991" s="76"/>
      <c r="C4991" s="75"/>
    </row>
    <row r="4992" spans="1:3">
      <c r="A4992" s="76"/>
      <c r="B4992" s="76"/>
      <c r="C4992" s="75"/>
    </row>
    <row r="4993" spans="1:3">
      <c r="A4993" s="76"/>
      <c r="B4993" s="76"/>
      <c r="C4993" s="75"/>
    </row>
    <row r="4994" spans="1:3">
      <c r="A4994" s="76"/>
      <c r="B4994" s="76"/>
      <c r="C4994" s="75"/>
    </row>
    <row r="4995" spans="1:3">
      <c r="A4995" s="76"/>
      <c r="B4995" s="76"/>
      <c r="C4995" s="75"/>
    </row>
    <row r="4996" spans="1:3">
      <c r="A4996" s="76"/>
      <c r="B4996" s="76"/>
      <c r="C4996" s="75"/>
    </row>
    <row r="4997" spans="1:3">
      <c r="A4997" s="76"/>
      <c r="B4997" s="76"/>
      <c r="C4997" s="75"/>
    </row>
    <row r="4998" spans="1:3">
      <c r="A4998" s="76"/>
      <c r="B4998" s="76"/>
      <c r="C4998" s="75"/>
    </row>
    <row r="4999" spans="1:3">
      <c r="A4999" s="76"/>
      <c r="B4999" s="76"/>
      <c r="C4999" s="75"/>
    </row>
    <row r="5000" spans="1:3">
      <c r="A5000" s="76"/>
      <c r="B5000" s="76"/>
      <c r="C5000" s="75"/>
    </row>
    <row r="5001" spans="1:3">
      <c r="A5001" s="76"/>
      <c r="B5001" s="76"/>
      <c r="C5001" s="75"/>
    </row>
    <row r="5002" spans="1:3">
      <c r="A5002" s="76"/>
      <c r="B5002" s="76"/>
      <c r="C5002" s="75"/>
    </row>
    <row r="5003" spans="1:3">
      <c r="A5003" s="76"/>
      <c r="B5003" s="76"/>
      <c r="C5003" s="75"/>
    </row>
    <row r="5004" spans="1:3">
      <c r="A5004" s="76"/>
      <c r="B5004" s="76"/>
      <c r="C5004" s="75"/>
    </row>
    <row r="5005" spans="1:3">
      <c r="A5005" s="76"/>
      <c r="B5005" s="76"/>
      <c r="C5005" s="75"/>
    </row>
    <row r="5006" spans="1:3">
      <c r="A5006" s="76"/>
      <c r="B5006" s="76"/>
      <c r="C5006" s="75"/>
    </row>
    <row r="5007" spans="1:3">
      <c r="A5007" s="76"/>
      <c r="B5007" s="76"/>
      <c r="C5007" s="75"/>
    </row>
    <row r="5008" spans="1:3">
      <c r="A5008" s="76"/>
      <c r="B5008" s="76"/>
      <c r="C5008" s="75"/>
    </row>
    <row r="5009" spans="1:3">
      <c r="A5009" s="76"/>
      <c r="B5009" s="76"/>
      <c r="C5009" s="75"/>
    </row>
    <row r="5010" spans="1:3">
      <c r="A5010" s="76"/>
      <c r="B5010" s="76"/>
      <c r="C5010" s="75"/>
    </row>
    <row r="5011" spans="1:3">
      <c r="A5011" s="76"/>
      <c r="B5011" s="76"/>
      <c r="C5011" s="75"/>
    </row>
    <row r="5012" spans="1:3">
      <c r="A5012" s="76"/>
      <c r="B5012" s="76"/>
      <c r="C5012" s="75"/>
    </row>
    <row r="5013" spans="1:3">
      <c r="A5013" s="76"/>
      <c r="B5013" s="76"/>
      <c r="C5013" s="75"/>
    </row>
    <row r="5014" spans="1:3">
      <c r="A5014" s="76"/>
      <c r="B5014" s="76"/>
      <c r="C5014" s="75"/>
    </row>
    <row r="5015" spans="1:3">
      <c r="A5015" s="76"/>
      <c r="B5015" s="76"/>
      <c r="C5015" s="75"/>
    </row>
    <row r="5016" spans="1:3">
      <c r="A5016" s="76"/>
      <c r="B5016" s="76"/>
      <c r="C5016" s="75"/>
    </row>
    <row r="5017" spans="1:3">
      <c r="A5017" s="76"/>
      <c r="B5017" s="76"/>
      <c r="C5017" s="75"/>
    </row>
    <row r="5018" spans="1:3">
      <c r="A5018" s="76"/>
      <c r="B5018" s="76"/>
      <c r="C5018" s="75"/>
    </row>
    <row r="5019" spans="1:3">
      <c r="A5019" s="76"/>
      <c r="B5019" s="76"/>
      <c r="C5019" s="75"/>
    </row>
    <row r="5020" spans="1:3">
      <c r="A5020" s="76"/>
      <c r="B5020" s="76"/>
      <c r="C5020" s="75"/>
    </row>
    <row r="5021" spans="1:3">
      <c r="A5021" s="76"/>
      <c r="B5021" s="76"/>
      <c r="C5021" s="75"/>
    </row>
    <row r="5022" spans="1:3">
      <c r="A5022" s="76"/>
      <c r="B5022" s="76"/>
      <c r="C5022" s="75"/>
    </row>
    <row r="5023" spans="1:3">
      <c r="A5023" s="76"/>
      <c r="B5023" s="76"/>
      <c r="C5023" s="75"/>
    </row>
    <row r="5024" spans="1:3">
      <c r="A5024" s="76"/>
      <c r="B5024" s="76"/>
      <c r="C5024" s="75"/>
    </row>
    <row r="5025" spans="1:3">
      <c r="A5025" s="76"/>
      <c r="B5025" s="76"/>
      <c r="C5025" s="75"/>
    </row>
    <row r="5026" spans="1:3">
      <c r="A5026" s="76"/>
      <c r="B5026" s="76"/>
      <c r="C5026" s="75"/>
    </row>
    <row r="5027" spans="1:3">
      <c r="A5027" s="76"/>
      <c r="B5027" s="76"/>
      <c r="C5027" s="75"/>
    </row>
    <row r="5028" spans="1:3">
      <c r="A5028" s="76"/>
      <c r="B5028" s="76"/>
      <c r="C5028" s="75"/>
    </row>
    <row r="5029" spans="1:3">
      <c r="A5029" s="76"/>
      <c r="B5029" s="76"/>
      <c r="C5029" s="75"/>
    </row>
    <row r="5030" spans="1:3">
      <c r="A5030" s="76"/>
      <c r="B5030" s="76"/>
      <c r="C5030" s="75"/>
    </row>
    <row r="5031" spans="1:3">
      <c r="A5031" s="76"/>
      <c r="B5031" s="76"/>
      <c r="C5031" s="75"/>
    </row>
    <row r="5032" spans="1:3">
      <c r="A5032" s="76"/>
      <c r="B5032" s="76"/>
      <c r="C5032" s="75"/>
    </row>
    <row r="5033" spans="1:3">
      <c r="A5033" s="76"/>
      <c r="B5033" s="76"/>
      <c r="C5033" s="75"/>
    </row>
    <row r="5034" spans="1:3">
      <c r="A5034" s="76"/>
      <c r="B5034" s="76"/>
      <c r="C5034" s="75"/>
    </row>
    <row r="5035" spans="1:3">
      <c r="A5035" s="76"/>
      <c r="B5035" s="76"/>
      <c r="C5035" s="75"/>
    </row>
    <row r="5036" spans="1:3">
      <c r="A5036" s="76"/>
      <c r="B5036" s="76"/>
      <c r="C5036" s="75"/>
    </row>
    <row r="5037" spans="1:3">
      <c r="A5037" s="76"/>
      <c r="B5037" s="76"/>
      <c r="C5037" s="75"/>
    </row>
    <row r="5038" spans="1:3">
      <c r="A5038" s="76"/>
      <c r="B5038" s="76"/>
      <c r="C5038" s="75"/>
    </row>
    <row r="5039" spans="1:3">
      <c r="A5039" s="76"/>
      <c r="B5039" s="76"/>
      <c r="C5039" s="75"/>
    </row>
    <row r="5040" spans="1:3">
      <c r="A5040" s="76"/>
      <c r="B5040" s="76"/>
      <c r="C5040" s="75"/>
    </row>
    <row r="5041" spans="1:3">
      <c r="A5041" s="76"/>
      <c r="B5041" s="76"/>
      <c r="C5041" s="75"/>
    </row>
    <row r="5042" spans="1:3">
      <c r="A5042" s="76"/>
      <c r="B5042" s="76"/>
      <c r="C5042" s="75"/>
    </row>
    <row r="5043" spans="1:3">
      <c r="A5043" s="76"/>
      <c r="B5043" s="76"/>
      <c r="C5043" s="75"/>
    </row>
    <row r="5044" spans="1:3">
      <c r="A5044" s="76"/>
      <c r="B5044" s="76"/>
      <c r="C5044" s="75"/>
    </row>
    <row r="5045" spans="1:3">
      <c r="A5045" s="76"/>
      <c r="B5045" s="76"/>
      <c r="C5045" s="75"/>
    </row>
    <row r="5046" spans="1:3">
      <c r="A5046" s="76"/>
      <c r="B5046" s="76"/>
      <c r="C5046" s="75"/>
    </row>
    <row r="5047" spans="1:3">
      <c r="A5047" s="76"/>
      <c r="B5047" s="76"/>
      <c r="C5047" s="75"/>
    </row>
    <row r="5048" spans="1:3">
      <c r="A5048" s="76"/>
      <c r="B5048" s="76"/>
      <c r="C5048" s="75"/>
    </row>
    <row r="5049" spans="1:3">
      <c r="A5049" s="76"/>
      <c r="B5049" s="76"/>
      <c r="C5049" s="75"/>
    </row>
    <row r="5050" spans="1:3">
      <c r="A5050" s="76"/>
      <c r="B5050" s="76"/>
      <c r="C5050" s="75"/>
    </row>
    <row r="5051" spans="1:3">
      <c r="A5051" s="76"/>
      <c r="B5051" s="76"/>
      <c r="C5051" s="75"/>
    </row>
    <row r="5052" spans="1:3">
      <c r="A5052" s="76"/>
      <c r="B5052" s="76"/>
      <c r="C5052" s="75"/>
    </row>
    <row r="5053" spans="1:3">
      <c r="A5053" s="76"/>
      <c r="B5053" s="76"/>
      <c r="C5053" s="75"/>
    </row>
    <row r="5054" spans="1:3">
      <c r="A5054" s="76"/>
      <c r="B5054" s="76"/>
      <c r="C5054" s="75"/>
    </row>
    <row r="5055" spans="1:3">
      <c r="A5055" s="76"/>
      <c r="B5055" s="76"/>
      <c r="C5055" s="75"/>
    </row>
    <row r="5056" spans="1:3">
      <c r="A5056" s="76"/>
      <c r="B5056" s="76"/>
      <c r="C5056" s="75"/>
    </row>
    <row r="5057" spans="1:3">
      <c r="A5057" s="76"/>
      <c r="B5057" s="76"/>
      <c r="C5057" s="75"/>
    </row>
    <row r="5058" spans="1:3">
      <c r="A5058" s="76"/>
      <c r="B5058" s="76"/>
      <c r="C5058" s="75"/>
    </row>
    <row r="5059" spans="1:3">
      <c r="A5059" s="76"/>
      <c r="B5059" s="76"/>
      <c r="C5059" s="75"/>
    </row>
    <row r="5060" spans="1:3">
      <c r="A5060" s="76"/>
      <c r="B5060" s="76"/>
      <c r="C5060" s="75"/>
    </row>
    <row r="5061" spans="1:3">
      <c r="A5061" s="76"/>
      <c r="B5061" s="76"/>
      <c r="C5061" s="75"/>
    </row>
    <row r="5062" spans="1:3">
      <c r="A5062" s="76"/>
      <c r="B5062" s="76"/>
      <c r="C5062" s="75"/>
    </row>
    <row r="5063" spans="1:3">
      <c r="A5063" s="76"/>
      <c r="B5063" s="76"/>
      <c r="C5063" s="75"/>
    </row>
    <row r="5064" spans="1:3">
      <c r="A5064" s="76"/>
      <c r="B5064" s="76"/>
      <c r="C5064" s="75"/>
    </row>
    <row r="5065" spans="1:3">
      <c r="A5065" s="76"/>
      <c r="B5065" s="76"/>
      <c r="C5065" s="75"/>
    </row>
    <row r="5066" spans="1:3">
      <c r="A5066" s="76"/>
      <c r="B5066" s="76"/>
      <c r="C5066" s="75"/>
    </row>
    <row r="5067" spans="1:3">
      <c r="A5067" s="76"/>
      <c r="B5067" s="76"/>
      <c r="C5067" s="75"/>
    </row>
    <row r="5068" spans="1:3">
      <c r="A5068" s="76"/>
      <c r="B5068" s="76"/>
      <c r="C5068" s="75"/>
    </row>
    <row r="5069" spans="1:3">
      <c r="A5069" s="76"/>
      <c r="B5069" s="76"/>
      <c r="C5069" s="75"/>
    </row>
    <row r="5070" spans="1:3">
      <c r="A5070" s="76"/>
      <c r="B5070" s="76"/>
      <c r="C5070" s="75"/>
    </row>
    <row r="5071" spans="1:3">
      <c r="A5071" s="76"/>
      <c r="B5071" s="76"/>
      <c r="C5071" s="75"/>
    </row>
    <row r="5072" spans="1:3">
      <c r="A5072" s="76"/>
      <c r="B5072" s="76"/>
      <c r="C5072" s="75"/>
    </row>
    <row r="5073" spans="1:3">
      <c r="A5073" s="76"/>
      <c r="B5073" s="76"/>
      <c r="C5073" s="75"/>
    </row>
    <row r="5074" spans="1:3">
      <c r="A5074" s="76"/>
      <c r="B5074" s="76"/>
      <c r="C5074" s="75"/>
    </row>
    <row r="5075" spans="1:3">
      <c r="A5075" s="76"/>
      <c r="B5075" s="76"/>
      <c r="C5075" s="75"/>
    </row>
    <row r="5076" spans="1:3">
      <c r="A5076" s="76"/>
      <c r="B5076" s="76"/>
      <c r="C5076" s="7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Реестр общежития</vt:lpstr>
      <vt:lpstr>СВОДНАЯ</vt:lpstr>
      <vt:lpstr>Реестр общежития (копия)</vt:lpstr>
      <vt:lpstr>Кол-во нуждающихся</vt:lpstr>
      <vt:lpstr>ранее проживали (скрытый) </vt:lpstr>
      <vt:lpstr>Адреса общежитий (скрытый)</vt:lpstr>
      <vt:lpstr>Актуальное состояние (из общего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Александр Попов</cp:lastModifiedBy>
  <dcterms:created xsi:type="dcterms:W3CDTF">2023-08-23T08:34:31Z</dcterms:created>
  <dcterms:modified xsi:type="dcterms:W3CDTF">2023-08-23T20:45:14Z</dcterms:modified>
</cp:coreProperties>
</file>